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omments8.xml" ContentType="application/vnd.openxmlformats-officedocument.spreadsheetml.comments+xml"/>
  <Override PartName="/xl/drawings/drawing39.xml" ContentType="application/vnd.openxmlformats-officedocument.drawing+xml"/>
  <Override PartName="/xl/activeX/activeX5.xml" ContentType="application/vnd.ms-office.activeX+xml"/>
  <Override PartName="/xl/drawings/drawing17.xml" ContentType="application/vnd.openxmlformats-officedocument.drawing+xml"/>
  <Override PartName="/xl/drawings/drawing28.xml" ContentType="application/vnd.openxmlformats-officedocument.drawing+xml"/>
  <Default Extension="xml" ContentType="application/xml"/>
  <Override PartName="/xl/worksheets/sheet128.xml" ContentType="application/vnd.openxmlformats-officedocument.spreadsheetml.worksheet+xml"/>
  <Override PartName="/xl/drawings/drawing2.xml" ContentType="application/vnd.openxmlformats-officedocument.drawing+xml"/>
  <Override PartName="/xl/comments18.xml" ContentType="application/vnd.openxmlformats-officedocument.spreadsheetml.comments+xml"/>
  <Override PartName="/xl/drawings/drawing53.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drawings/drawing42.xml" ContentType="application/vnd.openxmlformats-officedocument.drawing+xml"/>
  <Override PartName="/xl/worksheets/sheet87.xml" ContentType="application/vnd.openxmlformats-officedocument.spreadsheetml.worksheet+xml"/>
  <Override PartName="/xl/worksheets/sheet106.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76.xml" ContentType="application/vnd.openxmlformats-officedocument.spreadsheetml.worksheet+xml"/>
  <Override PartName="/xl/comments21.xml" ContentType="application/vnd.openxmlformats-officedocument.spreadsheetml.comments+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comments10.xml" ContentType="application/vnd.openxmlformats-officedocument.spreadsheetml.comments+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comments9.xml" ContentType="application/vnd.openxmlformats-officedocument.spreadsheetml.comments+xml"/>
  <Override PartName="/xl/drawings/drawing29.xml" ContentType="application/vnd.openxmlformats-officedocument.drawing+xml"/>
  <Override PartName="/xl/drawings/drawing58.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Default Extension="emf" ContentType="image/x-emf"/>
  <Override PartName="/xl/activeX/activeX6.xml" ContentType="application/vnd.ms-office.activeX+xml"/>
  <Override PartName="/xl/drawings/drawing18.xml" ContentType="application/vnd.openxmlformats-officedocument.drawing+xml"/>
  <Override PartName="/xl/drawings/drawing36.xml" ContentType="application/vnd.openxmlformats-officedocument.drawing+xml"/>
  <Override PartName="/xl/drawings/drawing4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activeX/activeX2.xml" ContentType="application/vnd.ms-office.activeX+xml"/>
  <Override PartName="/xl/drawings/drawing3.xml" ContentType="application/vnd.openxmlformats-officedocument.drawing+xml"/>
  <Override PartName="/xl/comments5.xml" ContentType="application/vnd.openxmlformats-officedocument.spreadsheetml.comments+xml"/>
  <Override PartName="/xl/drawings/drawing25.xml" ContentType="application/vnd.openxmlformats-officedocument.drawing+xml"/>
  <Override PartName="/xl/comments19.xml" ContentType="application/vnd.openxmlformats-officedocument.spreadsheetml.comments+xml"/>
  <Override PartName="/xl/drawings/drawing43.xml" ContentType="application/vnd.openxmlformats-officedocument.drawing+xml"/>
  <Override PartName="/xl/drawings/drawing54.xml" ContentType="application/vnd.openxmlformats-officedocument.drawing+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drawings/drawing14.xml" ContentType="application/vnd.openxmlformats-officedocument.drawing+xml"/>
  <Override PartName="/xl/drawings/drawing32.xml" ContentType="application/vnd.openxmlformats-officedocument.drawing+xml"/>
  <Override PartName="/xl/comments26.xml" ContentType="application/vnd.openxmlformats-officedocument.spreadsheetml.comments+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21.xml" ContentType="application/vnd.openxmlformats-officedocument.drawing+xml"/>
  <Override PartName="/xl/comments15.xml" ContentType="application/vnd.openxmlformats-officedocument.spreadsheetml.comments+xml"/>
  <Override PartName="/xl/drawings/drawing5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drawings/drawing10.xml" ContentType="application/vnd.openxmlformats-officedocument.drawing+xml"/>
  <Override PartName="/xl/comments22.xml" ContentType="application/vnd.openxmlformats-officedocument.spreadsheetml.comments+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comments11.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comments6.xml" ContentType="application/vnd.openxmlformats-officedocument.spreadsheetml.comments+xml"/>
  <Override PartName="/xl/drawings/drawing37.xml" ContentType="application/vnd.openxmlformats-officedocument.drawing+xml"/>
  <Override PartName="/xl/drawings/drawing5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activeX/activeX3.xml" ContentType="application/vnd.ms-office.activeX+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comments27.xml" ContentType="application/vnd.openxmlformats-officedocument.spreadsheetml.comments+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comments2.xml" ContentType="application/vnd.openxmlformats-officedocument.spreadsheetml.comments+xml"/>
  <Override PartName="/xl/drawings/drawing22.xml" ContentType="application/vnd.openxmlformats-officedocument.drawing+xml"/>
  <Override PartName="/xl/drawings/drawing33.xml" ContentType="application/vnd.openxmlformats-officedocument.drawing+xml"/>
  <Override PartName="/xl/comments16.xml" ContentType="application/vnd.openxmlformats-officedocument.spreadsheetml.comments+xml"/>
  <Override PartName="/xl/drawings/drawing5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comments23.xml" ContentType="application/vnd.openxmlformats-officedocument.spreadsheetml.comments+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comments12.xml" ContentType="application/vnd.openxmlformats-officedocument.spreadsheetml.comments+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drawings/drawing38.xml" ContentType="application/vnd.openxmlformats-officedocument.drawing+xml"/>
  <Override PartName="/xl/drawings/drawing49.xml" ContentType="application/vnd.openxmlformats-officedocument.drawing+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comments7.xml" ContentType="application/vnd.openxmlformats-officedocument.spreadsheetml.comments+xml"/>
  <Override PartName="/xl/drawings/drawing27.xml" ContentType="application/vnd.openxmlformats-officedocument.drawing+xml"/>
  <Override PartName="/xl/drawings/drawing45.xml" ContentType="application/vnd.openxmlformats-officedocument.drawing+xml"/>
  <Override PartName="/xl/drawings/drawing56.xml" ContentType="application/vnd.openxmlformats-officedocument.drawing+xml"/>
  <Override PartName="/xl/worksheets/sheet109.xml" ContentType="application/vnd.openxmlformats-officedocument.spreadsheetml.worksheet+xml"/>
  <Override PartName="/xl/activeX/activeX4.xml" ContentType="application/vnd.ms-office.activeX+xml"/>
  <Override PartName="/xl/drawings/drawing16.xml" ContentType="application/vnd.openxmlformats-officedocument.drawing+xml"/>
  <Override PartName="/xl/drawings/drawing34.xml" ContentType="application/vnd.openxmlformats-officedocument.drawing+xml"/>
  <Override PartName="/xl/comments28.xml" ContentType="application/vnd.openxmlformats-officedocument.spreadsheetml.comments+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drawings/drawing23.xml" ContentType="application/vnd.openxmlformats-officedocument.drawing+xml"/>
  <Override PartName="/xl/comments17.xml" ContentType="application/vnd.openxmlformats-officedocument.spreadsheetml.comments+xml"/>
  <Override PartName="/xl/drawings/drawing41.xml" ContentType="application/vnd.openxmlformats-officedocument.drawing+xml"/>
  <Override PartName="/xl/drawings/drawing52.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drawings/drawing12.xml" ContentType="application/vnd.openxmlformats-officedocument.drawing+xml"/>
  <Override PartName="/xl/drawings/drawing30.xml" ContentType="application/vnd.openxmlformats-officedocument.drawing+xml"/>
  <Override PartName="/xl/comments24.xml" ContentType="application/vnd.openxmlformats-officedocument.spreadsheetml.comments+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comments13.xml" ContentType="application/vnd.openxmlformats-officedocument.spreadsheetml.comments+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comments20.xml" ContentType="application/vnd.openxmlformats-officedocument.spreadsheetml.comments+xml"/>
  <Override PartName="/xl/worksheets/sheet53.xml" ContentType="application/vnd.openxmlformats-officedocument.spreadsheetml.worksheet+xml"/>
  <Override PartName="/xl/worksheets/sheet42.xml" ContentType="application/vnd.openxmlformats-officedocument.spreadsheetml.worksheet+xml"/>
  <Override PartName="/xl/drawings/drawing6.xml" ContentType="application/vnd.openxmlformats-officedocument.drawing+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6.xml" ContentType="application/vnd.openxmlformats-officedocument.drawing+xml"/>
  <Override PartName="/xl/comments4.xml" ContentType="application/vnd.openxmlformats-officedocument.spreadsheetml.comments+xml"/>
  <Override PartName="/xl/drawings/drawing35.xml" ContentType="application/vnd.openxmlformats-officedocument.drawing+xml"/>
  <Override PartName="/xl/activeX/activeX1.xml" ContentType="application/vnd.ms-office.activeX+xml"/>
  <Override PartName="/xl/drawings/drawing13.xml" ContentType="application/vnd.openxmlformats-officedocument.drawing+xml"/>
  <Override PartName="/xl/drawings/drawing24.xml" ContentType="application/vnd.openxmlformats-officedocument.drawing+xml"/>
  <Override PartName="/xl/comments25.xml" ContentType="application/vnd.openxmlformats-officedocument.spreadsheetml.comments+xml"/>
  <Override PartName="/docProps/custom.xml" ContentType="application/vnd.openxmlformats-officedocument.custom-properties+xml"/>
  <Override PartName="/xl/worksheets/sheet69.xml" ContentType="application/vnd.openxmlformats-officedocument.spreadsheetml.worksheet+xml"/>
  <Override PartName="/xl/worksheets/sheet124.xml" ContentType="application/vnd.openxmlformats-officedocument.spreadsheetml.worksheet+xml"/>
  <Override PartName="/xl/comments14.xml" ContentType="application/vnd.openxmlformats-officedocument.spreadsheetml.comments+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codeName="ЭтаКнига" defaultThemeVersion="124226"/>
  <bookViews>
    <workbookView xWindow="9585" yWindow="4305" windowWidth="9570" windowHeight="4335" tabRatio="845" firstSheet="55" activeTab="60"/>
  </bookViews>
  <sheets>
    <sheet name="Инструкция" sheetId="603" r:id="rId1"/>
    <sheet name="Обновление" sheetId="847" r:id="rId2"/>
    <sheet name="Лог обновления" sheetId="848" state="veryHidden" r:id="rId3"/>
    <sheet name="Список организаций" sheetId="936" r:id="rId4"/>
    <sheet name="TECHSHEET" sheetId="968" state="veryHidden" r:id="rId5"/>
    <sheet name="TECH_VERTICAL" sheetId="967" state="veryHidden" r:id="rId6"/>
    <sheet name="TECH_HORISONTAL" sheetId="1037" state="veryHidden" r:id="rId7"/>
    <sheet name="REESTR_ORG" sheetId="277" state="veryHidden" r:id="rId8"/>
    <sheet name="REESTR_SOURCE" sheetId="1031" state="veryHidden" r:id="rId9"/>
    <sheet name="ТС.БПр" sheetId="938" state="veryHidden" r:id="rId10"/>
    <sheet name="ТС.БТр" sheetId="939" state="veryHidden" r:id="rId11"/>
    <sheet name="ТС.ДФ" sheetId="940" state="veryHidden" r:id="rId12"/>
    <sheet name="ТС.РО год" sheetId="941" state="veryHidden" r:id="rId13"/>
    <sheet name="ТС.РО 01.01 - 30.06" sheetId="942" state="veryHidden" r:id="rId14"/>
    <sheet name="ТС.РО 01.07 - 31.08" sheetId="943" state="veryHidden" r:id="rId15"/>
    <sheet name="ТС.РО 01.09 - 31.12" sheetId="944" state="veryHidden" r:id="rId16"/>
    <sheet name="ТС.РР год" sheetId="1088" state="veryHidden" r:id="rId17"/>
    <sheet name="ТС.РР 01.01 - 30.06" sheetId="945" state="veryHidden" r:id="rId18"/>
    <sheet name="ТС.РР 01.07 - 31.08" sheetId="946" state="veryHidden" r:id="rId19"/>
    <sheet name="ТС.РР 01.09 - 31.12" sheetId="947" state="veryHidden" r:id="rId20"/>
    <sheet name="ТС.Т 01.01 - 30.06" sheetId="948" state="veryHidden" r:id="rId21"/>
    <sheet name="ТС.Т 01.07 - 31.08" sheetId="949" state="veryHidden" r:id="rId22"/>
    <sheet name="ТС.Т 01.09 - 31.12" sheetId="950" state="veryHidden" r:id="rId23"/>
    <sheet name="ТС.ТМ1 01.01 - 30.06" sheetId="991" state="veryHidden" r:id="rId24"/>
    <sheet name="ТС.ТМ1 01.07 - 31.08" sheetId="992" state="veryHidden" r:id="rId25"/>
    <sheet name="ТС.ТМ1 01.09 - 31.12" sheetId="993" state="veryHidden" r:id="rId26"/>
    <sheet name="ТС.ТМ2 01.01 - 30.06" sheetId="994" state="veryHidden" r:id="rId27"/>
    <sheet name="ТС.ТМ2 01.07 - 31.08" sheetId="995" state="veryHidden" r:id="rId28"/>
    <sheet name="ТС.ТМ2 01.09 - 31.12" sheetId="996" state="veryHidden" r:id="rId29"/>
    <sheet name="ВС.БПр" sheetId="1001" state="veryHidden" r:id="rId30"/>
    <sheet name="ВС.БТр" sheetId="1002" state="veryHidden" r:id="rId31"/>
    <sheet name="ВС.ДФ" sheetId="1003" state="veryHidden" r:id="rId32"/>
    <sheet name="ВС.РО год" sheetId="1004" state="veryHidden" r:id="rId33"/>
    <sheet name="ВС.РО 01.01 - 30.06" sheetId="1005" state="veryHidden" r:id="rId34"/>
    <sheet name="ВС.РО 01.07 - 31.08" sheetId="1006" state="veryHidden" r:id="rId35"/>
    <sheet name="ВС.РО 01.09 - 31.12" sheetId="1007" state="veryHidden" r:id="rId36"/>
    <sheet name="ВС.РР год" sheetId="1092" state="veryHidden" r:id="rId37"/>
    <sheet name="ВС.РР 01.01 - 30.06" sheetId="1093" state="veryHidden" r:id="rId38"/>
    <sheet name="ВС.РР 01.07 - 31.08" sheetId="1094" state="veryHidden" r:id="rId39"/>
    <sheet name="ВС.РР 01.09 - 31.12" sheetId="1095" state="veryHidden" r:id="rId40"/>
    <sheet name="ВС.ТМ1 01.01 - 30.06" sheetId="1052" state="veryHidden" r:id="rId41"/>
    <sheet name="ВС.ТМ1 01.07 - 31.08" sheetId="1056" state="veryHidden" r:id="rId42"/>
    <sheet name="ВС.ТМ1 01.09 - 31.12" sheetId="1058" state="veryHidden" r:id="rId43"/>
    <sheet name="ВС.ТМ2 01.01 - 30.06" sheetId="1054" state="veryHidden" r:id="rId44"/>
    <sheet name="ВС.ТМ2 01.07 - 31.08" sheetId="1057" state="veryHidden" r:id="rId45"/>
    <sheet name="ВС.ТМ2 01.09 - 31.12" sheetId="1059" state="veryHidden" r:id="rId46"/>
    <sheet name="БПр" sheetId="1042" r:id="rId47"/>
    <sheet name="БТр" sheetId="1043" r:id="rId48"/>
    <sheet name="ВО.ДФ" sheetId="1013" state="veryHidden" r:id="rId49"/>
    <sheet name="РО год" sheetId="1044" r:id="rId50"/>
    <sheet name="РО 01.01 - 30.06" sheetId="1045" r:id="rId51"/>
    <sheet name="РО 01.07 - 31.08" sheetId="1046" r:id="rId52"/>
    <sheet name="РО 01.09 - 31.12" sheetId="1047" r:id="rId53"/>
    <sheet name="РР год" sheetId="1096" r:id="rId54"/>
    <sheet name="РР 01.01 - 30.06" sheetId="1097" r:id="rId55"/>
    <sheet name="РР 01.07 - 31.08" sheetId="1098" r:id="rId56"/>
    <sheet name="РР 01.09 - 31.12" sheetId="1099" r:id="rId57"/>
    <sheet name="ТМ1 01.01 - 30.06" sheetId="1060" r:id="rId58"/>
    <sheet name="ТМ1 01.07 - 31.08" sheetId="1061" r:id="rId59"/>
    <sheet name="ТМ1 01.09 - 31.12" sheetId="1062" r:id="rId60"/>
    <sheet name="ТМ2 01.01 - 30.06" sheetId="1063" r:id="rId61"/>
    <sheet name="ТМ2 01.07 - 31.08" sheetId="1064" r:id="rId62"/>
    <sheet name="ТМ2 01.09 - 31.12" sheetId="1065" r:id="rId63"/>
    <sheet name="Свод" sheetId="1034" r:id="rId64"/>
    <sheet name="Результаты загрузки" sheetId="1035" r:id="rId65"/>
    <sheet name="Комментарии" sheetId="997" r:id="rId66"/>
    <sheet name="Проверка" sheetId="157" r:id="rId67"/>
    <sheet name="REESTR_MO" sheetId="315" state="veryHidden" r:id="rId68"/>
    <sheet name="AUTHORISATION" sheetId="1067" state="veryHidden" r:id="rId69"/>
    <sheet name="PLAN1X_LIST_ORG" sheetId="953" state="veryHidden" r:id="rId70"/>
    <sheet name="PLAN1X_BPR" sheetId="955" state="veryHidden" r:id="rId71"/>
    <sheet name="PLAN1X_BPR_DETAILED" sheetId="960" state="veryHidden" r:id="rId72"/>
    <sheet name="PLAN1X_MXPP" sheetId="958" state="veryHidden" r:id="rId73"/>
    <sheet name="PLAN1X_MXPP_DETAILED" sheetId="962" state="veryHidden" r:id="rId74"/>
    <sheet name="PLAN1X_BTR" sheetId="956" state="veryHidden" r:id="rId75"/>
    <sheet name="PLAN1X_BTR_DETAILED" sheetId="961" state="veryHidden" r:id="rId76"/>
    <sheet name="PLAN1X_MXTR" sheetId="959" state="veryHidden" r:id="rId77"/>
    <sheet name="PLAN1X_MXTR_DETAILED" sheetId="963" state="veryHidden" r:id="rId78"/>
    <sheet name="PLAN1X_FUEL" sheetId="965" state="veryHidden" r:id="rId79"/>
    <sheet name="PLAN1X_FUEL_GAS" sheetId="1068" state="veryHidden" r:id="rId80"/>
    <sheet name="PLAN1X_FUEL_TR_1" sheetId="1069" state="veryHidden" r:id="rId81"/>
    <sheet name="PLAN1X_FUEL_TR_2" sheetId="1070" state="veryHidden" r:id="rId82"/>
    <sheet name="PLAN1X_FUEL_TR_3" sheetId="1071" state="veryHidden" r:id="rId83"/>
    <sheet name="PLAN1X_FUEL_EE" sheetId="1086" state="veryHidden" r:id="rId84"/>
    <sheet name="PLAN1X_CALC" sheetId="964" state="veryHidden" r:id="rId85"/>
    <sheet name="PLAN1X_TM1" sheetId="957" state="veryHidden" r:id="rId86"/>
    <sheet name="PLAN1X_TM2" sheetId="1066" state="veryHidden" r:id="rId87"/>
    <sheet name="modLoad" sheetId="1078" state="veryHidden" r:id="rId88"/>
    <sheet name="modLoadResults" sheetId="1080" state="veryHidden" r:id="rId89"/>
    <sheet name="modLoadFiles" sheetId="1081" state="veryHidden" r:id="rId90"/>
    <sheet name="modSvodButtons" sheetId="1082" state="veryHidden" r:id="rId91"/>
    <sheet name="modVLDCommonProv" sheetId="969" state="veryHidden" r:id="rId92"/>
    <sheet name="modVLDIntegrityProv" sheetId="1076" state="veryHidden" r:id="rId93"/>
    <sheet name="modVLDProv" sheetId="970" state="veryHidden" r:id="rId94"/>
    <sheet name="modDataRegion" sheetId="971" state="veryHidden" r:id="rId95"/>
    <sheet name="modCommonProcedures" sheetId="972" state="veryHidden" r:id="rId96"/>
    <sheet name="modBalPr" sheetId="973" state="veryHidden" r:id="rId97"/>
    <sheet name="modBalTr" sheetId="974" state="veryHidden" r:id="rId98"/>
    <sheet name="modCalc" sheetId="975" state="veryHidden" r:id="rId99"/>
    <sheet name="modCalcCombi" sheetId="976" state="veryHidden" r:id="rId100"/>
    <sheet name="modCalcYear" sheetId="977" state="veryHidden" r:id="rId101"/>
    <sheet name="modConR" sheetId="1089" state="veryHidden" r:id="rId102"/>
    <sheet name="modConRYear" sheetId="1090" state="veryHidden" r:id="rId103"/>
    <sheet name="modFuel" sheetId="978" state="veryHidden" r:id="rId104"/>
    <sheet name="modDF" sheetId="979" state="veryHidden" r:id="rId105"/>
    <sheet name="modListOrg" sheetId="980" state="veryHidden" r:id="rId106"/>
    <sheet name="modCommandButton" sheetId="981" state="veryHidden" r:id="rId107"/>
    <sheet name="modfrmRegion" sheetId="983" state="veryHidden" r:id="rId108"/>
    <sheet name="modVLDProvGeneralProc" sheetId="984" state="veryHidden" r:id="rId109"/>
    <sheet name="modfrmCheckInIsInProgress" sheetId="985" state="veryHidden" r:id="rId110"/>
    <sheet name="modfrmPLAN1XUpdateIsInProgress" sheetId="986" state="veryHidden" r:id="rId111"/>
    <sheet name="modfrmTemplateMode" sheetId="987" state="veryHidden" r:id="rId112"/>
    <sheet name="modVLDOrgUniqueness" sheetId="988" state="veryHidden" r:id="rId113"/>
    <sheet name="modCloneData" sheetId="998" state="veryHidden" r:id="rId114"/>
    <sheet name="modTM1" sheetId="999" state="veryHidden" r:id="rId115"/>
    <sheet name="modTM2" sheetId="1000" state="veryHidden" r:id="rId116"/>
    <sheet name="modfrmReestr" sheetId="1030" state="veryHidden" r:id="rId117"/>
    <sheet name="modfrmOrg" sheetId="337" state="veryHidden" r:id="rId118"/>
    <sheet name="modUpdTemplMain" sheetId="849" state="veryHidden" r:id="rId119"/>
    <sheet name="modfrmCheckUpdates" sheetId="850" state="veryHidden" r:id="rId120"/>
    <sheet name="modIHLCommandBar" sheetId="922" state="veryHidden" r:id="rId121"/>
    <sheet name="modfrmHEATINGAdditionalOrgData" sheetId="927" state="veryHidden" r:id="rId122"/>
    <sheet name="modfrmVSNAVOTVAdditionalOrgData" sheetId="928" state="veryHidden" r:id="rId123"/>
    <sheet name="modGeneralProcedures" sheetId="929" state="veryHidden" r:id="rId124"/>
    <sheet name="modOpen" sheetId="1038" state="veryHidden" r:id="rId125"/>
    <sheet name="modfrmReportMode" sheetId="1041" state="veryHidden" r:id="rId126"/>
    <sheet name="modVLDProvTM" sheetId="1075" state="veryHidden" r:id="rId127"/>
    <sheet name="modfrmDateChoose" sheetId="1087" state="veryHidden" r:id="rId128"/>
    <sheet name="Лист1" sheetId="1100" r:id="rId129"/>
  </sheets>
  <definedNames>
    <definedName name="_xlnm._FilterDatabase" localSheetId="66" hidden="1">Проверка!$E$11:$H$11</definedName>
    <definedName name="ACCURACY_RANGE">'Список организаций'!$H$23</definedName>
    <definedName name="ADD_HL_LIST_ORG_MARKER">'Список организаций'!$G$17</definedName>
    <definedName name="ADD_LIST_ORG_RANGE">TECH_HORISONTAL!$7:$7</definedName>
    <definedName name="ADDITIONAL_ORG_DATA_COLUMN_MARKER">'Список организаций'!$N$14</definedName>
    <definedName name="ALL_FILES">modSvodButtons!$B$1</definedName>
    <definedName name="anscount" hidden="1">1</definedName>
    <definedName name="AUTO_FIELD">Инструкция!$C$17</definedName>
    <definedName name="B_COMPONENT">Инструкция!$B$25</definedName>
    <definedName name="CALC_IDENTIFIER">TECHSHEET!$E$20</definedName>
    <definedName name="CAPACITY">TECHSHEET!$G$7:$G$8</definedName>
    <definedName name="CHANGE_HL_LIST_ORG_COLUMN_MARKER">'Список организаций'!$D$14</definedName>
    <definedName name="code">Инструкция!$B$2</definedName>
    <definedName name="CONTACTS">'Список организаций'!$AZ$7</definedName>
    <definedName name="DELETE_HL_LIST_ORG_COLUMN_MARKER">'Список организаций'!$E$14</definedName>
    <definedName name="DIFF">TECHSHEET!$G$2:$G$3</definedName>
    <definedName name="DISABLED_FIELD">Инструкция!$C$19</definedName>
    <definedName name="DOCUMENT_SOURCE">TECHSHEET!$C$29:$C$32</definedName>
    <definedName name="FOLDER_NAME">Свод!$C$8</definedName>
    <definedName name="G_COMPONENT">Инструкция!$B$24</definedName>
    <definedName name="god">'Список организаций'!$AA$9</definedName>
    <definedName name="HEADER_FIELD">Инструкция!$C$18</definedName>
    <definedName name="HEAT_BAL_PR_4_1_MO_MARKER_1">ТС.БПр!$Z$125</definedName>
    <definedName name="HEAT_BAL_PR_4_3_MO_MARKER_1">ТС.БПр!$AH$125</definedName>
    <definedName name="HEAT_BAL_PR_ADD_HL_MARKER_1">ТС.БПр!$G$130</definedName>
    <definedName name="HEAT_BAL_PR_ADD_RANGE_1">ТС.БПр!$1:$28</definedName>
    <definedName name="HEAT_BAL_PR_CALC_AREA_1">ТС.БПр!$F$129:$CJ$130</definedName>
    <definedName name="HEAT_BAL_PR_CALC_USER_AREA_1">ТС.БПр!$J$129:$BE$130</definedName>
    <definedName name="HEAT_BAL_PR_DELETE_HL_COLUMN_MARKER_1">ТС.БПр!$E$124</definedName>
    <definedName name="HEAT_BAL_PR_EMPTY_ADD_RANGE_1">ТС.БПр!$1:$15</definedName>
    <definedName name="HEAT_BAL_PR_EMPTY_RANGE_1">ТС.БПр!$J$1:$CJ$28</definedName>
    <definedName name="HEAT_BAL_PR_END_COLUMN_MARKER_1">ТС.БПр!$BE$120</definedName>
    <definedName name="HEAT_BAL_PR_IC_ADD_HL_MARKER_1">ТС.БПр!$X$120</definedName>
    <definedName name="HEAT_BAL_PR_IC_ADD_RANGE_1">ТС.БПр!$V$122:$V$130</definedName>
    <definedName name="HEAT_BAL_PR_IC_DELETE_HL_ROW_MARKER_1">ТС.БПр!$W$120</definedName>
    <definedName name="HEAT_BAL_PR_IC_NUM_ROW_MARKER_1">ТС.БПр!$W$122</definedName>
    <definedName name="HEAT_BAL_PR_ISSUE_FOR_TRANSPORT_1">ТС.БПр!$CJ$129:$CJ$130</definedName>
    <definedName name="HEAT_BAL_PR_NUM_COLUMN_MARKER_1">ТС.БПр!$B$124</definedName>
    <definedName name="HEAT_BAL_PR_RESELL_MATRIX_1_1">ТС.БПр!$W$129:$X$130</definedName>
    <definedName name="HEAT_BAL_PR_RESELL_MATRIX_1_MARKER_1">ТС.БПр!$T$120</definedName>
    <definedName name="HEAT_BAL_PR_RESELL_MATRIX_2_1">ТС.БПр!$AZ$129:$BA$130</definedName>
    <definedName name="HEAT_BAL_PR_RESELL_MATRIX_2_MARKER_1">ТС.БПр!$AW$120</definedName>
    <definedName name="HEAT_BAL_PR_UIOR_ADD_HL_MARKER_1">ТС.БПр!$BA$120</definedName>
    <definedName name="HEAT_BAL_PR_UIOR_ADD_RANGE_1">ТС.БПр!$AY$122:$AY$130</definedName>
    <definedName name="HEAT_BAL_PR_UIOR_DELETE_HL_ROW_MARKER_1">ТС.БПр!$AZ$120</definedName>
    <definedName name="HEAT_BAL_PR_UIOR_NUM_ROW_MARKER_1">ТС.БПр!$AZ$122</definedName>
    <definedName name="HEAT_BAL_TR_ADD_HL_MARKER_1">ТС.БТр!$G$130</definedName>
    <definedName name="HEAT_BAL_TR_ADD_RANGE_1">ТС.БТр!$1:$28</definedName>
    <definedName name="HEAT_BAL_TR_CALC_AREA_1">ТС.БТр!$F$129:$CI$130</definedName>
    <definedName name="HEAT_BAL_TR_CALC_USER_AREA_1">ТС.БТр!$J$129:$AB$130</definedName>
    <definedName name="HEAT_BAL_TR_DELETE_HL_COLUMN_MARKER_1">ТС.БТр!$E$124</definedName>
    <definedName name="HEAT_BAL_TR_EMPTY_ADD_RANGE_1">ТС.БТр!$1:$15</definedName>
    <definedName name="HEAT_BAL_TR_EMPTY_RANGE_1">ТС.БТр!$J$1:$CI$28</definedName>
    <definedName name="HEAT_BAL_TR_END_COLUMN_MARKER_1">ТС.БТр!$AB$119</definedName>
    <definedName name="HEAT_BAL_TR_ISSUE_FOR_TRANSPORT_1">ТС.БТр!$M$125:$N$125</definedName>
    <definedName name="HEAT_BAL_TR_NUM_COLUMN_MARKER_1">ТС.БТр!$B$124</definedName>
    <definedName name="HEAT_BAL_TR_TR_FROM_ADD_HL_MARKER_1">ТС.БТр!$N$119</definedName>
    <definedName name="HEAT_BAL_TR_TR_FROM_ADD_RANGE_1">ТС.БТр!$L$122:$L$130</definedName>
    <definedName name="HEAT_BAL_TR_TR_FROM_DELETE_HL_ROW_MARKER_1">ТС.БТр!$M$119</definedName>
    <definedName name="HEAT_BAL_TR_TR_FROM_NUM_ROW_MARKER_1">ТС.БТр!$M$122</definedName>
    <definedName name="HEAT_BAL_TR_TR_TO_ADD_HL_MARKER_1">ТС.БТр!$Y$119</definedName>
    <definedName name="HEAT_BAL_TR_TR_TO_ADD_RANGE_1">ТС.БТр!$W$122:$W$130</definedName>
    <definedName name="HEAT_BAL_TR_TR_TO_DELETE_HL_ROW_MARKER_1">ТС.БТр!$X$119</definedName>
    <definedName name="HEAT_BAL_TR_TR_TO_NUM_ROW_MARKER_1">ТС.БТр!$X$122</definedName>
    <definedName name="HEAT_BAL_TR_TRANSPORT_MATRIX_1_1">ТС.БТр!$M$129:$N$130</definedName>
    <definedName name="HEAT_BAL_TR_TRANSPORT_MATRIX_1_MARKER_1">ТС.БТр!$J$119</definedName>
    <definedName name="HEAT_BAL_TR_TRANSPORT_MATRIX_2_1">ТС.БТр!$X$129:$Y$130</definedName>
    <definedName name="HEAT_BAL_TR_TRANSPORT_MATRIX_2_MARKER_1">ТС.БТр!$U$119</definedName>
    <definedName name="HEAT_BUYING_ENERGY_P">TECH_VERTICAL!$AI$730:$AI$745</definedName>
    <definedName name="HEAT_BUYING_ENERGY_U">TECH_VERTICAL!$AL$730:$AL$745</definedName>
    <definedName name="HEAT_CALC_ADD_HL_MARKER_PERIOD1">'ТС.РО 01.01 - 30.06'!$AR$10</definedName>
    <definedName name="HEAT_CALC_ADD_HL_MARKER_PERIOD2">'ТС.РО 01.07 - 31.08'!$AR$10</definedName>
    <definedName name="HEAT_CALC_ADD_HL_MARKER_PERIOD3">'ТС.РО 01.09 - 31.12'!$AR$10</definedName>
    <definedName name="HEAT_CALC_ADD_RANGE">TECH_VERTICAL!$R$8:$T$1001</definedName>
    <definedName name="HEAT_CALC_COMBI_ADD_RANGE">TECH_VERTICAL!$R$3090:$T$4082</definedName>
    <definedName name="HEAT_CALC_COMBI_EMPTY_RANGE_PERIOD1">TECH_VERTICAL!$R$3097:$T$4082</definedName>
    <definedName name="HEAT_CALC_COMBI_EMPTY_RANGE_PERIOD2">TECH_VERTICAL!$R$3097:$T$4082</definedName>
    <definedName name="HEAT_CALC_COMBI_EMPTY_RANGE_PERIOD3">TECH_VERTICAL!$R$3097:$T$4082</definedName>
    <definedName name="HEAT_CALC_COMBI_RANGE_PERIOD1">TECH_VERTICAL!$U$3097:$W$4082</definedName>
    <definedName name="HEAT_CALC_COMBI_RANGE_PERIOD2">TECH_VERTICAL!$X$3097:$Z$4082</definedName>
    <definedName name="HEAT_CALC_COMBI_RANGE_PERIOD3">TECH_VERTICAL!$AA$3097:$AC$4082</definedName>
    <definedName name="HEAT_CALC_DELETE_HL_ROW_MARKER_PERIOD1">'ТС.РО 01.01 - 30.06'!$AQ$10</definedName>
    <definedName name="HEAT_CALC_DELETE_HL_ROW_MARKER_PERIOD2">'ТС.РО 01.07 - 31.08'!$AQ$10</definedName>
    <definedName name="HEAT_CALC_DELETE_HL_ROW_MARKER_PERIOD3">'ТС.РО 01.09 - 31.12'!$AQ$10</definedName>
    <definedName name="HEAT_CALC_FUEL_EMPTY_RANGE_PERIOD1">TECH_VERTICAL!$R$1010:$T$1709</definedName>
    <definedName name="HEAT_CALC_FUEL_EMPTY_RANGE_PERIOD2">TECH_VERTICAL!$R$1713:$T$2388</definedName>
    <definedName name="HEAT_CALC_FUEL_EMPTY_RANGE_PERIOD3">TECH_VERTICAL!$R$2392:$T$3067</definedName>
    <definedName name="HEAT_CALC_FUEL_RANGE_PERIOD1">TECH_VERTICAL!$X$1010:$Z$1709</definedName>
    <definedName name="HEAT_CALC_FUEL_RANGE_PERIOD2">TECH_VERTICAL!$X$1713:$Z$2388</definedName>
    <definedName name="HEAT_CALC_FUEL_RANGE_PERIOD3">TECH_VERTICAL!$X$2392:$Z$3067</definedName>
    <definedName name="HEAT_CALC_FUEL_RANGE_VDET_COMBI_PERIOD1">TECH_VERTICAL!$AD$1010:$AF$1709</definedName>
    <definedName name="HEAT_CALC_FUEL_RANGE_VDET_COMBI_PERIOD2">TECH_VERTICAL!$AD$1713:$AF$2388</definedName>
    <definedName name="HEAT_CALC_FUEL_RANGE_VDET_COMBI_PERIOD3">TECH_VERTICAL!$AD$2392:$AF$3067</definedName>
    <definedName name="HEAT_CALC_FUEL_RANGE_VDET_PER_PERIOD1">TECH_VERTICAL!$AA$1010:$AC$1709</definedName>
    <definedName name="HEAT_CALC_FUEL_RANGE_VDET_PER_PERIOD2">TECH_VERTICAL!$AA$1713:$AC$2388</definedName>
    <definedName name="HEAT_CALC_FUEL_RANGE_VDET_PER_PERIOD3">TECH_VERTICAL!$AA$2392:$AC$3067</definedName>
    <definedName name="HEAT_CALC_FUEL_RANGE_VDET_PER_PLUS_SBIT_PERIOD1">TECH_VERTICAL!$U$1010:$W$1709</definedName>
    <definedName name="HEAT_CALC_FUEL_RANGE_VDET_PER_PLUS_SBIT_PERIOD2">TECH_VERTICAL!$U$1713:$W$2388</definedName>
    <definedName name="HEAT_CALC_FUEL_RANGE_VDET_PER_PLUS_SBIT_PERIOD3">TECH_VERTICAL!$U$2392:$W$3067</definedName>
    <definedName name="HEAT_CALC_NUM_ROW_MARKER_PERIOD1">'ТС.РО 01.01 - 30.06'!$AQ$11</definedName>
    <definedName name="HEAT_CALC_NUM_ROW_MARKER_PERIOD2">'ТС.РО 01.07 - 31.08'!$AQ$11</definedName>
    <definedName name="HEAT_CALC_NUM_ROW_MARKER_PERIOD3">'ТС.РО 01.09 - 31.12'!$AQ$11</definedName>
    <definedName name="HEAT_CALC_RANGE">TECH_VERTICAL!$X$864:$Z$894</definedName>
    <definedName name="HEAT_CALC_RANGE_VDET_COMBI">TECH_VERTICAL!$AD$864:$AF$894</definedName>
    <definedName name="HEAT_CALC_RANGE_VDET_PER">TECH_VERTICAL!$AA$864:$AC$894</definedName>
    <definedName name="HEAT_CALC_RANGE_VDET_PER_PLUS_SBIT">TECH_VERTICAL!$U$864:$W$894</definedName>
    <definedName name="HEAT_CALC_YEAR_ADD_HL_MARKER">'ТС.РО год'!$AR$10</definedName>
    <definedName name="HEAT_CALC_YEAR_ADD_RANGE">TECH_VERTICAL!$R$5113:$T$6105</definedName>
    <definedName name="HEAT_CALC_YEAR_CALC_RANGE">'ТС.РО год'!$AQ$15:$AR$874</definedName>
    <definedName name="HEAT_CALC_YEAR_DELETE_HL_ROW_MARKER">'ТС.РО год'!$AQ$10</definedName>
    <definedName name="HEAT_CALC_YEAR_FUEL_EMPTY_RANGE">TECH_VERTICAL!$R$5132:$T$5831</definedName>
    <definedName name="HEAT_CALC_YEAR_FUEL_RANGE">TECH_VERTICAL!$X$5132:$Z$5831</definedName>
    <definedName name="HEAT_CALC_YEAR_FUEL_RANGE_VDET_COMBI">TECH_VERTICAL!$AD$5132:$AF$5831</definedName>
    <definedName name="HEAT_CALC_YEAR_FUEL_RANGE_VDET_PER">TECH_VERTICAL!$AA$5132:$AC$5831</definedName>
    <definedName name="HEAT_CALC_YEAR_FUEL_RANGE_VDET_PER_PLUS_SBIT">TECH_VERTICAL!$U$5132:$W$5831</definedName>
    <definedName name="HEAT_CALC_YEAR_NUM_ROW_MARKER">'ТС.РО год'!$AQ$11</definedName>
    <definedName name="HEAT_CALC_YEAR_RANGE">TECH_VERTICAL!$X$5969:$Z$6105</definedName>
    <definedName name="HEAT_CALC_YEAR_RANGE_VDET_COMBI">TECH_VERTICAL!$AD$5969:$AF$6105</definedName>
    <definedName name="HEAT_CALC_YEAR_RANGE_VDET_PER">TECH_VERTICAL!$AA$5969:$AC$6105</definedName>
    <definedName name="HEAT_CALC_YEAR_RANGE_VDET_PER_PLUS_SBIT">TECH_VERTICAL!$U$5969:$W$6105</definedName>
    <definedName name="HEAT_CALC_YEAR_RANGE_VDET_PER_RAB">TECH_VERTICAL!$AJ$5969:$AL$6105</definedName>
    <definedName name="HEAT_CALC_YEAR_TECH_RANGE">TECH_VERTICAL!$R$5120:$AL$5981</definedName>
    <definedName name="HEAT_ConR_ADD_HL_MARKER_PERIOD1">'ТС.РР 01.01 - 30.06'!$AR$10</definedName>
    <definedName name="HEAT_ConR_ADD_HL_MARKER_PERIOD2">'ТС.РР 01.07 - 31.08'!$AR$10</definedName>
    <definedName name="HEAT_ConR_ADD_HL_MARKER_PERIOD3">'ТС.РР 01.09 - 31.12'!$AR$10</definedName>
    <definedName name="HEAT_ConR_ADD_RANGE">TECH_VERTICAL!$R$8698:$T$9691</definedName>
    <definedName name="HEAT_ConR_DELETE_HL_ROW_MARKER_PERIOD1">'ТС.РР 01.01 - 30.06'!$AQ$10</definedName>
    <definedName name="HEAT_ConR_DELETE_HL_ROW_MARKER_PERIOD2">'ТС.РР 01.07 - 31.08'!$AQ$10</definedName>
    <definedName name="HEAT_ConR_DELETE_HL_ROW_MARKER_PERIOD3">'ТС.РР 01.09 - 31.12'!$AQ$10</definedName>
    <definedName name="HEAT_ConR_EMPTY_RANGE">TECH_VERTICAL!$R$9554:$T$9584</definedName>
    <definedName name="HEAT_ConR_FUEL_EMPTY_RANGE">TECH_VERTICAL!$R$8717:$T$9416</definedName>
    <definedName name="HEAT_ConR_FUEL_RANGE">TECH_VERTICAL!$X$8717:$Z$9416</definedName>
    <definedName name="HEAT_ConR_FUEL_RANGE_VDET_COMBI">TECH_VERTICAL!$AD$8717:$AF$9416</definedName>
    <definedName name="HEAT_ConR_FUEL_RANGE_VDET_PER">TECH_VERTICAL!$AA$8717:$AC$9416</definedName>
    <definedName name="HEAT_ConR_FUEL_RANGE_VDET_PER_PLUS_SBIT">TECH_VERTICAL!$U$8717:$W$9416</definedName>
    <definedName name="HEAT_ConR_NUM_ROW_MARKER_PERIOD1">'ТС.РР 01.01 - 30.06'!$AQ$11</definedName>
    <definedName name="HEAT_ConR_NUM_ROW_MARKER_PERIOD2">'ТС.РР 01.07 - 31.08'!$AQ$11</definedName>
    <definedName name="HEAT_ConR_NUM_ROW_MARKER_PERIOD3">'ТС.РР 01.09 - 31.12'!$AQ$11</definedName>
    <definedName name="HEAT_ConR_RANGE">TECH_VERTICAL!$X$9554:$Z$9584</definedName>
    <definedName name="HEAT_ConR_RANGE_VDET_COMBI">TECH_VERTICAL!$AD$9554:$AF$9584</definedName>
    <definedName name="HEAT_ConR_RANGE_VDET_PER">TECH_VERTICAL!$AA$9554:$AC$9584</definedName>
    <definedName name="HEAT_ConR_RANGE_VDET_PER_PLUS_SBIT">TECH_VERTICAL!$U$9554:$W$9584</definedName>
    <definedName name="HEAT_ConR_YEAR_ADD_HL_MARKER">'ТС.РР год'!$AR$10</definedName>
    <definedName name="HEAT_ConR_YEAR_ADD_RANGE">TECH_VERTICAL!$R$9715:$T$10707</definedName>
    <definedName name="HEAT_ConR_YEAR_CALC_RANGE">'ТС.РР год'!$AQ$15:$AR$874</definedName>
    <definedName name="HEAT_ConR_YEAR_DELETE_HL_ROW_MARKER">'ТС.РР год'!$AQ$10</definedName>
    <definedName name="HEAT_ConR_YEAR_FUEL_EMPTY_RANGE">TECH_VERTICAL!$R$9734:$T$10433</definedName>
    <definedName name="HEAT_ConR_YEAR_FUEL_RANGE">TECH_VERTICAL!$X$9734:$Z$10433</definedName>
    <definedName name="HEAT_ConR_YEAR_FUEL_RANGE_VDET_COMBI">TECH_VERTICAL!$AD$9734:$AF$10433</definedName>
    <definedName name="HEAT_ConR_YEAR_FUEL_RANGE_VDET_PER">TECH_VERTICAL!$AA$9734:$AC$10433</definedName>
    <definedName name="HEAT_ConR_YEAR_FUEL_RANGE_VDET_PER_PLUS_SBIT">TECH_VERTICAL!$U$9734:$W$10433</definedName>
    <definedName name="HEAT_ConR_YEAR_NUM_ROW_MARKER">'ТС.РР год'!$AQ$11</definedName>
    <definedName name="HEAT_ConR_YEAR_RANGE">TECH_VERTICAL!$X$10571:$Z$10707</definedName>
    <definedName name="HEAT_ConR_YEAR_RANGE_VDET_COMBI">TECH_VERTICAL!$AD$10571:$AF$10707</definedName>
    <definedName name="HEAT_ConR_YEAR_RANGE_VDET_PER">TECH_VERTICAL!$AA$10571:$AC$10707</definedName>
    <definedName name="HEAT_ConR_YEAR_RANGE_VDET_PER_PLUS_SBIT">TECH_VERTICAL!$U$10571:$W$10707</definedName>
    <definedName name="HEAT_ConR_YEAR_RANGE_VDET_PER_RAB">TECH_VERTICAL!$AJ$10571:$AL$10707</definedName>
    <definedName name="HEAT_ConR_YEAR_TECH_RANGE">TECH_VERTICAL!$R$9722:$AL$10583</definedName>
    <definedName name="HEAT_DF_ADD_HL_MARKER">ТС.ДФ!$AR$10</definedName>
    <definedName name="HEAT_DF_ADD_RANGE">TECH_VERTICAL!$R$7345:$T$8337</definedName>
    <definedName name="HEAT_DF_CALC_RANGE">ТС.ДФ!$AQ$15:$AR$874</definedName>
    <definedName name="HEAT_DF_DELETE_HL_ROW_MARKER">ТС.ДФ!$AQ$10</definedName>
    <definedName name="HEAT_DF_FUEL_EMPTY_RANGE">TECH_VERTICAL!$R$7364:$T$8063</definedName>
    <definedName name="HEAT_DF_FUEL_RANGE">TECH_VERTICAL!$X$7364:$Z$8063</definedName>
    <definedName name="HEAT_DF_FUEL_RANGE_VDET_COMBI">TECH_VERTICAL!$AD$7364:$AF$8063</definedName>
    <definedName name="HEAT_DF_FUEL_RANGE_VDET_PER">TECH_VERTICAL!$AA$7364:$AC$8063</definedName>
    <definedName name="HEAT_DF_FUEL_RANGE_VDET_PER_PLUS_SBIT">TECH_VERTICAL!$U$7364:$W$8063</definedName>
    <definedName name="HEAT_DF_NUM_ROW_MARKER">ТС.ДФ!$AQ$11</definedName>
    <definedName name="HEAT_DF_RANGE">TECH_VERTICAL!$X$8201:$Z$8337</definedName>
    <definedName name="HEAT_DF_RANGE_VDET_COMBI">TECH_VERTICAL!$AD$8201:$AF$8337</definedName>
    <definedName name="HEAT_DF_RANGE_VDET_PER">TECH_VERTICAL!$AA$8201:$AC$8337</definedName>
    <definedName name="HEAT_DF_RANGE_VDET_PER_PLUS_SBIT">TECH_VERTICAL!$U$8201:$W$8337</definedName>
    <definedName name="HEAT_DF_RANGE_VDET_PER_RAB">TECH_VERTICAL!$AJ$8201:$AL$8337</definedName>
    <definedName name="HEAT_FUEL_ADD_HL_MARKER_PERIOD1">'ТС.Т 01.01 - 30.06'!$AR$10</definedName>
    <definedName name="HEAT_FUEL_ADD_HL_MARKER_PERIOD2">'ТС.Т 01.07 - 31.08'!$AR$10</definedName>
    <definedName name="HEAT_FUEL_ADD_HL_MARKER_PERIOD3">'ТС.Т 01.09 - 31.12'!$AR$10</definedName>
    <definedName name="HEAT_FUEL_ADD_RANGE">TECH_VERTICAL!$R$4109:$T$5101</definedName>
    <definedName name="HEAT_FUEL_DELETE_HL_ROW_MARKER_PERIOD1">'ТС.Т 01.01 - 30.06'!$AQ$10</definedName>
    <definedName name="HEAT_FUEL_DELETE_HL_ROW_MARKER_PERIOD2">'ТС.Т 01.07 - 31.08'!$AQ$10</definedName>
    <definedName name="HEAT_FUEL_DELETE_HL_ROW_MARKER_PERIOD3">'ТС.Т 01.09 - 31.12'!$AQ$10</definedName>
    <definedName name="HEAT_FUEL_EMPTY_RANGE_PERIOD1">TECH_VERTICAL!$R$4116:$T$5101</definedName>
    <definedName name="HEAT_FUEL_EMPTY_RANGE_PERIOD2">TECH_VERTICAL!$R$4116:$T$5101</definedName>
    <definedName name="HEAT_FUEL_EMPTY_RANGE_PERIOD3">TECH_VERTICAL!$R$4116:$T$5101</definedName>
    <definedName name="HEAT_FUEL_NUM_ROW_MARKER_PERIOD1">'ТС.Т 01.01 - 30.06'!$AQ$11</definedName>
    <definedName name="HEAT_FUEL_NUM_ROW_MARKER_PERIOD2">'ТС.Т 01.07 - 31.08'!$AQ$11</definedName>
    <definedName name="HEAT_FUEL_NUM_ROW_MARKER_PERIOD3">'ТС.Т 01.09 - 31.12'!$AQ$11</definedName>
    <definedName name="HEAT_FUEL_P_RANGE_PERIOD1">TECH_VERTICAL!$U$4116:$W$5101</definedName>
    <definedName name="HEAT_FUEL_P_RANGE_PERIOD2">TECH_VERTICAL!$U$4116:$W$5101</definedName>
    <definedName name="HEAT_FUEL_P_RANGE_PERIOD3">TECH_VERTICAL!$U$4116:$W$5101</definedName>
    <definedName name="HEAT_FUEL_U_RANGE_PERIOD1">TECH_VERTICAL!$AA$4116:$AC$5101</definedName>
    <definedName name="HEAT_FUEL_U_RANGE_PERIOD2">TECH_VERTICAL!$AA$4116:$AC$5101</definedName>
    <definedName name="HEAT_FUEL_U_RANGE_PERIOD3">TECH_VERTICAL!$AA$4116:$AC$5101</definedName>
    <definedName name="HEAT_P_BAL_PR_RANGE_1">ТС.БПр!$J$57:$CJ$84</definedName>
    <definedName name="HEAT_P_BAL_TR_RANGE_1">ТС.БТр!$J$57:$CI$84</definedName>
    <definedName name="HEAT_P_TM1_DOCUMENTS_RANGE">TECH_HORISONTAL!$J$22:$X$28</definedName>
    <definedName name="HEAT_P_TM1_DOCUMENTS_RANGE_EDIT">TECH_HORISONTAL!$O$43:$X$49</definedName>
    <definedName name="HEAT_P_TM1_DOCUMENTS_RANGE_EMPTY">TECH_HORISONTAL!$O$50:$X$56</definedName>
    <definedName name="HEAT_P_TM1_DOCUMENTS_RANGE_NEW">TECH_HORISONTAL!$O$29:$X$35</definedName>
    <definedName name="HEAT_P_TM1_DOCUMENTS_RANGE_RESET">TECH_HORISONTAL!$O$36:$X$42</definedName>
    <definedName name="HEAT_P_TM2_DOCUMENTS_RANGE">TECH_HORISONTAL!$J$67:$X$81</definedName>
    <definedName name="HEAT_P_TM2_DOCUMENTS_RANGE_EDIT">TECH_HORISONTAL!$O$112:$X$126</definedName>
    <definedName name="HEAT_P_TM2_DOCUMENTS_RANGE_EMPTY">TECH_HORISONTAL!$O$127:$X$141</definedName>
    <definedName name="HEAT_P_TM2_DOCUMENTS_RANGE_NEW">TECH_HORISONTAL!$O$82:$X$96</definedName>
    <definedName name="HEAT_P_TM2_DOCUMENTS_RANGE_RESET">TECH_HORISONTAL!$O$97:$X$111</definedName>
    <definedName name="HEAT_TARIFF">TECHSHEET!$G$11:$G$12</definedName>
    <definedName name="HEAT_TM1_ADD_HL_MARKER_1">'ТС.ТМ1 01.01 - 30.06'!$G$22</definedName>
    <definedName name="HEAT_TM1_ADD_HL_MARKER_2">'ТС.ТМ1 01.07 - 31.08'!$G$22</definedName>
    <definedName name="HEAT_TM1_ADD_HL_MARKER_3">'ТС.ТМ1 01.09 - 31.12'!$G$22</definedName>
    <definedName name="HEAT_TM1_ADD_RANGE">TECH_HORISONTAL!$174:$180</definedName>
    <definedName name="HEAT_TM1_ALL_DETAILS_HL_MARKER_1">'ТС.ТМ1 01.01 - 30.06'!$I$8</definedName>
    <definedName name="HEAT_TM1_ALL_DETAILS_HL_MARKER_2">'ТС.ТМ1 01.07 - 31.08'!$I$8</definedName>
    <definedName name="HEAT_TM1_ALL_DETAILS_HL_MARKER_3">'ТС.ТМ1 01.09 - 31.12'!$I$8</definedName>
    <definedName name="HEAT_TM1_CALC_AREA_1">'ТС.ТМ1 01.01 - 30.06'!$F$18:$DQ$22</definedName>
    <definedName name="HEAT_TM1_CALC_AREA_2">'ТС.ТМ1 01.07 - 31.08'!$F$18:$DQ$22</definedName>
    <definedName name="HEAT_TM1_CALC_AREA_3">'ТС.ТМ1 01.09 - 31.12'!$F$18:$DQ$22</definedName>
    <definedName name="HEAT_TM1_DELETE_HL_COLUMN_MARKER_1">'ТС.ТМ1 01.01 - 30.06'!$E$17</definedName>
    <definedName name="HEAT_TM1_DELETE_HL_COLUMN_MARKER_2">'ТС.ТМ1 01.07 - 31.08'!$E$17</definedName>
    <definedName name="HEAT_TM1_DELETE_HL_COLUMN_MARKER_3">'ТС.ТМ1 01.09 - 31.12'!$E$17</definedName>
    <definedName name="HEAT_TM1_DOCUMENTS_INFO">'ТС.ТМ1 01.01 - 30.06'!$N$7</definedName>
    <definedName name="HEAT_TM1_EMPTY_RANGE">TECH_HORISONTAL!$I$174:$DV$180</definedName>
    <definedName name="HEAT_TM1_NUM_COLUMN_MARKER_1">'ТС.ТМ1 01.01 - 30.06'!$F$17</definedName>
    <definedName name="HEAT_TM1_NUM_COLUMN_MARKER_2">'ТС.ТМ1 01.07 - 31.08'!$F$17</definedName>
    <definedName name="HEAT_TM1_NUM_COLUMN_MARKER_3">'ТС.ТМ1 01.09 - 31.12'!$F$17</definedName>
    <definedName name="HEAT_TM1_RANGE">TECH_HORISONTAL!$I$166:$DV$172</definedName>
    <definedName name="HEAT_TM2_1_TARIFF_COMBI_RANGE">TECH_HORISONTAL!$I$241:$EV$255</definedName>
    <definedName name="HEAT_TM2_1_TARIFF_RANGE">TECH_HORISONTAL!$I$193:$EV$207</definedName>
    <definedName name="HEAT_TM2_2_TARIFF_COMBI_RANGE">TECH_HORISONTAL!$I$257:$EV$271</definedName>
    <definedName name="HEAT_TM2_2_TARIFF_RANGE">TECH_HORISONTAL!$I$209:$EV$223</definedName>
    <definedName name="HEAT_TM2_ADD_HL_MARKER_1">'ТС.ТМ2 01.01 - 30.06'!$G$22</definedName>
    <definedName name="HEAT_TM2_ADD_HL_MARKER_2">'ТС.ТМ2 01.07 - 31.08'!$G$22</definedName>
    <definedName name="HEAT_TM2_ADD_HL_MARKER_3">'ТС.ТМ2 01.09 - 31.12'!$G$22</definedName>
    <definedName name="HEAT_TM2_ADD_RANGE">TECH_HORISONTAL!$225:$239</definedName>
    <definedName name="HEAT_TM2_ALL_DETAILS_HL_MARKER_1">'ТС.ТМ2 01.01 - 30.06'!$I$8</definedName>
    <definedName name="HEAT_TM2_ALL_DETAILS_HL_MARKER_2">'ТС.ТМ2 01.07 - 31.08'!$I$8</definedName>
    <definedName name="HEAT_TM2_ALL_DETAILS_HL_MARKER_3">'ТС.ТМ2 01.09 - 31.12'!$I$8</definedName>
    <definedName name="HEAT_TM2_CALC_AREA_1">'ТС.ТМ2 01.01 - 30.06'!$F$18:$CR$22</definedName>
    <definedName name="HEAT_TM2_CALC_AREA_2">'ТС.ТМ2 01.07 - 31.08'!$F$18:$CR$22</definedName>
    <definedName name="HEAT_TM2_CALC_AREA_3">'ТС.ТМ2 01.09 - 31.12'!$F$18:$CR$22</definedName>
    <definedName name="HEAT_TM2_DELETE_HL_COLUMN_MARKER_1">'ТС.ТМ2 01.01 - 30.06'!$E$17</definedName>
    <definedName name="HEAT_TM2_DELETE_HL_COLUMN_MARKER_2">'ТС.ТМ2 01.07 - 31.08'!$E$17</definedName>
    <definedName name="HEAT_TM2_DELETE_HL_COLUMN_MARKER_3">'ТС.ТМ2 01.09 - 31.12'!$E$17</definedName>
    <definedName name="HEAT_TM2_DOCUMENTS_INFO">'ТС.ТМ2 01.01 - 30.06'!$N$7</definedName>
    <definedName name="HEAT_TM2_EMPTY_RANGE">TECH_HORISONTAL!$I$225:$EV$239</definedName>
    <definedName name="HEAT_TM2_NUM_COLUMN_MARKER_1">'ТС.ТМ2 01.01 - 30.06'!$F$17</definedName>
    <definedName name="HEAT_TM2_NUM_COLUMN_MARKER_2">'ТС.ТМ2 01.07 - 31.08'!$F$17</definedName>
    <definedName name="HEAT_TM2_NUM_COLUMN_MARKER_3">'ТС.ТМ2 01.09 - 31.12'!$F$17</definedName>
    <definedName name="HEAT_TRANSMISSION_TARIFF">TECHSHEET!$G$15:$G$16</definedName>
    <definedName name="HEAT_TRANSMISSION_TARIFF_UNIT">TECHSHEET!$G$38:$G$39</definedName>
    <definedName name="HEAT_U_BAL_PR_RANGE_1">ТС.БПр!$J$29:$CJ$56</definedName>
    <definedName name="HEAT_U_BAL_TR_RANGE_1">ТС.БТр!$J$29:$CI$56</definedName>
    <definedName name="HEAT_U_TM1_DOCUMENTS_RANGE">TECH_HORISONTAL!$J$57:$X$63</definedName>
    <definedName name="HEAT_U_TM2_DOCUMENTS_RANGE">TECH_HORISONTAL!$J$142:$X$156</definedName>
    <definedName name="HEAT_VD">TECHSHEET!$C$2:$C$8</definedName>
    <definedName name="HEATING_FEATURES">'Список организаций'!$AB$7</definedName>
    <definedName name="InstrBlock_1">Инструкция!$6:$13</definedName>
    <definedName name="InstrBlock_2">Инструкция!$15:$26</definedName>
    <definedName name="InstrBlock_3">Инструкция!$28:$36</definedName>
    <definedName name="InstrBlock_4">Инструкция!$38:$41</definedName>
    <definedName name="InstrBlock_5">Инструкция!$43:$47</definedName>
    <definedName name="InstrBlock_6">Инструкция!$49:$79</definedName>
    <definedName name="InstrBlock_7">Инструкция!$81:$82</definedName>
    <definedName name="InstrTitle_1">Инструкция!$C$5:$F$5</definedName>
    <definedName name="InstrTitle_2">Инструкция!$C$14:$F$14</definedName>
    <definedName name="InstrTitle_3">Инструкция!$C$27:$F$27</definedName>
    <definedName name="InstrTitle_4">Инструкция!$C$37:$F$37</definedName>
    <definedName name="InstrTitle_5">Инструкция!$C$42:$F$42</definedName>
    <definedName name="InstrTitle_6">Инструкция!$C$48:$F$48</definedName>
    <definedName name="InstrTitle_7">Инструкция!$C$80:$F$80</definedName>
    <definedName name="LastUpdateDate_MO">'Список организаций'!$F$19</definedName>
    <definedName name="LastUpdateDate_ORG">'Список организаций'!$F$20</definedName>
    <definedName name="LastUpdateDate_PLAN_PREV">'Список организаций'!$F$21:$K$21</definedName>
    <definedName name="LIST_MR_MO_OKTMO">REESTR_MO!$A$2:$C$241</definedName>
    <definedName name="LIST_ORG_CALC_AREA">'Список организаций'!$F$15:$AY$17</definedName>
    <definedName name="LIST_ORG_VO">REESTR_ORG!$U$2:$AE$312</definedName>
    <definedName name="LIST_ORG_VS">REESTR_ORG!#REF!</definedName>
    <definedName name="LIST_ORG_WARM">REESTR_ORG!#REF!</definedName>
    <definedName name="LOGIN">TECHSHEET!$J$1</definedName>
    <definedName name="mo">'Список организаций'!$J$7</definedName>
    <definedName name="MO_LIST_10">REESTR_MO!$B$75:$B$76</definedName>
    <definedName name="MO_LIST_11">REESTR_MO!$B$77</definedName>
    <definedName name="MO_LIST_12">REESTR_MO!$B$78</definedName>
    <definedName name="MO_LIST_13">REESTR_MO!$B$79:$B$80</definedName>
    <definedName name="MO_LIST_14">REESTR_MO!$B$81:$B$103</definedName>
    <definedName name="MO_LIST_15">REESTR_MO!$B$104:$B$118</definedName>
    <definedName name="MO_LIST_16">REESTR_MO!$B$119:$B$132</definedName>
    <definedName name="MO_LIST_17">REESTR_MO!$B$133:$B$141</definedName>
    <definedName name="MO_LIST_18">REESTR_MO!$B$142:$B$147</definedName>
    <definedName name="MO_LIST_19">REESTR_MO!$B$148:$B$159</definedName>
    <definedName name="MO_LIST_2">REESTR_MO!$B$2:$B$12</definedName>
    <definedName name="MO_LIST_20">REESTR_MO!$B$160:$B$165</definedName>
    <definedName name="MO_LIST_21">REESTR_MO!$B$166:$B$184</definedName>
    <definedName name="MO_LIST_22">REESTR_MO!$B$185:$B$213</definedName>
    <definedName name="MO_LIST_23">REESTR_MO!$B$214:$B$235</definedName>
    <definedName name="MO_LIST_24">REESTR_MO!$B$236:$B$241</definedName>
    <definedName name="MO_LIST_25">REESTR_MO!#REF!</definedName>
    <definedName name="MO_LIST_26">REESTR_MO!#REF!</definedName>
    <definedName name="MO_LIST_27">REESTR_MO!#REF!</definedName>
    <definedName name="MO_LIST_28">REESTR_MO!#REF!</definedName>
    <definedName name="MO_LIST_29">REESTR_MO!#REF!</definedName>
    <definedName name="MO_LIST_3">REESTR_MO!$B$13:$B$17</definedName>
    <definedName name="MO_LIST_30">REESTR_MO!#REF!</definedName>
    <definedName name="MO_LIST_31">REESTR_MO!#REF!</definedName>
    <definedName name="MO_LIST_32">REESTR_MO!#REF!</definedName>
    <definedName name="MO_LIST_33">REESTR_MO!#REF!</definedName>
    <definedName name="MO_LIST_34">REESTR_MO!#REF!</definedName>
    <definedName name="MO_LIST_35">REESTR_MO!#REF!</definedName>
    <definedName name="MO_LIST_36">REESTR_MO!#REF!</definedName>
    <definedName name="MO_LIST_37">REESTR_MO!#REF!</definedName>
    <definedName name="MO_LIST_38">REESTR_MO!#REF!</definedName>
    <definedName name="MO_LIST_39">REESTR_MO!#REF!</definedName>
    <definedName name="MO_LIST_4">REESTR_MO!$B$18:$B$26</definedName>
    <definedName name="MO_LIST_40">REESTR_MO!#REF!</definedName>
    <definedName name="MO_LIST_41">REESTR_MO!#REF!</definedName>
    <definedName name="MO_LIST_42">REESTR_MO!#REF!</definedName>
    <definedName name="MO_LIST_43">REESTR_MO!#REF!</definedName>
    <definedName name="MO_LIST_44">REESTR_MO!#REF!</definedName>
    <definedName name="MO_LIST_45">REESTR_MO!#REF!</definedName>
    <definedName name="MO_LIST_46">REESTR_MO!#REF!</definedName>
    <definedName name="MO_LIST_47">REESTR_MO!#REF!</definedName>
    <definedName name="MO_LIST_48">REESTR_MO!#REF!</definedName>
    <definedName name="MO_LIST_49">REESTR_MO!#REF!</definedName>
    <definedName name="MO_LIST_5">REESTR_MO!$B$27:$B$37</definedName>
    <definedName name="MO_LIST_50">REESTR_MO!#REF!</definedName>
    <definedName name="MO_LIST_51">REESTR_MO!#REF!</definedName>
    <definedName name="MO_LIST_52">REESTR_MO!#REF!</definedName>
    <definedName name="MO_LIST_53">REESTR_MO!#REF!</definedName>
    <definedName name="MO_LIST_6">REESTR_MO!$B$38:$B$52</definedName>
    <definedName name="MO_LIST_7">REESTR_MO!$B$53:$B$72</definedName>
    <definedName name="MO_LIST_8">REESTR_MO!$B$73</definedName>
    <definedName name="MO_LIST_9">REESTR_MO!$B$74</definedName>
    <definedName name="MONTH_LIST">TECHSHEET!$N$2:$N$13</definedName>
    <definedName name="mr">'Список организаций'!$I$7</definedName>
    <definedName name="MR_LIST">REESTR_MO!$D$2:$D$24</definedName>
    <definedName name="NUM_LIST_ORG_COLUMN_MARKER">'Список организаций'!$F$14</definedName>
    <definedName name="oktmo">'Список организаций'!$L$7</definedName>
    <definedName name="P19_T1_Protect" hidden="1">P5_T1_Protect,P6_T1_Protect,P7_T1_Protect,P8_T1_Protect,P9_T1_Protect,P10_T1_Protect,P11_T1_Protect,P12_T1_Protect,P13_T1_Protect,P14_T1_Protect</definedName>
    <definedName name="PALLETE">TECHSHEET!$C$35</definedName>
    <definedName name="PASSWORD">TECHSHEET!$J$2</definedName>
    <definedName name="PATTERN_FIELD">Инструкция!$D$22</definedName>
    <definedName name="PLAN1X_AUTHORISATION_RANGE">AUTHORISATION!$A$2</definedName>
    <definedName name="PLAN1X_BPR_DETAILED_RANGE">PLAN1X_BPR_DETAILED!#REF!</definedName>
    <definedName name="PLAN1X_BPR_RANGE">PLAN1X_BPR!$A$2:$O$2</definedName>
    <definedName name="PLAN1X_CALC_RANGE">PLAN1X_CALC!#REF!</definedName>
    <definedName name="PLAN1X_FUEL_EE_RANGE">PLAN1X_FUEL_EE!#REF!</definedName>
    <definedName name="PLAN1X_FUEL_GAS_RANGE">PLAN1X_FUEL_GAS!#REF!</definedName>
    <definedName name="PLAN1X_FUEL_RANGE">PLAN1X_FUEL!#REF!</definedName>
    <definedName name="PLAN1X_FUEL_TR_1_RANGE">PLAN1X_FUEL_TR_1!#REF!</definedName>
    <definedName name="PLAN1X_FUEL_TR_2_RANGE">PLAN1X_FUEL_TR_2!#REF!</definedName>
    <definedName name="PLAN1X_FUEL_TR_3_RANGE">PLAN1X_FUEL_TR_3!#REF!</definedName>
    <definedName name="PLAN1X_LIST_ORG_RANGE">PLAN1X_LIST_ORG!$A$2:$Z$2</definedName>
    <definedName name="PLAN1X_MXPP_DETAILED_RANGE">PLAN1X_MXPP_DETAILED!#REF!</definedName>
    <definedName name="PLAN1X_TM2_RANGE">PLAN1X_TM2!$A$2:$CL$4</definedName>
    <definedName name="R_COMPONENT">Инструкция!$B$23</definedName>
    <definedName name="REGION">TECHSHEET!$A$1:$A$84</definedName>
    <definedName name="region_name">'Список организаций'!$F$7</definedName>
    <definedName name="REGIONAL_CHECKOUT_AVAILABLE">TECHSHEET!$E$39</definedName>
    <definedName name="RESOURCE_IDENTIFIER">TECHSHEET!$E$27</definedName>
    <definedName name="SAPBEXrevision" hidden="1">1</definedName>
    <definedName name="SAPBEXsysID" hidden="1">"BW2"</definedName>
    <definedName name="SAPBEXwbID" hidden="1">"479GSPMTNK9HM4ZSIVE5K2SH6"</definedName>
    <definedName name="SINGLE_FILE_NAME">Свод!$C$10:$G$10</definedName>
    <definedName name="TARIFF_SETUP_METHOD">'Список организаций'!$Z$9</definedName>
    <definedName name="TARIFF_SETUP_METHOD_CODE">TECHSHEET!$E$44</definedName>
    <definedName name="TBO_VD">TECHSHEET!$C$23:$C$26</definedName>
    <definedName name="TEMPLATE_CLAIM">TECHSHEET!$E$34</definedName>
    <definedName name="TEMPLATE_PERIOD_COUNT">TECHSHEET!$C$45</definedName>
    <definedName name="TEMPLATE_SPHERE">TECHSHEET!$E$6</definedName>
    <definedName name="TEMPLATE_SPHERE_CODE">TECHSHEET!$C$38</definedName>
    <definedName name="TEMPLATE_SPHERE_OKK_SOURCE">TECHSHEET!$E$13</definedName>
    <definedName name="TR_FROM_ORG_COLUMN_MARKER">'Список организаций'!$AE$14</definedName>
    <definedName name="TR_TO_ORG_COLUMN_MARKER">'Список организаций'!$AF$14</definedName>
    <definedName name="TRANSMISSION_TARIFF">'Список организаций'!$Y$9</definedName>
    <definedName name="USER_FIELD">Инструкция!$C$16</definedName>
    <definedName name="UTBO_CALC_ADD_RANGE">TECH_VERTICAL!$R$7002:$T$7158</definedName>
    <definedName name="UTBO_CALC_EMPTY_RANGE">TECH_VERTICAL!$R$7008:$T$7158</definedName>
    <definedName name="UTBO_CALC_YEAR_TECH_RANGE">TECH_VERTICAL!$R$7179:$W$7243</definedName>
    <definedName name="version">Инструкция!$B$3</definedName>
    <definedName name="VOTV_BAL_PR_ADD_HL_MARKER_1">БПр!$G$158</definedName>
    <definedName name="VOTV_BAL_PR_ADD_RANGE_1">БПр!$1:$28</definedName>
    <definedName name="VOTV_BAL_PR_CALC_AREA_1">БПр!$F$129:$BA$158</definedName>
    <definedName name="VOTV_BAL_PR_DELETE_HL_COLUMN_MARKER_1">БПр!$E$124</definedName>
    <definedName name="VOTV_BAL_PR_EMPTY_RANGE_1">БПр!$H$1:$BK$28</definedName>
    <definedName name="VOTV_BAL_PR_END_COLUMN_MARKER_1">БПр!$U$120</definedName>
    <definedName name="VOTV_BAL_PR_NUM_COLUMN_MARKER_1">БПр!$B$124</definedName>
    <definedName name="VOTV_BAL_PR_RANGE_1">БПр!$H$29:$BK$56</definedName>
    <definedName name="VOTV_BAL_TR_ADD_HL_MARKER_1">БТр!$G$158</definedName>
    <definedName name="VOTV_BAL_TR_ADD_RANGE_1">БТр!$1:$28</definedName>
    <definedName name="VOTV_BAL_TR_CALC_AREA_1">БТр!$F$129:$Q$158</definedName>
    <definedName name="VOTV_BAL_TR_DELETE_HL_COLUMN_MARKER_1">БТр!$E$124</definedName>
    <definedName name="VOTV_BAL_TR_EMPTY_RANGE_1">БТр!$H$1:$BK$28</definedName>
    <definedName name="VOTV_BAL_TR_END_COLUMN_MARKER_1">БТр!$Q$119</definedName>
    <definedName name="VOTV_BAL_TR_NUM_COLUMN_MARKER_1">БТр!$B$124</definedName>
    <definedName name="VOTV_BAL_TR_RANGE_1">БТр!$J$29:$BK$56</definedName>
    <definedName name="VOTV_CALC_ADD_HL_MARKER_PERIOD1">'РО 01.01 - 30.06'!$AU$10</definedName>
    <definedName name="VOTV_CALC_ADD_HL_MARKER_PERIOD2">'РО 01.07 - 31.08'!$AU$10</definedName>
    <definedName name="VOTV_CALC_ADD_HL_MARKER_PERIOD3">'РО 01.09 - 31.12'!$AU$10</definedName>
    <definedName name="VOTV_CALC_ADD_RANGE">TECH_VERTICAL!$R$6602:$T$6758</definedName>
    <definedName name="VOTV_CALC_CALC_AREA_PERIOD1">'РО 01.01 - 30.06'!$AQ$15:$AU$159</definedName>
    <definedName name="VOTV_CALC_CALC_AREA_PERIOD2">'РО 01.07 - 31.08'!$AQ$15:$AU$159</definedName>
    <definedName name="VOTV_CALC_CALC_AREA_PERIOD3">'РО 01.09 - 31.12'!$AQ$15:$AU$159</definedName>
    <definedName name="VOTV_CALC_DELETE_HL_ROW_MARKER_PERIOD1">'РО 01.01 - 30.06'!$AQ$10</definedName>
    <definedName name="VOTV_CALC_DELETE_HL_ROW_MARKER_PERIOD2">'РО 01.07 - 31.08'!$AQ$10</definedName>
    <definedName name="VOTV_CALC_DELETE_HL_ROW_MARKER_PERIOD3">'РО 01.09 - 31.12'!$AQ$10</definedName>
    <definedName name="VOTV_CALC_EMPTY_RANGE">TECH_VERTICAL!$R$6608:$T$6758</definedName>
    <definedName name="VOTV_CALC_NUM_ROW_MARKER_PERIOD1">'РО 01.01 - 30.06'!$AQ$11</definedName>
    <definedName name="VOTV_CALC_NUM_ROW_MARKER_PERIOD2">'РО 01.07 - 31.08'!$AQ$11</definedName>
    <definedName name="VOTV_CALC_NUM_ROW_MARKER_PERIOD3">'РО 01.09 - 31.12'!$AQ$11</definedName>
    <definedName name="VOTV_CALC_PR_CALC_RANGE">TECH_VERTICAL!$X$6735:$Z$6758</definedName>
    <definedName name="VOTV_CALC_PR_ISSUE_RANGE">TECH_VERTICAL!$X$6609:$Z$6610</definedName>
    <definedName name="VOTV_CALC_PR_RANGE">TECH_VERTICAL!$X$6608:$Z$6758</definedName>
    <definedName name="VOTV_CALC_TR_CALC_RANGE">TECH_VERTICAL!$U$6735:$W$6758</definedName>
    <definedName name="VOTV_CALC_TR_ISSUE_RANGE">TECH_VERTICAL!$U$6609:$W$6610</definedName>
    <definedName name="VOTV_CALC_TR_RANGE">TECH_VERTICAL!$U$6608:$W$6758</definedName>
    <definedName name="VOTV_CALC_YEAR_ADD_HL_MARKER">'РО год'!$AU$10</definedName>
    <definedName name="VOTV_CALC_YEAR_ADD_RANGE">TECH_VERTICAL!$R$6772:$T$6928</definedName>
    <definedName name="VOTV_CALC_YEAR_CALC_RANGE">'РО год'!$AQ$15:$AU$145</definedName>
    <definedName name="VOTV_CALC_YEAR_DELETE_HL_ROW_MARKER">'РО год'!$AQ$10</definedName>
    <definedName name="VOTV_CALC_YEAR_EMPTY_RANGE">TECH_VERTICAL!$R$6778:$T$6928</definedName>
    <definedName name="VOTV_CALC_YEAR_NUM_ROW_MARKER">'РО год'!$AQ$11</definedName>
    <definedName name="VOTV_CALC_YEAR_PR_CALC_RANGE">TECH_VERTICAL!$X$6905:$Z$6928</definedName>
    <definedName name="VOTV_CALC_YEAR_PR_RANGE">TECH_VERTICAL!$X$6778:$Z$6928</definedName>
    <definedName name="VOTV_CALC_YEAR_TECH_RANGE">TECH_VERTICAL!$R$6779:$Z$6909</definedName>
    <definedName name="VOTV_CALC_YEAR_TR_CALC_RANGE">TECH_VERTICAL!$U$6905:$W$6928</definedName>
    <definedName name="VOTV_CALC_YEAR_TR_RANGE">TECH_VERTICAL!$U$6778:$W$6928</definedName>
    <definedName name="VOTV_ConR_ADD_HL_MARKER_PERIOD1">'РР 01.01 - 30.06'!$AU$10</definedName>
    <definedName name="VOTV_ConR_ADD_HL_MARKER_PERIOD2">'РР 01.07 - 31.08'!$AU$10</definedName>
    <definedName name="VOTV_ConR_ADD_HL_MARKER_PERIOD3">'РР 01.09 - 31.12'!$AU$10</definedName>
    <definedName name="VOTV_ConR_ADD_RANGE">TECH_VERTICAL!$R$11102:$T$11258</definedName>
    <definedName name="VOTV_ConR_CALC_AREA_PERIOD1">'РР 01.01 - 30.06'!$AQ$15:$AU$159</definedName>
    <definedName name="VOTV_ConR_CALC_AREA_PERIOD2">'РР 01.07 - 31.08'!$AQ$15:$AU$159</definedName>
    <definedName name="VOTV_ConR_CALC_AREA_PERIOD3">'РР 01.09 - 31.12'!$AQ$15:$AU$159</definedName>
    <definedName name="VOTV_ConR_DELETE_HL_ROW_MARKER_PERIOD1">'РР 01.01 - 30.06'!$AQ$10</definedName>
    <definedName name="VOTV_ConR_DELETE_HL_ROW_MARKER_PERIOD2">'РР 01.07 - 31.08'!$AQ$10</definedName>
    <definedName name="VOTV_ConR_DELETE_HL_ROW_MARKER_PERIOD3">'РР 01.09 - 31.12'!$AQ$10</definedName>
    <definedName name="VOTV_ConR_EMPTY_RANGE">TECH_VERTICAL!$R$11108:$T$11258</definedName>
    <definedName name="VOTV_ConR_NUM_ROW_MARKER_PERIOD1">'РР 01.01 - 30.06'!$AQ$11</definedName>
    <definedName name="VOTV_ConR_NUM_ROW_MARKER_PERIOD2">'РР 01.07 - 31.08'!$AQ$11</definedName>
    <definedName name="VOTV_ConR_NUM_ROW_MARKER_PERIOD3">'РР 01.09 - 31.12'!$AQ$11</definedName>
    <definedName name="VOTV_ConR_PR_CALC_RANGE">TECH_VERTICAL!$X$11235:$Z$11258</definedName>
    <definedName name="VOTV_ConR_PR_ISSUE_RANGE">TECH_VERTICAL!$X$11109:$Z$11110</definedName>
    <definedName name="VOTV_ConR_PR_RANGE">TECH_VERTICAL!$X$11108:$Z$11258</definedName>
    <definedName name="VOTV_ConR_TR_CALC_RANGE">TECH_VERTICAL!$U$11235:$W$11258</definedName>
    <definedName name="VOTV_ConR_TR_ISSUE_RANGE">TECH_VERTICAL!$U$11109:$W$11110</definedName>
    <definedName name="VOTV_ConR_TR_RANGE">TECH_VERTICAL!$U$11108:$W$11258</definedName>
    <definedName name="VOTV_ConR_YEAR_ADD_HL_MARKER">'РР год'!$AU$10</definedName>
    <definedName name="VOTV_ConR_YEAR_ADD_RANGE">TECH_VERTICAL!$R$11272:$T$11428</definedName>
    <definedName name="VOTV_ConR_YEAR_CALC_RANGE">'РР год'!$AQ$15:$AU$145</definedName>
    <definedName name="VOTV_ConR_YEAR_DELETE_HL_ROW_MARKER">'РР год'!$AQ$10</definedName>
    <definedName name="VOTV_ConR_YEAR_EMPTY_RANGE">TECH_VERTICAL!$R$11278:$T$11428</definedName>
    <definedName name="VOTV_ConR_YEAR_NUM_ROW_MARKER">'РР год'!$AQ$11</definedName>
    <definedName name="VOTV_ConR_YEAR_PR_CALC_RANGE">TECH_VERTICAL!$X$11405:$Z$11428</definedName>
    <definedName name="VOTV_ConR_YEAR_PR_RANGE">TECH_VERTICAL!$X$11278:$Z$11428</definedName>
    <definedName name="VOTV_ConR_YEAR_TECH_RANGE">TECH_VERTICAL!$R$11279:$Z$11408</definedName>
    <definedName name="VOTV_ConR_YEAR_TR_CALC_RANGE">TECH_VERTICAL!$U$11405:$W$11428</definedName>
    <definedName name="VOTV_ConR_YEAR_TR_RANGE">TECH_VERTICAL!$U$11278:$W$11428</definedName>
    <definedName name="VOTV_DF_ADD_HL_MARKER">ВО.ДФ!$AR$10</definedName>
    <definedName name="VOTV_DF_ADD_RANGE">TECH_VERTICAL!$R$8522:$T$8678</definedName>
    <definedName name="VOTV_DF_CALC_RANGE">ВО.ДФ!$AQ$15:$AR$136</definedName>
    <definedName name="VOTV_DF_DELETE_HL_ROW_MARKER">ВО.ДФ!$AQ$10</definedName>
    <definedName name="VOTV_DF_EMPTY_RANGE">TECH_VERTICAL!$R$8528:$T$8678</definedName>
    <definedName name="VOTV_DF_NUM_ROW_MARKER">ВО.ДФ!$AQ$11</definedName>
    <definedName name="VOTV_DF_PR_CALC_RANGE">TECH_VERTICAL!$X$8655:$Z$8678</definedName>
    <definedName name="VOTV_DF_PR_RANGE">TECH_VERTICAL!$X$8528:$Z$8678</definedName>
    <definedName name="VOTV_DF_TR_CALC_RANGE">TECH_VERTICAL!$U$8655:$W$8678</definedName>
    <definedName name="VOTV_DF_TR_RANGE">TECH_VERTICAL!$U$8528:$W$8678</definedName>
    <definedName name="VOTV_FEATURES">'Список организаций'!$AP$7</definedName>
    <definedName name="VOTV_P_TM1_DOCUMENTS_RANGE">TECH_HORISONTAL!$J$293:$X$295</definedName>
    <definedName name="VOTV_P_TM1_DOCUMENTS_RANGE_EDIT">TECH_HORISONTAL!$O$302:$X$304</definedName>
    <definedName name="VOTV_P_TM1_DOCUMENTS_RANGE_EMPTY">TECH_HORISONTAL!$O$305:$X$307</definedName>
    <definedName name="VOTV_P_TM1_DOCUMENTS_RANGE_NEW">TECH_HORISONTAL!$O$296:$X$298</definedName>
    <definedName name="VOTV_P_TM1_DOCUMENTS_RANGE_RESET">TECH_HORISONTAL!$O$299:$X$301</definedName>
    <definedName name="VOTV_P_TM2_DOCUMENTS_RANGE">TECH_HORISONTAL!$J$314:$X$316</definedName>
    <definedName name="VOTV_P_TM2_DOCUMENTS_RANGE_EDIT">TECH_HORISONTAL!$O$323:$X$325</definedName>
    <definedName name="VOTV_P_TM2_DOCUMENTS_RANGE_EMPTY">TECH_HORISONTAL!$O$326:$X$328</definedName>
    <definedName name="VOTV_P_TM2_DOCUMENTS_RANGE_NEW">TECH_HORISONTAL!$O$317:$X$319</definedName>
    <definedName name="VOTV_P_TM2_DOCUMENTS_RANGE_RESET">TECH_HORISONTAL!$O$320:$X$322</definedName>
    <definedName name="VOTV_TARIFF">TECHSHEET!$G$31:$G$32</definedName>
    <definedName name="VOTV_TM1_ADD_HL_MARKER_1">'ТМ1 01.01 - 30.06'!$G$25</definedName>
    <definedName name="VOTV_TM1_ADD_HL_MARKER_2">'ТМ1 01.07 - 31.08'!$G$25</definedName>
    <definedName name="VOTV_TM1_ADD_HL_MARKER_3">'ТМ1 01.09 - 31.12'!$G$25</definedName>
    <definedName name="VOTV_TM1_ADD_RANGE">TECH_HORISONTAL!$438:$440</definedName>
    <definedName name="VOTV_TM1_CALC_AREA_1">'ТМ1 01.01 - 30.06'!$F$18:$DS$25</definedName>
    <definedName name="VOTV_TM1_CALC_AREA_2">'ТМ1 01.07 - 31.08'!$F$18:$DS$25</definedName>
    <definedName name="VOTV_TM1_CALC_AREA_3">'ТМ1 01.09 - 31.12'!$F$18:$DS$25</definedName>
    <definedName name="VOTV_TM1_DELETE_HL_COLUMN_MARKER_1">'ТМ1 01.01 - 30.06'!$E$17</definedName>
    <definedName name="VOTV_TM1_DELETE_HL_COLUMN_MARKER_2">'ТМ1 01.07 - 31.08'!$E$17</definedName>
    <definedName name="VOTV_TM1_DELETE_HL_COLUMN_MARKER_3">'ТМ1 01.09 - 31.12'!$E$17</definedName>
    <definedName name="VOTV_TM1_DOCUMENTS_INFO">'ТМ1 01.01 - 30.06'!$N$7</definedName>
    <definedName name="VOTV_TM1_EMPTY_RANGE">TECH_HORISONTAL!$H$438:$DV$440</definedName>
    <definedName name="VOTV_TM1_NUM_COLUMN_MARKER_1">'ТМ1 01.01 - 30.06'!$F$17</definedName>
    <definedName name="VOTV_TM1_NUM_COLUMN_MARKER_2">'ТМ1 01.07 - 31.08'!$F$17</definedName>
    <definedName name="VOTV_TM1_NUM_COLUMN_MARKER_3">'ТМ1 01.09 - 31.12'!$F$17</definedName>
    <definedName name="VOTV_TM1_RANGE">TECH_HORISONTAL!$H$434:$DV$436</definedName>
    <definedName name="VOTV_TM2_1_TARIFF_RANGE">TECH_HORISONTAL!$H$497:$EV$499</definedName>
    <definedName name="VOTV_TM2_2_TARIFF_RANGE">TECH_HORISONTAL!$H$501:$EV$503</definedName>
    <definedName name="VOTV_TM2_ADD_HL_MARKER_1">'ТМ2 01.01 - 30.06'!$G$25</definedName>
    <definedName name="VOTV_TM2_ADD_HL_MARKER_2">'ТМ2 01.07 - 31.08'!$G$25</definedName>
    <definedName name="VOTV_TM2_ADD_HL_MARKER_3">'ТМ2 01.09 - 31.12'!$G$25</definedName>
    <definedName name="VOTV_TM2_ADD_RANGE">TECH_HORISONTAL!$505:$507</definedName>
    <definedName name="VOTV_TM2_CALC_AREA_1">'ТМ2 01.01 - 30.06'!$F$18:$CR$25</definedName>
    <definedName name="VOTV_TM2_CALC_AREA_2">'ТМ2 01.07 - 31.08'!$F$18:$CR$25</definedName>
    <definedName name="VOTV_TM2_CALC_AREA_3">'ТМ2 01.09 - 31.12'!$F$18:$CR$25</definedName>
    <definedName name="VOTV_TM2_DELETE_HL_COLUMN_MARKER_1">'ТМ2 01.01 - 30.06'!$E$17</definedName>
    <definedName name="VOTV_TM2_DELETE_HL_COLUMN_MARKER_2">'ТМ2 01.07 - 31.08'!$E$17</definedName>
    <definedName name="VOTV_TM2_DELETE_HL_COLUMN_MARKER_3">'ТМ2 01.09 - 31.12'!$E$17</definedName>
    <definedName name="VOTV_TM2_DOCUMENTS_INFO">'ТМ2 01.01 - 30.06'!$N$7</definedName>
    <definedName name="VOTV_TM2_EMPTY_RANGE">TECH_HORISONTAL!$H$505:$ES$507</definedName>
    <definedName name="VOTV_TM2_NUM_COLUMN_MARKER_1">'ТМ2 01.01 - 30.06'!$F$17</definedName>
    <definedName name="VOTV_TM2_NUM_COLUMN_MARKER_2">'ТМ2 01.07 - 31.08'!$F$17</definedName>
    <definedName name="VOTV_TM2_NUM_COLUMN_MARKER_3">'ТМ2 01.09 - 31.12'!$F$17</definedName>
    <definedName name="VOTV_TRANSMISSION_TARIFF">TECHSHEET!$G$35</definedName>
    <definedName name="VOTV_TRANSMISSION_TARIFF_UNIT">TECHSHEET!$G$45</definedName>
    <definedName name="VOTV_U_TM1_DOCUMENTS_RANGE">TECH_HORISONTAL!$J$308:$X$310</definedName>
    <definedName name="VOTV_U_TM2_DOCUMENTS_RANGE">TECH_HORISONTAL!$J$329:$X$331</definedName>
    <definedName name="VOTV_VD">TECHSHEET!$C$18:$C$20</definedName>
    <definedName name="VSNA_BAL_PR_ADD_HL_MARKER_1">ВС.БПр!$G$130</definedName>
    <definedName name="VSNA_BAL_PR_ADD_RANGE_1">ВС.БПр!$1:$28</definedName>
    <definedName name="VSNA_BAL_PR_CALC_AREA_1">ВС.БПр!$F$129:$BA$130</definedName>
    <definedName name="VSNA_BAL_PR_DELETE_HL_COLUMN_MARKER_1">ВС.БПр!$E$124</definedName>
    <definedName name="VSNA_BAL_PR_EMPTY_RANGE_1">ВС.БПр!$J$1:$BF$28</definedName>
    <definedName name="VSNA_BAL_PR_END_COLUMN_MARKER_1">ВС.БПр!$AE$120</definedName>
    <definedName name="VSNA_BAL_PR_IC_ADD_HL_MARKER_1">ВС.БПр!$Y$120</definedName>
    <definedName name="VSNA_BAL_PR_IC_ADD_RANGE_1">ВС.БПр!$W$122:$W$130</definedName>
    <definedName name="VSNA_BAL_PR_IC_DELETE_HL_ROW_MARKER_1">ВС.БПр!$X$120</definedName>
    <definedName name="VSNA_BAL_PR_IC_NUM_ROW_MARKER_1">ВС.БПр!$X$122</definedName>
    <definedName name="VSNA_BAL_PR_NUM_COLUMN_MARKER_1">ВС.БПр!$B$124</definedName>
    <definedName name="VSNA_BAL_PR_P_RANGE_1">ВС.БПр!$H$29:$BK$56</definedName>
    <definedName name="VSNA_BAL_PR_P_T_RANGE_1">ВС.БПр!$H$85:$BK$112</definedName>
    <definedName name="VSNA_BAL_PR_RESELL_MATRIX_1_1">ВС.БПр!$X$129:$Y$130</definedName>
    <definedName name="VSNA_BAL_PR_RESELL_MATRIX_1_MARKER_1">ВС.БПр!$U$120</definedName>
    <definedName name="VSNA_BAL_PR_T_RANGE_1">ВС.БПр!$H$57:$BK$84</definedName>
    <definedName name="VSNA_BAL_TR_ADD_HL_MARKER_1">ВС.БТр!$G$130</definedName>
    <definedName name="VSNA_BAL_TR_ADD_RANGE_1">ВС.БТр!$1:$28</definedName>
    <definedName name="VSNA_BAL_TR_CALC_AREA_1">ВС.БТр!$F$129:$Q$130</definedName>
    <definedName name="VSNA_BAL_TR_DELETE_HL_COLUMN_MARKER_1">ВС.БТр!$E$124</definedName>
    <definedName name="VSNA_BAL_TR_EMPTY_RANGE_1">ВС.БТр!$H$1:$BK$28</definedName>
    <definedName name="VSNA_BAL_TR_END_COLUMN_MARKER_1">ВС.БТр!$Q$120</definedName>
    <definedName name="VSNA_BAL_TR_NUM_COLUMN_MARKER_1">ВС.БТр!$B$124</definedName>
    <definedName name="VSNA_BAL_TR_P_RANGE_1">ВС.БТр!$H$29:$BK$56</definedName>
    <definedName name="VSNA_BAL_TR_P_T_RANGE_1">ВС.БТр!$H$85:$BK$112</definedName>
    <definedName name="VSNA_BAL_TR_T_RANGE_1">ВС.БТр!$H$57:$BK$84</definedName>
    <definedName name="VSNA_BPR_3_P_TOTAL_MO_1">ВС.БПр!$L$125</definedName>
    <definedName name="VSNA_BPR_3_T_TOTAL_MO_1">ВС.БПр!$L$126</definedName>
    <definedName name="VSNA_BPR_5_2_2_P_TOTAL_MO_1">ВС.БПр!$U$125</definedName>
    <definedName name="VSNA_BPR_5_2_2_T_TOTAL_MO_1">ВС.БПр!$U$126</definedName>
    <definedName name="VSNA_CALC_ADD_HL_MARKER_PERIOD1">'ВС.РО 01.01 - 30.06'!$AR$10</definedName>
    <definedName name="VSNA_CALC_ADD_HL_MARKER_PERIOD2">'ВС.РО 01.07 - 31.08'!$AR$10</definedName>
    <definedName name="VSNA_CALC_ADD_HL_MARKER_PERIOD3">'ВС.РО 01.09 - 31.12'!$AR$10</definedName>
    <definedName name="VSNA_CALC_ADD_RANGE">TECH_VERTICAL!$R$6202:$T$6358</definedName>
    <definedName name="VSNA_CALC_CALC_AREA_PERIOD1">'ВС.РО 01.01 - 30.06'!$AQ$15:$AR$159</definedName>
    <definedName name="VSNA_CALC_CALC_AREA_PERIOD2">'ВС.РО 01.07 - 31.08'!$AQ$15:$AR$149</definedName>
    <definedName name="VSNA_CALC_CALC_AREA_PERIOD3">'ВС.РО 01.09 - 31.12'!$AQ$15:$AR$149</definedName>
    <definedName name="VSNA_CALC_DELETE_HL_ROW_MARKER_PERIOD1">'ВС.РО 01.01 - 30.06'!$AQ$10</definedName>
    <definedName name="VSNA_CALC_DELETE_HL_ROW_MARKER_PERIOD2">'ВС.РО 01.07 - 31.08'!$AQ$10</definedName>
    <definedName name="VSNA_CALC_DELETE_HL_ROW_MARKER_PERIOD3">'ВС.РО 01.09 - 31.12'!$AQ$10</definedName>
    <definedName name="VSNA_CALC_EMPTY_RANGE">TECH_VERTICAL!$R$6208:$T$6358</definedName>
    <definedName name="VSNA_CALC_NUM_ROW_MARKER_PERIOD1">'ВС.РО 01.01 - 30.06'!$AQ$11</definedName>
    <definedName name="VSNA_CALC_NUM_ROW_MARKER_PERIOD2">'ВС.РО 01.07 - 31.08'!$AQ$11</definedName>
    <definedName name="VSNA_CALC_NUM_ROW_MARKER_PERIOD3">'ВС.РО 01.09 - 31.12'!$AQ$11</definedName>
    <definedName name="VSNA_CALC_P_CALC_RANGE">TECH_VERTICAL!$X$6335:$Z$6358</definedName>
    <definedName name="VSNA_CALC_P_ISSUE_RANGE">TECH_VERTICAL!$X$6209:$Z$6210</definedName>
    <definedName name="VSNA_CALC_P_RANGE">TECH_VERTICAL!$X$6208:$Z$6358</definedName>
    <definedName name="VSNA_CALC_P_T_CALC_RANGE">TECH_VERTICAL!$AA$6335:$AC$6358</definedName>
    <definedName name="VSNA_CALC_P_T_ISSUE_RANGE">TECH_VERTICAL!$AA$6209:$AC$6210</definedName>
    <definedName name="VSNA_CALC_P_T_RANGE">TECH_VERTICAL!$AA$6208:$AC$6358</definedName>
    <definedName name="VSNA_CALC_P_T_TR_CALC_RANGE">TECH_VERTICAL!$AJ$6335:$AL$6358</definedName>
    <definedName name="VSNA_CALC_P_T_TR_ISSUE_RANGE">TECH_VERTICAL!$AJ$6209:$AL$6210</definedName>
    <definedName name="VSNA_CALC_P_TR_CALC_RANGE">TECH_VERTICAL!$AG$6335:$AI$6358</definedName>
    <definedName name="VSNA_CALC_P_TR_ISSUE_RANGE">TECH_VERTICAL!$AG$6209:$AI$6210</definedName>
    <definedName name="VSNA_CALC_T_CALC_RANGE">TECH_VERTICAL!$U$6335:$W$6358</definedName>
    <definedName name="VSNA_CALC_T_ISSUE_RANGE">TECH_VERTICAL!$U$6209:$W$6210</definedName>
    <definedName name="VSNA_CALC_T_RANGE">TECH_VERTICAL!$U$6208:$W$6358</definedName>
    <definedName name="VSNA_CALC_T_TR_CALC_RANGE">TECH_VERTICAL!$AD$6335:$AF$6358</definedName>
    <definedName name="VSNA_CALC_T_TR_ISSUE_RANGE">TECH_VERTICAL!$AD$6209:$AF$6210</definedName>
    <definedName name="VSNA_CALC_YEAR_ADD_HL_MARKER">'ВС.РО год'!$AR$10</definedName>
    <definedName name="VSNA_CALC_YEAR_ADD_RANGE">TECH_VERTICAL!$R$6372:$T$6528</definedName>
    <definedName name="VSNA_CALC_YEAR_CALC_RANGE">'ВС.РО год'!$AQ$15:$AR$159</definedName>
    <definedName name="VSNA_CALC_YEAR_DELETE_HL_ROW_MARKER">'ВС.РО год'!$AQ$10</definedName>
    <definedName name="VSNA_CALC_YEAR_EMPTY_RANGE">TECH_VERTICAL!$R$6378:$T$6528</definedName>
    <definedName name="VSNA_CALC_YEAR_NUM_ROW_MARKER">'ВС.РО год'!$AQ$11</definedName>
    <definedName name="VSNA_CALC_YEAR_P_CALC_RANGE">TECH_VERTICAL!$X$6505:$Z$6528</definedName>
    <definedName name="VSNA_CALC_YEAR_P_RANGE">TECH_VERTICAL!$X$6378:$Z$6528</definedName>
    <definedName name="VSNA_CALC_YEAR_P_T_CALC_RANGE">TECH_VERTICAL!$AA$6505:$AC$6528</definedName>
    <definedName name="VSNA_CALC_YEAR_P_T_RANGE">TECH_VERTICAL!$AA$6378:$AC$6528</definedName>
    <definedName name="VSNA_CALC_YEAR_P_T_TR_CALC_RANGE">TECH_VERTICAL!$AJ$6505:$AL$6528</definedName>
    <definedName name="VSNA_CALC_YEAR_P_TR_CALC_RANGE">TECH_VERTICAL!$AG$6505:$AI$6528</definedName>
    <definedName name="VSNA_CALC_YEAR_T_CALC_RANGE">TECH_VERTICAL!$U$6505:$W$6528</definedName>
    <definedName name="VSNA_CALC_YEAR_T_RANGE">TECH_VERTICAL!$U$6378:$W$6528</definedName>
    <definedName name="VSNA_CALC_YEAR_T_TR_CALC_RANGE">TECH_VERTICAL!$AD$6505:$AF$6528</definedName>
    <definedName name="VSNA_CALC_YEAR_TECH_RANGE">TECH_VERTICAL!$R$6379:$AL$6509</definedName>
    <definedName name="VSNA_ConR_ADD_HL_MARKER_PERIOD1">'ВС.РР 01.01 - 30.06'!$AR$10</definedName>
    <definedName name="VSNA_ConR_ADD_HL_MARKER_PERIOD2">'ВС.РР 01.07 - 31.08'!$AR$10</definedName>
    <definedName name="VSNA_ConR_ADD_HL_MARKER_PERIOD3">'ВС.РР 01.09 - 31.12'!$AR$10</definedName>
    <definedName name="VSNA_ConR_ADD_RANGE">TECH_VERTICAL!$R$10742:$T$10898</definedName>
    <definedName name="VSNA_ConR_CALC_AREA_PERIOD1">'ВС.РР 01.01 - 30.06'!$AQ$15:$AR$159</definedName>
    <definedName name="VSNA_ConR_CALC_AREA_PERIOD2">'ВС.РР 01.07 - 31.08'!$AQ$15:$AR$159</definedName>
    <definedName name="VSNA_ConR_CALC_AREA_PERIOD3">'ВС.РР 01.09 - 31.12'!$AQ$15:$AR$159</definedName>
    <definedName name="VSNA_ConR_DELETE_HL_ROW_MARKER_PERIOD1">'ВС.РР 01.01 - 30.06'!$AQ$10</definedName>
    <definedName name="VSNA_ConR_DELETE_HL_ROW_MARKER_PERIOD2">'ВС.РР 01.07 - 31.08'!$AQ$10</definedName>
    <definedName name="VSNA_ConR_DELETE_HL_ROW_MARKER_PERIOD3">'ВС.РР 01.09 - 31.12'!$AQ$10</definedName>
    <definedName name="VSNA_ConR_EMPTY_RANGE">TECH_VERTICAL!$R$10748:$T$10898</definedName>
    <definedName name="VSNA_ConR_NUM_ROW_MARKER_PERIOD1">'ВС.РР 01.01 - 30.06'!$AQ$11</definedName>
    <definedName name="VSNA_ConR_NUM_ROW_MARKER_PERIOD2">'ВС.РР 01.07 - 31.08'!$AQ$11</definedName>
    <definedName name="VSNA_ConR_NUM_ROW_MARKER_PERIOD3">'ВС.РР 01.09 - 31.12'!$AQ$11</definedName>
    <definedName name="VSNA_ConR_P_CALC_RANGE">TECH_VERTICAL!$X$10875:$Z$10898</definedName>
    <definedName name="VSNA_ConR_P_ISSUE_RANGE">TECH_VERTICAL!$X$10749:$Z$10750</definedName>
    <definedName name="VSNA_ConR_P_RANGE">TECH_VERTICAL!$X$10748:$Z$10898</definedName>
    <definedName name="VSNA_ConR_P_T_CALC_RANGE">TECH_VERTICAL!$AA$10875:$AC$10898</definedName>
    <definedName name="VSNA_ConR_P_T_ISSUE_RANGE">TECH_VERTICAL!$AA$10749:$AC$10750</definedName>
    <definedName name="VSNA_ConR_P_T_RANGE">TECH_VERTICAL!$AA$10748:$AC$10898</definedName>
    <definedName name="VSNA_ConR_P_T_TR_CALC_RANGE">TECH_VERTICAL!$AJ$10875:$AL$10898</definedName>
    <definedName name="VSNA_ConR_P_T_TR_ISSUE_RANGE">TECH_VERTICAL!$AJ$10749:$AL$10750</definedName>
    <definedName name="VSNA_ConR_P_TR_CALC_RANGE">TECH_VERTICAL!$AG$10875:$AI$10898</definedName>
    <definedName name="VSNA_ConR_P_TR_ISSUE_RANGE">TECH_VERTICAL!$AG$10749:$AI$10750</definedName>
    <definedName name="VSNA_ConR_T_CALC_RANGE">TECH_VERTICAL!$U$10875:$W$10898</definedName>
    <definedName name="VSNA_ConR_T_ISSUE_RANGE">TECH_VERTICAL!$U$10749:$W$10750</definedName>
    <definedName name="VSNA_ConR_T_RANGE">TECH_VERTICAL!$U$10748:$W$10898</definedName>
    <definedName name="VSNA_ConR_T_TR_CALC_RANGE">TECH_VERTICAL!$AD$10875:$AF$10898</definedName>
    <definedName name="VSNA_ConR_T_TR_ISSUE_RANGE">TECH_VERTICAL!$AD$10749:$AF$10750</definedName>
    <definedName name="VSNA_ConR_YEAR_ADD_HL_MARKER">'ВС.РР год'!$AR$10</definedName>
    <definedName name="VSNA_ConR_YEAR_ADD_RANGE">TECH_VERTICAL!$R$10912:$T$11068</definedName>
    <definedName name="VSNA_ConR_YEAR_CALC_RANGE">'ВС.РР год'!$AQ$15:$AR$159</definedName>
    <definedName name="VSNA_ConR_YEAR_DELETE_HL_ROW_MARKER">'ВС.РР год'!$AQ$10</definedName>
    <definedName name="VSNA_ConR_YEAR_EMPTY_RANGE">TECH_VERTICAL!$R$10918:$T$11068</definedName>
    <definedName name="VSNA_ConR_YEAR_NUM_ROW_MARKER">'ВС.РР год'!$AQ$11</definedName>
    <definedName name="VSNA_ConR_YEAR_P_CALC_RANGE">TECH_VERTICAL!$X$11045:$Z$11068</definedName>
    <definedName name="VSNA_ConR_YEAR_P_RANGE">TECH_VERTICAL!$X$10918:$Z$11068</definedName>
    <definedName name="VSNA_ConR_YEAR_P_T_CALC_RANGE">TECH_VERTICAL!$AA$11045:$AC$11068</definedName>
    <definedName name="VSNA_ConR_YEAR_P_T_RANGE">TECH_VERTICAL!$AA$10918:$AC$11068</definedName>
    <definedName name="VSNA_ConR_YEAR_P_T_TR_CALC_RANGE">TECH_VERTICAL!$AJ$11045:$AL$11068</definedName>
    <definedName name="VSNA_ConR_YEAR_P_TR_CALC_RANGE">TECH_VERTICAL!$AG$11045:$AI$11068</definedName>
    <definedName name="VSNA_ConR_YEAR_T_CALC_RANGE">TECH_VERTICAL!$U$11045:$W$11068</definedName>
    <definedName name="VSNA_ConR_YEAR_T_RANGE">TECH_VERTICAL!$U$10918:$W$11068</definedName>
    <definedName name="VSNA_ConR_YEAR_T_TR_CALC_RANGE">TECH_VERTICAL!$AD$11045:$AF$11068</definedName>
    <definedName name="VSNA_ConR_YEAR_TECH_RANGE">TECH_VERTICAL!$R$10919:$AL$11048</definedName>
    <definedName name="VSNA_DF_ADD_HL_MARKER">ВС.ДФ!$AR$10</definedName>
    <definedName name="VSNA_DF_ADD_RANGE">TECH_VERTICAL!$R$8352:$T$8508</definedName>
    <definedName name="VSNA_DF_CALC_RANGE">ВС.ДФ!$AQ$15:$AR$136</definedName>
    <definedName name="VSNA_DF_DELETE_HL_ROW_MARKER">ВС.ДФ!$AQ$10</definedName>
    <definedName name="VSNA_DF_EMPTY_RANGE">TECH_VERTICAL!$R$8358:$T$8508</definedName>
    <definedName name="VSNA_DF_NUM_ROW_MARKER">ВС.ДФ!$AQ$11</definedName>
    <definedName name="VSNA_DF_P_CALC_RANGE">TECH_VERTICAL!$X$8485:$Z$8508</definedName>
    <definedName name="VSNA_DF_P_RANGE">TECH_VERTICAL!$X$8358:$Z$8508</definedName>
    <definedName name="VSNA_DF_P_T_CALC_RANGE">TECH_VERTICAL!$AA$8485:$AC$8508</definedName>
    <definedName name="VSNA_DF_P_T_RANGE">TECH_VERTICAL!$AA$8358:$AC$8508</definedName>
    <definedName name="VSNA_DF_P_T_TR_CALC_RANGE">TECH_VERTICAL!$AJ$8485:$AL$8508</definedName>
    <definedName name="VSNA_DF_P_TR_CALC_RANGE">TECH_VERTICAL!$AG$8485:$AI$8508</definedName>
    <definedName name="VSNA_DF_T_CALC_RANGE">TECH_VERTICAL!$U$8485:$W$8508</definedName>
    <definedName name="VSNA_DF_T_RANGE">TECH_VERTICAL!$U$8358:$W$8508</definedName>
    <definedName name="VSNA_DF_T_TR_CALC_RANGE">TECH_VERTICAL!$AD$8485:$AF$8508</definedName>
    <definedName name="VSNA_FEATURES">'Список организаций'!$AI$7</definedName>
    <definedName name="VSNA_P_TM1_DOCUMENTS_RANGE_EDIT">TECH_HORISONTAL!$O$401:$X$401</definedName>
    <definedName name="VSNA_P_TM1_DOCUMENTS_RANGE_EMPTY">TECH_HORISONTAL!$O$404:$X$404</definedName>
    <definedName name="VSNA_P_TM1_DOCUMENTS_RANGE_NEW">TECH_HORISONTAL!$O$395:$X$395</definedName>
    <definedName name="VSNA_P_TM1_DOCUMENTS_RANGE_RESET">TECH_HORISONTAL!$O$398:$X$398</definedName>
    <definedName name="VSNA_P_TM1_P_DOCUMENTS_RANGE">TECH_HORISONTAL!$J$340:$X$342</definedName>
    <definedName name="VSNA_P_TM1_PT_DOCUMENTS_RANGE">TECH_HORISONTAL!$J$376:$X$378</definedName>
    <definedName name="VSNA_P_TM1_T_DOCUMENTS_RANGE">TECH_HORISONTAL!$J$358:$X$360</definedName>
    <definedName name="VSNA_P_TM2_DOCUMENTS_RANGE_EDIT">TECH_HORISONTAL!$O$401:$X$401</definedName>
    <definedName name="VSNA_P_TM2_DOCUMENTS_RANGE_EMPTY">TECH_HORISONTAL!$O$404:$X$404</definedName>
    <definedName name="VSNA_P_TM2_DOCUMENTS_RANGE_NEW">TECH_HORISONTAL!$O$395:$X$395</definedName>
    <definedName name="VSNA_P_TM2_DOCUMENTS_RANGE_RESET">TECH_HORISONTAL!$O$398:$X$398</definedName>
    <definedName name="VSNA_P_TM2_P_DOCUMENTS_RANGE">TECH_HORISONTAL!$J$349:$X$351</definedName>
    <definedName name="VSNA_P_TM2_PT_DOCUMENTS_RANGE">TECH_HORISONTAL!$J$385:$X$387</definedName>
    <definedName name="VSNA_P_TM2_T_DOCUMENTS_RANGE">TECH_HORISONTAL!$J$367:$X$369</definedName>
    <definedName name="VSNA_TARIFF">TECHSHEET!$G$24:$G$25</definedName>
    <definedName name="VSNA_TM1_ADD_HL_MARKER_1">'ВС.ТМ1 01.01 - 30.06'!$G$22</definedName>
    <definedName name="VSNA_TM1_ADD_HL_MARKER_2">'ВС.ТМ1 01.07 - 31.08'!$G$22</definedName>
    <definedName name="VSNA_TM1_ADD_HL_MARKER_3">'ВС.ТМ1 01.09 - 31.12'!$G$22</definedName>
    <definedName name="VSNA_TM1_ADD_RANGE">TECH_HORISONTAL!$428:$430</definedName>
    <definedName name="VSNA_TM1_CALC_AREA_1">'ВС.ТМ1 01.01 - 30.06'!$F$18:$DS$22</definedName>
    <definedName name="VSNA_TM1_CALC_AREA_2">'ВС.ТМ1 01.07 - 31.08'!$F$18:$DS$22</definedName>
    <definedName name="VSNA_TM1_CALC_AREA_3">'ВС.ТМ1 01.09 - 31.12'!$F$18:$DS$22</definedName>
    <definedName name="VSNA_TM1_DELETE_HL_COLUMN_MARKER_1">'ВС.ТМ1 01.01 - 30.06'!$E$17</definedName>
    <definedName name="VSNA_TM1_DELETE_HL_COLUMN_MARKER_2">'ВС.ТМ1 01.07 - 31.08'!$E$17</definedName>
    <definedName name="VSNA_TM1_DELETE_HL_COLUMN_MARKER_3">'ВС.ТМ1 01.09 - 31.12'!$E$17</definedName>
    <definedName name="VSNA_TM1_DOCUMENTS_INFO">'ВС.ТМ1 01.01 - 30.06'!$N$7</definedName>
    <definedName name="VSNA_TM1_EMPTY_RANGE">TECH_HORISONTAL!$H$428:$DV$430</definedName>
    <definedName name="VSNA_TM1_NUM_COLUMN_MARKER_1">'ВС.ТМ1 01.01 - 30.06'!$F$17</definedName>
    <definedName name="VSNA_TM1_NUM_COLUMN_MARKER_2">'ВС.ТМ1 01.07 - 31.08'!$F$17</definedName>
    <definedName name="VSNA_TM1_NUM_COLUMN_MARKER_3">'ВС.ТМ1 01.09 - 31.12'!$F$17</definedName>
    <definedName name="VSNA_TM1_P_RANGE">TECH_HORISONTAL!$H$416:$DV$418</definedName>
    <definedName name="VSNA_TM1_P_T_RANGE">TECH_HORISONTAL!$H$424:$DV$426</definedName>
    <definedName name="VSNA_TM1_T_RANGE">TECH_HORISONTAL!$H$420:$DV$422</definedName>
    <definedName name="VSNA_TM2_1_TARIFF_P_RANGE">TECH_HORISONTAL!$H$453:$EV$455</definedName>
    <definedName name="VSNA_TM2_1_TARIFF_P_T_RANGE">TECH_HORISONTAL!$H$469:$EV$471</definedName>
    <definedName name="VSNA_TM2_1_TARIFF_T_RANGE">TECH_HORISONTAL!$H$461:$EV$463</definedName>
    <definedName name="VSNA_TM2_2_TARIFF_P_RANGE">TECH_HORISONTAL!$H$457:$EV$459</definedName>
    <definedName name="VSNA_TM2_2_TARIFF_P_T_RANGE">TECH_HORISONTAL!$H$473:$EV$475</definedName>
    <definedName name="VSNA_TM2_2_TARIFF_T_RANGE">TECH_HORISONTAL!$H$465:$EV$467</definedName>
    <definedName name="VSNA_TM2_ADD_HL_MARKER_1">'ВС.ТМ2 01.01 - 30.06'!$G$22</definedName>
    <definedName name="VSNA_TM2_ADD_HL_MARKER_2">'ВС.ТМ2 01.07 - 31.08'!$G$22</definedName>
    <definedName name="VSNA_TM2_ADD_HL_MARKER_3">'ВС.ТМ2 01.09 - 31.12'!$G$22</definedName>
    <definedName name="VSNA_TM2_ADD_RANGE">TECH_HORISONTAL!$477:$479</definedName>
    <definedName name="VSNA_TM2_CALC_AREA_1">'ВС.ТМ2 01.01 - 30.06'!$F$18:$CR$22</definedName>
    <definedName name="VSNA_TM2_CALC_AREA_2">'ВС.ТМ2 01.07 - 31.08'!$F$18:$CR$22</definedName>
    <definedName name="VSNA_TM2_CALC_AREA_3">'ВС.ТМ2 01.09 - 31.12'!$F$18:$CR$22</definedName>
    <definedName name="VSNA_TM2_DELETE_HL_COLUMN_MARKER_1">'ВС.ТМ2 01.01 - 30.06'!$E$17</definedName>
    <definedName name="VSNA_TM2_DELETE_HL_COLUMN_MARKER_2">'ВС.ТМ2 01.07 - 31.08'!$E$17</definedName>
    <definedName name="VSNA_TM2_DELETE_HL_COLUMN_MARKER_3">'ВС.ТМ2 01.09 - 31.12'!$E$17</definedName>
    <definedName name="VSNA_TM2_DOCUMENTS_INFO">'ВС.ТМ2 01.01 - 30.06'!$N$7</definedName>
    <definedName name="VSNA_TM2_EMPTY_RANGE">TECH_HORISONTAL!$H$477:$ES$479</definedName>
    <definedName name="VSNA_TM2_NUM_COLUMN_MARKER_1">'ВС.ТМ2 01.01 - 30.06'!$F$17</definedName>
    <definedName name="VSNA_TM2_NUM_COLUMN_MARKER_2">'ВС.ТМ2 01.07 - 31.08'!$F$17</definedName>
    <definedName name="VSNA_TM2_NUM_COLUMN_MARKER_3">'ВС.ТМ2 01.09 - 31.12'!$F$17</definedName>
    <definedName name="VSNA_TRANSMISSION_TARIFF">TECHSHEET!$G$28</definedName>
    <definedName name="VSNA_TRANSMISSION_TARIFF_UNIT">TECHSHEET!$G$42</definedName>
    <definedName name="VSNA_U_TM1_P_DOCUMENTS_RANGE">TECH_HORISONTAL!$J$343:$X$345</definedName>
    <definedName name="VSNA_U_TM1_PT_DOCUMENTS_RANGE">TECH_HORISONTAL!$J$379:$X$381</definedName>
    <definedName name="VSNA_U_TM1_T_DOCUMENTS_RANGE">TECH_HORISONTAL!$J$361:$X$363</definedName>
    <definedName name="VSNA_U_TM2_P_DOCUMENTS_RANGE">TECH_HORISONTAL!$J$352:$X$354</definedName>
    <definedName name="VSNA_U_TM2_PT_DOCUMENTS_RANGE">TECH_HORISONTAL!$J$388:$X$390</definedName>
    <definedName name="VSNA_U_TM2_T_DOCUMENTS_RANGE">TECH_HORISONTAL!$J$370:$X$372</definedName>
    <definedName name="VSNA_VD">TECHSHEET!$C$11:$C$15</definedName>
    <definedName name="VTOV">TECHSHEET!$G$19:$G$21</definedName>
    <definedName name="XML_AUTHORISATION_TAG_NAMES">TECHSHEET!$J$42</definedName>
    <definedName name="XML_MR_MO_OKTMO_LIST_TAG_NAMES">TECHSHEET!$J$19:$J$23</definedName>
    <definedName name="XML_ORG_LIST_TAG_NAMES">TECHSHEET!$J$6:$J$15</definedName>
    <definedName name="XML_PLAN1X_HEAT_BPR_DETAILED_TAG_NAMES">TECHSHEET!$C$158:$C$202</definedName>
    <definedName name="XML_PLAN1X_HEAT_BPR_TAG_NAMES">TECHSHEET!$C$79:$C$123</definedName>
    <definedName name="XML_PLAN1X_HEAT_BTR_DETAILED_TAG_NAMES">TECHSHEET!$C$205:$C$218</definedName>
    <definedName name="XML_PLAN1X_HEAT_BTR_TAG_NAMES">TECHSHEET!$C$126:$C$139</definedName>
    <definedName name="XML_PLAN1X_HEAT_CALC_TAG_NAMES">TECHSHEET!$C$376:$C$531</definedName>
    <definedName name="XML_PLAN1X_HEAT_DF_LIST_ORG_TAG_NAMES">TECHSHEET!$C$881:$C$906</definedName>
    <definedName name="XML_PLAN1X_HEAT_DF_TAG_NAMES">TECHSHEET!$C$909:$C$1124</definedName>
    <definedName name="XML_PLAN1X_HEAT_FUEL_EE_TAG_NAMES">TECHSHEET!$C$845:$C$874</definedName>
    <definedName name="XML_PLAN1X_HEAT_FUEL_GAS_TAG_NAMES">TECHSHEET!$C$643:$C$716</definedName>
    <definedName name="XML_PLAN1X_HEAT_FUEL_TAG_NAMES">TECHSHEET!$C$534:$C$640</definedName>
    <definedName name="XML_PLAN1X_HEAT_FUEL_TR_1_TAG_NAMES">TECHSHEET!$C$719:$C$758</definedName>
    <definedName name="XML_PLAN1X_HEAT_FUEL_TR_2_TAG_NAMES">TECHSHEET!$C$761:$C$800</definedName>
    <definedName name="XML_PLAN1X_HEAT_FUEL_TR_3_TAG_NAMES">TECHSHEET!$C$803:$C$842</definedName>
    <definedName name="XML_PLAN1X_HEAT_LIST_ORG_TAG_NAMES">TECHSHEET!$C$51:$C$76</definedName>
    <definedName name="XML_PLAN1X_HEAT_MXPP_DETAILED_TAG_NAMES">TECHSHEET!$C$221:$C$226</definedName>
    <definedName name="XML_PLAN1X_HEAT_MXPP_TAG_NAMES">TECHSHEET!$C$142:$C$147</definedName>
    <definedName name="XML_PLAN1X_HEAT_MXTR_DETAILED_TAG_NAMES">TECHSHEET!$C$229:$C$234</definedName>
    <definedName name="XML_PLAN1X_HEAT_MXTR_TAG_NAMES">TECHSHEET!$C$150:$C$155</definedName>
    <definedName name="XML_PLAN1X_HEAT_TM1_TAG_NAMES">TECHSHEET!$C$237:$C$281</definedName>
    <definedName name="XML_PLAN1X_HEAT_TM2_TAG_NAMES">TECHSHEET!$C$284:$C$373</definedName>
    <definedName name="XML_PLAN1X_VOTV_BPR_DETAILED_TAG_NAMES">TECHSHEET!$G$158:$G$172</definedName>
    <definedName name="XML_PLAN1X_VOTV_BPR_TAG_NAMES">TECHSHEET!$G$79:$G$93</definedName>
    <definedName name="XML_PLAN1X_VOTV_BTR_DETAILED_TAG_NAMES">TECHSHEET!$G$205:$G$215</definedName>
    <definedName name="XML_PLAN1X_VOTV_BTR_TAG_NAMES">TECHSHEET!$G$126:$G$136</definedName>
    <definedName name="XML_PLAN1X_VOTV_CALC_TAG_NAMES">TECHSHEET!$G$376:$G$499</definedName>
    <definedName name="XML_PLAN1X_VOTV_DF_LIST_ORG_TAG_NAMES">TECHSHEET!$G$881:$G$906</definedName>
    <definedName name="XML_PLAN1X_VOTV_DF_TAG_NAMES">TECHSHEET!$G$909:$G$1032</definedName>
    <definedName name="XML_PLAN1X_VOTV_LIST_ORG_TAG_NAMES">TECHSHEET!$G$51:$G$76</definedName>
    <definedName name="XML_PLAN1X_VOTV_TM1_TAG_NAMES">TECHSHEET!$G$237:$G$281</definedName>
    <definedName name="XML_PLAN1X_VOTV_TM2_TAG_NAMES">TECHSHEET!$G$284:$G$373</definedName>
    <definedName name="XML_PLAN1X_VSNA_BPR_DETAILED_TAG_NAMES">TECHSHEET!$E$158:$E$178</definedName>
    <definedName name="XML_PLAN1X_VSNA_BPR_TAG_NAMES">TECHSHEET!$E$79:$E$99</definedName>
    <definedName name="XML_PLAN1X_VSNA_BTR_DETAILED_TAG_NAMES">TECHSHEET!$E$205:$E$215</definedName>
    <definedName name="XML_PLAN1X_VSNA_BTR_TAG_NAMES">TECHSHEET!$E$126:$E$136</definedName>
    <definedName name="XML_PLAN1X_VSNA_CALC_TAG_NAMES">TECHSHEET!$E$376:$E$499</definedName>
    <definedName name="XML_PLAN1X_VSNA_DF_LIST_ORG_TAG_NAMES">TECHSHEET!$E$881:$E$906</definedName>
    <definedName name="XML_PLAN1X_VSNA_DF_TAG_NAMES">TECHSHEET!$E$909:$E$1032</definedName>
    <definedName name="XML_PLAN1X_VSNA_LIST_ORG_TAG_NAMES">TECHSHEET!$E$51:$E$76</definedName>
    <definedName name="XML_PLAN1X_VSNA_MXPP_DETAILED_TAG_NAMES">TECHSHEET!$E$221:$E$225</definedName>
    <definedName name="XML_PLAN1X_VSNA_MXPP_TAG_NAMES">TECHSHEET!$E$142:$E$146</definedName>
    <definedName name="XML_PLAN1X_VSNA_TM1_TAG_NAMES">TECHSHEET!$E$237:$E$281</definedName>
    <definedName name="XML_PLAN1X_VSNA_TM2_TAG_NAMES">TECHSHEET!$E$284:$E$373</definedName>
    <definedName name="XML_SOURCE_LIST_TAG_NAMES">TECHSHEET!$J$27:$J$38</definedName>
    <definedName name="YEAR_LIST">TECHSHEET!$M$2:$M$13</definedName>
    <definedName name="YES_NO">TECHSHEET!$E$2:$E$3</definedName>
  </definedNames>
  <calcPr calcId="124519"/>
</workbook>
</file>

<file path=xl/calcChain.xml><?xml version="1.0" encoding="utf-8"?>
<calcChain xmlns="http://schemas.openxmlformats.org/spreadsheetml/2006/main">
  <c r="AT131" i="1096"/>
  <c r="AT124"/>
  <c r="AT123"/>
  <c r="AT122"/>
  <c r="AT120"/>
  <c r="AT119"/>
  <c r="AT118"/>
  <c r="AT117"/>
  <c r="AT116"/>
  <c r="AR13"/>
  <c r="AR12"/>
  <c r="AT9"/>
  <c r="AS9"/>
  <c r="AR9"/>
  <c r="AT114" i="1044"/>
  <c r="AT113"/>
  <c r="AT112"/>
  <c r="AT111"/>
  <c r="AT110"/>
  <c r="AT108"/>
  <c r="AT107"/>
  <c r="AT106"/>
  <c r="AT105"/>
  <c r="AT104"/>
  <c r="AT103"/>
  <c r="AT102"/>
  <c r="AT101"/>
  <c r="AT100"/>
  <c r="AT98"/>
  <c r="AT97"/>
  <c r="AT96"/>
  <c r="AT95"/>
  <c r="AT94"/>
  <c r="AT92"/>
  <c r="AT91"/>
  <c r="AT90"/>
  <c r="AT85"/>
  <c r="AT84"/>
  <c r="AT83"/>
  <c r="AT82"/>
  <c r="AT81"/>
  <c r="AT77"/>
  <c r="AT74"/>
  <c r="AT71"/>
  <c r="AT65"/>
  <c r="AT59"/>
  <c r="AT54"/>
  <c r="AT53"/>
  <c r="AT52"/>
  <c r="AT51"/>
  <c r="AT50"/>
  <c r="AT48"/>
  <c r="AT47"/>
  <c r="AT46"/>
  <c r="AR13"/>
  <c r="AR12"/>
  <c r="AT9"/>
  <c r="AS9"/>
  <c r="AR9"/>
  <c r="AT121" i="1099"/>
  <c r="AT115"/>
  <c r="AR13"/>
  <c r="AT135" s="1"/>
  <c r="AT132" s="1"/>
  <c r="AP132" s="1"/>
  <c r="AR12"/>
  <c r="AT9"/>
  <c r="AT149" s="1"/>
  <c r="AS9"/>
  <c r="AR9"/>
  <c r="AT121" i="1098"/>
  <c r="AT115" s="1"/>
  <c r="AP115" s="1"/>
  <c r="AR13"/>
  <c r="AT135" s="1"/>
  <c r="AT132" s="1"/>
  <c r="AP132" s="1"/>
  <c r="AR12"/>
  <c r="AT9"/>
  <c r="AT149" s="1"/>
  <c r="AS9"/>
  <c r="AR9"/>
  <c r="AT121" i="1097"/>
  <c r="AT121" i="1096" s="1"/>
  <c r="AP121" s="1"/>
  <c r="AR13" i="1097"/>
  <c r="AT135" s="1"/>
  <c r="AT132" s="1"/>
  <c r="AR12"/>
  <c r="AT9"/>
  <c r="AT149" s="1"/>
  <c r="AS9"/>
  <c r="AR9"/>
  <c r="AT109" i="1047"/>
  <c r="AT99"/>
  <c r="AT93"/>
  <c r="AT80"/>
  <c r="AT78"/>
  <c r="AT72"/>
  <c r="AT60"/>
  <c r="AT57"/>
  <c r="AT55"/>
  <c r="AT49"/>
  <c r="AT43"/>
  <c r="AT40"/>
  <c r="AT37"/>
  <c r="AT34"/>
  <c r="AT31"/>
  <c r="AT28"/>
  <c r="AT25"/>
  <c r="AT22"/>
  <c r="AT21"/>
  <c r="AT20"/>
  <c r="AT19"/>
  <c r="AT18" s="1"/>
  <c r="AR13"/>
  <c r="AR12"/>
  <c r="AT9"/>
  <c r="AT16" s="1"/>
  <c r="AS9"/>
  <c r="AR9"/>
  <c r="AT109" i="1046"/>
  <c r="AT99"/>
  <c r="AT93"/>
  <c r="AT80"/>
  <c r="AT80" i="1044"/>
  <c r="AP80" s="1"/>
  <c r="AT78" i="1046"/>
  <c r="AT72"/>
  <c r="AT60"/>
  <c r="AT57"/>
  <c r="AT55"/>
  <c r="AT49"/>
  <c r="AT43"/>
  <c r="AT40"/>
  <c r="AT37"/>
  <c r="AT34"/>
  <c r="AT31"/>
  <c r="AT28"/>
  <c r="AT25"/>
  <c r="AT22"/>
  <c r="AT21"/>
  <c r="AT20"/>
  <c r="AT19"/>
  <c r="AT18" s="1"/>
  <c r="AR13"/>
  <c r="AR12"/>
  <c r="AT9"/>
  <c r="AT16" s="1"/>
  <c r="AS9"/>
  <c r="AR9"/>
  <c r="AT109" i="1045"/>
  <c r="AT109" i="1044" s="1"/>
  <c r="AT99" i="1045"/>
  <c r="AT93"/>
  <c r="AT93" i="1044" s="1"/>
  <c r="AT80" i="1045"/>
  <c r="AT78"/>
  <c r="AT72"/>
  <c r="AT60"/>
  <c r="AT57"/>
  <c r="AT55"/>
  <c r="AT55" i="1044" s="1"/>
  <c r="AP55" s="1"/>
  <c r="AT49" i="1045"/>
  <c r="AT49" i="1044" s="1"/>
  <c r="AT43" i="1045"/>
  <c r="AT40"/>
  <c r="AT37"/>
  <c r="AT34"/>
  <c r="AT31"/>
  <c r="AT28"/>
  <c r="AT25"/>
  <c r="AT22"/>
  <c r="AT21"/>
  <c r="AT21" i="1044" s="1"/>
  <c r="AT20" i="1045"/>
  <c r="AT20" i="1044" s="1"/>
  <c r="AT19" i="1045"/>
  <c r="AT19" i="1044" s="1"/>
  <c r="AR13" i="1045"/>
  <c r="AR12"/>
  <c r="AT9"/>
  <c r="AT16" s="1"/>
  <c r="AT16" i="1044" s="1"/>
  <c r="AP16" s="1"/>
  <c r="AS9" i="1045"/>
  <c r="AR9"/>
  <c r="ER22" i="1065"/>
  <c r="EG22"/>
  <c r="EF22"/>
  <c r="EE22"/>
  <c r="ED22"/>
  <c r="EC22"/>
  <c r="EB22"/>
  <c r="EA22"/>
  <c r="DZ22"/>
  <c r="DY22"/>
  <c r="DX22"/>
  <c r="DW22"/>
  <c r="DV22"/>
  <c r="DU22"/>
  <c r="DT22"/>
  <c r="DS22"/>
  <c r="DR22"/>
  <c r="DQ22"/>
  <c r="DP22"/>
  <c r="CK22"/>
  <c r="BH22"/>
  <c r="H22"/>
  <c r="D22"/>
  <c r="BY22" s="1"/>
  <c r="G22"/>
  <c r="C24"/>
  <c r="C23"/>
  <c r="C22"/>
  <c r="ER22" i="1064"/>
  <c r="EG22"/>
  <c r="EF22"/>
  <c r="EE22"/>
  <c r="ED22"/>
  <c r="EC22"/>
  <c r="EB22"/>
  <c r="EA22"/>
  <c r="DZ22"/>
  <c r="DY22"/>
  <c r="DX22"/>
  <c r="DW22"/>
  <c r="DV22"/>
  <c r="DU22"/>
  <c r="DT22"/>
  <c r="DS22"/>
  <c r="DR22"/>
  <c r="DQ22"/>
  <c r="DP22"/>
  <c r="CK22"/>
  <c r="H22"/>
  <c r="D22"/>
  <c r="BY22" s="1"/>
  <c r="G22"/>
  <c r="C24"/>
  <c r="C23"/>
  <c r="C22"/>
  <c r="ER22" i="1063"/>
  <c r="EG22"/>
  <c r="EF22"/>
  <c r="EE22"/>
  <c r="ED22"/>
  <c r="EC22"/>
  <c r="EB22"/>
  <c r="EA22"/>
  <c r="DZ22"/>
  <c r="DY22"/>
  <c r="DX22"/>
  <c r="DW22"/>
  <c r="DV22"/>
  <c r="DU22"/>
  <c r="DT22"/>
  <c r="DS22"/>
  <c r="DR22"/>
  <c r="DQ22"/>
  <c r="DP22"/>
  <c r="CK22"/>
  <c r="H22"/>
  <c r="D22"/>
  <c r="BY22" s="1"/>
  <c r="G22"/>
  <c r="C24"/>
  <c r="C23"/>
  <c r="C22"/>
  <c r="D22" i="1062"/>
  <c r="G22"/>
  <c r="C24"/>
  <c r="C23"/>
  <c r="C22"/>
  <c r="D22" i="1061"/>
  <c r="G22"/>
  <c r="C24"/>
  <c r="C23"/>
  <c r="C22"/>
  <c r="D22" i="1060"/>
  <c r="G22"/>
  <c r="C24"/>
  <c r="C23"/>
  <c r="C22"/>
  <c r="BF132" i="1043"/>
  <c r="BF131"/>
  <c r="G130"/>
  <c r="F130"/>
  <c r="F144"/>
  <c r="L144" i="1042"/>
  <c r="J144"/>
  <c r="L143"/>
  <c r="J143"/>
  <c r="L142"/>
  <c r="J142"/>
  <c r="L141"/>
  <c r="J141"/>
  <c r="L140"/>
  <c r="J140"/>
  <c r="L139"/>
  <c r="J139"/>
  <c r="L138"/>
  <c r="J138"/>
  <c r="L137"/>
  <c r="J137"/>
  <c r="L136"/>
  <c r="J136"/>
  <c r="L135"/>
  <c r="J135"/>
  <c r="L134"/>
  <c r="J134"/>
  <c r="L133"/>
  <c r="J133"/>
  <c r="BF132"/>
  <c r="R132"/>
  <c r="P132"/>
  <c r="O132"/>
  <c r="N132"/>
  <c r="M132"/>
  <c r="K132"/>
  <c r="BF131"/>
  <c r="R130"/>
  <c r="L130"/>
  <c r="J130" s="1"/>
  <c r="G130"/>
  <c r="F130"/>
  <c r="F144" s="1"/>
  <c r="Z11396" i="967"/>
  <c r="W11396"/>
  <c r="Z11395"/>
  <c r="W11395"/>
  <c r="Z11388"/>
  <c r="W11388"/>
  <c r="Z11387"/>
  <c r="W11387"/>
  <c r="Z11386"/>
  <c r="W11386"/>
  <c r="Z11385"/>
  <c r="W11385"/>
  <c r="Z11384"/>
  <c r="W11384"/>
  <c r="Z11383"/>
  <c r="W11383"/>
  <c r="Z11382"/>
  <c r="W11382"/>
  <c r="Z11381"/>
  <c r="W11381"/>
  <c r="Z11380"/>
  <c r="W11380"/>
  <c r="Z11379"/>
  <c r="W11379"/>
  <c r="Z11378"/>
  <c r="W11378"/>
  <c r="Z11377"/>
  <c r="W11377"/>
  <c r="Z11376"/>
  <c r="W11376"/>
  <c r="Z11375"/>
  <c r="W11375"/>
  <c r="Z11374"/>
  <c r="W11374"/>
  <c r="Z11373"/>
  <c r="W11373"/>
  <c r="Z11372"/>
  <c r="W11372"/>
  <c r="Z11371"/>
  <c r="W11371"/>
  <c r="Z11370"/>
  <c r="W11370"/>
  <c r="Z11369"/>
  <c r="W11369"/>
  <c r="Z11368"/>
  <c r="W11368"/>
  <c r="Z11367"/>
  <c r="W11367"/>
  <c r="Z11366"/>
  <c r="W11366"/>
  <c r="Z11365"/>
  <c r="W11365"/>
  <c r="Z11364"/>
  <c r="W11364"/>
  <c r="Z11363"/>
  <c r="W11363"/>
  <c r="Z11362"/>
  <c r="W11362"/>
  <c r="Z11361"/>
  <c r="W11361"/>
  <c r="Z11360"/>
  <c r="W11360"/>
  <c r="Z11359"/>
  <c r="W11359"/>
  <c r="Z11358"/>
  <c r="W11358"/>
  <c r="Z11357"/>
  <c r="W11357"/>
  <c r="Z11356"/>
  <c r="W11356"/>
  <c r="Z11355"/>
  <c r="W11355"/>
  <c r="Z11354"/>
  <c r="W11354"/>
  <c r="Z11349"/>
  <c r="W11349"/>
  <c r="Z11348"/>
  <c r="W11348"/>
  <c r="Z11347"/>
  <c r="W11347"/>
  <c r="Z11346"/>
  <c r="W11346"/>
  <c r="Z11345"/>
  <c r="W11345"/>
  <c r="Z11344"/>
  <c r="W11344"/>
  <c r="Z11341"/>
  <c r="W11341"/>
  <c r="Z11338"/>
  <c r="W11338"/>
  <c r="Z11335"/>
  <c r="W11335"/>
  <c r="Z11329"/>
  <c r="W11329"/>
  <c r="Z11323"/>
  <c r="W11323"/>
  <c r="Z11319"/>
  <c r="W11319"/>
  <c r="Z11318"/>
  <c r="W11318"/>
  <c r="Z11317"/>
  <c r="W11317"/>
  <c r="Z11316"/>
  <c r="W11316"/>
  <c r="Z11315"/>
  <c r="W11315"/>
  <c r="Z11314"/>
  <c r="W11314"/>
  <c r="Z11313"/>
  <c r="W11313"/>
  <c r="Z11312"/>
  <c r="W11312"/>
  <c r="Z11311"/>
  <c r="W11311"/>
  <c r="Z11310"/>
  <c r="W11310"/>
  <c r="Z11285"/>
  <c r="W11285"/>
  <c r="Z11284"/>
  <c r="W11284"/>
  <c r="Z11283"/>
  <c r="W11283"/>
  <c r="Z11282"/>
  <c r="W11282"/>
  <c r="Z11281"/>
  <c r="W11281"/>
  <c r="Z6878"/>
  <c r="W6878"/>
  <c r="Z6877"/>
  <c r="W6877"/>
  <c r="Z6876"/>
  <c r="W6876"/>
  <c r="Z6875"/>
  <c r="W6875"/>
  <c r="Z6874"/>
  <c r="W6874"/>
  <c r="Z6873"/>
  <c r="W6873"/>
  <c r="Z6872"/>
  <c r="W6872"/>
  <c r="Z6871"/>
  <c r="W6871"/>
  <c r="Z6870"/>
  <c r="W6870"/>
  <c r="Z6869"/>
  <c r="W6869"/>
  <c r="Z6868"/>
  <c r="W6868"/>
  <c r="Z6867"/>
  <c r="W6867"/>
  <c r="Z6866"/>
  <c r="W6866"/>
  <c r="Z6865"/>
  <c r="W6865"/>
  <c r="Z6864"/>
  <c r="W6864"/>
  <c r="Z6863"/>
  <c r="W6863"/>
  <c r="Z6862"/>
  <c r="W6862"/>
  <c r="Z6861"/>
  <c r="W6861"/>
  <c r="Z6860"/>
  <c r="W6860"/>
  <c r="Z6859"/>
  <c r="W6859"/>
  <c r="Z6858"/>
  <c r="W6858"/>
  <c r="Z6857"/>
  <c r="W6857"/>
  <c r="Z6856"/>
  <c r="W6856"/>
  <c r="Z6855"/>
  <c r="W6855"/>
  <c r="Z6854"/>
  <c r="W6854"/>
  <c r="Z6849"/>
  <c r="W6849"/>
  <c r="Z6848"/>
  <c r="W6848"/>
  <c r="Z6847"/>
  <c r="W6847"/>
  <c r="Z6846"/>
  <c r="W6846"/>
  <c r="Z6845"/>
  <c r="W6845"/>
  <c r="Z6844"/>
  <c r="W6844"/>
  <c r="Z6841"/>
  <c r="W6841"/>
  <c r="Z6838"/>
  <c r="W6838"/>
  <c r="Z6835"/>
  <c r="W6835"/>
  <c r="Z6829"/>
  <c r="W6829"/>
  <c r="Z6823"/>
  <c r="W6823"/>
  <c r="Z6819"/>
  <c r="W6819"/>
  <c r="Z6818"/>
  <c r="W6818"/>
  <c r="Z6817"/>
  <c r="W6817"/>
  <c r="Z6816"/>
  <c r="W6816"/>
  <c r="Z6815"/>
  <c r="W6815"/>
  <c r="Z6814"/>
  <c r="W6814"/>
  <c r="Z6813"/>
  <c r="W6813"/>
  <c r="Z6812"/>
  <c r="W6812"/>
  <c r="Z6811"/>
  <c r="W6811"/>
  <c r="Z6810"/>
  <c r="W6810"/>
  <c r="Z6785"/>
  <c r="W6785"/>
  <c r="Z6784"/>
  <c r="W6784"/>
  <c r="Z6783"/>
  <c r="W6783"/>
  <c r="Z6782"/>
  <c r="W6782"/>
  <c r="Z6781"/>
  <c r="W6781"/>
  <c r="Z6780"/>
  <c r="W6780"/>
  <c r="Z6779"/>
  <c r="W6779"/>
  <c r="T9534"/>
  <c r="T9533"/>
  <c r="T9532"/>
  <c r="T9531"/>
  <c r="T9530"/>
  <c r="T9529"/>
  <c r="T9528"/>
  <c r="T9527"/>
  <c r="T9525"/>
  <c r="T9524"/>
  <c r="T9523"/>
  <c r="T9522"/>
  <c r="T9521"/>
  <c r="T9520"/>
  <c r="T9519"/>
  <c r="T9515"/>
  <c r="T9512"/>
  <c r="T9509"/>
  <c r="T9503"/>
  <c r="T9497"/>
  <c r="T9468"/>
  <c r="T9467"/>
  <c r="T9466"/>
  <c r="T9465"/>
  <c r="T9439"/>
  <c r="T9438"/>
  <c r="T9437"/>
  <c r="T9436"/>
  <c r="T9432"/>
  <c r="T9428"/>
  <c r="T9424"/>
  <c r="T9420"/>
  <c r="T8717"/>
  <c r="T8716"/>
  <c r="T8715"/>
  <c r="T8714"/>
  <c r="T8712"/>
  <c r="T8713"/>
  <c r="T8711"/>
  <c r="T8710"/>
  <c r="T8707"/>
  <c r="T8706"/>
  <c r="T8705"/>
  <c r="C4" i="603"/>
  <c r="Z8655" i="967"/>
  <c r="AP117" i="1095"/>
  <c r="AP131" i="1094"/>
  <c r="AP118"/>
  <c r="AP131" i="1093"/>
  <c r="AP111" i="1007"/>
  <c r="AP109"/>
  <c r="AP108"/>
  <c r="AP100"/>
  <c r="AP74"/>
  <c r="AP51"/>
  <c r="AP47"/>
  <c r="AP42"/>
  <c r="AP41" s="1"/>
  <c r="AP98" i="1006"/>
  <c r="AP94"/>
  <c r="AP91"/>
  <c r="AP76"/>
  <c r="AP65"/>
  <c r="AP48"/>
  <c r="AP114" i="1005"/>
  <c r="AP112"/>
  <c r="AP110"/>
  <c r="AP98"/>
  <c r="AP97"/>
  <c r="AP89"/>
  <c r="AP86"/>
  <c r="AP83"/>
  <c r="AP82"/>
  <c r="AP74"/>
  <c r="AP65"/>
  <c r="AP61"/>
  <c r="AP55"/>
  <c r="AP53"/>
  <c r="AP51"/>
  <c r="AP48"/>
  <c r="AP42"/>
  <c r="AP41" s="1"/>
  <c r="AP36"/>
  <c r="AP35" s="1"/>
  <c r="AP33"/>
  <c r="AP32" s="1"/>
  <c r="AP28"/>
  <c r="AP24"/>
  <c r="AP23"/>
  <c r="AP131" i="1095"/>
  <c r="AP161" i="1094"/>
  <c r="AP123"/>
  <c r="AP110" i="1007"/>
  <c r="AP107"/>
  <c r="AP106"/>
  <c r="AP103"/>
  <c r="AP102"/>
  <c r="AP95"/>
  <c r="AP94"/>
  <c r="AP88"/>
  <c r="AP87"/>
  <c r="AP85"/>
  <c r="AP84"/>
  <c r="AP81"/>
  <c r="AP73"/>
  <c r="AP65"/>
  <c r="AP59"/>
  <c r="AP54"/>
  <c r="AP52"/>
  <c r="AP50"/>
  <c r="AP45"/>
  <c r="AP44" s="1"/>
  <c r="AP27"/>
  <c r="AP26" s="1"/>
  <c r="AP112" i="1006"/>
  <c r="AP101"/>
  <c r="AP97"/>
  <c r="AP90"/>
  <c r="AP83"/>
  <c r="AP74"/>
  <c r="AP71"/>
  <c r="AP39"/>
  <c r="AP38"/>
  <c r="AP24"/>
  <c r="AP23"/>
  <c r="AP113" i="1005"/>
  <c r="AP107"/>
  <c r="AP105"/>
  <c r="AP101"/>
  <c r="AP96"/>
  <c r="AP67"/>
  <c r="AP30"/>
  <c r="AP29"/>
  <c r="AP22"/>
  <c r="AP112" i="1007"/>
  <c r="AP101"/>
  <c r="AP77"/>
  <c r="AP48"/>
  <c r="AP36"/>
  <c r="AP35" s="1"/>
  <c r="AP24"/>
  <c r="AP23" s="1"/>
  <c r="AP88" i="1006"/>
  <c r="AP87"/>
  <c r="AP85"/>
  <c r="AP81"/>
  <c r="AP118" i="1095"/>
  <c r="AP118" i="1093"/>
  <c r="AP113" i="1007"/>
  <c r="AP105"/>
  <c r="AP97"/>
  <c r="AP92"/>
  <c r="AP90"/>
  <c r="AP39"/>
  <c r="AP38"/>
  <c r="AP110" i="1006"/>
  <c r="AP105"/>
  <c r="AP89"/>
  <c r="AP77"/>
  <c r="AP59"/>
  <c r="AP54"/>
  <c r="AP50"/>
  <c r="AP47"/>
  <c r="AP36"/>
  <c r="AP35"/>
  <c r="AP85" i="1005"/>
  <c r="AP39"/>
  <c r="AP38" s="1"/>
  <c r="AP111" i="1006"/>
  <c r="AP95"/>
  <c r="AP51"/>
  <c r="AP46"/>
  <c r="AP27"/>
  <c r="AP26" s="1"/>
  <c r="AP111" i="1005"/>
  <c r="AP90"/>
  <c r="AP84"/>
  <c r="AP46"/>
  <c r="AP27"/>
  <c r="AP26" s="1"/>
  <c r="AP161" i="1093"/>
  <c r="AP114" i="1007"/>
  <c r="AP96"/>
  <c r="AP79"/>
  <c r="AP76"/>
  <c r="AP53"/>
  <c r="AP103" i="1005"/>
  <c r="AP94"/>
  <c r="Z11036" i="967"/>
  <c r="W11036"/>
  <c r="Z11035"/>
  <c r="W11035"/>
  <c r="Z11028"/>
  <c r="W11028"/>
  <c r="Z11027"/>
  <c r="W11027"/>
  <c r="Z11026"/>
  <c r="W11026"/>
  <c r="Z11025"/>
  <c r="W11025"/>
  <c r="Z11024"/>
  <c r="W11024"/>
  <c r="Z11023"/>
  <c r="W11023"/>
  <c r="Z11022"/>
  <c r="W11022"/>
  <c r="Z11021"/>
  <c r="W11021"/>
  <c r="Z11020"/>
  <c r="W11020"/>
  <c r="Z11019"/>
  <c r="W11019"/>
  <c r="Z11018"/>
  <c r="W11018"/>
  <c r="Z11017"/>
  <c r="W11017"/>
  <c r="Z11016"/>
  <c r="W11016"/>
  <c r="Z11015"/>
  <c r="W11015"/>
  <c r="Z11014"/>
  <c r="W11014"/>
  <c r="Z11013"/>
  <c r="W11013"/>
  <c r="Z11012"/>
  <c r="W11012"/>
  <c r="Z11011"/>
  <c r="W11011"/>
  <c r="Z11010"/>
  <c r="W11010"/>
  <c r="Z11009"/>
  <c r="W11009"/>
  <c r="Z11008"/>
  <c r="W11008"/>
  <c r="Z11007"/>
  <c r="W11007"/>
  <c r="Z11006"/>
  <c r="W11006"/>
  <c r="Z11005"/>
  <c r="W11005"/>
  <c r="Z11004"/>
  <c r="W11004"/>
  <c r="Z11003"/>
  <c r="W11003"/>
  <c r="Z11002"/>
  <c r="W11002"/>
  <c r="Z11001"/>
  <c r="W11001"/>
  <c r="Z11000"/>
  <c r="W11000"/>
  <c r="Z10999"/>
  <c r="W10999"/>
  <c r="Z10998"/>
  <c r="W10998"/>
  <c r="Z10997"/>
  <c r="W10997"/>
  <c r="Z10996"/>
  <c r="W10996"/>
  <c r="Z10995"/>
  <c r="W10995"/>
  <c r="Z10994"/>
  <c r="W10994"/>
  <c r="Z10990"/>
  <c r="W10990"/>
  <c r="Z10989"/>
  <c r="W10989"/>
  <c r="Z10988"/>
  <c r="W10988"/>
  <c r="Z10987"/>
  <c r="W10987"/>
  <c r="Z10986"/>
  <c r="W10986"/>
  <c r="Z10985"/>
  <c r="W10985"/>
  <c r="Z10984"/>
  <c r="W10984"/>
  <c r="Z10981"/>
  <c r="W10981"/>
  <c r="Z10978"/>
  <c r="W10978"/>
  <c r="Z10975"/>
  <c r="W10975"/>
  <c r="Z10969"/>
  <c r="W10969"/>
  <c r="Z10963"/>
  <c r="W10963"/>
  <c r="Z10959"/>
  <c r="W10959"/>
  <c r="Z10958"/>
  <c r="W10958"/>
  <c r="Z10957"/>
  <c r="W10957"/>
  <c r="Z10956"/>
  <c r="W10956"/>
  <c r="Z10955"/>
  <c r="W10955"/>
  <c r="Z10954"/>
  <c r="W10954"/>
  <c r="Z10953"/>
  <c r="W10953"/>
  <c r="Z10952"/>
  <c r="W10952"/>
  <c r="Z10951"/>
  <c r="W10951"/>
  <c r="Z10950"/>
  <c r="W10950"/>
  <c r="Z10925"/>
  <c r="W10925"/>
  <c r="Z10924"/>
  <c r="W10924"/>
  <c r="Z10923"/>
  <c r="W10923"/>
  <c r="Z10922"/>
  <c r="W10922"/>
  <c r="Z10921"/>
  <c r="W10921"/>
  <c r="Z6478"/>
  <c r="W6478"/>
  <c r="Z6477"/>
  <c r="W6477"/>
  <c r="Z6476"/>
  <c r="W6476"/>
  <c r="Z6475"/>
  <c r="W6475"/>
  <c r="Z6474"/>
  <c r="W6474"/>
  <c r="Z6473"/>
  <c r="W6473"/>
  <c r="Z6472"/>
  <c r="W6472"/>
  <c r="Z6471"/>
  <c r="W6471"/>
  <c r="Z6470"/>
  <c r="W6470"/>
  <c r="Z6469"/>
  <c r="W6469"/>
  <c r="Z6468"/>
  <c r="W6468"/>
  <c r="Z6467"/>
  <c r="W6467"/>
  <c r="Z6466"/>
  <c r="W6466"/>
  <c r="Z6465"/>
  <c r="W6465"/>
  <c r="Z6464"/>
  <c r="W6464"/>
  <c r="Z6463"/>
  <c r="W6463"/>
  <c r="Z6462"/>
  <c r="W6462"/>
  <c r="Z6461"/>
  <c r="W6461"/>
  <c r="Z6460"/>
  <c r="W6460"/>
  <c r="Z6459"/>
  <c r="W6459"/>
  <c r="Z6458"/>
  <c r="W6458"/>
  <c r="Z6457"/>
  <c r="W6457"/>
  <c r="Z6456"/>
  <c r="W6456"/>
  <c r="Z6455"/>
  <c r="W6455"/>
  <c r="Z6454"/>
  <c r="W6454"/>
  <c r="Z6450"/>
  <c r="W6450"/>
  <c r="Z6449"/>
  <c r="W6449"/>
  <c r="Z6448"/>
  <c r="W6448"/>
  <c r="Z6447"/>
  <c r="W6447"/>
  <c r="Z6446"/>
  <c r="W6446"/>
  <c r="Z6445"/>
  <c r="W6445"/>
  <c r="Z6444"/>
  <c r="W6444"/>
  <c r="Z6441"/>
  <c r="W6441"/>
  <c r="Z6438"/>
  <c r="W6438"/>
  <c r="Z6435"/>
  <c r="W6435"/>
  <c r="Z6429"/>
  <c r="W6429"/>
  <c r="Z6423"/>
  <c r="W6423"/>
  <c r="Z6419"/>
  <c r="W6419"/>
  <c r="Z6418"/>
  <c r="W6418"/>
  <c r="Z6417"/>
  <c r="W6417"/>
  <c r="Z6416"/>
  <c r="W6416"/>
  <c r="Z6415"/>
  <c r="W6415"/>
  <c r="Z6414"/>
  <c r="W6414"/>
  <c r="Z6413"/>
  <c r="W6413"/>
  <c r="Z6412"/>
  <c r="W6412"/>
  <c r="Z6411"/>
  <c r="W6411"/>
  <c r="Z6410"/>
  <c r="W6410"/>
  <c r="Z6385"/>
  <c r="W6385"/>
  <c r="Z6384"/>
  <c r="W6384"/>
  <c r="Z6383"/>
  <c r="W6383"/>
  <c r="Z6382"/>
  <c r="W6382"/>
  <c r="Z6381"/>
  <c r="W6381"/>
  <c r="Z6380"/>
  <c r="W6380"/>
  <c r="Z6379"/>
  <c r="W6379"/>
  <c r="AP854" i="944"/>
  <c r="AP836"/>
  <c r="AP828"/>
  <c r="AP800"/>
  <c r="AP791"/>
  <c r="AP779"/>
  <c r="AP771"/>
  <c r="AP765"/>
  <c r="AP759"/>
  <c r="AP749"/>
  <c r="AP748"/>
  <c r="AP794" i="943"/>
  <c r="AP782"/>
  <c r="AP771"/>
  <c r="AP759"/>
  <c r="AP854" i="942"/>
  <c r="AP794"/>
  <c r="AP759"/>
  <c r="AP749"/>
  <c r="BT18" i="996"/>
  <c r="EE18"/>
  <c r="EC18"/>
  <c r="DY18"/>
  <c r="DU18"/>
  <c r="DS18"/>
  <c r="DQ18"/>
  <c r="EF18" i="994"/>
  <c r="EB18"/>
  <c r="DX18"/>
  <c r="DT18"/>
  <c r="AP777" i="944"/>
  <c r="AP720" i="950"/>
  <c r="AP717"/>
  <c r="AP664"/>
  <c r="AP588"/>
  <c r="AP494"/>
  <c r="AP490"/>
  <c r="AP489"/>
  <c r="AP486"/>
  <c r="AP467"/>
  <c r="AP320"/>
  <c r="AP295"/>
  <c r="AP158"/>
  <c r="AP92" s="1"/>
  <c r="AP155"/>
  <c r="AP89" s="1"/>
  <c r="AP148"/>
  <c r="AP82" s="1"/>
  <c r="AP129"/>
  <c r="AP63" s="1"/>
  <c r="AP714" i="948"/>
  <c r="AP702"/>
  <c r="AP597"/>
  <c r="AP591"/>
  <c r="AP587"/>
  <c r="AP498"/>
  <c r="AP488"/>
  <c r="AP55" i="942"/>
  <c r="AP51"/>
  <c r="AP47"/>
  <c r="AP154" i="948"/>
  <c r="AP88" s="1"/>
  <c r="EG18" i="996"/>
  <c r="EG18" i="995"/>
  <c r="EE18"/>
  <c r="EC18"/>
  <c r="DY18"/>
  <c r="DS18"/>
  <c r="DQ18"/>
  <c r="AP701" i="942"/>
  <c r="AP705" i="950"/>
  <c r="AP323"/>
  <c r="AP381" i="948"/>
  <c r="AP316"/>
  <c r="AP151"/>
  <c r="AP85" s="1"/>
  <c r="DZ18" i="996"/>
  <c r="DV18"/>
  <c r="DR18"/>
  <c r="DQ18" i="994"/>
  <c r="AP723" i="949"/>
  <c r="AP701"/>
  <c r="AP594"/>
  <c r="AP586"/>
  <c r="AP498"/>
  <c r="AP492"/>
  <c r="AP466"/>
  <c r="AP315"/>
  <c r="AP154"/>
  <c r="AP88" s="1"/>
  <c r="AP146"/>
  <c r="AP80" s="1"/>
  <c r="AP128"/>
  <c r="AP62" s="1"/>
  <c r="AP28"/>
  <c r="AP389" i="948"/>
  <c r="AP50"/>
  <c r="AP800" i="943"/>
  <c r="AP788"/>
  <c r="AP765"/>
  <c r="AP753"/>
  <c r="AY18" i="993"/>
  <c r="AV18" i="991"/>
  <c r="AT18" s="1"/>
  <c r="AP753" i="944"/>
  <c r="AP729"/>
  <c r="AP750" i="943"/>
  <c r="AP791" i="942"/>
  <c r="AP714" i="950"/>
  <c r="AP702"/>
  <c r="AP597"/>
  <c r="AP592"/>
  <c r="AP591"/>
  <c r="AP587"/>
  <c r="AP381"/>
  <c r="AP346"/>
  <c r="AP714" i="949"/>
  <c r="AP702"/>
  <c r="AP597"/>
  <c r="AP591"/>
  <c r="AP587"/>
  <c r="AP381"/>
  <c r="AP316"/>
  <c r="AP594" i="948"/>
  <c r="AP486"/>
  <c r="AP467"/>
  <c r="AP346"/>
  <c r="AP326"/>
  <c r="AP317"/>
  <c r="AP155"/>
  <c r="AP89"/>
  <c r="EB18" i="996"/>
  <c r="DX18" i="995"/>
  <c r="DP18"/>
  <c r="AL10895" i="967"/>
  <c r="AI10895"/>
  <c r="AF10895"/>
  <c r="AC10895"/>
  <c r="Z10895"/>
  <c r="W10895"/>
  <c r="O10891"/>
  <c r="O10888"/>
  <c r="O10885"/>
  <c r="O10882"/>
  <c r="O10881"/>
  <c r="O10880"/>
  <c r="O11251"/>
  <c r="O11248"/>
  <c r="O11245"/>
  <c r="O11242"/>
  <c r="O11241"/>
  <c r="O11240"/>
  <c r="AP161" i="1099"/>
  <c r="AO157"/>
  <c r="AO154"/>
  <c r="AO151"/>
  <c r="AO148"/>
  <c r="AO147"/>
  <c r="AO146"/>
  <c r="AP161" i="1098"/>
  <c r="AP161" i="1097"/>
  <c r="AO157"/>
  <c r="AO154"/>
  <c r="AO151"/>
  <c r="AO148"/>
  <c r="AO147"/>
  <c r="AO146"/>
  <c r="AO157" i="1095"/>
  <c r="AO154"/>
  <c r="AO151"/>
  <c r="AO148"/>
  <c r="AO147"/>
  <c r="AO146"/>
  <c r="AO146" i="1093"/>
  <c r="V10869" i="967"/>
  <c r="W10869" s="1"/>
  <c r="O10826"/>
  <c r="O10825"/>
  <c r="O10824"/>
  <c r="O10820"/>
  <c r="N10820"/>
  <c r="O11067"/>
  <c r="N11067"/>
  <c r="O11066"/>
  <c r="O10996"/>
  <c r="O10995"/>
  <c r="O10994"/>
  <c r="O10990"/>
  <c r="N10990"/>
  <c r="AB10869"/>
  <c r="AA10869"/>
  <c r="AC10869" s="1"/>
  <c r="X10869"/>
  <c r="O11427"/>
  <c r="N11427"/>
  <c r="O11426"/>
  <c r="O11356"/>
  <c r="O11355"/>
  <c r="O11354"/>
  <c r="O11186"/>
  <c r="O11185"/>
  <c r="O11184"/>
  <c r="O11183"/>
  <c r="N11183"/>
  <c r="O11182"/>
  <c r="N11182"/>
  <c r="O11181"/>
  <c r="N11181"/>
  <c r="O11180"/>
  <c r="N11180"/>
  <c r="AP131" i="1098"/>
  <c r="AP124"/>
  <c r="AP123"/>
  <c r="AP122"/>
  <c r="AP121"/>
  <c r="AP120"/>
  <c r="AP119"/>
  <c r="AP118"/>
  <c r="AP117"/>
  <c r="AP116"/>
  <c r="AP131" i="1099"/>
  <c r="AP124"/>
  <c r="AP123"/>
  <c r="AP122"/>
  <c r="AP121"/>
  <c r="AP120"/>
  <c r="AP119"/>
  <c r="AP118"/>
  <c r="AP117"/>
  <c r="AP116"/>
  <c r="AP115"/>
  <c r="AP131" i="1097"/>
  <c r="AP124"/>
  <c r="AP123"/>
  <c r="AP122"/>
  <c r="AP121"/>
  <c r="AP120"/>
  <c r="AP119"/>
  <c r="AP118"/>
  <c r="AP117"/>
  <c r="AP116"/>
  <c r="AO163" i="1096"/>
  <c r="AN163"/>
  <c r="AO162"/>
  <c r="AP131"/>
  <c r="AP124"/>
  <c r="AP123"/>
  <c r="AP122"/>
  <c r="AP120"/>
  <c r="AP119"/>
  <c r="AP118"/>
  <c r="AP117"/>
  <c r="AP116"/>
  <c r="AP114" i="1046"/>
  <c r="AP114" i="1047"/>
  <c r="AP114" i="1045"/>
  <c r="AP114" i="1044"/>
  <c r="W11229" i="967"/>
  <c r="Z11229"/>
  <c r="Z11226" s="1"/>
  <c r="W11243"/>
  <c r="Z11243"/>
  <c r="W11246"/>
  <c r="Z11246"/>
  <c r="W11249"/>
  <c r="Z11249"/>
  <c r="W11252"/>
  <c r="Z11252"/>
  <c r="O11278"/>
  <c r="Z11273"/>
  <c r="Y11273"/>
  <c r="X11273"/>
  <c r="W11273"/>
  <c r="V11273"/>
  <c r="U11273"/>
  <c r="T11273"/>
  <c r="S11273"/>
  <c r="R11273"/>
  <c r="O11108"/>
  <c r="Z11103"/>
  <c r="Y11103"/>
  <c r="X11103"/>
  <c r="W11103"/>
  <c r="V11103"/>
  <c r="U11103"/>
  <c r="T11103"/>
  <c r="S11103"/>
  <c r="R11103"/>
  <c r="AA10866"/>
  <c r="AB10866"/>
  <c r="AB10855"/>
  <c r="AB10849" s="1"/>
  <c r="AA10855"/>
  <c r="AA10849" s="1"/>
  <c r="X10866"/>
  <c r="X10855"/>
  <c r="X10849"/>
  <c r="Z10849" s="1"/>
  <c r="V10866"/>
  <c r="W10866" s="1"/>
  <c r="W10865"/>
  <c r="W10858"/>
  <c r="W10857"/>
  <c r="W10854"/>
  <c r="W10853"/>
  <c r="W10852"/>
  <c r="W10850"/>
  <c r="O6456"/>
  <c r="O6455"/>
  <c r="O6454"/>
  <c r="O6450"/>
  <c r="N6450"/>
  <c r="O6379"/>
  <c r="O6286"/>
  <c r="O6285"/>
  <c r="O6284"/>
  <c r="O6283"/>
  <c r="N6283"/>
  <c r="O6282"/>
  <c r="N6282"/>
  <c r="O6281"/>
  <c r="N6281"/>
  <c r="O6280"/>
  <c r="N6280"/>
  <c r="O6209"/>
  <c r="Z10865"/>
  <c r="W10856"/>
  <c r="AC10854"/>
  <c r="Z10851"/>
  <c r="W10851"/>
  <c r="Z10850"/>
  <c r="O6030"/>
  <c r="N6030"/>
  <c r="O6029"/>
  <c r="N6029"/>
  <c r="O6028"/>
  <c r="N6028"/>
  <c r="O6027"/>
  <c r="N6027"/>
  <c r="O6026"/>
  <c r="N6026"/>
  <c r="O6025"/>
  <c r="N6025"/>
  <c r="O6024"/>
  <c r="N6024"/>
  <c r="O6023"/>
  <c r="N6023"/>
  <c r="O5850"/>
  <c r="N5850"/>
  <c r="O5849"/>
  <c r="N5849"/>
  <c r="O5848"/>
  <c r="N5848"/>
  <c r="O5846"/>
  <c r="N5846"/>
  <c r="O5845"/>
  <c r="N5845"/>
  <c r="O5844"/>
  <c r="N5844"/>
  <c r="O5841"/>
  <c r="N5841"/>
  <c r="O5840"/>
  <c r="N5840"/>
  <c r="O5837"/>
  <c r="N5837"/>
  <c r="O5836"/>
  <c r="N5836"/>
  <c r="O745"/>
  <c r="N745"/>
  <c r="O744"/>
  <c r="N744"/>
  <c r="O743"/>
  <c r="N743"/>
  <c r="O741"/>
  <c r="N741"/>
  <c r="O740"/>
  <c r="N740"/>
  <c r="O739"/>
  <c r="N739"/>
  <c r="O736"/>
  <c r="N736"/>
  <c r="O735"/>
  <c r="N735"/>
  <c r="O732"/>
  <c r="N732"/>
  <c r="O731"/>
  <c r="N731"/>
  <c r="O10918"/>
  <c r="AC10913"/>
  <c r="AB10913"/>
  <c r="AA10913"/>
  <c r="Z10913"/>
  <c r="Y10913"/>
  <c r="X10913"/>
  <c r="W10913"/>
  <c r="V10913"/>
  <c r="U10913"/>
  <c r="T10913"/>
  <c r="S10913"/>
  <c r="R10913"/>
  <c r="AK10892"/>
  <c r="AJ10892"/>
  <c r="AG10892"/>
  <c r="AE10892"/>
  <c r="AB10892"/>
  <c r="AA10892"/>
  <c r="X10892"/>
  <c r="V10892"/>
  <c r="AK10889"/>
  <c r="AJ10889"/>
  <c r="AG10889"/>
  <c r="AE10889"/>
  <c r="AB10889"/>
  <c r="AA10889"/>
  <c r="X10889"/>
  <c r="V10889"/>
  <c r="AK10886"/>
  <c r="AJ10886"/>
  <c r="AG10886"/>
  <c r="AE10886"/>
  <c r="AB10886"/>
  <c r="AA10886"/>
  <c r="X10886"/>
  <c r="V10886"/>
  <c r="AK10883"/>
  <c r="AJ10883"/>
  <c r="AG10883"/>
  <c r="AE10883"/>
  <c r="AB10883"/>
  <c r="AA10883"/>
  <c r="X10883"/>
  <c r="V10883"/>
  <c r="Z10869"/>
  <c r="AC10868"/>
  <c r="Z10868"/>
  <c r="AC10865"/>
  <c r="Z10858"/>
  <c r="AC10857"/>
  <c r="Z10857"/>
  <c r="AC10856"/>
  <c r="Z10856"/>
  <c r="Z10855"/>
  <c r="Z10854"/>
  <c r="Z10853"/>
  <c r="AC10852"/>
  <c r="Z10852"/>
  <c r="AC10851"/>
  <c r="AB10820"/>
  <c r="AA10820"/>
  <c r="AC10820" s="1"/>
  <c r="X10820"/>
  <c r="Z10820" s="1"/>
  <c r="V10820"/>
  <c r="W10820" s="1"/>
  <c r="O10748"/>
  <c r="AC10743"/>
  <c r="AB10743"/>
  <c r="AA10743"/>
  <c r="Z10743"/>
  <c r="Y10743"/>
  <c r="X10743"/>
  <c r="W10743"/>
  <c r="V10743"/>
  <c r="U10743"/>
  <c r="T10743"/>
  <c r="S10743"/>
  <c r="R10743"/>
  <c r="AO90" i="1095"/>
  <c r="AO86"/>
  <c r="AN86"/>
  <c r="AO90" i="1094"/>
  <c r="AO86"/>
  <c r="AN86"/>
  <c r="AO162" i="1092"/>
  <c r="AN163"/>
  <c r="AO163"/>
  <c r="AN9" i="1045"/>
  <c r="AN9" i="1046"/>
  <c r="AN9" i="1047"/>
  <c r="AN9" i="1044"/>
  <c r="AN9" i="1097"/>
  <c r="AN9" i="1098"/>
  <c r="AN9" i="1099"/>
  <c r="AN9" i="1096"/>
  <c r="AN9" i="1094"/>
  <c r="AN9" i="1095"/>
  <c r="AN9" i="1093"/>
  <c r="AN9" i="1092"/>
  <c r="AN9" i="1007"/>
  <c r="AN9" i="1006"/>
  <c r="AN9" i="1005"/>
  <c r="AN9" i="1004"/>
  <c r="O10632" i="967"/>
  <c r="N10632"/>
  <c r="O10631"/>
  <c r="N10631"/>
  <c r="O10630"/>
  <c r="N10630"/>
  <c r="O10629"/>
  <c r="N10629"/>
  <c r="O10628"/>
  <c r="N10628"/>
  <c r="O10627"/>
  <c r="N10627"/>
  <c r="O10626"/>
  <c r="N10626"/>
  <c r="O10625"/>
  <c r="N10625"/>
  <c r="O10601"/>
  <c r="N10601"/>
  <c r="O10600"/>
  <c r="O10452"/>
  <c r="N10452"/>
  <c r="O10451"/>
  <c r="N10451"/>
  <c r="O10450"/>
  <c r="N10450"/>
  <c r="O10448"/>
  <c r="N10448"/>
  <c r="O10447"/>
  <c r="N10447"/>
  <c r="O10446"/>
  <c r="N10446"/>
  <c r="O10443"/>
  <c r="N10443"/>
  <c r="O10442"/>
  <c r="N10442"/>
  <c r="O10439"/>
  <c r="N10439"/>
  <c r="O10438"/>
  <c r="N10438"/>
  <c r="AO92" i="1099"/>
  <c r="AO91"/>
  <c r="AO90"/>
  <c r="AP89"/>
  <c r="AO89"/>
  <c r="AN89"/>
  <c r="AP88"/>
  <c r="AP87"/>
  <c r="AO88"/>
  <c r="AN88"/>
  <c r="AO87"/>
  <c r="AN87"/>
  <c r="AP86"/>
  <c r="AO86"/>
  <c r="AN86"/>
  <c r="AO14"/>
  <c r="AO92" i="1098"/>
  <c r="AO91"/>
  <c r="AO90"/>
  <c r="AP89"/>
  <c r="AO89"/>
  <c r="AN89"/>
  <c r="AP88"/>
  <c r="AO88"/>
  <c r="AN88"/>
  <c r="AP87"/>
  <c r="AO87"/>
  <c r="AN87"/>
  <c r="AP86"/>
  <c r="AO86"/>
  <c r="AN86"/>
  <c r="AO14"/>
  <c r="AN10"/>
  <c r="AO154"/>
  <c r="AO92" i="1097"/>
  <c r="AO91"/>
  <c r="AO90"/>
  <c r="AP89"/>
  <c r="AO89"/>
  <c r="AN89"/>
  <c r="AP88"/>
  <c r="AO88"/>
  <c r="AN88"/>
  <c r="AP87"/>
  <c r="AO87"/>
  <c r="AN87"/>
  <c r="AP86"/>
  <c r="AO86"/>
  <c r="AN86"/>
  <c r="AO14"/>
  <c r="AO92" i="1096"/>
  <c r="AO91"/>
  <c r="AO90"/>
  <c r="AP86"/>
  <c r="AO86"/>
  <c r="AN86"/>
  <c r="AO14"/>
  <c r="AO92" i="1095"/>
  <c r="AO91"/>
  <c r="AO14"/>
  <c r="AO92" i="1094"/>
  <c r="AO91"/>
  <c r="AO14"/>
  <c r="AN10"/>
  <c r="AO157" s="1"/>
  <c r="AO157" i="1093"/>
  <c r="AO154"/>
  <c r="AO151"/>
  <c r="AO148"/>
  <c r="AO147"/>
  <c r="AO92"/>
  <c r="AO91"/>
  <c r="AO90"/>
  <c r="AO86"/>
  <c r="AN86"/>
  <c r="AO14"/>
  <c r="AO92" i="1092"/>
  <c r="AO91"/>
  <c r="AO90"/>
  <c r="AO86"/>
  <c r="AN86"/>
  <c r="AO14"/>
  <c r="AO745" i="941"/>
  <c r="AN745"/>
  <c r="AO744"/>
  <c r="AN744"/>
  <c r="AO743"/>
  <c r="AN743"/>
  <c r="AO741"/>
  <c r="AN741"/>
  <c r="AO740"/>
  <c r="AN740"/>
  <c r="AO739"/>
  <c r="AN739"/>
  <c r="AO736"/>
  <c r="AN736"/>
  <c r="AO735"/>
  <c r="AN735"/>
  <c r="AO732"/>
  <c r="AN732"/>
  <c r="AO731"/>
  <c r="AN731"/>
  <c r="AO745" i="1088"/>
  <c r="AN745"/>
  <c r="AO744"/>
  <c r="AN744"/>
  <c r="AO743"/>
  <c r="AN743"/>
  <c r="AO741"/>
  <c r="AN741"/>
  <c r="AO740"/>
  <c r="AN740"/>
  <c r="AO739"/>
  <c r="AN739"/>
  <c r="AO736"/>
  <c r="AN736"/>
  <c r="AO735"/>
  <c r="AN735"/>
  <c r="AO732"/>
  <c r="AN732"/>
  <c r="AO731"/>
  <c r="AN731"/>
  <c r="AO745" i="944"/>
  <c r="AN745"/>
  <c r="AO744"/>
  <c r="AN744"/>
  <c r="AO743"/>
  <c r="AN743"/>
  <c r="AO741"/>
  <c r="AN741"/>
  <c r="AO740"/>
  <c r="AN740"/>
  <c r="AO739"/>
  <c r="AN739"/>
  <c r="AO736"/>
  <c r="AN736"/>
  <c r="AO735"/>
  <c r="AN735"/>
  <c r="AO732"/>
  <c r="AN732"/>
  <c r="AO731"/>
  <c r="AN731"/>
  <c r="AO745" i="943"/>
  <c r="AN745"/>
  <c r="AO744"/>
  <c r="AN744"/>
  <c r="AO743"/>
  <c r="AN743"/>
  <c r="AO741"/>
  <c r="AN741"/>
  <c r="AO740"/>
  <c r="AN740"/>
  <c r="AO739"/>
  <c r="AN739"/>
  <c r="AO736"/>
  <c r="AN736"/>
  <c r="AO735"/>
  <c r="AN735"/>
  <c r="AO732"/>
  <c r="AN732"/>
  <c r="AO731"/>
  <c r="AN731"/>
  <c r="AO745" i="942"/>
  <c r="AN745"/>
  <c r="AO744"/>
  <c r="AN744"/>
  <c r="AO743"/>
  <c r="AN743"/>
  <c r="AO741"/>
  <c r="AN741"/>
  <c r="AO740"/>
  <c r="AN740"/>
  <c r="AO739"/>
  <c r="AN739"/>
  <c r="AO736"/>
  <c r="AN736"/>
  <c r="AO735"/>
  <c r="AN735"/>
  <c r="AO732"/>
  <c r="AN732"/>
  <c r="AO731"/>
  <c r="AN731"/>
  <c r="AO745" i="947"/>
  <c r="AN745"/>
  <c r="AO744"/>
  <c r="AN744"/>
  <c r="AO743"/>
  <c r="AN743"/>
  <c r="AO741"/>
  <c r="AN741"/>
  <c r="AO740"/>
  <c r="AN740"/>
  <c r="AO739"/>
  <c r="AN739"/>
  <c r="AO736"/>
  <c r="AN736"/>
  <c r="AO735"/>
  <c r="AN735"/>
  <c r="AO732"/>
  <c r="AN732"/>
  <c r="AO731"/>
  <c r="AN731"/>
  <c r="AO745" i="946"/>
  <c r="AN745"/>
  <c r="AO744"/>
  <c r="AN744"/>
  <c r="AO743"/>
  <c r="AN743"/>
  <c r="AO741"/>
  <c r="AN741"/>
  <c r="AO740"/>
  <c r="AN740"/>
  <c r="AO739"/>
  <c r="AN739"/>
  <c r="AO736"/>
  <c r="AN736"/>
  <c r="AO735"/>
  <c r="AN735"/>
  <c r="AO732"/>
  <c r="AN732"/>
  <c r="AO731"/>
  <c r="AN731"/>
  <c r="AO745" i="945"/>
  <c r="AN745"/>
  <c r="AO744"/>
  <c r="AN744"/>
  <c r="AO743"/>
  <c r="AN743"/>
  <c r="AO741"/>
  <c r="AN741"/>
  <c r="AO740"/>
  <c r="AN740"/>
  <c r="AO739"/>
  <c r="AN739"/>
  <c r="AO736"/>
  <c r="AN736"/>
  <c r="AO735"/>
  <c r="AN735"/>
  <c r="AO732"/>
  <c r="AN732"/>
  <c r="AO731"/>
  <c r="AN731"/>
  <c r="O9435" i="967"/>
  <c r="N9435"/>
  <c r="O9434"/>
  <c r="N9434"/>
  <c r="O9433"/>
  <c r="N9433"/>
  <c r="O9431"/>
  <c r="N9431"/>
  <c r="O9430"/>
  <c r="N9430"/>
  <c r="O9429"/>
  <c r="N9429"/>
  <c r="O9426"/>
  <c r="N9426"/>
  <c r="O9425"/>
  <c r="N9425"/>
  <c r="O9422"/>
  <c r="N9422"/>
  <c r="O9421"/>
  <c r="N9421"/>
  <c r="AO925" i="1088"/>
  <c r="AN925"/>
  <c r="AO924"/>
  <c r="AN924"/>
  <c r="AO923"/>
  <c r="AN923"/>
  <c r="AO922"/>
  <c r="AN922"/>
  <c r="AO921"/>
  <c r="AN921"/>
  <c r="AO920"/>
  <c r="AN920"/>
  <c r="AO919"/>
  <c r="AN919"/>
  <c r="AO918"/>
  <c r="AN918"/>
  <c r="AO894"/>
  <c r="AN894"/>
  <c r="AO893"/>
  <c r="AF9550" i="967"/>
  <c r="AF9545"/>
  <c r="AC9550"/>
  <c r="Z9550"/>
  <c r="Z9545" s="1"/>
  <c r="W9550"/>
  <c r="W9545" s="1"/>
  <c r="N9580"/>
  <c r="N9579"/>
  <c r="O9578"/>
  <c r="N9577"/>
  <c r="N9576"/>
  <c r="O9575"/>
  <c r="N9574"/>
  <c r="N9573"/>
  <c r="O9572"/>
  <c r="N9571"/>
  <c r="N9570"/>
  <c r="O9569"/>
  <c r="O9568"/>
  <c r="O9567"/>
  <c r="O9721"/>
  <c r="AF9716"/>
  <c r="AE9716"/>
  <c r="AD9716"/>
  <c r="AC9716"/>
  <c r="AB9716"/>
  <c r="AA9716"/>
  <c r="Z9716"/>
  <c r="Y9716"/>
  <c r="X9716"/>
  <c r="W9716"/>
  <c r="V9716"/>
  <c r="U9716"/>
  <c r="T9716"/>
  <c r="S9716"/>
  <c r="R9716"/>
  <c r="AF9579"/>
  <c r="AC9579"/>
  <c r="Z9579"/>
  <c r="W9579"/>
  <c r="AF9576"/>
  <c r="AC9576"/>
  <c r="Z9576"/>
  <c r="W9576"/>
  <c r="AF9573"/>
  <c r="AC9573"/>
  <c r="Z9573"/>
  <c r="W9573"/>
  <c r="AF9570"/>
  <c r="AC9570"/>
  <c r="Z9570"/>
  <c r="W9570"/>
  <c r="T9550"/>
  <c r="O8704"/>
  <c r="AF8699"/>
  <c r="AE8699"/>
  <c r="AD8699"/>
  <c r="AC8699"/>
  <c r="AB8699"/>
  <c r="AA8699"/>
  <c r="Z8699"/>
  <c r="Y8699"/>
  <c r="X8699"/>
  <c r="W8699"/>
  <c r="V8699"/>
  <c r="U8699"/>
  <c r="T8699"/>
  <c r="S8699"/>
  <c r="R8699"/>
  <c r="AP892" i="947"/>
  <c r="AN890"/>
  <c r="AN889"/>
  <c r="AO888"/>
  <c r="AN887"/>
  <c r="AN886"/>
  <c r="AO885"/>
  <c r="AN884"/>
  <c r="AN883"/>
  <c r="AO882"/>
  <c r="AN881"/>
  <c r="AN880"/>
  <c r="AO879"/>
  <c r="AO878"/>
  <c r="AO877"/>
  <c r="AP864"/>
  <c r="AP863"/>
  <c r="AP862"/>
  <c r="AP861"/>
  <c r="AP859"/>
  <c r="AP858"/>
  <c r="AP857"/>
  <c r="AP856"/>
  <c r="AP745"/>
  <c r="AP744"/>
  <c r="AP743"/>
  <c r="AP741"/>
  <c r="AP740"/>
  <c r="AP739"/>
  <c r="AP736"/>
  <c r="AP735"/>
  <c r="AP732"/>
  <c r="AP731"/>
  <c r="AO14"/>
  <c r="AP892" i="946"/>
  <c r="AN890"/>
  <c r="AN889"/>
  <c r="AN887"/>
  <c r="AN886"/>
  <c r="AN884"/>
  <c r="AN883"/>
  <c r="AN881"/>
  <c r="AN880"/>
  <c r="AP864"/>
  <c r="AP863"/>
  <c r="AP862"/>
  <c r="AP861"/>
  <c r="AP859"/>
  <c r="AP858"/>
  <c r="AP857"/>
  <c r="AP856"/>
  <c r="AP745"/>
  <c r="AP744"/>
  <c r="AP743"/>
  <c r="AP741"/>
  <c r="AP740"/>
  <c r="AP739"/>
  <c r="AP736"/>
  <c r="AP735"/>
  <c r="AP732"/>
  <c r="AP731"/>
  <c r="AO14"/>
  <c r="AP864" i="945"/>
  <c r="AO877"/>
  <c r="B8" i="1034"/>
  <c r="AN9" i="1088"/>
  <c r="AP745"/>
  <c r="AP744"/>
  <c r="AP743"/>
  <c r="AP741"/>
  <c r="AP740"/>
  <c r="AP739"/>
  <c r="AP736"/>
  <c r="AP735"/>
  <c r="AP732"/>
  <c r="AP731"/>
  <c r="AO14"/>
  <c r="AP892" i="945"/>
  <c r="AN9" i="947"/>
  <c r="AN9" i="946"/>
  <c r="AN9" i="945"/>
  <c r="AM9" i="950"/>
  <c r="AM9" i="949"/>
  <c r="AM9" i="948"/>
  <c r="AN9" i="941"/>
  <c r="AN9" i="944"/>
  <c r="AN9" i="943"/>
  <c r="AN9" i="942"/>
  <c r="AF7366" i="967"/>
  <c r="AF7364"/>
  <c r="Z7366"/>
  <c r="Z7364"/>
  <c r="E44" i="968"/>
  <c r="AP55" i="1013"/>
  <c r="AP18"/>
  <c r="AP49" i="1045"/>
  <c r="AP22"/>
  <c r="AP109"/>
  <c r="AP80"/>
  <c r="AP43"/>
  <c r="AP34"/>
  <c r="AP31"/>
  <c r="AP21"/>
  <c r="AP49" i="1013"/>
  <c r="AP99" i="1045"/>
  <c r="AP37"/>
  <c r="AP99" i="1013"/>
  <c r="AP141"/>
  <c r="AP55" i="1045"/>
  <c r="AP121" i="1013"/>
  <c r="AP20" i="1045"/>
  <c r="Y3" i="936"/>
  <c r="W729" i="967"/>
  <c r="Z729"/>
  <c r="AF729"/>
  <c r="AL8233"/>
  <c r="AL8201"/>
  <c r="AL8204"/>
  <c r="AL8205" s="1"/>
  <c r="Z8662"/>
  <c r="W8662"/>
  <c r="Z8642"/>
  <c r="W8642"/>
  <c r="Z8649"/>
  <c r="W8649"/>
  <c r="Z8639"/>
  <c r="W8639"/>
  <c r="Z8635"/>
  <c r="Z8629" s="1"/>
  <c r="W8635"/>
  <c r="W8629" s="1"/>
  <c r="Z8623"/>
  <c r="W8623"/>
  <c r="Z8613"/>
  <c r="W8613"/>
  <c r="Z8607"/>
  <c r="W8607"/>
  <c r="Z8594"/>
  <c r="W8594"/>
  <c r="Z8569"/>
  <c r="W8569"/>
  <c r="Z8563"/>
  <c r="W8563"/>
  <c r="Z8532"/>
  <c r="Z8531" s="1"/>
  <c r="W8532"/>
  <c r="W8531" s="1"/>
  <c r="Z8530"/>
  <c r="W8530"/>
  <c r="O8661"/>
  <c r="O8657"/>
  <c r="O8656"/>
  <c r="O8655"/>
  <c r="O8606"/>
  <c r="O8605"/>
  <c r="O8604"/>
  <c r="O8600"/>
  <c r="N8600"/>
  <c r="O8528"/>
  <c r="Z8523"/>
  <c r="Y8523"/>
  <c r="X8523"/>
  <c r="W8523"/>
  <c r="V8523"/>
  <c r="U8523"/>
  <c r="T8523"/>
  <c r="S8523"/>
  <c r="R8523"/>
  <c r="AC8490"/>
  <c r="AC8489"/>
  <c r="AC8488"/>
  <c r="AC8487"/>
  <c r="AC8486"/>
  <c r="Z8490"/>
  <c r="Z8489"/>
  <c r="Z8488"/>
  <c r="Z8487"/>
  <c r="Z8486"/>
  <c r="W8490"/>
  <c r="W8489"/>
  <c r="W8488"/>
  <c r="W8487"/>
  <c r="W8486"/>
  <c r="AB8485"/>
  <c r="AA8485"/>
  <c r="X8485"/>
  <c r="V8485"/>
  <c r="W8485"/>
  <c r="AL8500"/>
  <c r="AL8499"/>
  <c r="AL8498"/>
  <c r="AL8497"/>
  <c r="AL8496"/>
  <c r="AL8495"/>
  <c r="AL8494"/>
  <c r="AL8493"/>
  <c r="AI8500"/>
  <c r="AI8499"/>
  <c r="AI8498"/>
  <c r="AI8497"/>
  <c r="AI8496"/>
  <c r="AI8495"/>
  <c r="AI8494"/>
  <c r="AI8493"/>
  <c r="AF8500"/>
  <c r="AF8499"/>
  <c r="AF8498"/>
  <c r="AF8497"/>
  <c r="AF8496"/>
  <c r="AF8495"/>
  <c r="AF8494"/>
  <c r="AF8493"/>
  <c r="AC8500"/>
  <c r="AC8499"/>
  <c r="AC8498"/>
  <c r="AC8497"/>
  <c r="AC8496"/>
  <c r="AC8495"/>
  <c r="AC8494"/>
  <c r="AC8493"/>
  <c r="Z8500"/>
  <c r="Z8499"/>
  <c r="Z8498"/>
  <c r="Z8497"/>
  <c r="Z8496"/>
  <c r="Z8495"/>
  <c r="Z8494"/>
  <c r="Z8493"/>
  <c r="W8500"/>
  <c r="W8499"/>
  <c r="W8498"/>
  <c r="W8497"/>
  <c r="W8496"/>
  <c r="W8495"/>
  <c r="W8494"/>
  <c r="W8493"/>
  <c r="AK8492"/>
  <c r="AJ8492"/>
  <c r="AL8492" s="1"/>
  <c r="AG8492"/>
  <c r="AI8492" s="1"/>
  <c r="AE8492"/>
  <c r="AF8492" s="1"/>
  <c r="AB8492"/>
  <c r="AA8492"/>
  <c r="AC8492" s="1"/>
  <c r="X8492"/>
  <c r="Z8492"/>
  <c r="V8492"/>
  <c r="AB8472"/>
  <c r="AB8469" s="1"/>
  <c r="AA8472"/>
  <c r="W8492"/>
  <c r="AI8491"/>
  <c r="AF8491"/>
  <c r="AB8479"/>
  <c r="AA8479"/>
  <c r="AC8479"/>
  <c r="X8479"/>
  <c r="Z8479"/>
  <c r="V8479"/>
  <c r="W8479"/>
  <c r="AC8478"/>
  <c r="Z8478"/>
  <c r="W8478"/>
  <c r="AC8475"/>
  <c r="Z8475"/>
  <c r="W8475"/>
  <c r="AC8474"/>
  <c r="Z8474"/>
  <c r="W8474"/>
  <c r="AC8473"/>
  <c r="Z8473"/>
  <c r="W8473"/>
  <c r="AC8471"/>
  <c r="Z8471"/>
  <c r="W8471"/>
  <c r="AC8470"/>
  <c r="Z8470"/>
  <c r="W8470"/>
  <c r="AC8468"/>
  <c r="Z8468"/>
  <c r="W8468"/>
  <c r="AC8467"/>
  <c r="Z8467"/>
  <c r="W8467"/>
  <c r="AC8466"/>
  <c r="Z8466"/>
  <c r="W8466"/>
  <c r="AB8465"/>
  <c r="AB8459" s="1"/>
  <c r="AA8465"/>
  <c r="AC8465" s="1"/>
  <c r="X8465"/>
  <c r="Z8465" s="1"/>
  <c r="V8465"/>
  <c r="W8465" s="1"/>
  <c r="AC8464"/>
  <c r="Z8464"/>
  <c r="W8464"/>
  <c r="AC8463"/>
  <c r="Z8463"/>
  <c r="W8463"/>
  <c r="AC8462"/>
  <c r="Z8462"/>
  <c r="W8462"/>
  <c r="AC8461"/>
  <c r="Z8461"/>
  <c r="W8461"/>
  <c r="AC8460"/>
  <c r="Z8460"/>
  <c r="W8460"/>
  <c r="AC8458"/>
  <c r="Z8458"/>
  <c r="W8458"/>
  <c r="AC8457"/>
  <c r="Z8457"/>
  <c r="W8457"/>
  <c r="AC8456"/>
  <c r="Z8456"/>
  <c r="W8456"/>
  <c r="AC8455"/>
  <c r="Z8455"/>
  <c r="W8455"/>
  <c r="AC8454"/>
  <c r="Z8454"/>
  <c r="W8454"/>
  <c r="AB8453"/>
  <c r="AA8453"/>
  <c r="AC8453"/>
  <c r="X8453"/>
  <c r="Z8453"/>
  <c r="V8453"/>
  <c r="W8453"/>
  <c r="AC8452"/>
  <c r="Z8452"/>
  <c r="W8452"/>
  <c r="AC8451"/>
  <c r="Z8451"/>
  <c r="W8451"/>
  <c r="AC8450"/>
  <c r="Z8450"/>
  <c r="W8450"/>
  <c r="AC8449"/>
  <c r="Z8449"/>
  <c r="W8449"/>
  <c r="AC8448"/>
  <c r="Z8448"/>
  <c r="W8448"/>
  <c r="AC8447"/>
  <c r="Z8447"/>
  <c r="W8447"/>
  <c r="AC8446"/>
  <c r="Z8446"/>
  <c r="W8446"/>
  <c r="AC8445"/>
  <c r="Z8445"/>
  <c r="W8445"/>
  <c r="AC8444"/>
  <c r="Z8444"/>
  <c r="W8444"/>
  <c r="AB8443"/>
  <c r="AA8443"/>
  <c r="AC8443"/>
  <c r="X8443"/>
  <c r="Z8443"/>
  <c r="V8443"/>
  <c r="W8443"/>
  <c r="AC8442"/>
  <c r="Z8442"/>
  <c r="W8442"/>
  <c r="AC8441"/>
  <c r="Z8441"/>
  <c r="W8441"/>
  <c r="AC8440"/>
  <c r="Z8440"/>
  <c r="W8440"/>
  <c r="AC8439"/>
  <c r="Z8439"/>
  <c r="W8439"/>
  <c r="AC8438"/>
  <c r="Z8438"/>
  <c r="W8438"/>
  <c r="AB8437"/>
  <c r="AA8437"/>
  <c r="AC8437"/>
  <c r="X8437"/>
  <c r="Z8437"/>
  <c r="V8437"/>
  <c r="W8437"/>
  <c r="AC8436"/>
  <c r="Z8436"/>
  <c r="W8436"/>
  <c r="AC8435"/>
  <c r="Z8435"/>
  <c r="W8435"/>
  <c r="AC8434"/>
  <c r="Z8434"/>
  <c r="W8434"/>
  <c r="Z8430"/>
  <c r="W8430"/>
  <c r="AC8429"/>
  <c r="Z8429"/>
  <c r="W8429"/>
  <c r="AC8428"/>
  <c r="Z8428"/>
  <c r="W8428"/>
  <c r="AC8427"/>
  <c r="Z8427"/>
  <c r="W8427"/>
  <c r="AC8426"/>
  <c r="Z8426"/>
  <c r="W8426"/>
  <c r="AC8425"/>
  <c r="Z8425"/>
  <c r="W8425"/>
  <c r="AB8424"/>
  <c r="AA8424"/>
  <c r="AC8424" s="1"/>
  <c r="Z8424"/>
  <c r="X8424"/>
  <c r="V8424"/>
  <c r="W8424" s="1"/>
  <c r="AC8421"/>
  <c r="Z8421"/>
  <c r="W8421"/>
  <c r="AC8418"/>
  <c r="Z8418"/>
  <c r="W8418"/>
  <c r="AC8415"/>
  <c r="Z8415"/>
  <c r="W8415"/>
  <c r="AC8409"/>
  <c r="Z8409"/>
  <c r="W8409"/>
  <c r="AC8403"/>
  <c r="Z8403"/>
  <c r="W8403"/>
  <c r="AB8399"/>
  <c r="AA8399"/>
  <c r="AC8399" s="1"/>
  <c r="X8399"/>
  <c r="Z8399" s="1"/>
  <c r="V8399"/>
  <c r="W8399" s="1"/>
  <c r="AC8398"/>
  <c r="Z8398"/>
  <c r="W8398"/>
  <c r="AC8397"/>
  <c r="Z8397"/>
  <c r="W8397"/>
  <c r="AC8396"/>
  <c r="Z8396"/>
  <c r="W8396"/>
  <c r="AC8395"/>
  <c r="Z8395"/>
  <c r="W8395"/>
  <c r="AC8394"/>
  <c r="Z8394"/>
  <c r="W8394"/>
  <c r="AB8393"/>
  <c r="AA8393"/>
  <c r="AC8393" s="1"/>
  <c r="X8393"/>
  <c r="Z8393" s="1"/>
  <c r="V8393"/>
  <c r="W8393" s="1"/>
  <c r="AC8392"/>
  <c r="Z8392"/>
  <c r="W8392"/>
  <c r="AC8391"/>
  <c r="Z8391"/>
  <c r="W8391"/>
  <c r="AC8390"/>
  <c r="Z8390"/>
  <c r="W8390"/>
  <c r="AC8365"/>
  <c r="Z8365"/>
  <c r="W8365"/>
  <c r="AC8364"/>
  <c r="Z8364"/>
  <c r="W8364"/>
  <c r="AA8362"/>
  <c r="W8363"/>
  <c r="AC8353"/>
  <c r="AB8353"/>
  <c r="AA8353"/>
  <c r="Z8353"/>
  <c r="Y8353"/>
  <c r="X8353"/>
  <c r="W8353"/>
  <c r="V8353"/>
  <c r="U8353"/>
  <c r="T8353"/>
  <c r="S8353"/>
  <c r="R8353"/>
  <c r="O8491"/>
  <c r="O8487"/>
  <c r="O8486"/>
  <c r="O8485"/>
  <c r="O8436"/>
  <c r="O8435"/>
  <c r="O8434"/>
  <c r="O8430"/>
  <c r="N8430"/>
  <c r="O8358"/>
  <c r="AF8224"/>
  <c r="AF8220"/>
  <c r="AF8217" s="1"/>
  <c r="Z8224"/>
  <c r="Z8220"/>
  <c r="Z8217"/>
  <c r="W8224"/>
  <c r="W8220"/>
  <c r="W8217" s="1"/>
  <c r="T8233"/>
  <c r="T8185" s="1"/>
  <c r="T8182" s="1"/>
  <c r="AC8233"/>
  <c r="AC8185" s="1"/>
  <c r="AC8182" s="1"/>
  <c r="W8233"/>
  <c r="W8185" s="1"/>
  <c r="W8182" s="1"/>
  <c r="AF8236"/>
  <c r="AF8234"/>
  <c r="AF8233" s="1"/>
  <c r="AF8185" s="1"/>
  <c r="AF8182" s="1"/>
  <c r="Z8236"/>
  <c r="Z8234" s="1"/>
  <c r="Z8233" s="1"/>
  <c r="Z8185" s="1"/>
  <c r="Z8182" s="1"/>
  <c r="AO147" i="1013"/>
  <c r="AO143"/>
  <c r="AO142"/>
  <c r="AO141"/>
  <c r="AO147" i="1003"/>
  <c r="AO143"/>
  <c r="AO142"/>
  <c r="AO141"/>
  <c r="AF8079" i="967"/>
  <c r="AF8075"/>
  <c r="AF8071"/>
  <c r="AF8067"/>
  <c r="AF8066" s="1"/>
  <c r="AC8079"/>
  <c r="AC8075"/>
  <c r="AC8071"/>
  <c r="AC8067"/>
  <c r="AC8066"/>
  <c r="AC8065" s="1"/>
  <c r="Z8079"/>
  <c r="Z8075"/>
  <c r="Z8071"/>
  <c r="Z8066" s="1"/>
  <c r="Z8067"/>
  <c r="W8079"/>
  <c r="W8075"/>
  <c r="W8071"/>
  <c r="W8067"/>
  <c r="W8066" s="1"/>
  <c r="T8079"/>
  <c r="T8075"/>
  <c r="T8071"/>
  <c r="T8067"/>
  <c r="T8066" s="1"/>
  <c r="AC7364"/>
  <c r="W7364"/>
  <c r="AF8201"/>
  <c r="AC8201"/>
  <c r="Z8201"/>
  <c r="W8201"/>
  <c r="AF8197"/>
  <c r="AF8192" s="1"/>
  <c r="AC8197"/>
  <c r="Z8197"/>
  <c r="W8197"/>
  <c r="W8192" s="1"/>
  <c r="T8197"/>
  <c r="T8192" s="1"/>
  <c r="AC8192"/>
  <c r="Z8192"/>
  <c r="AF8191"/>
  <c r="AC8191"/>
  <c r="Z8191"/>
  <c r="W8191"/>
  <c r="T8191"/>
  <c r="AF8173"/>
  <c r="AC8173"/>
  <c r="Z8173"/>
  <c r="W8173"/>
  <c r="T8173"/>
  <c r="AF8165"/>
  <c r="AC8165"/>
  <c r="Z8165"/>
  <c r="W8165"/>
  <c r="T8165"/>
  <c r="AF8140"/>
  <c r="AC8140"/>
  <c r="Z8140"/>
  <c r="W8140"/>
  <c r="T8140"/>
  <c r="AF8111"/>
  <c r="T8111"/>
  <c r="W8111"/>
  <c r="AC8111"/>
  <c r="Z8111"/>
  <c r="AF7358"/>
  <c r="AC7358"/>
  <c r="Z7358"/>
  <c r="W7358"/>
  <c r="T7358"/>
  <c r="AC7352"/>
  <c r="AF7352"/>
  <c r="Z7352"/>
  <c r="W7352"/>
  <c r="T7352"/>
  <c r="O8082"/>
  <c r="N8082"/>
  <c r="O8081"/>
  <c r="N8081"/>
  <c r="O8080"/>
  <c r="N8080"/>
  <c r="O8078"/>
  <c r="N8078"/>
  <c r="O8077"/>
  <c r="N8077"/>
  <c r="O8076"/>
  <c r="N8076"/>
  <c r="O8073"/>
  <c r="N8073"/>
  <c r="O8072"/>
  <c r="N8072"/>
  <c r="O8069"/>
  <c r="N8069"/>
  <c r="O8068"/>
  <c r="N8068"/>
  <c r="O7351"/>
  <c r="AF7346"/>
  <c r="AE7346"/>
  <c r="AD7346"/>
  <c r="AC7346"/>
  <c r="AB7346"/>
  <c r="AA7346"/>
  <c r="Z7346"/>
  <c r="Y7346"/>
  <c r="X7346"/>
  <c r="W7346"/>
  <c r="V7346"/>
  <c r="U7346"/>
  <c r="T7346"/>
  <c r="S7346"/>
  <c r="R7346"/>
  <c r="AO14" i="1013"/>
  <c r="AP156"/>
  <c r="AP155"/>
  <c r="AP154"/>
  <c r="AP153"/>
  <c r="AP152"/>
  <c r="AP151"/>
  <c r="AP150"/>
  <c r="AP149"/>
  <c r="AP156" i="1003"/>
  <c r="AP155"/>
  <c r="AP154"/>
  <c r="AP153"/>
  <c r="AP152"/>
  <c r="AP151"/>
  <c r="AP150"/>
  <c r="AP149"/>
  <c r="AP148"/>
  <c r="AP147" i="1013"/>
  <c r="AP146"/>
  <c r="AP145"/>
  <c r="AP144"/>
  <c r="AP143"/>
  <c r="AP142"/>
  <c r="AP147" i="1003"/>
  <c r="AP146"/>
  <c r="AP145"/>
  <c r="AP144"/>
  <c r="AP143"/>
  <c r="AP142"/>
  <c r="AP141"/>
  <c r="AN9"/>
  <c r="AN9" i="1013"/>
  <c r="AP134"/>
  <c r="AP131"/>
  <c r="AP130"/>
  <c r="AP129"/>
  <c r="AP127"/>
  <c r="AP126"/>
  <c r="AP124"/>
  <c r="AP123"/>
  <c r="AP122"/>
  <c r="AP120"/>
  <c r="AP119"/>
  <c r="AP118"/>
  <c r="AP117"/>
  <c r="AP116"/>
  <c r="AP114"/>
  <c r="AP113"/>
  <c r="AP112"/>
  <c r="AP111"/>
  <c r="AP110"/>
  <c r="AP108"/>
  <c r="AP107"/>
  <c r="AP106"/>
  <c r="AP105"/>
  <c r="AP104"/>
  <c r="AP103"/>
  <c r="AP102"/>
  <c r="AP101"/>
  <c r="AP100"/>
  <c r="AP98"/>
  <c r="AP97"/>
  <c r="AP96"/>
  <c r="AP95"/>
  <c r="AP94"/>
  <c r="AP92"/>
  <c r="AO92"/>
  <c r="AP91"/>
  <c r="AO91"/>
  <c r="AP90"/>
  <c r="AO90"/>
  <c r="AP86"/>
  <c r="AO86"/>
  <c r="AN86"/>
  <c r="AP85"/>
  <c r="AP84"/>
  <c r="AP83"/>
  <c r="AP82"/>
  <c r="AP81"/>
  <c r="AP77"/>
  <c r="AP74"/>
  <c r="AP71"/>
  <c r="AP65"/>
  <c r="AP59"/>
  <c r="AP54"/>
  <c r="AP53"/>
  <c r="AP52"/>
  <c r="AP51"/>
  <c r="AP50"/>
  <c r="AP48"/>
  <c r="AP47"/>
  <c r="AP46"/>
  <c r="AP21"/>
  <c r="AP20"/>
  <c r="AP19"/>
  <c r="AP136" i="1003"/>
  <c r="AP135"/>
  <c r="AP134"/>
  <c r="AP133"/>
  <c r="AP132"/>
  <c r="AP131"/>
  <c r="AP130"/>
  <c r="AP129"/>
  <c r="AP128"/>
  <c r="AP127"/>
  <c r="AP126"/>
  <c r="AP125"/>
  <c r="AP124"/>
  <c r="AP123"/>
  <c r="AP122"/>
  <c r="AP121"/>
  <c r="AP120"/>
  <c r="AP119"/>
  <c r="AP118"/>
  <c r="AP117"/>
  <c r="AP116"/>
  <c r="AP115"/>
  <c r="AP114"/>
  <c r="AP113"/>
  <c r="AP112"/>
  <c r="AP111"/>
  <c r="AP110"/>
  <c r="AP109"/>
  <c r="AP108"/>
  <c r="AP107"/>
  <c r="AP106"/>
  <c r="AP105"/>
  <c r="AP104"/>
  <c r="AP103"/>
  <c r="AP102"/>
  <c r="AP101"/>
  <c r="AP100"/>
  <c r="AP99"/>
  <c r="AP98"/>
  <c r="AP97"/>
  <c r="AP96"/>
  <c r="AP95"/>
  <c r="AP94"/>
  <c r="AP93"/>
  <c r="AP92"/>
  <c r="AO92"/>
  <c r="AP91"/>
  <c r="AO91"/>
  <c r="AP90"/>
  <c r="AO90"/>
  <c r="AP86"/>
  <c r="AO86"/>
  <c r="AN86"/>
  <c r="AP85"/>
  <c r="AP84"/>
  <c r="AP83"/>
  <c r="AP82"/>
  <c r="AP81"/>
  <c r="AP80"/>
  <c r="AP77"/>
  <c r="AP74"/>
  <c r="AP71"/>
  <c r="AP65"/>
  <c r="AP59"/>
  <c r="AP55"/>
  <c r="AP54"/>
  <c r="AP53"/>
  <c r="AP52"/>
  <c r="AP51"/>
  <c r="AP50"/>
  <c r="AP49"/>
  <c r="AP48"/>
  <c r="AP47"/>
  <c r="AP46"/>
  <c r="AP21"/>
  <c r="AP20"/>
  <c r="AP19"/>
  <c r="AP18"/>
  <c r="AP17"/>
  <c r="AO14"/>
  <c r="AP923" i="940"/>
  <c r="AP922"/>
  <c r="AP921"/>
  <c r="AP920"/>
  <c r="AP919"/>
  <c r="AP918"/>
  <c r="AP917"/>
  <c r="AP916"/>
  <c r="AP915"/>
  <c r="AP914"/>
  <c r="AP913"/>
  <c r="AP912"/>
  <c r="AP911"/>
  <c r="AP910"/>
  <c r="AP909"/>
  <c r="AP908"/>
  <c r="AP907"/>
  <c r="AP906"/>
  <c r="AP905"/>
  <c r="AP904"/>
  <c r="AP903"/>
  <c r="AP902"/>
  <c r="AP901"/>
  <c r="AP900"/>
  <c r="AP899"/>
  <c r="AP898"/>
  <c r="AP897"/>
  <c r="AP896"/>
  <c r="AP894"/>
  <c r="AP893"/>
  <c r="AP892"/>
  <c r="AP891"/>
  <c r="AP890"/>
  <c r="AP889"/>
  <c r="AP888"/>
  <c r="AP887"/>
  <c r="AP886"/>
  <c r="AP885"/>
  <c r="AP884"/>
  <c r="AP883"/>
  <c r="AP882"/>
  <c r="AP881"/>
  <c r="AP880"/>
  <c r="AN9"/>
  <c r="AP871"/>
  <c r="AP869"/>
  <c r="AP868"/>
  <c r="AP867"/>
  <c r="AP866"/>
  <c r="AP865"/>
  <c r="AP864"/>
  <c r="AP863"/>
  <c r="AP862"/>
  <c r="AP861"/>
  <c r="AP860"/>
  <c r="AP859"/>
  <c r="AP858"/>
  <c r="AP857"/>
  <c r="AP856"/>
  <c r="AP855"/>
  <c r="AP854"/>
  <c r="AP853"/>
  <c r="AP850"/>
  <c r="AP849"/>
  <c r="AP848"/>
  <c r="AP847"/>
  <c r="AP846"/>
  <c r="AP845"/>
  <c r="AP844"/>
  <c r="AP843"/>
  <c r="AP842"/>
  <c r="AP841"/>
  <c r="AP840"/>
  <c r="AP839"/>
  <c r="AP838"/>
  <c r="AP837"/>
  <c r="AP836"/>
  <c r="AP835"/>
  <c r="AP834"/>
  <c r="AP833"/>
  <c r="AP832"/>
  <c r="AP831"/>
  <c r="AP830"/>
  <c r="AP829"/>
  <c r="AP828"/>
  <c r="AP825"/>
  <c r="AP822"/>
  <c r="AP819"/>
  <c r="AP813"/>
  <c r="AP807"/>
  <c r="AP803"/>
  <c r="AP778"/>
  <c r="AP777"/>
  <c r="AP776"/>
  <c r="AP775"/>
  <c r="AP774"/>
  <c r="AP749"/>
  <c r="AP748"/>
  <c r="AP747"/>
  <c r="AP746"/>
  <c r="AP745"/>
  <c r="AO745"/>
  <c r="AN745"/>
  <c r="AP744"/>
  <c r="AO744"/>
  <c r="AN744"/>
  <c r="AP743"/>
  <c r="AO743"/>
  <c r="AN743"/>
  <c r="AP742"/>
  <c r="AP741"/>
  <c r="AO741"/>
  <c r="AN741"/>
  <c r="AP740"/>
  <c r="AO740"/>
  <c r="AN740"/>
  <c r="AP739"/>
  <c r="AO739"/>
  <c r="AN739"/>
  <c r="AP738"/>
  <c r="AP736"/>
  <c r="AO736"/>
  <c r="AN736"/>
  <c r="AP735"/>
  <c r="AO735"/>
  <c r="AN735"/>
  <c r="AP734"/>
  <c r="AP732"/>
  <c r="AO732"/>
  <c r="AN732"/>
  <c r="AP731"/>
  <c r="AO731"/>
  <c r="AN731"/>
  <c r="AP730"/>
  <c r="AP729"/>
  <c r="AP728"/>
  <c r="AP727"/>
  <c r="AP701"/>
  <c r="AP700"/>
  <c r="AP59"/>
  <c r="AP58"/>
  <c r="AP57"/>
  <c r="AP56"/>
  <c r="AP55"/>
  <c r="AP54"/>
  <c r="AP53"/>
  <c r="AP52"/>
  <c r="AP51"/>
  <c r="AP50"/>
  <c r="AP49"/>
  <c r="AP48"/>
  <c r="AP47"/>
  <c r="AP46"/>
  <c r="AP38"/>
  <c r="AP30"/>
  <c r="AP29"/>
  <c r="AP28"/>
  <c r="AP27"/>
  <c r="AP26"/>
  <c r="AP25"/>
  <c r="AP24"/>
  <c r="AP23"/>
  <c r="AP22"/>
  <c r="AP21"/>
  <c r="AP20"/>
  <c r="AP17"/>
  <c r="AP16"/>
  <c r="AP15"/>
  <c r="AO14"/>
  <c r="AO14" i="944"/>
  <c r="AP16"/>
  <c r="AP19"/>
  <c r="AP18"/>
  <c r="AP20"/>
  <c r="AP22"/>
  <c r="AP23"/>
  <c r="AP24"/>
  <c r="AP25"/>
  <c r="AP26"/>
  <c r="AP730"/>
  <c r="AP731"/>
  <c r="AP732"/>
  <c r="AP734"/>
  <c r="AP735"/>
  <c r="AP736"/>
  <c r="AP738"/>
  <c r="AP739"/>
  <c r="AP740"/>
  <c r="AP741"/>
  <c r="AP742"/>
  <c r="AP743"/>
  <c r="AP744"/>
  <c r="AP745"/>
  <c r="AP746"/>
  <c r="AP752"/>
  <c r="AP751" s="1"/>
  <c r="AP755"/>
  <c r="AP754" s="1"/>
  <c r="AP758"/>
  <c r="AP757" s="1"/>
  <c r="AP761"/>
  <c r="AP760" s="1"/>
  <c r="AP764"/>
  <c r="AP763" s="1"/>
  <c r="AP767"/>
  <c r="AP766" s="1"/>
  <c r="AP770"/>
  <c r="AP769" s="1"/>
  <c r="AP773"/>
  <c r="AP772" s="1"/>
  <c r="AP775"/>
  <c r="AP781"/>
  <c r="AP780"/>
  <c r="AP784"/>
  <c r="AP783"/>
  <c r="AP787"/>
  <c r="AP786"/>
  <c r="AP790"/>
  <c r="AP789"/>
  <c r="AP793"/>
  <c r="AP792"/>
  <c r="AP796"/>
  <c r="AP795"/>
  <c r="AP799"/>
  <c r="AP798"/>
  <c r="AP802"/>
  <c r="AP801"/>
  <c r="AP807"/>
  <c r="AP809"/>
  <c r="AP808" s="1"/>
  <c r="AP813"/>
  <c r="AP815"/>
  <c r="AP814"/>
  <c r="AP819"/>
  <c r="AP821"/>
  <c r="AP820" s="1"/>
  <c r="AP822"/>
  <c r="AP824"/>
  <c r="AP823"/>
  <c r="AP825"/>
  <c r="AP827"/>
  <c r="AP826" s="1"/>
  <c r="AP829"/>
  <c r="AP830"/>
  <c r="AP831"/>
  <c r="AP832"/>
  <c r="AP833"/>
  <c r="AP834"/>
  <c r="AP835"/>
  <c r="AP837"/>
  <c r="AP838"/>
  <c r="AP839"/>
  <c r="AP840"/>
  <c r="AP841"/>
  <c r="AP842"/>
  <c r="AP843"/>
  <c r="AP844"/>
  <c r="AN10" i="943"/>
  <c r="AO14"/>
  <c r="AP16"/>
  <c r="AP19"/>
  <c r="AP18"/>
  <c r="AP20"/>
  <c r="AP22"/>
  <c r="AP23"/>
  <c r="AP24"/>
  <c r="AP25"/>
  <c r="AP26"/>
  <c r="AP730"/>
  <c r="AP731"/>
  <c r="AP732"/>
  <c r="AP734"/>
  <c r="AP735"/>
  <c r="AP736"/>
  <c r="AP738"/>
  <c r="AP739"/>
  <c r="AP740"/>
  <c r="AP741"/>
  <c r="AP742"/>
  <c r="AP743"/>
  <c r="AP744"/>
  <c r="AP745"/>
  <c r="AP746"/>
  <c r="AP752"/>
  <c r="AP751" s="1"/>
  <c r="AP755"/>
  <c r="AP754" s="1"/>
  <c r="AP758"/>
  <c r="AP757" s="1"/>
  <c r="AP761"/>
  <c r="AP760" s="1"/>
  <c r="AP764"/>
  <c r="AP763" s="1"/>
  <c r="AP767"/>
  <c r="AP766" s="1"/>
  <c r="AP770"/>
  <c r="AP769" s="1"/>
  <c r="AP773"/>
  <c r="AP772" s="1"/>
  <c r="AP775"/>
  <c r="AP781"/>
  <c r="AP780"/>
  <c r="AP784"/>
  <c r="AP783"/>
  <c r="AP787"/>
  <c r="AP786"/>
  <c r="AP790"/>
  <c r="AP789"/>
  <c r="AP793"/>
  <c r="AP792"/>
  <c r="AP796"/>
  <c r="AP795"/>
  <c r="AP799"/>
  <c r="AP798"/>
  <c r="AP802"/>
  <c r="AP801"/>
  <c r="AP807"/>
  <c r="AP809"/>
  <c r="AP808" s="1"/>
  <c r="AP813"/>
  <c r="AP815"/>
  <c r="AP814"/>
  <c r="AP819"/>
  <c r="AP821"/>
  <c r="AP820" s="1"/>
  <c r="AP822"/>
  <c r="AP824"/>
  <c r="AP823"/>
  <c r="AP825"/>
  <c r="AP827"/>
  <c r="AP826" s="1"/>
  <c r="AP829"/>
  <c r="AP830"/>
  <c r="AP831"/>
  <c r="AP832"/>
  <c r="AP833"/>
  <c r="AP834"/>
  <c r="AP835"/>
  <c r="AP837"/>
  <c r="AP838"/>
  <c r="AP839"/>
  <c r="AP840"/>
  <c r="AP841"/>
  <c r="AP842"/>
  <c r="AP843"/>
  <c r="AP844"/>
  <c r="AO14" i="942"/>
  <c r="AP16"/>
  <c r="AP19"/>
  <c r="AP18"/>
  <c r="AP20"/>
  <c r="AP22"/>
  <c r="AP23"/>
  <c r="AP24"/>
  <c r="AP25"/>
  <c r="AP26"/>
  <c r="AP730"/>
  <c r="AP731"/>
  <c r="AP732"/>
  <c r="AP734"/>
  <c r="AP735"/>
  <c r="AP736"/>
  <c r="AP738"/>
  <c r="AP739"/>
  <c r="AP740"/>
  <c r="AP741"/>
  <c r="AP742"/>
  <c r="AP743"/>
  <c r="AP744"/>
  <c r="AP745"/>
  <c r="AP746"/>
  <c r="AP752"/>
  <c r="AP751" s="1"/>
  <c r="AP755"/>
  <c r="AP754" s="1"/>
  <c r="AP758"/>
  <c r="AP757" s="1"/>
  <c r="AP761"/>
  <c r="AP760" s="1"/>
  <c r="AP764"/>
  <c r="AP763" s="1"/>
  <c r="AP767"/>
  <c r="AP766" s="1"/>
  <c r="AP770"/>
  <c r="AP769" s="1"/>
  <c r="AP773"/>
  <c r="AP772" s="1"/>
  <c r="AP775"/>
  <c r="AP779"/>
  <c r="AP781"/>
  <c r="AP780" s="1"/>
  <c r="AP784"/>
  <c r="AP783" s="1"/>
  <c r="AP787"/>
  <c r="AP786" s="1"/>
  <c r="AP790"/>
  <c r="AP789" s="1"/>
  <c r="AP793"/>
  <c r="AP792" s="1"/>
  <c r="AP796"/>
  <c r="AP795" s="1"/>
  <c r="AP799"/>
  <c r="AP798" s="1"/>
  <c r="AP802"/>
  <c r="AP801" s="1"/>
  <c r="AP803"/>
  <c r="AP807"/>
  <c r="AP809"/>
  <c r="AP808" s="1"/>
  <c r="AP813"/>
  <c r="AP815"/>
  <c r="AP814"/>
  <c r="AP819"/>
  <c r="AP821"/>
  <c r="AP820" s="1"/>
  <c r="AP822"/>
  <c r="AP824"/>
  <c r="AP823"/>
  <c r="AP825"/>
  <c r="AP827"/>
  <c r="AP826" s="1"/>
  <c r="AP829"/>
  <c r="AP830"/>
  <c r="AP831"/>
  <c r="AP832"/>
  <c r="AP833"/>
  <c r="AP834"/>
  <c r="AP835"/>
  <c r="AP837"/>
  <c r="AP838"/>
  <c r="AP839"/>
  <c r="AP840"/>
  <c r="AP841"/>
  <c r="AP842"/>
  <c r="AP843"/>
  <c r="AP844"/>
  <c r="F1" i="939"/>
  <c r="F3"/>
  <c r="C1" s="1"/>
  <c r="BF2"/>
  <c r="BF3"/>
  <c r="F29"/>
  <c r="F39" s="1"/>
  <c r="J29"/>
  <c r="U29"/>
  <c r="P29" s="1"/>
  <c r="J31"/>
  <c r="Q31"/>
  <c r="U31"/>
  <c r="Z31"/>
  <c r="AA31"/>
  <c r="AB31"/>
  <c r="BF31"/>
  <c r="U32"/>
  <c r="P32"/>
  <c r="U33"/>
  <c r="P33"/>
  <c r="U34"/>
  <c r="P34"/>
  <c r="U35"/>
  <c r="P35"/>
  <c r="U36"/>
  <c r="P36"/>
  <c r="U37"/>
  <c r="P37"/>
  <c r="U38"/>
  <c r="U39"/>
  <c r="P39" s="1"/>
  <c r="U40"/>
  <c r="U41"/>
  <c r="P41"/>
  <c r="U42"/>
  <c r="P42"/>
  <c r="U43"/>
  <c r="P43"/>
  <c r="F57"/>
  <c r="F68"/>
  <c r="O57"/>
  <c r="J59"/>
  <c r="J57" s="1"/>
  <c r="R60"/>
  <c r="R61"/>
  <c r="R62"/>
  <c r="R63"/>
  <c r="R64"/>
  <c r="R65"/>
  <c r="R66"/>
  <c r="R67"/>
  <c r="R68"/>
  <c r="R69"/>
  <c r="R70"/>
  <c r="R71"/>
  <c r="U59"/>
  <c r="U57" s="1"/>
  <c r="Z59"/>
  <c r="Z57" s="1"/>
  <c r="AA59"/>
  <c r="AA57" s="1"/>
  <c r="AB59"/>
  <c r="AB57" s="1"/>
  <c r="S59"/>
  <c r="S57" s="1"/>
  <c r="T59"/>
  <c r="T57" s="1"/>
  <c r="BF59"/>
  <c r="U60"/>
  <c r="U61"/>
  <c r="U62"/>
  <c r="U63"/>
  <c r="U64"/>
  <c r="U65"/>
  <c r="U66"/>
  <c r="U67"/>
  <c r="U68"/>
  <c r="U69"/>
  <c r="U70"/>
  <c r="U71"/>
  <c r="F118"/>
  <c r="Q121"/>
  <c r="R121"/>
  <c r="R122"/>
  <c r="S122"/>
  <c r="T122"/>
  <c r="L124"/>
  <c r="Q124"/>
  <c r="R124"/>
  <c r="S124"/>
  <c r="T124"/>
  <c r="W124"/>
  <c r="F125"/>
  <c r="R125"/>
  <c r="S125"/>
  <c r="T125"/>
  <c r="F127"/>
  <c r="G127"/>
  <c r="DM130"/>
  <c r="DN130"/>
  <c r="DO130"/>
  <c r="DP130"/>
  <c r="DQ130"/>
  <c r="DR130"/>
  <c r="DM136"/>
  <c r="DN136"/>
  <c r="DO136"/>
  <c r="DP136"/>
  <c r="DQ136"/>
  <c r="DR136"/>
  <c r="DM138"/>
  <c r="DN138"/>
  <c r="DO138"/>
  <c r="DP138"/>
  <c r="DQ138"/>
  <c r="DR138"/>
  <c r="W4497" i="967"/>
  <c r="W4496"/>
  <c r="W4495"/>
  <c r="W4494"/>
  <c r="W4493"/>
  <c r="W4492"/>
  <c r="W4491"/>
  <c r="W4483"/>
  <c r="W4456"/>
  <c r="CA501" i="1037"/>
  <c r="CB501" s="1"/>
  <c r="EC501" s="1"/>
  <c r="BL501"/>
  <c r="AW501"/>
  <c r="CA475"/>
  <c r="CB475"/>
  <c r="EC475" s="1"/>
  <c r="BL475"/>
  <c r="DV475" s="1"/>
  <c r="AW475"/>
  <c r="CA474"/>
  <c r="BL474"/>
  <c r="DV474" s="1"/>
  <c r="AW474"/>
  <c r="CA467"/>
  <c r="BL467"/>
  <c r="BM467" s="1"/>
  <c r="DW467" s="1"/>
  <c r="AW467"/>
  <c r="AX467"/>
  <c r="DQ467" s="1"/>
  <c r="CA458"/>
  <c r="BL458"/>
  <c r="AW458"/>
  <c r="CB271"/>
  <c r="CA271"/>
  <c r="BM271"/>
  <c r="BL271"/>
  <c r="AX271"/>
  <c r="AW271"/>
  <c r="CB269"/>
  <c r="CA269"/>
  <c r="BM269"/>
  <c r="BL269"/>
  <c r="AX269"/>
  <c r="AW269"/>
  <c r="CB267"/>
  <c r="CA267"/>
  <c r="BM267"/>
  <c r="BL267"/>
  <c r="AX267"/>
  <c r="AW267"/>
  <c r="CB265"/>
  <c r="CA265"/>
  <c r="BM265"/>
  <c r="BL265"/>
  <c r="AX265"/>
  <c r="AW265"/>
  <c r="CB263"/>
  <c r="CA263"/>
  <c r="BM263"/>
  <c r="BL263"/>
  <c r="AX263"/>
  <c r="AW263"/>
  <c r="CB259"/>
  <c r="CA259"/>
  <c r="BM259"/>
  <c r="BL259"/>
  <c r="AX259"/>
  <c r="AW259"/>
  <c r="CB223"/>
  <c r="CA223"/>
  <c r="BM223"/>
  <c r="BL223"/>
  <c r="AX223"/>
  <c r="AW223"/>
  <c r="CB222"/>
  <c r="CA222"/>
  <c r="BM222"/>
  <c r="BL222"/>
  <c r="AX222"/>
  <c r="AW222"/>
  <c r="CB221"/>
  <c r="CA221"/>
  <c r="BM221"/>
  <c r="BL221"/>
  <c r="AX221"/>
  <c r="AW221"/>
  <c r="CB220"/>
  <c r="CA220"/>
  <c r="BM220"/>
  <c r="BL220"/>
  <c r="AX220"/>
  <c r="AW220"/>
  <c r="CB219"/>
  <c r="CA219"/>
  <c r="BM219"/>
  <c r="BL219"/>
  <c r="AX219"/>
  <c r="AW219"/>
  <c r="CB218"/>
  <c r="CA218"/>
  <c r="BM218"/>
  <c r="BL218"/>
  <c r="AX218"/>
  <c r="AW218"/>
  <c r="CB217"/>
  <c r="CA217"/>
  <c r="BM217"/>
  <c r="BL217"/>
  <c r="AX217"/>
  <c r="AW217"/>
  <c r="CB216"/>
  <c r="CA216"/>
  <c r="BM216"/>
  <c r="BL216"/>
  <c r="AX216"/>
  <c r="AW216"/>
  <c r="CB215"/>
  <c r="CA215"/>
  <c r="BM215"/>
  <c r="BL215"/>
  <c r="AX215"/>
  <c r="AW215"/>
  <c r="CB214"/>
  <c r="CA214"/>
  <c r="BM214"/>
  <c r="BL214"/>
  <c r="AX214"/>
  <c r="AW214"/>
  <c r="CB211"/>
  <c r="CA211"/>
  <c r="BM211"/>
  <c r="BL211"/>
  <c r="AX211"/>
  <c r="AW211"/>
  <c r="CB210"/>
  <c r="CA210"/>
  <c r="BM210"/>
  <c r="BL210"/>
  <c r="AX210"/>
  <c r="AW210"/>
  <c r="DV501"/>
  <c r="AX475"/>
  <c r="DQ475" s="1"/>
  <c r="CB467"/>
  <c r="EC467" s="1"/>
  <c r="AX458"/>
  <c r="DQ458" s="1"/>
  <c r="I121" i="938"/>
  <c r="H121"/>
  <c r="CH15" i="1065"/>
  <c r="BS15"/>
  <c r="BD15"/>
  <c r="CH15" i="1064"/>
  <c r="BS15"/>
  <c r="BD15"/>
  <c r="CH15" i="1063"/>
  <c r="BS15"/>
  <c r="BD15"/>
  <c r="CH15" i="1059"/>
  <c r="BS15"/>
  <c r="BD15"/>
  <c r="CH15" i="1057"/>
  <c r="BS15"/>
  <c r="BD15"/>
  <c r="CH15" i="1054"/>
  <c r="BS15"/>
  <c r="BD15"/>
  <c r="CH15" i="996"/>
  <c r="BS15"/>
  <c r="BD15"/>
  <c r="CH15" i="995"/>
  <c r="BS15"/>
  <c r="BD15"/>
  <c r="CH15" i="994"/>
  <c r="BS15"/>
  <c r="BD15"/>
  <c r="CH493" i="1037"/>
  <c r="BS493"/>
  <c r="BD493"/>
  <c r="CH449"/>
  <c r="BS449"/>
  <c r="BD449"/>
  <c r="CF15" i="1065"/>
  <c r="BQ15"/>
  <c r="BB15"/>
  <c r="CF15" i="1064"/>
  <c r="BQ15"/>
  <c r="BB15"/>
  <c r="CF15" i="1063"/>
  <c r="BQ15"/>
  <c r="BB15"/>
  <c r="CF15" i="1059"/>
  <c r="BQ15"/>
  <c r="BB15"/>
  <c r="CF15" i="1057"/>
  <c r="BQ15"/>
  <c r="BB15"/>
  <c r="CF15" i="1054"/>
  <c r="BQ15"/>
  <c r="BB15"/>
  <c r="CF15" i="996"/>
  <c r="BQ15"/>
  <c r="BB15"/>
  <c r="CF15" i="995"/>
  <c r="BQ15"/>
  <c r="BB15"/>
  <c r="CF15" i="994"/>
  <c r="BQ15"/>
  <c r="BB15"/>
  <c r="CF493" i="1037"/>
  <c r="BQ493"/>
  <c r="BB493"/>
  <c r="CF449"/>
  <c r="BQ449"/>
  <c r="BB449"/>
  <c r="DP474"/>
  <c r="EB458"/>
  <c r="AE31" i="1001"/>
  <c r="AE87"/>
  <c r="CA15" i="1065"/>
  <c r="BL15"/>
  <c r="AW15"/>
  <c r="CA15" i="1064"/>
  <c r="BL15"/>
  <c r="AW15"/>
  <c r="CA15" i="1063"/>
  <c r="BL15"/>
  <c r="AW15"/>
  <c r="CA15" i="1059"/>
  <c r="BL15"/>
  <c r="AW15"/>
  <c r="CA15" i="1057"/>
  <c r="BL15"/>
  <c r="AW15"/>
  <c r="CA15" i="1054"/>
  <c r="BL15"/>
  <c r="AW15"/>
  <c r="CA15" i="996"/>
  <c r="BL15"/>
  <c r="AW15"/>
  <c r="CA15" i="995"/>
  <c r="BL15"/>
  <c r="AW15"/>
  <c r="CA15" i="994"/>
  <c r="BL15"/>
  <c r="AW15"/>
  <c r="CA493" i="1037"/>
  <c r="BL493"/>
  <c r="AW493"/>
  <c r="CA449"/>
  <c r="BL449"/>
  <c r="AW449"/>
  <c r="L29" i="1043"/>
  <c r="J29"/>
  <c r="R29" i="1042"/>
  <c r="L29"/>
  <c r="J29" s="1"/>
  <c r="L29" i="1002"/>
  <c r="J29" s="1"/>
  <c r="L58"/>
  <c r="J58" s="1"/>
  <c r="L86"/>
  <c r="J86" s="1"/>
  <c r="L85"/>
  <c r="J85" s="1"/>
  <c r="Z29" i="1001"/>
  <c r="U29"/>
  <c r="Q29"/>
  <c r="Z58"/>
  <c r="U58"/>
  <c r="Q58"/>
  <c r="Z86"/>
  <c r="U86"/>
  <c r="Q86"/>
  <c r="Z85"/>
  <c r="U85"/>
  <c r="Q85"/>
  <c r="P85" s="1"/>
  <c r="N85" s="1"/>
  <c r="BB29" i="938"/>
  <c r="AW29"/>
  <c r="T29"/>
  <c r="L29" s="1"/>
  <c r="J29" s="1"/>
  <c r="AQ57"/>
  <c r="AO57"/>
  <c r="AN57"/>
  <c r="AM57"/>
  <c r="AK57"/>
  <c r="AJ57"/>
  <c r="AI57"/>
  <c r="AF57"/>
  <c r="AE57"/>
  <c r="AB57"/>
  <c r="AA57"/>
  <c r="K57"/>
  <c r="L43" i="1043"/>
  <c r="L42"/>
  <c r="L41"/>
  <c r="L40"/>
  <c r="L39"/>
  <c r="L38"/>
  <c r="L37"/>
  <c r="L36"/>
  <c r="L35"/>
  <c r="L34"/>
  <c r="L33"/>
  <c r="L32"/>
  <c r="AM257" i="950"/>
  <c r="AM257" i="949"/>
  <c r="AM257" i="948"/>
  <c r="Y7" i="936"/>
  <c r="AG167" i="1037"/>
  <c r="AA170"/>
  <c r="AB170"/>
  <c r="AA167"/>
  <c r="AB167"/>
  <c r="AC170"/>
  <c r="AD170"/>
  <c r="AC167"/>
  <c r="AD167"/>
  <c r="AE167"/>
  <c r="AE170"/>
  <c r="W7031" i="967"/>
  <c r="W7025"/>
  <c r="W7017"/>
  <c r="Z6672"/>
  <c r="W6672"/>
  <c r="Z6669"/>
  <c r="W6669"/>
  <c r="Z6666"/>
  <c r="W6666"/>
  <c r="Z6660"/>
  <c r="W6660"/>
  <c r="Z6654"/>
  <c r="W6654"/>
  <c r="AB6272"/>
  <c r="AA6272"/>
  <c r="X6272"/>
  <c r="V6272"/>
  <c r="AB6269"/>
  <c r="AA6269"/>
  <c r="X6269"/>
  <c r="V6269"/>
  <c r="AB6266"/>
  <c r="AA6266"/>
  <c r="X6266"/>
  <c r="V6266"/>
  <c r="AB6260"/>
  <c r="AA6260"/>
  <c r="X6260"/>
  <c r="V6260"/>
  <c r="AB6254"/>
  <c r="AA6254"/>
  <c r="X6254"/>
  <c r="V6254"/>
  <c r="AF826"/>
  <c r="AC826"/>
  <c r="Z826"/>
  <c r="W826"/>
  <c r="T826"/>
  <c r="AF823"/>
  <c r="AC823"/>
  <c r="Z823"/>
  <c r="W823"/>
  <c r="T823"/>
  <c r="AF820"/>
  <c r="AC820"/>
  <c r="Z820"/>
  <c r="W820"/>
  <c r="T820"/>
  <c r="AF814"/>
  <c r="AC814"/>
  <c r="Z814"/>
  <c r="W814"/>
  <c r="T814"/>
  <c r="AF808"/>
  <c r="AC808"/>
  <c r="Z808"/>
  <c r="W808"/>
  <c r="T808"/>
  <c r="AC3957"/>
  <c r="AC3955"/>
  <c r="AC3954"/>
  <c r="AC3956"/>
  <c r="AC3871" s="1"/>
  <c r="Z3957"/>
  <c r="Z3955"/>
  <c r="Z3954"/>
  <c r="Z3956" s="1"/>
  <c r="AC4824"/>
  <c r="AC4821"/>
  <c r="AC4818"/>
  <c r="AC4815"/>
  <c r="AC4812"/>
  <c r="AC4809"/>
  <c r="AC4806"/>
  <c r="AC4803"/>
  <c r="AC4802"/>
  <c r="AC4801"/>
  <c r="AC4765"/>
  <c r="AC4698"/>
  <c r="AC4695"/>
  <c r="AC4694"/>
  <c r="AC4693"/>
  <c r="AC4692"/>
  <c r="AC4691"/>
  <c r="AC4690"/>
  <c r="AC4689"/>
  <c r="AC4688"/>
  <c r="AC4687"/>
  <c r="AC4686"/>
  <c r="AC4667"/>
  <c r="AC4599"/>
  <c r="AC4596"/>
  <c r="AC4595"/>
  <c r="AC4594"/>
  <c r="AC4593"/>
  <c r="AC4592"/>
  <c r="AC4591"/>
  <c r="AC4590"/>
  <c r="AC4589"/>
  <c r="AC4588"/>
  <c r="AC4587"/>
  <c r="AC4568"/>
  <c r="AC4499"/>
  <c r="AC4490"/>
  <c r="AC4482"/>
  <c r="AC4464"/>
  <c r="AC4455"/>
  <c r="AC4447"/>
  <c r="AC4427"/>
  <c r="AC4424"/>
  <c r="AC4423"/>
  <c r="AC4422"/>
  <c r="AC4155" s="1"/>
  <c r="AC4421"/>
  <c r="AC4154" s="1"/>
  <c r="AC4420"/>
  <c r="AC4419"/>
  <c r="AC4152"/>
  <c r="AC4418"/>
  <c r="AC4151"/>
  <c r="AC4417"/>
  <c r="AC4150"/>
  <c r="AC4416"/>
  <c r="AC4415"/>
  <c r="AC4414"/>
  <c r="AC4147"/>
  <c r="AC4396"/>
  <c r="AC4337"/>
  <c r="AC4329"/>
  <c r="AC4259"/>
  <c r="AC4193" s="1"/>
  <c r="AC4256"/>
  <c r="AC4190" s="1"/>
  <c r="AC4255"/>
  <c r="AC4189" s="1"/>
  <c r="AC4254"/>
  <c r="AC4188" s="1"/>
  <c r="AC4253"/>
  <c r="AC4187" s="1"/>
  <c r="AC4252"/>
  <c r="AC4186" s="1"/>
  <c r="AC4251"/>
  <c r="AC4185" s="1"/>
  <c r="AC4250"/>
  <c r="AC4184" s="1"/>
  <c r="AC4249"/>
  <c r="AC4183" s="1"/>
  <c r="AC4248"/>
  <c r="AC4182" s="1"/>
  <c r="AC4247"/>
  <c r="AC4181" s="1"/>
  <c r="AC4246"/>
  <c r="AC4180" s="1"/>
  <c r="AC4228"/>
  <c r="AC4162" s="1"/>
  <c r="AC4226"/>
  <c r="AC4223"/>
  <c r="AC4222"/>
  <c r="AC4221"/>
  <c r="AC4220"/>
  <c r="AC4219"/>
  <c r="AC4218"/>
  <c r="AC4217"/>
  <c r="AC4216"/>
  <c r="AC4215"/>
  <c r="AC4214"/>
  <c r="AC4213"/>
  <c r="AC4195"/>
  <c r="AC4160"/>
  <c r="AC4110"/>
  <c r="AB4110"/>
  <c r="AA4110"/>
  <c r="W4824"/>
  <c r="W4821"/>
  <c r="W4818"/>
  <c r="W4815"/>
  <c r="W4812"/>
  <c r="W4809"/>
  <c r="W4806"/>
  <c r="W4803"/>
  <c r="W4802"/>
  <c r="W4801"/>
  <c r="W4797"/>
  <c r="W4794"/>
  <c r="W4793"/>
  <c r="W4792"/>
  <c r="W4791"/>
  <c r="W4790"/>
  <c r="W4789"/>
  <c r="W4788"/>
  <c r="W4787"/>
  <c r="W4786"/>
  <c r="W4785"/>
  <c r="W4765"/>
  <c r="W4766"/>
  <c r="W4698"/>
  <c r="W4695"/>
  <c r="W4694"/>
  <c r="W4693"/>
  <c r="W4692"/>
  <c r="W4691"/>
  <c r="W4690"/>
  <c r="W4689"/>
  <c r="W4688"/>
  <c r="W4687"/>
  <c r="W4686"/>
  <c r="W4667"/>
  <c r="W4599"/>
  <c r="W4596"/>
  <c r="W4157"/>
  <c r="W4595"/>
  <c r="W4594"/>
  <c r="W4593"/>
  <c r="W4592"/>
  <c r="W4591"/>
  <c r="W4590"/>
  <c r="W4589"/>
  <c r="W4588"/>
  <c r="W4587"/>
  <c r="W4568"/>
  <c r="W4499"/>
  <c r="W4490"/>
  <c r="W4489"/>
  <c r="W4488"/>
  <c r="W4487"/>
  <c r="W4486"/>
  <c r="W4485"/>
  <c r="W4484"/>
  <c r="W4482" s="1"/>
  <c r="W4464"/>
  <c r="W4462"/>
  <c r="W4461"/>
  <c r="W4460"/>
  <c r="W4459"/>
  <c r="W4458"/>
  <c r="W4457"/>
  <c r="W4454"/>
  <c r="W4453"/>
  <c r="W4452"/>
  <c r="W4451"/>
  <c r="W4450"/>
  <c r="W4449"/>
  <c r="W4448"/>
  <c r="W4427"/>
  <c r="W4424"/>
  <c r="W4423"/>
  <c r="W4422"/>
  <c r="W4421"/>
  <c r="W4154" s="1"/>
  <c r="W4420"/>
  <c r="W4153" s="1"/>
  <c r="W4419"/>
  <c r="W4418"/>
  <c r="W4151" s="1"/>
  <c r="W4417"/>
  <c r="W4150"/>
  <c r="W4416"/>
  <c r="W4415"/>
  <c r="W4148" s="1"/>
  <c r="W4414"/>
  <c r="W4147" s="1"/>
  <c r="W4396"/>
  <c r="W4337"/>
  <c r="W4329"/>
  <c r="W4259"/>
  <c r="W4193"/>
  <c r="W4256"/>
  <c r="W4190"/>
  <c r="W4255"/>
  <c r="W4189"/>
  <c r="W4254"/>
  <c r="W4188"/>
  <c r="W4253"/>
  <c r="W4187"/>
  <c r="W4252"/>
  <c r="W4251"/>
  <c r="W4185" s="1"/>
  <c r="W4250"/>
  <c r="W4184" s="1"/>
  <c r="W4249"/>
  <c r="W4183" s="1"/>
  <c r="W4248"/>
  <c r="W4182" s="1"/>
  <c r="W4247"/>
  <c r="W4181" s="1"/>
  <c r="W4246"/>
  <c r="W4180" s="1"/>
  <c r="W4228"/>
  <c r="W4162" s="1"/>
  <c r="W4226"/>
  <c r="W4223"/>
  <c r="W4222"/>
  <c r="W4221"/>
  <c r="W4220"/>
  <c r="W4219"/>
  <c r="W4218"/>
  <c r="W4217"/>
  <c r="W4216"/>
  <c r="W4215"/>
  <c r="W4214"/>
  <c r="W4213"/>
  <c r="W4195"/>
  <c r="W4186"/>
  <c r="W4152"/>
  <c r="AP394" i="950"/>
  <c r="AP382"/>
  <c r="AP360"/>
  <c r="AP352"/>
  <c r="AP395" i="949"/>
  <c r="AP391"/>
  <c r="AP383"/>
  <c r="AP361"/>
  <c r="AP357"/>
  <c r="AP690" i="950"/>
  <c r="AP686"/>
  <c r="AP395"/>
  <c r="AP384"/>
  <c r="AP358"/>
  <c r="AP355"/>
  <c r="AP353" i="949"/>
  <c r="AP387" i="948"/>
  <c r="AP383"/>
  <c r="T729" i="967"/>
  <c r="AC729"/>
  <c r="AO921" i="941"/>
  <c r="AO920"/>
  <c r="AO918"/>
  <c r="AP391" i="950"/>
  <c r="AP689" i="948"/>
  <c r="T4128" i="967"/>
  <c r="AC2392"/>
  <c r="W2392"/>
  <c r="AC1713"/>
  <c r="W1713"/>
  <c r="AC1010"/>
  <c r="W1010"/>
  <c r="Z6610"/>
  <c r="L43" i="1042"/>
  <c r="J43" s="1"/>
  <c r="L42"/>
  <c r="J42" s="1"/>
  <c r="L41"/>
  <c r="J41" s="1"/>
  <c r="L40"/>
  <c r="J40" s="1"/>
  <c r="L39"/>
  <c r="J39" s="1"/>
  <c r="L38"/>
  <c r="J38" s="1"/>
  <c r="L37"/>
  <c r="J37" s="1"/>
  <c r="L36"/>
  <c r="J36" s="1"/>
  <c r="L35"/>
  <c r="J35" s="1"/>
  <c r="L34"/>
  <c r="J34" s="1"/>
  <c r="L33"/>
  <c r="J33" s="1"/>
  <c r="L32"/>
  <c r="J32" s="1"/>
  <c r="W6610" i="967"/>
  <c r="AB6210"/>
  <c r="AA6210"/>
  <c r="AC6210" s="1"/>
  <c r="X6210"/>
  <c r="Z6210" s="1"/>
  <c r="V6210"/>
  <c r="W6210" s="1"/>
  <c r="AK6210"/>
  <c r="AJ6210"/>
  <c r="AG6210"/>
  <c r="AI6210" s="1"/>
  <c r="AE6210"/>
  <c r="AF6210" s="1"/>
  <c r="EV501" i="1037"/>
  <c r="EU501"/>
  <c r="ET501"/>
  <c r="ER501"/>
  <c r="ER497"/>
  <c r="EV475"/>
  <c r="EU475"/>
  <c r="ET475"/>
  <c r="ER475"/>
  <c r="EV474"/>
  <c r="EU474"/>
  <c r="ET474"/>
  <c r="ER474"/>
  <c r="EV473"/>
  <c r="EU473"/>
  <c r="ET473"/>
  <c r="ES473"/>
  <c r="ER473"/>
  <c r="ER471"/>
  <c r="ER470"/>
  <c r="EV469"/>
  <c r="EU469"/>
  <c r="ET469"/>
  <c r="ES469"/>
  <c r="ER469"/>
  <c r="EV467"/>
  <c r="EU467"/>
  <c r="ET467"/>
  <c r="ER467"/>
  <c r="EV465"/>
  <c r="EU465"/>
  <c r="ET465"/>
  <c r="ES465"/>
  <c r="ER465"/>
  <c r="ER463"/>
  <c r="EV461"/>
  <c r="EU461"/>
  <c r="ET461"/>
  <c r="ES461"/>
  <c r="ER461"/>
  <c r="EV458"/>
  <c r="EU458"/>
  <c r="ET458"/>
  <c r="ER458"/>
  <c r="EV457"/>
  <c r="EU457"/>
  <c r="ET457"/>
  <c r="ES457"/>
  <c r="ER457"/>
  <c r="ER454"/>
  <c r="ES257"/>
  <c r="ER257"/>
  <c r="ES241"/>
  <c r="ER241"/>
  <c r="ES209"/>
  <c r="ER209"/>
  <c r="ES193"/>
  <c r="ER193"/>
  <c r="G127" i="1043"/>
  <c r="G127" i="1042"/>
  <c r="G127" i="1002"/>
  <c r="G127" i="1001"/>
  <c r="AC13" i="1054"/>
  <c r="AC13" i="1057"/>
  <c r="AC13" i="1059"/>
  <c r="AC13" i="1064"/>
  <c r="AC13" i="1065"/>
  <c r="AC13" i="1063"/>
  <c r="AC7" i="1054"/>
  <c r="AC7" i="1057"/>
  <c r="AC7" i="1059"/>
  <c r="AC7" i="1064"/>
  <c r="AC7" i="1065"/>
  <c r="AC7" i="1063"/>
  <c r="DR434" i="1037"/>
  <c r="DR426"/>
  <c r="DR425"/>
  <c r="DR422"/>
  <c r="DR417"/>
  <c r="CJ475"/>
  <c r="CQ475" s="1"/>
  <c r="CG475"/>
  <c r="EG475" s="1"/>
  <c r="CD475"/>
  <c r="EE475" s="1"/>
  <c r="CJ474"/>
  <c r="CQ474" s="1"/>
  <c r="CG474"/>
  <c r="EG474" s="1"/>
  <c r="CD474"/>
  <c r="EE474" s="1"/>
  <c r="BY471"/>
  <c r="BW471"/>
  <c r="BY470"/>
  <c r="BW470"/>
  <c r="CJ467"/>
  <c r="CQ467" s="1"/>
  <c r="CG467"/>
  <c r="EG467" s="1"/>
  <c r="CD467"/>
  <c r="EE467" s="1"/>
  <c r="BY463"/>
  <c r="BW463"/>
  <c r="CJ458"/>
  <c r="CQ458" s="1"/>
  <c r="CG458"/>
  <c r="EG458" s="1"/>
  <c r="CD458"/>
  <c r="EE458" s="1"/>
  <c r="BY454"/>
  <c r="BW454"/>
  <c r="BU475"/>
  <c r="CP475" s="1"/>
  <c r="BR475"/>
  <c r="EA475" s="1"/>
  <c r="BO475"/>
  <c r="DY475" s="1"/>
  <c r="BU474"/>
  <c r="CP474" s="1"/>
  <c r="BR474"/>
  <c r="EA474" s="1"/>
  <c r="BO474"/>
  <c r="DY474" s="1"/>
  <c r="BJ471"/>
  <c r="BH471"/>
  <c r="BJ470"/>
  <c r="BH470"/>
  <c r="BU467"/>
  <c r="CP467" s="1"/>
  <c r="BR467"/>
  <c r="EA467" s="1"/>
  <c r="BO467"/>
  <c r="DY467" s="1"/>
  <c r="BJ463"/>
  <c r="BH463"/>
  <c r="BU458"/>
  <c r="CP458" s="1"/>
  <c r="BR458"/>
  <c r="EA458" s="1"/>
  <c r="BO458"/>
  <c r="DY458" s="1"/>
  <c r="BJ454"/>
  <c r="BH454"/>
  <c r="BC475"/>
  <c r="DU475" s="1"/>
  <c r="BC474"/>
  <c r="DU474" s="1"/>
  <c r="DU470"/>
  <c r="BC467"/>
  <c r="DU467"/>
  <c r="BC458"/>
  <c r="DU458"/>
  <c r="AZ475"/>
  <c r="DS475"/>
  <c r="AZ474"/>
  <c r="DS474"/>
  <c r="DS470"/>
  <c r="AZ467"/>
  <c r="DS467" s="1"/>
  <c r="AZ458"/>
  <c r="DS458" s="1"/>
  <c r="DQ471"/>
  <c r="DQ463"/>
  <c r="CJ501"/>
  <c r="CQ501" s="1"/>
  <c r="CG501"/>
  <c r="EG501" s="1"/>
  <c r="CD501"/>
  <c r="EE501" s="1"/>
  <c r="BY497"/>
  <c r="BW497"/>
  <c r="BU501"/>
  <c r="CP501" s="1"/>
  <c r="BR501"/>
  <c r="EA501" s="1"/>
  <c r="BO501"/>
  <c r="DY501" s="1"/>
  <c r="BJ497"/>
  <c r="BH497"/>
  <c r="BC501"/>
  <c r="DU501" s="1"/>
  <c r="AZ501"/>
  <c r="DS501" s="1"/>
  <c r="DS497"/>
  <c r="DQ497"/>
  <c r="AU497"/>
  <c r="DK501"/>
  <c r="AS497"/>
  <c r="AP501"/>
  <c r="AP497"/>
  <c r="AN501"/>
  <c r="AN497"/>
  <c r="AK501"/>
  <c r="ES501"/>
  <c r="AK497"/>
  <c r="ES497"/>
  <c r="Z501"/>
  <c r="Z497"/>
  <c r="AU471"/>
  <c r="AU470"/>
  <c r="AU463"/>
  <c r="AU454"/>
  <c r="AS471"/>
  <c r="AS470"/>
  <c r="AS463"/>
  <c r="AS454"/>
  <c r="AP475"/>
  <c r="AP474"/>
  <c r="AP471"/>
  <c r="AP470"/>
  <c r="AP467"/>
  <c r="AP463"/>
  <c r="AP458"/>
  <c r="AP454"/>
  <c r="AN475"/>
  <c r="AN474"/>
  <c r="AN471"/>
  <c r="AN470"/>
  <c r="AN467"/>
  <c r="AN463"/>
  <c r="AN458"/>
  <c r="AN454"/>
  <c r="AK475"/>
  <c r="ES475"/>
  <c r="AK474"/>
  <c r="ES474"/>
  <c r="AK471"/>
  <c r="ES471"/>
  <c r="AK470"/>
  <c r="ES470"/>
  <c r="AK467"/>
  <c r="ES467"/>
  <c r="AK463"/>
  <c r="ES463"/>
  <c r="AK458"/>
  <c r="ES458"/>
  <c r="AK454"/>
  <c r="ES454"/>
  <c r="Z475"/>
  <c r="Z474"/>
  <c r="Z471"/>
  <c r="Z470"/>
  <c r="Z467"/>
  <c r="Z463"/>
  <c r="Z458"/>
  <c r="Z454"/>
  <c r="EI457"/>
  <c r="AX434"/>
  <c r="AX426"/>
  <c r="AX425"/>
  <c r="AX422"/>
  <c r="AX417"/>
  <c r="AU434"/>
  <c r="AU426"/>
  <c r="AU425"/>
  <c r="AU422"/>
  <c r="AU417"/>
  <c r="AR434"/>
  <c r="AR426"/>
  <c r="AR425"/>
  <c r="AR422"/>
  <c r="AR417"/>
  <c r="AO434"/>
  <c r="AO426"/>
  <c r="AO425"/>
  <c r="AO422"/>
  <c r="AO417"/>
  <c r="AL434"/>
  <c r="AL426"/>
  <c r="AL425"/>
  <c r="AL422"/>
  <c r="AL417"/>
  <c r="AI417"/>
  <c r="DS417"/>
  <c r="AI422"/>
  <c r="DS422"/>
  <c r="AI425"/>
  <c r="DS425"/>
  <c r="AI426"/>
  <c r="DS426"/>
  <c r="AI434"/>
  <c r="DS434"/>
  <c r="AI742" i="967"/>
  <c r="AI738"/>
  <c r="AI734"/>
  <c r="AI730"/>
  <c r="O14"/>
  <c r="G127" i="938"/>
  <c r="H14" i="1062"/>
  <c r="H14" i="1061"/>
  <c r="H14" i="1060"/>
  <c r="AO14" i="1047"/>
  <c r="AO14" i="1046"/>
  <c r="AO14" i="1045"/>
  <c r="AO14" i="1044"/>
  <c r="H14" i="1058"/>
  <c r="H14" i="1056"/>
  <c r="H14" i="1052"/>
  <c r="AO14" i="1007"/>
  <c r="AO14" i="1006"/>
  <c r="AO14" i="1005"/>
  <c r="AO14" i="1004"/>
  <c r="AO14" i="945"/>
  <c r="AO14" i="941"/>
  <c r="O7178" i="967"/>
  <c r="O7008"/>
  <c r="O6778"/>
  <c r="O6608"/>
  <c r="O6378"/>
  <c r="O6208"/>
  <c r="O5119"/>
  <c r="O3096"/>
  <c r="H411" i="1037"/>
  <c r="H187"/>
  <c r="H161"/>
  <c r="H20" i="1065"/>
  <c r="H19"/>
  <c r="H18"/>
  <c r="DT18" s="1"/>
  <c r="CE15"/>
  <c r="CC15"/>
  <c r="BP15"/>
  <c r="BN15"/>
  <c r="BA15"/>
  <c r="AY15"/>
  <c r="CJ14"/>
  <c r="BZ14"/>
  <c r="BX14"/>
  <c r="BV14"/>
  <c r="BU14"/>
  <c r="BK14"/>
  <c r="BI14"/>
  <c r="BG14"/>
  <c r="BF14"/>
  <c r="AV14"/>
  <c r="AT14"/>
  <c r="AR14"/>
  <c r="AQ14"/>
  <c r="AO14"/>
  <c r="AM14"/>
  <c r="AL13"/>
  <c r="AJ13"/>
  <c r="AG13"/>
  <c r="AA13"/>
  <c r="Y13"/>
  <c r="CA7"/>
  <c r="BL7"/>
  <c r="AW7"/>
  <c r="AA7"/>
  <c r="F5"/>
  <c r="H20" i="1064"/>
  <c r="H19"/>
  <c r="H18"/>
  <c r="CE15"/>
  <c r="CC15"/>
  <c r="BP15"/>
  <c r="BN15"/>
  <c r="BA15"/>
  <c r="AY15"/>
  <c r="CJ14"/>
  <c r="BZ14"/>
  <c r="BX14"/>
  <c r="BV14"/>
  <c r="BU14"/>
  <c r="BK14"/>
  <c r="BI14"/>
  <c r="BG14"/>
  <c r="BF14"/>
  <c r="AV14"/>
  <c r="AT14"/>
  <c r="AR14"/>
  <c r="AQ14"/>
  <c r="AO14"/>
  <c r="AM14"/>
  <c r="AL13"/>
  <c r="AJ13"/>
  <c r="AG13"/>
  <c r="AA13"/>
  <c r="Y13"/>
  <c r="CA7"/>
  <c r="BL7"/>
  <c r="AW7"/>
  <c r="AA7"/>
  <c r="F5"/>
  <c r="H20" i="1063"/>
  <c r="H19"/>
  <c r="H18"/>
  <c r="CE15"/>
  <c r="CC15"/>
  <c r="BP15"/>
  <c r="BN15"/>
  <c r="BA15"/>
  <c r="AY15"/>
  <c r="CJ14"/>
  <c r="BZ14"/>
  <c r="BX14"/>
  <c r="BV14"/>
  <c r="BU14"/>
  <c r="BK14"/>
  <c r="BI14"/>
  <c r="BG14"/>
  <c r="BF14"/>
  <c r="AV14"/>
  <c r="AT14"/>
  <c r="AR14"/>
  <c r="AQ14"/>
  <c r="AO14"/>
  <c r="AM14"/>
  <c r="AL13"/>
  <c r="AJ13"/>
  <c r="AG13"/>
  <c r="AA13"/>
  <c r="Y13"/>
  <c r="CA7"/>
  <c r="BL7"/>
  <c r="AW7"/>
  <c r="AA7"/>
  <c r="F5"/>
  <c r="H20" i="1062"/>
  <c r="H19"/>
  <c r="H18"/>
  <c r="F5"/>
  <c r="H20" i="1061"/>
  <c r="H19"/>
  <c r="H18"/>
  <c r="DM18" s="1"/>
  <c r="F5"/>
  <c r="H20" i="1060"/>
  <c r="H19"/>
  <c r="H18"/>
  <c r="DP18"/>
  <c r="F5"/>
  <c r="H20" i="1059"/>
  <c r="BD20" s="1" a="1"/>
  <c r="H19"/>
  <c r="H18"/>
  <c r="CE15"/>
  <c r="CC15"/>
  <c r="BP15"/>
  <c r="BN15"/>
  <c r="BA15"/>
  <c r="AY15"/>
  <c r="CJ14"/>
  <c r="BZ14"/>
  <c r="BX14"/>
  <c r="BV14"/>
  <c r="BU14"/>
  <c r="BK14"/>
  <c r="BI14"/>
  <c r="BG14"/>
  <c r="BF14"/>
  <c r="AV14"/>
  <c r="AT14"/>
  <c r="AR14"/>
  <c r="AQ14"/>
  <c r="AO14"/>
  <c r="AM14"/>
  <c r="AL13"/>
  <c r="AJ13"/>
  <c r="AG13"/>
  <c r="AA13"/>
  <c r="Y13"/>
  <c r="CA7"/>
  <c r="BL7"/>
  <c r="AW7"/>
  <c r="AA7"/>
  <c r="F5"/>
  <c r="H20" i="1058"/>
  <c r="H19"/>
  <c r="AJ19" s="1"/>
  <c r="AH19" s="1"/>
  <c r="H18"/>
  <c r="F5"/>
  <c r="H20" i="1057"/>
  <c r="EE20"/>
  <c r="H19"/>
  <c r="H18"/>
  <c r="CE15"/>
  <c r="CC15"/>
  <c r="BP15"/>
  <c r="BN15"/>
  <c r="BA15"/>
  <c r="AY15"/>
  <c r="CJ14"/>
  <c r="BZ14"/>
  <c r="BX14"/>
  <c r="BV14"/>
  <c r="BU14"/>
  <c r="BK14"/>
  <c r="BI14"/>
  <c r="BG14"/>
  <c r="BF14"/>
  <c r="AV14"/>
  <c r="AT14"/>
  <c r="AR14"/>
  <c r="AQ14"/>
  <c r="AO14"/>
  <c r="AM14"/>
  <c r="AL13"/>
  <c r="AJ13"/>
  <c r="AG13"/>
  <c r="AA13"/>
  <c r="Y13"/>
  <c r="CA7"/>
  <c r="BL7"/>
  <c r="AW7"/>
  <c r="AA7"/>
  <c r="F5"/>
  <c r="H20" i="1056"/>
  <c r="H19"/>
  <c r="H18"/>
  <c r="F5"/>
  <c r="F5" i="1054"/>
  <c r="EG497" i="1037"/>
  <c r="EF497"/>
  <c r="EE497"/>
  <c r="ED497"/>
  <c r="EC497"/>
  <c r="EB497"/>
  <c r="EA497"/>
  <c r="DZ497"/>
  <c r="DY497"/>
  <c r="DX497"/>
  <c r="DW497"/>
  <c r="DV497"/>
  <c r="DU497"/>
  <c r="DT497"/>
  <c r="DR497"/>
  <c r="DP497"/>
  <c r="CK497"/>
  <c r="EQ501"/>
  <c r="EP501"/>
  <c r="EO501"/>
  <c r="EN501"/>
  <c r="EM501"/>
  <c r="EL501"/>
  <c r="EF501"/>
  <c r="ED501"/>
  <c r="DZ501"/>
  <c r="DX501"/>
  <c r="DT501"/>
  <c r="DR501"/>
  <c r="DO501"/>
  <c r="DN501"/>
  <c r="DM501"/>
  <c r="DL501"/>
  <c r="DJ501"/>
  <c r="CK501"/>
  <c r="BF501"/>
  <c r="CO501" s="1"/>
  <c r="AG501"/>
  <c r="AA501" s="1"/>
  <c r="H501"/>
  <c r="C507"/>
  <c r="C506"/>
  <c r="C505"/>
  <c r="C503"/>
  <c r="C502"/>
  <c r="C501"/>
  <c r="C499"/>
  <c r="C498"/>
  <c r="H497"/>
  <c r="C497"/>
  <c r="CE493"/>
  <c r="CC493"/>
  <c r="BP493"/>
  <c r="BN493"/>
  <c r="BA493"/>
  <c r="AY493"/>
  <c r="CJ492"/>
  <c r="BZ492"/>
  <c r="BX492"/>
  <c r="BV492"/>
  <c r="BU492"/>
  <c r="BK492"/>
  <c r="BI492"/>
  <c r="BG492"/>
  <c r="BF492"/>
  <c r="AV492"/>
  <c r="AT492"/>
  <c r="AR492"/>
  <c r="AQ492"/>
  <c r="AO492"/>
  <c r="AM492"/>
  <c r="AL491"/>
  <c r="AJ491"/>
  <c r="AH491"/>
  <c r="AG491"/>
  <c r="AE491"/>
  <c r="AC491"/>
  <c r="AA491"/>
  <c r="Y491"/>
  <c r="H475"/>
  <c r="H474"/>
  <c r="H471"/>
  <c r="H470"/>
  <c r="H467"/>
  <c r="H463"/>
  <c r="H458"/>
  <c r="EQ257"/>
  <c r="EP257"/>
  <c r="EQ209"/>
  <c r="EP209"/>
  <c r="CE449"/>
  <c r="CC449"/>
  <c r="BP449"/>
  <c r="BN449"/>
  <c r="BA449"/>
  <c r="AY449"/>
  <c r="CJ448"/>
  <c r="BZ448"/>
  <c r="BX448"/>
  <c r="BV448"/>
  <c r="BU448"/>
  <c r="BK448"/>
  <c r="BI448"/>
  <c r="BG448"/>
  <c r="BF448"/>
  <c r="AV448"/>
  <c r="AT448"/>
  <c r="AR448"/>
  <c r="AQ448"/>
  <c r="AO448"/>
  <c r="AM448"/>
  <c r="AL447"/>
  <c r="AJ447"/>
  <c r="AH447"/>
  <c r="AG447"/>
  <c r="AE447"/>
  <c r="AC447"/>
  <c r="AA447"/>
  <c r="Y447"/>
  <c r="C479"/>
  <c r="C478"/>
  <c r="C477"/>
  <c r="EQ475"/>
  <c r="EP475"/>
  <c r="EO475"/>
  <c r="EN475"/>
  <c r="EM475"/>
  <c r="EL475"/>
  <c r="EF475"/>
  <c r="ED475"/>
  <c r="DZ475"/>
  <c r="DX475"/>
  <c r="DT475"/>
  <c r="DR475"/>
  <c r="DO475"/>
  <c r="DN475"/>
  <c r="DM475"/>
  <c r="DL475"/>
  <c r="DK475"/>
  <c r="DJ475"/>
  <c r="CK475"/>
  <c r="BF475"/>
  <c r="CO475" s="1"/>
  <c r="DP475"/>
  <c r="AG475"/>
  <c r="AA475"/>
  <c r="C475"/>
  <c r="EQ474"/>
  <c r="EP474"/>
  <c r="EO474"/>
  <c r="EN474"/>
  <c r="EM474"/>
  <c r="EL474"/>
  <c r="EF474"/>
  <c r="ED474"/>
  <c r="DZ474"/>
  <c r="DX474"/>
  <c r="DT474"/>
  <c r="DR474"/>
  <c r="DO474"/>
  <c r="DN474"/>
  <c r="DM474"/>
  <c r="DL474"/>
  <c r="DK474"/>
  <c r="DJ474"/>
  <c r="CK474"/>
  <c r="BF474"/>
  <c r="CO474"/>
  <c r="AX474"/>
  <c r="DQ474"/>
  <c r="AG474"/>
  <c r="AA474"/>
  <c r="C474"/>
  <c r="EQ473"/>
  <c r="EP473"/>
  <c r="EO473"/>
  <c r="EN473"/>
  <c r="EM473"/>
  <c r="EL473"/>
  <c r="EK473"/>
  <c r="EJ473"/>
  <c r="EI473"/>
  <c r="EH473"/>
  <c r="EG473"/>
  <c r="EF473"/>
  <c r="EE473"/>
  <c r="ED473"/>
  <c r="EC473"/>
  <c r="EB473"/>
  <c r="EA473"/>
  <c r="DZ473"/>
  <c r="DY473"/>
  <c r="DX473"/>
  <c r="DW473"/>
  <c r="DV473"/>
  <c r="DU473"/>
  <c r="DT473"/>
  <c r="DS473"/>
  <c r="DR473"/>
  <c r="DQ473"/>
  <c r="DP473"/>
  <c r="DO473"/>
  <c r="DN473"/>
  <c r="DM473"/>
  <c r="DL473"/>
  <c r="DK473"/>
  <c r="DJ473"/>
  <c r="DI473"/>
  <c r="DH473"/>
  <c r="DG473"/>
  <c r="DF473"/>
  <c r="C473"/>
  <c r="EG471"/>
  <c r="EF471"/>
  <c r="EE471"/>
  <c r="ED471"/>
  <c r="EC471"/>
  <c r="EB471"/>
  <c r="EA471"/>
  <c r="DZ471"/>
  <c r="DY471"/>
  <c r="DX471"/>
  <c r="DW471"/>
  <c r="DV471"/>
  <c r="DU471"/>
  <c r="DT471"/>
  <c r="DS471"/>
  <c r="DR471"/>
  <c r="DP471"/>
  <c r="CK471"/>
  <c r="C471"/>
  <c r="EG470"/>
  <c r="EF470"/>
  <c r="EE470"/>
  <c r="ED470"/>
  <c r="EC470"/>
  <c r="EB470"/>
  <c r="EA470"/>
  <c r="DZ470"/>
  <c r="DY470"/>
  <c r="DX470"/>
  <c r="DW470"/>
  <c r="DV470"/>
  <c r="DT470"/>
  <c r="DR470"/>
  <c r="DQ470"/>
  <c r="DP470"/>
  <c r="CK470"/>
  <c r="C470"/>
  <c r="EQ469"/>
  <c r="EP469"/>
  <c r="EO469"/>
  <c r="EN469"/>
  <c r="EM469"/>
  <c r="EL469"/>
  <c r="EK469"/>
  <c r="EJ469"/>
  <c r="EI469"/>
  <c r="EH469"/>
  <c r="EG469"/>
  <c r="EF469"/>
  <c r="EE469"/>
  <c r="ED469"/>
  <c r="EC469"/>
  <c r="EB469"/>
  <c r="EA469"/>
  <c r="DZ469"/>
  <c r="DY469"/>
  <c r="DX469"/>
  <c r="DW469"/>
  <c r="DV469"/>
  <c r="DU469"/>
  <c r="DT469"/>
  <c r="DS469"/>
  <c r="DR469"/>
  <c r="DQ469"/>
  <c r="DP469"/>
  <c r="DO469"/>
  <c r="DN469"/>
  <c r="DM469"/>
  <c r="DL469"/>
  <c r="DK469"/>
  <c r="DJ469"/>
  <c r="DI469"/>
  <c r="DH469"/>
  <c r="DG469"/>
  <c r="DF469"/>
  <c r="C469"/>
  <c r="EQ467"/>
  <c r="EP467"/>
  <c r="EO467"/>
  <c r="EN467"/>
  <c r="EM467"/>
  <c r="EL467"/>
  <c r="EF467"/>
  <c r="ED467"/>
  <c r="DZ467"/>
  <c r="DX467"/>
  <c r="DT467"/>
  <c r="DR467"/>
  <c r="DO467"/>
  <c r="DN467"/>
  <c r="DM467"/>
  <c r="DL467"/>
  <c r="DK467"/>
  <c r="DJ467"/>
  <c r="CK467"/>
  <c r="BF467"/>
  <c r="CO467" s="1"/>
  <c r="AG467"/>
  <c r="AA467" s="1"/>
  <c r="C467"/>
  <c r="C466"/>
  <c r="EQ465"/>
  <c r="EP465"/>
  <c r="EO465"/>
  <c r="EN465"/>
  <c r="EM465"/>
  <c r="EL465"/>
  <c r="EK465"/>
  <c r="EJ465"/>
  <c r="EI465"/>
  <c r="EH465"/>
  <c r="EG465"/>
  <c r="EF465"/>
  <c r="EE465"/>
  <c r="ED465"/>
  <c r="EC465"/>
  <c r="EB465"/>
  <c r="EA465"/>
  <c r="DZ465"/>
  <c r="DY465"/>
  <c r="DX465"/>
  <c r="DW465"/>
  <c r="DV465"/>
  <c r="DU465"/>
  <c r="DT465"/>
  <c r="DS465"/>
  <c r="DR465"/>
  <c r="DQ465"/>
  <c r="DP465"/>
  <c r="DO465"/>
  <c r="DN465"/>
  <c r="DM465"/>
  <c r="DL465"/>
  <c r="DK465"/>
  <c r="DJ465"/>
  <c r="DI465"/>
  <c r="DH465"/>
  <c r="DG465"/>
  <c r="DF465"/>
  <c r="C465"/>
  <c r="EG463"/>
  <c r="EF463"/>
  <c r="EE463"/>
  <c r="ED463"/>
  <c r="EC463"/>
  <c r="EB463"/>
  <c r="EA463"/>
  <c r="DZ463"/>
  <c r="DY463"/>
  <c r="DX463"/>
  <c r="DW463"/>
  <c r="DV463"/>
  <c r="DU463"/>
  <c r="DT463"/>
  <c r="DS463"/>
  <c r="DR463"/>
  <c r="DP463"/>
  <c r="CK463"/>
  <c r="C463"/>
  <c r="C462"/>
  <c r="EQ461"/>
  <c r="EP461"/>
  <c r="EO461"/>
  <c r="EN461"/>
  <c r="EM461"/>
  <c r="EL461"/>
  <c r="EK461"/>
  <c r="EJ461"/>
  <c r="EI461"/>
  <c r="EH461"/>
  <c r="EG461"/>
  <c r="EF461"/>
  <c r="EE461"/>
  <c r="ED461"/>
  <c r="EC461"/>
  <c r="EB461"/>
  <c r="EA461"/>
  <c r="DZ461"/>
  <c r="DY461"/>
  <c r="DX461"/>
  <c r="DW461"/>
  <c r="DV461"/>
  <c r="DU461"/>
  <c r="DT461"/>
  <c r="DS461"/>
  <c r="DR461"/>
  <c r="DQ461"/>
  <c r="DP461"/>
  <c r="DO461"/>
  <c r="DN461"/>
  <c r="DM461"/>
  <c r="DL461"/>
  <c r="DK461"/>
  <c r="DJ461"/>
  <c r="DI461"/>
  <c r="DH461"/>
  <c r="DG461"/>
  <c r="DF461"/>
  <c r="C461"/>
  <c r="C459"/>
  <c r="EQ458"/>
  <c r="EP458"/>
  <c r="EO458"/>
  <c r="EN458"/>
  <c r="EM458"/>
  <c r="EL458"/>
  <c r="EF458"/>
  <c r="ED458"/>
  <c r="DZ458"/>
  <c r="DX458"/>
  <c r="DT458"/>
  <c r="DR458"/>
  <c r="DO458"/>
  <c r="DN458"/>
  <c r="DM458"/>
  <c r="DL458"/>
  <c r="DK458"/>
  <c r="DJ458"/>
  <c r="CK458"/>
  <c r="BF458"/>
  <c r="CO458" s="1"/>
  <c r="AG458"/>
  <c r="AA458" s="1"/>
  <c r="C458"/>
  <c r="EQ457"/>
  <c r="EP457"/>
  <c r="EO457"/>
  <c r="EN457"/>
  <c r="EM457"/>
  <c r="EL457"/>
  <c r="EK457"/>
  <c r="EJ457"/>
  <c r="EH457"/>
  <c r="EG457"/>
  <c r="EF457"/>
  <c r="EE457"/>
  <c r="ED457"/>
  <c r="EC457"/>
  <c r="EB457"/>
  <c r="EA457"/>
  <c r="DZ457"/>
  <c r="DY457"/>
  <c r="DX457"/>
  <c r="DW457"/>
  <c r="DV457"/>
  <c r="DU457"/>
  <c r="DT457"/>
  <c r="DS457"/>
  <c r="DR457"/>
  <c r="DQ457"/>
  <c r="DP457"/>
  <c r="DO457"/>
  <c r="DN457"/>
  <c r="DM457"/>
  <c r="DL457"/>
  <c r="DK457"/>
  <c r="DJ457"/>
  <c r="DI457"/>
  <c r="DH457"/>
  <c r="DG457"/>
  <c r="DF457"/>
  <c r="C457"/>
  <c r="C455"/>
  <c r="EG454"/>
  <c r="EF454"/>
  <c r="EE454"/>
  <c r="ED454"/>
  <c r="EC454"/>
  <c r="EB454"/>
  <c r="EA454"/>
  <c r="DZ454"/>
  <c r="DY454"/>
  <c r="DX454"/>
  <c r="DW454"/>
  <c r="DV454"/>
  <c r="DU454"/>
  <c r="DT454"/>
  <c r="DS454"/>
  <c r="DR454"/>
  <c r="DQ454"/>
  <c r="DP454"/>
  <c r="CK454"/>
  <c r="H454"/>
  <c r="C454"/>
  <c r="C453"/>
  <c r="AE7" i="995"/>
  <c r="AC7"/>
  <c r="AE7" i="996"/>
  <c r="AC7"/>
  <c r="AE7" i="994"/>
  <c r="AC7"/>
  <c r="CA7" i="995"/>
  <c r="BL7"/>
  <c r="AW7"/>
  <c r="CA7" i="996"/>
  <c r="BL7"/>
  <c r="AW7"/>
  <c r="CA7" i="994"/>
  <c r="BL7"/>
  <c r="AW7"/>
  <c r="CA7" i="1054"/>
  <c r="BL7"/>
  <c r="AW7"/>
  <c r="CE15" i="995"/>
  <c r="CC15"/>
  <c r="BP15"/>
  <c r="BN15"/>
  <c r="BA15"/>
  <c r="AY15"/>
  <c r="CJ14"/>
  <c r="BZ14"/>
  <c r="BX14"/>
  <c r="BV14"/>
  <c r="BU14"/>
  <c r="BK14"/>
  <c r="BI14"/>
  <c r="BG14"/>
  <c r="BF14"/>
  <c r="AV14"/>
  <c r="AT14"/>
  <c r="AR14"/>
  <c r="AQ14"/>
  <c r="AO14"/>
  <c r="AM14"/>
  <c r="AH13"/>
  <c r="AG13"/>
  <c r="AE13"/>
  <c r="AC13"/>
  <c r="Y13"/>
  <c r="CE15" i="996"/>
  <c r="CC15"/>
  <c r="BP15"/>
  <c r="BN15"/>
  <c r="BA15"/>
  <c r="AY15"/>
  <c r="CJ14"/>
  <c r="BZ14"/>
  <c r="BX14"/>
  <c r="BV14"/>
  <c r="BU14"/>
  <c r="BK14"/>
  <c r="BI14"/>
  <c r="BG14"/>
  <c r="BF14"/>
  <c r="AV14"/>
  <c r="AT14"/>
  <c r="AR14"/>
  <c r="AQ14"/>
  <c r="AO14"/>
  <c r="AM14"/>
  <c r="AH13"/>
  <c r="AG13"/>
  <c r="AE13"/>
  <c r="AC13"/>
  <c r="Y13"/>
  <c r="CE15" i="994"/>
  <c r="CC15"/>
  <c r="BP15"/>
  <c r="BN15"/>
  <c r="BA15"/>
  <c r="AY15"/>
  <c r="CJ14"/>
  <c r="BZ14"/>
  <c r="BX14"/>
  <c r="BV14"/>
  <c r="BU14"/>
  <c r="BK14"/>
  <c r="BI14"/>
  <c r="BG14"/>
  <c r="BF14"/>
  <c r="AV14"/>
  <c r="AT14"/>
  <c r="AR14"/>
  <c r="AQ14"/>
  <c r="AO14"/>
  <c r="AM14"/>
  <c r="AH13"/>
  <c r="AG13"/>
  <c r="AE13"/>
  <c r="AC13"/>
  <c r="Y13"/>
  <c r="CJ14" i="1054"/>
  <c r="BU14"/>
  <c r="BZ14"/>
  <c r="BX14"/>
  <c r="BV14"/>
  <c r="BK14"/>
  <c r="BI14"/>
  <c r="BG14"/>
  <c r="AV14"/>
  <c r="AT14"/>
  <c r="AR14"/>
  <c r="BF14"/>
  <c r="AQ14"/>
  <c r="AO14"/>
  <c r="AM14"/>
  <c r="AL13"/>
  <c r="AJ13"/>
  <c r="AG13"/>
  <c r="AA7"/>
  <c r="AA13"/>
  <c r="Y13"/>
  <c r="BA15"/>
  <c r="AY15"/>
  <c r="CE15"/>
  <c r="CC15"/>
  <c r="BP15"/>
  <c r="BN15"/>
  <c r="F5" i="996"/>
  <c r="F5" i="995"/>
  <c r="F5" i="994"/>
  <c r="CJ223" i="1037"/>
  <c r="CJ222"/>
  <c r="CQ222"/>
  <c r="CJ221"/>
  <c r="CQ221"/>
  <c r="CJ220"/>
  <c r="CJ219"/>
  <c r="CJ218"/>
  <c r="CQ218"/>
  <c r="CJ217"/>
  <c r="CQ217"/>
  <c r="CJ216"/>
  <c r="CJ215"/>
  <c r="CJ214"/>
  <c r="CJ211"/>
  <c r="CJ210"/>
  <c r="CQ210"/>
  <c r="BU223"/>
  <c r="CP223"/>
  <c r="BU222"/>
  <c r="CP222"/>
  <c r="BU221"/>
  <c r="BU220"/>
  <c r="BU219"/>
  <c r="BU218"/>
  <c r="BU217"/>
  <c r="CP217"/>
  <c r="BU216"/>
  <c r="CP216"/>
  <c r="BU215"/>
  <c r="CP215"/>
  <c r="BU214"/>
  <c r="BU211"/>
  <c r="BU210"/>
  <c r="CP210"/>
  <c r="CJ271"/>
  <c r="CJ269"/>
  <c r="CQ269" s="1"/>
  <c r="CJ267"/>
  <c r="CJ265"/>
  <c r="CJ263"/>
  <c r="CQ263" s="1"/>
  <c r="CJ259"/>
  <c r="BU255"/>
  <c r="CP255" s="1"/>
  <c r="BU253"/>
  <c r="CP253" s="1"/>
  <c r="BU251"/>
  <c r="CP251" s="1"/>
  <c r="BU249"/>
  <c r="CP249" s="1"/>
  <c r="BU247"/>
  <c r="CP247" s="1"/>
  <c r="BU245"/>
  <c r="BU243"/>
  <c r="CP243"/>
  <c r="BU241"/>
  <c r="BF271"/>
  <c r="CO271" s="1"/>
  <c r="BF269"/>
  <c r="CO269" s="1"/>
  <c r="BF267"/>
  <c r="BF265"/>
  <c r="CO265"/>
  <c r="BF263"/>
  <c r="CO263"/>
  <c r="BF259"/>
  <c r="CO259"/>
  <c r="BF223"/>
  <c r="BF222"/>
  <c r="CO222" s="1"/>
  <c r="BF221"/>
  <c r="CO221" s="1"/>
  <c r="BF220"/>
  <c r="BF219"/>
  <c r="BF218"/>
  <c r="CO218" s="1"/>
  <c r="BF217"/>
  <c r="BF216"/>
  <c r="BF215"/>
  <c r="BF214"/>
  <c r="CO214"/>
  <c r="BF211"/>
  <c r="CO211"/>
  <c r="BF210"/>
  <c r="CO210"/>
  <c r="AI271"/>
  <c r="AI269"/>
  <c r="AI267"/>
  <c r="AI265"/>
  <c r="AI263"/>
  <c r="AI259"/>
  <c r="CN271"/>
  <c r="CK271"/>
  <c r="CG271"/>
  <c r="CD271"/>
  <c r="BU271"/>
  <c r="CP271"/>
  <c r="BR271"/>
  <c r="BO271"/>
  <c r="BC271"/>
  <c r="AZ271"/>
  <c r="AP271"/>
  <c r="AN271"/>
  <c r="AG271"/>
  <c r="Z271"/>
  <c r="CN269"/>
  <c r="CK269"/>
  <c r="CG269"/>
  <c r="CD269"/>
  <c r="BU269"/>
  <c r="BR269"/>
  <c r="BO269"/>
  <c r="CP269"/>
  <c r="BC269"/>
  <c r="AZ269"/>
  <c r="AP269"/>
  <c r="AN269"/>
  <c r="AG269"/>
  <c r="Z269"/>
  <c r="CN267"/>
  <c r="CK267"/>
  <c r="CG267"/>
  <c r="CD267"/>
  <c r="BU267"/>
  <c r="CP267"/>
  <c r="BR267"/>
  <c r="BO267"/>
  <c r="BC267"/>
  <c r="AZ267"/>
  <c r="AP267"/>
  <c r="AN267"/>
  <c r="AG267"/>
  <c r="Z267"/>
  <c r="CN265"/>
  <c r="CK265"/>
  <c r="CG265"/>
  <c r="CD265"/>
  <c r="BU265"/>
  <c r="BR265"/>
  <c r="BO265"/>
  <c r="CP265"/>
  <c r="BC265"/>
  <c r="AZ265"/>
  <c r="AP265"/>
  <c r="AN265"/>
  <c r="AG265"/>
  <c r="Z265"/>
  <c r="CN263"/>
  <c r="CK263"/>
  <c r="CG263"/>
  <c r="CD263"/>
  <c r="BU263"/>
  <c r="CP263" s="1"/>
  <c r="BR263"/>
  <c r="BO263"/>
  <c r="BC263"/>
  <c r="AZ263"/>
  <c r="AP263"/>
  <c r="AN263"/>
  <c r="AG263"/>
  <c r="Z263"/>
  <c r="CI261"/>
  <c r="CI257" s="1"/>
  <c r="CH261"/>
  <c r="CE261"/>
  <c r="BU261"/>
  <c r="BT261"/>
  <c r="BT257"/>
  <c r="BS261"/>
  <c r="BS257"/>
  <c r="BQ257" s="1"/>
  <c r="DZ257" s="1"/>
  <c r="BP261"/>
  <c r="BE261"/>
  <c r="BE257" s="1"/>
  <c r="CK257" s="1"/>
  <c r="BD261"/>
  <c r="BB261"/>
  <c r="BD257"/>
  <c r="BB257"/>
  <c r="BA261"/>
  <c r="BF261"/>
  <c r="AQ261"/>
  <c r="CN259"/>
  <c r="CK259"/>
  <c r="CG259"/>
  <c r="CD259"/>
  <c r="BU259"/>
  <c r="CP259" s="1"/>
  <c r="BR259"/>
  <c r="BO259"/>
  <c r="BC259"/>
  <c r="AZ259"/>
  <c r="AP259"/>
  <c r="AN259"/>
  <c r="AG259"/>
  <c r="Z259"/>
  <c r="BU257"/>
  <c r="AI255"/>
  <c r="AI253"/>
  <c r="AI251"/>
  <c r="AI249"/>
  <c r="AI247"/>
  <c r="AI243"/>
  <c r="CN255"/>
  <c r="CK255"/>
  <c r="CJ255"/>
  <c r="CQ255" s="1"/>
  <c r="BY255"/>
  <c r="BW255"/>
  <c r="BJ255"/>
  <c r="BH255"/>
  <c r="BF255"/>
  <c r="CO255" s="1"/>
  <c r="AU255"/>
  <c r="AS255"/>
  <c r="AP255"/>
  <c r="AN255"/>
  <c r="AG255"/>
  <c r="Z255"/>
  <c r="CN253"/>
  <c r="CK253"/>
  <c r="CJ253"/>
  <c r="CQ253" s="1"/>
  <c r="BY253"/>
  <c r="BW253"/>
  <c r="BJ253"/>
  <c r="BH253"/>
  <c r="BF253"/>
  <c r="CO253" s="1"/>
  <c r="AU253"/>
  <c r="AS253"/>
  <c r="AP253"/>
  <c r="AN253"/>
  <c r="AG253"/>
  <c r="Z253"/>
  <c r="CN251"/>
  <c r="CK251"/>
  <c r="CJ251"/>
  <c r="CQ251" s="1"/>
  <c r="BY251"/>
  <c r="BW251"/>
  <c r="BJ251"/>
  <c r="BH251"/>
  <c r="BF251"/>
  <c r="CO251" s="1"/>
  <c r="AU251"/>
  <c r="AS251"/>
  <c r="AP251"/>
  <c r="AN251"/>
  <c r="AG251"/>
  <c r="Z251"/>
  <c r="CN249"/>
  <c r="CK249"/>
  <c r="CJ249"/>
  <c r="CQ249"/>
  <c r="BY249"/>
  <c r="BW249"/>
  <c r="BJ249"/>
  <c r="BH249"/>
  <c r="BF249"/>
  <c r="CO249"/>
  <c r="AU249"/>
  <c r="AS249"/>
  <c r="AP249"/>
  <c r="AN249"/>
  <c r="AG249"/>
  <c r="Z249"/>
  <c r="CN247"/>
  <c r="CK247"/>
  <c r="CJ247"/>
  <c r="CQ247"/>
  <c r="BY247"/>
  <c r="BW247"/>
  <c r="BJ247"/>
  <c r="BH247"/>
  <c r="BF247"/>
  <c r="CO247"/>
  <c r="AU247"/>
  <c r="AS247"/>
  <c r="AP247"/>
  <c r="AN247"/>
  <c r="AG247"/>
  <c r="Z247"/>
  <c r="CI245"/>
  <c r="CI241"/>
  <c r="BZ245"/>
  <c r="BX245"/>
  <c r="BY245" s="1"/>
  <c r="BT245"/>
  <c r="BK245"/>
  <c r="BI245"/>
  <c r="BJ245" s="1"/>
  <c r="BE245"/>
  <c r="AV245"/>
  <c r="AV241"/>
  <c r="BF241" s="1"/>
  <c r="AQ245"/>
  <c r="CN243"/>
  <c r="CN241"/>
  <c r="CK243"/>
  <c r="CJ243"/>
  <c r="CQ243" s="1"/>
  <c r="BY243"/>
  <c r="BW243"/>
  <c r="BJ243"/>
  <c r="BH243"/>
  <c r="BF243"/>
  <c r="CO243" s="1"/>
  <c r="AU243"/>
  <c r="AS243"/>
  <c r="AP243"/>
  <c r="AN243"/>
  <c r="AG243"/>
  <c r="Z243"/>
  <c r="AI207"/>
  <c r="AI206"/>
  <c r="AI205"/>
  <c r="AI204"/>
  <c r="AI203"/>
  <c r="AI202"/>
  <c r="AI201"/>
  <c r="AI200"/>
  <c r="AI199"/>
  <c r="AI198"/>
  <c r="AI195"/>
  <c r="AI194"/>
  <c r="CN207"/>
  <c r="CK207"/>
  <c r="CJ207"/>
  <c r="CQ207" s="1"/>
  <c r="BY207"/>
  <c r="BW207"/>
  <c r="BU207"/>
  <c r="CP207" s="1"/>
  <c r="BJ207"/>
  <c r="BH207"/>
  <c r="BF207"/>
  <c r="CO207" s="1"/>
  <c r="CM207" s="1"/>
  <c r="AU207"/>
  <c r="AS207"/>
  <c r="AP207"/>
  <c r="AN207"/>
  <c r="AG207"/>
  <c r="Z207"/>
  <c r="CN206"/>
  <c r="CK206"/>
  <c r="CJ206"/>
  <c r="CQ206"/>
  <c r="BY206"/>
  <c r="BW206"/>
  <c r="BU206"/>
  <c r="CP206"/>
  <c r="BJ206"/>
  <c r="BH206"/>
  <c r="BF206"/>
  <c r="CO206"/>
  <c r="AU206"/>
  <c r="AS206"/>
  <c r="AP206"/>
  <c r="AN206"/>
  <c r="AG206"/>
  <c r="Z206"/>
  <c r="CN205"/>
  <c r="CK205"/>
  <c r="CJ205"/>
  <c r="CQ205" s="1"/>
  <c r="BY205"/>
  <c r="BW205"/>
  <c r="BU205"/>
  <c r="CP205" s="1"/>
  <c r="BJ205"/>
  <c r="BH205"/>
  <c r="BF205"/>
  <c r="CO205" s="1"/>
  <c r="CM205" s="1"/>
  <c r="AU205"/>
  <c r="AS205"/>
  <c r="AP205"/>
  <c r="AN205"/>
  <c r="AG205"/>
  <c r="Z205"/>
  <c r="CN204"/>
  <c r="CK204"/>
  <c r="CJ204"/>
  <c r="CQ204" s="1"/>
  <c r="BY204"/>
  <c r="BW204"/>
  <c r="BU204"/>
  <c r="CP204" s="1"/>
  <c r="BJ204"/>
  <c r="BH204"/>
  <c r="BF204"/>
  <c r="CO204" s="1"/>
  <c r="CM204"/>
  <c r="AU204"/>
  <c r="AS204"/>
  <c r="AP204"/>
  <c r="AN204"/>
  <c r="AG204"/>
  <c r="Z204"/>
  <c r="CN203"/>
  <c r="CK203"/>
  <c r="CJ203"/>
  <c r="CQ203"/>
  <c r="BY203"/>
  <c r="BW203"/>
  <c r="BU203"/>
  <c r="CP203"/>
  <c r="BJ203"/>
  <c r="BH203"/>
  <c r="BF203"/>
  <c r="CO203"/>
  <c r="AU203"/>
  <c r="AS203"/>
  <c r="AP203"/>
  <c r="AN203"/>
  <c r="AG203"/>
  <c r="Z203"/>
  <c r="CN202"/>
  <c r="CK202"/>
  <c r="CJ202"/>
  <c r="CQ202"/>
  <c r="BY202"/>
  <c r="BW202"/>
  <c r="BU202"/>
  <c r="CP202"/>
  <c r="BJ202"/>
  <c r="BH202"/>
  <c r="BF202"/>
  <c r="CO202"/>
  <c r="CM202" s="1"/>
  <c r="AU202"/>
  <c r="AS202"/>
  <c r="AP202"/>
  <c r="AN202"/>
  <c r="AG202"/>
  <c r="Z202"/>
  <c r="CN201"/>
  <c r="CK201"/>
  <c r="CJ201"/>
  <c r="CQ201" s="1"/>
  <c r="BY201"/>
  <c r="BW201"/>
  <c r="BU201"/>
  <c r="CP201" s="1"/>
  <c r="BJ201"/>
  <c r="BH201"/>
  <c r="BF201"/>
  <c r="CO201" s="1"/>
  <c r="AU201"/>
  <c r="AS201"/>
  <c r="AP201"/>
  <c r="AN201"/>
  <c r="AG201"/>
  <c r="Z201"/>
  <c r="CN200"/>
  <c r="CK200"/>
  <c r="CJ200"/>
  <c r="CQ200" s="1"/>
  <c r="BY200"/>
  <c r="BW200"/>
  <c r="BU200"/>
  <c r="CP200" s="1"/>
  <c r="BJ200"/>
  <c r="BH200"/>
  <c r="BF200"/>
  <c r="CO200" s="1"/>
  <c r="AU200"/>
  <c r="AS200"/>
  <c r="AP200"/>
  <c r="AN200"/>
  <c r="AG200"/>
  <c r="Z200"/>
  <c r="CN199"/>
  <c r="CK199"/>
  <c r="CJ199"/>
  <c r="CQ199" s="1"/>
  <c r="BY199"/>
  <c r="BW199"/>
  <c r="BU199"/>
  <c r="CP199" s="1"/>
  <c r="BJ199"/>
  <c r="BH199"/>
  <c r="BF199"/>
  <c r="CO199" s="1"/>
  <c r="AU199"/>
  <c r="AS199"/>
  <c r="AP199"/>
  <c r="AN199"/>
  <c r="AG199"/>
  <c r="Z199"/>
  <c r="CN198"/>
  <c r="CK198"/>
  <c r="CJ198"/>
  <c r="CQ198" s="1"/>
  <c r="BY198"/>
  <c r="BW198"/>
  <c r="BU198"/>
  <c r="CP198" s="1"/>
  <c r="BJ198"/>
  <c r="BH198"/>
  <c r="BF198"/>
  <c r="CO198" s="1"/>
  <c r="AU198"/>
  <c r="AS198"/>
  <c r="AP198"/>
  <c r="AN198"/>
  <c r="AG198"/>
  <c r="Z198"/>
  <c r="CI197"/>
  <c r="BZ197"/>
  <c r="CJ197"/>
  <c r="BT197"/>
  <c r="BK197"/>
  <c r="BE197"/>
  <c r="CK197"/>
  <c r="AV197"/>
  <c r="AQ197"/>
  <c r="CI196"/>
  <c r="CI193"/>
  <c r="BZ196"/>
  <c r="BX196"/>
  <c r="BY196" s="1"/>
  <c r="BT196"/>
  <c r="BK196"/>
  <c r="BE196"/>
  <c r="AV196"/>
  <c r="BF196"/>
  <c r="AQ196"/>
  <c r="AM196"/>
  <c r="AN196" s="1"/>
  <c r="CN195"/>
  <c r="CK195"/>
  <c r="CJ195"/>
  <c r="CQ195" s="1"/>
  <c r="BY195"/>
  <c r="BW195"/>
  <c r="BU195"/>
  <c r="CP195" s="1"/>
  <c r="BJ195"/>
  <c r="BH195"/>
  <c r="BF195"/>
  <c r="CO195" s="1"/>
  <c r="AU195"/>
  <c r="AS195"/>
  <c r="AP195"/>
  <c r="AN195"/>
  <c r="AG195"/>
  <c r="Z195"/>
  <c r="CN194"/>
  <c r="CK194"/>
  <c r="CJ194"/>
  <c r="CQ194" s="1"/>
  <c r="BY194"/>
  <c r="BW194"/>
  <c r="BU194"/>
  <c r="CP194" s="1"/>
  <c r="BJ194"/>
  <c r="BH194"/>
  <c r="BF194"/>
  <c r="CO194" s="1"/>
  <c r="AU194"/>
  <c r="AS194"/>
  <c r="AP194"/>
  <c r="AN194"/>
  <c r="AG194"/>
  <c r="Z194"/>
  <c r="AI223"/>
  <c r="AI222"/>
  <c r="AI221"/>
  <c r="AI220"/>
  <c r="AI219"/>
  <c r="AI218"/>
  <c r="AI217"/>
  <c r="AI216"/>
  <c r="AI215"/>
  <c r="AI214"/>
  <c r="AI211"/>
  <c r="AI210"/>
  <c r="CN223"/>
  <c r="CK223"/>
  <c r="CG223"/>
  <c r="CD223"/>
  <c r="BR223"/>
  <c r="BO223"/>
  <c r="BC223"/>
  <c r="AZ223"/>
  <c r="AP223"/>
  <c r="AN223"/>
  <c r="AG223"/>
  <c r="Z223"/>
  <c r="CN222"/>
  <c r="CK222"/>
  <c r="CG222"/>
  <c r="CD222"/>
  <c r="BR222"/>
  <c r="BO222"/>
  <c r="BC222"/>
  <c r="AZ222"/>
  <c r="AP222"/>
  <c r="AN222"/>
  <c r="AG222"/>
  <c r="Z222"/>
  <c r="CN221"/>
  <c r="CK221"/>
  <c r="CG221"/>
  <c r="CD221"/>
  <c r="BR221"/>
  <c r="BO221"/>
  <c r="BC221"/>
  <c r="AZ221"/>
  <c r="AP221"/>
  <c r="AN221"/>
  <c r="AG221"/>
  <c r="Z221"/>
  <c r="CN220"/>
  <c r="CK220"/>
  <c r="CG220"/>
  <c r="CD220"/>
  <c r="BR220"/>
  <c r="BO220"/>
  <c r="BC220"/>
  <c r="AZ220"/>
  <c r="AP220"/>
  <c r="AN220"/>
  <c r="AG220"/>
  <c r="Z220"/>
  <c r="CN219"/>
  <c r="CK219"/>
  <c r="CG219"/>
  <c r="CD219"/>
  <c r="BR219"/>
  <c r="BO219"/>
  <c r="BC219"/>
  <c r="AZ219"/>
  <c r="AP219"/>
  <c r="AN219"/>
  <c r="AG219"/>
  <c r="Z219"/>
  <c r="CN218"/>
  <c r="CK218"/>
  <c r="CG218"/>
  <c r="CD218"/>
  <c r="BR218"/>
  <c r="BO218"/>
  <c r="BC218"/>
  <c r="AZ218"/>
  <c r="AP218"/>
  <c r="AN218"/>
  <c r="AG218"/>
  <c r="Z218"/>
  <c r="CN217"/>
  <c r="CK217"/>
  <c r="CG217"/>
  <c r="CD217"/>
  <c r="BR217"/>
  <c r="BO217"/>
  <c r="BC217"/>
  <c r="AZ217"/>
  <c r="AP217"/>
  <c r="AN217"/>
  <c r="AG217"/>
  <c r="Z217"/>
  <c r="CN216"/>
  <c r="CK216"/>
  <c r="CG216"/>
  <c r="CD216"/>
  <c r="BR216"/>
  <c r="BO216"/>
  <c r="BC216"/>
  <c r="AZ216"/>
  <c r="AP216"/>
  <c r="AN216"/>
  <c r="AG216"/>
  <c r="Z216"/>
  <c r="CN215"/>
  <c r="CK215"/>
  <c r="CG215"/>
  <c r="CD215"/>
  <c r="BR215"/>
  <c r="BO215"/>
  <c r="BC215"/>
  <c r="AZ215"/>
  <c r="CO215"/>
  <c r="AP215"/>
  <c r="AN215"/>
  <c r="AG215"/>
  <c r="Z215"/>
  <c r="CN214"/>
  <c r="CK214"/>
  <c r="CG214"/>
  <c r="CD214"/>
  <c r="BR214"/>
  <c r="BO214"/>
  <c r="BC214"/>
  <c r="AZ214"/>
  <c r="AP214"/>
  <c r="AN214"/>
  <c r="AG214"/>
  <c r="Z214"/>
  <c r="CI213"/>
  <c r="CH213"/>
  <c r="CF213" s="1"/>
  <c r="CG213"/>
  <c r="CE213"/>
  <c r="BT213"/>
  <c r="BS213"/>
  <c r="BQ213"/>
  <c r="BR213" s="1"/>
  <c r="BP213"/>
  <c r="BE213"/>
  <c r="BD213"/>
  <c r="BA213"/>
  <c r="AQ213"/>
  <c r="AO213" s="1"/>
  <c r="AP213"/>
  <c r="CI212"/>
  <c r="CI209"/>
  <c r="CH212"/>
  <c r="CE212"/>
  <c r="BT212"/>
  <c r="BT209"/>
  <c r="BS212"/>
  <c r="BP212"/>
  <c r="BN212" s="1"/>
  <c r="BE212"/>
  <c r="CK212" s="1"/>
  <c r="BD212"/>
  <c r="BD209" s="1"/>
  <c r="BB209" s="1"/>
  <c r="BA212"/>
  <c r="AQ212"/>
  <c r="AM212" s="1"/>
  <c r="AN212"/>
  <c r="CN211"/>
  <c r="CK211"/>
  <c r="CG211"/>
  <c r="CD211"/>
  <c r="BR211"/>
  <c r="BO211"/>
  <c r="BC211"/>
  <c r="AZ211"/>
  <c r="AP211"/>
  <c r="AN211"/>
  <c r="AG211"/>
  <c r="Z211"/>
  <c r="CN210"/>
  <c r="CK210"/>
  <c r="CG210"/>
  <c r="CD210"/>
  <c r="BR210"/>
  <c r="BO210"/>
  <c r="BC210"/>
  <c r="AZ210"/>
  <c r="AP210"/>
  <c r="AN210"/>
  <c r="AG210"/>
  <c r="Z210"/>
  <c r="EB193"/>
  <c r="EC193"/>
  <c r="DQ193"/>
  <c r="H19" i="1054"/>
  <c r="BS19" s="1" a="1"/>
  <c r="H19" i="1052"/>
  <c r="C257" i="1037"/>
  <c r="C241"/>
  <c r="C225"/>
  <c r="C209"/>
  <c r="C193"/>
  <c r="H20" i="1054"/>
  <c r="CH20" s="1" a="1"/>
  <c r="H18"/>
  <c r="C440" i="1037"/>
  <c r="C439"/>
  <c r="C438"/>
  <c r="C436"/>
  <c r="C435"/>
  <c r="H434"/>
  <c r="C434"/>
  <c r="C430"/>
  <c r="C429"/>
  <c r="C428"/>
  <c r="C426"/>
  <c r="C425"/>
  <c r="C424"/>
  <c r="C422"/>
  <c r="C421"/>
  <c r="C420"/>
  <c r="C418"/>
  <c r="C417"/>
  <c r="C416"/>
  <c r="H426"/>
  <c r="H425"/>
  <c r="H424"/>
  <c r="H422"/>
  <c r="H420"/>
  <c r="H417"/>
  <c r="H416"/>
  <c r="H18" i="1052"/>
  <c r="H20"/>
  <c r="AC6289" i="967"/>
  <c r="Z6289"/>
  <c r="W6289"/>
  <c r="AC6288"/>
  <c r="Z6288"/>
  <c r="W6288"/>
  <c r="AB6287"/>
  <c r="AA6287"/>
  <c r="AC6287" s="1"/>
  <c r="X6287"/>
  <c r="Z6287" s="1"/>
  <c r="V6287"/>
  <c r="W6287" s="1"/>
  <c r="AC6286"/>
  <c r="Z6286"/>
  <c r="W6286"/>
  <c r="AC6285"/>
  <c r="Z6285"/>
  <c r="W6285"/>
  <c r="AC6284"/>
  <c r="Z6284"/>
  <c r="W6284"/>
  <c r="AC6283"/>
  <c r="Z6283"/>
  <c r="W6283"/>
  <c r="AC6282"/>
  <c r="Z6282"/>
  <c r="W6282"/>
  <c r="AC6281"/>
  <c r="Z6281"/>
  <c r="W6281"/>
  <c r="AB6280"/>
  <c r="AA6280"/>
  <c r="AC6280" s="1"/>
  <c r="X6280"/>
  <c r="V6280"/>
  <c r="W6280" s="1"/>
  <c r="AH12" i="936"/>
  <c r="F5" i="1052"/>
  <c r="W7066" i="967"/>
  <c r="W7064"/>
  <c r="W7056"/>
  <c r="W7050"/>
  <c r="W7013"/>
  <c r="W7012" s="1"/>
  <c r="W7061"/>
  <c r="W7009"/>
  <c r="W7173"/>
  <c r="V7173"/>
  <c r="U7173"/>
  <c r="T7173"/>
  <c r="S7173"/>
  <c r="R7173"/>
  <c r="W7003"/>
  <c r="V7003"/>
  <c r="U7003"/>
  <c r="T7003"/>
  <c r="S7003"/>
  <c r="R7003"/>
  <c r="Z6703"/>
  <c r="Z6693"/>
  <c r="Z6687"/>
  <c r="Z6674"/>
  <c r="Z6651"/>
  <c r="Z6650" s="1"/>
  <c r="Z6649"/>
  <c r="Z6643"/>
  <c r="Z6637"/>
  <c r="Z6634"/>
  <c r="Z6631"/>
  <c r="Z6628"/>
  <c r="Z6625"/>
  <c r="Z6622"/>
  <c r="Z6619"/>
  <c r="Z6616"/>
  <c r="Z6615"/>
  <c r="Z6614"/>
  <c r="W6703"/>
  <c r="W6693"/>
  <c r="W6687"/>
  <c r="W6674"/>
  <c r="W6651"/>
  <c r="W6650" s="1"/>
  <c r="W6649"/>
  <c r="W6643"/>
  <c r="W6637"/>
  <c r="W6634"/>
  <c r="W6631"/>
  <c r="W6628"/>
  <c r="W6625"/>
  <c r="W6622"/>
  <c r="W6619"/>
  <c r="W6616"/>
  <c r="W6613"/>
  <c r="W6615"/>
  <c r="W6614"/>
  <c r="O6856"/>
  <c r="O6855"/>
  <c r="O6854"/>
  <c r="O6850"/>
  <c r="N6850"/>
  <c r="O6779"/>
  <c r="Z6773"/>
  <c r="Y6773"/>
  <c r="X6773"/>
  <c r="W6773"/>
  <c r="V6773"/>
  <c r="U6773"/>
  <c r="T6773"/>
  <c r="S6773"/>
  <c r="R6773"/>
  <c r="O6686"/>
  <c r="O6685"/>
  <c r="O6684"/>
  <c r="O6609"/>
  <c r="Z6603"/>
  <c r="Y6603"/>
  <c r="X6603"/>
  <c r="W6603"/>
  <c r="V6603"/>
  <c r="U6603"/>
  <c r="T6603"/>
  <c r="S6603"/>
  <c r="R6603"/>
  <c r="AP86" i="1044"/>
  <c r="AP113" i="1047"/>
  <c r="AP112"/>
  <c r="AP111"/>
  <c r="AP110"/>
  <c r="AP108"/>
  <c r="AP107"/>
  <c r="AP106"/>
  <c r="AP105"/>
  <c r="AP104"/>
  <c r="AP103"/>
  <c r="AP102"/>
  <c r="AP101"/>
  <c r="AP100"/>
  <c r="AP98"/>
  <c r="AP97"/>
  <c r="AP96"/>
  <c r="AP95"/>
  <c r="AP94"/>
  <c r="AP92"/>
  <c r="AO92"/>
  <c r="AP91"/>
  <c r="AO91"/>
  <c r="AP90"/>
  <c r="AO90"/>
  <c r="AP89"/>
  <c r="AO89"/>
  <c r="AN89"/>
  <c r="AP88"/>
  <c r="AP87"/>
  <c r="AO88"/>
  <c r="AN88"/>
  <c r="AO87"/>
  <c r="AN87"/>
  <c r="AP86"/>
  <c r="AO86"/>
  <c r="AN86"/>
  <c r="AP85"/>
  <c r="AP84"/>
  <c r="AP83"/>
  <c r="AP82"/>
  <c r="AP81"/>
  <c r="AP79"/>
  <c r="AP77"/>
  <c r="AP76"/>
  <c r="AP74"/>
  <c r="AP73"/>
  <c r="AP71"/>
  <c r="AP67"/>
  <c r="AP65"/>
  <c r="AP61"/>
  <c r="AP59"/>
  <c r="AP54"/>
  <c r="AP53"/>
  <c r="AP52"/>
  <c r="AP51"/>
  <c r="AP50"/>
  <c r="AP48"/>
  <c r="AP47"/>
  <c r="AP46"/>
  <c r="AP45"/>
  <c r="AP44"/>
  <c r="AP42"/>
  <c r="AP39"/>
  <c r="AP38" s="1"/>
  <c r="AP36"/>
  <c r="AP35" s="1"/>
  <c r="AP33"/>
  <c r="AP30"/>
  <c r="AP27"/>
  <c r="AP26" s="1"/>
  <c r="AP24"/>
  <c r="AO15"/>
  <c r="AP113" i="1046"/>
  <c r="AP112"/>
  <c r="AP111"/>
  <c r="AP110"/>
  <c r="AP108"/>
  <c r="AP107"/>
  <c r="AP106"/>
  <c r="AP105"/>
  <c r="AP104"/>
  <c r="AP103"/>
  <c r="AP102"/>
  <c r="AP101"/>
  <c r="AP100"/>
  <c r="AP98"/>
  <c r="AP97"/>
  <c r="AP96"/>
  <c r="AP95"/>
  <c r="AP94"/>
  <c r="AP92"/>
  <c r="AO92"/>
  <c r="AP91"/>
  <c r="AO91"/>
  <c r="AP90"/>
  <c r="AO90"/>
  <c r="AP89"/>
  <c r="AO89"/>
  <c r="AN89"/>
  <c r="AP88"/>
  <c r="AP87"/>
  <c r="AO88"/>
  <c r="AN88"/>
  <c r="AO87"/>
  <c r="AN87"/>
  <c r="AP86"/>
  <c r="AO86"/>
  <c r="AN86"/>
  <c r="AP85"/>
  <c r="AP84"/>
  <c r="AP83"/>
  <c r="AP82"/>
  <c r="AP81"/>
  <c r="AP79"/>
  <c r="AP77"/>
  <c r="AP76"/>
  <c r="AP74"/>
  <c r="AP73"/>
  <c r="AP71"/>
  <c r="AP67"/>
  <c r="AP65"/>
  <c r="AP61"/>
  <c r="AP59"/>
  <c r="AP54"/>
  <c r="AP53"/>
  <c r="AP52"/>
  <c r="AP51"/>
  <c r="AP50"/>
  <c r="AP48"/>
  <c r="AP47"/>
  <c r="AP46"/>
  <c r="AP45"/>
  <c r="AP44"/>
  <c r="AP42"/>
  <c r="AP39"/>
  <c r="AP38" s="1"/>
  <c r="AP36"/>
  <c r="AP33"/>
  <c r="AP32"/>
  <c r="AP30"/>
  <c r="AP27"/>
  <c r="AP26" s="1"/>
  <c r="AP24"/>
  <c r="AO15"/>
  <c r="AN10"/>
  <c r="AP113" i="1045"/>
  <c r="AP112"/>
  <c r="AP111"/>
  <c r="AP110"/>
  <c r="AP108"/>
  <c r="AP107"/>
  <c r="AP106"/>
  <c r="AP105"/>
  <c r="AP104"/>
  <c r="AP103"/>
  <c r="AP102"/>
  <c r="AP101"/>
  <c r="AP100"/>
  <c r="AP98"/>
  <c r="AP97"/>
  <c r="AP96"/>
  <c r="AP95"/>
  <c r="AP94"/>
  <c r="AP92"/>
  <c r="AO92"/>
  <c r="AP91"/>
  <c r="AO91"/>
  <c r="AP90"/>
  <c r="AO90"/>
  <c r="AP89"/>
  <c r="AO89"/>
  <c r="AN89"/>
  <c r="AP88"/>
  <c r="AP87"/>
  <c r="AO88"/>
  <c r="AN88"/>
  <c r="AO87"/>
  <c r="AN87"/>
  <c r="AP86"/>
  <c r="AO86"/>
  <c r="AN86"/>
  <c r="AP85"/>
  <c r="AP84"/>
  <c r="AP83"/>
  <c r="AP82"/>
  <c r="AP81"/>
  <c r="AP79"/>
  <c r="AP77"/>
  <c r="AP76"/>
  <c r="AP74"/>
  <c r="AP73"/>
  <c r="AP71"/>
  <c r="AP67"/>
  <c r="AP65"/>
  <c r="AP61"/>
  <c r="AP59"/>
  <c r="AP54"/>
  <c r="AP53"/>
  <c r="AP52"/>
  <c r="AP51"/>
  <c r="AP50"/>
  <c r="AP48"/>
  <c r="AP47"/>
  <c r="AP46"/>
  <c r="AP45"/>
  <c r="AP44" s="1"/>
  <c r="AP42"/>
  <c r="AP39"/>
  <c r="AP38"/>
  <c r="AP36"/>
  <c r="AP33"/>
  <c r="AP32" s="1"/>
  <c r="AP30"/>
  <c r="AP27"/>
  <c r="AP26"/>
  <c r="AP24"/>
  <c r="AO15"/>
  <c r="AO92" i="1044"/>
  <c r="AO91"/>
  <c r="AO90"/>
  <c r="AO86"/>
  <c r="AN86"/>
  <c r="AO15"/>
  <c r="AC6373" i="967"/>
  <c r="AB6373"/>
  <c r="AA6373"/>
  <c r="Z6373"/>
  <c r="Y6373"/>
  <c r="X6373"/>
  <c r="W6373"/>
  <c r="V6373"/>
  <c r="U6373"/>
  <c r="T6373"/>
  <c r="S6373"/>
  <c r="R6373"/>
  <c r="AN10" i="1006"/>
  <c r="AO92" i="1007"/>
  <c r="AO91"/>
  <c r="AO90"/>
  <c r="AO89"/>
  <c r="AN89"/>
  <c r="AO88"/>
  <c r="AN88"/>
  <c r="AO87"/>
  <c r="AN87"/>
  <c r="AO86"/>
  <c r="AN86"/>
  <c r="AO15"/>
  <c r="AO92" i="1006"/>
  <c r="AO91"/>
  <c r="AO90"/>
  <c r="AO89"/>
  <c r="AN89"/>
  <c r="AO88"/>
  <c r="AN88"/>
  <c r="AO87"/>
  <c r="AN87"/>
  <c r="AO86"/>
  <c r="AN86"/>
  <c r="AO15"/>
  <c r="AO15" i="1004"/>
  <c r="AO92"/>
  <c r="AO91"/>
  <c r="AO90"/>
  <c r="AO92" i="1005"/>
  <c r="AO91"/>
  <c r="AO90"/>
  <c r="AO15"/>
  <c r="AO86" i="1004"/>
  <c r="AN86"/>
  <c r="AC6203" i="967"/>
  <c r="AB6203"/>
  <c r="AA6203"/>
  <c r="Z6203"/>
  <c r="Y6203"/>
  <c r="X6203"/>
  <c r="W6203"/>
  <c r="V6203"/>
  <c r="U6203"/>
  <c r="T6203"/>
  <c r="S6203"/>
  <c r="R6203"/>
  <c r="AC6308"/>
  <c r="Z6308"/>
  <c r="W6308"/>
  <c r="AC6307"/>
  <c r="Z6307"/>
  <c r="W6307"/>
  <c r="AC6306"/>
  <c r="Z6306"/>
  <c r="W6306"/>
  <c r="AC6305"/>
  <c r="Z6305"/>
  <c r="W6305"/>
  <c r="AC6304"/>
  <c r="Z6304"/>
  <c r="W6304"/>
  <c r="AB6303"/>
  <c r="AA6303"/>
  <c r="X6303"/>
  <c r="Z6303"/>
  <c r="V6303"/>
  <c r="W6303"/>
  <c r="AC6302"/>
  <c r="Z6302"/>
  <c r="W6302"/>
  <c r="AC6301"/>
  <c r="Z6301"/>
  <c r="W6301"/>
  <c r="AC6300"/>
  <c r="Z6300"/>
  <c r="W6300"/>
  <c r="AC6299"/>
  <c r="Z6299"/>
  <c r="W6299"/>
  <c r="AC6298"/>
  <c r="Z6298"/>
  <c r="W6298"/>
  <c r="AC6297"/>
  <c r="Z6297"/>
  <c r="W6297"/>
  <c r="AC6296"/>
  <c r="Z6296"/>
  <c r="W6296"/>
  <c r="AC6295"/>
  <c r="Z6295"/>
  <c r="W6295"/>
  <c r="AC6294"/>
  <c r="Z6294"/>
  <c r="W6294"/>
  <c r="AB6293"/>
  <c r="AA6293"/>
  <c r="X6293"/>
  <c r="Z6293"/>
  <c r="V6293"/>
  <c r="W6293"/>
  <c r="AC6292"/>
  <c r="Z6292"/>
  <c r="W6292"/>
  <c r="AC6291"/>
  <c r="Z6291"/>
  <c r="W6291"/>
  <c r="AC6290"/>
  <c r="Z6290"/>
  <c r="W6290"/>
  <c r="AC6279"/>
  <c r="Z6279"/>
  <c r="W6279"/>
  <c r="AC6278"/>
  <c r="Z6278"/>
  <c r="W6278"/>
  <c r="AC6277"/>
  <c r="Z6277"/>
  <c r="W6277"/>
  <c r="AC6276"/>
  <c r="Z6276"/>
  <c r="W6276"/>
  <c r="AC6275"/>
  <c r="Z6275"/>
  <c r="W6275"/>
  <c r="AB6274"/>
  <c r="AA6274"/>
  <c r="X6274"/>
  <c r="Z6274"/>
  <c r="V6274"/>
  <c r="W6274"/>
  <c r="AC6273"/>
  <c r="Z6273"/>
  <c r="W6273"/>
  <c r="AC6271"/>
  <c r="Z6271"/>
  <c r="W6271"/>
  <c r="AC6270"/>
  <c r="Z6270"/>
  <c r="W6270"/>
  <c r="AC6268"/>
  <c r="Z6268"/>
  <c r="W6268"/>
  <c r="AC6267"/>
  <c r="Z6267"/>
  <c r="W6267"/>
  <c r="AC6265"/>
  <c r="Z6265"/>
  <c r="W6265"/>
  <c r="AC6261"/>
  <c r="Z6261"/>
  <c r="W6261"/>
  <c r="AC6259"/>
  <c r="Z6259"/>
  <c r="W6259"/>
  <c r="AC6255"/>
  <c r="Z6255"/>
  <c r="W6255"/>
  <c r="AC6253"/>
  <c r="Z6253"/>
  <c r="W6253"/>
  <c r="AB6251"/>
  <c r="AB6250"/>
  <c r="AA6251"/>
  <c r="AA6250"/>
  <c r="X6251"/>
  <c r="X6250"/>
  <c r="V6251"/>
  <c r="V6250"/>
  <c r="AB6249"/>
  <c r="AA6249"/>
  <c r="X6249"/>
  <c r="Z6249"/>
  <c r="V6249"/>
  <c r="W6249"/>
  <c r="AC6248"/>
  <c r="Z6248"/>
  <c r="W6248"/>
  <c r="AC6247"/>
  <c r="Z6247"/>
  <c r="W6247"/>
  <c r="AC6246"/>
  <c r="Z6246"/>
  <c r="W6246"/>
  <c r="AC6245"/>
  <c r="Z6245"/>
  <c r="W6245"/>
  <c r="AC6244"/>
  <c r="Z6244"/>
  <c r="W6244"/>
  <c r="AB6243"/>
  <c r="AA6243"/>
  <c r="X6243"/>
  <c r="Z6243"/>
  <c r="V6243"/>
  <c r="W6243"/>
  <c r="AC6242"/>
  <c r="Z6242"/>
  <c r="W6242"/>
  <c r="AC6241"/>
  <c r="Z6241"/>
  <c r="W6241"/>
  <c r="AC6240"/>
  <c r="Z6240"/>
  <c r="W6240"/>
  <c r="AC6239"/>
  <c r="Z6239"/>
  <c r="W6239"/>
  <c r="AB6237"/>
  <c r="AA6237"/>
  <c r="X6237"/>
  <c r="Z6237"/>
  <c r="V6237"/>
  <c r="W6237"/>
  <c r="AC6236"/>
  <c r="Z6236"/>
  <c r="W6236"/>
  <c r="AB6234"/>
  <c r="AA6234"/>
  <c r="X6234"/>
  <c r="Z6234" s="1"/>
  <c r="V6234"/>
  <c r="W6234" s="1"/>
  <c r="AC6233"/>
  <c r="Z6233"/>
  <c r="W6233"/>
  <c r="AB6231"/>
  <c r="AA6231"/>
  <c r="AC6231" s="1"/>
  <c r="X6231"/>
  <c r="Z6231" s="1"/>
  <c r="V6231"/>
  <c r="W6231" s="1"/>
  <c r="AC6230"/>
  <c r="Z6230"/>
  <c r="W6230"/>
  <c r="AB6228"/>
  <c r="AA6228"/>
  <c r="AC6228" s="1"/>
  <c r="X6228"/>
  <c r="Z6228" s="1"/>
  <c r="V6228"/>
  <c r="W6228" s="1"/>
  <c r="AC6227"/>
  <c r="Z6227"/>
  <c r="W6227"/>
  <c r="AB6225"/>
  <c r="AC6225"/>
  <c r="AA6225"/>
  <c r="X6225"/>
  <c r="Z6225" s="1"/>
  <c r="V6225"/>
  <c r="W6225" s="1"/>
  <c r="AC6224"/>
  <c r="Z6224"/>
  <c r="W6224"/>
  <c r="AB6222"/>
  <c r="AA6222"/>
  <c r="X6222"/>
  <c r="Z6222"/>
  <c r="V6222"/>
  <c r="W6222"/>
  <c r="AC6221"/>
  <c r="Z6221"/>
  <c r="W6221"/>
  <c r="AB6219"/>
  <c r="AA6219"/>
  <c r="X6219"/>
  <c r="Z6219" s="1"/>
  <c r="V6219"/>
  <c r="W6219" s="1"/>
  <c r="AC6218"/>
  <c r="Z6218"/>
  <c r="W6218"/>
  <c r="AB6216"/>
  <c r="AB6213"/>
  <c r="AB6212" s="1"/>
  <c r="AB6211"/>
  <c r="AA6216"/>
  <c r="AC6216"/>
  <c r="X6216"/>
  <c r="V6216"/>
  <c r="W6216" s="1"/>
  <c r="AB6215"/>
  <c r="AA6215"/>
  <c r="AC6215" s="1"/>
  <c r="X6215"/>
  <c r="Z6215"/>
  <c r="V6215"/>
  <c r="W6215"/>
  <c r="AB6214"/>
  <c r="AA6214"/>
  <c r="X6214"/>
  <c r="Z6214"/>
  <c r="V6214"/>
  <c r="W6214"/>
  <c r="AO89" i="1005"/>
  <c r="AN89"/>
  <c r="AO88"/>
  <c r="AN88"/>
  <c r="AO87"/>
  <c r="AN87"/>
  <c r="AO86"/>
  <c r="AN86"/>
  <c r="F119" i="1043"/>
  <c r="F127"/>
  <c r="F125"/>
  <c r="BF31"/>
  <c r="BF30"/>
  <c r="BF3"/>
  <c r="BF2"/>
  <c r="Q31"/>
  <c r="P31"/>
  <c r="O31"/>
  <c r="N31"/>
  <c r="M31"/>
  <c r="F29"/>
  <c r="F43"/>
  <c r="F1"/>
  <c r="F7"/>
  <c r="BF31" i="1042"/>
  <c r="BF30"/>
  <c r="BF3"/>
  <c r="BF2"/>
  <c r="R31"/>
  <c r="Y31" i="938"/>
  <c r="P31" i="1042"/>
  <c r="O31"/>
  <c r="N31"/>
  <c r="M31"/>
  <c r="K31"/>
  <c r="F29"/>
  <c r="F36" s="1"/>
  <c r="F127"/>
  <c r="F125"/>
  <c r="F1"/>
  <c r="F4" s="1"/>
  <c r="F119"/>
  <c r="F120" i="1002"/>
  <c r="C86"/>
  <c r="BF107" s="1"/>
  <c r="C85"/>
  <c r="F94" s="1"/>
  <c r="C58"/>
  <c r="BF73" s="1"/>
  <c r="C57"/>
  <c r="F59" s="1"/>
  <c r="C30"/>
  <c r="BF50" s="1"/>
  <c r="C29"/>
  <c r="BF34" s="1"/>
  <c r="C2"/>
  <c r="BF24" s="1"/>
  <c r="C1"/>
  <c r="BF7" s="1"/>
  <c r="F85"/>
  <c r="F57"/>
  <c r="F29"/>
  <c r="F1"/>
  <c r="C2" i="1001"/>
  <c r="F28" s="1"/>
  <c r="F1"/>
  <c r="C1"/>
  <c r="F3"/>
  <c r="C30"/>
  <c r="F52"/>
  <c r="F29"/>
  <c r="C29"/>
  <c r="BF38" s="1"/>
  <c r="C58"/>
  <c r="BF76" s="1"/>
  <c r="F57"/>
  <c r="C57"/>
  <c r="BF61"/>
  <c r="C86"/>
  <c r="BF110"/>
  <c r="C85"/>
  <c r="BF93"/>
  <c r="F1" i="938"/>
  <c r="F10"/>
  <c r="F127" i="1002"/>
  <c r="F125"/>
  <c r="F127" i="1001"/>
  <c r="F125"/>
  <c r="F119"/>
  <c r="F5" i="993"/>
  <c r="F5" i="992"/>
  <c r="W3957" i="967"/>
  <c r="W3955"/>
  <c r="W3954"/>
  <c r="W3956" s="1"/>
  <c r="BF58" i="938"/>
  <c r="BF30"/>
  <c r="BF2"/>
  <c r="BF59"/>
  <c r="BF31"/>
  <c r="BF3"/>
  <c r="C174" i="1037"/>
  <c r="C166"/>
  <c r="AB124" i="938"/>
  <c r="AA124"/>
  <c r="AB122"/>
  <c r="AA122"/>
  <c r="AF124"/>
  <c r="AE124"/>
  <c r="AF122"/>
  <c r="AE122"/>
  <c r="AK124"/>
  <c r="AJ124"/>
  <c r="AI124"/>
  <c r="AK122"/>
  <c r="AJ122"/>
  <c r="AI122"/>
  <c r="AO122"/>
  <c r="AN122"/>
  <c r="AM122"/>
  <c r="AN124"/>
  <c r="AM124"/>
  <c r="AO124"/>
  <c r="AV122"/>
  <c r="AU122"/>
  <c r="AT122"/>
  <c r="AT121"/>
  <c r="AS121"/>
  <c r="AS124"/>
  <c r="AV124"/>
  <c r="AU124"/>
  <c r="AT124"/>
  <c r="M122"/>
  <c r="M124"/>
  <c r="P124"/>
  <c r="O124"/>
  <c r="N124"/>
  <c r="N122"/>
  <c r="P123"/>
  <c r="O123"/>
  <c r="N123"/>
  <c r="N3972" i="967"/>
  <c r="N3971"/>
  <c r="O3970"/>
  <c r="N3969"/>
  <c r="N3968"/>
  <c r="O3967"/>
  <c r="N3966"/>
  <c r="N3965"/>
  <c r="O3964"/>
  <c r="N3963"/>
  <c r="N3962"/>
  <c r="O3961"/>
  <c r="O3960"/>
  <c r="O3959"/>
  <c r="O3952"/>
  <c r="AM10" i="949"/>
  <c r="AP725" i="950"/>
  <c r="AP724"/>
  <c r="AM725"/>
  <c r="AM724"/>
  <c r="AP722"/>
  <c r="AP721"/>
  <c r="AM722"/>
  <c r="AM721"/>
  <c r="AP719"/>
  <c r="AP718"/>
  <c r="AM719"/>
  <c r="AM718"/>
  <c r="AP716"/>
  <c r="AP715"/>
  <c r="AM716"/>
  <c r="AM715"/>
  <c r="AP713"/>
  <c r="AP712"/>
  <c r="AM713"/>
  <c r="AM712"/>
  <c r="AP710"/>
  <c r="AP709"/>
  <c r="AM710"/>
  <c r="AM709"/>
  <c r="AP707"/>
  <c r="AP706"/>
  <c r="AM707"/>
  <c r="AM706"/>
  <c r="AP704"/>
  <c r="AP703"/>
  <c r="AM704"/>
  <c r="AM703"/>
  <c r="AM696"/>
  <c r="AM693"/>
  <c r="AM692"/>
  <c r="AM691"/>
  <c r="AM690"/>
  <c r="AM689"/>
  <c r="AM688"/>
  <c r="AM687"/>
  <c r="AM686"/>
  <c r="AM685"/>
  <c r="AM684"/>
  <c r="AM665"/>
  <c r="AP663"/>
  <c r="AP630"/>
  <c r="AM663"/>
  <c r="AP660"/>
  <c r="AP627" s="1"/>
  <c r="AM660"/>
  <c r="AP659"/>
  <c r="AP626"/>
  <c r="AM659"/>
  <c r="AP658"/>
  <c r="AP625" s="1"/>
  <c r="AM658"/>
  <c r="AP657"/>
  <c r="AP624"/>
  <c r="AM657"/>
  <c r="AP656"/>
  <c r="AP623" s="1"/>
  <c r="AM656"/>
  <c r="AP655"/>
  <c r="AP622"/>
  <c r="AM655"/>
  <c r="AP654"/>
  <c r="AP621" s="1"/>
  <c r="AM654"/>
  <c r="AP653"/>
  <c r="AP620"/>
  <c r="AM653"/>
  <c r="AP652"/>
  <c r="AP619" s="1"/>
  <c r="AM652"/>
  <c r="AP651"/>
  <c r="AP618"/>
  <c r="AM651"/>
  <c r="AP632"/>
  <c r="AP599" s="1"/>
  <c r="AM632"/>
  <c r="AM630"/>
  <c r="AM627"/>
  <c r="AM626"/>
  <c r="AM625"/>
  <c r="AM624"/>
  <c r="AM623"/>
  <c r="AM622"/>
  <c r="AM621"/>
  <c r="AM620"/>
  <c r="AM619"/>
  <c r="AM618"/>
  <c r="AM599"/>
  <c r="AM597"/>
  <c r="AM594"/>
  <c r="AM593"/>
  <c r="AM592"/>
  <c r="AM591"/>
  <c r="AM590"/>
  <c r="AM589"/>
  <c r="AM588"/>
  <c r="AM587"/>
  <c r="AM586"/>
  <c r="AM585"/>
  <c r="AM566"/>
  <c r="AP564"/>
  <c r="AP531"/>
  <c r="AM564"/>
  <c r="AP561"/>
  <c r="AP528" s="1"/>
  <c r="AM561"/>
  <c r="AP560"/>
  <c r="AP527"/>
  <c r="AM560"/>
  <c r="AP559"/>
  <c r="AP526" s="1"/>
  <c r="AM559"/>
  <c r="AP558"/>
  <c r="AP525"/>
  <c r="AM558"/>
  <c r="AP557"/>
  <c r="AP524" s="1"/>
  <c r="AM557"/>
  <c r="AP556"/>
  <c r="AP523"/>
  <c r="AM556"/>
  <c r="AP555"/>
  <c r="AP522" s="1"/>
  <c r="AM555"/>
  <c r="AP554"/>
  <c r="AP521"/>
  <c r="AM554"/>
  <c r="AP553"/>
  <c r="AP520" s="1"/>
  <c r="AM553"/>
  <c r="AP552"/>
  <c r="AP519"/>
  <c r="AM552"/>
  <c r="AP533"/>
  <c r="AP500" s="1"/>
  <c r="AM533"/>
  <c r="AM531"/>
  <c r="AM528"/>
  <c r="AM527"/>
  <c r="AM526"/>
  <c r="AM525"/>
  <c r="AM524"/>
  <c r="AM523"/>
  <c r="AM522"/>
  <c r="AM521"/>
  <c r="AM520"/>
  <c r="AM519"/>
  <c r="AM500"/>
  <c r="AM498"/>
  <c r="AM495"/>
  <c r="AM494"/>
  <c r="AM493"/>
  <c r="AM492"/>
  <c r="AM491"/>
  <c r="AM490"/>
  <c r="AM489"/>
  <c r="AM488"/>
  <c r="AM487"/>
  <c r="AM486"/>
  <c r="AM467"/>
  <c r="AP465"/>
  <c r="AP432"/>
  <c r="AM465"/>
  <c r="AP462"/>
  <c r="AP429" s="1"/>
  <c r="AP122" s="1"/>
  <c r="AM462"/>
  <c r="AP461"/>
  <c r="AP428"/>
  <c r="AM461"/>
  <c r="AP460"/>
  <c r="AP427" s="1"/>
  <c r="AP120" s="1"/>
  <c r="AM460"/>
  <c r="AP459"/>
  <c r="AP426"/>
  <c r="AM459"/>
  <c r="AP458"/>
  <c r="AP425" s="1"/>
  <c r="AP118" s="1"/>
  <c r="AM458"/>
  <c r="AP457"/>
  <c r="AP424"/>
  <c r="AM457"/>
  <c r="AP456"/>
  <c r="AP423" s="1"/>
  <c r="AP116" s="1"/>
  <c r="AM456"/>
  <c r="AP455"/>
  <c r="AP422"/>
  <c r="AM455"/>
  <c r="AP454"/>
  <c r="AP421" s="1"/>
  <c r="AP114" s="1"/>
  <c r="AM454"/>
  <c r="AP453"/>
  <c r="AP420"/>
  <c r="AM453"/>
  <c r="AP434"/>
  <c r="AP401" s="1"/>
  <c r="AP94" s="1"/>
  <c r="AM434"/>
  <c r="AM432"/>
  <c r="AM429"/>
  <c r="AM428"/>
  <c r="AM427"/>
  <c r="AM426"/>
  <c r="AM425"/>
  <c r="AM424"/>
  <c r="AM423"/>
  <c r="AM422"/>
  <c r="AM421"/>
  <c r="AM420"/>
  <c r="AM401"/>
  <c r="AP399"/>
  <c r="AP398"/>
  <c r="AM399"/>
  <c r="AM398"/>
  <c r="AP397"/>
  <c r="AM396"/>
  <c r="AM395"/>
  <c r="AM394"/>
  <c r="AM393"/>
  <c r="AM392"/>
  <c r="AM391"/>
  <c r="AM390"/>
  <c r="AM388"/>
  <c r="AM387"/>
  <c r="AM386"/>
  <c r="AM385"/>
  <c r="AM384"/>
  <c r="AM383"/>
  <c r="AM382"/>
  <c r="AM380"/>
  <c r="AM379"/>
  <c r="AM378"/>
  <c r="AM377"/>
  <c r="AM376"/>
  <c r="AM375"/>
  <c r="AM374"/>
  <c r="AM372"/>
  <c r="AM371"/>
  <c r="AM370"/>
  <c r="AM369"/>
  <c r="AM368"/>
  <c r="AM367"/>
  <c r="AM366"/>
  <c r="AP364"/>
  <c r="AP363" s="1"/>
  <c r="AM364"/>
  <c r="AM363"/>
  <c r="AP362"/>
  <c r="AM361"/>
  <c r="AM360"/>
  <c r="AM359"/>
  <c r="AM358"/>
  <c r="AM357"/>
  <c r="AM356"/>
  <c r="AM355"/>
  <c r="AM353"/>
  <c r="AM352"/>
  <c r="AM351"/>
  <c r="AM350"/>
  <c r="AM349"/>
  <c r="AM348"/>
  <c r="AM347"/>
  <c r="AM345"/>
  <c r="AM344"/>
  <c r="AM343"/>
  <c r="AM342"/>
  <c r="AM341"/>
  <c r="AM340"/>
  <c r="AM339"/>
  <c r="AM337"/>
  <c r="AM336"/>
  <c r="AM335"/>
  <c r="AM334"/>
  <c r="AM333"/>
  <c r="AM332"/>
  <c r="AM331"/>
  <c r="AM326"/>
  <c r="AM323"/>
  <c r="AM322"/>
  <c r="AM321"/>
  <c r="AM320"/>
  <c r="AM319"/>
  <c r="AM318"/>
  <c r="AM317"/>
  <c r="AM316"/>
  <c r="AM315"/>
  <c r="AM314"/>
  <c r="AM313"/>
  <c r="AM305"/>
  <c r="AM297"/>
  <c r="AM296"/>
  <c r="AM295"/>
  <c r="AM293"/>
  <c r="AM290"/>
  <c r="AM289"/>
  <c r="AM288"/>
  <c r="AM287"/>
  <c r="AM286"/>
  <c r="AM285"/>
  <c r="AM284"/>
  <c r="AM283"/>
  <c r="AM282"/>
  <c r="AM281"/>
  <c r="AM280"/>
  <c r="AM272"/>
  <c r="AM264"/>
  <c r="AM263"/>
  <c r="AM262"/>
  <c r="AP257"/>
  <c r="AP293"/>
  <c r="AP254"/>
  <c r="AP290"/>
  <c r="AM254"/>
  <c r="AP253"/>
  <c r="AP289" s="1"/>
  <c r="AP121" s="1"/>
  <c r="AM253"/>
  <c r="AP252"/>
  <c r="AP288"/>
  <c r="AM252"/>
  <c r="AP251"/>
  <c r="AP287" s="1"/>
  <c r="AP119" s="1"/>
  <c r="AM251"/>
  <c r="AP250"/>
  <c r="AP286"/>
  <c r="AM250"/>
  <c r="AP249"/>
  <c r="AP285" s="1"/>
  <c r="AP117" s="1"/>
  <c r="AM249"/>
  <c r="AP248"/>
  <c r="AP284"/>
  <c r="AM248"/>
  <c r="AP247"/>
  <c r="AP283" s="1"/>
  <c r="AP115" s="1"/>
  <c r="AM247"/>
  <c r="AP246"/>
  <c r="AP282"/>
  <c r="AM246"/>
  <c r="AP245"/>
  <c r="AP281" s="1"/>
  <c r="AP113" s="1"/>
  <c r="AM245"/>
  <c r="AP244"/>
  <c r="AP112"/>
  <c r="AM244"/>
  <c r="AP243"/>
  <c r="AP380" s="1"/>
  <c r="AP242"/>
  <c r="AP371" s="1"/>
  <c r="AP241"/>
  <c r="AP378" s="1"/>
  <c r="AP240"/>
  <c r="AP377" s="1"/>
  <c r="AP239"/>
  <c r="AP368" s="1"/>
  <c r="AP238"/>
  <c r="AP367" s="1"/>
  <c r="AP237"/>
  <c r="AP366" s="1"/>
  <c r="AM236"/>
  <c r="AM241" s="1"/>
  <c r="AP235"/>
  <c r="AP345" s="1"/>
  <c r="AP234"/>
  <c r="AP336" s="1"/>
  <c r="AP233"/>
  <c r="AP343" s="1"/>
  <c r="AP232"/>
  <c r="AP342" s="1"/>
  <c r="AP231"/>
  <c r="AP341" s="1"/>
  <c r="AP230"/>
  <c r="AP332" s="1"/>
  <c r="AP229"/>
  <c r="AP339" s="1"/>
  <c r="AM228"/>
  <c r="AM235" s="1"/>
  <c r="AM227"/>
  <c r="AP226"/>
  <c r="AP262"/>
  <c r="AM226"/>
  <c r="AM224"/>
  <c r="AM221"/>
  <c r="AM220"/>
  <c r="AM219"/>
  <c r="AM218"/>
  <c r="AM217"/>
  <c r="AM216"/>
  <c r="AM215"/>
  <c r="AM214"/>
  <c r="AM213"/>
  <c r="AM212"/>
  <c r="AM211"/>
  <c r="AM203"/>
  <c r="AM195"/>
  <c r="AM194"/>
  <c r="AM193"/>
  <c r="AM191"/>
  <c r="AM188"/>
  <c r="AM187"/>
  <c r="AM186"/>
  <c r="AM185"/>
  <c r="AM184"/>
  <c r="AM183"/>
  <c r="AM182"/>
  <c r="AM181"/>
  <c r="AM180"/>
  <c r="AM179"/>
  <c r="AM178"/>
  <c r="AM170"/>
  <c r="AM162"/>
  <c r="AM161"/>
  <c r="AM160"/>
  <c r="AM158"/>
  <c r="AM155"/>
  <c r="AM154"/>
  <c r="AM153"/>
  <c r="AM152"/>
  <c r="AM151"/>
  <c r="AM150"/>
  <c r="AM149"/>
  <c r="AM148"/>
  <c r="AM147"/>
  <c r="AM146"/>
  <c r="AM145"/>
  <c r="AM137"/>
  <c r="AM129"/>
  <c r="AM128"/>
  <c r="AM127"/>
  <c r="AM125"/>
  <c r="AM122"/>
  <c r="AM121"/>
  <c r="AM120"/>
  <c r="AM119"/>
  <c r="AM118"/>
  <c r="AM117"/>
  <c r="AM116"/>
  <c r="AM115"/>
  <c r="AM114"/>
  <c r="AM113"/>
  <c r="AM112"/>
  <c r="AM104"/>
  <c r="AM96"/>
  <c r="AM95"/>
  <c r="AM94"/>
  <c r="AM92"/>
  <c r="AM89"/>
  <c r="AM88"/>
  <c r="AM87"/>
  <c r="AM86"/>
  <c r="AM85"/>
  <c r="AM84"/>
  <c r="AM83"/>
  <c r="AM82"/>
  <c r="AM81"/>
  <c r="AM80"/>
  <c r="AM79"/>
  <c r="AM71"/>
  <c r="AM63"/>
  <c r="AM62"/>
  <c r="AM61"/>
  <c r="AP58"/>
  <c r="AP725" i="949"/>
  <c r="AP724"/>
  <c r="AM725"/>
  <c r="AM724"/>
  <c r="AP722"/>
  <c r="AP721"/>
  <c r="AM722"/>
  <c r="AM721"/>
  <c r="AP719"/>
  <c r="AP718"/>
  <c r="AM719"/>
  <c r="AM718"/>
  <c r="AP716"/>
  <c r="AP715"/>
  <c r="AM716"/>
  <c r="AM715"/>
  <c r="AP713"/>
  <c r="AP712"/>
  <c r="AM713"/>
  <c r="AM712"/>
  <c r="AP710"/>
  <c r="AP709"/>
  <c r="AM710"/>
  <c r="AM709"/>
  <c r="AP707"/>
  <c r="AP706"/>
  <c r="AM707"/>
  <c r="AM706"/>
  <c r="AP704"/>
  <c r="AP703"/>
  <c r="AM704"/>
  <c r="AM703"/>
  <c r="AM696"/>
  <c r="AM693"/>
  <c r="AM692"/>
  <c r="AM691"/>
  <c r="AM690"/>
  <c r="AM689"/>
  <c r="AM688"/>
  <c r="AM687"/>
  <c r="AM686"/>
  <c r="AM685"/>
  <c r="AM684"/>
  <c r="AM665"/>
  <c r="AP663"/>
  <c r="AP630"/>
  <c r="AM663"/>
  <c r="AP660"/>
  <c r="AP627" s="1"/>
  <c r="AM660"/>
  <c r="AP659"/>
  <c r="AP626"/>
  <c r="AM659"/>
  <c r="AP658"/>
  <c r="AP625" s="1"/>
  <c r="AM658"/>
  <c r="AP657"/>
  <c r="AP624"/>
  <c r="AM657"/>
  <c r="AP656"/>
  <c r="AP623" s="1"/>
  <c r="AM656"/>
  <c r="AP655"/>
  <c r="AP622"/>
  <c r="AM655"/>
  <c r="AP654"/>
  <c r="AP621" s="1"/>
  <c r="AM654"/>
  <c r="AP653"/>
  <c r="AP620"/>
  <c r="AM653"/>
  <c r="AP652"/>
  <c r="AP619" s="1"/>
  <c r="AM652"/>
  <c r="AP651"/>
  <c r="AP618"/>
  <c r="AM651"/>
  <c r="AP632"/>
  <c r="AP599" s="1"/>
  <c r="AM632"/>
  <c r="AM630"/>
  <c r="AM627"/>
  <c r="AM626"/>
  <c r="AM625"/>
  <c r="AM624"/>
  <c r="AM623"/>
  <c r="AM622"/>
  <c r="AM621"/>
  <c r="AM620"/>
  <c r="AM619"/>
  <c r="AM618"/>
  <c r="AM599"/>
  <c r="AM597"/>
  <c r="AM594"/>
  <c r="AM593"/>
  <c r="AM592"/>
  <c r="AM591"/>
  <c r="AM590"/>
  <c r="AM589"/>
  <c r="AM588"/>
  <c r="AM587"/>
  <c r="AM586"/>
  <c r="AM585"/>
  <c r="AM566"/>
  <c r="AP564"/>
  <c r="AP531"/>
  <c r="AM564"/>
  <c r="AP561"/>
  <c r="AP528" s="1"/>
  <c r="AM561"/>
  <c r="AP560"/>
  <c r="AP527"/>
  <c r="AM560"/>
  <c r="AP559"/>
  <c r="AP526" s="1"/>
  <c r="AM559"/>
  <c r="AP558"/>
  <c r="AP525"/>
  <c r="AM558"/>
  <c r="AP557"/>
  <c r="AP524" s="1"/>
  <c r="AM557"/>
  <c r="AP556"/>
  <c r="AP523"/>
  <c r="AM556"/>
  <c r="AP555"/>
  <c r="AP522" s="1"/>
  <c r="AM555"/>
  <c r="AP554"/>
  <c r="AP521"/>
  <c r="AM554"/>
  <c r="AP553"/>
  <c r="AP520" s="1"/>
  <c r="AM553"/>
  <c r="AP552"/>
  <c r="AP519"/>
  <c r="AM552"/>
  <c r="AP533"/>
  <c r="AP500" s="1"/>
  <c r="AM533"/>
  <c r="AM531"/>
  <c r="AM528"/>
  <c r="AM527"/>
  <c r="AM526"/>
  <c r="AM525"/>
  <c r="AM524"/>
  <c r="AM523"/>
  <c r="AM522"/>
  <c r="AM521"/>
  <c r="AM520"/>
  <c r="AM519"/>
  <c r="AM500"/>
  <c r="AM498"/>
  <c r="AM495"/>
  <c r="AM494"/>
  <c r="AM493"/>
  <c r="AM492"/>
  <c r="AM491"/>
  <c r="AM490"/>
  <c r="AM489"/>
  <c r="AM488"/>
  <c r="AM487"/>
  <c r="AM486"/>
  <c r="AM467"/>
  <c r="AP465"/>
  <c r="AP432"/>
  <c r="AM465"/>
  <c r="AP462"/>
  <c r="AP429" s="1"/>
  <c r="AP122" s="1"/>
  <c r="AM462"/>
  <c r="AP461"/>
  <c r="AP428"/>
  <c r="AM461"/>
  <c r="AP460"/>
  <c r="AP427" s="1"/>
  <c r="AP120" s="1"/>
  <c r="AM460"/>
  <c r="AP459"/>
  <c r="AP426"/>
  <c r="AM459"/>
  <c r="AP458"/>
  <c r="AP425" s="1"/>
  <c r="AP118" s="1"/>
  <c r="AM458"/>
  <c r="AP457"/>
  <c r="AP424"/>
  <c r="AM457"/>
  <c r="AP456"/>
  <c r="AP423" s="1"/>
  <c r="AP116" s="1"/>
  <c r="AM456"/>
  <c r="AP455"/>
  <c r="AP422"/>
  <c r="AM455"/>
  <c r="AP454"/>
  <c r="AP421" s="1"/>
  <c r="AP114" s="1"/>
  <c r="AM454"/>
  <c r="AP453"/>
  <c r="AP420"/>
  <c r="AM453"/>
  <c r="AP434"/>
  <c r="AP401" s="1"/>
  <c r="AP94" s="1"/>
  <c r="AM434"/>
  <c r="AM432"/>
  <c r="AM429"/>
  <c r="AM428"/>
  <c r="AM427"/>
  <c r="AM426"/>
  <c r="AM425"/>
  <c r="AM424"/>
  <c r="AM423"/>
  <c r="AM422"/>
  <c r="AM421"/>
  <c r="AM420"/>
  <c r="AM401"/>
  <c r="AP399"/>
  <c r="AP398"/>
  <c r="AM399"/>
  <c r="AM398"/>
  <c r="AP397"/>
  <c r="AM396"/>
  <c r="AM395"/>
  <c r="AM394"/>
  <c r="AM393"/>
  <c r="AM392"/>
  <c r="AM391"/>
  <c r="AM390"/>
  <c r="AM388"/>
  <c r="AM387"/>
  <c r="AM386"/>
  <c r="AM385"/>
  <c r="AM384"/>
  <c r="AM383"/>
  <c r="AM382"/>
  <c r="AM380"/>
  <c r="AM379"/>
  <c r="AM378"/>
  <c r="AM377"/>
  <c r="AM376"/>
  <c r="AM375"/>
  <c r="AM374"/>
  <c r="AM372"/>
  <c r="AM371"/>
  <c r="AM370"/>
  <c r="AM369"/>
  <c r="AM368"/>
  <c r="AM367"/>
  <c r="AM366"/>
  <c r="AP364"/>
  <c r="AP363" s="1"/>
  <c r="AM364"/>
  <c r="AM363"/>
  <c r="AP362"/>
  <c r="AM361"/>
  <c r="AM360"/>
  <c r="AM359"/>
  <c r="AM358"/>
  <c r="AM357"/>
  <c r="AM356"/>
  <c r="AM355"/>
  <c r="AM353"/>
  <c r="AM352"/>
  <c r="AM351"/>
  <c r="AM350"/>
  <c r="AM349"/>
  <c r="AM348"/>
  <c r="AM347"/>
  <c r="AM345"/>
  <c r="AM344"/>
  <c r="AM343"/>
  <c r="AM342"/>
  <c r="AM341"/>
  <c r="AM340"/>
  <c r="AM339"/>
  <c r="AM337"/>
  <c r="AM336"/>
  <c r="AM335"/>
  <c r="AM334"/>
  <c r="AM333"/>
  <c r="AM332"/>
  <c r="AM331"/>
  <c r="AM326"/>
  <c r="AM323"/>
  <c r="AM322"/>
  <c r="AM321"/>
  <c r="AM320"/>
  <c r="AM319"/>
  <c r="AM318"/>
  <c r="AM317"/>
  <c r="AM316"/>
  <c r="AM315"/>
  <c r="AM314"/>
  <c r="AM313"/>
  <c r="AM305"/>
  <c r="AM297"/>
  <c r="AM296"/>
  <c r="AM295"/>
  <c r="AM293"/>
  <c r="AM290"/>
  <c r="AM289"/>
  <c r="AM288"/>
  <c r="AM287"/>
  <c r="AM286"/>
  <c r="AM285"/>
  <c r="AM284"/>
  <c r="AM283"/>
  <c r="AM282"/>
  <c r="AM281"/>
  <c r="AM280"/>
  <c r="AM272"/>
  <c r="AM264"/>
  <c r="AM263"/>
  <c r="AM262"/>
  <c r="AP257"/>
  <c r="AP293"/>
  <c r="AP254"/>
  <c r="AP290"/>
  <c r="AM254"/>
  <c r="AP253"/>
  <c r="AP289" s="1"/>
  <c r="AP121" s="1"/>
  <c r="AM253"/>
  <c r="AP252"/>
  <c r="AP288"/>
  <c r="AM252"/>
  <c r="AP251"/>
  <c r="AP287" s="1"/>
  <c r="AP119" s="1"/>
  <c r="AM251"/>
  <c r="AP250"/>
  <c r="AP286"/>
  <c r="AM250"/>
  <c r="AP249"/>
  <c r="AP285" s="1"/>
  <c r="AP117" s="1"/>
  <c r="AM249"/>
  <c r="AP248"/>
  <c r="AP284"/>
  <c r="AM248"/>
  <c r="AP247"/>
  <c r="AP283" s="1"/>
  <c r="AP115" s="1"/>
  <c r="AM247"/>
  <c r="AP246"/>
  <c r="AP282"/>
  <c r="AM246"/>
  <c r="AP245"/>
  <c r="AP281" s="1"/>
  <c r="AP113" s="1"/>
  <c r="AM245"/>
  <c r="AP244"/>
  <c r="AP280"/>
  <c r="AM244"/>
  <c r="AP243"/>
  <c r="AP380" s="1"/>
  <c r="AP242"/>
  <c r="AP379" s="1"/>
  <c r="AP241"/>
  <c r="AP378" s="1"/>
  <c r="AP240"/>
  <c r="AP369" s="1"/>
  <c r="AP239"/>
  <c r="AP376" s="1"/>
  <c r="AP238"/>
  <c r="AP367" s="1"/>
  <c r="AP237"/>
  <c r="AP366" s="1"/>
  <c r="AM236"/>
  <c r="AM241" s="1"/>
  <c r="AP235"/>
  <c r="AP345" s="1"/>
  <c r="AP234"/>
  <c r="AP336" s="1"/>
  <c r="AP233"/>
  <c r="AP335" s="1"/>
  <c r="AP232"/>
  <c r="AP342" s="1"/>
  <c r="AP231"/>
  <c r="AP341" s="1"/>
  <c r="AP230"/>
  <c r="AP332" s="1"/>
  <c r="AP229"/>
  <c r="AP331" s="1"/>
  <c r="AM228"/>
  <c r="AM233" s="1"/>
  <c r="AM227"/>
  <c r="AP226"/>
  <c r="AP262"/>
  <c r="AM226"/>
  <c r="AM224"/>
  <c r="AM221"/>
  <c r="AM220"/>
  <c r="AM219"/>
  <c r="AM218"/>
  <c r="AM217"/>
  <c r="AM216"/>
  <c r="AM215"/>
  <c r="AM214"/>
  <c r="AM213"/>
  <c r="AM212"/>
  <c r="AM211"/>
  <c r="AM203"/>
  <c r="AM195"/>
  <c r="AM194"/>
  <c r="AM193"/>
  <c r="AM191"/>
  <c r="AM188"/>
  <c r="AM187"/>
  <c r="AM186"/>
  <c r="AM185"/>
  <c r="AM184"/>
  <c r="AM183"/>
  <c r="AM182"/>
  <c r="AM181"/>
  <c r="AM180"/>
  <c r="AM179"/>
  <c r="AM178"/>
  <c r="AM170"/>
  <c r="AM162"/>
  <c r="AM161"/>
  <c r="AM160"/>
  <c r="AM158"/>
  <c r="AM155"/>
  <c r="AM154"/>
  <c r="AM153"/>
  <c r="AM152"/>
  <c r="AM151"/>
  <c r="AM150"/>
  <c r="AM149"/>
  <c r="AM148"/>
  <c r="AM147"/>
  <c r="AM146"/>
  <c r="AM145"/>
  <c r="AM137"/>
  <c r="AM129"/>
  <c r="AM128"/>
  <c r="AM127"/>
  <c r="AM125"/>
  <c r="AM122"/>
  <c r="AM121"/>
  <c r="AM120"/>
  <c r="AM119"/>
  <c r="AM118"/>
  <c r="AM117"/>
  <c r="AM116"/>
  <c r="AM115"/>
  <c r="AM114"/>
  <c r="AM113"/>
  <c r="AM112"/>
  <c r="AM104"/>
  <c r="AM96"/>
  <c r="AM95"/>
  <c r="AM94"/>
  <c r="AM92"/>
  <c r="AM89"/>
  <c r="AM88"/>
  <c r="AM87"/>
  <c r="AM86"/>
  <c r="AM85"/>
  <c r="AM84"/>
  <c r="AM83"/>
  <c r="AM82"/>
  <c r="AM81"/>
  <c r="AM80"/>
  <c r="AM79"/>
  <c r="AM71"/>
  <c r="AM63"/>
  <c r="AM62"/>
  <c r="AM61"/>
  <c r="AP58"/>
  <c r="AO925" i="941"/>
  <c r="AO923"/>
  <c r="AO924"/>
  <c r="AO922"/>
  <c r="AO919"/>
  <c r="AN925"/>
  <c r="AN924"/>
  <c r="AN923"/>
  <c r="AN922"/>
  <c r="AN921"/>
  <c r="AN920"/>
  <c r="AN919"/>
  <c r="AN918"/>
  <c r="AN10" i="946"/>
  <c r="AO888" s="1"/>
  <c r="AN890" i="945"/>
  <c r="AN889"/>
  <c r="AO888"/>
  <c r="AN887"/>
  <c r="AN886"/>
  <c r="AO885"/>
  <c r="AN884"/>
  <c r="AN883"/>
  <c r="AO882"/>
  <c r="AN881"/>
  <c r="AN880"/>
  <c r="AO879"/>
  <c r="AO878"/>
  <c r="AF3066" i="967"/>
  <c r="Z3066"/>
  <c r="AF3065"/>
  <c r="Z3065"/>
  <c r="AF2424"/>
  <c r="Z2424"/>
  <c r="AF2423"/>
  <c r="Z2423"/>
  <c r="AF2422"/>
  <c r="Z2422"/>
  <c r="AF2421"/>
  <c r="Z2421"/>
  <c r="AF2420"/>
  <c r="Z2420"/>
  <c r="AF2419"/>
  <c r="Z2419"/>
  <c r="AF2418"/>
  <c r="Z2418"/>
  <c r="AF2417"/>
  <c r="Z2417"/>
  <c r="AF2416"/>
  <c r="Z2416"/>
  <c r="AF2415"/>
  <c r="Z2415"/>
  <c r="AF2414"/>
  <c r="Z2414"/>
  <c r="AF2413"/>
  <c r="Z2413"/>
  <c r="AF2412"/>
  <c r="Z2412"/>
  <c r="AF2411"/>
  <c r="Z2411"/>
  <c r="AF2403"/>
  <c r="Z2403"/>
  <c r="AF2395"/>
  <c r="Z2395"/>
  <c r="AF2394"/>
  <c r="Z2394"/>
  <c r="Z2393"/>
  <c r="Z2392" s="1"/>
  <c r="AF2393"/>
  <c r="AF1684"/>
  <c r="Z1684"/>
  <c r="AF1683"/>
  <c r="Z1683"/>
  <c r="AF1042"/>
  <c r="Z1042"/>
  <c r="AF1041"/>
  <c r="Z1041"/>
  <c r="AF1040"/>
  <c r="Z1040"/>
  <c r="AF1039"/>
  <c r="Z1039"/>
  <c r="AF1038"/>
  <c r="Z1038"/>
  <c r="AF1037"/>
  <c r="Z1037"/>
  <c r="AF1036"/>
  <c r="Z1036"/>
  <c r="AF1035"/>
  <c r="Z1035"/>
  <c r="AF1034"/>
  <c r="Z1034"/>
  <c r="AF1033"/>
  <c r="Z1033"/>
  <c r="AF1032"/>
  <c r="Z1032"/>
  <c r="AF1031"/>
  <c r="Z1031"/>
  <c r="AF1030"/>
  <c r="Z1030"/>
  <c r="AF1029"/>
  <c r="Z1029"/>
  <c r="AF1021"/>
  <c r="Z1021"/>
  <c r="AF1013"/>
  <c r="Z1013"/>
  <c r="AF1012"/>
  <c r="Z1012"/>
  <c r="Z1011"/>
  <c r="AF1011"/>
  <c r="AF1010" s="1"/>
  <c r="AF2387"/>
  <c r="Z2387"/>
  <c r="AF2386"/>
  <c r="Z2386"/>
  <c r="AF1745"/>
  <c r="Z1745"/>
  <c r="AF1744"/>
  <c r="Z1744"/>
  <c r="AF1743"/>
  <c r="Z1743"/>
  <c r="AF1742"/>
  <c r="Z1742"/>
  <c r="AF1741"/>
  <c r="Z1741"/>
  <c r="AF1740"/>
  <c r="Z1740"/>
  <c r="AF1739"/>
  <c r="Z1739"/>
  <c r="AF1738"/>
  <c r="Z1738"/>
  <c r="AF1737"/>
  <c r="Z1737"/>
  <c r="AF1736"/>
  <c r="Z1736"/>
  <c r="AF1735"/>
  <c r="Z1735"/>
  <c r="AF1734"/>
  <c r="Z1734"/>
  <c r="AF1733"/>
  <c r="Z1733"/>
  <c r="AF1732"/>
  <c r="Z1732"/>
  <c r="AF1724"/>
  <c r="Z1724"/>
  <c r="AF1716"/>
  <c r="Z1716"/>
  <c r="AF1715"/>
  <c r="Z1715"/>
  <c r="Z1714"/>
  <c r="AF1714"/>
  <c r="AF1713" s="1"/>
  <c r="AP233" i="948"/>
  <c r="AP335"/>
  <c r="AP725"/>
  <c r="AP724"/>
  <c r="AM725"/>
  <c r="AM724"/>
  <c r="AP722"/>
  <c r="AP721"/>
  <c r="AM722"/>
  <c r="AM721"/>
  <c r="AP719"/>
  <c r="AP718"/>
  <c r="AM719"/>
  <c r="AM718"/>
  <c r="AP716"/>
  <c r="AP715"/>
  <c r="AM716"/>
  <c r="AM715"/>
  <c r="AP713"/>
  <c r="AP712"/>
  <c r="AM713"/>
  <c r="AM712"/>
  <c r="AP710"/>
  <c r="AP709"/>
  <c r="AM710"/>
  <c r="AM709"/>
  <c r="AP707"/>
  <c r="AP706"/>
  <c r="AM707"/>
  <c r="AM706"/>
  <c r="AP704"/>
  <c r="AP703"/>
  <c r="AM704"/>
  <c r="AM703"/>
  <c r="AM696"/>
  <c r="AM693"/>
  <c r="AM692"/>
  <c r="AM691"/>
  <c r="AM690"/>
  <c r="AM689"/>
  <c r="AM688"/>
  <c r="AM687"/>
  <c r="AM686"/>
  <c r="AM685"/>
  <c r="AM684"/>
  <c r="AM665"/>
  <c r="AP663"/>
  <c r="AP630"/>
  <c r="AM663"/>
  <c r="AP660"/>
  <c r="AP627" s="1"/>
  <c r="AM660"/>
  <c r="AP659"/>
  <c r="AP626"/>
  <c r="AM659"/>
  <c r="AP658"/>
  <c r="AP625" s="1"/>
  <c r="AM658"/>
  <c r="AP657"/>
  <c r="AP624"/>
  <c r="AM657"/>
  <c r="AP656"/>
  <c r="AP623" s="1"/>
  <c r="AM656"/>
  <c r="AP655"/>
  <c r="AP622"/>
  <c r="AM655"/>
  <c r="AP654"/>
  <c r="AP621" s="1"/>
  <c r="AM654"/>
  <c r="AP653"/>
  <c r="AP620"/>
  <c r="AM653"/>
  <c r="AP652"/>
  <c r="AP619" s="1"/>
  <c r="AM652"/>
  <c r="AP651"/>
  <c r="AP618"/>
  <c r="AM651"/>
  <c r="AP632"/>
  <c r="AP599" s="1"/>
  <c r="AM632"/>
  <c r="AM630"/>
  <c r="AM627"/>
  <c r="AM626"/>
  <c r="AM625"/>
  <c r="AM624"/>
  <c r="AM623"/>
  <c r="AM622"/>
  <c r="AM621"/>
  <c r="AM620"/>
  <c r="AM619"/>
  <c r="AM618"/>
  <c r="AM599"/>
  <c r="AM597"/>
  <c r="AM594"/>
  <c r="AM593"/>
  <c r="AM592"/>
  <c r="AM591"/>
  <c r="AM590"/>
  <c r="AM589"/>
  <c r="AM588"/>
  <c r="AM587"/>
  <c r="AM586"/>
  <c r="AM585"/>
  <c r="AM566"/>
  <c r="AP564"/>
  <c r="AP531"/>
  <c r="AM564"/>
  <c r="AP561"/>
  <c r="AP528" s="1"/>
  <c r="AM561"/>
  <c r="AP560"/>
  <c r="AP527"/>
  <c r="AM560"/>
  <c r="AP559"/>
  <c r="AP526" s="1"/>
  <c r="AM559"/>
  <c r="AP558"/>
  <c r="AP525"/>
  <c r="AM558"/>
  <c r="AP557"/>
  <c r="AP524" s="1"/>
  <c r="AM557"/>
  <c r="AP556"/>
  <c r="AP523"/>
  <c r="AM556"/>
  <c r="AP555"/>
  <c r="AP522" s="1"/>
  <c r="AM555"/>
  <c r="AP554"/>
  <c r="AP521"/>
  <c r="AM554"/>
  <c r="AP553"/>
  <c r="AP520" s="1"/>
  <c r="AM553"/>
  <c r="AP552"/>
  <c r="AP519"/>
  <c r="AM552"/>
  <c r="AP533"/>
  <c r="AP500" s="1"/>
  <c r="AM533"/>
  <c r="AM531"/>
  <c r="AM528"/>
  <c r="AM527"/>
  <c r="AM526"/>
  <c r="AM525"/>
  <c r="AM524"/>
  <c r="AM523"/>
  <c r="AM522"/>
  <c r="AM521"/>
  <c r="AM520"/>
  <c r="AM519"/>
  <c r="AM500"/>
  <c r="AM498"/>
  <c r="AM495"/>
  <c r="AM494"/>
  <c r="AM493"/>
  <c r="AM492"/>
  <c r="AM491"/>
  <c r="AM490"/>
  <c r="AM489"/>
  <c r="AM488"/>
  <c r="AM487"/>
  <c r="AM486"/>
  <c r="AM467"/>
  <c r="AP465"/>
  <c r="AP432"/>
  <c r="AM465"/>
  <c r="AP462"/>
  <c r="AP429" s="1"/>
  <c r="AM462"/>
  <c r="AP461"/>
  <c r="AP428" s="1"/>
  <c r="AM461"/>
  <c r="AP460"/>
  <c r="AP427"/>
  <c r="AM460"/>
  <c r="AP459"/>
  <c r="AP426"/>
  <c r="AM459"/>
  <c r="AP458"/>
  <c r="AP425" s="1"/>
  <c r="AM458"/>
  <c r="AP457"/>
  <c r="AP424" s="1"/>
  <c r="AM457"/>
  <c r="AP456"/>
  <c r="AP423"/>
  <c r="AM456"/>
  <c r="AP455"/>
  <c r="AP422"/>
  <c r="AM455"/>
  <c r="AP454"/>
  <c r="AP421" s="1"/>
  <c r="AM454"/>
  <c r="AP453"/>
  <c r="AP420" s="1"/>
  <c r="AM453"/>
  <c r="AP434"/>
  <c r="AP401"/>
  <c r="AM434"/>
  <c r="AM432"/>
  <c r="AM429"/>
  <c r="AM428"/>
  <c r="AM427"/>
  <c r="AM426"/>
  <c r="AM425"/>
  <c r="AM424"/>
  <c r="AM423"/>
  <c r="AM422"/>
  <c r="AM421"/>
  <c r="AM420"/>
  <c r="AM401"/>
  <c r="AP399"/>
  <c r="AP398"/>
  <c r="AM399"/>
  <c r="AM398"/>
  <c r="AP397"/>
  <c r="AM396"/>
  <c r="AM395"/>
  <c r="AM394"/>
  <c r="AM393"/>
  <c r="AM392"/>
  <c r="AM391"/>
  <c r="AM390"/>
  <c r="AM388"/>
  <c r="AM387"/>
  <c r="AM386"/>
  <c r="AM385"/>
  <c r="AM384"/>
  <c r="AM383"/>
  <c r="AM382"/>
  <c r="AM380"/>
  <c r="AM379"/>
  <c r="AM378"/>
  <c r="AM377"/>
  <c r="AM376"/>
  <c r="AM375"/>
  <c r="AM374"/>
  <c r="AM372"/>
  <c r="AM371"/>
  <c r="AM370"/>
  <c r="AM369"/>
  <c r="AM368"/>
  <c r="AM367"/>
  <c r="AM366"/>
  <c r="AP364"/>
  <c r="AP363" s="1"/>
  <c r="AM364"/>
  <c r="AM363"/>
  <c r="AP362"/>
  <c r="AM361"/>
  <c r="AM360"/>
  <c r="AM359"/>
  <c r="AM358"/>
  <c r="AM357"/>
  <c r="AM356"/>
  <c r="AM355"/>
  <c r="AM353"/>
  <c r="AM352"/>
  <c r="AM351"/>
  <c r="AM350"/>
  <c r="AM349"/>
  <c r="AM348"/>
  <c r="AM347"/>
  <c r="AM345"/>
  <c r="AM344"/>
  <c r="AM343"/>
  <c r="AM342"/>
  <c r="AM341"/>
  <c r="AM340"/>
  <c r="AM339"/>
  <c r="AM337"/>
  <c r="AM336"/>
  <c r="AM335"/>
  <c r="AM334"/>
  <c r="AM333"/>
  <c r="AM332"/>
  <c r="AM331"/>
  <c r="AM326"/>
  <c r="AM323"/>
  <c r="AM322"/>
  <c r="AM321"/>
  <c r="AM320"/>
  <c r="AM319"/>
  <c r="AM318"/>
  <c r="AM317"/>
  <c r="AM316"/>
  <c r="AM315"/>
  <c r="AM314"/>
  <c r="AM313"/>
  <c r="AM305"/>
  <c r="AM297"/>
  <c r="AM296"/>
  <c r="AM295"/>
  <c r="AM293"/>
  <c r="AM290"/>
  <c r="AM289"/>
  <c r="AM288"/>
  <c r="AM287"/>
  <c r="AM286"/>
  <c r="AM285"/>
  <c r="AM284"/>
  <c r="AM283"/>
  <c r="AM282"/>
  <c r="AM281"/>
  <c r="AM280"/>
  <c r="AM272"/>
  <c r="AM264"/>
  <c r="AM263"/>
  <c r="AM262"/>
  <c r="AP257"/>
  <c r="AP293"/>
  <c r="AP254"/>
  <c r="AP290"/>
  <c r="AP122" s="1"/>
  <c r="AM254"/>
  <c r="AP253"/>
  <c r="AP289" s="1"/>
  <c r="AP121" s="1"/>
  <c r="AM253"/>
  <c r="AP252"/>
  <c r="AP288" s="1"/>
  <c r="AP120" s="1"/>
  <c r="AM252"/>
  <c r="AP251"/>
  <c r="AP287"/>
  <c r="AP119" s="1"/>
  <c r="AM251"/>
  <c r="AP250"/>
  <c r="AP286"/>
  <c r="AP118" s="1"/>
  <c r="AM250"/>
  <c r="AP249"/>
  <c r="AP285" s="1"/>
  <c r="AP117" s="1"/>
  <c r="AM249"/>
  <c r="AP248"/>
  <c r="AP284" s="1"/>
  <c r="AP116" s="1"/>
  <c r="AM248"/>
  <c r="AP247"/>
  <c r="AP283"/>
  <c r="AP115" s="1"/>
  <c r="AM247"/>
  <c r="AP246"/>
  <c r="AP282"/>
  <c r="AP114" s="1"/>
  <c r="AM246"/>
  <c r="AP245"/>
  <c r="AP281" s="1"/>
  <c r="AP113" s="1"/>
  <c r="AM245"/>
  <c r="AP244"/>
  <c r="AP112" s="1"/>
  <c r="AM244"/>
  <c r="AP243"/>
  <c r="AP372"/>
  <c r="AP242"/>
  <c r="AP379"/>
  <c r="AP241"/>
  <c r="AP370"/>
  <c r="AP240"/>
  <c r="AP369"/>
  <c r="AP239"/>
  <c r="AP368"/>
  <c r="AP238"/>
  <c r="AP375"/>
  <c r="AP237"/>
  <c r="AP366"/>
  <c r="AM236"/>
  <c r="AM240"/>
  <c r="AP235"/>
  <c r="AP345"/>
  <c r="AP234"/>
  <c r="AP344"/>
  <c r="AP232"/>
  <c r="AP334"/>
  <c r="AP231"/>
  <c r="AP333"/>
  <c r="AP230"/>
  <c r="AP332"/>
  <c r="AP229"/>
  <c r="AP339"/>
  <c r="AM228"/>
  <c r="AM233"/>
  <c r="AM227"/>
  <c r="AP226"/>
  <c r="AP262" s="1"/>
  <c r="AM226"/>
  <c r="AM224"/>
  <c r="AM221"/>
  <c r="AM220"/>
  <c r="AM219"/>
  <c r="AM218"/>
  <c r="AM217"/>
  <c r="AM216"/>
  <c r="AM215"/>
  <c r="AM214"/>
  <c r="AM213"/>
  <c r="AM212"/>
  <c r="AM211"/>
  <c r="AM203"/>
  <c r="AM195"/>
  <c r="AM194"/>
  <c r="AM193"/>
  <c r="AM191"/>
  <c r="AM188"/>
  <c r="AM187"/>
  <c r="AM186"/>
  <c r="AM185"/>
  <c r="AM184"/>
  <c r="AM183"/>
  <c r="AM182"/>
  <c r="AM181"/>
  <c r="AM180"/>
  <c r="AM179"/>
  <c r="AM178"/>
  <c r="AM170"/>
  <c r="AM162"/>
  <c r="AM161"/>
  <c r="AM160"/>
  <c r="AM158"/>
  <c r="AM155"/>
  <c r="AM154"/>
  <c r="AM153"/>
  <c r="AM152"/>
  <c r="AM151"/>
  <c r="AM150"/>
  <c r="AM149"/>
  <c r="AM148"/>
  <c r="AM147"/>
  <c r="AM146"/>
  <c r="AM145"/>
  <c r="AM137"/>
  <c r="AM129"/>
  <c r="AM128"/>
  <c r="AM127"/>
  <c r="AM125"/>
  <c r="AM122"/>
  <c r="AM121"/>
  <c r="AM120"/>
  <c r="AM119"/>
  <c r="AM118"/>
  <c r="AM117"/>
  <c r="AM116"/>
  <c r="AM115"/>
  <c r="AM114"/>
  <c r="AM113"/>
  <c r="AM112"/>
  <c r="AM104"/>
  <c r="AM96"/>
  <c r="AM95"/>
  <c r="AM94"/>
  <c r="AM92"/>
  <c r="AM89"/>
  <c r="AM88"/>
  <c r="AM87"/>
  <c r="AM86"/>
  <c r="AM85"/>
  <c r="AM84"/>
  <c r="AM83"/>
  <c r="AM82"/>
  <c r="AM81"/>
  <c r="AM80"/>
  <c r="AM79"/>
  <c r="AM71"/>
  <c r="AM63"/>
  <c r="AM62"/>
  <c r="AM61"/>
  <c r="AP58"/>
  <c r="N4826" i="967"/>
  <c r="N4825"/>
  <c r="N4823"/>
  <c r="N4822"/>
  <c r="N4820"/>
  <c r="N4819"/>
  <c r="N4817"/>
  <c r="N4816"/>
  <c r="N4814"/>
  <c r="N4813"/>
  <c r="N4811"/>
  <c r="N4810"/>
  <c r="N4808"/>
  <c r="N4807"/>
  <c r="N4805"/>
  <c r="N4804"/>
  <c r="N4797"/>
  <c r="N4794"/>
  <c r="N4793"/>
  <c r="N4792"/>
  <c r="N4791"/>
  <c r="N4790"/>
  <c r="N4789"/>
  <c r="N4788"/>
  <c r="N4787"/>
  <c r="N4786"/>
  <c r="N4785"/>
  <c r="N4766"/>
  <c r="N4764"/>
  <c r="N4761"/>
  <c r="N4760"/>
  <c r="N4759"/>
  <c r="N4758"/>
  <c r="N4757"/>
  <c r="N4756"/>
  <c r="N4755"/>
  <c r="N4754"/>
  <c r="N4753"/>
  <c r="N4752"/>
  <c r="N4733"/>
  <c r="N4731"/>
  <c r="N4728"/>
  <c r="N4727"/>
  <c r="N4726"/>
  <c r="N4725"/>
  <c r="N4724"/>
  <c r="N4723"/>
  <c r="N4722"/>
  <c r="N4721"/>
  <c r="N4720"/>
  <c r="N4719"/>
  <c r="N4700"/>
  <c r="N4698"/>
  <c r="N4695"/>
  <c r="N4694"/>
  <c r="N4693"/>
  <c r="N4692"/>
  <c r="N4691"/>
  <c r="N4690"/>
  <c r="N4689"/>
  <c r="N4688"/>
  <c r="N4687"/>
  <c r="N4686"/>
  <c r="N4667"/>
  <c r="N4665"/>
  <c r="N4662"/>
  <c r="N4661"/>
  <c r="N4660"/>
  <c r="N4659"/>
  <c r="N4658"/>
  <c r="N4657"/>
  <c r="N4656"/>
  <c r="N4655"/>
  <c r="N4654"/>
  <c r="N4653"/>
  <c r="N4634"/>
  <c r="N4632"/>
  <c r="N4629"/>
  <c r="N4628"/>
  <c r="N4627"/>
  <c r="N4626"/>
  <c r="N4625"/>
  <c r="N4624"/>
  <c r="N4623"/>
  <c r="N4622"/>
  <c r="N4621"/>
  <c r="N4620"/>
  <c r="N4601"/>
  <c r="N4599"/>
  <c r="N4596"/>
  <c r="N4595"/>
  <c r="N4594"/>
  <c r="N4593"/>
  <c r="N4592"/>
  <c r="N4591"/>
  <c r="N4590"/>
  <c r="N4589"/>
  <c r="N4588"/>
  <c r="N4587"/>
  <c r="N4568"/>
  <c r="N4566"/>
  <c r="N4563"/>
  <c r="N4562"/>
  <c r="N4561"/>
  <c r="N4560"/>
  <c r="N4559"/>
  <c r="N4558"/>
  <c r="N4557"/>
  <c r="N4556"/>
  <c r="N4555"/>
  <c r="N4554"/>
  <c r="N4535"/>
  <c r="N4533"/>
  <c r="N4530"/>
  <c r="N4529"/>
  <c r="N4528"/>
  <c r="N4527"/>
  <c r="N4526"/>
  <c r="N4525"/>
  <c r="N4524"/>
  <c r="N4523"/>
  <c r="N4522"/>
  <c r="N4521"/>
  <c r="N4502"/>
  <c r="N4500"/>
  <c r="N4499"/>
  <c r="N4497"/>
  <c r="N4496"/>
  <c r="N4495"/>
  <c r="N4494"/>
  <c r="N4493"/>
  <c r="N4492"/>
  <c r="N4491"/>
  <c r="N4489"/>
  <c r="N4488"/>
  <c r="N4487"/>
  <c r="N4486"/>
  <c r="N4485"/>
  <c r="N4484"/>
  <c r="N4483"/>
  <c r="N4481"/>
  <c r="N4480"/>
  <c r="N4479"/>
  <c r="N4478"/>
  <c r="N4477"/>
  <c r="N4476"/>
  <c r="N4475"/>
  <c r="N4473"/>
  <c r="N4472"/>
  <c r="N4471"/>
  <c r="N4470"/>
  <c r="N4469"/>
  <c r="N4468"/>
  <c r="N4467"/>
  <c r="N4465"/>
  <c r="N4464"/>
  <c r="N4462"/>
  <c r="N4461"/>
  <c r="N4460"/>
  <c r="N4459"/>
  <c r="N4458"/>
  <c r="N4457"/>
  <c r="N4456"/>
  <c r="N4454"/>
  <c r="N4453"/>
  <c r="N4452"/>
  <c r="N4451"/>
  <c r="N4450"/>
  <c r="N4449"/>
  <c r="N4448"/>
  <c r="N4446"/>
  <c r="N4445"/>
  <c r="N4444"/>
  <c r="N4443"/>
  <c r="N4442"/>
  <c r="N4441"/>
  <c r="N4440"/>
  <c r="N4438"/>
  <c r="N4437"/>
  <c r="N4436"/>
  <c r="N4435"/>
  <c r="N4434"/>
  <c r="N4433"/>
  <c r="N4432"/>
  <c r="N4427"/>
  <c r="N4424"/>
  <c r="N4423"/>
  <c r="N4422"/>
  <c r="N4421"/>
  <c r="N4420"/>
  <c r="N4419"/>
  <c r="N4418"/>
  <c r="N4417"/>
  <c r="N4416"/>
  <c r="N4415"/>
  <c r="N4414"/>
  <c r="N4406"/>
  <c r="N4398"/>
  <c r="N4397"/>
  <c r="N4396"/>
  <c r="N4394"/>
  <c r="N4391"/>
  <c r="N4390"/>
  <c r="N4389"/>
  <c r="N4388"/>
  <c r="N4387"/>
  <c r="N4386"/>
  <c r="N4385"/>
  <c r="N4384"/>
  <c r="N4383"/>
  <c r="N4382"/>
  <c r="N4381"/>
  <c r="N4373"/>
  <c r="N4365"/>
  <c r="N4364"/>
  <c r="N4363"/>
  <c r="N4355"/>
  <c r="N4354"/>
  <c r="N4353"/>
  <c r="N4352"/>
  <c r="N4351"/>
  <c r="N4350"/>
  <c r="N4349"/>
  <c r="N4348"/>
  <c r="N4347"/>
  <c r="N4346"/>
  <c r="N4345"/>
  <c r="N4337"/>
  <c r="N4344"/>
  <c r="N4329"/>
  <c r="N4328"/>
  <c r="N4327"/>
  <c r="N4358"/>
  <c r="N4325"/>
  <c r="N4322"/>
  <c r="N4321"/>
  <c r="N4320"/>
  <c r="N4319"/>
  <c r="N4318"/>
  <c r="N4317"/>
  <c r="N4316"/>
  <c r="N4315"/>
  <c r="N4314"/>
  <c r="N4313"/>
  <c r="N4312"/>
  <c r="N4304"/>
  <c r="N4296"/>
  <c r="N4295"/>
  <c r="N4294"/>
  <c r="N4292"/>
  <c r="N4289"/>
  <c r="N4288"/>
  <c r="N4287"/>
  <c r="N4286"/>
  <c r="N4285"/>
  <c r="N4284"/>
  <c r="N4283"/>
  <c r="N4282"/>
  <c r="N4281"/>
  <c r="N4280"/>
  <c r="N4279"/>
  <c r="N4271"/>
  <c r="N4263"/>
  <c r="N4262"/>
  <c r="N4261"/>
  <c r="N4259"/>
  <c r="N4256"/>
  <c r="N4255"/>
  <c r="N4254"/>
  <c r="N4253"/>
  <c r="N4252"/>
  <c r="N4251"/>
  <c r="N4250"/>
  <c r="N4249"/>
  <c r="N4248"/>
  <c r="N4247"/>
  <c r="N4246"/>
  <c r="N4238"/>
  <c r="N4230"/>
  <c r="N4229"/>
  <c r="N4228"/>
  <c r="N4226"/>
  <c r="N4223"/>
  <c r="N4222"/>
  <c r="N4221"/>
  <c r="N4220"/>
  <c r="N4219"/>
  <c r="N4218"/>
  <c r="N4217"/>
  <c r="N4216"/>
  <c r="N4215"/>
  <c r="N4214"/>
  <c r="N4213"/>
  <c r="N4205"/>
  <c r="N4197"/>
  <c r="N4196"/>
  <c r="N4195"/>
  <c r="N4193"/>
  <c r="N4190"/>
  <c r="N4189"/>
  <c r="N4188"/>
  <c r="N4187"/>
  <c r="N4186"/>
  <c r="N4185"/>
  <c r="N4184"/>
  <c r="N4183"/>
  <c r="N4182"/>
  <c r="N4181"/>
  <c r="N4180"/>
  <c r="N4172"/>
  <c r="N4164"/>
  <c r="N4163"/>
  <c r="N4162"/>
  <c r="EO257" i="1037"/>
  <c r="EN257"/>
  <c r="EM257"/>
  <c r="EL257"/>
  <c r="DO257"/>
  <c r="DN257"/>
  <c r="DM257"/>
  <c r="DL257"/>
  <c r="DK257"/>
  <c r="DJ257"/>
  <c r="EG241"/>
  <c r="EF241"/>
  <c r="EE241"/>
  <c r="ED241"/>
  <c r="EC241"/>
  <c r="EB241"/>
  <c r="EA241"/>
  <c r="DZ241"/>
  <c r="DY241"/>
  <c r="DX241"/>
  <c r="DW241"/>
  <c r="DV241"/>
  <c r="DU241"/>
  <c r="DT241"/>
  <c r="DS241"/>
  <c r="DR241"/>
  <c r="DQ241"/>
  <c r="DP241"/>
  <c r="EO209"/>
  <c r="EN209"/>
  <c r="EM209"/>
  <c r="EL209"/>
  <c r="DO209"/>
  <c r="DN209"/>
  <c r="DM209"/>
  <c r="DL209"/>
  <c r="DK209"/>
  <c r="DJ209"/>
  <c r="DP193"/>
  <c r="AX172"/>
  <c r="AU172"/>
  <c r="AR172"/>
  <c r="AO172"/>
  <c r="AL172"/>
  <c r="AX171"/>
  <c r="AU171"/>
  <c r="AR171"/>
  <c r="AO171"/>
  <c r="AL171"/>
  <c r="AX170"/>
  <c r="AU170"/>
  <c r="AR170"/>
  <c r="AO170"/>
  <c r="AL170"/>
  <c r="AG170"/>
  <c r="AX169"/>
  <c r="AU169"/>
  <c r="AR169"/>
  <c r="AO169"/>
  <c r="AL169"/>
  <c r="AX168"/>
  <c r="AU168"/>
  <c r="AR168"/>
  <c r="AO168"/>
  <c r="AL168"/>
  <c r="AX167"/>
  <c r="AU167"/>
  <c r="AR167"/>
  <c r="AO167"/>
  <c r="AL167"/>
  <c r="AY166"/>
  <c r="AV166"/>
  <c r="AT166" s="1"/>
  <c r="AS166"/>
  <c r="AF166" s="1"/>
  <c r="AP166"/>
  <c r="AN166" s="1"/>
  <c r="AM166"/>
  <c r="BB71" i="938"/>
  <c r="AW71"/>
  <c r="AT71"/>
  <c r="T71"/>
  <c r="N71"/>
  <c r="BB70"/>
  <c r="AW70"/>
  <c r="AT70"/>
  <c r="T70"/>
  <c r="N70"/>
  <c r="BB69"/>
  <c r="AW69"/>
  <c r="AT69"/>
  <c r="T69"/>
  <c r="N69"/>
  <c r="BB68"/>
  <c r="AW68"/>
  <c r="AT68"/>
  <c r="T68"/>
  <c r="N68"/>
  <c r="BB67"/>
  <c r="AW67"/>
  <c r="AT67"/>
  <c r="T67"/>
  <c r="N67"/>
  <c r="BB66"/>
  <c r="AW66"/>
  <c r="AT66"/>
  <c r="T66"/>
  <c r="N66"/>
  <c r="BB65"/>
  <c r="AW65"/>
  <c r="AT65"/>
  <c r="T65"/>
  <c r="N65"/>
  <c r="BB64"/>
  <c r="AW64"/>
  <c r="AT64"/>
  <c r="T64"/>
  <c r="N64"/>
  <c r="BB63"/>
  <c r="AW63"/>
  <c r="AT63"/>
  <c r="T63"/>
  <c r="N63"/>
  <c r="BB62"/>
  <c r="AW62"/>
  <c r="AT62"/>
  <c r="T62"/>
  <c r="N62"/>
  <c r="BB61"/>
  <c r="AW61"/>
  <c r="AT61"/>
  <c r="T61"/>
  <c r="N61"/>
  <c r="BB60"/>
  <c r="AW60"/>
  <c r="AT60"/>
  <c r="T60"/>
  <c r="N60"/>
  <c r="BE59"/>
  <c r="BE57"/>
  <c r="BD59"/>
  <c r="BD57"/>
  <c r="BC59"/>
  <c r="BC57"/>
  <c r="AV59"/>
  <c r="AV57"/>
  <c r="AU59"/>
  <c r="AU57"/>
  <c r="AL59"/>
  <c r="AL57"/>
  <c r="AH59"/>
  <c r="AH57"/>
  <c r="AD59"/>
  <c r="AD57"/>
  <c r="Z59"/>
  <c r="Z57"/>
  <c r="Y59"/>
  <c r="Y57"/>
  <c r="S59"/>
  <c r="S57"/>
  <c r="R59"/>
  <c r="R57"/>
  <c r="Q59"/>
  <c r="Q57"/>
  <c r="P59"/>
  <c r="P57"/>
  <c r="O59"/>
  <c r="O57"/>
  <c r="F57"/>
  <c r="F65"/>
  <c r="M31"/>
  <c r="AS31"/>
  <c r="T4" i="1037"/>
  <c r="T10"/>
  <c r="T12" i="936"/>
  <c r="Y9"/>
  <c r="O3971" i="967" s="1"/>
  <c r="F127" i="938"/>
  <c r="Y2" i="936"/>
  <c r="AF9" i="967"/>
  <c r="AE9"/>
  <c r="AD9"/>
  <c r="AC9"/>
  <c r="AB9"/>
  <c r="AA9"/>
  <c r="Z9"/>
  <c r="Y9"/>
  <c r="X9"/>
  <c r="W9"/>
  <c r="V9"/>
  <c r="U9"/>
  <c r="T9"/>
  <c r="S9"/>
  <c r="R9"/>
  <c r="T3091"/>
  <c r="S3091"/>
  <c r="R3091"/>
  <c r="W4110"/>
  <c r="V4110"/>
  <c r="U4110"/>
  <c r="T4110"/>
  <c r="S4110"/>
  <c r="R4110"/>
  <c r="AF5114"/>
  <c r="AE5114"/>
  <c r="AD5114"/>
  <c r="AC5114"/>
  <c r="AB5114"/>
  <c r="AA5114"/>
  <c r="Z5114"/>
  <c r="Y5114"/>
  <c r="X5114"/>
  <c r="W5114"/>
  <c r="V5114"/>
  <c r="U5114"/>
  <c r="T5114"/>
  <c r="S5114"/>
  <c r="R5114"/>
  <c r="AC854"/>
  <c r="AC836"/>
  <c r="AC828"/>
  <c r="AC805"/>
  <c r="AC804" s="1"/>
  <c r="AC803"/>
  <c r="AC800"/>
  <c r="AC797"/>
  <c r="AC794"/>
  <c r="AC791"/>
  <c r="AC788"/>
  <c r="AC785"/>
  <c r="AC782"/>
  <c r="AC779"/>
  <c r="AC776" s="1"/>
  <c r="AC774" s="1"/>
  <c r="AC778"/>
  <c r="AC777"/>
  <c r="AC771"/>
  <c r="AC768"/>
  <c r="AC765"/>
  <c r="AC762"/>
  <c r="AC759"/>
  <c r="AC756"/>
  <c r="AC753"/>
  <c r="AC750"/>
  <c r="AC747" s="1"/>
  <c r="AC749"/>
  <c r="AC748"/>
  <c r="AC21"/>
  <c r="AC17"/>
  <c r="AC15"/>
  <c r="AF854"/>
  <c r="Z854"/>
  <c r="W854"/>
  <c r="T854"/>
  <c r="AF836"/>
  <c r="Z836"/>
  <c r="W836"/>
  <c r="T836"/>
  <c r="AF828"/>
  <c r="Z828"/>
  <c r="W828"/>
  <c r="T828"/>
  <c r="AF805"/>
  <c r="AF804"/>
  <c r="Z805"/>
  <c r="Z804"/>
  <c r="W805"/>
  <c r="W804"/>
  <c r="T805"/>
  <c r="T804"/>
  <c r="AF803"/>
  <c r="Z803"/>
  <c r="W803"/>
  <c r="T803"/>
  <c r="AF800"/>
  <c r="Z800"/>
  <c r="W800"/>
  <c r="T800"/>
  <c r="AF797"/>
  <c r="Z797"/>
  <c r="W797"/>
  <c r="T797"/>
  <c r="AF794"/>
  <c r="Z794"/>
  <c r="W794"/>
  <c r="T794"/>
  <c r="AF791"/>
  <c r="Z791"/>
  <c r="W791"/>
  <c r="T791"/>
  <c r="AF788"/>
  <c r="Z788"/>
  <c r="W788"/>
  <c r="T788"/>
  <c r="AF785"/>
  <c r="Z785"/>
  <c r="W785"/>
  <c r="T785"/>
  <c r="AF782"/>
  <c r="Z782"/>
  <c r="W782"/>
  <c r="T782"/>
  <c r="AF779"/>
  <c r="AF776" s="1"/>
  <c r="AF774" s="1"/>
  <c r="Z779"/>
  <c r="Z776" s="1"/>
  <c r="Z774" s="1"/>
  <c r="W779"/>
  <c r="W776"/>
  <c r="W774" s="1"/>
  <c r="T779"/>
  <c r="T776" s="1"/>
  <c r="T774" s="1"/>
  <c r="AF778"/>
  <c r="Z778"/>
  <c r="W778"/>
  <c r="T778"/>
  <c r="AF777"/>
  <c r="Z777"/>
  <c r="W777"/>
  <c r="T777"/>
  <c r="AF771"/>
  <c r="Z771"/>
  <c r="W771"/>
  <c r="T771"/>
  <c r="AF768"/>
  <c r="Z768"/>
  <c r="W768"/>
  <c r="T768"/>
  <c r="AF765"/>
  <c r="Z765"/>
  <c r="W765"/>
  <c r="T765"/>
  <c r="AF762"/>
  <c r="Z762"/>
  <c r="W762"/>
  <c r="T762"/>
  <c r="AF759"/>
  <c r="Z759"/>
  <c r="W759"/>
  <c r="T759"/>
  <c r="AF756"/>
  <c r="Z756"/>
  <c r="W756"/>
  <c r="T756"/>
  <c r="AF753"/>
  <c r="Z753"/>
  <c r="W753"/>
  <c r="T753"/>
  <c r="AF750"/>
  <c r="AF747"/>
  <c r="AF728" s="1"/>
  <c r="AF727" s="1"/>
  <c r="Z750"/>
  <c r="Z747"/>
  <c r="Z728" s="1"/>
  <c r="W750"/>
  <c r="T750"/>
  <c r="T747"/>
  <c r="T728" s="1"/>
  <c r="T727" s="1"/>
  <c r="AF749"/>
  <c r="Z749"/>
  <c r="W749"/>
  <c r="T749"/>
  <c r="AF748"/>
  <c r="Z748"/>
  <c r="W748"/>
  <c r="T748"/>
  <c r="AF21"/>
  <c r="Z21"/>
  <c r="W21"/>
  <c r="T21"/>
  <c r="AF17"/>
  <c r="AF15"/>
  <c r="AF853" s="1"/>
  <c r="Z17"/>
  <c r="Z15" s="1"/>
  <c r="W17"/>
  <c r="W15" s="1"/>
  <c r="T17"/>
  <c r="T15" s="1"/>
  <c r="L112" i="1002"/>
  <c r="L111"/>
  <c r="L110"/>
  <c r="L109"/>
  <c r="L108"/>
  <c r="L107"/>
  <c r="L106"/>
  <c r="L105"/>
  <c r="L104"/>
  <c r="L103"/>
  <c r="L102"/>
  <c r="L101"/>
  <c r="Q100"/>
  <c r="P100"/>
  <c r="O100"/>
  <c r="N100"/>
  <c r="M100"/>
  <c r="L99"/>
  <c r="L98"/>
  <c r="L97"/>
  <c r="L96"/>
  <c r="L95"/>
  <c r="L94"/>
  <c r="L93"/>
  <c r="L92"/>
  <c r="L91"/>
  <c r="L90"/>
  <c r="L89"/>
  <c r="L88"/>
  <c r="Q87"/>
  <c r="P87"/>
  <c r="O87"/>
  <c r="N87"/>
  <c r="M87"/>
  <c r="L84"/>
  <c r="L83"/>
  <c r="L82"/>
  <c r="L81"/>
  <c r="L80"/>
  <c r="L79"/>
  <c r="L78"/>
  <c r="L77"/>
  <c r="L76"/>
  <c r="L75"/>
  <c r="L74"/>
  <c r="L73"/>
  <c r="Q72"/>
  <c r="P72"/>
  <c r="O72"/>
  <c r="N72"/>
  <c r="M72"/>
  <c r="L43"/>
  <c r="L42"/>
  <c r="L41"/>
  <c r="L40"/>
  <c r="L39"/>
  <c r="L38"/>
  <c r="L37"/>
  <c r="L36"/>
  <c r="L35"/>
  <c r="L34"/>
  <c r="L33"/>
  <c r="L32"/>
  <c r="Q31"/>
  <c r="P31"/>
  <c r="O31"/>
  <c r="N31"/>
  <c r="M31"/>
  <c r="W124" i="1001"/>
  <c r="Z112"/>
  <c r="U112"/>
  <c r="Q112"/>
  <c r="Z111"/>
  <c r="U111"/>
  <c r="Q111"/>
  <c r="Z110"/>
  <c r="U110"/>
  <c r="Q110"/>
  <c r="Z109"/>
  <c r="U109"/>
  <c r="Q109"/>
  <c r="Z108"/>
  <c r="U108"/>
  <c r="Q108"/>
  <c r="Z107"/>
  <c r="U107"/>
  <c r="Q107"/>
  <c r="Z106"/>
  <c r="U106"/>
  <c r="Q106"/>
  <c r="Z105"/>
  <c r="U105"/>
  <c r="Q105"/>
  <c r="Z104"/>
  <c r="U104"/>
  <c r="Q104"/>
  <c r="Z103"/>
  <c r="U103"/>
  <c r="Q103"/>
  <c r="Z102"/>
  <c r="U102"/>
  <c r="Q102"/>
  <c r="Z101"/>
  <c r="U101"/>
  <c r="Q101"/>
  <c r="AC100"/>
  <c r="AB100"/>
  <c r="AA100"/>
  <c r="U100"/>
  <c r="T100"/>
  <c r="S100"/>
  <c r="R100"/>
  <c r="Z99"/>
  <c r="U99"/>
  <c r="Q99"/>
  <c r="Z98"/>
  <c r="U98"/>
  <c r="Q98"/>
  <c r="Z97"/>
  <c r="U97"/>
  <c r="Q97"/>
  <c r="Z96"/>
  <c r="U96"/>
  <c r="Q96"/>
  <c r="Z95"/>
  <c r="U95"/>
  <c r="Q95"/>
  <c r="Z94"/>
  <c r="U94"/>
  <c r="Q94"/>
  <c r="Z93"/>
  <c r="U93"/>
  <c r="Q93"/>
  <c r="Z92"/>
  <c r="U92"/>
  <c r="Q92"/>
  <c r="Z91"/>
  <c r="U91"/>
  <c r="Q91"/>
  <c r="Z90"/>
  <c r="U90"/>
  <c r="Q90"/>
  <c r="Z89"/>
  <c r="U89"/>
  <c r="Q89"/>
  <c r="Z88"/>
  <c r="U88"/>
  <c r="Q88"/>
  <c r="AD87"/>
  <c r="AC87"/>
  <c r="AB87"/>
  <c r="AA87"/>
  <c r="U87"/>
  <c r="T87"/>
  <c r="S87"/>
  <c r="R87"/>
  <c r="F85"/>
  <c r="Z84"/>
  <c r="U84"/>
  <c r="Q84"/>
  <c r="Z83"/>
  <c r="U83"/>
  <c r="Q83"/>
  <c r="Z82"/>
  <c r="U82"/>
  <c r="Q82"/>
  <c r="Z81"/>
  <c r="U81"/>
  <c r="Q81"/>
  <c r="Z80"/>
  <c r="U80"/>
  <c r="Q80"/>
  <c r="Z79"/>
  <c r="U79"/>
  <c r="Q79"/>
  <c r="Z78"/>
  <c r="U78"/>
  <c r="Q78"/>
  <c r="Z77"/>
  <c r="U77"/>
  <c r="Q77"/>
  <c r="Z76"/>
  <c r="U76"/>
  <c r="Q76"/>
  <c r="Z75"/>
  <c r="U75"/>
  <c r="Q75"/>
  <c r="Z74"/>
  <c r="U74"/>
  <c r="Q74"/>
  <c r="Z73"/>
  <c r="U73"/>
  <c r="Q73"/>
  <c r="AC72"/>
  <c r="AB72"/>
  <c r="AA72"/>
  <c r="U72"/>
  <c r="T72"/>
  <c r="S72"/>
  <c r="R72"/>
  <c r="Z43"/>
  <c r="U43"/>
  <c r="Q43"/>
  <c r="Z42"/>
  <c r="U42"/>
  <c r="Q42"/>
  <c r="Z41"/>
  <c r="U41"/>
  <c r="Q41"/>
  <c r="Z40"/>
  <c r="U40"/>
  <c r="Q40"/>
  <c r="Z39"/>
  <c r="U39"/>
  <c r="Q39"/>
  <c r="Z38"/>
  <c r="U38"/>
  <c r="Q38"/>
  <c r="Z37"/>
  <c r="U37"/>
  <c r="Q37"/>
  <c r="Z36"/>
  <c r="U36"/>
  <c r="Q36"/>
  <c r="Z35"/>
  <c r="U35"/>
  <c r="Q35"/>
  <c r="Z34"/>
  <c r="U34"/>
  <c r="Q34"/>
  <c r="Z33"/>
  <c r="U33"/>
  <c r="Q33"/>
  <c r="Z32"/>
  <c r="U32"/>
  <c r="Q32"/>
  <c r="AD31"/>
  <c r="AC31"/>
  <c r="AB31"/>
  <c r="AA31"/>
  <c r="U31"/>
  <c r="T31"/>
  <c r="S31"/>
  <c r="R31"/>
  <c r="F5" i="991"/>
  <c r="F125" i="938"/>
  <c r="F29"/>
  <c r="F41"/>
  <c r="F119"/>
  <c r="F2" i="936"/>
  <c r="Y5"/>
  <c r="AY124" i="938"/>
  <c r="V124"/>
  <c r="BB43"/>
  <c r="AW43"/>
  <c r="T43"/>
  <c r="L43" s="1"/>
  <c r="BB42"/>
  <c r="AW42"/>
  <c r="T42"/>
  <c r="L42" s="1"/>
  <c r="BB41"/>
  <c r="AW41"/>
  <c r="T41"/>
  <c r="L41" s="1"/>
  <c r="BB40"/>
  <c r="AW40"/>
  <c r="T40"/>
  <c r="L40" s="1"/>
  <c r="BB39"/>
  <c r="AW39"/>
  <c r="T39"/>
  <c r="L39" s="1"/>
  <c r="BB38"/>
  <c r="AW38"/>
  <c r="T38"/>
  <c r="L38" s="1"/>
  <c r="BB37"/>
  <c r="AW37"/>
  <c r="T37"/>
  <c r="L37" s="1"/>
  <c r="BB36"/>
  <c r="AW36"/>
  <c r="T36"/>
  <c r="L36" s="1"/>
  <c r="BB35"/>
  <c r="AW35"/>
  <c r="T35"/>
  <c r="L35" s="1"/>
  <c r="BB34"/>
  <c r="AW34"/>
  <c r="T34"/>
  <c r="L34" s="1"/>
  <c r="BB33"/>
  <c r="AW33"/>
  <c r="T33"/>
  <c r="L33" s="1"/>
  <c r="BB32"/>
  <c r="AW32"/>
  <c r="T32"/>
  <c r="BE31"/>
  <c r="BD31"/>
  <c r="BC31"/>
  <c r="S31"/>
  <c r="R31"/>
  <c r="Q31"/>
  <c r="AC6274" i="967"/>
  <c r="DZ193" i="1037"/>
  <c r="EA193"/>
  <c r="EE193"/>
  <c r="ED193"/>
  <c r="DS193"/>
  <c r="DR193"/>
  <c r="EG193"/>
  <c r="EF193"/>
  <c r="DU193"/>
  <c r="DT193"/>
  <c r="DV193"/>
  <c r="DW193"/>
  <c r="DX193"/>
  <c r="DY193"/>
  <c r="AP349" i="948"/>
  <c r="AP685"/>
  <c r="AP361"/>
  <c r="AP349" i="949"/>
  <c r="AP357" i="948"/>
  <c r="AP693"/>
  <c r="AP383" i="950"/>
  <c r="AP353" i="948"/>
  <c r="AP350"/>
  <c r="AP392" i="950"/>
  <c r="AP396"/>
  <c r="AP388" i="949"/>
  <c r="AP392"/>
  <c r="AP396"/>
  <c r="AP358"/>
  <c r="AP350"/>
  <c r="AP358" i="948"/>
  <c r="AP696" i="950"/>
  <c r="AP696" i="949"/>
  <c r="AP690"/>
  <c r="AP689" i="950"/>
  <c r="AP349"/>
  <c r="AP685"/>
  <c r="AP387" i="949"/>
  <c r="AP384"/>
  <c r="AP686"/>
  <c r="AP394"/>
  <c r="AP359"/>
  <c r="AP393"/>
  <c r="AP665"/>
  <c r="AP361" i="950"/>
  <c r="AP693" i="949"/>
  <c r="AP353" i="950"/>
  <c r="AP357"/>
  <c r="AP388"/>
  <c r="AP387"/>
  <c r="AP350"/>
  <c r="AP396" i="948"/>
  <c r="AP384"/>
  <c r="AP388"/>
  <c r="AP392"/>
  <c r="AP686"/>
  <c r="AP690"/>
  <c r="AP696"/>
  <c r="AP391"/>
  <c r="AP395"/>
  <c r="AP351" i="949"/>
  <c r="AP687"/>
  <c r="AP691"/>
  <c r="AP385"/>
  <c r="AP347" i="948"/>
  <c r="AP359"/>
  <c r="AP390"/>
  <c r="AP359" i="950"/>
  <c r="AP385"/>
  <c r="AP393"/>
  <c r="AP351"/>
  <c r="AP665"/>
  <c r="AP687"/>
  <c r="AP691"/>
  <c r="AP347" i="949"/>
  <c r="AP355"/>
  <c r="AP692" i="948"/>
  <c r="AP351"/>
  <c r="AP665"/>
  <c r="AP687"/>
  <c r="AP691"/>
  <c r="AP385"/>
  <c r="AP393"/>
  <c r="AP355"/>
  <c r="AP360" i="949"/>
  <c r="AP348" i="948"/>
  <c r="AP352"/>
  <c r="AP684" i="950"/>
  <c r="AP386"/>
  <c r="AP386" i="949"/>
  <c r="AP692"/>
  <c r="AP390"/>
  <c r="AP352"/>
  <c r="AP356" i="948"/>
  <c r="AP360"/>
  <c r="AP386"/>
  <c r="AP394"/>
  <c r="AP347" i="950"/>
  <c r="AP356" i="949"/>
  <c r="AP688" i="948"/>
  <c r="AP382"/>
  <c r="AP684"/>
  <c r="AP382" i="949"/>
  <c r="AP348"/>
  <c r="AP684"/>
  <c r="AP688"/>
  <c r="AK125" i="938"/>
  <c r="O125"/>
  <c r="AV125"/>
  <c r="AT125"/>
  <c r="N4331" i="967"/>
  <c r="N4335"/>
  <c r="AO125" i="938"/>
  <c r="P125"/>
  <c r="N125"/>
  <c r="AE125"/>
  <c r="AJ125"/>
  <c r="AF125"/>
  <c r="AU125"/>
  <c r="AB125"/>
  <c r="AM125"/>
  <c r="AA125"/>
  <c r="AI125"/>
  <c r="AP390" i="950"/>
  <c r="AP348"/>
  <c r="AP692"/>
  <c r="AP688"/>
  <c r="AP356"/>
  <c r="AC467" i="1037"/>
  <c r="AD467" s="1"/>
  <c r="N4334" i="967"/>
  <c r="Z6280"/>
  <c r="AA6213"/>
  <c r="N4339"/>
  <c r="AP693" i="950"/>
  <c r="AP685" i="949"/>
  <c r="AP689"/>
  <c r="AN125" i="938"/>
  <c r="AP732" i="941"/>
  <c r="AP740"/>
  <c r="AP745"/>
  <c r="AP736"/>
  <c r="AP743"/>
  <c r="AP739"/>
  <c r="AP744"/>
  <c r="AP735"/>
  <c r="AP741"/>
  <c r="AP731"/>
  <c r="AC4148" i="967"/>
  <c r="W4238"/>
  <c r="W4172"/>
  <c r="V6213"/>
  <c r="V6212"/>
  <c r="AC6214"/>
  <c r="W6213"/>
  <c r="BG245" i="1037"/>
  <c r="BH245"/>
  <c r="BV196"/>
  <c r="BW196"/>
  <c r="CJ196"/>
  <c r="AM213"/>
  <c r="AN213" s="1"/>
  <c r="CP211"/>
  <c r="BO212"/>
  <c r="AT196"/>
  <c r="AU196" s="1"/>
  <c r="DG458"/>
  <c r="BZ241"/>
  <c r="CJ261"/>
  <c r="AR196"/>
  <c r="AS196"/>
  <c r="BC261"/>
  <c r="AG212"/>
  <c r="CC212"/>
  <c r="CD212"/>
  <c r="BS209"/>
  <c r="BQ209"/>
  <c r="BE209"/>
  <c r="BQ261"/>
  <c r="BR261" s="1"/>
  <c r="ET241"/>
  <c r="BA257"/>
  <c r="AB475"/>
  <c r="DF475"/>
  <c r="AQ257"/>
  <c r="AO257" s="1"/>
  <c r="AB474"/>
  <c r="DF501"/>
  <c r="AC501"/>
  <c r="AD501" s="1"/>
  <c r="BF245"/>
  <c r="AR245"/>
  <c r="AS245"/>
  <c r="DP467"/>
  <c r="AB467"/>
  <c r="DG467"/>
  <c r="DF467"/>
  <c r="DG475"/>
  <c r="CK213"/>
  <c r="AW166"/>
  <c r="BQ212"/>
  <c r="BR212" s="1"/>
  <c r="BB212"/>
  <c r="BC212" s="1"/>
  <c r="AO196"/>
  <c r="AP196" s="1"/>
  <c r="DG501"/>
  <c r="BZ193"/>
  <c r="BV193"/>
  <c r="BW193" s="1"/>
  <c r="DO193" s="1"/>
  <c r="CC261"/>
  <c r="CD261"/>
  <c r="BK241"/>
  <c r="AG241"/>
  <c r="AY261"/>
  <c r="AZ261"/>
  <c r="BE241"/>
  <c r="N4336" i="967"/>
  <c r="AC4230"/>
  <c r="AC4156"/>
  <c r="AB501" i="1037"/>
  <c r="AH212"/>
  <c r="AI212" s="1"/>
  <c r="AY257"/>
  <c r="AZ257" s="1"/>
  <c r="DS257" s="1"/>
  <c r="CJ193"/>
  <c r="EV193"/>
  <c r="AM257"/>
  <c r="DH257" s="1"/>
  <c r="AN257"/>
  <c r="DI257" s="1"/>
  <c r="F6" i="1043"/>
  <c r="BS18" i="1065" a="1"/>
  <c r="CH18" a="1"/>
  <c r="BA18" a="1"/>
  <c r="CE18" a="1"/>
  <c r="BP18" a="1"/>
  <c r="BD18" a="1"/>
  <c r="AP34" i="1047"/>
  <c r="AP49"/>
  <c r="AP80"/>
  <c r="AP20"/>
  <c r="AP55"/>
  <c r="AP21"/>
  <c r="AP109"/>
  <c r="AP28"/>
  <c r="AP29"/>
  <c r="AP22"/>
  <c r="AP23"/>
  <c r="AP40"/>
  <c r="AP41"/>
  <c r="AP93"/>
  <c r="AP31"/>
  <c r="AP32"/>
  <c r="AP43"/>
  <c r="AP57"/>
  <c r="AP99"/>
  <c r="AP25"/>
  <c r="AP37"/>
  <c r="BR257" i="1037"/>
  <c r="EA257" s="1"/>
  <c r="CQ241"/>
  <c r="CM253"/>
  <c r="CM200"/>
  <c r="BU213"/>
  <c r="AO245"/>
  <c r="AP245" s="1"/>
  <c r="AQ241"/>
  <c r="AM241" s="1"/>
  <c r="BN261"/>
  <c r="BO261"/>
  <c r="AG261"/>
  <c r="AC458"/>
  <c r="AD458" s="1"/>
  <c r="AB458"/>
  <c r="DF458"/>
  <c r="AY212"/>
  <c r="AZ212" s="1"/>
  <c r="AV193"/>
  <c r="AT193" s="1"/>
  <c r="AT197"/>
  <c r="AU197"/>
  <c r="CK245"/>
  <c r="BT241"/>
  <c r="CK241" s="1"/>
  <c r="CE257"/>
  <c r="CC257" s="1"/>
  <c r="W4129" i="967"/>
  <c r="W4666"/>
  <c r="AC6234"/>
  <c r="BP257" i="1037"/>
  <c r="AG257" s="1"/>
  <c r="CH209"/>
  <c r="CF209" s="1"/>
  <c r="CF212"/>
  <c r="CG212" s="1"/>
  <c r="BE193"/>
  <c r="W4230" i="967"/>
  <c r="W4398"/>
  <c r="W4397" s="1"/>
  <c r="W4395" s="1"/>
  <c r="AC4238"/>
  <c r="AC4406"/>
  <c r="AC4139" s="1"/>
  <c r="N4343"/>
  <c r="N4341"/>
  <c r="N4342"/>
  <c r="N4338"/>
  <c r="N4340"/>
  <c r="AR241" i="1037"/>
  <c r="AS241" s="1"/>
  <c r="DK241" s="1"/>
  <c r="AT241"/>
  <c r="CB458"/>
  <c r="EC458" s="1"/>
  <c r="W4205" i="967"/>
  <c r="W4406"/>
  <c r="W4139"/>
  <c r="W4197"/>
  <c r="DE166" i="1037"/>
  <c r="W4328" i="967"/>
  <c r="AK166" i="1037"/>
  <c r="DH166" s="1"/>
  <c r="AQ166"/>
  <c r="DL166" s="1"/>
  <c r="W7062" i="967"/>
  <c r="W7065" s="1"/>
  <c r="W4156"/>
  <c r="AC4567"/>
  <c r="DR257" i="1037"/>
  <c r="AM245"/>
  <c r="AN245"/>
  <c r="CC213"/>
  <c r="CD213"/>
  <c r="AC6219" i="967"/>
  <c r="AC6222"/>
  <c r="W6612"/>
  <c r="W6611"/>
  <c r="CN209" i="1037"/>
  <c r="BB213"/>
  <c r="BC213" s="1"/>
  <c r="CO217"/>
  <c r="CM217" s="1"/>
  <c r="CK261"/>
  <c r="BM475"/>
  <c r="DW475" s="1"/>
  <c r="AC4205" i="967"/>
  <c r="W4155"/>
  <c r="AC4129"/>
  <c r="AC4153"/>
  <c r="AM234" i="950"/>
  <c r="AP148" i="948"/>
  <c r="AP82"/>
  <c r="AP158"/>
  <c r="AP92"/>
  <c r="AP489" i="949"/>
  <c r="F31" i="1002"/>
  <c r="AP59" i="1005"/>
  <c r="AP108"/>
  <c r="AP100"/>
  <c r="AP50"/>
  <c r="AP91" i="1007"/>
  <c r="AP73" i="1005"/>
  <c r="AP47"/>
  <c r="AP77"/>
  <c r="AP91"/>
  <c r="AP98" i="1007"/>
  <c r="AP83"/>
  <c r="AP73" i="1006"/>
  <c r="AP100"/>
  <c r="AP104"/>
  <c r="AP108"/>
  <c r="AP76" i="1005"/>
  <c r="AP54"/>
  <c r="AP104"/>
  <c r="AP57" i="1007"/>
  <c r="AP56"/>
  <c r="AP104"/>
  <c r="AP16" i="1047"/>
  <c r="AP19"/>
  <c r="AL166" i="1037"/>
  <c r="DI166" s="1"/>
  <c r="DJ241"/>
  <c r="W4295" i="967"/>
  <c r="W4196"/>
  <c r="W4364"/>
  <c r="AC4172"/>
  <c r="CJ257" i="1037"/>
  <c r="BF193"/>
  <c r="W4229" i="967"/>
  <c r="W4163"/>
  <c r="W4164"/>
  <c r="BN257" i="1037"/>
  <c r="DX257" s="1"/>
  <c r="AH261"/>
  <c r="AI261" s="1"/>
  <c r="Y261"/>
  <c r="CN261" s="1"/>
  <c r="AP861" i="945"/>
  <c r="AP857"/>
  <c r="AP745"/>
  <c r="AP741"/>
  <c r="AP736"/>
  <c r="AP731"/>
  <c r="AP862"/>
  <c r="AP858"/>
  <c r="AP732"/>
  <c r="AP740"/>
  <c r="AP859"/>
  <c r="AP739"/>
  <c r="AP735"/>
  <c r="AP863"/>
  <c r="AP744"/>
  <c r="AP743"/>
  <c r="AP856"/>
  <c r="BM474" i="1037"/>
  <c r="DW474" s="1"/>
  <c r="EB501"/>
  <c r="CM269"/>
  <c r="EB475"/>
  <c r="EB467"/>
  <c r="BM501"/>
  <c r="DW501" s="1"/>
  <c r="DV467"/>
  <c r="CM222"/>
  <c r="CM263"/>
  <c r="CP257"/>
  <c r="DP458"/>
  <c r="CP219"/>
  <c r="CQ215"/>
  <c r="CM215" s="1"/>
  <c r="CQ219"/>
  <c r="CQ223"/>
  <c r="CM210"/>
  <c r="CO223"/>
  <c r="CM223"/>
  <c r="CO267"/>
  <c r="CO257"/>
  <c r="CQ267"/>
  <c r="BO257"/>
  <c r="DY257" s="1"/>
  <c r="EU257"/>
  <c r="CJ241"/>
  <c r="EV241"/>
  <c r="BX241"/>
  <c r="BY241" s="1"/>
  <c r="EQ241" s="1"/>
  <c r="BV241"/>
  <c r="X6213" i="967"/>
  <c r="Z6213" s="1"/>
  <c r="Z6216"/>
  <c r="BM458" i="1037"/>
  <c r="DW458" s="1"/>
  <c r="DV458"/>
  <c r="CB474"/>
  <c r="EC474"/>
  <c r="EB474"/>
  <c r="AC4398" i="967"/>
  <c r="AC4328"/>
  <c r="AC4295"/>
  <c r="AC4197"/>
  <c r="V6211"/>
  <c r="W6211" s="1"/>
  <c r="W6212"/>
  <c r="AA6212"/>
  <c r="AC6212" s="1"/>
  <c r="AC6213"/>
  <c r="CQ193" i="1037"/>
  <c r="CL193"/>
  <c r="CL194" s="1"/>
  <c r="CM194"/>
  <c r="BI196"/>
  <c r="BJ196"/>
  <c r="BU196"/>
  <c r="AG196"/>
  <c r="AH196" s="1"/>
  <c r="AI196" s="1"/>
  <c r="BK193"/>
  <c r="AG193"/>
  <c r="BG196"/>
  <c r="BH196"/>
  <c r="AO197"/>
  <c r="AP197"/>
  <c r="AQ193"/>
  <c r="AM193"/>
  <c r="AM197"/>
  <c r="AN197"/>
  <c r="EL241"/>
  <c r="AU241"/>
  <c r="EM241" s="1"/>
  <c r="AC4164" i="967"/>
  <c r="AC4229"/>
  <c r="AX166" i="1037"/>
  <c r="DQ166" s="1"/>
  <c r="DP166"/>
  <c r="CP241"/>
  <c r="CL241"/>
  <c r="CL242" s="1"/>
  <c r="CM243"/>
  <c r="CM198"/>
  <c r="EU241"/>
  <c r="BG241"/>
  <c r="DL241" s="1"/>
  <c r="BU197"/>
  <c r="BI197"/>
  <c r="BJ197"/>
  <c r="BG197"/>
  <c r="BH197"/>
  <c r="BT193"/>
  <c r="CK193" s="1"/>
  <c r="CK196"/>
  <c r="AR197"/>
  <c r="AS197"/>
  <c r="BF197"/>
  <c r="AX501"/>
  <c r="DQ501" s="1"/>
  <c r="DP501"/>
  <c r="W4227" i="967"/>
  <c r="W4284" s="1"/>
  <c r="EV257" i="1037"/>
  <c r="CM247"/>
  <c r="AG197"/>
  <c r="CJ245"/>
  <c r="AC6303" i="967"/>
  <c r="CE209" i="1037"/>
  <c r="CC209" s="1"/>
  <c r="CN193"/>
  <c r="AC474"/>
  <c r="AD474" s="1"/>
  <c r="DF474"/>
  <c r="N4333" i="967"/>
  <c r="N4332"/>
  <c r="N4330"/>
  <c r="AY213" i="1037"/>
  <c r="AZ213" s="1"/>
  <c r="AG213"/>
  <c r="BF213"/>
  <c r="BA209"/>
  <c r="AY209" s="1"/>
  <c r="BN213"/>
  <c r="BO213"/>
  <c r="BP209"/>
  <c r="AC6237" i="967"/>
  <c r="BI241" i="1037"/>
  <c r="BV245"/>
  <c r="BW245" s="1"/>
  <c r="DG474"/>
  <c r="CK209"/>
  <c r="W747" i="967"/>
  <c r="W728" s="1"/>
  <c r="AC6249"/>
  <c r="Z6613"/>
  <c r="Z6612"/>
  <c r="Z6611" s="1"/>
  <c r="CM199" i="1037"/>
  <c r="CO241"/>
  <c r="CM241"/>
  <c r="CM249"/>
  <c r="W4447" i="967"/>
  <c r="W4131" s="1"/>
  <c r="W4130" s="1"/>
  <c r="AC166" i="1037"/>
  <c r="AD166"/>
  <c r="AA166"/>
  <c r="AB166"/>
  <c r="BC257"/>
  <c r="DU257"/>
  <c r="DT257"/>
  <c r="BX193"/>
  <c r="BY193" s="1"/>
  <c r="EQ193" s="1"/>
  <c r="ET257"/>
  <c r="AE166"/>
  <c r="CN257"/>
  <c r="W4160" i="967"/>
  <c r="W4567"/>
  <c r="W4158"/>
  <c r="AC4149"/>
  <c r="AO212" i="1037"/>
  <c r="AP212"/>
  <c r="AQ209"/>
  <c r="BX197"/>
  <c r="BY197" s="1"/>
  <c r="BV197"/>
  <c r="BW197" s="1"/>
  <c r="AT245"/>
  <c r="AU245" s="1"/>
  <c r="AG245"/>
  <c r="Y245" s="1"/>
  <c r="AO261"/>
  <c r="AP261"/>
  <c r="AM261"/>
  <c r="CH257"/>
  <c r="CF257" s="1"/>
  <c r="CF261"/>
  <c r="CG261" s="1"/>
  <c r="CP214"/>
  <c r="CQ216"/>
  <c r="CP218"/>
  <c r="CM218" s="1"/>
  <c r="CO220"/>
  <c r="CP220"/>
  <c r="CQ265"/>
  <c r="CM265" s="1"/>
  <c r="W4455" i="967"/>
  <c r="AC4157"/>
  <c r="AC4666"/>
  <c r="CM267" i="1037"/>
  <c r="AM209"/>
  <c r="AN209" s="1"/>
  <c r="DI209" s="1"/>
  <c r="AO209"/>
  <c r="AC4131" i="967"/>
  <c r="AC4130" s="1"/>
  <c r="AC4397"/>
  <c r="AC4395" s="1"/>
  <c r="X6212"/>
  <c r="Z6212" s="1"/>
  <c r="BH241" i="1037"/>
  <c r="DM241" s="1"/>
  <c r="AC4163" i="967"/>
  <c r="AC4227"/>
  <c r="AA6211"/>
  <c r="AC6211" s="1"/>
  <c r="AC4364"/>
  <c r="AC4196"/>
  <c r="AN261" i="1037"/>
  <c r="EP193"/>
  <c r="BN209"/>
  <c r="EU209"/>
  <c r="BU209"/>
  <c r="CJ209"/>
  <c r="EV209"/>
  <c r="AO193"/>
  <c r="EJ193"/>
  <c r="Y197"/>
  <c r="Z197" s="1"/>
  <c r="BI193"/>
  <c r="BJ193" s="1"/>
  <c r="EO193" s="1"/>
  <c r="EU193"/>
  <c r="EN241"/>
  <c r="BJ241"/>
  <c r="EO241"/>
  <c r="W4288" i="967"/>
  <c r="W4279"/>
  <c r="W4286"/>
  <c r="W4285"/>
  <c r="W4282"/>
  <c r="W4281"/>
  <c r="W4283"/>
  <c r="W4289"/>
  <c r="DN241" i="1037"/>
  <c r="BW241"/>
  <c r="DO241"/>
  <c r="AP193"/>
  <c r="EK193"/>
  <c r="DX209"/>
  <c r="BO209"/>
  <c r="DY209" s="1"/>
  <c r="AC4283" i="967"/>
  <c r="AC4286"/>
  <c r="AC4284"/>
  <c r="AC4288"/>
  <c r="AC4292"/>
  <c r="AC4280"/>
  <c r="AC4261"/>
  <c r="AC4271"/>
  <c r="AC4281"/>
  <c r="AC4289"/>
  <c r="AC4285"/>
  <c r="AC4282"/>
  <c r="AC4263"/>
  <c r="AC4262" s="1"/>
  <c r="AC4287"/>
  <c r="AC4279"/>
  <c r="AC4161"/>
  <c r="CO197" i="1037"/>
  <c r="X6211" i="967"/>
  <c r="Z6211" s="1"/>
  <c r="EJ209" i="1037"/>
  <c r="AP209"/>
  <c r="EK209"/>
  <c r="Z8646" i="967"/>
  <c r="W8646"/>
  <c r="W8647"/>
  <c r="W8650" s="1"/>
  <c r="AC8472"/>
  <c r="V8472"/>
  <c r="W8472"/>
  <c r="AA8469"/>
  <c r="AC8469"/>
  <c r="AL8491"/>
  <c r="AC8430"/>
  <c r="AA8361"/>
  <c r="Z8485"/>
  <c r="V8459"/>
  <c r="W8459"/>
  <c r="AA8459"/>
  <c r="AC8459"/>
  <c r="AC8485"/>
  <c r="V8362"/>
  <c r="V8361" s="1"/>
  <c r="AB8362"/>
  <c r="AB8361" s="1"/>
  <c r="AB8476" s="1"/>
  <c r="AF8065"/>
  <c r="AF8064"/>
  <c r="AF8190" s="1"/>
  <c r="AF8204" s="1"/>
  <c r="AF8205" s="1"/>
  <c r="Z8065"/>
  <c r="Z8064" s="1"/>
  <c r="Z8190" s="1"/>
  <c r="Z8204" s="1"/>
  <c r="Z8205" s="1"/>
  <c r="W8065"/>
  <c r="W8064"/>
  <c r="T8065"/>
  <c r="T8064"/>
  <c r="AC8064"/>
  <c r="Z8647"/>
  <c r="Z8650" s="1"/>
  <c r="V8469"/>
  <c r="W8469" s="1"/>
  <c r="AA8476"/>
  <c r="AA8477" s="1"/>
  <c r="W8362"/>
  <c r="Z8363"/>
  <c r="X8362"/>
  <c r="X8361"/>
  <c r="AC8363"/>
  <c r="Z8362"/>
  <c r="BF41" i="1002"/>
  <c r="F111"/>
  <c r="AP25" i="1045"/>
  <c r="AP93"/>
  <c r="AP28"/>
  <c r="F43" i="1042"/>
  <c r="AP29" i="1045"/>
  <c r="AP40"/>
  <c r="AP41"/>
  <c r="AP57"/>
  <c r="AP35"/>
  <c r="AP148" i="1013"/>
  <c r="AP80"/>
  <c r="F33" i="1043"/>
  <c r="AP93" i="1013"/>
  <c r="AP109"/>
  <c r="AP115"/>
  <c r="F8" i="1043"/>
  <c r="AP40" i="1046"/>
  <c r="AP109"/>
  <c r="AP34"/>
  <c r="AP35"/>
  <c r="BD18" i="1063" a="1"/>
  <c r="AP49" i="1046"/>
  <c r="AP99"/>
  <c r="AP21"/>
  <c r="BS18" i="1063" a="1"/>
  <c r="CH18" a="1"/>
  <c r="BP18" a="1"/>
  <c r="CE18" a="1"/>
  <c r="AP57" i="1046"/>
  <c r="AP80"/>
  <c r="AP37"/>
  <c r="AP31"/>
  <c r="AP93"/>
  <c r="BA18" i="1063" a="1"/>
  <c r="AP20" i="1046"/>
  <c r="AP22"/>
  <c r="AP23"/>
  <c r="AP25"/>
  <c r="AP55"/>
  <c r="AP41"/>
  <c r="AP43"/>
  <c r="CH18" i="1064" a="1"/>
  <c r="AP23" i="1045"/>
  <c r="F9" i="1043"/>
  <c r="F13" i="1042"/>
  <c r="F11"/>
  <c r="BA18" i="1064" a="1"/>
  <c r="BS18" a="1"/>
  <c r="CE18" a="1"/>
  <c r="BD18" a="1"/>
  <c r="BP18" a="1"/>
  <c r="AP28" i="1046"/>
  <c r="AP29"/>
  <c r="AP125" i="1013"/>
  <c r="AP128"/>
  <c r="AP135"/>
  <c r="F42" i="1042"/>
  <c r="F12"/>
  <c r="F9"/>
  <c r="F3"/>
  <c r="C1" s="1"/>
  <c r="F40"/>
  <c r="F5"/>
  <c r="F8"/>
  <c r="F7"/>
  <c r="F15"/>
  <c r="AP17" i="1013"/>
  <c r="AP19" i="1046"/>
  <c r="AP19" i="1045"/>
  <c r="AP16" i="1046"/>
  <c r="AP16" i="1045"/>
  <c r="AP132" i="1013"/>
  <c r="AP136"/>
  <c r="AP133"/>
  <c r="AP83" i="1044"/>
  <c r="AP50"/>
  <c r="AP84"/>
  <c r="AP104"/>
  <c r="AP53"/>
  <c r="AP92"/>
  <c r="AP46"/>
  <c r="AP54"/>
  <c r="AP109"/>
  <c r="AP71"/>
  <c r="AP19"/>
  <c r="AP85"/>
  <c r="AP100"/>
  <c r="AP113"/>
  <c r="AP102"/>
  <c r="AP91"/>
  <c r="AP101"/>
  <c r="AP98"/>
  <c r="AP103"/>
  <c r="AP49"/>
  <c r="AP65"/>
  <c r="AP90"/>
  <c r="AP20"/>
  <c r="AP94"/>
  <c r="AP96"/>
  <c r="AP112"/>
  <c r="AP105"/>
  <c r="AP110"/>
  <c r="AP107"/>
  <c r="AP74"/>
  <c r="AP52"/>
  <c r="AP106"/>
  <c r="AP47"/>
  <c r="AP59"/>
  <c r="AP82"/>
  <c r="AP97"/>
  <c r="AP77"/>
  <c r="AP21"/>
  <c r="AP93"/>
  <c r="AP81"/>
  <c r="AP48"/>
  <c r="AP95"/>
  <c r="AP51"/>
  <c r="AP108"/>
  <c r="AP111"/>
  <c r="DV18" i="1064"/>
  <c r="F13" i="1043"/>
  <c r="F39" i="1042"/>
  <c r="F31"/>
  <c r="C29" s="1"/>
  <c r="F34"/>
  <c r="F11" i="1043"/>
  <c r="F15"/>
  <c r="F37" i="1042"/>
  <c r="F32"/>
  <c r="F14"/>
  <c r="F33"/>
  <c r="F6"/>
  <c r="F10"/>
  <c r="F4" i="1043"/>
  <c r="F3"/>
  <c r="C1" s="1"/>
  <c r="F41" i="1042"/>
  <c r="BF28" i="1002"/>
  <c r="L31" i="1042"/>
  <c r="J31"/>
  <c r="BA31" s="1"/>
  <c r="F35"/>
  <c r="F12" i="1043"/>
  <c r="F10"/>
  <c r="F5"/>
  <c r="F38" i="1042"/>
  <c r="F14" i="1043"/>
  <c r="F42"/>
  <c r="F36"/>
  <c r="L31"/>
  <c r="J31" s="1"/>
  <c r="F95" i="1002"/>
  <c r="F40" i="1043"/>
  <c r="F37"/>
  <c r="F35"/>
  <c r="F39"/>
  <c r="F32"/>
  <c r="F38"/>
  <c r="F31"/>
  <c r="C29"/>
  <c r="F34"/>
  <c r="F41"/>
  <c r="AL18" i="1064"/>
  <c r="AJ18" s="1"/>
  <c r="BP18"/>
  <c r="BO18" s="1"/>
  <c r="EE18"/>
  <c r="DH18" i="1062"/>
  <c r="DW18" i="1065"/>
  <c r="AP18" i="1061"/>
  <c r="AN18"/>
  <c r="AS18"/>
  <c r="AR18"/>
  <c r="AV18"/>
  <c r="AT18"/>
  <c r="AC9545" i="967"/>
  <c r="T9545"/>
  <c r="Z11215"/>
  <c r="Z11209"/>
  <c r="W11215"/>
  <c r="W11209"/>
  <c r="W10868"/>
  <c r="AC10858"/>
  <c r="AC10855"/>
  <c r="V10855"/>
  <c r="W10855" s="1"/>
  <c r="AC10853"/>
  <c r="AC10850"/>
  <c r="DR18" i="1065"/>
  <c r="BP18" i="1063"/>
  <c r="BM18"/>
  <c r="BP18" i="1065"/>
  <c r="DG20" i="1056"/>
  <c r="AC10849" i="967"/>
  <c r="AC10867"/>
  <c r="Z10866"/>
  <c r="W10867"/>
  <c r="Z10867"/>
  <c r="AC10866"/>
  <c r="W11226"/>
  <c r="BF54" i="1002"/>
  <c r="BF33"/>
  <c r="BF45"/>
  <c r="F83"/>
  <c r="F26"/>
  <c r="F56"/>
  <c r="F54"/>
  <c r="BF53"/>
  <c r="BF21"/>
  <c r="F104"/>
  <c r="F39" i="1001"/>
  <c r="AM240" i="949"/>
  <c r="AP782" i="942"/>
  <c r="DT18" i="995"/>
  <c r="EB18"/>
  <c r="EF18"/>
  <c r="AV18" i="993"/>
  <c r="AT18" s="1"/>
  <c r="AP493" i="950"/>
  <c r="AP320" i="949"/>
  <c r="AP326"/>
  <c r="AP566" i="948"/>
  <c r="AP592"/>
  <c r="AP664"/>
  <c r="AP782" i="944"/>
  <c r="AP794"/>
  <c r="AP750" i="942"/>
  <c r="AP762"/>
  <c r="DP18" i="994"/>
  <c r="AP147" i="950"/>
  <c r="AP81"/>
  <c r="AP147" i="949"/>
  <c r="AP81"/>
  <c r="AP155"/>
  <c r="AP89"/>
  <c r="AP151"/>
  <c r="AP85"/>
  <c r="AP467"/>
  <c r="AP493"/>
  <c r="AP346"/>
  <c r="AP486"/>
  <c r="AP589"/>
  <c r="AP708"/>
  <c r="AP313" i="948"/>
  <c r="AP152"/>
  <c r="AP86" s="1"/>
  <c r="AP489"/>
  <c r="AP588"/>
  <c r="AP705"/>
  <c r="AP717"/>
  <c r="AP17" i="944"/>
  <c r="AP750"/>
  <c r="AP803"/>
  <c r="AP729" i="942"/>
  <c r="AP753"/>
  <c r="AP765"/>
  <c r="AV18" i="992"/>
  <c r="AT18" s="1"/>
  <c r="AM18"/>
  <c r="AL18" s="1"/>
  <c r="AP585" i="950"/>
  <c r="DZ18" i="994"/>
  <c r="AP788" i="942"/>
  <c r="AP498" i="950"/>
  <c r="AP588" i="949"/>
  <c r="AP592"/>
  <c r="AP664"/>
  <c r="AP705"/>
  <c r="AP717"/>
  <c r="AP487"/>
  <c r="AP593"/>
  <c r="AP720"/>
  <c r="AP322" i="950"/>
  <c r="AP313"/>
  <c r="AP150" i="949"/>
  <c r="AP84" s="1"/>
  <c r="AM243"/>
  <c r="AP490" i="948"/>
  <c r="AP17" i="942"/>
  <c r="AP21" i="944"/>
  <c r="AP762"/>
  <c r="ED18" i="996"/>
  <c r="DU18" i="995"/>
  <c r="AP154" i="950"/>
  <c r="AP88"/>
  <c r="AP700" i="949"/>
  <c r="AP493" i="948"/>
  <c r="AP828" i="942"/>
  <c r="AP836"/>
  <c r="AP723" i="950"/>
  <c r="AP317"/>
  <c r="AP321"/>
  <c r="AP389"/>
  <c r="AP488"/>
  <c r="AP228" i="949"/>
  <c r="AP96" s="1"/>
  <c r="AP149"/>
  <c r="AP83" s="1"/>
  <c r="AP317"/>
  <c r="AP321"/>
  <c r="AP389"/>
  <c r="AP148"/>
  <c r="AP82"/>
  <c r="AP711"/>
  <c r="AP590" i="948"/>
  <c r="AP21" i="942"/>
  <c r="AP800"/>
  <c r="DS18" i="994"/>
  <c r="DW18"/>
  <c r="EE18"/>
  <c r="AP778" i="942"/>
  <c r="AP228" i="950"/>
  <c r="AP264"/>
  <c r="AP590"/>
  <c r="AP594"/>
  <c r="AP701"/>
  <c r="AP711"/>
  <c r="AP590" i="949"/>
  <c r="AP701" i="948"/>
  <c r="AP711"/>
  <c r="AP723"/>
  <c r="EA18" i="995"/>
  <c r="EA18" i="994"/>
  <c r="AP778" i="944"/>
  <c r="AP771" i="942"/>
  <c r="DW18" i="995"/>
  <c r="AP860" i="946"/>
  <c r="AP295" i="949"/>
  <c r="AP152"/>
  <c r="AP86" s="1"/>
  <c r="AP313"/>
  <c r="AP158"/>
  <c r="AP92"/>
  <c r="AP490"/>
  <c r="AP566"/>
  <c r="AP494"/>
  <c r="AF161" i="1037"/>
  <c r="AM237" i="949"/>
  <c r="AM229" i="948"/>
  <c r="AP586"/>
  <c r="AP492" i="950"/>
  <c r="AP586"/>
  <c r="AP319" i="949"/>
  <c r="AP315" i="948"/>
  <c r="AP319" i="950"/>
  <c r="AP127" i="949"/>
  <c r="AP61"/>
  <c r="AP314"/>
  <c r="AP236"/>
  <c r="AP104" s="1"/>
  <c r="AP318"/>
  <c r="AP153"/>
  <c r="AP87"/>
  <c r="AP354"/>
  <c r="AP491"/>
  <c r="AP145"/>
  <c r="AP79"/>
  <c r="AP585"/>
  <c r="AP495"/>
  <c r="AP322"/>
  <c r="AP337"/>
  <c r="AP280" i="950"/>
  <c r="AM242"/>
  <c r="AM235" i="949"/>
  <c r="AP334"/>
  <c r="AM241" i="948"/>
  <c r="P38" i="939"/>
  <c r="AP323" i="949"/>
  <c r="AP377"/>
  <c r="AP319" i="948"/>
  <c r="AP146"/>
  <c r="AP80" s="1"/>
  <c r="AP323"/>
  <c r="AP297" i="949"/>
  <c r="AP51"/>
  <c r="AP54"/>
  <c r="AP55"/>
  <c r="AP47"/>
  <c r="AP129"/>
  <c r="AP63" s="1"/>
  <c r="AP137"/>
  <c r="AP71" s="1"/>
  <c r="AP339"/>
  <c r="F37" i="939"/>
  <c r="F31"/>
  <c r="C29" s="1"/>
  <c r="AP280" i="948"/>
  <c r="AM235"/>
  <c r="AM243"/>
  <c r="AP774" i="944"/>
  <c r="AP803" i="941"/>
  <c r="AP836"/>
  <c r="AP778"/>
  <c r="AP828"/>
  <c r="AP749"/>
  <c r="AP777"/>
  <c r="AM240" i="950"/>
  <c r="AM238"/>
  <c r="AM239"/>
  <c r="AM233"/>
  <c r="AM243"/>
  <c r="AM232"/>
  <c r="AM230"/>
  <c r="AM237"/>
  <c r="AM229"/>
  <c r="AM231"/>
  <c r="AP749" i="943"/>
  <c r="AP17"/>
  <c r="AP854"/>
  <c r="AP151" i="950"/>
  <c r="AP85"/>
  <c r="AP28"/>
  <c r="AP57" i="944"/>
  <c r="AM242" i="948"/>
  <c r="AM239"/>
  <c r="AM231"/>
  <c r="AM234"/>
  <c r="AP228"/>
  <c r="AP96"/>
  <c r="AM237"/>
  <c r="AP59" i="942"/>
  <c r="AM238" i="948"/>
  <c r="AM230"/>
  <c r="AM232"/>
  <c r="AP836" i="943"/>
  <c r="AP762"/>
  <c r="AP778"/>
  <c r="AP828"/>
  <c r="AP779"/>
  <c r="AP791"/>
  <c r="AP803"/>
  <c r="AP774"/>
  <c r="AP860" i="947"/>
  <c r="DX18" i="996"/>
  <c r="DT18"/>
  <c r="DP18"/>
  <c r="EF18"/>
  <c r="CI18"/>
  <c r="AP18" i="993"/>
  <c r="AN18" s="1"/>
  <c r="AL10600" i="967"/>
  <c r="AM18" i="991"/>
  <c r="AL18"/>
  <c r="AR40" i="938"/>
  <c r="L70"/>
  <c r="F70"/>
  <c r="F63"/>
  <c r="AP59" i="950"/>
  <c r="AP50"/>
  <c r="AP54"/>
  <c r="AP315"/>
  <c r="AP150"/>
  <c r="AP84"/>
  <c r="AP46"/>
  <c r="AP566"/>
  <c r="AP146"/>
  <c r="AP80"/>
  <c r="AP152"/>
  <c r="AP86"/>
  <c r="AP326"/>
  <c r="AP28" i="944"/>
  <c r="AP354" i="950"/>
  <c r="AP316"/>
  <c r="AP56" i="944"/>
  <c r="AP53" i="943"/>
  <c r="AP59" i="949"/>
  <c r="AP54" i="942"/>
  <c r="AP53" i="948"/>
  <c r="AP53" i="942"/>
  <c r="AP150" i="948"/>
  <c r="AP84"/>
  <c r="AP59"/>
  <c r="AP320"/>
  <c r="AP46"/>
  <c r="AP57" i="942"/>
  <c r="AP149" i="948"/>
  <c r="AP83"/>
  <c r="AP487"/>
  <c r="AP56" i="942"/>
  <c r="AP492" i="948"/>
  <c r="AP147"/>
  <c r="AP81" s="1"/>
  <c r="AP593"/>
  <c r="AP494"/>
  <c r="AP54"/>
  <c r="AP565"/>
  <c r="AP729" i="943"/>
  <c r="AP21"/>
  <c r="AP777"/>
  <c r="AP860" i="945"/>
  <c r="DW18" i="996"/>
  <c r="EA18"/>
  <c r="CN18"/>
  <c r="CN18" i="995"/>
  <c r="DZ18"/>
  <c r="ED18"/>
  <c r="DR18"/>
  <c r="DV18"/>
  <c r="CI18" i="994"/>
  <c r="DV18"/>
  <c r="AQ18"/>
  <c r="DU18"/>
  <c r="DY18"/>
  <c r="EC18"/>
  <c r="EG18"/>
  <c r="CQ18"/>
  <c r="AM18" i="993"/>
  <c r="AL18" s="1"/>
  <c r="AY18" i="991"/>
  <c r="AX18" s="1"/>
  <c r="F71" i="939"/>
  <c r="P68"/>
  <c r="P64"/>
  <c r="P60"/>
  <c r="F4" i="938"/>
  <c r="L61"/>
  <c r="AR63"/>
  <c r="L65"/>
  <c r="L69"/>
  <c r="AR71"/>
  <c r="AR37"/>
  <c r="AR41"/>
  <c r="F31"/>
  <c r="C29" s="1"/>
  <c r="F32"/>
  <c r="CO18" i="994"/>
  <c r="AP788" i="944"/>
  <c r="AP47"/>
  <c r="AP46"/>
  <c r="AP54"/>
  <c r="AP58"/>
  <c r="AP797" i="943"/>
  <c r="AP768"/>
  <c r="AP47"/>
  <c r="AP51"/>
  <c r="AP55"/>
  <c r="AP59"/>
  <c r="AP49"/>
  <c r="AP28"/>
  <c r="AP58" i="942"/>
  <c r="AP50"/>
  <c r="AP28"/>
  <c r="AP46"/>
  <c r="AP379" i="950"/>
  <c r="AP375"/>
  <c r="AP55" i="944"/>
  <c r="AP54" i="941"/>
  <c r="BT18" i="995"/>
  <c r="CN18" i="994"/>
  <c r="BT18"/>
  <c r="DR18"/>
  <c r="ED18"/>
  <c r="AP26" i="941"/>
  <c r="AP807"/>
  <c r="AP831"/>
  <c r="AP775"/>
  <c r="AP864" i="1088"/>
  <c r="AP52" i="944"/>
  <c r="AP700"/>
  <c r="AP785"/>
  <c r="AP797"/>
  <c r="AP756"/>
  <c r="AP768"/>
  <c r="AP30" i="943"/>
  <c r="AP48"/>
  <c r="AP52"/>
  <c r="AP56"/>
  <c r="AP700"/>
  <c r="AP729" i="941"/>
  <c r="AP734"/>
  <c r="AP822"/>
  <c r="AP830"/>
  <c r="AP834"/>
  <c r="AP838"/>
  <c r="AP842"/>
  <c r="AP854"/>
  <c r="AP38" i="943"/>
  <c r="AP57"/>
  <c r="AP701"/>
  <c r="AP20" i="941"/>
  <c r="AP46" i="943"/>
  <c r="AP50"/>
  <c r="AP54"/>
  <c r="AP58"/>
  <c r="AP777" i="942"/>
  <c r="AP829" i="941"/>
  <c r="AP700" i="942"/>
  <c r="AP38" i="944"/>
  <c r="AP53" i="950"/>
  <c r="AP589"/>
  <c r="AP593"/>
  <c r="AP700"/>
  <c r="AP708"/>
  <c r="AP49"/>
  <c r="AP149"/>
  <c r="AP83" s="1"/>
  <c r="AP47"/>
  <c r="AP51"/>
  <c r="AP55"/>
  <c r="AP487"/>
  <c r="AP491"/>
  <c r="AP701" i="944"/>
  <c r="AP49"/>
  <c r="AP53"/>
  <c r="AP227" i="949"/>
  <c r="AP263" s="1"/>
  <c r="AP57" i="948"/>
  <c r="AP585"/>
  <c r="AP589"/>
  <c r="AP700"/>
  <c r="AP708"/>
  <c r="AP720"/>
  <c r="AP495"/>
  <c r="AP49"/>
  <c r="AP47"/>
  <c r="AP51"/>
  <c r="AP55"/>
  <c r="AP354"/>
  <c r="AP236"/>
  <c r="AP104" s="1"/>
  <c r="AP491"/>
  <c r="AP227"/>
  <c r="AP263"/>
  <c r="CQ18" i="995"/>
  <c r="CK18"/>
  <c r="AP859" i="1088"/>
  <c r="AP863"/>
  <c r="AP15" i="941"/>
  <c r="AP21"/>
  <c r="AP25"/>
  <c r="AP841"/>
  <c r="AP24"/>
  <c r="AP738"/>
  <c r="AP742"/>
  <c r="AP746"/>
  <c r="AP819"/>
  <c r="AP833"/>
  <c r="AP837"/>
  <c r="AP16"/>
  <c r="AP22"/>
  <c r="AP730"/>
  <c r="AP748"/>
  <c r="AP825"/>
  <c r="AP835"/>
  <c r="AP839"/>
  <c r="AP843"/>
  <c r="AP857" i="1088"/>
  <c r="AP861"/>
  <c r="AP858"/>
  <c r="AP862"/>
  <c r="AP840" i="941"/>
  <c r="AP23"/>
  <c r="AP813"/>
  <c r="AP832"/>
  <c r="AP844"/>
  <c r="AP466" i="950"/>
  <c r="AP565"/>
  <c r="AP334"/>
  <c r="AP48" i="944"/>
  <c r="AP57" i="949"/>
  <c r="AP50"/>
  <c r="AP565"/>
  <c r="AP46"/>
  <c r="AP52"/>
  <c r="AP56"/>
  <c r="AP49"/>
  <c r="AP466" i="948"/>
  <c r="AP377"/>
  <c r="CP18" i="995"/>
  <c r="CI18"/>
  <c r="AL10601" i="967"/>
  <c r="AL10599"/>
  <c r="AP856" i="1088"/>
  <c r="AP855" i="946"/>
  <c r="AP748" i="943"/>
  <c r="AP748" i="942"/>
  <c r="AP768"/>
  <c r="AP797"/>
  <c r="AP305" i="950"/>
  <c r="AP38"/>
  <c r="AP145"/>
  <c r="AP79"/>
  <c r="AP495"/>
  <c r="AP314"/>
  <c r="AP153"/>
  <c r="AP87"/>
  <c r="AP127"/>
  <c r="AP61"/>
  <c r="AP48"/>
  <c r="AP52"/>
  <c r="AP318"/>
  <c r="AP236"/>
  <c r="AP104" s="1"/>
  <c r="AP30" i="949"/>
  <c r="AP305"/>
  <c r="AP38"/>
  <c r="AP488"/>
  <c r="AP53"/>
  <c r="AP48"/>
  <c r="AP305" i="948"/>
  <c r="AP318"/>
  <c r="AP145"/>
  <c r="AP79" s="1"/>
  <c r="AP153"/>
  <c r="AP87" s="1"/>
  <c r="AP127"/>
  <c r="AP61" s="1"/>
  <c r="AP295"/>
  <c r="AP321"/>
  <c r="AP52"/>
  <c r="AP314"/>
  <c r="AP322"/>
  <c r="AP371"/>
  <c r="AP337"/>
  <c r="DH18" i="992"/>
  <c r="DI18"/>
  <c r="AW18" i="993"/>
  <c r="AX18"/>
  <c r="DO18"/>
  <c r="DN18"/>
  <c r="DN18" i="991"/>
  <c r="AY18" i="992"/>
  <c r="AX18" s="1"/>
  <c r="DM18" i="991"/>
  <c r="AP747" i="942"/>
  <c r="AP264" i="949"/>
  <c r="AP374"/>
  <c r="AP343"/>
  <c r="DL18" i="993"/>
  <c r="DM18"/>
  <c r="DK18"/>
  <c r="DI18"/>
  <c r="AS18"/>
  <c r="AQ18"/>
  <c r="DL18" i="992"/>
  <c r="DM18"/>
  <c r="DJ18"/>
  <c r="DK18"/>
  <c r="DN18"/>
  <c r="DH18" i="991"/>
  <c r="DI18"/>
  <c r="DP18"/>
  <c r="DQ18"/>
  <c r="AP18"/>
  <c r="AN18" s="1"/>
  <c r="AU18"/>
  <c r="AP333" i="950"/>
  <c r="AP337"/>
  <c r="AP340"/>
  <c r="AP376"/>
  <c r="AP372"/>
  <c r="AP344" i="949"/>
  <c r="AP371"/>
  <c r="AP375"/>
  <c r="AP340"/>
  <c r="AP380" i="948"/>
  <c r="F10" i="939"/>
  <c r="P69"/>
  <c r="F69"/>
  <c r="F70"/>
  <c r="F65"/>
  <c r="P65"/>
  <c r="P61"/>
  <c r="F71" i="938"/>
  <c r="F67"/>
  <c r="F59"/>
  <c r="C57" s="1"/>
  <c r="F64"/>
  <c r="F66"/>
  <c r="F68"/>
  <c r="F61"/>
  <c r="F69"/>
  <c r="AR32"/>
  <c r="AR35"/>
  <c r="AR36"/>
  <c r="AR62"/>
  <c r="L64"/>
  <c r="L68"/>
  <c r="F62"/>
  <c r="F60"/>
  <c r="F15"/>
  <c r="F33"/>
  <c r="F39"/>
  <c r="F43"/>
  <c r="F34"/>
  <c r="F42"/>
  <c r="F37"/>
  <c r="F36"/>
  <c r="F40"/>
  <c r="F35"/>
  <c r="F38"/>
  <c r="AR39"/>
  <c r="AR42"/>
  <c r="AR43"/>
  <c r="AP805" i="944"/>
  <c r="AP804" s="1"/>
  <c r="AP15" i="943"/>
  <c r="AP785"/>
  <c r="AP756" i="942"/>
  <c r="AP335" i="950"/>
  <c r="AP331"/>
  <c r="AP370"/>
  <c r="AP372" i="949"/>
  <c r="AP374" i="948"/>
  <c r="AP336"/>
  <c r="AP341"/>
  <c r="AP343"/>
  <c r="AU18" i="993"/>
  <c r="AP18" i="992"/>
  <c r="AO18"/>
  <c r="AS18" i="991"/>
  <c r="AR18"/>
  <c r="AJ411" i="1037"/>
  <c r="AP374" i="950"/>
  <c r="AP344"/>
  <c r="AP96"/>
  <c r="AP369"/>
  <c r="AP272" i="949"/>
  <c r="AM229"/>
  <c r="AM234"/>
  <c r="AM239"/>
  <c r="AP370"/>
  <c r="AM232"/>
  <c r="AM230"/>
  <c r="AM231"/>
  <c r="AP333"/>
  <c r="AP368"/>
  <c r="AM238"/>
  <c r="AM242"/>
  <c r="AP342" i="948"/>
  <c r="AP367"/>
  <c r="AP331"/>
  <c r="AP378"/>
  <c r="R59" i="939"/>
  <c r="P59" s="1"/>
  <c r="P57" s="1"/>
  <c r="P31"/>
  <c r="F35"/>
  <c r="F42"/>
  <c r="F4"/>
  <c r="P70"/>
  <c r="P66"/>
  <c r="P71"/>
  <c r="P67"/>
  <c r="P63"/>
  <c r="P40"/>
  <c r="F8"/>
  <c r="BF5"/>
  <c r="BF6"/>
  <c r="BF12"/>
  <c r="BF14"/>
  <c r="BF9"/>
  <c r="BF13"/>
  <c r="BF4"/>
  <c r="BF15"/>
  <c r="BF11"/>
  <c r="BF10"/>
  <c r="BF7"/>
  <c r="BF8"/>
  <c r="F59"/>
  <c r="C57" s="1"/>
  <c r="F63"/>
  <c r="F40"/>
  <c r="F13"/>
  <c r="F6"/>
  <c r="F12"/>
  <c r="F64"/>
  <c r="F36"/>
  <c r="F9"/>
  <c r="F67"/>
  <c r="F62"/>
  <c r="F38"/>
  <c r="F41"/>
  <c r="P62"/>
  <c r="F61"/>
  <c r="F60"/>
  <c r="F5"/>
  <c r="F14"/>
  <c r="F66"/>
  <c r="F33"/>
  <c r="F43"/>
  <c r="F32"/>
  <c r="F34"/>
  <c r="F7"/>
  <c r="F11"/>
  <c r="F15"/>
  <c r="F11" i="938"/>
  <c r="F5"/>
  <c r="F7"/>
  <c r="F6"/>
  <c r="F13"/>
  <c r="F3"/>
  <c r="C1" s="1"/>
  <c r="AR66"/>
  <c r="AR70"/>
  <c r="F14"/>
  <c r="F8"/>
  <c r="F9"/>
  <c r="F12"/>
  <c r="T31"/>
  <c r="L31"/>
  <c r="AW31"/>
  <c r="AR34"/>
  <c r="AR38"/>
  <c r="L62"/>
  <c r="L66"/>
  <c r="L67"/>
  <c r="AR67"/>
  <c r="AR69"/>
  <c r="AR33"/>
  <c r="AR31"/>
  <c r="AP31" s="1"/>
  <c r="N59"/>
  <c r="N57" s="1"/>
  <c r="AR60"/>
  <c r="AR61"/>
  <c r="AT59"/>
  <c r="AT57" s="1"/>
  <c r="L63"/>
  <c r="AR64"/>
  <c r="AR65"/>
  <c r="AR68"/>
  <c r="L71"/>
  <c r="BB31"/>
  <c r="AW59"/>
  <c r="AW57" s="1"/>
  <c r="L32"/>
  <c r="L60"/>
  <c r="T59"/>
  <c r="T57" s="1"/>
  <c r="BB59"/>
  <c r="BB57" s="1"/>
  <c r="AP855" i="945"/>
  <c r="AP15" i="944"/>
  <c r="AC3870" i="967"/>
  <c r="AP805" i="943"/>
  <c r="AP804"/>
  <c r="AP756"/>
  <c r="AP15" i="942"/>
  <c r="AP774"/>
  <c r="AP776"/>
  <c r="AP805"/>
  <c r="AP804"/>
  <c r="AP785"/>
  <c r="AP125" i="950"/>
  <c r="AP125" i="949"/>
  <c r="AP112"/>
  <c r="AP340" i="948"/>
  <c r="AP376"/>
  <c r="AP125"/>
  <c r="DJ18" i="993"/>
  <c r="DH18"/>
  <c r="DO18" i="992"/>
  <c r="AS18"/>
  <c r="AQ18"/>
  <c r="AK18"/>
  <c r="AU18"/>
  <c r="BZ3" i="939"/>
  <c r="CH31"/>
  <c r="AP776" i="944"/>
  <c r="AP776" i="943"/>
  <c r="AP774" i="941"/>
  <c r="AV18" i="996"/>
  <c r="AS18" s="1"/>
  <c r="AV18" i="995"/>
  <c r="AS18" s="1"/>
  <c r="AP860" i="1088"/>
  <c r="AP57" i="950"/>
  <c r="AP95" i="949"/>
  <c r="AP56" i="941"/>
  <c r="AP264" i="948"/>
  <c r="AP57" i="941"/>
  <c r="AP272" i="948"/>
  <c r="AP56"/>
  <c r="AP51" i="944"/>
  <c r="AP776" i="941"/>
  <c r="AP747" i="943"/>
  <c r="AP17" i="941"/>
  <c r="AP49" i="942"/>
  <c r="AP855" i="1088"/>
  <c r="CK18" i="996"/>
  <c r="BE18" i="995"/>
  <c r="AM18" i="994"/>
  <c r="AP18"/>
  <c r="AO18"/>
  <c r="CP18"/>
  <c r="AO18" i="993"/>
  <c r="AK18" i="991"/>
  <c r="R57" i="939"/>
  <c r="AP59" i="944"/>
  <c r="AP50"/>
  <c r="AP52" i="941"/>
  <c r="AP59"/>
  <c r="AP56" i="950"/>
  <c r="AP27" i="949"/>
  <c r="AP48" i="948"/>
  <c r="AP38" i="941"/>
  <c r="AP52" i="942"/>
  <c r="AP747" i="941"/>
  <c r="AP747" i="944"/>
  <c r="AP58" i="941"/>
  <c r="AP28"/>
  <c r="AP855" i="947"/>
  <c r="BS18" i="996" a="1"/>
  <c r="BS18" s="1"/>
  <c r="BP18" a="1"/>
  <c r="BP18" s="1"/>
  <c r="CE18" a="1"/>
  <c r="CE18" s="1"/>
  <c r="BD18" a="1"/>
  <c r="BD18" s="1"/>
  <c r="CH18" a="1"/>
  <c r="CH18"/>
  <c r="BA18" a="1"/>
  <c r="BA18"/>
  <c r="BS18" i="995" a="1"/>
  <c r="BS18"/>
  <c r="BD18" a="1"/>
  <c r="BD18"/>
  <c r="BC18" s="1"/>
  <c r="BP18" a="1"/>
  <c r="BP18" s="1"/>
  <c r="CE18" a="1"/>
  <c r="CE18"/>
  <c r="CC18" s="1"/>
  <c r="CH18" a="1"/>
  <c r="CH18" s="1"/>
  <c r="BA18" a="1"/>
  <c r="BA18" s="1"/>
  <c r="AN18" i="994"/>
  <c r="BK18"/>
  <c r="BJ18" s="1"/>
  <c r="AV18"/>
  <c r="AR18" s="1"/>
  <c r="AK18" i="993"/>
  <c r="AW18" i="991"/>
  <c r="AU18" i="996"/>
  <c r="AP50" i="941"/>
  <c r="AP46"/>
  <c r="AP700"/>
  <c r="AP51"/>
  <c r="AP47"/>
  <c r="AP55"/>
  <c r="AP95" i="948"/>
  <c r="CO18" i="995"/>
  <c r="CP18" i="996"/>
  <c r="CQ18"/>
  <c r="AP701" i="941"/>
  <c r="AP49"/>
  <c r="AP53"/>
  <c r="AP128" i="950"/>
  <c r="AP62" s="1"/>
  <c r="AP227"/>
  <c r="AP263" s="1"/>
  <c r="AP38" i="948"/>
  <c r="BK18" i="996"/>
  <c r="AQ18"/>
  <c r="AP18" s="1"/>
  <c r="CM18" i="995"/>
  <c r="AQ18"/>
  <c r="AN18"/>
  <c r="BK18"/>
  <c r="CM18" i="994"/>
  <c r="AE18" i="993"/>
  <c r="AG18"/>
  <c r="AP29" i="949"/>
  <c r="AO18" i="991"/>
  <c r="BZ18" i="994"/>
  <c r="CK18"/>
  <c r="BE18"/>
  <c r="BE18" i="996"/>
  <c r="AP728" i="944"/>
  <c r="AP272" i="950"/>
  <c r="AP137"/>
  <c r="AP71"/>
  <c r="AP297"/>
  <c r="AP126" i="949"/>
  <c r="AP180" s="1"/>
  <c r="AP294"/>
  <c r="AP296"/>
  <c r="AP129" i="948"/>
  <c r="AP63" s="1"/>
  <c r="AP297"/>
  <c r="AP28"/>
  <c r="AP137"/>
  <c r="AP71" s="1"/>
  <c r="BZ18" i="996"/>
  <c r="BX18" s="1"/>
  <c r="CO18"/>
  <c r="BZ18" i="995"/>
  <c r="AA18" i="993"/>
  <c r="DE18"/>
  <c r="AD18"/>
  <c r="AB18"/>
  <c r="AC18"/>
  <c r="AW18" i="992"/>
  <c r="DP18"/>
  <c r="DQ18"/>
  <c r="DP18" i="993"/>
  <c r="DG18" i="991"/>
  <c r="DL18"/>
  <c r="DO18"/>
  <c r="DQ18" i="993"/>
  <c r="AR18"/>
  <c r="DG18"/>
  <c r="DF18"/>
  <c r="DF18" i="992"/>
  <c r="DG18"/>
  <c r="AN18"/>
  <c r="AC18" i="991"/>
  <c r="AB18"/>
  <c r="AE18"/>
  <c r="AG18" s="1"/>
  <c r="DE18"/>
  <c r="AD18"/>
  <c r="AQ18"/>
  <c r="AA18"/>
  <c r="DJ18"/>
  <c r="DK18"/>
  <c r="DF18"/>
  <c r="AR59" i="938"/>
  <c r="AP59"/>
  <c r="L59"/>
  <c r="AP728" i="943"/>
  <c r="AP728" i="942"/>
  <c r="AF18" i="993"/>
  <c r="AB18" i="992"/>
  <c r="AA18"/>
  <c r="AE18"/>
  <c r="AG18"/>
  <c r="AR18"/>
  <c r="AC18"/>
  <c r="DE18"/>
  <c r="AD18"/>
  <c r="Z9562" i="967"/>
  <c r="Z9564"/>
  <c r="AF9562"/>
  <c r="AF9564"/>
  <c r="W9562"/>
  <c r="W9564"/>
  <c r="W8713" s="1"/>
  <c r="AF9563"/>
  <c r="Z9565"/>
  <c r="Z9563"/>
  <c r="AF9565"/>
  <c r="W9565"/>
  <c r="W9563"/>
  <c r="AP727" i="944"/>
  <c r="AT18" i="996"/>
  <c r="AP728" i="941"/>
  <c r="AR18" i="995"/>
  <c r="AU18"/>
  <c r="AU18" i="994"/>
  <c r="AP30" i="944"/>
  <c r="CM18" i="996"/>
  <c r="AP29" i="943"/>
  <c r="AP48" i="942"/>
  <c r="AP48" i="941"/>
  <c r="AP38" i="942"/>
  <c r="CA18" i="995"/>
  <c r="CH18" i="994" a="1"/>
  <c r="CH18"/>
  <c r="BD18" a="1"/>
  <c r="BD18"/>
  <c r="BS18" a="1"/>
  <c r="BS18"/>
  <c r="BP18" a="1"/>
  <c r="BP18"/>
  <c r="CE18" a="1"/>
  <c r="CE18"/>
  <c r="BA18" a="1"/>
  <c r="BA18"/>
  <c r="AW18" s="1"/>
  <c r="BG18"/>
  <c r="BI18"/>
  <c r="AP872" i="946"/>
  <c r="AP875"/>
  <c r="AP873"/>
  <c r="AP126" i="950"/>
  <c r="BI18" i="996"/>
  <c r="BJ18"/>
  <c r="BG18"/>
  <c r="BH18"/>
  <c r="AO18"/>
  <c r="BG18" i="995"/>
  <c r="BH18"/>
  <c r="BJ18"/>
  <c r="BI18"/>
  <c r="AP18"/>
  <c r="AM18"/>
  <c r="AP875" i="945"/>
  <c r="AP873"/>
  <c r="AP873" i="947"/>
  <c r="AP875"/>
  <c r="AP872" i="945"/>
  <c r="AG18" i="994"/>
  <c r="AE18" s="1"/>
  <c r="BX18"/>
  <c r="BV18"/>
  <c r="BW18"/>
  <c r="CB9"/>
  <c r="BY18"/>
  <c r="AP296" i="950"/>
  <c r="AP294"/>
  <c r="AP30"/>
  <c r="AP162" i="949"/>
  <c r="AP183"/>
  <c r="AP60"/>
  <c r="AP160"/>
  <c r="AP182"/>
  <c r="AP187"/>
  <c r="AP170"/>
  <c r="AP188"/>
  <c r="AP296" i="948"/>
  <c r="AP294"/>
  <c r="AP128"/>
  <c r="AP62" s="1"/>
  <c r="AP30"/>
  <c r="CB9" i="996"/>
  <c r="BY18"/>
  <c r="BW18"/>
  <c r="BV18"/>
  <c r="AG18"/>
  <c r="AE18"/>
  <c r="BW18" i="995"/>
  <c r="BY18"/>
  <c r="BV18"/>
  <c r="BX18"/>
  <c r="CB9"/>
  <c r="CA9"/>
  <c r="AG18"/>
  <c r="P125" i="939"/>
  <c r="AF18" i="992"/>
  <c r="P127" i="939"/>
  <c r="CJ59" i="938"/>
  <c r="L57"/>
  <c r="AP727" i="943"/>
  <c r="AP727" i="942"/>
  <c r="O125" i="939"/>
  <c r="AB125"/>
  <c r="W125"/>
  <c r="AB127"/>
  <c r="AA127"/>
  <c r="U127"/>
  <c r="Z127"/>
  <c r="L125"/>
  <c r="Q127"/>
  <c r="Z125"/>
  <c r="W127"/>
  <c r="AA125"/>
  <c r="J125"/>
  <c r="O127"/>
  <c r="U125"/>
  <c r="J127"/>
  <c r="L127"/>
  <c r="Q125"/>
  <c r="AP29" i="944"/>
  <c r="AP27" i="943"/>
  <c r="AP853"/>
  <c r="AP27" i="948"/>
  <c r="AP30" i="941"/>
  <c r="AP30" i="942"/>
  <c r="AP727" i="941"/>
  <c r="AP47" i="947"/>
  <c r="AP872"/>
  <c r="AP50"/>
  <c r="AP49"/>
  <c r="AP57"/>
  <c r="AZ18" i="994"/>
  <c r="AX18"/>
  <c r="AP38" i="947"/>
  <c r="AP52"/>
  <c r="AP58"/>
  <c r="AP700"/>
  <c r="AP29"/>
  <c r="AP59" i="946"/>
  <c r="V127" i="938"/>
  <c r="BE127"/>
  <c r="AP28" i="946"/>
  <c r="L127" i="938"/>
  <c r="AP54" i="946"/>
  <c r="AD125" i="938"/>
  <c r="Z9571" i="967"/>
  <c r="Z9569" s="1"/>
  <c r="AP49" i="946"/>
  <c r="AP29"/>
  <c r="AP38"/>
  <c r="AP52"/>
  <c r="W10601" i="967"/>
  <c r="AF10599"/>
  <c r="W9580"/>
  <c r="W9578" s="1"/>
  <c r="S125" i="938"/>
  <c r="Y125"/>
  <c r="BC125"/>
  <c r="AP55" i="946"/>
  <c r="AP56"/>
  <c r="AP57"/>
  <c r="AP51"/>
  <c r="AP46"/>
  <c r="AP700"/>
  <c r="AP48"/>
  <c r="AP58"/>
  <c r="W9577" i="967"/>
  <c r="W9575" s="1"/>
  <c r="AF9571"/>
  <c r="S127" i="938"/>
  <c r="W9574" i="967"/>
  <c r="W9572" s="1"/>
  <c r="Q125" i="938"/>
  <c r="AR125"/>
  <c r="V125"/>
  <c r="AY125"/>
  <c r="AP701" i="946"/>
  <c r="AP50"/>
  <c r="AP30"/>
  <c r="AP53"/>
  <c r="AP47"/>
  <c r="Y127" i="938"/>
  <c r="J127"/>
  <c r="W9571" i="967"/>
  <c r="J125" i="938"/>
  <c r="W10599" i="967"/>
  <c r="AL127" i="938"/>
  <c r="BE125"/>
  <c r="AD127"/>
  <c r="W10600" i="967"/>
  <c r="AF9580"/>
  <c r="AH125" i="938"/>
  <c r="BC127"/>
  <c r="AQ125"/>
  <c r="AH127"/>
  <c r="Z10599" i="967"/>
  <c r="AF10601"/>
  <c r="Z127" i="938"/>
  <c r="AQ127"/>
  <c r="AF10600" i="967"/>
  <c r="AW127" i="938"/>
  <c r="T127"/>
  <c r="Z9574" i="967"/>
  <c r="Z9572" s="1"/>
  <c r="L125" i="938"/>
  <c r="BB125"/>
  <c r="R127"/>
  <c r="AR127"/>
  <c r="K125"/>
  <c r="AF9577" i="967"/>
  <c r="Z9577"/>
  <c r="Z10601"/>
  <c r="Z125" i="938"/>
  <c r="K127"/>
  <c r="Z9580" i="967"/>
  <c r="Z9578" s="1"/>
  <c r="AS125" i="938"/>
  <c r="R125"/>
  <c r="AP127"/>
  <c r="AS127"/>
  <c r="AP125"/>
  <c r="Z10600" i="967"/>
  <c r="BD127" i="938"/>
  <c r="M127"/>
  <c r="M125"/>
  <c r="AL125"/>
  <c r="AY127"/>
  <c r="AW125"/>
  <c r="BD125"/>
  <c r="AF9574" i="967"/>
  <c r="BB127" i="938"/>
  <c r="Q127"/>
  <c r="T125"/>
  <c r="AP46" i="947"/>
  <c r="AC9" i="994"/>
  <c r="AI18"/>
  <c r="AE9"/>
  <c r="AC18"/>
  <c r="AD18"/>
  <c r="AD9"/>
  <c r="AP27" i="950"/>
  <c r="AP29"/>
  <c r="AP184"/>
  <c r="AP181"/>
  <c r="AP180"/>
  <c r="AP162"/>
  <c r="AP60"/>
  <c r="AP160"/>
  <c r="AP188"/>
  <c r="AP170"/>
  <c r="AP183"/>
  <c r="AP179"/>
  <c r="AP187"/>
  <c r="AP178"/>
  <c r="AP191"/>
  <c r="AP182"/>
  <c r="AP185"/>
  <c r="AP186"/>
  <c r="AP126" i="948"/>
  <c r="AP184" s="1"/>
  <c r="AP29"/>
  <c r="AD18" i="996"/>
  <c r="AC18"/>
  <c r="Y18"/>
  <c r="AC9"/>
  <c r="Z18"/>
  <c r="AF9"/>
  <c r="AH18" i="995"/>
  <c r="AF18"/>
  <c r="AE9"/>
  <c r="AI18"/>
  <c r="Z18"/>
  <c r="AF9"/>
  <c r="AD9"/>
  <c r="Y18"/>
  <c r="AE18"/>
  <c r="AD18"/>
  <c r="AC9"/>
  <c r="AC18"/>
  <c r="AP825" i="946"/>
  <c r="AP839"/>
  <c r="AP835"/>
  <c r="AP26"/>
  <c r="AP53" i="947"/>
  <c r="AP30"/>
  <c r="AP701"/>
  <c r="AP56"/>
  <c r="AP853" i="944"/>
  <c r="AP27"/>
  <c r="AP27" i="947"/>
  <c r="AP59"/>
  <c r="AP29" i="942"/>
  <c r="AP29" i="941"/>
  <c r="AP54" i="947"/>
  <c r="AP49" i="1088"/>
  <c r="AP48" i="947"/>
  <c r="AP50" i="1088"/>
  <c r="AP700"/>
  <c r="AP52"/>
  <c r="AP57"/>
  <c r="AP47"/>
  <c r="AP58"/>
  <c r="AP28" i="947"/>
  <c r="AP51"/>
  <c r="AP55"/>
  <c r="AP894" i="1088"/>
  <c r="AP832" i="946"/>
  <c r="AP746"/>
  <c r="AP844"/>
  <c r="AP885" i="945"/>
  <c r="AP830" i="946"/>
  <c r="AP738"/>
  <c r="AP831"/>
  <c r="AP834"/>
  <c r="AP885" i="947"/>
  <c r="AP742" i="946"/>
  <c r="AP749"/>
  <c r="AP24"/>
  <c r="AP17"/>
  <c r="AP842"/>
  <c r="AP882" i="947"/>
  <c r="AP884"/>
  <c r="AP890" i="945"/>
  <c r="AP893" i="1088"/>
  <c r="AP833" i="946"/>
  <c r="AP23"/>
  <c r="AP884" i="945"/>
  <c r="AP27" i="946"/>
  <c r="AP20"/>
  <c r="AP843"/>
  <c r="AP778"/>
  <c r="AP747"/>
  <c r="AP730"/>
  <c r="AP841"/>
  <c r="AP776"/>
  <c r="AP892" i="1088"/>
  <c r="AP777" i="947"/>
  <c r="AP23"/>
  <c r="AP747"/>
  <c r="AP842"/>
  <c r="AP831"/>
  <c r="AP844"/>
  <c r="AP748" i="946"/>
  <c r="AP887" i="945"/>
  <c r="AP819" i="946"/>
  <c r="AP25"/>
  <c r="AP822"/>
  <c r="AP838"/>
  <c r="AP887" i="947"/>
  <c r="AP777" i="946"/>
  <c r="AP840"/>
  <c r="AP881"/>
  <c r="AP885"/>
  <c r="AP807"/>
  <c r="AP881" i="947"/>
  <c r="AP884" i="946"/>
  <c r="AP890" i="947"/>
  <c r="AP882" i="946"/>
  <c r="AP833" i="947"/>
  <c r="AP843"/>
  <c r="AP748"/>
  <c r="AP825"/>
  <c r="AP840"/>
  <c r="AP888" i="945"/>
  <c r="AP839" i="947"/>
  <c r="AP746"/>
  <c r="AP776"/>
  <c r="AP841"/>
  <c r="AP749"/>
  <c r="AP742"/>
  <c r="AP822"/>
  <c r="AP838"/>
  <c r="AP881" i="945"/>
  <c r="AP887" i="946"/>
  <c r="AP890"/>
  <c r="AP888"/>
  <c r="AP830" i="947"/>
  <c r="AP834"/>
  <c r="AP813"/>
  <c r="AP778"/>
  <c r="AP20"/>
  <c r="AP819"/>
  <c r="AP832"/>
  <c r="AP738"/>
  <c r="AP30" i="945"/>
  <c r="AP30" i="1088"/>
  <c r="AP38"/>
  <c r="AP38" i="945"/>
  <c r="AP59"/>
  <c r="AP59" i="1088"/>
  <c r="AP49" i="945"/>
  <c r="AP28"/>
  <c r="AP28" i="1088"/>
  <c r="AP701"/>
  <c r="AP701" i="945"/>
  <c r="AP51"/>
  <c r="AP51" i="1088"/>
  <c r="AP54"/>
  <c r="AP54" i="945"/>
  <c r="AP734" i="947"/>
  <c r="AP835"/>
  <c r="AP24"/>
  <c r="AP53" i="945"/>
  <c r="AP53" i="1088"/>
  <c r="AP56"/>
  <c r="AP56" i="945"/>
  <c r="AP52"/>
  <c r="AP57"/>
  <c r="AP47"/>
  <c r="AP50"/>
  <c r="AP48"/>
  <c r="AP48" i="1088"/>
  <c r="AP25" i="947"/>
  <c r="AP26"/>
  <c r="AP46" i="945"/>
  <c r="AP46" i="1088"/>
  <c r="AP700" i="945"/>
  <c r="AP55"/>
  <c r="AP55" i="1088"/>
  <c r="AP58" i="945"/>
  <c r="AP888" i="947"/>
  <c r="AP161" i="950"/>
  <c r="AP159"/>
  <c r="AP179" i="948"/>
  <c r="AP170"/>
  <c r="AP180"/>
  <c r="AP60"/>
  <c r="AP747" i="945"/>
  <c r="AP834"/>
  <c r="AP24"/>
  <c r="AP749"/>
  <c r="AP16" i="947"/>
  <c r="AP829"/>
  <c r="AP837" i="946"/>
  <c r="AP17" i="945"/>
  <c r="AP23"/>
  <c r="AP830"/>
  <c r="AP819"/>
  <c r="AP776"/>
  <c r="AP837"/>
  <c r="AP842"/>
  <c r="AP777"/>
  <c r="AP844"/>
  <c r="AP840"/>
  <c r="AP841"/>
  <c r="AP775" i="947"/>
  <c r="AP25" i="945"/>
  <c r="AP775"/>
  <c r="AP26"/>
  <c r="AP22" i="947"/>
  <c r="AP734" i="946"/>
  <c r="AP829"/>
  <c r="AP16"/>
  <c r="AP807" i="945"/>
  <c r="AP829"/>
  <c r="AP838"/>
  <c r="AP748"/>
  <c r="AP746"/>
  <c r="AP839"/>
  <c r="AP822"/>
  <c r="AP778"/>
  <c r="AP835"/>
  <c r="AP807" i="947"/>
  <c r="AP730" i="945"/>
  <c r="AP832"/>
  <c r="AP22"/>
  <c r="AP17" i="947"/>
  <c r="AP837"/>
  <c r="AP730"/>
  <c r="AP22" i="946"/>
  <c r="AP813"/>
  <c r="AP775"/>
  <c r="AP843" i="945"/>
  <c r="AP833"/>
  <c r="AP738"/>
  <c r="AP825"/>
  <c r="AP20"/>
  <c r="AP734"/>
  <c r="AP813"/>
  <c r="AP742"/>
  <c r="AP831"/>
  <c r="AP16"/>
  <c r="AP879"/>
  <c r="AP882"/>
  <c r="AP29"/>
  <c r="AP29" i="1088"/>
  <c r="AP27" i="942"/>
  <c r="AP27" i="941"/>
  <c r="AP825" i="1088"/>
  <c r="AP749"/>
  <c r="AP803" i="946"/>
  <c r="AP878" i="945"/>
  <c r="AP832" i="1088"/>
  <c r="AP828" i="946"/>
  <c r="AP854" i="947"/>
  <c r="AP15" i="946"/>
  <c r="AP836" i="947"/>
  <c r="AP836" i="946"/>
  <c r="AP774"/>
  <c r="AP877" i="947"/>
  <c r="AP878"/>
  <c r="AP854" i="946"/>
  <c r="AP879" i="947"/>
  <c r="AP879" i="946"/>
  <c r="AP734" i="1088"/>
  <c r="AP807"/>
  <c r="AP878" i="946"/>
  <c r="AP20" i="1088"/>
  <c r="AP843"/>
  <c r="AP15" i="947"/>
  <c r="AP822" i="1088"/>
  <c r="AP838"/>
  <c r="AP774" i="947"/>
  <c r="AP828"/>
  <c r="AP833" i="1088"/>
  <c r="AP26"/>
  <c r="AP819"/>
  <c r="AP730"/>
  <c r="AP835"/>
  <c r="AP841"/>
  <c r="AP844"/>
  <c r="AP16"/>
  <c r="AP742"/>
  <c r="AP839"/>
  <c r="AP748"/>
  <c r="AP813"/>
  <c r="AP746"/>
  <c r="AP25"/>
  <c r="AP877" i="946"/>
  <c r="AP877" i="945"/>
  <c r="AP21" i="947"/>
  <c r="AP803"/>
  <c r="AP777" i="1088"/>
  <c r="AP17"/>
  <c r="AP738"/>
  <c r="AP775"/>
  <c r="AP24"/>
  <c r="AP747"/>
  <c r="AP778"/>
  <c r="AP831"/>
  <c r="AP842"/>
  <c r="AP22"/>
  <c r="AP834"/>
  <c r="AP776"/>
  <c r="AP830"/>
  <c r="AP837"/>
  <c r="AP23"/>
  <c r="AP829"/>
  <c r="AP840"/>
  <c r="AP803" i="945"/>
  <c r="AP854"/>
  <c r="AP729" i="947"/>
  <c r="AP21" i="945"/>
  <c r="AP21" i="946"/>
  <c r="AP729" i="945"/>
  <c r="AP828"/>
  <c r="AP729" i="946"/>
  <c r="AP15" i="945"/>
  <c r="AP774" i="1088"/>
  <c r="AP774" i="945"/>
  <c r="AP836"/>
  <c r="AP853" i="941"/>
  <c r="AP853" i="942"/>
  <c r="AP27" i="1088"/>
  <c r="AP27" i="945"/>
  <c r="AP21" i="1088"/>
  <c r="AP836"/>
  <c r="AP828"/>
  <c r="AP15"/>
  <c r="AP803"/>
  <c r="AP729"/>
  <c r="AP854"/>
  <c r="AP728" i="947"/>
  <c r="AP728" i="945"/>
  <c r="AP728" i="946"/>
  <c r="AP728" i="1088"/>
  <c r="AP853" i="946"/>
  <c r="AP727"/>
  <c r="AP853" i="947"/>
  <c r="AP727"/>
  <c r="AP727" i="945"/>
  <c r="AP727" i="1088"/>
  <c r="AP853"/>
  <c r="AP853" i="945"/>
  <c r="AN8" i="1097"/>
  <c r="AO8" i="1006"/>
  <c r="CD3" i="939"/>
  <c r="CA3"/>
  <c r="G3" i="1064"/>
  <c r="BX59" i="939"/>
  <c r="CG59" i="938"/>
  <c r="AN15" i="991"/>
  <c r="AJ18" i="1060"/>
  <c r="AI18" s="1"/>
  <c r="CE18" i="1065"/>
  <c r="CC18" s="1"/>
  <c r="DR18" i="1063"/>
  <c r="EA18" i="1064"/>
  <c r="EG18"/>
  <c r="DW18"/>
  <c r="EB18"/>
  <c r="BD18"/>
  <c r="BB18"/>
  <c r="DS18"/>
  <c r="DR18"/>
  <c r="DX18"/>
  <c r="DT18"/>
  <c r="CH18" i="1063"/>
  <c r="CF18"/>
  <c r="AS15" i="1052"/>
  <c r="EC18" i="1063"/>
  <c r="EA18" i="1065"/>
  <c r="AO157" i="1098"/>
  <c r="AY15" i="991"/>
  <c r="DY18" i="1063"/>
  <c r="DH18" i="1060"/>
  <c r="ED18" i="1065"/>
  <c r="AS162" i="1037"/>
  <c r="BO18" i="1065"/>
  <c r="DN18" i="1060"/>
  <c r="EA18" i="1063"/>
  <c r="EF18" i="1064"/>
  <c r="CI18"/>
  <c r="BT18"/>
  <c r="CE18"/>
  <c r="CB18" s="1"/>
  <c r="EC18"/>
  <c r="DZ18"/>
  <c r="AO8" i="1094"/>
  <c r="AO8" i="1046"/>
  <c r="G3" i="991"/>
  <c r="CU59" i="939"/>
  <c r="G3" i="993"/>
  <c r="CQ3" i="939"/>
  <c r="CH59" i="938"/>
  <c r="CE31"/>
  <c r="AQ412" i="1037"/>
  <c r="Y14" i="1061"/>
  <c r="AV15" i="1058"/>
  <c r="AM15" i="991"/>
  <c r="AK15" i="992"/>
  <c r="AN15" i="1062"/>
  <c r="I3" i="1052"/>
  <c r="CF59" i="938"/>
  <c r="CB31"/>
  <c r="AN8" i="943"/>
  <c r="AC10600" i="967"/>
  <c r="I3" i="1057"/>
  <c r="BX3" i="939"/>
  <c r="BX31" i="938"/>
  <c r="I3" i="1060"/>
  <c r="AS15" i="1062"/>
  <c r="AW15"/>
  <c r="AM15" i="1056"/>
  <c r="AV162" i="1037"/>
  <c r="AH14" i="1056"/>
  <c r="AO8" i="946"/>
  <c r="AJ14" i="1056"/>
  <c r="BY59" i="939"/>
  <c r="CC3"/>
  <c r="BX31"/>
  <c r="CS31"/>
  <c r="G3" i="1063"/>
  <c r="BV59" i="939"/>
  <c r="I3" i="992"/>
  <c r="AO8" i="1099"/>
  <c r="AY15" i="1058"/>
  <c r="AV15" i="991"/>
  <c r="AE14" i="993"/>
  <c r="O9576" i="967"/>
  <c r="BV31" i="938"/>
  <c r="CA31"/>
  <c r="BF36" i="1002"/>
  <c r="BF94"/>
  <c r="F33"/>
  <c r="F38"/>
  <c r="F87"/>
  <c r="BF90"/>
  <c r="F91"/>
  <c r="F98"/>
  <c r="F41" i="1001"/>
  <c r="F42"/>
  <c r="F38"/>
  <c r="F43"/>
  <c r="BS20" i="1057" a="1"/>
  <c r="BS19" a="1"/>
  <c r="AP20" i="1092"/>
  <c r="AP20" i="1005"/>
  <c r="AP86" i="1093"/>
  <c r="F99" i="1002"/>
  <c r="BF25"/>
  <c r="BF42"/>
  <c r="BF81"/>
  <c r="BF39"/>
  <c r="F32"/>
  <c r="F96"/>
  <c r="F36"/>
  <c r="BF93"/>
  <c r="F39"/>
  <c r="BF96"/>
  <c r="BF98"/>
  <c r="F88"/>
  <c r="F35"/>
  <c r="L87"/>
  <c r="J87" s="1"/>
  <c r="L100"/>
  <c r="J100" s="1"/>
  <c r="F40"/>
  <c r="F43"/>
  <c r="BF32"/>
  <c r="BF38"/>
  <c r="BF40"/>
  <c r="BF88"/>
  <c r="BF91"/>
  <c r="BF97"/>
  <c r="BF92"/>
  <c r="F97"/>
  <c r="F41"/>
  <c r="F37"/>
  <c r="BF35"/>
  <c r="BF37"/>
  <c r="F90"/>
  <c r="BF89"/>
  <c r="BF99"/>
  <c r="F92"/>
  <c r="F89"/>
  <c r="BF95"/>
  <c r="F93"/>
  <c r="F25"/>
  <c r="F34"/>
  <c r="F28"/>
  <c r="BF43"/>
  <c r="F42"/>
  <c r="F16" i="1001"/>
  <c r="F19"/>
  <c r="F62"/>
  <c r="BF18"/>
  <c r="BF20"/>
  <c r="F68"/>
  <c r="F25"/>
  <c r="F61"/>
  <c r="F65"/>
  <c r="BF65"/>
  <c r="F27"/>
  <c r="F92"/>
  <c r="BF28"/>
  <c r="DS19" i="1058"/>
  <c r="DR20" i="1056"/>
  <c r="AY20"/>
  <c r="DK20"/>
  <c r="AJ20"/>
  <c r="AI20" s="1"/>
  <c r="DK20" i="1052"/>
  <c r="AP120" i="1093"/>
  <c r="AP93" i="1092"/>
  <c r="AP86"/>
  <c r="AP33" i="1007"/>
  <c r="AP32" s="1"/>
  <c r="AP67"/>
  <c r="AP117" i="1093"/>
  <c r="AP57" i="1006"/>
  <c r="AP56" s="1"/>
  <c r="AP113"/>
  <c r="AP124" i="1094"/>
  <c r="AP34" i="1005"/>
  <c r="AP93"/>
  <c r="AP116" i="1093"/>
  <c r="AP116" i="1094"/>
  <c r="AP120"/>
  <c r="AP120" i="1095"/>
  <c r="AP80" i="1092"/>
  <c r="AP99"/>
  <c r="AP109"/>
  <c r="AP71" i="1005"/>
  <c r="AP79"/>
  <c r="AP117" i="1094"/>
  <c r="AP49" i="1092"/>
  <c r="AP115" i="1095"/>
  <c r="AP124"/>
  <c r="AP161"/>
  <c r="AP115" i="1094"/>
  <c r="AP124" i="1093"/>
  <c r="F63" i="1002"/>
  <c r="BF10"/>
  <c r="F6"/>
  <c r="F12"/>
  <c r="F7"/>
  <c r="AP122" i="1095"/>
  <c r="AP119"/>
  <c r="AP115" i="1093"/>
  <c r="AP92" i="1006"/>
  <c r="BE19" i="1059"/>
  <c r="DH20" i="1052"/>
  <c r="AJ20"/>
  <c r="DI20"/>
  <c r="AS20"/>
  <c r="DS20"/>
  <c r="AP116" i="1095"/>
  <c r="AP86"/>
  <c r="AP123"/>
  <c r="AP122" i="1094"/>
  <c r="AP119" i="1093"/>
  <c r="AP21" i="1007"/>
  <c r="AP33" i="1006"/>
  <c r="AP32"/>
  <c r="AP67"/>
  <c r="AP45"/>
  <c r="AP44" s="1"/>
  <c r="AP102"/>
  <c r="AP106"/>
  <c r="AP52"/>
  <c r="AP40" i="1005"/>
  <c r="AP81"/>
  <c r="AP88"/>
  <c r="AP87"/>
  <c r="AP92"/>
  <c r="AP95"/>
  <c r="AP25"/>
  <c r="BF12" i="1002"/>
  <c r="F14"/>
  <c r="BF4"/>
  <c r="F5"/>
  <c r="F11"/>
  <c r="BF5"/>
  <c r="BF6"/>
  <c r="F69"/>
  <c r="F13"/>
  <c r="F4"/>
  <c r="BF8"/>
  <c r="BF11"/>
  <c r="F10"/>
  <c r="F15"/>
  <c r="F9"/>
  <c r="BF14"/>
  <c r="BF65"/>
  <c r="BF69"/>
  <c r="BF13"/>
  <c r="F8"/>
  <c r="BF9"/>
  <c r="F3"/>
  <c r="F71"/>
  <c r="BF71"/>
  <c r="BF15"/>
  <c r="F49" i="1001"/>
  <c r="P83"/>
  <c r="BF46"/>
  <c r="F95"/>
  <c r="BF50"/>
  <c r="BF54"/>
  <c r="F7"/>
  <c r="AP15" i="991"/>
  <c r="AY15" i="1056"/>
  <c r="AO883" i="946"/>
  <c r="AK412" i="1037"/>
  <c r="AV15" i="993"/>
  <c r="AP15" i="1052"/>
  <c r="AY15" i="1061"/>
  <c r="AN15" i="1060"/>
  <c r="AF14" i="992"/>
  <c r="AT15" i="1060"/>
  <c r="AE161" i="1037"/>
  <c r="AQ15" i="993"/>
  <c r="AH14" i="1052"/>
  <c r="AS15" i="991"/>
  <c r="AW15" i="992"/>
  <c r="AT162" i="1037"/>
  <c r="AS15" i="993"/>
  <c r="AH14" i="1061"/>
  <c r="AQ15"/>
  <c r="AK15" i="991"/>
  <c r="AQ15" i="1058"/>
  <c r="AA14" i="1062"/>
  <c r="AA161" i="1037"/>
  <c r="AM412"/>
  <c r="AS412"/>
  <c r="AQ15" i="991"/>
  <c r="AO889" i="945"/>
  <c r="AV15" i="1060"/>
  <c r="AE411" i="1037"/>
  <c r="AN15" i="1058"/>
  <c r="AN15" i="1056"/>
  <c r="Y14" i="1052"/>
  <c r="AV412" i="1037"/>
  <c r="AA14" i="992"/>
  <c r="AP15" i="1061"/>
  <c r="AO886" i="946"/>
  <c r="AC161" i="1037"/>
  <c r="AE14" i="1058"/>
  <c r="AP15" i="1060"/>
  <c r="AJ14" i="1062"/>
  <c r="AM15" i="1061"/>
  <c r="AH14" i="1060"/>
  <c r="AC411" i="1037"/>
  <c r="AM15" i="993"/>
  <c r="AW412" i="1037"/>
  <c r="AM162"/>
  <c r="AK15" i="1052"/>
  <c r="AK15" i="1060"/>
  <c r="AV15" i="992"/>
  <c r="AW15" i="1058"/>
  <c r="AS15"/>
  <c r="AH14"/>
  <c r="AY162" i="1037"/>
  <c r="AP15" i="1058"/>
  <c r="AH411" i="1037"/>
  <c r="AT15" i="1056"/>
  <c r="AN15" i="1061"/>
  <c r="O3968" i="967"/>
  <c r="AQ15" i="1062"/>
  <c r="AH14"/>
  <c r="AW15" i="1056"/>
  <c r="AQ15" i="1052"/>
  <c r="AT15" i="992"/>
  <c r="AE14" i="1060"/>
  <c r="AP15" i="992"/>
  <c r="AJ14" i="1060"/>
  <c r="AO886" i="945"/>
  <c r="AT15" i="991"/>
  <c r="AE14" i="1056"/>
  <c r="CE20" i="1059" a="1"/>
  <c r="CE20"/>
  <c r="BS20" a="1"/>
  <c r="BS20"/>
  <c r="BP20" a="1"/>
  <c r="BP20"/>
  <c r="CH20" a="1"/>
  <c r="DU20"/>
  <c r="BA20" a="1"/>
  <c r="AP21" i="1005"/>
  <c r="BF98" i="1001"/>
  <c r="F93"/>
  <c r="F88"/>
  <c r="F54"/>
  <c r="BF91"/>
  <c r="F89"/>
  <c r="F46"/>
  <c r="BF48"/>
  <c r="AP52" i="1092"/>
  <c r="AP90"/>
  <c r="AP86" i="1094"/>
  <c r="AP16" i="1004"/>
  <c r="AP123" i="1093"/>
  <c r="AP122"/>
  <c r="AP15" i="1004"/>
  <c r="AP99" i="1007"/>
  <c r="AP28"/>
  <c r="AP40"/>
  <c r="AP55"/>
  <c r="AP100" i="1092"/>
  <c r="AP102"/>
  <c r="AP110"/>
  <c r="AP94"/>
  <c r="AP21" i="1006"/>
  <c r="AP28"/>
  <c r="AP40"/>
  <c r="AP55"/>
  <c r="AP109"/>
  <c r="AP84"/>
  <c r="AP84" i="1092"/>
  <c r="AP104"/>
  <c r="AP85"/>
  <c r="AP114"/>
  <c r="AP116"/>
  <c r="AP120"/>
  <c r="AP112"/>
  <c r="AP37" i="1005"/>
  <c r="AP45"/>
  <c r="AP44" s="1"/>
  <c r="AP52"/>
  <c r="AP99"/>
  <c r="AP102"/>
  <c r="AP106"/>
  <c r="BS19" i="1059" a="1"/>
  <c r="BS19" s="1"/>
  <c r="AP57" i="1005"/>
  <c r="AP56" s="1"/>
  <c r="DW20" i="1059"/>
  <c r="DX20"/>
  <c r="BD20"/>
  <c r="BB20" s="1"/>
  <c r="BP19" i="1054" a="1"/>
  <c r="CE19" a="1"/>
  <c r="BD19" i="1057" a="1"/>
  <c r="EF19" i="1054"/>
  <c r="DG20" i="1058"/>
  <c r="AC6429" i="967"/>
  <c r="F79" i="1002"/>
  <c r="BF77"/>
  <c r="BF80"/>
  <c r="F80"/>
  <c r="F75"/>
  <c r="F78"/>
  <c r="BF53" i="1001"/>
  <c r="F47"/>
  <c r="F44"/>
  <c r="F51"/>
  <c r="F45"/>
  <c r="F55"/>
  <c r="BF49"/>
  <c r="F48"/>
  <c r="F53"/>
  <c r="BF47"/>
  <c r="BF55"/>
  <c r="P75"/>
  <c r="P79"/>
  <c r="BF45"/>
  <c r="BF56"/>
  <c r="F56"/>
  <c r="BF51"/>
  <c r="F50"/>
  <c r="BF52"/>
  <c r="P34"/>
  <c r="P82"/>
  <c r="F31"/>
  <c r="F35"/>
  <c r="F36"/>
  <c r="BF34"/>
  <c r="BF43"/>
  <c r="F37"/>
  <c r="P105"/>
  <c r="F32"/>
  <c r="BF35"/>
  <c r="F33"/>
  <c r="F40"/>
  <c r="BF102"/>
  <c r="F34"/>
  <c r="BF36"/>
  <c r="BF33"/>
  <c r="BF32"/>
  <c r="BF42"/>
  <c r="BF41"/>
  <c r="BF39"/>
  <c r="BF40"/>
  <c r="BF37"/>
  <c r="AP49" i="1005"/>
  <c r="AP109"/>
  <c r="AP86" i="1004"/>
  <c r="BF110" i="1002"/>
  <c r="BF67"/>
  <c r="F60"/>
  <c r="F62"/>
  <c r="BF66"/>
  <c r="BF70"/>
  <c r="BF104"/>
  <c r="BF103"/>
  <c r="BF60"/>
  <c r="BF61"/>
  <c r="F108"/>
  <c r="F64"/>
  <c r="F66"/>
  <c r="F61"/>
  <c r="BF62"/>
  <c r="F68"/>
  <c r="F65"/>
  <c r="F112"/>
  <c r="BF63"/>
  <c r="L31"/>
  <c r="J31"/>
  <c r="BF68"/>
  <c r="F70"/>
  <c r="BF64"/>
  <c r="F67"/>
  <c r="BF105"/>
  <c r="L72"/>
  <c r="J72" s="1"/>
  <c r="F22" i="1001"/>
  <c r="F26"/>
  <c r="BF27"/>
  <c r="F24"/>
  <c r="BF23"/>
  <c r="F66"/>
  <c r="BF62"/>
  <c r="BF69"/>
  <c r="BF60"/>
  <c r="F67"/>
  <c r="F71"/>
  <c r="BF68"/>
  <c r="F59"/>
  <c r="P92"/>
  <c r="F23"/>
  <c r="BF26"/>
  <c r="F17"/>
  <c r="F21"/>
  <c r="BF66"/>
  <c r="F64"/>
  <c r="BF63"/>
  <c r="BF67"/>
  <c r="BF71"/>
  <c r="F63"/>
  <c r="BF25"/>
  <c r="P40"/>
  <c r="P84"/>
  <c r="Q87"/>
  <c r="F20"/>
  <c r="BF17"/>
  <c r="F18"/>
  <c r="BF24"/>
  <c r="BF22"/>
  <c r="F70"/>
  <c r="BF70"/>
  <c r="F69"/>
  <c r="BF64"/>
  <c r="F60"/>
  <c r="BF21"/>
  <c r="BF19"/>
  <c r="P89"/>
  <c r="P93"/>
  <c r="P109"/>
  <c r="BF9"/>
  <c r="BF92"/>
  <c r="BF97"/>
  <c r="BF95"/>
  <c r="F97"/>
  <c r="BF88"/>
  <c r="P37"/>
  <c r="P78"/>
  <c r="P90"/>
  <c r="P94"/>
  <c r="P99"/>
  <c r="Q100"/>
  <c r="P102"/>
  <c r="P107"/>
  <c r="P110"/>
  <c r="F15"/>
  <c r="F90"/>
  <c r="F99"/>
  <c r="BF96"/>
  <c r="F4"/>
  <c r="P39"/>
  <c r="F87"/>
  <c r="BF94"/>
  <c r="F91"/>
  <c r="BF99"/>
  <c r="BF89"/>
  <c r="F94"/>
  <c r="F98"/>
  <c r="BF90"/>
  <c r="F77"/>
  <c r="F96"/>
  <c r="F80"/>
  <c r="F81"/>
  <c r="P36"/>
  <c r="Z72"/>
  <c r="Z87"/>
  <c r="P87" s="1"/>
  <c r="N87" s="1"/>
  <c r="J87" s="1"/>
  <c r="BA87" s="1"/>
  <c r="P97"/>
  <c r="P101"/>
  <c r="AP50" i="1092"/>
  <c r="AP81"/>
  <c r="AP108"/>
  <c r="AP124"/>
  <c r="AP53"/>
  <c r="AP65"/>
  <c r="AP91"/>
  <c r="AP95"/>
  <c r="AP103"/>
  <c r="AP107"/>
  <c r="AP111"/>
  <c r="AP115"/>
  <c r="AP119"/>
  <c r="AP123"/>
  <c r="AP54"/>
  <c r="AP96"/>
  <c r="AP48"/>
  <c r="AP59"/>
  <c r="AP77"/>
  <c r="AP83"/>
  <c r="AP98"/>
  <c r="AP106"/>
  <c r="AP118"/>
  <c r="AP122"/>
  <c r="AP132"/>
  <c r="AP46"/>
  <c r="AP71"/>
  <c r="AP92"/>
  <c r="AP47"/>
  <c r="AP51"/>
  <c r="AP55"/>
  <c r="AP74"/>
  <c r="AP82"/>
  <c r="AP97"/>
  <c r="AP101"/>
  <c r="AP105"/>
  <c r="AP113"/>
  <c r="AP117"/>
  <c r="AP121"/>
  <c r="AP131"/>
  <c r="AP121" i="1095"/>
  <c r="AP121" i="1094"/>
  <c r="AP119"/>
  <c r="AP121" i="1093"/>
  <c r="AC6441" i="967"/>
  <c r="AP20" i="1007"/>
  <c r="AP31"/>
  <c r="AP61"/>
  <c r="AP30"/>
  <c r="AP29"/>
  <c r="AP82"/>
  <c r="AP86"/>
  <c r="AP37"/>
  <c r="AP80"/>
  <c r="AP22"/>
  <c r="AP46"/>
  <c r="AP49"/>
  <c r="AP71"/>
  <c r="AP34"/>
  <c r="AP43"/>
  <c r="AP89"/>
  <c r="AP93"/>
  <c r="AP20" i="1006"/>
  <c r="AP37"/>
  <c r="AP42"/>
  <c r="AP41"/>
  <c r="AP80"/>
  <c r="AP96"/>
  <c r="AP99"/>
  <c r="AP103"/>
  <c r="AP107"/>
  <c r="AP114"/>
  <c r="AP43"/>
  <c r="AP22"/>
  <c r="AP31"/>
  <c r="AP49"/>
  <c r="AP53"/>
  <c r="AP61"/>
  <c r="AP79"/>
  <c r="AP34"/>
  <c r="AP93"/>
  <c r="AP30"/>
  <c r="AP29" s="1"/>
  <c r="AP82"/>
  <c r="AP86"/>
  <c r="AP31" i="1005"/>
  <c r="AP43"/>
  <c r="AP80"/>
  <c r="BS20" i="1057"/>
  <c r="BQ20" s="1"/>
  <c r="CH19" a="1"/>
  <c r="CH19" s="1"/>
  <c r="CE19" a="1"/>
  <c r="BP19" a="1"/>
  <c r="BP19" s="1"/>
  <c r="BA19" a="1"/>
  <c r="BA20" i="1054" a="1"/>
  <c r="BD20" a="1"/>
  <c r="DR19" i="1058"/>
  <c r="AC10921" i="967"/>
  <c r="AC10922"/>
  <c r="AC10923"/>
  <c r="AC10924"/>
  <c r="AC10925"/>
  <c r="AC10950"/>
  <c r="AC10951"/>
  <c r="AC10952"/>
  <c r="AC10953"/>
  <c r="AC10954"/>
  <c r="AC10955"/>
  <c r="AC10956"/>
  <c r="AC10957"/>
  <c r="AC10958"/>
  <c r="AC10959"/>
  <c r="AC10963"/>
  <c r="AC10969"/>
  <c r="AC10975"/>
  <c r="AC10978"/>
  <c r="AC10981"/>
  <c r="AC10984"/>
  <c r="AC10985"/>
  <c r="AC10986"/>
  <c r="AC10987"/>
  <c r="AC10988"/>
  <c r="AC10989"/>
  <c r="AC10990"/>
  <c r="AC10994"/>
  <c r="AC10995"/>
  <c r="AC10996"/>
  <c r="AC10997"/>
  <c r="AC10998"/>
  <c r="AC10999"/>
  <c r="AC11000"/>
  <c r="AC11001"/>
  <c r="AC11002"/>
  <c r="AC11003"/>
  <c r="AC11004"/>
  <c r="AC11005"/>
  <c r="AC11006"/>
  <c r="AC11007"/>
  <c r="AC11008"/>
  <c r="AC11009"/>
  <c r="AC11010"/>
  <c r="AC11011"/>
  <c r="AC11012"/>
  <c r="AC11013"/>
  <c r="AC11014"/>
  <c r="AC11015"/>
  <c r="AC11016"/>
  <c r="AC11017"/>
  <c r="AC11018"/>
  <c r="AC11019"/>
  <c r="AC11020"/>
  <c r="AC11021"/>
  <c r="AC11022"/>
  <c r="AC11023"/>
  <c r="AC11024"/>
  <c r="AC11025"/>
  <c r="AC11026"/>
  <c r="AC11027"/>
  <c r="AC11028"/>
  <c r="AC11035"/>
  <c r="AC11036"/>
  <c r="DR20" i="1057"/>
  <c r="BD20" a="1"/>
  <c r="BD20" s="1"/>
  <c r="EF19"/>
  <c r="DN20" i="1052"/>
  <c r="DL20"/>
  <c r="DR20"/>
  <c r="DQ20"/>
  <c r="DG20"/>
  <c r="AV20"/>
  <c r="AU20" s="1"/>
  <c r="DM20"/>
  <c r="AP20"/>
  <c r="DF20"/>
  <c r="DP20"/>
  <c r="DJ20"/>
  <c r="AM20"/>
  <c r="AK20" s="1"/>
  <c r="AY20"/>
  <c r="DO20"/>
  <c r="CI3" i="939"/>
  <c r="CC31" i="938"/>
  <c r="I3" i="991"/>
  <c r="CF31" i="939"/>
  <c r="CO59"/>
  <c r="CQ31"/>
  <c r="BV31"/>
  <c r="CW31"/>
  <c r="BU31" i="938"/>
  <c r="CS59" i="939"/>
  <c r="AM8" i="948"/>
  <c r="CC31" i="939"/>
  <c r="BW59"/>
  <c r="CW59"/>
  <c r="CI31"/>
  <c r="AN8" i="1094"/>
  <c r="CG31" i="938"/>
  <c r="CX59" i="939"/>
  <c r="G3" i="1054"/>
  <c r="CR31" i="939"/>
  <c r="CF3"/>
  <c r="CX3"/>
  <c r="AO8" i="1093"/>
  <c r="CW3" i="939"/>
  <c r="CQ59"/>
  <c r="CP31"/>
  <c r="CF31" i="938"/>
  <c r="I3" i="1065"/>
  <c r="CT59" i="939"/>
  <c r="CE59"/>
  <c r="BZ31"/>
  <c r="G3" i="1058"/>
  <c r="AM8" i="949"/>
  <c r="CM3" i="939"/>
  <c r="AN8" i="1098"/>
  <c r="CV59" i="939"/>
  <c r="AN8" i="942"/>
  <c r="CA59" i="938"/>
  <c r="G3" i="996"/>
  <c r="BY31" i="939"/>
  <c r="CB3"/>
  <c r="DA10" s="1"/>
  <c r="AO8" i="944"/>
  <c r="G3" i="1060"/>
  <c r="CI59" i="939"/>
  <c r="CJ3"/>
  <c r="I3" i="996"/>
  <c r="CK31" i="939"/>
  <c r="CM59"/>
  <c r="DB60" s="1"/>
  <c r="AN8" i="944"/>
  <c r="AN8" i="946"/>
  <c r="CJ31" i="939"/>
  <c r="CP59"/>
  <c r="AN8" i="1093"/>
  <c r="AN8" i="947"/>
  <c r="AN8" i="1099"/>
  <c r="CO3" i="939"/>
  <c r="CV31"/>
  <c r="AM8" i="950"/>
  <c r="CA31" i="939"/>
  <c r="BW31" i="938"/>
  <c r="G3" i="1062"/>
  <c r="BU31" i="939"/>
  <c r="AO8" i="1097"/>
  <c r="CE59" i="938"/>
  <c r="BZ59" i="939"/>
  <c r="CY66" s="1"/>
  <c r="AC9562" i="967"/>
  <c r="AC9563" s="1"/>
  <c r="AC9565" s="1"/>
  <c r="AO8" i="1047"/>
  <c r="CH3" i="939"/>
  <c r="I3" i="1063"/>
  <c r="AN8" i="948"/>
  <c r="BW3" i="939"/>
  <c r="I3" i="995"/>
  <c r="BY3" i="939"/>
  <c r="AO8" i="943"/>
  <c r="CN59" i="939"/>
  <c r="AN8" i="1045"/>
  <c r="AT56" s="1"/>
  <c r="CS3" i="939"/>
  <c r="DC10" s="1"/>
  <c r="I3" i="994"/>
  <c r="BW31" i="939"/>
  <c r="CU31"/>
  <c r="CP3"/>
  <c r="CZ10" s="1"/>
  <c r="AN8" i="1095"/>
  <c r="G3" i="1059"/>
  <c r="AO8" i="1045"/>
  <c r="BW59" i="938"/>
  <c r="G3" i="1057"/>
  <c r="I3" i="1054"/>
  <c r="CL31" i="939"/>
  <c r="CH31" i="938"/>
  <c r="CC59" i="939"/>
  <c r="BU59"/>
  <c r="CL59"/>
  <c r="CC59" i="938"/>
  <c r="CL3" i="939"/>
  <c r="G3" i="1061"/>
  <c r="CB59" i="938"/>
  <c r="CN31" i="939"/>
  <c r="AC10599" i="967"/>
  <c r="BU3" i="939"/>
  <c r="AN8" i="1007"/>
  <c r="AN8" i="950"/>
  <c r="CM31" i="939"/>
  <c r="DB32" s="1"/>
  <c r="BZ59" i="938"/>
  <c r="CK59" i="939"/>
  <c r="BX59" i="938"/>
  <c r="AO8" i="945"/>
  <c r="CK3" i="939"/>
  <c r="I3" i="993"/>
  <c r="CG3" i="939"/>
  <c r="CR59"/>
  <c r="DR19" i="1059"/>
  <c r="CH19" a="1"/>
  <c r="CH19"/>
  <c r="EA19"/>
  <c r="DT19"/>
  <c r="BP19" a="1"/>
  <c r="BP19"/>
  <c r="BM19" s="1"/>
  <c r="BA19" a="1"/>
  <c r="BA19" s="1"/>
  <c r="AY19" s="1"/>
  <c r="BD19" a="1"/>
  <c r="BD19" s="1"/>
  <c r="BC19" s="1"/>
  <c r="DZ19"/>
  <c r="CE19" a="1"/>
  <c r="CE19" s="1"/>
  <c r="CA10" s="1"/>
  <c r="DZ20" i="1057"/>
  <c r="CH20" a="1"/>
  <c r="EB20"/>
  <c r="DV20"/>
  <c r="BA20" a="1"/>
  <c r="CK20"/>
  <c r="DS20"/>
  <c r="CE20" a="1"/>
  <c r="CE20"/>
  <c r="BP20" a="1"/>
  <c r="AY20" i="1058"/>
  <c r="AW20" s="1"/>
  <c r="AS20"/>
  <c r="DF20"/>
  <c r="DS19" i="1052"/>
  <c r="DR19"/>
  <c r="AJ19"/>
  <c r="AH19" s="1"/>
  <c r="AC6379" i="967"/>
  <c r="AC6380"/>
  <c r="AC6381"/>
  <c r="AC6382"/>
  <c r="AC6383"/>
  <c r="AC6384"/>
  <c r="AC6385"/>
  <c r="AC6410"/>
  <c r="AC6411"/>
  <c r="AC6412"/>
  <c r="AC6413"/>
  <c r="AC6414"/>
  <c r="AC6415"/>
  <c r="AC6416"/>
  <c r="AC6417"/>
  <c r="AC6418"/>
  <c r="AC6419"/>
  <c r="AC6423"/>
  <c r="AC6435"/>
  <c r="AC6438"/>
  <c r="AC6444"/>
  <c r="AC6445"/>
  <c r="AC6446"/>
  <c r="AC6447"/>
  <c r="AC6448"/>
  <c r="AC6449"/>
  <c r="AC6450"/>
  <c r="AC6454"/>
  <c r="AC6455"/>
  <c r="AC6456"/>
  <c r="AC6457"/>
  <c r="AC6458"/>
  <c r="AC6459"/>
  <c r="AC6460"/>
  <c r="AC6461"/>
  <c r="AC6462"/>
  <c r="AC6463"/>
  <c r="AC6464"/>
  <c r="AC6465"/>
  <c r="AC6466"/>
  <c r="AC6467"/>
  <c r="AC6468"/>
  <c r="AC6469"/>
  <c r="AC6470"/>
  <c r="AC6471"/>
  <c r="AC6472"/>
  <c r="AC6473"/>
  <c r="AC6474"/>
  <c r="AC6475"/>
  <c r="AC6476"/>
  <c r="AC6477"/>
  <c r="AC6478"/>
  <c r="BF26" i="1002"/>
  <c r="F22"/>
  <c r="F81"/>
  <c r="F46"/>
  <c r="BF52"/>
  <c r="F82"/>
  <c r="F100"/>
  <c r="BF108"/>
  <c r="F27"/>
  <c r="F21"/>
  <c r="BF46"/>
  <c r="F51"/>
  <c r="BF56"/>
  <c r="BF74"/>
  <c r="BF48"/>
  <c r="BF51"/>
  <c r="F77"/>
  <c r="F72"/>
  <c r="BF20"/>
  <c r="F73"/>
  <c r="F109"/>
  <c r="F105"/>
  <c r="F101"/>
  <c r="F103"/>
  <c r="F16"/>
  <c r="F53"/>
  <c r="F74"/>
  <c r="BF106"/>
  <c r="BF101"/>
  <c r="BF82"/>
  <c r="F20"/>
  <c r="F47"/>
  <c r="BF55"/>
  <c r="BF112"/>
  <c r="BF102"/>
  <c r="F18"/>
  <c r="F107"/>
  <c r="F76"/>
  <c r="F17"/>
  <c r="BF84"/>
  <c r="F45"/>
  <c r="F49"/>
  <c r="BF49"/>
  <c r="F48"/>
  <c r="F55"/>
  <c r="BF78"/>
  <c r="BF19"/>
  <c r="BF23"/>
  <c r="F106"/>
  <c r="F102"/>
  <c r="BF47"/>
  <c r="BF109"/>
  <c r="F110"/>
  <c r="BF18"/>
  <c r="BF79"/>
  <c r="BF75"/>
  <c r="F50"/>
  <c r="BF17"/>
  <c r="BF111"/>
  <c r="F23"/>
  <c r="BF22"/>
  <c r="BF27"/>
  <c r="F44"/>
  <c r="BF83"/>
  <c r="F84"/>
  <c r="F52"/>
  <c r="BF76"/>
  <c r="F24"/>
  <c r="F19"/>
  <c r="F112" i="1001"/>
  <c r="F105"/>
  <c r="BF75"/>
  <c r="BF84"/>
  <c r="F82"/>
  <c r="BF82"/>
  <c r="BF104"/>
  <c r="F13"/>
  <c r="BF10"/>
  <c r="BF77"/>
  <c r="F75"/>
  <c r="Q31"/>
  <c r="Z31"/>
  <c r="P32"/>
  <c r="Q72"/>
  <c r="P73"/>
  <c r="P74"/>
  <c r="P76"/>
  <c r="P81"/>
  <c r="P91"/>
  <c r="P95"/>
  <c r="P103"/>
  <c r="P104"/>
  <c r="P111"/>
  <c r="BF83"/>
  <c r="BF106"/>
  <c r="BF15"/>
  <c r="F83"/>
  <c r="F72"/>
  <c r="F79"/>
  <c r="F74"/>
  <c r="BF81"/>
  <c r="BF4"/>
  <c r="BF78"/>
  <c r="BF79"/>
  <c r="BF74"/>
  <c r="P35"/>
  <c r="P38"/>
  <c r="P41"/>
  <c r="P77"/>
  <c r="P96"/>
  <c r="P98"/>
  <c r="Z100"/>
  <c r="P106"/>
  <c r="P108"/>
  <c r="P112"/>
  <c r="F107"/>
  <c r="F6"/>
  <c r="F84"/>
  <c r="F73"/>
  <c r="F78"/>
  <c r="BF80"/>
  <c r="BF73"/>
  <c r="F76"/>
  <c r="P33"/>
  <c r="P42"/>
  <c r="P43"/>
  <c r="P80"/>
  <c r="P88"/>
  <c r="BF109"/>
  <c r="F100"/>
  <c r="F5"/>
  <c r="F106"/>
  <c r="BF8"/>
  <c r="BF13"/>
  <c r="F11"/>
  <c r="F103"/>
  <c r="BF5"/>
  <c r="BF101"/>
  <c r="F110"/>
  <c r="F10"/>
  <c r="BF103"/>
  <c r="F111"/>
  <c r="BF6"/>
  <c r="BF111"/>
  <c r="F104"/>
  <c r="F109"/>
  <c r="BF7"/>
  <c r="BF12"/>
  <c r="F8"/>
  <c r="F102"/>
  <c r="F108"/>
  <c r="F9"/>
  <c r="F12"/>
  <c r="F101"/>
  <c r="BF107"/>
  <c r="BF11"/>
  <c r="BF108"/>
  <c r="BF112"/>
  <c r="F14"/>
  <c r="BF14"/>
  <c r="BF105"/>
  <c r="AO146" i="1094"/>
  <c r="AO148"/>
  <c r="AP25" i="1006"/>
  <c r="EB20" i="1059"/>
  <c r="EF19"/>
  <c r="EG19"/>
  <c r="CI19"/>
  <c r="DP19"/>
  <c r="AL19"/>
  <c r="AJ19"/>
  <c r="DQ19"/>
  <c r="DT20"/>
  <c r="DR20"/>
  <c r="EG20"/>
  <c r="ED19"/>
  <c r="BT19"/>
  <c r="DW19"/>
  <c r="DQ20"/>
  <c r="DX19"/>
  <c r="DU19"/>
  <c r="BA20"/>
  <c r="AZ20"/>
  <c r="ED20"/>
  <c r="CK19"/>
  <c r="EE19"/>
  <c r="EC19"/>
  <c r="EC20"/>
  <c r="BE20"/>
  <c r="CI20"/>
  <c r="EB19"/>
  <c r="DS19"/>
  <c r="DY19"/>
  <c r="DV19"/>
  <c r="BT20" i="1057"/>
  <c r="AL19"/>
  <c r="AJ19"/>
  <c r="EC20" i="1054"/>
  <c r="DP19"/>
  <c r="DP20"/>
  <c r="EE20"/>
  <c r="BD19" a="1"/>
  <c r="CE20" a="1"/>
  <c r="BS20" a="1"/>
  <c r="BP20" a="1"/>
  <c r="BP20" s="1"/>
  <c r="BT19"/>
  <c r="EA20"/>
  <c r="CH19" a="1"/>
  <c r="CH19" s="1"/>
  <c r="BA19" a="1"/>
  <c r="DR19" i="1056"/>
  <c r="AL6210" i="967"/>
  <c r="P58" i="1001"/>
  <c r="N58" s="1"/>
  <c r="J58" s="1"/>
  <c r="P29"/>
  <c r="N29"/>
  <c r="J29" s="1"/>
  <c r="AO8" i="942"/>
  <c r="G3" i="995"/>
  <c r="I3" i="1061"/>
  <c r="I3" i="1056"/>
  <c r="AO8" i="1095"/>
  <c r="G3" i="1052"/>
  <c r="G3" i="994"/>
  <c r="CG59" i="939"/>
  <c r="CG31"/>
  <c r="AO8" i="947"/>
  <c r="BZ31" i="938"/>
  <c r="AO8" i="1098"/>
  <c r="AN8" i="1006"/>
  <c r="CV3" i="939"/>
  <c r="BV3"/>
  <c r="CZ4" s="1"/>
  <c r="CD31"/>
  <c r="DC38" s="1"/>
  <c r="CN3"/>
  <c r="G3" i="1065"/>
  <c r="AN8" i="945"/>
  <c r="CX31" i="939"/>
  <c r="DC40" s="1"/>
  <c r="BV59" i="938"/>
  <c r="CT3" i="939"/>
  <c r="AC10601" i="967"/>
  <c r="I3" i="1058"/>
  <c r="I3" i="1059"/>
  <c r="CF59" i="939"/>
  <c r="AO8" i="1007"/>
  <c r="I3" i="1064"/>
  <c r="G3" i="1056"/>
  <c r="AN8" i="1047"/>
  <c r="AT75" s="1"/>
  <c r="AO8" i="1005"/>
  <c r="AN8" i="949"/>
  <c r="I3" i="1062"/>
  <c r="G3" i="992"/>
  <c r="CR3" i="939"/>
  <c r="CT31"/>
  <c r="CO31"/>
  <c r="BU59" i="938"/>
  <c r="CJ59" i="939"/>
  <c r="CY60" s="1"/>
  <c r="CE31"/>
  <c r="CU3"/>
  <c r="CD59"/>
  <c r="DC66" s="1"/>
  <c r="CB31"/>
  <c r="CH59"/>
  <c r="AN8" i="1046"/>
  <c r="AT75" s="1"/>
  <c r="CB59" i="939"/>
  <c r="DA66" s="1"/>
  <c r="AN8" i="1005"/>
  <c r="CA59" i="939"/>
  <c r="CZ66"/>
  <c r="AO878" i="946"/>
  <c r="DS19" i="1056"/>
  <c r="AJ19"/>
  <c r="AH19"/>
  <c r="Z9575" i="967"/>
  <c r="W9569"/>
  <c r="EA19" i="1057"/>
  <c r="DT19"/>
  <c r="DS19"/>
  <c r="AO151" i="1094"/>
  <c r="AO146" i="1098"/>
  <c r="AO148"/>
  <c r="AO147" i="1094"/>
  <c r="AO154"/>
  <c r="AO151" i="1098"/>
  <c r="AO147"/>
  <c r="AC9564" i="967"/>
  <c r="AC9509"/>
  <c r="DB4" i="939"/>
  <c r="AP19" i="1007"/>
  <c r="AP19" i="1092"/>
  <c r="AP16" i="1006"/>
  <c r="AP25" i="1007"/>
  <c r="AP18" i="1092"/>
  <c r="AP21"/>
  <c r="AP144" i="1094"/>
  <c r="AP16" i="1005"/>
  <c r="AM19" i="1058"/>
  <c r="DK19" i="1052"/>
  <c r="DK19" i="1056"/>
  <c r="DN19" i="1058"/>
  <c r="DN19" i="1052"/>
  <c r="DI19"/>
  <c r="DI19" i="1056"/>
  <c r="DM19" i="1058"/>
  <c r="DP19" i="1052"/>
  <c r="DO19" i="1056"/>
  <c r="AS19" i="1052"/>
  <c r="AR19" s="1"/>
  <c r="DM19" i="1056"/>
  <c r="DK19" i="1058"/>
  <c r="AP19" i="1005"/>
  <c r="CZ38" i="939"/>
  <c r="AP132" i="1095"/>
  <c r="AP132" i="1093"/>
  <c r="AP16" i="1007"/>
  <c r="AP132" i="1094"/>
  <c r="AP19" i="1006"/>
  <c r="CZ12" i="939"/>
  <c r="P72" i="1001"/>
  <c r="N72" s="1"/>
  <c r="J72" s="1"/>
  <c r="BA72" s="1"/>
  <c r="P100"/>
  <c r="N100" s="1"/>
  <c r="J100" s="1"/>
  <c r="BA100" s="1"/>
  <c r="AP425" i="1037"/>
  <c r="DJ425" s="1"/>
  <c r="DC68" i="939"/>
  <c r="DB68"/>
  <c r="AY20" i="1059"/>
  <c r="AX20"/>
  <c r="AL20" i="1052"/>
  <c r="AG10876" i="967"/>
  <c r="AI10876" s="1"/>
  <c r="AB10878"/>
  <c r="DB12" i="939"/>
  <c r="CY32"/>
  <c r="BL19" i="1059"/>
  <c r="BN19"/>
  <c r="P31" i="1001"/>
  <c r="N31" s="1"/>
  <c r="J31" s="1"/>
  <c r="BA31" s="1"/>
  <c r="AJ10875" i="967"/>
  <c r="AJ10877"/>
  <c r="AE10878"/>
  <c r="AF10878"/>
  <c r="AM422" i="1037"/>
  <c r="DH422"/>
  <c r="AE10875" i="967"/>
  <c r="AK10875"/>
  <c r="AK10877" s="1"/>
  <c r="AJ10878"/>
  <c r="AE10876"/>
  <c r="AF10876" s="1"/>
  <c r="AK10876"/>
  <c r="AG10875"/>
  <c r="AG10877" s="1"/>
  <c r="AM425" i="1037"/>
  <c r="DI425" s="1"/>
  <c r="AJ6209" i="967"/>
  <c r="AY417" i="1037"/>
  <c r="DQ417" s="1"/>
  <c r="AJ10876" i="967"/>
  <c r="AL10876" s="1"/>
  <c r="AK10878"/>
  <c r="AK11067"/>
  <c r="AE11067"/>
  <c r="AF11067" s="1"/>
  <c r="AE11066"/>
  <c r="AF11066" s="1"/>
  <c r="AG11065"/>
  <c r="AI11065" s="1"/>
  <c r="AE10893"/>
  <c r="AE10890"/>
  <c r="AF10890" s="1"/>
  <c r="AE10887"/>
  <c r="AE10884"/>
  <c r="AE10882" s="1"/>
  <c r="Q125" i="1002"/>
  <c r="P126"/>
  <c r="J127"/>
  <c r="Q126"/>
  <c r="M126"/>
  <c r="L128"/>
  <c r="J126"/>
  <c r="N125"/>
  <c r="AP422" i="1037"/>
  <c r="DK422" s="1"/>
  <c r="AS422"/>
  <c r="AV422"/>
  <c r="AV417"/>
  <c r="DN417" s="1"/>
  <c r="AK11065" i="967"/>
  <c r="AE11065"/>
  <c r="AF11065"/>
  <c r="AJ10890"/>
  <c r="AJ10884"/>
  <c r="AL10884" s="1"/>
  <c r="Q127" i="1002"/>
  <c r="L125"/>
  <c r="P127"/>
  <c r="M127"/>
  <c r="AY425" i="1037"/>
  <c r="DP425" s="1"/>
  <c r="AG6209" i="967"/>
  <c r="AI6209" s="1"/>
  <c r="AY426" i="1037"/>
  <c r="DQ426" s="1"/>
  <c r="AG11067" i="967"/>
  <c r="AI11067" s="1"/>
  <c r="AG11066"/>
  <c r="AI11066" s="1"/>
  <c r="AJ11065"/>
  <c r="AL11065" s="1"/>
  <c r="AG10893"/>
  <c r="AG10890"/>
  <c r="AG10888" s="1"/>
  <c r="AI10888" s="1"/>
  <c r="AG10887"/>
  <c r="AI10887" s="1"/>
  <c r="AG10884"/>
  <c r="AG10882" s="1"/>
  <c r="AI10882" s="1"/>
  <c r="O126" i="1002"/>
  <c r="K125"/>
  <c r="P128"/>
  <c r="O127"/>
  <c r="O128"/>
  <c r="N127"/>
  <c r="J125"/>
  <c r="J128"/>
  <c r="AV426" i="1037"/>
  <c r="DN426" s="1"/>
  <c r="AP417"/>
  <c r="AV425"/>
  <c r="DN425" s="1"/>
  <c r="AJ11066" i="967"/>
  <c r="AJ10893"/>
  <c r="AJ10887"/>
  <c r="Q128" i="1002"/>
  <c r="P125"/>
  <c r="N126"/>
  <c r="K127"/>
  <c r="AY422" i="1037"/>
  <c r="AP426"/>
  <c r="DJ426" s="1"/>
  <c r="AM426"/>
  <c r="AJ11067" i="967"/>
  <c r="AL11067" s="1"/>
  <c r="AK11066"/>
  <c r="AL11066" s="1"/>
  <c r="AK10893"/>
  <c r="AK10891"/>
  <c r="AK10890"/>
  <c r="AK10888"/>
  <c r="AK10887"/>
  <c r="AK10885"/>
  <c r="AK10884"/>
  <c r="AK10881"/>
  <c r="M125" i="1002"/>
  <c r="N128"/>
  <c r="K128"/>
  <c r="M128"/>
  <c r="O125"/>
  <c r="L127"/>
  <c r="L126"/>
  <c r="K126"/>
  <c r="AS426" i="1037"/>
  <c r="AK6209" i="967"/>
  <c r="AE6209"/>
  <c r="AF6209"/>
  <c r="AS417" i="1037"/>
  <c r="AS425"/>
  <c r="DL425" s="1"/>
  <c r="AM417"/>
  <c r="AG10878" i="967"/>
  <c r="AI10878" s="1"/>
  <c r="AV463" i="1037"/>
  <c r="EL463" s="1"/>
  <c r="AB10875" i="967"/>
  <c r="AB10877" s="1"/>
  <c r="AQ463" i="1037"/>
  <c r="AA6209" i="967"/>
  <c r="V11067"/>
  <c r="W11067" s="1"/>
  <c r="X11066"/>
  <c r="Z11066" s="1"/>
  <c r="AB11065"/>
  <c r="X11065"/>
  <c r="Z11065" s="1"/>
  <c r="AA10893"/>
  <c r="AA10891" s="1"/>
  <c r="AA10890"/>
  <c r="AA10887"/>
  <c r="AC10887" s="1"/>
  <c r="AA10884"/>
  <c r="U126" i="1001"/>
  <c r="AB125"/>
  <c r="S126"/>
  <c r="O126"/>
  <c r="K126"/>
  <c r="AA126"/>
  <c r="U125"/>
  <c r="AB126"/>
  <c r="AA125"/>
  <c r="Q126"/>
  <c r="R125"/>
  <c r="S127"/>
  <c r="AA128"/>
  <c r="M125"/>
  <c r="M128"/>
  <c r="AQ474" i="1037"/>
  <c r="EI474" s="1"/>
  <c r="BZ471"/>
  <c r="AV454"/>
  <c r="EM454" s="1"/>
  <c r="AV470"/>
  <c r="DK470" s="1"/>
  <c r="BK454"/>
  <c r="EN454" s="1"/>
  <c r="AA11067" i="967"/>
  <c r="AC11067" s="1"/>
  <c r="V10890"/>
  <c r="V10888"/>
  <c r="V10884"/>
  <c r="T128" i="1001"/>
  <c r="AE125"/>
  <c r="P127"/>
  <c r="L128"/>
  <c r="P128"/>
  <c r="T126"/>
  <c r="X11067" i="967"/>
  <c r="Z11067" s="1"/>
  <c r="AA11066"/>
  <c r="AB10893"/>
  <c r="AB10891" s="1"/>
  <c r="AB10890"/>
  <c r="AB10888" s="1"/>
  <c r="AB10887"/>
  <c r="AB10885" s="1"/>
  <c r="AB10884"/>
  <c r="AD127" i="1001"/>
  <c r="L126"/>
  <c r="S125"/>
  <c r="M126"/>
  <c r="W127"/>
  <c r="Z125"/>
  <c r="W126"/>
  <c r="O125"/>
  <c r="N127"/>
  <c r="R127"/>
  <c r="R128"/>
  <c r="L125"/>
  <c r="Z128"/>
  <c r="AD125"/>
  <c r="Q127"/>
  <c r="R126"/>
  <c r="P126"/>
  <c r="P125"/>
  <c r="AB6209" i="967"/>
  <c r="BZ454" i="1037"/>
  <c r="AQ458"/>
  <c r="DH458" s="1"/>
  <c r="AB11066" i="967"/>
  <c r="V10887"/>
  <c r="AE127" i="1001"/>
  <c r="AA127"/>
  <c r="Z127"/>
  <c r="O127"/>
  <c r="W125"/>
  <c r="AQ475" i="1037"/>
  <c r="EH475"/>
  <c r="AB11067" i="967"/>
  <c r="V11066"/>
  <c r="W11066" s="1"/>
  <c r="V11065"/>
  <c r="W11065" s="1"/>
  <c r="X10893"/>
  <c r="Z10893" s="1"/>
  <c r="X10890"/>
  <c r="X10887"/>
  <c r="Z10887" s="1"/>
  <c r="X10884"/>
  <c r="Z10884" s="1"/>
  <c r="W128" i="1001"/>
  <c r="M127"/>
  <c r="AC128"/>
  <c r="K128"/>
  <c r="K125"/>
  <c r="N128"/>
  <c r="T127"/>
  <c r="AC127"/>
  <c r="AB127"/>
  <c r="AC125"/>
  <c r="Z126"/>
  <c r="O128"/>
  <c r="U128"/>
  <c r="AC126"/>
  <c r="AB128"/>
  <c r="T125"/>
  <c r="N125"/>
  <c r="N126"/>
  <c r="J125"/>
  <c r="X6209" i="967"/>
  <c r="Z6209" s="1"/>
  <c r="BK470" i="1037"/>
  <c r="DM470" s="1"/>
  <c r="AQ467"/>
  <c r="BK463"/>
  <c r="EN463" s="1"/>
  <c r="AQ471"/>
  <c r="DH471" s="1"/>
  <c r="BZ463"/>
  <c r="BK471"/>
  <c r="AQ454"/>
  <c r="CN454" s="1"/>
  <c r="AA11065" i="967"/>
  <c r="V10893"/>
  <c r="W10893" s="1"/>
  <c r="Q125" i="1001"/>
  <c r="U127"/>
  <c r="K127"/>
  <c r="S128"/>
  <c r="Q128"/>
  <c r="L127"/>
  <c r="V6209" i="967"/>
  <c r="W6209"/>
  <c r="AA10876"/>
  <c r="AB10876"/>
  <c r="AC10876" s="1"/>
  <c r="X10876"/>
  <c r="Z10876"/>
  <c r="V10878"/>
  <c r="W10878"/>
  <c r="X10875"/>
  <c r="X10877"/>
  <c r="X10834" s="1"/>
  <c r="Z10834" s="1"/>
  <c r="BZ470" i="1037"/>
  <c r="V10875" i="967"/>
  <c r="W10875" s="1"/>
  <c r="X10878"/>
  <c r="Z10878" s="1"/>
  <c r="AA10878"/>
  <c r="V10876"/>
  <c r="W10876"/>
  <c r="AQ470" i="1037"/>
  <c r="AV471"/>
  <c r="EM471" s="1"/>
  <c r="AA10875" i="967"/>
  <c r="CP20" i="1059"/>
  <c r="DH19" i="1056"/>
  <c r="CP20" i="1057"/>
  <c r="CQ20" i="1059"/>
  <c r="CO20" i="1054"/>
  <c r="AP150" i="1095"/>
  <c r="AP141" i="1094"/>
  <c r="AP150" i="1093"/>
  <c r="DQ19" i="1052"/>
  <c r="AP19" i="1058"/>
  <c r="AO19" s="1"/>
  <c r="AY19" i="1052"/>
  <c r="DG19"/>
  <c r="DJ19" i="1058"/>
  <c r="DO19" i="1052"/>
  <c r="DI19" i="1058"/>
  <c r="DM19" i="1052"/>
  <c r="DL19" i="1056"/>
  <c r="DH19" i="1058"/>
  <c r="AM19" i="1056"/>
  <c r="AL19" s="1"/>
  <c r="AV19" i="1052"/>
  <c r="AU19" s="1"/>
  <c r="DH19"/>
  <c r="DL19"/>
  <c r="DO19" i="1058"/>
  <c r="AM19" i="1052"/>
  <c r="DL19" i="1058"/>
  <c r="AS19" i="1056"/>
  <c r="DN19"/>
  <c r="AV19"/>
  <c r="AT19" s="1"/>
  <c r="DP19"/>
  <c r="DQ19"/>
  <c r="AY19"/>
  <c r="AX19" s="1"/>
  <c r="DJ19" i="1052"/>
  <c r="AP19"/>
  <c r="AO19" s="1"/>
  <c r="DG19" i="1056"/>
  <c r="DP19" i="1058"/>
  <c r="AY19"/>
  <c r="AW19" s="1"/>
  <c r="DJ19" i="1056"/>
  <c r="AP19"/>
  <c r="DF19" i="1058"/>
  <c r="CP19" i="1054"/>
  <c r="AP156" i="1093"/>
  <c r="AP153" i="1094"/>
  <c r="CO19" i="1059"/>
  <c r="AP144" i="1095"/>
  <c r="AP15" i="1005"/>
  <c r="BK20" i="1059"/>
  <c r="AP156" i="1094"/>
  <c r="AP161" i="1092"/>
  <c r="CN20" i="1057"/>
  <c r="AP162" i="1092"/>
  <c r="AP163"/>
  <c r="AP153" i="1095"/>
  <c r="AP159"/>
  <c r="AP159" i="1093"/>
  <c r="AP15" i="1006"/>
  <c r="AP153" i="1093"/>
  <c r="AP17" i="1006"/>
  <c r="AP18" i="1005"/>
  <c r="BK19" i="1059"/>
  <c r="BM10" s="1"/>
  <c r="AV19"/>
  <c r="AP144" i="1093"/>
  <c r="AP156" i="1095"/>
  <c r="AP159" i="1094"/>
  <c r="BZ20" i="1059"/>
  <c r="AP15" i="1007"/>
  <c r="AQ19" i="1057"/>
  <c r="AQ19" i="1059"/>
  <c r="BZ19"/>
  <c r="BY19" s="1"/>
  <c r="AP17" i="1007"/>
  <c r="AC10878" i="967"/>
  <c r="AP18" i="1007"/>
  <c r="DI422" i="1037"/>
  <c r="AE425"/>
  <c r="AJ10888" i="967"/>
  <c r="AJ10885"/>
  <c r="AL10887"/>
  <c r="AI10890"/>
  <c r="DM417" i="1037"/>
  <c r="DL417"/>
  <c r="AK10882" i="967"/>
  <c r="DP422" i="1037"/>
  <c r="DO425"/>
  <c r="AG10885" i="967"/>
  <c r="AI10885" s="1"/>
  <c r="DQ425" i="1037"/>
  <c r="DJ422"/>
  <c r="AF10893" i="967"/>
  <c r="AE10891"/>
  <c r="AF10891"/>
  <c r="DJ417" i="1037"/>
  <c r="DE425"/>
  <c r="DL426"/>
  <c r="AI10884" i="967"/>
  <c r="DL422" i="1037"/>
  <c r="AE10877" i="967"/>
  <c r="AF10875"/>
  <c r="Y417" i="1037"/>
  <c r="Z417" s="1"/>
  <c r="CN475"/>
  <c r="CM475" s="1"/>
  <c r="EI475"/>
  <c r="EP463"/>
  <c r="EV454"/>
  <c r="W10884" i="967"/>
  <c r="ET470" i="1037"/>
  <c r="EL470"/>
  <c r="AA10885" i="967"/>
  <c r="AC10885" s="1"/>
  <c r="EK467" i="1037"/>
  <c r="DM454"/>
  <c r="EK454"/>
  <c r="DH454"/>
  <c r="DI454"/>
  <c r="EU463"/>
  <c r="DN471"/>
  <c r="EQ471"/>
  <c r="CJ471"/>
  <c r="CQ471" s="1"/>
  <c r="EV471"/>
  <c r="EP471"/>
  <c r="DO471"/>
  <c r="EP470"/>
  <c r="DH474"/>
  <c r="EH474"/>
  <c r="DI471"/>
  <c r="EJ471"/>
  <c r="CN471"/>
  <c r="W10887" i="967"/>
  <c r="AA10888"/>
  <c r="DF19" i="1056"/>
  <c r="AG20" i="1059"/>
  <c r="AD11" s="1"/>
  <c r="DF19" i="1052"/>
  <c r="CQ20" i="1057"/>
  <c r="CM20" i="1059"/>
  <c r="AP142" i="1095"/>
  <c r="CO20" i="1059"/>
  <c r="AP141" i="1095"/>
  <c r="AP82"/>
  <c r="AP102"/>
  <c r="AP48"/>
  <c r="DG19" i="1058"/>
  <c r="AP148" i="1094"/>
  <c r="CQ19" i="1054"/>
  <c r="CQ19" i="1059"/>
  <c r="AP151" i="1095"/>
  <c r="CP19" i="1059"/>
  <c r="AP141" i="1093"/>
  <c r="AP154" i="1095"/>
  <c r="AP151" i="1093"/>
  <c r="AP157" i="1095"/>
  <c r="AP151" i="1094"/>
  <c r="AP157"/>
  <c r="AP147" i="1095"/>
  <c r="AP147" i="1093"/>
  <c r="AP154"/>
  <c r="AP147" i="1094"/>
  <c r="AP157" i="1093"/>
  <c r="BG19" i="1059"/>
  <c r="AG19"/>
  <c r="AP17" i="1005"/>
  <c r="AP17" i="1092"/>
  <c r="AP154" i="1094"/>
  <c r="AP142" i="1093"/>
  <c r="BV20" i="1059"/>
  <c r="AP150" i="1094"/>
  <c r="AP142"/>
  <c r="AP18" i="1006"/>
  <c r="CM19" i="1059"/>
  <c r="CN19"/>
  <c r="AP53" i="1094"/>
  <c r="AP54"/>
  <c r="AC20" i="1059"/>
  <c r="AP95" i="1094"/>
  <c r="AP114" i="1095"/>
  <c r="AP105"/>
  <c r="AP53"/>
  <c r="AP20"/>
  <c r="AP98"/>
  <c r="AP71" i="1004"/>
  <c r="AP48" i="1094"/>
  <c r="AP106"/>
  <c r="AP92"/>
  <c r="AP148" i="1093"/>
  <c r="AP51" i="1095"/>
  <c r="AP111"/>
  <c r="AP92"/>
  <c r="AP104"/>
  <c r="AP91"/>
  <c r="AP95"/>
  <c r="AP100" i="1004"/>
  <c r="AP82" i="1094"/>
  <c r="AP90" i="1095"/>
  <c r="AP74" i="1094"/>
  <c r="AP113"/>
  <c r="AP112" i="1095"/>
  <c r="AP96"/>
  <c r="AP65"/>
  <c r="AP98" i="1094"/>
  <c r="AP77" i="1095"/>
  <c r="AP101" i="1094"/>
  <c r="AP47"/>
  <c r="AP46" i="1095"/>
  <c r="AP84"/>
  <c r="AP52"/>
  <c r="AP106"/>
  <c r="AP92" i="1093"/>
  <c r="AP94" i="1004"/>
  <c r="AP94" i="1093"/>
  <c r="AP21" i="1094"/>
  <c r="AP83" i="1093"/>
  <c r="AP97"/>
  <c r="AP91"/>
  <c r="AP21" i="1095"/>
  <c r="AP113"/>
  <c r="AP48" i="1093"/>
  <c r="AP100" i="1095"/>
  <c r="AP103" i="1093"/>
  <c r="AP96" i="1094"/>
  <c r="AP84"/>
  <c r="AP20"/>
  <c r="AP146" i="1093"/>
  <c r="AP146" i="1094"/>
  <c r="AP103"/>
  <c r="AP148" i="1095"/>
  <c r="AP114" i="1094"/>
  <c r="AP83"/>
  <c r="AP146" i="1095"/>
  <c r="AB19" i="1059"/>
  <c r="AP102" i="1094"/>
  <c r="AP103" i="1095"/>
  <c r="AP107" i="1094"/>
  <c r="AP97" i="1095"/>
  <c r="AP91" i="1094"/>
  <c r="AP101" i="1095"/>
  <c r="AP54"/>
  <c r="AP71"/>
  <c r="AP108"/>
  <c r="AP51" i="1094"/>
  <c r="AP65"/>
  <c r="AP108"/>
  <c r="AP83" i="1095"/>
  <c r="AP105" i="1094"/>
  <c r="AP97"/>
  <c r="AP85" i="1095"/>
  <c r="AP111" i="1094"/>
  <c r="AP52"/>
  <c r="AP107" i="1095"/>
  <c r="AP46" i="1094"/>
  <c r="AP77"/>
  <c r="AP71"/>
  <c r="AP74" i="1095"/>
  <c r="AP47"/>
  <c r="AP112" i="1094"/>
  <c r="AP90"/>
  <c r="AP85"/>
  <c r="AP104"/>
  <c r="AP55"/>
  <c r="AP49"/>
  <c r="AP99"/>
  <c r="AP112" i="1004"/>
  <c r="AP105"/>
  <c r="AP77"/>
  <c r="AP110" i="1095"/>
  <c r="AP59" i="1004"/>
  <c r="AP85"/>
  <c r="AP94" i="1094"/>
  <c r="AP74" i="1004"/>
  <c r="AP84" i="1093"/>
  <c r="AP85"/>
  <c r="AP74"/>
  <c r="AP103" i="1004"/>
  <c r="AP20" i="1093"/>
  <c r="AP80" i="1095"/>
  <c r="AP98" i="1004"/>
  <c r="AP110"/>
  <c r="AP49" i="1095"/>
  <c r="AP96" i="1093"/>
  <c r="AP19"/>
  <c r="AP81"/>
  <c r="AP54" i="1004"/>
  <c r="AP102"/>
  <c r="AP104" i="1093"/>
  <c r="AP108" i="1004"/>
  <c r="AP82"/>
  <c r="AP109"/>
  <c r="AP93" i="1095"/>
  <c r="AP50" i="1004"/>
  <c r="AP96"/>
  <c r="AP47" i="1093"/>
  <c r="AP51" i="1004"/>
  <c r="AP50" i="1093"/>
  <c r="AP20" i="1004"/>
  <c r="AP110" i="1093"/>
  <c r="AP107"/>
  <c r="AP19" i="1095"/>
  <c r="AP19" i="1094"/>
  <c r="AP108" i="1093"/>
  <c r="AP71"/>
  <c r="AP91" i="1004"/>
  <c r="AP82" i="1093"/>
  <c r="AP55" i="1095"/>
  <c r="AP95" i="1093"/>
  <c r="AP105"/>
  <c r="AP77"/>
  <c r="AP94" i="1095"/>
  <c r="AP59" i="1094"/>
  <c r="AP106" i="1093"/>
  <c r="AP59" i="1095"/>
  <c r="AP111" i="1093"/>
  <c r="AP53" i="1004"/>
  <c r="AP106"/>
  <c r="AP97"/>
  <c r="AP109" i="1095"/>
  <c r="AP114" i="1093"/>
  <c r="AP81" i="1094"/>
  <c r="AP104" i="1004"/>
  <c r="AP52"/>
  <c r="AP112" i="1093"/>
  <c r="AP21"/>
  <c r="AP46"/>
  <c r="AP50" i="1094"/>
  <c r="AP111" i="1004"/>
  <c r="AP81"/>
  <c r="AP65"/>
  <c r="AP50" i="1095"/>
  <c r="AP100" i="1093"/>
  <c r="AP81" i="1095"/>
  <c r="AP90" i="1004"/>
  <c r="AP54" i="1093"/>
  <c r="AP110" i="1094"/>
  <c r="AP98" i="1093"/>
  <c r="AP19" i="1004"/>
  <c r="AP65" i="1093"/>
  <c r="AP113"/>
  <c r="AP101"/>
  <c r="AP47" i="1004"/>
  <c r="AP102" i="1093"/>
  <c r="AP59"/>
  <c r="AP51"/>
  <c r="AP90"/>
  <c r="AP52"/>
  <c r="AP53"/>
  <c r="AP100" i="1094"/>
  <c r="AP93"/>
  <c r="AP21" i="1004"/>
  <c r="AP107"/>
  <c r="AP84"/>
  <c r="AP83"/>
  <c r="AP114"/>
  <c r="AP99" i="1095"/>
  <c r="AP101" i="1004"/>
  <c r="AP113"/>
  <c r="AP46"/>
  <c r="AP48"/>
  <c r="AP109" i="1094"/>
  <c r="AP92" i="1004"/>
  <c r="AP95"/>
  <c r="AP80" i="1094"/>
  <c r="AP18" i="1095"/>
  <c r="AP109" i="1093"/>
  <c r="AP17" i="1094"/>
  <c r="AP55" i="1093"/>
  <c r="AP93" i="1004"/>
  <c r="AP99"/>
  <c r="AP80" i="1093"/>
  <c r="AP49"/>
  <c r="AP80" i="1004"/>
  <c r="AP99" i="1093"/>
  <c r="AP18" i="1004"/>
  <c r="AP18" i="1094"/>
  <c r="AP18" i="1093"/>
  <c r="AP93"/>
  <c r="AP55" i="1004"/>
  <c r="AP17" i="1095"/>
  <c r="AP49" i="1004"/>
  <c r="AP17"/>
  <c r="AP17" i="1093"/>
  <c r="BD20" i="1054"/>
  <c r="AL20"/>
  <c r="AJ20" s="1"/>
  <c r="DU20"/>
  <c r="DR20"/>
  <c r="DW20"/>
  <c r="CQ20"/>
  <c r="AV20"/>
  <c r="AG20"/>
  <c r="AB11" s="1"/>
  <c r="CE19"/>
  <c r="DX19"/>
  <c r="CK19"/>
  <c r="EG19"/>
  <c r="DR19"/>
  <c r="EB19"/>
  <c r="EC19"/>
  <c r="EA19"/>
  <c r="CI19"/>
  <c r="BA19"/>
  <c r="AX19" s="1"/>
  <c r="BZ19"/>
  <c r="AG19"/>
  <c r="AC19" s="1"/>
  <c r="BD19" i="1057"/>
  <c r="BB19" s="1"/>
  <c r="DU19"/>
  <c r="DW19"/>
  <c r="DX19"/>
  <c r="EE19"/>
  <c r="BE19"/>
  <c r="EC19"/>
  <c r="CO19"/>
  <c r="CN19"/>
  <c r="BS19"/>
  <c r="DZ19"/>
  <c r="BA19"/>
  <c r="DY19"/>
  <c r="DL18" i="1062"/>
  <c r="DQ18"/>
  <c r="DN18"/>
  <c r="DF18"/>
  <c r="AM18"/>
  <c r="AL18" s="1"/>
  <c r="DR18"/>
  <c r="DS18"/>
  <c r="DG18"/>
  <c r="DP18"/>
  <c r="DM18"/>
  <c r="AY18"/>
  <c r="AM20" i="1056"/>
  <c r="DI20"/>
  <c r="DP20"/>
  <c r="DF20"/>
  <c r="AS20"/>
  <c r="DO20"/>
  <c r="AV20"/>
  <c r="DH20"/>
  <c r="DM20"/>
  <c r="AJ20" i="1058"/>
  <c r="AH20" s="1"/>
  <c r="AV20"/>
  <c r="AB20" s="1"/>
  <c r="AP20"/>
  <c r="DN20"/>
  <c r="DS20"/>
  <c r="DP20"/>
  <c r="DQ20"/>
  <c r="DM20"/>
  <c r="DI20"/>
  <c r="DL20"/>
  <c r="BI19" i="1059"/>
  <c r="BB19"/>
  <c r="CH20"/>
  <c r="CG20"/>
  <c r="EE20"/>
  <c r="EA20"/>
  <c r="DS20"/>
  <c r="CK20"/>
  <c r="DP20"/>
  <c r="CN20"/>
  <c r="AV20"/>
  <c r="AQ20"/>
  <c r="AM20" s="1"/>
  <c r="DV20"/>
  <c r="EF20"/>
  <c r="DZ20"/>
  <c r="BT20"/>
  <c r="AL20"/>
  <c r="DY20"/>
  <c r="AA10"/>
  <c r="BK19" i="1057"/>
  <c r="BI19" s="1"/>
  <c r="BK20" i="1054"/>
  <c r="BH20"/>
  <c r="CK19" i="1057"/>
  <c r="DY20" i="1054"/>
  <c r="BS20"/>
  <c r="DY19"/>
  <c r="DQ19"/>
  <c r="EF18" i="1065"/>
  <c r="DZ18"/>
  <c r="DO18" i="1062"/>
  <c r="AO18" i="1061"/>
  <c r="DK18" i="1062"/>
  <c r="CN19" i="1054"/>
  <c r="CP19" i="1057"/>
  <c r="BZ19"/>
  <c r="AV19" i="1054"/>
  <c r="CQ19" i="1057"/>
  <c r="AQ19" i="1054"/>
  <c r="AX20" i="1052"/>
  <c r="AW20" i="1059"/>
  <c r="AK19" i="1057"/>
  <c r="BR20"/>
  <c r="CD18" i="1064"/>
  <c r="ED19" i="1057"/>
  <c r="BT19"/>
  <c r="DQ19"/>
  <c r="CC18" i="1064"/>
  <c r="BE20" i="1054"/>
  <c r="DS20"/>
  <c r="DT19"/>
  <c r="DT20"/>
  <c r="ED19"/>
  <c r="ED20"/>
  <c r="CI20"/>
  <c r="BE19"/>
  <c r="DX20"/>
  <c r="DO20" i="1058"/>
  <c r="DH20"/>
  <c r="DV20" i="1054"/>
  <c r="CE19" i="1057"/>
  <c r="BP19" i="1054"/>
  <c r="BO19" s="1"/>
  <c r="DQ20" i="1056"/>
  <c r="DS20"/>
  <c r="DS18" i="1065"/>
  <c r="DQ18"/>
  <c r="BE18"/>
  <c r="AM18" i="1061"/>
  <c r="DR18"/>
  <c r="DF18"/>
  <c r="DN18"/>
  <c r="AP18" i="1062"/>
  <c r="AV18"/>
  <c r="DK20" i="1058"/>
  <c r="AD19" i="1059"/>
  <c r="AW20" i="1056"/>
  <c r="AX20"/>
  <c r="BN18" i="1065"/>
  <c r="BL18"/>
  <c r="DJ18" i="1061"/>
  <c r="DL18"/>
  <c r="DS18"/>
  <c r="DK18"/>
  <c r="DH18"/>
  <c r="DQ18"/>
  <c r="AY18"/>
  <c r="DE18" s="1"/>
  <c r="DP18"/>
  <c r="DO18"/>
  <c r="DI18"/>
  <c r="EC18" i="1065"/>
  <c r="CI18"/>
  <c r="BA18"/>
  <c r="AX18" s="1"/>
  <c r="DU18"/>
  <c r="CK18"/>
  <c r="BT18"/>
  <c r="EE18"/>
  <c r="DX18"/>
  <c r="DP18"/>
  <c r="EG18"/>
  <c r="BD18"/>
  <c r="BC18"/>
  <c r="EB18"/>
  <c r="AB20" i="1059"/>
  <c r="AT19" i="1052"/>
  <c r="AA19" i="1059"/>
  <c r="AG19" i="1057"/>
  <c r="CB11" i="1059"/>
  <c r="CM19" i="1054"/>
  <c r="CM20"/>
  <c r="AV19" i="1057"/>
  <c r="AQ20" i="1054"/>
  <c r="CO19"/>
  <c r="CP20"/>
  <c r="BC20" i="1059"/>
  <c r="BZ20" i="1054"/>
  <c r="DR19" i="1057"/>
  <c r="EB19"/>
  <c r="EG20" i="1054"/>
  <c r="DV19"/>
  <c r="BD19"/>
  <c r="DU19"/>
  <c r="DZ19"/>
  <c r="DQ20"/>
  <c r="BS18" i="1065"/>
  <c r="BR18"/>
  <c r="AL18"/>
  <c r="AK18"/>
  <c r="DJ18" i="1062"/>
  <c r="DI18"/>
  <c r="AK18" i="1064"/>
  <c r="DV18" i="1065"/>
  <c r="AB10" i="1059"/>
  <c r="CM19" i="1057"/>
  <c r="BK19" i="1054"/>
  <c r="CN20"/>
  <c r="BO19" i="1057"/>
  <c r="AW20" i="1052"/>
  <c r="CA18" i="1064"/>
  <c r="EG19" i="1057"/>
  <c r="CI19"/>
  <c r="DP19"/>
  <c r="EE19" i="1054"/>
  <c r="AL19"/>
  <c r="CE20"/>
  <c r="BT20"/>
  <c r="DZ20"/>
  <c r="BS19"/>
  <c r="CK20"/>
  <c r="CH20"/>
  <c r="EF20"/>
  <c r="DJ20" i="1058"/>
  <c r="DW19" i="1054"/>
  <c r="EB20"/>
  <c r="DV19" i="1057"/>
  <c r="DS19" i="1054"/>
  <c r="BA20"/>
  <c r="DR20" i="1058"/>
  <c r="AM20"/>
  <c r="AL20" s="1"/>
  <c r="DN20" i="1056"/>
  <c r="DJ20"/>
  <c r="BM18" i="1065"/>
  <c r="AP20" i="1056"/>
  <c r="CH18" i="1065"/>
  <c r="CG18" s="1"/>
  <c r="DL20" i="1056"/>
  <c r="DY18" i="1065"/>
  <c r="AJ18" i="1061"/>
  <c r="AH18" s="1"/>
  <c r="AJ18" i="1062"/>
  <c r="AH18" s="1"/>
  <c r="AS18"/>
  <c r="DG18" i="1061"/>
  <c r="AS19" i="1058"/>
  <c r="DQ19"/>
  <c r="AV19"/>
  <c r="AT19" s="1"/>
  <c r="DJ18" i="1060"/>
  <c r="BA18" i="1063"/>
  <c r="DM18" i="1060"/>
  <c r="CK18" i="1063"/>
  <c r="AQ162" i="1037"/>
  <c r="AG9" i="995"/>
  <c r="AK15" i="1056"/>
  <c r="AO880" i="946"/>
  <c r="AE14" i="1061"/>
  <c r="AP15" i="993"/>
  <c r="AE14" i="1052"/>
  <c r="AT15" i="1062"/>
  <c r="AJ14" i="1052"/>
  <c r="AN15" i="993"/>
  <c r="AE14" i="992"/>
  <c r="AO883" i="947"/>
  <c r="AA411" i="1037"/>
  <c r="AJ14" i="1058"/>
  <c r="AM15"/>
  <c r="AT412" i="1037"/>
  <c r="AO880" i="947"/>
  <c r="AV15" i="1061"/>
  <c r="AC14" i="991"/>
  <c r="AK15" i="1062"/>
  <c r="Y14" i="1058"/>
  <c r="AO883" i="945"/>
  <c r="AO880"/>
  <c r="AY15" i="992"/>
  <c r="AM15" i="1062"/>
  <c r="AO886" i="947"/>
  <c r="AM15" i="992"/>
  <c r="AN162" i="1037"/>
  <c r="AS15" i="1060"/>
  <c r="AN15" i="1052"/>
  <c r="AM15" i="1060"/>
  <c r="AK162" i="1037"/>
  <c r="AQ15" i="1060"/>
  <c r="AK15" i="1058"/>
  <c r="AO889" i="947"/>
  <c r="AF411" i="1037"/>
  <c r="AA14" i="1052"/>
  <c r="AW15"/>
  <c r="O3962" i="967"/>
  <c r="AF14" i="991"/>
  <c r="AE14"/>
  <c r="AS15" i="992"/>
  <c r="O3965" i="967"/>
  <c r="AA14" i="1060"/>
  <c r="AA14" i="991"/>
  <c r="AW15"/>
  <c r="AY15" i="1052"/>
  <c r="O9579" i="967"/>
  <c r="AC9577"/>
  <c r="AC9575" s="1"/>
  <c r="AC9580"/>
  <c r="AC9578" s="1"/>
  <c r="AC9571"/>
  <c r="AC9568" s="1"/>
  <c r="AC9574"/>
  <c r="AC9572" s="1"/>
  <c r="AT15" i="1058"/>
  <c r="AS15" i="1061"/>
  <c r="O9573" i="967"/>
  <c r="AV15" i="1056"/>
  <c r="AT15" i="993"/>
  <c r="AA14" i="1061"/>
  <c r="AA14" i="993"/>
  <c r="AA14" i="1058"/>
  <c r="AP15" i="1062"/>
  <c r="AW15" i="1061"/>
  <c r="Y411" i="1037"/>
  <c r="AK15" i="1061"/>
  <c r="AG9" i="996"/>
  <c r="AW15" i="1060"/>
  <c r="AC14" i="992"/>
  <c r="AY15" i="1060"/>
  <c r="AP412" i="1037"/>
  <c r="Y14" i="1056"/>
  <c r="AY15" i="993"/>
  <c r="AQ15" i="992"/>
  <c r="AA14" i="1056"/>
  <c r="Y14" i="1060"/>
  <c r="AK15" i="993"/>
  <c r="AQ15" i="1056"/>
  <c r="AJ14" i="1061"/>
  <c r="AE14" i="1062"/>
  <c r="AP162" i="1037"/>
  <c r="AT15" i="1052"/>
  <c r="AF14" i="993"/>
  <c r="AN15" i="992"/>
  <c r="AT15" i="1061"/>
  <c r="AC14" i="993"/>
  <c r="AO889" i="946"/>
  <c r="AW162" i="1037"/>
  <c r="AV15" i="1062"/>
  <c r="AY412" i="1037"/>
  <c r="AP15" i="1056"/>
  <c r="AG9" i="994"/>
  <c r="AM15" i="1052"/>
  <c r="Y14" i="1062"/>
  <c r="O9570" i="967"/>
  <c r="AS15" i="1056"/>
  <c r="AY15" i="1062"/>
  <c r="AN412" i="1037"/>
  <c r="AV15" i="1052"/>
  <c r="AW15" i="993"/>
  <c r="Y19" i="1058"/>
  <c r="BQ18" i="1065"/>
  <c r="CB11" i="1054"/>
  <c r="CC19" i="1057"/>
  <c r="CB19"/>
  <c r="CB19" i="1054"/>
  <c r="CG20"/>
  <c r="CF20"/>
  <c r="AJ18" i="1065"/>
  <c r="BL19" i="1054"/>
  <c r="CB10" i="1057"/>
  <c r="BY19"/>
  <c r="BW19"/>
  <c r="AN20" i="1059"/>
  <c r="CF20"/>
  <c r="AI20" i="1058"/>
  <c r="AK18" i="1062"/>
  <c r="BQ19" i="1057"/>
  <c r="BR19"/>
  <c r="AY19" i="1054"/>
  <c r="AK20"/>
  <c r="AU19" i="1058"/>
  <c r="AU19" i="1057"/>
  <c r="AR19"/>
  <c r="AB19"/>
  <c r="AA19"/>
  <c r="AC19"/>
  <c r="AD19"/>
  <c r="AD10"/>
  <c r="AX18" i="1061"/>
  <c r="AT18" i="1062"/>
  <c r="BQ20" i="1054"/>
  <c r="BR20"/>
  <c r="BH19" i="1057"/>
  <c r="BM10"/>
  <c r="AJ20" i="1059"/>
  <c r="AK20"/>
  <c r="AA20" i="1058"/>
  <c r="AT20"/>
  <c r="AU20" i="1056"/>
  <c r="BX19" i="1054"/>
  <c r="BY19"/>
  <c r="BV19"/>
  <c r="CB10"/>
  <c r="BW19"/>
  <c r="AR20"/>
  <c r="AS20"/>
  <c r="AO19"/>
  <c r="AN19"/>
  <c r="AS20" i="1059"/>
  <c r="AR20"/>
  <c r="AW11"/>
  <c r="AT20"/>
  <c r="AX11"/>
  <c r="AU20"/>
  <c r="AI18" i="1062"/>
  <c r="AN20" i="1056"/>
  <c r="AO20"/>
  <c r="BR19" i="1054"/>
  <c r="BQ19"/>
  <c r="BO20"/>
  <c r="BL20"/>
  <c r="BH19"/>
  <c r="BI19"/>
  <c r="BJ19"/>
  <c r="BB19"/>
  <c r="BC19"/>
  <c r="AZ19" i="1057"/>
  <c r="AB20" i="1054"/>
  <c r="AB20" i="1052"/>
  <c r="AF9569" i="967"/>
  <c r="AF9572"/>
  <c r="AF9575"/>
  <c r="AF9578"/>
  <c r="DK417" i="1037"/>
  <c r="DM426"/>
  <c r="DQ422"/>
  <c r="V10882" i="967"/>
  <c r="W10882"/>
  <c r="AF10882"/>
  <c r="V10885"/>
  <c r="W10885" s="1"/>
  <c r="AE10885"/>
  <c r="AE10888"/>
  <c r="AF10888" s="1"/>
  <c r="V10891"/>
  <c r="W10891" s="1"/>
  <c r="AC8717"/>
  <c r="EL471" i="1037"/>
  <c r="AC10884" i="967"/>
  <c r="DA4" i="939"/>
  <c r="AD20" i="1059"/>
  <c r="AC11"/>
  <c r="AP19"/>
  <c r="Y19"/>
  <c r="AC10893" i="967"/>
  <c r="DA68" i="939"/>
  <c r="DB40"/>
  <c r="AC9497" i="967"/>
  <c r="AF8710"/>
  <c r="AF9438"/>
  <c r="AP20" i="1054"/>
  <c r="AW10"/>
  <c r="AK20" i="1058"/>
  <c r="BM19" i="1054"/>
  <c r="BC19" i="1057"/>
  <c r="AL18" i="1061"/>
  <c r="AT19" i="1054"/>
  <c r="AR19"/>
  <c r="BN19"/>
  <c r="CA19"/>
  <c r="AQ20" i="1056"/>
  <c r="AA20"/>
  <c r="AV18" i="1060"/>
  <c r="AU18" s="1"/>
  <c r="BN18" i="1063"/>
  <c r="AL18"/>
  <c r="BW20" i="1059"/>
  <c r="Y20" i="1052"/>
  <c r="CL475" i="1037"/>
  <c r="AC10" i="1059"/>
  <c r="AN19" i="1052"/>
  <c r="CM20" i="1057"/>
  <c r="EJ474" i="1037"/>
  <c r="EK474"/>
  <c r="EJ458"/>
  <c r="AG470"/>
  <c r="EU454"/>
  <c r="EN470"/>
  <c r="EQ463"/>
  <c r="DI475"/>
  <c r="EK475"/>
  <c r="CN470"/>
  <c r="DK426"/>
  <c r="AA417"/>
  <c r="AB417" s="1"/>
  <c r="AE426"/>
  <c r="AV20" i="1057"/>
  <c r="CO20"/>
  <c r="AK19" i="1059"/>
  <c r="AR20" i="1052"/>
  <c r="CB18" i="1065"/>
  <c r="W3847" i="967"/>
  <c r="W3848"/>
  <c r="W3112"/>
  <c r="W3826"/>
  <c r="W3851"/>
  <c r="W3958"/>
  <c r="W3853"/>
  <c r="W3963"/>
  <c r="W3959"/>
  <c r="W3898"/>
  <c r="W3822"/>
  <c r="W3109"/>
  <c r="W3936"/>
  <c r="W3130"/>
  <c r="W3821"/>
  <c r="W3872"/>
  <c r="W3133"/>
  <c r="W3816"/>
  <c r="W3833"/>
  <c r="W3900"/>
  <c r="W3881"/>
  <c r="W3968"/>
  <c r="W3913"/>
  <c r="W3922"/>
  <c r="DX20" i="1057"/>
  <c r="BE20"/>
  <c r="ED20"/>
  <c r="AL20"/>
  <c r="DB66" i="939"/>
  <c r="DY20" i="1057"/>
  <c r="DW20"/>
  <c r="DS18" i="1060"/>
  <c r="DX18" i="1063"/>
  <c r="DR18" i="1060"/>
  <c r="AS18"/>
  <c r="AM18"/>
  <c r="DQ18" i="1063"/>
  <c r="DT18"/>
  <c r="DS18"/>
  <c r="BL18"/>
  <c r="W9567" i="967"/>
  <c r="W3828"/>
  <c r="W3129"/>
  <c r="W3890"/>
  <c r="W3899"/>
  <c r="W3907"/>
  <c r="W3858"/>
  <c r="W3111"/>
  <c r="W3911"/>
  <c r="W3949"/>
  <c r="W3928"/>
  <c r="W3843"/>
  <c r="W3824"/>
  <c r="W3888"/>
  <c r="W3835"/>
  <c r="W3951"/>
  <c r="W3876"/>
  <c r="W3852"/>
  <c r="AC3949"/>
  <c r="W3875"/>
  <c r="W3849"/>
  <c r="W3920"/>
  <c r="W3972"/>
  <c r="W3837"/>
  <c r="W3964"/>
  <c r="AC3942"/>
  <c r="DW18" i="1063"/>
  <c r="DV18"/>
  <c r="AY18" i="1060"/>
  <c r="T9419" i="967"/>
  <c r="T9418" s="1"/>
  <c r="T9526"/>
  <c r="AB10840"/>
  <c r="BM10" i="1054"/>
  <c r="CA10"/>
  <c r="AX18" i="1063"/>
  <c r="AB20" i="1056"/>
  <c r="EG18" i="1063"/>
  <c r="DO18" i="1060"/>
  <c r="CD18" i="1065"/>
  <c r="AR19" i="1056"/>
  <c r="Z20" i="1058"/>
  <c r="AD10" i="1059"/>
  <c r="CA18" i="1065"/>
  <c r="AH20" i="1056"/>
  <c r="DE20" i="1052"/>
  <c r="AC19" i="1059"/>
  <c r="BJ19"/>
  <c r="AE19" i="1056"/>
  <c r="AA10882" i="967"/>
  <c r="CN474" i="1037"/>
  <c r="EI458"/>
  <c r="EO454"/>
  <c r="BU454"/>
  <c r="CP454" s="1"/>
  <c r="CM454" s="1"/>
  <c r="EO470"/>
  <c r="EU470"/>
  <c r="DO463"/>
  <c r="DH475"/>
  <c r="AL10885" i="967"/>
  <c r="DO417" i="1037"/>
  <c r="AQ20" i="1057"/>
  <c r="AX19" i="1058"/>
  <c r="DE19" i="1052"/>
  <c r="AI19" i="1056"/>
  <c r="AC10891" i="967"/>
  <c r="AA20" i="1052"/>
  <c r="BK20" i="1057"/>
  <c r="AT20" i="1052"/>
  <c r="CG18" i="1063"/>
  <c r="W3831" i="967"/>
  <c r="W3933"/>
  <c r="W3839"/>
  <c r="W3097"/>
  <c r="W3108"/>
  <c r="W3782"/>
  <c r="W3971"/>
  <c r="W3110"/>
  <c r="W3969"/>
  <c r="W3138"/>
  <c r="W3134"/>
  <c r="W3904"/>
  <c r="W3918"/>
  <c r="W3966"/>
  <c r="W3950"/>
  <c r="W3139"/>
  <c r="W3892"/>
  <c r="W3894"/>
  <c r="W3141"/>
  <c r="W3098"/>
  <c r="W3914"/>
  <c r="W3948"/>
  <c r="W3834"/>
  <c r="W3838"/>
  <c r="AO879" i="946"/>
  <c r="CY40" i="939"/>
  <c r="AI19" i="1058"/>
  <c r="EC20" i="1057"/>
  <c r="EA20"/>
  <c r="CI20"/>
  <c r="DC60" i="939"/>
  <c r="DT20" i="1057"/>
  <c r="AQ20" i="1052"/>
  <c r="BT18" i="1063"/>
  <c r="BS18"/>
  <c r="DL18" i="1060"/>
  <c r="BD18" i="1063"/>
  <c r="BB18" s="1"/>
  <c r="BC18" i="1064"/>
  <c r="EB18" i="1063"/>
  <c r="CE18"/>
  <c r="AP18" i="1060"/>
  <c r="AO877" i="946"/>
  <c r="W3857" i="967"/>
  <c r="W3962"/>
  <c r="W3867"/>
  <c r="W3106"/>
  <c r="W3929"/>
  <c r="W3869"/>
  <c r="W3931"/>
  <c r="W3842"/>
  <c r="W3829"/>
  <c r="W3812"/>
  <c r="W3905"/>
  <c r="W3101"/>
  <c r="W3874"/>
  <c r="W3970"/>
  <c r="W3953"/>
  <c r="W3946"/>
  <c r="W3832"/>
  <c r="W3947"/>
  <c r="AC3899"/>
  <c r="W3926"/>
  <c r="W3823"/>
  <c r="W3810"/>
  <c r="W3140"/>
  <c r="W3840"/>
  <c r="W3940"/>
  <c r="DG18" i="1060"/>
  <c r="BO18" i="1063"/>
  <c r="AF2392" i="967"/>
  <c r="AO882" i="946"/>
  <c r="DQ18" i="1060"/>
  <c r="EF18" i="1063"/>
  <c r="T9493" i="967"/>
  <c r="AC9532"/>
  <c r="DE20" i="1056"/>
  <c r="DI18" i="1060"/>
  <c r="CI18" i="1063"/>
  <c r="DU18"/>
  <c r="AU18" i="1061"/>
  <c r="AG20" i="1057"/>
  <c r="AC11"/>
  <c r="DI474" i="1037"/>
  <c r="BU470"/>
  <c r="CP470" s="1"/>
  <c r="EJ475"/>
  <c r="DE417"/>
  <c r="BZ20" i="1057"/>
  <c r="AQ19" i="1052"/>
  <c r="AL10878" i="967"/>
  <c r="DD66" i="939"/>
  <c r="W3813" i="967"/>
  <c r="W3923"/>
  <c r="W3844"/>
  <c r="W3871"/>
  <c r="W3880"/>
  <c r="W3856"/>
  <c r="W3811"/>
  <c r="W3818"/>
  <c r="W3889"/>
  <c r="W3877"/>
  <c r="W3817"/>
  <c r="W3865"/>
  <c r="W3103"/>
  <c r="W3132"/>
  <c r="W3879"/>
  <c r="W3943"/>
  <c r="W3855"/>
  <c r="W3107"/>
  <c r="W3893"/>
  <c r="W3846"/>
  <c r="W3861"/>
  <c r="W3917"/>
  <c r="W3830"/>
  <c r="W3873"/>
  <c r="AO885" i="946"/>
  <c r="BP20" i="1057"/>
  <c r="BO20" s="1"/>
  <c r="EG20"/>
  <c r="EF20"/>
  <c r="BA20"/>
  <c r="DP20"/>
  <c r="CH20"/>
  <c r="DQ20"/>
  <c r="CY4" i="939"/>
  <c r="DU20" i="1057"/>
  <c r="EE18" i="1063"/>
  <c r="ED18"/>
  <c r="DK18" i="1060"/>
  <c r="DP18" i="1063"/>
  <c r="DF18" i="1060"/>
  <c r="DZ18" i="1063"/>
  <c r="BE18"/>
  <c r="W3850" i="967"/>
  <c r="W3906"/>
  <c r="W3896"/>
  <c r="W3895"/>
  <c r="W3863"/>
  <c r="W3120"/>
  <c r="W3859"/>
  <c r="W3864"/>
  <c r="W3897"/>
  <c r="W3932"/>
  <c r="W3941"/>
  <c r="W3939"/>
  <c r="W3827"/>
  <c r="W3960"/>
  <c r="W3912"/>
  <c r="W3104"/>
  <c r="W3927"/>
  <c r="W3137"/>
  <c r="AC3136"/>
  <c r="W3887"/>
  <c r="W3938"/>
  <c r="W3862"/>
  <c r="W3961"/>
  <c r="W3901"/>
  <c r="AC9523"/>
  <c r="AC10888"/>
  <c r="DG470" i="1037"/>
  <c r="EH470"/>
  <c r="AF10885" i="967"/>
  <c r="AE10880"/>
  <c r="AF10880" s="1"/>
  <c r="CA11" i="1059"/>
  <c r="CC20"/>
  <c r="Y18" i="1060"/>
  <c r="AT18"/>
  <c r="AB18"/>
  <c r="AE19" i="1052"/>
  <c r="W10890" i="967"/>
  <c r="AC10890"/>
  <c r="AA10881"/>
  <c r="AC9569"/>
  <c r="AC9567" s="1"/>
  <c r="DE19" i="1058"/>
  <c r="AR19"/>
  <c r="AA19"/>
  <c r="AI18" i="1061"/>
  <c r="BV20" i="1054"/>
  <c r="BW20"/>
  <c r="AN20" i="1058"/>
  <c r="Y18" i="1062"/>
  <c r="AX10" i="1057"/>
  <c r="AY19"/>
  <c r="AX19"/>
  <c r="AW10"/>
  <c r="AW19"/>
  <c r="AB10" i="1054"/>
  <c r="AD10"/>
  <c r="Z19"/>
  <c r="AA10"/>
  <c r="AC11"/>
  <c r="AA11"/>
  <c r="AD11"/>
  <c r="AD20"/>
  <c r="AC20"/>
  <c r="AA20"/>
  <c r="AD20" i="1057"/>
  <c r="AB11"/>
  <c r="AW10" i="1059"/>
  <c r="AT19"/>
  <c r="EQ454" i="1037"/>
  <c r="EP454"/>
  <c r="DN454"/>
  <c r="DO454"/>
  <c r="CJ454"/>
  <c r="CQ454"/>
  <c r="AB10882" i="967"/>
  <c r="AB10881"/>
  <c r="DI417" i="1037"/>
  <c r="DH417"/>
  <c r="AE422"/>
  <c r="DO422"/>
  <c r="DE422"/>
  <c r="DN422"/>
  <c r="Y422"/>
  <c r="Z422"/>
  <c r="AF10887" i="967"/>
  <c r="AE10881"/>
  <c r="AF10881" s="1"/>
  <c r="AL19" i="1058"/>
  <c r="AK19"/>
  <c r="AE19"/>
  <c r="BM20" i="1059"/>
  <c r="BL20"/>
  <c r="BO20"/>
  <c r="BN20"/>
  <c r="W9532" i="967"/>
  <c r="W9523"/>
  <c r="W9521"/>
  <c r="W9509"/>
  <c r="W9466"/>
  <c r="W9439"/>
  <c r="W8717"/>
  <c r="W9533"/>
  <c r="W9530"/>
  <c r="W9528"/>
  <c r="W9524"/>
  <c r="W9519"/>
  <c r="W9467"/>
  <c r="W9465"/>
  <c r="W9436"/>
  <c r="W9432"/>
  <c r="W9428"/>
  <c r="W9424"/>
  <c r="W9420"/>
  <c r="W8712"/>
  <c r="W8707"/>
  <c r="W9531"/>
  <c r="W9529"/>
  <c r="W9527"/>
  <c r="W9520"/>
  <c r="W9515"/>
  <c r="W9497"/>
  <c r="W9438"/>
  <c r="W8716"/>
  <c r="W8714"/>
  <c r="W8710"/>
  <c r="W9503"/>
  <c r="W9468"/>
  <c r="W9437"/>
  <c r="W8706"/>
  <c r="W9512"/>
  <c r="W9525"/>
  <c r="W9522"/>
  <c r="Z9568"/>
  <c r="BJ20" i="1054"/>
  <c r="CF18" i="1065"/>
  <c r="AL10888" i="967"/>
  <c r="DD4" i="939"/>
  <c r="CD20" i="1059"/>
  <c r="DA38" i="939"/>
  <c r="AC3948" i="967"/>
  <c r="AC3824"/>
  <c r="AC3851"/>
  <c r="W9534"/>
  <c r="AX11" i="1054"/>
  <c r="AX20"/>
  <c r="V10877" i="967"/>
  <c r="BL20" i="1057"/>
  <c r="BM20"/>
  <c r="DA12" i="939"/>
  <c r="Z9531" i="967"/>
  <c r="Z9529"/>
  <c r="Z9527"/>
  <c r="Z9522"/>
  <c r="Z9520"/>
  <c r="Z9515"/>
  <c r="Z9438"/>
  <c r="Z9390"/>
  <c r="Z8748"/>
  <c r="Z8746"/>
  <c r="Z8744"/>
  <c r="Z8742"/>
  <c r="Z8740"/>
  <c r="Z8738"/>
  <c r="Z8736"/>
  <c r="Z8720"/>
  <c r="Z8718"/>
  <c r="Z8716"/>
  <c r="Z8710"/>
  <c r="Z9532"/>
  <c r="Z9523"/>
  <c r="Z9521"/>
  <c r="Z9509"/>
  <c r="Z9497"/>
  <c r="Z9466"/>
  <c r="Z9439"/>
  <c r="Z9420"/>
  <c r="Z8717"/>
  <c r="Z9534"/>
  <c r="Z9525"/>
  <c r="Z9512"/>
  <c r="Z9503"/>
  <c r="Z9468"/>
  <c r="Z9465"/>
  <c r="Z9437"/>
  <c r="Z8715"/>
  <c r="Z8713"/>
  <c r="Z8706"/>
  <c r="Z9533"/>
  <c r="Z9524"/>
  <c r="Z9428"/>
  <c r="Z9391"/>
  <c r="Z8743"/>
  <c r="Z8728"/>
  <c r="Z8714"/>
  <c r="Z8712"/>
  <c r="Z9467"/>
  <c r="Z9519"/>
  <c r="Z9424"/>
  <c r="Z8745"/>
  <c r="Z8737"/>
  <c r="Z9530"/>
  <c r="Z9528"/>
  <c r="Z9432"/>
  <c r="Z8749"/>
  <c r="Z8741"/>
  <c r="Z8719"/>
  <c r="Z8707"/>
  <c r="DD10" i="939"/>
  <c r="CY10"/>
  <c r="BI20" i="1059"/>
  <c r="BJ20"/>
  <c r="BH20"/>
  <c r="BM11"/>
  <c r="BL11"/>
  <c r="BG20"/>
  <c r="EO471" i="1037"/>
  <c r="EN471"/>
  <c r="AG471"/>
  <c r="EJ467"/>
  <c r="DH467"/>
  <c r="DI467"/>
  <c r="EH467"/>
  <c r="EI467"/>
  <c r="CN467"/>
  <c r="CN463"/>
  <c r="DH463"/>
  <c r="EK463"/>
  <c r="DI463"/>
  <c r="EJ463"/>
  <c r="DH426"/>
  <c r="DI426"/>
  <c r="AJ10881" i="967"/>
  <c r="AL10881" s="1"/>
  <c r="AJ10891"/>
  <c r="AL10891" s="1"/>
  <c r="AL10893"/>
  <c r="DO426" i="1037"/>
  <c r="DE426"/>
  <c r="AA426"/>
  <c r="AB426" s="1"/>
  <c r="AI10893" i="967"/>
  <c r="AG10891"/>
  <c r="AI10891"/>
  <c r="AG10881"/>
  <c r="AI10881"/>
  <c r="DA40" i="939"/>
  <c r="DD40"/>
  <c r="CY38"/>
  <c r="DD38"/>
  <c r="Z8747" i="967"/>
  <c r="Z9436"/>
  <c r="AH18" i="1060"/>
  <c r="CZ68" i="939"/>
  <c r="DD32"/>
  <c r="AC3835" i="967"/>
  <c r="AC3897"/>
  <c r="AC3827"/>
  <c r="W8715"/>
  <c r="Z8739"/>
  <c r="CA20" i="1054"/>
  <c r="BM11"/>
  <c r="BG20"/>
  <c r="BI20"/>
  <c r="AB19" i="1052"/>
  <c r="Y19"/>
  <c r="AX19"/>
  <c r="AW19"/>
  <c r="AA19"/>
  <c r="CF19" i="1059"/>
  <c r="CG19"/>
  <c r="AN20" i="1052"/>
  <c r="AO20"/>
  <c r="AE20"/>
  <c r="AH20"/>
  <c r="AI20"/>
  <c r="AB18" i="1061"/>
  <c r="Z18"/>
  <c r="Y18"/>
  <c r="AQ18"/>
  <c r="X10847" i="967"/>
  <c r="Z10847" s="1"/>
  <c r="X10841"/>
  <c r="Z10841" s="1"/>
  <c r="X10837"/>
  <c r="Z10837" s="1"/>
  <c r="X10836"/>
  <c r="Z10836" s="1"/>
  <c r="X10831"/>
  <c r="Z10831" s="1"/>
  <c r="X10830"/>
  <c r="Z10830" s="1"/>
  <c r="X10824"/>
  <c r="Z10824" s="1"/>
  <c r="X10815"/>
  <c r="X10793"/>
  <c r="X10784"/>
  <c r="X10782"/>
  <c r="Z10782" s="1"/>
  <c r="X10755"/>
  <c r="Z10755" s="1"/>
  <c r="X10848"/>
  <c r="Z10848" s="1"/>
  <c r="X10844"/>
  <c r="X10842"/>
  <c r="Z10842"/>
  <c r="X10838"/>
  <c r="Z10838"/>
  <c r="X10832"/>
  <c r="Z10832"/>
  <c r="X10826"/>
  <c r="Z10826"/>
  <c r="X10825"/>
  <c r="Z10825"/>
  <c r="X10816"/>
  <c r="Z10816"/>
  <c r="X10805"/>
  <c r="Z10805"/>
  <c r="X10799"/>
  <c r="Z10799"/>
  <c r="X10785"/>
  <c r="Z10785"/>
  <c r="X10846"/>
  <c r="Z10846"/>
  <c r="X10845"/>
  <c r="Z10845"/>
  <c r="X10840"/>
  <c r="Z10840"/>
  <c r="X10835"/>
  <c r="Z10835"/>
  <c r="X10829"/>
  <c r="Z10829"/>
  <c r="X10819"/>
  <c r="Z10819"/>
  <c r="X10818"/>
  <c r="Z10818"/>
  <c r="X10811"/>
  <c r="Z10811"/>
  <c r="X10788"/>
  <c r="Z10788"/>
  <c r="X10787"/>
  <c r="Z10787"/>
  <c r="X10781"/>
  <c r="Z10781"/>
  <c r="X10754"/>
  <c r="Z10754"/>
  <c r="X10839"/>
  <c r="Z10839"/>
  <c r="X10828"/>
  <c r="X10808"/>
  <c r="Z10808" s="1"/>
  <c r="X10817"/>
  <c r="Z10817" s="1"/>
  <c r="X10786"/>
  <c r="Z10786" s="1"/>
  <c r="X10780"/>
  <c r="Z10780" s="1"/>
  <c r="X10753"/>
  <c r="X10888"/>
  <c r="Z10888"/>
  <c r="Z10890"/>
  <c r="X10881"/>
  <c r="Z10881" s="1"/>
  <c r="DJ454" i="1037"/>
  <c r="EL454"/>
  <c r="ET454"/>
  <c r="DK454"/>
  <c r="AG454"/>
  <c r="EM463"/>
  <c r="ET463"/>
  <c r="BF463"/>
  <c r="CO463" s="1"/>
  <c r="DJ463"/>
  <c r="DK463"/>
  <c r="AG463"/>
  <c r="BM11" i="1057"/>
  <c r="BG20"/>
  <c r="BI20"/>
  <c r="BL11"/>
  <c r="AZ19" i="1059"/>
  <c r="AW19"/>
  <c r="AX19"/>
  <c r="DA60" i="939"/>
  <c r="DD60"/>
  <c r="BC20" i="1057"/>
  <c r="BB20"/>
  <c r="AC3872" i="967"/>
  <c r="AC3934"/>
  <c r="AC3923"/>
  <c r="AC3961"/>
  <c r="AC3881"/>
  <c r="AC3816"/>
  <c r="AC3950"/>
  <c r="AC3880"/>
  <c r="AC3812"/>
  <c r="AC3912"/>
  <c r="AC3817"/>
  <c r="AC3946"/>
  <c r="AC3895"/>
  <c r="AC3963"/>
  <c r="AC3926"/>
  <c r="AC3902"/>
  <c r="AC3782"/>
  <c r="AC3102"/>
  <c r="AC3914"/>
  <c r="AC3134"/>
  <c r="AC3931"/>
  <c r="AC3952"/>
  <c r="AC3852"/>
  <c r="AC3140"/>
  <c r="AC3836"/>
  <c r="AC3873"/>
  <c r="AC3839"/>
  <c r="AC3968"/>
  <c r="AC3821"/>
  <c r="AC3138"/>
  <c r="AC3861"/>
  <c r="AC3944"/>
  <c r="AC3911"/>
  <c r="AC3107"/>
  <c r="AC3811"/>
  <c r="AC3120"/>
  <c r="AC3838"/>
  <c r="AC3875"/>
  <c r="AC3915"/>
  <c r="AC3857"/>
  <c r="AC3876"/>
  <c r="AC3108"/>
  <c r="AC3101"/>
  <c r="AC3916"/>
  <c r="AC3925"/>
  <c r="AC3932"/>
  <c r="AC3109"/>
  <c r="AC3966"/>
  <c r="AC3941"/>
  <c r="AC3908"/>
  <c r="AC3958"/>
  <c r="AC3888"/>
  <c r="AC3809"/>
  <c r="AC3922"/>
  <c r="AC3128"/>
  <c r="AC3832"/>
  <c r="AC3810"/>
  <c r="AC3813"/>
  <c r="AC3866"/>
  <c r="AC3828"/>
  <c r="AC3846"/>
  <c r="AC3106"/>
  <c r="AC3825"/>
  <c r="AC3907"/>
  <c r="AC3904"/>
  <c r="AC3927"/>
  <c r="AC3097"/>
  <c r="AC3100"/>
  <c r="AC3939"/>
  <c r="AC3868"/>
  <c r="AC3833"/>
  <c r="AC3837"/>
  <c r="AC3865"/>
  <c r="AC3129"/>
  <c r="AC3894"/>
  <c r="AC3856"/>
  <c r="AC3877"/>
  <c r="AC3110"/>
  <c r="AC3970"/>
  <c r="AC3940"/>
  <c r="AC3919"/>
  <c r="AC3878"/>
  <c r="AC3860"/>
  <c r="AC3920"/>
  <c r="AC3965"/>
  <c r="AC3105"/>
  <c r="AC3960"/>
  <c r="AC3928"/>
  <c r="AC3848"/>
  <c r="AC3137"/>
  <c r="AC3139"/>
  <c r="AC3951"/>
  <c r="AC3834"/>
  <c r="AC3814"/>
  <c r="AC3910"/>
  <c r="AC3886"/>
  <c r="AC3903"/>
  <c r="AC3953"/>
  <c r="AC3906"/>
  <c r="AC3962"/>
  <c r="AC3929"/>
  <c r="AC3905"/>
  <c r="AC3891"/>
  <c r="AC3930"/>
  <c r="AC3135"/>
  <c r="AC3901"/>
  <c r="AC3900"/>
  <c r="AC3938"/>
  <c r="AC3841"/>
  <c r="AC3842"/>
  <c r="AC3869"/>
  <c r="AC3863"/>
  <c r="AC3845"/>
  <c r="AC3937"/>
  <c r="AC3885"/>
  <c r="AC3132"/>
  <c r="AC3890"/>
  <c r="AC3849"/>
  <c r="AC3853"/>
  <c r="AC3945"/>
  <c r="AC3971"/>
  <c r="AC3874"/>
  <c r="AC3133"/>
  <c r="AC3850"/>
  <c r="AC3858"/>
  <c r="AC3840"/>
  <c r="AC3104"/>
  <c r="AC3864"/>
  <c r="AC3141"/>
  <c r="AC3917"/>
  <c r="AC3892"/>
  <c r="AC3969"/>
  <c r="AC3103"/>
  <c r="AC3883"/>
  <c r="AC3099"/>
  <c r="AC3936"/>
  <c r="AC3924"/>
  <c r="AC3964"/>
  <c r="AC3893"/>
  <c r="AC3822"/>
  <c r="AC3847"/>
  <c r="AC3862"/>
  <c r="AC3829"/>
  <c r="AC3867"/>
  <c r="AC3909"/>
  <c r="AC3830"/>
  <c r="AC3820"/>
  <c r="AC3887"/>
  <c r="AC3131"/>
  <c r="AC3130"/>
  <c r="AC3843"/>
  <c r="AC3112"/>
  <c r="AC3111"/>
  <c r="AC3854"/>
  <c r="AC3823"/>
  <c r="AC3826"/>
  <c r="AC3967"/>
  <c r="AC3959"/>
  <c r="AC3943"/>
  <c r="AC3947"/>
  <c r="AC3098"/>
  <c r="AC3855"/>
  <c r="AC3889"/>
  <c r="AC3882"/>
  <c r="AC3918"/>
  <c r="AC3972"/>
  <c r="AC3933"/>
  <c r="AC3921"/>
  <c r="AC3831"/>
  <c r="AC3935"/>
  <c r="AC3898"/>
  <c r="AC3913"/>
  <c r="AC3879"/>
  <c r="AC3884"/>
  <c r="AC3783"/>
  <c r="AC3844"/>
  <c r="AC3859"/>
  <c r="AC3896"/>
  <c r="AC3818"/>
  <c r="AK10880"/>
  <c r="Z19" i="1052"/>
  <c r="Z9567" i="967"/>
  <c r="AF9567"/>
  <c r="AB10848"/>
  <c r="AB10838"/>
  <c r="AB10832"/>
  <c r="AB10826"/>
  <c r="AB10816"/>
  <c r="AB10805"/>
  <c r="AB10785"/>
  <c r="AB10845"/>
  <c r="AB10844"/>
  <c r="AB10839"/>
  <c r="AB10834"/>
  <c r="AB10828"/>
  <c r="AB10818"/>
  <c r="AB10817"/>
  <c r="AB10808"/>
  <c r="AB10787"/>
  <c r="AB10786"/>
  <c r="AB10780"/>
  <c r="AB10752" s="1"/>
  <c r="AB10753"/>
  <c r="AB10847"/>
  <c r="AB10842"/>
  <c r="AB10841"/>
  <c r="AB10837"/>
  <c r="AB10831"/>
  <c r="AB10825"/>
  <c r="AB10824"/>
  <c r="AB10815"/>
  <c r="AB10799"/>
  <c r="AB10793"/>
  <c r="AB10784"/>
  <c r="AB10755"/>
  <c r="AF9533"/>
  <c r="AF9528"/>
  <c r="AF9524"/>
  <c r="AF9521"/>
  <c r="AF9519"/>
  <c r="AF9509"/>
  <c r="AF9467"/>
  <c r="AF9436"/>
  <c r="AF9424"/>
  <c r="AF8714"/>
  <c r="AF8712"/>
  <c r="AF8707"/>
  <c r="AF9534"/>
  <c r="AF9530"/>
  <c r="AF9525"/>
  <c r="AF9512"/>
  <c r="AF9503"/>
  <c r="AF9468"/>
  <c r="AF9465"/>
  <c r="AF9437"/>
  <c r="AF9390"/>
  <c r="AF8748"/>
  <c r="AF8746"/>
  <c r="AF8744"/>
  <c r="AF8742"/>
  <c r="AF8740"/>
  <c r="AF8738"/>
  <c r="AF8736"/>
  <c r="AF8720"/>
  <c r="AF8718"/>
  <c r="AF8715"/>
  <c r="AF8713"/>
  <c r="AF9532"/>
  <c r="AF9529"/>
  <c r="AF9523"/>
  <c r="AF9497"/>
  <c r="AF9466"/>
  <c r="AF9439"/>
  <c r="AF9432"/>
  <c r="AF9428"/>
  <c r="AF9420"/>
  <c r="AF9419" s="1"/>
  <c r="AF9418" s="1"/>
  <c r="AF9391"/>
  <c r="AF8749"/>
  <c r="AF8747"/>
  <c r="AF8745"/>
  <c r="AF8743"/>
  <c r="AF8741"/>
  <c r="AF8739"/>
  <c r="AF8737"/>
  <c r="AF8728"/>
  <c r="AF8719"/>
  <c r="AF8717"/>
  <c r="AF8706"/>
  <c r="Z3134"/>
  <c r="Z3877"/>
  <c r="Z3109"/>
  <c r="Z3911"/>
  <c r="Z3782"/>
  <c r="Z3889"/>
  <c r="Z3905"/>
  <c r="Z3856"/>
  <c r="Z3917"/>
  <c r="Z3853"/>
  <c r="Z3920"/>
  <c r="Z3108"/>
  <c r="Z3925"/>
  <c r="Z3132"/>
  <c r="Z3904"/>
  <c r="Z3963"/>
  <c r="Z3872"/>
  <c r="Z3845"/>
  <c r="Z3915"/>
  <c r="Z3927"/>
  <c r="Z3938"/>
  <c r="Z3858"/>
  <c r="Z3841"/>
  <c r="Z3138"/>
  <c r="Z3892"/>
  <c r="Z3965"/>
  <c r="Z3128"/>
  <c r="Z3886"/>
  <c r="Z3926"/>
  <c r="Z3914"/>
  <c r="Z3860"/>
  <c r="Z3909"/>
  <c r="Z3099"/>
  <c r="Z3962"/>
  <c r="Z3854"/>
  <c r="Z3140"/>
  <c r="Z3890"/>
  <c r="Z3874"/>
  <c r="Z3106"/>
  <c r="Z3924"/>
  <c r="Z3110"/>
  <c r="Z3945"/>
  <c r="Z3111"/>
  <c r="Z3968"/>
  <c r="Z3811"/>
  <c r="Z3861"/>
  <c r="Z3948"/>
  <c r="Z3902"/>
  <c r="Z3868"/>
  <c r="Z3878"/>
  <c r="Z3951"/>
  <c r="Z3884"/>
  <c r="Z3836"/>
  <c r="Z3932"/>
  <c r="Z3843"/>
  <c r="Z3837"/>
  <c r="Z3813"/>
  <c r="Z3871"/>
  <c r="Z3972"/>
  <c r="Z3958"/>
  <c r="Z3942"/>
  <c r="Z3840"/>
  <c r="Z3922"/>
  <c r="Z3959"/>
  <c r="Z3870"/>
  <c r="Z3921"/>
  <c r="Z3098"/>
  <c r="Z3850"/>
  <c r="Z3822"/>
  <c r="Z3882"/>
  <c r="Z3137"/>
  <c r="Z3941"/>
  <c r="Z3881"/>
  <c r="Z3859"/>
  <c r="Z3944"/>
  <c r="Z3834"/>
  <c r="Z3097"/>
  <c r="Z3937"/>
  <c r="Z3810"/>
  <c r="Z3947"/>
  <c r="Z3136"/>
  <c r="Z3883"/>
  <c r="Z3827"/>
  <c r="Z3953"/>
  <c r="Z3969"/>
  <c r="Z3826"/>
  <c r="Z3966"/>
  <c r="Z3812"/>
  <c r="Z3816"/>
  <c r="Z3967"/>
  <c r="Z3783"/>
  <c r="Z3865"/>
  <c r="Z3842"/>
  <c r="Z3104"/>
  <c r="Z3133"/>
  <c r="Z3910"/>
  <c r="Z3820"/>
  <c r="Z3931"/>
  <c r="Z3906"/>
  <c r="Z3100"/>
  <c r="Z3101"/>
  <c r="Z3939"/>
  <c r="Z3830"/>
  <c r="Z3903"/>
  <c r="Z3876"/>
  <c r="Z3887"/>
  <c r="Z3835"/>
  <c r="Z3867"/>
  <c r="Z3940"/>
  <c r="Z3848"/>
  <c r="Z3839"/>
  <c r="Z3866"/>
  <c r="Z3135"/>
  <c r="Z3817"/>
  <c r="Z3936"/>
  <c r="Z3916"/>
  <c r="Z3913"/>
  <c r="Z3863"/>
  <c r="Z3829"/>
  <c r="Z3899"/>
  <c r="Z3946"/>
  <c r="Z3929"/>
  <c r="Z3831"/>
  <c r="Z3130"/>
  <c r="Z3933"/>
  <c r="Z3935"/>
  <c r="Z3102"/>
  <c r="Z3918"/>
  <c r="Z3869"/>
  <c r="Z3934"/>
  <c r="Z3832"/>
  <c r="Z3129"/>
  <c r="Z3873"/>
  <c r="AN19" i="1057"/>
  <c r="BV20"/>
  <c r="AW19" i="1056"/>
  <c r="Z10875" i="967"/>
  <c r="AI19" i="1052"/>
  <c r="Z20"/>
  <c r="W9568" i="967"/>
  <c r="AB10830"/>
  <c r="T9544"/>
  <c r="AC9420"/>
  <c r="AF9515"/>
  <c r="AF9520"/>
  <c r="AC9534"/>
  <c r="AC9530"/>
  <c r="AC9525"/>
  <c r="AC9512"/>
  <c r="AC9503"/>
  <c r="AC9468"/>
  <c r="AC9465"/>
  <c r="AC9437"/>
  <c r="AC8715"/>
  <c r="AC8713"/>
  <c r="AC9531"/>
  <c r="AC9529"/>
  <c r="AC9527"/>
  <c r="AC9522"/>
  <c r="AC9520"/>
  <c r="AC9515"/>
  <c r="AC9438"/>
  <c r="AC8716"/>
  <c r="AC8710"/>
  <c r="AC9533"/>
  <c r="AC9528"/>
  <c r="AC9524"/>
  <c r="AC9521"/>
  <c r="AC9519"/>
  <c r="AC9467"/>
  <c r="AC9436"/>
  <c r="AC9428"/>
  <c r="AC9424"/>
  <c r="AC8714"/>
  <c r="AC8712"/>
  <c r="AC8707"/>
  <c r="BM18" i="1064"/>
  <c r="BL18"/>
  <c r="AB10754" i="967"/>
  <c r="AB10781"/>
  <c r="AB10836"/>
  <c r="AB10833"/>
  <c r="AC8706"/>
  <c r="DQ18" i="1064"/>
  <c r="ED18"/>
  <c r="CK18"/>
  <c r="DU18"/>
  <c r="CH18"/>
  <c r="CF18" s="1"/>
  <c r="BA18"/>
  <c r="AY18" s="1"/>
  <c r="DY18"/>
  <c r="BE18"/>
  <c r="DP18"/>
  <c r="BS18"/>
  <c r="BQ18"/>
  <c r="CB10" i="1059"/>
  <c r="AK19" i="1056"/>
  <c r="DI470" i="1037"/>
  <c r="DD68" i="939"/>
  <c r="BN18" i="1064"/>
  <c r="AR29" i="938"/>
  <c r="AB10788" i="967"/>
  <c r="AB10819"/>
  <c r="AB10814" s="1"/>
  <c r="AB10835"/>
  <c r="AB10846"/>
  <c r="AF8716"/>
  <c r="AC9432"/>
  <c r="AC9439"/>
  <c r="AC9466"/>
  <c r="T9518"/>
  <c r="AF9522"/>
  <c r="AF9527"/>
  <c r="AF9531"/>
  <c r="BC18" i="1063"/>
  <c r="AC9493" i="967"/>
  <c r="AA10880"/>
  <c r="AO18" i="1060"/>
  <c r="AN18"/>
  <c r="AW18"/>
  <c r="AX18"/>
  <c r="AR18"/>
  <c r="AQ18"/>
  <c r="AK20" i="1057"/>
  <c r="AJ20"/>
  <c r="W9493" i="967"/>
  <c r="W9419"/>
  <c r="W9418"/>
  <c r="AA20" i="1057"/>
  <c r="AW20"/>
  <c r="AX20"/>
  <c r="AY20"/>
  <c r="AZ20"/>
  <c r="AC20"/>
  <c r="AB20"/>
  <c r="BY20"/>
  <c r="BX20"/>
  <c r="CA11"/>
  <c r="BW20"/>
  <c r="CB11"/>
  <c r="BH20"/>
  <c r="BJ20"/>
  <c r="CL474" i="1037"/>
  <c r="CM474"/>
  <c r="AJ18" i="1063"/>
  <c r="AK18"/>
  <c r="AD11" i="1057"/>
  <c r="AA11"/>
  <c r="BQ18" i="1063"/>
  <c r="BR18"/>
  <c r="AK18" i="1060"/>
  <c r="AL18"/>
  <c r="DG426" i="1037"/>
  <c r="DF426"/>
  <c r="CG20" i="1057"/>
  <c r="CF20"/>
  <c r="CC18" i="1063"/>
  <c r="CB18"/>
  <c r="CA18"/>
  <c r="CD18"/>
  <c r="AP20" i="1057"/>
  <c r="AM20"/>
  <c r="AN20"/>
  <c r="AO20"/>
  <c r="AT20"/>
  <c r="AU20"/>
  <c r="AS20"/>
  <c r="AW11"/>
  <c r="AR20"/>
  <c r="AX11"/>
  <c r="Y20"/>
  <c r="Z20"/>
  <c r="AE18" i="1060"/>
  <c r="DF454" i="1037"/>
  <c r="AC454"/>
  <c r="AD454" s="1"/>
  <c r="DG454"/>
  <c r="EH454"/>
  <c r="EI454"/>
  <c r="AA454"/>
  <c r="AB454" s="1"/>
  <c r="X10843" i="967"/>
  <c r="Z10843" s="1"/>
  <c r="Z10844"/>
  <c r="W8705"/>
  <c r="W9544"/>
  <c r="AF8705"/>
  <c r="Z10828"/>
  <c r="X10827"/>
  <c r="Z10827" s="1"/>
  <c r="X10789"/>
  <c r="Z10789" s="1"/>
  <c r="Z10793"/>
  <c r="Z9518"/>
  <c r="Z9493"/>
  <c r="X10752"/>
  <c r="Z10753"/>
  <c r="Z9544"/>
  <c r="Z8705"/>
  <c r="V10848"/>
  <c r="W10848" s="1"/>
  <c r="V10844"/>
  <c r="V10842"/>
  <c r="W10842"/>
  <c r="V10838"/>
  <c r="W10838"/>
  <c r="V10832"/>
  <c r="W10832"/>
  <c r="V10826"/>
  <c r="W10826"/>
  <c r="V10825"/>
  <c r="W10825"/>
  <c r="V10816"/>
  <c r="W10816"/>
  <c r="V10805"/>
  <c r="W10805"/>
  <c r="V10799"/>
  <c r="W10799"/>
  <c r="V10785"/>
  <c r="W10785"/>
  <c r="V10780"/>
  <c r="W10780"/>
  <c r="V10839"/>
  <c r="W10839"/>
  <c r="V10834"/>
  <c r="V10828"/>
  <c r="V10827" s="1"/>
  <c r="W10827" s="1"/>
  <c r="V10817"/>
  <c r="W10817"/>
  <c r="V10808"/>
  <c r="W10808"/>
  <c r="V10786"/>
  <c r="W10786"/>
  <c r="V10753"/>
  <c r="V10847"/>
  <c r="W10847" s="1"/>
  <c r="V10841"/>
  <c r="W10841" s="1"/>
  <c r="V10837"/>
  <c r="W10837" s="1"/>
  <c r="V10836"/>
  <c r="W10836" s="1"/>
  <c r="V10831"/>
  <c r="W10831" s="1"/>
  <c r="V10830"/>
  <c r="W10830" s="1"/>
  <c r="V10824"/>
  <c r="W10824" s="1"/>
  <c r="V10815"/>
  <c r="V10793"/>
  <c r="V10789" s="1"/>
  <c r="W10789" s="1"/>
  <c r="V10784"/>
  <c r="W10784"/>
  <c r="V10782"/>
  <c r="W10782"/>
  <c r="V10755"/>
  <c r="W10755"/>
  <c r="V10781"/>
  <c r="W10781"/>
  <c r="V10754"/>
  <c r="W10754"/>
  <c r="V10840"/>
  <c r="W10840"/>
  <c r="V10829"/>
  <c r="W10829"/>
  <c r="V10811"/>
  <c r="W10811"/>
  <c r="V10846"/>
  <c r="W10846"/>
  <c r="V10835"/>
  <c r="W10835"/>
  <c r="V10819"/>
  <c r="W10819"/>
  <c r="V10788"/>
  <c r="W10788"/>
  <c r="V10818"/>
  <c r="W10818"/>
  <c r="V10787"/>
  <c r="W10787"/>
  <c r="V10845"/>
  <c r="W10845"/>
  <c r="AF9464"/>
  <c r="AF8711"/>
  <c r="AB10783"/>
  <c r="AG10880"/>
  <c r="AI10880" s="1"/>
  <c r="Z8711"/>
  <c r="Z9464"/>
  <c r="W9526"/>
  <c r="W8711"/>
  <c r="W9518"/>
  <c r="X10833"/>
  <c r="Z10833" s="1"/>
  <c r="X10783"/>
  <c r="Z10783" s="1"/>
  <c r="Z10784"/>
  <c r="AC471" i="1037"/>
  <c r="AD471" s="1"/>
  <c r="AA471"/>
  <c r="AB471" s="1"/>
  <c r="EI471"/>
  <c r="DG471"/>
  <c r="EH471"/>
  <c r="DF471"/>
  <c r="AC463"/>
  <c r="AD463" s="1"/>
  <c r="DG463"/>
  <c r="DF463"/>
  <c r="EH463"/>
  <c r="EI463"/>
  <c r="AA463"/>
  <c r="AB463" s="1"/>
  <c r="Z10815" i="967"/>
  <c r="X10814"/>
  <c r="Z10814"/>
  <c r="CL467" i="1037"/>
  <c r="CM467"/>
  <c r="DG422"/>
  <c r="DF422"/>
  <c r="AC10882" i="967"/>
  <c r="AB10880"/>
  <c r="AC10880" s="1"/>
  <c r="W10888"/>
  <c r="V10880"/>
  <c r="W10880" s="1"/>
  <c r="AC9464"/>
  <c r="Z9419"/>
  <c r="Z9418" s="1"/>
  <c r="Z9417" s="1"/>
  <c r="Z9543" s="1"/>
  <c r="Z9526"/>
  <c r="AC10881"/>
  <c r="W10753"/>
  <c r="V10752"/>
  <c r="W10834"/>
  <c r="W10793"/>
  <c r="V10783"/>
  <c r="W10783" s="1"/>
  <c r="W10752"/>
  <c r="L132" i="1042"/>
  <c r="AT17" i="1047"/>
  <c r="AP17" s="1"/>
  <c r="AP18"/>
  <c r="AT17" i="1046"/>
  <c r="AP17"/>
  <c r="AP18"/>
  <c r="AY18" i="1065"/>
  <c r="BB18"/>
  <c r="AW18" i="1064"/>
  <c r="AZ18"/>
  <c r="DE18" i="1062"/>
  <c r="AU18"/>
  <c r="F132" i="1043"/>
  <c r="C130" s="1"/>
  <c r="F133"/>
  <c r="F134"/>
  <c r="F135"/>
  <c r="F136"/>
  <c r="F137"/>
  <c r="F138"/>
  <c r="F139"/>
  <c r="F140"/>
  <c r="F141"/>
  <c r="F142"/>
  <c r="F143"/>
  <c r="J132" i="1042"/>
  <c r="F132"/>
  <c r="AT142" i="1097" s="1"/>
  <c r="F133" i="1042"/>
  <c r="F134"/>
  <c r="F135"/>
  <c r="F136"/>
  <c r="F137"/>
  <c r="F138"/>
  <c r="F139"/>
  <c r="F140"/>
  <c r="F141"/>
  <c r="F142"/>
  <c r="F143"/>
  <c r="AC8705" i="967"/>
  <c r="AC8711"/>
  <c r="AC9526"/>
  <c r="DA32" i="939"/>
  <c r="CY68"/>
  <c r="DB38"/>
  <c r="CZ40"/>
  <c r="CZ60"/>
  <c r="DB10"/>
  <c r="DE18" i="1060"/>
  <c r="Z18"/>
  <c r="BG19" i="1054"/>
  <c r="BL10"/>
  <c r="AN20"/>
  <c r="AM20"/>
  <c r="AO20"/>
  <c r="Z20"/>
  <c r="Y20"/>
  <c r="AZ18" i="1065"/>
  <c r="AW18"/>
  <c r="AW18" i="1061"/>
  <c r="AA18"/>
  <c r="AK18"/>
  <c r="AE18"/>
  <c r="CA19" i="1057"/>
  <c r="CD19"/>
  <c r="BL10"/>
  <c r="BG19"/>
  <c r="BJ19"/>
  <c r="Y20" i="1059"/>
  <c r="AO20"/>
  <c r="AP20"/>
  <c r="Z20"/>
  <c r="AE20" i="1058"/>
  <c r="AO20"/>
  <c r="AL20" i="1056"/>
  <c r="AK20"/>
  <c r="AE20"/>
  <c r="AC10" i="1054"/>
  <c r="AD19"/>
  <c r="AA19"/>
  <c r="AB19"/>
  <c r="Y19"/>
  <c r="AW19"/>
  <c r="AZ19"/>
  <c r="AX10"/>
  <c r="BV19" i="1059"/>
  <c r="BX19"/>
  <c r="BW19"/>
  <c r="AP19" i="1057"/>
  <c r="AM19"/>
  <c r="AO19"/>
  <c r="Y19"/>
  <c r="BL10" i="1059"/>
  <c r="BH19"/>
  <c r="AA10877" i="967"/>
  <c r="AC10875"/>
  <c r="DH470" i="1037"/>
  <c r="EK470"/>
  <c r="DN470"/>
  <c r="EQ470"/>
  <c r="CJ470"/>
  <c r="CQ470"/>
  <c r="DO470"/>
  <c r="BU471"/>
  <c r="CP471" s="1"/>
  <c r="DM471"/>
  <c r="DL471"/>
  <c r="EU471"/>
  <c r="BM20" i="1054"/>
  <c r="BN20"/>
  <c r="BL11"/>
  <c r="CC20" i="1057"/>
  <c r="CB20"/>
  <c r="CD20"/>
  <c r="CA20"/>
  <c r="CA19" i="1059"/>
  <c r="CB19"/>
  <c r="CC19"/>
  <c r="CD19"/>
  <c r="BQ19"/>
  <c r="BR19"/>
  <c r="CA20"/>
  <c r="CB20"/>
  <c r="BN18" i="994"/>
  <c r="BO18"/>
  <c r="BM9"/>
  <c r="BM18"/>
  <c r="BL18"/>
  <c r="BL9"/>
  <c r="BB18"/>
  <c r="BC18"/>
  <c r="AP57" i="938"/>
  <c r="J59"/>
  <c r="J57" s="1"/>
  <c r="BR18" i="995"/>
  <c r="BQ18"/>
  <c r="CG18" i="996"/>
  <c r="CF18"/>
  <c r="J31" i="938"/>
  <c r="CJ31"/>
  <c r="BF39"/>
  <c r="BF43"/>
  <c r="BF35"/>
  <c r="BF34"/>
  <c r="BF32"/>
  <c r="BF38"/>
  <c r="BF40"/>
  <c r="BF37"/>
  <c r="BF41"/>
  <c r="BF33"/>
  <c r="BF42"/>
  <c r="BF36"/>
  <c r="BF42" i="1043"/>
  <c r="BF32"/>
  <c r="BF36"/>
  <c r="BF34"/>
  <c r="BF37"/>
  <c r="BF40"/>
  <c r="BF43"/>
  <c r="BF38"/>
  <c r="BF41"/>
  <c r="BF39"/>
  <c r="BF33"/>
  <c r="BF35"/>
  <c r="BF39" i="1042"/>
  <c r="BF41"/>
  <c r="BF35"/>
  <c r="BF37"/>
  <c r="BF34"/>
  <c r="BF32"/>
  <c r="BF42"/>
  <c r="BF33"/>
  <c r="BF38"/>
  <c r="BF36"/>
  <c r="BF40"/>
  <c r="BF43"/>
  <c r="BF6"/>
  <c r="BF9"/>
  <c r="BF13"/>
  <c r="BF4"/>
  <c r="BF15"/>
  <c r="BF11"/>
  <c r="BF12"/>
  <c r="BF14"/>
  <c r="BF7"/>
  <c r="BF5"/>
  <c r="BF10"/>
  <c r="BF8"/>
  <c r="Z8361" i="967"/>
  <c r="AA8480"/>
  <c r="CG257" i="1037"/>
  <c r="EG257" s="1"/>
  <c r="EF257"/>
  <c r="AC193"/>
  <c r="AD193"/>
  <c r="Y193"/>
  <c r="AH193"/>
  <c r="AE193"/>
  <c r="AF193"/>
  <c r="AP257"/>
  <c r="EK257"/>
  <c r="EJ257"/>
  <c r="BR209"/>
  <c r="EA209" s="1"/>
  <c r="DZ209"/>
  <c r="J127" i="1001"/>
  <c r="AC470" i="1037"/>
  <c r="AD470" s="1"/>
  <c r="EI470"/>
  <c r="DF470"/>
  <c r="AA470"/>
  <c r="AB470" s="1"/>
  <c r="AZ18" i="1063"/>
  <c r="AY18"/>
  <c r="AW18"/>
  <c r="AQ19" i="1058"/>
  <c r="AB19"/>
  <c r="Z19"/>
  <c r="AE18" i="1062"/>
  <c r="AR18"/>
  <c r="AQ18"/>
  <c r="AA18"/>
  <c r="AB18"/>
  <c r="AY20" i="1054"/>
  <c r="AZ20"/>
  <c r="AW20"/>
  <c r="CC20"/>
  <c r="CB20"/>
  <c r="CD20"/>
  <c r="BX20"/>
  <c r="CA11"/>
  <c r="BY20"/>
  <c r="AP19"/>
  <c r="AM19"/>
  <c r="BV19" i="1057"/>
  <c r="CA10"/>
  <c r="BX19"/>
  <c r="AU20" i="1058"/>
  <c r="DE20"/>
  <c r="Z20" i="1056"/>
  <c r="AT20"/>
  <c r="CC19" i="1054"/>
  <c r="CD19"/>
  <c r="AW11"/>
  <c r="AU20"/>
  <c r="AT20"/>
  <c r="DG425" i="1037"/>
  <c r="DF425"/>
  <c r="AO19" i="1059"/>
  <c r="AN19"/>
  <c r="AM19"/>
  <c r="Z19"/>
  <c r="BY20"/>
  <c r="BX20"/>
  <c r="AR19"/>
  <c r="AX10"/>
  <c r="AS19"/>
  <c r="AU19"/>
  <c r="AN19" i="1056"/>
  <c r="AO19"/>
  <c r="AB19"/>
  <c r="DE19"/>
  <c r="Y19"/>
  <c r="AA19"/>
  <c r="Z19"/>
  <c r="AQ19"/>
  <c r="AK19" i="1052"/>
  <c r="AL19"/>
  <c r="ET471" i="1037"/>
  <c r="DK471"/>
  <c r="DJ471"/>
  <c r="BF471"/>
  <c r="CO471" s="1"/>
  <c r="EV463"/>
  <c r="CJ463"/>
  <c r="CQ463" s="1"/>
  <c r="DN463"/>
  <c r="BU463"/>
  <c r="CP463"/>
  <c r="DL463"/>
  <c r="EO463"/>
  <c r="DM463"/>
  <c r="AB10811" i="967"/>
  <c r="AB10789" s="1"/>
  <c r="AB10782"/>
  <c r="AB10829"/>
  <c r="AB10827" s="1"/>
  <c r="BR20" i="1059"/>
  <c r="BQ20"/>
  <c r="CA18" i="994"/>
  <c r="CD18"/>
  <c r="CA9"/>
  <c r="CC18"/>
  <c r="CB18"/>
  <c r="BR18"/>
  <c r="BQ18"/>
  <c r="CG18"/>
  <c r="CF18"/>
  <c r="CF18" i="995"/>
  <c r="CG18"/>
  <c r="AX18" i="996"/>
  <c r="AY18"/>
  <c r="AX9"/>
  <c r="AW18"/>
  <c r="AW9"/>
  <c r="AZ18"/>
  <c r="BF38" i="939"/>
  <c r="BF42"/>
  <c r="BF37"/>
  <c r="BF33"/>
  <c r="BF34"/>
  <c r="BF40"/>
  <c r="BF36"/>
  <c r="BF32"/>
  <c r="BF35"/>
  <c r="BF39"/>
  <c r="BF43"/>
  <c r="BF41"/>
  <c r="AB8477" i="967"/>
  <c r="AB8480" s="1"/>
  <c r="AC8480" s="1"/>
  <c r="AC8476"/>
  <c r="W8361"/>
  <c r="V8476"/>
  <c r="AN193" i="1037"/>
  <c r="DI193"/>
  <c r="DH193"/>
  <c r="AC241"/>
  <c r="AD241" s="1"/>
  <c r="AE241"/>
  <c r="AF241" s="1"/>
  <c r="Y241"/>
  <c r="AH241"/>
  <c r="Z10752" i="967"/>
  <c r="V10833"/>
  <c r="W10833" s="1"/>
  <c r="AX18" i="1064"/>
  <c r="AA18" i="1060"/>
  <c r="EV470" i="1037"/>
  <c r="EJ470"/>
  <c r="Y20" i="1058"/>
  <c r="AC245" i="1037"/>
  <c r="AD245"/>
  <c r="AE245"/>
  <c r="AF245"/>
  <c r="AW209"/>
  <c r="DP209"/>
  <c r="AX209"/>
  <c r="DQ209"/>
  <c r="AC213"/>
  <c r="AD213"/>
  <c r="AE213"/>
  <c r="AF213"/>
  <c r="AE197"/>
  <c r="AF197"/>
  <c r="AC197"/>
  <c r="AD197"/>
  <c r="BM257"/>
  <c r="DW257"/>
  <c r="BL257"/>
  <c r="DV257"/>
  <c r="AC261"/>
  <c r="AD261"/>
  <c r="AE261"/>
  <c r="AF261"/>
  <c r="AX257"/>
  <c r="DQ257"/>
  <c r="AW257"/>
  <c r="DP257"/>
  <c r="AE212"/>
  <c r="AF212"/>
  <c r="AC212"/>
  <c r="AD212"/>
  <c r="W11235" i="967"/>
  <c r="W11237"/>
  <c r="W11199" s="1"/>
  <c r="W11236"/>
  <c r="W11238"/>
  <c r="V10881"/>
  <c r="W10881"/>
  <c r="DP426" i="1037"/>
  <c r="EK458"/>
  <c r="DP417"/>
  <c r="AL10875" i="967"/>
  <c r="CN458" i="1037"/>
  <c r="AL10890" i="967"/>
  <c r="AR20" i="1058"/>
  <c r="AQ20"/>
  <c r="BF454" i="1037"/>
  <c r="CO454"/>
  <c r="EH458"/>
  <c r="DJ470"/>
  <c r="BF470"/>
  <c r="CO470"/>
  <c r="CL470" s="1"/>
  <c r="DM422"/>
  <c r="Y426"/>
  <c r="Z426" s="1"/>
  <c r="DM425"/>
  <c r="AI10875" i="967"/>
  <c r="BL19" i="1057"/>
  <c r="BO19" i="1059"/>
  <c r="Z727" i="967"/>
  <c r="Z853"/>
  <c r="BL209" i="1037"/>
  <c r="DV209"/>
  <c r="BM209"/>
  <c r="DW209"/>
  <c r="CA209"/>
  <c r="EB209"/>
  <c r="CB209"/>
  <c r="EC209"/>
  <c r="AC196"/>
  <c r="AD196"/>
  <c r="AE196"/>
  <c r="AF196"/>
  <c r="AC257"/>
  <c r="AD257"/>
  <c r="AE257"/>
  <c r="AF257"/>
  <c r="CB257"/>
  <c r="EC257"/>
  <c r="CA257"/>
  <c r="EB257"/>
  <c r="Z11235" i="967"/>
  <c r="Z11237" s="1"/>
  <c r="Z11236"/>
  <c r="Z11238"/>
  <c r="AP162" i="948"/>
  <c r="AP161" s="1"/>
  <c r="AP185"/>
  <c r="AP183"/>
  <c r="AP191"/>
  <c r="AP160"/>
  <c r="AP178"/>
  <c r="AP181"/>
  <c r="AD9" i="996"/>
  <c r="AI18"/>
  <c r="AE9"/>
  <c r="AF18"/>
  <c r="AH18"/>
  <c r="AH18" i="994"/>
  <c r="Y18"/>
  <c r="AF18"/>
  <c r="AF9"/>
  <c r="Z18"/>
  <c r="AY18"/>
  <c r="AX9"/>
  <c r="AR57" i="938"/>
  <c r="AP178" i="949"/>
  <c r="AP161"/>
  <c r="AP159" s="1"/>
  <c r="AP179"/>
  <c r="AP185"/>
  <c r="AP181"/>
  <c r="AP186"/>
  <c r="AP191"/>
  <c r="AP184"/>
  <c r="AO18" i="995"/>
  <c r="AM18" i="996"/>
  <c r="AP95" i="950"/>
  <c r="AW18" i="995"/>
  <c r="BH18" i="994"/>
  <c r="CB18" i="995"/>
  <c r="BM9"/>
  <c r="CD18"/>
  <c r="AW9"/>
  <c r="BO18"/>
  <c r="AT18"/>
  <c r="AR18" i="996"/>
  <c r="BF15" i="938"/>
  <c r="BF6"/>
  <c r="BF4"/>
  <c r="BF5"/>
  <c r="BF8"/>
  <c r="BF11"/>
  <c r="BF14"/>
  <c r="V10849" i="967"/>
  <c r="W10849"/>
  <c r="BF6" i="1043"/>
  <c r="BF15"/>
  <c r="BF11"/>
  <c r="BF14"/>
  <c r="BF10"/>
  <c r="BF7"/>
  <c r="AC8361" i="967"/>
  <c r="CQ197" i="1037"/>
  <c r="CN197"/>
  <c r="EN193"/>
  <c r="CP245"/>
  <c r="BU193"/>
  <c r="BG193"/>
  <c r="AH197"/>
  <c r="AI197"/>
  <c r="ET209"/>
  <c r="BF209"/>
  <c r="EP241"/>
  <c r="AH213"/>
  <c r="AI213" s="1"/>
  <c r="Y213"/>
  <c r="CN213" s="1"/>
  <c r="W727" i="967"/>
  <c r="W853"/>
  <c r="Z261" i="1037"/>
  <c r="DN193"/>
  <c r="BF257"/>
  <c r="Y212"/>
  <c r="CO193"/>
  <c r="CM193"/>
  <c r="CP193"/>
  <c r="CM195"/>
  <c r="CM201"/>
  <c r="CM203"/>
  <c r="CM206"/>
  <c r="AC728" i="967"/>
  <c r="AC727" s="1"/>
  <c r="AC853" s="1"/>
  <c r="AE210" i="1037"/>
  <c r="AF210"/>
  <c r="AC210"/>
  <c r="AD210"/>
  <c r="AC211"/>
  <c r="AD211"/>
  <c r="AE211"/>
  <c r="AF211"/>
  <c r="AW212"/>
  <c r="BF212"/>
  <c r="AX212"/>
  <c r="BL213"/>
  <c r="BM213"/>
  <c r="AE214"/>
  <c r="AF214" s="1"/>
  <c r="AC214"/>
  <c r="AD214" s="1"/>
  <c r="AE216"/>
  <c r="AF216" s="1"/>
  <c r="AC216"/>
  <c r="AD216" s="1"/>
  <c r="AC217"/>
  <c r="AD217" s="1"/>
  <c r="AE217"/>
  <c r="AF217" s="1"/>
  <c r="AC219"/>
  <c r="AD219" s="1"/>
  <c r="AE219"/>
  <c r="AF219" s="1"/>
  <c r="AE220"/>
  <c r="AF220" s="1"/>
  <c r="AC220"/>
  <c r="AD220" s="1"/>
  <c r="AE222"/>
  <c r="AF222" s="1"/>
  <c r="AC222"/>
  <c r="AD222" s="1"/>
  <c r="AE199"/>
  <c r="AF199" s="1"/>
  <c r="AC199"/>
  <c r="AD199" s="1"/>
  <c r="AC200"/>
  <c r="AD200" s="1"/>
  <c r="AE200"/>
  <c r="AF200" s="1"/>
  <c r="AE207"/>
  <c r="AF207" s="1"/>
  <c r="AC207"/>
  <c r="AD207" s="1"/>
  <c r="AC243"/>
  <c r="AD243" s="1"/>
  <c r="AE243"/>
  <c r="AF243" s="1"/>
  <c r="AC253"/>
  <c r="AD253" s="1"/>
  <c r="AE253"/>
  <c r="AF253" s="1"/>
  <c r="AC259"/>
  <c r="AD259" s="1"/>
  <c r="AE259"/>
  <c r="AF259" s="1"/>
  <c r="BM261"/>
  <c r="BL261"/>
  <c r="CP261"/>
  <c r="CB261"/>
  <c r="CA261"/>
  <c r="CQ261" s="1"/>
  <c r="AC271"/>
  <c r="AD271" s="1"/>
  <c r="AE271"/>
  <c r="AF271" s="1"/>
  <c r="W8190" i="967"/>
  <c r="W8204" s="1"/>
  <c r="W8205" s="1"/>
  <c r="BL212" i="1037"/>
  <c r="BM212"/>
  <c r="BU212"/>
  <c r="CA212"/>
  <c r="CB212"/>
  <c r="CJ212"/>
  <c r="AW213"/>
  <c r="AX213"/>
  <c r="CA213"/>
  <c r="CJ213"/>
  <c r="CB213"/>
  <c r="AC215"/>
  <c r="AD215" s="1"/>
  <c r="AE215"/>
  <c r="AF215" s="1"/>
  <c r="AE218"/>
  <c r="AF218" s="1"/>
  <c r="AC218"/>
  <c r="AD218" s="1"/>
  <c r="AC221"/>
  <c r="AD221" s="1"/>
  <c r="AE221"/>
  <c r="AF221" s="1"/>
  <c r="AC223"/>
  <c r="AD223" s="1"/>
  <c r="AE223"/>
  <c r="AF223" s="1"/>
  <c r="AC194"/>
  <c r="AD194" s="1"/>
  <c r="AE194"/>
  <c r="AF194" s="1"/>
  <c r="AE195"/>
  <c r="AF195" s="1"/>
  <c r="AC195"/>
  <c r="AD195" s="1"/>
  <c r="AC198"/>
  <c r="AD198" s="1"/>
  <c r="AE198"/>
  <c r="AF198" s="1"/>
  <c r="AE201"/>
  <c r="AF201" s="1"/>
  <c r="AC201"/>
  <c r="AD201" s="1"/>
  <c r="AC202"/>
  <c r="AD202" s="1"/>
  <c r="AE202"/>
  <c r="AF202" s="1"/>
  <c r="AE203"/>
  <c r="AF203" s="1"/>
  <c r="AC203"/>
  <c r="AD203" s="1"/>
  <c r="AC204"/>
  <c r="AD204" s="1"/>
  <c r="AE204"/>
  <c r="AF204" s="1"/>
  <c r="AE205"/>
  <c r="AF205" s="1"/>
  <c r="AC205"/>
  <c r="AD205" s="1"/>
  <c r="AC206"/>
  <c r="AD206" s="1"/>
  <c r="AE206"/>
  <c r="AF206" s="1"/>
  <c r="AC247"/>
  <c r="AD247" s="1"/>
  <c r="AE247"/>
  <c r="AF247" s="1"/>
  <c r="AC249"/>
  <c r="AD249" s="1"/>
  <c r="AE249"/>
  <c r="AF249" s="1"/>
  <c r="AC251"/>
  <c r="AD251" s="1"/>
  <c r="AE251"/>
  <c r="AF251" s="1"/>
  <c r="AC255"/>
  <c r="AD255" s="1"/>
  <c r="AE255"/>
  <c r="AF255" s="1"/>
  <c r="AW261"/>
  <c r="CO261" s="1"/>
  <c r="AX261"/>
  <c r="AC263"/>
  <c r="AD263" s="1"/>
  <c r="AE263"/>
  <c r="AF263" s="1"/>
  <c r="AC265"/>
  <c r="AD265" s="1"/>
  <c r="AE265"/>
  <c r="AF265" s="1"/>
  <c r="AC267"/>
  <c r="AD267" s="1"/>
  <c r="AE267"/>
  <c r="AF267" s="1"/>
  <c r="AC269"/>
  <c r="AD269" s="1"/>
  <c r="AE269"/>
  <c r="AF269" s="1"/>
  <c r="AC475"/>
  <c r="AD475" s="1"/>
  <c r="W4149" i="967"/>
  <c r="W4128" s="1"/>
  <c r="AC4158"/>
  <c r="AC4128" s="1"/>
  <c r="CQ211" i="1037"/>
  <c r="CM211" s="1"/>
  <c r="CQ214"/>
  <c r="CM214"/>
  <c r="CO216"/>
  <c r="CO219"/>
  <c r="CM219" s="1"/>
  <c r="CQ220"/>
  <c r="CM220" s="1"/>
  <c r="CP221"/>
  <c r="CM221" s="1"/>
  <c r="CQ259"/>
  <c r="CQ271"/>
  <c r="CM271" s="1"/>
  <c r="T8190" i="967"/>
  <c r="AC8190"/>
  <c r="AC8204"/>
  <c r="AC8205" s="1"/>
  <c r="X8459"/>
  <c r="Z8459" s="1"/>
  <c r="X8472"/>
  <c r="X8469" s="1"/>
  <c r="Z8469" s="1"/>
  <c r="BA132" i="1042"/>
  <c r="AT141" i="1098"/>
  <c r="AP141" s="1"/>
  <c r="AT141" i="1099"/>
  <c r="AT141" i="1097"/>
  <c r="AP141" s="1"/>
  <c r="CP213" i="1037"/>
  <c r="CQ213"/>
  <c r="BH193"/>
  <c r="DM193" s="1"/>
  <c r="DL193"/>
  <c r="W11113" i="967"/>
  <c r="W11179"/>
  <c r="W11145"/>
  <c r="W11207"/>
  <c r="W11198"/>
  <c r="W11186"/>
  <c r="W11175"/>
  <c r="W11146"/>
  <c r="W11194"/>
  <c r="W11153"/>
  <c r="W11140"/>
  <c r="W11177"/>
  <c r="W11195"/>
  <c r="W11200"/>
  <c r="W11184"/>
  <c r="W11168"/>
  <c r="W11142"/>
  <c r="W11165"/>
  <c r="W11141"/>
  <c r="W11204"/>
  <c r="W11190"/>
  <c r="W11188"/>
  <c r="Z241" i="1037"/>
  <c r="EI241"/>
  <c r="EH241"/>
  <c r="Z193"/>
  <c r="EI193" s="1"/>
  <c r="EH193"/>
  <c r="AA10846" i="967"/>
  <c r="AC10846"/>
  <c r="AA10840"/>
  <c r="AC10840"/>
  <c r="AA10835"/>
  <c r="AC10835"/>
  <c r="AA10819"/>
  <c r="AC10819"/>
  <c r="AA10811"/>
  <c r="AC10811"/>
  <c r="AA10788"/>
  <c r="AC10788"/>
  <c r="AA10781"/>
  <c r="AC10781"/>
  <c r="AA10847"/>
  <c r="AC10847"/>
  <c r="AA10837"/>
  <c r="AC10837"/>
  <c r="AA10831"/>
  <c r="AC10831"/>
  <c r="AA10824"/>
  <c r="AC10824"/>
  <c r="AA10793"/>
  <c r="AA10782"/>
  <c r="AC10782" s="1"/>
  <c r="AA10839"/>
  <c r="AC10839" s="1"/>
  <c r="AA10828"/>
  <c r="AA10808"/>
  <c r="AC10808"/>
  <c r="AA10780"/>
  <c r="AC10780"/>
  <c r="AA10842"/>
  <c r="AC10842"/>
  <c r="AA10785"/>
  <c r="AC10785"/>
  <c r="AA10832"/>
  <c r="AC10832"/>
  <c r="AA10826"/>
  <c r="AC10826"/>
  <c r="AA10848"/>
  <c r="AC10848"/>
  <c r="AA10799"/>
  <c r="AC10799"/>
  <c r="AA10818"/>
  <c r="AC10818"/>
  <c r="AA10787"/>
  <c r="AC10787"/>
  <c r="AA10841"/>
  <c r="AC10841"/>
  <c r="AA10830"/>
  <c r="AC10830"/>
  <c r="AA10784"/>
  <c r="AA10834"/>
  <c r="AA10786"/>
  <c r="AC10786"/>
  <c r="AA10816"/>
  <c r="AC10816"/>
  <c r="AA10838"/>
  <c r="AC10838"/>
  <c r="AA10845"/>
  <c r="AC10845"/>
  <c r="AA10829"/>
  <c r="AC10829"/>
  <c r="AA10754"/>
  <c r="AC10754"/>
  <c r="AA10836"/>
  <c r="AC10836"/>
  <c r="AA10815"/>
  <c r="AA10755"/>
  <c r="AC10755" s="1"/>
  <c r="AA10817"/>
  <c r="AC10817" s="1"/>
  <c r="AA10753"/>
  <c r="AA10844"/>
  <c r="AA10805"/>
  <c r="AC10805" s="1"/>
  <c r="AA10825"/>
  <c r="AC10825" s="1"/>
  <c r="Z8472"/>
  <c r="CP209" i="1037"/>
  <c r="CM259"/>
  <c r="CL257"/>
  <c r="CL258" s="1"/>
  <c r="CO209"/>
  <c r="CM209" s="1"/>
  <c r="CM216"/>
  <c r="CQ209"/>
  <c r="CO212"/>
  <c r="CQ212"/>
  <c r="CN212"/>
  <c r="CP212"/>
  <c r="Z212"/>
  <c r="CL458"/>
  <c r="CM458"/>
  <c r="AI241"/>
  <c r="DG241" s="1"/>
  <c r="DF241"/>
  <c r="V8477" i="967"/>
  <c r="W8476"/>
  <c r="DF193" i="1037"/>
  <c r="AI193"/>
  <c r="DG193" s="1"/>
  <c r="AC8477" i="967"/>
  <c r="AP141" i="1099"/>
  <c r="AC10844" i="967"/>
  <c r="AA10843"/>
  <c r="AA10814"/>
  <c r="AC10815"/>
  <c r="AC10834"/>
  <c r="AA10833"/>
  <c r="AC10833" s="1"/>
  <c r="AA10827"/>
  <c r="AC10827" s="1"/>
  <c r="AC10828"/>
  <c r="W8477"/>
  <c r="V8480"/>
  <c r="W8480" s="1"/>
  <c r="AA10752"/>
  <c r="AA10751" s="1"/>
  <c r="AC10753"/>
  <c r="AC10784"/>
  <c r="AA10783"/>
  <c r="AC10783"/>
  <c r="AA10789"/>
  <c r="AC10793"/>
  <c r="CM212" i="1037"/>
  <c r="W11112" i="967"/>
  <c r="AT56" i="1046"/>
  <c r="AT99" i="1044"/>
  <c r="AP99" s="1"/>
  <c r="AT56" i="1047"/>
  <c r="AP56"/>
  <c r="BR18" i="1064"/>
  <c r="B2" i="603"/>
  <c r="B3"/>
  <c r="G2" i="1034" l="1"/>
  <c r="BF143" i="1043"/>
  <c r="BF139"/>
  <c r="BF135"/>
  <c r="BF144"/>
  <c r="BF140"/>
  <c r="BF136"/>
  <c r="BF141"/>
  <c r="BF137"/>
  <c r="BF133"/>
  <c r="BF142"/>
  <c r="BF138"/>
  <c r="BF134"/>
  <c r="CM261" i="1037"/>
  <c r="AP142" i="1097"/>
  <c r="AT143"/>
  <c r="BC18" i="996"/>
  <c r="BB18"/>
  <c r="BM9"/>
  <c r="BM18"/>
  <c r="BL9"/>
  <c r="BO18"/>
  <c r="BN18"/>
  <c r="BL18"/>
  <c r="BF10" i="938"/>
  <c r="BF9"/>
  <c r="BF13"/>
  <c r="BF7"/>
  <c r="BF12"/>
  <c r="DR209" i="1037"/>
  <c r="AZ209"/>
  <c r="DS209" s="1"/>
  <c r="CD209"/>
  <c r="EE209" s="1"/>
  <c r="ED209"/>
  <c r="CG209"/>
  <c r="EG209" s="1"/>
  <c r="EF209"/>
  <c r="AU193"/>
  <c r="EM193" s="1"/>
  <c r="EL193"/>
  <c r="DH241"/>
  <c r="AN241"/>
  <c r="DI241" s="1"/>
  <c r="AG166"/>
  <c r="DG166" s="1"/>
  <c r="DF166"/>
  <c r="CL454"/>
  <c r="AC10789" i="967"/>
  <c r="CM463" i="1037"/>
  <c r="AT144" i="1097"/>
  <c r="AP144" s="1"/>
  <c r="AT142" i="1098"/>
  <c r="AP142" s="1"/>
  <c r="AT144" i="1099"/>
  <c r="AP144" s="1"/>
  <c r="V10843" i="967"/>
  <c r="W10843" s="1"/>
  <c r="AC9419"/>
  <c r="AC9418" s="1"/>
  <c r="AC9417" s="1"/>
  <c r="AF9417"/>
  <c r="AF9493"/>
  <c r="CM470" i="1037"/>
  <c r="AC4260" i="967"/>
  <c r="T853"/>
  <c r="AP94" i="948"/>
  <c r="CF19" i="1054"/>
  <c r="CG19"/>
  <c r="BN19" i="1057"/>
  <c r="BM19"/>
  <c r="CG19"/>
  <c r="CF19"/>
  <c r="AZ18" i="995"/>
  <c r="AX18"/>
  <c r="AX9"/>
  <c r="AY18"/>
  <c r="BM18"/>
  <c r="BL18"/>
  <c r="BN18"/>
  <c r="BL9"/>
  <c r="CB18" i="996"/>
  <c r="CC18"/>
  <c r="CA18"/>
  <c r="CD18"/>
  <c r="CA9"/>
  <c r="BR18"/>
  <c r="BQ18"/>
  <c r="BF68" i="939"/>
  <c r="BF71"/>
  <c r="BF62"/>
  <c r="BF65"/>
  <c r="BF64"/>
  <c r="BF61"/>
  <c r="BF69"/>
  <c r="BF67"/>
  <c r="BF60"/>
  <c r="BF63"/>
  <c r="BF66"/>
  <c r="BF70"/>
  <c r="BF63" i="938"/>
  <c r="BF65"/>
  <c r="BF71"/>
  <c r="BF61"/>
  <c r="BF67"/>
  <c r="BF68"/>
  <c r="BF66"/>
  <c r="BF60"/>
  <c r="BF69"/>
  <c r="BF70"/>
  <c r="BF62"/>
  <c r="BF64"/>
  <c r="BF5" i="1043"/>
  <c r="BF12"/>
  <c r="BF4"/>
  <c r="BF9"/>
  <c r="BF8"/>
  <c r="BF13"/>
  <c r="Z245" i="1037"/>
  <c r="CQ245"/>
  <c r="CO245"/>
  <c r="CN245"/>
  <c r="AH257"/>
  <c r="Y257"/>
  <c r="CD257"/>
  <c r="EE257" s="1"/>
  <c r="ED257"/>
  <c r="AO166"/>
  <c r="DK166" s="1"/>
  <c r="DJ166"/>
  <c r="AU166"/>
  <c r="DO166" s="1"/>
  <c r="DN166"/>
  <c r="BC209"/>
  <c r="DU209" s="1"/>
  <c r="DT209"/>
  <c r="AC10814" i="967"/>
  <c r="AT143" i="1098"/>
  <c r="X8476" i="967"/>
  <c r="CL209" i="1037"/>
  <c r="CL210" s="1"/>
  <c r="CQ257"/>
  <c r="CM257" s="1"/>
  <c r="CO213"/>
  <c r="CM213" s="1"/>
  <c r="Z213"/>
  <c r="CL463"/>
  <c r="C130" i="1042"/>
  <c r="AT144" i="1098"/>
  <c r="AP144" s="1"/>
  <c r="AT142" i="1099"/>
  <c r="CG18" i="1064"/>
  <c r="V10814" i="967"/>
  <c r="X10751"/>
  <c r="Z10751" s="1"/>
  <c r="AF9526"/>
  <c r="AF9544"/>
  <c r="AC9518"/>
  <c r="AC9544"/>
  <c r="AF9518"/>
  <c r="AB10843"/>
  <c r="AC10843" s="1"/>
  <c r="BN20" i="1057"/>
  <c r="W9464" i="967"/>
  <c r="W9417" s="1"/>
  <c r="W9543" s="1"/>
  <c r="Z18" i="1062"/>
  <c r="DC4" i="939"/>
  <c r="AC6293" i="967"/>
  <c r="AU19" i="1056"/>
  <c r="X10885" i="967"/>
  <c r="Z10885" s="1"/>
  <c r="EJ454" i="1037"/>
  <c r="X10882" i="967"/>
  <c r="Z10882" s="1"/>
  <c r="AC11065"/>
  <c r="AC11066"/>
  <c r="AC6209"/>
  <c r="AE417" i="1037"/>
  <c r="AA422"/>
  <c r="AB422" s="1"/>
  <c r="AL6209" i="967"/>
  <c r="CZ32" i="939"/>
  <c r="DC32"/>
  <c r="DC12"/>
  <c r="AP186" i="948"/>
  <c r="AP187"/>
  <c r="AP188"/>
  <c r="AP182"/>
  <c r="AP159" s="1"/>
  <c r="AF9568" i="967"/>
  <c r="AW9" i="994"/>
  <c r="AF18" i="991"/>
  <c r="AN18" i="996"/>
  <c r="AS18" i="994"/>
  <c r="BB18" i="995"/>
  <c r="AT18" i="994"/>
  <c r="AC8362" i="967"/>
  <c r="CP197" i="1037"/>
  <c r="CM197" s="1"/>
  <c r="DH209"/>
  <c r="W4261" i="967"/>
  <c r="W4161"/>
  <c r="W4280"/>
  <c r="W4271"/>
  <c r="W4292"/>
  <c r="W4263"/>
  <c r="W4262" s="1"/>
  <c r="W4287"/>
  <c r="Y196" i="1037"/>
  <c r="AG209"/>
  <c r="AH245"/>
  <c r="AI245" s="1"/>
  <c r="AO241"/>
  <c r="AR193"/>
  <c r="ET193"/>
  <c r="AR166"/>
  <c r="DM166" s="1"/>
  <c r="Z1713" i="967"/>
  <c r="Z1010"/>
  <c r="AC6243"/>
  <c r="CM251" i="1037"/>
  <c r="CM255"/>
  <c r="J85" i="1001"/>
  <c r="T9464" i="967"/>
  <c r="T9417" s="1"/>
  <c r="T9543" s="1"/>
  <c r="AS22" i="1063"/>
  <c r="BW22"/>
  <c r="BH22" i="1064"/>
  <c r="AS22" i="1065"/>
  <c r="BW22"/>
  <c r="AT18" i="1045"/>
  <c r="AT115" i="1097"/>
  <c r="P86" i="1001"/>
  <c r="N86" s="1"/>
  <c r="AN22" i="1063"/>
  <c r="BH22"/>
  <c r="AS22" i="1064"/>
  <c r="BW22"/>
  <c r="Z11159" i="967"/>
  <c r="Z11142"/>
  <c r="Z11153"/>
  <c r="Z11141"/>
  <c r="Z11200"/>
  <c r="Z11192"/>
  <c r="Z11178"/>
  <c r="Z11206"/>
  <c r="Z11197"/>
  <c r="Z11188"/>
  <c r="Z11115"/>
  <c r="Z11168"/>
  <c r="Z11144"/>
  <c r="Z11198"/>
  <c r="Z11184"/>
  <c r="Z11195"/>
  <c r="Z11177"/>
  <c r="Z11165"/>
  <c r="Z11114"/>
  <c r="Z11176"/>
  <c r="Z11185"/>
  <c r="Z11148"/>
  <c r="Z11207"/>
  <c r="Z11171"/>
  <c r="Z11145"/>
  <c r="Z11205"/>
  <c r="Z11196"/>
  <c r="Z11186"/>
  <c r="Z11113"/>
  <c r="Z11201"/>
  <c r="Z11191"/>
  <c r="Z11179"/>
  <c r="Z11175"/>
  <c r="Z11140"/>
  <c r="Z11202"/>
  <c r="Z11190"/>
  <c r="Z11204"/>
  <c r="Z11189"/>
  <c r="Z11208"/>
  <c r="Z11147"/>
  <c r="Z11194"/>
  <c r="Z11199"/>
  <c r="Z11146"/>
  <c r="CM471" i="1037"/>
  <c r="CL471"/>
  <c r="W10814" i="967"/>
  <c r="V10751"/>
  <c r="W10751" s="1"/>
  <c r="AB10751"/>
  <c r="AC10751" s="1"/>
  <c r="AJ19" i="1054"/>
  <c r="AK19"/>
  <c r="AS19" i="1057"/>
  <c r="AT19"/>
  <c r="AB10"/>
  <c r="Z19"/>
  <c r="AC10"/>
  <c r="AA10"/>
  <c r="AO18" i="1062"/>
  <c r="AN18"/>
  <c r="AU19" i="1054"/>
  <c r="AS19"/>
  <c r="AR20" i="1056"/>
  <c r="Y20"/>
  <c r="BC20" i="1054"/>
  <c r="BB20"/>
  <c r="AA20" i="1059"/>
  <c r="AB11"/>
  <c r="AA11"/>
  <c r="W3952" i="967"/>
  <c r="W3099"/>
  <c r="W3100"/>
  <c r="W3909"/>
  <c r="W3783"/>
  <c r="W3841"/>
  <c r="W3945"/>
  <c r="W3102"/>
  <c r="W3930"/>
  <c r="W3866"/>
  <c r="W3935"/>
  <c r="W3836"/>
  <c r="W3934"/>
  <c r="W3910"/>
  <c r="W3885"/>
  <c r="W3809"/>
  <c r="W3128"/>
  <c r="W3825"/>
  <c r="W3902"/>
  <c r="W3845"/>
  <c r="W3135"/>
  <c r="W3967"/>
  <c r="W3886"/>
  <c r="W3105"/>
  <c r="W3882"/>
  <c r="W3131"/>
  <c r="W3136"/>
  <c r="W3870"/>
  <c r="W3965"/>
  <c r="W3854"/>
  <c r="W3921"/>
  <c r="W3878"/>
  <c r="W3884"/>
  <c r="W3942"/>
  <c r="W3919"/>
  <c r="W3820"/>
  <c r="W3868"/>
  <c r="W3891"/>
  <c r="W3903"/>
  <c r="W3860"/>
  <c r="W3944"/>
  <c r="W3937"/>
  <c r="W3908"/>
  <c r="W3924"/>
  <c r="W3916"/>
  <c r="W3883"/>
  <c r="W3925"/>
  <c r="W3915"/>
  <c r="W3814"/>
  <c r="AW18" i="1062"/>
  <c r="AX18"/>
  <c r="Z3896" i="967"/>
  <c r="Z3952"/>
  <c r="Z3823"/>
  <c r="Z3141"/>
  <c r="Z3131"/>
  <c r="Z3105"/>
  <c r="Z3838"/>
  <c r="Z3880"/>
  <c r="Z3814"/>
  <c r="Z3897"/>
  <c r="Z3862"/>
  <c r="Z3864"/>
  <c r="Z3893"/>
  <c r="Z3888"/>
  <c r="Z3844"/>
  <c r="Z3950"/>
  <c r="Z3852"/>
  <c r="Z3908"/>
  <c r="Z3900"/>
  <c r="Z3923"/>
  <c r="Z3912"/>
  <c r="Z3879"/>
  <c r="Z3898"/>
  <c r="Z3849"/>
  <c r="Z3919"/>
  <c r="Z3825"/>
  <c r="Z3818"/>
  <c r="Z3964"/>
  <c r="Z3120"/>
  <c r="Z3901"/>
  <c r="Z3970"/>
  <c r="Z3961"/>
  <c r="Z3894"/>
  <c r="Z3971"/>
  <c r="Z3928"/>
  <c r="Z3855"/>
  <c r="Z3824"/>
  <c r="Z3846"/>
  <c r="Z3103"/>
  <c r="Z3847"/>
  <c r="Z3821"/>
  <c r="Z3809"/>
  <c r="Z3112"/>
  <c r="Z3949"/>
  <c r="Z3943"/>
  <c r="Z3828"/>
  <c r="Z3895"/>
  <c r="Z3875"/>
  <c r="Z3930"/>
  <c r="Z3907"/>
  <c r="Z3891"/>
  <c r="Z3833"/>
  <c r="Z3139"/>
  <c r="Z3851"/>
  <c r="Z3857"/>
  <c r="Z3885"/>
  <c r="Z3107"/>
  <c r="Z3960"/>
  <c r="AT132" i="1096"/>
  <c r="AP132" s="1"/>
  <c r="AP132" i="1097"/>
  <c r="AC10752" i="967"/>
  <c r="W11425"/>
  <c r="W11244"/>
  <c r="W6609"/>
  <c r="AP434" i="1037"/>
  <c r="K125" i="1043"/>
  <c r="P125"/>
  <c r="J127"/>
  <c r="L127"/>
  <c r="AV434" i="1037"/>
  <c r="J125" i="1043"/>
  <c r="L125"/>
  <c r="P127"/>
  <c r="W11208" i="967"/>
  <c r="W11201"/>
  <c r="W11197"/>
  <c r="W11147"/>
  <c r="W11176"/>
  <c r="W11148"/>
  <c r="W11189"/>
  <c r="W11187" s="1"/>
  <c r="W11196"/>
  <c r="W11205"/>
  <c r="W11206"/>
  <c r="W11114"/>
  <c r="W11144"/>
  <c r="W11143" s="1"/>
  <c r="W11171"/>
  <c r="W11115"/>
  <c r="W11159"/>
  <c r="W11149" s="1"/>
  <c r="W11178"/>
  <c r="W11192"/>
  <c r="W11202"/>
  <c r="W11185"/>
  <c r="W11191"/>
  <c r="W10828"/>
  <c r="W10844"/>
  <c r="W10815"/>
  <c r="AP56" i="1046"/>
  <c r="AP56" i="1045"/>
  <c r="AT66"/>
  <c r="AT75"/>
  <c r="AT66" i="1046"/>
  <c r="AT66" i="1047"/>
  <c r="AN19" i="1058"/>
  <c r="EK471" i="1037"/>
  <c r="DI458"/>
  <c r="X10891" i="967"/>
  <c r="DL454" i="1037"/>
  <c r="EM470"/>
  <c r="DL470"/>
  <c r="Y425"/>
  <c r="Z425" s="1"/>
  <c r="AA425"/>
  <c r="AB425" s="1"/>
  <c r="AF10884" i="967"/>
  <c r="AJ10882"/>
  <c r="DH425" i="1037"/>
  <c r="DK425"/>
  <c r="AX20" i="1058"/>
  <c r="CE3" i="939"/>
  <c r="Z22" i="1063"/>
  <c r="AK22"/>
  <c r="ES22" s="1"/>
  <c r="AP22"/>
  <c r="AU22"/>
  <c r="BJ22"/>
  <c r="Z22" i="1064"/>
  <c r="AK22"/>
  <c r="ES22" s="1"/>
  <c r="AN22"/>
  <c r="AP22"/>
  <c r="AU22"/>
  <c r="BJ22"/>
  <c r="Z22" i="1065"/>
  <c r="AK22"/>
  <c r="ES22" s="1"/>
  <c r="AN22"/>
  <c r="AP22"/>
  <c r="AU22"/>
  <c r="BJ22"/>
  <c r="AT18" i="1044" l="1"/>
  <c r="AP18" s="1"/>
  <c r="AP18" i="1045"/>
  <c r="AT17"/>
  <c r="AP241" i="1037"/>
  <c r="EK241" s="1"/>
  <c r="EJ241"/>
  <c r="AH209"/>
  <c r="AC209"/>
  <c r="AD209" s="1"/>
  <c r="AE209"/>
  <c r="AF209" s="1"/>
  <c r="Y209"/>
  <c r="DF417"/>
  <c r="DG417"/>
  <c r="AT52" i="1098"/>
  <c r="AP52" s="1"/>
  <c r="AT20"/>
  <c r="AP20" s="1"/>
  <c r="AT108"/>
  <c r="AP108" s="1"/>
  <c r="AT100"/>
  <c r="AT111"/>
  <c r="AP111" s="1"/>
  <c r="AT101"/>
  <c r="AP101" s="1"/>
  <c r="AT85"/>
  <c r="AP85" s="1"/>
  <c r="AT71"/>
  <c r="AP71" s="1"/>
  <c r="AT54"/>
  <c r="AP54" s="1"/>
  <c r="AT50"/>
  <c r="AT114"/>
  <c r="AP114" s="1"/>
  <c r="AT106"/>
  <c r="AP106" s="1"/>
  <c r="AT102"/>
  <c r="AP102" s="1"/>
  <c r="AT98"/>
  <c r="AP98" s="1"/>
  <c r="AT94"/>
  <c r="AT82"/>
  <c r="AP82" s="1"/>
  <c r="AT51"/>
  <c r="AP51" s="1"/>
  <c r="AT113"/>
  <c r="AP113" s="1"/>
  <c r="AT107"/>
  <c r="AP107" s="1"/>
  <c r="AT103"/>
  <c r="AP103" s="1"/>
  <c r="AT97"/>
  <c r="AP97" s="1"/>
  <c r="AT91"/>
  <c r="AP91" s="1"/>
  <c r="AT83"/>
  <c r="AP83" s="1"/>
  <c r="AT77"/>
  <c r="AP77" s="1"/>
  <c r="AT59"/>
  <c r="AT48"/>
  <c r="AP48" s="1"/>
  <c r="AT112"/>
  <c r="AP112" s="1"/>
  <c r="AT104"/>
  <c r="AP104" s="1"/>
  <c r="AT96"/>
  <c r="AP96" s="1"/>
  <c r="AT92"/>
  <c r="AP92" s="1"/>
  <c r="AT84"/>
  <c r="AP84" s="1"/>
  <c r="AT74"/>
  <c r="AP74" s="1"/>
  <c r="AT53"/>
  <c r="AP53" s="1"/>
  <c r="AT47"/>
  <c r="AP47" s="1"/>
  <c r="AT19"/>
  <c r="AT105"/>
  <c r="AP105" s="1"/>
  <c r="AT95"/>
  <c r="AP95" s="1"/>
  <c r="AT81"/>
  <c r="AT46"/>
  <c r="AP46" s="1"/>
  <c r="AT110"/>
  <c r="AT90"/>
  <c r="AP90" s="1"/>
  <c r="AT65"/>
  <c r="AP65" s="1"/>
  <c r="AT21"/>
  <c r="AP21" s="1"/>
  <c r="Z257" i="1037"/>
  <c r="EI257" s="1"/>
  <c r="EH257"/>
  <c r="AT111" i="1097"/>
  <c r="AT101"/>
  <c r="AT85"/>
  <c r="AT71"/>
  <c r="AT50"/>
  <c r="AT114"/>
  <c r="AT106"/>
  <c r="AT98"/>
  <c r="AT90"/>
  <c r="AT65"/>
  <c r="AT21"/>
  <c r="AT107"/>
  <c r="AT97"/>
  <c r="AT83"/>
  <c r="AT59"/>
  <c r="AT48"/>
  <c r="AT112"/>
  <c r="AT104"/>
  <c r="AT96"/>
  <c r="AT84"/>
  <c r="AT47"/>
  <c r="AT105"/>
  <c r="AT95"/>
  <c r="AT81"/>
  <c r="AT54"/>
  <c r="AT46"/>
  <c r="AT110"/>
  <c r="AT102"/>
  <c r="AT94"/>
  <c r="AT82"/>
  <c r="AT51"/>
  <c r="AT113"/>
  <c r="AT103"/>
  <c r="AT91"/>
  <c r="AT77"/>
  <c r="AT52"/>
  <c r="AT20"/>
  <c r="AT108"/>
  <c r="AT100"/>
  <c r="AP100" s="1"/>
  <c r="AT92"/>
  <c r="AT74"/>
  <c r="AT53"/>
  <c r="AT19"/>
  <c r="W4260" i="967"/>
  <c r="CM245" i="1037"/>
  <c r="AF9543" i="967"/>
  <c r="AP115" i="1097"/>
  <c r="AT115" i="1096"/>
  <c r="AP115" s="1"/>
  <c r="DJ193" i="1037"/>
  <c r="AS193"/>
  <c r="DK193" s="1"/>
  <c r="CQ196"/>
  <c r="CP196"/>
  <c r="CO196"/>
  <c r="CN196"/>
  <c r="Z196"/>
  <c r="AP142" i="1099"/>
  <c r="AT143"/>
  <c r="BF143" i="1042"/>
  <c r="BF139"/>
  <c r="BF135"/>
  <c r="BF144"/>
  <c r="BF140"/>
  <c r="BF136"/>
  <c r="BF141"/>
  <c r="BF137"/>
  <c r="BF133"/>
  <c r="BF142"/>
  <c r="BF138"/>
  <c r="BF134"/>
  <c r="X8477" i="967"/>
  <c r="Z8476"/>
  <c r="DF257" i="1037"/>
  <c r="AI257"/>
  <c r="DG257" s="1"/>
  <c r="K127" i="1043"/>
  <c r="Q125"/>
  <c r="O127"/>
  <c r="O125"/>
  <c r="AS434" i="1037"/>
  <c r="W8529" i="967"/>
  <c r="W11427"/>
  <c r="W11253"/>
  <c r="W11251" s="1"/>
  <c r="M127" i="1043"/>
  <c r="N125"/>
  <c r="AY434" i="1037"/>
  <c r="N127" i="1043"/>
  <c r="M125"/>
  <c r="AM434" i="1037"/>
  <c r="W11250" i="967"/>
  <c r="W11248" s="1"/>
  <c r="W11247"/>
  <c r="W11245" s="1"/>
  <c r="W11426"/>
  <c r="AC9543"/>
  <c r="Q127" i="1043"/>
  <c r="CY12" i="939"/>
  <c r="DD12"/>
  <c r="AL10882" i="967"/>
  <c r="AJ10880"/>
  <c r="AL10880" s="1"/>
  <c r="DE434" i="1037"/>
  <c r="DN434"/>
  <c r="Y434"/>
  <c r="Z434" s="1"/>
  <c r="AA434"/>
  <c r="AB434" s="1"/>
  <c r="DO434"/>
  <c r="W11203" i="967"/>
  <c r="W11174"/>
  <c r="Z11193"/>
  <c r="Z11203"/>
  <c r="Z11174"/>
  <c r="Z11112"/>
  <c r="Z11143"/>
  <c r="Z11149"/>
  <c r="Z10891"/>
  <c r="X10880"/>
  <c r="Z10880" s="1"/>
  <c r="AE434" i="1037"/>
  <c r="DJ434"/>
  <c r="DK434"/>
  <c r="W11242" i="967"/>
  <c r="W11240" s="1"/>
  <c r="W11241"/>
  <c r="W11193"/>
  <c r="Z11187"/>
  <c r="DP434" i="1037" l="1"/>
  <c r="DQ434"/>
  <c r="DL434"/>
  <c r="DM434"/>
  <c r="X8480" i="967"/>
  <c r="Z8480" s="1"/>
  <c r="Z8477"/>
  <c r="U127" i="1042"/>
  <c r="T127"/>
  <c r="N125"/>
  <c r="AV497" i="1037"/>
  <c r="P127" i="1042"/>
  <c r="L127"/>
  <c r="O127"/>
  <c r="K125"/>
  <c r="T125"/>
  <c r="R125"/>
  <c r="AQ497" i="1037"/>
  <c r="BZ497"/>
  <c r="Z11425" i="967"/>
  <c r="Z11250"/>
  <c r="Z11248" s="1"/>
  <c r="Z11247"/>
  <c r="Z11245" s="1"/>
  <c r="Z11253"/>
  <c r="Z11251" s="1"/>
  <c r="Q127" i="1042"/>
  <c r="M125"/>
  <c r="S125"/>
  <c r="Z6609" i="967"/>
  <c r="J127" i="1042"/>
  <c r="N127"/>
  <c r="U125"/>
  <c r="Q125"/>
  <c r="P125"/>
  <c r="BK497" i="1037"/>
  <c r="Z8529" i="967"/>
  <c r="Z11427"/>
  <c r="Z11244"/>
  <c r="Z11426"/>
  <c r="AV22" i="1064"/>
  <c r="AV22" i="1065"/>
  <c r="AT15" i="1047"/>
  <c r="AP15" s="1"/>
  <c r="AT162" i="1096"/>
  <c r="AP162" s="1"/>
  <c r="AQ501" i="1037"/>
  <c r="L125" i="1042"/>
  <c r="K127"/>
  <c r="BK22" i="1063"/>
  <c r="BK22" i="1064"/>
  <c r="AT156" i="1099"/>
  <c r="AP156" s="1"/>
  <c r="BZ22" i="1064"/>
  <c r="AT150" i="1097"/>
  <c r="AT153" i="1098"/>
  <c r="AP153" s="1"/>
  <c r="AT150" i="1099"/>
  <c r="AT150" i="1098"/>
  <c r="AV22" i="1063"/>
  <c r="BK22" i="1065"/>
  <c r="AT15" i="1045"/>
  <c r="AT15" i="1046"/>
  <c r="AP15" s="1"/>
  <c r="AQ22" i="1065"/>
  <c r="S127" i="1042"/>
  <c r="J125"/>
  <c r="O125"/>
  <c r="R127"/>
  <c r="AQ22" i="1063"/>
  <c r="BZ22"/>
  <c r="BZ22" i="1065"/>
  <c r="AT156" i="1097"/>
  <c r="AP156" s="1"/>
  <c r="AT159" i="1098"/>
  <c r="AP159" s="1"/>
  <c r="AT159" i="1099"/>
  <c r="AP159" s="1"/>
  <c r="AT163" i="1096"/>
  <c r="AP163" s="1"/>
  <c r="AQ22" i="1064"/>
  <c r="AT159" i="1097"/>
  <c r="AP159" s="1"/>
  <c r="AT156" i="1098"/>
  <c r="AP156" s="1"/>
  <c r="AT153" i="1097"/>
  <c r="AP153" s="1"/>
  <c r="AT153" i="1099"/>
  <c r="AP153" s="1"/>
  <c r="AT18" i="1097"/>
  <c r="AP19"/>
  <c r="AP74"/>
  <c r="AP20"/>
  <c r="AP77"/>
  <c r="AP103"/>
  <c r="AP51"/>
  <c r="AT93"/>
  <c r="AP94"/>
  <c r="AT109"/>
  <c r="AP110"/>
  <c r="AP54"/>
  <c r="AP95"/>
  <c r="AP47"/>
  <c r="AP96"/>
  <c r="AT96" i="1096"/>
  <c r="AP96" s="1"/>
  <c r="AP112" i="1097"/>
  <c r="AT55"/>
  <c r="AP59"/>
  <c r="AP97"/>
  <c r="AP21"/>
  <c r="AP90"/>
  <c r="AP106"/>
  <c r="AT50" i="1096"/>
  <c r="AP50" s="1"/>
  <c r="AP50" i="1097"/>
  <c r="AT49"/>
  <c r="AP85"/>
  <c r="AP111"/>
  <c r="AP110" i="1098"/>
  <c r="AT109"/>
  <c r="AP109" s="1"/>
  <c r="AT81" i="1096"/>
  <c r="AP81" s="1"/>
  <c r="AP81" i="1098"/>
  <c r="AT80"/>
  <c r="AP80" s="1"/>
  <c r="AP50"/>
  <c r="AT49"/>
  <c r="AP49" s="1"/>
  <c r="AT99"/>
  <c r="AP99" s="1"/>
  <c r="AP100"/>
  <c r="Z209" i="1037"/>
  <c r="EI209" s="1"/>
  <c r="EH209"/>
  <c r="AP17" i="1045"/>
  <c r="AT17" i="1044"/>
  <c r="AP17" s="1"/>
  <c r="W11111" i="967"/>
  <c r="AT161" i="1096"/>
  <c r="AP161" s="1"/>
  <c r="M127" i="1042"/>
  <c r="CM196" i="1037"/>
  <c r="DI434"/>
  <c r="DH434"/>
  <c r="AT111" i="1099"/>
  <c r="AP111" s="1"/>
  <c r="AT101"/>
  <c r="AP101" s="1"/>
  <c r="AT85"/>
  <c r="AP85" s="1"/>
  <c r="AT71"/>
  <c r="AP71" s="1"/>
  <c r="AT54"/>
  <c r="AP54" s="1"/>
  <c r="AT50"/>
  <c r="AT114"/>
  <c r="AP114" s="1"/>
  <c r="AT106"/>
  <c r="AP106" s="1"/>
  <c r="AT102"/>
  <c r="AP102" s="1"/>
  <c r="AT98"/>
  <c r="AP98" s="1"/>
  <c r="AT94"/>
  <c r="AT82"/>
  <c r="AP82" s="1"/>
  <c r="AT51"/>
  <c r="AP51" s="1"/>
  <c r="AT113"/>
  <c r="AP113" s="1"/>
  <c r="AT103"/>
  <c r="AP103" s="1"/>
  <c r="AT91"/>
  <c r="AP91" s="1"/>
  <c r="AT77"/>
  <c r="AP77" s="1"/>
  <c r="AT52"/>
  <c r="AP52" s="1"/>
  <c r="AT48"/>
  <c r="AP48" s="1"/>
  <c r="AT20"/>
  <c r="AP20" s="1"/>
  <c r="AT112"/>
  <c r="AP112" s="1"/>
  <c r="AT108"/>
  <c r="AP108" s="1"/>
  <c r="AT104"/>
  <c r="AP104" s="1"/>
  <c r="AT100"/>
  <c r="AT92"/>
  <c r="AP92" s="1"/>
  <c r="AT74"/>
  <c r="AP74" s="1"/>
  <c r="AT47"/>
  <c r="AP47" s="1"/>
  <c r="AT105"/>
  <c r="AP105" s="1"/>
  <c r="AT95"/>
  <c r="AP95" s="1"/>
  <c r="AT81"/>
  <c r="AT46"/>
  <c r="AP46" s="1"/>
  <c r="AT110"/>
  <c r="AT90"/>
  <c r="AP90" s="1"/>
  <c r="AT65"/>
  <c r="AP65" s="1"/>
  <c r="AT21"/>
  <c r="AP21" s="1"/>
  <c r="AT107"/>
  <c r="AP107" s="1"/>
  <c r="AT97"/>
  <c r="AP97" s="1"/>
  <c r="AT83"/>
  <c r="AP83" s="1"/>
  <c r="AT59"/>
  <c r="AT59" i="1096" s="1"/>
  <c r="AP59" s="1"/>
  <c r="AT96" i="1099"/>
  <c r="AP96" s="1"/>
  <c r="AT84"/>
  <c r="AP84" s="1"/>
  <c r="AT53"/>
  <c r="AP53" s="1"/>
  <c r="AT19"/>
  <c r="AT19" i="1096" s="1"/>
  <c r="AP19" s="1"/>
  <c r="AT53"/>
  <c r="AP53" s="1"/>
  <c r="AP53" i="1097"/>
  <c r="AP92"/>
  <c r="AT92" i="1096"/>
  <c r="AP92" s="1"/>
  <c r="AP108" i="1097"/>
  <c r="AT108" i="1096"/>
  <c r="AP108" s="1"/>
  <c r="AT52"/>
  <c r="AP52" s="1"/>
  <c r="AP52" i="1097"/>
  <c r="AP91"/>
  <c r="AT91" i="1096"/>
  <c r="AP91" s="1"/>
  <c r="AT113"/>
  <c r="AP113" s="1"/>
  <c r="AP113" i="1097"/>
  <c r="AP82"/>
  <c r="AT82" i="1096"/>
  <c r="AP82" s="1"/>
  <c r="AP102" i="1097"/>
  <c r="AT102" i="1096"/>
  <c r="AP102" s="1"/>
  <c r="AP46" i="1097"/>
  <c r="AP81"/>
  <c r="AT80"/>
  <c r="AT105" i="1096"/>
  <c r="AP105" s="1"/>
  <c r="AP105" i="1097"/>
  <c r="AP84"/>
  <c r="AP104"/>
  <c r="AP48"/>
  <c r="AT83" i="1096"/>
  <c r="AP83" s="1"/>
  <c r="AP83" i="1097"/>
  <c r="AT107" i="1096"/>
  <c r="AP107" s="1"/>
  <c r="AP107" i="1097"/>
  <c r="AT65" i="1096"/>
  <c r="AP65" s="1"/>
  <c r="AP65" i="1097"/>
  <c r="AP98"/>
  <c r="AT98" i="1096"/>
  <c r="AP98" s="1"/>
  <c r="AP114" i="1097"/>
  <c r="AP71"/>
  <c r="AT71" i="1096"/>
  <c r="AP71" s="1"/>
  <c r="AT99" i="1097"/>
  <c r="AT101" i="1096"/>
  <c r="AP101" s="1"/>
  <c r="AP101" i="1097"/>
  <c r="AT18" i="1098"/>
  <c r="AP19"/>
  <c r="AP59"/>
  <c r="AT55"/>
  <c r="AP55" s="1"/>
  <c r="AP94"/>
  <c r="AT93"/>
  <c r="AP93" s="1"/>
  <c r="DF209" i="1037"/>
  <c r="AI209"/>
  <c r="DG209" s="1"/>
  <c r="DF434"/>
  <c r="DG434"/>
  <c r="Z11111" i="967"/>
  <c r="AP18" i="1098" l="1"/>
  <c r="AT17"/>
  <c r="AP17" s="1"/>
  <c r="AP94" i="1099"/>
  <c r="AT93"/>
  <c r="AP93" s="1"/>
  <c r="AP99" i="1097"/>
  <c r="AP110" i="1099"/>
  <c r="AT109"/>
  <c r="AP109" s="1"/>
  <c r="AT80"/>
  <c r="AP80" s="1"/>
  <c r="AP81"/>
  <c r="AP100"/>
  <c r="AT99"/>
  <c r="AP99" s="1"/>
  <c r="AP50"/>
  <c r="AT49"/>
  <c r="AP49" s="1"/>
  <c r="AP109" i="1097"/>
  <c r="AP18"/>
  <c r="AT17"/>
  <c r="BZ18" i="1065"/>
  <c r="EQ22"/>
  <c r="EP22"/>
  <c r="DO22"/>
  <c r="DN22"/>
  <c r="EV22"/>
  <c r="AT158" i="1099" s="1"/>
  <c r="AT157" s="1"/>
  <c r="AP157" s="1"/>
  <c r="CJ22" i="1065"/>
  <c r="CQ22" s="1"/>
  <c r="CQ18" s="1"/>
  <c r="EK22" i="1063"/>
  <c r="AQ18"/>
  <c r="EJ22"/>
  <c r="DI22"/>
  <c r="DH22"/>
  <c r="CN22"/>
  <c r="EU22" i="1065"/>
  <c r="AT155" i="1099" s="1"/>
  <c r="AT154" s="1"/>
  <c r="AP154" s="1"/>
  <c r="BU22" i="1065"/>
  <c r="CP22" s="1"/>
  <c r="CP18" s="1"/>
  <c r="DL22"/>
  <c r="EO22"/>
  <c r="EN22"/>
  <c r="DM22"/>
  <c r="BK18"/>
  <c r="AP150" i="1098"/>
  <c r="AT147"/>
  <c r="AP147" s="1"/>
  <c r="AT148"/>
  <c r="EV22" i="1064"/>
  <c r="AT158" i="1098" s="1"/>
  <c r="AT157" s="1"/>
  <c r="AP157" s="1"/>
  <c r="CJ22" i="1064"/>
  <c r="CQ22" s="1"/>
  <c r="CQ18" s="1"/>
  <c r="BZ18"/>
  <c r="EQ22"/>
  <c r="EP22"/>
  <c r="DO22"/>
  <c r="DN22"/>
  <c r="EN22"/>
  <c r="DM22"/>
  <c r="BK18"/>
  <c r="EO22"/>
  <c r="EU22"/>
  <c r="AT155" i="1098" s="1"/>
  <c r="AT154" s="1"/>
  <c r="AP154" s="1"/>
  <c r="BU22" i="1064"/>
  <c r="CP22" s="1"/>
  <c r="CP18" s="1"/>
  <c r="DL22"/>
  <c r="CN501" i="1037"/>
  <c r="EH501"/>
  <c r="EI501"/>
  <c r="EJ501"/>
  <c r="DI501"/>
  <c r="EK501"/>
  <c r="DH501"/>
  <c r="BF22" i="1064"/>
  <c r="CO22" s="1"/>
  <c r="CO18" s="1"/>
  <c r="DK22"/>
  <c r="DJ22"/>
  <c r="EM22"/>
  <c r="EL22"/>
  <c r="AV18"/>
  <c r="ET22"/>
  <c r="AT152" i="1098" s="1"/>
  <c r="AT151" s="1"/>
  <c r="AP151" s="1"/>
  <c r="AG22" i="1064"/>
  <c r="Z11242" i="967"/>
  <c r="Z11240" s="1"/>
  <c r="Z11241"/>
  <c r="EK497" i="1037"/>
  <c r="EJ497"/>
  <c r="CN497"/>
  <c r="DI497"/>
  <c r="DH497"/>
  <c r="AT114" i="1096"/>
  <c r="AP114" s="1"/>
  <c r="AT48"/>
  <c r="AP48" s="1"/>
  <c r="AT104"/>
  <c r="AP104" s="1"/>
  <c r="AT84"/>
  <c r="AP84" s="1"/>
  <c r="AT46"/>
  <c r="AP46" s="1"/>
  <c r="AT100"/>
  <c r="AP100" s="1"/>
  <c r="AT110"/>
  <c r="AP110" s="1"/>
  <c r="AT111"/>
  <c r="AP111" s="1"/>
  <c r="AT85"/>
  <c r="AP85" s="1"/>
  <c r="AT106"/>
  <c r="AP106" s="1"/>
  <c r="AT90"/>
  <c r="AP90" s="1"/>
  <c r="AT21"/>
  <c r="AP21" s="1"/>
  <c r="AT97"/>
  <c r="AP97" s="1"/>
  <c r="AT54"/>
  <c r="AP54" s="1"/>
  <c r="AT94"/>
  <c r="AP94" s="1"/>
  <c r="AT51"/>
  <c r="AP51" s="1"/>
  <c r="AT103"/>
  <c r="AP103" s="1"/>
  <c r="AT77"/>
  <c r="AP77" s="1"/>
  <c r="AT20"/>
  <c r="AP20" s="1"/>
  <c r="AT74"/>
  <c r="AP74" s="1"/>
  <c r="AP80" i="1097"/>
  <c r="AT80" i="1096"/>
  <c r="AP80" s="1"/>
  <c r="AP19" i="1099"/>
  <c r="AT18"/>
  <c r="AT18" i="1096" s="1"/>
  <c r="AP18" s="1"/>
  <c r="AP59" i="1099"/>
  <c r="AT55"/>
  <c r="AP55" s="1"/>
  <c r="AT49" i="1096"/>
  <c r="AP49" s="1"/>
  <c r="AP49" i="1097"/>
  <c r="AP55"/>
  <c r="AP93"/>
  <c r="AT93" i="1096"/>
  <c r="AP93" s="1"/>
  <c r="AQ18" i="1064"/>
  <c r="DH22"/>
  <c r="EJ22"/>
  <c r="CN22"/>
  <c r="DI22"/>
  <c r="EK22"/>
  <c r="EV22" i="1063"/>
  <c r="AT158" i="1097" s="1"/>
  <c r="AT157" s="1"/>
  <c r="AP157" s="1"/>
  <c r="CJ22" i="1063"/>
  <c r="CQ22" s="1"/>
  <c r="CQ18" s="1"/>
  <c r="DN22"/>
  <c r="EQ22"/>
  <c r="EP22"/>
  <c r="BZ18"/>
  <c r="DO22"/>
  <c r="DI22" i="1065"/>
  <c r="EK22"/>
  <c r="EJ22"/>
  <c r="AQ18"/>
  <c r="CN22"/>
  <c r="DH22"/>
  <c r="AT15" i="1044"/>
  <c r="AP15" s="1"/>
  <c r="AP15" i="1045"/>
  <c r="EM22" i="1063"/>
  <c r="AV18"/>
  <c r="BF22"/>
  <c r="CO22" s="1"/>
  <c r="CO18" s="1"/>
  <c r="ET22"/>
  <c r="AT152" i="1097" s="1"/>
  <c r="AT151" s="1"/>
  <c r="AP151" s="1"/>
  <c r="AG22" i="1063"/>
  <c r="EL22"/>
  <c r="DK22"/>
  <c r="DJ22"/>
  <c r="AT148" i="1099"/>
  <c r="AT147"/>
  <c r="AP147" s="1"/>
  <c r="AP150"/>
  <c r="AP150" i="1097"/>
  <c r="AT148"/>
  <c r="AT147"/>
  <c r="AP147" s="1"/>
  <c r="BK18" i="1063"/>
  <c r="DM22"/>
  <c r="BU22"/>
  <c r="CP22" s="1"/>
  <c r="CP18" s="1"/>
  <c r="EO22"/>
  <c r="EU22"/>
  <c r="AT155" i="1097" s="1"/>
  <c r="AT154" s="1"/>
  <c r="AP154" s="1"/>
  <c r="DL22" i="1063"/>
  <c r="EN22"/>
  <c r="EM22" i="1065"/>
  <c r="ET22"/>
  <c r="AT152" i="1099" s="1"/>
  <c r="AT151" s="1"/>
  <c r="AP151" s="1"/>
  <c r="AG22" i="1065"/>
  <c r="EL22"/>
  <c r="DK22"/>
  <c r="DJ22"/>
  <c r="AV18"/>
  <c r="BF22"/>
  <c r="CO22" s="1"/>
  <c r="CO18" s="1"/>
  <c r="EU497" i="1037"/>
  <c r="DM497"/>
  <c r="BU497"/>
  <c r="CP497" s="1"/>
  <c r="DL497"/>
  <c r="EO497"/>
  <c r="EN497"/>
  <c r="EV497"/>
  <c r="EP497"/>
  <c r="CJ497"/>
  <c r="CQ497" s="1"/>
  <c r="DO497"/>
  <c r="EQ497"/>
  <c r="DN497"/>
  <c r="DJ497"/>
  <c r="ET497"/>
  <c r="EM497"/>
  <c r="AG497"/>
  <c r="DK497"/>
  <c r="EL497"/>
  <c r="BF497"/>
  <c r="CO497" s="1"/>
  <c r="CL497" s="1"/>
  <c r="AT112" i="1096"/>
  <c r="AP112" s="1"/>
  <c r="AT47"/>
  <c r="AP47" s="1"/>
  <c r="AT95"/>
  <c r="AP95" s="1"/>
  <c r="EH497" i="1037" l="1"/>
  <c r="EI497"/>
  <c r="DF497"/>
  <c r="AC497"/>
  <c r="AD497" s="1"/>
  <c r="AA497"/>
  <c r="AB497" s="1"/>
  <c r="DG497"/>
  <c r="BH18" i="1063"/>
  <c r="BM9" s="1"/>
  <c r="BJ18"/>
  <c r="BG18"/>
  <c r="BL9" s="1"/>
  <c r="BI18"/>
  <c r="AT146" i="1099"/>
  <c r="AP146" s="1"/>
  <c r="AP148"/>
  <c r="AG18" i="1063"/>
  <c r="DG22"/>
  <c r="AC22"/>
  <c r="AD22" s="1"/>
  <c r="EI22"/>
  <c r="DF22"/>
  <c r="EH22"/>
  <c r="AA22"/>
  <c r="AB22" s="1"/>
  <c r="CL22" i="1065"/>
  <c r="CM22"/>
  <c r="CM18" s="1"/>
  <c r="CN18"/>
  <c r="CM22" i="1064"/>
  <c r="CM18" s="1"/>
  <c r="CL22"/>
  <c r="CN18"/>
  <c r="AS18" i="1065"/>
  <c r="AX9" s="1"/>
  <c r="AU18"/>
  <c r="AR18"/>
  <c r="AW9" s="1"/>
  <c r="AT18"/>
  <c r="EI22"/>
  <c r="EH22"/>
  <c r="AG18"/>
  <c r="DG22"/>
  <c r="AC22"/>
  <c r="DF22"/>
  <c r="AU18" i="1063"/>
  <c r="AS18"/>
  <c r="AX9" s="1"/>
  <c r="AT18"/>
  <c r="AR18"/>
  <c r="AW9" s="1"/>
  <c r="AM18" i="1065"/>
  <c r="AO18"/>
  <c r="AN18"/>
  <c r="AP18"/>
  <c r="AO18" i="1064"/>
  <c r="AM18"/>
  <c r="AN18"/>
  <c r="AP18"/>
  <c r="EI22"/>
  <c r="DG22"/>
  <c r="AC22"/>
  <c r="AD22" s="1"/>
  <c r="AG18"/>
  <c r="EH22"/>
  <c r="AA22"/>
  <c r="AB22" s="1"/>
  <c r="DF22"/>
  <c r="AT18"/>
  <c r="AR18"/>
  <c r="AW9"/>
  <c r="AS18"/>
  <c r="AX9" s="1"/>
  <c r="AU18"/>
  <c r="CM501" i="1037"/>
  <c r="CL501"/>
  <c r="BV18" i="1064"/>
  <c r="BW18"/>
  <c r="CB9" s="1"/>
  <c r="BY18"/>
  <c r="BX18"/>
  <c r="CA9"/>
  <c r="BI18" i="1065"/>
  <c r="BJ18"/>
  <c r="BH18"/>
  <c r="BG18"/>
  <c r="BL9" s="1"/>
  <c r="BM9"/>
  <c r="AP17" i="1097"/>
  <c r="AT55" i="1096"/>
  <c r="AP55" s="1"/>
  <c r="AT109"/>
  <c r="AP109" s="1"/>
  <c r="AP148" i="1097"/>
  <c r="AT146"/>
  <c r="AP146" s="1"/>
  <c r="BY18" i="1063"/>
  <c r="BV18"/>
  <c r="CA9" s="1"/>
  <c r="BW18"/>
  <c r="CB9" s="1"/>
  <c r="BX18"/>
  <c r="AP18" i="1099"/>
  <c r="AT17"/>
  <c r="AP17" s="1"/>
  <c r="BJ18" i="1064"/>
  <c r="BH18"/>
  <c r="BM9" s="1"/>
  <c r="BI18"/>
  <c r="BG18"/>
  <c r="BL9" s="1"/>
  <c r="AT146" i="1098"/>
  <c r="AP146" s="1"/>
  <c r="AP148"/>
  <c r="CL22" i="1063"/>
  <c r="CN18"/>
  <c r="CM22"/>
  <c r="CM18" s="1"/>
  <c r="AM18"/>
  <c r="AN18"/>
  <c r="AP18"/>
  <c r="AO18"/>
  <c r="BV18" i="1065"/>
  <c r="BX18"/>
  <c r="BY18"/>
  <c r="BW18"/>
  <c r="CB9" s="1"/>
  <c r="CA9"/>
  <c r="CM497" i="1037"/>
  <c r="AT99" i="1096"/>
  <c r="AP99" s="1"/>
  <c r="AD22" i="1065" l="1"/>
  <c r="AA22"/>
  <c r="AB22" s="1"/>
  <c r="AC18"/>
  <c r="AD18"/>
  <c r="AD9" s="1"/>
  <c r="Z18"/>
  <c r="Y18"/>
  <c r="AT17" i="1096"/>
  <c r="AP17" s="1"/>
  <c r="Z18" i="1064"/>
  <c r="AB18"/>
  <c r="AB9" s="1"/>
  <c r="AD18"/>
  <c r="AD9" s="1"/>
  <c r="Y18"/>
  <c r="AC18"/>
  <c r="AC18" i="1063"/>
  <c r="AC9" s="1"/>
  <c r="Y18"/>
  <c r="AA18"/>
  <c r="Z18"/>
  <c r="AA9"/>
  <c r="AD18"/>
  <c r="AD9" s="1"/>
  <c r="AB18"/>
  <c r="AB9" s="1"/>
  <c r="AA18" i="1064" l="1"/>
  <c r="AA9" s="1"/>
  <c r="AC9"/>
  <c r="AB18" i="1065"/>
  <c r="AB9" s="1"/>
  <c r="AC9"/>
  <c r="AA18"/>
  <c r="AA9" s="1"/>
</calcChain>
</file>

<file path=xl/comments1.xml><?xml version="1.0" encoding="utf-8"?>
<comments xmlns="http://schemas.openxmlformats.org/spreadsheetml/2006/main">
  <authors>
    <author>vmalkov</author>
  </authors>
  <commentList>
    <comment ref="Y3" authorId="0">
      <text>
        <r>
          <rPr>
            <sz val="9"/>
            <color indexed="81"/>
            <rFont val="Tahoma"/>
            <family val="2"/>
            <charset val="204"/>
          </rPr>
          <t>Размерность тарифа на передачу</t>
        </r>
      </text>
    </comment>
    <comment ref="M12" authorId="0">
      <text>
        <r>
          <rPr>
            <sz val="9"/>
            <color indexed="81"/>
            <rFont val="Tahoma"/>
            <family val="2"/>
            <charset val="204"/>
          </rPr>
          <t>Является ли организация плательщиком НДС</t>
        </r>
      </text>
    </comment>
    <comment ref="AB12" authorId="0">
      <text>
        <r>
          <rPr>
            <sz val="9"/>
            <color indexed="81"/>
            <rFont val="Tahoma"/>
            <family val="2"/>
            <charset val="204"/>
          </rPr>
          <t>Является ли организация энергоснабжающей организацией-перепродавцом (значения определяет участие организации в перепродаже по МО тепловой энергии на листе "БПр")</t>
        </r>
      </text>
    </comment>
    <comment ref="AE12" authorId="0">
      <text>
        <r>
          <rPr>
            <sz val="9"/>
            <color indexed="81"/>
            <rFont val="Tahoma"/>
            <family val="2"/>
            <charset val="204"/>
          </rPr>
          <t>Значения в колонках определяют участие организации в передаче тепловой энергии на листе "БПер"</t>
        </r>
      </text>
    </comment>
    <comment ref="AG12" authorId="0">
      <text>
        <r>
          <rPr>
            <sz val="9"/>
            <color indexed="81"/>
            <rFont val="Tahoma"/>
            <family val="2"/>
            <charset val="204"/>
          </rPr>
          <t>Поле заполняется только для организаций с видом деятельности "производство комбинированная выработка"</t>
        </r>
      </text>
    </comment>
    <comment ref="AH12" authorId="0">
      <text>
        <r>
          <rPr>
            <sz val="9"/>
            <color indexed="81"/>
            <rFont val="Tahoma"/>
            <family val="2"/>
            <charset val="204"/>
          </rPr>
          <t>Для организации утверждаются долгосрочные тарифы на услуги по передаче тепловой энергии</t>
        </r>
      </text>
    </comment>
    <comment ref="AI12" authorId="0">
      <text>
        <r>
          <rPr>
            <sz val="9"/>
            <color indexed="81"/>
            <rFont val="Tahoma"/>
            <family val="2"/>
            <charset val="204"/>
          </rPr>
          <t>Является ли организация организацией-перепродавцом (значения определяет участие организации в перепродаже по МО на листе "БПр")</t>
        </r>
      </text>
    </comment>
  </commentList>
</comments>
</file>

<file path=xl/comments10.xml><?xml version="1.0" encoding="utf-8"?>
<comments xmlns="http://schemas.openxmlformats.org/spreadsheetml/2006/main">
  <authors>
    <author>Anton</author>
    <author>vmalkov</author>
  </authors>
  <commentList>
    <comment ref="AC9" authorId="0">
      <text>
        <r>
          <rPr>
            <sz val="8"/>
            <color indexed="81"/>
            <rFont val="Tahoma"/>
            <family val="2"/>
            <charset val="204"/>
          </rPr>
          <t>Формула зависит от размерности тарифа на передачу (транспортировку)</t>
        </r>
      </text>
    </comment>
    <comment ref="AD9" authorId="0">
      <text>
        <r>
          <rPr>
            <sz val="8"/>
            <color indexed="81"/>
            <rFont val="Tahoma"/>
            <family val="2"/>
            <charset val="204"/>
          </rPr>
          <t>Формула зависит от размерности тарифа на передачу (транспортировку)</t>
        </r>
      </text>
    </comment>
    <comment ref="AE9" authorId="0">
      <text>
        <r>
          <rPr>
            <sz val="8"/>
            <color indexed="81"/>
            <rFont val="Tahoma"/>
            <family val="2"/>
            <charset val="204"/>
          </rPr>
          <t>Формула зависит от размерности тарифа на передачу (транспортировку)</t>
        </r>
      </text>
    </comment>
    <comment ref="AF9" authorId="0">
      <text>
        <r>
          <rPr>
            <sz val="8"/>
            <color indexed="81"/>
            <rFont val="Tahoma"/>
            <family val="2"/>
            <charset val="204"/>
          </rPr>
          <t>Формула зависит от размерности тарифа на передачу (транспортировку)</t>
        </r>
      </text>
    </comment>
    <comment ref="M14" authorId="1">
      <text>
        <r>
          <rPr>
            <sz val="9"/>
            <color indexed="81"/>
            <rFont val="Tahoma"/>
            <family val="2"/>
            <charset val="204"/>
          </rPr>
          <t>Возможно указать ссылку на документ в формате *.doc, *.docx или ZIP-архив, содержащий документы</t>
        </r>
      </text>
    </comment>
    <comment ref="BT14" authorId="1">
      <text>
        <r>
          <rPr>
            <sz val="9"/>
            <color indexed="81"/>
            <rFont val="Tahoma"/>
            <family val="2"/>
            <charset val="204"/>
          </rPr>
          <t>В случае если тариф для населения является льготным в соответствии с нормами действующего законодательства</t>
        </r>
      </text>
    </comment>
  </commentList>
</comments>
</file>

<file path=xl/comments11.xml><?xml version="1.0" encoding="utf-8"?>
<comments xmlns="http://schemas.openxmlformats.org/spreadsheetml/2006/main">
  <authors>
    <author>Anton</author>
    <author>vmalkov</author>
  </authors>
  <commentList>
    <comment ref="AC9" authorId="0">
      <text>
        <r>
          <rPr>
            <sz val="8"/>
            <color indexed="81"/>
            <rFont val="Tahoma"/>
            <family val="2"/>
            <charset val="204"/>
          </rPr>
          <t>Формула зависит от размерности тарифа на передачу (транспортировку)</t>
        </r>
      </text>
    </comment>
    <comment ref="AD9" authorId="0">
      <text>
        <r>
          <rPr>
            <sz val="8"/>
            <color indexed="81"/>
            <rFont val="Tahoma"/>
            <family val="2"/>
            <charset val="204"/>
          </rPr>
          <t>Формула зависит от размерности тарифа на передачу (транспортировку)</t>
        </r>
      </text>
    </comment>
    <comment ref="AE9" authorId="0">
      <text>
        <r>
          <rPr>
            <sz val="8"/>
            <color indexed="81"/>
            <rFont val="Tahoma"/>
            <family val="2"/>
            <charset val="204"/>
          </rPr>
          <t>Формула зависит от размерности тарифа на передачу (транспортировку)</t>
        </r>
      </text>
    </comment>
    <comment ref="AF9" authorId="0">
      <text>
        <r>
          <rPr>
            <sz val="8"/>
            <color indexed="81"/>
            <rFont val="Tahoma"/>
            <family val="2"/>
            <charset val="204"/>
          </rPr>
          <t>Формула зависит от размерности тарифа на передачу (транспортировку)</t>
        </r>
      </text>
    </comment>
    <comment ref="M14" authorId="1">
      <text>
        <r>
          <rPr>
            <sz val="9"/>
            <color indexed="81"/>
            <rFont val="Tahoma"/>
            <family val="2"/>
            <charset val="204"/>
          </rPr>
          <t>Возможно указать ссылку на документ в формате *.doc, *.docx или ZIP-архив, содержащий документы</t>
        </r>
      </text>
    </comment>
    <comment ref="BT14" authorId="1">
      <text>
        <r>
          <rPr>
            <sz val="9"/>
            <color indexed="81"/>
            <rFont val="Tahoma"/>
            <family val="2"/>
            <charset val="204"/>
          </rPr>
          <t>В случае если тариф для населения является льготным в соответствии с нормами действующего законодательства</t>
        </r>
      </text>
    </comment>
  </commentList>
</comments>
</file>

<file path=xl/comments12.xml><?xml version="1.0" encoding="utf-8"?>
<comments xmlns="http://schemas.openxmlformats.org/spreadsheetml/2006/main">
  <authors>
    <author>vmalkov</author>
  </authors>
  <commentList>
    <comment ref="D125" authorId="0">
      <text>
        <r>
          <rPr>
            <sz val="9"/>
            <color indexed="81"/>
            <rFont val="Tahoma"/>
            <family val="2"/>
            <charset val="204"/>
          </rPr>
          <t xml:space="preserve">Отобразить / Скрыть детализацию по месяцам для всех организаций </t>
        </r>
        <r>
          <rPr>
            <b/>
            <sz val="9"/>
            <color indexed="81"/>
            <rFont val="Tahoma"/>
            <family val="2"/>
            <charset val="204"/>
          </rPr>
          <t>(двойным щелчком мыши)</t>
        </r>
      </text>
    </comment>
  </commentList>
</comments>
</file>

<file path=xl/comments13.xml><?xml version="1.0" encoding="utf-8"?>
<comments xmlns="http://schemas.openxmlformats.org/spreadsheetml/2006/main">
  <authors>
    <author>vmalkov</author>
  </authors>
  <commentList>
    <comment ref="D125" authorId="0">
      <text>
        <r>
          <rPr>
            <sz val="9"/>
            <color indexed="81"/>
            <rFont val="Tahoma"/>
            <family val="2"/>
            <charset val="204"/>
          </rPr>
          <t xml:space="preserve">Отобразить / Скрыть детализацию по месяцам для всех организаций </t>
        </r>
        <r>
          <rPr>
            <b/>
            <sz val="9"/>
            <color indexed="81"/>
            <rFont val="Tahoma"/>
            <family val="2"/>
            <charset val="204"/>
          </rPr>
          <t>(двойным щелчком мыши)</t>
        </r>
      </text>
    </comment>
  </commentList>
</comments>
</file>

<file path=xl/comments14.xml><?xml version="1.0" encoding="utf-8"?>
<comments xmlns="http://schemas.openxmlformats.org/spreadsheetml/2006/main">
  <authors>
    <author>vmalkov</author>
  </authors>
  <commentList>
    <comment ref="M15" authorId="0">
      <text>
        <r>
          <rPr>
            <sz val="9"/>
            <color indexed="81"/>
            <rFont val="Tahoma"/>
            <family val="2"/>
            <charset val="204"/>
          </rPr>
          <t>Возможно указать ссылку на документ в формате *.doc, *.docx или ZIP-архив, содержащий документы</t>
        </r>
      </text>
    </comment>
  </commentList>
</comments>
</file>

<file path=xl/comments15.xml><?xml version="1.0" encoding="utf-8"?>
<comments xmlns="http://schemas.openxmlformats.org/spreadsheetml/2006/main">
  <authors>
    <author>vmalkov</author>
  </authors>
  <commentList>
    <comment ref="M15" authorId="0">
      <text>
        <r>
          <rPr>
            <sz val="9"/>
            <color indexed="81"/>
            <rFont val="Tahoma"/>
            <family val="2"/>
            <charset val="204"/>
          </rPr>
          <t>Возможно указать ссылку на документ в формате *.doc, *.docx или ZIP-архив, содержащий документы</t>
        </r>
      </text>
    </comment>
  </commentList>
</comments>
</file>

<file path=xl/comments16.xml><?xml version="1.0" encoding="utf-8"?>
<comments xmlns="http://schemas.openxmlformats.org/spreadsheetml/2006/main">
  <authors>
    <author>vmalkov</author>
  </authors>
  <commentList>
    <comment ref="M15" authorId="0">
      <text>
        <r>
          <rPr>
            <sz val="9"/>
            <color indexed="81"/>
            <rFont val="Tahoma"/>
            <family val="2"/>
            <charset val="204"/>
          </rPr>
          <t>Возможно указать ссылку на документ в формате *.doc, *.docx или ZIP-архив, содержащий документы</t>
        </r>
      </text>
    </comment>
  </commentList>
</comments>
</file>

<file path=xl/comments17.xml><?xml version="1.0" encoding="utf-8"?>
<comments xmlns="http://schemas.openxmlformats.org/spreadsheetml/2006/main">
  <authors>
    <author>vmalkov</author>
  </authors>
  <commentList>
    <comment ref="M14" authorId="0">
      <text>
        <r>
          <rPr>
            <sz val="9"/>
            <color indexed="81"/>
            <rFont val="Tahoma"/>
            <family val="2"/>
            <charset val="204"/>
          </rPr>
          <t>Возможно указать ссылку на документ в формате *.doc, *.docx или ZIP-архив, содержащий документы</t>
        </r>
      </text>
    </comment>
    <comment ref="BT14" authorId="0">
      <text>
        <r>
          <rPr>
            <sz val="9"/>
            <color indexed="81"/>
            <rFont val="Tahoma"/>
            <family val="2"/>
            <charset val="204"/>
          </rPr>
          <t>В случае если тариф для населения является льготным в соответствии с нормами действующего законодательства</t>
        </r>
      </text>
    </comment>
  </commentList>
</comments>
</file>

<file path=xl/comments18.xml><?xml version="1.0" encoding="utf-8"?>
<comments xmlns="http://schemas.openxmlformats.org/spreadsheetml/2006/main">
  <authors>
    <author>vmalkov</author>
  </authors>
  <commentList>
    <comment ref="M14" authorId="0">
      <text>
        <r>
          <rPr>
            <sz val="9"/>
            <color indexed="81"/>
            <rFont val="Tahoma"/>
            <family val="2"/>
            <charset val="204"/>
          </rPr>
          <t>Возможно указать ссылку на документ в формате *.doc, *.docx или ZIP-архив, содержащий документы</t>
        </r>
      </text>
    </comment>
    <comment ref="BT14" authorId="0">
      <text>
        <r>
          <rPr>
            <sz val="9"/>
            <color indexed="81"/>
            <rFont val="Tahoma"/>
            <family val="2"/>
            <charset val="204"/>
          </rPr>
          <t>В случае если тариф для населения является льготным в соответствии с нормами действующего законодательства</t>
        </r>
      </text>
    </comment>
  </commentList>
</comments>
</file>

<file path=xl/comments19.xml><?xml version="1.0" encoding="utf-8"?>
<comments xmlns="http://schemas.openxmlformats.org/spreadsheetml/2006/main">
  <authors>
    <author>vmalkov</author>
  </authors>
  <commentList>
    <comment ref="M14" authorId="0">
      <text>
        <r>
          <rPr>
            <sz val="9"/>
            <color indexed="81"/>
            <rFont val="Tahoma"/>
            <family val="2"/>
            <charset val="204"/>
          </rPr>
          <t>Возможно указать ссылку на документ в формате *.doc, *.docx или ZIP-архив, содержащий документы</t>
        </r>
      </text>
    </comment>
    <comment ref="BT14" authorId="0">
      <text>
        <r>
          <rPr>
            <sz val="9"/>
            <color indexed="81"/>
            <rFont val="Tahoma"/>
            <family val="2"/>
            <charset val="204"/>
          </rPr>
          <t>В случае если тариф для населения является льготным в соответствии с нормами действующего законодательства</t>
        </r>
      </text>
    </comment>
  </commentList>
</comments>
</file>

<file path=xl/comments2.xml><?xml version="1.0" encoding="utf-8"?>
<comments xmlns="http://schemas.openxmlformats.org/spreadsheetml/2006/main">
  <authors>
    <author>vmalkov</author>
  </authors>
  <commentList>
    <comment ref="G4" authorId="0">
      <text>
        <r>
          <rPr>
            <b/>
            <sz val="9"/>
            <color indexed="81"/>
            <rFont val="Tahoma"/>
            <family val="2"/>
            <charset val="204"/>
          </rPr>
          <t>FORBIDDEN</t>
        </r>
      </text>
    </comment>
  </commentList>
</comments>
</file>

<file path=xl/comments20.xml><?xml version="1.0" encoding="utf-8"?>
<comments xmlns="http://schemas.openxmlformats.org/spreadsheetml/2006/main">
  <authors>
    <author>vmalkov</author>
  </authors>
  <commentList>
    <comment ref="D125" authorId="0">
      <text>
        <r>
          <rPr>
            <sz val="9"/>
            <color indexed="81"/>
            <rFont val="Tahoma"/>
            <family val="2"/>
            <charset val="204"/>
          </rPr>
          <t xml:space="preserve">Отобразить / Скрыть детализацию по месяцам для всех организаций </t>
        </r>
        <r>
          <rPr>
            <b/>
            <sz val="9"/>
            <color indexed="81"/>
            <rFont val="Tahoma"/>
            <family val="2"/>
            <charset val="204"/>
          </rPr>
          <t>(двойным щелчком мыши)</t>
        </r>
      </text>
    </comment>
  </commentList>
</comments>
</file>

<file path=xl/comments21.xml><?xml version="1.0" encoding="utf-8"?>
<comments xmlns="http://schemas.openxmlformats.org/spreadsheetml/2006/main">
  <authors>
    <author>vmalkov</author>
  </authors>
  <commentList>
    <comment ref="D125" authorId="0">
      <text>
        <r>
          <rPr>
            <sz val="9"/>
            <color indexed="81"/>
            <rFont val="Tahoma"/>
            <family val="2"/>
            <charset val="204"/>
          </rPr>
          <t xml:space="preserve">Отобразить / Скрыть детализацию по месяцам для всех организаций </t>
        </r>
        <r>
          <rPr>
            <b/>
            <sz val="9"/>
            <color indexed="81"/>
            <rFont val="Tahoma"/>
            <family val="2"/>
            <charset val="204"/>
          </rPr>
          <t>(двойным щелчком мыши)</t>
        </r>
      </text>
    </comment>
  </commentList>
</comments>
</file>

<file path=xl/comments22.xml><?xml version="1.0" encoding="utf-8"?>
<comments xmlns="http://schemas.openxmlformats.org/spreadsheetml/2006/main">
  <authors>
    <author>vmalkov</author>
  </authors>
  <commentList>
    <comment ref="M15" authorId="0">
      <text>
        <r>
          <rPr>
            <sz val="9"/>
            <color indexed="81"/>
            <rFont val="Tahoma"/>
            <family val="2"/>
            <charset val="204"/>
          </rPr>
          <t>Возможно указать ссылку на документ в формате *.doc, *.docx или ZIP-архив, содержащий документы</t>
        </r>
      </text>
    </comment>
  </commentList>
</comments>
</file>

<file path=xl/comments23.xml><?xml version="1.0" encoding="utf-8"?>
<comments xmlns="http://schemas.openxmlformats.org/spreadsheetml/2006/main">
  <authors>
    <author>vmalkov</author>
  </authors>
  <commentList>
    <comment ref="M15" authorId="0">
      <text>
        <r>
          <rPr>
            <sz val="9"/>
            <color indexed="81"/>
            <rFont val="Tahoma"/>
            <family val="2"/>
            <charset val="204"/>
          </rPr>
          <t>Возможно указать ссылку на документ в формате *.doc, *.docx или ZIP-архив, содержащий документы</t>
        </r>
      </text>
    </comment>
  </commentList>
</comments>
</file>

<file path=xl/comments24.xml><?xml version="1.0" encoding="utf-8"?>
<comments xmlns="http://schemas.openxmlformats.org/spreadsheetml/2006/main">
  <authors>
    <author>vmalkov</author>
  </authors>
  <commentList>
    <comment ref="M15" authorId="0">
      <text>
        <r>
          <rPr>
            <sz val="9"/>
            <color indexed="81"/>
            <rFont val="Tahoma"/>
            <family val="2"/>
            <charset val="204"/>
          </rPr>
          <t>Возможно указать ссылку на документ в формате *.doc, *.docx или ZIP-архив, содержащий документы</t>
        </r>
      </text>
    </comment>
  </commentList>
</comments>
</file>

<file path=xl/comments25.xml><?xml version="1.0" encoding="utf-8"?>
<comments xmlns="http://schemas.openxmlformats.org/spreadsheetml/2006/main">
  <authors>
    <author>vmalkov</author>
  </authors>
  <commentList>
    <comment ref="M14" authorId="0">
      <text>
        <r>
          <rPr>
            <sz val="9"/>
            <color indexed="81"/>
            <rFont val="Tahoma"/>
            <family val="2"/>
            <charset val="204"/>
          </rPr>
          <t>Возможно указать ссылку на документ в формате *.doc, *.docx или ZIP-архив, содержащий документы</t>
        </r>
      </text>
    </comment>
    <comment ref="BT14" authorId="0">
      <text>
        <r>
          <rPr>
            <sz val="9"/>
            <color indexed="81"/>
            <rFont val="Tahoma"/>
            <family val="2"/>
            <charset val="204"/>
          </rPr>
          <t>В случае если тариф для населения является льготным в соответствии с нормами действующего законодательства</t>
        </r>
      </text>
    </comment>
  </commentList>
</comments>
</file>

<file path=xl/comments26.xml><?xml version="1.0" encoding="utf-8"?>
<comments xmlns="http://schemas.openxmlformats.org/spreadsheetml/2006/main">
  <authors>
    <author>vmalkov</author>
  </authors>
  <commentList>
    <comment ref="M14" authorId="0">
      <text>
        <r>
          <rPr>
            <sz val="9"/>
            <color indexed="81"/>
            <rFont val="Tahoma"/>
            <family val="2"/>
            <charset val="204"/>
          </rPr>
          <t>Возможно указать ссылку на документ в формате *.doc, *.docx или ZIP-архив, содержащий документы</t>
        </r>
      </text>
    </comment>
    <comment ref="BT14" authorId="0">
      <text>
        <r>
          <rPr>
            <sz val="9"/>
            <color indexed="81"/>
            <rFont val="Tahoma"/>
            <family val="2"/>
            <charset val="204"/>
          </rPr>
          <t>В случае если тариф для населения является льготным в соответствии с нормами действующего законодательства</t>
        </r>
      </text>
    </comment>
  </commentList>
</comments>
</file>

<file path=xl/comments27.xml><?xml version="1.0" encoding="utf-8"?>
<comments xmlns="http://schemas.openxmlformats.org/spreadsheetml/2006/main">
  <authors>
    <author>vmalkov</author>
  </authors>
  <commentList>
    <comment ref="M14" authorId="0">
      <text>
        <r>
          <rPr>
            <sz val="9"/>
            <color indexed="81"/>
            <rFont val="Tahoma"/>
            <family val="2"/>
            <charset val="204"/>
          </rPr>
          <t>Возможно указать ссылку на документ в формате *.doc, *.docx или ZIP-архив, содержащий документы</t>
        </r>
      </text>
    </comment>
    <comment ref="BT14" authorId="0">
      <text>
        <r>
          <rPr>
            <sz val="9"/>
            <color indexed="81"/>
            <rFont val="Tahoma"/>
            <family val="2"/>
            <charset val="204"/>
          </rPr>
          <t>В случае если тариф для населения является льготным в соответствии с нормами действующего законодательства</t>
        </r>
      </text>
    </comment>
  </commentList>
</comments>
</file>

<file path=xl/comments28.xml><?xml version="1.0" encoding="utf-8"?>
<comments xmlns="http://schemas.openxmlformats.org/spreadsheetml/2006/main">
  <authors>
    <author>Мальков</author>
  </authors>
  <commentList>
    <comment ref="H11" authorId="0">
      <text>
        <r>
          <rPr>
            <sz val="8"/>
            <color indexed="81"/>
            <rFont val="Tahoma"/>
            <family val="2"/>
            <charset val="204"/>
          </rPr>
          <t>Вы можете отфильтровать сообщения по приоритету</t>
        </r>
      </text>
    </comment>
  </commentList>
</comments>
</file>

<file path=xl/comments3.xml><?xml version="1.0" encoding="utf-8"?>
<comments xmlns="http://schemas.openxmlformats.org/spreadsheetml/2006/main">
  <authors>
    <author>vmalkov</author>
  </authors>
  <commentList>
    <comment ref="M4" authorId="0">
      <text>
        <r>
          <rPr>
            <sz val="9"/>
            <color indexed="81"/>
            <rFont val="Tahoma"/>
            <family val="2"/>
            <charset val="204"/>
          </rPr>
          <t>Является ли организация плательщиком НДС</t>
        </r>
      </text>
    </comment>
    <comment ref="N4" authorId="0">
      <text>
        <r>
          <rPr>
            <sz val="9"/>
            <color indexed="81"/>
            <rFont val="Tahoma"/>
            <family val="2"/>
            <charset val="204"/>
          </rPr>
          <t>Поле заполняется только в случае, если в списке присутствуют организации с одинаковыми реквизитами и видом деятельности</t>
        </r>
        <r>
          <rPr>
            <b/>
            <sz val="9"/>
            <color indexed="81"/>
            <rFont val="Tahoma"/>
            <family val="2"/>
            <charset val="204"/>
          </rPr>
          <t xml:space="preserve">
(изменение полей по двойному щелчку мыши)</t>
        </r>
      </text>
    </comment>
    <comment ref="AB4" authorId="0">
      <text>
        <r>
          <rPr>
            <sz val="9"/>
            <color indexed="81"/>
            <rFont val="Tahoma"/>
            <family val="2"/>
            <charset val="204"/>
          </rPr>
          <t>Является ли организация энергоснабжающей организацией-перепродавцом (значения определяет участие организации в перепродаже по МО тепловой энергии на листе "БПр")</t>
        </r>
      </text>
    </comment>
    <comment ref="AE4" authorId="0">
      <text>
        <r>
          <rPr>
            <sz val="9"/>
            <color indexed="81"/>
            <rFont val="Tahoma"/>
            <family val="2"/>
            <charset val="204"/>
          </rPr>
          <t>Значения в колонках определяют участие организации в передаче тепловой энергии на листе "БПер"</t>
        </r>
      </text>
    </comment>
    <comment ref="AG4" authorId="0">
      <text>
        <r>
          <rPr>
            <sz val="9"/>
            <color indexed="81"/>
            <rFont val="Tahoma"/>
            <family val="2"/>
            <charset val="204"/>
          </rPr>
          <t>Поле заполняется только для организаций с видом деятельности "производство комбинированная выработка"</t>
        </r>
      </text>
    </comment>
    <comment ref="AH4" authorId="0">
      <text>
        <r>
          <rPr>
            <sz val="9"/>
            <color indexed="81"/>
            <rFont val="Tahoma"/>
            <family val="2"/>
            <charset val="204"/>
          </rPr>
          <t>Длоя организации утверждаются долгосрочные тарифы на услуги по передаче тепловой энергии</t>
        </r>
      </text>
    </comment>
    <comment ref="AI4" authorId="0">
      <text>
        <r>
          <rPr>
            <sz val="9"/>
            <color indexed="81"/>
            <rFont val="Tahoma"/>
            <family val="2"/>
            <charset val="204"/>
          </rPr>
          <t>Является ли организация организацией-перепродавцом (значения определяет участие организации в перепродаже по МО на листе "БПр")</t>
        </r>
      </text>
    </comment>
    <comment ref="M10" authorId="0">
      <text>
        <r>
          <rPr>
            <sz val="9"/>
            <color indexed="81"/>
            <rFont val="Tahoma"/>
            <family val="2"/>
            <charset val="204"/>
          </rPr>
          <t>Является ли организация плательщиком НДС</t>
        </r>
      </text>
    </comment>
    <comment ref="N10" authorId="0">
      <text>
        <r>
          <rPr>
            <sz val="9"/>
            <color indexed="81"/>
            <rFont val="Tahoma"/>
            <family val="2"/>
            <charset val="204"/>
          </rPr>
          <t>Поле заполняется только в случае, если в списке присутствуют организации с одинаковыми реквизитами и видом деятельности</t>
        </r>
        <r>
          <rPr>
            <b/>
            <sz val="9"/>
            <color indexed="81"/>
            <rFont val="Tahoma"/>
            <family val="2"/>
            <charset val="204"/>
          </rPr>
          <t xml:space="preserve">
(изменение полей по двойному щелчку мыши)</t>
        </r>
      </text>
    </comment>
    <comment ref="AB10" authorId="0">
      <text>
        <r>
          <rPr>
            <sz val="9"/>
            <color indexed="81"/>
            <rFont val="Tahoma"/>
            <family val="2"/>
            <charset val="204"/>
          </rPr>
          <t>Является ли организация энергоснабжающей организацией-перепродавцом (значения определяет участие организации в перепродаже по МО тепловой энергии на листе "БПр")</t>
        </r>
      </text>
    </comment>
    <comment ref="AE10" authorId="0">
      <text>
        <r>
          <rPr>
            <sz val="9"/>
            <color indexed="81"/>
            <rFont val="Tahoma"/>
            <family val="2"/>
            <charset val="204"/>
          </rPr>
          <t>Значения в колонках определяют участие организации в передаче тепловой энергии на листе "БПер"</t>
        </r>
      </text>
    </comment>
    <comment ref="AG10" authorId="0">
      <text>
        <r>
          <rPr>
            <sz val="9"/>
            <color indexed="81"/>
            <rFont val="Tahoma"/>
            <family val="2"/>
            <charset val="204"/>
          </rPr>
          <t>Поле заполняется только для организаций с видом деятельности "производство комбинированная выработка"</t>
        </r>
      </text>
    </comment>
    <comment ref="AH10" authorId="0">
      <text>
        <r>
          <rPr>
            <sz val="9"/>
            <color indexed="81"/>
            <rFont val="Tahoma"/>
            <family val="2"/>
            <charset val="204"/>
          </rPr>
          <t>Длоя организации утверждаются долгосрочные тарифы на услуги по передаче тепловой энергии</t>
        </r>
      </text>
    </comment>
    <comment ref="AI10" authorId="0">
      <text>
        <r>
          <rPr>
            <sz val="9"/>
            <color indexed="81"/>
            <rFont val="Tahoma"/>
            <family val="2"/>
            <charset val="204"/>
          </rPr>
          <t>Является ли организация организацией-перепродавцом (значения определяет участие организации в перепродаже по МО на листе "БПр")</t>
        </r>
      </text>
    </comment>
    <comment ref="M19" authorId="0">
      <text>
        <r>
          <rPr>
            <sz val="9"/>
            <color indexed="81"/>
            <rFont val="Tahoma"/>
            <family val="2"/>
            <charset val="204"/>
          </rPr>
          <t>Можно приложить .DOC или архив, содержащий документы</t>
        </r>
      </text>
    </comment>
    <comment ref="M162" authorId="0">
      <text>
        <r>
          <rPr>
            <sz val="9"/>
            <color indexed="81"/>
            <rFont val="Tahoma"/>
            <family val="2"/>
            <charset val="204"/>
          </rPr>
          <t>Возможно указать ссылку на документ в формате *.doc, *.docx или ZIP-архив, содержащий документы</t>
        </r>
      </text>
    </comment>
    <comment ref="M188" authorId="0">
      <text>
        <r>
          <rPr>
            <sz val="9"/>
            <color indexed="81"/>
            <rFont val="Tahoma"/>
            <family val="2"/>
            <charset val="204"/>
          </rPr>
          <t>Возможно указать ссылку на документ в формате *.doc, *.docx или ZIP-архив, содержащий документы</t>
        </r>
      </text>
    </comment>
    <comment ref="BT188" authorId="0">
      <text>
        <r>
          <rPr>
            <sz val="9"/>
            <color indexed="81"/>
            <rFont val="Tahoma"/>
            <family val="2"/>
            <charset val="204"/>
          </rPr>
          <t>В случае если тариф для населения является льготным в соответствии с нормами действующего законодательства</t>
        </r>
      </text>
    </comment>
    <comment ref="M290" authorId="0">
      <text>
        <r>
          <rPr>
            <sz val="9"/>
            <color indexed="81"/>
            <rFont val="Tahoma"/>
            <family val="2"/>
            <charset val="204"/>
          </rPr>
          <t>Можно приложить .DOC или архив, содержащий документы</t>
        </r>
      </text>
    </comment>
    <comment ref="M337" authorId="0">
      <text>
        <r>
          <rPr>
            <sz val="9"/>
            <color indexed="81"/>
            <rFont val="Tahoma"/>
            <family val="2"/>
            <charset val="204"/>
          </rPr>
          <t>Можно приложить .DOC или архив, содержащий документы</t>
        </r>
      </text>
    </comment>
    <comment ref="M412" authorId="0">
      <text>
        <r>
          <rPr>
            <sz val="9"/>
            <color indexed="81"/>
            <rFont val="Tahoma"/>
            <family val="2"/>
            <charset val="204"/>
          </rPr>
          <t>Возможно указать ссылку на документ в формате *.doc, *.docx или ZIP-архив, содержащий документы</t>
        </r>
      </text>
    </comment>
    <comment ref="BT448" authorId="0">
      <text>
        <r>
          <rPr>
            <sz val="9"/>
            <color indexed="81"/>
            <rFont val="Tahoma"/>
            <family val="2"/>
            <charset val="204"/>
          </rPr>
          <t>В случае если тариф для населения является льготным в соответствии с нормами действующего законодательства</t>
        </r>
      </text>
    </comment>
    <comment ref="BT492" authorId="0">
      <text>
        <r>
          <rPr>
            <sz val="9"/>
            <color indexed="81"/>
            <rFont val="Tahoma"/>
            <family val="2"/>
            <charset val="204"/>
          </rPr>
          <t>В случае если тариф для населения является льготным в соответствии с нормами действующего законодательства</t>
        </r>
      </text>
    </comment>
  </commentList>
</comments>
</file>

<file path=xl/comments4.xml><?xml version="1.0" encoding="utf-8"?>
<comments xmlns="http://schemas.openxmlformats.org/spreadsheetml/2006/main">
  <authors>
    <author>vmalkov</author>
  </authors>
  <commentList>
    <comment ref="D125" authorId="0">
      <text>
        <r>
          <rPr>
            <sz val="9"/>
            <color indexed="81"/>
            <rFont val="Tahoma"/>
            <family val="2"/>
            <charset val="204"/>
          </rPr>
          <t xml:space="preserve">Отобразить / Скрыть детализацию по месяцам для всех организаций </t>
        </r>
        <r>
          <rPr>
            <b/>
            <sz val="9"/>
            <color indexed="81"/>
            <rFont val="Tahoma"/>
            <family val="2"/>
            <charset val="204"/>
          </rPr>
          <t>(двойным щелчком мыши)</t>
        </r>
      </text>
    </comment>
  </commentList>
</comments>
</file>

<file path=xl/comments5.xml><?xml version="1.0" encoding="utf-8"?>
<comments xmlns="http://schemas.openxmlformats.org/spreadsheetml/2006/main">
  <authors>
    <author>vmalkov</author>
  </authors>
  <commentList>
    <comment ref="D125" authorId="0">
      <text>
        <r>
          <rPr>
            <sz val="9"/>
            <color indexed="81"/>
            <rFont val="Tahoma"/>
            <family val="2"/>
            <charset val="204"/>
          </rPr>
          <t xml:space="preserve">Отобразить / Скрыть детализацию по месяцам для всех организаций </t>
        </r>
        <r>
          <rPr>
            <b/>
            <sz val="9"/>
            <color indexed="81"/>
            <rFont val="Tahoma"/>
            <family val="2"/>
            <charset val="204"/>
          </rPr>
          <t>(двойным щелчком мыши)</t>
        </r>
      </text>
    </comment>
  </commentList>
</comments>
</file>

<file path=xl/comments6.xml><?xml version="1.0" encoding="utf-8"?>
<comments xmlns="http://schemas.openxmlformats.org/spreadsheetml/2006/main">
  <authors>
    <author>vmalkov</author>
  </authors>
  <commentList>
    <comment ref="M15" authorId="0">
      <text>
        <r>
          <rPr>
            <sz val="9"/>
            <color indexed="81"/>
            <rFont val="Tahoma"/>
            <family val="2"/>
            <charset val="204"/>
          </rPr>
          <t>Возможно указать ссылку на документ в формате *.doc, *.docx или ZIP-архив, содержащий документы</t>
        </r>
      </text>
    </comment>
  </commentList>
</comments>
</file>

<file path=xl/comments7.xml><?xml version="1.0" encoding="utf-8"?>
<comments xmlns="http://schemas.openxmlformats.org/spreadsheetml/2006/main">
  <authors>
    <author>vmalkov</author>
  </authors>
  <commentList>
    <comment ref="M15" authorId="0">
      <text>
        <r>
          <rPr>
            <sz val="9"/>
            <color indexed="81"/>
            <rFont val="Tahoma"/>
            <family val="2"/>
            <charset val="204"/>
          </rPr>
          <t>Возможно указать ссылку на документ в формате *.doc, *.docx или ZIP-архив, содержащий документы</t>
        </r>
      </text>
    </comment>
  </commentList>
</comments>
</file>

<file path=xl/comments8.xml><?xml version="1.0" encoding="utf-8"?>
<comments xmlns="http://schemas.openxmlformats.org/spreadsheetml/2006/main">
  <authors>
    <author>vmalkov</author>
  </authors>
  <commentList>
    <comment ref="M15" authorId="0">
      <text>
        <r>
          <rPr>
            <sz val="9"/>
            <color indexed="81"/>
            <rFont val="Tahoma"/>
            <family val="2"/>
            <charset val="204"/>
          </rPr>
          <t>Возможно указать ссылку на документ в формате *.doc, *.docx или ZIP-архив, содержащий документы</t>
        </r>
      </text>
    </comment>
  </commentList>
</comments>
</file>

<file path=xl/comments9.xml><?xml version="1.0" encoding="utf-8"?>
<comments xmlns="http://schemas.openxmlformats.org/spreadsheetml/2006/main">
  <authors>
    <author>Anton</author>
    <author>vmalkov</author>
  </authors>
  <commentList>
    <comment ref="AC9" authorId="0">
      <text>
        <r>
          <rPr>
            <sz val="8"/>
            <color indexed="81"/>
            <rFont val="Tahoma"/>
            <family val="2"/>
            <charset val="204"/>
          </rPr>
          <t>Формула зависит от размерности тарифа на передачу (транспортировку)</t>
        </r>
      </text>
    </comment>
    <comment ref="AD9" authorId="0">
      <text>
        <r>
          <rPr>
            <sz val="8"/>
            <color indexed="81"/>
            <rFont val="Tahoma"/>
            <family val="2"/>
            <charset val="204"/>
          </rPr>
          <t>Формула зависит от размерности тарифа на передачу (транспортировку)</t>
        </r>
      </text>
    </comment>
    <comment ref="AE9" authorId="0">
      <text>
        <r>
          <rPr>
            <sz val="8"/>
            <color indexed="81"/>
            <rFont val="Tahoma"/>
            <family val="2"/>
            <charset val="204"/>
          </rPr>
          <t>Формула зависит от размерности тарифа на передачу (транспортировку)</t>
        </r>
      </text>
    </comment>
    <comment ref="AF9" authorId="0">
      <text>
        <r>
          <rPr>
            <sz val="8"/>
            <color indexed="81"/>
            <rFont val="Tahoma"/>
            <family val="2"/>
            <charset val="204"/>
          </rPr>
          <t>Формула зависит от размерности тарифа на передачу (транспортировку)</t>
        </r>
      </text>
    </comment>
    <comment ref="M14" authorId="1">
      <text>
        <r>
          <rPr>
            <sz val="9"/>
            <color indexed="81"/>
            <rFont val="Tahoma"/>
            <family val="2"/>
            <charset val="204"/>
          </rPr>
          <t>Возможно указать ссылку на документ в формате *.doc, *.docx или ZIP-архив, содержащий документы</t>
        </r>
      </text>
    </comment>
    <comment ref="BT14" authorId="1">
      <text>
        <r>
          <rPr>
            <sz val="9"/>
            <color indexed="81"/>
            <rFont val="Tahoma"/>
            <family val="2"/>
            <charset val="204"/>
          </rPr>
          <t>В случае если тариф для населения является льготным в соответствии с нормами действующего законодательства</t>
        </r>
      </text>
    </comment>
  </commentList>
</comments>
</file>

<file path=xl/sharedStrings.xml><?xml version="1.0" encoding="utf-8"?>
<sst xmlns="http://schemas.openxmlformats.org/spreadsheetml/2006/main" count="23623" uniqueCount="3282">
  <si>
    <t>XML_PLAN1X_VOTV_BTR_TAG_NAMES</t>
  </si>
  <si>
    <t>XML_PLAN1X_VOTV_BPR_DETAILED_TAG_NAMES</t>
  </si>
  <si>
    <t>XML_PLAN1X_VOTV_BTR_DETAILED_TAG_NAMES</t>
  </si>
  <si>
    <t>XML_PLAN1X_VOTV_TM1_TAG_NAMES</t>
  </si>
  <si>
    <t>XML_PLAN1X_VOTV_TM2_TAG_NAMES</t>
  </si>
  <si>
    <t>XML_PLAN1X_VOTV_CALC_TAG_NAMES</t>
  </si>
  <si>
    <t>1.1.4</t>
  </si>
  <si>
    <t>1.1.5</t>
  </si>
  <si>
    <t>2.1.1.1.1</t>
  </si>
  <si>
    <t>2.1.1.1.1.1</t>
  </si>
  <si>
    <t>2.1.1.1.1.2</t>
  </si>
  <si>
    <t>2.1.1.1.2</t>
  </si>
  <si>
    <t>2.1.1.1.2.1</t>
  </si>
  <si>
    <t>2.1.1.1.2.2</t>
  </si>
  <si>
    <t>2.1.1.2.1</t>
  </si>
  <si>
    <t>2.1.1.2.1.1</t>
  </si>
  <si>
    <t>2.1.1.2.1.2</t>
  </si>
  <si>
    <t>2.1.1.2.2</t>
  </si>
  <si>
    <t>2.1.1.2.2.1</t>
  </si>
  <si>
    <t>2.1.1.2.2.2</t>
  </si>
  <si>
    <t>2.1.1.3.1</t>
  </si>
  <si>
    <t>2.1.1.3.1.1</t>
  </si>
  <si>
    <t>2.1.1.3.1.2</t>
  </si>
  <si>
    <t>2.1.1.3.2</t>
  </si>
  <si>
    <t>2.1.1.3.2.1</t>
  </si>
  <si>
    <t>2.1.1.3.2.2</t>
  </si>
  <si>
    <t>2.1.1.4.1</t>
  </si>
  <si>
    <t>2.1.1.4.1.1</t>
  </si>
  <si>
    <t>2.1.1.4.1.2</t>
  </si>
  <si>
    <t>2.1.1.4.2</t>
  </si>
  <si>
    <t>2.1.1.4.2.1</t>
  </si>
  <si>
    <t>2.1.1.4.2.2</t>
  </si>
  <si>
    <t>18.0.1</t>
  </si>
  <si>
    <t>18.0.2</t>
  </si>
  <si>
    <t>18.1.1</t>
  </si>
  <si>
    <t>18.1.2</t>
  </si>
  <si>
    <t>18.2.1</t>
  </si>
  <si>
    <t>18.2.2</t>
  </si>
  <si>
    <t>18.3.1</t>
  </si>
  <si>
    <t>18.3.2</t>
  </si>
  <si>
    <t>18.4.1</t>
  </si>
  <si>
    <t>18.4.2</t>
  </si>
  <si>
    <t>Пропущено сточных вод, всего</t>
  </si>
  <si>
    <t>Хозяйственные нужды предприятия</t>
  </si>
  <si>
    <t>По категориям потребителей</t>
  </si>
  <si>
    <t>Пропущено через cобственные очистные сооружения</t>
  </si>
  <si>
    <t>Передано сточных вод другим канализациям</t>
  </si>
  <si>
    <t>Сброшенные воды без очистки</t>
  </si>
  <si>
    <t>Принято сточных вод от других канализаций или отдельных канализационных сетей</t>
  </si>
  <si>
    <t>На очистные сооружения</t>
  </si>
  <si>
    <t>В канализационную сеть</t>
  </si>
  <si>
    <t>1.2.3</t>
  </si>
  <si>
    <t>1.2.4</t>
  </si>
  <si>
    <t>Принято для перекачки (транспортировки)</t>
  </si>
  <si>
    <t xml:space="preserve">Принято </t>
  </si>
  <si>
    <t>от собственных нужд</t>
  </si>
  <si>
    <t>от других канализаций или отдельных канализационных сетей</t>
  </si>
  <si>
    <t>от бюджетных потребителей</t>
  </si>
  <si>
    <t>от населения</t>
  </si>
  <si>
    <t>от прочих потребителей</t>
  </si>
  <si>
    <t>A</t>
  </si>
  <si>
    <t>1.2.2</t>
  </si>
  <si>
    <t>6.2</t>
  </si>
  <si>
    <t>1.3</t>
  </si>
  <si>
    <t>Другие расходы по содержанию и эксплуатации основных производственных фондов</t>
  </si>
  <si>
    <t xml:space="preserve">Вспомогательные материалы, в том числе </t>
  </si>
  <si>
    <t>2.1</t>
  </si>
  <si>
    <t>на текущий ремонт</t>
  </si>
  <si>
    <t>6.3</t>
  </si>
  <si>
    <t>2.2</t>
  </si>
  <si>
    <t>реагенты</t>
  </si>
  <si>
    <t>6.3.1</t>
  </si>
  <si>
    <t>2.3</t>
  </si>
  <si>
    <t>другие материалы</t>
  </si>
  <si>
    <t>Работы и услуги производственного характера</t>
  </si>
  <si>
    <t>6.1</t>
  </si>
  <si>
    <t>из них на ремонт</t>
  </si>
  <si>
    <t>Топливо на технологические цели,  в том числе</t>
  </si>
  <si>
    <t>Уголь</t>
  </si>
  <si>
    <t>Газ лимитный</t>
  </si>
  <si>
    <t>4.2.2</t>
  </si>
  <si>
    <t>Газ сверхлимитный</t>
  </si>
  <si>
    <t>4.2.3</t>
  </si>
  <si>
    <t>Газ коммерческий</t>
  </si>
  <si>
    <t>4.3</t>
  </si>
  <si>
    <t>Газ сжиженный</t>
  </si>
  <si>
    <t>4.4</t>
  </si>
  <si>
    <t>Мазут</t>
  </si>
  <si>
    <t>4.5</t>
  </si>
  <si>
    <t>Нефть</t>
  </si>
  <si>
    <t>4.6</t>
  </si>
  <si>
    <t>Дизельное топливо</t>
  </si>
  <si>
    <t>4.7</t>
  </si>
  <si>
    <t>Дрова</t>
  </si>
  <si>
    <t>4.8</t>
  </si>
  <si>
    <t>Пилеты</t>
  </si>
  <si>
    <t>1.3.0</t>
  </si>
  <si>
    <t>Сумма объёмов по периодам (I, II для P или I, II, III для U) для сравнения с ТМ2</t>
  </si>
  <si>
    <t>Общий объём производства для сравнения с БТр (нельзя передать больше, чем произведено)</t>
  </si>
  <si>
    <t>BUDGET_I</t>
  </si>
  <si>
    <t>POPULATION_I</t>
  </si>
  <si>
    <t>OTHERS_I</t>
  </si>
  <si>
    <t>RESELLERS_I</t>
  </si>
  <si>
    <t>RESELLERS_III</t>
  </si>
  <si>
    <t>BUDGET_III</t>
  </si>
  <si>
    <t>POPULATION_III</t>
  </si>
  <si>
    <t>OTHERS_III</t>
  </si>
  <si>
    <t>RESELLERS_II</t>
  </si>
  <si>
    <t>BUDGET_II</t>
  </si>
  <si>
    <t>POPULATION_II</t>
  </si>
  <si>
    <t>OTHERS_II</t>
  </si>
  <si>
    <t>BPR_vs_BTR</t>
  </si>
  <si>
    <t xml:space="preserve">   </t>
  </si>
  <si>
    <t>OWN_I</t>
  </si>
  <si>
    <t>OWN_III</t>
  </si>
  <si>
    <t>OWN_II</t>
  </si>
  <si>
    <t>Сумма объёмов по периодам (I, II для P или I, II, III для U) для сравнения с ТМ1</t>
  </si>
  <si>
    <t>ACCESS GRANTED</t>
  </si>
  <si>
    <t>от котельных (некомбинированная выработка)</t>
  </si>
  <si>
    <t>Тарифная ставка рабочего 1-го разряда, руб./мес.</t>
  </si>
  <si>
    <t>Минимальный размер оплаты труда в целом по организации, руб./мес.</t>
  </si>
  <si>
    <t>Базовая тарифная ставка рабочего 1-го разряда, руб./мес.</t>
  </si>
  <si>
    <t>Минимальная тарифная ставка рабочего 1-го разряда, руб./мес.</t>
  </si>
  <si>
    <t>Средневзвешенный тариф с учётом инвестиционной составляющей, руб./Гкал</t>
  </si>
  <si>
    <t>Средневзвешенный тариф без учёта инвестиционной составляющей, руб./Гкал</t>
  </si>
  <si>
    <t>Инвестиционная составляющая, руб./Гкал</t>
  </si>
  <si>
    <t>VSNA_TARIFF</t>
  </si>
  <si>
    <t>VOTV_TARIFF</t>
  </si>
  <si>
    <t>RAB</t>
  </si>
  <si>
    <t>HEAT_TRANSMISSION_TARIFF</t>
  </si>
  <si>
    <t>от станций с мощностью производства &gt;= 25 МВт</t>
  </si>
  <si>
    <t>от станций с мощностью производства &lt; 25 МВт</t>
  </si>
  <si>
    <t>4.2.1</t>
  </si>
  <si>
    <t xml:space="preserve">Электроэнергия </t>
  </si>
  <si>
    <t>тариф на электроэнергию (руб/кВт.ч)</t>
  </si>
  <si>
    <t>количество потреблённой электроэнергии, включая потери (по всем уровням напряжений) (тыс.кВт.ч)</t>
  </si>
  <si>
    <t>Расходы на оплату труда основного производственного персонала</t>
  </si>
  <si>
    <t>среднемесячная оплата труда основного производственного рабочего (руб.)</t>
  </si>
  <si>
    <t>численность производственного персонала, распределяемого на регулируемый вид деятельности, ед.</t>
  </si>
  <si>
    <t>Отчисления на социальные нужды от расходов на оплату труда производственных рабочих</t>
  </si>
  <si>
    <t>Амортизация основных средств</t>
  </si>
  <si>
    <t>Аренда основных средств</t>
  </si>
  <si>
    <t>Ремонт и техническое обслуживание основных средств, в том числе:</t>
  </si>
  <si>
    <t>2.6.1</t>
  </si>
  <si>
    <t>капитальный ремонт основных средств</t>
  </si>
  <si>
    <t>2.6.2</t>
  </si>
  <si>
    <t>заработная плата ремонтного персонала</t>
  </si>
  <si>
    <t>2.6.2.1</t>
  </si>
  <si>
    <t>2.6.2.2</t>
  </si>
  <si>
    <t>численность ремонтного персонала, распределяемого на регулируемый вид деятельности, ед.</t>
  </si>
  <si>
    <t>2.6.3</t>
  </si>
  <si>
    <t>отчисления на соц.нужды от заработной платы ремонтного персонала</t>
  </si>
  <si>
    <t>Прочие прямые расходы</t>
  </si>
  <si>
    <t>Цеховые расходы в том числе:</t>
  </si>
  <si>
    <t>заработная плата цехового персонала</t>
  </si>
  <si>
    <t>2.8.1.1</t>
  </si>
  <si>
    <t>2.8.1.2</t>
  </si>
  <si>
    <t>численность цехового персонала, распределяемого на регулируемый вид деятельности, ед.</t>
  </si>
  <si>
    <t>отчисления на соц.нужды от заработной платы цехового персонала</t>
  </si>
  <si>
    <t>Общеэксплуатационные расходы, в том числе:</t>
  </si>
  <si>
    <t>заработная плата АУП</t>
  </si>
  <si>
    <t>2.9.1.1</t>
  </si>
  <si>
    <t>численность АУП, распределяемого на регулируемый вид деятельности, ед.</t>
  </si>
  <si>
    <t xml:space="preserve">    отчисления на соц.нужды от заработной платы АУП</t>
  </si>
  <si>
    <t>заработная плата прочего общехозяйственного персонала</t>
  </si>
  <si>
    <t>2.9.3.1</t>
  </si>
  <si>
    <t>численность прочего общехозяйственного персонала, распределяемого на регулируемый вид деятельности, ед.</t>
  </si>
  <si>
    <t>2.9.4</t>
  </si>
  <si>
    <t>отчисления на соц. нужды от заработной платы прочего общехозяйственного персонала</t>
  </si>
  <si>
    <t>Налоги и сборы, включаемые в себестоимость продукции (работ, услуг) (без единого социального налога), из них:</t>
  </si>
  <si>
    <t>2.11.1</t>
  </si>
  <si>
    <t xml:space="preserve">   земельный налог</t>
  </si>
  <si>
    <t>2.11.2</t>
  </si>
  <si>
    <t xml:space="preserve">   водный налог</t>
  </si>
  <si>
    <t>2.11.3</t>
  </si>
  <si>
    <t xml:space="preserve">   транспортный налог</t>
  </si>
  <si>
    <t>2.11.4</t>
  </si>
  <si>
    <t xml:space="preserve">   налог на имущество</t>
  </si>
  <si>
    <t>2.11.5</t>
  </si>
  <si>
    <t>Расходы на ГСМ (или/и расходы на аренду спецтехники)</t>
  </si>
  <si>
    <t>Прочие косвенные расходы</t>
  </si>
  <si>
    <t>Налоги, сборы, платежи - всего, из них:</t>
  </si>
  <si>
    <t>на прибыль, в т.ч.</t>
  </si>
  <si>
    <t>от капитальных вложений</t>
  </si>
  <si>
    <t>3.5.1.2</t>
  </si>
  <si>
    <t>Выпадающие доходы</t>
  </si>
  <si>
    <t>Избыток средств</t>
  </si>
  <si>
    <t>НВВ без НДС</t>
  </si>
  <si>
    <t>НВВ с НДС</t>
  </si>
  <si>
    <t>Инвестиционная надбавка без НДС</t>
  </si>
  <si>
    <t>Инвестиционная надбавка с НДС</t>
  </si>
  <si>
    <t>НВВ с учётом инвестиционной надбавки с НДС</t>
  </si>
  <si>
    <t>Предусмотренные в затратах организации средства на реализацию производственных и инвестиционных программ по источникам финансирования</t>
  </si>
  <si>
    <t>амортизации</t>
  </si>
  <si>
    <t>прибыли предприятия</t>
  </si>
  <si>
    <t>бюджетного финансирования</t>
  </si>
  <si>
    <t>заёмных средств</t>
  </si>
  <si>
    <t>другие</t>
  </si>
  <si>
    <t>5.1.1.2.1</t>
  </si>
  <si>
    <t>5.1.1.2.2</t>
  </si>
  <si>
    <t>5.1.1.3.3</t>
  </si>
  <si>
    <t>5.1.1.4.1</t>
  </si>
  <si>
    <t>5.1.1.4.2</t>
  </si>
  <si>
    <t>5.1.1.4.3</t>
  </si>
  <si>
    <t>6.0.3</t>
  </si>
  <si>
    <t>6.2.3</t>
  </si>
  <si>
    <t>6.2.4</t>
  </si>
  <si>
    <t>6.2.5</t>
  </si>
  <si>
    <t>6.1.3</t>
  </si>
  <si>
    <t>6.1.4</t>
  </si>
  <si>
    <t>6.1.5</t>
  </si>
  <si>
    <t>Стоимость натурального топлива с учётом транспортировки (перевозки) (топливо на технологические цели)</t>
  </si>
  <si>
    <t>Газ природный всего, в том числе:</t>
  </si>
  <si>
    <t>Цена условного топлива с учётом транспортировки (перевозки)</t>
  </si>
  <si>
    <t>руб./тут</t>
  </si>
  <si>
    <t>Цена натурального топлива с учётом транспортировки (перевозки)</t>
  </si>
  <si>
    <t>руб./тнт</t>
  </si>
  <si>
    <t>Расход условного топлива</t>
  </si>
  <si>
    <t>тут</t>
  </si>
  <si>
    <t>Доля</t>
  </si>
  <si>
    <t>%</t>
  </si>
  <si>
    <t>Переводной коэффициент</t>
  </si>
  <si>
    <t>Расход натурального топлива</t>
  </si>
  <si>
    <t>тнт</t>
  </si>
  <si>
    <t xml:space="preserve">Показатели себестоимости топлива </t>
  </si>
  <si>
    <t>Цена натурального топлива без учёта транспортировки (перевозки)</t>
  </si>
  <si>
    <t>Стоимость натурального топлива без учёта транспортировки (перевозки)</t>
  </si>
  <si>
    <t>Показатели транспортировки (перевозки) топлива</t>
  </si>
  <si>
    <t>Природный газ. Газ лимитный. Тариф на ССУ (cнабженческо-сбытовые услуги)</t>
  </si>
  <si>
    <t>Природный газ. Газ лимитный. Тариф ГРО (услуги газораспределительной организации)</t>
  </si>
  <si>
    <t>Природный газ. Газ лимитный. ПССУ (плата за cнабженческо-сбытовые услуги), всего</t>
  </si>
  <si>
    <t>Природный газ. Газ лимитный. ГРО (плата за услуги газораспределительной организации), всего</t>
  </si>
  <si>
    <t>Природный газ. Газ лимитный. ТТР (плата за услуги транзитной транспортировки), всего</t>
  </si>
  <si>
    <t>Средний тариф транзитной транспортировки</t>
  </si>
  <si>
    <t>Объём топлива, транспортируемого в транзитном потоке</t>
  </si>
  <si>
    <t>Природный газ. Газ сверхлимитный. Тариф на ССУ (cнабженческо-сбытовые услуги)</t>
  </si>
  <si>
    <t>Природный газ. Газ сверхлимитный. Тариф ГРО (услуги газораспределительной организации)</t>
  </si>
  <si>
    <t>Природный газ. Газ сверхлимитный. ПССУ (плата за cнабженческо-сбытовые услуги), всего</t>
  </si>
  <si>
    <t>Природный газ. Газ сверхлимитный. ГРО (плата за услуги газораспределительной организации), всего</t>
  </si>
  <si>
    <t>Природный газ. Газ сверхлимитный. ТТР (плата за услуги транзитной транспортировки), всего</t>
  </si>
  <si>
    <t>Перевозка автомобильным транспортом. Цена (тариф) за транспортировку (перевозку) единицы топлива</t>
  </si>
  <si>
    <t>Перевозка автомобильным транспортом. Объём транспортировки (перевозки) топлива</t>
  </si>
  <si>
    <t>Перевозка автомобильным транспортом. Стоимость транспортировки (перевозки) топлива</t>
  </si>
  <si>
    <t>Перевозка ж/д транспортом. Цена (тариф) за транспортировку (перевозку) единицы топлива</t>
  </si>
  <si>
    <t>Перевозка ж/д транспортом. Объём транспортировки (перевозки) топлива</t>
  </si>
  <si>
    <t>Перевозка ж/д транспортом. Стоимость транспортировки (перевозки) топлива</t>
  </si>
  <si>
    <t>Иные виды транспортировки (перевозки). Цена (тариф) за транспортировку (перевозку) единицы топлива</t>
  </si>
  <si>
    <t>Иные виды транспортировки (перевозки). Объём транспортировки (перевозки) топлива</t>
  </si>
  <si>
    <t>Иные виды транспортировки (перевозки). Стоимость транспортировки (перевозки) топлива</t>
  </si>
  <si>
    <t>Показатели расхода электроэнергии по уровням напряжения</t>
  </si>
  <si>
    <t>объём энергии</t>
  </si>
  <si>
    <t>тыс.кВтч</t>
  </si>
  <si>
    <t>объём заявленной мощности</t>
  </si>
  <si>
    <t>МВт</t>
  </si>
  <si>
    <t>тариф на энергию</t>
  </si>
  <si>
    <t>тариф на заявленную мощность</t>
  </si>
  <si>
    <t>годовой объём мощности</t>
  </si>
  <si>
    <t>4.0.1.1</t>
  </si>
  <si>
    <t>4.0.1.2</t>
  </si>
  <si>
    <t>4.0.1.3</t>
  </si>
  <si>
    <t>4.0.1.4</t>
  </si>
  <si>
    <t>4.0.1.5</t>
  </si>
  <si>
    <t>4.0.1.6</t>
  </si>
  <si>
    <t>4.0.2.1</t>
  </si>
  <si>
    <t>4.0.2.2</t>
  </si>
  <si>
    <t>4.0.3.1.1.1</t>
  </si>
  <si>
    <t>4.0.3.1.1.2</t>
  </si>
  <si>
    <t>4.0.3.1.1.3</t>
  </si>
  <si>
    <t>4.0.3.1.1.4</t>
  </si>
  <si>
    <t>4.0.3.1.1.5</t>
  </si>
  <si>
    <t>4.0.3.1.2.1</t>
  </si>
  <si>
    <t>4.0.3.1.2.2</t>
  </si>
  <si>
    <t>4.0.3.1.2.3</t>
  </si>
  <si>
    <t>4.0.3.1.2.5</t>
  </si>
  <si>
    <t>4.0.3.1.2.4</t>
  </si>
  <si>
    <t>4.0.3.2.2</t>
  </si>
  <si>
    <t>4.0.3.2.3</t>
  </si>
  <si>
    <t>4.0.3.2.1</t>
  </si>
  <si>
    <t>4.0.3.3.1</t>
  </si>
  <si>
    <t>4.0.3.3.2</t>
  </si>
  <si>
    <t>4.0.3.3.3</t>
  </si>
  <si>
    <t>4.0.3.4.1</t>
  </si>
  <si>
    <t>4.0.3.4.2</t>
  </si>
  <si>
    <t>4.0.3.4.3</t>
  </si>
  <si>
    <t>Единица измерения</t>
  </si>
  <si>
    <r>
      <t>руб./тыс.м</t>
    </r>
    <r>
      <rPr>
        <vertAlign val="superscript"/>
        <sz val="9"/>
        <rFont val="Tahoma"/>
        <family val="2"/>
        <charset val="204"/>
      </rPr>
      <t>3</t>
    </r>
  </si>
  <si>
    <r>
      <t>тыс.м</t>
    </r>
    <r>
      <rPr>
        <vertAlign val="superscript"/>
        <sz val="9"/>
        <rFont val="Tahoma"/>
        <family val="2"/>
        <charset val="204"/>
      </rPr>
      <t>3</t>
    </r>
  </si>
  <si>
    <t>10.0</t>
  </si>
  <si>
    <t>по результатам досудебного рассмотрения споров ФСТ России</t>
  </si>
  <si>
    <t>1.0.1</t>
  </si>
  <si>
    <t>1.0.2</t>
  </si>
  <si>
    <t>Газовый конденсат</t>
  </si>
  <si>
    <t>4.15</t>
  </si>
  <si>
    <t>для ЭОТ (деньги на 4 объёма)</t>
  </si>
  <si>
    <t>пересчёт льготных тарифов в руб.</t>
  </si>
  <si>
    <t>пересчёт одноставочных тарифов в руб.</t>
  </si>
  <si>
    <t>пересчёт двухставочных тарифов в руб.</t>
  </si>
  <si>
    <t>HEAT_P_TM1_DOCUMENTS_RANGE</t>
  </si>
  <si>
    <t>HEAT_U_TM1_DOCUMENTS_RANGE</t>
  </si>
  <si>
    <t>HEAT_P_TM1_DOCUMENTS_RANGE_RESET</t>
  </si>
  <si>
    <t>HEAT_P_TM1_DOCUMENTS_RANGE_EDIT</t>
  </si>
  <si>
    <t>HEAT_P_TM1_DOCUMENTS_RANGE_NEW</t>
  </si>
  <si>
    <t>HEAT_P_TM2_DOCUMENTS_RANGE</t>
  </si>
  <si>
    <t>HEAT_P_TM2_DOCUMENTS_RANGE_NEW</t>
  </si>
  <si>
    <t>HEAT_P_TM2_DOCUMENTS_RANGE_RESET</t>
  </si>
  <si>
    <t>HEAT_P_TM2_DOCUMENTS_RANGE_EDIT</t>
  </si>
  <si>
    <t>HEAT_U_TM2_DOCUMENTS_RANGE</t>
  </si>
  <si>
    <t>U</t>
  </si>
  <si>
    <t>HEAT_CALC_YEAR_RANGE</t>
  </si>
  <si>
    <t>HEAT_CALC_YEAR_RANGE_VDET_PER_PLUS_SBIT</t>
  </si>
  <si>
    <t>HEAT_CALC_YEAR_RANGE_VDET_PER</t>
  </si>
  <si>
    <t>HEAT_CALC_YEAR_RANGE_VDET_COMBI</t>
  </si>
  <si>
    <t>HEAT_CALC_YEAR_RANGE_VDET_PER_RAB</t>
  </si>
  <si>
    <t>CALC_IDENTIFIER</t>
  </si>
  <si>
    <t>Вид воды</t>
  </si>
  <si>
    <t>HEAT_P_TM1_DOCUMENTS_RANGE_EMPTY</t>
  </si>
  <si>
    <t>HEAT_P_TM2_DOCUMENTS_RANGE_EMPTY</t>
  </si>
  <si>
    <t>Январь</t>
  </si>
  <si>
    <t>Февраль</t>
  </si>
  <si>
    <t>Март</t>
  </si>
  <si>
    <t>Апрель</t>
  </si>
  <si>
    <t>Май</t>
  </si>
  <si>
    <t>Июнь</t>
  </si>
  <si>
    <t>Июль</t>
  </si>
  <si>
    <t>Август</t>
  </si>
  <si>
    <t>Сентябрь</t>
  </si>
  <si>
    <t>Октябрь</t>
  </si>
  <si>
    <t>Ноябрь</t>
  </si>
  <si>
    <t>Декабрь</t>
  </si>
  <si>
    <t>MONTH_LIST</t>
  </si>
  <si>
    <t>YEAR_LIST</t>
  </si>
  <si>
    <t>REGIONAL_CHECKOUT_AVAILABLE</t>
  </si>
  <si>
    <t>NA</t>
  </si>
  <si>
    <t>Полезный отпуск продукции 01.01 - 30.06 всего (Гкал)</t>
  </si>
  <si>
    <t>TOTAL_ORG_PW</t>
  </si>
  <si>
    <t>TOTAL_ORG_TW</t>
  </si>
  <si>
    <r>
      <t xml:space="preserve">Полезный отпуск продукции </t>
    </r>
    <r>
      <rPr>
        <sz val="9"/>
        <color indexed="10"/>
        <rFont val="Tahoma"/>
        <family val="2"/>
        <charset val="204"/>
      </rPr>
      <t>всего</t>
    </r>
    <r>
      <rPr>
        <sz val="9"/>
        <rFont val="Tahoma"/>
        <family val="2"/>
        <charset val="204"/>
      </rPr>
      <t xml:space="preserve"> (Гкал):
[БПр!п.3] - комбинированная выработка
* Всего по МО с учётом перепродажи, но без учёта транспортировки</t>
    </r>
  </si>
  <si>
    <t>Полезный отпуск продукции на реализацию потребителям (Гкал):
[БПр!п.3.2:3.5] - комбинированная выработка
* Всего по МО с учётом перепродажи, но без учёта транспортировки</t>
  </si>
  <si>
    <r>
      <t>Общий объём (м</t>
    </r>
    <r>
      <rPr>
        <vertAlign val="superscript"/>
        <sz val="9"/>
        <rFont val="Tahoma"/>
        <family val="2"/>
        <charset val="204"/>
      </rPr>
      <t>3</t>
    </r>
    <r>
      <rPr>
        <sz val="9"/>
        <rFont val="Tahoma"/>
        <family val="2"/>
        <charset val="204"/>
      </rPr>
      <t>), в том числе:</t>
    </r>
  </si>
  <si>
    <r>
      <t>Объём утилизированных твердых бытовых отходов (м</t>
    </r>
    <r>
      <rPr>
        <vertAlign val="superscript"/>
        <sz val="9"/>
        <rFont val="Tahoma"/>
        <family val="2"/>
        <charset val="204"/>
      </rPr>
      <t>3</t>
    </r>
    <r>
      <rPr>
        <sz val="9"/>
        <rFont val="Tahoma"/>
        <family val="2"/>
        <charset val="204"/>
      </rPr>
      <t>)</t>
    </r>
  </si>
  <si>
    <r>
      <t>Объём захороненных твердых бытовых отходов (м</t>
    </r>
    <r>
      <rPr>
        <vertAlign val="superscript"/>
        <sz val="9"/>
        <rFont val="Tahoma"/>
        <family val="2"/>
        <charset val="204"/>
      </rPr>
      <t>3</t>
    </r>
    <r>
      <rPr>
        <sz val="9"/>
        <rFont val="Tahoma"/>
        <family val="2"/>
        <charset val="204"/>
      </rPr>
      <t>)</t>
    </r>
  </si>
  <si>
    <r>
      <t>Мощность полигона захоронения бытовых отходов (м</t>
    </r>
    <r>
      <rPr>
        <vertAlign val="superscript"/>
        <sz val="9"/>
        <rFont val="Tahoma"/>
        <family val="2"/>
        <charset val="204"/>
      </rPr>
      <t>3</t>
    </r>
    <r>
      <rPr>
        <sz val="9"/>
        <rFont val="Tahoma"/>
        <family val="2"/>
        <charset val="204"/>
      </rPr>
      <t>)</t>
    </r>
  </si>
  <si>
    <r>
      <t>Мощность объектов утилизации твёрдых бытовых отходов (м</t>
    </r>
    <r>
      <rPr>
        <vertAlign val="superscript"/>
        <sz val="9"/>
        <rFont val="Tahoma"/>
        <family val="2"/>
        <charset val="204"/>
      </rPr>
      <t>3</t>
    </r>
    <r>
      <rPr>
        <sz val="9"/>
        <rFont val="Tahoma"/>
        <family val="2"/>
        <charset val="204"/>
      </rPr>
      <t>)</t>
    </r>
  </si>
  <si>
    <r>
      <t>м</t>
    </r>
    <r>
      <rPr>
        <vertAlign val="superscript"/>
        <sz val="9"/>
        <rFont val="Tahoma"/>
        <family val="2"/>
        <charset val="204"/>
      </rPr>
      <t>3</t>
    </r>
  </si>
  <si>
    <t>TOTAL_ORG_DF_PW</t>
  </si>
  <si>
    <t>TOTAL_ORG_DF_TW</t>
  </si>
  <si>
    <t>вода питьевого качества</t>
  </si>
  <si>
    <t>вода технического качества</t>
  </si>
  <si>
    <r>
      <t>средневзвешенный тариф (руб/м</t>
    </r>
    <r>
      <rPr>
        <vertAlign val="superscript"/>
        <sz val="9"/>
        <rFont val="Tahoma"/>
        <family val="2"/>
        <charset val="204"/>
      </rPr>
      <t>3</t>
    </r>
    <r>
      <rPr>
        <sz val="9"/>
        <rFont val="Tahoma"/>
        <family val="2"/>
        <charset val="204"/>
      </rPr>
      <t>)</t>
    </r>
  </si>
  <si>
    <r>
      <t xml:space="preserve">Вода </t>
    </r>
    <r>
      <rPr>
        <u/>
        <sz val="9"/>
        <rFont val="Tahoma"/>
        <family val="2"/>
        <charset val="204"/>
      </rPr>
      <t>технического</t>
    </r>
    <r>
      <rPr>
        <sz val="9"/>
        <rFont val="Tahoma"/>
        <family val="2"/>
        <charset val="204"/>
      </rPr>
      <t xml:space="preserve"> качества</t>
    </r>
  </si>
  <si>
    <r>
      <t xml:space="preserve">Вода </t>
    </r>
    <r>
      <rPr>
        <u/>
        <sz val="9"/>
        <rFont val="Tahoma"/>
        <family val="2"/>
        <charset val="204"/>
      </rPr>
      <t>питьевого</t>
    </r>
    <r>
      <rPr>
        <sz val="9"/>
        <rFont val="Tahoma"/>
        <family val="2"/>
        <charset val="204"/>
      </rPr>
      <t xml:space="preserve"> качества</t>
    </r>
  </si>
  <si>
    <t>ОТЛИЧИЕ</t>
  </si>
  <si>
    <t>4.0</t>
  </si>
  <si>
    <t>2.7.0.1</t>
  </si>
  <si>
    <t>2.7.0.2</t>
  </si>
  <si>
    <t>2.7.0.3</t>
  </si>
  <si>
    <t>2.7.1.3</t>
  </si>
  <si>
    <t>2.7.1.4</t>
  </si>
  <si>
    <t>2.7.1.5</t>
  </si>
  <si>
    <t>2.7.2.3</t>
  </si>
  <si>
    <t>2.7.2.4</t>
  </si>
  <si>
    <t>2.7.2.5</t>
  </si>
  <si>
    <t>16.0</t>
  </si>
  <si>
    <t>VSNA_CALC_T_CALC_RANGE</t>
  </si>
  <si>
    <t>VSNA_CALC_P_CALC_RANGE</t>
  </si>
  <si>
    <t>VSNA_CALC_P_T_CALC_RANGE</t>
  </si>
  <si>
    <t>VSNA_CALC_T_TR_CALC_RANGE</t>
  </si>
  <si>
    <t>VSNA_CALC_P_TR_CALC_RANGE</t>
  </si>
  <si>
    <t>VSNA_CALC_P_T_TR_CALC_RANGE</t>
  </si>
  <si>
    <t>Объём, на который рассчитана надбавка к тарифу на услуги (тыс. куб.м)</t>
  </si>
  <si>
    <t>Полезный отпуск продукции всего (тыс. куб.м):
[БТр!п.3] - транспортировка воды
[БПр!п.5.2] - остальные
* Всего по МО с учётом перепродажи, но без учёта транспортировки</t>
  </si>
  <si>
    <t>Полезный отпуск на реализацию потребителям (тыс. куб.м):
[БТр!п.3.2:3.5] - транспортировка воды
[БПр!п.5.2.2 + БПр!п.5.2.3] - остальные
* Всего по МО с учётом перепродажи, но без учёта транспортировки</t>
  </si>
  <si>
    <t>объём (тыс. куб.м)</t>
  </si>
  <si>
    <t>VSNA_CALC_ADD_RANGE</t>
  </si>
  <si>
    <t>VSNA_CALC_T_ISSUE_RANGE</t>
  </si>
  <si>
    <t>VSNA_CALC_P_ISSUE_RANGE</t>
  </si>
  <si>
    <t>VSNA_CALC_P_T_ISSUE_RANGE</t>
  </si>
  <si>
    <t>VSNA_CALC_T_TR_ISSUE_RANGE</t>
  </si>
  <si>
    <t>VSNA_CALC_P_TR_ISSUE_RANGE</t>
  </si>
  <si>
    <t>VSNA_CALC_P_T_TR_ISSUE_RANGE</t>
  </si>
  <si>
    <t>VSNA_CALC_EMPTY_RANGE</t>
  </si>
  <si>
    <t>VSNA_CALC_T_RANGE</t>
  </si>
  <si>
    <t>VSNA_CALC_P_RANGE</t>
  </si>
  <si>
    <t>VSNA_CALC_P_T_RANGE</t>
  </si>
  <si>
    <t>VSNA_CALC_YEAR_ADD_RANGE</t>
  </si>
  <si>
    <t>VSNA_CALC_YEAR_EMPTY_RANGE</t>
  </si>
  <si>
    <t>VSNA_CALC_YEAR_T_RANGE</t>
  </si>
  <si>
    <t>VSNA_CALC_YEAR_P_RANGE</t>
  </si>
  <si>
    <t>VSNA_CALC_YEAR_P_T_RANGE</t>
  </si>
  <si>
    <t>VSNA_CALC_YEAR_T_CALC_RANGE</t>
  </si>
  <si>
    <t>VSNA_CALC_YEAR_P_CALC_RANGE</t>
  </si>
  <si>
    <t>VSNA_CALC_YEAR_P_T_CALC_RANGE</t>
  </si>
  <si>
    <t>VSNA_CALC_YEAR_T_TR_CALC_RANGE</t>
  </si>
  <si>
    <t>VSNA_CALC_YEAR_P_TR_CALC_RANGE</t>
  </si>
  <si>
    <t>VSNA_CALC_YEAR_P_T_TR_CALC_RANGE</t>
  </si>
  <si>
    <t>Полезный отпуск продукции 01.01 - 30.06 всего (тыс. куб.м)</t>
  </si>
  <si>
    <t>VOTV_CALC_ADD_RANGE</t>
  </si>
  <si>
    <t>VOTV_CALC_EMPTY_RANGE</t>
  </si>
  <si>
    <t>VOTV_CALC_YEAR_ADD_RANGE</t>
  </si>
  <si>
    <t>VOTV_CALC_YEAR_EMPTY_RANGE</t>
  </si>
  <si>
    <t>VOTV_CALC_TR_RANGE</t>
  </si>
  <si>
    <t>VOTV_CALC_PR_RANGE</t>
  </si>
  <si>
    <t>VOTV_CALC_PR_ISSUE_RANGE</t>
  </si>
  <si>
    <t>VOTV_CALC_TR_ISSUE_RANGE</t>
  </si>
  <si>
    <t>VOTV_CALC_TR_CALC_RANGE</t>
  </si>
  <si>
    <t>VOTV_CALC_PR_CALC_RANGE</t>
  </si>
  <si>
    <t>VOTV_CALC_YEAR_TR_RANGE</t>
  </si>
  <si>
    <t>VOTV_CALC_YEAR_PR_RANGE</t>
  </si>
  <si>
    <t>VOTV_CALC_YEAR_TR_CALC_RANGE</t>
  </si>
  <si>
    <t>VOTV_CALC_YEAR_PR_CALC_RANGE</t>
  </si>
  <si>
    <t>UTBO_CALC_ADD_RANGE</t>
  </si>
  <si>
    <t>UTBO_CALC_EMPTY_RANGE</t>
  </si>
  <si>
    <t>UTBO_CALC_YEAR_ADD_RANGE</t>
  </si>
  <si>
    <t>UTBO_CALC_YEAR_EMPTY_RANGE</t>
  </si>
  <si>
    <t>UTBO_CALC_YEAR_TR_RANGE</t>
  </si>
  <si>
    <t>UTBO_CALC_RANGE</t>
  </si>
  <si>
    <t>воды</t>
  </si>
  <si>
    <t>ТЭ</t>
  </si>
  <si>
    <t>стоков</t>
  </si>
  <si>
    <t>RESOURCE_IDENTIFIER</t>
  </si>
  <si>
    <t>руб/Гкал</t>
  </si>
  <si>
    <t>VSNA_TRANSMISSION_TARIFF_UNIT</t>
  </si>
  <si>
    <t>VOTV_TRANSMISSION_TARIFF_UNIT</t>
  </si>
  <si>
    <t>руб/куб.м</t>
  </si>
  <si>
    <t>Передача организациям-перепродавцам</t>
  </si>
  <si>
    <t>VSNA_P_TM1_DOCUMENTS_RANGE_NEW</t>
  </si>
  <si>
    <t>VSNA_P_TM1_DOCUMENTS_RANGE_RESET</t>
  </si>
  <si>
    <t>VSNA_P_TM1_DOCUMENTS_RANGE_EDIT</t>
  </si>
  <si>
    <t>VSNA_P_TM1_DOCUMENTS_RANGE_EMPTY</t>
  </si>
  <si>
    <t>VSNA_P_TM2_DOCUMENTS_RANGE_NEW</t>
  </si>
  <si>
    <t>VSNA_P_TM2_DOCUMENTS_RANGE_RESET</t>
  </si>
  <si>
    <t>VSNA_P_TM2_DOCUMENTS_RANGE_EDIT</t>
  </si>
  <si>
    <t>VSNA_P_TM2_DOCUMENTS_RANGE_EMPTY</t>
  </si>
  <si>
    <t>VSNA_TM1_ADD_RANGE</t>
  </si>
  <si>
    <t>VSNA_TM1_EMPTY_RANGE</t>
  </si>
  <si>
    <t>VSNA_TM1_P_RANGE</t>
  </si>
  <si>
    <t>VSNA_TM1_T_RANGE</t>
  </si>
  <si>
    <t>VSNA_TM1_P_T_RANGE</t>
  </si>
  <si>
    <t>VOTV_TM1_P_RANGE</t>
  </si>
  <si>
    <t>VOTV_TM1_ADD_RANGE</t>
  </si>
  <si>
    <t>VOTV_TM1_EMPTY_RANGE</t>
  </si>
  <si>
    <t>Объём реализации услуги потребителям, всего, Гкал</t>
  </si>
  <si>
    <t>Объём реализации услуги, Гкал</t>
  </si>
  <si>
    <t>3.2.1</t>
  </si>
  <si>
    <t>для надбавки</t>
  </si>
  <si>
    <t>куб.м</t>
  </si>
  <si>
    <t>VSNA_TM2_ADD_RANGE</t>
  </si>
  <si>
    <t>VSNA_TM2_1_TARIFF_P_T_RANGE</t>
  </si>
  <si>
    <t>VSNA_TM2_2_TARIFF_P_T_RANGE</t>
  </si>
  <si>
    <t>VSNA_TM2_1_TARIFF_T_RANGE</t>
  </si>
  <si>
    <t>VSNA_TM2_2_TARIFF_T_RANGE</t>
  </si>
  <si>
    <t>5/31/2013  2:31:02 PM</t>
  </si>
  <si>
    <t>5/31/2013  2:31:05 PM</t>
  </si>
  <si>
    <t>L9_1</t>
  </si>
  <si>
    <t>L9_2</t>
  </si>
  <si>
    <t>L9_3</t>
  </si>
  <si>
    <t>L9_4</t>
  </si>
  <si>
    <t>L9_5</t>
  </si>
  <si>
    <t>L9_6</t>
  </si>
  <si>
    <t>L9_7</t>
  </si>
  <si>
    <t>L9_8</t>
  </si>
  <si>
    <t>L10</t>
  </si>
  <si>
    <t>L_STUB1</t>
  </si>
  <si>
    <t>L10_1</t>
  </si>
  <si>
    <t>L10_2</t>
  </si>
  <si>
    <t>L10_3</t>
  </si>
  <si>
    <t>L11</t>
  </si>
  <si>
    <t>L_STUB2</t>
  </si>
  <si>
    <t>L_STUB3</t>
  </si>
  <si>
    <t>L12</t>
  </si>
  <si>
    <t>L12_1</t>
  </si>
  <si>
    <t>L13</t>
  </si>
  <si>
    <t>L13_1</t>
  </si>
  <si>
    <t>L13_2</t>
  </si>
  <si>
    <t>L13_3</t>
  </si>
  <si>
    <t>L13_4</t>
  </si>
  <si>
    <t>L13_5</t>
  </si>
  <si>
    <t>L13_5_1</t>
  </si>
  <si>
    <t>L13_5_2</t>
  </si>
  <si>
    <t>L13_5_3</t>
  </si>
  <si>
    <t>L14</t>
  </si>
  <si>
    <t>L14_1</t>
  </si>
  <si>
    <t>L14_2</t>
  </si>
  <si>
    <t>LGL_ID</t>
  </si>
  <si>
    <t>ДИАПАЗОНЫ ОТЛИЧАЮТСЯ ТОЛЬКО ДОСТУПНОСТЬЮ РАЗДЕЛА "ТОПЛИВО" И В НИЖНЕЙ ЧАСТИ</t>
  </si>
  <si>
    <t>Алтайский край</t>
  </si>
  <si>
    <t>LOGIN</t>
  </si>
  <si>
    <t>Амурская область</t>
  </si>
  <si>
    <t>PASSWORD</t>
  </si>
  <si>
    <t>Архангельская область</t>
  </si>
  <si>
    <t>30</t>
  </si>
  <si>
    <t>30.1</t>
  </si>
  <si>
    <t>30.2</t>
  </si>
  <si>
    <t>30.3</t>
  </si>
  <si>
    <t>30.3.1</t>
  </si>
  <si>
    <t>30.3.2</t>
  </si>
  <si>
    <t>30.3.3</t>
  </si>
  <si>
    <t>31</t>
  </si>
  <si>
    <t>31.1</t>
  </si>
  <si>
    <t>31.2</t>
  </si>
  <si>
    <t>31.3</t>
  </si>
  <si>
    <t>31.4</t>
  </si>
  <si>
    <t>31.5</t>
  </si>
  <si>
    <t>31.6</t>
  </si>
  <si>
    <t>10.2.1.5</t>
  </si>
  <si>
    <t>10.2.1.6</t>
  </si>
  <si>
    <t>10.2.1.7</t>
  </si>
  <si>
    <t>10.2.1.8</t>
  </si>
  <si>
    <t>10.2.1.9</t>
  </si>
  <si>
    <t>10.2.1.10</t>
  </si>
  <si>
    <t>10.2.1.11</t>
  </si>
  <si>
    <t>10.2.1.12</t>
  </si>
  <si>
    <t>10.2.1.13</t>
  </si>
  <si>
    <t>10.2.1.14</t>
  </si>
  <si>
    <t>10.2.1.15</t>
  </si>
  <si>
    <t>10.2.1.2.1</t>
  </si>
  <si>
    <t>10.2.1.2.2</t>
  </si>
  <si>
    <t>10.2.1.2.3</t>
  </si>
  <si>
    <t>Изменение объёма транспортировки тепловой энергии (Гкал)</t>
  </si>
  <si>
    <t>Полезный отпуск по группам потребителей (Гкал):</t>
  </si>
  <si>
    <t>Изменение объёма для бюджетных потребителей (тыс. куб.м)</t>
  </si>
  <si>
    <t>Изменение объёма для населения (тыс. куб.м)</t>
  </si>
  <si>
    <t>Изменение объёма для прочих потребителей (тыс. куб.м)</t>
  </si>
  <si>
    <t>экономически обоснованные расходы, понесённые за отчётные периоды</t>
  </si>
  <si>
    <t>HEAT_DF_ADD_RANGE_PERIOD_YEAR</t>
  </si>
  <si>
    <t>HEAT_DF_FUEL_EMPTY_RANGE_PERIOD_YEAR</t>
  </si>
  <si>
    <t>HEAT_DF_FUEL_RANGE_VDET_PER_PLUS_SBIT_PERIOD_YEAR</t>
  </si>
  <si>
    <t>HEAT_DF_FUEL_RANGE_PERIOD_YEAR</t>
  </si>
  <si>
    <t>HEAT_DF_FUEL_RANGE_VDET_PER_PERIOD_YEAR</t>
  </si>
  <si>
    <t>HEAT_DF_FUEL_RANGE_VDET_COMBI_PERIOD_YEAR</t>
  </si>
  <si>
    <t>HEAT_DF_YEAR_RANGE_VDET_PER_PLUS_SBIT</t>
  </si>
  <si>
    <t>HEAT_DF_YEAR_RANGE</t>
  </si>
  <si>
    <t>HEAT_DF_YEAR_RANGE_VDET_PER</t>
  </si>
  <si>
    <t>HEAT_DF_YEAR_RANGE_VDET_COMBI</t>
  </si>
  <si>
    <t>HEAT_DF_YEAR_RANGE_VDET_PER_RAB</t>
  </si>
  <si>
    <t>VSNA_DF_YEAR_ADD_RANGE</t>
  </si>
  <si>
    <t>VSNA_DF_YEAR_EMPTY_RANGE</t>
  </si>
  <si>
    <t>VSNA_DF_YEAR_T_RANGE</t>
  </si>
  <si>
    <t>VSNA_DF_YEAR_P_RANGE</t>
  </si>
  <si>
    <t>VSNA_DF_YEAR_P_T_RANGE</t>
  </si>
  <si>
    <t>VSNA_DF_YEAR_T_CALC_RANGE</t>
  </si>
  <si>
    <t>VSNA_DF_YEAR_P_CALC_RANGE</t>
  </si>
  <si>
    <t>VSNA_DF_YEAR_P_T_CALC_RANGE</t>
  </si>
  <si>
    <t>VSNA_DF_YEAR_T_TR_CALC_RANGE</t>
  </si>
  <si>
    <t>VSNA_DF_YEAR_P_TR_CALC_RANGE</t>
  </si>
  <si>
    <t>VSNA_DF_YEAR_P_T_TR_CALC_RANGE</t>
  </si>
  <si>
    <t>VOTV_DF_YEAR_ADD_RANGE</t>
  </si>
  <si>
    <t>VOTV_DF_YEAR_EMPTY_RANGE</t>
  </si>
  <si>
    <t>VOTV_DF_YEAR_TR_RANGE</t>
  </si>
  <si>
    <t>VOTV_DF_YEAR_PR_RANGE</t>
  </si>
  <si>
    <t>VOTV_DF_YEAR_TR_CALC_RANGE</t>
  </si>
  <si>
    <t>VOTV_DF_YEAR_PR_CALC_RANGE</t>
  </si>
  <si>
    <t>L4_0_1_6_15</t>
  </si>
  <si>
    <t>XML_PLAN1X_HEAT_FUEL_EE_TAG_NAMES</t>
  </si>
  <si>
    <t>двухставочный</t>
  </si>
  <si>
    <t>Астраханская область</t>
  </si>
  <si>
    <t>Белгородская область</t>
  </si>
  <si>
    <t>производство (некомбинированная выработка)+передача</t>
  </si>
  <si>
    <t>Брянская область</t>
  </si>
  <si>
    <t>Владимирская область</t>
  </si>
  <si>
    <t>производство (некомбинированная выработка)</t>
  </si>
  <si>
    <t>менее 25 МВт</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</si>
  <si>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</si>
  <si>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</si>
  <si>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</si>
  <si>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</si>
  <si>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</si>
  <si>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</si>
  <si>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XML_AUTHORISATION_TAG_NAMES</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</si>
  <si>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</si>
  <si>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</si>
  <si>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</si>
  <si>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</si>
  <si>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</si>
  <si>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</si>
  <si>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</si>
  <si>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</si>
  <si>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</si>
  <si>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</si>
  <si>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</si>
  <si>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</si>
  <si>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</si>
  <si>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</si>
  <si>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</si>
  <si>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</si>
  <si>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</si>
  <si>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</si>
  <si>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</si>
  <si>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</si>
  <si>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</si>
  <si>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</si>
  <si>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</si>
  <si>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Оренбургская область</t>
  </si>
  <si>
    <t>Орловская область</t>
  </si>
  <si>
    <t>Пензенская область</t>
  </si>
  <si>
    <t>Пермский край</t>
  </si>
  <si>
    <t>Приморский край</t>
  </si>
  <si>
    <t>Псковская область</t>
  </si>
  <si>
    <t>Республика Адыгея</t>
  </si>
  <si>
    <t>XML_ORG_LIST_TAG_NAMES</t>
  </si>
  <si>
    <t>NSRF</t>
  </si>
  <si>
    <t>MR_NAME</t>
  </si>
  <si>
    <t>OKTMO_MR_NAME</t>
  </si>
  <si>
    <t>MO_NAME</t>
  </si>
  <si>
    <t>OKTMO_NAME</t>
  </si>
  <si>
    <t>ORG_NAME</t>
  </si>
  <si>
    <t>INN_NAME</t>
  </si>
  <si>
    <t>KPP_NAME</t>
  </si>
  <si>
    <t>VDET_NAME</t>
  </si>
  <si>
    <t>XML_MR_MO_OKTMO_LIST_TAG_NAMES</t>
  </si>
  <si>
    <t>г. Байконур</t>
  </si>
  <si>
    <t>г. Санкт-Петербург</t>
  </si>
  <si>
    <t>теплоснабжения</t>
  </si>
  <si>
    <t>водоснабжения</t>
  </si>
  <si>
    <t>водоотведения</t>
  </si>
  <si>
    <t>УТБО</t>
  </si>
  <si>
    <t>TEMPLATE_SPHERE</t>
  </si>
  <si>
    <t>Мощность организации (для когенерации)</t>
  </si>
  <si>
    <t>Дифференцированный учёт затрат ОКК по МО</t>
  </si>
  <si>
    <t>осуществляет деятельность только в одном МО</t>
  </si>
  <si>
    <t>учёт затрат осуществляется дифференцировано по МО</t>
  </si>
  <si>
    <t>дифференцированный учёт затрат ОКК по МО отсутствует</t>
  </si>
  <si>
    <t>DIFF</t>
  </si>
  <si>
    <t>CAPACITY</t>
  </si>
  <si>
    <t>YES_NO</t>
  </si>
  <si>
    <t>Скрыть все детали</t>
  </si>
  <si>
    <t>Атрибуты решений, которым соответствует утверждённый тариф</t>
  </si>
  <si>
    <t>без НДС</t>
  </si>
  <si>
    <t>с НДС</t>
  </si>
  <si>
    <t>Б</t>
  </si>
  <si>
    <t>В</t>
  </si>
  <si>
    <t>Г</t>
  </si>
  <si>
    <t>2.1.1</t>
  </si>
  <si>
    <t>2.1.2</t>
  </si>
  <si>
    <t>2.1.3</t>
  </si>
  <si>
    <t>2.2.1</t>
  </si>
  <si>
    <t>Все действия, манипуляции, вызов форм ввода на листах осуществляются двойным щелчком мыши</t>
  </si>
  <si>
    <t>В отчёте указываются URL-ссылки * на документы, которые необходимо направить с помощью "ЕИАС Мониторинг".</t>
  </si>
  <si>
    <t>* URL - единый указатель ресурсов (англ. URL — Uniform Resource Locator) — единообразный локатор (определитель местонахождения) ресурса. URL — это стандартизированный способ записи адреса ресурса в сети Интернет.
Например: https://eias.fstrf.ru/disclo/get_file?p_guid=a15c2f06-8f09-444e-bb68-056e587824c2</t>
  </si>
  <si>
    <t>Инструкция по работе:</t>
  </si>
  <si>
    <t>http://eias.ru/files/shablon/manual_loading_through_monitoring.pdf</t>
  </si>
  <si>
    <t>№ п/п</t>
  </si>
  <si>
    <t>1</t>
  </si>
  <si>
    <t>ОКТМО</t>
  </si>
  <si>
    <t>http://eias.ru/?page=show_templates</t>
  </si>
  <si>
    <t>Инструкция по обновлению шаблона</t>
  </si>
  <si>
    <t>Дата/Время</t>
  </si>
  <si>
    <t>Сообщение</t>
  </si>
  <si>
    <t>Статус</t>
  </si>
  <si>
    <t>Если компьютер имеет подключение к Интернет, можно автоматически проверять наличие доступных обновлений. Выберите способ оповещения о наличии обновлений для шаблона:</t>
  </si>
  <si>
    <t>Должность</t>
  </si>
  <si>
    <t>(код) телефон</t>
  </si>
  <si>
    <t>-</t>
  </si>
  <si>
    <t>Ссылка 1</t>
  </si>
  <si>
    <t>Ссылка 2</t>
  </si>
  <si>
    <t>Результаты проверки</t>
  </si>
  <si>
    <t>Описание причины</t>
  </si>
  <si>
    <t>1.  Технические требования</t>
  </si>
  <si>
    <t>u</t>
  </si>
  <si>
    <r>
      <t xml:space="preserve"> • макросы во время работы должны быть включены </t>
    </r>
    <r>
      <rPr>
        <b/>
        <sz val="10"/>
        <color indexed="8"/>
        <rFont val="Tahoma"/>
        <family val="2"/>
        <charset val="204"/>
      </rPr>
      <t>(!)</t>
    </r>
  </si>
  <si>
    <t xml:space="preserve"> • для корректной работы шаблона требуется выбрать низкий уровень безопасности</t>
  </si>
  <si>
    <t>(В меню MS Excel 2003: Сервис | Макрос | Безопасность | выбрать нижний пункт «Низкая безопасность» | OK)</t>
  </si>
  <si>
    <t>(В меню MS Excel 2007/2010: Параметры Excel | Центр управления безопасностью | Параметры центра управления безопасностью | Параметры макросов | Включить все макросы | ОК)</t>
  </si>
  <si>
    <t>2.  Условные обозначения</t>
  </si>
  <si>
    <t xml:space="preserve">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t>
  </si>
  <si>
    <t>Если после обновления Вам не удалось найти необходимую организацию в списке, обратитесь к ответственному за поддержание реестра Вашего региона. Информация о региональных органах регулирования доступна по ссылке:</t>
  </si>
  <si>
    <t>http://www.fstrf.ru/regions/region/showlist</t>
  </si>
  <si>
    <t>4.  Работа с листом "Проверка"</t>
  </si>
  <si>
    <t xml:space="preserve">• При сохранении шаблона осуществляется проверка корректности данных, в том числе на наличие значений в ячейках, обязательных для заполнения. </t>
  </si>
  <si>
    <t xml:space="preserve">• В колонке «Статус» для каждого сообщения возможны 2 значения: ошибка и предупреждение. </t>
  </si>
  <si>
    <t>•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</si>
  <si>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5.  Организационно-технические консультации</t>
  </si>
  <si>
    <t>Техническая поддержка:</t>
  </si>
  <si>
    <t>E-mail:</t>
  </si>
  <si>
    <t>Web-сайт:</t>
  </si>
  <si>
    <t>Дистрибутивы:</t>
  </si>
  <si>
    <t>http://eias.ru/files/distr/libs_for_templates_setup.rar</t>
  </si>
  <si>
    <t>6.  Методология заполнения</t>
  </si>
  <si>
    <t>7.  Консультации по методологии заполнения</t>
  </si>
  <si>
    <t>для устранения ошибок (например, "Compile error in hidden module")</t>
  </si>
  <si>
    <t>e-mail</t>
  </si>
  <si>
    <t>Технические требования:</t>
  </si>
  <si>
    <t>• При сохранении не следует выбирать формат XLSX (Книга Excel), так как в указанном формате макросы, задействованные при работе с шаблоном, безвозвратно удаляются.</t>
  </si>
  <si>
    <t xml:space="preserve">• макросы во время работы должны быть включены </t>
  </si>
  <si>
    <t>• для корректной работы шаблона рекомендуется выбрать низкий уровень безопасности</t>
  </si>
  <si>
    <t>3/17/2012  12:12:41 AM</t>
  </si>
  <si>
    <r>
      <t xml:space="preserve">• Если Вы работаете в табличном процессоре MS Excel 2007 и выше, то можете использовать для работы формат </t>
    </r>
    <r>
      <rPr>
        <b/>
        <sz val="10"/>
        <color indexed="8"/>
        <rFont val="Tahoma"/>
        <family val="2"/>
        <charset val="204"/>
      </rPr>
      <t>XLSM</t>
    </r>
    <r>
      <rPr>
        <sz val="10"/>
        <color indexed="8"/>
        <rFont val="Tahoma"/>
        <family val="2"/>
        <charset val="204"/>
      </rPr>
      <t xml:space="preserve"> </t>
    </r>
    <r>
      <rPr>
        <b/>
        <sz val="10"/>
        <color indexed="8"/>
        <rFont val="Tahoma"/>
        <family val="2"/>
        <charset val="204"/>
      </rPr>
      <t>(Книга Excel с поддержкой макросов)</t>
    </r>
    <r>
      <rPr>
        <sz val="10"/>
        <color indexed="8"/>
        <rFont val="Tahoma"/>
        <family val="2"/>
        <charset val="204"/>
      </rPr>
      <t xml:space="preserve">. При работе в формате </t>
    </r>
    <r>
      <rPr>
        <b/>
        <sz val="10"/>
        <color indexed="8"/>
        <rFont val="Tahoma"/>
        <family val="2"/>
        <charset val="204"/>
      </rPr>
      <t>XLSM</t>
    </r>
    <r>
      <rPr>
        <sz val="10"/>
        <color indexed="8"/>
        <rFont val="Tahoma"/>
        <family val="2"/>
        <charset val="204"/>
      </rPr>
      <t xml:space="preserve"> заметно быстрее происходит сохранение шаблона, а также уменьшается размер файла по сравнению с форматом XLS.</t>
    </r>
  </si>
  <si>
    <t>• Не рекомендуется снимать защиту с листов и каким-либо образом модифицировать защищаемые формулы и расчётные поля, в противном случае, шаблон будет отклонён системой</t>
  </si>
  <si>
    <t xml:space="preserve"> • на рабочем месте должен быть установлен MS Office 2003 SP3, 2007 SP3, 2010 с полной версией MS Excel</t>
  </si>
  <si>
    <t>• на рабочем месте должен быть установлен MS Office 2003 SP3, 2007 SP3, 2010 с полной версией MS Excel</t>
  </si>
  <si>
    <t xml:space="preserve"> - предназначенные для заполнения</t>
  </si>
  <si>
    <t>Типы полей:</t>
  </si>
  <si>
    <t>Затем предлагается либо выбрать муниципальное образование и указать перечень организаций, оказывающих услуги на его территории</t>
  </si>
  <si>
    <t>• Если значение поля не удовлетворяет условию (-ям) проверки, то на лист «Проверка» добавляются гиперссылки на проблемную ячейку (группу ячеек) и указывается причина.</t>
  </si>
  <si>
    <t>Регион</t>
  </si>
  <si>
    <t>Муниципальный район</t>
  </si>
  <si>
    <t>Муниципальное образование</t>
  </si>
  <si>
    <t>Красноярский край</t>
  </si>
  <si>
    <t>ИНН</t>
  </si>
  <si>
    <t>КПП</t>
  </si>
  <si>
    <t>Наименование юридического лица</t>
  </si>
  <si>
    <t>Вид деятельности организации</t>
  </si>
  <si>
    <t>Перепродажа</t>
  </si>
  <si>
    <t>Утверждаемый тариф</t>
  </si>
  <si>
    <t>Дополнительные признаки организации</t>
  </si>
  <si>
    <t>Плательщик НДС</t>
  </si>
  <si>
    <t>Транспортировка тепловой энергии</t>
  </si>
  <si>
    <t>принимает в сеть от тр-ков</t>
  </si>
  <si>
    <t>отдаёт для передачи тр-кам</t>
  </si>
  <si>
    <t>Изменить</t>
  </si>
  <si>
    <t>нет</t>
  </si>
  <si>
    <t>Передача</t>
  </si>
  <si>
    <t>да</t>
  </si>
  <si>
    <t>производство (некомбинированная выработка)+передача+сбыт</t>
  </si>
  <si>
    <t>одноставочный</t>
  </si>
  <si>
    <t>Передача+Сбыт</t>
  </si>
  <si>
    <t>Добавить организацию</t>
  </si>
  <si>
    <t>Ответственный за предоставление информации</t>
  </si>
  <si>
    <t>ФИО</t>
  </si>
  <si>
    <t>Удалить</t>
  </si>
  <si>
    <t>Добавить</t>
  </si>
  <si>
    <t>год</t>
  </si>
  <si>
    <t>январь</t>
  </si>
  <si>
    <t>февраль</t>
  </si>
  <si>
    <t>март</t>
  </si>
  <si>
    <t>апрель</t>
  </si>
  <si>
    <t>май</t>
  </si>
  <si>
    <t>июнь</t>
  </si>
  <si>
    <t>июль</t>
  </si>
  <si>
    <t>август</t>
  </si>
  <si>
    <t>сентябрь</t>
  </si>
  <si>
    <t>октябрь</t>
  </si>
  <si>
    <t>ноябрь</t>
  </si>
  <si>
    <t>декабрь</t>
  </si>
  <si>
    <t>Гкал</t>
  </si>
  <si>
    <t>Субъект баланса</t>
  </si>
  <si>
    <t>Выработка</t>
  </si>
  <si>
    <t>Собственные нужды источника тепла</t>
  </si>
  <si>
    <t>Отпуск с коллекторов</t>
  </si>
  <si>
    <t>Покупная энергия</t>
  </si>
  <si>
    <t>Отпуск в сеть</t>
  </si>
  <si>
    <t>Потери в сетях</t>
  </si>
  <si>
    <t>Полезный отпуск, всего</t>
  </si>
  <si>
    <t>Полезный отпуск организациям-перепродавцам</t>
  </si>
  <si>
    <t>Полезный отпуск по группам потребителей</t>
  </si>
  <si>
    <t>Всего</t>
  </si>
  <si>
    <t>На технологические нужды предприятия</t>
  </si>
  <si>
    <t>Бюджетные потребители</t>
  </si>
  <si>
    <t>Население</t>
  </si>
  <si>
    <t>Прочие потребители</t>
  </si>
  <si>
    <t>Организации - перепродавцы, всего</t>
  </si>
  <si>
    <t>2</t>
  </si>
  <si>
    <t>3</t>
  </si>
  <si>
    <t>4</t>
  </si>
  <si>
    <t>В собственную тепловую сеть</t>
  </si>
  <si>
    <t>покупка потерь с коллекторов</t>
  </si>
  <si>
    <t>покупка потерь из тепловой сети</t>
  </si>
  <si>
    <t>Финансируемые из бюджетов всех уровней</t>
  </si>
  <si>
    <t>Прочие</t>
  </si>
  <si>
    <t>А</t>
  </si>
  <si>
    <t>3.1</t>
  </si>
  <si>
    <t>3.2</t>
  </si>
  <si>
    <t>3.3</t>
  </si>
  <si>
    <t>3.4</t>
  </si>
  <si>
    <t>3.5</t>
  </si>
  <si>
    <t>3.6</t>
  </si>
  <si>
    <t>4.1</t>
  </si>
  <si>
    <t>4.1.1</t>
  </si>
  <si>
    <t>4.2</t>
  </si>
  <si>
    <t>5</t>
  </si>
  <si>
    <t>5.1</t>
  </si>
  <si>
    <t>5.2</t>
  </si>
  <si>
    <t>5.2.1</t>
  </si>
  <si>
    <t>5.2.2</t>
  </si>
  <si>
    <t>5.2.3</t>
  </si>
  <si>
    <t>5.2.3.1</t>
  </si>
  <si>
    <t>5.2.3.2</t>
  </si>
  <si>
    <t>5.2.3.3</t>
  </si>
  <si>
    <t>Всего по МО</t>
  </si>
  <si>
    <t>Принято тепловой энергии для передачи (транспортировки)</t>
  </si>
  <si>
    <t>Принято тепловой энергии для транспортировки от:</t>
  </si>
  <si>
    <t>Потери</t>
  </si>
  <si>
    <t>Отпуск тепловой энергии</t>
  </si>
  <si>
    <t>Передано на нужды организации</t>
  </si>
  <si>
    <t>Энерго-снабжающие организации</t>
  </si>
  <si>
    <t>I</t>
  </si>
  <si>
    <t>тыс.руб.</t>
  </si>
  <si>
    <t>Наименование показателя</t>
  </si>
  <si>
    <t>Является ли организация плательщиком НДС</t>
  </si>
  <si>
    <t>Сырье, основные материалы</t>
  </si>
  <si>
    <t>1.1</t>
  </si>
  <si>
    <t>На ремонт</t>
  </si>
  <si>
    <t>1.2</t>
  </si>
  <si>
    <t>Вода на технологические цели</t>
  </si>
  <si>
    <t>1.2.1</t>
  </si>
  <si>
    <t>SOURCE_ID</t>
  </si>
  <si>
    <t>SOURCE_NAME</t>
  </si>
  <si>
    <t>SOURCE_ADDRESS</t>
  </si>
  <si>
    <t>XML_SOURCE_LIST_TAG_NAMES</t>
  </si>
  <si>
    <t xml:space="preserve">Затраты на оплату труда </t>
  </si>
  <si>
    <t>Республика Алтай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</si>
  <si>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</si>
  <si>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</si>
  <si>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</si>
  <si>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</si>
  <si>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</si>
  <si>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</si>
  <si>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</si>
  <si>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</si>
  <si>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</si>
  <si>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</si>
  <si>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</si>
  <si>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Татарстан</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</si>
  <si>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</si>
  <si>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</si>
  <si>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</si>
  <si>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</si>
  <si>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</si>
  <si>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</si>
  <si>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</si>
  <si>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</si>
  <si>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</si>
  <si>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</si>
  <si>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</si>
  <si>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</si>
  <si>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</si>
  <si>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</si>
  <si>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</si>
  <si>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</si>
  <si>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Ульяновская область</t>
  </si>
  <si>
    <t>Хабаровский край</t>
  </si>
  <si>
    <t>Ханты-Мансийский автономный округ</t>
  </si>
  <si>
    <t>Челябинская область</t>
  </si>
  <si>
    <t>Чеченская республика</t>
  </si>
  <si>
    <t>Чувашская республика</t>
  </si>
  <si>
    <t>Чукотский автономный округ</t>
  </si>
  <si>
    <t>Ямало-Ненецкий автономный округ</t>
  </si>
  <si>
    <t>Ярославская область</t>
  </si>
  <si>
    <t>Цвет заливки</t>
  </si>
  <si>
    <t>Наименование обособленного подразделения</t>
  </si>
  <si>
    <t xml:space="preserve">Если в предложенном Вам списке необходимая организация, МР/МО отсутствуют, обновите реестры с помощью кнопок </t>
  </si>
  <si>
    <t>3.  Работа с реестрами и с отчётом</t>
  </si>
  <si>
    <t>9.8</t>
  </si>
  <si>
    <t>прочие непроизводственные расходы</t>
  </si>
  <si>
    <t>12</t>
  </si>
  <si>
    <t>10</t>
  </si>
  <si>
    <t>Недополученный доход</t>
  </si>
  <si>
    <t>по результатам рассмотрения разногласий ФСТ России</t>
  </si>
  <si>
    <t xml:space="preserve">экономически обоснованные расходы, понесённые за отчётные периоды </t>
  </si>
  <si>
    <t xml:space="preserve">выпадающие доходы за отчётные периоды регулирования, связанные с изменением объёмов реализации  </t>
  </si>
  <si>
    <t>13</t>
  </si>
  <si>
    <t>Избыток средств, полученный за отчётные периоды регулирования</t>
  </si>
  <si>
    <t>14</t>
  </si>
  <si>
    <t>Итого расходы</t>
  </si>
  <si>
    <t>12.1</t>
  </si>
  <si>
    <t>15</t>
  </si>
  <si>
    <t>Валовая прибыль</t>
  </si>
  <si>
    <t>15.1</t>
  </si>
  <si>
    <t>13.1</t>
  </si>
  <si>
    <t>Прибыль на развитие производства (капитальные вложения)</t>
  </si>
  <si>
    <t>15.2</t>
  </si>
  <si>
    <t>13.2</t>
  </si>
  <si>
    <t>Прибыль на социальное развитие</t>
  </si>
  <si>
    <t>13.3</t>
  </si>
  <si>
    <t>Прибыль на поощрение</t>
  </si>
  <si>
    <t>13.4</t>
  </si>
  <si>
    <t>Прибыль на прочие цели</t>
  </si>
  <si>
    <t>13.5</t>
  </si>
  <si>
    <t>Налоги, сборы, платежи - всего, в том числе</t>
  </si>
  <si>
    <t>13.5.1</t>
  </si>
  <si>
    <t xml:space="preserve">налог на прибыль </t>
  </si>
  <si>
    <t>13.5.2</t>
  </si>
  <si>
    <t>налог на имущество</t>
  </si>
  <si>
    <t>13.5.3</t>
  </si>
  <si>
    <t>другие налоги</t>
  </si>
  <si>
    <t xml:space="preserve">Перекрёстное субсидирование, в том числе </t>
  </si>
  <si>
    <t>16</t>
  </si>
  <si>
    <t>14.1</t>
  </si>
  <si>
    <t>Перекрёстка между видами деятельности (электроэнергия и тепловая энергия)</t>
  </si>
  <si>
    <t>14.2</t>
  </si>
  <si>
    <t>Перекрёстка между группами потребителей</t>
  </si>
  <si>
    <t>17</t>
  </si>
  <si>
    <t>18</t>
  </si>
  <si>
    <t>2.2.2</t>
  </si>
  <si>
    <t>2.2.3</t>
  </si>
  <si>
    <t>2.3.1</t>
  </si>
  <si>
    <t>2.3.2</t>
  </si>
  <si>
    <t>2.3.3</t>
  </si>
  <si>
    <t>2.4.1</t>
  </si>
  <si>
    <t>2.4.2</t>
  </si>
  <si>
    <t>2.4.3</t>
  </si>
  <si>
    <t>2.5.1</t>
  </si>
  <si>
    <t>2.5.2</t>
  </si>
  <si>
    <t>2.5.3</t>
  </si>
  <si>
    <t>Вид носителя</t>
  </si>
  <si>
    <t>Экономически обоснованный тариф, руб./Гкал</t>
  </si>
  <si>
    <t>Объём дотаций из всех уровней бюджета, всего, тыс.руб.</t>
  </si>
  <si>
    <t>Выполнение баланса перекрёстного субсидирования</t>
  </si>
  <si>
    <t>Объём перекрёстного субсидирования</t>
  </si>
  <si>
    <t>Комментарии к перекрёстному субсидированию</t>
  </si>
  <si>
    <t>Тариф, руб./Гкал</t>
  </si>
  <si>
    <t>Льготный тариф, руб./Гкал</t>
  </si>
  <si>
    <t>Одноставочный тариф, руб./Гкал</t>
  </si>
  <si>
    <t>Двухставочный тариф</t>
  </si>
  <si>
    <t>Объём дотаций из всех уровней бюджета, тыс.руб</t>
  </si>
  <si>
    <t>Удельная величина дотаций, руб./Гкал</t>
  </si>
  <si>
    <t>Объём дотаций из всех уровней бюджета, тыс.руб.</t>
  </si>
  <si>
    <t>Всего, тыс.руб.</t>
  </si>
  <si>
    <t>По группе организации-перепродавцы, тыс. руб</t>
  </si>
  <si>
    <t>По группе бюджетные потребители, тыс.руб.</t>
  </si>
  <si>
    <t>По группе потребителей население, тыс.руб.</t>
  </si>
  <si>
    <t>По группе потребителей прочие, тыс.руб.</t>
  </si>
  <si>
    <t>Перевод двухставочного тарифа в одноставочный тариф, руб.Гкал</t>
  </si>
  <si>
    <t>ставка за тепловую энергию руб./Гкал</t>
  </si>
  <si>
    <t>объём энергии, Гкал</t>
  </si>
  <si>
    <t xml:space="preserve">ставка за тепловую нагрузку (мощность) тыс.руб./Гкал/ч. в месяц </t>
  </si>
  <si>
    <t>величина тепловой нагрузки (мощности) Гкал/ч.</t>
  </si>
  <si>
    <t>3.1.1</t>
  </si>
  <si>
    <t>4.1.2</t>
  </si>
  <si>
    <t>4.1.1.0</t>
  </si>
  <si>
    <t>Поселок Софийск</t>
  </si>
  <si>
    <t>08614157</t>
  </si>
  <si>
    <t>Поселок Тырма</t>
  </si>
  <si>
    <t>08614162</t>
  </si>
  <si>
    <t>Поселок Чегдомын</t>
  </si>
  <si>
    <t>08614151</t>
  </si>
  <si>
    <t>Согдинское</t>
  </si>
  <si>
    <t>08614409</t>
  </si>
  <si>
    <t>Среднеургальское</t>
  </si>
  <si>
    <t>08614408</t>
  </si>
  <si>
    <t>Сулукское</t>
  </si>
  <si>
    <t>08614403</t>
  </si>
  <si>
    <t>Усть-Ургальское</t>
  </si>
  <si>
    <t>08614407</t>
  </si>
  <si>
    <t>Чекундинское</t>
  </si>
  <si>
    <t>08614410</t>
  </si>
  <si>
    <t>Шахтинское</t>
  </si>
  <si>
    <t>08614413</t>
  </si>
  <si>
    <t>Этыркэнское</t>
  </si>
  <si>
    <t>08614418</t>
  </si>
  <si>
    <t>Вяземский муниципальный район</t>
  </si>
  <si>
    <t>08617000</t>
  </si>
  <si>
    <t>Аванское</t>
  </si>
  <si>
    <t>08617437</t>
  </si>
  <si>
    <t>Венюковское</t>
  </si>
  <si>
    <t>08617404</t>
  </si>
  <si>
    <t>Видновское</t>
  </si>
  <si>
    <t>08617407</t>
  </si>
  <si>
    <t>Виноградовское</t>
  </si>
  <si>
    <t>08617410</t>
  </si>
  <si>
    <t>Глебовское</t>
  </si>
  <si>
    <t>08617412</t>
  </si>
  <si>
    <t>Город Вяземский</t>
  </si>
  <si>
    <t>08617101</t>
  </si>
  <si>
    <t>Дормидонтовское</t>
  </si>
  <si>
    <t>08617416</t>
  </si>
  <si>
    <t>Забайкальское</t>
  </si>
  <si>
    <t>08617418</t>
  </si>
  <si>
    <t>Капитоновское</t>
  </si>
  <si>
    <t>08617420</t>
  </si>
  <si>
    <t>Кедровское</t>
  </si>
  <si>
    <t>08617422</t>
  </si>
  <si>
    <t>Котиковское</t>
  </si>
  <si>
    <t>08617424</t>
  </si>
  <si>
    <t>Красицкое</t>
  </si>
  <si>
    <t>08617426</t>
  </si>
  <si>
    <t>Кукелевское</t>
  </si>
  <si>
    <t>08617428</t>
  </si>
  <si>
    <t>Медвеженское</t>
  </si>
  <si>
    <t>08617432</t>
  </si>
  <si>
    <t>Отрадненское</t>
  </si>
  <si>
    <t>08617438</t>
  </si>
  <si>
    <t>Поселок Дормидонтовка</t>
  </si>
  <si>
    <t>08617153</t>
  </si>
  <si>
    <t>Садовое</t>
  </si>
  <si>
    <t>08617439</t>
  </si>
  <si>
    <t>Шереметьевское</t>
  </si>
  <si>
    <t>08617440</t>
  </si>
  <si>
    <t>Шумнинское</t>
  </si>
  <si>
    <t>08617444</t>
  </si>
  <si>
    <t>08703000</t>
  </si>
  <si>
    <t>Город Бикин</t>
  </si>
  <si>
    <t>08706000</t>
  </si>
  <si>
    <t>Город Комсомольск-на-Амуре</t>
  </si>
  <si>
    <t>08709000</t>
  </si>
  <si>
    <t>Городской округ "Город Комсомольск-на-Амуре"</t>
  </si>
  <si>
    <t>Город Николаевск-на-Амуре</t>
  </si>
  <si>
    <t>08714000</t>
  </si>
  <si>
    <t>Город Советская Гавань</t>
  </si>
  <si>
    <t>08718000</t>
  </si>
  <si>
    <t>Город Хабаровск</t>
  </si>
  <si>
    <t>08701000</t>
  </si>
  <si>
    <t>Городской округ "Город Хабаровск"</t>
  </si>
  <si>
    <t>Комсомольский муниципальный район</t>
  </si>
  <si>
    <t>08620000</t>
  </si>
  <si>
    <t>Бельговское</t>
  </si>
  <si>
    <t>08620404</t>
  </si>
  <si>
    <t>Бокторское</t>
  </si>
  <si>
    <t>08620405</t>
  </si>
  <si>
    <t>Большекартельское</t>
  </si>
  <si>
    <t>08620407</t>
  </si>
  <si>
    <t>Верхнетамбовское</t>
  </si>
  <si>
    <t>08620410</t>
  </si>
  <si>
    <t>Гайтерское</t>
  </si>
  <si>
    <t>08620413</t>
  </si>
  <si>
    <t>Галичное</t>
  </si>
  <si>
    <t>08620467</t>
  </si>
  <si>
    <t>Даппинское</t>
  </si>
  <si>
    <t>08620419</t>
  </si>
  <si>
    <t>Кенайское</t>
  </si>
  <si>
    <t>08620430</t>
  </si>
  <si>
    <t>Межселенная территория</t>
  </si>
  <si>
    <t>Молодежное</t>
  </si>
  <si>
    <t>08620435</t>
  </si>
  <si>
    <t>Нижнетамбовское</t>
  </si>
  <si>
    <t>08620437</t>
  </si>
  <si>
    <t>Нижнехалбинское</t>
  </si>
  <si>
    <t>08620440</t>
  </si>
  <si>
    <t>Новоильиновское</t>
  </si>
  <si>
    <t>08620443</t>
  </si>
  <si>
    <t>Новомирское</t>
  </si>
  <si>
    <t>08620446</t>
  </si>
  <si>
    <t>Пиваньское</t>
  </si>
  <si>
    <t>08620447</t>
  </si>
  <si>
    <t>Поселок Гурское</t>
  </si>
  <si>
    <t>08620155</t>
  </si>
  <si>
    <t>Селихинское</t>
  </si>
  <si>
    <t>08620449</t>
  </si>
  <si>
    <t>Снежинское</t>
  </si>
  <si>
    <t>08620452</t>
  </si>
  <si>
    <t>Уктурское</t>
  </si>
  <si>
    <t>08620455</t>
  </si>
  <si>
    <t>Хурбинское</t>
  </si>
  <si>
    <t>08620461</t>
  </si>
  <si>
    <t>Эконьское</t>
  </si>
  <si>
    <t>08620476</t>
  </si>
  <si>
    <t>Ягодненское</t>
  </si>
  <si>
    <t>08620470</t>
  </si>
  <si>
    <t>Нанайский муниципальный район</t>
  </si>
  <si>
    <t>08628000</t>
  </si>
  <si>
    <t>Арсеньевское</t>
  </si>
  <si>
    <t>08628402</t>
  </si>
  <si>
    <t>Верхнеманоминское</t>
  </si>
  <si>
    <t>08628407</t>
  </si>
  <si>
    <t>Верхненергенское</t>
  </si>
  <si>
    <t>08628427</t>
  </si>
  <si>
    <t>Дадинское</t>
  </si>
  <si>
    <t>08628416</t>
  </si>
  <si>
    <t>Джаринское</t>
  </si>
  <si>
    <t>08628419</t>
  </si>
  <si>
    <t>Джонкинское</t>
  </si>
  <si>
    <t>08628422</t>
  </si>
  <si>
    <t>Дубовомысское</t>
  </si>
  <si>
    <t>08628423</t>
  </si>
  <si>
    <t>Иннокентьевское</t>
  </si>
  <si>
    <t>08628424</t>
  </si>
  <si>
    <t>Лидогинское</t>
  </si>
  <si>
    <t>08628425</t>
  </si>
  <si>
    <t>Маякское</t>
  </si>
  <si>
    <t>08628428</t>
  </si>
  <si>
    <t>Найхинское</t>
  </si>
  <si>
    <t>08628431</t>
  </si>
  <si>
    <t>Нижнеманоминское</t>
  </si>
  <si>
    <t>08628434</t>
  </si>
  <si>
    <t>Село Троицкое</t>
  </si>
  <si>
    <t>08628401</t>
  </si>
  <si>
    <t>Синдинское</t>
  </si>
  <si>
    <t>08628437</t>
  </si>
  <si>
    <t>Николаевский муниципальный район</t>
  </si>
  <si>
    <t>08631000</t>
  </si>
  <si>
    <t>08631404</t>
  </si>
  <si>
    <t>Коасносельское</t>
  </si>
  <si>
    <t>08631413</t>
  </si>
  <si>
    <t>Константиновское</t>
  </si>
  <si>
    <t>08631431</t>
  </si>
  <si>
    <t>Нигирское</t>
  </si>
  <si>
    <t>08631419</t>
  </si>
  <si>
    <t>Нижнепронгенское</t>
  </si>
  <si>
    <t>08631422</t>
  </si>
  <si>
    <t>Озерпахское</t>
  </si>
  <si>
    <t>08631425</t>
  </si>
  <si>
    <t>Орель-Члянское</t>
  </si>
  <si>
    <t>08631428</t>
  </si>
  <si>
    <t>Оремифское</t>
  </si>
  <si>
    <t>08631437</t>
  </si>
  <si>
    <t>Поселок Лазарев</t>
  </si>
  <si>
    <t>08631154</t>
  </si>
  <si>
    <t>Поселок Маго</t>
  </si>
  <si>
    <t>08631157</t>
  </si>
  <si>
    <t>Поселок Многовершинный</t>
  </si>
  <si>
    <t>08631158</t>
  </si>
  <si>
    <t>Пуирское</t>
  </si>
  <si>
    <t>08631434</t>
  </si>
  <si>
    <t>Члянское</t>
  </si>
  <si>
    <t>08631410</t>
  </si>
  <si>
    <t>Охотский муниципальный район</t>
  </si>
  <si>
    <t>08634000</t>
  </si>
  <si>
    <t>Аркинское</t>
  </si>
  <si>
    <t>08634402</t>
  </si>
  <si>
    <t>Булгинское</t>
  </si>
  <si>
    <t>08634404</t>
  </si>
  <si>
    <t>Вострецовское</t>
  </si>
  <si>
    <t>08634407</t>
  </si>
  <si>
    <t>Инское</t>
  </si>
  <si>
    <t>08634410</t>
  </si>
  <si>
    <t>Морское</t>
  </si>
  <si>
    <t>08634412</t>
  </si>
  <si>
    <t>Новоустьинское</t>
  </si>
  <si>
    <t>08634414</t>
  </si>
  <si>
    <t>Поселок Охотск</t>
  </si>
  <si>
    <t>08634151</t>
  </si>
  <si>
    <t>Резидентское</t>
  </si>
  <si>
    <t>08634416</t>
  </si>
  <si>
    <t>Советско-Гаванский муниципальный район</t>
  </si>
  <si>
    <t>08642000</t>
  </si>
  <si>
    <t>Гаткинское</t>
  </si>
  <si>
    <t>08642402</t>
  </si>
  <si>
    <t>Поселок Заветы Ильича</t>
  </si>
  <si>
    <t>08642159</t>
  </si>
  <si>
    <t>Поселок Лососина</t>
  </si>
  <si>
    <t>08642162</t>
  </si>
  <si>
    <t>Поселок Майский</t>
  </si>
  <si>
    <t>08642165</t>
  </si>
  <si>
    <t>Солнечный муниципальный район</t>
  </si>
  <si>
    <t>08644000</t>
  </si>
  <si>
    <t>Амгуньское</t>
  </si>
  <si>
    <t>08644402</t>
  </si>
  <si>
    <t>Березовское</t>
  </si>
  <si>
    <t>08644404</t>
  </si>
  <si>
    <t>Горинское</t>
  </si>
  <si>
    <t>08644406</t>
  </si>
  <si>
    <t>Джамкуское</t>
  </si>
  <si>
    <t>08644408</t>
  </si>
  <si>
    <t>Дукинское</t>
  </si>
  <si>
    <t>08644410</t>
  </si>
  <si>
    <t>Кондонское</t>
  </si>
  <si>
    <t>08644416</t>
  </si>
  <si>
    <t>Поселок Горный</t>
  </si>
  <si>
    <t>08644153</t>
  </si>
  <si>
    <t>Поселок Солнечный</t>
  </si>
  <si>
    <t>08644151</t>
  </si>
  <si>
    <t>Харпичанское</t>
  </si>
  <si>
    <t>08644425</t>
  </si>
  <si>
    <t>Хурмулинское</t>
  </si>
  <si>
    <t>08644428</t>
  </si>
  <si>
    <t>Эворонское</t>
  </si>
  <si>
    <t>08644430</t>
  </si>
  <si>
    <t>Тугуро-Чумиканский муниципальный район</t>
  </si>
  <si>
    <t>08646000</t>
  </si>
  <si>
    <t>Алгазеинское</t>
  </si>
  <si>
    <t>08646402</t>
  </si>
  <si>
    <t>Сельское поселение "Село Чумикан"</t>
  </si>
  <si>
    <t>08646400</t>
  </si>
  <si>
    <t>Торомское</t>
  </si>
  <si>
    <t>08646404</t>
  </si>
  <si>
    <t>Тугурское</t>
  </si>
  <si>
    <t>08646407</t>
  </si>
  <si>
    <t>Удское</t>
  </si>
  <si>
    <t>08646410</t>
  </si>
  <si>
    <t>Ульчский муниципальный район</t>
  </si>
  <si>
    <t>08650000</t>
  </si>
  <si>
    <t>Быстринское</t>
  </si>
  <si>
    <t>08650409</t>
  </si>
  <si>
    <t>Де-Кастринское</t>
  </si>
  <si>
    <t>08650413</t>
  </si>
  <si>
    <t>Дудинское</t>
  </si>
  <si>
    <t>08650416</t>
  </si>
  <si>
    <t>Калиновское</t>
  </si>
  <si>
    <t>08650419</t>
  </si>
  <si>
    <t>Киселевское</t>
  </si>
  <si>
    <t>08650422</t>
  </si>
  <si>
    <t>Мариинское</t>
  </si>
  <si>
    <t>08650425</t>
  </si>
  <si>
    <t>Нижнегаванское</t>
  </si>
  <si>
    <t>08650428</t>
  </si>
  <si>
    <t>Савинское</t>
  </si>
  <si>
    <t>08650431</t>
  </si>
  <si>
    <t>Санниковское</t>
  </si>
  <si>
    <t>08650434</t>
  </si>
  <si>
    <t>Село Богородское</t>
  </si>
  <si>
    <t>08650401</t>
  </si>
  <si>
    <t>Село Булава</t>
  </si>
  <si>
    <t>08650407</t>
  </si>
  <si>
    <t>Солонцовское</t>
  </si>
  <si>
    <t>08650437</t>
  </si>
  <si>
    <t>Софийское</t>
  </si>
  <si>
    <t>08650440</t>
  </si>
  <si>
    <t>Сусанинское</t>
  </si>
  <si>
    <t>08650443</t>
  </si>
  <si>
    <t>Тахтинское</t>
  </si>
  <si>
    <t>08650449</t>
  </si>
  <si>
    <t>Тырское</t>
  </si>
  <si>
    <t>08650452</t>
  </si>
  <si>
    <t>Ухтинское</t>
  </si>
  <si>
    <t>08650455</t>
  </si>
  <si>
    <t>Циммермановское</t>
  </si>
  <si>
    <t>08650458</t>
  </si>
  <si>
    <t>Хабаровский муниципальный район</t>
  </si>
  <si>
    <t>08655000</t>
  </si>
  <si>
    <t>Анастасьевское</t>
  </si>
  <si>
    <t>08655402</t>
  </si>
  <si>
    <t>Бычихинское</t>
  </si>
  <si>
    <t>08655407</t>
  </si>
  <si>
    <t>Восточное</t>
  </si>
  <si>
    <t>08655476</t>
  </si>
  <si>
    <t>Галкинское</t>
  </si>
  <si>
    <t>08655412</t>
  </si>
  <si>
    <t>Дружбинское</t>
  </si>
  <si>
    <t>08655415</t>
  </si>
  <si>
    <t>Елабужское</t>
  </si>
  <si>
    <t>08655416</t>
  </si>
  <si>
    <t>Ильинское</t>
  </si>
  <si>
    <t>08655419</t>
  </si>
  <si>
    <t>Казакевичевское</t>
  </si>
  <si>
    <t>08655422</t>
  </si>
  <si>
    <t>Князе-Волконское</t>
  </si>
  <si>
    <t>08655425</t>
  </si>
  <si>
    <t>Корсаковское</t>
  </si>
  <si>
    <t>08655431</t>
  </si>
  <si>
    <t>Куканское</t>
  </si>
  <si>
    <t>08655434</t>
  </si>
  <si>
    <t>Малышевское</t>
  </si>
  <si>
    <t>08655437</t>
  </si>
  <si>
    <t>Мирненское</t>
  </si>
  <si>
    <t>08655440</t>
  </si>
  <si>
    <t>Мичуринское</t>
  </si>
  <si>
    <t>08655443</t>
  </si>
  <si>
    <t>Наумовское</t>
  </si>
  <si>
    <t>08655445</t>
  </si>
  <si>
    <t>Некрасовское</t>
  </si>
  <si>
    <t>08655448</t>
  </si>
  <si>
    <t>Новокуровское</t>
  </si>
  <si>
    <t>08655452</t>
  </si>
  <si>
    <t>Осиновореченское</t>
  </si>
  <si>
    <t>08655453</t>
  </si>
  <si>
    <t>Петропавловское</t>
  </si>
  <si>
    <t>08655455</t>
  </si>
  <si>
    <t>Побединское</t>
  </si>
  <si>
    <t>08655458</t>
  </si>
  <si>
    <t>Поселок Корфовский</t>
  </si>
  <si>
    <t>08655155</t>
  </si>
  <si>
    <t>Ракитненское</t>
  </si>
  <si>
    <t>08655459</t>
  </si>
  <si>
    <t>Сергеевское</t>
  </si>
  <si>
    <t>08655460</t>
  </si>
  <si>
    <t>Сикачи-Алянское</t>
  </si>
  <si>
    <t>08655462</t>
  </si>
  <si>
    <t>Тополевское</t>
  </si>
  <si>
    <t>08655465</t>
  </si>
  <si>
    <t>Улика-Национальное</t>
  </si>
  <si>
    <t>08655467</t>
  </si>
  <si>
    <t>Челнинское</t>
  </si>
  <si>
    <t>08655473</t>
  </si>
  <si>
    <t>им. Лазо муниципальный район</t>
  </si>
  <si>
    <t>08624000</t>
  </si>
  <si>
    <t>Бичевское</t>
  </si>
  <si>
    <t>08624402</t>
  </si>
  <si>
    <t>Георгиевское</t>
  </si>
  <si>
    <t>08624404</t>
  </si>
  <si>
    <t>Долминское</t>
  </si>
  <si>
    <t>08624410</t>
  </si>
  <si>
    <t>Дурминское</t>
  </si>
  <si>
    <t>08624413</t>
  </si>
  <si>
    <t>Золотинское</t>
  </si>
  <si>
    <t>08624416</t>
  </si>
  <si>
    <t>Кондратьевское</t>
  </si>
  <si>
    <t>08624422</t>
  </si>
  <si>
    <t>Кругликовское</t>
  </si>
  <si>
    <t>08624425</t>
  </si>
  <si>
    <t>Марусинское</t>
  </si>
  <si>
    <t>08624428</t>
  </si>
  <si>
    <t>Могилевское</t>
  </si>
  <si>
    <t>08624431</t>
  </si>
  <si>
    <t>Оборское</t>
  </si>
  <si>
    <t>08624434</t>
  </si>
  <si>
    <t>Полетнинское</t>
  </si>
  <si>
    <t>08624437</t>
  </si>
  <si>
    <t>Поселок Мухен</t>
  </si>
  <si>
    <t>08624154</t>
  </si>
  <si>
    <t>Поселок Переяславка</t>
  </si>
  <si>
    <t>08624151</t>
  </si>
  <si>
    <t>Поселок Хор</t>
  </si>
  <si>
    <t>08624157</t>
  </si>
  <si>
    <t>Святогорское</t>
  </si>
  <si>
    <t>08624440</t>
  </si>
  <si>
    <t>Сидиминское</t>
  </si>
  <si>
    <t>08624443</t>
  </si>
  <si>
    <t>Ситинское</t>
  </si>
  <si>
    <t>08624446</t>
  </si>
  <si>
    <t>Среднехорское</t>
  </si>
  <si>
    <t>08624449</t>
  </si>
  <si>
    <t>Сукпайское</t>
  </si>
  <si>
    <t>08624450</t>
  </si>
  <si>
    <t>Черняевское</t>
  </si>
  <si>
    <t>08624452</t>
  </si>
  <si>
    <t>села Гвасюги</t>
  </si>
  <si>
    <t>08624407</t>
  </si>
  <si>
    <t>им. Полины Осипенко муниципальный район</t>
  </si>
  <si>
    <t>08637000</t>
  </si>
  <si>
    <t>Бриаканское</t>
  </si>
  <si>
    <t>08637402</t>
  </si>
  <si>
    <t>Владимировское</t>
  </si>
  <si>
    <t>08637404</t>
  </si>
  <si>
    <t>Удинское</t>
  </si>
  <si>
    <t>08637416</t>
  </si>
  <si>
    <t>Херпучинское</t>
  </si>
  <si>
    <t>08637419</t>
  </si>
  <si>
    <t>им. Полины Осипенко</t>
  </si>
  <si>
    <t>08637406</t>
  </si>
  <si>
    <t>MO_LIST_2</t>
  </si>
  <si>
    <t>MO_LIST_3</t>
  </si>
  <si>
    <t>MO_LIST_4</t>
  </si>
  <si>
    <t>MO_LIST_5</t>
  </si>
  <si>
    <t>MO_LIST_6</t>
  </si>
  <si>
    <t>MO_LIST_7</t>
  </si>
  <si>
    <t>MO_LIST_8</t>
  </si>
  <si>
    <t>MO_LIST_9</t>
  </si>
  <si>
    <t>MO_LIST_10</t>
  </si>
  <si>
    <t>MO_LIST_11</t>
  </si>
  <si>
    <t>MO_LIST_12</t>
  </si>
  <si>
    <t>MO_LIST_13</t>
  </si>
  <si>
    <t>MO_LIST_14</t>
  </si>
  <si>
    <t>MO_LIST_15</t>
  </si>
  <si>
    <t>MO_LIST_16</t>
  </si>
  <si>
    <t>MO_LIST_17</t>
  </si>
  <si>
    <t>MO_LIST_18</t>
  </si>
  <si>
    <t>MO_LIST_19</t>
  </si>
  <si>
    <t>MO_LIST_20</t>
  </si>
  <si>
    <t>MO_LIST_21</t>
  </si>
  <si>
    <t>MO_LIST_22</t>
  </si>
  <si>
    <t>MO_LIST_23</t>
  </si>
  <si>
    <t>MO_LIST_24</t>
  </si>
  <si>
    <t>МР</t>
  </si>
  <si>
    <t>МО</t>
  </si>
  <si>
    <t>МО_ОКТМО</t>
  </si>
  <si>
    <t>ИМЯ ДИАПАЗОНА</t>
  </si>
  <si>
    <t>Дата последнего обновления реестра МР/МО/ОКТМО: 30.05.2013 9:46:43</t>
  </si>
  <si>
    <t>27335784</t>
  </si>
  <si>
    <t>ОАО "Славянка" филиал "Комсомольский"</t>
  </si>
  <si>
    <t>7702707386</t>
  </si>
  <si>
    <t>270343002</t>
  </si>
  <si>
    <t>Оказание услуг в сфере очистки сточных вод</t>
  </si>
  <si>
    <t>27364608</t>
  </si>
  <si>
    <t>ООО "ЖКХ Вознесенское"</t>
  </si>
  <si>
    <t>2706009898</t>
  </si>
  <si>
    <t>270601001</t>
  </si>
  <si>
    <t>26322968</t>
  </si>
  <si>
    <t>ОАО "ДГК" филиал "Хабаровская генерация"</t>
  </si>
  <si>
    <t>1434031363</t>
  </si>
  <si>
    <t>272102001</t>
  </si>
  <si>
    <t>26508105</t>
  </si>
  <si>
    <t>ОАО "ДГК" филиал "Хабаровская теплосетевая компания"</t>
  </si>
  <si>
    <t>272302001</t>
  </si>
  <si>
    <t/>
  </si>
  <si>
    <t>26355244</t>
  </si>
  <si>
    <t>ООО "Гарант"</t>
  </si>
  <si>
    <t>2706027368</t>
  </si>
  <si>
    <t>26512608</t>
  </si>
  <si>
    <t>ООО "Станция механической очистки"</t>
  </si>
  <si>
    <t>2706027664</t>
  </si>
  <si>
    <t>27356228</t>
  </si>
  <si>
    <t>ОАО "Славянка" Хабаровский филиал</t>
  </si>
  <si>
    <t>272343001</t>
  </si>
  <si>
    <t>26355240</t>
  </si>
  <si>
    <t>ООО "ЖКХ Литовко"</t>
  </si>
  <si>
    <t>2706026100</t>
  </si>
  <si>
    <t>27947312</t>
  </si>
  <si>
    <t>ООО "Оазис"</t>
  </si>
  <si>
    <t>2706030709</t>
  </si>
  <si>
    <t>27365783</t>
  </si>
  <si>
    <t>ООО "Хулди"</t>
  </si>
  <si>
    <t>2706014961</t>
  </si>
  <si>
    <t>26512678</t>
  </si>
  <si>
    <t>МУП "Вектор Плюс"</t>
  </si>
  <si>
    <t>2706030191</t>
  </si>
  <si>
    <t>27569992</t>
  </si>
  <si>
    <t>Дальневосточная дирекция по тепловодоснабжению- структурное подразделение центральной дирекции по тепловодоснабжению филиала ОАО "РЖД"</t>
  </si>
  <si>
    <t>7708503727</t>
  </si>
  <si>
    <t>272445024</t>
  </si>
  <si>
    <t>26512635</t>
  </si>
  <si>
    <t>Дирекция по тепловодоснабжению - структурное подразделение ДВЖД - филиала  ОАО "РЖД"</t>
  </si>
  <si>
    <t>272445002</t>
  </si>
  <si>
    <t>26512602</t>
  </si>
  <si>
    <t>ООО "Водо-канализационное хозяйство"</t>
  </si>
  <si>
    <t>2706026692</t>
  </si>
  <si>
    <t>26490498</t>
  </si>
  <si>
    <t>ММУП "Коммунальник"</t>
  </si>
  <si>
    <t>2708001622</t>
  </si>
  <si>
    <t>270801001</t>
  </si>
  <si>
    <t>26441924</t>
  </si>
  <si>
    <t>ОАО "Ростелеком"</t>
  </si>
  <si>
    <t>7707049388</t>
  </si>
  <si>
    <t>272131001</t>
  </si>
  <si>
    <t>26451534</t>
  </si>
  <si>
    <t>ООО "Теплосервис"</t>
  </si>
  <si>
    <t>2709011937</t>
  </si>
  <si>
    <t>270901001</t>
  </si>
  <si>
    <t>26322960</t>
  </si>
  <si>
    <t>ОАО "Ванинский морской торговый порт"</t>
  </si>
  <si>
    <t>2709001590</t>
  </si>
  <si>
    <t>997650001</t>
  </si>
  <si>
    <t>26382169</t>
  </si>
  <si>
    <t>ООО "Янтарь"</t>
  </si>
  <si>
    <t>2709012673</t>
  </si>
  <si>
    <t>26437603</t>
  </si>
  <si>
    <t>ООО "Услуга"</t>
  </si>
  <si>
    <t>2709012835</t>
  </si>
  <si>
    <t>27747587</t>
  </si>
  <si>
    <t>ООО "Август ПЛЮС"</t>
  </si>
  <si>
    <t>2709013229</t>
  </si>
  <si>
    <t>27568068</t>
  </si>
  <si>
    <t>ООО "Бриз-ДВ"</t>
  </si>
  <si>
    <t>2709013324</t>
  </si>
  <si>
    <t>26800394</t>
  </si>
  <si>
    <t>ООО "Интеграл"</t>
  </si>
  <si>
    <t>2709013564</t>
  </si>
  <si>
    <t>27568058</t>
  </si>
  <si>
    <t>ООО "Комсервис 2"</t>
  </si>
  <si>
    <t>2710015855</t>
  </si>
  <si>
    <t>271001001</t>
  </si>
  <si>
    <t>26648371</t>
  </si>
  <si>
    <t>ООО "Комсервис II"</t>
  </si>
  <si>
    <t>2710015502</t>
  </si>
  <si>
    <t>27568054</t>
  </si>
  <si>
    <t>ООО "Коммунальщик"</t>
  </si>
  <si>
    <t>2710015848</t>
  </si>
  <si>
    <t>26648374</t>
  </si>
  <si>
    <t>ООО "Коммунальщик-2"</t>
  </si>
  <si>
    <t>2710015510</t>
  </si>
  <si>
    <t>26604498</t>
  </si>
  <si>
    <t>ООО "Феникс"</t>
  </si>
  <si>
    <t>2711007889</t>
  </si>
  <si>
    <t>271101001</t>
  </si>
  <si>
    <t>26355255</t>
  </si>
  <si>
    <t>Вяземский лесхозтехникум им. Н.В. Усенко</t>
  </si>
  <si>
    <t>2711000298</t>
  </si>
  <si>
    <t>26604288</t>
  </si>
  <si>
    <t>ООО " Вяземский Водоканал"</t>
  </si>
  <si>
    <t>2711007913</t>
  </si>
  <si>
    <t>26593862</t>
  </si>
  <si>
    <t>ООО "Прогресс"</t>
  </si>
  <si>
    <t>2711007896</t>
  </si>
  <si>
    <t>26437859</t>
  </si>
  <si>
    <t>ООО УПП "Городской коммунальщик"</t>
  </si>
  <si>
    <t>2711007550</t>
  </si>
  <si>
    <t>26437992</t>
  </si>
  <si>
    <t>ООО "Водоканал-Транзит"</t>
  </si>
  <si>
    <t>2707005060</t>
  </si>
  <si>
    <t>270701001</t>
  </si>
  <si>
    <t>26451300</t>
  </si>
  <si>
    <t>МУП "Горводоканал" г. Комсомольска-на-Амуре</t>
  </si>
  <si>
    <t>2727080370</t>
  </si>
  <si>
    <t>270301001</t>
  </si>
  <si>
    <t>26355230</t>
  </si>
  <si>
    <t>ОАО "Комсомольское-на-Амуре авиационное производственное объединение им. Ю.А. Гагарина"</t>
  </si>
  <si>
    <t>2703019760</t>
  </si>
  <si>
    <t>997850001</t>
  </si>
  <si>
    <t>26322937</t>
  </si>
  <si>
    <t>ОАО"Амурметалл"</t>
  </si>
  <si>
    <t>2703000858</t>
  </si>
  <si>
    <t>26512633</t>
  </si>
  <si>
    <t>ООО"РН-Комсомольский НПЗ"</t>
  </si>
  <si>
    <t>2703032881</t>
  </si>
  <si>
    <t>28141640</t>
  </si>
  <si>
    <t>Филиал ОАО "Компания "Сухой" "КнААЗ им. Ю.А. Гагарина"</t>
  </si>
  <si>
    <t>7740000090</t>
  </si>
  <si>
    <t>270303001</t>
  </si>
  <si>
    <t>26629457</t>
  </si>
  <si>
    <t>ООО "Вираж"</t>
  </si>
  <si>
    <t>2705093505</t>
  </si>
  <si>
    <t>270501001</t>
  </si>
  <si>
    <t>26512651</t>
  </si>
  <si>
    <t>КГОУ НПО "Профессиональное училище № 40"</t>
  </si>
  <si>
    <t>2724022676</t>
  </si>
  <si>
    <t>272401001</t>
  </si>
  <si>
    <t>26451298</t>
  </si>
  <si>
    <t>МУП г. Хабаровска "Водоканал"</t>
  </si>
  <si>
    <t>2700001300</t>
  </si>
  <si>
    <t>272150001</t>
  </si>
  <si>
    <t>26448699</t>
  </si>
  <si>
    <t>ОАО "Хабаровский АЭРОПОРТ"</t>
  </si>
  <si>
    <t>2724083654</t>
  </si>
  <si>
    <t>26355300</t>
  </si>
  <si>
    <t>ОАО Хабаровский нефтеперерабатывающий завод</t>
  </si>
  <si>
    <t>2722010040</t>
  </si>
  <si>
    <t>272201001</t>
  </si>
  <si>
    <t>26355257</t>
  </si>
  <si>
    <t>ООО "Жилищно-коммунальный участок № 2"</t>
  </si>
  <si>
    <t>2712007320</t>
  </si>
  <si>
    <t>271201001</t>
  </si>
  <si>
    <t>26448134</t>
  </si>
  <si>
    <t>ООО "Шел ТЭК"</t>
  </si>
  <si>
    <t>2712014134</t>
  </si>
  <si>
    <t>26448141</t>
  </si>
  <si>
    <t>ООО "ТЭК с. Хурба"</t>
  </si>
  <si>
    <t>2712008317</t>
  </si>
  <si>
    <t>26322942</t>
  </si>
  <si>
    <t>ООО "Жил ТЭК"</t>
  </si>
  <si>
    <t>2712014335</t>
  </si>
  <si>
    <t>26322945</t>
  </si>
  <si>
    <t>ОАО "Комсомольский - на - Амуре аэропорт"</t>
  </si>
  <si>
    <t>2712007419</t>
  </si>
  <si>
    <t>26322952</t>
  </si>
  <si>
    <t>МУП  ТЭК  Нанайского района</t>
  </si>
  <si>
    <t>2714008954</t>
  </si>
  <si>
    <t>271401001</t>
  </si>
  <si>
    <t>27546636</t>
  </si>
  <si>
    <t>ООО "МЖКХ Нанайского муниципального района"</t>
  </si>
  <si>
    <t>2714010382</t>
  </si>
  <si>
    <t>26441945</t>
  </si>
  <si>
    <t>Анастасьевская КЭЧ</t>
  </si>
  <si>
    <t>2720006112</t>
  </si>
  <si>
    <t>272001001</t>
  </si>
  <si>
    <t>26437970</t>
  </si>
  <si>
    <t>МУП коммунальных услуг Нанайского муниципального района</t>
  </si>
  <si>
    <t>2714010061</t>
  </si>
  <si>
    <t>26620103</t>
  </si>
  <si>
    <t>ООО "Жилищно-коммунальное хозяйство Теплоснаб"</t>
  </si>
  <si>
    <t>2705099377</t>
  </si>
  <si>
    <t>26759867</t>
  </si>
  <si>
    <t>ООО "ЖКХ  Константиновка"</t>
  </si>
  <si>
    <t>2705093858</t>
  </si>
  <si>
    <t>27946038</t>
  </si>
  <si>
    <t>ООО "Неон-Плюс"</t>
  </si>
  <si>
    <t>2705091226</t>
  </si>
  <si>
    <t>27364662</t>
  </si>
  <si>
    <t>2705093992</t>
  </si>
  <si>
    <t>26355247</t>
  </si>
  <si>
    <t>ООО "Тепло-Маго"</t>
  </si>
  <si>
    <t>2705092276</t>
  </si>
  <si>
    <t>26620299</t>
  </si>
  <si>
    <t>ООО "ЖКХ Многовершинный"</t>
  </si>
  <si>
    <t>2705093713</t>
  </si>
  <si>
    <t>26759809</t>
  </si>
  <si>
    <t>ООО "Городской водоканал"</t>
  </si>
  <si>
    <t>2704020092</t>
  </si>
  <si>
    <t>270401001</t>
  </si>
  <si>
    <t>26437469</t>
  </si>
  <si>
    <t>428 Отделение морской инженерной службы Минобороны России</t>
  </si>
  <si>
    <t>2709007120</t>
  </si>
  <si>
    <t>27371605</t>
  </si>
  <si>
    <t>ООО "Жилсервис"</t>
  </si>
  <si>
    <t>2704020342</t>
  </si>
  <si>
    <t>27718564</t>
  </si>
  <si>
    <t>ООО "Сетевик"</t>
  </si>
  <si>
    <t>2704020977</t>
  </si>
  <si>
    <t>28043001</t>
  </si>
  <si>
    <t>ООО "Союз"</t>
  </si>
  <si>
    <t>2704021730</t>
  </si>
  <si>
    <t>27568024</t>
  </si>
  <si>
    <t>ООО "Ресурс"</t>
  </si>
  <si>
    <t>2717017989</t>
  </si>
  <si>
    <t>271701001</t>
  </si>
  <si>
    <t>28018694</t>
  </si>
  <si>
    <t>ООО "Ресурс-ДВ"</t>
  </si>
  <si>
    <t>2717001139</t>
  </si>
  <si>
    <t>26604526</t>
  </si>
  <si>
    <t>ООО "Теплоэнергетическое предприятие 1"</t>
  </si>
  <si>
    <t>2717017770</t>
  </si>
  <si>
    <t>26318734</t>
  </si>
  <si>
    <t>МУП УМР "Циммермановский ТЭК"</t>
  </si>
  <si>
    <t>2719008041</t>
  </si>
  <si>
    <t>271901001</t>
  </si>
  <si>
    <t>27365528</t>
  </si>
  <si>
    <t>МУП УМР "Циммермановское КХ"</t>
  </si>
  <si>
    <t>2719001712</t>
  </si>
  <si>
    <t>27364716</t>
  </si>
  <si>
    <t>МУП "ЖКХ Де-Кастринского сельского поселения"</t>
  </si>
  <si>
    <t>2719001198</t>
  </si>
  <si>
    <t>26449692</t>
  </si>
  <si>
    <t>ООО "Управляющая компания"</t>
  </si>
  <si>
    <t>2719009038</t>
  </si>
  <si>
    <t>26620424</t>
  </si>
  <si>
    <t>МУП СП "Село Булава" Булавинское ТЭП"</t>
  </si>
  <si>
    <t>2719000268</t>
  </si>
  <si>
    <t>26449917</t>
  </si>
  <si>
    <t>МУП "Софийский ТЭК"</t>
  </si>
  <si>
    <t>2719008933</t>
  </si>
  <si>
    <t>26449942</t>
  </si>
  <si>
    <t>МУП "Сусанинское ЖКХ"</t>
  </si>
  <si>
    <t>2719008877</t>
  </si>
  <si>
    <t>26355292</t>
  </si>
  <si>
    <t>ООО "Межмуниципальное общество "Уссурийское"</t>
  </si>
  <si>
    <t>2720033564</t>
  </si>
  <si>
    <t>26451318</t>
  </si>
  <si>
    <t>ООО "НИК"</t>
  </si>
  <si>
    <t>2720035219</t>
  </si>
  <si>
    <t>26441951</t>
  </si>
  <si>
    <t>ООО "Водоканал "Восточное"</t>
  </si>
  <si>
    <t>2720033910</t>
  </si>
  <si>
    <t>26607487</t>
  </si>
  <si>
    <t>ООО "ЖКУ "ЭКОВОСТОК"</t>
  </si>
  <si>
    <t>2720040071</t>
  </si>
  <si>
    <t>26355298</t>
  </si>
  <si>
    <t>Управление ФСБ</t>
  </si>
  <si>
    <t>2721010351</t>
  </si>
  <si>
    <t>272101001</t>
  </si>
  <si>
    <t>26441788</t>
  </si>
  <si>
    <t>ООО "Галкино"</t>
  </si>
  <si>
    <t>2720036928</t>
  </si>
  <si>
    <t>26512673</t>
  </si>
  <si>
    <t>Чернореченская КЭЧ</t>
  </si>
  <si>
    <t>2724023060</t>
  </si>
  <si>
    <t>27986312</t>
  </si>
  <si>
    <t>ООО "ПП-Комсети"</t>
  </si>
  <si>
    <t>2720041759</t>
  </si>
  <si>
    <t>26413034</t>
  </si>
  <si>
    <t>ООО "Коммунальные сети Ракитнинское"</t>
  </si>
  <si>
    <t>2720029938</t>
  </si>
  <si>
    <t>26355289</t>
  </si>
  <si>
    <t>Князе-Волконская КЭЧ</t>
  </si>
  <si>
    <t>2720015340</t>
  </si>
  <si>
    <t>26607481</t>
  </si>
  <si>
    <t>ООО "Краснореченское"</t>
  </si>
  <si>
    <t>2720039911</t>
  </si>
  <si>
    <t>27589585</t>
  </si>
  <si>
    <t>ООО "ПК "Краснореченское"</t>
  </si>
  <si>
    <t>2720043989</t>
  </si>
  <si>
    <t>26441835</t>
  </si>
  <si>
    <t>ООО "Малышевское"</t>
  </si>
  <si>
    <t>2720036780</t>
  </si>
  <si>
    <t>26607479</t>
  </si>
  <si>
    <t>Войсковая часть 25625</t>
  </si>
  <si>
    <t>2720040610</t>
  </si>
  <si>
    <t>26451328</t>
  </si>
  <si>
    <t>ООО "Экосервис"</t>
  </si>
  <si>
    <t>2720034896</t>
  </si>
  <si>
    <t>26441839</t>
  </si>
  <si>
    <t>ООО "МО "Осиновореченское"</t>
  </si>
  <si>
    <t>2720035258</t>
  </si>
  <si>
    <t>27335574</t>
  </si>
  <si>
    <t>ООО "Энерго-Сервис"</t>
  </si>
  <si>
    <t>2720044020</t>
  </si>
  <si>
    <t>27569961</t>
  </si>
  <si>
    <t>ООО "Альтернатива"</t>
  </si>
  <si>
    <t>2720038668</t>
  </si>
  <si>
    <t>26451316</t>
  </si>
  <si>
    <t>ООО "Истстрой-сервис"</t>
  </si>
  <si>
    <t>2720036501</t>
  </si>
  <si>
    <t>26607485</t>
  </si>
  <si>
    <t>ООО МО "Гарант"</t>
  </si>
  <si>
    <t>2720041766</t>
  </si>
  <si>
    <t>26646176</t>
  </si>
  <si>
    <t>ООО "Сергеевка"</t>
  </si>
  <si>
    <t>2720042706</t>
  </si>
  <si>
    <t>26413057</t>
  </si>
  <si>
    <t>ООО "Коммунальные сети"</t>
  </si>
  <si>
    <t>2720034102</t>
  </si>
  <si>
    <t>26441633</t>
  </si>
  <si>
    <t>ООО "Бичевской теплоэнергетик"</t>
  </si>
  <si>
    <t>2713015878</t>
  </si>
  <si>
    <t>271301001</t>
  </si>
  <si>
    <t>26441565</t>
  </si>
  <si>
    <t>ООО "Георгиевский коммунальщик"</t>
  </si>
  <si>
    <t>2713015719</t>
  </si>
  <si>
    <t>26355258</t>
  </si>
  <si>
    <t>МУП "Мухенский теплоэнергетик"</t>
  </si>
  <si>
    <t>2713013158</t>
  </si>
  <si>
    <t>26413088</t>
  </si>
  <si>
    <t>МУП "Хорская ТЭЦ"</t>
  </si>
  <si>
    <t>2713013341</t>
  </si>
  <si>
    <t>26438185</t>
  </si>
  <si>
    <t>ООО "Теплотехник"</t>
  </si>
  <si>
    <t>2713015571</t>
  </si>
  <si>
    <t>27835832</t>
  </si>
  <si>
    <t>ООО "Водоканал района имени Лазо Хабаровского края"</t>
  </si>
  <si>
    <t>2721145172</t>
  </si>
  <si>
    <t>26441619</t>
  </si>
  <si>
    <t>ООО "Энергетик" п. Хор</t>
  </si>
  <si>
    <t>2713013020</t>
  </si>
  <si>
    <t>26441637</t>
  </si>
  <si>
    <t>ООО "Святогорский коммунальщик"</t>
  </si>
  <si>
    <t>2713015814</t>
  </si>
  <si>
    <t>26441541</t>
  </si>
  <si>
    <t>ООО "Теплосеть" Ситинского сельского поселения</t>
  </si>
  <si>
    <t>2713015532</t>
  </si>
  <si>
    <t>28043404</t>
  </si>
  <si>
    <t>ООО "Сукпайский теплотехник"</t>
  </si>
  <si>
    <t>2713017339</t>
  </si>
  <si>
    <t>26438398</t>
  </si>
  <si>
    <t>ООО "Черняевский теплотехник"</t>
  </si>
  <si>
    <t>2713015518</t>
  </si>
  <si>
    <t>№</t>
  </si>
  <si>
    <t>НСРФ</t>
  </si>
  <si>
    <t>ОКТМР</t>
  </si>
  <si>
    <t>Наименование организации</t>
  </si>
  <si>
    <t>Вид деятельности</t>
  </si>
  <si>
    <t>Дата последнего обновления реестра организаций: 30.05.2013 9:46:49</t>
  </si>
  <si>
    <t>экономически обоснованные расходы, понесённые за отчётные периоды, не учтённые при регулировании</t>
  </si>
  <si>
    <t>выпадающие доходы за отчётные периоды регулирования, связанные с изменением объёмов реализации услуг</t>
  </si>
  <si>
    <t>Перекрёстное субсидирование</t>
  </si>
  <si>
    <t>Дополнительные факторы, без НДС</t>
  </si>
  <si>
    <t>Дополнительные факторы, с НДС</t>
  </si>
  <si>
    <t>Инвестиционная надбавка, без НДС</t>
  </si>
  <si>
    <t>Инвестиционная надбавка, с НДС</t>
  </si>
  <si>
    <t>Дополнительные факторы с учётом инвестиционной надбавки, с НДС</t>
  </si>
  <si>
    <t>DATA_SOURCE</t>
  </si>
  <si>
    <t>DIFFERENTIAL_OKK</t>
  </si>
  <si>
    <t>LT_TR_TARIFF</t>
  </si>
  <si>
    <t>XML_PLAN1X_HEAT_LIST_ORG_TAG_NAMES</t>
  </si>
  <si>
    <t>XML_PLAN1X_HEAT_CALC_TAG_NAMES</t>
  </si>
  <si>
    <t>XML_PLAN1X_HEAT_FUEL_TAG_NAMES</t>
  </si>
  <si>
    <t>XML_PLAN1X_HEAT_BPR_TAG_NAMES</t>
  </si>
  <si>
    <t>XML_PLAN1X_HEAT_BTR_TAG_NAMES</t>
  </si>
  <si>
    <t>XML_PLAN1X_HEAT_MXPP_TAG_NAMES</t>
  </si>
  <si>
    <t>XML_PLAN1X_HEAT_MXTR_TAG_NAMES</t>
  </si>
  <si>
    <t>XML_PLAN1X_HEAT_MXPP_DETAILED_TAG_NAMES</t>
  </si>
  <si>
    <t>XML_PLAN1X_HEAT_MXTR_DETAILED_TAG_NAMES</t>
  </si>
  <si>
    <t>NAME</t>
  </si>
  <si>
    <t>POSITION</t>
  </si>
  <si>
    <t>PHONE</t>
  </si>
  <si>
    <t>EMAIL</t>
  </si>
  <si>
    <t>TR_TARIFF</t>
  </si>
  <si>
    <t>HEAT_TARIFF</t>
  </si>
  <si>
    <t>HEAT_VD</t>
  </si>
  <si>
    <t>VSNA_VD</t>
  </si>
  <si>
    <t>VOTV_VD</t>
  </si>
  <si>
    <t>Захоронение твердых бытовых отходов</t>
  </si>
  <si>
    <t>Утилизация (захоронение) твердых бытовых отходов</t>
  </si>
  <si>
    <t>Утилизация (захоронение) твердых бытовых отходов и иные виды деятельности</t>
  </si>
  <si>
    <t>Утилизация твердых бытовых отходов</t>
  </si>
  <si>
    <t>TBO_VD</t>
  </si>
  <si>
    <t>STANDARD_PALETTE</t>
  </si>
  <si>
    <t>Долгосрочные тарифы на услуги по транспортировке ТЭ</t>
  </si>
  <si>
    <t>XML_PLAN1X_HEAT_TM1_TAG_NAMES</t>
  </si>
  <si>
    <t>XML_PLAN1X_HEAT_TM2_TAG_NAMES</t>
  </si>
  <si>
    <t>О</t>
  </si>
  <si>
    <t>HEAT_CALC_FUEL_EMPTY_RANGE_PERIOD1</t>
  </si>
  <si>
    <t>HEAT_CALC_FUEL_RANGE_VDET_PER_PLUS_SBIT_PERIOD1</t>
  </si>
  <si>
    <t>HEAT_CALC_FUEL_RANGE_PERIOD1</t>
  </si>
  <si>
    <t>HEAT_CALC_FUEL_RANGE_VDET_PER_PERIOD1</t>
  </si>
  <si>
    <t>HEAT_CALC_FUEL_RANGE_VDET_COMBI_PERIOD1</t>
  </si>
  <si>
    <t>HEAT_CALC_FUEL_EMPTY_RANGE_PERIOD2</t>
  </si>
  <si>
    <t>HEAT_CALC_FUEL_RANGE_VDET_PER_PLUS_SBIT_PERIOD2</t>
  </si>
  <si>
    <t>HEAT_CALC_FUEL_RANGE_PERIOD2</t>
  </si>
  <si>
    <t>HEAT_CALC_FUEL_RANGE_VDET_PER_PERIOD2</t>
  </si>
  <si>
    <t>HEAT_CALC_FUEL_RANGE_VDET_COMBI_PERIOD2</t>
  </si>
  <si>
    <t>HEAT_CALC_FUEL_EMPTY_RANGE_PERIOD3</t>
  </si>
  <si>
    <t>HEAT_CALC_FUEL_RANGE_VDET_PER_PLUS_SBIT_PERIOD3</t>
  </si>
  <si>
    <t>HEAT_CALC_FUEL_RANGE_PERIOD3</t>
  </si>
  <si>
    <t>HEAT_CALC_FUEL_RANGE_VDET_PER_PERIOD3</t>
  </si>
  <si>
    <t>HEAT_CALC_FUEL_RANGE_VDET_COMBI_PERIOD3</t>
  </si>
  <si>
    <t>TBD</t>
  </si>
  <si>
    <t>HEAT_CALC_COMBI_EMPTY_RANGE_PERIOD1</t>
  </si>
  <si>
    <t>HEAT_CALC_COMBI_EMPTY_RANGE_PERIOD2</t>
  </si>
  <si>
    <t>HEAT_CALC_COMBI_EMPTY_RANGE_PERIOD3</t>
  </si>
  <si>
    <t>HEAT_CALC_COMBI_RANGE_PERIOD1</t>
  </si>
  <si>
    <t>HEAT_CALC_COMBI_RANGE_PERIOD2</t>
  </si>
  <si>
    <t>HEAT_CALC_COMBI_RANGE_PERIOD3</t>
  </si>
  <si>
    <t>Свод шаблонов от организаций</t>
  </si>
  <si>
    <t>Выберите шаблон из списка файлов указанной папки</t>
  </si>
  <si>
    <t>Инструкция по своду данных</t>
  </si>
  <si>
    <r>
      <t>Для того чтобы добавить в шаблон данные из других файлов</t>
    </r>
    <r>
      <rPr>
        <sz val="10"/>
        <rFont val="Tahoma"/>
        <family val="2"/>
        <charset val="204"/>
      </rPr>
      <t>:</t>
    </r>
  </si>
  <si>
    <r>
      <t xml:space="preserve">1) Поместите шаблоны, данные из которых необходимо добавить, в одну папку. Наименование этой папки необходимо указать в ячейке «C8»: либо вручную, либо с помощью кнопки </t>
    </r>
    <r>
      <rPr>
        <b/>
        <sz val="10"/>
        <rFont val="Tahoma"/>
        <family val="2"/>
        <charset val="204"/>
      </rPr>
      <t>«Обзор папок…»</t>
    </r>
  </si>
  <si>
    <r>
      <t xml:space="preserve">2) Нажмите кнопку </t>
    </r>
    <r>
      <rPr>
        <b/>
        <sz val="10"/>
        <rFont val="Tahoma"/>
        <family val="2"/>
        <charset val="204"/>
      </rPr>
      <t>«Выгрузить данные из папки»</t>
    </r>
  </si>
  <si>
    <t>Для того чтобы добавить в шаблон данные из одного файла:</t>
  </si>
  <si>
    <t>1) Укажите в ячейке «C8» путь к папке, в которой находится добавляемый файл</t>
  </si>
  <si>
    <r>
      <t xml:space="preserve">2) Нажмите кнопку </t>
    </r>
    <r>
      <rPr>
        <b/>
        <sz val="10"/>
        <rFont val="Tahoma"/>
        <family val="2"/>
        <charset val="204"/>
      </rPr>
      <t>«Сформировать список файлов папки»</t>
    </r>
  </si>
  <si>
    <t>3) В ячейке «C10» выберите из предложенного списка имя файла</t>
  </si>
  <si>
    <r>
      <t xml:space="preserve">4) Нажмите кнопку </t>
    </r>
    <r>
      <rPr>
        <b/>
        <sz val="10"/>
        <rFont val="Tahoma"/>
        <family val="2"/>
        <charset val="204"/>
      </rPr>
      <t>«Добавить данные из файла»</t>
    </r>
  </si>
  <si>
    <t>Примечания</t>
  </si>
  <si>
    <r>
      <t xml:space="preserve">При запуске функции </t>
    </r>
    <r>
      <rPr>
        <b/>
        <sz val="10"/>
        <rFont val="Tahoma"/>
        <family val="2"/>
        <charset val="204"/>
      </rPr>
      <t>«Выгрузить данные из всех файлов данной папки»</t>
    </r>
    <r>
      <rPr>
        <sz val="10"/>
        <rFont val="Tahoma"/>
        <family val="2"/>
        <charset val="204"/>
      </rPr>
      <t xml:space="preserve"> появляется окно </t>
    </r>
    <r>
      <rPr>
        <b/>
        <sz val="10"/>
        <rFont val="Tahoma"/>
        <family val="2"/>
        <charset val="204"/>
      </rPr>
      <t>«Замена совпадений»</t>
    </r>
    <r>
      <rPr>
        <sz val="10"/>
        <rFont val="Tahoma"/>
        <family val="2"/>
        <charset val="204"/>
      </rPr>
      <t xml:space="preserve"> с вопросом: «При полном совпадении реквизитов организаций из обрабатываемого шаблона с реквизитами организаций уже присутствующими в данном шаблоне, перегружать данные об организациях в данный шаблон?».</t>
    </r>
  </si>
  <si>
    <t>Варианты ответа:</t>
  </si>
  <si>
    <r>
      <t>-</t>
    </r>
    <r>
      <rPr>
        <sz val="7"/>
        <rFont val="Times New Roman"/>
        <family val="1"/>
        <charset val="204"/>
      </rPr>
      <t xml:space="preserve">         </t>
    </r>
    <r>
      <rPr>
        <b/>
        <sz val="10"/>
        <rFont val="Tahoma"/>
        <family val="2"/>
        <charset val="204"/>
      </rPr>
      <t>«Всегда заменять»</t>
    </r>
    <r>
      <rPr>
        <sz val="10"/>
        <rFont val="Tahoma"/>
        <family val="2"/>
        <charset val="204"/>
      </rPr>
      <t xml:space="preserve"> - при совпадении реквизитов данные организаций будут заменяться данными из добавляемого шаблона без подтверждений.</t>
    </r>
  </si>
  <si>
    <r>
      <t>-</t>
    </r>
    <r>
      <rPr>
        <sz val="7"/>
        <rFont val="Times New Roman"/>
        <family val="1"/>
        <charset val="204"/>
      </rPr>
      <t xml:space="preserve">         </t>
    </r>
    <r>
      <rPr>
        <b/>
        <sz val="10"/>
        <rFont val="Tahoma"/>
        <family val="2"/>
        <charset val="204"/>
      </rPr>
      <t>«Спрашивать о замене»</t>
    </r>
    <r>
      <rPr>
        <sz val="10"/>
        <rFont val="Tahoma"/>
        <family val="2"/>
        <charset val="204"/>
      </rPr>
      <t xml:space="preserve"> - при совпадении реквизитов данные организаций будут заменяться данными из добавляемого шаблона, только если вы подтвердите это в окне «ВОПРОС о ЗАМЕНЕ»</t>
    </r>
  </si>
  <si>
    <r>
      <t>-</t>
    </r>
    <r>
      <rPr>
        <sz val="7"/>
        <rFont val="Times New Roman"/>
        <family val="1"/>
        <charset val="204"/>
      </rPr>
      <t xml:space="preserve">         </t>
    </r>
    <r>
      <rPr>
        <b/>
        <sz val="10"/>
        <rFont val="Tahoma"/>
        <family val="2"/>
        <charset val="204"/>
      </rPr>
      <t>«Пропускать»</t>
    </r>
    <r>
      <rPr>
        <sz val="10"/>
        <rFont val="Tahoma"/>
        <family val="2"/>
        <charset val="204"/>
      </rPr>
      <t xml:space="preserve"> -   при совпадении реквизитов данные организаций не будут заменяться данными из добавляемого шаблона.</t>
    </r>
  </si>
  <si>
    <r>
      <rPr>
        <sz val="10"/>
        <rFont val="Tahoma"/>
        <family val="2"/>
        <charset val="204"/>
      </rPr>
      <t xml:space="preserve">Лист  </t>
    </r>
    <r>
      <rPr>
        <b/>
        <sz val="10"/>
        <rFont val="Tahoma"/>
        <family val="2"/>
        <charset val="204"/>
      </rPr>
      <t>«Результаты загрузки»</t>
    </r>
    <r>
      <rPr>
        <sz val="10"/>
        <rFont val="Tahoma"/>
        <family val="2"/>
        <charset val="204"/>
      </rPr>
      <t xml:space="preserve"> - лист для отображения результатов (ошибок и предупреждений) при переносе данных из других шаблонов данного региона.</t>
    </r>
  </si>
  <si>
    <r>
      <t>Файл</t>
    </r>
    <r>
      <rPr>
        <b/>
        <sz val="9"/>
        <rFont val="Tahoma"/>
        <family val="2"/>
        <charset val="204"/>
      </rPr>
      <t xml:space="preserve"> </t>
    </r>
    <r>
      <rPr>
        <sz val="9"/>
        <rFont val="Tahoma"/>
        <family val="2"/>
        <charset val="204"/>
      </rPr>
      <t>(для просмотра щелкните по гиперссылке)</t>
    </r>
  </si>
  <si>
    <t>Общий показатель</t>
  </si>
  <si>
    <t>Скрыть детали</t>
  </si>
  <si>
    <t>В горячей воде</t>
  </si>
  <si>
    <t>Тариф, в т.ч.</t>
  </si>
  <si>
    <t>содержание сетей</t>
  </si>
  <si>
    <t>ставка на оплату потерь</t>
  </si>
  <si>
    <t>В паре</t>
  </si>
  <si>
    <t>Горячая вода, в том числе</t>
  </si>
  <si>
    <t>через тепловую сеть</t>
  </si>
  <si>
    <t>отпуск с коллекторов</t>
  </si>
  <si>
    <t>Отборный пар всего, в том числе</t>
  </si>
  <si>
    <t>Острый редуцированный пар, в том числе</t>
  </si>
  <si>
    <r>
      <t>1,2-2,5 кг/см</t>
    </r>
    <r>
      <rPr>
        <vertAlign val="superscript"/>
        <sz val="9"/>
        <rFont val="Tahoma"/>
        <family val="2"/>
        <charset val="204"/>
      </rPr>
      <t>2</t>
    </r>
  </si>
  <si>
    <r>
      <t>2,5-7 кг/см</t>
    </r>
    <r>
      <rPr>
        <vertAlign val="superscript"/>
        <sz val="9"/>
        <rFont val="Tahoma"/>
        <family val="2"/>
        <charset val="204"/>
      </rPr>
      <t>2</t>
    </r>
  </si>
  <si>
    <r>
      <t>7-13 кг/см</t>
    </r>
    <r>
      <rPr>
        <vertAlign val="superscript"/>
        <sz val="9"/>
        <rFont val="Tahoma"/>
        <family val="2"/>
        <charset val="204"/>
      </rPr>
      <t>2</t>
    </r>
  </si>
  <si>
    <t>средневзвешенный тариф по группам (одноставочный + двухставочный)</t>
  </si>
  <si>
    <t>HEAT_CALC_RANGE_VDET_PER</t>
  </si>
  <si>
    <t>XML_PLAN1X_HEAT_BPR_DETAILED_TAG_NAMES</t>
  </si>
  <si>
    <t>XML_PLAN1X_HEAT_BTR_DETAILED_TAG_NAMES</t>
  </si>
  <si>
    <t>XML_PLAN1X_VSNA_LIST_ORG_TAG_NAMES</t>
  </si>
  <si>
    <t>XML_PLAN1X_VSNA_BPR_TAG_NAMES</t>
  </si>
  <si>
    <t>XML_PLAN1X_VSNA_BTR_TAG_NAMES</t>
  </si>
  <si>
    <t>XML_PLAN1X_VSNA_MXPP_TAG_NAMES</t>
  </si>
  <si>
    <t>XML_PLAN1X_VSNA_BPR_DETAILED_TAG_NAMES</t>
  </si>
  <si>
    <t>XML_PLAN1X_VSNA_BTR_DETAILED_TAG_NAMES</t>
  </si>
  <si>
    <t>XML_PLAN1X_VSNA_MXPP_DETAILED_TAG_NAMES</t>
  </si>
  <si>
    <t>XML_PLAN1X_VSNA_TM1_TAG_NAMES</t>
  </si>
  <si>
    <t>XML_PLAN1X_VSNA_TM2_TAG_NAMES</t>
  </si>
  <si>
    <t>XML_PLAN1X_VSNA_CALC_TAG_NAMES</t>
  </si>
  <si>
    <t>XML_PLAN1X_VOTV_LIST_ORG_TAG_NAMES</t>
  </si>
  <si>
    <t>XML_PLAN1X_VOTV_BPR_TAG_NAMES</t>
  </si>
  <si>
    <t>4.1.2.0</t>
  </si>
  <si>
    <t>5.1.1.0</t>
  </si>
  <si>
    <t>5.1.2.0</t>
  </si>
  <si>
    <t>5.3.1</t>
  </si>
  <si>
    <t>5.3.2</t>
  </si>
  <si>
    <t>5.3.3</t>
  </si>
  <si>
    <t>5.3.4</t>
  </si>
  <si>
    <t>5.3.5</t>
  </si>
  <si>
    <t>5.3.6</t>
  </si>
  <si>
    <t>5.3.7</t>
  </si>
  <si>
    <t>5.3.8</t>
  </si>
  <si>
    <t>5.4</t>
  </si>
  <si>
    <t>5.5</t>
  </si>
  <si>
    <t>6.1.1.0</t>
  </si>
  <si>
    <t>6.1.2.0</t>
  </si>
  <si>
    <t>6.3.3</t>
  </si>
  <si>
    <t>6.3.4</t>
  </si>
  <si>
    <t>6.3.5</t>
  </si>
  <si>
    <t>6.3.6</t>
  </si>
  <si>
    <t>6.3.7</t>
  </si>
  <si>
    <t>6.3.8</t>
  </si>
  <si>
    <t>7.1.1</t>
  </si>
  <si>
    <t>7.1.2</t>
  </si>
  <si>
    <t>7.1.1.0</t>
  </si>
  <si>
    <t>7.1.2.0</t>
  </si>
  <si>
    <t>7.3.1</t>
  </si>
  <si>
    <t>7.3.2</t>
  </si>
  <si>
    <t>7.3.3</t>
  </si>
  <si>
    <t>7.3.4</t>
  </si>
  <si>
    <t>7.3.5</t>
  </si>
  <si>
    <t>7.3.6</t>
  </si>
  <si>
    <t>7.3.7</t>
  </si>
  <si>
    <t>7.3.8</t>
  </si>
  <si>
    <t>оплата труда основных производственных рабочих</t>
  </si>
  <si>
    <t>6.1.1</t>
  </si>
  <si>
    <t>среднемесячная оплата труда основных производственных рабочих (руб.)</t>
  </si>
  <si>
    <t>6.1.2</t>
  </si>
  <si>
    <t>численность основного производственного персонала, относимого на регулируемый вид деятельности, ед.</t>
  </si>
  <si>
    <t>6.2.1</t>
  </si>
  <si>
    <t>оплата труда ремонтного персонала</t>
  </si>
  <si>
    <t>среднемесячная оплата труда ремонтного персонала (руб.)</t>
  </si>
  <si>
    <t>6.2.2</t>
  </si>
  <si>
    <t>численность ремонтного персонала, относимого на регулируемый вид деятельности, ед.</t>
  </si>
  <si>
    <t>9.1</t>
  </si>
  <si>
    <t>оплата труда цехового персонала</t>
  </si>
  <si>
    <t>среднемесячная оплата труда цехового персонала (руб.)</t>
  </si>
  <si>
    <t>6.3.2</t>
  </si>
  <si>
    <t>численность цехового персонала, относимого на регулируемый вид деятельности, ед.</t>
  </si>
  <si>
    <t>10.1</t>
  </si>
  <si>
    <t>6.4</t>
  </si>
  <si>
    <t>оплата труда АУП</t>
  </si>
  <si>
    <t>6.4.1</t>
  </si>
  <si>
    <t>среднемесячная оплата труда АУП (руб.)</t>
  </si>
  <si>
    <t>6.4.2</t>
  </si>
  <si>
    <t>численность АУП, относимого на регулируемый вид деятельности, ед.</t>
  </si>
  <si>
    <t>10.2</t>
  </si>
  <si>
    <t>6.5</t>
  </si>
  <si>
    <t>заработная плата прочего персонала, относимого на регулируемый вид деятельности</t>
  </si>
  <si>
    <t>6.5.1</t>
  </si>
  <si>
    <t>10.2.1</t>
  </si>
  <si>
    <t>6.5.2</t>
  </si>
  <si>
    <t>численность прочего персонала, относимого на регулируемый вид деятельности, ед.</t>
  </si>
  <si>
    <t>L10_0</t>
  </si>
  <si>
    <t>L6_0_1</t>
  </si>
  <si>
    <t>L6_0_2</t>
  </si>
  <si>
    <t>L6_0_3</t>
  </si>
  <si>
    <t>L6_1_3</t>
  </si>
  <si>
    <t>L6_1_4</t>
  </si>
  <si>
    <t>L6_1_5</t>
  </si>
  <si>
    <t>L6_2_3</t>
  </si>
  <si>
    <t>L6_2_4</t>
  </si>
  <si>
    <t>L6_2_5</t>
  </si>
  <si>
    <t>PEND_L3_1</t>
  </si>
  <si>
    <t>PEND_L3_1_1</t>
  </si>
  <si>
    <t>PEND_L3_1_2</t>
  </si>
  <si>
    <t>PEND_L5_2_1_1</t>
  </si>
  <si>
    <t>PEND_L5_2_1</t>
  </si>
  <si>
    <t>PEND_L5_2_1_2</t>
  </si>
  <si>
    <t>PEND_L4_1_1</t>
  </si>
  <si>
    <t>PEND_L4_1_2</t>
  </si>
  <si>
    <t>PEND_L4_1_3</t>
  </si>
  <si>
    <t>PEND_L4_2_1</t>
  </si>
  <si>
    <t>PEND_L4_2_2</t>
  </si>
  <si>
    <t>PEND_L4_2_3</t>
  </si>
  <si>
    <t>PEND_L4_3_1</t>
  </si>
  <si>
    <t>PEND_L4_3_2</t>
  </si>
  <si>
    <t>PEND_L4_3_3</t>
  </si>
  <si>
    <t>PEND_L4_4_1</t>
  </si>
  <si>
    <t>PEND_L4_4_2</t>
  </si>
  <si>
    <t>PEND_L4_4_3</t>
  </si>
  <si>
    <t>PEND_L0_1</t>
  </si>
  <si>
    <t>PEND_L0_2</t>
  </si>
  <si>
    <t>HEAT_U_FUEL_RANGE_PERIOD1</t>
  </si>
  <si>
    <t>HEAT_U_FUEL_RANGE_PERIOD2</t>
  </si>
  <si>
    <t>HEAT_U_FUEL_RANGE_PERIOD3</t>
  </si>
  <si>
    <t>HEAT_P_FUEL_RANGE_PERIOD1</t>
  </si>
  <si>
    <t>HEAT_P_FUEL_RANGE_PERIOD2</t>
  </si>
  <si>
    <t>HEAT_P_FUEL_RANGE_PERIOD3</t>
  </si>
  <si>
    <t>L_STUB_0</t>
  </si>
  <si>
    <t>L4_0_1_5_1</t>
  </si>
  <si>
    <t>L4_0_1_5_2</t>
  </si>
  <si>
    <t>L4_0_1_5_2_1</t>
  </si>
  <si>
    <t>L4_0_1_5_2_2</t>
  </si>
  <si>
    <t>L4_0_1_5_2_3</t>
  </si>
  <si>
    <t>L4_0_1_5_3</t>
  </si>
  <si>
    <t>L4_0_1_5_4</t>
  </si>
  <si>
    <t>L4_0_1_5_5</t>
  </si>
  <si>
    <t>L4_0_1_5_6</t>
  </si>
  <si>
    <t>L4_0_1_5_7</t>
  </si>
  <si>
    <t>L4_0_1_5_8</t>
  </si>
  <si>
    <t>L4_0_1_5_9</t>
  </si>
  <si>
    <t>L4_0_1_5_10</t>
  </si>
  <si>
    <t>L4_0_1_5_11</t>
  </si>
  <si>
    <t>L4_0_1_5_12</t>
  </si>
  <si>
    <t>L_STUB_15</t>
  </si>
  <si>
    <t>L_STUB_16</t>
  </si>
  <si>
    <t>L4_0_1_5_15</t>
  </si>
  <si>
    <t>L_STUB_17</t>
  </si>
  <si>
    <t>L4_0_1_6_1</t>
  </si>
  <si>
    <t>L4_0_1_6_2</t>
  </si>
  <si>
    <t>L4_0_1_6_2_1</t>
  </si>
  <si>
    <t>L4_0_1_6_2_1_1</t>
  </si>
  <si>
    <t>L4_0_1_6_2_1_2</t>
  </si>
  <si>
    <t>L4_0_1_6_2_1_3</t>
  </si>
  <si>
    <t>L4_0_1_6_2_1_4</t>
  </si>
  <si>
    <t>L4_0_1_6_2_1_5</t>
  </si>
  <si>
    <t>L4_0_1_6_2_1_6</t>
  </si>
  <si>
    <t>L4_0_1_6_2_1_7</t>
  </si>
  <si>
    <t>L4_0_1_6_2_2</t>
  </si>
  <si>
    <t>L4_0_1_6_2_2_1</t>
  </si>
  <si>
    <t>L4_0_1_6_2_2_2</t>
  </si>
  <si>
    <t>L4_0_1_6_2_2_3</t>
  </si>
  <si>
    <t>L4_0_1_6_2_2_4</t>
  </si>
  <si>
    <t>L4_0_1_6_2_2_5</t>
  </si>
  <si>
    <t>L4_0_1_6_2_2_6</t>
  </si>
  <si>
    <t>L4_0_1_6_2_2_7</t>
  </si>
  <si>
    <t>L4_0_1_6_2_3</t>
  </si>
  <si>
    <t>L4_0_1_6_3</t>
  </si>
  <si>
    <t>L4_0_1_6_4</t>
  </si>
  <si>
    <t>L4_0_1_6_5</t>
  </si>
  <si>
    <t>L4_0_1_6_6</t>
  </si>
  <si>
    <t>L4_0_1_6_7</t>
  </si>
  <si>
    <t>L4_0_1_6_8</t>
  </si>
  <si>
    <t>L4_0_1_6_9</t>
  </si>
  <si>
    <t>L4_0_1_6_10</t>
  </si>
  <si>
    <t>L4_0_1_6_11</t>
  </si>
  <si>
    <t>L4_0_1_6_12</t>
  </si>
  <si>
    <t>L_STUB_18</t>
  </si>
  <si>
    <t>L_STUB_19</t>
  </si>
  <si>
    <t>L_STUB_20</t>
  </si>
  <si>
    <t>L_STUB_21</t>
  </si>
  <si>
    <t>L_STUB_22</t>
  </si>
  <si>
    <t>L_STUB_23</t>
  </si>
  <si>
    <t>L4_0_2_1_1</t>
  </si>
  <si>
    <t>L4_0_2_1_2</t>
  </si>
  <si>
    <t>L4_0_2_1_2_1</t>
  </si>
  <si>
    <t>L_STUB_24</t>
  </si>
  <si>
    <t>L_STUB_25</t>
  </si>
  <si>
    <t>L_STUB_26</t>
  </si>
  <si>
    <t>L_STUB_27</t>
  </si>
  <si>
    <t>L_STUB_28</t>
  </si>
  <si>
    <t>L_STUB_29</t>
  </si>
  <si>
    <t>L_STUB_30</t>
  </si>
  <si>
    <t>L4_0_2_1_2_2</t>
  </si>
  <si>
    <t>L_STUB_31</t>
  </si>
  <si>
    <t>L_STUB_32</t>
  </si>
  <si>
    <t>L_STUB_33</t>
  </si>
  <si>
    <t>L_STUB_34</t>
  </si>
  <si>
    <t>L_STUB_35</t>
  </si>
  <si>
    <t>L_STUB_36</t>
  </si>
  <si>
    <t>L_STUB_37</t>
  </si>
  <si>
    <t>L4_0_2_1_2_3</t>
  </si>
  <si>
    <t>L4_0_2_1_3</t>
  </si>
  <si>
    <t>L4_0_2_1_4</t>
  </si>
  <si>
    <t>L4_0_2_1_5</t>
  </si>
  <si>
    <t>L4_0_2_1_6</t>
  </si>
  <si>
    <t>L4_0_2_1_7</t>
  </si>
  <si>
    <t>L4_0_2_1_8</t>
  </si>
  <si>
    <t>L4_0_2_1_9</t>
  </si>
  <si>
    <t>L4_0_2_1_10</t>
  </si>
  <si>
    <t>L4_0_2_1_11</t>
  </si>
  <si>
    <t>L4_0_2_1_12</t>
  </si>
  <si>
    <t>L_STUB_38</t>
  </si>
  <si>
    <t>L_STUB_39</t>
  </si>
  <si>
    <t>XML_PLAN1X_HEAT_FUEL_GAS_TAG_NAMES</t>
  </si>
  <si>
    <t>L4_0_2_1_15</t>
  </si>
  <si>
    <t>L4_0_3_1_1_1</t>
  </si>
  <si>
    <t>L4_0_3_1_1_1_1</t>
  </si>
  <si>
    <t>L4_0_3_1_1_1_2</t>
  </si>
  <si>
    <t>L4_0_3_1_1_1_3</t>
  </si>
  <si>
    <t>L4_0_3_1_1_1_4</t>
  </si>
  <si>
    <t>L4_0_3_1_1_1_5</t>
  </si>
  <si>
    <t>L4_0_3_1_1_1_6</t>
  </si>
  <si>
    <t>L4_0_3_1_1_1_7</t>
  </si>
  <si>
    <t>L4_0_3_1_1_2</t>
  </si>
  <si>
    <t>L4_0_3_1_1_2_1</t>
  </si>
  <si>
    <t>L4_0_3_1_1_2_2</t>
  </si>
  <si>
    <t>L4_0_3_1_1_2_3</t>
  </si>
  <si>
    <t>L4_0_3_1_1_2_4</t>
  </si>
  <si>
    <t>L4_0_3_1_1_2_5</t>
  </si>
  <si>
    <t>L4_0_3_1_1_2_6</t>
  </si>
  <si>
    <t>L4_0_3_1_1_2_7</t>
  </si>
  <si>
    <t>L4_0_3_1_1_3</t>
  </si>
  <si>
    <t>L4_0_3_1_1_3_1</t>
  </si>
  <si>
    <t>L4_0_3_1_1_3_2</t>
  </si>
  <si>
    <t>L4_0_3_1_1_3_3</t>
  </si>
  <si>
    <t>L4_0_3_1_1_3_4</t>
  </si>
  <si>
    <t>L4_0_3_1_1_3_5</t>
  </si>
  <si>
    <t>L4_0_3_1_1_3_6</t>
  </si>
  <si>
    <t>L4_0_3_1_1_3_7</t>
  </si>
  <si>
    <t>L4_0_3_1_1_4</t>
  </si>
  <si>
    <t>L4_0_3_1_1_4_1</t>
  </si>
  <si>
    <t>L4_0_3_1_1_4_2</t>
  </si>
  <si>
    <t>L4_0_3_1_1_4_3</t>
  </si>
  <si>
    <t>L4_0_3_1_1_4_4</t>
  </si>
  <si>
    <t>L4_0_3_1_1_4_5</t>
  </si>
  <si>
    <t>L4_0_3_1_1_4_6</t>
  </si>
  <si>
    <t>L4_0_3_1_1_4_7</t>
  </si>
  <si>
    <t>L4_0_3_1_1_5</t>
  </si>
  <si>
    <t>L4_0_3_1_1_5_1</t>
  </si>
  <si>
    <t>L4_0_3_1_1_5_2</t>
  </si>
  <si>
    <t>L4_0_3_1_2_1</t>
  </si>
  <si>
    <t>L4_0_3_1_2_1_1</t>
  </si>
  <si>
    <t>L4_0_3_1_2_1_2</t>
  </si>
  <si>
    <t>L4_0_3_1_2_1_3</t>
  </si>
  <si>
    <t>L4_0_3_1_2_1_4</t>
  </si>
  <si>
    <t>L4_0_3_1_2_1_5</t>
  </si>
  <si>
    <t>L4_0_3_1_2_1_6</t>
  </si>
  <si>
    <t>L4_0_3_1_2_1_7</t>
  </si>
  <si>
    <t>L4_0_3_1_2_2</t>
  </si>
  <si>
    <t>L4_0_3_1_2_2_1</t>
  </si>
  <si>
    <t>L4_0_3_1_2_2_2</t>
  </si>
  <si>
    <t>L4_0_3_1_2_2_3</t>
  </si>
  <si>
    <t>L4_0_3_1_2_2_4</t>
  </si>
  <si>
    <t>L4_0_3_1_2_2_5</t>
  </si>
  <si>
    <t>L4_0_3_1_2_2_6</t>
  </si>
  <si>
    <t>L4_0_3_1_2_2_7</t>
  </si>
  <si>
    <t>L4_0_3_1_2_3</t>
  </si>
  <si>
    <t>L4_0_3_1_2_3_1</t>
  </si>
  <si>
    <t>L4_0_3_1_2_3_2</t>
  </si>
  <si>
    <t>L4_0_3_1_2_3_3</t>
  </si>
  <si>
    <t>L4_0_3_1_2_3_4</t>
  </si>
  <si>
    <t>L4_0_3_1_2_3_5</t>
  </si>
  <si>
    <t>L4_0_3_1_2_3_6</t>
  </si>
  <si>
    <t>L4_0_3_1_2_3_7</t>
  </si>
  <si>
    <t>L4_0_3_1_2_4</t>
  </si>
  <si>
    <t>L4_0_3_1_2_4_1</t>
  </si>
  <si>
    <t>L4_0_3_1_2_4_2</t>
  </si>
  <si>
    <t>L4_0_3_1_2_4_3</t>
  </si>
  <si>
    <t>L4_0_3_1_2_4_4</t>
  </si>
  <si>
    <t>L4_0_3_1_2_4_5</t>
  </si>
  <si>
    <t>L4_0_3_1_2_4_6</t>
  </si>
  <si>
    <t>L4_0_3_1_2_4_7</t>
  </si>
  <si>
    <t>L4_0_3_1_2_5</t>
  </si>
  <si>
    <t>L4_0_3_1_2_5_1</t>
  </si>
  <si>
    <t>L4_0_3_1_2_5_2</t>
  </si>
  <si>
    <t>XML_PLAN1X_HEAT_FUEL_TR_1_TAG_NAMES</t>
  </si>
  <si>
    <t>L4_0_3_2_1_1</t>
  </si>
  <si>
    <t>L4_0_3_2_1_3</t>
  </si>
  <si>
    <t>L4_0_3_2_1_4</t>
  </si>
  <si>
    <t>L4_0_3_2_1_5</t>
  </si>
  <si>
    <t>L4_0_3_2_1_6</t>
  </si>
  <si>
    <t>L4_0_3_2_1_7</t>
  </si>
  <si>
    <t>L4_0_3_2_1_8</t>
  </si>
  <si>
    <t>L4_0_3_2_1_9</t>
  </si>
  <si>
    <t>L4_0_3_2_1_10</t>
  </si>
  <si>
    <t>L4_0_3_2_1_11</t>
  </si>
  <si>
    <t>L4_0_3_2_1_12</t>
  </si>
  <si>
    <t>L4_0_3_2_1_15</t>
  </si>
  <si>
    <t>L4_0_3_2_2_1</t>
  </si>
  <si>
    <t>L4_0_3_2_2_3</t>
  </si>
  <si>
    <t>L4_0_3_2_2_4</t>
  </si>
  <si>
    <t>L4_0_3_2_2_5</t>
  </si>
  <si>
    <t>L4_0_3_2_2_6</t>
  </si>
  <si>
    <t>L4_0_3_2_2_7</t>
  </si>
  <si>
    <t>L4_0_3_2_2_8</t>
  </si>
  <si>
    <t>L4_0_3_2_2_9</t>
  </si>
  <si>
    <t>L4_0_3_2_2_10</t>
  </si>
  <si>
    <t>L4_0_3_2_2_11</t>
  </si>
  <si>
    <t>L4_0_3_2_2_12</t>
  </si>
  <si>
    <t>L4_0_3_2_2_15</t>
  </si>
  <si>
    <t>L4_0_3_2_3_1</t>
  </si>
  <si>
    <t>L4_0_3_2_3_3</t>
  </si>
  <si>
    <t>L4_0_3_2_3_4</t>
  </si>
  <si>
    <t>L4_0_3_2_3_5</t>
  </si>
  <si>
    <t>L4_0_3_2_3_6</t>
  </si>
  <si>
    <t>L4_0_3_2_3_7</t>
  </si>
  <si>
    <t>L4_0_3_2_3_8</t>
  </si>
  <si>
    <t>L4_0_3_2_3_9</t>
  </si>
  <si>
    <t>L4_0_3_2_3_10</t>
  </si>
  <si>
    <t>L4_0_3_2_3_11</t>
  </si>
  <si>
    <t>L4_0_3_2_3_12</t>
  </si>
  <si>
    <t>L4_0_3_2_3_15</t>
  </si>
  <si>
    <t>XML_PLAN1X_HEAT_FUEL_TR_2_TAG_NAMES</t>
  </si>
  <si>
    <t>XML_PLAN1X_HEAT_FUEL_TR_3_TAG_NAMES</t>
  </si>
  <si>
    <t>L4_0_3_3_1_1</t>
  </si>
  <si>
    <t>L4_0_3_3_1_3</t>
  </si>
  <si>
    <t>L4_0_3_3_1_4</t>
  </si>
  <si>
    <t>L4_0_3_3_1_5</t>
  </si>
  <si>
    <t>L4_0_3_3_1_6</t>
  </si>
  <si>
    <t>L4_0_3_3_1_7</t>
  </si>
  <si>
    <t>L4_0_3_3_1_8</t>
  </si>
  <si>
    <t>L4_0_3_3_1_9</t>
  </si>
  <si>
    <t>L4_0_3_3_1_10</t>
  </si>
  <si>
    <t>L4_0_3_3_1_11</t>
  </si>
  <si>
    <t>L4_0_3_3_1_12</t>
  </si>
  <si>
    <t>L4_0_3_3_1_15</t>
  </si>
  <si>
    <t>L4_0_3_3_2_1</t>
  </si>
  <si>
    <t>L4_0_3_3_2_3</t>
  </si>
  <si>
    <t>L4_0_3_3_2_4</t>
  </si>
  <si>
    <t>L4_0_3_3_2_5</t>
  </si>
  <si>
    <t>L4_0_3_3_2_6</t>
  </si>
  <si>
    <t>L4_0_3_3_2_7</t>
  </si>
  <si>
    <t>L4_0_3_3_2_8</t>
  </si>
  <si>
    <t>L4_0_3_3_2_9</t>
  </si>
  <si>
    <t>L4_0_3_3_2_10</t>
  </si>
  <si>
    <t>L4_0_3_3_2_11</t>
  </si>
  <si>
    <t>L4_0_3_3_2_12</t>
  </si>
  <si>
    <t>L4_0_3_3_2_15</t>
  </si>
  <si>
    <t>L4_0_3_3_3_1</t>
  </si>
  <si>
    <t>L4_0_3_3_3_3</t>
  </si>
  <si>
    <t>L4_0_3_3_3_4</t>
  </si>
  <si>
    <t>L4_0_3_3_3_5</t>
  </si>
  <si>
    <t>L4_0_3_3_3_6</t>
  </si>
  <si>
    <t>L4_0_3_3_3_7</t>
  </si>
  <si>
    <t>L4_0_3_3_3_8</t>
  </si>
  <si>
    <t>L4_0_3_3_3_9</t>
  </si>
  <si>
    <t>L4_0_3_3_3_10</t>
  </si>
  <si>
    <t>L4_0_3_3_3_11</t>
  </si>
  <si>
    <t>L4_0_3_3_3_12</t>
  </si>
  <si>
    <t>L4_0_3_3_3_15</t>
  </si>
  <si>
    <t>L4_0_3_4_1_1</t>
  </si>
  <si>
    <t>L4_0_3_4_1_3</t>
  </si>
  <si>
    <t>L4_0_3_4_1_4</t>
  </si>
  <si>
    <t>L4_0_3_4_1_5</t>
  </si>
  <si>
    <t>L4_0_3_4_1_6</t>
  </si>
  <si>
    <t>L4_0_3_4_1_7</t>
  </si>
  <si>
    <t>L4_0_3_4_1_8</t>
  </si>
  <si>
    <t>L4_0_3_4_1_9</t>
  </si>
  <si>
    <t>L4_0_3_4_1_10</t>
  </si>
  <si>
    <t>L4_0_3_4_1_11</t>
  </si>
  <si>
    <t>L4_0_3_4_1_12</t>
  </si>
  <si>
    <t>L4_0_3_4_1_15</t>
  </si>
  <si>
    <t>L4_0_3_4_2_1</t>
  </si>
  <si>
    <t>L4_0_3_4_2_3</t>
  </si>
  <si>
    <t>L4_0_3_4_2_4</t>
  </si>
  <si>
    <t>L4_0_3_4_2_5</t>
  </si>
  <si>
    <t>L4_0_3_4_2_6</t>
  </si>
  <si>
    <t>L4_0_3_4_2_7</t>
  </si>
  <si>
    <t>L4_0_3_4_2_8</t>
  </si>
  <si>
    <t>L4_0_3_4_2_9</t>
  </si>
  <si>
    <t>L4_0_3_4_2_10</t>
  </si>
  <si>
    <t>L4_0_3_4_2_11</t>
  </si>
  <si>
    <t>L4_0_3_4_2_12</t>
  </si>
  <si>
    <t>L4_0_3_4_2_15</t>
  </si>
  <si>
    <t>L4_0_3_4_3_1</t>
  </si>
  <si>
    <t>L4_0_3_4_3_3</t>
  </si>
  <si>
    <t>L4_0_3_4_3_4</t>
  </si>
  <si>
    <t>L4_0_3_4_3_5</t>
  </si>
  <si>
    <t>L4_0_3_4_3_6</t>
  </si>
  <si>
    <t>L4_0_3_4_3_7</t>
  </si>
  <si>
    <t>L4_0_3_4_3_8</t>
  </si>
  <si>
    <t>L4_0_3_4_3_9</t>
  </si>
  <si>
    <t>L4_0_3_4_3_10</t>
  </si>
  <si>
    <t>L4_0_3_4_3_11</t>
  </si>
  <si>
    <t>L4_0_3_4_3_12</t>
  </si>
  <si>
    <t>L4_0_3_4_3_15</t>
  </si>
  <si>
    <t xml:space="preserve"> - ссылки и автозаполняемые поля</t>
  </si>
  <si>
    <t xml:space="preserve"> - автозаполняемые справочные поля</t>
  </si>
  <si>
    <t xml:space="preserve"> - с формулами и константами</t>
  </si>
  <si>
    <t>L5_1_1_1_3</t>
  </si>
  <si>
    <t>L5_1_1_2_1</t>
  </si>
  <si>
    <t>L5_1_1_2_2</t>
  </si>
  <si>
    <t>L5_1_1_2_3</t>
  </si>
  <si>
    <t>L5_1_1_3_3</t>
  </si>
  <si>
    <t>L5_1_1_4_1</t>
  </si>
  <si>
    <t>L5_1_1_4_2</t>
  </si>
  <si>
    <t>L5_1_1_4_3</t>
  </si>
  <si>
    <r>
      <t>7 группа: до 0,01 млн.м</t>
    </r>
    <r>
      <rPr>
        <vertAlign val="superscript"/>
        <sz val="9"/>
        <rFont val="Tahoma"/>
        <family val="2"/>
        <charset val="204"/>
      </rPr>
      <t>3</t>
    </r>
    <r>
      <rPr>
        <sz val="9"/>
        <rFont val="Tahoma"/>
        <family val="2"/>
        <charset val="204"/>
      </rPr>
      <t xml:space="preserve"> включительно</t>
    </r>
  </si>
  <si>
    <r>
      <t>7 группа: до 0,01 млн.м</t>
    </r>
    <r>
      <rPr>
        <vertAlign val="superscript"/>
        <sz val="9"/>
        <color indexed="8"/>
        <rFont val="Tahoma"/>
        <family val="2"/>
        <charset val="204"/>
      </rPr>
      <t>3</t>
    </r>
    <r>
      <rPr>
        <sz val="9"/>
        <color indexed="8"/>
        <rFont val="Tahoma"/>
        <family val="2"/>
        <charset val="204"/>
      </rPr>
      <t xml:space="preserve"> включительно</t>
    </r>
  </si>
  <si>
    <t>Носитель</t>
  </si>
  <si>
    <t>L_STUB_1</t>
  </si>
  <si>
    <t>L_STUB_2</t>
  </si>
  <si>
    <t>L_STUB_3</t>
  </si>
  <si>
    <t>L_STUB_4</t>
  </si>
  <si>
    <t>L_STUB_5</t>
  </si>
  <si>
    <t>L_STUB_6</t>
  </si>
  <si>
    <t>L_STUB_7</t>
  </si>
  <si>
    <t>L_STUB_8</t>
  </si>
  <si>
    <t>L_STUB_9</t>
  </si>
  <si>
    <t>L_STUB_10</t>
  </si>
  <si>
    <t>L_STUB_11</t>
  </si>
  <si>
    <t>L_STUB_12</t>
  </si>
  <si>
    <t>L_STUB_13</t>
  </si>
  <si>
    <t>L_STUB_14</t>
  </si>
  <si>
    <t>L2_2_1</t>
  </si>
  <si>
    <t>L2_2_2</t>
  </si>
  <si>
    <t>L2_3_1</t>
  </si>
  <si>
    <t>L2_3_2</t>
  </si>
  <si>
    <t>L2_4_1</t>
  </si>
  <si>
    <t>L2_4_2</t>
  </si>
  <si>
    <t>L4_1_1_0</t>
  </si>
  <si>
    <t>L4_1_2_0</t>
  </si>
  <si>
    <t>L5_1_1_0</t>
  </si>
  <si>
    <t>L5_1_2_0</t>
  </si>
  <si>
    <t>L5_3_1</t>
  </si>
  <si>
    <t>L5_3_2</t>
  </si>
  <si>
    <t>L5_3_3</t>
  </si>
  <si>
    <t>L5_3_4</t>
  </si>
  <si>
    <t>L5_3_5</t>
  </si>
  <si>
    <t>L5_3_6</t>
  </si>
  <si>
    <t>L5_3_7</t>
  </si>
  <si>
    <t>L5_3_8</t>
  </si>
  <si>
    <t>L5_4</t>
  </si>
  <si>
    <t>L5_5</t>
  </si>
  <si>
    <t>L6_1_1_0</t>
  </si>
  <si>
    <t>L6_1_2_0</t>
  </si>
  <si>
    <t>L6_3_3</t>
  </si>
  <si>
    <t>L6_3_4</t>
  </si>
  <si>
    <t>L6_3_5</t>
  </si>
  <si>
    <t>L6_3_6</t>
  </si>
  <si>
    <t>L6_3_7</t>
  </si>
  <si>
    <t>L6_3_8</t>
  </si>
  <si>
    <t>L7_1_1</t>
  </si>
  <si>
    <t>L7_1_2</t>
  </si>
  <si>
    <t>L7_1_1_0</t>
  </si>
  <si>
    <t>L7_1_2_0</t>
  </si>
  <si>
    <t>L7_3_1</t>
  </si>
  <si>
    <t>L7_3_2</t>
  </si>
  <si>
    <t>L7_3_3</t>
  </si>
  <si>
    <t>L7_3_4</t>
  </si>
  <si>
    <t>L7_3_5</t>
  </si>
  <si>
    <t>L7_3_6</t>
  </si>
  <si>
    <t>L7_3_7</t>
  </si>
  <si>
    <t>L7_3_8</t>
  </si>
  <si>
    <t>L10_4</t>
  </si>
  <si>
    <t>DET</t>
  </si>
  <si>
    <t>L2_1_1</t>
  </si>
  <si>
    <t>L2_1_1_0_1</t>
  </si>
  <si>
    <t>L2_1_1_0_2</t>
  </si>
  <si>
    <t>L2_1_1_1_1</t>
  </si>
  <si>
    <t>L2_1_1_1_1_1</t>
  </si>
  <si>
    <t>L2_1_1_1_1_2</t>
  </si>
  <si>
    <t>L2_1_1_1_2</t>
  </si>
  <si>
    <t>L2_1_1_1_2_1</t>
  </si>
  <si>
    <t>L2_1_1_1_2_2</t>
  </si>
  <si>
    <t>L2_1_1_2_1</t>
  </si>
  <si>
    <t>L2_1_1_2_1_1</t>
  </si>
  <si>
    <t>L2_1_1_2_1_2</t>
  </si>
  <si>
    <t>L2_1_1_2_2</t>
  </si>
  <si>
    <t>L2_1_1_2_2_1</t>
  </si>
  <si>
    <t>L2_1_1_2_2_2</t>
  </si>
  <si>
    <t>L2_1_1_3_1</t>
  </si>
  <si>
    <t>L2_1_1_3_1_1</t>
  </si>
  <si>
    <t>L2_1_1_3_1_2</t>
  </si>
  <si>
    <t>L2_1_1_3_2</t>
  </si>
  <si>
    <t>L2_1_1_3_2_1</t>
  </si>
  <si>
    <t>L2_1_1_3_2_2</t>
  </si>
  <si>
    <t>L2_1_1_4_1</t>
  </si>
  <si>
    <t>L2_1_1_4_1_1</t>
  </si>
  <si>
    <t>L2_1_1_4_1_2</t>
  </si>
  <si>
    <t>L2_1_1_4_2</t>
  </si>
  <si>
    <t>L2_1_1_4_2_1</t>
  </si>
  <si>
    <t>L2_1_1_4_2_2</t>
  </si>
  <si>
    <t>L2_1_2</t>
  </si>
  <si>
    <t>L2_4</t>
  </si>
  <si>
    <t>L2_4_3</t>
  </si>
  <si>
    <t>L2_5</t>
  </si>
  <si>
    <t>L2_6</t>
  </si>
  <si>
    <t>L2_7</t>
  </si>
  <si>
    <t>L2_7_1</t>
  </si>
  <si>
    <t>L2_7_1_1</t>
  </si>
  <si>
    <t>L2_7_1_2</t>
  </si>
  <si>
    <t>L2_7_2</t>
  </si>
  <si>
    <t>L2_7_2_1</t>
  </si>
  <si>
    <t>L2_7_2_2</t>
  </si>
  <si>
    <t>L2_7_3</t>
  </si>
  <si>
    <t>L2_7_3_1</t>
  </si>
  <si>
    <t>L2_7_3_2</t>
  </si>
  <si>
    <t>L2_7_4</t>
  </si>
  <si>
    <t>L2_7_4_1</t>
  </si>
  <si>
    <t>L2_7_4_2</t>
  </si>
  <si>
    <t>L2_7_5</t>
  </si>
  <si>
    <t>L2_7_5_1</t>
  </si>
  <si>
    <t>L2_7_5_2</t>
  </si>
  <si>
    <t>L2_8</t>
  </si>
  <si>
    <t>L2_8_1</t>
  </si>
  <si>
    <t>L2_8_2</t>
  </si>
  <si>
    <t>L2_8_3</t>
  </si>
  <si>
    <t>L2_8_4</t>
  </si>
  <si>
    <t>L2_8_5</t>
  </si>
  <si>
    <t>L2_9</t>
  </si>
  <si>
    <t>L2_9_1</t>
  </si>
  <si>
    <t>L2_9_2</t>
  </si>
  <si>
    <t>L2_9_3</t>
  </si>
  <si>
    <t>L2_10</t>
  </si>
  <si>
    <t>L2_11</t>
  </si>
  <si>
    <t>L2_12</t>
  </si>
  <si>
    <t>L2_13</t>
  </si>
  <si>
    <t>L2_13_1</t>
  </si>
  <si>
    <t>L2_13_2</t>
  </si>
  <si>
    <t>L2_14</t>
  </si>
  <si>
    <t>L2_15</t>
  </si>
  <si>
    <t>Полезный отпуск продукции на реализацию потребителям без учёта перепродажи (Гкал):
[БПр!п.3.2:3.4] - комбинированная выработка
* Всего по МО без учёта перепродажи и без учёта транспортировки</t>
  </si>
  <si>
    <t>Полезный отпуск продукции на реализацию потребителям без учёта перепродажи (Гкал):
[ТМ1!п.2.3.3;2.4.3;2.5.3] - передача
[БПр!п.3.2:3.4] - комбинированная выработка
[БПр!п.3.2:3.4 + БПр!п.5.2.3] - остальные
* Всего по МО без учёта перепродажи и без учёта транспортировки</t>
  </si>
  <si>
    <t>t</t>
  </si>
  <si>
    <t>http://support.eias.ru/index.php?a=add&amp;catid=44</t>
  </si>
  <si>
    <t>Консультации:</t>
  </si>
  <si>
    <t>среднемесячная оплата труда прочего персонала, относимого на регулируемый вид деятельности (руб.)</t>
  </si>
  <si>
    <t>Данный шаблон (заполненный) необходимо отправлять в Ваш региональный орган регулирования</t>
  </si>
  <si>
    <t xml:space="preserve">Лист "РО" (расходы организаций) предусматривает заполнение расходов как организаций, работающих на упрощенной системе налогообложения, так и на традиционной системе налогообложения.
Расходы организаций, работающих на упрощенной системе налогообложения, в части приобретения материалов, энергоресурсов, услуг от сторонних потребителей, указываются с учётом налога на добавленную стоимость.
Расходы организаций, работающих на традиционной системе налогообложения, указываются без учёта налога на добавленную стоимость.
</t>
  </si>
  <si>
    <t>Шаблон предназначен для представления информации по фактическим технико-экономическим показателям ОКК на 2012 год по одному муниципальному образованию. Для заполнения данных по следующему муниципальному образованию необходимо сделать копию шаблона. Число шаблонов должно соответствовать количеству муниципальных образований в субъекте РФ, в которых оказывается соответствующая коммунальная услуга.</t>
  </si>
  <si>
    <r>
      <rPr>
        <sz val="10"/>
        <rFont val="Tahoma"/>
        <family val="2"/>
        <charset val="204"/>
      </rPr>
      <t>На листе "Список организаций" предусмотрен выбор организаций как по данным мониторинга "Уточнённый план на 2012 год", так и из общего перечня ФСТ России. При выборе организации по данным предыдущего мониторинга производится справочное автозаполнение листов "БПр" и "БТр" в части годовых объёмов (строки с</t>
    </r>
    <r>
      <rPr>
        <sz val="10"/>
        <color indexed="18"/>
        <rFont val="Tahoma"/>
        <family val="2"/>
        <charset val="204"/>
      </rPr>
      <t xml:space="preserve"> синим </t>
    </r>
    <r>
      <rPr>
        <sz val="10"/>
        <rFont val="Tahoma"/>
        <family val="2"/>
        <charset val="204"/>
      </rPr>
      <t>шрифтом), а также подстановка тарифов по периодам отчётности на листах "ТМ1" и "ТМ2".</t>
    </r>
  </si>
  <si>
    <t>На листах "БПр" и "БТр" данные указываются с детализацией по месяцам, на остальных листах все показатели указываются в отношении 6:2:4 месяца 2012 года.</t>
  </si>
  <si>
    <t xml:space="preserve">Расчёт доходов организации производится по тарифам, утверждённым органами исполнительной власти субъектов Российской Федерации на 2012 год, и исходя из фактических объёмов отпуска потребителям. 
Полученную прибыль от реализации продукции, указываемую на листах "РР", необходимо отражать на полезный отпуск на реализацию потребителям (организациям-перепродавцам, бюджетным потребителям, населению и прочим потребителям).
</t>
  </si>
  <si>
    <t>На листах "РО" (расходы организаций) необходимо указывать фактические расходы ОКК на общий полезный отпуск продукции.
На листахт "РР" (расходы на реализацию) производится расчёт расходов для конечных групп потребителей. Коэффициент на реализацию коммунального ресурса потребителям рассчитывается пропорционально объёмам, указанным на листах "БПр", "БТр", за исключением объёмов отпуска ресурса на производственные (собственные) нужды организаций.</t>
  </si>
  <si>
    <t>Собрать данные по организациям в нескольких отчётах в один от МО можно с помощью листа "Свод"</t>
  </si>
  <si>
    <t>2.8.3</t>
  </si>
  <si>
    <t>2.8.4</t>
  </si>
  <si>
    <t>2.8.5</t>
  </si>
  <si>
    <t>2.9</t>
  </si>
  <si>
    <t>2.9.1</t>
  </si>
  <si>
    <t>2.9.2</t>
  </si>
  <si>
    <t>2.9.3</t>
  </si>
  <si>
    <t>2.10</t>
  </si>
  <si>
    <t>2.11</t>
  </si>
  <si>
    <t>2.12</t>
  </si>
  <si>
    <t>2.13</t>
  </si>
  <si>
    <t>Расходы по сомнительным долгам</t>
  </si>
  <si>
    <t>2.13.1</t>
  </si>
  <si>
    <t>безнадежная дебиторская задолженность</t>
  </si>
  <si>
    <t>2.13.2</t>
  </si>
  <si>
    <t>резерв для погашения сомнительных долгов</t>
  </si>
  <si>
    <t>2.14</t>
  </si>
  <si>
    <t>Расходы по проведению аварийно-восстановительных работ</t>
  </si>
  <si>
    <t>2.15</t>
  </si>
  <si>
    <t>Цеховые расходы  (за исключением затрат на оплату труда)</t>
  </si>
  <si>
    <t>2.16</t>
  </si>
  <si>
    <t>Общеэксплуатационные расходы (за исключением затрат на оплату труда)</t>
  </si>
  <si>
    <t>2.17</t>
  </si>
  <si>
    <t>Прочие прямые расходы, в том числе</t>
  </si>
  <si>
    <t>2.17.1</t>
  </si>
  <si>
    <t>Плата за выбросы загрязняющих веществ</t>
  </si>
  <si>
    <t>2.17.2</t>
  </si>
  <si>
    <t>Приобретение инвентаря (в том числе, канцтоваров)</t>
  </si>
  <si>
    <t>2.17.3</t>
  </si>
  <si>
    <t>Услуги связи</t>
  </si>
  <si>
    <t>2.17.4</t>
  </si>
  <si>
    <t>Лицензирование</t>
  </si>
  <si>
    <t>2.17.5</t>
  </si>
  <si>
    <t>Обучение персонала</t>
  </si>
  <si>
    <t>2.17.6</t>
  </si>
  <si>
    <t>Страхование</t>
  </si>
  <si>
    <t>2.17.7</t>
  </si>
  <si>
    <t xml:space="preserve">Охрана труда </t>
  </si>
  <si>
    <t>2.17.8</t>
  </si>
  <si>
    <t>Расходы на ГСМ (и/или расходы на аренду спецтехники)</t>
  </si>
  <si>
    <t>2.17.9</t>
  </si>
  <si>
    <t>Другие прочие прямые расходы</t>
  </si>
  <si>
    <t>2.18</t>
  </si>
  <si>
    <t>Налоги и сборы, включаемые в себестоимость продукции, в том числе:</t>
  </si>
  <si>
    <t>2.18.1</t>
  </si>
  <si>
    <t>2.18.2</t>
  </si>
  <si>
    <t>налог на воду</t>
  </si>
  <si>
    <t>2.18.3</t>
  </si>
  <si>
    <t>2.18.4</t>
  </si>
  <si>
    <t>единый налог, уплачиваемый организацией, применяющей упрощенную систему налогообложения</t>
  </si>
  <si>
    <t>2.18.5</t>
  </si>
  <si>
    <t>транспортный налог</t>
  </si>
  <si>
    <t xml:space="preserve">Прибыль на развитие производства , в том числе </t>
  </si>
  <si>
    <t>прибыль на капитальные вложения</t>
  </si>
  <si>
    <t>Налоги, сборы, платежи - всего, в том числе:</t>
  </si>
  <si>
    <t>3.5.1</t>
  </si>
  <si>
    <t xml:space="preserve">Налог на прибыль, в том числе </t>
  </si>
  <si>
    <t>3.5.1.1</t>
  </si>
  <si>
    <t>налог от капитальных вложений</t>
  </si>
  <si>
    <t>3.5.2</t>
  </si>
  <si>
    <t>Другие налоги</t>
  </si>
  <si>
    <t>Недополученный по независящим причинам доход</t>
  </si>
  <si>
    <t>5/31/2013  11:18:28 AM</t>
  </si>
  <si>
    <t>5/31/2013  11:18:29 AM</t>
  </si>
  <si>
    <t>VSNA_TM2_1_TARIFF_P_RANGE</t>
  </si>
  <si>
    <t>VSNA_TM2_2_TARIFF_P_RANGE</t>
  </si>
  <si>
    <t>VOTV_TM2_ADD_RANGE</t>
  </si>
  <si>
    <t>VSNA_TM2_EMPTY_RANGE</t>
  </si>
  <si>
    <t>VOTV_TM2_EMPTY_RANGE</t>
  </si>
  <si>
    <t>VOTV_TM2_1_TARIFF_RANGE</t>
  </si>
  <si>
    <t>VOTV_TM2_2_TARIFF_RANGE</t>
  </si>
  <si>
    <t>sp@eias.ru</t>
  </si>
  <si>
    <t>TEMPLATE_SPHERE_CODE</t>
  </si>
  <si>
    <t>VSNA</t>
  </si>
  <si>
    <t>HEAT</t>
  </si>
  <si>
    <t>VOTV</t>
  </si>
  <si>
    <t>UTBO</t>
  </si>
  <si>
    <t>TEMPLATE_PERIOD_COUNT</t>
  </si>
  <si>
    <t>HEAT_TRANSMISSION_TARIFF_UNIT</t>
  </si>
  <si>
    <t>HEAT_BUYING_ENERGY_P</t>
  </si>
  <si>
    <t>HEAT_BUYING_ENERGY_U</t>
  </si>
  <si>
    <t>1.4.1</t>
  </si>
  <si>
    <t>1.4.2</t>
  </si>
  <si>
    <t>TARIFF_SETUP_METHOD_CODE</t>
  </si>
  <si>
    <t>VOTV_P_TM1_DOCUMENTS_RANGE</t>
  </si>
  <si>
    <t>VOTV_P_TM1_DOCUMENTS_RANGE_NEW</t>
  </si>
  <si>
    <t>VOTV_P_TM1_DOCUMENTS_RANGE_RESET</t>
  </si>
  <si>
    <t>VOTV_P_TM1_DOCUMENTS_RANGE_EDIT</t>
  </si>
  <si>
    <t>VOTV_P_TM1_DOCUMENTS_RANGE_EMPTY</t>
  </si>
  <si>
    <t>VOTV_U_TM1_DOCUMENTS_RANGE</t>
  </si>
  <si>
    <t>VOTV_P_TM2_DOCUMENTS_RANGE</t>
  </si>
  <si>
    <t>VOTV_P_TM2_DOCUMENTS_RANGE_NEW</t>
  </si>
  <si>
    <t>VOTV_P_TM2_DOCUMENTS_RANGE_RESET</t>
  </si>
  <si>
    <t>VOTV_P_TM2_DOCUMENTS_RANGE_EDIT</t>
  </si>
  <si>
    <t>VOTV_P_TM2_DOCUMENTS_RANGE_EMPTY</t>
  </si>
  <si>
    <t>VOTV_U_TM2_DOCUMENTS_RANGE</t>
  </si>
  <si>
    <t>7</t>
  </si>
  <si>
    <t xml:space="preserve">Отчисления на социальные нужды, в том числе </t>
  </si>
  <si>
    <t>7.1</t>
  </si>
  <si>
    <t>отчисления на соц. нужды от заработной платы основных производственных рабочих</t>
  </si>
  <si>
    <t>7.2</t>
  </si>
  <si>
    <t>отчисления на соц. нужды от заработной платы ремонтного персонала</t>
  </si>
  <si>
    <t>9.2</t>
  </si>
  <si>
    <t>7.3</t>
  </si>
  <si>
    <t>отчисления на соц. нужды от заработной платы цехового персонала</t>
  </si>
  <si>
    <t>10.3</t>
  </si>
  <si>
    <t>7.4</t>
  </si>
  <si>
    <t>отчисления на соц. нужды от заработной платы АУП</t>
  </si>
  <si>
    <t>10.4</t>
  </si>
  <si>
    <t>7.5</t>
  </si>
  <si>
    <t>отчисления на соц. нужды от заработной платы прочего персонала</t>
  </si>
  <si>
    <t>8</t>
  </si>
  <si>
    <t>Амортизация, включая амортизацию производственного оборудования</t>
  </si>
  <si>
    <t>8.1</t>
  </si>
  <si>
    <t>из них амортизация, направленная на возмещение расходов по реализации мероприятий, предусмотренных утверждёнными в установленном порядке инвестиционными программами</t>
  </si>
  <si>
    <t>9</t>
  </si>
  <si>
    <t>Прочие затраты всего, в том числе</t>
  </si>
  <si>
    <t>расходы по подготовке и освоению производства (пуско-наладочные работы)</t>
  </si>
  <si>
    <t>целевые средства на НИОКР</t>
  </si>
  <si>
    <t>9.3</t>
  </si>
  <si>
    <t>средства на страхование</t>
  </si>
  <si>
    <t>9.4</t>
  </si>
  <si>
    <t>плата за предельно допустимые выбросы (сбросы) загрязняющих веществ</t>
  </si>
  <si>
    <t>9.5</t>
  </si>
  <si>
    <t>отчисления в ремонтный фонд в случае его формирования</t>
  </si>
  <si>
    <t>9.6</t>
  </si>
  <si>
    <t xml:space="preserve">аренда </t>
  </si>
  <si>
    <t>9.7</t>
  </si>
  <si>
    <t>налог на землю</t>
  </si>
  <si>
    <t>HEATING_FEATURES</t>
  </si>
  <si>
    <t>VSNA_FEATURES</t>
  </si>
  <si>
    <t>VOTV_FEATURES</t>
  </si>
  <si>
    <t xml:space="preserve">Чтобы проверить наличие обновлений, нажмите кнопку «Обновить текущую версию шаблона». Лог обновления и статусные сообщения дублируются на листе «Лог обновления».
</t>
  </si>
  <si>
    <t>TEMPLATE_CLAIM</t>
  </si>
  <si>
    <t>Изменение полезного отпуска продукции (Гкал)</t>
  </si>
  <si>
    <t>17.1</t>
  </si>
  <si>
    <t>Полезный отпуск на нужды предприятия (Гкал)</t>
  </si>
  <si>
    <t>Полезный отпуск организациям-перепродавцам (Гкал)</t>
  </si>
  <si>
    <t xml:space="preserve">Изменение отпуска с коллекторов (Гкал), в т.ч. </t>
  </si>
  <si>
    <t>18.1</t>
  </si>
  <si>
    <t>18.2</t>
  </si>
  <si>
    <t>18.3</t>
  </si>
  <si>
    <t>18.4</t>
  </si>
  <si>
    <t>Организации-перепродавцы</t>
  </si>
  <si>
    <t>19</t>
  </si>
  <si>
    <t>Топливо</t>
  </si>
  <si>
    <t>10.2.1.1</t>
  </si>
  <si>
    <t>10.2.1.2</t>
  </si>
  <si>
    <t>10.2.1.3</t>
  </si>
  <si>
    <t>10.2.1.4</t>
  </si>
  <si>
    <t>10.2.2</t>
  </si>
  <si>
    <t>10.2.3</t>
  </si>
  <si>
    <t>10.2.4</t>
  </si>
  <si>
    <t>ФОТ с отчислениями</t>
  </si>
  <si>
    <t>10.2.5</t>
  </si>
  <si>
    <t>Амортизация</t>
  </si>
  <si>
    <t>10.2.6</t>
  </si>
  <si>
    <t>Отчисления в ремонтный фонд</t>
  </si>
  <si>
    <t>10.2.7</t>
  </si>
  <si>
    <t>Прочие расходы</t>
  </si>
  <si>
    <t>10.2.8</t>
  </si>
  <si>
    <t>Прибыль на капитальные вложения</t>
  </si>
  <si>
    <t>10.2.9</t>
  </si>
  <si>
    <t>Другие</t>
  </si>
  <si>
    <t>Необходимая валовая выручка без НДС</t>
  </si>
  <si>
    <t>Необходимая валовая выручка с НДС</t>
  </si>
  <si>
    <t xml:space="preserve"> </t>
  </si>
  <si>
    <t>20</t>
  </si>
  <si>
    <t>21</t>
  </si>
  <si>
    <t>22</t>
  </si>
  <si>
    <t>Избыток средств / недополученный доход в текущем периоде регулирования</t>
  </si>
  <si>
    <t>19.1</t>
  </si>
  <si>
    <t>19.2</t>
  </si>
  <si>
    <t>01.01 - 30.06</t>
  </si>
  <si>
    <t>22.0.1</t>
  </si>
  <si>
    <t>22.0.2</t>
  </si>
  <si>
    <t>22.1</t>
  </si>
  <si>
    <t>объём (Гкал)</t>
  </si>
  <si>
    <t>22.2</t>
  </si>
  <si>
    <t>22.3</t>
  </si>
  <si>
    <t>22.4</t>
  </si>
  <si>
    <t>II</t>
  </si>
  <si>
    <t>III</t>
  </si>
  <si>
    <t>01.09 - 31.12</t>
  </si>
  <si>
    <t>Вырабатываемая мощность станций</t>
  </si>
  <si>
    <t>1.1.1</t>
  </si>
  <si>
    <t>1.1.2</t>
  </si>
  <si>
    <t>1.1.3</t>
  </si>
  <si>
    <r>
      <t>1 группа: свыше 500 млн.м</t>
    </r>
    <r>
      <rPr>
        <vertAlign val="superscript"/>
        <sz val="9"/>
        <color indexed="8"/>
        <rFont val="Tahoma"/>
        <family val="2"/>
        <charset val="204"/>
      </rPr>
      <t>3</t>
    </r>
  </si>
  <si>
    <r>
      <t>2 группа: от 100 до 500 млн.м</t>
    </r>
    <r>
      <rPr>
        <vertAlign val="superscript"/>
        <sz val="9"/>
        <color indexed="8"/>
        <rFont val="Tahoma"/>
        <family val="2"/>
        <charset val="204"/>
      </rPr>
      <t>3</t>
    </r>
    <r>
      <rPr>
        <sz val="9"/>
        <color indexed="8"/>
        <rFont val="Tahoma"/>
        <family val="2"/>
        <charset val="204"/>
      </rPr>
      <t xml:space="preserve"> включительно</t>
    </r>
  </si>
  <si>
    <r>
      <t>3 группа: от 10 до 100 млн.м</t>
    </r>
    <r>
      <rPr>
        <vertAlign val="superscript"/>
        <sz val="9"/>
        <color indexed="8"/>
        <rFont val="Tahoma"/>
        <family val="2"/>
        <charset val="204"/>
      </rPr>
      <t>3</t>
    </r>
    <r>
      <rPr>
        <sz val="9"/>
        <color indexed="8"/>
        <rFont val="Tahoma"/>
        <family val="2"/>
        <charset val="204"/>
      </rPr>
      <t xml:space="preserve"> включительно</t>
    </r>
  </si>
  <si>
    <r>
      <t>4 группа: от 1 до 10 млн.м</t>
    </r>
    <r>
      <rPr>
        <vertAlign val="superscript"/>
        <sz val="9"/>
        <color indexed="8"/>
        <rFont val="Tahoma"/>
        <family val="2"/>
        <charset val="204"/>
      </rPr>
      <t>3</t>
    </r>
    <r>
      <rPr>
        <sz val="9"/>
        <color indexed="8"/>
        <rFont val="Tahoma"/>
        <family val="2"/>
        <charset val="204"/>
      </rPr>
      <t xml:space="preserve"> включительно</t>
    </r>
  </si>
  <si>
    <r>
      <t>5 группа: от 0,1 до 1 млн.м</t>
    </r>
    <r>
      <rPr>
        <vertAlign val="superscript"/>
        <sz val="9"/>
        <color indexed="8"/>
        <rFont val="Tahoma"/>
        <family val="2"/>
        <charset val="204"/>
      </rPr>
      <t>3</t>
    </r>
    <r>
      <rPr>
        <sz val="9"/>
        <color indexed="8"/>
        <rFont val="Tahoma"/>
        <family val="2"/>
        <charset val="204"/>
      </rPr>
      <t xml:space="preserve"> включительно</t>
    </r>
  </si>
  <si>
    <r>
      <t>6 группа: от 0,01 до 0,1 млн.м</t>
    </r>
    <r>
      <rPr>
        <vertAlign val="superscript"/>
        <sz val="9"/>
        <color indexed="8"/>
        <rFont val="Tahoma"/>
        <family val="2"/>
        <charset val="204"/>
      </rPr>
      <t>3</t>
    </r>
    <r>
      <rPr>
        <sz val="9"/>
        <color indexed="8"/>
        <rFont val="Tahoma"/>
        <family val="2"/>
        <charset val="204"/>
      </rPr>
      <t xml:space="preserve"> включительно</t>
    </r>
  </si>
  <si>
    <r>
      <t>1 группа: свыше 500 млн.м</t>
    </r>
    <r>
      <rPr>
        <vertAlign val="superscript"/>
        <sz val="9"/>
        <rFont val="Tahoma"/>
        <family val="2"/>
        <charset val="204"/>
      </rPr>
      <t>3</t>
    </r>
  </si>
  <si>
    <t>4.13.1.1</t>
  </si>
  <si>
    <t>4.13.1.2</t>
  </si>
  <si>
    <t>4.13.2.1</t>
  </si>
  <si>
    <t>4.13.2.2</t>
  </si>
  <si>
    <t>4.13.3.1</t>
  </si>
  <si>
    <t>4.13.3.2</t>
  </si>
  <si>
    <t>4.13.4.1</t>
  </si>
  <si>
    <t>4.13.4.2</t>
  </si>
  <si>
    <t>NOMER</t>
  </si>
  <si>
    <t>INN</t>
  </si>
  <si>
    <t>KPP</t>
  </si>
  <si>
    <t>ORG</t>
  </si>
  <si>
    <t>FIL</t>
  </si>
  <si>
    <t>VDET</t>
  </si>
  <si>
    <t>RESELLER</t>
  </si>
  <si>
    <t>TARIFF</t>
  </si>
  <si>
    <t>DPR</t>
  </si>
  <si>
    <t>NDS</t>
  </si>
  <si>
    <t>TR_FROM_TR</t>
  </si>
  <si>
    <t>TR_TO_TR</t>
  </si>
  <si>
    <t>POWER_CAPACITY</t>
  </si>
  <si>
    <t>производство комбинированная выработка</t>
  </si>
  <si>
    <t>более 25 МВт</t>
  </si>
  <si>
    <t>производство (некомбинированная выработка)+сбыт</t>
  </si>
  <si>
    <t>L1_1</t>
  </si>
  <si>
    <t>L1_2</t>
  </si>
  <si>
    <t>L1_3</t>
  </si>
  <si>
    <t>SCENARIO</t>
  </si>
  <si>
    <t>L1</t>
  </si>
  <si>
    <t>L2</t>
  </si>
  <si>
    <t>L3</t>
  </si>
  <si>
    <t>L3_1</t>
  </si>
  <si>
    <t>L3_2</t>
  </si>
  <si>
    <t>L3_3</t>
  </si>
  <si>
    <t>L3_4</t>
  </si>
  <si>
    <t>L3_5</t>
  </si>
  <si>
    <t>L3_6</t>
  </si>
  <si>
    <t>L4_1</t>
  </si>
  <si>
    <t>L4_1_1</t>
  </si>
  <si>
    <t>L4_2</t>
  </si>
  <si>
    <t>L5</t>
  </si>
  <si>
    <t>L5_1</t>
  </si>
  <si>
    <t>L5_2</t>
  </si>
  <si>
    <t>L5_2_1</t>
  </si>
  <si>
    <t>L5_2_2</t>
  </si>
  <si>
    <t>L5_2_3</t>
  </si>
  <si>
    <t>L5_2_3_1</t>
  </si>
  <si>
    <t>L5_2_3_2</t>
  </si>
  <si>
    <t>L5_2_3_3</t>
  </si>
  <si>
    <t>NOMER2</t>
  </si>
  <si>
    <t>L0</t>
  </si>
  <si>
    <t>PRD2</t>
  </si>
  <si>
    <t>5.2.1.1</t>
  </si>
  <si>
    <t>5.2.1.2</t>
  </si>
  <si>
    <t>Товарная продукция на реализацию потребителям без учёта НДС</t>
  </si>
  <si>
    <t>Товарная продукция на реализацию потребителям с учётом НДС</t>
  </si>
  <si>
    <r>
      <t>тариф (руб./м</t>
    </r>
    <r>
      <rPr>
        <vertAlign val="superscript"/>
        <sz val="9"/>
        <rFont val="Tahoma"/>
        <family val="2"/>
        <charset val="204"/>
      </rPr>
      <t>3</t>
    </r>
    <r>
      <rPr>
        <sz val="9"/>
        <rFont val="Tahoma"/>
        <family val="2"/>
        <charset val="204"/>
      </rPr>
      <t>)</t>
    </r>
  </si>
  <si>
    <r>
      <t>объём (м</t>
    </r>
    <r>
      <rPr>
        <vertAlign val="superscript"/>
        <sz val="9"/>
        <rFont val="Tahoma"/>
        <family val="2"/>
        <charset val="204"/>
      </rPr>
      <t>3</t>
    </r>
    <r>
      <rPr>
        <sz val="9"/>
        <rFont val="Tahoma"/>
        <family val="2"/>
        <charset val="204"/>
      </rPr>
      <t>)</t>
    </r>
  </si>
  <si>
    <t>Информация о решении</t>
  </si>
  <si>
    <t>Реквизиты изменяемого решения</t>
  </si>
  <si>
    <t>Срок действия тарифа</t>
  </si>
  <si>
    <t>Пояснения к решению</t>
  </si>
  <si>
    <t>Дата принятия решения</t>
  </si>
  <si>
    <t>Номер</t>
  </si>
  <si>
    <t>Дата начала</t>
  </si>
  <si>
    <t>Дата окончания</t>
  </si>
  <si>
    <t>Новое решение</t>
  </si>
  <si>
    <t>Перерегулирование</t>
  </si>
  <si>
    <t>Исправления в соответствии с предписанием КРУ</t>
  </si>
  <si>
    <t>DOCUMENT_SOURCE</t>
  </si>
  <si>
    <t>на решение</t>
  </si>
  <si>
    <t>на протокол</t>
  </si>
  <si>
    <t>на экспертное заключение</t>
  </si>
  <si>
    <t>URL-ссылка (для скачивания)</t>
  </si>
  <si>
    <t>Оказание услуг в сфере водоснабжения</t>
  </si>
  <si>
    <t>Оказание услуг в сфере водоснабжения и очистки сточных вод</t>
  </si>
  <si>
    <t>HEAT_ConR_ADD_RANGE</t>
  </si>
  <si>
    <t>HEAT_ConR_EMPTY_RANGE</t>
  </si>
  <si>
    <t>HEAT_ConR_RANGE_VDET_PER_PLUS_SBIT</t>
  </si>
  <si>
    <t>HEAT_ConR_RANGE</t>
  </si>
  <si>
    <t>HEAT_ConR_RANGE_VDET_PER</t>
  </si>
  <si>
    <t>HEAT_ConR_RANGE_VDET_COMBI</t>
  </si>
  <si>
    <t>HEAT_ConR_YEAR_RANGE_VDET_PER_PLUS_SBIT</t>
  </si>
  <si>
    <t>HEAT_ConR_YEAR_RANGE</t>
  </si>
  <si>
    <t>HEAT_ConR_YEAR_RANGE_VDET_PER</t>
  </si>
  <si>
    <t>HEAT_ConR_YEAR_RANGE_VDET_COMBI</t>
  </si>
  <si>
    <t>HEAT_ConR_YEAR_RANGE_VDET_PER_RAB</t>
  </si>
  <si>
    <t>Р</t>
  </si>
  <si>
    <t>HEAT_ConR_FUEL_EMPTY_RANGE</t>
  </si>
  <si>
    <t>HEAT_ConR_FUEL_RANGE_VDET_PER_PLUS_SBIT</t>
  </si>
  <si>
    <t>HEAT_ConR_FUEL_RANGE</t>
  </si>
  <si>
    <t>HEAT_ConR_FUEL_RANGE_VDET_PER</t>
  </si>
  <si>
    <t>HEAT_ConR_FUEL_RANGE_VDET_COMBI</t>
  </si>
  <si>
    <t>HEAT_CALC_YEAR_FUEL_EMPTY_RANGE</t>
  </si>
  <si>
    <t>HEAT_CALC_YEAR_FUEL_RANGE_VDET_PER_PLUS_SBIT</t>
  </si>
  <si>
    <t>HEAT_CALC_YEAR_FUEL_RANGE_PERIOD</t>
  </si>
  <si>
    <t>HEAT_CALC_YEAR_FUEL_RANGE_VDET_PER_PERIOD</t>
  </si>
  <si>
    <t>HEAT_CALC_YEAR_FUEL_RANGE_VDET_COMBI</t>
  </si>
  <si>
    <t>HEAT_CALC_YEAR_ADD_RANGE</t>
  </si>
  <si>
    <t>HEAT_ConR_YEAR_ADD_RANGE</t>
  </si>
  <si>
    <t>HEAT_ConR_YEAR_FUEL_EMPTY_RANGE</t>
  </si>
  <si>
    <t>HEAT_ConR_YEAR_FUEL_RANGE_VDET_PER_PLUS_SBIT</t>
  </si>
  <si>
    <t>HEAT_ConR_YEAR_FUEL_RANGE</t>
  </si>
  <si>
    <t>HEAT_ConR_YEAR_FUEL_RANGE_VDET_PER</t>
  </si>
  <si>
    <t>HEAT_ConR_YEAR_FUEL_RANGE_VDET_COMBI</t>
  </si>
  <si>
    <t>Финансовые средства на финансирование инвестиционной программы</t>
  </si>
  <si>
    <t>8.2</t>
  </si>
  <si>
    <t>8.3</t>
  </si>
  <si>
    <t>Объём реализации потребителям, по которому осуществлялись расчёты с учётом надбавки к тарифу (куб.м)</t>
  </si>
  <si>
    <t>Инвестиционная надбавка, без НДС (руб./куб.м)</t>
  </si>
  <si>
    <t>Инвестиционная надбавка, с НДС (руб./куб.м)</t>
  </si>
  <si>
    <t>VSNA_ConR_ADD_RANGE</t>
  </si>
  <si>
    <t>VSNA_ConR_T_ISSUE_RANGE</t>
  </si>
  <si>
    <t>VSNA_ConR_P_ISSUE_RANGE</t>
  </si>
  <si>
    <t>VSNA_ConR_P_T_ISSUE_RANGE</t>
  </si>
  <si>
    <t>VSNA_ConR_T_TR_ISSUE_RANGE</t>
  </si>
  <si>
    <t>VSNA_ConR_P_TR_ISSUE_RANGE</t>
  </si>
  <si>
    <t>VSNA_ConR_P_T_TR_ISSUE_RANGE</t>
  </si>
  <si>
    <t>VSNA_ConR_EMPTY_RANGE</t>
  </si>
  <si>
    <t>VSNA_ConR_T_RANGE</t>
  </si>
  <si>
    <t>VSNA_ConR_P_RANGE</t>
  </si>
  <si>
    <t>VSNA_ConR_P_T_RANGE</t>
  </si>
  <si>
    <t>VSNA_ConR_T_CALC_RANGE</t>
  </si>
  <si>
    <t>VSNA_ConR_P_CALC_RANGE</t>
  </si>
  <si>
    <t>VSNA_ConR_P_T_CALC_RANGE</t>
  </si>
  <si>
    <t>VSNA_ConR_T_TR_CALC_RANGE</t>
  </si>
  <si>
    <t>VSNA_ConR_P_TR_CALC_RANGE</t>
  </si>
  <si>
    <t>VSNA_ConR_P_T_TR_CALC_RANGE</t>
  </si>
  <si>
    <t>VSNA_ConR_YEAR_ADD_RANGE</t>
  </si>
  <si>
    <t>VSNA_ConR_YEAR_EMPTY_RANGE</t>
  </si>
  <si>
    <t>VSNA_ConR_YEAR_T_RANGE</t>
  </si>
  <si>
    <t>VSNA_ConR_YEAR_P_RANGE</t>
  </si>
  <si>
    <t>VSNA_ConR_YEAR_P_T_RANGE</t>
  </si>
  <si>
    <t>VSNA_ConR_YEAR_T_CALC_RANGE</t>
  </si>
  <si>
    <t>VSNA_ConR_YEAR_P_CALC_RANGE</t>
  </si>
  <si>
    <t>VSNA_ConR_YEAR_P_T_CALC_RANGE</t>
  </si>
  <si>
    <t>VSNA_ConR_YEAR_T_TR_CALC_RANGE</t>
  </si>
  <si>
    <t>VSNA_ConR_YEAR_P_TR_CALC_RANGE</t>
  </si>
  <si>
    <t>VSNA_ConR_YEAR_P_T_TR_CALC_RANGE</t>
  </si>
  <si>
    <t>VOTV_ConR_ADD_RANGE</t>
  </si>
  <si>
    <t>VOTV_ConR_TR_ISSUE_RANGE</t>
  </si>
  <si>
    <t>VOTV_ConR_PR_ISSUE_RANGE</t>
  </si>
  <si>
    <t>VOTV_ConR_EMPTY_RANGE</t>
  </si>
  <si>
    <t>VOTV_ConR_TR_RANGE</t>
  </si>
  <si>
    <t>VOTV_ConR_PR_RANGE</t>
  </si>
  <si>
    <t>VOTV_ConR_TR_CALC_RANGE</t>
  </si>
  <si>
    <t>VOTV_ConR_PR_CALC_RANGE</t>
  </si>
  <si>
    <t>VOTV_ConR_YEAR_ADD_RANGE</t>
  </si>
  <si>
    <t>VOTV_ConR_YEAR_EMPTY_RANGE</t>
  </si>
  <si>
    <t>VOTV_ConR_YEAR_TR_RANGE</t>
  </si>
  <si>
    <t>VOTV_ConR_YEAR_PR_RANGE</t>
  </si>
  <si>
    <t>VOTV_ConR_YEAR_TR_CALC_RANGE</t>
  </si>
  <si>
    <t>VOTV_ConR_YEAR_PR_CALC_RANGE</t>
  </si>
  <si>
    <t>18.5</t>
  </si>
  <si>
    <r>
      <rPr>
        <sz val="9"/>
        <rFont val="Tahoma"/>
        <family val="2"/>
        <charset val="204"/>
      </rPr>
      <t xml:space="preserve">(в строках с </t>
    </r>
    <r>
      <rPr>
        <sz val="9"/>
        <color indexed="18"/>
        <rFont val="Tahoma"/>
        <family val="2"/>
        <charset val="204"/>
      </rPr>
      <t>синим</t>
    </r>
    <r>
      <rPr>
        <sz val="9"/>
        <rFont val="Tahoma"/>
        <family val="2"/>
        <charset val="204"/>
      </rPr>
      <t xml:space="preserve"> шрифтом справочно производится подстановка годовых значений по данным мониторинга "Уточнённый план")</t>
    </r>
  </si>
  <si>
    <t>Заполнить отчёт данными мониторинга "Уточнённый план"</t>
  </si>
  <si>
    <t>L2_16</t>
  </si>
  <si>
    <t>L2_17</t>
  </si>
  <si>
    <t>L2_17_1</t>
  </si>
  <si>
    <t>L2_17_2</t>
  </si>
  <si>
    <t>L2_17_3</t>
  </si>
  <si>
    <t>L2_17_4</t>
  </si>
  <si>
    <t>L2_17_5</t>
  </si>
  <si>
    <t>L2_17_6</t>
  </si>
  <si>
    <t>L2_17_7</t>
  </si>
  <si>
    <t>L2_17_8</t>
  </si>
  <si>
    <t>L2_17_9</t>
  </si>
  <si>
    <t>L2_18</t>
  </si>
  <si>
    <t>L2_18_1</t>
  </si>
  <si>
    <t>L2_18_2</t>
  </si>
  <si>
    <t>L2_18_3</t>
  </si>
  <si>
    <t>L2_18_4</t>
  </si>
  <si>
    <t>L2_18_5</t>
  </si>
  <si>
    <t>L3_1_1</t>
  </si>
  <si>
    <t>L3_5_1</t>
  </si>
  <si>
    <t>L3_5_1_1</t>
  </si>
  <si>
    <t>L3_5_2</t>
  </si>
  <si>
    <t>L4_0</t>
  </si>
  <si>
    <t>L2_7_0_1</t>
  </si>
  <si>
    <t>L2_7_0_2</t>
  </si>
  <si>
    <t>L2_7_0_3</t>
  </si>
  <si>
    <t>L2_7_1_3</t>
  </si>
  <si>
    <t>L2_7_1_4</t>
  </si>
  <si>
    <t>L2_7_1_5</t>
  </si>
  <si>
    <t>L2_7_2_3</t>
  </si>
  <si>
    <t>L2_7_2_4</t>
  </si>
  <si>
    <t>L2_7_2_5</t>
  </si>
  <si>
    <t>L1_2_1</t>
  </si>
  <si>
    <t>L1_2_2</t>
  </si>
  <si>
    <t>L1_2_3</t>
  </si>
  <si>
    <t>L1_2_4</t>
  </si>
  <si>
    <t>L5_2_1_1</t>
  </si>
  <si>
    <t>L5_2_1_2</t>
  </si>
  <si>
    <t>L5_2_1_3</t>
  </si>
  <si>
    <t>1.1.1.0.1</t>
  </si>
  <si>
    <t>1.1.1.0.2</t>
  </si>
  <si>
    <t>1.3.1</t>
  </si>
  <si>
    <t>L2_5_1</t>
  </si>
  <si>
    <t>L2_5_2</t>
  </si>
  <si>
    <t>L3_2_1</t>
  </si>
  <si>
    <t>L1_0_1</t>
  </si>
  <si>
    <t>L1_0_2</t>
  </si>
  <si>
    <t>L1_4_1</t>
  </si>
  <si>
    <t>L1_4_2</t>
  </si>
  <si>
    <t>L1_1_1_0_1</t>
  </si>
  <si>
    <t>L1_1_1_0_2</t>
  </si>
  <si>
    <t>L1_3_1</t>
  </si>
  <si>
    <t>L2_1_3</t>
  </si>
  <si>
    <t>L2_2_3</t>
  </si>
  <si>
    <t>L2_3_3</t>
  </si>
  <si>
    <t>L2_5_3</t>
  </si>
  <si>
    <t>Полезный отпуск на реализацию потребителям (тыс. куб.м):
[БТр!п.3.3:3.5] - транспортировка воды
[БПр!п.5.2.3] - остальные
* Всего по МО без учёта перепродажи и без учёта транспортировки</t>
  </si>
  <si>
    <t>Тарифы на услуги ОКК утверждались с учётом деления годовых затрат организаций на каждый соответствующий период календарной разбивки</t>
  </si>
  <si>
    <t>Объём дотаций из всех уровней бюджета</t>
  </si>
  <si>
    <t>22.5</t>
  </si>
  <si>
    <t>Полученная прибыль от реализации</t>
  </si>
  <si>
    <t>Убыток</t>
  </si>
  <si>
    <t>Оказание услуг в сфере водоснабжения и очистки сточных вод, транспортировка воды</t>
  </si>
  <si>
    <t>Оказание услуг в сфере водоснабжения и транспортировка воды</t>
  </si>
  <si>
    <t>Транспортировка воды</t>
  </si>
  <si>
    <t>питьевая вода</t>
  </si>
  <si>
    <t>техническая вода</t>
  </si>
  <si>
    <t>питьевая и техническая вода</t>
  </si>
  <si>
    <t>VTOV</t>
  </si>
  <si>
    <t>Оказание услуг в сфере водоотведения и очистки сточных вод</t>
  </si>
  <si>
    <t>Оказание услуг по перекачке</t>
  </si>
  <si>
    <t>Оказание услуг в сфере водоснабжения, водоотведения и очистки сточных вод</t>
  </si>
  <si>
    <t>Вид товара</t>
  </si>
  <si>
    <t>TEMPLATE_SPHERE_OKK_SOURCE</t>
  </si>
  <si>
    <t>Наименование</t>
  </si>
  <si>
    <t>Адрес</t>
  </si>
  <si>
    <t>Теплоисточник (котельная)</t>
  </si>
  <si>
    <t>RST_ORG_ID</t>
  </si>
  <si>
    <t>OKK_SOURCE_ID</t>
  </si>
  <si>
    <t xml:space="preserve"> - незаполняемые поля</t>
  </si>
  <si>
    <t>Установить цвет полей для отчёта (выделите поле и с помощью элементов настройки установите цвет):</t>
  </si>
  <si>
    <t>PALLETE</t>
  </si>
  <si>
    <t>L4</t>
  </si>
  <si>
    <t>L4_1_2</t>
  </si>
  <si>
    <t>L_STUB4</t>
  </si>
  <si>
    <t>L4_3</t>
  </si>
  <si>
    <t>L4_4</t>
  </si>
  <si>
    <t>L4_13_0_1</t>
  </si>
  <si>
    <t>L4_13_0_2</t>
  </si>
  <si>
    <t>L4_13_1_1</t>
  </si>
  <si>
    <t>L4_13_1_1_1</t>
  </si>
  <si>
    <t>L4_13_1_1_2</t>
  </si>
  <si>
    <t>L4_13_1_2</t>
  </si>
  <si>
    <t>L4_13_1_2_1</t>
  </si>
  <si>
    <t>L4_13_1_2_2</t>
  </si>
  <si>
    <t>L4_13_2_1</t>
  </si>
  <si>
    <t>L4_13_2_1_1</t>
  </si>
  <si>
    <t>L4_13_2_1_2</t>
  </si>
  <si>
    <t>L4_13_2_2</t>
  </si>
  <si>
    <t>L4_13_2_2_1</t>
  </si>
  <si>
    <t>L4_13_2_2_2</t>
  </si>
  <si>
    <t>L4_13_3_1</t>
  </si>
  <si>
    <t>L4_13_3_1_1</t>
  </si>
  <si>
    <t>L4_13_3_1_2</t>
  </si>
  <si>
    <t>L4_13_3_2</t>
  </si>
  <si>
    <t>L4_13_3_2_1</t>
  </si>
  <si>
    <t>L4_13_3_2_2</t>
  </si>
  <si>
    <t>L4_13_4_1</t>
  </si>
  <si>
    <t>L4_13_4_1_1</t>
  </si>
  <si>
    <t>L4_13_4_1_2</t>
  </si>
  <si>
    <t>L4_13_4_2</t>
  </si>
  <si>
    <t>L4_13_4_2_1</t>
  </si>
  <si>
    <t>L4_13_4_2_2</t>
  </si>
  <si>
    <t>L4_14</t>
  </si>
  <si>
    <t>ADD_LIST_ORG_RANGE</t>
  </si>
  <si>
    <t>Скопировать данные на листы других периодов</t>
  </si>
  <si>
    <t>Справочно: среднемесячная оплата труда в целом по организации (руб.)</t>
  </si>
  <si>
    <t>Справочно: численность персонала в целом по организации, ед.</t>
  </si>
  <si>
    <t>Ниже вы можете оставить свои комментарии</t>
  </si>
  <si>
    <r>
      <t>2 группа: от 100 до 500 млн.м</t>
    </r>
    <r>
      <rPr>
        <vertAlign val="superscript"/>
        <sz val="9"/>
        <rFont val="Tahoma"/>
        <family val="2"/>
        <charset val="204"/>
      </rPr>
      <t>3</t>
    </r>
    <r>
      <rPr>
        <sz val="9"/>
        <rFont val="Tahoma"/>
        <family val="2"/>
        <charset val="204"/>
      </rPr>
      <t xml:space="preserve"> включительно</t>
    </r>
  </si>
  <si>
    <r>
      <t>3 группа: от 10 до 100 млн.м</t>
    </r>
    <r>
      <rPr>
        <vertAlign val="superscript"/>
        <sz val="9"/>
        <rFont val="Tahoma"/>
        <family val="2"/>
        <charset val="204"/>
      </rPr>
      <t>3</t>
    </r>
    <r>
      <rPr>
        <sz val="9"/>
        <rFont val="Tahoma"/>
        <family val="2"/>
        <charset val="204"/>
      </rPr>
      <t xml:space="preserve"> включительно</t>
    </r>
  </si>
  <si>
    <r>
      <t>4 группа: от 1 до 10 млн.м</t>
    </r>
    <r>
      <rPr>
        <vertAlign val="superscript"/>
        <sz val="9"/>
        <rFont val="Tahoma"/>
        <family val="2"/>
        <charset val="204"/>
      </rPr>
      <t>3</t>
    </r>
    <r>
      <rPr>
        <sz val="9"/>
        <rFont val="Tahoma"/>
        <family val="2"/>
        <charset val="204"/>
      </rPr>
      <t xml:space="preserve"> включительно</t>
    </r>
  </si>
  <si>
    <r>
      <t>5 группа: от 0,1 до 1 млн.м</t>
    </r>
    <r>
      <rPr>
        <vertAlign val="superscript"/>
        <sz val="9"/>
        <rFont val="Tahoma"/>
        <family val="2"/>
        <charset val="204"/>
      </rPr>
      <t>3</t>
    </r>
    <r>
      <rPr>
        <sz val="9"/>
        <rFont val="Tahoma"/>
        <family val="2"/>
        <charset val="204"/>
      </rPr>
      <t xml:space="preserve"> включительно</t>
    </r>
  </si>
  <si>
    <r>
      <t>6 группа: от 0,01 до 0,1 млн.м</t>
    </r>
    <r>
      <rPr>
        <vertAlign val="superscript"/>
        <sz val="9"/>
        <rFont val="Tahoma"/>
        <family val="2"/>
        <charset val="204"/>
      </rPr>
      <t>3</t>
    </r>
    <r>
      <rPr>
        <sz val="9"/>
        <rFont val="Tahoma"/>
        <family val="2"/>
        <charset val="204"/>
      </rPr>
      <t xml:space="preserve"> включительно</t>
    </r>
  </si>
  <si>
    <t>YEAR</t>
  </si>
  <si>
    <t>С коллекторов, всего</t>
  </si>
  <si>
    <t>Из тепловой сети, всего</t>
  </si>
  <si>
    <t>6.0.1</t>
  </si>
  <si>
    <t>6.0.2</t>
  </si>
  <si>
    <t xml:space="preserve">Поднято воды </t>
  </si>
  <si>
    <t>Получено воды со стороны</t>
  </si>
  <si>
    <t>Пропущено воды через очистные сооружения (справочно)</t>
  </si>
  <si>
    <t>Подано воды в сеть</t>
  </si>
  <si>
    <t xml:space="preserve">Потери воды </t>
  </si>
  <si>
    <t>Отпущено воды, всего</t>
  </si>
  <si>
    <t>Расход воды на нужды предприятия</t>
  </si>
  <si>
    <t>Отпущено воды другим водопроводам</t>
  </si>
  <si>
    <t xml:space="preserve">Отпущено воды по категориям потребителей  </t>
  </si>
  <si>
    <t>Объём реализации воды питьевого качества по приборам учёта</t>
  </si>
  <si>
    <t>Объём реализации воды питьевого качества по нормативам</t>
  </si>
  <si>
    <t>Всего, в т.ч.</t>
  </si>
  <si>
    <t>на очистные сооружения</t>
  </si>
  <si>
    <t>на промывку сетей</t>
  </si>
  <si>
    <t>прочие</t>
  </si>
  <si>
    <t>5.2.1.3</t>
  </si>
  <si>
    <t>Принято воды для передачи</t>
  </si>
  <si>
    <t>Отпуск воды</t>
  </si>
  <si>
    <t>Организациям-перепродавцам</t>
  </si>
  <si>
    <t>Себестоимость</t>
  </si>
  <si>
    <t>Энергия, в том числе:</t>
  </si>
  <si>
    <t>Электрическая энергия</t>
  </si>
  <si>
    <t>2.1.1.0.1</t>
  </si>
  <si>
    <t>2.1.1.0.2</t>
  </si>
  <si>
    <t>Тепловая энергия</t>
  </si>
  <si>
    <t>Реагенты</t>
  </si>
  <si>
    <t>2.4</t>
  </si>
  <si>
    <t>Аренда основного оборудования</t>
  </si>
  <si>
    <t>по договорам лизинга</t>
  </si>
  <si>
    <t>по концессионным соглашениям</t>
  </si>
  <si>
    <t>иное</t>
  </si>
  <si>
    <t>2.5</t>
  </si>
  <si>
    <t>Текущий ремонт и техническое обслуживание</t>
  </si>
  <si>
    <t>2.6</t>
  </si>
  <si>
    <t>Капитальный ремонт</t>
  </si>
  <si>
    <t>2.7</t>
  </si>
  <si>
    <t>Затраты на оплату труда</t>
  </si>
  <si>
    <t>2.7.1</t>
  </si>
  <si>
    <t>2.7.1.1</t>
  </si>
  <si>
    <t>2.7.1.2</t>
  </si>
  <si>
    <t>2.7.2</t>
  </si>
  <si>
    <t>2.7.2.1</t>
  </si>
  <si>
    <t>2.7.2.2</t>
  </si>
  <si>
    <t>2.7.3</t>
  </si>
  <si>
    <t>2.7.3.1</t>
  </si>
  <si>
    <t>2.7.3.2</t>
  </si>
  <si>
    <t>2.7.4</t>
  </si>
  <si>
    <t>2.7.4.1</t>
  </si>
  <si>
    <t>2.7.4.2</t>
  </si>
  <si>
    <t>2.7.5</t>
  </si>
  <si>
    <t>2.7.5.1</t>
  </si>
  <si>
    <t>2.7.5.2</t>
  </si>
  <si>
    <t>2.8</t>
  </si>
  <si>
    <t>Отчисления на социальные нужды, в том числе</t>
  </si>
  <si>
    <t>2.8.1</t>
  </si>
  <si>
    <t>2.8.2</t>
  </si>
  <si>
    <t>Р1.1</t>
  </si>
  <si>
    <t>Р1.2</t>
  </si>
  <si>
    <t>Р1.3</t>
  </si>
  <si>
    <t>Р2</t>
  </si>
  <si>
    <t>Р3.1</t>
  </si>
  <si>
    <t>Р3.2</t>
  </si>
  <si>
    <t>Р4.1</t>
  </si>
  <si>
    <t>Р4.2</t>
  </si>
  <si>
    <t>Р5.1</t>
  </si>
  <si>
    <t>Р5.2</t>
  </si>
  <si>
    <t>Р6</t>
  </si>
  <si>
    <t>Реквизиты нового решения</t>
  </si>
  <si>
    <t>Значения в разделе можно вводить с помощью контекстных меню и форм (правой кнопкой или двойным щелчком мыши)</t>
  </si>
  <si>
    <t>VSNA_P_TM1_PT_DOCUMENTS_RANGE</t>
  </si>
  <si>
    <t>VSNA_U_TM1_PT_DOCUMENTS_RANGE</t>
  </si>
  <si>
    <t>VSNA_P_TM1_T_DOCUMENTS_RANGE</t>
  </si>
  <si>
    <t>VSNA_U_TM1_T_DOCUMENTS_RANGE</t>
  </si>
  <si>
    <t>5/30/2013  9:46:25 AM</t>
  </si>
  <si>
    <t>Проверка доступных обновлений...</t>
  </si>
  <si>
    <t>Информация</t>
  </si>
  <si>
    <t>5/30/2013  9:46:27 AM</t>
  </si>
  <si>
    <t>Нет доступных обновлений для шаблона с кодом BALANCE.CALC.TARIFF.VOTV.2012.FACT!</t>
  </si>
  <si>
    <t>Амурский муниципальный район</t>
  </si>
  <si>
    <t>08603000</t>
  </si>
  <si>
    <t>Болоньское</t>
  </si>
  <si>
    <t>08603420</t>
  </si>
  <si>
    <t>Вознесенское</t>
  </si>
  <si>
    <t>08603402</t>
  </si>
  <si>
    <t>Город Амурск</t>
  </si>
  <si>
    <t>08603101</t>
  </si>
  <si>
    <t>Джуенское</t>
  </si>
  <si>
    <t>08603404</t>
  </si>
  <si>
    <t>Литовское</t>
  </si>
  <si>
    <t>08603157</t>
  </si>
  <si>
    <t>Омминское</t>
  </si>
  <si>
    <t>08603407</t>
  </si>
  <si>
    <t>Падалинское</t>
  </si>
  <si>
    <t>08603410</t>
  </si>
  <si>
    <t>Санболинское</t>
  </si>
  <si>
    <t>08603413</t>
  </si>
  <si>
    <t>Эльбанское</t>
  </si>
  <si>
    <t>08603160</t>
  </si>
  <si>
    <t>село Ачан</t>
  </si>
  <si>
    <t>08603401</t>
  </si>
  <si>
    <t>Аяно-Майский муниципальный район</t>
  </si>
  <si>
    <t>08606000</t>
  </si>
  <si>
    <t>Аимское</t>
  </si>
  <si>
    <t>08606402</t>
  </si>
  <si>
    <t>Джигдинское</t>
  </si>
  <si>
    <t>08606413</t>
  </si>
  <si>
    <t>Нельканское</t>
  </si>
  <si>
    <t>08606416</t>
  </si>
  <si>
    <t>село Аян</t>
  </si>
  <si>
    <t>08606401</t>
  </si>
  <si>
    <t>Бикинский муниципальный район</t>
  </si>
  <si>
    <t>08609000</t>
  </si>
  <si>
    <t>Бойцовское</t>
  </si>
  <si>
    <t>08609402</t>
  </si>
  <si>
    <t>Добролюбовское</t>
  </si>
  <si>
    <t>08609406</t>
  </si>
  <si>
    <t>Лермонтовское</t>
  </si>
  <si>
    <t>08609408</t>
  </si>
  <si>
    <t>Лесопильненское</t>
  </si>
  <si>
    <t>08609407</t>
  </si>
  <si>
    <t>Лончаковское</t>
  </si>
  <si>
    <t>08609410</t>
  </si>
  <si>
    <t>Оренбургское</t>
  </si>
  <si>
    <t>08609412</t>
  </si>
  <si>
    <t>Покровское</t>
  </si>
  <si>
    <t>08609416</t>
  </si>
  <si>
    <t>Пушкинское</t>
  </si>
  <si>
    <t>08609420</t>
  </si>
  <si>
    <t>Ванинский муниципальный район</t>
  </si>
  <si>
    <t>08612000</t>
  </si>
  <si>
    <t>Даттинское</t>
  </si>
  <si>
    <t>08612405</t>
  </si>
  <si>
    <t>Кенадское</t>
  </si>
  <si>
    <t>08612410</t>
  </si>
  <si>
    <t>Монгохтинское</t>
  </si>
  <si>
    <t>08612411</t>
  </si>
  <si>
    <t>Поселок Ванино</t>
  </si>
  <si>
    <t>08612151</t>
  </si>
  <si>
    <t>Поселок Высокогорный</t>
  </si>
  <si>
    <t>08612155</t>
  </si>
  <si>
    <t>Поселок Октябрьский</t>
  </si>
  <si>
    <t>08612159</t>
  </si>
  <si>
    <t>Токинское</t>
  </si>
  <si>
    <t>08612412</t>
  </si>
  <si>
    <t>Тулучинское</t>
  </si>
  <si>
    <t>08612413</t>
  </si>
  <si>
    <t>Тумнинское</t>
  </si>
  <si>
    <t>08612414</t>
  </si>
  <si>
    <t>Уська-Орочское</t>
  </si>
  <si>
    <t>08612415</t>
  </si>
  <si>
    <t>Верхнебуреинский муниципальный район</t>
  </si>
  <si>
    <t>08614000</t>
  </si>
  <si>
    <t>Аланапское</t>
  </si>
  <si>
    <t>08614402</t>
  </si>
  <si>
    <t>Алонкинское</t>
  </si>
  <si>
    <t>08614401</t>
  </si>
  <si>
    <t>Гербинское</t>
  </si>
  <si>
    <t>08614405</t>
  </si>
  <si>
    <t>Поселок Новый Ургал</t>
  </si>
  <si>
    <t>08614153</t>
  </si>
  <si>
    <t>VSNA_P_TM1_P_DOCUMENTS_RANGE</t>
  </si>
  <si>
    <t>VSNA_U_TM1_P_DOCUMENTS_RANGE</t>
  </si>
  <si>
    <t>VSNA_P_TM2_P_DOCUMENTS_RANGE</t>
  </si>
  <si>
    <t>VSNA_U_TM2_P_DOCUMENTS_RANGE</t>
  </si>
  <si>
    <t>VSNA_P_TM2_T_DOCUMENTS_RANGE</t>
  </si>
  <si>
    <t>VSNA_U_TM2_T_DOCUMENTS_RANGE</t>
  </si>
  <si>
    <t>VSNA_P_TM2_PT_DOCUMENTS_RANGE</t>
  </si>
  <si>
    <t>VSNA_U_TM2_PT_DOCUMENTS_RANGE</t>
  </si>
  <si>
    <t>перевод двухставочного тарифа в одноставочный тариф, руб.Гкал</t>
  </si>
  <si>
    <t>VOTV_TRANSMISSION_TARIFF</t>
  </si>
  <si>
    <t>VSNA_TRANSMISSION_TARIFF</t>
  </si>
  <si>
    <t>Транспортировано тепловой энергии до:</t>
  </si>
  <si>
    <t>Коэффициент (доля) на реализацию потребителям</t>
  </si>
  <si>
    <t>тариф на энергию (руб./кВт*ч)</t>
  </si>
  <si>
    <t>руб./кВт*ч</t>
  </si>
  <si>
    <t>тариф на заявленную мощность (руб./кВт*мес)</t>
  </si>
  <si>
    <t>руб./кВт*мес</t>
  </si>
  <si>
    <t>объём энергии (тыс.кВт*ч)</t>
  </si>
  <si>
    <t>руб/Гкал*час в мес</t>
  </si>
  <si>
    <t>Старое решение</t>
  </si>
  <si>
    <t>4.9</t>
  </si>
  <si>
    <t>Опилки</t>
  </si>
  <si>
    <t>4.10</t>
  </si>
  <si>
    <t>Торф</t>
  </si>
  <si>
    <t>4.11</t>
  </si>
  <si>
    <t>Сланцы</t>
  </si>
  <si>
    <t>4.12</t>
  </si>
  <si>
    <t>Печное бытовое топливо</t>
  </si>
  <si>
    <t>4.13</t>
  </si>
  <si>
    <t>Электроэнергия</t>
  </si>
  <si>
    <t>4.13.0.1</t>
  </si>
  <si>
    <t>объём энергии (тыс.кВтч)</t>
  </si>
  <si>
    <t>4.13.0.2</t>
  </si>
  <si>
    <t>объём заявленной мощности (МВт)</t>
  </si>
  <si>
    <t>4.14</t>
  </si>
  <si>
    <t>Прочие виды топлива</t>
  </si>
  <si>
    <t xml:space="preserve">Энергия, в том числе </t>
  </si>
  <si>
    <t xml:space="preserve">энергия (покупная энергия) на технологические цели </t>
  </si>
  <si>
    <t>5.1.1</t>
  </si>
  <si>
    <t xml:space="preserve">затраты на покупную тепловую энергию </t>
  </si>
  <si>
    <t>5.1.1.1</t>
  </si>
  <si>
    <t>5.1.1.1.1</t>
  </si>
  <si>
    <t>5.1.1.1.2</t>
  </si>
  <si>
    <t>5.1.1.2</t>
  </si>
  <si>
    <t>5.1.1.3</t>
  </si>
  <si>
    <t>5.1.1.3.1</t>
  </si>
  <si>
    <t>5.1.1.3.2</t>
  </si>
  <si>
    <t>5.1.1.4</t>
  </si>
  <si>
    <t>5.1.2</t>
  </si>
  <si>
    <t>затраты на оплату услуг по передаче тепловой энергии</t>
  </si>
  <si>
    <t>11</t>
  </si>
  <si>
    <t>5.1.3</t>
  </si>
  <si>
    <t>затраты на покупную электрическую энергию, по уровням напряжения:</t>
  </si>
  <si>
    <t>5.1.3.0.1</t>
  </si>
  <si>
    <t>5.1.3.0.2</t>
  </si>
  <si>
    <t>5.1.3.1.1</t>
  </si>
  <si>
    <t>энергия НН (0,4 кВ и ниже)</t>
  </si>
  <si>
    <t>5.1.3.1.1.1</t>
  </si>
  <si>
    <t>5.1.3.1.1.2</t>
  </si>
  <si>
    <t>5.1.3.1.2</t>
  </si>
  <si>
    <t>заявленная мощность по НН (0,4 кВ и ниже)</t>
  </si>
  <si>
    <t>5.1.3.1.2.1</t>
  </si>
  <si>
    <t>5.1.3.1.2.2</t>
  </si>
  <si>
    <t>годовой объём мощности (МВт)</t>
  </si>
  <si>
    <t>5.1.3.2.1</t>
  </si>
  <si>
    <t>энергия СН 2 (1-20 кВ)</t>
  </si>
  <si>
    <t>5.1.3.2.1.1</t>
  </si>
  <si>
    <t>5.1.3.2.1.2</t>
  </si>
  <si>
    <t>5.1.3.2.2</t>
  </si>
  <si>
    <t>заявленная мощность по СН 2 (1-20 кВ)</t>
  </si>
  <si>
    <t>5.1.3.2.2.1</t>
  </si>
  <si>
    <t>5.1.3.2.2.2</t>
  </si>
  <si>
    <t>5.1.3.3.1</t>
  </si>
  <si>
    <t>энергия СН 1 (35 кВ)</t>
  </si>
  <si>
    <t>5.1.3.3.1.1</t>
  </si>
  <si>
    <t>5.1.3.3.1.2</t>
  </si>
  <si>
    <t>5.1.3.3.2</t>
  </si>
  <si>
    <t>заявленная мощность по СН 1 (35 кВ)</t>
  </si>
  <si>
    <t>5.1.3.3.2.1</t>
  </si>
  <si>
    <t>5.1.3.3.2.2</t>
  </si>
  <si>
    <t>5.1.3.4.1</t>
  </si>
  <si>
    <t>энергия ВН (110 кВ и выше)</t>
  </si>
  <si>
    <t>5.1.3.4.1.1</t>
  </si>
  <si>
    <t>5.1.3.4.1.2</t>
  </si>
  <si>
    <t>5.1.3.4.2</t>
  </si>
  <si>
    <t>заявленная мощность по ВН (110 кВ и выше)</t>
  </si>
  <si>
    <t>5.1.3.4.2.1</t>
  </si>
  <si>
    <t>5.1.3.4.2.2</t>
  </si>
  <si>
    <t xml:space="preserve">энергия на хозяйственные нужды </t>
  </si>
  <si>
    <t xml:space="preserve">тепловая энергия </t>
  </si>
  <si>
    <t xml:space="preserve">электрическая энергия </t>
  </si>
  <si>
    <t>5.2.2.0.1</t>
  </si>
  <si>
    <t>5.2.2.0.2</t>
  </si>
  <si>
    <t>5.2.2.1.1</t>
  </si>
  <si>
    <t>5.2.2.1.1.1</t>
  </si>
  <si>
    <t>5.2.2.1.1.2</t>
  </si>
  <si>
    <t>5.2.2.1.2</t>
  </si>
  <si>
    <t>5.2.2.1.2.1</t>
  </si>
  <si>
    <t>5.2.2.1.2.2</t>
  </si>
  <si>
    <t>5.2.2.2.1</t>
  </si>
  <si>
    <t>5.2.2.2.1.1</t>
  </si>
  <si>
    <t>5.2.2.2.1.2</t>
  </si>
  <si>
    <t>5.2.2.2.2</t>
  </si>
  <si>
    <t>5.2.2.2.2.1</t>
  </si>
  <si>
    <t>5.2.2.2.2.2</t>
  </si>
  <si>
    <t>5.2.2.3.1</t>
  </si>
  <si>
    <t>5.2.2.3.1.1</t>
  </si>
  <si>
    <t>5.2.2.3.1.2</t>
  </si>
  <si>
    <t>5.2.2.3.2</t>
  </si>
  <si>
    <t>5.2.2.3.2.1</t>
  </si>
  <si>
    <t>5.2.2.3.2.2</t>
  </si>
  <si>
    <t>5.2.2.4.1</t>
  </si>
  <si>
    <t>5.2.2.4.1.1</t>
  </si>
  <si>
    <t>5.2.2.4.1.2</t>
  </si>
  <si>
    <t>5.2.2.4.2</t>
  </si>
  <si>
    <t>5.2.2.4.2.1</t>
  </si>
  <si>
    <t>5.2.2.4.2.2</t>
  </si>
  <si>
    <t>6</t>
  </si>
  <si>
    <t>HEAT_CALC_ADD_RANGE</t>
  </si>
  <si>
    <t>HEAT_CALC_EMPTY_RANGE</t>
  </si>
  <si>
    <t>HEAT_CALC_RANGE_VDET_PER_PLUS_SBIT</t>
  </si>
  <si>
    <t>HEAT_CALC_RANGE</t>
  </si>
  <si>
    <t>HEAT_CALC_RANGE_VDET_COMBI</t>
  </si>
  <si>
    <t>HEAT_FUEL_ADD_RANGE</t>
  </si>
  <si>
    <t>HEAT_FUEL_EMPTY_RANGE_PERIOD1</t>
  </si>
  <si>
    <t>HEAT_FUEL_EMPTY_RANGE_PERIOD2</t>
  </si>
  <si>
    <t>HEAT_FUEL_EMPTY_RANGE_PERIOD3</t>
  </si>
  <si>
    <t>на передачу</t>
  </si>
  <si>
    <t>20.0</t>
  </si>
  <si>
    <t>P</t>
  </si>
  <si>
    <t>XML_PLAN1X_HEAT_DF_TAG_NAMES</t>
  </si>
  <si>
    <t>XML_PLAN1X_VSNA_DF_TAG_NAMES</t>
  </si>
  <si>
    <t>XML_PLAN1X_VOTV_DF_TAG_NAMES</t>
  </si>
  <si>
    <t>XML_PLAN1X_HEAT_DF_LIST_ORG_TAG_NAMES</t>
  </si>
  <si>
    <t>XML_PLAN1X_VSNA_DF_LIST_ORG_TAG_NAMES</t>
  </si>
  <si>
    <t>XML_PLAN1X_VOTV_DF_LIST_ORG_TAG_NAMES</t>
  </si>
  <si>
    <t>L4_2_1</t>
  </si>
  <si>
    <t>L_STUB5</t>
  </si>
  <si>
    <t>L_STUB6</t>
  </si>
  <si>
    <t>L_STUB7</t>
  </si>
  <si>
    <t>L4_2_2</t>
  </si>
  <si>
    <t>L_STUB8</t>
  </si>
  <si>
    <t>L_STUB9</t>
  </si>
  <si>
    <t>L_STUB10</t>
  </si>
  <si>
    <t>L_STUB11</t>
  </si>
  <si>
    <t>L_STUB12</t>
  </si>
  <si>
    <t>L_STUB13</t>
  </si>
  <si>
    <t>L_STUB14</t>
  </si>
  <si>
    <t>L4_2_3</t>
  </si>
  <si>
    <t>L4_5</t>
  </si>
  <si>
    <t>L4_6</t>
  </si>
  <si>
    <t>L4_7</t>
  </si>
  <si>
    <t>L4_8</t>
  </si>
  <si>
    <t>L4_9</t>
  </si>
  <si>
    <t>L4_10</t>
  </si>
  <si>
    <t>L4_11</t>
  </si>
  <si>
    <t>L4_12</t>
  </si>
  <si>
    <t>L4_13</t>
  </si>
  <si>
    <t>L4_15</t>
  </si>
  <si>
    <t>L_STUB15</t>
  </si>
  <si>
    <t>L_STUB16</t>
  </si>
  <si>
    <t>L_STUB17</t>
  </si>
  <si>
    <t>L_STUB18</t>
  </si>
  <si>
    <t>L_STUB19</t>
  </si>
  <si>
    <t>L_STUB20</t>
  </si>
  <si>
    <t>L_STUB21</t>
  </si>
  <si>
    <t>L_STUB22</t>
  </si>
  <si>
    <t>L_STUB23</t>
  </si>
  <si>
    <t>L_STUB24</t>
  </si>
  <si>
    <t>L_STUB25</t>
  </si>
  <si>
    <t>L_STUB26</t>
  </si>
  <si>
    <t>L_STUB27</t>
  </si>
  <si>
    <t>L_STUB28</t>
  </si>
  <si>
    <t>L_STUB29</t>
  </si>
  <si>
    <t>L_STUB30</t>
  </si>
  <si>
    <t>L_STUB31</t>
  </si>
  <si>
    <t>L_STUB32</t>
  </si>
  <si>
    <t>L_STUB33</t>
  </si>
  <si>
    <t>L_STUB34</t>
  </si>
  <si>
    <t>L_STUB35</t>
  </si>
  <si>
    <t>L_STUB36</t>
  </si>
  <si>
    <t>L_STUB37</t>
  </si>
  <si>
    <t>L_STUB38</t>
  </si>
  <si>
    <t>L_STUB39</t>
  </si>
  <si>
    <r>
      <t>&gt; 13 кг/см</t>
    </r>
    <r>
      <rPr>
        <vertAlign val="superscript"/>
        <sz val="9"/>
        <rFont val="Tahoma"/>
        <family val="2"/>
        <charset val="204"/>
      </rPr>
      <t>2</t>
    </r>
  </si>
  <si>
    <t>На 2013</t>
  </si>
  <si>
    <t>0.1</t>
  </si>
  <si>
    <t>0.2</t>
  </si>
  <si>
    <t>TOTAL_ORG</t>
  </si>
  <si>
    <t>TOTAL_ORG_DF</t>
  </si>
  <si>
    <t>HEAT_TM1_RANGE</t>
  </si>
  <si>
    <t>HEAT_TM1_ADD_RANGE</t>
  </si>
  <si>
    <t>HEAT_TM1_EMPTY_RANGE</t>
  </si>
  <si>
    <t>HEAT_TM2_1_TARIFF_RANGE</t>
  </si>
  <si>
    <t>HEAT_TM2_2_TARIFF_RANGE</t>
  </si>
  <si>
    <t>HEAT_TM2_ADD_RANGE</t>
  </si>
  <si>
    <t>HEAT_TM2_EMPTY_RANGE</t>
  </si>
  <si>
    <t>HEAT_TM2_1_TARIFF_COMBI_RANGE</t>
  </si>
  <si>
    <t>HEAT_TM2_2_TARIFF_COMBI_RANGE</t>
  </si>
  <si>
    <t>Передача на нужды организации</t>
  </si>
  <si>
    <t>Передача бюджетным потребителям</t>
  </si>
  <si>
    <t>Передача населению</t>
  </si>
  <si>
    <t>Передача прочим потребителям</t>
  </si>
  <si>
    <t>Множитель для тарифа на передачу</t>
  </si>
  <si>
    <t>Насосная станция (станция водоснабжения)</t>
  </si>
  <si>
    <t>L1_1_1</t>
  </si>
  <si>
    <t>L1_1_2</t>
  </si>
  <si>
    <t>L2_1</t>
  </si>
  <si>
    <t>L2_2</t>
  </si>
  <si>
    <t>L2_3</t>
  </si>
  <si>
    <t>L5_1_1</t>
  </si>
  <si>
    <t>L5_1_1_1</t>
  </si>
  <si>
    <t>L5_1_1_1_1</t>
  </si>
  <si>
    <t>L5_1_1_1_2</t>
  </si>
  <si>
    <t>L5_1_1_2</t>
  </si>
  <si>
    <t>L5_1_1_3</t>
  </si>
  <si>
    <t>L5_1_1_3_1</t>
  </si>
  <si>
    <t>L5_1_1_3_2</t>
  </si>
  <si>
    <t>L5_1_1_4</t>
  </si>
  <si>
    <t>L5_1_2</t>
  </si>
  <si>
    <t>L5_1_3</t>
  </si>
  <si>
    <t>L5_1_3_0_1</t>
  </si>
  <si>
    <t>L5_1_3_0_2</t>
  </si>
  <si>
    <t>L5_1_3_1_1</t>
  </si>
  <si>
    <t>L5_1_3_1_1_1</t>
  </si>
  <si>
    <t>L5_1_3_1_1_2</t>
  </si>
  <si>
    <t>L5_1_3_1_2</t>
  </si>
  <si>
    <t>L5_1_3_1_2_1</t>
  </si>
  <si>
    <t>L5_1_3_1_2_2</t>
  </si>
  <si>
    <t>L5_1_3_2_1</t>
  </si>
  <si>
    <t>L5_1_3_2_1_1</t>
  </si>
  <si>
    <t>L5_1_3_2_1_2</t>
  </si>
  <si>
    <t>L5_1_3_2_2</t>
  </si>
  <si>
    <t>L5_1_3_2_2_1</t>
  </si>
  <si>
    <t>L5_1_3_2_2_2</t>
  </si>
  <si>
    <t>L5_1_3_3_1</t>
  </si>
  <si>
    <t>L5_1_3_3_1_1</t>
  </si>
  <si>
    <t>L5_1_3_3_1_2</t>
  </si>
  <si>
    <t>L5_1_3_3_2</t>
  </si>
  <si>
    <t>L5_1_3_3_2_1</t>
  </si>
  <si>
    <t>L5_1_3_3_2_2</t>
  </si>
  <si>
    <t>L5_1_3_4_1</t>
  </si>
  <si>
    <t>L5_1_3_4_1_1</t>
  </si>
  <si>
    <t>L5_1_3_4_1_2</t>
  </si>
  <si>
    <t>L5_1_3_4_2</t>
  </si>
  <si>
    <t>L5_1_3_4_2_1</t>
  </si>
  <si>
    <t>L5_1_3_4_2_2</t>
  </si>
  <si>
    <t>L5_2_2_0_1</t>
  </si>
  <si>
    <t>L5_2_2_0_2</t>
  </si>
  <si>
    <t>L5_2_2_1_1</t>
  </si>
  <si>
    <t>L5_2_2_1_1_1</t>
  </si>
  <si>
    <t>L5_2_2_1_1_2</t>
  </si>
  <si>
    <t>L5_2_2_1_2</t>
  </si>
  <si>
    <t>L5_2_2_1_2_1</t>
  </si>
  <si>
    <t>L5_2_2_1_2_2</t>
  </si>
  <si>
    <t>L5_2_2_2_1</t>
  </si>
  <si>
    <t>L5_2_2_2_1_1</t>
  </si>
  <si>
    <t>L5_2_2_2_1_2</t>
  </si>
  <si>
    <t>L5_2_2_2_2</t>
  </si>
  <si>
    <t>L5_2_2_2_2_1</t>
  </si>
  <si>
    <t>L5_2_2_2_2_2</t>
  </si>
  <si>
    <t>L5_2_2_3_1</t>
  </si>
  <si>
    <t>L5_2_2_3_1_1</t>
  </si>
  <si>
    <t>L5_2_2_3_1_2</t>
  </si>
  <si>
    <t>L5_2_2_3_2</t>
  </si>
  <si>
    <t>L5_2_2_3_2_1</t>
  </si>
  <si>
    <t>L5_2_2_3_2_2</t>
  </si>
  <si>
    <t>L5_2_2_4_1</t>
  </si>
  <si>
    <t>L5_2_2_4_1_1</t>
  </si>
  <si>
    <t>L5_2_2_4_1_2</t>
  </si>
  <si>
    <t>L5_2_2_4_2</t>
  </si>
  <si>
    <t>L5_2_2_4_2_1</t>
  </si>
  <si>
    <t>L5_2_2_4_2_2</t>
  </si>
  <si>
    <t>L6</t>
  </si>
  <si>
    <t>L6_1</t>
  </si>
  <si>
    <t>L6_1_1</t>
  </si>
  <si>
    <t>L6_1_2</t>
  </si>
  <si>
    <t>L6_2</t>
  </si>
  <si>
    <t>L6_2_1</t>
  </si>
  <si>
    <t>L6_2_2</t>
  </si>
  <si>
    <t>L6_3</t>
  </si>
  <si>
    <t>L6_3_1</t>
  </si>
  <si>
    <t>L6_3_2</t>
  </si>
  <si>
    <t>L6_4</t>
  </si>
  <si>
    <t>L6_4_1</t>
  </si>
  <si>
    <t>L6_4_2</t>
  </si>
  <si>
    <t>L6_5</t>
  </si>
  <si>
    <t>L6_5_1</t>
  </si>
  <si>
    <t>L6_5_2</t>
  </si>
  <si>
    <t>L7</t>
  </si>
  <si>
    <t>L7_1</t>
  </si>
  <si>
    <t>L7_2</t>
  </si>
  <si>
    <t>L7_3</t>
  </si>
  <si>
    <t>L7_4</t>
  </si>
  <si>
    <t>L7_5</t>
  </si>
  <si>
    <t>L8</t>
  </si>
  <si>
    <t>L8_1</t>
  </si>
  <si>
    <t>L9</t>
  </si>
  <si>
    <t>6/5/2013  2:18:59 PM</t>
  </si>
  <si>
    <t>6/5/2013  2:19:07 PM</t>
  </si>
  <si>
    <t>U12</t>
  </si>
  <si>
    <t>оказание услуг в сфере водоснабжения, водоотведения и очистки сточных вод</t>
  </si>
  <si>
    <t>sce:SUMMARY.BALANCE.CALC.TARIFF.VOTV.2012.PLAN</t>
  </si>
  <si>
    <t>2700</t>
  </si>
  <si>
    <t>600</t>
  </si>
  <si>
    <t>2100</t>
  </si>
  <si>
    <t>1800</t>
  </si>
  <si>
    <t>300</t>
  </si>
  <si>
    <t>sce:VOTV.01</t>
  </si>
  <si>
    <t>постановление комитета от 23.11.2011 № 42/27нет</t>
  </si>
  <si>
    <t>49.29</t>
  </si>
  <si>
    <t>sce:VOTV.07</t>
  </si>
  <si>
    <t>sce:VOTV.09</t>
  </si>
  <si>
    <t>Дата последнего обновления данных мониторинга "Уточнённый план на 2012 год": 05.06.2013 14:20:36</t>
  </si>
  <si>
    <t>NO_TRANSPORT</t>
  </si>
  <si>
    <t>6/5/2013  2:51:52 PM</t>
  </si>
  <si>
    <t>6/5/2013  2:51:58 PM</t>
  </si>
  <si>
    <t>6/5/2013  3:11:39 PM</t>
  </si>
  <si>
    <t>6/5/2013  3:11:44 PM</t>
  </si>
  <si>
    <t>6/5/2013  3:45:32 PM</t>
  </si>
  <si>
    <t>6/5/2013  3:45:39 PM</t>
  </si>
  <si>
    <t>Постановление Комитета по ценам и тарифам Правительства Хабаровского края №42/27 от 23/11-2011г</t>
  </si>
  <si>
    <t>Постановление №42/27 от 23/11-2011г Комитета по ценам и тарифам Правительства Хабаровского края</t>
  </si>
  <si>
    <t>6/5/2013  3:53:30 PM</t>
  </si>
  <si>
    <t>6/5/2013  3:53:34 PM</t>
  </si>
  <si>
    <t>6/7/2013  11:08:49 AM</t>
  </si>
  <si>
    <t>6/7/2013  11:09:22 AM</t>
  </si>
</sst>
</file>

<file path=xl/styles.xml><?xml version="1.0" encoding="utf-8"?>
<styleSheet xmlns="http://schemas.openxmlformats.org/spreadsheetml/2006/main">
  <numFmts count="3">
    <numFmt numFmtId="43" formatCode="_-* #,##0.00_р_._-;\-* #,##0.00_р_._-;_-* &quot;-&quot;??_р_._-;_-@_-"/>
    <numFmt numFmtId="164" formatCode="&quot;$&quot;#,##0_);[Red]\(&quot;$&quot;#,##0\)"/>
    <numFmt numFmtId="165" formatCode="0.0%"/>
  </numFmts>
  <fonts count="113">
    <font>
      <sz val="9"/>
      <name val="Tahoma"/>
      <family val="2"/>
      <charset val="204"/>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b/>
      <u/>
      <sz val="11"/>
      <color indexed="12"/>
      <name val="Arial"/>
      <family val="2"/>
      <charset val="204"/>
    </font>
    <font>
      <sz val="10"/>
      <name val="Tahoma"/>
      <family val="2"/>
      <charset val="204"/>
    </font>
    <font>
      <sz val="11"/>
      <color indexed="8"/>
      <name val="Calibri"/>
      <family val="2"/>
      <charset val="204"/>
    </font>
    <font>
      <sz val="11"/>
      <color indexed="62"/>
      <name val="Calibri"/>
      <family val="2"/>
      <charset val="204"/>
    </font>
    <font>
      <b/>
      <sz val="10"/>
      <name val="Tahoma"/>
      <family val="2"/>
      <charset val="204"/>
    </font>
    <font>
      <b/>
      <u/>
      <sz val="9"/>
      <color indexed="12"/>
      <name val="Tahoma"/>
      <family val="2"/>
      <charset val="204"/>
    </font>
    <font>
      <sz val="9"/>
      <color indexed="9"/>
      <name val="Tahoma"/>
      <family val="2"/>
      <charset val="204"/>
    </font>
    <font>
      <sz val="9"/>
      <color indexed="8"/>
      <name val="Tahoma"/>
      <family val="2"/>
      <charset val="204"/>
    </font>
    <font>
      <sz val="10"/>
      <color indexed="8"/>
      <name val="Tahoma"/>
      <family val="2"/>
      <charset val="204"/>
    </font>
    <font>
      <b/>
      <sz val="10"/>
      <color indexed="8"/>
      <name val="Tahoma"/>
      <family val="2"/>
      <charset val="204"/>
    </font>
    <font>
      <u/>
      <sz val="10"/>
      <color indexed="12"/>
      <name val="Arial Cyr"/>
      <charset val="204"/>
    </font>
    <font>
      <sz val="8"/>
      <color indexed="81"/>
      <name val="Tahoma"/>
      <family val="2"/>
      <charset val="204"/>
    </font>
    <font>
      <sz val="8"/>
      <name val="Tahoma"/>
      <family val="2"/>
      <charset val="204"/>
    </font>
    <font>
      <b/>
      <sz val="9"/>
      <color indexed="81"/>
      <name val="Tahoma"/>
      <family val="2"/>
      <charset val="204"/>
    </font>
    <font>
      <b/>
      <u/>
      <sz val="10"/>
      <color indexed="12"/>
      <name val="Tahoma"/>
      <family val="2"/>
      <charset val="204"/>
    </font>
    <font>
      <sz val="9"/>
      <color indexed="81"/>
      <name val="Tahoma"/>
      <family val="2"/>
      <charset val="204"/>
    </font>
    <font>
      <b/>
      <u/>
      <sz val="11"/>
      <color indexed="12"/>
      <name val="Tahoma"/>
      <family val="2"/>
      <charset val="204"/>
    </font>
    <font>
      <sz val="11"/>
      <color indexed="8"/>
      <name val="Tahoma"/>
      <family val="2"/>
      <charset val="204"/>
    </font>
    <font>
      <u/>
      <sz val="20"/>
      <color indexed="56"/>
      <name val="Tahoma"/>
      <family val="2"/>
      <charset val="204"/>
    </font>
    <font>
      <sz val="18"/>
      <color indexed="9"/>
      <name val="Trebuchet MS"/>
      <family val="2"/>
      <charset val="204"/>
    </font>
    <font>
      <sz val="16"/>
      <color indexed="8"/>
      <name val="Tahoma"/>
      <family val="2"/>
      <charset val="204"/>
    </font>
    <font>
      <sz val="8"/>
      <name val="Palatino"/>
      <family val="1"/>
    </font>
    <font>
      <u/>
      <sz val="10"/>
      <color indexed="36"/>
      <name val="Arial Cyr"/>
      <charset val="204"/>
    </font>
    <font>
      <sz val="12"/>
      <color indexed="56"/>
      <name val="Tahoma"/>
      <family val="2"/>
      <charset val="204"/>
    </font>
    <font>
      <b/>
      <sz val="16"/>
      <color indexed="8"/>
      <name val="Tahoma"/>
      <family val="2"/>
      <charset val="204"/>
    </font>
    <font>
      <sz val="10"/>
      <name val="Arial"/>
      <family val="2"/>
      <charset val="204"/>
    </font>
    <font>
      <sz val="9"/>
      <color indexed="10"/>
      <name val="Tahoma"/>
      <family val="2"/>
      <charset val="204"/>
    </font>
    <font>
      <sz val="10"/>
      <name val="Arial Cyr"/>
    </font>
    <font>
      <u/>
      <sz val="10"/>
      <color indexed="12"/>
      <name val="Arial Cyr"/>
    </font>
    <font>
      <b/>
      <u/>
      <sz val="9"/>
      <color indexed="9"/>
      <name val="Tahoma"/>
      <family val="2"/>
      <charset val="204"/>
    </font>
    <font>
      <sz val="9"/>
      <name val="Marlett"/>
      <charset val="2"/>
    </font>
    <font>
      <sz val="5"/>
      <name val="Tahoma"/>
      <family val="2"/>
      <charset val="204"/>
    </font>
    <font>
      <sz val="9"/>
      <color indexed="48"/>
      <name val="Tahoma"/>
      <family val="2"/>
      <charset val="204"/>
    </font>
    <font>
      <vertAlign val="superscript"/>
      <sz val="9"/>
      <name val="Tahoma"/>
      <family val="2"/>
      <charset val="204"/>
    </font>
    <font>
      <vertAlign val="superscript"/>
      <sz val="9"/>
      <color indexed="8"/>
      <name val="Tahoma"/>
      <family val="2"/>
      <charset val="204"/>
    </font>
    <font>
      <sz val="11"/>
      <color indexed="9"/>
      <name val="Tahoma"/>
      <family val="2"/>
      <charset val="204"/>
    </font>
    <font>
      <u/>
      <sz val="9"/>
      <color indexed="10"/>
      <name val="Tahoma"/>
      <family val="2"/>
      <charset val="204"/>
    </font>
    <font>
      <sz val="5"/>
      <color indexed="10"/>
      <name val="Tahoma"/>
      <family val="2"/>
      <charset val="204"/>
    </font>
    <font>
      <b/>
      <sz val="9"/>
      <color indexed="18"/>
      <name val="Tahoma"/>
      <family val="2"/>
      <charset val="204"/>
    </font>
    <font>
      <sz val="8"/>
      <color indexed="8"/>
      <name val="Tahoma"/>
      <family val="2"/>
      <charset val="204"/>
    </font>
    <font>
      <b/>
      <sz val="9"/>
      <color indexed="60"/>
      <name val="Wingdings 3"/>
      <family val="1"/>
      <charset val="2"/>
    </font>
    <font>
      <b/>
      <sz val="9"/>
      <color indexed="22"/>
      <name val="Wingdings 2"/>
      <family val="1"/>
      <charset val="2"/>
    </font>
    <font>
      <b/>
      <sz val="11"/>
      <color indexed="8"/>
      <name val="Tahoma"/>
      <family val="2"/>
      <charset val="204"/>
    </font>
    <font>
      <sz val="11"/>
      <color indexed="9"/>
      <name val="Tahoma"/>
      <family val="2"/>
      <charset val="204"/>
    </font>
    <font>
      <u/>
      <sz val="20"/>
      <color indexed="9"/>
      <name val="Tahoma"/>
      <family val="2"/>
      <charset val="204"/>
    </font>
    <font>
      <sz val="9"/>
      <color indexed="9"/>
      <name val="Tahoma"/>
      <family val="2"/>
      <charset val="204"/>
    </font>
    <font>
      <sz val="11"/>
      <color indexed="9"/>
      <name val="Marlett"/>
      <charset val="2"/>
    </font>
    <font>
      <sz val="8"/>
      <color indexed="17"/>
      <name val="Tahoma"/>
      <family val="2"/>
      <charset val="204"/>
    </font>
    <font>
      <sz val="8"/>
      <color indexed="10"/>
      <name val="Tahoma"/>
      <family val="2"/>
      <charset val="204"/>
    </font>
    <font>
      <sz val="8"/>
      <color indexed="12"/>
      <name val="Tahoma"/>
      <family val="2"/>
      <charset val="204"/>
    </font>
    <font>
      <sz val="9"/>
      <color indexed="9"/>
      <name val="Tahoma"/>
      <family val="2"/>
      <charset val="204"/>
    </font>
    <font>
      <sz val="9"/>
      <color indexed="12"/>
      <name val="Tahoma"/>
      <family val="2"/>
      <charset val="204"/>
    </font>
    <font>
      <sz val="9"/>
      <color indexed="55"/>
      <name val="Tahoma"/>
      <family val="2"/>
      <charset val="204"/>
    </font>
    <font>
      <sz val="9"/>
      <color indexed="18"/>
      <name val="Tahoma"/>
      <family val="2"/>
      <charset val="204"/>
    </font>
    <font>
      <sz val="9"/>
      <color indexed="53"/>
      <name val="Tahoma"/>
      <family val="2"/>
      <charset val="204"/>
    </font>
    <font>
      <u/>
      <sz val="9"/>
      <color indexed="12"/>
      <name val="Tahoma"/>
      <family val="2"/>
      <charset val="204"/>
    </font>
    <font>
      <i/>
      <sz val="9"/>
      <name val="Tahoma"/>
      <family val="2"/>
      <charset val="204"/>
    </font>
    <font>
      <sz val="9"/>
      <color indexed="42"/>
      <name val="Tahoma"/>
      <family val="2"/>
      <charset val="204"/>
    </font>
    <font>
      <sz val="9"/>
      <color indexed="53"/>
      <name val="Tahoma"/>
      <family val="2"/>
      <charset val="204"/>
    </font>
    <font>
      <b/>
      <sz val="9"/>
      <color indexed="22"/>
      <name val="Tahoma"/>
      <family val="2"/>
      <charset val="204"/>
    </font>
    <font>
      <u/>
      <sz val="9"/>
      <name val="Tahoma"/>
      <family val="2"/>
      <charset val="204"/>
    </font>
    <font>
      <sz val="10"/>
      <color indexed="9"/>
      <name val="Tahoma"/>
      <family val="2"/>
      <charset val="204"/>
    </font>
    <font>
      <sz val="10"/>
      <color indexed="10"/>
      <name val="Tahoma"/>
      <family val="2"/>
      <charset val="204"/>
    </font>
    <font>
      <sz val="9"/>
      <color indexed="14"/>
      <name val="Tahoma"/>
      <family val="2"/>
      <charset val="204"/>
    </font>
    <font>
      <sz val="10"/>
      <name val="Symbol"/>
      <family val="1"/>
      <charset val="2"/>
    </font>
    <font>
      <sz val="7"/>
      <name val="Times New Roman"/>
      <family val="1"/>
      <charset val="204"/>
    </font>
    <font>
      <sz val="12"/>
      <name val="Times New Roman"/>
      <family val="1"/>
      <charset val="204"/>
    </font>
    <font>
      <b/>
      <sz val="12"/>
      <name val="Tahoma"/>
      <family val="2"/>
      <charset val="204"/>
    </font>
    <font>
      <b/>
      <sz val="10"/>
      <color indexed="22"/>
      <name val="Wingdings 2"/>
      <family val="1"/>
      <charset val="2"/>
    </font>
    <font>
      <sz val="9"/>
      <color indexed="8"/>
      <name val="Tahoma"/>
      <family val="2"/>
      <charset val="204"/>
    </font>
    <font>
      <sz val="9"/>
      <color indexed="53"/>
      <name val="Tahoma"/>
      <family val="2"/>
      <charset val="204"/>
    </font>
    <font>
      <b/>
      <sz val="14"/>
      <color indexed="12"/>
      <name val="Tahoma"/>
      <family val="2"/>
      <charset val="204"/>
    </font>
    <font>
      <sz val="9"/>
      <color indexed="10"/>
      <name val="Tahoma"/>
      <family val="2"/>
      <charset val="204"/>
    </font>
    <font>
      <sz val="9"/>
      <color indexed="9"/>
      <name val="Tahoma"/>
      <family val="2"/>
      <charset val="204"/>
    </font>
    <font>
      <sz val="9"/>
      <color indexed="53"/>
      <name val="Tahoma"/>
      <family val="2"/>
      <charset val="204"/>
    </font>
    <font>
      <i/>
      <sz val="9"/>
      <color indexed="8"/>
      <name val="Tahoma"/>
      <family val="2"/>
      <charset val="204"/>
    </font>
    <font>
      <sz val="10"/>
      <color indexed="9"/>
      <name val="Tahoma"/>
      <family val="2"/>
      <charset val="204"/>
    </font>
    <font>
      <sz val="9"/>
      <color indexed="9"/>
      <name val="Tahoma"/>
      <family val="2"/>
      <charset val="204"/>
    </font>
    <font>
      <i/>
      <sz val="9"/>
      <color indexed="10"/>
      <name val="Tahoma"/>
      <family val="2"/>
      <charset val="204"/>
    </font>
    <font>
      <sz val="9"/>
      <color indexed="9"/>
      <name val="Tahoma"/>
      <family val="2"/>
      <charset val="204"/>
    </font>
    <font>
      <sz val="9"/>
      <color indexed="23"/>
      <name val="Tahoma"/>
      <family val="2"/>
      <charset val="204"/>
    </font>
    <font>
      <sz val="14"/>
      <color indexed="12"/>
      <name val="Tahoma"/>
      <family val="2"/>
      <charset val="204"/>
    </font>
    <font>
      <sz val="14"/>
      <name val="Tahoma"/>
      <family val="2"/>
      <charset val="204"/>
    </font>
    <font>
      <sz val="14"/>
      <color indexed="18"/>
      <name val="Tahoma"/>
      <family val="2"/>
      <charset val="204"/>
    </font>
    <font>
      <sz val="9"/>
      <color indexed="62"/>
      <name val="Tahoma"/>
      <family val="2"/>
      <charset val="204"/>
    </font>
    <font>
      <sz val="10"/>
      <color indexed="18"/>
      <name val="Tahoma"/>
      <family val="2"/>
      <charset val="204"/>
    </font>
    <font>
      <u/>
      <sz val="10"/>
      <color indexed="12"/>
      <name val="Tahoma"/>
      <family val="2"/>
      <charset val="204"/>
    </font>
    <font>
      <sz val="5"/>
      <color indexed="9"/>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charset val="204"/>
      <scheme val="minor"/>
    </font>
  </fonts>
  <fills count="48">
    <fill>
      <patternFill patternType="none"/>
    </fill>
    <fill>
      <patternFill patternType="gray125"/>
    </fill>
    <fill>
      <patternFill patternType="solid">
        <fgColor indexed="47"/>
      </patternFill>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13"/>
        <bgColor indexed="64"/>
      </patternFill>
    </fill>
    <fill>
      <patternFill patternType="solid">
        <fgColor indexed="30"/>
        <bgColor indexed="64"/>
      </patternFill>
    </fill>
    <fill>
      <patternFill patternType="solid">
        <fgColor indexed="29"/>
        <bgColor indexed="64"/>
      </patternFill>
    </fill>
    <fill>
      <patternFill patternType="lightDown">
        <fgColor indexed="22"/>
      </patternFill>
    </fill>
    <fill>
      <patternFill patternType="solid">
        <fgColor indexed="22"/>
        <bgColor indexed="64"/>
      </patternFill>
    </fill>
    <fill>
      <patternFill patternType="lightDown">
        <fgColor indexed="22"/>
        <bgColor indexed="9"/>
      </patternFill>
    </fill>
    <fill>
      <patternFill patternType="solid">
        <fgColor indexed="31"/>
        <bgColor indexed="64"/>
      </patternFill>
    </fill>
    <fill>
      <patternFill patternType="solid">
        <fgColor indexed="47"/>
        <bgColor indexed="64"/>
      </patternFill>
    </fill>
    <fill>
      <patternFill patternType="solid">
        <fgColor indexed="36"/>
        <bgColor indexed="64"/>
      </patternFill>
    </fill>
    <fill>
      <patternFill patternType="solid">
        <fgColor indexed="41"/>
        <bgColor indexed="64"/>
      </patternFill>
    </fill>
    <fill>
      <patternFill patternType="solid">
        <fgColor indexed="52"/>
        <bgColor indexed="64"/>
      </patternFill>
    </fill>
    <fill>
      <patternFill patternType="solid">
        <fgColor indexed="1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0">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style="thin">
        <color indexed="22"/>
      </top>
      <bottom/>
      <diagonal/>
    </border>
    <border>
      <left/>
      <right/>
      <top/>
      <bottom style="thin">
        <color indexed="22"/>
      </bottom>
      <diagonal/>
    </border>
    <border>
      <left/>
      <right style="thin">
        <color indexed="55"/>
      </right>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top/>
      <bottom style="thin">
        <color indexed="22"/>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55"/>
      </left>
      <right style="thin">
        <color indexed="55"/>
      </right>
      <top/>
      <bottom style="thin">
        <color indexed="55"/>
      </bottom>
      <diagonal/>
    </border>
    <border>
      <left style="thin">
        <color indexed="23"/>
      </left>
      <right style="thin">
        <color indexed="23"/>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right/>
      <top style="thin">
        <color indexed="64"/>
      </top>
      <bottom style="thin">
        <color indexed="64"/>
      </bottom>
      <diagonal/>
    </border>
    <border>
      <left style="thin">
        <color indexed="23"/>
      </left>
      <right/>
      <top/>
      <bottom/>
      <diagonal/>
    </border>
    <border>
      <left/>
      <right style="thin">
        <color indexed="23"/>
      </right>
      <top/>
      <bottom/>
      <diagonal/>
    </border>
    <border>
      <left style="thin">
        <color indexed="23"/>
      </left>
      <right/>
      <top/>
      <bottom style="thin">
        <color indexed="23"/>
      </bottom>
      <diagonal/>
    </border>
    <border>
      <left/>
      <right style="thin">
        <color indexed="23"/>
      </right>
      <top/>
      <bottom style="thin">
        <color indexed="23"/>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23"/>
      </bottom>
      <diagonal/>
    </border>
    <border>
      <left/>
      <right style="thin">
        <color indexed="23"/>
      </right>
      <top style="thin">
        <color indexed="23"/>
      </top>
      <bottom/>
      <diagonal/>
    </border>
    <border>
      <left style="thin">
        <color indexed="23"/>
      </left>
      <right/>
      <top style="thin">
        <color indexed="23"/>
      </top>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right/>
      <top style="thin">
        <color indexed="23"/>
      </top>
      <bottom/>
      <diagonal/>
    </border>
    <border>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top style="thin">
        <color indexed="64"/>
      </top>
      <bottom style="thin">
        <color indexed="64"/>
      </bottom>
      <diagonal/>
    </border>
    <border>
      <left style="thin">
        <color indexed="23"/>
      </left>
      <right style="medium">
        <color indexed="23"/>
      </right>
      <top style="thin">
        <color indexed="23"/>
      </top>
      <bottom style="thin">
        <color indexed="23"/>
      </bottom>
      <diagonal/>
    </border>
    <border>
      <left style="thin">
        <color indexed="23"/>
      </left>
      <right style="medium">
        <color indexed="23"/>
      </right>
      <top style="thin">
        <color indexed="23"/>
      </top>
      <bottom/>
      <diagonal/>
    </border>
    <border>
      <left style="thin">
        <color indexed="23"/>
      </left>
      <right style="medium">
        <color indexed="23"/>
      </right>
      <top/>
      <bottom/>
      <diagonal/>
    </border>
    <border>
      <left style="thin">
        <color indexed="23"/>
      </left>
      <right style="medium">
        <color indexed="23"/>
      </right>
      <top/>
      <bottom style="thin">
        <color indexed="2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83">
    <xf numFmtId="49" fontId="0" fillId="0" borderId="0" applyBorder="0">
      <alignment vertical="top"/>
    </xf>
    <xf numFmtId="0" fontId="2" fillId="0" borderId="0"/>
    <xf numFmtId="164" fontId="3" fillId="0" borderId="0" applyFont="0" applyFill="0" applyBorder="0" applyAlignment="0" applyProtection="0"/>
    <xf numFmtId="0" fontId="30" fillId="0" borderId="0" applyFill="0" applyBorder="0" applyProtection="0">
      <alignment vertical="center"/>
    </xf>
    <xf numFmtId="0" fontId="31"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6" fillId="0" borderId="0" applyNumberFormat="0" applyFill="0" applyBorder="0" applyAlignment="0" applyProtection="0"/>
    <xf numFmtId="0" fontId="4" fillId="0" borderId="0"/>
    <xf numFmtId="0" fontId="30" fillId="0" borderId="0" applyFill="0" applyBorder="0" applyProtection="0">
      <alignment vertical="center"/>
    </xf>
    <xf numFmtId="0" fontId="30" fillId="0" borderId="0" applyFill="0" applyBorder="0" applyProtection="0">
      <alignment vertical="center"/>
    </xf>
    <xf numFmtId="0" fontId="12" fillId="2" borderId="1" applyNumberFormat="0" applyAlignment="0" applyProtection="0"/>
    <xf numFmtId="0" fontId="9"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4" fontId="5" fillId="3" borderId="2" applyBorder="0">
      <alignment horizontal="right"/>
    </xf>
    <xf numFmtId="49" fontId="5" fillId="0" borderId="0" applyBorder="0">
      <alignment vertical="top"/>
    </xf>
    <xf numFmtId="0" fontId="1" fillId="0" borderId="0"/>
    <xf numFmtId="0" fontId="36" fillId="0" borderId="0"/>
    <xf numFmtId="49" fontId="5" fillId="0" borderId="0" applyBorder="0">
      <alignment vertical="top"/>
    </xf>
    <xf numFmtId="0" fontId="1" fillId="0" borderId="0"/>
    <xf numFmtId="49" fontId="5" fillId="0" borderId="0" applyBorder="0">
      <alignment vertical="top"/>
    </xf>
    <xf numFmtId="0" fontId="34" fillId="0" borderId="0"/>
    <xf numFmtId="0" fontId="34" fillId="0" borderId="0"/>
    <xf numFmtId="49" fontId="5" fillId="0" borderId="0" applyBorder="0">
      <alignment vertical="top"/>
    </xf>
    <xf numFmtId="49" fontId="5" fillId="0" borderId="0" applyBorder="0">
      <alignment vertical="top"/>
    </xf>
    <xf numFmtId="0" fontId="1" fillId="0" borderId="0"/>
    <xf numFmtId="0" fontId="1" fillId="0" borderId="0"/>
    <xf numFmtId="0" fontId="1" fillId="0" borderId="0"/>
    <xf numFmtId="0" fontId="36" fillId="0" borderId="0"/>
    <xf numFmtId="0" fontId="34" fillId="0" borderId="0"/>
    <xf numFmtId="0" fontId="1" fillId="0" borderId="0"/>
    <xf numFmtId="0" fontId="1" fillId="0" borderId="0"/>
    <xf numFmtId="0" fontId="11" fillId="0" borderId="0"/>
    <xf numFmtId="49" fontId="5" fillId="0" borderId="0" applyBorder="0">
      <alignment vertical="top"/>
    </xf>
    <xf numFmtId="0" fontId="1" fillId="0" borderId="0"/>
    <xf numFmtId="0" fontId="1" fillId="0" borderId="0"/>
    <xf numFmtId="0" fontId="1" fillId="0" borderId="0"/>
    <xf numFmtId="0" fontId="34" fillId="0" borderId="0"/>
    <xf numFmtId="0" fontId="1" fillId="0" borderId="0"/>
    <xf numFmtId="0" fontId="36" fillId="0" borderId="0"/>
    <xf numFmtId="0" fontId="34" fillId="0" borderId="0"/>
    <xf numFmtId="43" fontId="5" fillId="0" borderId="0" applyFont="0" applyFill="0" applyBorder="0" applyAlignment="0" applyProtection="0"/>
    <xf numFmtId="43" fontId="1" fillId="0" borderId="0" applyFont="0" applyFill="0" applyBorder="0" applyAlignment="0" applyProtection="0"/>
    <xf numFmtId="4" fontId="5" fillId="4" borderId="0" applyBorder="0">
      <alignment horizontal="right"/>
    </xf>
    <xf numFmtId="0" fontId="97" fillId="0" borderId="0" applyNumberFormat="0" applyFill="0" applyBorder="0" applyAlignment="0" applyProtection="0"/>
    <xf numFmtId="0" fontId="98" fillId="0" borderId="41" applyNumberFormat="0" applyFill="0" applyAlignment="0" applyProtection="0"/>
    <xf numFmtId="0" fontId="99" fillId="0" borderId="42" applyNumberFormat="0" applyFill="0" applyAlignment="0" applyProtection="0"/>
    <xf numFmtId="0" fontId="100" fillId="0" borderId="43" applyNumberFormat="0" applyFill="0" applyAlignment="0" applyProtection="0"/>
    <xf numFmtId="0" fontId="100" fillId="0" borderId="0" applyNumberFormat="0" applyFill="0" applyBorder="0" applyAlignment="0" applyProtection="0"/>
    <xf numFmtId="0" fontId="101" fillId="18" borderId="0" applyNumberFormat="0" applyBorder="0" applyAlignment="0" applyProtection="0"/>
    <xf numFmtId="0" fontId="102" fillId="19" borderId="0" applyNumberFormat="0" applyBorder="0" applyAlignment="0" applyProtection="0"/>
    <xf numFmtId="0" fontId="103" fillId="20" borderId="0" applyNumberFormat="0" applyBorder="0" applyAlignment="0" applyProtection="0"/>
    <xf numFmtId="0" fontId="104" fillId="21" borderId="44" applyNumberFormat="0" applyAlignment="0" applyProtection="0"/>
    <xf numFmtId="0" fontId="105" fillId="21" borderId="45" applyNumberFormat="0" applyAlignment="0" applyProtection="0"/>
    <xf numFmtId="0" fontId="106" fillId="0" borderId="46" applyNumberFormat="0" applyFill="0" applyAlignment="0" applyProtection="0"/>
    <xf numFmtId="0" fontId="107" fillId="22" borderId="47" applyNumberFormat="0" applyAlignment="0" applyProtection="0"/>
    <xf numFmtId="0" fontId="108" fillId="0" borderId="0" applyNumberFormat="0" applyFill="0" applyBorder="0" applyAlignment="0" applyProtection="0"/>
    <xf numFmtId="0" fontId="5" fillId="23" borderId="48" applyNumberFormat="0" applyFont="0" applyAlignment="0" applyProtection="0"/>
    <xf numFmtId="0" fontId="109" fillId="0" borderId="0" applyNumberFormat="0" applyFill="0" applyBorder="0" applyAlignment="0" applyProtection="0"/>
    <xf numFmtId="0" fontId="110" fillId="0" borderId="49" applyNumberFormat="0" applyFill="0" applyAlignment="0" applyProtection="0"/>
    <xf numFmtId="0" fontId="111" fillId="24" borderId="0" applyNumberFormat="0" applyBorder="0" applyAlignment="0" applyProtection="0"/>
    <xf numFmtId="0" fontId="112" fillId="25" borderId="0" applyNumberFormat="0" applyBorder="0" applyAlignment="0" applyProtection="0"/>
    <xf numFmtId="0" fontId="112" fillId="26" borderId="0" applyNumberFormat="0" applyBorder="0" applyAlignment="0" applyProtection="0"/>
    <xf numFmtId="0" fontId="111" fillId="27" borderId="0" applyNumberFormat="0" applyBorder="0" applyAlignment="0" applyProtection="0"/>
    <xf numFmtId="0" fontId="111" fillId="28" borderId="0" applyNumberFormat="0" applyBorder="0" applyAlignment="0" applyProtection="0"/>
    <xf numFmtId="0" fontId="112" fillId="29" borderId="0" applyNumberFormat="0" applyBorder="0" applyAlignment="0" applyProtection="0"/>
    <xf numFmtId="0" fontId="112" fillId="30" borderId="0" applyNumberFormat="0" applyBorder="0" applyAlignment="0" applyProtection="0"/>
    <xf numFmtId="0" fontId="111" fillId="31" borderId="0" applyNumberFormat="0" applyBorder="0" applyAlignment="0" applyProtection="0"/>
    <xf numFmtId="0" fontId="111" fillId="32" borderId="0" applyNumberFormat="0" applyBorder="0" applyAlignment="0" applyProtection="0"/>
    <xf numFmtId="0" fontId="112" fillId="33" borderId="0" applyNumberFormat="0" applyBorder="0" applyAlignment="0" applyProtection="0"/>
    <xf numFmtId="0" fontId="112" fillId="34" borderId="0" applyNumberFormat="0" applyBorder="0" applyAlignment="0" applyProtection="0"/>
    <xf numFmtId="0" fontId="111" fillId="35" borderId="0" applyNumberFormat="0" applyBorder="0" applyAlignment="0" applyProtection="0"/>
    <xf numFmtId="0" fontId="111" fillId="36"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1" fillId="39" borderId="0" applyNumberFormat="0" applyBorder="0" applyAlignment="0" applyProtection="0"/>
    <xf numFmtId="0" fontId="111" fillId="40"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1" fillId="43" borderId="0" applyNumberFormat="0" applyBorder="0" applyAlignment="0" applyProtection="0"/>
    <xf numFmtId="0" fontId="111" fillId="44"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1" fillId="47" borderId="0" applyNumberFormat="0" applyBorder="0" applyAlignment="0" applyProtection="0"/>
  </cellStyleXfs>
  <cellXfs count="977">
    <xf numFmtId="49" fontId="0" fillId="0" borderId="0" xfId="0">
      <alignment vertical="top"/>
    </xf>
    <xf numFmtId="49" fontId="5" fillId="0" borderId="0" xfId="0" applyFont="1" applyAlignment="1" applyProtection="1">
      <alignment vertical="center" wrapText="1"/>
    </xf>
    <xf numFmtId="49" fontId="0" fillId="0" borderId="0" xfId="0" applyProtection="1">
      <alignment vertical="top"/>
    </xf>
    <xf numFmtId="49" fontId="15" fillId="0" borderId="0" xfId="23" applyFont="1" applyAlignment="1" applyProtection="1">
      <alignment horizontal="center" vertical="center" wrapText="1"/>
    </xf>
    <xf numFmtId="49" fontId="5" fillId="0" borderId="0" xfId="23" applyFont="1" applyAlignment="1" applyProtection="1">
      <alignment vertical="center" wrapText="1"/>
    </xf>
    <xf numFmtId="49" fontId="5" fillId="0" borderId="0" xfId="23" applyFont="1" applyAlignment="1" applyProtection="1">
      <alignment horizontal="left" vertical="center" wrapText="1"/>
    </xf>
    <xf numFmtId="49" fontId="5" fillId="0" borderId="0" xfId="0" applyFont="1" applyProtection="1">
      <alignment vertical="top"/>
    </xf>
    <xf numFmtId="49" fontId="5" fillId="0" borderId="0" xfId="17" applyNumberFormat="1" applyProtection="1">
      <alignment vertical="top"/>
    </xf>
    <xf numFmtId="49" fontId="15" fillId="0" borderId="0" xfId="23" applyFont="1" applyAlignment="1" applyProtection="1">
      <alignment vertical="center"/>
    </xf>
    <xf numFmtId="49" fontId="5" fillId="0" borderId="0" xfId="14" applyProtection="1">
      <alignment vertical="top"/>
    </xf>
    <xf numFmtId="49" fontId="5" fillId="0" borderId="0" xfId="14" applyFont="1" applyProtection="1">
      <alignment vertical="top"/>
    </xf>
    <xf numFmtId="49" fontId="5" fillId="0" borderId="0" xfId="0" applyFont="1" applyBorder="1" applyAlignment="1" applyProtection="1">
      <alignment vertical="center" wrapText="1"/>
    </xf>
    <xf numFmtId="49" fontId="5" fillId="0" borderId="0" xfId="0" applyFont="1" applyAlignment="1" applyProtection="1">
      <alignment horizontal="center" vertical="center" wrapText="1"/>
    </xf>
    <xf numFmtId="49" fontId="5" fillId="0" borderId="0" xfId="0" applyFont="1" applyBorder="1" applyAlignment="1" applyProtection="1">
      <alignment horizontal="center" vertical="center" wrapText="1"/>
    </xf>
    <xf numFmtId="49" fontId="5" fillId="0" borderId="0" xfId="0" applyFont="1" applyAlignment="1" applyProtection="1">
      <alignment horizontal="left" vertical="center" wrapText="1"/>
    </xf>
    <xf numFmtId="49" fontId="5" fillId="0" borderId="0" xfId="0" applyFont="1" applyBorder="1" applyAlignment="1" applyProtection="1">
      <alignment horizontal="left" vertical="center" wrapText="1"/>
    </xf>
    <xf numFmtId="49" fontId="0" fillId="0" borderId="0" xfId="0" applyAlignment="1">
      <alignment vertical="center"/>
    </xf>
    <xf numFmtId="0" fontId="25" fillId="0" borderId="0" xfId="0" applyNumberFormat="1" applyFont="1" applyAlignment="1" applyProtection="1">
      <alignment wrapText="1"/>
    </xf>
    <xf numFmtId="49" fontId="26" fillId="0" borderId="0" xfId="0" applyFont="1" applyAlignment="1" applyProtection="1">
      <alignment wrapText="1"/>
    </xf>
    <xf numFmtId="49" fontId="26" fillId="0" borderId="0" xfId="0" applyFont="1" applyAlignment="1" applyProtection="1">
      <alignment vertical="center" wrapText="1"/>
    </xf>
    <xf numFmtId="49" fontId="27" fillId="0" borderId="0" xfId="0" applyFont="1" applyBorder="1" applyAlignment="1" applyProtection="1">
      <alignment wrapText="1"/>
    </xf>
    <xf numFmtId="49" fontId="26" fillId="0" borderId="0" xfId="0" applyFont="1" applyBorder="1" applyAlignment="1" applyProtection="1">
      <alignment wrapText="1"/>
    </xf>
    <xf numFmtId="49" fontId="29" fillId="0" borderId="0" xfId="0" applyFont="1" applyBorder="1" applyAlignment="1" applyProtection="1">
      <alignment horizontal="left" vertical="center" wrapText="1"/>
    </xf>
    <xf numFmtId="49" fontId="0" fillId="0" borderId="0" xfId="0" applyAlignment="1">
      <alignment horizontal="center" vertical="center"/>
    </xf>
    <xf numFmtId="49" fontId="5" fillId="0" borderId="0" xfId="23" applyFont="1" applyAlignment="1" applyProtection="1">
      <alignment horizontal="right" vertical="center" wrapText="1" indent="2"/>
    </xf>
    <xf numFmtId="49" fontId="5" fillId="0" borderId="0" xfId="23" applyFont="1" applyAlignment="1" applyProtection="1">
      <alignment horizontal="left" vertical="center" wrapText="1" indent="2"/>
    </xf>
    <xf numFmtId="49" fontId="14" fillId="0" borderId="0" xfId="0" applyNumberFormat="1" applyFont="1" applyFill="1" applyBorder="1" applyAlignment="1" applyProtection="1">
      <alignment horizontal="left" vertical="center" wrapText="1" indent="1"/>
    </xf>
    <xf numFmtId="49" fontId="14" fillId="0" borderId="0" xfId="11" applyNumberFormat="1" applyFont="1" applyFill="1" applyBorder="1" applyAlignment="1" applyProtection="1">
      <alignment horizontal="left" vertical="center" wrapText="1" indent="1"/>
    </xf>
    <xf numFmtId="49" fontId="0" fillId="0" borderId="0" xfId="0" applyNumberFormat="1" applyFill="1" applyProtection="1">
      <alignment vertical="top"/>
    </xf>
    <xf numFmtId="49" fontId="16" fillId="0" borderId="3" xfId="0" applyFont="1" applyBorder="1" applyAlignment="1" applyProtection="1">
      <alignment horizontal="center" vertical="center"/>
    </xf>
    <xf numFmtId="49" fontId="16" fillId="0" borderId="3" xfId="0" applyFont="1" applyBorder="1" applyAlignment="1" applyProtection="1">
      <alignment horizontal="left" vertical="center"/>
    </xf>
    <xf numFmtId="0" fontId="35" fillId="0" borderId="0" xfId="36" applyFont="1" applyFill="1" applyAlignment="1" applyProtection="1">
      <alignment vertical="center" wrapText="1"/>
    </xf>
    <xf numFmtId="0" fontId="5" fillId="0" borderId="0" xfId="36" applyFont="1" applyFill="1" applyAlignment="1" applyProtection="1">
      <alignment vertical="center" wrapText="1"/>
    </xf>
    <xf numFmtId="0" fontId="5" fillId="0" borderId="0" xfId="36" applyFont="1" applyFill="1" applyAlignment="1" applyProtection="1">
      <alignment horizontal="left" vertical="center" wrapText="1"/>
    </xf>
    <xf numFmtId="0" fontId="15" fillId="0" borderId="0" xfId="36" applyFont="1" applyFill="1" applyAlignment="1" applyProtection="1">
      <alignment vertical="center" wrapText="1"/>
    </xf>
    <xf numFmtId="0" fontId="5" fillId="0" borderId="0" xfId="36" applyFont="1" applyAlignment="1" applyProtection="1">
      <alignment vertical="center" wrapText="1"/>
    </xf>
    <xf numFmtId="0" fontId="5" fillId="0" borderId="0" xfId="36" applyFont="1" applyFill="1" applyBorder="1" applyAlignment="1" applyProtection="1">
      <alignment vertical="center" wrapText="1"/>
    </xf>
    <xf numFmtId="0" fontId="39" fillId="0" borderId="0" xfId="36" applyFont="1" applyFill="1" applyAlignment="1" applyProtection="1">
      <alignment vertical="center" wrapText="1"/>
    </xf>
    <xf numFmtId="0" fontId="5" fillId="0" borderId="0" xfId="18" applyFont="1" applyAlignment="1" applyProtection="1">
      <alignment vertical="center" wrapText="1"/>
    </xf>
    <xf numFmtId="0" fontId="5" fillId="0" borderId="0" xfId="16" applyFont="1" applyAlignment="1" applyProtection="1">
      <alignment vertical="center" wrapText="1"/>
    </xf>
    <xf numFmtId="0" fontId="15" fillId="0" borderId="0" xfId="16" applyFont="1" applyAlignment="1" applyProtection="1">
      <alignment vertical="center" wrapText="1"/>
    </xf>
    <xf numFmtId="0" fontId="40" fillId="0" borderId="0" xfId="16" applyFont="1" applyAlignment="1" applyProtection="1">
      <alignment vertical="center" wrapText="1"/>
    </xf>
    <xf numFmtId="0" fontId="5" fillId="0" borderId="0" xfId="16" applyFont="1" applyAlignment="1" applyProtection="1">
      <alignment horizontal="center" vertical="center" wrapText="1"/>
    </xf>
    <xf numFmtId="0" fontId="15" fillId="0" borderId="0" xfId="16" applyFont="1" applyAlignment="1" applyProtection="1">
      <alignment horizontal="center" vertical="center" wrapText="1"/>
    </xf>
    <xf numFmtId="0" fontId="5" fillId="5" borderId="0" xfId="16" applyFont="1" applyFill="1" applyBorder="1" applyAlignment="1" applyProtection="1">
      <alignment horizontal="center" vertical="center" wrapText="1"/>
    </xf>
    <xf numFmtId="49" fontId="5" fillId="0" borderId="0" xfId="16" applyNumberFormat="1" applyFont="1" applyAlignment="1" applyProtection="1">
      <alignment vertical="center" wrapText="1"/>
    </xf>
    <xf numFmtId="0" fontId="15" fillId="0" borderId="0" xfId="18" applyFont="1" applyAlignment="1" applyProtection="1">
      <alignment vertical="center" wrapText="1"/>
    </xf>
    <xf numFmtId="0" fontId="5" fillId="0" borderId="0" xfId="38" applyFont="1" applyAlignment="1" applyProtection="1">
      <alignment vertical="center" wrapText="1"/>
    </xf>
    <xf numFmtId="0" fontId="5" fillId="0" borderId="0" xfId="38" applyFont="1" applyFill="1" applyAlignment="1" applyProtection="1">
      <alignment vertical="center" wrapText="1"/>
    </xf>
    <xf numFmtId="49" fontId="5" fillId="0" borderId="0" xfId="38" applyNumberFormat="1" applyFont="1" applyAlignment="1" applyProtection="1">
      <alignment vertical="center" wrapText="1"/>
    </xf>
    <xf numFmtId="0" fontId="15" fillId="0" borderId="0" xfId="38" applyFont="1" applyFill="1" applyBorder="1" applyAlignment="1" applyProtection="1">
      <alignment vertical="center" wrapText="1"/>
    </xf>
    <xf numFmtId="0" fontId="5" fillId="0" borderId="0" xfId="38" applyFont="1" applyAlignment="1" applyProtection="1">
      <alignment horizontal="center" vertical="center" wrapText="1"/>
    </xf>
    <xf numFmtId="0" fontId="5" fillId="0" borderId="0" xfId="38" applyFont="1" applyBorder="1" applyAlignment="1" applyProtection="1">
      <alignment horizontal="center" vertical="center" wrapText="1"/>
    </xf>
    <xf numFmtId="0" fontId="5" fillId="0" borderId="0" xfId="38" applyFont="1" applyBorder="1" applyAlignment="1" applyProtection="1">
      <alignment vertical="center" wrapText="1"/>
    </xf>
    <xf numFmtId="0" fontId="15" fillId="0" borderId="0" xfId="38" applyFont="1" applyAlignment="1" applyProtection="1">
      <alignment vertical="center" wrapText="1"/>
    </xf>
    <xf numFmtId="0" fontId="15" fillId="0" borderId="0" xfId="38" applyFont="1" applyFill="1" applyAlignment="1" applyProtection="1">
      <alignment vertical="center" wrapText="1"/>
    </xf>
    <xf numFmtId="49" fontId="15" fillId="0" borderId="0" xfId="38" applyNumberFormat="1" applyFont="1" applyAlignment="1" applyProtection="1">
      <alignment vertical="center" wrapText="1"/>
    </xf>
    <xf numFmtId="49" fontId="0" fillId="0" borderId="0" xfId="0" applyFont="1" applyProtection="1">
      <alignment vertical="top"/>
    </xf>
    <xf numFmtId="49" fontId="0" fillId="0" borderId="0" xfId="0" applyNumberFormat="1">
      <alignment vertical="top"/>
    </xf>
    <xf numFmtId="49" fontId="0" fillId="0" borderId="0" xfId="0" applyFont="1" applyAlignment="1" applyProtection="1">
      <alignment horizontal="center" vertical="center" wrapText="1"/>
    </xf>
    <xf numFmtId="49" fontId="0" fillId="0" borderId="0" xfId="0" applyFont="1" applyAlignment="1" applyProtection="1">
      <alignment vertical="center" wrapText="1"/>
    </xf>
    <xf numFmtId="49" fontId="0" fillId="0" borderId="0" xfId="0" applyFont="1" applyAlignment="1" applyProtection="1">
      <alignment vertical="top" wrapText="1"/>
    </xf>
    <xf numFmtId="49" fontId="0" fillId="0" borderId="0" xfId="0" applyFont="1" applyAlignment="1">
      <alignment vertical="top" wrapText="1"/>
    </xf>
    <xf numFmtId="0" fontId="0" fillId="0" borderId="0" xfId="0" applyNumberFormat="1" applyFont="1" applyAlignment="1">
      <alignment vertical="top" wrapText="1"/>
    </xf>
    <xf numFmtId="0" fontId="5" fillId="6" borderId="0" xfId="29" applyFont="1" applyFill="1" applyProtection="1"/>
    <xf numFmtId="49" fontId="15" fillId="7" borderId="0" xfId="0" applyFont="1" applyFill="1" applyAlignment="1">
      <alignment horizontal="center" vertical="top"/>
    </xf>
    <xf numFmtId="0" fontId="0" fillId="0" borderId="0" xfId="33" applyFont="1" applyAlignment="1">
      <alignment wrapText="1"/>
    </xf>
    <xf numFmtId="49" fontId="15" fillId="0" borderId="0" xfId="0" applyNumberFormat="1" applyFont="1" applyAlignment="1">
      <alignment vertical="top" wrapText="1"/>
    </xf>
    <xf numFmtId="49" fontId="0" fillId="6" borderId="0" xfId="0" applyFill="1" applyAlignment="1">
      <alignment horizontal="right"/>
    </xf>
    <xf numFmtId="0" fontId="0" fillId="6" borderId="0" xfId="0" applyNumberFormat="1" applyFill="1" applyAlignment="1">
      <alignment horizontal="right"/>
    </xf>
    <xf numFmtId="0" fontId="1" fillId="0" borderId="0" xfId="15"/>
    <xf numFmtId="49" fontId="5" fillId="0" borderId="4" xfId="29" applyNumberFormat="1" applyFont="1" applyFill="1" applyBorder="1" applyAlignment="1" applyProtection="1">
      <alignment horizontal="center" vertical="center" wrapText="1"/>
    </xf>
    <xf numFmtId="49" fontId="5" fillId="0" borderId="5" xfId="29" applyNumberFormat="1" applyFont="1" applyFill="1" applyBorder="1" applyAlignment="1" applyProtection="1">
      <alignment horizontal="center" vertical="center" wrapText="1"/>
    </xf>
    <xf numFmtId="0" fontId="5" fillId="0" borderId="0" xfId="36" applyFont="1" applyFill="1" applyBorder="1" applyAlignment="1" applyProtection="1">
      <alignment horizontal="center" vertical="center" wrapText="1"/>
    </xf>
    <xf numFmtId="49" fontId="0" fillId="8" borderId="0" xfId="0" applyFont="1" applyFill="1" applyAlignment="1" applyProtection="1">
      <alignment vertical="top" wrapText="1"/>
    </xf>
    <xf numFmtId="49" fontId="0" fillId="8" borderId="0" xfId="0" applyFill="1" applyAlignment="1" applyProtection="1">
      <alignment vertical="top" wrapText="1"/>
    </xf>
    <xf numFmtId="0" fontId="5" fillId="5" borderId="6" xfId="36" applyNumberFormat="1" applyFont="1" applyFill="1" applyBorder="1" applyAlignment="1" applyProtection="1">
      <alignment horizontal="center" vertical="center" wrapText="1"/>
    </xf>
    <xf numFmtId="0" fontId="35" fillId="0" borderId="0" xfId="16" applyFont="1" applyAlignment="1" applyProtection="1">
      <alignment vertical="center" wrapText="1"/>
    </xf>
    <xf numFmtId="0" fontId="35" fillId="0" borderId="0" xfId="16" applyFont="1" applyFill="1" applyAlignment="1" applyProtection="1">
      <alignment vertical="center" wrapText="1"/>
    </xf>
    <xf numFmtId="0" fontId="15" fillId="0" borderId="0" xfId="16" applyFont="1" applyBorder="1" applyAlignment="1" applyProtection="1">
      <alignment vertical="center" wrapText="1"/>
    </xf>
    <xf numFmtId="0" fontId="35" fillId="0" borderId="0" xfId="16" applyFont="1" applyFill="1" applyBorder="1" applyAlignment="1" applyProtection="1">
      <alignment vertical="center" wrapText="1"/>
    </xf>
    <xf numFmtId="0" fontId="35" fillId="0" borderId="0" xfId="16" applyFont="1" applyFill="1" applyAlignment="1" applyProtection="1">
      <alignment horizontal="center" vertical="center" wrapText="1"/>
    </xf>
    <xf numFmtId="49" fontId="14" fillId="0" borderId="0" xfId="0" applyFont="1" applyBorder="1" applyAlignment="1" applyProtection="1">
      <alignment horizontal="left" vertical="center" wrapText="1"/>
    </xf>
    <xf numFmtId="49" fontId="15" fillId="0" borderId="7" xfId="29" applyNumberFormat="1" applyFont="1" applyFill="1" applyBorder="1" applyAlignment="1" applyProtection="1">
      <alignment horizontal="center" vertical="center" wrapText="1"/>
    </xf>
    <xf numFmtId="49" fontId="0" fillId="0" borderId="0" xfId="0" applyBorder="1">
      <alignment vertical="top"/>
    </xf>
    <xf numFmtId="49" fontId="33" fillId="0" borderId="0" xfId="0" applyFont="1" applyBorder="1" applyAlignment="1" applyProtection="1">
      <alignment horizontal="right" vertical="center" wrapText="1" indent="1"/>
    </xf>
    <xf numFmtId="49" fontId="52" fillId="0" borderId="0" xfId="0" applyFont="1" applyAlignment="1" applyProtection="1">
      <alignment vertical="center" wrapText="1"/>
    </xf>
    <xf numFmtId="49" fontId="53" fillId="0" borderId="0" xfId="0" applyFont="1" applyBorder="1" applyAlignment="1" applyProtection="1">
      <alignment wrapText="1"/>
    </xf>
    <xf numFmtId="49" fontId="55" fillId="0" borderId="0" xfId="0" applyFont="1" applyBorder="1" applyAlignment="1" applyProtection="1">
      <alignment vertical="center" wrapText="1"/>
    </xf>
    <xf numFmtId="49" fontId="52" fillId="0" borderId="0" xfId="0" applyFont="1" applyBorder="1" applyAlignment="1" applyProtection="1">
      <alignment vertical="center" wrapText="1"/>
    </xf>
    <xf numFmtId="49" fontId="5" fillId="9" borderId="8" xfId="29" applyNumberFormat="1" applyFont="1" applyFill="1" applyBorder="1" applyAlignment="1" applyProtection="1">
      <alignment horizontal="center" vertical="center" wrapText="1"/>
    </xf>
    <xf numFmtId="49" fontId="47" fillId="9" borderId="9" xfId="11" applyNumberFormat="1" applyFont="1" applyFill="1" applyBorder="1" applyAlignment="1" applyProtection="1">
      <alignment horizontal="left" vertical="center" indent="1"/>
    </xf>
    <xf numFmtId="49" fontId="5" fillId="9" borderId="9" xfId="29" applyNumberFormat="1" applyFont="1" applyFill="1" applyBorder="1" applyAlignment="1" applyProtection="1">
      <alignment horizontal="center" vertical="center" wrapText="1"/>
    </xf>
    <xf numFmtId="49" fontId="5" fillId="9" borderId="10" xfId="29" applyNumberFormat="1" applyFont="1" applyFill="1" applyBorder="1" applyAlignment="1" applyProtection="1">
      <alignment horizontal="center" vertical="center" wrapText="1"/>
    </xf>
    <xf numFmtId="0" fontId="40" fillId="0" borderId="0" xfId="16" applyFont="1" applyBorder="1" applyAlignment="1" applyProtection="1">
      <alignment vertical="center" wrapText="1"/>
    </xf>
    <xf numFmtId="0" fontId="5" fillId="0" borderId="0" xfId="16" applyFont="1" applyBorder="1" applyAlignment="1" applyProtection="1">
      <alignment vertical="center" wrapText="1"/>
    </xf>
    <xf numFmtId="0" fontId="40" fillId="5" borderId="0" xfId="16" applyFont="1" applyFill="1" applyBorder="1" applyAlignment="1" applyProtection="1">
      <alignment horizontal="center" vertical="center" wrapText="1"/>
    </xf>
    <xf numFmtId="0" fontId="40" fillId="5" borderId="0" xfId="16" applyFont="1" applyFill="1" applyBorder="1" applyAlignment="1" applyProtection="1">
      <alignment vertical="center" wrapText="1"/>
    </xf>
    <xf numFmtId="49" fontId="40" fillId="5" borderId="0" xfId="16" applyNumberFormat="1" applyFont="1" applyFill="1" applyBorder="1" applyAlignment="1" applyProtection="1">
      <alignment vertical="center" wrapText="1"/>
    </xf>
    <xf numFmtId="0" fontId="5" fillId="0" borderId="0" xfId="18" applyFont="1" applyBorder="1" applyAlignment="1" applyProtection="1">
      <alignment vertical="center" wrapText="1"/>
    </xf>
    <xf numFmtId="0" fontId="15" fillId="0" borderId="0" xfId="16" applyFont="1" applyBorder="1" applyAlignment="1" applyProtection="1">
      <alignment horizontal="center" vertical="center" wrapText="1"/>
    </xf>
    <xf numFmtId="0" fontId="5" fillId="0" borderId="0" xfId="16" applyFont="1" applyBorder="1" applyAlignment="1" applyProtection="1">
      <alignment horizontal="center" vertical="center" wrapText="1"/>
    </xf>
    <xf numFmtId="49" fontId="5" fillId="0" borderId="0" xfId="16" applyNumberFormat="1" applyFont="1" applyBorder="1" applyAlignment="1" applyProtection="1">
      <alignment vertical="center" wrapText="1"/>
    </xf>
    <xf numFmtId="49" fontId="15" fillId="0" borderId="0" xfId="16" applyNumberFormat="1" applyFont="1" applyBorder="1" applyAlignment="1" applyProtection="1">
      <alignment vertical="center" wrapText="1"/>
    </xf>
    <xf numFmtId="0" fontId="15" fillId="0" borderId="0" xfId="18" applyFont="1" applyBorder="1" applyAlignment="1" applyProtection="1">
      <alignment vertical="center" wrapText="1"/>
    </xf>
    <xf numFmtId="0" fontId="5" fillId="4" borderId="1" xfId="16" applyNumberFormat="1" applyFont="1" applyFill="1" applyBorder="1" applyAlignment="1" applyProtection="1">
      <alignment horizontal="left" vertical="center" wrapText="1" indent="1"/>
    </xf>
    <xf numFmtId="0" fontId="5" fillId="4" borderId="1" xfId="16" applyNumberFormat="1" applyFont="1" applyFill="1" applyBorder="1" applyAlignment="1" applyProtection="1">
      <alignment horizontal="center" vertical="center" wrapText="1"/>
    </xf>
    <xf numFmtId="0" fontId="5" fillId="10" borderId="1" xfId="16" applyNumberFormat="1" applyFont="1" applyFill="1" applyBorder="1" applyAlignment="1" applyProtection="1">
      <alignment horizontal="right" vertical="center" wrapText="1"/>
    </xf>
    <xf numFmtId="49" fontId="5" fillId="4" borderId="1" xfId="20" applyNumberFormat="1" applyFont="1" applyFill="1" applyBorder="1" applyAlignment="1" applyProtection="1">
      <alignment horizontal="center" vertical="center" wrapText="1"/>
    </xf>
    <xf numFmtId="0" fontId="5" fillId="4" borderId="1" xfId="20" applyNumberFormat="1" applyFont="1" applyFill="1" applyBorder="1" applyAlignment="1" applyProtection="1">
      <alignment horizontal="center" vertical="center" wrapText="1"/>
    </xf>
    <xf numFmtId="0" fontId="15" fillId="11" borderId="11" xfId="11" applyFont="1" applyFill="1" applyBorder="1" applyAlignment="1" applyProtection="1">
      <alignment horizontal="center" vertical="center"/>
    </xf>
    <xf numFmtId="0" fontId="15" fillId="11" borderId="12" xfId="11" applyFont="1" applyFill="1" applyBorder="1" applyAlignment="1" applyProtection="1">
      <alignment horizontal="left" vertical="center" indent="1"/>
    </xf>
    <xf numFmtId="0" fontId="15" fillId="11" borderId="12" xfId="11" applyFont="1" applyFill="1" applyBorder="1" applyAlignment="1" applyProtection="1">
      <alignment horizontal="center" vertical="center"/>
    </xf>
    <xf numFmtId="0" fontId="15" fillId="11" borderId="13" xfId="11" applyFont="1" applyFill="1" applyBorder="1" applyAlignment="1" applyProtection="1">
      <alignment horizontal="center" vertical="center"/>
    </xf>
    <xf numFmtId="0" fontId="5" fillId="5" borderId="0" xfId="16" applyFont="1" applyFill="1" applyBorder="1" applyAlignment="1" applyProtection="1">
      <alignment vertical="center" wrapText="1"/>
    </xf>
    <xf numFmtId="4" fontId="5" fillId="5" borderId="0" xfId="16" applyNumberFormat="1" applyFont="1" applyFill="1" applyBorder="1" applyAlignment="1" applyProtection="1">
      <alignment vertical="center" wrapText="1"/>
    </xf>
    <xf numFmtId="0" fontId="5" fillId="4" borderId="1" xfId="18" applyFont="1" applyFill="1" applyBorder="1" applyAlignment="1" applyProtection="1">
      <alignment horizontal="center" vertical="center" wrapText="1"/>
    </xf>
    <xf numFmtId="4" fontId="5" fillId="10" borderId="1" xfId="16" applyNumberFormat="1" applyFont="1" applyFill="1" applyBorder="1" applyAlignment="1" applyProtection="1">
      <alignment vertical="center" wrapText="1"/>
    </xf>
    <xf numFmtId="49" fontId="0" fillId="8" borderId="0" xfId="0" applyFill="1" applyAlignment="1" applyProtection="1">
      <alignment horizontal="center" vertical="top" wrapText="1"/>
    </xf>
    <xf numFmtId="0" fontId="5" fillId="0" borderId="11" xfId="16" applyFont="1" applyBorder="1" applyAlignment="1" applyProtection="1">
      <alignment horizontal="center" vertical="center" wrapText="1"/>
    </xf>
    <xf numFmtId="0" fontId="64" fillId="0" borderId="0" xfId="11" applyFont="1" applyFill="1" applyBorder="1" applyAlignment="1" applyProtection="1">
      <alignment horizontal="center" vertical="center" wrapText="1"/>
    </xf>
    <xf numFmtId="49" fontId="0" fillId="0" borderId="0" xfId="0" applyFont="1">
      <alignment vertical="top"/>
    </xf>
    <xf numFmtId="0" fontId="5" fillId="5" borderId="0" xfId="38" applyFont="1" applyFill="1" applyBorder="1" applyAlignment="1" applyProtection="1">
      <alignment horizontal="center" vertical="center" wrapText="1"/>
    </xf>
    <xf numFmtId="0" fontId="35" fillId="0" borderId="0" xfId="16" applyFont="1" applyBorder="1" applyAlignment="1" applyProtection="1">
      <alignment horizontal="center" vertical="center" wrapText="1"/>
    </xf>
    <xf numFmtId="0" fontId="5" fillId="5" borderId="0" xfId="38" applyFont="1" applyFill="1" applyBorder="1" applyAlignment="1" applyProtection="1">
      <alignment vertical="center" wrapText="1"/>
    </xf>
    <xf numFmtId="0" fontId="15" fillId="5" borderId="0" xfId="38" applyFont="1" applyFill="1" applyBorder="1" applyAlignment="1" applyProtection="1">
      <alignment vertical="center" wrapText="1"/>
    </xf>
    <xf numFmtId="49" fontId="15" fillId="5" borderId="0" xfId="38" applyNumberFormat="1" applyFont="1" applyFill="1" applyBorder="1" applyAlignment="1" applyProtection="1">
      <alignment horizontal="center" vertical="center" wrapText="1"/>
    </xf>
    <xf numFmtId="4" fontId="5" fillId="5" borderId="0" xfId="38" applyNumberFormat="1" applyFont="1" applyFill="1" applyBorder="1" applyAlignment="1" applyProtection="1">
      <alignment vertical="center" wrapText="1"/>
    </xf>
    <xf numFmtId="0" fontId="5" fillId="5" borderId="1" xfId="18" applyFont="1" applyFill="1" applyBorder="1" applyAlignment="1" applyProtection="1">
      <alignment horizontal="center" vertical="center" wrapText="1"/>
    </xf>
    <xf numFmtId="2" fontId="5" fillId="10" borderId="1" xfId="16" applyNumberFormat="1" applyFont="1" applyFill="1" applyBorder="1" applyAlignment="1" applyProtection="1">
      <alignment vertical="center" wrapText="1"/>
    </xf>
    <xf numFmtId="0" fontId="5" fillId="4" borderId="1" xfId="16" applyFont="1" applyFill="1" applyBorder="1" applyAlignment="1" applyProtection="1">
      <alignment horizontal="center" vertical="center" wrapText="1"/>
    </xf>
    <xf numFmtId="0" fontId="61" fillId="0" borderId="6" xfId="31" applyFont="1" applyFill="1" applyBorder="1" applyAlignment="1" applyProtection="1">
      <alignment horizontal="center" vertical="center"/>
    </xf>
    <xf numFmtId="0" fontId="61" fillId="0" borderId="6" xfId="31" applyFont="1" applyFill="1" applyBorder="1" applyAlignment="1" applyProtection="1">
      <alignment horizontal="center" vertical="center" wrapText="1"/>
    </xf>
    <xf numFmtId="0" fontId="61" fillId="0" borderId="14" xfId="31" applyFont="1" applyFill="1" applyBorder="1" applyAlignment="1" applyProtection="1">
      <alignment horizontal="center" vertical="center" wrapText="1"/>
    </xf>
    <xf numFmtId="49" fontId="26" fillId="0" borderId="0" xfId="0" applyFont="1" applyFill="1" applyBorder="1" applyAlignment="1" applyProtection="1">
      <alignment wrapText="1"/>
    </xf>
    <xf numFmtId="49" fontId="55" fillId="0" borderId="0" xfId="0" applyFont="1" applyFill="1" applyBorder="1" applyAlignment="1" applyProtection="1">
      <alignment vertical="center" wrapText="1"/>
    </xf>
    <xf numFmtId="49" fontId="26" fillId="0" borderId="0" xfId="0" applyFont="1" applyFill="1" applyAlignment="1" applyProtection="1">
      <alignment wrapText="1"/>
    </xf>
    <xf numFmtId="49" fontId="48" fillId="0" borderId="0" xfId="0" applyFont="1" applyFill="1" applyBorder="1" applyAlignment="1" applyProtection="1">
      <alignment horizontal="right" wrapText="1" indent="1"/>
    </xf>
    <xf numFmtId="49" fontId="0" fillId="0" borderId="0" xfId="0" applyFill="1" applyBorder="1" applyProtection="1">
      <alignment vertical="top"/>
    </xf>
    <xf numFmtId="0" fontId="10" fillId="0" borderId="0" xfId="36" applyFont="1" applyFill="1" applyBorder="1" applyAlignment="1" applyProtection="1">
      <alignment horizontal="right" vertical="center" wrapText="1"/>
    </xf>
    <xf numFmtId="0" fontId="5" fillId="0" borderId="0" xfId="36" applyFont="1" applyFill="1" applyBorder="1" applyAlignment="1" applyProtection="1">
      <alignment horizontal="left" vertical="center" wrapText="1"/>
    </xf>
    <xf numFmtId="0" fontId="49" fillId="0" borderId="0" xfId="36" applyFont="1" applyFill="1" applyBorder="1" applyAlignment="1" applyProtection="1">
      <alignment horizontal="right" vertical="center" wrapText="1"/>
    </xf>
    <xf numFmtId="0" fontId="49" fillId="0" borderId="0" xfId="36" applyFont="1" applyFill="1" applyBorder="1" applyAlignment="1" applyProtection="1">
      <alignment horizontal="left" vertical="center" wrapText="1"/>
    </xf>
    <xf numFmtId="0" fontId="7" fillId="0" borderId="0" xfId="36" applyFont="1" applyFill="1" applyBorder="1" applyAlignment="1" applyProtection="1">
      <alignment vertical="center" wrapText="1"/>
    </xf>
    <xf numFmtId="0" fontId="7" fillId="0" borderId="0" xfId="36" applyFont="1" applyFill="1" applyBorder="1" applyAlignment="1" applyProtection="1">
      <alignment horizontal="center" vertical="center" wrapText="1" shrinkToFit="1"/>
    </xf>
    <xf numFmtId="49" fontId="5" fillId="0" borderId="0" xfId="0" applyFont="1" applyFill="1" applyProtection="1">
      <alignment vertical="top"/>
    </xf>
    <xf numFmtId="49" fontId="5" fillId="0" borderId="0" xfId="0" applyFont="1" applyFill="1" applyBorder="1" applyProtection="1">
      <alignment vertical="top"/>
    </xf>
    <xf numFmtId="0" fontId="15" fillId="0" borderId="0" xfId="36" applyFont="1" applyFill="1" applyBorder="1" applyAlignment="1" applyProtection="1">
      <alignment vertical="center" wrapText="1"/>
    </xf>
    <xf numFmtId="49" fontId="15" fillId="0" borderId="0" xfId="32" applyFont="1" applyFill="1" applyBorder="1" applyAlignment="1" applyProtection="1">
      <alignment vertical="center" wrapText="1"/>
    </xf>
    <xf numFmtId="0" fontId="15" fillId="0" borderId="0" xfId="36" applyFont="1" applyFill="1" applyBorder="1" applyAlignment="1" applyProtection="1">
      <alignment vertical="center"/>
    </xf>
    <xf numFmtId="0" fontId="38" fillId="0" borderId="0" xfId="12" applyFont="1" applyFill="1" applyBorder="1" applyAlignment="1" applyProtection="1">
      <alignment vertical="center" wrapText="1"/>
    </xf>
    <xf numFmtId="0" fontId="5" fillId="5" borderId="1" xfId="16" applyNumberFormat="1" applyFont="1" applyFill="1" applyBorder="1" applyAlignment="1" applyProtection="1">
      <alignment horizontal="right" vertical="center" wrapText="1"/>
    </xf>
    <xf numFmtId="0" fontId="61" fillId="5" borderId="1" xfId="20" applyNumberFormat="1" applyFont="1" applyFill="1" applyBorder="1" applyAlignment="1" applyProtection="1">
      <alignment horizontal="center" vertical="center" wrapText="1"/>
    </xf>
    <xf numFmtId="49" fontId="61" fillId="0" borderId="1" xfId="20" applyNumberFormat="1" applyFont="1" applyFill="1" applyBorder="1" applyAlignment="1" applyProtection="1">
      <alignment horizontal="center" vertical="center" wrapText="1"/>
    </xf>
    <xf numFmtId="0" fontId="5" fillId="0" borderId="1" xfId="16" applyNumberFormat="1" applyFont="1" applyFill="1" applyBorder="1" applyAlignment="1" applyProtection="1">
      <alignment horizontal="right" vertical="center" wrapText="1"/>
    </xf>
    <xf numFmtId="49" fontId="61" fillId="0" borderId="1" xfId="18" applyNumberFormat="1" applyFont="1" applyFill="1" applyBorder="1" applyAlignment="1" applyProtection="1">
      <alignment horizontal="center" vertical="center" wrapText="1"/>
    </xf>
    <xf numFmtId="0" fontId="5" fillId="0" borderId="15" xfId="16" applyNumberFormat="1" applyFont="1" applyFill="1" applyBorder="1" applyAlignment="1" applyProtection="1">
      <alignment horizontal="right" vertical="center" wrapText="1"/>
    </xf>
    <xf numFmtId="0" fontId="61" fillId="0" borderId="1" xfId="18" applyNumberFormat="1" applyFont="1" applyFill="1" applyBorder="1" applyAlignment="1" applyProtection="1">
      <alignment horizontal="center" vertical="center" wrapText="1"/>
    </xf>
    <xf numFmtId="0" fontId="5" fillId="0" borderId="0" xfId="16" applyFont="1" applyFill="1" applyBorder="1" applyAlignment="1" applyProtection="1">
      <alignment horizontal="center" vertical="center" wrapText="1"/>
    </xf>
    <xf numFmtId="0" fontId="15" fillId="0" borderId="0" xfId="16" applyFont="1" applyFill="1" applyAlignment="1" applyProtection="1">
      <alignment vertical="center" wrapText="1"/>
    </xf>
    <xf numFmtId="0" fontId="63" fillId="0" borderId="0" xfId="16" applyFont="1" applyFill="1" applyBorder="1" applyAlignment="1" applyProtection="1">
      <alignment horizontal="center" vertical="center" wrapText="1"/>
    </xf>
    <xf numFmtId="0" fontId="15" fillId="0" borderId="0" xfId="16" applyFont="1" applyFill="1" applyBorder="1" applyAlignment="1" applyProtection="1">
      <alignment vertical="center" wrapText="1"/>
    </xf>
    <xf numFmtId="0" fontId="5" fillId="0" borderId="0" xfId="16" applyFont="1" applyFill="1" applyAlignment="1" applyProtection="1">
      <alignment vertical="center" wrapText="1"/>
    </xf>
    <xf numFmtId="0" fontId="15" fillId="0" borderId="0" xfId="16" applyFont="1" applyFill="1" applyBorder="1" applyAlignment="1" applyProtection="1">
      <alignment horizontal="center" vertical="center" wrapText="1"/>
    </xf>
    <xf numFmtId="0" fontId="5" fillId="0" borderId="0" xfId="16" applyFont="1" applyFill="1" applyAlignment="1" applyProtection="1">
      <alignment horizontal="center" vertical="center" wrapText="1"/>
    </xf>
    <xf numFmtId="0" fontId="15" fillId="0" borderId="0" xfId="16" applyFont="1" applyFill="1" applyAlignment="1" applyProtection="1">
      <alignment horizontal="center" vertical="center" wrapText="1"/>
    </xf>
    <xf numFmtId="0" fontId="40" fillId="0" borderId="0" xfId="16" applyFont="1" applyFill="1" applyBorder="1" applyAlignment="1" applyProtection="1">
      <alignment horizontal="center" vertical="center" wrapText="1"/>
    </xf>
    <xf numFmtId="0" fontId="5" fillId="0" borderId="0" xfId="16" applyNumberFormat="1" applyFont="1" applyFill="1" applyBorder="1" applyAlignment="1" applyProtection="1">
      <alignment horizontal="center" vertical="center" wrapText="1"/>
    </xf>
    <xf numFmtId="0" fontId="15" fillId="0" borderId="0" xfId="38" applyFont="1" applyFill="1" applyBorder="1" applyAlignment="1" applyProtection="1">
      <alignment horizontal="center" vertical="center" wrapText="1"/>
    </xf>
    <xf numFmtId="49" fontId="5" fillId="0" borderId="0" xfId="22" applyFont="1" applyFill="1" applyProtection="1">
      <alignment vertical="top"/>
    </xf>
    <xf numFmtId="49" fontId="5" fillId="0" borderId="0" xfId="22" applyFont="1" applyFill="1" applyBorder="1" applyProtection="1">
      <alignment vertical="top"/>
    </xf>
    <xf numFmtId="49" fontId="5" fillId="0" borderId="0" xfId="22" applyFont="1" applyFill="1" applyAlignment="1" applyProtection="1">
      <alignment horizontal="center" vertical="center"/>
    </xf>
    <xf numFmtId="0" fontId="10" fillId="0" borderId="0" xfId="34" applyNumberFormat="1" applyFont="1" applyFill="1" applyBorder="1" applyAlignment="1" applyProtection="1">
      <alignment horizontal="center" vertical="center" wrapText="1"/>
    </xf>
    <xf numFmtId="49" fontId="5" fillId="0" borderId="0" xfId="23" applyFont="1" applyFill="1" applyAlignment="1" applyProtection="1">
      <alignment horizontal="center" vertical="center" wrapText="1"/>
    </xf>
    <xf numFmtId="49" fontId="5" fillId="0" borderId="0" xfId="23" applyFont="1" applyFill="1" applyAlignment="1" applyProtection="1">
      <alignment horizontal="left" vertical="center" wrapText="1"/>
    </xf>
    <xf numFmtId="49" fontId="5" fillId="0" borderId="0" xfId="23" applyFont="1" applyFill="1" applyAlignment="1" applyProtection="1">
      <alignment vertical="center" wrapText="1"/>
    </xf>
    <xf numFmtId="49" fontId="5" fillId="5" borderId="1" xfId="20" applyNumberFormat="1" applyFont="1" applyFill="1" applyBorder="1" applyAlignment="1" applyProtection="1">
      <alignment horizontal="center" vertical="center" wrapText="1"/>
    </xf>
    <xf numFmtId="0" fontId="65" fillId="10" borderId="1" xfId="16" applyFont="1" applyFill="1" applyBorder="1" applyAlignment="1" applyProtection="1">
      <alignment horizontal="center" vertical="center" wrapText="1"/>
    </xf>
    <xf numFmtId="0" fontId="64" fillId="0" borderId="0" xfId="11" applyFont="1" applyFill="1" applyAlignment="1" applyProtection="1">
      <alignment horizontal="center" vertical="center" wrapText="1"/>
    </xf>
    <xf numFmtId="0" fontId="40" fillId="0" borderId="0" xfId="16" applyFont="1" applyFill="1" applyAlignment="1" applyProtection="1">
      <alignment vertical="center" wrapText="1"/>
    </xf>
    <xf numFmtId="49" fontId="5" fillId="0" borderId="0" xfId="16" applyNumberFormat="1" applyFont="1" applyFill="1" applyBorder="1" applyAlignment="1" applyProtection="1">
      <alignment horizontal="center" vertical="center" wrapText="1"/>
    </xf>
    <xf numFmtId="0" fontId="5" fillId="0" borderId="0" xfId="18" applyFont="1" applyFill="1" applyAlignment="1" applyProtection="1">
      <alignment vertical="center" wrapText="1"/>
    </xf>
    <xf numFmtId="49" fontId="61" fillId="5" borderId="1" xfId="20" applyNumberFormat="1" applyFont="1" applyFill="1" applyBorder="1" applyAlignment="1" applyProtection="1">
      <alignment horizontal="center" vertical="center" wrapText="1"/>
    </xf>
    <xf numFmtId="0" fontId="61" fillId="5" borderId="1" xfId="18" applyFont="1" applyFill="1" applyBorder="1" applyAlignment="1" applyProtection="1">
      <alignment horizontal="center" vertical="center" wrapText="1"/>
    </xf>
    <xf numFmtId="0" fontId="40" fillId="0" borderId="0" xfId="16" applyFont="1" applyFill="1" applyBorder="1" applyAlignment="1" applyProtection="1">
      <alignment vertical="center" wrapText="1"/>
    </xf>
    <xf numFmtId="0" fontId="5" fillId="0" borderId="0" xfId="16" applyFont="1" applyFill="1" applyBorder="1" applyAlignment="1" applyProtection="1">
      <alignment vertical="center" wrapText="1"/>
    </xf>
    <xf numFmtId="0" fontId="15" fillId="0" borderId="11" xfId="16" applyFont="1" applyBorder="1" applyAlignment="1" applyProtection="1">
      <alignment horizontal="center" vertical="center" wrapText="1"/>
    </xf>
    <xf numFmtId="0" fontId="5" fillId="5" borderId="12" xfId="16" applyFont="1" applyFill="1" applyBorder="1" applyAlignment="1" applyProtection="1">
      <alignment vertical="center" wrapText="1"/>
    </xf>
    <xf numFmtId="49" fontId="60" fillId="0" borderId="0" xfId="11" applyNumberFormat="1" applyFont="1" applyFill="1" applyBorder="1" applyAlignment="1" applyProtection="1">
      <alignment horizontal="center" vertical="center" wrapText="1"/>
    </xf>
    <xf numFmtId="49" fontId="35" fillId="0" borderId="0" xfId="16" applyNumberFormat="1" applyFont="1" applyFill="1" applyBorder="1" applyAlignment="1" applyProtection="1">
      <alignment horizontal="center" vertical="center" wrapText="1"/>
    </xf>
    <xf numFmtId="0" fontId="46" fillId="0" borderId="0" xfId="16" applyFont="1" applyFill="1" applyBorder="1" applyAlignment="1" applyProtection="1">
      <alignment horizontal="center" vertical="center" wrapText="1"/>
    </xf>
    <xf numFmtId="49" fontId="0" fillId="0" borderId="0" xfId="0" applyFont="1" applyFill="1" applyBorder="1" applyProtection="1">
      <alignment vertical="top"/>
    </xf>
    <xf numFmtId="0" fontId="46" fillId="0" borderId="0" xfId="16" applyFont="1" applyFill="1" applyBorder="1" applyAlignment="1" applyProtection="1">
      <alignment vertical="center" wrapText="1"/>
    </xf>
    <xf numFmtId="0" fontId="5" fillId="5" borderId="1" xfId="16" applyFont="1" applyFill="1" applyBorder="1" applyAlignment="1" applyProtection="1">
      <alignment horizontal="center" vertical="center" wrapText="1"/>
    </xf>
    <xf numFmtId="0" fontId="5" fillId="10" borderId="1" xfId="16" applyNumberFormat="1" applyFont="1" applyFill="1" applyBorder="1" applyAlignment="1" applyProtection="1">
      <alignment vertical="center" wrapText="1"/>
    </xf>
    <xf numFmtId="0" fontId="60" fillId="0" borderId="0" xfId="11" applyFont="1" applyFill="1" applyBorder="1" applyAlignment="1" applyProtection="1">
      <alignment horizontal="center" vertical="center" wrapText="1"/>
    </xf>
    <xf numFmtId="0" fontId="5" fillId="5" borderId="13" xfId="16" applyFont="1" applyFill="1" applyBorder="1" applyAlignment="1" applyProtection="1">
      <alignment vertical="center" wrapText="1"/>
    </xf>
    <xf numFmtId="49" fontId="60" fillId="0" borderId="0" xfId="11" applyNumberFormat="1" applyFont="1" applyFill="1" applyBorder="1" applyAlignment="1" applyProtection="1">
      <alignment vertical="center"/>
    </xf>
    <xf numFmtId="0" fontId="5" fillId="0" borderId="0" xfId="16" applyNumberFormat="1" applyFont="1" applyFill="1" applyBorder="1" applyAlignment="1" applyProtection="1">
      <alignment vertical="center" wrapText="1"/>
    </xf>
    <xf numFmtId="49" fontId="5" fillId="0" borderId="0" xfId="38" applyNumberFormat="1" applyFont="1" applyFill="1" applyAlignment="1" applyProtection="1">
      <alignment vertical="center" wrapText="1"/>
    </xf>
    <xf numFmtId="0" fontId="5" fillId="0" borderId="0" xfId="38" applyFont="1" applyFill="1" applyBorder="1" applyAlignment="1" applyProtection="1">
      <alignment vertical="center" wrapText="1"/>
    </xf>
    <xf numFmtId="0" fontId="5" fillId="0" borderId="0" xfId="38" applyFont="1" applyFill="1" applyBorder="1" applyAlignment="1" applyProtection="1">
      <alignment horizontal="right" vertical="center" wrapText="1"/>
    </xf>
    <xf numFmtId="4" fontId="5" fillId="0" borderId="0" xfId="38" applyNumberFormat="1" applyFont="1" applyFill="1" applyBorder="1" applyAlignment="1" applyProtection="1">
      <alignment vertical="center" wrapText="1"/>
    </xf>
    <xf numFmtId="0" fontId="41" fillId="0" borderId="0" xfId="38" applyFont="1" applyFill="1" applyBorder="1" applyAlignment="1" applyProtection="1">
      <alignment vertical="center" textRotation="90" wrapText="1"/>
    </xf>
    <xf numFmtId="0" fontId="5" fillId="0" borderId="1" xfId="38" applyNumberFormat="1" applyFont="1" applyFill="1" applyBorder="1" applyAlignment="1" applyProtection="1">
      <alignment horizontal="right" vertical="center" wrapText="1"/>
    </xf>
    <xf numFmtId="49" fontId="5" fillId="5" borderId="1" xfId="37" applyNumberFormat="1" applyFont="1" applyFill="1" applyBorder="1" applyAlignment="1" applyProtection="1">
      <alignment horizontal="left" vertical="center" wrapText="1" indent="1"/>
    </xf>
    <xf numFmtId="0" fontId="15" fillId="11" borderId="16" xfId="11" applyFont="1" applyFill="1" applyBorder="1" applyAlignment="1" applyProtection="1">
      <alignment horizontal="center" vertical="center"/>
    </xf>
    <xf numFmtId="0" fontId="15" fillId="11" borderId="17" xfId="11" applyFont="1" applyFill="1" applyBorder="1" applyAlignment="1" applyProtection="1">
      <alignment horizontal="center" vertical="center"/>
    </xf>
    <xf numFmtId="0" fontId="15" fillId="11" borderId="15" xfId="11" applyFont="1" applyFill="1" applyBorder="1" applyAlignment="1" applyProtection="1">
      <alignment horizontal="center" vertical="center"/>
    </xf>
    <xf numFmtId="49" fontId="5" fillId="0" borderId="0" xfId="16" applyNumberFormat="1" applyFont="1" applyFill="1" applyBorder="1" applyAlignment="1" applyProtection="1">
      <alignment vertical="center" wrapText="1"/>
    </xf>
    <xf numFmtId="0" fontId="5" fillId="0" borderId="0" xfId="18" applyFont="1" applyFill="1" applyBorder="1" applyAlignment="1" applyProtection="1">
      <alignment vertical="center" wrapText="1"/>
    </xf>
    <xf numFmtId="0" fontId="10" fillId="0" borderId="18" xfId="35" applyFont="1" applyFill="1" applyBorder="1" applyAlignment="1" applyProtection="1">
      <alignment horizontal="center" vertical="center" wrapText="1"/>
    </xf>
    <xf numFmtId="0" fontId="5" fillId="3" borderId="1" xfId="35" applyFont="1" applyFill="1" applyBorder="1" applyAlignment="1" applyProtection="1">
      <alignment horizontal="center" vertical="center" wrapText="1"/>
      <protection locked="0"/>
    </xf>
    <xf numFmtId="49" fontId="0" fillId="0" borderId="0" xfId="0" applyFont="1" applyFill="1" applyProtection="1">
      <alignment vertical="top"/>
    </xf>
    <xf numFmtId="0" fontId="5" fillId="0" borderId="0" xfId="38" applyFont="1" applyFill="1" applyBorder="1" applyAlignment="1" applyProtection="1">
      <alignment horizontal="center" vertical="center" wrapText="1"/>
    </xf>
    <xf numFmtId="49" fontId="5" fillId="0" borderId="1" xfId="37" applyNumberFormat="1" applyFont="1" applyFill="1" applyBorder="1" applyAlignment="1" applyProtection="1">
      <alignment vertical="center" wrapText="1"/>
    </xf>
    <xf numFmtId="49" fontId="5" fillId="0" borderId="1" xfId="37" applyNumberFormat="1" applyFont="1" applyFill="1" applyBorder="1" applyAlignment="1" applyProtection="1">
      <alignment horizontal="left" vertical="center" wrapText="1" indent="1"/>
    </xf>
    <xf numFmtId="49" fontId="5" fillId="0" borderId="1" xfId="38" applyNumberFormat="1" applyFont="1" applyFill="1" applyBorder="1" applyAlignment="1" applyProtection="1">
      <alignment horizontal="left" vertical="center" wrapText="1" indent="2"/>
    </xf>
    <xf numFmtId="0" fontId="1" fillId="0" borderId="0" xfId="25"/>
    <xf numFmtId="0" fontId="35" fillId="0" borderId="0" xfId="16" applyFont="1" applyBorder="1" applyAlignment="1" applyProtection="1">
      <alignment horizontal="left" vertical="center"/>
    </xf>
    <xf numFmtId="0" fontId="41" fillId="5" borderId="0" xfId="38" applyFont="1" applyFill="1" applyBorder="1" applyAlignment="1" applyProtection="1">
      <alignment vertical="center" textRotation="90" wrapText="1"/>
    </xf>
    <xf numFmtId="49" fontId="5" fillId="5" borderId="0" xfId="16" applyNumberFormat="1" applyFont="1" applyFill="1" applyBorder="1" applyAlignment="1" applyProtection="1">
      <alignment vertical="center" wrapText="1"/>
    </xf>
    <xf numFmtId="49" fontId="0" fillId="0" borderId="1" xfId="0" applyNumberFormat="1" applyFont="1" applyFill="1" applyBorder="1" applyAlignment="1" applyProtection="1">
      <alignment horizontal="center" vertical="center"/>
    </xf>
    <xf numFmtId="49" fontId="5" fillId="0" borderId="1" xfId="38" applyNumberFormat="1" applyFont="1" applyFill="1" applyBorder="1" applyAlignment="1" applyProtection="1">
      <alignment horizontal="center" vertical="center" wrapText="1"/>
    </xf>
    <xf numFmtId="49" fontId="5" fillId="5" borderId="1" xfId="38" applyNumberFormat="1" applyFont="1" applyFill="1" applyBorder="1" applyAlignment="1" applyProtection="1">
      <alignment horizontal="left" vertical="center" wrapText="1" indent="1"/>
    </xf>
    <xf numFmtId="49" fontId="5" fillId="5" borderId="1" xfId="38" applyNumberFormat="1" applyFont="1" applyFill="1" applyBorder="1" applyAlignment="1" applyProtection="1">
      <alignment horizontal="left" vertical="center" wrapText="1" indent="2"/>
    </xf>
    <xf numFmtId="49" fontId="16" fillId="5" borderId="1" xfId="38" applyNumberFormat="1" applyFont="1" applyFill="1" applyBorder="1" applyAlignment="1" applyProtection="1">
      <alignment horizontal="left" vertical="center" wrapText="1" indent="2"/>
    </xf>
    <xf numFmtId="49" fontId="16" fillId="5" borderId="1" xfId="38" applyNumberFormat="1" applyFont="1" applyFill="1" applyBorder="1" applyAlignment="1" applyProtection="1">
      <alignment horizontal="left" vertical="center" wrapText="1" indent="3"/>
    </xf>
    <xf numFmtId="0" fontId="5" fillId="5" borderId="1" xfId="38" applyFont="1" applyFill="1" applyBorder="1" applyAlignment="1" applyProtection="1">
      <alignment horizontal="left" vertical="center" wrapText="1" indent="2"/>
    </xf>
    <xf numFmtId="49" fontId="5" fillId="5" borderId="1" xfId="37" applyNumberFormat="1" applyFont="1" applyFill="1" applyBorder="1" applyAlignment="1" applyProtection="1">
      <alignment horizontal="left" vertical="center" wrapText="1" indent="2"/>
    </xf>
    <xf numFmtId="0" fontId="5" fillId="5" borderId="1" xfId="37" applyNumberFormat="1" applyFont="1" applyFill="1" applyBorder="1" applyAlignment="1" applyProtection="1">
      <alignment horizontal="left" vertical="center" wrapText="1" indent="1"/>
    </xf>
    <xf numFmtId="0" fontId="5" fillId="5" borderId="1" xfId="37" applyNumberFormat="1" applyFont="1" applyFill="1" applyBorder="1" applyAlignment="1" applyProtection="1">
      <alignment horizontal="left" vertical="center" wrapText="1" indent="2"/>
    </xf>
    <xf numFmtId="49" fontId="0" fillId="5" borderId="1" xfId="0" applyNumberFormat="1" applyFont="1" applyFill="1" applyBorder="1" applyAlignment="1">
      <alignment horizontal="center" vertical="center"/>
    </xf>
    <xf numFmtId="49" fontId="5" fillId="5" borderId="1" xfId="18" applyNumberFormat="1" applyFont="1" applyFill="1" applyBorder="1" applyAlignment="1" applyProtection="1">
      <alignment horizontal="left" vertical="center" wrapText="1"/>
    </xf>
    <xf numFmtId="49" fontId="0" fillId="5" borderId="1" xfId="0" applyNumberFormat="1" applyFont="1" applyFill="1" applyBorder="1" applyAlignment="1" applyProtection="1">
      <alignment horizontal="center" vertical="center"/>
    </xf>
    <xf numFmtId="49" fontId="5" fillId="5" borderId="1" xfId="38" applyNumberFormat="1" applyFont="1" applyFill="1" applyBorder="1" applyAlignment="1" applyProtection="1">
      <alignment horizontal="left" vertical="center" wrapText="1"/>
    </xf>
    <xf numFmtId="49" fontId="5" fillId="5" borderId="1" xfId="38" applyNumberFormat="1" applyFont="1" applyFill="1" applyBorder="1" applyAlignment="1" applyProtection="1">
      <alignment horizontal="center" vertical="center" wrapText="1"/>
    </xf>
    <xf numFmtId="49" fontId="5" fillId="5" borderId="1" xfId="18" applyNumberFormat="1" applyFont="1" applyFill="1" applyBorder="1" applyAlignment="1" applyProtection="1">
      <alignment horizontal="left" vertical="center" wrapText="1" indent="1"/>
    </xf>
    <xf numFmtId="49" fontId="5" fillId="5" borderId="1" xfId="18" applyNumberFormat="1" applyFont="1" applyFill="1" applyBorder="1" applyAlignment="1" applyProtection="1">
      <alignment horizontal="left" vertical="center" wrapText="1" indent="2"/>
    </xf>
    <xf numFmtId="0" fontId="5" fillId="5" borderId="1" xfId="38" applyNumberFormat="1" applyFont="1" applyFill="1" applyBorder="1" applyAlignment="1" applyProtection="1">
      <alignment horizontal="center" vertical="center" wrapText="1"/>
    </xf>
    <xf numFmtId="49" fontId="35" fillId="5" borderId="1" xfId="0" applyNumberFormat="1" applyFont="1" applyFill="1" applyBorder="1" applyAlignment="1" applyProtection="1">
      <alignment horizontal="center" vertical="center"/>
    </xf>
    <xf numFmtId="49" fontId="35" fillId="5" borderId="1" xfId="38" applyNumberFormat="1" applyFont="1" applyFill="1" applyBorder="1" applyAlignment="1" applyProtection="1">
      <alignment horizontal="left" vertical="center" wrapText="1" indent="1"/>
    </xf>
    <xf numFmtId="49" fontId="5" fillId="5" borderId="1" xfId="38" applyNumberFormat="1" applyFont="1" applyFill="1" applyBorder="1" applyAlignment="1" applyProtection="1">
      <alignment horizontal="left" vertical="center" wrapText="1" indent="3"/>
    </xf>
    <xf numFmtId="49" fontId="5" fillId="5" borderId="1" xfId="38" applyNumberFormat="1" applyFont="1" applyFill="1" applyBorder="1" applyAlignment="1" applyProtection="1">
      <alignment horizontal="left" vertical="center" wrapText="1" indent="4"/>
    </xf>
    <xf numFmtId="49" fontId="5" fillId="5" borderId="1" xfId="27" applyNumberFormat="1" applyFont="1" applyFill="1" applyBorder="1" applyAlignment="1" applyProtection="1">
      <alignment horizontal="left" vertical="center" wrapText="1" indent="4"/>
    </xf>
    <xf numFmtId="49" fontId="5" fillId="5" borderId="1" xfId="27" applyNumberFormat="1" applyFont="1" applyFill="1" applyBorder="1" applyAlignment="1" applyProtection="1">
      <alignment horizontal="left" vertical="center" wrapText="1" indent="3"/>
    </xf>
    <xf numFmtId="49" fontId="35" fillId="5" borderId="1" xfId="38" applyNumberFormat="1" applyFont="1" applyFill="1" applyBorder="1" applyAlignment="1" applyProtection="1">
      <alignment horizontal="center" vertical="center" wrapText="1"/>
    </xf>
    <xf numFmtId="49" fontId="35" fillId="5" borderId="1" xfId="27" applyNumberFormat="1" applyFont="1" applyFill="1" applyBorder="1" applyAlignment="1" applyProtection="1">
      <alignment horizontal="left" vertical="center" wrapText="1" indent="1"/>
    </xf>
    <xf numFmtId="49" fontId="5" fillId="5" borderId="1" xfId="27" applyNumberFormat="1" applyFont="1" applyFill="1" applyBorder="1" applyAlignment="1" applyProtection="1">
      <alignment horizontal="left" vertical="center" wrapText="1" indent="2"/>
    </xf>
    <xf numFmtId="49" fontId="5" fillId="5" borderId="1" xfId="37" applyNumberFormat="1" applyFont="1" applyFill="1" applyBorder="1" applyAlignment="1" applyProtection="1">
      <alignment horizontal="left" vertical="center" wrapText="1"/>
    </xf>
    <xf numFmtId="0" fontId="5" fillId="5" borderId="1" xfId="37" applyFont="1" applyFill="1" applyBorder="1" applyAlignment="1" applyProtection="1">
      <alignment horizontal="left" vertical="center" wrapText="1"/>
    </xf>
    <xf numFmtId="0" fontId="41" fillId="5" borderId="1" xfId="38" applyFont="1" applyFill="1" applyBorder="1" applyAlignment="1" applyProtection="1">
      <alignment vertical="center" textRotation="90" wrapText="1"/>
    </xf>
    <xf numFmtId="49" fontId="0" fillId="0" borderId="1" xfId="0" applyFont="1" applyBorder="1" applyProtection="1">
      <alignment vertical="top"/>
    </xf>
    <xf numFmtId="49" fontId="0" fillId="0" borderId="1" xfId="0" applyFont="1" applyBorder="1">
      <alignment vertical="top"/>
    </xf>
    <xf numFmtId="4" fontId="5" fillId="10" borderId="1" xfId="38" applyNumberFormat="1" applyFont="1" applyFill="1" applyBorder="1" applyAlignment="1" applyProtection="1">
      <alignment vertical="center" wrapText="1"/>
    </xf>
    <xf numFmtId="4" fontId="5" fillId="0" borderId="1" xfId="38" applyNumberFormat="1" applyFont="1" applyFill="1" applyBorder="1" applyAlignment="1" applyProtection="1">
      <alignment vertical="center" wrapText="1"/>
    </xf>
    <xf numFmtId="49" fontId="0" fillId="5" borderId="1" xfId="0" applyFont="1" applyFill="1" applyBorder="1">
      <alignment vertical="top"/>
    </xf>
    <xf numFmtId="4" fontId="5" fillId="4" borderId="1" xfId="38" applyNumberFormat="1" applyFont="1" applyFill="1" applyBorder="1" applyAlignment="1" applyProtection="1">
      <alignment horizontal="right" vertical="center" wrapText="1"/>
    </xf>
    <xf numFmtId="4" fontId="15" fillId="11" borderId="17" xfId="11" applyNumberFormat="1" applyFont="1" applyFill="1" applyBorder="1" applyAlignment="1" applyProtection="1">
      <alignment horizontal="center" vertical="center"/>
    </xf>
    <xf numFmtId="4" fontId="0" fillId="0" borderId="1" xfId="0" applyNumberFormat="1" applyFont="1" applyBorder="1" applyProtection="1">
      <alignment vertical="top"/>
    </xf>
    <xf numFmtId="4" fontId="5" fillId="0" borderId="1" xfId="38" applyNumberFormat="1" applyFont="1" applyFill="1" applyBorder="1" applyAlignment="1" applyProtection="1">
      <alignment horizontal="right" vertical="center" wrapText="1"/>
    </xf>
    <xf numFmtId="4" fontId="5" fillId="3" borderId="1" xfId="38" applyNumberFormat="1" applyFont="1" applyFill="1" applyBorder="1" applyAlignment="1" applyProtection="1">
      <alignment horizontal="right" vertical="center" wrapText="1"/>
      <protection locked="0"/>
    </xf>
    <xf numFmtId="4" fontId="5" fillId="12" borderId="1" xfId="38" applyNumberFormat="1" applyFont="1" applyFill="1" applyBorder="1" applyAlignment="1" applyProtection="1">
      <alignment horizontal="right" vertical="center" wrapText="1"/>
    </xf>
    <xf numFmtId="4" fontId="5" fillId="10" borderId="1" xfId="38" applyNumberFormat="1" applyFont="1" applyFill="1" applyBorder="1" applyAlignment="1" applyProtection="1">
      <alignment horizontal="right" vertical="center" wrapText="1"/>
    </xf>
    <xf numFmtId="4" fontId="5" fillId="5" borderId="1" xfId="37" applyNumberFormat="1" applyFont="1" applyFill="1" applyBorder="1" applyAlignment="1" applyProtection="1">
      <alignment horizontal="left" vertical="center" wrapText="1" indent="1"/>
    </xf>
    <xf numFmtId="4" fontId="15" fillId="11" borderId="15" xfId="11" applyNumberFormat="1" applyFont="1" applyFill="1" applyBorder="1" applyAlignment="1" applyProtection="1">
      <alignment horizontal="center" vertical="center"/>
    </xf>
    <xf numFmtId="4" fontId="5" fillId="10" borderId="1" xfId="16" applyNumberFormat="1" applyFont="1" applyFill="1" applyBorder="1" applyAlignment="1" applyProtection="1">
      <alignment horizontal="right" vertical="center" wrapText="1"/>
    </xf>
    <xf numFmtId="4" fontId="5" fillId="10" borderId="16" xfId="16" applyNumberFormat="1" applyFont="1" applyFill="1" applyBorder="1" applyAlignment="1" applyProtection="1">
      <alignment horizontal="right" vertical="center" wrapText="1"/>
    </xf>
    <xf numFmtId="4" fontId="5" fillId="10" borderId="11" xfId="16" applyNumberFormat="1" applyFont="1" applyFill="1" applyBorder="1" applyAlignment="1" applyProtection="1">
      <alignment horizontal="right" vertical="center" wrapText="1"/>
    </xf>
    <xf numFmtId="4" fontId="5" fillId="10" borderId="13" xfId="16" applyNumberFormat="1" applyFont="1" applyFill="1" applyBorder="1" applyAlignment="1" applyProtection="1">
      <alignment horizontal="right" vertical="center" wrapText="1"/>
    </xf>
    <xf numFmtId="4" fontId="5" fillId="10" borderId="15" xfId="16" applyNumberFormat="1" applyFont="1" applyFill="1" applyBorder="1" applyAlignment="1" applyProtection="1">
      <alignment horizontal="right" vertical="center" wrapText="1"/>
    </xf>
    <xf numFmtId="4" fontId="5" fillId="4" borderId="1" xfId="16" applyNumberFormat="1" applyFont="1" applyFill="1" applyBorder="1" applyAlignment="1" applyProtection="1">
      <alignment horizontal="right" vertical="center" wrapText="1"/>
    </xf>
    <xf numFmtId="4" fontId="5" fillId="3" borderId="1" xfId="16" applyNumberFormat="1" applyFont="1" applyFill="1" applyBorder="1" applyAlignment="1" applyProtection="1">
      <alignment horizontal="right" vertical="center" wrapText="1"/>
      <protection locked="0"/>
    </xf>
    <xf numFmtId="4" fontId="5" fillId="4" borderId="15" xfId="16" applyNumberFormat="1" applyFont="1" applyFill="1" applyBorder="1" applyAlignment="1" applyProtection="1">
      <alignment horizontal="right" vertical="center" wrapText="1"/>
    </xf>
    <xf numFmtId="4" fontId="62" fillId="4" borderId="1" xfId="0" applyNumberFormat="1" applyFont="1" applyFill="1" applyBorder="1" applyAlignment="1" applyProtection="1">
      <alignment horizontal="right" vertical="center" wrapText="1"/>
    </xf>
    <xf numFmtId="4" fontId="5" fillId="10" borderId="1" xfId="18" applyNumberFormat="1" applyFont="1" applyFill="1" applyBorder="1" applyAlignment="1" applyProtection="1">
      <alignment horizontal="right" vertical="center" wrapText="1"/>
    </xf>
    <xf numFmtId="4" fontId="5" fillId="4" borderId="1" xfId="18" applyNumberFormat="1" applyFont="1" applyFill="1" applyBorder="1" applyAlignment="1" applyProtection="1">
      <alignment horizontal="right" vertical="center" wrapText="1"/>
    </xf>
    <xf numFmtId="4" fontId="5" fillId="3" borderId="1" xfId="18" applyNumberFormat="1" applyFont="1" applyFill="1" applyBorder="1" applyAlignment="1" applyProtection="1">
      <alignment horizontal="right" vertical="center" wrapText="1"/>
      <protection locked="0"/>
    </xf>
    <xf numFmtId="4" fontId="15" fillId="5" borderId="1" xfId="38" applyNumberFormat="1" applyFont="1" applyFill="1" applyBorder="1" applyAlignment="1" applyProtection="1">
      <alignment vertical="center" wrapText="1"/>
    </xf>
    <xf numFmtId="49" fontId="0" fillId="5" borderId="1" xfId="0" applyNumberFormat="1" applyFill="1" applyBorder="1" applyAlignment="1" applyProtection="1">
      <alignment horizontal="center" vertical="center"/>
    </xf>
    <xf numFmtId="4" fontId="5" fillId="4" borderId="16" xfId="38" applyNumberFormat="1" applyFont="1" applyFill="1" applyBorder="1" applyAlignment="1" applyProtection="1">
      <alignment horizontal="right" vertical="center" wrapText="1"/>
    </xf>
    <xf numFmtId="4" fontId="5" fillId="0" borderId="16" xfId="38" applyNumberFormat="1" applyFont="1" applyFill="1" applyBorder="1" applyAlignment="1" applyProtection="1">
      <alignment horizontal="right" vertical="center" wrapText="1"/>
    </xf>
    <xf numFmtId="4" fontId="15" fillId="0" borderId="1" xfId="38" applyNumberFormat="1" applyFont="1" applyFill="1" applyBorder="1" applyAlignment="1" applyProtection="1">
      <alignment vertical="center" wrapText="1"/>
    </xf>
    <xf numFmtId="49" fontId="5" fillId="0" borderId="1" xfId="38" applyNumberFormat="1" applyFont="1" applyFill="1" applyBorder="1" applyAlignment="1" applyProtection="1">
      <alignment vertical="center" wrapText="1"/>
    </xf>
    <xf numFmtId="0" fontId="5" fillId="0" borderId="1" xfId="38" applyFont="1" applyFill="1" applyBorder="1" applyAlignment="1" applyProtection="1">
      <alignment vertical="center" wrapText="1"/>
    </xf>
    <xf numFmtId="4" fontId="0" fillId="0" borderId="1" xfId="0" applyNumberFormat="1" applyFont="1" applyBorder="1">
      <alignment vertical="top"/>
    </xf>
    <xf numFmtId="4" fontId="0" fillId="0" borderId="11" xfId="0" applyNumberFormat="1" applyFont="1" applyBorder="1">
      <alignment vertical="top"/>
    </xf>
    <xf numFmtId="4" fontId="5" fillId="0" borderId="13" xfId="38" applyNumberFormat="1" applyFont="1" applyFill="1" applyBorder="1" applyAlignment="1" applyProtection="1">
      <alignment horizontal="right" vertical="center" wrapText="1"/>
    </xf>
    <xf numFmtId="4" fontId="15" fillId="5" borderId="0" xfId="16" applyNumberFormat="1" applyFont="1" applyFill="1" applyAlignment="1" applyProtection="1">
      <alignment vertical="center" wrapText="1"/>
    </xf>
    <xf numFmtId="0" fontId="15" fillId="5" borderId="0" xfId="16" applyFont="1" applyFill="1" applyAlignment="1" applyProtection="1">
      <alignment vertical="center" wrapText="1"/>
    </xf>
    <xf numFmtId="49" fontId="15" fillId="0" borderId="0" xfId="16" applyNumberFormat="1" applyFont="1" applyAlignment="1" applyProtection="1">
      <alignment vertical="center" wrapText="1"/>
    </xf>
    <xf numFmtId="49" fontId="15" fillId="5" borderId="0" xfId="16" applyNumberFormat="1" applyFont="1" applyFill="1" applyAlignment="1" applyProtection="1">
      <alignment vertical="center" wrapText="1"/>
    </xf>
    <xf numFmtId="0" fontId="5" fillId="5" borderId="0" xfId="16" applyFont="1" applyFill="1" applyAlignment="1" applyProtection="1">
      <alignment vertical="center" wrapText="1"/>
    </xf>
    <xf numFmtId="0" fontId="35" fillId="0" borderId="0" xfId="16" applyNumberFormat="1" applyFont="1" applyAlignment="1" applyProtection="1">
      <alignment vertical="center" wrapText="1"/>
    </xf>
    <xf numFmtId="49" fontId="5" fillId="0" borderId="0" xfId="19" applyFont="1" applyProtection="1">
      <alignment vertical="top"/>
    </xf>
    <xf numFmtId="49" fontId="5" fillId="0" borderId="0" xfId="19" applyProtection="1">
      <alignment vertical="top"/>
    </xf>
    <xf numFmtId="0" fontId="67" fillId="6" borderId="0" xfId="0" applyNumberFormat="1" applyFont="1" applyFill="1" applyAlignment="1">
      <alignment horizontal="right"/>
    </xf>
    <xf numFmtId="0" fontId="7" fillId="6" borderId="0" xfId="0" applyNumberFormat="1" applyFont="1" applyFill="1" applyAlignment="1">
      <alignment horizontal="right"/>
    </xf>
    <xf numFmtId="49" fontId="15" fillId="5" borderId="1" xfId="38" applyNumberFormat="1" applyFont="1" applyFill="1" applyBorder="1" applyAlignment="1" applyProtection="1">
      <alignment vertical="center" wrapText="1"/>
    </xf>
    <xf numFmtId="0" fontId="15" fillId="5" borderId="1" xfId="38" applyFont="1" applyFill="1" applyBorder="1" applyAlignment="1" applyProtection="1">
      <alignment vertical="center" wrapText="1"/>
    </xf>
    <xf numFmtId="49" fontId="5" fillId="5" borderId="1" xfId="38" applyNumberFormat="1" applyFont="1" applyFill="1" applyBorder="1" applyAlignment="1" applyProtection="1">
      <alignment vertical="center" wrapText="1"/>
    </xf>
    <xf numFmtId="0" fontId="5" fillId="5" borderId="1" xfId="38" applyFont="1" applyFill="1" applyBorder="1" applyAlignment="1" applyProtection="1">
      <alignment vertical="center" wrapText="1"/>
    </xf>
    <xf numFmtId="49" fontId="0" fillId="5" borderId="1" xfId="38" applyNumberFormat="1" applyFont="1" applyFill="1" applyBorder="1" applyAlignment="1" applyProtection="1">
      <alignment vertical="center" wrapText="1"/>
    </xf>
    <xf numFmtId="49" fontId="5" fillId="5" borderId="1" xfId="37" applyNumberFormat="1" applyFont="1" applyFill="1" applyBorder="1" applyAlignment="1" applyProtection="1">
      <alignment vertical="center" wrapText="1"/>
    </xf>
    <xf numFmtId="0" fontId="41" fillId="5" borderId="13" xfId="38" applyFont="1" applyFill="1" applyBorder="1" applyAlignment="1" applyProtection="1">
      <alignment vertical="center" textRotation="90" wrapText="1"/>
    </xf>
    <xf numFmtId="4" fontId="5" fillId="4" borderId="13" xfId="38" applyNumberFormat="1" applyFont="1" applyFill="1" applyBorder="1" applyAlignment="1" applyProtection="1">
      <alignment horizontal="right" vertical="center" wrapText="1"/>
    </xf>
    <xf numFmtId="49" fontId="5" fillId="4" borderId="6" xfId="36" applyNumberFormat="1" applyFont="1" applyFill="1" applyBorder="1" applyAlignment="1" applyProtection="1">
      <alignment horizontal="center" vertical="center" wrapText="1"/>
    </xf>
    <xf numFmtId="0" fontId="68" fillId="0" borderId="0" xfId="12" applyFont="1" applyFill="1" applyBorder="1" applyAlignment="1" applyProtection="1">
      <alignment horizontal="center" vertical="center" wrapText="1"/>
    </xf>
    <xf numFmtId="49" fontId="67" fillId="0" borderId="0" xfId="0" applyFont="1" applyFill="1" applyProtection="1">
      <alignment vertical="top"/>
    </xf>
    <xf numFmtId="0" fontId="67" fillId="5" borderId="0" xfId="38" applyFont="1" applyFill="1" applyBorder="1" applyAlignment="1" applyProtection="1">
      <alignment horizontal="center" vertical="center" wrapText="1"/>
    </xf>
    <xf numFmtId="0" fontId="67" fillId="5" borderId="0" xfId="38" applyFont="1" applyFill="1" applyBorder="1" applyAlignment="1" applyProtection="1">
      <alignment vertical="center" wrapText="1"/>
    </xf>
    <xf numFmtId="0" fontId="67" fillId="0" borderId="0" xfId="38" applyFont="1" applyFill="1" applyBorder="1" applyAlignment="1" applyProtection="1">
      <alignment vertical="center" wrapText="1"/>
    </xf>
    <xf numFmtId="0" fontId="67" fillId="0" borderId="0" xfId="38" applyFont="1" applyFill="1" applyAlignment="1" applyProtection="1">
      <alignment vertical="center" wrapText="1"/>
    </xf>
    <xf numFmtId="49" fontId="67" fillId="0" borderId="0" xfId="0" applyFont="1">
      <alignment vertical="top"/>
    </xf>
    <xf numFmtId="0" fontId="67" fillId="0" borderId="0" xfId="38" applyFont="1" applyAlignment="1" applyProtection="1">
      <alignment vertical="center" wrapText="1"/>
    </xf>
    <xf numFmtId="0" fontId="67" fillId="0" borderId="0" xfId="16" applyFont="1" applyBorder="1" applyAlignment="1" applyProtection="1">
      <alignment horizontal="center" vertical="center"/>
    </xf>
    <xf numFmtId="49" fontId="5" fillId="0" borderId="0" xfId="0" applyFont="1" applyFill="1" applyAlignment="1" applyProtection="1">
      <alignment vertical="center" wrapText="1"/>
    </xf>
    <xf numFmtId="49" fontId="0" fillId="0" borderId="0" xfId="0" applyFill="1">
      <alignment vertical="top"/>
    </xf>
    <xf numFmtId="49" fontId="0" fillId="0" borderId="0" xfId="0" applyFont="1" applyFill="1">
      <alignment vertical="top"/>
    </xf>
    <xf numFmtId="49" fontId="15" fillId="0" borderId="0" xfId="38" applyNumberFormat="1" applyFont="1" applyFill="1" applyBorder="1" applyAlignment="1" applyProtection="1">
      <alignment horizontal="center" vertical="center" wrapText="1"/>
    </xf>
    <xf numFmtId="4" fontId="15" fillId="11" borderId="19" xfId="11" applyNumberFormat="1" applyFont="1" applyFill="1" applyBorder="1" applyAlignment="1" applyProtection="1">
      <alignment horizontal="center" vertical="center"/>
    </xf>
    <xf numFmtId="4" fontId="15" fillId="11" borderId="20" xfId="11" applyNumberFormat="1" applyFont="1" applyFill="1" applyBorder="1" applyAlignment="1" applyProtection="1">
      <alignment horizontal="center" vertical="center"/>
    </xf>
    <xf numFmtId="4" fontId="5" fillId="3" borderId="16" xfId="38" applyNumberFormat="1" applyFont="1" applyFill="1" applyBorder="1" applyAlignment="1" applyProtection="1">
      <alignment horizontal="right" vertical="center" wrapText="1"/>
      <protection locked="0"/>
    </xf>
    <xf numFmtId="4" fontId="5" fillId="0" borderId="15" xfId="38" applyNumberFormat="1" applyFont="1" applyFill="1" applyBorder="1" applyAlignment="1" applyProtection="1">
      <alignment horizontal="right" vertical="center" wrapText="1"/>
    </xf>
    <xf numFmtId="4" fontId="15" fillId="5" borderId="15" xfId="38" applyNumberFormat="1" applyFont="1" applyFill="1" applyBorder="1" applyAlignment="1" applyProtection="1">
      <alignment vertical="center" wrapText="1"/>
    </xf>
    <xf numFmtId="49" fontId="0" fillId="5" borderId="1" xfId="38" applyNumberFormat="1" applyFont="1" applyFill="1" applyBorder="1" applyAlignment="1" applyProtection="1">
      <alignment horizontal="left" vertical="center" wrapText="1"/>
    </xf>
    <xf numFmtId="49" fontId="0" fillId="0" borderId="0" xfId="0" applyFont="1" applyBorder="1" applyAlignment="1" applyProtection="1">
      <alignment vertical="top" wrapText="1"/>
    </xf>
    <xf numFmtId="49" fontId="0" fillId="0" borderId="0" xfId="0" applyFont="1" applyBorder="1" applyAlignment="1" applyProtection="1">
      <alignment vertical="center" wrapText="1"/>
    </xf>
    <xf numFmtId="0" fontId="15" fillId="11" borderId="19" xfId="11" applyFont="1" applyFill="1" applyBorder="1" applyAlignment="1" applyProtection="1">
      <alignment horizontal="center" vertical="center"/>
    </xf>
    <xf numFmtId="0" fontId="15" fillId="11" borderId="21" xfId="11" applyFont="1" applyFill="1" applyBorder="1" applyAlignment="1" applyProtection="1">
      <alignment horizontal="center" vertical="center"/>
    </xf>
    <xf numFmtId="0" fontId="15" fillId="11" borderId="20" xfId="11" applyFont="1" applyFill="1" applyBorder="1" applyAlignment="1" applyProtection="1">
      <alignment horizontal="center" vertical="center"/>
    </xf>
    <xf numFmtId="0" fontId="15" fillId="11" borderId="22" xfId="11" applyFont="1" applyFill="1" applyBorder="1" applyAlignment="1" applyProtection="1">
      <alignment horizontal="center" vertical="center"/>
    </xf>
    <xf numFmtId="4" fontId="0" fillId="0" borderId="1" xfId="0" applyNumberFormat="1" applyFont="1" applyBorder="1" applyAlignment="1" applyProtection="1">
      <alignment vertical="center" wrapText="1"/>
    </xf>
    <xf numFmtId="4" fontId="5" fillId="0" borderId="1" xfId="38" applyNumberFormat="1" applyFont="1" applyBorder="1" applyAlignment="1" applyProtection="1">
      <alignment vertical="center" wrapText="1"/>
    </xf>
    <xf numFmtId="4" fontId="5" fillId="5" borderId="15" xfId="37" applyNumberFormat="1" applyFont="1" applyFill="1" applyBorder="1" applyAlignment="1" applyProtection="1">
      <alignment horizontal="left" vertical="center" wrapText="1" indent="1"/>
    </xf>
    <xf numFmtId="4" fontId="5" fillId="4" borderId="1" xfId="28" applyNumberFormat="1" applyFont="1" applyFill="1" applyBorder="1" applyAlignment="1" applyProtection="1">
      <alignment horizontal="right" vertical="center" wrapText="1"/>
    </xf>
    <xf numFmtId="0" fontId="5" fillId="4" borderId="1" xfId="16" applyFont="1" applyFill="1" applyBorder="1" applyAlignment="1" applyProtection="1">
      <alignment horizontal="right" vertical="center" wrapText="1"/>
    </xf>
    <xf numFmtId="0" fontId="5" fillId="0" borderId="1" xfId="16" applyFont="1" applyFill="1" applyBorder="1" applyAlignment="1" applyProtection="1">
      <alignment horizontal="center" vertical="center" wrapText="1"/>
    </xf>
    <xf numFmtId="0" fontId="15" fillId="0" borderId="0" xfId="26" applyNumberFormat="1" applyFont="1" applyAlignment="1" applyProtection="1">
      <alignment wrapText="1"/>
    </xf>
    <xf numFmtId="0" fontId="15" fillId="0" borderId="0" xfId="26" applyFont="1" applyAlignment="1" applyProtection="1">
      <alignment wrapText="1"/>
    </xf>
    <xf numFmtId="0" fontId="15" fillId="0" borderId="0" xfId="26" applyFont="1" applyFill="1" applyAlignment="1" applyProtection="1">
      <alignment horizontal="center" wrapText="1"/>
    </xf>
    <xf numFmtId="0" fontId="15" fillId="0" borderId="0" xfId="26" applyFont="1" applyFill="1" applyAlignment="1" applyProtection="1">
      <alignment wrapText="1"/>
    </xf>
    <xf numFmtId="0" fontId="15" fillId="0" borderId="0" xfId="24" applyFont="1" applyFill="1" applyAlignment="1" applyProtection="1">
      <alignment vertical="center" wrapText="1"/>
    </xf>
    <xf numFmtId="0" fontId="15" fillId="0" borderId="0" xfId="24" applyFont="1" applyFill="1" applyAlignment="1" applyProtection="1">
      <alignment horizontal="left" vertical="center" wrapText="1"/>
    </xf>
    <xf numFmtId="0" fontId="35" fillId="0" borderId="0" xfId="24" applyFont="1" applyAlignment="1" applyProtection="1">
      <alignment vertical="center" wrapText="1"/>
    </xf>
    <xf numFmtId="0" fontId="5" fillId="0" borderId="0" xfId="24" applyFont="1" applyAlignment="1" applyProtection="1">
      <alignment vertical="center" wrapText="1"/>
    </xf>
    <xf numFmtId="0" fontId="5" fillId="0" borderId="0" xfId="24" applyFont="1" applyFill="1" applyAlignment="1" applyProtection="1">
      <alignment vertical="center" wrapText="1"/>
    </xf>
    <xf numFmtId="0" fontId="70" fillId="0" borderId="0" xfId="24" applyNumberFormat="1" applyFont="1" applyFill="1" applyAlignment="1" applyProtection="1">
      <alignment vertical="center"/>
    </xf>
    <xf numFmtId="0" fontId="70" fillId="0" borderId="0" xfId="24" applyFont="1" applyFill="1" applyAlignment="1" applyProtection="1">
      <alignment horizontal="left" vertical="center"/>
    </xf>
    <xf numFmtId="0" fontId="70" fillId="0" borderId="0" xfId="24" applyFont="1" applyAlignment="1" applyProtection="1">
      <alignment vertical="center"/>
    </xf>
    <xf numFmtId="0" fontId="70" fillId="0" borderId="0" xfId="24" applyFont="1" applyAlignment="1" applyProtection="1">
      <alignment vertical="center" wrapText="1"/>
    </xf>
    <xf numFmtId="0" fontId="70" fillId="0" borderId="0" xfId="24" applyFont="1" applyFill="1" applyAlignment="1" applyProtection="1">
      <alignment vertical="center" wrapText="1"/>
    </xf>
    <xf numFmtId="0" fontId="70" fillId="0" borderId="0" xfId="24" applyFont="1" applyFill="1" applyAlignment="1" applyProtection="1">
      <alignment vertical="center"/>
    </xf>
    <xf numFmtId="0" fontId="70" fillId="0" borderId="0" xfId="29" applyFont="1" applyFill="1" applyBorder="1" applyAlignment="1" applyProtection="1">
      <alignment vertical="center" wrapText="1"/>
    </xf>
    <xf numFmtId="0" fontId="10" fillId="0" borderId="0" xfId="24" applyFont="1" applyAlignment="1" applyProtection="1">
      <alignment vertical="center" wrapText="1"/>
    </xf>
    <xf numFmtId="0" fontId="71" fillId="0" borderId="0" xfId="24" applyFont="1" applyAlignment="1" applyProtection="1">
      <alignment vertical="center"/>
    </xf>
    <xf numFmtId="0" fontId="10" fillId="5" borderId="0" xfId="29" applyFont="1" applyFill="1" applyBorder="1" applyAlignment="1" applyProtection="1">
      <alignment vertical="center" wrapText="1"/>
    </xf>
    <xf numFmtId="0" fontId="13" fillId="5" borderId="0" xfId="29" applyFont="1" applyFill="1" applyBorder="1" applyAlignment="1" applyProtection="1">
      <alignment vertical="center" wrapText="1"/>
    </xf>
    <xf numFmtId="0" fontId="10" fillId="0" borderId="0" xfId="29" applyFont="1" applyFill="1" applyBorder="1" applyAlignment="1" applyProtection="1">
      <alignment vertical="center" wrapText="1"/>
    </xf>
    <xf numFmtId="0" fontId="5" fillId="5" borderId="0" xfId="26" applyFont="1" applyFill="1" applyBorder="1" applyAlignment="1" applyProtection="1">
      <alignment horizontal="center" vertical="center" wrapText="1"/>
    </xf>
    <xf numFmtId="0" fontId="7" fillId="5" borderId="0" xfId="26" applyFont="1" applyFill="1" applyBorder="1" applyAlignment="1" applyProtection="1">
      <alignment horizontal="center" vertical="center" wrapText="1"/>
    </xf>
    <xf numFmtId="0" fontId="5" fillId="5" borderId="0" xfId="26" applyFont="1" applyFill="1" applyBorder="1" applyAlignment="1" applyProtection="1">
      <alignment wrapText="1"/>
    </xf>
    <xf numFmtId="0" fontId="5" fillId="5" borderId="0" xfId="26" applyFont="1" applyFill="1" applyBorder="1" applyAlignment="1" applyProtection="1">
      <alignment horizontal="center" wrapText="1"/>
    </xf>
    <xf numFmtId="0" fontId="5" fillId="0" borderId="0" xfId="26" applyFont="1" applyFill="1" applyAlignment="1" applyProtection="1">
      <alignment wrapText="1"/>
    </xf>
    <xf numFmtId="0" fontId="5" fillId="0" borderId="0" xfId="26" applyFont="1" applyAlignment="1" applyProtection="1">
      <alignment wrapText="1"/>
    </xf>
    <xf numFmtId="0" fontId="10" fillId="5" borderId="0" xfId="24" applyFont="1" applyFill="1" applyBorder="1" applyAlignment="1" applyProtection="1">
      <alignment horizontal="right" vertical="center" wrapText="1" indent="1"/>
    </xf>
    <xf numFmtId="0" fontId="72" fillId="5" borderId="0" xfId="26" applyFont="1" applyFill="1" applyBorder="1" applyAlignment="1" applyProtection="1">
      <alignment vertical="center" wrapText="1"/>
    </xf>
    <xf numFmtId="49" fontId="5" fillId="5" borderId="0" xfId="0" applyFont="1" applyFill="1" applyBorder="1" applyAlignment="1" applyProtection="1">
      <alignment horizontal="right" vertical="center" wrapText="1" indent="1"/>
    </xf>
    <xf numFmtId="0" fontId="15" fillId="0" borderId="0" xfId="26" applyFont="1" applyBorder="1" applyAlignment="1" applyProtection="1">
      <alignment wrapText="1"/>
    </xf>
    <xf numFmtId="49" fontId="7" fillId="5" borderId="0" xfId="0" applyFont="1" applyFill="1" applyBorder="1" applyAlignment="1" applyProtection="1">
      <alignment vertical="center" wrapText="1"/>
    </xf>
    <xf numFmtId="49" fontId="5" fillId="5" borderId="0" xfId="0" applyFont="1" applyFill="1" applyBorder="1" applyAlignment="1" applyProtection="1">
      <alignment wrapText="1"/>
    </xf>
    <xf numFmtId="49" fontId="15" fillId="5" borderId="0" xfId="26" applyNumberFormat="1" applyFont="1" applyFill="1" applyBorder="1" applyAlignment="1" applyProtection="1">
      <alignment horizontal="center" wrapText="1"/>
    </xf>
    <xf numFmtId="49" fontId="10" fillId="5" borderId="0" xfId="0" applyFont="1" applyFill="1" applyBorder="1" applyAlignment="1" applyProtection="1">
      <alignment horizontal="right" vertical="center" wrapText="1" indent="1"/>
    </xf>
    <xf numFmtId="49" fontId="5" fillId="5" borderId="0" xfId="0" applyFont="1" applyFill="1" applyBorder="1" applyAlignment="1" applyProtection="1">
      <alignment vertical="center" wrapText="1"/>
    </xf>
    <xf numFmtId="0" fontId="5" fillId="0" borderId="0" xfId="26" applyFont="1" applyFill="1" applyAlignment="1" applyProtection="1">
      <alignment horizontal="center" wrapText="1"/>
    </xf>
    <xf numFmtId="49" fontId="75" fillId="0" borderId="0" xfId="0" applyFont="1" applyProtection="1">
      <alignment vertical="top"/>
    </xf>
    <xf numFmtId="0" fontId="5" fillId="0" borderId="0" xfId="24" applyFont="1" applyAlignment="1" applyProtection="1">
      <alignment horizontal="right" vertical="center" wrapText="1"/>
    </xf>
    <xf numFmtId="49" fontId="76" fillId="0" borderId="23" xfId="0" applyFont="1" applyFill="1" applyBorder="1" applyAlignment="1" applyProtection="1">
      <alignment horizontal="center" vertical="center" wrapText="1"/>
    </xf>
    <xf numFmtId="49" fontId="76" fillId="0" borderId="24" xfId="0" applyFont="1" applyFill="1" applyBorder="1" applyAlignment="1" applyProtection="1">
      <alignment horizontal="center" vertical="center" wrapText="1"/>
    </xf>
    <xf numFmtId="49" fontId="15" fillId="0" borderId="0" xfId="0" applyFont="1" applyAlignment="1" applyProtection="1">
      <alignment vertical="center" wrapText="1"/>
    </xf>
    <xf numFmtId="49" fontId="15" fillId="0" borderId="0" xfId="0" applyFont="1" applyFill="1" applyAlignment="1" applyProtection="1">
      <alignment vertical="center" wrapText="1"/>
    </xf>
    <xf numFmtId="49" fontId="35" fillId="0" borderId="0" xfId="0" applyFont="1" applyFill="1" applyAlignment="1" applyProtection="1">
      <alignment vertical="center" wrapText="1"/>
    </xf>
    <xf numFmtId="0" fontId="5" fillId="13" borderId="0" xfId="16" applyFont="1" applyFill="1" applyAlignment="1" applyProtection="1">
      <alignment vertical="center" wrapText="1"/>
    </xf>
    <xf numFmtId="0" fontId="5" fillId="0" borderId="0" xfId="16" applyNumberFormat="1" applyFont="1" applyAlignment="1" applyProtection="1">
      <alignment vertical="center" wrapText="1"/>
    </xf>
    <xf numFmtId="49" fontId="0" fillId="0" borderId="0" xfId="0" applyFont="1" applyAlignment="1" applyProtection="1">
      <alignment horizontal="left" vertical="center" wrapText="1"/>
    </xf>
    <xf numFmtId="49" fontId="0" fillId="0" borderId="0" xfId="0" applyFont="1" applyAlignment="1" applyProtection="1">
      <alignment horizontal="right" vertical="center" wrapText="1"/>
    </xf>
    <xf numFmtId="0" fontId="0" fillId="0" borderId="0" xfId="0" applyNumberFormat="1" applyFont="1" applyProtection="1">
      <alignment vertical="top"/>
    </xf>
    <xf numFmtId="0" fontId="0" fillId="0" borderId="0" xfId="0" applyNumberFormat="1" applyFont="1" applyAlignment="1" applyProtection="1">
      <alignment vertical="center" wrapText="1"/>
    </xf>
    <xf numFmtId="49" fontId="15" fillId="14" borderId="0" xfId="0" applyFont="1" applyFill="1" applyBorder="1" applyAlignment="1" applyProtection="1">
      <alignment horizontal="center" vertical="top"/>
    </xf>
    <xf numFmtId="2" fontId="5" fillId="10" borderId="1" xfId="16" applyNumberFormat="1" applyFont="1" applyFill="1" applyBorder="1" applyAlignment="1" applyProtection="1">
      <alignment horizontal="center" vertical="center" wrapText="1"/>
    </xf>
    <xf numFmtId="0" fontId="64" fillId="11" borderId="1" xfId="11" applyFont="1" applyFill="1" applyBorder="1" applyAlignment="1" applyProtection="1">
      <alignment horizontal="center" vertical="center" wrapText="1"/>
    </xf>
    <xf numFmtId="49" fontId="0" fillId="0" borderId="1" xfId="0" applyFont="1" applyBorder="1" applyAlignment="1" applyProtection="1">
      <alignment horizontal="right" vertical="center" wrapText="1"/>
    </xf>
    <xf numFmtId="0" fontId="0" fillId="0" borderId="1" xfId="0" applyNumberFormat="1" applyFont="1" applyBorder="1" applyAlignment="1" applyProtection="1">
      <alignment horizontal="right" vertical="center" wrapText="1"/>
    </xf>
    <xf numFmtId="0" fontId="5" fillId="5" borderId="1" xfId="35" applyFont="1" applyFill="1" applyBorder="1" applyAlignment="1" applyProtection="1">
      <alignment horizontal="left" vertical="center" wrapText="1"/>
    </xf>
    <xf numFmtId="0" fontId="5" fillId="5" borderId="1" xfId="35" applyFont="1" applyFill="1" applyBorder="1" applyAlignment="1" applyProtection="1">
      <alignment horizontal="left" vertical="center" wrapText="1" indent="1"/>
    </xf>
    <xf numFmtId="0" fontId="0" fillId="0" borderId="1" xfId="0" applyNumberFormat="1" applyFont="1" applyBorder="1" applyAlignment="1" applyProtection="1">
      <alignment vertical="center" wrapText="1"/>
    </xf>
    <xf numFmtId="49" fontId="0" fillId="0" borderId="1" xfId="0" applyFont="1" applyBorder="1" applyAlignment="1" applyProtection="1">
      <alignment vertical="center" wrapText="1"/>
    </xf>
    <xf numFmtId="49" fontId="0" fillId="0" borderId="1" xfId="0" applyFont="1" applyBorder="1" applyAlignment="1" applyProtection="1">
      <alignment horizontal="center" vertical="center" wrapText="1"/>
    </xf>
    <xf numFmtId="4" fontId="5" fillId="4" borderId="1" xfId="16" applyNumberFormat="1" applyFont="1" applyFill="1" applyBorder="1" applyAlignment="1" applyProtection="1">
      <alignment vertical="center" wrapText="1"/>
    </xf>
    <xf numFmtId="4" fontId="5" fillId="3" borderId="1" xfId="16" applyNumberFormat="1" applyFont="1" applyFill="1" applyBorder="1" applyAlignment="1" applyProtection="1">
      <alignment vertical="center" wrapText="1"/>
      <protection locked="0"/>
    </xf>
    <xf numFmtId="4" fontId="5" fillId="4" borderId="1" xfId="39" applyNumberFormat="1" applyFont="1" applyFill="1" applyBorder="1" applyAlignment="1" applyProtection="1">
      <alignment vertical="center" wrapText="1"/>
    </xf>
    <xf numFmtId="0" fontId="5" fillId="5" borderId="6" xfId="36" applyFont="1" applyFill="1" applyBorder="1" applyAlignment="1" applyProtection="1">
      <alignment horizontal="center" vertical="center" wrapText="1"/>
    </xf>
    <xf numFmtId="49" fontId="5" fillId="5" borderId="6" xfId="32" applyFont="1" applyFill="1" applyBorder="1" applyAlignment="1" applyProtection="1">
      <alignment horizontal="center" vertical="center" wrapText="1"/>
    </xf>
    <xf numFmtId="0" fontId="61" fillId="0" borderId="15" xfId="20" applyNumberFormat="1" applyFont="1" applyFill="1" applyBorder="1" applyAlignment="1" applyProtection="1">
      <alignment horizontal="center" vertical="center" wrapText="1"/>
    </xf>
    <xf numFmtId="0" fontId="5" fillId="4" borderId="1" xfId="0" applyNumberFormat="1" applyFont="1" applyFill="1" applyBorder="1" applyAlignment="1" applyProtection="1">
      <alignment horizontal="center" vertical="center"/>
    </xf>
    <xf numFmtId="0" fontId="5" fillId="5" borderId="1" xfId="36" applyFont="1" applyFill="1" applyBorder="1" applyAlignment="1" applyProtection="1">
      <alignment horizontal="center" vertical="center" wrapText="1"/>
    </xf>
    <xf numFmtId="49" fontId="10" fillId="4" borderId="1" xfId="29" applyNumberFormat="1" applyFont="1" applyFill="1" applyBorder="1" applyAlignment="1" applyProtection="1">
      <alignment horizontal="center" vertical="center" wrapText="1"/>
    </xf>
    <xf numFmtId="0" fontId="10" fillId="0" borderId="0" xfId="16" applyNumberFormat="1" applyFont="1" applyFill="1" applyBorder="1" applyAlignment="1" applyProtection="1">
      <alignment vertical="center" wrapText="1"/>
    </xf>
    <xf numFmtId="49" fontId="61" fillId="0" borderId="15" xfId="20" applyNumberFormat="1" applyFont="1" applyFill="1" applyBorder="1" applyAlignment="1" applyProtection="1">
      <alignment horizontal="center" vertical="center" wrapText="1"/>
    </xf>
    <xf numFmtId="49" fontId="0" fillId="0" borderId="1" xfId="0" applyBorder="1">
      <alignment vertical="top"/>
    </xf>
    <xf numFmtId="49" fontId="0" fillId="0" borderId="19" xfId="0" applyBorder="1">
      <alignment vertical="top"/>
    </xf>
    <xf numFmtId="0" fontId="5" fillId="0" borderId="19" xfId="36" applyFont="1" applyFill="1" applyBorder="1" applyAlignment="1" applyProtection="1">
      <alignment vertical="center" wrapText="1"/>
    </xf>
    <xf numFmtId="0" fontId="15" fillId="0" borderId="19" xfId="36" applyFont="1" applyFill="1" applyBorder="1" applyAlignment="1" applyProtection="1">
      <alignment vertical="center" wrapText="1"/>
    </xf>
    <xf numFmtId="49" fontId="15" fillId="0" borderId="19" xfId="32" applyFont="1" applyFill="1" applyBorder="1" applyAlignment="1" applyProtection="1">
      <alignment vertical="center" wrapText="1"/>
    </xf>
    <xf numFmtId="0" fontId="10" fillId="0" borderId="0" xfId="16" applyNumberFormat="1" applyFont="1" applyFill="1" applyBorder="1" applyAlignment="1" applyProtection="1">
      <alignment vertical="center"/>
    </xf>
    <xf numFmtId="0" fontId="10" fillId="0" borderId="12" xfId="16" applyNumberFormat="1" applyFont="1" applyFill="1" applyBorder="1" applyAlignment="1" applyProtection="1">
      <alignment vertical="center"/>
    </xf>
    <xf numFmtId="0" fontId="10" fillId="0" borderId="12" xfId="16" applyNumberFormat="1" applyFont="1" applyFill="1" applyBorder="1" applyAlignment="1" applyProtection="1">
      <alignment vertical="center" wrapText="1"/>
    </xf>
    <xf numFmtId="0" fontId="10" fillId="5" borderId="12" xfId="36" applyFont="1" applyFill="1" applyBorder="1" applyAlignment="1" applyProtection="1">
      <alignment vertical="center"/>
    </xf>
    <xf numFmtId="0" fontId="10" fillId="5" borderId="12" xfId="36" applyFont="1" applyFill="1" applyBorder="1" applyAlignment="1" applyProtection="1">
      <alignment horizontal="left" vertical="center" indent="4"/>
    </xf>
    <xf numFmtId="0" fontId="10" fillId="0" borderId="0" xfId="16" applyFont="1" applyFill="1" applyAlignment="1" applyProtection="1">
      <alignment horizontal="center" vertical="center" wrapText="1"/>
    </xf>
    <xf numFmtId="0" fontId="70" fillId="0" borderId="0" xfId="16" applyFont="1" applyFill="1" applyAlignment="1" applyProtection="1">
      <alignment horizontal="center" vertical="center" wrapText="1"/>
    </xf>
    <xf numFmtId="0" fontId="10" fillId="0" borderId="0" xfId="16" applyFont="1" applyFill="1" applyBorder="1" applyAlignment="1" applyProtection="1">
      <alignment horizontal="center" vertical="center" wrapText="1"/>
    </xf>
    <xf numFmtId="0" fontId="10" fillId="0" borderId="12" xfId="16" applyNumberFormat="1" applyFont="1" applyFill="1" applyBorder="1" applyAlignment="1" applyProtection="1">
      <alignment horizontal="left" vertical="center" indent="4"/>
    </xf>
    <xf numFmtId="0" fontId="70" fillId="0" borderId="0" xfId="16" applyFont="1" applyFill="1" applyBorder="1" applyAlignment="1" applyProtection="1">
      <alignment vertical="center" wrapText="1"/>
    </xf>
    <xf numFmtId="0" fontId="71" fillId="0" borderId="0" xfId="16" applyFont="1" applyFill="1" applyBorder="1" applyAlignment="1" applyProtection="1">
      <alignment vertical="center" wrapText="1"/>
    </xf>
    <xf numFmtId="0" fontId="77" fillId="0" borderId="0" xfId="11" applyFont="1" applyFill="1" applyBorder="1" applyAlignment="1" applyProtection="1">
      <alignment horizontal="center" vertical="center" wrapText="1"/>
    </xf>
    <xf numFmtId="0" fontId="0" fillId="0" borderId="0" xfId="16" applyFont="1" applyFill="1" applyBorder="1" applyAlignment="1" applyProtection="1">
      <alignment horizontal="center" vertical="center" wrapText="1"/>
    </xf>
    <xf numFmtId="0" fontId="5" fillId="0" borderId="22" xfId="16" applyFont="1" applyFill="1" applyBorder="1" applyAlignment="1" applyProtection="1">
      <alignment horizontal="center" vertical="center" wrapText="1"/>
    </xf>
    <xf numFmtId="0" fontId="5" fillId="0" borderId="11" xfId="16" applyFont="1" applyFill="1" applyBorder="1" applyAlignment="1" applyProtection="1">
      <alignment horizontal="center" vertical="center" wrapText="1"/>
    </xf>
    <xf numFmtId="4" fontId="5" fillId="4" borderId="11" xfId="16" applyNumberFormat="1" applyFont="1" applyFill="1" applyBorder="1" applyAlignment="1" applyProtection="1">
      <alignment vertical="center" wrapText="1"/>
    </xf>
    <xf numFmtId="49" fontId="35" fillId="5" borderId="0" xfId="16" applyNumberFormat="1" applyFont="1" applyFill="1" applyBorder="1" applyAlignment="1" applyProtection="1">
      <alignment horizontal="center" vertical="center" wrapText="1"/>
    </xf>
    <xf numFmtId="0" fontId="35" fillId="0" borderId="0" xfId="16" applyFont="1" applyBorder="1" applyAlignment="1" applyProtection="1">
      <alignment horizontal="center" vertical="center"/>
    </xf>
    <xf numFmtId="49" fontId="45" fillId="0" borderId="0" xfId="11" applyNumberFormat="1" applyFont="1" applyFill="1" applyBorder="1" applyAlignment="1" applyProtection="1">
      <alignment horizontal="center" vertical="center" wrapText="1"/>
    </xf>
    <xf numFmtId="0" fontId="35" fillId="0" borderId="0" xfId="38" applyFont="1" applyFill="1" applyBorder="1" applyAlignment="1" applyProtection="1">
      <alignment horizontal="center" vertical="center" wrapText="1"/>
    </xf>
    <xf numFmtId="49" fontId="35" fillId="5" borderId="0" xfId="38" applyNumberFormat="1" applyFont="1" applyFill="1" applyBorder="1" applyAlignment="1" applyProtection="1">
      <alignment vertical="center" wrapText="1"/>
    </xf>
    <xf numFmtId="49" fontId="7" fillId="0" borderId="0" xfId="0" applyFont="1" applyAlignment="1" applyProtection="1">
      <alignment horizontal="left" wrapText="1" indent="2"/>
    </xf>
    <xf numFmtId="49" fontId="0" fillId="5" borderId="1" xfId="38" applyNumberFormat="1" applyFont="1" applyFill="1" applyBorder="1" applyAlignment="1" applyProtection="1">
      <alignment horizontal="center" vertical="center" wrapText="1"/>
    </xf>
    <xf numFmtId="0" fontId="35" fillId="0" borderId="1" xfId="38" applyFont="1" applyFill="1" applyBorder="1" applyAlignment="1" applyProtection="1">
      <alignment horizontal="center" vertical="center" wrapText="1"/>
    </xf>
    <xf numFmtId="49" fontId="5" fillId="10" borderId="1" xfId="16" applyNumberFormat="1" applyFont="1" applyFill="1" applyBorder="1" applyAlignment="1" applyProtection="1">
      <alignment horizontal="right" vertical="center" wrapText="1"/>
    </xf>
    <xf numFmtId="49" fontId="62" fillId="4" borderId="1" xfId="0" applyNumberFormat="1" applyFont="1" applyFill="1" applyBorder="1" applyAlignment="1" applyProtection="1">
      <alignment horizontal="right" vertical="center" wrapText="1"/>
    </xf>
    <xf numFmtId="49" fontId="5" fillId="0" borderId="0" xfId="16" applyNumberFormat="1" applyFont="1" applyBorder="1" applyAlignment="1" applyProtection="1">
      <alignment horizontal="center" vertical="center" wrapText="1"/>
    </xf>
    <xf numFmtId="49" fontId="10" fillId="0" borderId="0" xfId="16" applyNumberFormat="1" applyFont="1" applyFill="1" applyBorder="1" applyAlignment="1" applyProtection="1">
      <alignment vertical="center"/>
    </xf>
    <xf numFmtId="49" fontId="0" fillId="5" borderId="1" xfId="38" applyNumberFormat="1" applyFont="1" applyFill="1" applyBorder="1" applyAlignment="1" applyProtection="1">
      <alignment horizontal="left" vertical="center" wrapText="1" indent="1"/>
    </xf>
    <xf numFmtId="0" fontId="79" fillId="6" borderId="0" xfId="0" applyNumberFormat="1" applyFont="1" applyFill="1" applyAlignment="1">
      <alignment horizontal="right"/>
    </xf>
    <xf numFmtId="0" fontId="80" fillId="5" borderId="0" xfId="11" applyNumberFormat="1" applyFont="1" applyFill="1" applyBorder="1" applyAlignment="1" applyProtection="1">
      <alignment horizontal="center" vertical="center"/>
    </xf>
    <xf numFmtId="0" fontId="5" fillId="0" borderId="1" xfId="38" applyFont="1" applyFill="1" applyBorder="1" applyAlignment="1" applyProtection="1">
      <alignment horizontal="left" vertical="center" wrapText="1" indent="1"/>
    </xf>
    <xf numFmtId="0" fontId="5" fillId="0" borderId="1" xfId="38" applyFont="1" applyFill="1" applyBorder="1" applyAlignment="1" applyProtection="1">
      <alignment horizontal="left" vertical="center" wrapText="1" indent="2"/>
    </xf>
    <xf numFmtId="49" fontId="5" fillId="0" borderId="1" xfId="38" applyNumberFormat="1" applyFont="1" applyFill="1" applyBorder="1" applyAlignment="1" applyProtection="1">
      <alignment horizontal="left" vertical="center" wrapText="1" indent="3"/>
    </xf>
    <xf numFmtId="49" fontId="16" fillId="5" borderId="1" xfId="38" applyNumberFormat="1" applyFont="1" applyFill="1" applyBorder="1" applyAlignment="1" applyProtection="1">
      <alignment horizontal="left" vertical="center" wrapText="1" indent="1"/>
    </xf>
    <xf numFmtId="49" fontId="0" fillId="10" borderId="1" xfId="0" applyFill="1" applyBorder="1" applyAlignment="1" applyProtection="1">
      <alignment horizontal="center" vertical="center"/>
    </xf>
    <xf numFmtId="49" fontId="0" fillId="10" borderId="1" xfId="0" applyFill="1" applyBorder="1" applyAlignment="1" applyProtection="1">
      <alignment vertical="center" wrapText="1"/>
    </xf>
    <xf numFmtId="49" fontId="16" fillId="0" borderId="1" xfId="0" applyFont="1" applyBorder="1" applyAlignment="1" applyProtection="1">
      <alignment horizontal="center" vertical="center"/>
    </xf>
    <xf numFmtId="4" fontId="16" fillId="4" borderId="1" xfId="42" applyNumberFormat="1" applyFont="1" applyBorder="1" applyAlignment="1" applyProtection="1">
      <alignment horizontal="right" vertical="center"/>
    </xf>
    <xf numFmtId="49" fontId="0" fillId="0" borderId="1" xfId="0" applyFont="1" applyFill="1" applyBorder="1" applyAlignment="1" applyProtection="1">
      <alignment horizontal="left" vertical="center" indent="1"/>
    </xf>
    <xf numFmtId="49" fontId="16" fillId="0" borderId="1" xfId="0" applyFont="1" applyFill="1" applyBorder="1" applyAlignment="1" applyProtection="1">
      <alignment horizontal="left" vertical="center" wrapText="1" indent="1"/>
    </xf>
    <xf numFmtId="49" fontId="16" fillId="0" borderId="1" xfId="0" applyFont="1" applyFill="1" applyBorder="1" applyAlignment="1" applyProtection="1">
      <alignment horizontal="left" vertical="center" wrapText="1" indent="2"/>
    </xf>
    <xf numFmtId="4" fontId="16" fillId="0" borderId="1" xfId="0" applyNumberFormat="1" applyFont="1" applyBorder="1" applyAlignment="1" applyProtection="1">
      <alignment vertical="center"/>
    </xf>
    <xf numFmtId="0" fontId="16" fillId="0" borderId="1" xfId="0" applyNumberFormat="1" applyFont="1" applyFill="1" applyBorder="1" applyAlignment="1" applyProtection="1">
      <alignment horizontal="left" vertical="center" wrapText="1" indent="1"/>
    </xf>
    <xf numFmtId="4" fontId="16" fillId="3" borderId="1" xfId="42" applyNumberFormat="1" applyFont="1" applyFill="1" applyBorder="1" applyAlignment="1" applyProtection="1">
      <alignment horizontal="right" vertical="center"/>
      <protection locked="0"/>
    </xf>
    <xf numFmtId="4" fontId="16" fillId="4" borderId="1" xfId="42" applyNumberFormat="1" applyFont="1" applyFill="1" applyBorder="1" applyAlignment="1" applyProtection="1">
      <alignment horizontal="right" vertical="center"/>
    </xf>
    <xf numFmtId="4" fontId="16" fillId="4" borderId="1" xfId="13" applyFont="1" applyFill="1" applyBorder="1" applyAlignment="1" applyProtection="1">
      <alignment horizontal="right" vertical="center"/>
    </xf>
    <xf numFmtId="0" fontId="16" fillId="0" borderId="1" xfId="0" applyNumberFormat="1" applyFont="1" applyBorder="1" applyAlignment="1" applyProtection="1">
      <alignment horizontal="center" vertical="center"/>
    </xf>
    <xf numFmtId="49" fontId="16" fillId="10" borderId="1" xfId="0" applyFont="1" applyFill="1" applyBorder="1" applyAlignment="1" applyProtection="1">
      <alignment horizontal="center" vertical="center"/>
    </xf>
    <xf numFmtId="49" fontId="16" fillId="10" borderId="1" xfId="0" applyFont="1" applyFill="1" applyBorder="1" applyAlignment="1" applyProtection="1">
      <alignment vertical="center" wrapText="1"/>
    </xf>
    <xf numFmtId="4" fontId="16" fillId="4" borderId="1" xfId="13" applyNumberFormat="1" applyFont="1" applyFill="1" applyBorder="1" applyAlignment="1" applyProtection="1">
      <alignment horizontal="right" vertical="center"/>
    </xf>
    <xf numFmtId="4" fontId="16" fillId="3" borderId="1" xfId="13" applyNumberFormat="1" applyFont="1" applyFill="1" applyBorder="1" applyAlignment="1" applyProtection="1">
      <alignment horizontal="right" vertical="center"/>
      <protection locked="0"/>
    </xf>
    <xf numFmtId="49" fontId="0" fillId="0" borderId="1" xfId="0" applyFill="1" applyBorder="1" applyAlignment="1" applyProtection="1">
      <alignment horizontal="left" vertical="center" indent="1"/>
    </xf>
    <xf numFmtId="0" fontId="16" fillId="10" borderId="1" xfId="0" applyNumberFormat="1" applyFont="1" applyFill="1" applyBorder="1" applyAlignment="1" applyProtection="1">
      <alignment horizontal="left" vertical="center" wrapText="1" indent="1"/>
    </xf>
    <xf numFmtId="0" fontId="16" fillId="10" borderId="1" xfId="0" applyNumberFormat="1" applyFont="1" applyFill="1" applyBorder="1" applyAlignment="1" applyProtection="1">
      <alignment horizontal="center" vertical="center"/>
    </xf>
    <xf numFmtId="49" fontId="16" fillId="10" borderId="1" xfId="0" applyFont="1" applyFill="1" applyBorder="1" applyAlignment="1" applyProtection="1">
      <alignment horizontal="left" vertical="center" wrapText="1" indent="1"/>
    </xf>
    <xf numFmtId="49" fontId="15" fillId="0" borderId="0" xfId="0" applyFont="1">
      <alignment vertical="top"/>
    </xf>
    <xf numFmtId="0" fontId="0" fillId="0" borderId="0" xfId="0" applyNumberFormat="1">
      <alignment vertical="top"/>
    </xf>
    <xf numFmtId="49" fontId="61" fillId="5" borderId="1" xfId="18" applyNumberFormat="1" applyFont="1" applyFill="1" applyBorder="1" applyAlignment="1" applyProtection="1">
      <alignment horizontal="center" vertical="center" wrapText="1"/>
    </xf>
    <xf numFmtId="49" fontId="0" fillId="0" borderId="1" xfId="0" applyFont="1" applyBorder="1" applyAlignment="1" applyProtection="1">
      <alignment horizontal="center" vertical="center"/>
    </xf>
    <xf numFmtId="49" fontId="0" fillId="10" borderId="1" xfId="0" applyFont="1" applyFill="1" applyBorder="1" applyAlignment="1" applyProtection="1">
      <alignment horizontal="center" vertical="center"/>
    </xf>
    <xf numFmtId="49" fontId="81" fillId="5" borderId="1" xfId="0" applyNumberFormat="1" applyFont="1" applyFill="1" applyBorder="1" applyAlignment="1" applyProtection="1">
      <alignment horizontal="center" vertical="center"/>
    </xf>
    <xf numFmtId="49" fontId="81" fillId="5" borderId="1" xfId="38" applyNumberFormat="1" applyFont="1" applyFill="1" applyBorder="1" applyAlignment="1" applyProtection="1">
      <alignment horizontal="left" vertical="center" wrapText="1" indent="1"/>
    </xf>
    <xf numFmtId="0" fontId="61" fillId="5" borderId="11" xfId="18" applyFont="1" applyFill="1" applyBorder="1" applyAlignment="1" applyProtection="1">
      <alignment horizontal="center" vertical="center" wrapText="1"/>
    </xf>
    <xf numFmtId="4" fontId="5" fillId="4" borderId="11" xfId="16" applyNumberFormat="1" applyFont="1" applyFill="1" applyBorder="1" applyAlignment="1" applyProtection="1">
      <alignment horizontal="right" vertical="center" wrapText="1"/>
    </xf>
    <xf numFmtId="0" fontId="5" fillId="5" borderId="25" xfId="16" applyFont="1" applyFill="1" applyBorder="1" applyAlignment="1" applyProtection="1">
      <alignment vertical="center" wrapText="1"/>
    </xf>
    <xf numFmtId="0" fontId="35" fillId="0" borderId="0" xfId="16" applyNumberFormat="1" applyFont="1" applyFill="1" applyAlignment="1" applyProtection="1">
      <alignment vertical="center" wrapText="1"/>
    </xf>
    <xf numFmtId="0" fontId="5" fillId="0" borderId="0" xfId="16" applyNumberFormat="1" applyFont="1" applyFill="1" applyAlignment="1" applyProtection="1">
      <alignment vertical="center" wrapText="1"/>
    </xf>
    <xf numFmtId="49" fontId="81" fillId="5" borderId="1" xfId="38" applyNumberFormat="1" applyFont="1" applyFill="1" applyBorder="1" applyAlignment="1" applyProtection="1">
      <alignment horizontal="left" vertical="center" wrapText="1" indent="3"/>
    </xf>
    <xf numFmtId="0" fontId="0" fillId="5" borderId="1" xfId="38" applyNumberFormat="1" applyFont="1" applyFill="1" applyBorder="1" applyAlignment="1" applyProtection="1">
      <alignment horizontal="left" vertical="center" wrapText="1"/>
    </xf>
    <xf numFmtId="4" fontId="0" fillId="3" borderId="1" xfId="0" applyNumberFormat="1" applyFont="1" applyFill="1" applyBorder="1" applyProtection="1">
      <alignment vertical="top"/>
      <protection locked="0"/>
    </xf>
    <xf numFmtId="0" fontId="5" fillId="0" borderId="1" xfId="38" applyNumberFormat="1" applyFont="1" applyFill="1" applyBorder="1" applyAlignment="1" applyProtection="1">
      <alignment horizontal="left" vertical="center" wrapText="1"/>
    </xf>
    <xf numFmtId="0" fontId="0" fillId="10" borderId="0" xfId="0" applyNumberFormat="1" applyFill="1" applyAlignment="1" applyProtection="1">
      <alignment horizontal="right"/>
    </xf>
    <xf numFmtId="49" fontId="0" fillId="10" borderId="0" xfId="0" applyFill="1" applyAlignment="1" applyProtection="1">
      <alignment horizontal="center" vertical="top" wrapText="1"/>
    </xf>
    <xf numFmtId="49" fontId="81" fillId="5" borderId="1" xfId="38" applyNumberFormat="1" applyFont="1" applyFill="1" applyBorder="1" applyAlignment="1" applyProtection="1">
      <alignment horizontal="left" vertical="center" wrapText="1" indent="2"/>
    </xf>
    <xf numFmtId="0" fontId="5" fillId="5" borderId="1" xfId="38" applyNumberFormat="1" applyFont="1" applyFill="1" applyBorder="1" applyAlignment="1" applyProtection="1">
      <alignment horizontal="left" vertical="center" wrapText="1"/>
    </xf>
    <xf numFmtId="0" fontId="0" fillId="5" borderId="1" xfId="18" applyNumberFormat="1" applyFont="1" applyFill="1" applyBorder="1" applyAlignment="1" applyProtection="1">
      <alignment horizontal="left" vertical="center" wrapText="1"/>
    </xf>
    <xf numFmtId="0" fontId="35" fillId="5" borderId="0" xfId="16" applyNumberFormat="1" applyFont="1" applyFill="1" applyBorder="1" applyAlignment="1" applyProtection="1">
      <alignment horizontal="center" vertical="center" wrapText="1"/>
    </xf>
    <xf numFmtId="0" fontId="0" fillId="0" borderId="1" xfId="38" applyNumberFormat="1" applyFont="1" applyFill="1" applyBorder="1" applyAlignment="1" applyProtection="1">
      <alignment horizontal="center" vertical="center" wrapText="1"/>
    </xf>
    <xf numFmtId="0" fontId="16" fillId="0" borderId="1" xfId="0" applyNumberFormat="1" applyFont="1" applyFill="1" applyBorder="1" applyAlignment="1" applyProtection="1">
      <alignment horizontal="left" vertical="center" wrapText="1"/>
    </xf>
    <xf numFmtId="0" fontId="16" fillId="0" borderId="1" xfId="0" applyNumberFormat="1" applyFont="1" applyFill="1" applyBorder="1" applyAlignment="1" applyProtection="1">
      <alignment vertical="center" wrapText="1"/>
    </xf>
    <xf numFmtId="4" fontId="5" fillId="4" borderId="16" xfId="38" applyNumberFormat="1" applyFont="1" applyFill="1" applyBorder="1" applyAlignment="1" applyProtection="1">
      <alignment vertical="center" wrapText="1"/>
    </xf>
    <xf numFmtId="0" fontId="0" fillId="5" borderId="16" xfId="38" applyNumberFormat="1" applyFont="1" applyFill="1" applyBorder="1" applyAlignment="1" applyProtection="1">
      <alignment horizontal="center" vertical="center" wrapText="1"/>
    </xf>
    <xf numFmtId="0" fontId="0" fillId="0" borderId="1" xfId="0" applyNumberFormat="1" applyBorder="1" applyAlignment="1" applyProtection="1">
      <alignment horizontal="center" vertical="center" wrapText="1"/>
    </xf>
    <xf numFmtId="49" fontId="5" fillId="5" borderId="1" xfId="21" applyNumberFormat="1" applyFont="1" applyFill="1" applyBorder="1" applyAlignment="1" applyProtection="1">
      <alignment horizontal="center" vertical="center" wrapText="1"/>
    </xf>
    <xf numFmtId="0" fontId="0" fillId="5" borderId="1" xfId="37" applyNumberFormat="1" applyFont="1" applyFill="1" applyBorder="1" applyAlignment="1" applyProtection="1">
      <alignment horizontal="left" vertical="center" wrapText="1" indent="2"/>
    </xf>
    <xf numFmtId="0" fontId="0" fillId="0" borderId="1" xfId="38" applyNumberFormat="1" applyFont="1" applyFill="1" applyBorder="1" applyAlignment="1" applyProtection="1">
      <alignment horizontal="left" vertical="center" wrapText="1"/>
    </xf>
    <xf numFmtId="49" fontId="5" fillId="0" borderId="1" xfId="18" applyNumberFormat="1" applyFont="1" applyFill="1" applyBorder="1" applyAlignment="1" applyProtection="1">
      <alignment horizontal="left" vertical="center" wrapText="1"/>
    </xf>
    <xf numFmtId="0" fontId="5" fillId="0" borderId="11" xfId="37" applyNumberFormat="1" applyFont="1" applyFill="1" applyBorder="1" applyAlignment="1" applyProtection="1">
      <alignment horizontal="left" vertical="center" wrapText="1" indent="2"/>
    </xf>
    <xf numFmtId="49" fontId="5" fillId="0" borderId="11" xfId="18" applyNumberFormat="1" applyFont="1" applyFill="1" applyBorder="1" applyAlignment="1" applyProtection="1">
      <alignment horizontal="left" vertical="center" wrapText="1"/>
    </xf>
    <xf numFmtId="49" fontId="0" fillId="0" borderId="1" xfId="0" applyFont="1" applyFill="1" applyBorder="1" applyAlignment="1" applyProtection="1">
      <alignment horizontal="center" vertical="center"/>
    </xf>
    <xf numFmtId="4" fontId="5" fillId="4" borderId="1" xfId="41" applyNumberFormat="1" applyFont="1" applyFill="1" applyBorder="1" applyAlignment="1" applyProtection="1">
      <alignment vertical="center" wrapText="1"/>
    </xf>
    <xf numFmtId="4" fontId="5" fillId="4" borderId="1" xfId="41" applyNumberFormat="1" applyFont="1" applyFill="1" applyBorder="1" applyAlignment="1" applyProtection="1">
      <alignment horizontal="right" vertical="center" wrapText="1"/>
    </xf>
    <xf numFmtId="0" fontId="5" fillId="4" borderId="1" xfId="21" applyNumberFormat="1" applyFont="1" applyFill="1" applyBorder="1" applyAlignment="1" applyProtection="1">
      <alignment horizontal="center" vertical="center" wrapText="1"/>
    </xf>
    <xf numFmtId="49" fontId="61" fillId="5" borderId="1" xfId="21" applyNumberFormat="1" applyFont="1" applyFill="1" applyBorder="1" applyAlignment="1" applyProtection="1">
      <alignment horizontal="center" vertical="center" wrapText="1"/>
    </xf>
    <xf numFmtId="0" fontId="61" fillId="5" borderId="1" xfId="21" applyNumberFormat="1" applyFont="1" applyFill="1" applyBorder="1" applyAlignment="1" applyProtection="1">
      <alignment horizontal="center" vertical="center" wrapText="1"/>
    </xf>
    <xf numFmtId="0" fontId="5" fillId="10" borderId="1" xfId="16" applyFont="1" applyFill="1" applyBorder="1" applyAlignment="1" applyProtection="1">
      <alignment horizontal="right" vertical="center" wrapText="1"/>
    </xf>
    <xf numFmtId="0" fontId="5" fillId="10" borderId="16" xfId="16" applyFont="1" applyFill="1" applyBorder="1" applyAlignment="1" applyProtection="1">
      <alignment horizontal="right" vertical="center" wrapText="1"/>
    </xf>
    <xf numFmtId="0" fontId="10" fillId="5" borderId="1" xfId="18" applyFont="1" applyFill="1" applyBorder="1" applyAlignment="1" applyProtection="1">
      <alignment horizontal="center" vertical="center" wrapText="1"/>
    </xf>
    <xf numFmtId="0" fontId="5" fillId="4" borderId="13" xfId="16" applyNumberFormat="1" applyFont="1" applyFill="1" applyBorder="1" applyAlignment="1" applyProtection="1">
      <alignment horizontal="left" vertical="center" wrapText="1" indent="1"/>
    </xf>
    <xf numFmtId="49" fontId="5" fillId="0" borderId="0" xfId="0" applyFont="1">
      <alignment vertical="top"/>
    </xf>
    <xf numFmtId="0" fontId="5" fillId="11" borderId="11" xfId="11" applyFont="1" applyFill="1" applyBorder="1" applyAlignment="1" applyProtection="1">
      <alignment horizontal="center" vertical="center"/>
    </xf>
    <xf numFmtId="4" fontId="5" fillId="4" borderId="1" xfId="40" applyNumberFormat="1" applyFont="1" applyFill="1" applyBorder="1" applyAlignment="1" applyProtection="1">
      <alignment horizontal="right" vertical="center" wrapText="1"/>
    </xf>
    <xf numFmtId="0" fontId="5" fillId="10" borderId="15" xfId="16" applyNumberFormat="1" applyFont="1" applyFill="1" applyBorder="1" applyAlignment="1" applyProtection="1">
      <alignment horizontal="right" vertical="center" wrapText="1"/>
    </xf>
    <xf numFmtId="49" fontId="5" fillId="5" borderId="15" xfId="20" applyNumberFormat="1" applyFont="1" applyFill="1" applyBorder="1" applyAlignment="1" applyProtection="1">
      <alignment horizontal="center" vertical="center" wrapText="1"/>
    </xf>
    <xf numFmtId="49" fontId="61" fillId="5" borderId="15" xfId="21" applyNumberFormat="1" applyFont="1" applyFill="1" applyBorder="1" applyAlignment="1" applyProtection="1">
      <alignment horizontal="center" vertical="center" wrapText="1"/>
    </xf>
    <xf numFmtId="0" fontId="63" fillId="0" borderId="0" xfId="38" applyFont="1" applyAlignment="1" applyProtection="1">
      <alignment vertical="center" wrapText="1"/>
    </xf>
    <xf numFmtId="49" fontId="63" fillId="0" borderId="0" xfId="0" applyFont="1">
      <alignment vertical="top"/>
    </xf>
    <xf numFmtId="0" fontId="63" fillId="5" borderId="0" xfId="38" applyFont="1" applyFill="1" applyBorder="1" applyAlignment="1" applyProtection="1">
      <alignment vertical="center" wrapText="1"/>
    </xf>
    <xf numFmtId="4" fontId="15" fillId="11" borderId="22" xfId="11" applyNumberFormat="1" applyFont="1" applyFill="1" applyBorder="1" applyAlignment="1" applyProtection="1">
      <alignment horizontal="center" vertical="center"/>
    </xf>
    <xf numFmtId="0" fontId="5" fillId="0" borderId="1" xfId="38" applyNumberFormat="1" applyFont="1" applyFill="1" applyBorder="1" applyAlignment="1" applyProtection="1">
      <alignment horizontal="center" vertical="center" wrapText="1"/>
    </xf>
    <xf numFmtId="0" fontId="5" fillId="0" borderId="1" xfId="38" applyFont="1" applyFill="1" applyBorder="1" applyAlignment="1" applyProtection="1">
      <alignment horizontal="left" vertical="center" wrapText="1" indent="3"/>
    </xf>
    <xf numFmtId="49" fontId="0" fillId="0" borderId="11" xfId="0" applyFont="1" applyFill="1" applyBorder="1" applyAlignment="1" applyProtection="1">
      <alignment vertical="center" wrapText="1"/>
    </xf>
    <xf numFmtId="49" fontId="0" fillId="0" borderId="11" xfId="0" applyFont="1" applyFill="1" applyBorder="1" applyAlignment="1" applyProtection="1">
      <alignment horizontal="left" vertical="center" wrapText="1" indent="1"/>
    </xf>
    <xf numFmtId="49" fontId="0" fillId="0" borderId="11" xfId="0" applyFont="1" applyFill="1" applyBorder="1" applyAlignment="1" applyProtection="1">
      <alignment horizontal="left" vertical="center" wrapText="1" indent="2"/>
    </xf>
    <xf numFmtId="49" fontId="5" fillId="0" borderId="11" xfId="38" applyNumberFormat="1" applyFont="1" applyFill="1" applyBorder="1" applyAlignment="1" applyProtection="1">
      <alignment horizontal="left" vertical="center" wrapText="1" indent="3"/>
    </xf>
    <xf numFmtId="49" fontId="5" fillId="0" borderId="11" xfId="27" applyNumberFormat="1" applyFont="1" applyFill="1" applyBorder="1" applyAlignment="1" applyProtection="1">
      <alignment horizontal="left" vertical="center" wrapText="1" indent="4"/>
    </xf>
    <xf numFmtId="49" fontId="5" fillId="0" borderId="11" xfId="27" applyNumberFormat="1" applyFont="1" applyFill="1" applyBorder="1" applyAlignment="1" applyProtection="1">
      <alignment horizontal="left" vertical="center" wrapText="1" indent="3"/>
    </xf>
    <xf numFmtId="49" fontId="5" fillId="0" borderId="11" xfId="27" applyNumberFormat="1" applyFont="1" applyFill="1" applyBorder="1" applyAlignment="1" applyProtection="1">
      <alignment horizontal="left" vertical="center" wrapText="1" indent="2"/>
    </xf>
    <xf numFmtId="49" fontId="5" fillId="0" borderId="11" xfId="38" applyNumberFormat="1" applyFont="1" applyFill="1" applyBorder="1" applyAlignment="1" applyProtection="1">
      <alignment horizontal="left" vertical="center" wrapText="1" indent="2"/>
    </xf>
    <xf numFmtId="0" fontId="5" fillId="0" borderId="11" xfId="38" applyFont="1" applyFill="1" applyBorder="1" applyAlignment="1" applyProtection="1">
      <alignment horizontal="left" vertical="center" wrapText="1" indent="3"/>
    </xf>
    <xf numFmtId="49" fontId="5" fillId="0" borderId="11" xfId="38" applyNumberFormat="1" applyFont="1" applyFill="1" applyBorder="1" applyAlignment="1" applyProtection="1">
      <alignment horizontal="left" vertical="center" wrapText="1" indent="1"/>
    </xf>
    <xf numFmtId="49" fontId="0" fillId="0" borderId="11" xfId="0" applyNumberFormat="1" applyFont="1" applyFill="1" applyBorder="1" applyAlignment="1" applyProtection="1">
      <alignment horizontal="left" vertical="center" wrapText="1" indent="1"/>
    </xf>
    <xf numFmtId="49" fontId="0" fillId="0" borderId="11" xfId="0" applyNumberFormat="1" applyFont="1" applyFill="1" applyBorder="1" applyAlignment="1" applyProtection="1">
      <alignment horizontal="left" vertical="center" wrapText="1" indent="2"/>
    </xf>
    <xf numFmtId="49" fontId="0" fillId="0" borderId="11" xfId="0" applyFont="1" applyFill="1" applyBorder="1" applyAlignment="1" applyProtection="1">
      <alignment horizontal="left" vertical="center" wrapText="1" indent="3"/>
    </xf>
    <xf numFmtId="49" fontId="0" fillId="0" borderId="11" xfId="0" applyFont="1" applyFill="1" applyBorder="1" applyAlignment="1" applyProtection="1">
      <alignment horizontal="left" vertical="center" wrapText="1"/>
    </xf>
    <xf numFmtId="0" fontId="5" fillId="0" borderId="11" xfId="37" applyNumberFormat="1" applyFont="1" applyFill="1" applyBorder="1" applyAlignment="1" applyProtection="1">
      <alignment horizontal="left" vertical="center" wrapText="1" indent="1"/>
    </xf>
    <xf numFmtId="0" fontId="16" fillId="0" borderId="11" xfId="37" applyNumberFormat="1" applyFont="1" applyFill="1" applyBorder="1" applyAlignment="1" applyProtection="1">
      <alignment horizontal="left" vertical="center" wrapText="1" indent="1"/>
    </xf>
    <xf numFmtId="0" fontId="41" fillId="0" borderId="16" xfId="38" applyFont="1" applyFill="1" applyBorder="1" applyAlignment="1" applyProtection="1">
      <alignment vertical="center" textRotation="90" wrapText="1"/>
    </xf>
    <xf numFmtId="49" fontId="5" fillId="0" borderId="15" xfId="37" applyNumberFormat="1" applyFont="1" applyFill="1" applyBorder="1" applyAlignment="1" applyProtection="1">
      <alignment horizontal="left" vertical="center" wrapText="1" indent="1"/>
    </xf>
    <xf numFmtId="4" fontId="5" fillId="4" borderId="1" xfId="38" applyNumberFormat="1" applyFont="1" applyFill="1" applyBorder="1" applyAlignment="1" applyProtection="1">
      <alignment vertical="center" wrapText="1"/>
    </xf>
    <xf numFmtId="4" fontId="16" fillId="4" borderId="1" xfId="38" applyNumberFormat="1" applyFont="1" applyFill="1" applyBorder="1" applyAlignment="1" applyProtection="1">
      <alignment horizontal="right" vertical="center" wrapText="1"/>
    </xf>
    <xf numFmtId="4" fontId="16" fillId="0" borderId="1" xfId="38" applyNumberFormat="1" applyFont="1" applyFill="1" applyBorder="1" applyAlignment="1" applyProtection="1">
      <alignment horizontal="right" vertical="center" wrapText="1"/>
    </xf>
    <xf numFmtId="4" fontId="5" fillId="0" borderId="1" xfId="37" applyNumberFormat="1" applyFont="1" applyFill="1" applyBorder="1" applyAlignment="1" applyProtection="1">
      <alignment horizontal="left" vertical="center" wrapText="1" indent="1"/>
    </xf>
    <xf numFmtId="4" fontId="5" fillId="4" borderId="1" xfId="36" applyNumberFormat="1" applyFont="1" applyFill="1" applyBorder="1" applyAlignment="1" applyProtection="1">
      <alignment horizontal="right" vertical="center" wrapText="1"/>
    </xf>
    <xf numFmtId="4" fontId="16" fillId="4" borderId="1" xfId="36" applyNumberFormat="1" applyFont="1" applyFill="1" applyBorder="1" applyAlignment="1" applyProtection="1">
      <alignment horizontal="right" vertical="center" wrapText="1"/>
    </xf>
    <xf numFmtId="4" fontId="16" fillId="10" borderId="1" xfId="38" applyNumberFormat="1" applyFont="1" applyFill="1" applyBorder="1" applyAlignment="1" applyProtection="1">
      <alignment vertical="center" wrapText="1"/>
    </xf>
    <xf numFmtId="4" fontId="5" fillId="4" borderId="15" xfId="38" applyNumberFormat="1" applyFont="1" applyFill="1" applyBorder="1" applyAlignment="1" applyProtection="1">
      <alignment horizontal="right" vertical="center" wrapText="1"/>
    </xf>
    <xf numFmtId="4" fontId="5" fillId="4" borderId="15" xfId="36" applyNumberFormat="1" applyFont="1" applyFill="1" applyBorder="1" applyAlignment="1" applyProtection="1">
      <alignment horizontal="right" vertical="center" wrapText="1"/>
    </xf>
    <xf numFmtId="4" fontId="5" fillId="0" borderId="1" xfId="27" applyNumberFormat="1" applyFont="1" applyFill="1" applyBorder="1" applyAlignment="1" applyProtection="1">
      <alignment horizontal="right" vertical="center" wrapText="1"/>
    </xf>
    <xf numFmtId="4" fontId="5" fillId="4" borderId="1" xfId="27" applyNumberFormat="1" applyFont="1" applyFill="1" applyBorder="1" applyAlignment="1" applyProtection="1">
      <alignment horizontal="right" vertical="center" wrapText="1"/>
    </xf>
    <xf numFmtId="4" fontId="5" fillId="4" borderId="11" xfId="36" applyNumberFormat="1" applyFont="1" applyFill="1" applyBorder="1" applyAlignment="1" applyProtection="1">
      <alignment horizontal="right" vertical="center" wrapText="1"/>
    </xf>
    <xf numFmtId="0" fontId="5" fillId="0" borderId="11" xfId="18" applyNumberFormat="1" applyFont="1" applyFill="1" applyBorder="1" applyAlignment="1" applyProtection="1">
      <alignment horizontal="left" vertical="center" wrapText="1"/>
    </xf>
    <xf numFmtId="49" fontId="0" fillId="0" borderId="1" xfId="0" applyFont="1" applyBorder="1" applyAlignment="1">
      <alignment horizontal="center" vertical="center"/>
    </xf>
    <xf numFmtId="49" fontId="35" fillId="5" borderId="1" xfId="38" applyNumberFormat="1" applyFont="1" applyFill="1" applyBorder="1" applyAlignment="1" applyProtection="1">
      <alignment horizontal="left" vertical="center" wrapText="1" indent="2"/>
    </xf>
    <xf numFmtId="49" fontId="0" fillId="0" borderId="1" xfId="0" applyFill="1" applyBorder="1" applyAlignment="1" applyProtection="1">
      <alignment horizontal="center" vertical="center"/>
    </xf>
    <xf numFmtId="0" fontId="0" fillId="0" borderId="1" xfId="0" applyNumberFormat="1" applyFill="1" applyBorder="1" applyAlignment="1" applyProtection="1">
      <alignment horizontal="center" vertical="center"/>
    </xf>
    <xf numFmtId="0" fontId="0" fillId="0" borderId="11" xfId="0" applyNumberFormat="1" applyFill="1" applyBorder="1" applyAlignment="1" applyProtection="1">
      <alignment horizontal="left" vertical="center" wrapText="1" indent="1"/>
    </xf>
    <xf numFmtId="0" fontId="0" fillId="0" borderId="11" xfId="0" applyNumberFormat="1" applyFill="1" applyBorder="1" applyAlignment="1" applyProtection="1">
      <alignment horizontal="left" vertical="center" wrapText="1" indent="2"/>
    </xf>
    <xf numFmtId="49" fontId="35" fillId="5" borderId="11" xfId="38" applyNumberFormat="1" applyFont="1" applyFill="1" applyBorder="1" applyAlignment="1" applyProtection="1">
      <alignment horizontal="left" vertical="center" wrapText="1" indent="2"/>
    </xf>
    <xf numFmtId="0" fontId="41" fillId="5" borderId="26" xfId="38" applyFont="1" applyFill="1" applyBorder="1" applyAlignment="1" applyProtection="1">
      <alignment vertical="center" textRotation="90" wrapText="1"/>
    </xf>
    <xf numFmtId="4" fontId="0" fillId="4" borderId="1" xfId="0" applyNumberFormat="1" applyFont="1" applyFill="1" applyBorder="1" applyAlignment="1" applyProtection="1">
      <alignment horizontal="right" vertical="center"/>
    </xf>
    <xf numFmtId="0" fontId="0" fillId="0" borderId="11" xfId="0" applyNumberFormat="1" applyFill="1" applyBorder="1" applyAlignment="1" applyProtection="1">
      <alignment vertical="center" wrapText="1"/>
    </xf>
    <xf numFmtId="4" fontId="5" fillId="0" borderId="15" xfId="36" applyNumberFormat="1" applyFont="1" applyFill="1" applyBorder="1" applyAlignment="1" applyProtection="1">
      <alignment horizontal="right" vertical="center" wrapText="1"/>
    </xf>
    <xf numFmtId="49" fontId="5" fillId="4" borderId="1" xfId="36" applyNumberFormat="1" applyFont="1" applyFill="1" applyBorder="1" applyAlignment="1" applyProtection="1">
      <alignment horizontal="center" vertical="center" wrapText="1"/>
    </xf>
    <xf numFmtId="49" fontId="0" fillId="4" borderId="1" xfId="36" applyNumberFormat="1" applyFont="1" applyFill="1" applyBorder="1" applyAlignment="1" applyProtection="1">
      <alignment horizontal="center" vertical="center" wrapText="1"/>
    </xf>
    <xf numFmtId="4" fontId="5" fillId="4" borderId="1" xfId="37" applyNumberFormat="1" applyFont="1" applyFill="1" applyBorder="1" applyAlignment="1" applyProtection="1">
      <alignment horizontal="right" vertical="center" wrapText="1"/>
    </xf>
    <xf numFmtId="0" fontId="0" fillId="5" borderId="11" xfId="38" applyNumberFormat="1" applyFont="1" applyFill="1" applyBorder="1" applyAlignment="1" applyProtection="1">
      <alignment horizontal="left" vertical="center" wrapText="1"/>
    </xf>
    <xf numFmtId="49" fontId="5" fillId="0" borderId="11" xfId="37" applyNumberFormat="1" applyFont="1" applyFill="1" applyBorder="1" applyAlignment="1" applyProtection="1">
      <alignment horizontal="left" vertical="center" wrapText="1" indent="1"/>
    </xf>
    <xf numFmtId="0" fontId="5" fillId="0" borderId="1" xfId="38" applyFont="1" applyFill="1" applyBorder="1" applyAlignment="1" applyProtection="1">
      <alignment horizontal="left" vertical="center" wrapText="1"/>
    </xf>
    <xf numFmtId="0" fontId="5" fillId="5" borderId="22" xfId="16" applyFont="1" applyFill="1" applyBorder="1" applyAlignment="1" applyProtection="1">
      <alignment vertical="center" wrapText="1"/>
    </xf>
    <xf numFmtId="0" fontId="5" fillId="0" borderId="11" xfId="16" applyFont="1" applyBorder="1" applyAlignment="1" applyProtection="1">
      <alignment vertical="center" wrapText="1"/>
    </xf>
    <xf numFmtId="0" fontId="65" fillId="10" borderId="12" xfId="16" applyFont="1" applyFill="1" applyBorder="1" applyAlignment="1" applyProtection="1">
      <alignment horizontal="center" vertical="center" wrapText="1"/>
    </xf>
    <xf numFmtId="2" fontId="5" fillId="10" borderId="12" xfId="16" applyNumberFormat="1" applyFont="1" applyFill="1" applyBorder="1" applyAlignment="1" applyProtection="1">
      <alignment vertical="center" wrapText="1"/>
    </xf>
    <xf numFmtId="0" fontId="65" fillId="10" borderId="13" xfId="16" applyFont="1" applyFill="1" applyBorder="1" applyAlignment="1" applyProtection="1">
      <alignment horizontal="center" vertical="center" wrapText="1"/>
    </xf>
    <xf numFmtId="2" fontId="5" fillId="10" borderId="13" xfId="16" applyNumberFormat="1" applyFont="1" applyFill="1" applyBorder="1" applyAlignment="1" applyProtection="1">
      <alignment vertical="center" wrapText="1"/>
    </xf>
    <xf numFmtId="0" fontId="65" fillId="10" borderId="13" xfId="16" applyFont="1" applyFill="1" applyBorder="1" applyAlignment="1" applyProtection="1">
      <alignment vertical="center" wrapText="1"/>
    </xf>
    <xf numFmtId="0" fontId="65" fillId="10" borderId="11" xfId="16" applyFont="1" applyFill="1" applyBorder="1" applyAlignment="1" applyProtection="1">
      <alignment horizontal="center" vertical="center" wrapText="1"/>
    </xf>
    <xf numFmtId="0" fontId="5" fillId="10" borderId="13" xfId="16" applyNumberFormat="1" applyFont="1" applyFill="1" applyBorder="1" applyAlignment="1" applyProtection="1">
      <alignment vertical="center" wrapText="1"/>
    </xf>
    <xf numFmtId="0" fontId="5" fillId="10" borderId="11" xfId="16" applyNumberFormat="1" applyFont="1" applyFill="1" applyBorder="1" applyAlignment="1" applyProtection="1">
      <alignment horizontal="center" vertical="center" wrapText="1"/>
    </xf>
    <xf numFmtId="0" fontId="5" fillId="5" borderId="1" xfId="35" applyFont="1" applyFill="1" applyBorder="1" applyAlignment="1" applyProtection="1">
      <alignment horizontal="right" vertical="center" wrapText="1"/>
    </xf>
    <xf numFmtId="4" fontId="5" fillId="0" borderId="1" xfId="16" applyNumberFormat="1" applyFont="1" applyFill="1" applyBorder="1" applyAlignment="1" applyProtection="1">
      <alignment vertical="center" wrapText="1"/>
    </xf>
    <xf numFmtId="4" fontId="5" fillId="0" borderId="11" xfId="16" applyNumberFormat="1" applyFont="1" applyFill="1" applyBorder="1" applyAlignment="1" applyProtection="1">
      <alignment vertical="center" wrapText="1"/>
    </xf>
    <xf numFmtId="0" fontId="5" fillId="15" borderId="1" xfId="16" applyFont="1" applyFill="1" applyBorder="1" applyAlignment="1" applyProtection="1">
      <alignment vertical="center" wrapText="1"/>
      <protection locked="0"/>
    </xf>
    <xf numFmtId="49" fontId="0" fillId="0" borderId="25" xfId="0" applyBorder="1">
      <alignment vertical="top"/>
    </xf>
    <xf numFmtId="49" fontId="82" fillId="0" borderId="25" xfId="0" applyFont="1" applyBorder="1" applyAlignment="1">
      <alignment horizontal="center" vertical="center"/>
    </xf>
    <xf numFmtId="0" fontId="5" fillId="5" borderId="13" xfId="18" applyFont="1" applyFill="1" applyBorder="1" applyAlignment="1" applyProtection="1">
      <alignment horizontal="center" vertical="center" wrapText="1"/>
    </xf>
    <xf numFmtId="49" fontId="0" fillId="5" borderId="1" xfId="27" applyNumberFormat="1" applyFont="1" applyFill="1" applyBorder="1" applyAlignment="1" applyProtection="1">
      <alignment horizontal="left" vertical="center" wrapText="1" indent="1"/>
    </xf>
    <xf numFmtId="49" fontId="0" fillId="5" borderId="1" xfId="27" applyNumberFormat="1" applyFont="1" applyFill="1" applyBorder="1" applyAlignment="1" applyProtection="1">
      <alignment horizontal="left" vertical="center" wrapText="1" indent="2"/>
    </xf>
    <xf numFmtId="0" fontId="0" fillId="5" borderId="1" xfId="38" applyNumberFormat="1" applyFont="1" applyFill="1" applyBorder="1" applyAlignment="1" applyProtection="1">
      <alignment horizontal="left" vertical="center" wrapText="1" indent="4"/>
    </xf>
    <xf numFmtId="0" fontId="0" fillId="5" borderId="1" xfId="38" applyNumberFormat="1" applyFont="1" applyFill="1" applyBorder="1" applyAlignment="1" applyProtection="1">
      <alignment horizontal="center" vertical="center" wrapText="1"/>
    </xf>
    <xf numFmtId="49" fontId="15" fillId="14" borderId="0" xfId="0" applyFont="1" applyFill="1" applyBorder="1" applyAlignment="1" applyProtection="1">
      <alignment vertical="top" wrapText="1"/>
    </xf>
    <xf numFmtId="49" fontId="5" fillId="5" borderId="27" xfId="21" applyNumberFormat="1" applyFont="1" applyFill="1" applyBorder="1" applyAlignment="1" applyProtection="1">
      <alignment horizontal="center" vertical="center" wrapText="1"/>
    </xf>
    <xf numFmtId="49" fontId="5" fillId="5" borderId="19" xfId="21" applyNumberFormat="1" applyFont="1" applyFill="1" applyBorder="1" applyAlignment="1" applyProtection="1">
      <alignment horizontal="center" vertical="center" wrapText="1"/>
    </xf>
    <xf numFmtId="49" fontId="61" fillId="5" borderId="15" xfId="18" applyNumberFormat="1" applyFont="1" applyFill="1" applyBorder="1" applyAlignment="1" applyProtection="1">
      <alignment horizontal="center" vertical="center" wrapText="1"/>
    </xf>
    <xf numFmtId="0" fontId="61" fillId="5" borderId="15" xfId="18" applyFont="1" applyFill="1" applyBorder="1" applyAlignment="1" applyProtection="1">
      <alignment horizontal="center" vertical="center" wrapText="1"/>
    </xf>
    <xf numFmtId="49" fontId="61" fillId="5" borderId="11" xfId="18" applyNumberFormat="1" applyFont="1" applyFill="1" applyBorder="1" applyAlignment="1" applyProtection="1">
      <alignment horizontal="center" vertical="center" wrapText="1"/>
    </xf>
    <xf numFmtId="0" fontId="5" fillId="8" borderId="1" xfId="18" applyFont="1" applyFill="1" applyBorder="1" applyAlignment="1" applyProtection="1">
      <alignment horizontal="center" vertical="center" wrapText="1"/>
    </xf>
    <xf numFmtId="0" fontId="0" fillId="8" borderId="0" xfId="0" applyNumberFormat="1" applyFill="1" applyAlignment="1" applyProtection="1">
      <alignment vertical="top" wrapText="1"/>
    </xf>
    <xf numFmtId="0" fontId="5" fillId="0" borderId="1" xfId="16" applyFont="1" applyFill="1" applyBorder="1" applyAlignment="1" applyProtection="1">
      <alignment vertical="center" wrapText="1"/>
    </xf>
    <xf numFmtId="49" fontId="0" fillId="0" borderId="11" xfId="0" applyFill="1" applyBorder="1" applyAlignment="1" applyProtection="1">
      <alignment vertical="center" wrapText="1"/>
    </xf>
    <xf numFmtId="0" fontId="83" fillId="6" borderId="0" xfId="0" applyNumberFormat="1" applyFont="1" applyFill="1" applyAlignment="1">
      <alignment horizontal="right"/>
    </xf>
    <xf numFmtId="0" fontId="0" fillId="8" borderId="0" xfId="0" applyNumberFormat="1" applyFill="1" applyAlignment="1" applyProtection="1">
      <alignment horizontal="right"/>
    </xf>
    <xf numFmtId="0" fontId="0" fillId="6" borderId="0" xfId="0" applyNumberFormat="1" applyFont="1" applyFill="1" applyAlignment="1">
      <alignment horizontal="right"/>
    </xf>
    <xf numFmtId="0" fontId="63" fillId="6" borderId="0" xfId="0" applyNumberFormat="1" applyFont="1" applyFill="1" applyAlignment="1">
      <alignment horizontal="right"/>
    </xf>
    <xf numFmtId="49" fontId="10" fillId="15" borderId="1" xfId="0" applyFont="1" applyFill="1" applyBorder="1" applyAlignment="1" applyProtection="1">
      <alignment horizontal="center" vertical="center" wrapText="1"/>
      <protection locked="0"/>
    </xf>
    <xf numFmtId="4" fontId="62" fillId="4" borderId="1" xfId="0" applyNumberFormat="1" applyFont="1" applyFill="1" applyBorder="1" applyAlignment="1" applyProtection="1">
      <alignment horizontal="center" vertical="center" wrapText="1"/>
    </xf>
    <xf numFmtId="49" fontId="16" fillId="3" borderId="6" xfId="0" applyFont="1" applyFill="1" applyBorder="1" applyAlignment="1" applyProtection="1">
      <alignment horizontal="center" vertical="center" wrapText="1"/>
    </xf>
    <xf numFmtId="49" fontId="16" fillId="4" borderId="6" xfId="0" applyFont="1" applyFill="1" applyBorder="1" applyAlignment="1" applyProtection="1">
      <alignment horizontal="center" vertical="center" wrapText="1"/>
    </xf>
    <xf numFmtId="49" fontId="16" fillId="10" borderId="6" xfId="0" applyFont="1" applyFill="1" applyBorder="1" applyAlignment="1" applyProtection="1">
      <alignment horizontal="center" vertical="center" wrapText="1"/>
    </xf>
    <xf numFmtId="49" fontId="85" fillId="5" borderId="0" xfId="0" applyNumberFormat="1" applyFont="1" applyFill="1" applyBorder="1" applyAlignment="1" applyProtection="1">
      <alignment horizontal="left" vertical="center" wrapText="1" indent="4"/>
    </xf>
    <xf numFmtId="49" fontId="16" fillId="12" borderId="6" xfId="0" applyFont="1" applyFill="1" applyBorder="1" applyAlignment="1" applyProtection="1">
      <alignment horizontal="center" vertical="center" wrapText="1"/>
    </xf>
    <xf numFmtId="0" fontId="86" fillId="5" borderId="0" xfId="38" applyFont="1" applyFill="1" applyBorder="1" applyAlignment="1" applyProtection="1">
      <alignment horizontal="center" vertical="center" wrapText="1"/>
    </xf>
    <xf numFmtId="0" fontId="86" fillId="5" borderId="0" xfId="38" applyFont="1" applyFill="1" applyBorder="1" applyAlignment="1" applyProtection="1">
      <alignment vertical="center" wrapText="1"/>
    </xf>
    <xf numFmtId="49" fontId="86" fillId="0" borderId="0" xfId="38" applyNumberFormat="1" applyFont="1" applyFill="1" applyBorder="1" applyAlignment="1" applyProtection="1">
      <alignment vertical="center" wrapText="1"/>
    </xf>
    <xf numFmtId="0" fontId="86" fillId="0" borderId="1" xfId="16" applyFont="1" applyBorder="1" applyAlignment="1" applyProtection="1">
      <alignment horizontal="center" vertical="center" wrapText="1"/>
    </xf>
    <xf numFmtId="0" fontId="86" fillId="0" borderId="11" xfId="16" applyFont="1" applyBorder="1" applyAlignment="1" applyProtection="1">
      <alignment vertical="center" wrapText="1"/>
    </xf>
    <xf numFmtId="49" fontId="86" fillId="0" borderId="0" xfId="0" applyFont="1">
      <alignment vertical="top"/>
    </xf>
    <xf numFmtId="49" fontId="86" fillId="0" borderId="0" xfId="0" applyFont="1" applyAlignment="1" applyProtection="1">
      <alignment vertical="center" wrapText="1"/>
    </xf>
    <xf numFmtId="49" fontId="86" fillId="0" borderId="0" xfId="0" applyFont="1" applyFill="1" applyAlignment="1" applyProtection="1">
      <alignment vertical="center" wrapText="1"/>
    </xf>
    <xf numFmtId="49" fontId="86" fillId="0" borderId="0" xfId="0" applyFont="1" applyAlignment="1">
      <alignment horizontal="center" vertical="center"/>
    </xf>
    <xf numFmtId="0" fontId="86" fillId="0" borderId="0" xfId="38" applyFont="1" applyFill="1" applyBorder="1" applyAlignment="1" applyProtection="1">
      <alignment horizontal="center" vertical="center" wrapText="1"/>
    </xf>
    <xf numFmtId="49" fontId="86" fillId="0" borderId="0" xfId="0" applyFont="1" applyFill="1">
      <alignment vertical="top"/>
    </xf>
    <xf numFmtId="0" fontId="86" fillId="0" borderId="0" xfId="38" applyFont="1" applyFill="1" applyBorder="1" applyAlignment="1" applyProtection="1">
      <alignment vertical="center" wrapText="1"/>
    </xf>
    <xf numFmtId="0" fontId="86" fillId="0" borderId="0" xfId="38" applyFont="1" applyFill="1" applyAlignment="1" applyProtection="1">
      <alignment vertical="center" wrapText="1"/>
    </xf>
    <xf numFmtId="4" fontId="65" fillId="4" borderId="1" xfId="38" applyNumberFormat="1" applyFont="1" applyFill="1" applyBorder="1" applyAlignment="1" applyProtection="1">
      <alignment horizontal="right" vertical="center" wrapText="1"/>
    </xf>
    <xf numFmtId="4" fontId="84" fillId="4" borderId="1" xfId="38" applyNumberFormat="1" applyFont="1" applyFill="1" applyBorder="1" applyAlignment="1" applyProtection="1">
      <alignment horizontal="right" vertical="center" wrapText="1"/>
    </xf>
    <xf numFmtId="4" fontId="65" fillId="4" borderId="1" xfId="37" applyNumberFormat="1" applyFont="1" applyFill="1" applyBorder="1" applyAlignment="1" applyProtection="1">
      <alignment horizontal="right" vertical="center" wrapText="1"/>
    </xf>
    <xf numFmtId="4" fontId="65" fillId="4" borderId="15" xfId="38" applyNumberFormat="1" applyFont="1" applyFill="1" applyBorder="1" applyAlignment="1" applyProtection="1">
      <alignment horizontal="right" vertical="center" wrapText="1"/>
    </xf>
    <xf numFmtId="4" fontId="65" fillId="4" borderId="1" xfId="16" applyNumberFormat="1" applyFont="1" applyFill="1" applyBorder="1" applyAlignment="1" applyProtection="1">
      <alignment vertical="center" wrapText="1"/>
    </xf>
    <xf numFmtId="49" fontId="23" fillId="0" borderId="0" xfId="11" applyNumberFormat="1" applyFont="1" applyBorder="1" applyAlignment="1" applyProtection="1">
      <alignment horizontal="center" vertical="center"/>
    </xf>
    <xf numFmtId="49" fontId="0" fillId="5" borderId="1" xfId="38" applyNumberFormat="1" applyFont="1" applyFill="1" applyBorder="1" applyAlignment="1" applyProtection="1">
      <alignment horizontal="left" vertical="center" wrapText="1" indent="3"/>
    </xf>
    <xf numFmtId="4" fontId="5" fillId="0" borderId="0" xfId="16" applyNumberFormat="1" applyFont="1" applyAlignment="1" applyProtection="1">
      <alignment vertical="center" wrapText="1"/>
    </xf>
    <xf numFmtId="0" fontId="88" fillId="5" borderId="0" xfId="38" applyNumberFormat="1" applyFont="1" applyFill="1" applyBorder="1" applyAlignment="1" applyProtection="1">
      <alignment horizontal="center" vertical="center" wrapText="1"/>
    </xf>
    <xf numFmtId="4" fontId="15" fillId="10" borderId="0" xfId="16" applyNumberFormat="1" applyFont="1" applyFill="1" applyAlignment="1" applyProtection="1">
      <alignment vertical="center" wrapText="1"/>
    </xf>
    <xf numFmtId="0" fontId="15" fillId="0" borderId="1" xfId="16" applyFont="1" applyFill="1" applyBorder="1" applyAlignment="1" applyProtection="1">
      <alignment horizontal="center" vertical="center" wrapText="1"/>
    </xf>
    <xf numFmtId="4" fontId="5" fillId="0" borderId="1" xfId="16" applyNumberFormat="1" applyFont="1" applyFill="1" applyBorder="1" applyAlignment="1" applyProtection="1">
      <alignment horizontal="right" vertical="center" wrapText="1"/>
    </xf>
    <xf numFmtId="49" fontId="0" fillId="0" borderId="0" xfId="0" applyFill="1" applyProtection="1">
      <alignment vertical="top"/>
    </xf>
    <xf numFmtId="0" fontId="15" fillId="9" borderId="11" xfId="11" applyFont="1" applyFill="1" applyBorder="1" applyAlignment="1" applyProtection="1">
      <alignment horizontal="center" vertical="center"/>
    </xf>
    <xf numFmtId="0" fontId="15" fillId="9" borderId="12" xfId="11" applyFont="1" applyFill="1" applyBorder="1" applyAlignment="1" applyProtection="1">
      <alignment horizontal="left" vertical="center" indent="1"/>
    </xf>
    <xf numFmtId="0" fontId="15" fillId="9" borderId="12" xfId="11" applyFont="1" applyFill="1" applyBorder="1" applyAlignment="1" applyProtection="1">
      <alignment horizontal="center" vertical="center"/>
    </xf>
    <xf numFmtId="0" fontId="15" fillId="9" borderId="13" xfId="11" applyFont="1" applyFill="1" applyBorder="1" applyAlignment="1" applyProtection="1">
      <alignment horizontal="center" vertical="center"/>
    </xf>
    <xf numFmtId="0" fontId="5" fillId="0" borderId="13" xfId="16" applyFont="1" applyFill="1" applyBorder="1" applyAlignment="1" applyProtection="1">
      <alignment vertical="center" wrapText="1"/>
    </xf>
    <xf numFmtId="4" fontId="5" fillId="0" borderId="0" xfId="16" applyNumberFormat="1" applyFont="1" applyFill="1" applyBorder="1" applyAlignment="1" applyProtection="1">
      <alignment vertical="center" wrapText="1"/>
    </xf>
    <xf numFmtId="49" fontId="5" fillId="0" borderId="6" xfId="36" applyNumberFormat="1" applyFont="1" applyFill="1" applyBorder="1" applyAlignment="1" applyProtection="1">
      <alignment horizontal="center" vertical="center" wrapText="1"/>
    </xf>
    <xf numFmtId="49" fontId="5" fillId="15" borderId="6" xfId="36" applyNumberFormat="1" applyFont="1" applyFill="1" applyBorder="1" applyAlignment="1" applyProtection="1">
      <alignment horizontal="center" vertical="center" wrapText="1"/>
      <protection locked="0"/>
    </xf>
    <xf numFmtId="49" fontId="5" fillId="5" borderId="6" xfId="36" applyNumberFormat="1" applyFont="1" applyFill="1" applyBorder="1" applyAlignment="1" applyProtection="1">
      <alignment horizontal="center" vertical="center" wrapText="1"/>
    </xf>
    <xf numFmtId="49" fontId="5" fillId="3" borderId="6" xfId="36" applyNumberFormat="1" applyFont="1" applyFill="1" applyBorder="1" applyAlignment="1" applyProtection="1">
      <alignment horizontal="center" vertical="center" wrapText="1"/>
      <protection locked="0"/>
    </xf>
    <xf numFmtId="0" fontId="5" fillId="15" borderId="1" xfId="16" applyFont="1" applyFill="1" applyBorder="1" applyAlignment="1" applyProtection="1">
      <alignment horizontal="center" vertical="center" wrapText="1"/>
      <protection locked="0"/>
    </xf>
    <xf numFmtId="49" fontId="5" fillId="3" borderId="1" xfId="16" applyNumberFormat="1" applyFont="1" applyFill="1" applyBorder="1" applyAlignment="1" applyProtection="1">
      <alignment horizontal="center" vertical="center" wrapText="1"/>
      <protection locked="0"/>
    </xf>
    <xf numFmtId="0" fontId="5" fillId="0" borderId="16" xfId="16" applyFont="1" applyFill="1" applyBorder="1" applyAlignment="1" applyProtection="1">
      <alignment horizontal="center" vertical="center" wrapText="1"/>
    </xf>
    <xf numFmtId="0" fontId="5" fillId="0" borderId="17" xfId="16" applyFont="1" applyFill="1" applyBorder="1" applyAlignment="1" applyProtection="1">
      <alignment horizontal="center" vertical="center" wrapText="1"/>
    </xf>
    <xf numFmtId="49" fontId="0" fillId="0" borderId="16" xfId="0" applyFont="1" applyBorder="1" applyAlignment="1">
      <alignment horizontal="center" vertical="top"/>
    </xf>
    <xf numFmtId="49" fontId="0" fillId="0" borderId="0" xfId="0" applyFont="1" applyAlignment="1">
      <alignment horizontal="center" vertical="top"/>
    </xf>
    <xf numFmtId="0" fontId="5" fillId="15" borderId="1" xfId="16" applyFont="1" applyFill="1" applyBorder="1" applyAlignment="1" applyProtection="1">
      <alignment horizontal="center" vertical="center"/>
      <protection locked="0"/>
    </xf>
    <xf numFmtId="49" fontId="61" fillId="0" borderId="15" xfId="18" applyNumberFormat="1" applyFont="1" applyFill="1" applyBorder="1" applyAlignment="1" applyProtection="1">
      <alignment horizontal="center" vertical="center" wrapText="1"/>
    </xf>
    <xf numFmtId="0" fontId="61" fillId="0" borderId="15" xfId="18" applyNumberFormat="1" applyFont="1" applyFill="1" applyBorder="1" applyAlignment="1" applyProtection="1">
      <alignment horizontal="center" vertical="center" wrapText="1"/>
    </xf>
    <xf numFmtId="49" fontId="57" fillId="0" borderId="0" xfId="0" applyFont="1" applyFill="1" applyBorder="1" applyAlignment="1" applyProtection="1">
      <alignment horizontal="right" wrapText="1" indent="1"/>
    </xf>
    <xf numFmtId="49" fontId="56" fillId="0" borderId="0" xfId="0" applyFont="1" applyFill="1" applyBorder="1" applyAlignment="1" applyProtection="1">
      <alignment horizontal="right" wrapText="1" indent="1"/>
    </xf>
    <xf numFmtId="49" fontId="58" fillId="0" borderId="0" xfId="0" applyFont="1" applyFill="1" applyBorder="1" applyAlignment="1" applyProtection="1">
      <alignment horizontal="right" wrapText="1" indent="1"/>
    </xf>
    <xf numFmtId="49" fontId="17" fillId="0" borderId="0" xfId="0" applyNumberFormat="1" applyFont="1" applyFill="1" applyBorder="1" applyAlignment="1" applyProtection="1">
      <alignment horizontal="left" vertical="center" wrapText="1"/>
    </xf>
    <xf numFmtId="49" fontId="17" fillId="0" borderId="0" xfId="0" applyFont="1" applyBorder="1" applyAlignment="1" applyProtection="1">
      <alignment horizontal="left" vertical="center" wrapText="1"/>
    </xf>
    <xf numFmtId="0" fontId="17" fillId="0" borderId="0" xfId="0" applyNumberFormat="1" applyFont="1" applyBorder="1" applyAlignment="1" applyProtection="1">
      <alignment horizontal="justify" vertical="top" wrapText="1"/>
    </xf>
    <xf numFmtId="49" fontId="5" fillId="0" borderId="0" xfId="0" applyFont="1" applyAlignment="1" applyProtection="1">
      <alignment vertical="top" wrapText="1"/>
    </xf>
    <xf numFmtId="49" fontId="54" fillId="0" borderId="0" xfId="0" applyFont="1" applyAlignment="1" applyProtection="1">
      <alignment vertical="center" wrapText="1"/>
    </xf>
    <xf numFmtId="49" fontId="0" fillId="0" borderId="0" xfId="0" applyBorder="1" applyAlignment="1" applyProtection="1">
      <alignment vertical="top" wrapText="1"/>
    </xf>
    <xf numFmtId="49" fontId="0" fillId="0" borderId="0" xfId="0" applyBorder="1" applyAlignment="1" applyProtection="1">
      <alignment horizontal="left" vertical="top" wrapText="1" indent="1"/>
    </xf>
    <xf numFmtId="4" fontId="5" fillId="10" borderId="16" xfId="18" applyNumberFormat="1" applyFont="1" applyFill="1" applyBorder="1" applyAlignment="1" applyProtection="1">
      <alignment horizontal="right" vertical="center" wrapText="1"/>
    </xf>
    <xf numFmtId="4" fontId="87" fillId="10" borderId="0" xfId="16" applyNumberFormat="1" applyFont="1" applyFill="1" applyAlignment="1" applyProtection="1">
      <alignment vertical="center" wrapText="1"/>
    </xf>
    <xf numFmtId="0" fontId="5" fillId="8" borderId="0" xfId="16" applyFont="1" applyFill="1" applyAlignment="1" applyProtection="1">
      <alignment vertical="center" wrapText="1"/>
    </xf>
    <xf numFmtId="0" fontId="0" fillId="5" borderId="1" xfId="37" applyFont="1" applyFill="1" applyBorder="1" applyAlignment="1" applyProtection="1">
      <alignment horizontal="left" vertical="center" wrapText="1"/>
    </xf>
    <xf numFmtId="0" fontId="5" fillId="5" borderId="16" xfId="38" applyNumberFormat="1" applyFont="1" applyFill="1" applyBorder="1" applyAlignment="1" applyProtection="1">
      <alignment horizontal="center" vertical="center" wrapText="1"/>
    </xf>
    <xf numFmtId="49" fontId="16" fillId="0" borderId="1" xfId="0" applyFont="1" applyFill="1" applyBorder="1" applyAlignment="1" applyProtection="1">
      <alignment horizontal="left" vertical="center" wrapText="1" indent="3"/>
    </xf>
    <xf numFmtId="0" fontId="5" fillId="5" borderId="1" xfId="38" applyNumberFormat="1" applyFont="1" applyFill="1" applyBorder="1" applyAlignment="1" applyProtection="1">
      <alignment horizontal="left" vertical="center" wrapText="1" indent="1"/>
    </xf>
    <xf numFmtId="49" fontId="0" fillId="5" borderId="1" xfId="37" applyNumberFormat="1" applyFont="1" applyFill="1" applyBorder="1" applyAlignment="1" applyProtection="1">
      <alignment horizontal="left" vertical="center" wrapText="1" indent="1"/>
    </xf>
    <xf numFmtId="49" fontId="0" fillId="0" borderId="1" xfId="0" applyFont="1" applyFill="1" applyBorder="1" applyAlignment="1" applyProtection="1">
      <alignment horizontal="left" vertical="center" indent="3"/>
    </xf>
    <xf numFmtId="49" fontId="16" fillId="0" borderId="1" xfId="0" applyFont="1" applyFill="1" applyBorder="1" applyAlignment="1" applyProtection="1">
      <alignment horizontal="left" vertical="center" wrapText="1" indent="4"/>
    </xf>
    <xf numFmtId="0" fontId="16" fillId="0" borderId="1" xfId="0" applyNumberFormat="1" applyFont="1" applyFill="1" applyBorder="1" applyAlignment="1" applyProtection="1">
      <alignment horizontal="left" vertical="center" wrapText="1" indent="3"/>
    </xf>
    <xf numFmtId="0" fontId="0" fillId="5" borderId="1" xfId="38" applyFont="1" applyFill="1" applyBorder="1" applyAlignment="1" applyProtection="1">
      <alignment horizontal="left" vertical="center" wrapText="1" indent="2"/>
    </xf>
    <xf numFmtId="49" fontId="5" fillId="6" borderId="1" xfId="38" applyNumberFormat="1" applyFont="1" applyFill="1" applyBorder="1" applyAlignment="1" applyProtection="1">
      <alignment horizontal="left" vertical="center" wrapText="1" indent="1"/>
    </xf>
    <xf numFmtId="49" fontId="0" fillId="0" borderId="1" xfId="18" applyNumberFormat="1" applyFont="1" applyFill="1" applyBorder="1" applyAlignment="1" applyProtection="1">
      <alignment horizontal="left" vertical="center" wrapText="1"/>
    </xf>
    <xf numFmtId="0" fontId="0" fillId="0" borderId="1" xfId="18" applyNumberFormat="1" applyFont="1" applyFill="1" applyBorder="1" applyAlignment="1" applyProtection="1">
      <alignment horizontal="left" vertical="center" wrapText="1"/>
    </xf>
    <xf numFmtId="0" fontId="0" fillId="0" borderId="1" xfId="18" applyNumberFormat="1" applyFont="1" applyFill="1" applyBorder="1" applyAlignment="1" applyProtection="1">
      <alignment horizontal="left" vertical="center" wrapText="1" indent="1"/>
    </xf>
    <xf numFmtId="0" fontId="5" fillId="6" borderId="1" xfId="38" applyFont="1" applyFill="1" applyBorder="1" applyAlignment="1" applyProtection="1">
      <alignment horizontal="left" vertical="center" wrapText="1" indent="1"/>
    </xf>
    <xf numFmtId="49" fontId="0" fillId="6" borderId="11" xfId="0" applyNumberFormat="1" applyFont="1" applyFill="1" applyBorder="1" applyAlignment="1" applyProtection="1">
      <alignment horizontal="left" vertical="center" wrapText="1" indent="2"/>
    </xf>
    <xf numFmtId="4" fontId="5" fillId="0" borderId="26" xfId="38" applyNumberFormat="1" applyFont="1" applyFill="1" applyBorder="1" applyAlignment="1" applyProtection="1">
      <alignment horizontal="right" vertical="center" wrapText="1"/>
    </xf>
    <xf numFmtId="4" fontId="62" fillId="4" borderId="11" xfId="16" applyNumberFormat="1" applyFont="1" applyFill="1" applyBorder="1" applyAlignment="1" applyProtection="1">
      <alignment horizontal="right" vertical="center" wrapText="1"/>
    </xf>
    <xf numFmtId="4" fontId="62" fillId="4" borderId="1" xfId="16" applyNumberFormat="1" applyFont="1" applyFill="1" applyBorder="1" applyAlignment="1" applyProtection="1">
      <alignment horizontal="right" vertical="center" wrapText="1"/>
    </xf>
    <xf numFmtId="4" fontId="62" fillId="10" borderId="1" xfId="16" applyNumberFormat="1" applyFont="1" applyFill="1" applyBorder="1" applyAlignment="1" applyProtection="1">
      <alignment horizontal="right" vertical="center" wrapText="1"/>
    </xf>
    <xf numFmtId="4" fontId="62" fillId="4" borderId="1" xfId="18" applyNumberFormat="1" applyFont="1" applyFill="1" applyBorder="1" applyAlignment="1" applyProtection="1">
      <alignment horizontal="right" vertical="center" wrapText="1"/>
    </xf>
    <xf numFmtId="4" fontId="62" fillId="4" borderId="1" xfId="41" applyNumberFormat="1" applyFont="1" applyFill="1" applyBorder="1" applyAlignment="1" applyProtection="1">
      <alignment vertical="center" wrapText="1"/>
    </xf>
    <xf numFmtId="4" fontId="62" fillId="4" borderId="1" xfId="41" applyNumberFormat="1" applyFont="1" applyFill="1" applyBorder="1" applyAlignment="1" applyProtection="1">
      <alignment horizontal="right" vertical="center" wrapText="1"/>
    </xf>
    <xf numFmtId="0" fontId="62" fillId="10" borderId="1" xfId="16" applyNumberFormat="1" applyFont="1" applyFill="1" applyBorder="1" applyAlignment="1" applyProtection="1">
      <alignment horizontal="right" vertical="center" wrapText="1"/>
    </xf>
    <xf numFmtId="49" fontId="62" fillId="10" borderId="1" xfId="16" applyNumberFormat="1" applyFont="1" applyFill="1" applyBorder="1" applyAlignment="1" applyProtection="1">
      <alignment horizontal="right" vertical="center" wrapText="1"/>
    </xf>
    <xf numFmtId="4" fontId="62" fillId="10" borderId="1" xfId="18" applyNumberFormat="1" applyFont="1" applyFill="1" applyBorder="1" applyAlignment="1" applyProtection="1">
      <alignment horizontal="right" vertical="center" wrapText="1"/>
    </xf>
    <xf numFmtId="4" fontId="62" fillId="4" borderId="1" xfId="40" applyNumberFormat="1" applyFont="1" applyFill="1" applyBorder="1" applyAlignment="1" applyProtection="1">
      <alignment horizontal="right" vertical="center" wrapText="1"/>
    </xf>
    <xf numFmtId="49" fontId="32" fillId="0" borderId="0" xfId="0" applyFont="1" applyBorder="1" applyAlignment="1" applyProtection="1">
      <alignment vertical="center" wrapText="1"/>
    </xf>
    <xf numFmtId="0" fontId="10" fillId="0" borderId="28" xfId="30" applyFont="1" applyFill="1" applyBorder="1" applyAlignment="1" applyProtection="1">
      <alignment horizontal="center" vertical="center" wrapText="1"/>
    </xf>
    <xf numFmtId="49" fontId="10" fillId="0" borderId="0" xfId="22" applyFont="1" applyFill="1" applyBorder="1" applyProtection="1">
      <alignment vertical="top"/>
    </xf>
    <xf numFmtId="49" fontId="10" fillId="0" borderId="0" xfId="22" applyFont="1" applyFill="1" applyProtection="1">
      <alignment vertical="top"/>
    </xf>
    <xf numFmtId="0" fontId="10" fillId="0" borderId="29" xfId="30" applyFont="1" applyFill="1" applyBorder="1" applyAlignment="1" applyProtection="1">
      <alignment horizontal="right" vertical="center" wrapText="1" indent="2"/>
    </xf>
    <xf numFmtId="0" fontId="10" fillId="0" borderId="30" xfId="30" applyFont="1" applyFill="1" applyBorder="1" applyAlignment="1" applyProtection="1">
      <alignment horizontal="left" vertical="center" wrapText="1" indent="2"/>
    </xf>
    <xf numFmtId="0" fontId="90" fillId="0" borderId="1" xfId="11" applyFont="1" applyBorder="1" applyAlignment="1" applyProtection="1">
      <alignment horizontal="center" vertical="center" wrapText="1"/>
    </xf>
    <xf numFmtId="0" fontId="91" fillId="0" borderId="0" xfId="16" applyFont="1" applyBorder="1" applyAlignment="1" applyProtection="1">
      <alignment vertical="center" wrapText="1"/>
    </xf>
    <xf numFmtId="49" fontId="91" fillId="0" borderId="0" xfId="0" applyFont="1">
      <alignment vertical="top"/>
    </xf>
    <xf numFmtId="0" fontId="91" fillId="0" borderId="0" xfId="16" applyFont="1" applyBorder="1" applyAlignment="1" applyProtection="1">
      <alignment horizontal="center" vertical="center" wrapText="1"/>
    </xf>
    <xf numFmtId="49" fontId="91" fillId="0" borderId="0" xfId="16" applyNumberFormat="1" applyFont="1" applyBorder="1" applyAlignment="1" applyProtection="1">
      <alignment vertical="center" wrapText="1"/>
    </xf>
    <xf numFmtId="0" fontId="91" fillId="0" borderId="0" xfId="16" applyFont="1" applyAlignment="1" applyProtection="1">
      <alignment vertical="center" wrapText="1"/>
    </xf>
    <xf numFmtId="0" fontId="91" fillId="0" borderId="0" xfId="16" applyFont="1" applyFill="1" applyAlignment="1" applyProtection="1">
      <alignment horizontal="center" vertical="center" wrapText="1"/>
    </xf>
    <xf numFmtId="0" fontId="91" fillId="0" borderId="0" xfId="16" applyFont="1" applyAlignment="1" applyProtection="1">
      <alignment horizontal="center" vertical="center" wrapText="1"/>
    </xf>
    <xf numFmtId="0" fontId="92" fillId="0" borderId="1" xfId="11" applyFont="1" applyBorder="1" applyAlignment="1" applyProtection="1">
      <alignment horizontal="center" vertical="center" wrapText="1"/>
    </xf>
    <xf numFmtId="49" fontId="0" fillId="0" borderId="1" xfId="18" applyNumberFormat="1" applyFont="1" applyFill="1" applyBorder="1" applyAlignment="1" applyProtection="1">
      <alignment horizontal="left" vertical="center" wrapText="1" indent="2"/>
    </xf>
    <xf numFmtId="49" fontId="5" fillId="0" borderId="1" xfId="18" applyNumberFormat="1" applyFont="1" applyFill="1" applyBorder="1" applyAlignment="1" applyProtection="1">
      <alignment horizontal="left" vertical="center" wrapText="1" indent="2"/>
    </xf>
    <xf numFmtId="49" fontId="5" fillId="0" borderId="1" xfId="27" applyNumberFormat="1" applyFont="1" applyFill="1" applyBorder="1" applyAlignment="1" applyProtection="1">
      <alignment horizontal="left" vertical="center" wrapText="1" indent="4"/>
    </xf>
    <xf numFmtId="49" fontId="5" fillId="0" borderId="1" xfId="27" applyNumberFormat="1" applyFont="1" applyFill="1" applyBorder="1" applyAlignment="1" applyProtection="1">
      <alignment horizontal="left" vertical="center" wrapText="1" indent="3"/>
    </xf>
    <xf numFmtId="49" fontId="0" fillId="0" borderId="1" xfId="0" applyNumberFormat="1" applyFill="1" applyBorder="1" applyAlignment="1" applyProtection="1">
      <alignment horizontal="center" vertical="center"/>
    </xf>
    <xf numFmtId="49" fontId="81" fillId="0" borderId="1" xfId="38" applyNumberFormat="1" applyFont="1" applyFill="1" applyBorder="1" applyAlignment="1" applyProtection="1">
      <alignment horizontal="left" vertical="center" wrapText="1" indent="2"/>
    </xf>
    <xf numFmtId="0" fontId="93" fillId="5" borderId="1" xfId="37" applyNumberFormat="1" applyFont="1" applyFill="1" applyBorder="1" applyAlignment="1" applyProtection="1">
      <alignment horizontal="left" vertical="center" wrapText="1" indent="1"/>
    </xf>
    <xf numFmtId="49" fontId="93" fillId="5" borderId="1" xfId="38" applyNumberFormat="1" applyFont="1" applyFill="1" applyBorder="1" applyAlignment="1" applyProtection="1">
      <alignment horizontal="center" vertical="center" wrapText="1"/>
    </xf>
    <xf numFmtId="49" fontId="93" fillId="5" borderId="1" xfId="38" applyNumberFormat="1" applyFont="1" applyFill="1" applyBorder="1" applyAlignment="1" applyProtection="1">
      <alignment horizontal="left" vertical="center" wrapText="1"/>
    </xf>
    <xf numFmtId="49" fontId="93" fillId="5" borderId="1" xfId="37" applyNumberFormat="1" applyFont="1" applyFill="1" applyBorder="1" applyAlignment="1" applyProtection="1">
      <alignment horizontal="left" vertical="center" wrapText="1"/>
    </xf>
    <xf numFmtId="49" fontId="93" fillId="5" borderId="1" xfId="0" applyNumberFormat="1" applyFont="1" applyFill="1" applyBorder="1" applyAlignment="1" applyProtection="1">
      <alignment horizontal="center" vertical="center"/>
    </xf>
    <xf numFmtId="4" fontId="0" fillId="12" borderId="1" xfId="38" applyNumberFormat="1" applyFont="1" applyFill="1" applyBorder="1" applyAlignment="1" applyProtection="1">
      <alignment horizontal="right" vertical="center" wrapText="1"/>
    </xf>
    <xf numFmtId="49" fontId="93" fillId="5" borderId="1" xfId="38" applyNumberFormat="1" applyFont="1" applyFill="1" applyBorder="1" applyAlignment="1" applyProtection="1">
      <alignment horizontal="left" vertical="center" wrapText="1" indent="1"/>
    </xf>
    <xf numFmtId="49" fontId="5" fillId="0" borderId="1" xfId="38" applyNumberFormat="1" applyFont="1" applyFill="1" applyBorder="1" applyAlignment="1" applyProtection="1">
      <alignment horizontal="left" vertical="center" wrapText="1"/>
    </xf>
    <xf numFmtId="4" fontId="5" fillId="3" borderId="15" xfId="37" applyNumberFormat="1" applyFont="1" applyFill="1" applyBorder="1" applyAlignment="1" applyProtection="1">
      <alignment horizontal="right" vertical="center" wrapText="1"/>
      <protection locked="0"/>
    </xf>
    <xf numFmtId="4" fontId="62" fillId="0" borderId="25" xfId="0" applyNumberFormat="1" applyFont="1" applyFill="1" applyBorder="1" applyAlignment="1" applyProtection="1">
      <alignment horizontal="left" vertical="center" indent="1"/>
    </xf>
    <xf numFmtId="0" fontId="96" fillId="5" borderId="0" xfId="16" applyFont="1" applyFill="1" applyBorder="1" applyAlignment="1" applyProtection="1">
      <alignment horizontal="center" vertical="center" wrapText="1"/>
    </xf>
    <xf numFmtId="49" fontId="23" fillId="0" borderId="3" xfId="11" applyNumberFormat="1" applyFont="1" applyBorder="1" applyAlignment="1" applyProtection="1">
      <alignment horizontal="center" vertical="center"/>
    </xf>
    <xf numFmtId="49" fontId="5" fillId="0" borderId="3" xfId="0" applyFont="1" applyBorder="1" applyAlignment="1" applyProtection="1">
      <alignment horizontal="left" vertical="center" wrapText="1"/>
    </xf>
    <xf numFmtId="49" fontId="5" fillId="0" borderId="3" xfId="0" applyFont="1" applyBorder="1" applyAlignment="1" applyProtection="1">
      <alignment horizontal="center" vertical="center" wrapText="1"/>
    </xf>
    <xf numFmtId="49" fontId="5" fillId="0" borderId="31" xfId="23" applyFont="1" applyFill="1" applyBorder="1" applyAlignment="1" applyProtection="1">
      <alignment horizontal="center" vertical="center" wrapText="1"/>
    </xf>
    <xf numFmtId="49" fontId="0" fillId="0" borderId="31" xfId="23" applyFont="1" applyFill="1" applyBorder="1" applyAlignment="1" applyProtection="1">
      <alignment horizontal="center" vertical="center" wrapText="1"/>
    </xf>
    <xf numFmtId="4" fontId="5" fillId="16" borderId="1" xfId="16" applyNumberFormat="1" applyFont="1" applyFill="1" applyBorder="1" applyAlignment="1" applyProtection="1">
      <alignment vertical="center" wrapText="1"/>
      <protection locked="0"/>
    </xf>
    <xf numFmtId="0" fontId="13" fillId="0" borderId="0" xfId="0" applyNumberFormat="1" applyFont="1" applyBorder="1" applyAlignment="1" applyProtection="1">
      <alignment horizontal="left" wrapText="1" indent="1"/>
    </xf>
    <xf numFmtId="49" fontId="17" fillId="0" borderId="0" xfId="0" applyNumberFormat="1" applyFont="1" applyFill="1" applyBorder="1" applyAlignment="1" applyProtection="1">
      <alignment horizontal="left" vertical="center" wrapText="1"/>
    </xf>
    <xf numFmtId="49" fontId="17" fillId="0" borderId="0" xfId="0" quotePrefix="1"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indent="2"/>
    </xf>
    <xf numFmtId="49" fontId="51" fillId="0" borderId="0" xfId="0" applyFont="1" applyBorder="1" applyAlignment="1" applyProtection="1">
      <alignment horizontal="left" vertical="center" wrapText="1"/>
    </xf>
    <xf numFmtId="49" fontId="17" fillId="0" borderId="0" xfId="0" applyFont="1" applyBorder="1" applyAlignment="1" applyProtection="1">
      <alignment horizontal="justify" vertical="center" wrapText="1"/>
    </xf>
    <xf numFmtId="0" fontId="7" fillId="0" borderId="0" xfId="0" applyNumberFormat="1" applyFont="1" applyAlignment="1" applyProtection="1">
      <alignment horizontal="left" vertical="top" wrapText="1" indent="2"/>
    </xf>
    <xf numFmtId="0" fontId="17" fillId="0" borderId="0" xfId="0" applyNumberFormat="1" applyFont="1" applyBorder="1" applyAlignment="1" applyProtection="1">
      <alignment horizontal="justify" vertical="center" wrapText="1"/>
    </xf>
    <xf numFmtId="49" fontId="17" fillId="0" borderId="0" xfId="0" applyFont="1" applyBorder="1" applyAlignment="1" applyProtection="1">
      <alignment horizontal="left" vertical="center" wrapText="1"/>
    </xf>
    <xf numFmtId="0" fontId="10" fillId="0" borderId="0" xfId="0" applyNumberFormat="1" applyFont="1" applyBorder="1" applyAlignment="1" applyProtection="1">
      <alignment horizontal="justify" vertical="center" wrapText="1"/>
    </xf>
    <xf numFmtId="49" fontId="86" fillId="0" borderId="0" xfId="0" applyFont="1" applyFill="1" applyBorder="1" applyAlignment="1" applyProtection="1">
      <alignment horizontal="left" vertical="top" wrapText="1"/>
    </xf>
    <xf numFmtId="49" fontId="23" fillId="0" borderId="0" xfId="0" applyFont="1" applyBorder="1" applyAlignment="1" applyProtection="1">
      <alignment horizontal="justify" vertical="center" wrapText="1"/>
    </xf>
    <xf numFmtId="49" fontId="10" fillId="0" borderId="0" xfId="0" applyFont="1" applyFill="1" applyBorder="1" applyAlignment="1" applyProtection="1">
      <alignment horizontal="right" vertical="top" wrapText="1" indent="1"/>
    </xf>
    <xf numFmtId="49" fontId="10" fillId="0" borderId="0" xfId="0" applyFont="1" applyFill="1" applyBorder="1" applyAlignment="1" applyProtection="1">
      <alignment horizontal="right" vertical="center" wrapText="1" indent="1"/>
    </xf>
    <xf numFmtId="0" fontId="17" fillId="0" borderId="0" xfId="0" applyNumberFormat="1" applyFont="1" applyBorder="1" applyAlignment="1" applyProtection="1">
      <alignment horizontal="justify" vertical="top" wrapText="1"/>
    </xf>
    <xf numFmtId="49" fontId="28" fillId="0" borderId="0" xfId="0" applyFont="1" applyFill="1" applyBorder="1" applyAlignment="1" applyProtection="1">
      <alignment horizontal="left" wrapText="1"/>
    </xf>
    <xf numFmtId="49" fontId="17" fillId="0" borderId="0" xfId="0" applyFont="1" applyBorder="1" applyAlignment="1" applyProtection="1">
      <alignment horizontal="left" wrapText="1"/>
    </xf>
    <xf numFmtId="0" fontId="71" fillId="0" borderId="0" xfId="0" applyNumberFormat="1" applyFont="1" applyBorder="1" applyAlignment="1" applyProtection="1">
      <alignment horizontal="justify" vertical="center" wrapText="1"/>
    </xf>
    <xf numFmtId="0" fontId="95" fillId="0" borderId="0" xfId="11" applyNumberFormat="1" applyFont="1" applyBorder="1" applyAlignment="1" applyProtection="1">
      <alignment horizontal="justify" vertical="center" wrapText="1"/>
    </xf>
    <xf numFmtId="0" fontId="17" fillId="0" borderId="0" xfId="0" applyNumberFormat="1" applyFont="1" applyBorder="1" applyAlignment="1" applyProtection="1">
      <alignment horizontal="left" vertical="top" wrapText="1"/>
    </xf>
    <xf numFmtId="0" fontId="94" fillId="0" borderId="0" xfId="0" applyNumberFormat="1" applyFont="1" applyBorder="1" applyAlignment="1" applyProtection="1">
      <alignment horizontal="center" vertical="center" wrapText="1"/>
    </xf>
    <xf numFmtId="0" fontId="94" fillId="0" borderId="0" xfId="0" applyNumberFormat="1" applyFont="1" applyBorder="1" applyAlignment="1" applyProtection="1">
      <alignment horizontal="justify" vertical="center" wrapText="1"/>
    </xf>
    <xf numFmtId="49" fontId="10" fillId="0" borderId="0" xfId="0" applyFont="1" applyBorder="1" applyAlignment="1">
      <alignment horizontal="justify" vertical="center" wrapText="1"/>
    </xf>
    <xf numFmtId="0" fontId="10" fillId="0" borderId="29" xfId="30" applyFont="1" applyFill="1" applyBorder="1" applyAlignment="1" applyProtection="1">
      <alignment horizontal="center" vertical="center" wrapText="1"/>
    </xf>
    <xf numFmtId="0" fontId="10" fillId="0" borderId="28" xfId="30" applyFont="1" applyFill="1" applyBorder="1" applyAlignment="1" applyProtection="1">
      <alignment horizontal="center" vertical="center" wrapText="1"/>
    </xf>
    <xf numFmtId="0" fontId="10" fillId="0" borderId="30" xfId="30" applyFont="1" applyFill="1" applyBorder="1" applyAlignment="1" applyProtection="1">
      <alignment horizontal="center" vertical="center" wrapText="1"/>
    </xf>
    <xf numFmtId="49" fontId="10" fillId="0" borderId="0" xfId="22" applyFont="1" applyFill="1" applyBorder="1" applyAlignment="1" applyProtection="1">
      <alignment horizontal="justify" vertical="center"/>
    </xf>
    <xf numFmtId="49" fontId="10" fillId="0" borderId="0" xfId="22" applyFont="1" applyFill="1" applyBorder="1" applyAlignment="1" applyProtection="1">
      <alignment horizontal="left" vertical="top" indent="1"/>
    </xf>
    <xf numFmtId="49" fontId="10" fillId="0" borderId="32" xfId="22" applyFont="1" applyFill="1" applyBorder="1" applyAlignment="1" applyProtection="1">
      <alignment horizontal="justify" vertical="center" wrapText="1"/>
    </xf>
    <xf numFmtId="49" fontId="10" fillId="0" borderId="32" xfId="22" applyFont="1" applyFill="1" applyBorder="1" applyAlignment="1" applyProtection="1">
      <alignment horizontal="center" vertical="center" wrapText="1"/>
    </xf>
    <xf numFmtId="49" fontId="10" fillId="0" borderId="0" xfId="22" applyFont="1" applyFill="1" applyBorder="1" applyAlignment="1" applyProtection="1">
      <alignment horizontal="justify" vertical="center" wrapText="1"/>
    </xf>
    <xf numFmtId="0" fontId="0" fillId="5" borderId="1" xfId="0" applyNumberFormat="1" applyFill="1" applyBorder="1" applyAlignment="1" applyProtection="1">
      <alignment horizontal="center" vertical="center" wrapText="1"/>
    </xf>
    <xf numFmtId="0" fontId="5" fillId="5" borderId="1" xfId="0" applyNumberFormat="1" applyFont="1" applyFill="1" applyBorder="1" applyAlignment="1" applyProtection="1">
      <alignment horizontal="center" vertical="center" wrapText="1"/>
    </xf>
    <xf numFmtId="49" fontId="5" fillId="5" borderId="6" xfId="32" applyFont="1" applyFill="1" applyBorder="1" applyAlignment="1" applyProtection="1">
      <alignment horizontal="center" vertical="center" wrapText="1"/>
    </xf>
    <xf numFmtId="49" fontId="5" fillId="5" borderId="6" xfId="18" applyNumberFormat="1" applyFont="1" applyFill="1" applyBorder="1" applyAlignment="1" applyProtection="1">
      <alignment horizontal="center" vertical="center" wrapText="1"/>
    </xf>
    <xf numFmtId="0" fontId="5" fillId="4" borderId="1" xfId="0" applyNumberFormat="1" applyFont="1" applyFill="1" applyBorder="1" applyAlignment="1" applyProtection="1">
      <alignment horizontal="center" vertical="center" wrapText="1"/>
    </xf>
    <xf numFmtId="0" fontId="59" fillId="0" borderId="0" xfId="36" applyFont="1" applyFill="1" applyBorder="1" applyAlignment="1" applyProtection="1">
      <alignment horizontal="center" vertical="center" wrapText="1"/>
    </xf>
    <xf numFmtId="0" fontId="0" fillId="4" borderId="1" xfId="0" applyNumberFormat="1" applyFill="1" applyBorder="1" applyAlignment="1" applyProtection="1">
      <alignment horizontal="center" vertical="center"/>
    </xf>
    <xf numFmtId="0" fontId="5" fillId="4" borderId="1" xfId="0" applyNumberFormat="1" applyFont="1" applyFill="1" applyBorder="1" applyAlignment="1" applyProtection="1">
      <alignment horizontal="center" vertical="center"/>
    </xf>
    <xf numFmtId="0" fontId="59" fillId="0" borderId="19" xfId="36" applyFont="1" applyFill="1" applyBorder="1" applyAlignment="1" applyProtection="1">
      <alignment horizontal="center" vertical="center" wrapText="1"/>
    </xf>
    <xf numFmtId="0" fontId="5" fillId="5" borderId="6" xfId="32" applyNumberFormat="1" applyFont="1" applyFill="1" applyBorder="1" applyAlignment="1" applyProtection="1">
      <alignment horizontal="center" vertical="center" wrapText="1"/>
    </xf>
    <xf numFmtId="0" fontId="35" fillId="0" borderId="0" xfId="36" applyFont="1" applyFill="1" applyBorder="1" applyAlignment="1" applyProtection="1">
      <alignment horizontal="left" vertical="center" wrapText="1"/>
    </xf>
    <xf numFmtId="0" fontId="35" fillId="0" borderId="19" xfId="36" applyFont="1" applyFill="1" applyBorder="1" applyAlignment="1" applyProtection="1">
      <alignment horizontal="left" vertical="center" wrapText="1" indent="1"/>
    </xf>
    <xf numFmtId="0" fontId="35" fillId="0" borderId="0" xfId="36" applyFont="1" applyFill="1" applyBorder="1" applyAlignment="1" applyProtection="1">
      <alignment horizontal="left" vertical="center" wrapText="1" indent="1"/>
    </xf>
    <xf numFmtId="0" fontId="7" fillId="0" borderId="0" xfId="36" applyFont="1" applyFill="1" applyBorder="1" applyAlignment="1" applyProtection="1">
      <alignment horizontal="center" vertical="center" wrapText="1" shrinkToFit="1"/>
    </xf>
    <xf numFmtId="0" fontId="5" fillId="5" borderId="1" xfId="36" applyFont="1" applyFill="1" applyBorder="1" applyAlignment="1" applyProtection="1">
      <alignment horizontal="center" vertical="center" wrapText="1"/>
    </xf>
    <xf numFmtId="0" fontId="50" fillId="0" borderId="0" xfId="29" quotePrefix="1" applyFont="1" applyFill="1" applyBorder="1" applyAlignment="1" applyProtection="1">
      <alignment horizontal="center" vertical="center" wrapText="1"/>
    </xf>
    <xf numFmtId="0" fontId="5" fillId="5" borderId="8" xfId="36" applyNumberFormat="1" applyFont="1" applyFill="1" applyBorder="1" applyAlignment="1" applyProtection="1">
      <alignment horizontal="center" vertical="center" wrapText="1"/>
    </xf>
    <xf numFmtId="0" fontId="5" fillId="5" borderId="9" xfId="36" applyNumberFormat="1" applyFont="1" applyFill="1" applyBorder="1" applyAlignment="1" applyProtection="1">
      <alignment horizontal="center" vertical="center" wrapText="1"/>
    </xf>
    <xf numFmtId="0" fontId="5" fillId="5" borderId="10" xfId="36" applyNumberFormat="1" applyFont="1" applyFill="1" applyBorder="1" applyAlignment="1" applyProtection="1">
      <alignment horizontal="center" vertical="center" wrapText="1"/>
    </xf>
    <xf numFmtId="49" fontId="89" fillId="0" borderId="0" xfId="36" applyNumberFormat="1" applyFont="1" applyFill="1" applyBorder="1" applyAlignment="1" applyProtection="1">
      <alignment horizontal="left" vertical="center" wrapText="1" indent="1"/>
    </xf>
    <xf numFmtId="0" fontId="5" fillId="5" borderId="1" xfId="36" applyNumberFormat="1" applyFont="1" applyFill="1" applyBorder="1" applyAlignment="1" applyProtection="1">
      <alignment horizontal="center" vertical="center" wrapText="1"/>
    </xf>
    <xf numFmtId="0" fontId="5" fillId="5" borderId="6" xfId="36" applyFont="1" applyFill="1" applyBorder="1" applyAlignment="1" applyProtection="1">
      <alignment horizontal="center" vertical="center" wrapText="1"/>
    </xf>
    <xf numFmtId="0" fontId="5" fillId="5" borderId="6" xfId="36" applyNumberFormat="1" applyFont="1" applyFill="1" applyBorder="1" applyAlignment="1" applyProtection="1">
      <alignment horizontal="center" vertical="center" wrapText="1"/>
    </xf>
    <xf numFmtId="0" fontId="10" fillId="4" borderId="1" xfId="36" applyFont="1" applyFill="1" applyBorder="1" applyAlignment="1" applyProtection="1">
      <alignment horizontal="center" vertical="center" wrapText="1"/>
    </xf>
    <xf numFmtId="49" fontId="5" fillId="5" borderId="10" xfId="32" applyFont="1" applyFill="1" applyBorder="1" applyAlignment="1" applyProtection="1">
      <alignment horizontal="center" vertical="center" wrapText="1"/>
    </xf>
    <xf numFmtId="49" fontId="10" fillId="15" borderId="1" xfId="0" applyFont="1" applyFill="1" applyBorder="1" applyAlignment="1" applyProtection="1">
      <alignment horizontal="center" vertical="center" wrapText="1"/>
      <protection locked="0"/>
    </xf>
    <xf numFmtId="49" fontId="15" fillId="14" borderId="0" xfId="0" applyFont="1" applyFill="1" applyBorder="1" applyAlignment="1" applyProtection="1">
      <alignment horizontal="center" vertical="top"/>
    </xf>
    <xf numFmtId="49" fontId="0" fillId="4" borderId="11" xfId="0" applyFont="1" applyFill="1" applyBorder="1" applyAlignment="1" applyProtection="1">
      <alignment horizontal="center" vertical="center" wrapText="1"/>
    </xf>
    <xf numFmtId="49" fontId="0" fillId="4" borderId="12" xfId="0" applyFont="1" applyFill="1" applyBorder="1" applyAlignment="1" applyProtection="1">
      <alignment horizontal="center" vertical="center" wrapText="1"/>
    </xf>
    <xf numFmtId="49" fontId="0" fillId="4" borderId="13" xfId="0" applyFont="1" applyFill="1" applyBorder="1" applyAlignment="1" applyProtection="1">
      <alignment horizontal="center" vertical="center" wrapText="1"/>
    </xf>
    <xf numFmtId="49" fontId="0" fillId="4" borderId="27" xfId="0" applyFont="1" applyFill="1" applyBorder="1" applyAlignment="1" applyProtection="1">
      <alignment horizontal="center" vertical="center" wrapText="1"/>
    </xf>
    <xf numFmtId="49" fontId="0" fillId="4" borderId="33" xfId="0" applyFont="1" applyFill="1" applyBorder="1" applyAlignment="1" applyProtection="1">
      <alignment horizontal="center" vertical="center" wrapText="1"/>
    </xf>
    <xf numFmtId="49" fontId="0" fillId="4" borderId="26" xfId="0" applyFont="1" applyFill="1" applyBorder="1" applyAlignment="1" applyProtection="1">
      <alignment horizontal="center" vertical="center" wrapText="1"/>
    </xf>
    <xf numFmtId="49" fontId="5" fillId="5" borderId="1" xfId="21" applyNumberFormat="1" applyFont="1" applyFill="1" applyBorder="1" applyAlignment="1" applyProtection="1">
      <alignment horizontal="center" vertical="center" wrapText="1"/>
    </xf>
    <xf numFmtId="49" fontId="5" fillId="5" borderId="16" xfId="21" applyNumberFormat="1" applyFont="1" applyFill="1" applyBorder="1" applyAlignment="1" applyProtection="1">
      <alignment horizontal="center" vertical="center" wrapText="1"/>
    </xf>
    <xf numFmtId="165" fontId="5" fillId="5" borderId="1" xfId="21" applyNumberFormat="1" applyFont="1" applyFill="1" applyBorder="1" applyAlignment="1" applyProtection="1">
      <alignment horizontal="center" vertical="center" wrapText="1"/>
    </xf>
    <xf numFmtId="165" fontId="5" fillId="5" borderId="16" xfId="21" applyNumberFormat="1" applyFont="1" applyFill="1" applyBorder="1" applyAlignment="1" applyProtection="1">
      <alignment horizontal="center" vertical="center" wrapText="1"/>
    </xf>
    <xf numFmtId="165" fontId="65" fillId="5" borderId="1" xfId="21" applyNumberFormat="1" applyFont="1" applyFill="1" applyBorder="1" applyAlignment="1" applyProtection="1">
      <alignment horizontal="center" vertical="center" wrapText="1"/>
    </xf>
    <xf numFmtId="165" fontId="65" fillId="5" borderId="16" xfId="21" applyNumberFormat="1" applyFont="1" applyFill="1" applyBorder="1" applyAlignment="1" applyProtection="1">
      <alignment horizontal="center" vertical="center" wrapText="1"/>
    </xf>
    <xf numFmtId="0" fontId="5" fillId="5" borderId="11" xfId="21" applyNumberFormat="1" applyFont="1" applyFill="1" applyBorder="1" applyAlignment="1" applyProtection="1">
      <alignment horizontal="center" vertical="center" wrapText="1"/>
    </xf>
    <xf numFmtId="0" fontId="5" fillId="5" borderId="12" xfId="21" applyNumberFormat="1" applyFont="1" applyFill="1" applyBorder="1" applyAlignment="1" applyProtection="1">
      <alignment horizontal="center" vertical="center" wrapText="1"/>
    </xf>
    <xf numFmtId="0" fontId="5" fillId="5" borderId="13" xfId="21" applyNumberFormat="1" applyFont="1" applyFill="1" applyBorder="1" applyAlignment="1" applyProtection="1">
      <alignment horizontal="center" vertical="center" wrapText="1"/>
    </xf>
    <xf numFmtId="0" fontId="10" fillId="0" borderId="34" xfId="38" applyNumberFormat="1" applyFont="1" applyFill="1" applyBorder="1" applyAlignment="1" applyProtection="1">
      <alignment horizontal="center" vertical="center" wrapText="1"/>
    </xf>
    <xf numFmtId="0" fontId="10" fillId="0" borderId="35" xfId="38" applyNumberFormat="1" applyFont="1" applyFill="1" applyBorder="1" applyAlignment="1" applyProtection="1">
      <alignment horizontal="center" vertical="center" wrapText="1"/>
    </xf>
    <xf numFmtId="0" fontId="10" fillId="0" borderId="36" xfId="38" applyNumberFormat="1" applyFont="1" applyFill="1" applyBorder="1" applyAlignment="1" applyProtection="1">
      <alignment horizontal="center" vertical="center" wrapText="1"/>
    </xf>
    <xf numFmtId="0" fontId="15" fillId="0" borderId="25" xfId="38" applyFont="1" applyFill="1" applyBorder="1" applyAlignment="1" applyProtection="1">
      <alignment horizontal="center" vertical="center" wrapText="1"/>
    </xf>
    <xf numFmtId="49" fontId="15" fillId="14" borderId="0" xfId="0" applyFont="1" applyFill="1" applyBorder="1" applyAlignment="1" applyProtection="1">
      <alignment horizontal="center" vertical="top" wrapText="1"/>
    </xf>
    <xf numFmtId="49" fontId="0" fillId="6" borderId="19" xfId="0" applyFont="1" applyFill="1" applyBorder="1" applyAlignment="1" applyProtection="1">
      <alignment horizontal="center" vertical="center"/>
    </xf>
    <xf numFmtId="0" fontId="10" fillId="0" borderId="18" xfId="38" applyNumberFormat="1" applyFont="1" applyFill="1" applyBorder="1" applyAlignment="1" applyProtection="1">
      <alignment horizontal="center" vertical="center" wrapText="1"/>
    </xf>
    <xf numFmtId="49" fontId="0" fillId="0" borderId="18" xfId="0" applyBorder="1">
      <alignment vertical="top"/>
    </xf>
    <xf numFmtId="165" fontId="65" fillId="5" borderId="13" xfId="21" applyNumberFormat="1" applyFont="1" applyFill="1" applyBorder="1" applyAlignment="1" applyProtection="1">
      <alignment horizontal="center" vertical="center" wrapText="1"/>
    </xf>
    <xf numFmtId="49" fontId="5" fillId="6" borderId="20" xfId="0" applyFont="1" applyFill="1" applyBorder="1" applyAlignment="1" applyProtection="1">
      <alignment horizontal="center" vertical="center" wrapText="1"/>
    </xf>
    <xf numFmtId="165" fontId="0" fillId="5" borderId="1" xfId="21" applyNumberFormat="1" applyFont="1" applyFill="1" applyBorder="1" applyAlignment="1" applyProtection="1">
      <alignment horizontal="center" vertical="center" wrapText="1"/>
    </xf>
    <xf numFmtId="49" fontId="44" fillId="17" borderId="0" xfId="0" applyFont="1" applyFill="1" applyBorder="1" applyAlignment="1" applyProtection="1">
      <alignment horizontal="center" vertical="center" wrapText="1"/>
      <protection locked="0"/>
    </xf>
    <xf numFmtId="14" fontId="5" fillId="15" borderId="1" xfId="16" applyNumberFormat="1" applyFont="1" applyFill="1" applyBorder="1" applyAlignment="1" applyProtection="1">
      <alignment horizontal="center" vertical="center" wrapText="1"/>
      <protection locked="0"/>
    </xf>
    <xf numFmtId="0" fontId="5" fillId="0" borderId="1" xfId="16" applyFont="1" applyFill="1" applyBorder="1" applyAlignment="1" applyProtection="1">
      <alignment horizontal="center" vertical="center" wrapText="1"/>
    </xf>
    <xf numFmtId="0" fontId="5" fillId="15" borderId="1" xfId="16" applyFont="1" applyFill="1" applyBorder="1" applyAlignment="1" applyProtection="1">
      <alignment horizontal="center" vertical="center" wrapText="1"/>
      <protection locked="0"/>
    </xf>
    <xf numFmtId="49" fontId="5" fillId="5" borderId="15" xfId="21" applyNumberFormat="1" applyFont="1" applyFill="1" applyBorder="1" applyAlignment="1" applyProtection="1">
      <alignment horizontal="center" vertical="center" wrapText="1"/>
    </xf>
    <xf numFmtId="49" fontId="5" fillId="5" borderId="1" xfId="20" applyNumberFormat="1" applyFont="1" applyFill="1" applyBorder="1" applyAlignment="1" applyProtection="1">
      <alignment horizontal="center" vertical="center" wrapText="1"/>
    </xf>
    <xf numFmtId="0" fontId="5" fillId="5" borderId="1" xfId="18" applyFont="1" applyFill="1" applyBorder="1" applyAlignment="1" applyProtection="1">
      <alignment horizontal="center" vertical="center" wrapText="1"/>
    </xf>
    <xf numFmtId="49" fontId="61" fillId="5" borderId="1" xfId="18" applyNumberFormat="1" applyFont="1" applyFill="1" applyBorder="1" applyAlignment="1" applyProtection="1">
      <alignment horizontal="center" vertical="center" wrapText="1"/>
    </xf>
    <xf numFmtId="0" fontId="5" fillId="5" borderId="16" xfId="18" applyFont="1" applyFill="1" applyBorder="1" applyAlignment="1" applyProtection="1">
      <alignment horizontal="center" vertical="center" wrapText="1"/>
    </xf>
    <xf numFmtId="0" fontId="5" fillId="5" borderId="15" xfId="18" applyFont="1" applyFill="1" applyBorder="1" applyAlignment="1" applyProtection="1">
      <alignment horizontal="center" vertical="center" wrapText="1"/>
    </xf>
    <xf numFmtId="4" fontId="5" fillId="10" borderId="1" xfId="16" applyNumberFormat="1" applyFont="1" applyFill="1" applyBorder="1" applyAlignment="1" applyProtection="1">
      <alignment horizontal="center" vertical="center" wrapText="1"/>
    </xf>
    <xf numFmtId="0" fontId="5" fillId="0" borderId="1" xfId="16" applyFont="1" applyBorder="1" applyAlignment="1" applyProtection="1">
      <alignment horizontal="center" vertical="center" wrapText="1"/>
    </xf>
    <xf numFmtId="0" fontId="5" fillId="5" borderId="1" xfId="35" applyFont="1" applyFill="1" applyBorder="1" applyAlignment="1" applyProtection="1">
      <alignment horizontal="left" vertical="center" wrapText="1" indent="2"/>
    </xf>
    <xf numFmtId="0" fontId="5" fillId="4" borderId="1" xfId="16" applyFont="1" applyFill="1" applyBorder="1" applyAlignment="1" applyProtection="1">
      <alignment horizontal="center" vertical="center" wrapText="1"/>
    </xf>
    <xf numFmtId="0" fontId="65" fillId="5" borderId="1" xfId="35" applyFont="1" applyFill="1" applyBorder="1" applyAlignment="1" applyProtection="1">
      <alignment horizontal="left" vertical="center" wrapText="1"/>
    </xf>
    <xf numFmtId="4" fontId="5" fillId="10" borderId="27" xfId="16" applyNumberFormat="1" applyFont="1" applyFill="1" applyBorder="1" applyAlignment="1" applyProtection="1">
      <alignment horizontal="center" vertical="center" wrapText="1"/>
    </xf>
    <xf numFmtId="4" fontId="5" fillId="10" borderId="33" xfId="16" applyNumberFormat="1" applyFont="1" applyFill="1" applyBorder="1" applyAlignment="1" applyProtection="1">
      <alignment horizontal="center" vertical="center" wrapText="1"/>
    </xf>
    <xf numFmtId="4" fontId="5" fillId="10" borderId="26" xfId="16" applyNumberFormat="1" applyFont="1" applyFill="1" applyBorder="1" applyAlignment="1" applyProtection="1">
      <alignment horizontal="center" vertical="center" wrapText="1"/>
    </xf>
    <xf numFmtId="4" fontId="5" fillId="10" borderId="19" xfId="16" applyNumberFormat="1" applyFont="1" applyFill="1" applyBorder="1" applyAlignment="1" applyProtection="1">
      <alignment horizontal="center" vertical="center" wrapText="1"/>
    </xf>
    <xf numFmtId="4" fontId="5" fillId="10" borderId="0" xfId="16" applyNumberFormat="1" applyFont="1" applyFill="1" applyBorder="1" applyAlignment="1" applyProtection="1">
      <alignment horizontal="center" vertical="center" wrapText="1"/>
    </xf>
    <xf numFmtId="4" fontId="5" fillId="10" borderId="20" xfId="16" applyNumberFormat="1" applyFont="1" applyFill="1" applyBorder="1" applyAlignment="1" applyProtection="1">
      <alignment horizontal="center" vertical="center" wrapText="1"/>
    </xf>
    <xf numFmtId="4" fontId="5" fillId="10" borderId="21" xfId="16" applyNumberFormat="1" applyFont="1" applyFill="1" applyBorder="1" applyAlignment="1" applyProtection="1">
      <alignment horizontal="center" vertical="center" wrapText="1"/>
    </xf>
    <xf numFmtId="4" fontId="5" fillId="10" borderId="25" xfId="16" applyNumberFormat="1" applyFont="1" applyFill="1" applyBorder="1" applyAlignment="1" applyProtection="1">
      <alignment horizontal="center" vertical="center" wrapText="1"/>
    </xf>
    <xf numFmtId="4" fontId="5" fillId="10" borderId="22" xfId="16" applyNumberFormat="1" applyFont="1" applyFill="1" applyBorder="1" applyAlignment="1" applyProtection="1">
      <alignment horizontal="center" vertical="center" wrapText="1"/>
    </xf>
    <xf numFmtId="0" fontId="5" fillId="15" borderId="37" xfId="16" applyNumberFormat="1" applyFont="1" applyFill="1" applyBorder="1" applyAlignment="1" applyProtection="1">
      <alignment horizontal="center" vertical="center" wrapText="1"/>
      <protection locked="0"/>
    </xf>
    <xf numFmtId="0" fontId="5" fillId="15" borderId="38" xfId="16" applyNumberFormat="1" applyFont="1" applyFill="1" applyBorder="1" applyAlignment="1" applyProtection="1">
      <alignment horizontal="center" vertical="center" wrapText="1"/>
      <protection locked="0"/>
    </xf>
    <xf numFmtId="0" fontId="5" fillId="15" borderId="39" xfId="16" applyNumberFormat="1" applyFont="1" applyFill="1" applyBorder="1" applyAlignment="1" applyProtection="1">
      <alignment horizontal="center" vertical="center" wrapText="1"/>
      <protection locked="0"/>
    </xf>
    <xf numFmtId="0" fontId="5" fillId="15" borderId="40" xfId="16" applyNumberFormat="1" applyFont="1" applyFill="1" applyBorder="1" applyAlignment="1" applyProtection="1">
      <alignment horizontal="center" vertical="center" wrapText="1"/>
      <protection locked="0"/>
    </xf>
    <xf numFmtId="0" fontId="5" fillId="4" borderId="16" xfId="16" applyNumberFormat="1" applyFont="1" applyFill="1" applyBorder="1" applyAlignment="1" applyProtection="1">
      <alignment horizontal="center" vertical="center" wrapText="1"/>
    </xf>
    <xf numFmtId="0" fontId="5" fillId="4" borderId="17" xfId="16" applyNumberFormat="1" applyFont="1" applyFill="1" applyBorder="1" applyAlignment="1" applyProtection="1">
      <alignment horizontal="center" vertical="center" wrapText="1"/>
    </xf>
    <xf numFmtId="0" fontId="5" fillId="4" borderId="15" xfId="16" applyNumberFormat="1" applyFont="1" applyFill="1" applyBorder="1" applyAlignment="1" applyProtection="1">
      <alignment horizontal="center" vertical="center" wrapText="1"/>
    </xf>
    <xf numFmtId="0" fontId="5" fillId="4" borderId="1" xfId="16" applyNumberFormat="1" applyFont="1" applyFill="1" applyBorder="1" applyAlignment="1" applyProtection="1">
      <alignment horizontal="center" vertical="center" wrapText="1"/>
    </xf>
    <xf numFmtId="0" fontId="5" fillId="5" borderId="27" xfId="20" applyNumberFormat="1" applyFont="1" applyFill="1" applyBorder="1" applyAlignment="1" applyProtection="1">
      <alignment horizontal="center" vertical="center" wrapText="1"/>
    </xf>
    <xf numFmtId="0" fontId="5" fillId="5" borderId="26" xfId="20" applyNumberFormat="1" applyFont="1" applyFill="1" applyBorder="1" applyAlignment="1" applyProtection="1">
      <alignment horizontal="center" vertical="center" wrapText="1"/>
    </xf>
    <xf numFmtId="0" fontId="5" fillId="5" borderId="19" xfId="20" applyNumberFormat="1" applyFont="1" applyFill="1" applyBorder="1" applyAlignment="1" applyProtection="1">
      <alignment horizontal="center" vertical="center" wrapText="1"/>
    </xf>
    <xf numFmtId="0" fontId="5" fillId="5" borderId="20" xfId="20" applyNumberFormat="1" applyFont="1" applyFill="1" applyBorder="1" applyAlignment="1" applyProtection="1">
      <alignment horizontal="center" vertical="center" wrapText="1"/>
    </xf>
    <xf numFmtId="0" fontId="5" fillId="5" borderId="21" xfId="20" applyNumberFormat="1" applyFont="1" applyFill="1" applyBorder="1" applyAlignment="1" applyProtection="1">
      <alignment horizontal="center" vertical="center" wrapText="1"/>
    </xf>
    <xf numFmtId="0" fontId="5" fillId="5" borderId="22" xfId="20" applyNumberFormat="1" applyFont="1" applyFill="1" applyBorder="1" applyAlignment="1" applyProtection="1">
      <alignment horizontal="center" vertical="center" wrapText="1"/>
    </xf>
    <xf numFmtId="49" fontId="5" fillId="5" borderId="17" xfId="21" applyNumberFormat="1" applyFont="1" applyFill="1" applyBorder="1" applyAlignment="1" applyProtection="1">
      <alignment horizontal="center" vertical="center" wrapText="1"/>
    </xf>
    <xf numFmtId="49" fontId="15" fillId="14" borderId="0" xfId="0" applyFont="1" applyFill="1" applyAlignment="1" applyProtection="1">
      <alignment horizontal="center" vertical="top"/>
    </xf>
    <xf numFmtId="0" fontId="5" fillId="15" borderId="16" xfId="16" applyFont="1" applyFill="1" applyBorder="1" applyAlignment="1" applyProtection="1">
      <alignment horizontal="center" vertical="center" wrapText="1"/>
      <protection locked="0"/>
    </xf>
    <xf numFmtId="0" fontId="5" fillId="15" borderId="17" xfId="16" applyFont="1" applyFill="1" applyBorder="1" applyAlignment="1" applyProtection="1">
      <alignment horizontal="center" vertical="center" wrapText="1"/>
      <protection locked="0"/>
    </xf>
    <xf numFmtId="0" fontId="5" fillId="15" borderId="15" xfId="16" applyFont="1" applyFill="1" applyBorder="1" applyAlignment="1" applyProtection="1">
      <alignment horizontal="center" vertical="center" wrapText="1"/>
      <protection locked="0"/>
    </xf>
    <xf numFmtId="0" fontId="5" fillId="0" borderId="16" xfId="16" applyFont="1" applyFill="1" applyBorder="1" applyAlignment="1" applyProtection="1">
      <alignment horizontal="center" vertical="center" wrapText="1"/>
    </xf>
    <xf numFmtId="0" fontId="5" fillId="0" borderId="17" xfId="16" applyFont="1" applyFill="1" applyBorder="1" applyAlignment="1" applyProtection="1">
      <alignment horizontal="center" vertical="center" wrapText="1"/>
    </xf>
    <xf numFmtId="0" fontId="5" fillId="0" borderId="15" xfId="16" applyFont="1" applyFill="1" applyBorder="1" applyAlignment="1" applyProtection="1">
      <alignment horizontal="center" vertical="center" wrapText="1"/>
    </xf>
    <xf numFmtId="0" fontId="65" fillId="5" borderId="1" xfId="35" applyFont="1" applyFill="1" applyBorder="1" applyAlignment="1" applyProtection="1">
      <alignment horizontal="center" vertical="center" wrapText="1"/>
    </xf>
    <xf numFmtId="49" fontId="0" fillId="5" borderId="1" xfId="0" applyFont="1" applyFill="1" applyBorder="1" applyProtection="1">
      <alignment vertical="top"/>
    </xf>
    <xf numFmtId="0" fontId="5" fillId="5" borderId="1" xfId="20" applyNumberFormat="1" applyFont="1" applyFill="1" applyBorder="1" applyAlignment="1" applyProtection="1">
      <alignment horizontal="center" vertical="center" wrapText="1"/>
    </xf>
    <xf numFmtId="49" fontId="5" fillId="0" borderId="1" xfId="16" applyNumberFormat="1" applyFont="1" applyFill="1" applyBorder="1" applyAlignment="1" applyProtection="1">
      <alignment horizontal="center" vertical="center" wrapText="1"/>
    </xf>
    <xf numFmtId="0" fontId="5" fillId="5" borderId="27" xfId="18" applyFont="1" applyFill="1" applyBorder="1" applyAlignment="1" applyProtection="1">
      <alignment horizontal="center" vertical="center" wrapText="1"/>
    </xf>
    <xf numFmtId="0" fontId="5" fillId="5" borderId="26" xfId="18" applyFont="1" applyFill="1" applyBorder="1" applyAlignment="1" applyProtection="1">
      <alignment horizontal="center" vertical="center" wrapText="1"/>
    </xf>
    <xf numFmtId="0" fontId="5" fillId="5" borderId="19" xfId="18" applyFont="1" applyFill="1" applyBorder="1" applyAlignment="1" applyProtection="1">
      <alignment horizontal="center" vertical="center" wrapText="1"/>
    </xf>
    <xf numFmtId="0" fontId="5" fillId="5" borderId="20" xfId="18" applyFont="1" applyFill="1" applyBorder="1" applyAlignment="1" applyProtection="1">
      <alignment horizontal="center" vertical="center" wrapText="1"/>
    </xf>
    <xf numFmtId="0" fontId="5" fillId="5" borderId="21" xfId="18" applyFont="1" applyFill="1" applyBorder="1" applyAlignment="1" applyProtection="1">
      <alignment horizontal="center" vertical="center" wrapText="1"/>
    </xf>
    <xf numFmtId="0" fontId="5" fillId="5" borderId="22" xfId="18" applyFont="1" applyFill="1" applyBorder="1" applyAlignment="1" applyProtection="1">
      <alignment horizontal="center" vertical="center" wrapText="1"/>
    </xf>
    <xf numFmtId="0" fontId="5" fillId="5" borderId="11" xfId="18" applyFont="1" applyFill="1" applyBorder="1" applyAlignment="1" applyProtection="1">
      <alignment horizontal="center" vertical="center" wrapText="1"/>
    </xf>
    <xf numFmtId="0" fontId="5" fillId="5" borderId="1" xfId="16" applyFont="1" applyFill="1" applyBorder="1" applyAlignment="1" applyProtection="1">
      <alignment horizontal="center" vertical="center" wrapText="1"/>
    </xf>
    <xf numFmtId="49" fontId="5" fillId="0" borderId="11" xfId="16" applyNumberFormat="1" applyFont="1" applyFill="1" applyBorder="1" applyAlignment="1" applyProtection="1">
      <alignment horizontal="center" vertical="center" wrapText="1"/>
    </xf>
    <xf numFmtId="49" fontId="5" fillId="0" borderId="12" xfId="16" applyNumberFormat="1" applyFont="1" applyFill="1" applyBorder="1" applyAlignment="1" applyProtection="1">
      <alignment horizontal="center" vertical="center" wrapText="1"/>
    </xf>
    <xf numFmtId="49" fontId="5" fillId="0" borderId="13" xfId="16" applyNumberFormat="1" applyFont="1" applyFill="1" applyBorder="1" applyAlignment="1" applyProtection="1">
      <alignment horizontal="center" vertical="center" wrapText="1"/>
    </xf>
    <xf numFmtId="49" fontId="5" fillId="3" borderId="1" xfId="16" applyNumberFormat="1" applyFont="1" applyFill="1" applyBorder="1" applyAlignment="1" applyProtection="1">
      <alignment horizontal="center" vertical="center" wrapText="1"/>
      <protection locked="0"/>
    </xf>
    <xf numFmtId="14" fontId="5" fillId="15" borderId="16" xfId="16" applyNumberFormat="1" applyFont="1" applyFill="1" applyBorder="1" applyAlignment="1" applyProtection="1">
      <alignment horizontal="center" vertical="center" wrapText="1"/>
      <protection locked="0"/>
    </xf>
    <xf numFmtId="14" fontId="5" fillId="15" borderId="17" xfId="16" applyNumberFormat="1" applyFont="1" applyFill="1" applyBorder="1" applyAlignment="1" applyProtection="1">
      <alignment horizontal="center" vertical="center" wrapText="1"/>
      <protection locked="0"/>
    </xf>
    <xf numFmtId="14" fontId="5" fillId="15" borderId="15" xfId="16" applyNumberFormat="1" applyFont="1" applyFill="1" applyBorder="1" applyAlignment="1" applyProtection="1">
      <alignment horizontal="center" vertical="center" wrapText="1"/>
      <protection locked="0"/>
    </xf>
    <xf numFmtId="49" fontId="5" fillId="3" borderId="16" xfId="16" applyNumberFormat="1" applyFont="1" applyFill="1" applyBorder="1" applyAlignment="1" applyProtection="1">
      <alignment horizontal="center" vertical="center" wrapText="1"/>
      <protection locked="0"/>
    </xf>
    <xf numFmtId="49" fontId="5" fillId="3" borderId="17" xfId="16" applyNumberFormat="1" applyFont="1" applyFill="1" applyBorder="1" applyAlignment="1" applyProtection="1">
      <alignment horizontal="center" vertical="center" wrapText="1"/>
      <protection locked="0"/>
    </xf>
    <xf numFmtId="49" fontId="5" fillId="3" borderId="15" xfId="16" applyNumberFormat="1" applyFont="1" applyFill="1" applyBorder="1" applyAlignment="1" applyProtection="1">
      <alignment horizontal="center" vertical="center" wrapText="1"/>
      <protection locked="0"/>
    </xf>
    <xf numFmtId="0" fontId="5" fillId="8" borderId="1" xfId="18" applyFont="1" applyFill="1" applyBorder="1" applyAlignment="1" applyProtection="1">
      <alignment horizontal="center" vertical="center" wrapText="1"/>
    </xf>
    <xf numFmtId="0" fontId="5" fillId="0" borderId="1" xfId="18" applyFont="1" applyFill="1" applyBorder="1" applyAlignment="1" applyProtection="1">
      <alignment horizontal="center" vertical="center" wrapText="1"/>
    </xf>
    <xf numFmtId="0" fontId="5" fillId="0" borderId="16" xfId="16" applyFont="1" applyBorder="1" applyAlignment="1" applyProtection="1">
      <alignment horizontal="center" vertical="center" wrapText="1"/>
    </xf>
    <xf numFmtId="0" fontId="5" fillId="0" borderId="17" xfId="16" applyFont="1" applyBorder="1" applyAlignment="1" applyProtection="1">
      <alignment horizontal="center" vertical="center" wrapText="1"/>
    </xf>
    <xf numFmtId="0" fontId="5" fillId="0" borderId="15" xfId="16" applyFont="1" applyBorder="1" applyAlignment="1" applyProtection="1">
      <alignment horizontal="center" vertical="center" wrapText="1"/>
    </xf>
    <xf numFmtId="0" fontId="5" fillId="8" borderId="27" xfId="18" applyFont="1" applyFill="1" applyBorder="1" applyAlignment="1" applyProtection="1">
      <alignment horizontal="center" vertical="center" wrapText="1"/>
    </xf>
    <xf numFmtId="0" fontId="5" fillId="8" borderId="26" xfId="18" applyFont="1" applyFill="1" applyBorder="1" applyAlignment="1" applyProtection="1">
      <alignment horizontal="center" vertical="center" wrapText="1"/>
    </xf>
    <xf numFmtId="0" fontId="5" fillId="8" borderId="19" xfId="18" applyFont="1" applyFill="1" applyBorder="1" applyAlignment="1" applyProtection="1">
      <alignment horizontal="center" vertical="center" wrapText="1"/>
    </xf>
    <xf numFmtId="0" fontId="5" fillId="8" borderId="20" xfId="18" applyFont="1" applyFill="1" applyBorder="1" applyAlignment="1" applyProtection="1">
      <alignment horizontal="center" vertical="center" wrapText="1"/>
    </xf>
    <xf numFmtId="0" fontId="5" fillId="8" borderId="21" xfId="18" applyFont="1" applyFill="1" applyBorder="1" applyAlignment="1" applyProtection="1">
      <alignment horizontal="center" vertical="center" wrapText="1"/>
    </xf>
    <xf numFmtId="0" fontId="5" fillId="8" borderId="22" xfId="18" applyFont="1" applyFill="1" applyBorder="1" applyAlignment="1" applyProtection="1">
      <alignment horizontal="center" vertical="center" wrapText="1"/>
    </xf>
    <xf numFmtId="0" fontId="35" fillId="0" borderId="16" xfId="38" applyFont="1" applyFill="1" applyBorder="1" applyAlignment="1" applyProtection="1">
      <alignment horizontal="center" vertical="center" wrapText="1"/>
    </xf>
    <xf numFmtId="0" fontId="35" fillId="0" borderId="15" xfId="38" applyFont="1" applyFill="1" applyBorder="1" applyAlignment="1" applyProtection="1">
      <alignment horizontal="center" vertical="center" wrapText="1"/>
    </xf>
    <xf numFmtId="49" fontId="78" fillId="5" borderId="1" xfId="20" applyNumberFormat="1" applyFont="1" applyFill="1" applyBorder="1" applyAlignment="1" applyProtection="1">
      <alignment horizontal="center" vertical="center" wrapText="1"/>
    </xf>
    <xf numFmtId="0" fontId="5" fillId="5" borderId="16" xfId="20" applyNumberFormat="1" applyFont="1" applyFill="1" applyBorder="1" applyAlignment="1" applyProtection="1">
      <alignment horizontal="center" vertical="center" wrapText="1"/>
    </xf>
    <xf numFmtId="0" fontId="5" fillId="5" borderId="15" xfId="20" applyNumberFormat="1" applyFont="1" applyFill="1" applyBorder="1" applyAlignment="1" applyProtection="1">
      <alignment horizontal="center" vertical="center" wrapText="1"/>
    </xf>
    <xf numFmtId="0" fontId="0" fillId="5" borderId="1" xfId="20" applyNumberFormat="1" applyFont="1" applyFill="1" applyBorder="1" applyAlignment="1" applyProtection="1">
      <alignment horizontal="center" vertical="center" wrapText="1"/>
    </xf>
    <xf numFmtId="49" fontId="5" fillId="5" borderId="13" xfId="20" applyNumberFormat="1" applyFont="1" applyFill="1" applyBorder="1" applyAlignment="1" applyProtection="1">
      <alignment horizontal="center" vertical="center" wrapText="1"/>
    </xf>
    <xf numFmtId="0" fontId="35" fillId="0" borderId="1" xfId="38" applyFont="1" applyFill="1" applyBorder="1" applyAlignment="1" applyProtection="1">
      <alignment horizontal="center" vertical="center" wrapText="1"/>
    </xf>
    <xf numFmtId="0" fontId="5" fillId="5" borderId="17" xfId="20" applyNumberFormat="1" applyFont="1" applyFill="1" applyBorder="1" applyAlignment="1" applyProtection="1">
      <alignment horizontal="center" vertical="center" wrapText="1"/>
    </xf>
    <xf numFmtId="0" fontId="5" fillId="0" borderId="1" xfId="18" applyFont="1" applyBorder="1" applyAlignment="1" applyProtection="1">
      <alignment horizontal="center" vertical="center" wrapText="1"/>
    </xf>
    <xf numFmtId="0" fontId="66" fillId="4" borderId="1" xfId="16" applyFont="1" applyFill="1" applyBorder="1" applyAlignment="1" applyProtection="1">
      <alignment horizontal="center" vertical="center" wrapText="1"/>
    </xf>
    <xf numFmtId="49" fontId="5" fillId="5" borderId="11" xfId="20" applyNumberFormat="1" applyFont="1" applyFill="1" applyBorder="1" applyAlignment="1" applyProtection="1">
      <alignment horizontal="center" vertical="center" wrapText="1"/>
    </xf>
    <xf numFmtId="0" fontId="10" fillId="4" borderId="1" xfId="16" applyFont="1" applyFill="1" applyBorder="1" applyAlignment="1" applyProtection="1">
      <alignment horizontal="center" vertical="center" wrapText="1"/>
    </xf>
    <xf numFmtId="49" fontId="5" fillId="5" borderId="16" xfId="20" applyNumberFormat="1" applyFont="1" applyFill="1" applyBorder="1" applyAlignment="1" applyProtection="1">
      <alignment horizontal="center" vertical="center" wrapText="1"/>
    </xf>
    <xf numFmtId="0" fontId="0" fillId="5" borderId="1" xfId="18" applyFont="1" applyFill="1" applyBorder="1" applyAlignment="1" applyProtection="1">
      <alignment horizontal="center" vertical="center" wrapText="1"/>
    </xf>
    <xf numFmtId="0" fontId="0" fillId="0" borderId="1" xfId="16" applyFont="1" applyFill="1" applyBorder="1" applyAlignment="1" applyProtection="1">
      <alignment horizontal="center" vertical="center" wrapText="1"/>
    </xf>
    <xf numFmtId="0" fontId="10" fillId="0" borderId="12" xfId="38" applyNumberFormat="1" applyFont="1" applyFill="1" applyBorder="1" applyAlignment="1" applyProtection="1">
      <alignment horizontal="left" vertical="center" wrapText="1" indent="4"/>
    </xf>
    <xf numFmtId="0" fontId="10" fillId="0" borderId="13" xfId="38" applyNumberFormat="1" applyFont="1" applyFill="1" applyBorder="1" applyAlignment="1" applyProtection="1">
      <alignment horizontal="left" vertical="center" wrapText="1" indent="4"/>
    </xf>
    <xf numFmtId="0" fontId="10" fillId="0" borderId="1" xfId="38" applyNumberFormat="1" applyFont="1" applyFill="1" applyBorder="1" applyAlignment="1" applyProtection="1">
      <alignment horizontal="left" vertical="center" wrapText="1" indent="4"/>
    </xf>
    <xf numFmtId="0" fontId="10" fillId="0" borderId="11" xfId="38" applyNumberFormat="1" applyFont="1" applyFill="1" applyBorder="1" applyAlignment="1" applyProtection="1">
      <alignment horizontal="left" vertical="center" wrapText="1" indent="4"/>
    </xf>
    <xf numFmtId="0" fontId="5" fillId="0" borderId="0" xfId="16" applyFont="1" applyFill="1" applyBorder="1" applyAlignment="1" applyProtection="1">
      <alignment horizontal="center" vertical="center" wrapText="1"/>
    </xf>
    <xf numFmtId="49" fontId="5" fillId="0" borderId="16" xfId="16" applyNumberFormat="1" applyFont="1" applyFill="1" applyBorder="1" applyAlignment="1" applyProtection="1">
      <alignment horizontal="center" vertical="center" wrapText="1"/>
    </xf>
    <xf numFmtId="0" fontId="5" fillId="5" borderId="17" xfId="18" applyFont="1" applyFill="1" applyBorder="1" applyAlignment="1" applyProtection="1">
      <alignment horizontal="center" vertical="center" wrapText="1"/>
    </xf>
    <xf numFmtId="0" fontId="5" fillId="0" borderId="11" xfId="16" applyFont="1" applyFill="1" applyBorder="1" applyAlignment="1" applyProtection="1">
      <alignment horizontal="center" vertical="center" wrapText="1"/>
    </xf>
    <xf numFmtId="49" fontId="0" fillId="0" borderId="16" xfId="0" applyFill="1" applyBorder="1" applyAlignment="1" applyProtection="1">
      <alignment horizontal="center" vertical="center" wrapText="1"/>
    </xf>
    <xf numFmtId="49" fontId="0" fillId="0" borderId="15" xfId="0" applyBorder="1">
      <alignment vertical="top"/>
    </xf>
    <xf numFmtId="49" fontId="86" fillId="5" borderId="16" xfId="20" applyNumberFormat="1" applyFont="1" applyFill="1" applyBorder="1" applyAlignment="1" applyProtection="1">
      <alignment horizontal="center" vertical="center" wrapText="1"/>
    </xf>
    <xf numFmtId="49" fontId="86" fillId="5" borderId="17" xfId="20" applyNumberFormat="1" applyFont="1" applyFill="1" applyBorder="1" applyAlignment="1" applyProtection="1">
      <alignment horizontal="center" vertical="center" wrapText="1"/>
    </xf>
    <xf numFmtId="49" fontId="86" fillId="5" borderId="15" xfId="20" applyNumberFormat="1" applyFont="1" applyFill="1" applyBorder="1" applyAlignment="1" applyProtection="1">
      <alignment horizontal="center" vertical="center" wrapText="1"/>
    </xf>
    <xf numFmtId="49" fontId="10" fillId="5" borderId="1" xfId="21" applyNumberFormat="1" applyFont="1" applyFill="1" applyBorder="1" applyAlignment="1" applyProtection="1">
      <alignment horizontal="center" vertical="center" wrapText="1"/>
    </xf>
    <xf numFmtId="49" fontId="10" fillId="5" borderId="1" xfId="0" applyFont="1" applyFill="1" applyBorder="1" applyAlignment="1" applyProtection="1">
      <alignment horizontal="center" vertical="center" wrapText="1"/>
    </xf>
    <xf numFmtId="49" fontId="10" fillId="0" borderId="1" xfId="21" applyNumberFormat="1" applyFont="1" applyFill="1" applyBorder="1" applyAlignment="1" applyProtection="1">
      <alignment horizontal="center" vertical="center" wrapText="1"/>
    </xf>
    <xf numFmtId="0" fontId="10" fillId="4" borderId="1" xfId="16" applyFont="1" applyFill="1" applyBorder="1" applyAlignment="1" applyProtection="1">
      <alignment horizontal="left" vertical="center" wrapText="1"/>
    </xf>
    <xf numFmtId="4" fontId="62" fillId="4" borderId="1" xfId="41" applyNumberFormat="1" applyFont="1" applyFill="1" applyBorder="1" applyAlignment="1" applyProtection="1">
      <alignment horizontal="right" vertical="center" wrapText="1"/>
    </xf>
    <xf numFmtId="0" fontId="5" fillId="4" borderId="16" xfId="16" applyFont="1" applyFill="1" applyBorder="1" applyAlignment="1" applyProtection="1">
      <alignment horizontal="center" vertical="center" wrapText="1"/>
    </xf>
    <xf numFmtId="49" fontId="10" fillId="5" borderId="1" xfId="20" applyNumberFormat="1" applyFont="1" applyFill="1" applyBorder="1" applyAlignment="1" applyProtection="1">
      <alignment horizontal="center" vertical="center" wrapText="1"/>
    </xf>
    <xf numFmtId="4" fontId="62" fillId="4" borderId="16" xfId="0" applyNumberFormat="1" applyFont="1" applyFill="1" applyBorder="1" applyAlignment="1" applyProtection="1">
      <alignment horizontal="right" vertical="center" wrapText="1"/>
    </xf>
    <xf numFmtId="4" fontId="62" fillId="4" borderId="15" xfId="0" applyNumberFormat="1" applyFont="1" applyFill="1" applyBorder="1" applyAlignment="1" applyProtection="1">
      <alignment horizontal="right" vertical="center" wrapText="1"/>
    </xf>
    <xf numFmtId="4" fontId="5" fillId="4" borderId="1" xfId="41" applyNumberFormat="1" applyFont="1" applyFill="1" applyBorder="1" applyAlignment="1" applyProtection="1">
      <alignment horizontal="right" vertical="center" wrapText="1"/>
    </xf>
    <xf numFmtId="4" fontId="0" fillId="4" borderId="1" xfId="0" applyNumberFormat="1" applyFont="1" applyFill="1" applyBorder="1" applyAlignment="1" applyProtection="1">
      <alignment horizontal="right" vertical="top"/>
    </xf>
    <xf numFmtId="0" fontId="10" fillId="4" borderId="16" xfId="16" applyFont="1" applyFill="1" applyBorder="1" applyAlignment="1" applyProtection="1">
      <alignment horizontal="center" vertical="center" wrapText="1"/>
    </xf>
    <xf numFmtId="0" fontId="10" fillId="5" borderId="1" xfId="18" applyFont="1" applyFill="1" applyBorder="1" applyAlignment="1" applyProtection="1">
      <alignment horizontal="center" vertical="center" wrapText="1"/>
    </xf>
    <xf numFmtId="0" fontId="66" fillId="4" borderId="16" xfId="16" applyFont="1" applyFill="1" applyBorder="1" applyAlignment="1" applyProtection="1">
      <alignment horizontal="center" vertical="center" wrapText="1"/>
    </xf>
    <xf numFmtId="49" fontId="5" fillId="5" borderId="11" xfId="21" applyNumberFormat="1" applyFont="1" applyFill="1" applyBorder="1" applyAlignment="1" applyProtection="1">
      <alignment horizontal="center" vertical="center" wrapText="1"/>
    </xf>
    <xf numFmtId="49" fontId="5" fillId="5" borderId="13" xfId="21" applyNumberFormat="1" applyFont="1" applyFill="1" applyBorder="1" applyAlignment="1" applyProtection="1">
      <alignment horizontal="center" vertical="center" wrapText="1"/>
    </xf>
    <xf numFmtId="0" fontId="5" fillId="5" borderId="13" xfId="18" applyFont="1" applyFill="1" applyBorder="1" applyAlignment="1" applyProtection="1">
      <alignment horizontal="center" vertical="center" wrapText="1"/>
    </xf>
    <xf numFmtId="49" fontId="5" fillId="5" borderId="27" xfId="21" applyNumberFormat="1" applyFont="1" applyFill="1" applyBorder="1" applyAlignment="1" applyProtection="1">
      <alignment horizontal="center" vertical="center" wrapText="1"/>
    </xf>
    <xf numFmtId="49" fontId="5" fillId="5" borderId="19" xfId="21" applyNumberFormat="1" applyFont="1" applyFill="1" applyBorder="1" applyAlignment="1" applyProtection="1">
      <alignment horizontal="center" vertical="center" wrapText="1"/>
    </xf>
    <xf numFmtId="49" fontId="5" fillId="5" borderId="21" xfId="21" applyNumberFormat="1" applyFont="1" applyFill="1" applyBorder="1" applyAlignment="1" applyProtection="1">
      <alignment horizontal="center" vertical="center" wrapText="1"/>
    </xf>
    <xf numFmtId="49" fontId="5" fillId="5" borderId="12" xfId="21" applyNumberFormat="1" applyFont="1" applyFill="1" applyBorder="1" applyAlignment="1" applyProtection="1">
      <alignment horizontal="center" vertical="center" wrapText="1"/>
    </xf>
    <xf numFmtId="49" fontId="5" fillId="5" borderId="17" xfId="20" applyNumberFormat="1" applyFont="1" applyFill="1" applyBorder="1" applyAlignment="1" applyProtection="1">
      <alignment horizontal="center" vertical="center" wrapText="1"/>
    </xf>
    <xf numFmtId="49" fontId="5" fillId="5" borderId="15" xfId="20" applyNumberFormat="1" applyFont="1" applyFill="1" applyBorder="1" applyAlignment="1" applyProtection="1">
      <alignment horizontal="center" vertical="center" wrapText="1"/>
    </xf>
    <xf numFmtId="0" fontId="86" fillId="0" borderId="16" xfId="16" applyFont="1" applyBorder="1" applyAlignment="1" applyProtection="1">
      <alignment horizontal="center" vertical="center" wrapText="1"/>
    </xf>
    <xf numFmtId="0" fontId="86" fillId="0" borderId="17" xfId="16" applyFont="1" applyBorder="1" applyAlignment="1" applyProtection="1">
      <alignment horizontal="center" vertical="center" wrapText="1"/>
    </xf>
    <xf numFmtId="0" fontId="86" fillId="0" borderId="15" xfId="16" applyFont="1" applyBorder="1" applyAlignment="1" applyProtection="1">
      <alignment horizontal="center" vertical="center" wrapText="1"/>
    </xf>
    <xf numFmtId="0" fontId="65" fillId="10" borderId="16" xfId="16" applyFont="1" applyFill="1" applyBorder="1" applyAlignment="1" applyProtection="1">
      <alignment horizontal="center" vertical="center" wrapText="1"/>
    </xf>
    <xf numFmtId="0" fontId="65" fillId="10" borderId="17" xfId="16" applyFont="1" applyFill="1" applyBorder="1" applyAlignment="1" applyProtection="1">
      <alignment horizontal="center" vertical="center" wrapText="1"/>
    </xf>
    <xf numFmtId="0" fontId="65" fillId="10" borderId="15" xfId="16" applyFont="1" applyFill="1" applyBorder="1" applyAlignment="1" applyProtection="1">
      <alignment horizontal="center" vertical="center" wrapText="1"/>
    </xf>
    <xf numFmtId="49" fontId="61" fillId="5" borderId="11" xfId="18" applyNumberFormat="1" applyFont="1" applyFill="1" applyBorder="1" applyAlignment="1" applyProtection="1">
      <alignment horizontal="center" vertical="center" wrapText="1"/>
    </xf>
    <xf numFmtId="0" fontId="10" fillId="4" borderId="1" xfId="16" applyNumberFormat="1" applyFont="1" applyFill="1" applyBorder="1" applyAlignment="1" applyProtection="1">
      <alignment horizontal="center" vertical="center" wrapText="1"/>
    </xf>
    <xf numFmtId="0" fontId="66" fillId="4" borderId="15" xfId="16" applyFont="1" applyFill="1" applyBorder="1" applyAlignment="1" applyProtection="1">
      <alignment horizontal="center" vertical="center" wrapText="1"/>
    </xf>
    <xf numFmtId="0" fontId="10" fillId="4" borderId="15" xfId="16" applyFont="1" applyFill="1" applyBorder="1" applyAlignment="1" applyProtection="1">
      <alignment horizontal="center" vertical="center" wrapText="1"/>
    </xf>
    <xf numFmtId="0" fontId="0" fillId="4" borderId="27" xfId="0" applyNumberFormat="1" applyFont="1" applyFill="1" applyBorder="1" applyAlignment="1" applyProtection="1">
      <alignment horizontal="center" vertical="center" wrapText="1"/>
    </xf>
    <xf numFmtId="0" fontId="0" fillId="4" borderId="11" xfId="0" applyNumberFormat="1" applyFont="1" applyFill="1" applyBorder="1" applyAlignment="1" applyProtection="1">
      <alignment horizontal="center" vertical="center" wrapText="1"/>
    </xf>
    <xf numFmtId="49" fontId="0" fillId="5" borderId="1" xfId="21" applyNumberFormat="1" applyFont="1" applyFill="1" applyBorder="1" applyAlignment="1" applyProtection="1">
      <alignment horizontal="center" vertical="center" wrapText="1"/>
    </xf>
    <xf numFmtId="0" fontId="10" fillId="0" borderId="0" xfId="0" applyNumberFormat="1" applyFont="1" applyAlignment="1" applyProtection="1">
      <alignment horizontal="justify" vertical="center"/>
    </xf>
    <xf numFmtId="0" fontId="13" fillId="0" borderId="0" xfId="24" applyFont="1" applyBorder="1" applyAlignment="1" applyProtection="1">
      <alignment horizontal="right" vertical="center" wrapText="1"/>
    </xf>
    <xf numFmtId="0" fontId="10" fillId="0" borderId="29" xfId="29" applyFont="1" applyFill="1" applyBorder="1" applyAlignment="1" applyProtection="1">
      <alignment horizontal="center" vertical="center" wrapText="1"/>
    </xf>
    <xf numFmtId="0" fontId="10" fillId="0" borderId="28" xfId="29" applyFont="1" applyFill="1" applyBorder="1" applyAlignment="1" applyProtection="1">
      <alignment horizontal="center" vertical="center" wrapText="1"/>
    </xf>
    <xf numFmtId="0" fontId="10" fillId="0" borderId="30" xfId="29" applyFont="1" applyFill="1" applyBorder="1" applyAlignment="1" applyProtection="1">
      <alignment horizontal="center" vertical="center" wrapText="1"/>
    </xf>
    <xf numFmtId="0" fontId="5" fillId="3" borderId="28" xfId="24" applyFont="1" applyFill="1" applyBorder="1" applyAlignment="1" applyProtection="1">
      <alignment horizontal="center" vertical="center" wrapText="1"/>
      <protection locked="0"/>
    </xf>
    <xf numFmtId="49" fontId="13" fillId="0" borderId="0" xfId="0" applyFont="1" applyAlignment="1" applyProtection="1">
      <alignment horizontal="left" vertical="center"/>
    </xf>
    <xf numFmtId="49" fontId="10" fillId="0" borderId="0" xfId="0" applyFont="1" applyAlignment="1" applyProtection="1">
      <alignment horizontal="justify" vertical="center"/>
    </xf>
    <xf numFmtId="0" fontId="13" fillId="0" borderId="0" xfId="0" applyNumberFormat="1" applyFont="1" applyAlignment="1" applyProtection="1">
      <alignment horizontal="justify" vertical="center"/>
    </xf>
    <xf numFmtId="0" fontId="73" fillId="0" borderId="0" xfId="0" applyNumberFormat="1" applyFont="1" applyAlignment="1" applyProtection="1">
      <alignment horizontal="justify" vertical="center"/>
    </xf>
    <xf numFmtId="49" fontId="16" fillId="0" borderId="32" xfId="0" applyFont="1" applyFill="1" applyBorder="1" applyAlignment="1" applyProtection="1">
      <alignment horizontal="center" vertical="center"/>
    </xf>
  </cellXfs>
  <cellStyles count="83">
    <cellStyle name=" 1" xfId="1"/>
    <cellStyle name="20% - Акцент1" xfId="60" builtinId="30" hidden="1"/>
    <cellStyle name="20% - Акцент2" xfId="64" builtinId="34" hidden="1"/>
    <cellStyle name="20% - Акцент3" xfId="68" builtinId="38" hidden="1"/>
    <cellStyle name="20% - Акцент4" xfId="72" builtinId="42" hidden="1"/>
    <cellStyle name="20% - Акцент5" xfId="76" builtinId="46" hidden="1"/>
    <cellStyle name="20% - Акцент6" xfId="80" builtinId="50" hidden="1"/>
    <cellStyle name="40% - Акцент1" xfId="61" builtinId="31" hidden="1"/>
    <cellStyle name="40% - Акцент2" xfId="65" builtinId="35" hidden="1"/>
    <cellStyle name="40% - Акцент3" xfId="69" builtinId="39" hidden="1"/>
    <cellStyle name="40% - Акцент4" xfId="73" builtinId="43" hidden="1"/>
    <cellStyle name="40% - Акцент5" xfId="77" builtinId="47" hidden="1"/>
    <cellStyle name="40% - Акцент6" xfId="81" builtinId="51" hidden="1"/>
    <cellStyle name="60% - Акцент1" xfId="62" builtinId="32" hidden="1"/>
    <cellStyle name="60% - Акцент2" xfId="66" builtinId="36" hidden="1"/>
    <cellStyle name="60% - Акцент3" xfId="70" builtinId="40" hidden="1"/>
    <cellStyle name="60% - Акцент4" xfId="74" builtinId="44" hidden="1"/>
    <cellStyle name="60% - Акцент5" xfId="78" builtinId="48" hidden="1"/>
    <cellStyle name="60% - Акцент6" xfId="82" builtinId="52" hidden="1"/>
    <cellStyle name="Currency [0]" xfId="2"/>
    <cellStyle name="Currency2" xfId="3"/>
    <cellStyle name="Followed Hyperlink" xfId="4"/>
    <cellStyle name="Hyperlink" xfId="5"/>
    <cellStyle name="normal" xfId="6"/>
    <cellStyle name="Normal1" xfId="7"/>
    <cellStyle name="Normal2" xfId="8"/>
    <cellStyle name="Percent1" xfId="9"/>
    <cellStyle name="Акцент1" xfId="59" builtinId="29" hidden="1"/>
    <cellStyle name="Акцент2" xfId="63" builtinId="33" hidden="1"/>
    <cellStyle name="Акцент3" xfId="67" builtinId="37" hidden="1"/>
    <cellStyle name="Акцент4" xfId="71" builtinId="41" hidden="1"/>
    <cellStyle name="Акцент5" xfId="75" builtinId="45" hidden="1"/>
    <cellStyle name="Акцент6" xfId="79" builtinId="49" hidden="1"/>
    <cellStyle name="Ввод " xfId="10" builtinId="20" customBuiltin="1"/>
    <cellStyle name="Вывод" xfId="51" builtinId="21" hidden="1"/>
    <cellStyle name="Вычисление" xfId="52" builtinId="22" hidden="1"/>
    <cellStyle name="Гиперссылка" xfId="11" builtinId="8"/>
    <cellStyle name="Гиперссылка_BALANCE.WARM.2007YEAR(FACT)" xfId="12"/>
    <cellStyle name="Заголовок 1" xfId="44" builtinId="16" hidden="1"/>
    <cellStyle name="Заголовок 2" xfId="45" builtinId="17" hidden="1"/>
    <cellStyle name="Заголовок 3" xfId="46" builtinId="18" hidden="1"/>
    <cellStyle name="Заголовок 4" xfId="47" builtinId="19" hidden="1"/>
    <cellStyle name="Значение" xfId="13"/>
    <cellStyle name="Итог" xfId="58" builtinId="25" hidden="1"/>
    <cellStyle name="Контрольная ячейка" xfId="54" builtinId="23" hidden="1"/>
    <cellStyle name="Название" xfId="43" builtinId="15" hidden="1"/>
    <cellStyle name="Нейтральный" xfId="50" builtinId="28" hidden="1"/>
    <cellStyle name="Обычный" xfId="0" builtinId="0"/>
    <cellStyle name="Обычный 10" xfId="14"/>
    <cellStyle name="Обычный 3" xfId="15"/>
    <cellStyle name="Обычный___________ __ ________ _______ 3" xfId="16"/>
    <cellStyle name="Обычный_46EE(v6.1.1)" xfId="17"/>
    <cellStyle name="Обычный_BALANCE.WARM.2007YEAR(FACT)" xfId="18"/>
    <cellStyle name="Обычный_INVEST.WARM.PLAN.4.78(v0.1)" xfId="19"/>
    <cellStyle name="Обычный_Kom kompleks" xfId="20"/>
    <cellStyle name="Обычный_Kom kompleks 2" xfId="21"/>
    <cellStyle name="Обычный_OREP.JKH.POD.2010YEAR(v1.0)" xfId="22"/>
    <cellStyle name="Обычный_PREDEL.JKH.2010(v1.3)" xfId="23"/>
    <cellStyle name="Обычный_PRIL1.ELECTR 2" xfId="24"/>
    <cellStyle name="Обычный_UPDATE.BALANCE.WARM.2011YEAR.TO.1.1" xfId="25"/>
    <cellStyle name="Обычный_VO_2_2" xfId="26"/>
    <cellStyle name="Обычный_Вода" xfId="27"/>
    <cellStyle name="Обычный_ДОПОЛНЕНИЯ" xfId="28"/>
    <cellStyle name="Обычный_ЖКУ_проект3" xfId="29"/>
    <cellStyle name="Обычный_ЖКУ_проект3 2" xfId="30"/>
    <cellStyle name="Обычный_Котёл Сети 2" xfId="31"/>
    <cellStyle name="Обычный_Мониторинг №1 ЖКХ 2006" xfId="32"/>
    <cellStyle name="Обычный_Мониторинг инвестиций" xfId="33"/>
    <cellStyle name="Обычный_Мониторинг инвестиций 2" xfId="34"/>
    <cellStyle name="Обычный_Мониторинг по тарифам ТОWRK_BU" xfId="35"/>
    <cellStyle name="Обычный_Мониторирг по ВО на 2008 год jd 2" xfId="36"/>
    <cellStyle name="Обычный_тарифы на 2002г с 1-01" xfId="37"/>
    <cellStyle name="Обычный_Тепло" xfId="38"/>
    <cellStyle name="Обычный_Шаблоны на пригородные перевозки" xfId="39"/>
    <cellStyle name="Плохой" xfId="49" builtinId="27" hidden="1"/>
    <cellStyle name="Пояснение" xfId="57" builtinId="53" hidden="1"/>
    <cellStyle name="Примечание" xfId="56" builtinId="10" hidden="1"/>
    <cellStyle name="Связанная ячейка" xfId="53" builtinId="24" hidden="1"/>
    <cellStyle name="Текст предупреждения" xfId="55" builtinId="11" hidden="1"/>
    <cellStyle name="Финансовый" xfId="40" builtinId="3"/>
    <cellStyle name="Финансовый 4 2" xfId="41"/>
    <cellStyle name="Формула" xfId="42"/>
    <cellStyle name="Хороший" xfId="48" builtinId="26" hidde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C0000"/>
      <rgbColor rgb="0000FF00"/>
      <rgbColor rgb="000000FF"/>
      <rgbColor rgb="00FFFF00"/>
      <rgbColor rgb="00FF00FF"/>
      <rgbColor rgb="0000FFFF"/>
      <rgbColor rgb="00800000"/>
      <rgbColor rgb="00008000"/>
      <rgbColor rgb="00000080"/>
      <rgbColor rgb="00808000"/>
      <rgbColor rgb="00800080"/>
      <rgbColor rgb="00008080"/>
      <rgbColor rgb="00C0C0C0"/>
      <rgbColor rgb="00969696"/>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activeX/activeX1.xml><?xml version="1.0" encoding="utf-8"?>
<ax:ocx xmlns:ax="http://schemas.microsoft.com/office/2006/activeX" xmlns:r="http://schemas.openxmlformats.org/officeDocument/2006/relationships" ax:classid="{8BD21D40-EC42-11CE-9E0D-00AA006002F3}" ax:persistence="persistPropertyBag">
  <ax:ocxPr ax:name="ForeColor" ax:value="0"/>
  <ax:ocxPr ax:name="DisplayStyle" ax:value="4"/>
  <ax:ocxPr ax:name="Size" ax:value="12409;635"/>
  <ax:ocxPr ax:name="Value" ax:value="1"/>
  <ax:ocxPr ax:name="Caption" ax:value="проверять доступные обновления (рекомендуется)"/>
  <ax:ocxPr ax:name="GroupName" ax:value="Обновление"/>
  <ax:ocxPr ax:name="FontName" ax:value="Tahoma"/>
  <ax:ocxPr ax:name="FontHeight" ax:value="180"/>
  <ax:ocxPr ax:name="FontCharSet" ax:value="204"/>
  <ax:ocxPr ax:name="FontPitchAndFamily" ax:value="2"/>
</ax:ocx>
</file>

<file path=xl/activeX/activeX2.xml><?xml version="1.0" encoding="utf-8"?>
<ax:ocx xmlns:ax="http://schemas.microsoft.com/office/2006/activeX" xmlns:r="http://schemas.openxmlformats.org/officeDocument/2006/relationships" ax:classid="{8BD21D40-EC42-11CE-9E0D-00AA006002F3}" ax:persistence="persistPropertyBag">
  <ax:ocxPr ax:name="ForeColor" ax:value="0"/>
  <ax:ocxPr ax:name="DisplayStyle" ax:value="4"/>
  <ax:ocxPr ax:name="Size" ax:value="12409;635"/>
  <ax:ocxPr ax:name="Value" ax:value="0"/>
  <ax:ocxPr ax:name="Caption" ax:value="никогда не проверять наличие обновлений (не рекомендуется)"/>
  <ax:ocxPr ax:name="GroupName" ax:value="Обновление"/>
  <ax:ocxPr ax:name="FontName" ax:value="Tahoma"/>
  <ax:ocxPr ax:name="FontHeight" ax:value="180"/>
  <ax:ocxPr ax:name="FontCharSet" ax:value="204"/>
  <ax:ocxPr ax:name="FontPitchAndFamily" ax:value="2"/>
</ax:ocx>
</file>

<file path=xl/activeX/activeX3.xml><?xml version="1.0" encoding="utf-8"?>
<ax:ocx xmlns:ax="http://schemas.microsoft.com/office/2006/activeX" xmlns:r="http://schemas.openxmlformats.org/officeDocument/2006/relationships" ax:classid="{D7053240-CE69-11CD-A777-00DD01143C57}" ax:persistence="persistPropertyBag">
  <ax:ocxPr ax:name="Caption" ax:value="Обновить реестр МО"/>
  <ax:ocxPr ax:name="Size" ax:value="0;0"/>
  <ax:ocxPr ax:name="FontName" ax:value="Tahoma"/>
  <ax:ocxPr ax:name="FontHeight" ax:value="180"/>
  <ax:ocxPr ax:name="FontCharSet" ax:value="204"/>
  <ax:ocxPr ax:name="FontPitchAndFamily" ax:value="2"/>
  <ax:ocxPr ax:name="ParagraphAlign" ax:value="3"/>
</ax:ocx>
</file>

<file path=xl/activeX/activeX4.xml><?xml version="1.0" encoding="utf-8"?>
<ax:ocx xmlns:ax="http://schemas.microsoft.com/office/2006/activeX" xmlns:r="http://schemas.openxmlformats.org/officeDocument/2006/relationships" ax:classid="{D7053240-CE69-11CD-A777-00DD01143C57}" ax:persistence="persistPropertyBag">
  <ax:ocxPr ax:name="VariousPropertyBits" ax:value="8388635"/>
  <ax:ocxPr ax:name="Caption" ax:value="Обновить данные мониторинга ПЛАН на 2012 год"/>
  <ax:ocxPr ax:name="Size" ax:value="0;0"/>
  <ax:ocxPr ax:name="FontName" ax:value="Tahoma"/>
  <ax:ocxPr ax:name="FontHeight" ax:value="180"/>
  <ax:ocxPr ax:name="FontCharSet" ax:value="204"/>
  <ax:ocxPr ax:name="FontPitchAndFamily" ax:value="2"/>
  <ax:ocxPr ax:name="ParagraphAlign" ax:value="3"/>
</ax:ocx>
</file>

<file path=xl/activeX/activeX5.xml><?xml version="1.0" encoding="utf-8"?>
<ax:ocx xmlns:ax="http://schemas.microsoft.com/office/2006/activeX" xmlns:r="http://schemas.openxmlformats.org/officeDocument/2006/relationships" ax:classid="{D7053240-CE69-11CD-A777-00DD01143C57}" ax:persistence="persistPropertyBag">
  <ax:ocxPr ax:name="VariousPropertyBits" ax:value="8388635"/>
  <ax:ocxPr ax:name="Caption" ax:value="Заполнить шаблон данными мониторинга ПЛАН на 2012 год"/>
  <ax:ocxPr ax:name="Size" ax:value="0;0"/>
  <ax:ocxPr ax:name="FontName" ax:value="Tahoma"/>
  <ax:ocxPr ax:name="FontHeight" ax:value="180"/>
  <ax:ocxPr ax:name="FontCharSet" ax:value="204"/>
  <ax:ocxPr ax:name="FontPitchAndFamily" ax:value="2"/>
  <ax:ocxPr ax:name="ParagraphAlign" ax:value="3"/>
</ax:ocx>
</file>

<file path=xl/activeX/activeX6.xml><?xml version="1.0" encoding="utf-8"?>
<ax:ocx xmlns:ax="http://schemas.microsoft.com/office/2006/activeX" xmlns:r="http://schemas.openxmlformats.org/officeDocument/2006/relationships" ax:classid="{8BD21D40-EC42-11CE-9E0D-00AA006002F3}" ax:persistence="persistPropertyBag">
  <ax:ocxPr ax:name="ForeColor" ax:value="8388608"/>
  <ax:ocxPr ax:name="DisplayStyle" ax:value="4"/>
  <ax:ocxPr ax:name="Size" ax:value="7885;1323"/>
  <ax:ocxPr ax:name="Value" ax:value="0"/>
  <ax:ocxPr ax:name="Caption" ax:value="Подсвечивать проблемные поля при проверке (отключить для ускорения процедуры проверки отчёта)"/>
  <ax:ocxPr ax:name="GroupName" ax:value="Обновление"/>
  <ax:ocxPr ax:name="FontName" ax:value="Tahoma"/>
  <ax:ocxPr ax:name="FontHeight" ax:value="180"/>
  <ax:ocxPr ax:name="FontCharSet" ax:value="204"/>
  <ax:ocxPr ax:name="FontPitchAndFamily" ax:value="2"/>
</ax:ocx>
</file>

<file path=xl/drawings/_rels/drawing1.xml.rels><?xml version="1.0" encoding="UTF-8" standalone="yes"?>
<Relationships xmlns="http://schemas.openxmlformats.org/package/2006/relationships"><Relationship Id="rId8" Type="http://schemas.openxmlformats.org/officeDocument/2006/relationships/hyperlink" Target="http://support.eias.ru/index.php?a=add&amp;catid=44" TargetMode="External"/><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0.png"/><Relationship Id="rId5" Type="http://schemas.openxmlformats.org/officeDocument/2006/relationships/image" Target="../media/image5.png"/><Relationship Id="rId10" Type="http://schemas.openxmlformats.org/officeDocument/2006/relationships/image" Target="../media/image9.png"/><Relationship Id="rId4" Type="http://schemas.openxmlformats.org/officeDocument/2006/relationships/image" Target="../media/image4.png"/><Relationship Id="rId9" Type="http://schemas.openxmlformats.org/officeDocument/2006/relationships/image" Target="../media/image8.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7.xml.rels><?xml version="1.0" encoding="UTF-8" standalone="yes"?>
<Relationships xmlns="http://schemas.openxmlformats.org/package/2006/relationships"><Relationship Id="rId3" Type="http://schemas.openxmlformats.org/officeDocument/2006/relationships/hyperlink" Target="#'&#1042;&#1057;.&#1044;&#1060;'!A1"/><Relationship Id="rId2" Type="http://schemas.openxmlformats.org/officeDocument/2006/relationships/image" Target="../media/image23.png"/><Relationship Id="rId1" Type="http://schemas.openxmlformats.org/officeDocument/2006/relationships/image" Target="../media/image18.png"/><Relationship Id="rId4" Type="http://schemas.openxmlformats.org/officeDocument/2006/relationships/image" Target="../media/image1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jpeg"/><Relationship Id="rId3" Type="http://schemas.openxmlformats.org/officeDocument/2006/relationships/image" Target="../media/image15.png"/><Relationship Id="rId7" Type="http://schemas.openxmlformats.org/officeDocument/2006/relationships/hyperlink" Target="#'&#1057;&#1087;&#1080;&#1089;&#1086;&#1082; &#1086;&#1088;&#1075;&#1072;&#1085;&#1080;&#1079;&#1072;&#1094;&#1080;&#1081;'!A1"/><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hyperlink" Target="#'&#1057;&#1087;&#1080;&#1089;&#1086;&#1082; &#1086;&#1088;&#1075;&#1072;&#1085;&#1080;&#1079;&#1072;&#1094;&#1080;&#1081;'!A1"/><Relationship Id="rId5" Type="http://schemas.openxmlformats.org/officeDocument/2006/relationships/image" Target="../media/image16.png"/><Relationship Id="rId4" Type="http://schemas.openxmlformats.org/officeDocument/2006/relationships/hyperlink" Target="#'&#1057;&#1087;&#1080;&#1089;&#1086;&#1082; &#1086;&#1088;&#1075;&#1072;&#1085;&#1080;&#1079;&#1072;&#1094;&#1080;&#1081;'!A1"/><Relationship Id="rId9" Type="http://schemas.openxmlformats.org/officeDocument/2006/relationships/image" Target="../media/image18.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4.xml.rels><?xml version="1.0" encoding="UTF-8" standalone="yes"?>
<Relationships xmlns="http://schemas.openxmlformats.org/package/2006/relationships"><Relationship Id="rId3" Type="http://schemas.openxmlformats.org/officeDocument/2006/relationships/hyperlink" Target="#'&#1042;&#1054;.&#1044;&#1060;'!A1"/><Relationship Id="rId2" Type="http://schemas.openxmlformats.org/officeDocument/2006/relationships/image" Target="../media/image23.png"/><Relationship Id="rId1" Type="http://schemas.openxmlformats.org/officeDocument/2006/relationships/image" Target="../media/image18.png"/><Relationship Id="rId4" Type="http://schemas.openxmlformats.org/officeDocument/2006/relationships/image" Target="../media/image1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hyperlink" Target="#'&#1058;&#1057;.&#1044;&#1060;'!A1"/><Relationship Id="rId2" Type="http://schemas.openxmlformats.org/officeDocument/2006/relationships/image" Target="../media/image23.png"/><Relationship Id="rId1" Type="http://schemas.openxmlformats.org/officeDocument/2006/relationships/image" Target="../media/image18.png"/><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4"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editAs="oneCell">
    <xdr:from>
      <xdr:col>1</xdr:col>
      <xdr:colOff>266700</xdr:colOff>
      <xdr:row>4</xdr:row>
      <xdr:rowOff>19050</xdr:rowOff>
    </xdr:from>
    <xdr:to>
      <xdr:col>1</xdr:col>
      <xdr:colOff>733425</xdr:colOff>
      <xdr:row>5</xdr:row>
      <xdr:rowOff>47625</xdr:rowOff>
    </xdr:to>
    <xdr:pic macro="[0]!Instruction.ImageClick">
      <xdr:nvPicPr>
        <xdr:cNvPr id="1428327" name="InstrImage_1" descr="AllDay.ru_Settings1.png"/>
        <xdr:cNvPicPr>
          <a:picLocks noChangeAspect="1"/>
        </xdr:cNvPicPr>
      </xdr:nvPicPr>
      <xdr:blipFill>
        <a:blip xmlns:r="http://schemas.openxmlformats.org/officeDocument/2006/relationships" r:embed="rId1"/>
        <a:srcRect/>
        <a:stretch>
          <a:fillRect/>
        </a:stretch>
      </xdr:blipFill>
      <xdr:spPr bwMode="auto">
        <a:xfrm>
          <a:off x="276225" y="857250"/>
          <a:ext cx="466725" cy="466725"/>
        </a:xfrm>
        <a:prstGeom prst="rect">
          <a:avLst/>
        </a:prstGeom>
        <a:noFill/>
        <a:ln w="9525">
          <a:noFill/>
          <a:miter lim="800000"/>
          <a:headEnd/>
          <a:tailEnd/>
        </a:ln>
      </xdr:spPr>
    </xdr:pic>
    <xdr:clientData/>
  </xdr:twoCellAnchor>
  <xdr:twoCellAnchor editAs="oneCell">
    <xdr:from>
      <xdr:col>1</xdr:col>
      <xdr:colOff>352425</xdr:colOff>
      <xdr:row>36</xdr:row>
      <xdr:rowOff>76200</xdr:rowOff>
    </xdr:from>
    <xdr:to>
      <xdr:col>1</xdr:col>
      <xdr:colOff>647700</xdr:colOff>
      <xdr:row>36</xdr:row>
      <xdr:rowOff>361950</xdr:rowOff>
    </xdr:to>
    <xdr:pic macro="[0]!Instruction.ImageClick">
      <xdr:nvPicPr>
        <xdr:cNvPr id="1428328" name="InstrImage_4" descr="AllDay.ru_Tasks.png"/>
        <xdr:cNvPicPr>
          <a:picLocks noChangeAspect="1"/>
        </xdr:cNvPicPr>
      </xdr:nvPicPr>
      <xdr:blipFill>
        <a:blip xmlns:r="http://schemas.openxmlformats.org/officeDocument/2006/relationships" r:embed="rId2"/>
        <a:srcRect/>
        <a:stretch>
          <a:fillRect/>
        </a:stretch>
      </xdr:blipFill>
      <xdr:spPr bwMode="auto">
        <a:xfrm>
          <a:off x="361950" y="5305425"/>
          <a:ext cx="295275" cy="285750"/>
        </a:xfrm>
        <a:prstGeom prst="rect">
          <a:avLst/>
        </a:prstGeom>
        <a:noFill/>
        <a:ln w="9525">
          <a:noFill/>
          <a:miter lim="800000"/>
          <a:headEnd/>
          <a:tailEnd/>
        </a:ln>
      </xdr:spPr>
    </xdr:pic>
    <xdr:clientData/>
  </xdr:twoCellAnchor>
  <xdr:twoCellAnchor editAs="oneCell">
    <xdr:from>
      <xdr:col>1</xdr:col>
      <xdr:colOff>323850</xdr:colOff>
      <xdr:row>47</xdr:row>
      <xdr:rowOff>66675</xdr:rowOff>
    </xdr:from>
    <xdr:to>
      <xdr:col>1</xdr:col>
      <xdr:colOff>676275</xdr:colOff>
      <xdr:row>47</xdr:row>
      <xdr:rowOff>428625</xdr:rowOff>
    </xdr:to>
    <xdr:pic macro="[0]!Instruction.ImageClick">
      <xdr:nvPicPr>
        <xdr:cNvPr id="1428329" name="InstrImage_6" descr="AllDay.ru_Spreadsheet.png"/>
        <xdr:cNvPicPr>
          <a:picLocks noChangeAspect="1"/>
        </xdr:cNvPicPr>
      </xdr:nvPicPr>
      <xdr:blipFill>
        <a:blip xmlns:r="http://schemas.openxmlformats.org/officeDocument/2006/relationships" r:embed="rId3"/>
        <a:srcRect/>
        <a:stretch>
          <a:fillRect/>
        </a:stretch>
      </xdr:blipFill>
      <xdr:spPr bwMode="auto">
        <a:xfrm>
          <a:off x="333375" y="6172200"/>
          <a:ext cx="352425" cy="361950"/>
        </a:xfrm>
        <a:prstGeom prst="rect">
          <a:avLst/>
        </a:prstGeom>
        <a:noFill/>
        <a:ln w="9525">
          <a:noFill/>
          <a:miter lim="800000"/>
          <a:headEnd/>
          <a:tailEnd/>
        </a:ln>
      </xdr:spPr>
    </xdr:pic>
    <xdr:clientData/>
  </xdr:twoCellAnchor>
  <xdr:twoCellAnchor editAs="oneCell">
    <xdr:from>
      <xdr:col>1</xdr:col>
      <xdr:colOff>323850</xdr:colOff>
      <xdr:row>79</xdr:row>
      <xdr:rowOff>19050</xdr:rowOff>
    </xdr:from>
    <xdr:to>
      <xdr:col>1</xdr:col>
      <xdr:colOff>676275</xdr:colOff>
      <xdr:row>79</xdr:row>
      <xdr:rowOff>371475</xdr:rowOff>
    </xdr:to>
    <xdr:pic macro="[0]!Instruction.ImageClick">
      <xdr:nvPicPr>
        <xdr:cNvPr id="1428330" name="InstrImage_7" descr="AllDay.ru_Mail4.png"/>
        <xdr:cNvPicPr>
          <a:picLocks noChangeAspect="1"/>
        </xdr:cNvPicPr>
      </xdr:nvPicPr>
      <xdr:blipFill>
        <a:blip xmlns:r="http://schemas.openxmlformats.org/officeDocument/2006/relationships" r:embed="rId4"/>
        <a:srcRect/>
        <a:stretch>
          <a:fillRect/>
        </a:stretch>
      </xdr:blipFill>
      <xdr:spPr bwMode="auto">
        <a:xfrm>
          <a:off x="333375" y="14906625"/>
          <a:ext cx="352425" cy="352425"/>
        </a:xfrm>
        <a:prstGeom prst="rect">
          <a:avLst/>
        </a:prstGeom>
        <a:noFill/>
        <a:ln w="9525">
          <a:noFill/>
          <a:miter lim="800000"/>
          <a:headEnd/>
          <a:tailEnd/>
        </a:ln>
      </xdr:spPr>
    </xdr:pic>
    <xdr:clientData/>
  </xdr:twoCellAnchor>
  <xdr:twoCellAnchor editAs="oneCell">
    <xdr:from>
      <xdr:col>1</xdr:col>
      <xdr:colOff>323850</xdr:colOff>
      <xdr:row>41</xdr:row>
      <xdr:rowOff>76200</xdr:rowOff>
    </xdr:from>
    <xdr:to>
      <xdr:col>1</xdr:col>
      <xdr:colOff>676275</xdr:colOff>
      <xdr:row>41</xdr:row>
      <xdr:rowOff>428625</xdr:rowOff>
    </xdr:to>
    <xdr:pic macro="[0]!Instruction.ImageClick">
      <xdr:nvPicPr>
        <xdr:cNvPr id="1428331" name="InstrImage_5" descr="AllDay.ru_Forum.png"/>
        <xdr:cNvPicPr>
          <a:picLocks noChangeAspect="1"/>
        </xdr:cNvPicPr>
      </xdr:nvPicPr>
      <xdr:blipFill>
        <a:blip xmlns:r="http://schemas.openxmlformats.org/officeDocument/2006/relationships" r:embed="rId5"/>
        <a:srcRect/>
        <a:stretch>
          <a:fillRect/>
        </a:stretch>
      </xdr:blipFill>
      <xdr:spPr bwMode="auto">
        <a:xfrm>
          <a:off x="333375" y="5743575"/>
          <a:ext cx="352425" cy="352425"/>
        </a:xfrm>
        <a:prstGeom prst="rect">
          <a:avLst/>
        </a:prstGeom>
        <a:noFill/>
        <a:ln w="9525">
          <a:noFill/>
          <a:miter lim="800000"/>
          <a:headEnd/>
          <a:tailEnd/>
        </a:ln>
      </xdr:spPr>
    </xdr:pic>
    <xdr:clientData/>
  </xdr:twoCellAnchor>
  <xdr:twoCellAnchor>
    <xdr:from>
      <xdr:col>1</xdr:col>
      <xdr:colOff>323850</xdr:colOff>
      <xdr:row>26</xdr:row>
      <xdr:rowOff>57150</xdr:rowOff>
    </xdr:from>
    <xdr:to>
      <xdr:col>1</xdr:col>
      <xdr:colOff>676275</xdr:colOff>
      <xdr:row>26</xdr:row>
      <xdr:rowOff>409575</xdr:rowOff>
    </xdr:to>
    <xdr:pic macro="[0]!Instruction.ImageClick">
      <xdr:nvPicPr>
        <xdr:cNvPr id="1428332" name="InstrImage_3" descr="AllDay.ru_Workspace2.png"/>
        <xdr:cNvPicPr>
          <a:picLocks noChangeAspect="1"/>
        </xdr:cNvPicPr>
      </xdr:nvPicPr>
      <xdr:blipFill>
        <a:blip xmlns:r="http://schemas.openxmlformats.org/officeDocument/2006/relationships" r:embed="rId6"/>
        <a:srcRect/>
        <a:stretch>
          <a:fillRect/>
        </a:stretch>
      </xdr:blipFill>
      <xdr:spPr bwMode="auto">
        <a:xfrm>
          <a:off x="333375" y="4848225"/>
          <a:ext cx="352425" cy="352425"/>
        </a:xfrm>
        <a:prstGeom prst="rect">
          <a:avLst/>
        </a:prstGeom>
        <a:noFill/>
        <a:ln w="9525">
          <a:noFill/>
          <a:miter lim="800000"/>
          <a:headEnd/>
          <a:tailEnd/>
        </a:ln>
      </xdr:spPr>
    </xdr:pic>
    <xdr:clientData/>
  </xdr:twoCellAnchor>
  <xdr:twoCellAnchor editAs="oneCell">
    <xdr:from>
      <xdr:col>1</xdr:col>
      <xdr:colOff>314325</xdr:colOff>
      <xdr:row>13</xdr:row>
      <xdr:rowOff>66675</xdr:rowOff>
    </xdr:from>
    <xdr:to>
      <xdr:col>1</xdr:col>
      <xdr:colOff>676275</xdr:colOff>
      <xdr:row>13</xdr:row>
      <xdr:rowOff>428625</xdr:rowOff>
    </xdr:to>
    <xdr:pic macro="[0]!Instruction.ImageClick">
      <xdr:nvPicPr>
        <xdr:cNvPr id="1428333" name="InstrImage_2" descr="AllDay.ru_App2.png"/>
        <xdr:cNvPicPr>
          <a:picLocks noChangeAspect="1"/>
        </xdr:cNvPicPr>
      </xdr:nvPicPr>
      <xdr:blipFill>
        <a:blip xmlns:r="http://schemas.openxmlformats.org/officeDocument/2006/relationships" r:embed="rId7"/>
        <a:srcRect/>
        <a:stretch>
          <a:fillRect/>
        </a:stretch>
      </xdr:blipFill>
      <xdr:spPr bwMode="auto">
        <a:xfrm>
          <a:off x="323850" y="4419600"/>
          <a:ext cx="361950" cy="361950"/>
        </a:xfrm>
        <a:prstGeom prst="rect">
          <a:avLst/>
        </a:prstGeom>
        <a:noFill/>
        <a:ln w="9525">
          <a:noFill/>
          <a:miter lim="800000"/>
          <a:headEnd/>
          <a:tailEnd/>
        </a:ln>
      </xdr:spPr>
    </xdr:pic>
    <xdr:clientData/>
  </xdr:twoCellAnchor>
  <xdr:twoCellAnchor editAs="oneCell">
    <xdr:from>
      <xdr:col>4</xdr:col>
      <xdr:colOff>323850</xdr:colOff>
      <xdr:row>1</xdr:row>
      <xdr:rowOff>66675</xdr:rowOff>
    </xdr:from>
    <xdr:to>
      <xdr:col>4</xdr:col>
      <xdr:colOff>2343150</xdr:colOff>
      <xdr:row>2</xdr:row>
      <xdr:rowOff>171450</xdr:rowOff>
    </xdr:to>
    <xdr:sp macro="[0]!Instruction.cmdRegionChange_Click" textlink="">
      <xdr:nvSpPr>
        <xdr:cNvPr id="1428204" name="cmdRegionChange" hidden="1"/>
        <xdr:cNvSpPr>
          <a:spLocks noChangeArrowheads="1"/>
        </xdr:cNvSpPr>
      </xdr:nvSpPr>
      <xdr:spPr bwMode="auto">
        <a:xfrm>
          <a:off x="4210050" y="200025"/>
          <a:ext cx="2019300" cy="314325"/>
        </a:xfrm>
        <a:prstGeom prst="roundRect">
          <a:avLst>
            <a:gd name="adj" fmla="val 16667"/>
          </a:avLst>
        </a:prstGeom>
        <a:gradFill rotWithShape="1">
          <a:gsLst>
            <a:gs pos="0">
              <a:srgbClr val="FFFFFF"/>
            </a:gs>
            <a:gs pos="11000">
              <a:srgbClr val="BFBFBF"/>
            </a:gs>
            <a:gs pos="100000">
              <a:srgbClr val="FFFFFF"/>
            </a:gs>
          </a:gsLst>
          <a:lin ang="16200000" scaled="1"/>
        </a:gradFill>
        <a:ln w="9525" algn="ctr">
          <a:solidFill>
            <a:srgbClr val="7F7F7F"/>
          </a:solidFill>
          <a:round/>
          <a:headEnd/>
          <a:tailEnd/>
        </a:ln>
        <a:effectLst>
          <a:outerShdw dist="20000" dir="5400000" rotWithShape="0">
            <a:srgbClr val="000000">
              <a:alpha val="37999"/>
            </a:srgbClr>
          </a:outerShdw>
        </a:effectLst>
      </xdr:spPr>
      <xdr:txBody>
        <a:bodyPr vertOverflow="clip" wrap="square" lIns="27432" tIns="18288" rIns="27432" bIns="18288" anchor="ctr" upright="1"/>
        <a:lstStyle/>
        <a:p>
          <a:pPr algn="ctr" rtl="1">
            <a:defRPr sz="1000"/>
          </a:pPr>
          <a:r>
            <a:rPr lang="ru-RU" sz="900" b="0" i="0" strike="noStrike">
              <a:solidFill>
                <a:srgbClr val="000000"/>
              </a:solidFill>
              <a:latin typeface="Tahoma"/>
              <a:ea typeface="Tahoma"/>
              <a:cs typeface="Tahoma"/>
            </a:rPr>
            <a:t>Перейти к заполнению</a:t>
          </a:r>
        </a:p>
      </xdr:txBody>
    </xdr:sp>
    <xdr:clientData/>
  </xdr:twoCellAnchor>
  <xdr:twoCellAnchor editAs="oneCell">
    <xdr:from>
      <xdr:col>4</xdr:col>
      <xdr:colOff>1743075</xdr:colOff>
      <xdr:row>4</xdr:row>
      <xdr:rowOff>9525</xdr:rowOff>
    </xdr:from>
    <xdr:to>
      <xdr:col>4</xdr:col>
      <xdr:colOff>2314575</xdr:colOff>
      <xdr:row>5</xdr:row>
      <xdr:rowOff>142875</xdr:rowOff>
    </xdr:to>
    <xdr:pic macro="[0]!LIST_ORG.UPDATE_PLAN1X_DATA_HANDLER">
      <xdr:nvPicPr>
        <xdr:cNvPr id="1428335" name="REGION_ASSISTANT" descr="update_org.png">
          <a:hlinkClick xmlns:r="http://schemas.openxmlformats.org/officeDocument/2006/relationships" r:id="rId8" tooltip="Обратиться за помощью"/>
        </xdr:cNvPr>
        <xdr:cNvPicPr>
          <a:picLocks noChangeAspect="1"/>
        </xdr:cNvPicPr>
      </xdr:nvPicPr>
      <xdr:blipFill>
        <a:blip xmlns:r="http://schemas.openxmlformats.org/officeDocument/2006/relationships" r:embed="rId9"/>
        <a:srcRect/>
        <a:stretch>
          <a:fillRect/>
        </a:stretch>
      </xdr:blipFill>
      <xdr:spPr bwMode="auto">
        <a:xfrm>
          <a:off x="5629275" y="847725"/>
          <a:ext cx="571500" cy="571500"/>
        </a:xfrm>
        <a:prstGeom prst="rect">
          <a:avLst/>
        </a:prstGeom>
        <a:noFill/>
        <a:ln w="9525">
          <a:noFill/>
          <a:miter lim="800000"/>
          <a:headEnd/>
          <a:tailEnd/>
        </a:ln>
      </xdr:spPr>
    </xdr:pic>
    <xdr:clientData/>
  </xdr:twoCellAnchor>
  <xdr:twoCellAnchor editAs="oneCell">
    <xdr:from>
      <xdr:col>4</xdr:col>
      <xdr:colOff>2466975</xdr:colOff>
      <xdr:row>348</xdr:row>
      <xdr:rowOff>9525</xdr:rowOff>
    </xdr:from>
    <xdr:to>
      <xdr:col>6</xdr:col>
      <xdr:colOff>85725</xdr:colOff>
      <xdr:row>349</xdr:row>
      <xdr:rowOff>38100</xdr:rowOff>
    </xdr:to>
    <xdr:pic>
      <xdr:nvPicPr>
        <xdr:cNvPr id="1428336" name="UPDATE_REESTR_MO_PIC" descr="update_mo.png" hidden="1"/>
        <xdr:cNvPicPr>
          <a:picLocks noChangeAspect="1"/>
        </xdr:cNvPicPr>
      </xdr:nvPicPr>
      <xdr:blipFill>
        <a:blip xmlns:r="http://schemas.openxmlformats.org/officeDocument/2006/relationships" r:embed="rId10"/>
        <a:srcRect/>
        <a:stretch>
          <a:fillRect/>
        </a:stretch>
      </xdr:blipFill>
      <xdr:spPr bwMode="auto">
        <a:xfrm>
          <a:off x="6353175" y="63903225"/>
          <a:ext cx="209550" cy="209550"/>
        </a:xfrm>
        <a:prstGeom prst="rect">
          <a:avLst/>
        </a:prstGeom>
        <a:noFill/>
        <a:ln w="9525">
          <a:noFill/>
          <a:miter lim="800000"/>
          <a:headEnd/>
          <a:tailEnd/>
        </a:ln>
      </xdr:spPr>
    </xdr:pic>
    <xdr:clientData/>
  </xdr:twoCellAnchor>
  <xdr:twoCellAnchor editAs="oneCell">
    <xdr:from>
      <xdr:col>4</xdr:col>
      <xdr:colOff>2466975</xdr:colOff>
      <xdr:row>348</xdr:row>
      <xdr:rowOff>9525</xdr:rowOff>
    </xdr:from>
    <xdr:to>
      <xdr:col>6</xdr:col>
      <xdr:colOff>85725</xdr:colOff>
      <xdr:row>349</xdr:row>
      <xdr:rowOff>38100</xdr:rowOff>
    </xdr:to>
    <xdr:pic>
      <xdr:nvPicPr>
        <xdr:cNvPr id="1428337" name="UPDATE_DATA_PIC" descr="update_org.png" hidden="1"/>
        <xdr:cNvPicPr>
          <a:picLocks noChangeAspect="1"/>
        </xdr:cNvPicPr>
      </xdr:nvPicPr>
      <xdr:blipFill>
        <a:blip xmlns:r="http://schemas.openxmlformats.org/officeDocument/2006/relationships" r:embed="rId11"/>
        <a:srcRect/>
        <a:stretch>
          <a:fillRect/>
        </a:stretch>
      </xdr:blipFill>
      <xdr:spPr bwMode="auto">
        <a:xfrm>
          <a:off x="6353175" y="63903225"/>
          <a:ext cx="209550" cy="209550"/>
        </a:xfrm>
        <a:prstGeom prst="rect">
          <a:avLst/>
        </a:prstGeom>
        <a:noFill/>
        <a:ln w="9525">
          <a:noFill/>
          <a:miter lim="800000"/>
          <a:headEnd/>
          <a:tailEnd/>
        </a:ln>
      </xdr:spPr>
    </xdr:pic>
    <xdr:clientData/>
  </xdr:twoCellAnchor>
  <xdr:twoCellAnchor editAs="oneCell">
    <xdr:from>
      <xdr:col>4</xdr:col>
      <xdr:colOff>2463800</xdr:colOff>
      <xdr:row>396</xdr:row>
      <xdr:rowOff>53975</xdr:rowOff>
    </xdr:from>
    <xdr:to>
      <xdr:col>9</xdr:col>
      <xdr:colOff>492125</xdr:colOff>
      <xdr:row>397</xdr:row>
      <xdr:rowOff>82403</xdr:rowOff>
    </xdr:to>
    <xdr:sp macro="[0]!Instruction.IMPROVED_PALETTE" textlink="">
      <xdr:nvSpPr>
        <xdr:cNvPr id="2" name="IMPROVED_PALETTE" hidden="1"/>
        <xdr:cNvSpPr>
          <a:spLocks noChangeArrowheads="1"/>
        </xdr:cNvSpPr>
      </xdr:nvSpPr>
      <xdr:spPr bwMode="auto">
        <a:xfrm>
          <a:off x="6350000" y="63500000"/>
          <a:ext cx="2019300" cy="209403"/>
        </a:xfrm>
        <a:prstGeom prst="roundRect">
          <a:avLst>
            <a:gd name="adj" fmla="val 16667"/>
          </a:avLst>
        </a:prstGeom>
        <a:gradFill rotWithShape="1">
          <a:gsLst>
            <a:gs pos="0">
              <a:srgbClr val="FFFFFF"/>
            </a:gs>
            <a:gs pos="11000">
              <a:srgbClr val="BFBFBF"/>
            </a:gs>
            <a:gs pos="100000">
              <a:srgbClr val="FFFFFF"/>
            </a:gs>
          </a:gsLst>
          <a:lin ang="16200000" scaled="1"/>
        </a:gradFill>
        <a:ln w="9525" algn="ctr">
          <a:solidFill>
            <a:srgbClr val="7F7F7F"/>
          </a:solidFill>
          <a:round/>
          <a:headEnd/>
          <a:tailEnd/>
        </a:ln>
        <a:effectLst>
          <a:outerShdw dist="20000" dir="5400000" rotWithShape="0">
            <a:srgbClr val="000000">
              <a:alpha val="37999"/>
            </a:srgbClr>
          </a:outerShdw>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По-умолчанию</a:t>
          </a:r>
        </a:p>
      </xdr:txBody>
    </xdr:sp>
    <xdr:clientData/>
  </xdr:twoCellAnchor>
  <xdr:twoCellAnchor editAs="oneCell">
    <xdr:from>
      <xdr:col>4</xdr:col>
      <xdr:colOff>2463800</xdr:colOff>
      <xdr:row>396</xdr:row>
      <xdr:rowOff>53975</xdr:rowOff>
    </xdr:from>
    <xdr:to>
      <xdr:col>9</xdr:col>
      <xdr:colOff>492125</xdr:colOff>
      <xdr:row>397</xdr:row>
      <xdr:rowOff>82404</xdr:rowOff>
    </xdr:to>
    <xdr:sp macro="[0]!Instruction.STANDARD_PALETTE" textlink="">
      <xdr:nvSpPr>
        <xdr:cNvPr id="3" name="STANDARD_PALETTE" hidden="1"/>
        <xdr:cNvSpPr>
          <a:spLocks noChangeArrowheads="1"/>
        </xdr:cNvSpPr>
      </xdr:nvSpPr>
      <xdr:spPr bwMode="auto">
        <a:xfrm>
          <a:off x="6350000" y="63500000"/>
          <a:ext cx="2019300" cy="209404"/>
        </a:xfrm>
        <a:prstGeom prst="roundRect">
          <a:avLst>
            <a:gd name="adj" fmla="val 16667"/>
          </a:avLst>
        </a:prstGeom>
        <a:gradFill rotWithShape="1">
          <a:gsLst>
            <a:gs pos="0">
              <a:srgbClr val="FFFFFF"/>
            </a:gs>
            <a:gs pos="11000">
              <a:srgbClr val="BFBFBF"/>
            </a:gs>
            <a:gs pos="100000">
              <a:srgbClr val="FFFFFF"/>
            </a:gs>
          </a:gsLst>
          <a:lin ang="16200000" scaled="1"/>
        </a:gradFill>
        <a:ln w="9525" algn="ctr">
          <a:solidFill>
            <a:srgbClr val="7F7F7F"/>
          </a:solidFill>
          <a:round/>
          <a:headEnd/>
          <a:tailEnd/>
        </a:ln>
        <a:effectLst>
          <a:outerShdw dist="20000" dir="5400000" rotWithShape="0">
            <a:srgbClr val="000000">
              <a:alpha val="37999"/>
            </a:srgbClr>
          </a:outerShdw>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Стандартные цвета</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219075</xdr:rowOff>
    </xdr:to>
    <xdr:pic macro="[0]!TechSheet.FREEZE_PANES">
      <xdr:nvPicPr>
        <xdr:cNvPr id="1318113"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219075</xdr:rowOff>
    </xdr:to>
    <xdr:pic macro="[0]!TechSheet.FREEZE_PANES">
      <xdr:nvPicPr>
        <xdr:cNvPr id="1319137"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209550</xdr:rowOff>
    </xdr:to>
    <xdr:pic macro="[0]!TechSheet.FREEZE_PANES">
      <xdr:nvPicPr>
        <xdr:cNvPr id="1417327"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209550</xdr:rowOff>
    </xdr:to>
    <xdr:pic macro="[0]!TechSheet.FREEZE_PANES">
      <xdr:nvPicPr>
        <xdr:cNvPr id="1320161"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219075</xdr:rowOff>
    </xdr:to>
    <xdr:pic macro="[0]!TechSheet.FREEZE_PANES">
      <xdr:nvPicPr>
        <xdr:cNvPr id="1321185"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219075</xdr:rowOff>
    </xdr:to>
    <xdr:pic macro="[0]!TechSheet.FREEZE_PANES">
      <xdr:nvPicPr>
        <xdr:cNvPr id="1322209"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38</xdr:col>
      <xdr:colOff>9525</xdr:colOff>
      <xdr:row>8</xdr:row>
      <xdr:rowOff>209550</xdr:rowOff>
    </xdr:to>
    <xdr:pic macro="[0]!TechSheet.FREEZE_PANES">
      <xdr:nvPicPr>
        <xdr:cNvPr id="1323346"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38</xdr:col>
      <xdr:colOff>9525</xdr:colOff>
      <xdr:row>8</xdr:row>
      <xdr:rowOff>219075</xdr:rowOff>
    </xdr:to>
    <xdr:pic macro="[0]!TechSheet.FREEZE_PANES">
      <xdr:nvPicPr>
        <xdr:cNvPr id="1324257"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38</xdr:col>
      <xdr:colOff>9525</xdr:colOff>
      <xdr:row>8</xdr:row>
      <xdr:rowOff>219075</xdr:rowOff>
    </xdr:to>
    <xdr:pic macro="[0]!TechSheet.FREEZE_PANES">
      <xdr:nvPicPr>
        <xdr:cNvPr id="1325281"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371475</xdr:colOff>
      <xdr:row>4</xdr:row>
      <xdr:rowOff>171450</xdr:rowOff>
    </xdr:to>
    <xdr:pic macro="[0]!TechSheet.FREEZE_PANES">
      <xdr:nvPicPr>
        <xdr:cNvPr id="1156325"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243840</xdr:colOff>
      <xdr:row>23</xdr:row>
      <xdr:rowOff>144780</xdr:rowOff>
    </xdr:from>
    <xdr:to>
      <xdr:col>11</xdr:col>
      <xdr:colOff>97515</xdr:colOff>
      <xdr:row>23</xdr:row>
      <xdr:rowOff>472440</xdr:rowOff>
    </xdr:to>
    <xdr:sp macro="[0]!SHEET_UPDATE_INSTRUCTION.cmdShowHideUpdateLog_Click" textlink="">
      <xdr:nvSpPr>
        <xdr:cNvPr id="2" name="cmdShowHideUpdateLog"/>
        <xdr:cNvSpPr/>
      </xdr:nvSpPr>
      <xdr:spPr>
        <a:xfrm>
          <a:off x="3034665" y="3154680"/>
          <a:ext cx="2444475" cy="327660"/>
        </a:xfrm>
        <a:prstGeom prst="roundRect">
          <a:avLst/>
        </a:prstGeom>
        <a:gradFill>
          <a:gsLst>
            <a:gs pos="0">
              <a:schemeClr val="bg1"/>
            </a:gs>
            <a:gs pos="11000">
              <a:schemeClr val="bg1">
                <a:lumMod val="75000"/>
              </a:schemeClr>
            </a:gs>
            <a:gs pos="100000">
              <a:schemeClr val="bg1"/>
            </a:gs>
          </a:gsLst>
        </a:gradFill>
        <a:ln>
          <a:solidFill>
            <a:schemeClr val="bg1">
              <a:lumMod val="50000"/>
            </a:schemeClr>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rtl="0">
            <a:defRPr sz="1000"/>
          </a:pPr>
          <a:r>
            <a:rPr lang="ru-RU" sz="900" b="0" i="0" u="none" strike="noStrike" baseline="0">
              <a:solidFill>
                <a:srgbClr val="000000"/>
              </a:solidFill>
              <a:latin typeface="Tahoma"/>
              <a:ea typeface="Tahoma"/>
              <a:cs typeface="Tahoma"/>
            </a:rPr>
            <a:t>Показать/скрыть лог обновления</a:t>
          </a:r>
        </a:p>
      </xdr:txBody>
    </xdr:sp>
    <xdr:clientData/>
  </xdr:twoCellAnchor>
  <xdr:twoCellAnchor>
    <xdr:from>
      <xdr:col>3</xdr:col>
      <xdr:colOff>22860</xdr:colOff>
      <xdr:row>23</xdr:row>
      <xdr:rowOff>139065</xdr:rowOff>
    </xdr:from>
    <xdr:to>
      <xdr:col>7</xdr:col>
      <xdr:colOff>28935</xdr:colOff>
      <xdr:row>23</xdr:row>
      <xdr:rowOff>466725</xdr:rowOff>
    </xdr:to>
    <xdr:sp macro="[0]!SHEET_UPDATE_INSTRUCTION.cmdGetUpdate_Click" textlink="">
      <xdr:nvSpPr>
        <xdr:cNvPr id="5" name="cmdUpdateCurrentVersion"/>
        <xdr:cNvSpPr/>
      </xdr:nvSpPr>
      <xdr:spPr>
        <a:xfrm>
          <a:off x="375285" y="3148965"/>
          <a:ext cx="2444475" cy="327660"/>
        </a:xfrm>
        <a:prstGeom prst="roundRect">
          <a:avLst/>
        </a:prstGeom>
        <a:gradFill>
          <a:gsLst>
            <a:gs pos="0">
              <a:schemeClr val="bg1"/>
            </a:gs>
            <a:gs pos="11000">
              <a:schemeClr val="bg1">
                <a:lumMod val="75000"/>
              </a:schemeClr>
            </a:gs>
            <a:gs pos="100000">
              <a:schemeClr val="bg1"/>
            </a:gs>
          </a:gsLst>
        </a:gradFill>
        <a:ln>
          <a:solidFill>
            <a:schemeClr val="bg1">
              <a:lumMod val="50000"/>
            </a:schemeClr>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rtl="0">
            <a:defRPr sz="1000"/>
          </a:pPr>
          <a:r>
            <a:rPr lang="ru-RU" sz="900" b="0" i="0" u="none" strike="noStrike" baseline="0">
              <a:solidFill>
                <a:srgbClr val="000000"/>
              </a:solidFill>
              <a:latin typeface="Tahoma"/>
              <a:ea typeface="Tahoma"/>
              <a:cs typeface="Tahoma"/>
            </a:rPr>
            <a:t>Обновить текущую версию шаблона</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371475</xdr:colOff>
      <xdr:row>4</xdr:row>
      <xdr:rowOff>171450</xdr:rowOff>
    </xdr:to>
    <xdr:pic macro="[0]!TechSheet.FREEZE_PANES">
      <xdr:nvPicPr>
        <xdr:cNvPr id="1181923"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371475</xdr:colOff>
      <xdr:row>4</xdr:row>
      <xdr:rowOff>171450</xdr:rowOff>
    </xdr:to>
    <xdr:pic macro="[0]!TechSheet.FREEZE_PANES">
      <xdr:nvPicPr>
        <xdr:cNvPr id="1182947"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371475</xdr:colOff>
      <xdr:row>4</xdr:row>
      <xdr:rowOff>200025</xdr:rowOff>
    </xdr:to>
    <xdr:pic macro="[0]!TechSheet.FREEZE_PANES">
      <xdr:nvPicPr>
        <xdr:cNvPr id="1024232"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371475</xdr:colOff>
      <xdr:row>4</xdr:row>
      <xdr:rowOff>171450</xdr:rowOff>
    </xdr:to>
    <xdr:pic macro="[0]!TechSheet.FREEZE_PANES">
      <xdr:nvPicPr>
        <xdr:cNvPr id="1025399"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3337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371475</xdr:colOff>
      <xdr:row>4</xdr:row>
      <xdr:rowOff>171450</xdr:rowOff>
    </xdr:to>
    <xdr:pic macro="[0]!TechSheet.FREEZE_PANES">
      <xdr:nvPicPr>
        <xdr:cNvPr id="1026393"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3337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371475</xdr:colOff>
      <xdr:row>118</xdr:row>
      <xdr:rowOff>190500</xdr:rowOff>
    </xdr:to>
    <xdr:pic macro="[0]!TechSheet.FREEZE_PANES">
      <xdr:nvPicPr>
        <xdr:cNvPr id="1048815"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4290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371475</xdr:colOff>
      <xdr:row>119</xdr:row>
      <xdr:rowOff>200025</xdr:rowOff>
    </xdr:to>
    <xdr:pic macro="[0]!TechSheet.FREEZE_PANES">
      <xdr:nvPicPr>
        <xdr:cNvPr id="1049831"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4290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209550</xdr:rowOff>
    </xdr:to>
    <xdr:pic macro="[0]!TechSheet.FREEZE_PANES">
      <xdr:nvPicPr>
        <xdr:cNvPr id="1342979"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twoCellAnchor editAs="oneCell">
    <xdr:from>
      <xdr:col>40</xdr:col>
      <xdr:colOff>3533775</xdr:colOff>
      <xdr:row>11</xdr:row>
      <xdr:rowOff>19050</xdr:rowOff>
    </xdr:from>
    <xdr:to>
      <xdr:col>40</xdr:col>
      <xdr:colOff>3895725</xdr:colOff>
      <xdr:row>11</xdr:row>
      <xdr:rowOff>381000</xdr:rowOff>
    </xdr:to>
    <xdr:pic macro="[0]!modDF.DF_REGION_ASSISTANT">
      <xdr:nvPicPr>
        <xdr:cNvPr id="1342980" name="CHECKOUT_REGIONAL_DATA" descr="preload.png"/>
        <xdr:cNvPicPr>
          <a:picLocks noChangeAspect="1"/>
        </xdr:cNvPicPr>
      </xdr:nvPicPr>
      <xdr:blipFill>
        <a:blip xmlns:r="http://schemas.openxmlformats.org/officeDocument/2006/relationships" r:embed="rId2"/>
        <a:srcRect/>
        <a:stretch>
          <a:fillRect/>
        </a:stretch>
      </xdr:blipFill>
      <xdr:spPr bwMode="auto">
        <a:xfrm>
          <a:off x="4810125" y="828675"/>
          <a:ext cx="361950" cy="361950"/>
        </a:xfrm>
        <a:prstGeom prst="rect">
          <a:avLst/>
        </a:prstGeom>
        <a:noFill/>
        <a:ln w="9525">
          <a:noFill/>
          <a:miter lim="800000"/>
          <a:headEnd/>
          <a:tailEnd/>
        </a:ln>
      </xdr:spPr>
    </xdr:pic>
    <xdr:clientData/>
  </xdr:twoCellAnchor>
  <xdr:twoCellAnchor editAs="oneCell">
    <xdr:from>
      <xdr:col>40</xdr:col>
      <xdr:colOff>3543300</xdr:colOff>
      <xdr:row>11</xdr:row>
      <xdr:rowOff>352425</xdr:rowOff>
    </xdr:from>
    <xdr:to>
      <xdr:col>40</xdr:col>
      <xdr:colOff>3905250</xdr:colOff>
      <xdr:row>11</xdr:row>
      <xdr:rowOff>438150</xdr:rowOff>
    </xdr:to>
    <xdr:pic>
      <xdr:nvPicPr>
        <xdr:cNvPr id="1342981" name="Note_CHECKOUT_REGIONAL" descr="stub.png">
          <a:hlinkClick xmlns:r="http://schemas.openxmlformats.org/officeDocument/2006/relationships" r:id="rId3" tooltip="Выполнить автозаполнение шаблона данными из регионального сегмента"/>
        </xdr:cNvPr>
        <xdr:cNvPicPr>
          <a:picLocks noChangeAspect="1"/>
        </xdr:cNvPicPr>
      </xdr:nvPicPr>
      <xdr:blipFill>
        <a:blip xmlns:r="http://schemas.openxmlformats.org/officeDocument/2006/relationships" r:embed="rId4"/>
        <a:srcRect/>
        <a:stretch>
          <a:fillRect/>
        </a:stretch>
      </xdr:blipFill>
      <xdr:spPr bwMode="auto">
        <a:xfrm>
          <a:off x="4819650" y="1162050"/>
          <a:ext cx="361950" cy="85725"/>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209550</xdr:rowOff>
    </xdr:to>
    <xdr:pic macro="[0]!TechSheet.FREEZE_PANES">
      <xdr:nvPicPr>
        <xdr:cNvPr id="1326305"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219075</xdr:rowOff>
    </xdr:to>
    <xdr:pic macro="[0]!TechSheet.FREEZE_PANES">
      <xdr:nvPicPr>
        <xdr:cNvPr id="1327459"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287655</xdr:colOff>
      <xdr:row>0</xdr:row>
      <xdr:rowOff>106680</xdr:rowOff>
    </xdr:from>
    <xdr:to>
      <xdr:col>6</xdr:col>
      <xdr:colOff>240030</xdr:colOff>
      <xdr:row>1</xdr:row>
      <xdr:rowOff>289560</xdr:rowOff>
    </xdr:to>
    <xdr:sp macro="[0]!modUpdTemplLogger.cmdClearLog_Click" textlink="">
      <xdr:nvSpPr>
        <xdr:cNvPr id="4" name="cmdClearLog"/>
        <xdr:cNvSpPr/>
      </xdr:nvSpPr>
      <xdr:spPr>
        <a:xfrm>
          <a:off x="10622280" y="106680"/>
          <a:ext cx="1323975" cy="325755"/>
        </a:xfrm>
        <a:prstGeom prst="roundRect">
          <a:avLst/>
        </a:prstGeom>
        <a:gradFill>
          <a:gsLst>
            <a:gs pos="0">
              <a:schemeClr val="bg1"/>
            </a:gs>
            <a:gs pos="11000">
              <a:schemeClr val="bg1">
                <a:lumMod val="75000"/>
              </a:schemeClr>
            </a:gs>
            <a:gs pos="100000">
              <a:schemeClr val="bg1"/>
            </a:gs>
          </a:gsLst>
        </a:gradFill>
        <a:ln>
          <a:solidFill>
            <a:schemeClr val="bg1">
              <a:lumMod val="50000"/>
            </a:schemeClr>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rtl="0">
            <a:defRPr sz="1000"/>
          </a:pPr>
          <a:r>
            <a:rPr lang="ru-RU" sz="900" b="0" i="0" u="none" strike="noStrike" baseline="0">
              <a:solidFill>
                <a:srgbClr val="000000"/>
              </a:solidFill>
              <a:latin typeface="Tahoma"/>
              <a:ea typeface="Tahoma"/>
              <a:cs typeface="Tahoma"/>
            </a:rPr>
            <a:t>Очистить историю </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219075</xdr:rowOff>
    </xdr:to>
    <xdr:pic macro="[0]!TechSheet.FREEZE_PANES">
      <xdr:nvPicPr>
        <xdr:cNvPr id="1328353"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219075</xdr:rowOff>
    </xdr:to>
    <xdr:pic macro="[0]!TechSheet.FREEZE_PANES">
      <xdr:nvPicPr>
        <xdr:cNvPr id="1329377"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209550</xdr:rowOff>
    </xdr:to>
    <xdr:pic macro="[0]!TechSheet.FREEZE_PANES">
      <xdr:nvPicPr>
        <xdr:cNvPr id="1419360"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219075</xdr:rowOff>
    </xdr:to>
    <xdr:pic macro="[0]!TechSheet.FREEZE_PANES">
      <xdr:nvPicPr>
        <xdr:cNvPr id="1420385"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219075</xdr:rowOff>
    </xdr:to>
    <xdr:pic macro="[0]!TechSheet.FREEZE_PANES">
      <xdr:nvPicPr>
        <xdr:cNvPr id="1421408"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219075</xdr:rowOff>
    </xdr:to>
    <xdr:pic macro="[0]!TechSheet.FREEZE_PANES">
      <xdr:nvPicPr>
        <xdr:cNvPr id="1422432"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371475</xdr:colOff>
      <xdr:row>4</xdr:row>
      <xdr:rowOff>171450</xdr:rowOff>
    </xdr:to>
    <xdr:pic macro="[0]!TechSheet.FREEZE_PANES">
      <xdr:nvPicPr>
        <xdr:cNvPr id="1293539"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371475</xdr:colOff>
      <xdr:row>4</xdr:row>
      <xdr:rowOff>171450</xdr:rowOff>
    </xdr:to>
    <xdr:pic macro="[0]!TechSheet.FREEZE_PANES">
      <xdr:nvPicPr>
        <xdr:cNvPr id="1296611"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371475</xdr:colOff>
      <xdr:row>4</xdr:row>
      <xdr:rowOff>171450</xdr:rowOff>
    </xdr:to>
    <xdr:pic macro="[0]!TechSheet.FREEZE_PANES">
      <xdr:nvPicPr>
        <xdr:cNvPr id="1298659"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371475</xdr:colOff>
      <xdr:row>4</xdr:row>
      <xdr:rowOff>171450</xdr:rowOff>
    </xdr:to>
    <xdr:pic macro="[0]!TechSheet.FREEZE_PANES">
      <xdr:nvPicPr>
        <xdr:cNvPr id="1295591"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333375</xdr:colOff>
      <xdr:row>2</xdr:row>
      <xdr:rowOff>28575</xdr:rowOff>
    </xdr:from>
    <xdr:to>
      <xdr:col>6</xdr:col>
      <xdr:colOff>247650</xdr:colOff>
      <xdr:row>4</xdr:row>
      <xdr:rowOff>47625</xdr:rowOff>
    </xdr:to>
    <xdr:pic macro="[0]!LIST_ORG.UPDATE_MO_HANDLER">
      <xdr:nvPicPr>
        <xdr:cNvPr id="1419095" name="UPDATE_REESTR_MO" descr="update_mo.png"/>
        <xdr:cNvPicPr>
          <a:picLocks noChangeAspect="1"/>
        </xdr:cNvPicPr>
      </xdr:nvPicPr>
      <xdr:blipFill>
        <a:blip xmlns:r="http://schemas.openxmlformats.org/officeDocument/2006/relationships" r:embed="rId1"/>
        <a:srcRect/>
        <a:stretch>
          <a:fillRect/>
        </a:stretch>
      </xdr:blipFill>
      <xdr:spPr bwMode="auto">
        <a:xfrm>
          <a:off x="828675" y="409575"/>
          <a:ext cx="361950" cy="361950"/>
        </a:xfrm>
        <a:prstGeom prst="rect">
          <a:avLst/>
        </a:prstGeom>
        <a:noFill/>
        <a:ln w="9525">
          <a:noFill/>
          <a:miter lim="800000"/>
          <a:headEnd/>
          <a:tailEnd/>
        </a:ln>
      </xdr:spPr>
    </xdr:pic>
    <xdr:clientData/>
  </xdr:twoCellAnchor>
  <xdr:twoCellAnchor editAs="oneCell">
    <xdr:from>
      <xdr:col>7</xdr:col>
      <xdr:colOff>247650</xdr:colOff>
      <xdr:row>2</xdr:row>
      <xdr:rowOff>28575</xdr:rowOff>
    </xdr:from>
    <xdr:to>
      <xdr:col>7</xdr:col>
      <xdr:colOff>609600</xdr:colOff>
      <xdr:row>4</xdr:row>
      <xdr:rowOff>47625</xdr:rowOff>
    </xdr:to>
    <xdr:pic macro="[0]!LIST_ORG.UPDATE_CHECKOUT_PLAN1X_DATA_HANDLER">
      <xdr:nvPicPr>
        <xdr:cNvPr id="1419096" name="CHECKOUT_PLAN12_DATA" descr="preload.png"/>
        <xdr:cNvPicPr>
          <a:picLocks noChangeAspect="1"/>
        </xdr:cNvPicPr>
      </xdr:nvPicPr>
      <xdr:blipFill>
        <a:blip xmlns:r="http://schemas.openxmlformats.org/officeDocument/2006/relationships" r:embed="rId2"/>
        <a:srcRect/>
        <a:stretch>
          <a:fillRect/>
        </a:stretch>
      </xdr:blipFill>
      <xdr:spPr bwMode="auto">
        <a:xfrm>
          <a:off x="2105025" y="409575"/>
          <a:ext cx="361950" cy="361950"/>
        </a:xfrm>
        <a:prstGeom prst="rect">
          <a:avLst/>
        </a:prstGeom>
        <a:noFill/>
        <a:ln w="9525">
          <a:noFill/>
          <a:miter lim="800000"/>
          <a:headEnd/>
          <a:tailEnd/>
        </a:ln>
      </xdr:spPr>
    </xdr:pic>
    <xdr:clientData/>
  </xdr:twoCellAnchor>
  <xdr:twoCellAnchor editAs="oneCell">
    <xdr:from>
      <xdr:col>6</xdr:col>
      <xdr:colOff>523875</xdr:colOff>
      <xdr:row>2</xdr:row>
      <xdr:rowOff>28575</xdr:rowOff>
    </xdr:from>
    <xdr:to>
      <xdr:col>6</xdr:col>
      <xdr:colOff>885825</xdr:colOff>
      <xdr:row>4</xdr:row>
      <xdr:rowOff>47625</xdr:rowOff>
    </xdr:to>
    <xdr:pic macro="[0]!LIST_ORG.UPDATE_PLAN1X_DATA_HANDLER">
      <xdr:nvPicPr>
        <xdr:cNvPr id="1419097" name="UPDATE_PLAN12_DATA" descr="update_org.png"/>
        <xdr:cNvPicPr>
          <a:picLocks noChangeAspect="1"/>
        </xdr:cNvPicPr>
      </xdr:nvPicPr>
      <xdr:blipFill>
        <a:blip xmlns:r="http://schemas.openxmlformats.org/officeDocument/2006/relationships" r:embed="rId3"/>
        <a:srcRect/>
        <a:stretch>
          <a:fillRect/>
        </a:stretch>
      </xdr:blipFill>
      <xdr:spPr bwMode="auto">
        <a:xfrm>
          <a:off x="1466850" y="409575"/>
          <a:ext cx="361950" cy="361950"/>
        </a:xfrm>
        <a:prstGeom prst="rect">
          <a:avLst/>
        </a:prstGeom>
        <a:noFill/>
        <a:ln w="9525">
          <a:noFill/>
          <a:miter lim="800000"/>
          <a:headEnd/>
          <a:tailEnd/>
        </a:ln>
      </xdr:spPr>
    </xdr:pic>
    <xdr:clientData/>
  </xdr:twoCellAnchor>
  <xdr:twoCellAnchor editAs="oneCell">
    <xdr:from>
      <xdr:col>5</xdr:col>
      <xdr:colOff>342900</xdr:colOff>
      <xdr:row>4</xdr:row>
      <xdr:rowOff>9525</xdr:rowOff>
    </xdr:from>
    <xdr:to>
      <xdr:col>6</xdr:col>
      <xdr:colOff>257175</xdr:colOff>
      <xdr:row>4</xdr:row>
      <xdr:rowOff>95250</xdr:rowOff>
    </xdr:to>
    <xdr:pic>
      <xdr:nvPicPr>
        <xdr:cNvPr id="1419098" name="Note_MO" descr="stub.png">
          <a:hlinkClick xmlns:r="http://schemas.openxmlformats.org/officeDocument/2006/relationships" r:id="rId4" tooltip="Обновить реестр МО"/>
        </xdr:cNvPr>
        <xdr:cNvPicPr>
          <a:picLocks noChangeAspect="1"/>
        </xdr:cNvPicPr>
      </xdr:nvPicPr>
      <xdr:blipFill>
        <a:blip xmlns:r="http://schemas.openxmlformats.org/officeDocument/2006/relationships" r:embed="rId5"/>
        <a:srcRect/>
        <a:stretch>
          <a:fillRect/>
        </a:stretch>
      </xdr:blipFill>
      <xdr:spPr bwMode="auto">
        <a:xfrm>
          <a:off x="838200" y="733425"/>
          <a:ext cx="361950" cy="85725"/>
        </a:xfrm>
        <a:prstGeom prst="rect">
          <a:avLst/>
        </a:prstGeom>
        <a:noFill/>
        <a:ln w="9525">
          <a:noFill/>
          <a:miter lim="800000"/>
          <a:headEnd/>
          <a:tailEnd/>
        </a:ln>
      </xdr:spPr>
    </xdr:pic>
    <xdr:clientData/>
  </xdr:twoCellAnchor>
  <xdr:twoCellAnchor editAs="oneCell">
    <xdr:from>
      <xdr:col>7</xdr:col>
      <xdr:colOff>257175</xdr:colOff>
      <xdr:row>4</xdr:row>
      <xdr:rowOff>19050</xdr:rowOff>
    </xdr:from>
    <xdr:to>
      <xdr:col>7</xdr:col>
      <xdr:colOff>619125</xdr:colOff>
      <xdr:row>4</xdr:row>
      <xdr:rowOff>104775</xdr:rowOff>
    </xdr:to>
    <xdr:pic>
      <xdr:nvPicPr>
        <xdr:cNvPr id="1419099" name="Note_CHECKOUT_PLAN12" descr="stub.png">
          <a:hlinkClick xmlns:r="http://schemas.openxmlformats.org/officeDocument/2006/relationships" r:id="rId6" tooltip="Выполнить автозаполнение шаблона данными"/>
        </xdr:cNvPr>
        <xdr:cNvPicPr>
          <a:picLocks noChangeAspect="1"/>
        </xdr:cNvPicPr>
      </xdr:nvPicPr>
      <xdr:blipFill>
        <a:blip xmlns:r="http://schemas.openxmlformats.org/officeDocument/2006/relationships" r:embed="rId5"/>
        <a:srcRect/>
        <a:stretch>
          <a:fillRect/>
        </a:stretch>
      </xdr:blipFill>
      <xdr:spPr bwMode="auto">
        <a:xfrm>
          <a:off x="2114550" y="742950"/>
          <a:ext cx="361950" cy="85725"/>
        </a:xfrm>
        <a:prstGeom prst="rect">
          <a:avLst/>
        </a:prstGeom>
        <a:noFill/>
        <a:ln w="9525">
          <a:noFill/>
          <a:miter lim="800000"/>
          <a:headEnd/>
          <a:tailEnd/>
        </a:ln>
      </xdr:spPr>
    </xdr:pic>
    <xdr:clientData/>
  </xdr:twoCellAnchor>
  <xdr:twoCellAnchor editAs="oneCell">
    <xdr:from>
      <xdr:col>6</xdr:col>
      <xdr:colOff>523875</xdr:colOff>
      <xdr:row>4</xdr:row>
      <xdr:rowOff>28575</xdr:rowOff>
    </xdr:from>
    <xdr:to>
      <xdr:col>6</xdr:col>
      <xdr:colOff>885825</xdr:colOff>
      <xdr:row>4</xdr:row>
      <xdr:rowOff>114300</xdr:rowOff>
    </xdr:to>
    <xdr:pic>
      <xdr:nvPicPr>
        <xdr:cNvPr id="1419100" name="Note_PLAN12" descr="stub.png">
          <a:hlinkClick xmlns:r="http://schemas.openxmlformats.org/officeDocument/2006/relationships" r:id="rId7" tooltip="Обновить данные автозаполнения"/>
        </xdr:cNvPr>
        <xdr:cNvPicPr>
          <a:picLocks noChangeAspect="1"/>
        </xdr:cNvPicPr>
      </xdr:nvPicPr>
      <xdr:blipFill>
        <a:blip xmlns:r="http://schemas.openxmlformats.org/officeDocument/2006/relationships" r:embed="rId5"/>
        <a:srcRect/>
        <a:stretch>
          <a:fillRect/>
        </a:stretch>
      </xdr:blipFill>
      <xdr:spPr bwMode="auto">
        <a:xfrm>
          <a:off x="1466850" y="752475"/>
          <a:ext cx="361950" cy="85725"/>
        </a:xfrm>
        <a:prstGeom prst="rect">
          <a:avLst/>
        </a:prstGeom>
        <a:noFill/>
        <a:ln w="9525">
          <a:noFill/>
          <a:miter lim="800000"/>
          <a:headEnd/>
          <a:tailEnd/>
        </a:ln>
      </xdr:spPr>
    </xdr:pic>
    <xdr:clientData/>
  </xdr:twoCellAnchor>
  <xdr:twoCellAnchor editAs="oneCell">
    <xdr:from>
      <xdr:col>52</xdr:col>
      <xdr:colOff>1095375</xdr:colOff>
      <xdr:row>5</xdr:row>
      <xdr:rowOff>257175</xdr:rowOff>
    </xdr:from>
    <xdr:to>
      <xdr:col>53</xdr:col>
      <xdr:colOff>209550</xdr:colOff>
      <xdr:row>9</xdr:row>
      <xdr:rowOff>0</xdr:rowOff>
    </xdr:to>
    <xdr:pic>
      <xdr:nvPicPr>
        <xdr:cNvPr id="1419101" name="PHONE_PIC" descr="update_org.png"/>
        <xdr:cNvPicPr>
          <a:picLocks noChangeAspect="1"/>
        </xdr:cNvPicPr>
      </xdr:nvPicPr>
      <xdr:blipFill>
        <a:blip xmlns:r="http://schemas.openxmlformats.org/officeDocument/2006/relationships" r:embed="rId8"/>
        <a:srcRect/>
        <a:stretch>
          <a:fillRect/>
        </a:stretch>
      </xdr:blipFill>
      <xdr:spPr bwMode="auto">
        <a:xfrm>
          <a:off x="15316200" y="1133475"/>
          <a:ext cx="419100" cy="400050"/>
        </a:xfrm>
        <a:prstGeom prst="rect">
          <a:avLst/>
        </a:prstGeom>
        <a:noFill/>
        <a:ln w="9525">
          <a:noFill/>
          <a:miter lim="800000"/>
          <a:headEnd/>
          <a:tailEnd/>
        </a:ln>
      </xdr:spPr>
    </xdr:pic>
    <xdr:clientData/>
  </xdr:twoCellAnchor>
  <xdr:twoCellAnchor editAs="oneCell">
    <xdr:from>
      <xdr:col>2</xdr:col>
      <xdr:colOff>66675</xdr:colOff>
      <xdr:row>2</xdr:row>
      <xdr:rowOff>38100</xdr:rowOff>
    </xdr:from>
    <xdr:to>
      <xdr:col>4</xdr:col>
      <xdr:colOff>190500</xdr:colOff>
      <xdr:row>4</xdr:row>
      <xdr:rowOff>57150</xdr:rowOff>
    </xdr:to>
    <xdr:pic macro="[0]!TechSheet.FREEZE_PANES">
      <xdr:nvPicPr>
        <xdr:cNvPr id="1419102" name="FREEZE_PANES" descr="update_org.png"/>
        <xdr:cNvPicPr>
          <a:picLocks noChangeAspect="1"/>
        </xdr:cNvPicPr>
      </xdr:nvPicPr>
      <xdr:blipFill>
        <a:blip xmlns:r="http://schemas.openxmlformats.org/officeDocument/2006/relationships" r:embed="rId9">
          <a:grayscl/>
        </a:blip>
        <a:srcRect/>
        <a:stretch>
          <a:fillRect/>
        </a:stretch>
      </xdr:blipFill>
      <xdr:spPr bwMode="auto">
        <a:xfrm>
          <a:off x="66675" y="419100"/>
          <a:ext cx="371475" cy="361950"/>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371475</xdr:colOff>
      <xdr:row>4</xdr:row>
      <xdr:rowOff>171450</xdr:rowOff>
    </xdr:to>
    <xdr:pic macro="[0]!TechSheet.FREEZE_PANES">
      <xdr:nvPicPr>
        <xdr:cNvPr id="1297635"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371475</xdr:colOff>
      <xdr:row>4</xdr:row>
      <xdr:rowOff>171450</xdr:rowOff>
    </xdr:to>
    <xdr:pic macro="[0]!TechSheet.FREEZE_PANES">
      <xdr:nvPicPr>
        <xdr:cNvPr id="1299683"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371475</xdr:colOff>
      <xdr:row>118</xdr:row>
      <xdr:rowOff>190500</xdr:rowOff>
    </xdr:to>
    <xdr:pic macro="[0]!TechSheet.FREEZE_PANES">
      <xdr:nvPicPr>
        <xdr:cNvPr id="1208557"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42900"/>
        </a:xfrm>
        <a:prstGeom prst="rect">
          <a:avLst/>
        </a:prstGeom>
        <a:noFill/>
        <a:ln w="9525">
          <a:noFill/>
          <a:miter lim="800000"/>
          <a:headEnd/>
          <a:tailEnd/>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371475</xdr:colOff>
      <xdr:row>118</xdr:row>
      <xdr:rowOff>190500</xdr:rowOff>
    </xdr:to>
    <xdr:pic macro="[0]!TechSheet.FREEZE_PANES">
      <xdr:nvPicPr>
        <xdr:cNvPr id="1209580"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42900"/>
        </a:xfrm>
        <a:prstGeom prst="rect">
          <a:avLst/>
        </a:prstGeom>
        <a:noFill/>
        <a:ln w="9525">
          <a:noFill/>
          <a:miter lim="800000"/>
          <a:headEnd/>
          <a:tailEnd/>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209550</xdr:rowOff>
    </xdr:to>
    <xdr:pic macro="[0]!TechSheet.FREEZE_PANES">
      <xdr:nvPicPr>
        <xdr:cNvPr id="1344003"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twoCellAnchor editAs="oneCell">
    <xdr:from>
      <xdr:col>40</xdr:col>
      <xdr:colOff>3524250</xdr:colOff>
      <xdr:row>11</xdr:row>
      <xdr:rowOff>9525</xdr:rowOff>
    </xdr:from>
    <xdr:to>
      <xdr:col>40</xdr:col>
      <xdr:colOff>3886200</xdr:colOff>
      <xdr:row>11</xdr:row>
      <xdr:rowOff>371475</xdr:rowOff>
    </xdr:to>
    <xdr:pic macro="[0]!modDF.DF_REGION_ASSISTANT">
      <xdr:nvPicPr>
        <xdr:cNvPr id="1344004" name="CHECKOUT_REGIONAL_DATA" descr="preload.png"/>
        <xdr:cNvPicPr>
          <a:picLocks noChangeAspect="1"/>
        </xdr:cNvPicPr>
      </xdr:nvPicPr>
      <xdr:blipFill>
        <a:blip xmlns:r="http://schemas.openxmlformats.org/officeDocument/2006/relationships" r:embed="rId2"/>
        <a:srcRect/>
        <a:stretch>
          <a:fillRect/>
        </a:stretch>
      </xdr:blipFill>
      <xdr:spPr bwMode="auto">
        <a:xfrm>
          <a:off x="4800600" y="819150"/>
          <a:ext cx="361950" cy="361950"/>
        </a:xfrm>
        <a:prstGeom prst="rect">
          <a:avLst/>
        </a:prstGeom>
        <a:noFill/>
        <a:ln w="9525">
          <a:noFill/>
          <a:miter lim="800000"/>
          <a:headEnd/>
          <a:tailEnd/>
        </a:ln>
      </xdr:spPr>
    </xdr:pic>
    <xdr:clientData/>
  </xdr:twoCellAnchor>
  <xdr:twoCellAnchor editAs="oneCell">
    <xdr:from>
      <xdr:col>40</xdr:col>
      <xdr:colOff>3533775</xdr:colOff>
      <xdr:row>11</xdr:row>
      <xdr:rowOff>342900</xdr:rowOff>
    </xdr:from>
    <xdr:to>
      <xdr:col>40</xdr:col>
      <xdr:colOff>3895725</xdr:colOff>
      <xdr:row>11</xdr:row>
      <xdr:rowOff>428625</xdr:rowOff>
    </xdr:to>
    <xdr:pic>
      <xdr:nvPicPr>
        <xdr:cNvPr id="1344005" name="Note_CHECKOUT_REGIONAL" descr="stub.png">
          <a:hlinkClick xmlns:r="http://schemas.openxmlformats.org/officeDocument/2006/relationships" r:id="rId3" tooltip="Выполнить автозаполнение шаблона данными из регионального сегмента"/>
        </xdr:cNvPr>
        <xdr:cNvPicPr>
          <a:picLocks noChangeAspect="1"/>
        </xdr:cNvPicPr>
      </xdr:nvPicPr>
      <xdr:blipFill>
        <a:blip xmlns:r="http://schemas.openxmlformats.org/officeDocument/2006/relationships" r:embed="rId4"/>
        <a:srcRect/>
        <a:stretch>
          <a:fillRect/>
        </a:stretch>
      </xdr:blipFill>
      <xdr:spPr bwMode="auto">
        <a:xfrm>
          <a:off x="4810125" y="1152525"/>
          <a:ext cx="361950" cy="85725"/>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209550</xdr:rowOff>
    </xdr:to>
    <xdr:pic macro="[0]!TechSheet.FREEZE_PANES">
      <xdr:nvPicPr>
        <xdr:cNvPr id="1330401"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219075</xdr:rowOff>
    </xdr:to>
    <xdr:pic macro="[0]!TechSheet.FREEZE_PANES">
      <xdr:nvPicPr>
        <xdr:cNvPr id="1331555"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219075</xdr:rowOff>
    </xdr:to>
    <xdr:pic macro="[0]!TechSheet.FREEZE_PANES">
      <xdr:nvPicPr>
        <xdr:cNvPr id="1332449"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219075</xdr:rowOff>
    </xdr:to>
    <xdr:pic macro="[0]!TechSheet.FREEZE_PANES">
      <xdr:nvPicPr>
        <xdr:cNvPr id="1333473"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209550</xdr:rowOff>
    </xdr:to>
    <xdr:pic macro="[0]!TechSheet.FREEZE_PANES">
      <xdr:nvPicPr>
        <xdr:cNvPr id="1423456"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371475</xdr:colOff>
      <xdr:row>118</xdr:row>
      <xdr:rowOff>190500</xdr:rowOff>
    </xdr:to>
    <xdr:pic macro="[0]!TechSheet.FREEZE_PANES">
      <xdr:nvPicPr>
        <xdr:cNvPr id="1006827"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42900"/>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219075</xdr:rowOff>
    </xdr:to>
    <xdr:pic macro="[0]!TechSheet.FREEZE_PANES">
      <xdr:nvPicPr>
        <xdr:cNvPr id="1424481"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219075</xdr:rowOff>
    </xdr:to>
    <xdr:pic macro="[0]!TechSheet.FREEZE_PANES">
      <xdr:nvPicPr>
        <xdr:cNvPr id="1425504"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219075</xdr:rowOff>
    </xdr:to>
    <xdr:pic macro="[0]!TechSheet.FREEZE_PANES">
      <xdr:nvPicPr>
        <xdr:cNvPr id="1426528"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371475</xdr:colOff>
      <xdr:row>4</xdr:row>
      <xdr:rowOff>171450</xdr:rowOff>
    </xdr:to>
    <xdr:pic macro="[0]!TechSheet.FREEZE_PANES">
      <xdr:nvPicPr>
        <xdr:cNvPr id="1300708"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371475</xdr:colOff>
      <xdr:row>4</xdr:row>
      <xdr:rowOff>171450</xdr:rowOff>
    </xdr:to>
    <xdr:pic macro="[0]!TechSheet.FREEZE_PANES">
      <xdr:nvPicPr>
        <xdr:cNvPr id="1301732"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371475</xdr:colOff>
      <xdr:row>4</xdr:row>
      <xdr:rowOff>171450</xdr:rowOff>
    </xdr:to>
    <xdr:pic macro="[0]!TechSheet.FREEZE_PANES">
      <xdr:nvPicPr>
        <xdr:cNvPr id="1302755"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371475</xdr:colOff>
      <xdr:row>4</xdr:row>
      <xdr:rowOff>171450</xdr:rowOff>
    </xdr:to>
    <xdr:pic macro="[0]!TechSheet.FREEZE_PANES">
      <xdr:nvPicPr>
        <xdr:cNvPr id="1303780"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33375"/>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371475</xdr:colOff>
      <xdr:row>4</xdr:row>
      <xdr:rowOff>171450</xdr:rowOff>
    </xdr:to>
    <xdr:pic macro="[0]!TechSheet.FREEZE_PANES">
      <xdr:nvPicPr>
        <xdr:cNvPr id="1304804"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33375"/>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371475</xdr:colOff>
      <xdr:row>4</xdr:row>
      <xdr:rowOff>200025</xdr:rowOff>
    </xdr:to>
    <xdr:pic macro="[0]!TechSheet.FREEZE_PANES">
      <xdr:nvPicPr>
        <xdr:cNvPr id="1305827"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7</xdr:col>
      <xdr:colOff>333374</xdr:colOff>
      <xdr:row>7</xdr:row>
      <xdr:rowOff>116680</xdr:rowOff>
    </xdr:from>
    <xdr:to>
      <xdr:col>9</xdr:col>
      <xdr:colOff>791887</xdr:colOff>
      <xdr:row>7</xdr:row>
      <xdr:rowOff>444281</xdr:rowOff>
    </xdr:to>
    <xdr:sp macro="[0]!SVOD.cmdLoadAllFiles_Click" textlink="">
      <xdr:nvSpPr>
        <xdr:cNvPr id="4" name="cmdLoadFolder"/>
        <xdr:cNvSpPr/>
      </xdr:nvSpPr>
      <xdr:spPr>
        <a:xfrm>
          <a:off x="9267824" y="783430"/>
          <a:ext cx="2439713" cy="327601"/>
        </a:xfrm>
        <a:prstGeom prst="roundRect">
          <a:avLst/>
        </a:prstGeom>
        <a:gradFill>
          <a:gsLst>
            <a:gs pos="0">
              <a:schemeClr val="bg1"/>
            </a:gs>
            <a:gs pos="11000">
              <a:schemeClr val="bg1">
                <a:lumMod val="75000"/>
              </a:schemeClr>
            </a:gs>
            <a:gs pos="100000">
              <a:schemeClr val="bg1"/>
            </a:gs>
          </a:gsLst>
        </a:gradFill>
        <a:ln>
          <a:solidFill>
            <a:schemeClr val="bg1">
              <a:lumMod val="50000"/>
            </a:schemeClr>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rtl="0">
            <a:defRPr sz="1000"/>
          </a:pPr>
          <a:r>
            <a:rPr lang="ru-RU" sz="900" b="0" i="0" u="none" strike="noStrike" baseline="0">
              <a:solidFill>
                <a:srgbClr val="000000"/>
              </a:solidFill>
              <a:latin typeface="Tahoma"/>
              <a:ea typeface="Tahoma"/>
              <a:cs typeface="Tahoma"/>
            </a:rPr>
            <a:t>Выгрузить данные из папки</a:t>
          </a:r>
        </a:p>
      </xdr:txBody>
    </xdr:sp>
    <xdr:clientData/>
  </xdr:twoCellAnchor>
  <xdr:twoCellAnchor editAs="absolute">
    <xdr:from>
      <xdr:col>7</xdr:col>
      <xdr:colOff>357188</xdr:colOff>
      <xdr:row>9</xdr:row>
      <xdr:rowOff>128587</xdr:rowOff>
    </xdr:from>
    <xdr:to>
      <xdr:col>9</xdr:col>
      <xdr:colOff>815701</xdr:colOff>
      <xdr:row>9</xdr:row>
      <xdr:rowOff>456187</xdr:rowOff>
    </xdr:to>
    <xdr:sp macro="[0]!SVOD.cmdLoadSingleFile_Click" textlink="">
      <xdr:nvSpPr>
        <xdr:cNvPr id="5" name="cmdLoadSingleFile"/>
        <xdr:cNvSpPr/>
      </xdr:nvSpPr>
      <xdr:spPr>
        <a:xfrm>
          <a:off x="9291638" y="1519237"/>
          <a:ext cx="2439713" cy="327600"/>
        </a:xfrm>
        <a:prstGeom prst="roundRect">
          <a:avLst/>
        </a:prstGeom>
        <a:gradFill>
          <a:gsLst>
            <a:gs pos="0">
              <a:schemeClr val="bg1"/>
            </a:gs>
            <a:gs pos="11000">
              <a:schemeClr val="bg1">
                <a:lumMod val="75000"/>
              </a:schemeClr>
            </a:gs>
            <a:gs pos="100000">
              <a:schemeClr val="bg1"/>
            </a:gs>
          </a:gsLst>
        </a:gradFill>
        <a:ln>
          <a:solidFill>
            <a:schemeClr val="bg1">
              <a:lumMod val="50000"/>
            </a:schemeClr>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rtl="0">
            <a:defRPr sz="1000"/>
          </a:pPr>
          <a:r>
            <a:rPr lang="ru-RU" sz="900" b="0" i="0" u="none" strike="noStrike" baseline="0">
              <a:solidFill>
                <a:srgbClr val="000000"/>
              </a:solidFill>
              <a:latin typeface="Tahoma"/>
              <a:ea typeface="Tahoma"/>
              <a:cs typeface="Tahoma"/>
            </a:rPr>
            <a:t>Добавить данные из файла</a:t>
          </a:r>
        </a:p>
      </xdr:txBody>
    </xdr:sp>
    <xdr:clientData/>
  </xdr:twoCellAnchor>
  <xdr:twoCellAnchor editAs="absolute">
    <xdr:from>
      <xdr:col>2</xdr:col>
      <xdr:colOff>35719</xdr:colOff>
      <xdr:row>10</xdr:row>
      <xdr:rowOff>107158</xdr:rowOff>
    </xdr:from>
    <xdr:to>
      <xdr:col>4</xdr:col>
      <xdr:colOff>384694</xdr:colOff>
      <xdr:row>12</xdr:row>
      <xdr:rowOff>149007</xdr:rowOff>
    </xdr:to>
    <xdr:sp macro="[0]!SVOD.cmdSearchFolder_Click" textlink="">
      <xdr:nvSpPr>
        <xdr:cNvPr id="6" name="cmdSearchFolder"/>
        <xdr:cNvSpPr/>
      </xdr:nvSpPr>
      <xdr:spPr>
        <a:xfrm>
          <a:off x="3731419" y="2031208"/>
          <a:ext cx="2444475" cy="327599"/>
        </a:xfrm>
        <a:prstGeom prst="roundRect">
          <a:avLst/>
        </a:prstGeom>
        <a:gradFill>
          <a:gsLst>
            <a:gs pos="0">
              <a:schemeClr val="bg1"/>
            </a:gs>
            <a:gs pos="11000">
              <a:schemeClr val="bg1">
                <a:lumMod val="75000"/>
              </a:schemeClr>
            </a:gs>
            <a:gs pos="100000">
              <a:schemeClr val="bg1"/>
            </a:gs>
          </a:gsLst>
        </a:gradFill>
        <a:ln>
          <a:solidFill>
            <a:schemeClr val="bg1">
              <a:lumMod val="50000"/>
            </a:schemeClr>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rtl="0">
            <a:defRPr sz="1000"/>
          </a:pPr>
          <a:r>
            <a:rPr lang="ru-RU" sz="900" b="0" i="0" u="none" strike="noStrike" baseline="0">
              <a:solidFill>
                <a:srgbClr val="000000"/>
              </a:solidFill>
              <a:latin typeface="Tahoma"/>
              <a:ea typeface="Tahoma"/>
              <a:cs typeface="Tahoma"/>
            </a:rPr>
            <a:t>Обзор папок...</a:t>
          </a:r>
        </a:p>
      </xdr:txBody>
    </xdr:sp>
    <xdr:clientData/>
  </xdr:twoCellAnchor>
  <xdr:twoCellAnchor editAs="absolute">
    <xdr:from>
      <xdr:col>4</xdr:col>
      <xdr:colOff>642937</xdr:colOff>
      <xdr:row>10</xdr:row>
      <xdr:rowOff>107157</xdr:rowOff>
    </xdr:from>
    <xdr:to>
      <xdr:col>6</xdr:col>
      <xdr:colOff>991912</xdr:colOff>
      <xdr:row>12</xdr:row>
      <xdr:rowOff>149006</xdr:rowOff>
    </xdr:to>
    <xdr:sp macro="[0]!SVOD.cmdCreateFilesList_Click" textlink="">
      <xdr:nvSpPr>
        <xdr:cNvPr id="7" name="cmdCreateFileList"/>
        <xdr:cNvSpPr/>
      </xdr:nvSpPr>
      <xdr:spPr>
        <a:xfrm>
          <a:off x="6434137" y="2031207"/>
          <a:ext cx="2444475" cy="327599"/>
        </a:xfrm>
        <a:prstGeom prst="roundRect">
          <a:avLst/>
        </a:prstGeom>
        <a:gradFill>
          <a:gsLst>
            <a:gs pos="0">
              <a:schemeClr val="bg1"/>
            </a:gs>
            <a:gs pos="11000">
              <a:schemeClr val="bg1">
                <a:lumMod val="75000"/>
              </a:schemeClr>
            </a:gs>
            <a:gs pos="100000">
              <a:schemeClr val="bg1"/>
            </a:gs>
          </a:gsLst>
        </a:gradFill>
        <a:ln>
          <a:solidFill>
            <a:schemeClr val="bg1">
              <a:lumMod val="50000"/>
            </a:schemeClr>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rtl="0">
            <a:defRPr sz="1000"/>
          </a:pPr>
          <a:r>
            <a:rPr lang="ru-RU" sz="900" b="0" i="0" u="none" strike="noStrike" baseline="0">
              <a:solidFill>
                <a:srgbClr val="000000"/>
              </a:solidFill>
              <a:latin typeface="Tahoma"/>
              <a:ea typeface="Tahoma"/>
              <a:cs typeface="Tahoma"/>
            </a:rPr>
            <a:t>Сформировать список файлов папки</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116</xdr:row>
      <xdr:rowOff>9525</xdr:rowOff>
    </xdr:from>
    <xdr:to>
      <xdr:col>3</xdr:col>
      <xdr:colOff>371475</xdr:colOff>
      <xdr:row>117</xdr:row>
      <xdr:rowOff>200025</xdr:rowOff>
    </xdr:to>
    <xdr:pic macro="[0]!TechSheet.FREEZE_PANES">
      <xdr:nvPicPr>
        <xdr:cNvPr id="1007851"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9525"/>
          <a:ext cx="371475" cy="3429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209550</xdr:rowOff>
    </xdr:to>
    <xdr:pic macro="[0]!TechSheet.FREEZE_PANES">
      <xdr:nvPicPr>
        <xdr:cNvPr id="1340954"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twoCellAnchor editAs="oneCell">
    <xdr:from>
      <xdr:col>40</xdr:col>
      <xdr:colOff>3533775</xdr:colOff>
      <xdr:row>11</xdr:row>
      <xdr:rowOff>9525</xdr:rowOff>
    </xdr:from>
    <xdr:to>
      <xdr:col>40</xdr:col>
      <xdr:colOff>3895725</xdr:colOff>
      <xdr:row>11</xdr:row>
      <xdr:rowOff>371475</xdr:rowOff>
    </xdr:to>
    <xdr:pic macro="[0]!modDF.DF_REGION_ASSISTANT">
      <xdr:nvPicPr>
        <xdr:cNvPr id="1340955" name="CHECKOUT_REGIONAL_DATA" descr="preload.png"/>
        <xdr:cNvPicPr>
          <a:picLocks noChangeAspect="1"/>
        </xdr:cNvPicPr>
      </xdr:nvPicPr>
      <xdr:blipFill>
        <a:blip xmlns:r="http://schemas.openxmlformats.org/officeDocument/2006/relationships" r:embed="rId2"/>
        <a:srcRect/>
        <a:stretch>
          <a:fillRect/>
        </a:stretch>
      </xdr:blipFill>
      <xdr:spPr bwMode="auto">
        <a:xfrm>
          <a:off x="4810125" y="819150"/>
          <a:ext cx="361950" cy="361950"/>
        </a:xfrm>
        <a:prstGeom prst="rect">
          <a:avLst/>
        </a:prstGeom>
        <a:noFill/>
        <a:ln w="9525">
          <a:noFill/>
          <a:miter lim="800000"/>
          <a:headEnd/>
          <a:tailEnd/>
        </a:ln>
      </xdr:spPr>
    </xdr:pic>
    <xdr:clientData/>
  </xdr:twoCellAnchor>
  <xdr:twoCellAnchor editAs="oneCell">
    <xdr:from>
      <xdr:col>40</xdr:col>
      <xdr:colOff>3543300</xdr:colOff>
      <xdr:row>11</xdr:row>
      <xdr:rowOff>342900</xdr:rowOff>
    </xdr:from>
    <xdr:to>
      <xdr:col>40</xdr:col>
      <xdr:colOff>3905250</xdr:colOff>
      <xdr:row>11</xdr:row>
      <xdr:rowOff>428625</xdr:rowOff>
    </xdr:to>
    <xdr:pic>
      <xdr:nvPicPr>
        <xdr:cNvPr id="1340956" name="Note_CHECKOUT_REGIONAL" descr="stub.png">
          <a:hlinkClick xmlns:r="http://schemas.openxmlformats.org/officeDocument/2006/relationships" r:id="rId3" tooltip="Выполнить автозаполнение шаблона данными из регионального сегмента"/>
        </xdr:cNvPr>
        <xdr:cNvPicPr>
          <a:picLocks noChangeAspect="1"/>
        </xdr:cNvPicPr>
      </xdr:nvPicPr>
      <xdr:blipFill>
        <a:blip xmlns:r="http://schemas.openxmlformats.org/officeDocument/2006/relationships" r:embed="rId4"/>
        <a:srcRect/>
        <a:stretch>
          <a:fillRect/>
        </a:stretch>
      </xdr:blipFill>
      <xdr:spPr bwMode="auto">
        <a:xfrm>
          <a:off x="4819650" y="1152525"/>
          <a:ext cx="361950" cy="857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209550</xdr:rowOff>
    </xdr:to>
    <xdr:pic macro="[0]!TechSheet.FREEZE_PANES">
      <xdr:nvPicPr>
        <xdr:cNvPr id="1316065"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39</xdr:col>
      <xdr:colOff>9525</xdr:colOff>
      <xdr:row>8</xdr:row>
      <xdr:rowOff>219075</xdr:rowOff>
    </xdr:to>
    <xdr:pic macro="[0]!TechSheet.FREEZE_PANES">
      <xdr:nvPicPr>
        <xdr:cNvPr id="1317203" name="FREEZE_PANES" descr="update_org.png"/>
        <xdr:cNvPicPr>
          <a:picLocks noChangeAspect="1"/>
        </xdr:cNvPicPr>
      </xdr:nvPicPr>
      <xdr:blipFill>
        <a:blip xmlns:r="http://schemas.openxmlformats.org/officeDocument/2006/relationships" r:embed="rId1">
          <a:grayscl/>
        </a:blip>
        <a:srcRect/>
        <a:stretch>
          <a:fillRect/>
        </a:stretch>
      </xdr:blipFill>
      <xdr:spPr bwMode="auto">
        <a:xfrm>
          <a:off x="0" y="0"/>
          <a:ext cx="371475" cy="3619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upport.eias.ru/index.php?a=add&amp;catid=44" TargetMode="External"/><Relationship Id="rId7" Type="http://schemas.openxmlformats.org/officeDocument/2006/relationships/hyperlink" Target="http://support.eias.ru/index.php?a=add&amp;catid=44" TargetMode="External"/><Relationship Id="rId2" Type="http://schemas.openxmlformats.org/officeDocument/2006/relationships/hyperlink" Target="http://www.fstrf.ru/regions/region/showlist" TargetMode="External"/><Relationship Id="rId1" Type="http://schemas.openxmlformats.org/officeDocument/2006/relationships/hyperlink" Target="http://eias.ru/?page=show_templates" TargetMode="External"/><Relationship Id="rId6" Type="http://schemas.openxmlformats.org/officeDocument/2006/relationships/hyperlink" Target="http://eias.ru/files/shablon/manual_loading_through_monitoring.pdf" TargetMode="External"/><Relationship Id="rId5" Type="http://schemas.openxmlformats.org/officeDocument/2006/relationships/hyperlink" Target="http://eias.ru/files/distr/Libs_For_Templates_Setup.rar" TargetMode="External"/><Relationship Id="rId10" Type="http://schemas.openxmlformats.org/officeDocument/2006/relationships/vmlDrawing" Target="../drawings/vmlDrawing1.vml"/><Relationship Id="rId4" Type="http://schemas.openxmlformats.org/officeDocument/2006/relationships/hyperlink" Target="mailto:help@eias.ru;%20sp@eias.ru"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ntrol" Target="../activeX/activeX2.xml"/><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1.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comments" Target="../comments9.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26.bin"/><Relationship Id="rId4"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4.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5.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6.xml"/><Relationship Id="rId1" Type="http://schemas.openxmlformats.org/officeDocument/2006/relationships/printerSettings" Target="../printerSettings/printerSettings29.bin"/><Relationship Id="rId4"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3.vml"/><Relationship Id="rId7" Type="http://schemas.openxmlformats.org/officeDocument/2006/relationships/control" Target="../activeX/activeX6.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5.xml"/><Relationship Id="rId5" Type="http://schemas.openxmlformats.org/officeDocument/2006/relationships/control" Target="../activeX/activeX4.xml"/><Relationship Id="rId4" Type="http://schemas.openxmlformats.org/officeDocument/2006/relationships/control" Target="../activeX/activeX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6.xml"/><Relationship Id="rId1" Type="http://schemas.openxmlformats.org/officeDocument/2006/relationships/printerSettings" Target="../printerSettings/printerSettings39.bin"/><Relationship Id="rId4" Type="http://schemas.openxmlformats.org/officeDocument/2006/relationships/comments" Target="../comments14.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7.xml"/><Relationship Id="rId1" Type="http://schemas.openxmlformats.org/officeDocument/2006/relationships/printerSettings" Target="../printerSettings/printerSettings40.bin"/><Relationship Id="rId4" Type="http://schemas.openxmlformats.org/officeDocument/2006/relationships/comments" Target="../comments15.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8.xml"/><Relationship Id="rId1" Type="http://schemas.openxmlformats.org/officeDocument/2006/relationships/printerSettings" Target="../printerSettings/printerSettings41.bin"/><Relationship Id="rId4"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9.xml"/><Relationship Id="rId1" Type="http://schemas.openxmlformats.org/officeDocument/2006/relationships/printerSettings" Target="../printerSettings/printerSettings42.bin"/><Relationship Id="rId4"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40.xml"/><Relationship Id="rId1" Type="http://schemas.openxmlformats.org/officeDocument/2006/relationships/printerSettings" Target="../printerSettings/printerSettings43.bin"/><Relationship Id="rId4"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1.xml"/><Relationship Id="rId1" Type="http://schemas.openxmlformats.org/officeDocument/2006/relationships/printerSettings" Target="../printerSettings/printerSettings44.bin"/><Relationship Id="rId4" Type="http://schemas.openxmlformats.org/officeDocument/2006/relationships/comments" Target="../comments1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42.xml"/><Relationship Id="rId1" Type="http://schemas.openxmlformats.org/officeDocument/2006/relationships/printerSettings" Target="../printerSettings/printerSettings45.bin"/><Relationship Id="rId4" Type="http://schemas.openxmlformats.org/officeDocument/2006/relationships/comments" Target="../comments2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43.xml"/><Relationship Id="rId1" Type="http://schemas.openxmlformats.org/officeDocument/2006/relationships/printerSettings" Target="../printerSettings/printerSettings46.bin"/><Relationship Id="rId4" Type="http://schemas.openxmlformats.org/officeDocument/2006/relationships/comments" Target="../comments2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53.xml"/><Relationship Id="rId1" Type="http://schemas.openxmlformats.org/officeDocument/2006/relationships/printerSettings" Target="../printerSettings/printerSettings56.bin"/><Relationship Id="rId4" Type="http://schemas.openxmlformats.org/officeDocument/2006/relationships/comments" Target="../comments22.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54.xml"/><Relationship Id="rId1" Type="http://schemas.openxmlformats.org/officeDocument/2006/relationships/printerSettings" Target="../printerSettings/printerSettings57.bin"/><Relationship Id="rId4" Type="http://schemas.openxmlformats.org/officeDocument/2006/relationships/comments" Target="../comments2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55.xml"/><Relationship Id="rId1" Type="http://schemas.openxmlformats.org/officeDocument/2006/relationships/printerSettings" Target="../printerSettings/printerSettings58.bin"/><Relationship Id="rId4" Type="http://schemas.openxmlformats.org/officeDocument/2006/relationships/comments" Target="../comments24.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56.xml"/><Relationship Id="rId1" Type="http://schemas.openxmlformats.org/officeDocument/2006/relationships/printerSettings" Target="../printerSettings/printerSettings59.bin"/><Relationship Id="rId4" Type="http://schemas.openxmlformats.org/officeDocument/2006/relationships/comments" Target="../comments25.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57.xml"/><Relationship Id="rId1" Type="http://schemas.openxmlformats.org/officeDocument/2006/relationships/printerSettings" Target="../printerSettings/printerSettings60.bin"/><Relationship Id="rId4" Type="http://schemas.openxmlformats.org/officeDocument/2006/relationships/comments" Target="../comments26.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58.xml"/><Relationship Id="rId1" Type="http://schemas.openxmlformats.org/officeDocument/2006/relationships/printerSettings" Target="../printerSettings/printerSettings61.bin"/><Relationship Id="rId4" Type="http://schemas.openxmlformats.org/officeDocument/2006/relationships/comments" Target="../comments27.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0.v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sheetPr codeName="Instruction"/>
  <dimension ref="A1:K102"/>
  <sheetViews>
    <sheetView showGridLines="0" workbookViewId="0"/>
  </sheetViews>
  <sheetFormatPr defaultRowHeight="14.25"/>
  <cols>
    <col min="1" max="1" width="0.140625" style="18" customWidth="1"/>
    <col min="2" max="2" width="14.7109375" style="18" customWidth="1"/>
    <col min="3" max="3" width="4.7109375" style="18" customWidth="1"/>
    <col min="4" max="5" width="38.7109375" style="18" customWidth="1"/>
    <col min="6" max="6" width="0.140625" style="86" customWidth="1"/>
    <col min="7" max="7" width="2.7109375" style="18" customWidth="1"/>
    <col min="8" max="16384" width="9.140625" style="18"/>
  </cols>
  <sheetData>
    <row r="1" spans="1:11" ht="10.5" customHeight="1">
      <c r="A1" s="17"/>
    </row>
    <row r="2" spans="1:11" ht="16.5" customHeight="1">
      <c r="B2" s="741" t="e">
        <f ca="1">"Код шаблона: " &amp; GetCode()</f>
        <v>#NAME?</v>
      </c>
      <c r="C2" s="741"/>
      <c r="D2" s="741"/>
    </row>
    <row r="3" spans="1:11" ht="15" customHeight="1">
      <c r="B3" s="744" t="e">
        <f ca="1">"Версия " &amp; GetVersion()</f>
        <v>#NAME?</v>
      </c>
      <c r="C3" s="744"/>
      <c r="D3" s="435"/>
      <c r="E3" s="20"/>
      <c r="F3" s="87"/>
    </row>
    <row r="4" spans="1:11" ht="24" customHeight="1">
      <c r="A4" s="667"/>
      <c r="B4" s="700"/>
      <c r="C4" s="738" t="str">
        <f>"Фактические показатели организаций " &amp; IF(TEMPLATE_SPHERE="","коммунального комплекса",TEMPLATE_SPHERE) &amp; " за 2012 год"</f>
        <v>Фактические показатели организаций водоотведения за 2012 год</v>
      </c>
      <c r="D4" s="738"/>
      <c r="E4" s="738"/>
      <c r="F4" s="668"/>
      <c r="G4" s="667"/>
      <c r="H4" s="667"/>
      <c r="I4" s="667"/>
      <c r="J4" s="667"/>
      <c r="K4" s="667"/>
    </row>
    <row r="5" spans="1:11" ht="35.1" customHeight="1">
      <c r="A5" s="21"/>
      <c r="B5" s="21"/>
      <c r="C5" s="742" t="s">
        <v>657</v>
      </c>
      <c r="D5" s="742"/>
      <c r="E5" s="742"/>
      <c r="F5" s="88" t="s">
        <v>2304</v>
      </c>
      <c r="G5" s="21"/>
    </row>
    <row r="6" spans="1:11" ht="26.25" customHeight="1">
      <c r="A6" s="21"/>
      <c r="B6" s="21"/>
      <c r="C6" s="743" t="s">
        <v>688</v>
      </c>
      <c r="D6" s="743"/>
      <c r="E6" s="743"/>
      <c r="F6" s="88"/>
      <c r="G6" s="21"/>
    </row>
    <row r="7" spans="1:11" ht="15">
      <c r="A7" s="21"/>
      <c r="B7" s="21"/>
      <c r="C7" s="743" t="s">
        <v>659</v>
      </c>
      <c r="D7" s="743"/>
      <c r="E7" s="743"/>
      <c r="F7" s="88"/>
      <c r="G7" s="21"/>
    </row>
    <row r="8" spans="1:11" ht="15" customHeight="1">
      <c r="A8" s="21"/>
      <c r="B8" s="21"/>
      <c r="C8" s="743" t="s">
        <v>660</v>
      </c>
      <c r="D8" s="743"/>
      <c r="E8" s="743"/>
      <c r="F8" s="88"/>
      <c r="G8" s="21"/>
    </row>
    <row r="9" spans="1:11" ht="27" customHeight="1">
      <c r="A9" s="21"/>
      <c r="B9" s="21"/>
      <c r="C9" s="743" t="s">
        <v>661</v>
      </c>
      <c r="D9" s="743"/>
      <c r="E9" s="743"/>
      <c r="F9" s="88"/>
      <c r="G9" s="21"/>
    </row>
    <row r="10" spans="1:11" ht="39" customHeight="1">
      <c r="A10" s="21"/>
      <c r="B10" s="21"/>
      <c r="C10" s="743" t="s">
        <v>662</v>
      </c>
      <c r="D10" s="743"/>
      <c r="E10" s="743"/>
      <c r="F10" s="88"/>
      <c r="G10" s="21"/>
    </row>
    <row r="11" spans="1:11" ht="54" customHeight="1">
      <c r="A11" s="21"/>
      <c r="B11" s="21"/>
      <c r="C11" s="745" t="s">
        <v>686</v>
      </c>
      <c r="D11" s="745"/>
      <c r="E11" s="745"/>
      <c r="F11" s="88"/>
      <c r="G11" s="21"/>
    </row>
    <row r="12" spans="1:11" ht="39" customHeight="1">
      <c r="A12" s="21"/>
      <c r="B12" s="21"/>
      <c r="C12" s="743" t="s">
        <v>687</v>
      </c>
      <c r="D12" s="743"/>
      <c r="E12" s="743"/>
      <c r="F12" s="88"/>
      <c r="G12" s="21"/>
    </row>
    <row r="13" spans="1:11" ht="27" customHeight="1">
      <c r="A13" s="21"/>
      <c r="B13" s="21"/>
      <c r="C13" s="743" t="s">
        <v>682</v>
      </c>
      <c r="D13" s="743"/>
      <c r="E13" s="743"/>
      <c r="F13" s="88"/>
      <c r="G13" s="21"/>
    </row>
    <row r="14" spans="1:11" ht="35.1" customHeight="1">
      <c r="A14" s="21"/>
      <c r="B14" s="21"/>
      <c r="C14" s="742" t="s">
        <v>663</v>
      </c>
      <c r="D14" s="742"/>
      <c r="E14" s="742"/>
      <c r="F14" s="88" t="s">
        <v>658</v>
      </c>
      <c r="G14" s="21"/>
    </row>
    <row r="15" spans="1:11" ht="18" hidden="1" customHeight="1">
      <c r="A15" s="21"/>
      <c r="B15" s="21"/>
      <c r="C15" s="746" t="s">
        <v>691</v>
      </c>
      <c r="D15" s="746"/>
      <c r="E15" s="22"/>
      <c r="F15" s="88"/>
      <c r="G15" s="21"/>
    </row>
    <row r="16" spans="1:11" ht="15" hidden="1" customHeight="1">
      <c r="A16" s="21"/>
      <c r="B16" s="21"/>
      <c r="C16" s="611" t="s">
        <v>60</v>
      </c>
      <c r="D16" s="739" t="s">
        <v>690</v>
      </c>
      <c r="E16" s="739"/>
      <c r="F16" s="88"/>
      <c r="G16" s="21"/>
    </row>
    <row r="17" spans="1:7" ht="15" hidden="1" customHeight="1">
      <c r="A17" s="21"/>
      <c r="B17" s="21"/>
      <c r="C17" s="612" t="s">
        <v>60</v>
      </c>
      <c r="D17" s="739" t="s">
        <v>2168</v>
      </c>
      <c r="E17" s="740"/>
      <c r="F17" s="88"/>
      <c r="G17" s="21"/>
    </row>
    <row r="18" spans="1:7" ht="15" hidden="1" customHeight="1">
      <c r="A18" s="21"/>
      <c r="B18" s="21"/>
      <c r="C18" s="615" t="s">
        <v>60</v>
      </c>
      <c r="D18" s="739" t="s">
        <v>2166</v>
      </c>
      <c r="E18" s="740"/>
      <c r="F18" s="88"/>
      <c r="G18" s="21"/>
    </row>
    <row r="19" spans="1:7" ht="15" hidden="1" customHeight="1">
      <c r="A19" s="21"/>
      <c r="B19" s="21"/>
      <c r="C19" s="613" t="s">
        <v>60</v>
      </c>
      <c r="D19" s="739" t="s">
        <v>2745</v>
      </c>
      <c r="E19" s="740"/>
      <c r="F19" s="88"/>
      <c r="G19" s="21"/>
    </row>
    <row r="20" spans="1:7" ht="15.75" hidden="1" customHeight="1">
      <c r="A20" s="21"/>
      <c r="B20" s="21"/>
      <c r="C20" s="610" t="s">
        <v>60</v>
      </c>
      <c r="D20" s="739" t="s">
        <v>2167</v>
      </c>
      <c r="E20" s="740"/>
      <c r="F20" s="88"/>
      <c r="G20" s="21"/>
    </row>
    <row r="21" spans="1:7" ht="0.75" hidden="1" customHeight="1">
      <c r="A21" s="21"/>
      <c r="B21" s="21"/>
      <c r="C21" s="748" t="s">
        <v>2746</v>
      </c>
      <c r="D21" s="748"/>
      <c r="E21" s="669"/>
      <c r="F21" s="88"/>
      <c r="G21" s="21"/>
    </row>
    <row r="22" spans="1:7" s="136" customFormat="1" ht="0.75" hidden="1" customHeight="1">
      <c r="A22" s="134"/>
      <c r="B22" s="134"/>
      <c r="C22" s="138"/>
      <c r="D22" s="614" t="s">
        <v>838</v>
      </c>
      <c r="E22" s="664"/>
      <c r="F22" s="135"/>
      <c r="G22" s="134"/>
    </row>
    <row r="23" spans="1:7" s="136" customFormat="1" ht="0.75" hidden="1" customHeight="1">
      <c r="A23" s="134"/>
      <c r="B23" s="661">
        <v>255</v>
      </c>
      <c r="C23" s="138"/>
      <c r="D23" s="664"/>
      <c r="E23" s="664"/>
      <c r="F23" s="135"/>
      <c r="G23" s="134"/>
    </row>
    <row r="24" spans="1:7" s="136" customFormat="1" ht="0.75" hidden="1" customHeight="1">
      <c r="A24" s="134"/>
      <c r="B24" s="662">
        <v>255</v>
      </c>
      <c r="C24" s="138"/>
      <c r="D24" s="664"/>
      <c r="E24" s="664"/>
      <c r="F24" s="135"/>
      <c r="G24" s="134"/>
    </row>
    <row r="25" spans="1:7" s="136" customFormat="1" ht="0.75" hidden="1" customHeight="1">
      <c r="A25" s="134"/>
      <c r="B25" s="663">
        <v>255</v>
      </c>
      <c r="C25" s="138"/>
      <c r="D25" s="664"/>
      <c r="E25" s="664"/>
      <c r="F25" s="135"/>
      <c r="G25" s="134"/>
    </row>
    <row r="26" spans="1:7" s="136" customFormat="1" ht="15.75" hidden="1" customHeight="1">
      <c r="A26" s="134"/>
      <c r="B26" s="137"/>
      <c r="C26" s="138"/>
      <c r="D26" s="739"/>
      <c r="E26" s="740"/>
      <c r="F26" s="135"/>
      <c r="G26" s="134"/>
    </row>
    <row r="27" spans="1:7" ht="35.1" customHeight="1">
      <c r="A27" s="21"/>
      <c r="B27" s="21"/>
      <c r="C27" s="742" t="s">
        <v>841</v>
      </c>
      <c r="D27" s="742"/>
      <c r="E27" s="742"/>
      <c r="F27" s="88" t="s">
        <v>658</v>
      </c>
      <c r="G27" s="21"/>
    </row>
    <row r="28" spans="1:7" ht="33" hidden="1" customHeight="1">
      <c r="A28" s="21"/>
      <c r="B28" s="21"/>
      <c r="C28" s="743" t="s">
        <v>840</v>
      </c>
      <c r="D28" s="743"/>
      <c r="E28" s="743"/>
      <c r="F28" s="88"/>
      <c r="G28" s="21"/>
    </row>
    <row r="29" spans="1:7" ht="39" hidden="1" customHeight="1">
      <c r="A29" s="21"/>
      <c r="B29" s="21"/>
      <c r="C29" s="743" t="s">
        <v>664</v>
      </c>
      <c r="D29" s="743"/>
      <c r="E29" s="743"/>
      <c r="F29" s="88"/>
      <c r="G29" s="21"/>
    </row>
    <row r="30" spans="1:7" ht="39" hidden="1" customHeight="1">
      <c r="A30" s="21"/>
      <c r="B30" s="21"/>
      <c r="C30" s="743" t="s">
        <v>665</v>
      </c>
      <c r="D30" s="743"/>
      <c r="E30" s="743"/>
      <c r="F30" s="88"/>
      <c r="G30" s="21"/>
    </row>
    <row r="31" spans="1:7" ht="18" hidden="1" customHeight="1">
      <c r="A31" s="21"/>
      <c r="B31" s="21"/>
      <c r="C31" s="749" t="s">
        <v>666</v>
      </c>
      <c r="D31" s="743"/>
      <c r="E31" s="743"/>
      <c r="F31" s="88"/>
      <c r="G31" s="21"/>
    </row>
    <row r="32" spans="1:7" ht="0.75" hidden="1" customHeight="1">
      <c r="A32" s="21"/>
      <c r="B32" s="85"/>
      <c r="C32" s="747"/>
      <c r="D32" s="747"/>
      <c r="E32" s="747"/>
      <c r="F32" s="88"/>
      <c r="G32" s="21"/>
    </row>
    <row r="33" spans="1:7" ht="27" hidden="1" customHeight="1">
      <c r="A33" s="21"/>
      <c r="B33" s="85"/>
      <c r="C33" s="747" t="s">
        <v>692</v>
      </c>
      <c r="D33" s="747"/>
      <c r="E33" s="747"/>
      <c r="F33" s="88"/>
      <c r="G33" s="21"/>
    </row>
    <row r="34" spans="1:7" ht="0.75" hidden="1" customHeight="1">
      <c r="A34" s="21"/>
      <c r="B34" s="85"/>
      <c r="C34" s="747"/>
      <c r="D34" s="747"/>
      <c r="E34" s="747"/>
      <c r="F34" s="88"/>
      <c r="G34" s="21"/>
    </row>
    <row r="35" spans="1:7" ht="27" hidden="1" customHeight="1">
      <c r="A35" s="21"/>
      <c r="B35" s="85"/>
      <c r="C35" s="747" t="s">
        <v>636</v>
      </c>
      <c r="D35" s="747"/>
      <c r="E35" s="747"/>
      <c r="F35" s="88"/>
      <c r="G35" s="21"/>
    </row>
    <row r="36" spans="1:7" ht="18" hidden="1" customHeight="1">
      <c r="A36" s="21"/>
      <c r="B36" s="21"/>
      <c r="C36" s="82"/>
      <c r="D36" s="665"/>
      <c r="E36" s="665"/>
      <c r="F36" s="88"/>
      <c r="G36" s="21"/>
    </row>
    <row r="37" spans="1:7" ht="35.1" customHeight="1">
      <c r="A37" s="21"/>
      <c r="B37" s="21"/>
      <c r="C37" s="742" t="s">
        <v>667</v>
      </c>
      <c r="D37" s="742"/>
      <c r="E37" s="742"/>
      <c r="F37" s="88" t="s">
        <v>658</v>
      </c>
      <c r="G37" s="21"/>
    </row>
    <row r="38" spans="1:7" ht="27" hidden="1" customHeight="1">
      <c r="A38" s="21"/>
      <c r="B38" s="21"/>
      <c r="C38" s="743" t="s">
        <v>668</v>
      </c>
      <c r="D38" s="743"/>
      <c r="E38" s="743"/>
      <c r="F38" s="88"/>
      <c r="G38" s="21"/>
    </row>
    <row r="39" spans="1:7" ht="26.25" hidden="1" customHeight="1">
      <c r="A39" s="21"/>
      <c r="B39" s="21"/>
      <c r="C39" s="743" t="s">
        <v>693</v>
      </c>
      <c r="D39" s="743"/>
      <c r="E39" s="743"/>
      <c r="F39" s="88"/>
      <c r="G39" s="21"/>
    </row>
    <row r="40" spans="1:7" ht="27" hidden="1" customHeight="1">
      <c r="A40" s="21"/>
      <c r="B40" s="21"/>
      <c r="C40" s="743" t="s">
        <v>669</v>
      </c>
      <c r="D40" s="743"/>
      <c r="E40" s="743"/>
      <c r="F40" s="88"/>
      <c r="G40" s="21"/>
    </row>
    <row r="41" spans="1:7" ht="41.25" hidden="1" customHeight="1">
      <c r="A41" s="21"/>
      <c r="B41" s="21"/>
      <c r="C41" s="743" t="s">
        <v>670</v>
      </c>
      <c r="D41" s="743"/>
      <c r="E41" s="743"/>
      <c r="F41" s="88"/>
      <c r="G41" s="21"/>
    </row>
    <row r="42" spans="1:7" ht="35.1" customHeight="1">
      <c r="A42" s="21"/>
      <c r="B42" s="21"/>
      <c r="C42" s="742" t="s">
        <v>671</v>
      </c>
      <c r="D42" s="742"/>
      <c r="E42" s="742"/>
      <c r="F42" s="88" t="s">
        <v>658</v>
      </c>
      <c r="G42" s="21"/>
    </row>
    <row r="43" spans="1:7" ht="22.5" hidden="1" customHeight="1">
      <c r="A43" s="21"/>
      <c r="B43" s="21"/>
      <c r="C43" s="751" t="s">
        <v>672</v>
      </c>
      <c r="D43" s="751"/>
      <c r="E43" s="27" t="s">
        <v>2305</v>
      </c>
      <c r="F43" s="88"/>
      <c r="G43" s="21"/>
    </row>
    <row r="44" spans="1:7" ht="15" hidden="1" customHeight="1">
      <c r="A44" s="21"/>
      <c r="B44" s="21"/>
      <c r="C44" s="751" t="s">
        <v>673</v>
      </c>
      <c r="D44" s="751"/>
      <c r="E44" s="27" t="s">
        <v>2387</v>
      </c>
      <c r="F44" s="88"/>
      <c r="G44" s="21"/>
    </row>
    <row r="45" spans="1:7" ht="22.5" hidden="1" customHeight="1">
      <c r="A45" s="21"/>
      <c r="B45" s="21"/>
      <c r="C45" s="751" t="s">
        <v>674</v>
      </c>
      <c r="D45" s="751"/>
      <c r="E45" s="26" t="s">
        <v>644</v>
      </c>
      <c r="F45" s="88"/>
      <c r="G45" s="21"/>
    </row>
    <row r="46" spans="1:7" ht="22.5" hidden="1" customHeight="1">
      <c r="A46" s="21"/>
      <c r="B46" s="21"/>
      <c r="C46" s="750" t="s">
        <v>675</v>
      </c>
      <c r="D46" s="750"/>
      <c r="E46" s="26" t="s">
        <v>676</v>
      </c>
      <c r="F46" s="88"/>
      <c r="G46" s="21"/>
    </row>
    <row r="47" spans="1:7" ht="27" hidden="1" customHeight="1">
      <c r="A47" s="21"/>
      <c r="B47" s="21"/>
      <c r="C47" s="750"/>
      <c r="D47" s="750"/>
      <c r="E47" s="670" t="s">
        <v>679</v>
      </c>
      <c r="F47" s="88"/>
      <c r="G47" s="21"/>
    </row>
    <row r="48" spans="1:7" ht="35.1" customHeight="1">
      <c r="A48" s="21"/>
      <c r="B48" s="21"/>
      <c r="C48" s="742" t="s">
        <v>677</v>
      </c>
      <c r="D48" s="742"/>
      <c r="E48" s="742"/>
      <c r="F48" s="88" t="s">
        <v>2304</v>
      </c>
      <c r="G48" s="21"/>
    </row>
    <row r="49" spans="1:7" ht="12" customHeight="1">
      <c r="A49" s="21"/>
      <c r="B49" s="21"/>
      <c r="C49" s="752"/>
      <c r="D49" s="752"/>
      <c r="E49" s="752"/>
      <c r="F49" s="88"/>
      <c r="G49" s="21"/>
    </row>
    <row r="50" spans="1:7" ht="27" customHeight="1">
      <c r="A50" s="21"/>
      <c r="B50" s="21"/>
      <c r="C50" s="745" t="s">
        <v>637</v>
      </c>
      <c r="D50" s="745"/>
      <c r="E50" s="745"/>
      <c r="F50" s="88"/>
      <c r="G50" s="21"/>
    </row>
    <row r="51" spans="1:7" ht="15" customHeight="1">
      <c r="A51" s="21"/>
      <c r="B51" s="21"/>
      <c r="C51" s="755" t="s">
        <v>639</v>
      </c>
      <c r="D51" s="755"/>
      <c r="E51" s="755"/>
      <c r="F51" s="88"/>
      <c r="G51" s="21"/>
    </row>
    <row r="52" spans="1:7" ht="18" customHeight="1">
      <c r="A52" s="21"/>
      <c r="B52" s="21"/>
      <c r="C52" s="756" t="s">
        <v>640</v>
      </c>
      <c r="D52" s="756"/>
      <c r="E52" s="756"/>
      <c r="F52" s="88"/>
      <c r="G52" s="21"/>
    </row>
    <row r="53" spans="1:7" ht="57" customHeight="1">
      <c r="A53" s="21"/>
      <c r="B53" s="21"/>
      <c r="C53" s="745" t="s">
        <v>638</v>
      </c>
      <c r="D53" s="745"/>
      <c r="E53" s="745"/>
      <c r="F53" s="88"/>
      <c r="G53" s="21"/>
    </row>
    <row r="54" spans="1:7" ht="1.5" customHeight="1">
      <c r="A54" s="21"/>
      <c r="B54" s="21"/>
      <c r="C54" s="666"/>
      <c r="D54" s="666"/>
      <c r="E54" s="666"/>
      <c r="F54" s="88"/>
      <c r="G54" s="21"/>
    </row>
    <row r="55" spans="1:7" ht="27" customHeight="1">
      <c r="A55" s="21"/>
      <c r="B55" s="21"/>
      <c r="C55" s="758" t="s">
        <v>2308</v>
      </c>
      <c r="D55" s="758"/>
      <c r="E55" s="758"/>
      <c r="F55" s="88"/>
      <c r="G55" s="21"/>
    </row>
    <row r="56" spans="1:7" ht="66" customHeight="1">
      <c r="A56" s="21"/>
      <c r="B56" s="21"/>
      <c r="C56" s="745" t="s">
        <v>2310</v>
      </c>
      <c r="D56" s="745"/>
      <c r="E56" s="745"/>
      <c r="F56" s="88"/>
      <c r="G56" s="21"/>
    </row>
    <row r="57" spans="1:7" ht="1.5" customHeight="1">
      <c r="A57" s="21"/>
      <c r="B57" s="21"/>
      <c r="C57" s="757"/>
      <c r="D57" s="757"/>
      <c r="E57" s="757"/>
      <c r="F57" s="88"/>
      <c r="G57" s="21"/>
    </row>
    <row r="58" spans="1:7" ht="69" customHeight="1">
      <c r="A58" s="21"/>
      <c r="B58" s="21"/>
      <c r="C58" s="759" t="s">
        <v>2311</v>
      </c>
      <c r="D58" s="759"/>
      <c r="E58" s="759"/>
      <c r="F58" s="88"/>
      <c r="G58" s="21"/>
    </row>
    <row r="59" spans="1:7" ht="1.5" customHeight="1">
      <c r="A59" s="21"/>
      <c r="B59" s="21"/>
      <c r="C59" s="757"/>
      <c r="D59" s="757"/>
      <c r="E59" s="757"/>
      <c r="F59" s="88"/>
      <c r="G59" s="21"/>
    </row>
    <row r="60" spans="1:7" ht="102" customHeight="1">
      <c r="A60" s="21"/>
      <c r="B60" s="21"/>
      <c r="C60" s="745" t="s">
        <v>2309</v>
      </c>
      <c r="D60" s="745"/>
      <c r="E60" s="745"/>
      <c r="F60" s="88"/>
      <c r="G60" s="21"/>
    </row>
    <row r="61" spans="1:7" ht="1.5" customHeight="1">
      <c r="A61" s="21"/>
      <c r="B61" s="21"/>
      <c r="C61" s="757"/>
      <c r="D61" s="757"/>
      <c r="E61" s="757"/>
      <c r="F61" s="88"/>
      <c r="G61" s="21"/>
    </row>
    <row r="62" spans="1:7" ht="33" customHeight="1">
      <c r="A62" s="21"/>
      <c r="B62" s="21"/>
      <c r="C62" s="755" t="s">
        <v>2312</v>
      </c>
      <c r="D62" s="755"/>
      <c r="E62" s="755"/>
      <c r="F62" s="88"/>
      <c r="G62" s="21"/>
    </row>
    <row r="63" spans="1:7" ht="1.5" customHeight="1">
      <c r="A63" s="21"/>
      <c r="B63" s="21"/>
      <c r="C63" s="745"/>
      <c r="D63" s="745"/>
      <c r="E63" s="745"/>
      <c r="F63" s="88"/>
      <c r="G63" s="21"/>
    </row>
    <row r="64" spans="1:7" ht="93" customHeight="1">
      <c r="A64" s="21"/>
      <c r="B64" s="21"/>
      <c r="C64" s="745" t="s">
        <v>2314</v>
      </c>
      <c r="D64" s="745"/>
      <c r="E64" s="745"/>
      <c r="F64" s="88"/>
      <c r="G64" s="21"/>
    </row>
    <row r="65" spans="1:7" ht="1.5" customHeight="1">
      <c r="A65" s="21"/>
      <c r="B65" s="21"/>
      <c r="C65" s="745"/>
      <c r="D65" s="745"/>
      <c r="E65" s="745"/>
      <c r="F65" s="88"/>
      <c r="G65" s="21"/>
    </row>
    <row r="66" spans="1:7" ht="78" customHeight="1">
      <c r="A66" s="21"/>
      <c r="B66" s="21"/>
      <c r="C66" s="745" t="s">
        <v>2313</v>
      </c>
      <c r="D66" s="745"/>
      <c r="E66" s="745"/>
      <c r="F66" s="88"/>
      <c r="G66" s="21"/>
    </row>
    <row r="67" spans="1:7" ht="1.5" customHeight="1">
      <c r="A67" s="21"/>
      <c r="B67" s="21"/>
      <c r="C67" s="745"/>
      <c r="D67" s="745"/>
      <c r="E67" s="745"/>
      <c r="F67" s="88"/>
      <c r="G67" s="21"/>
    </row>
    <row r="68" spans="1:7" ht="33" customHeight="1">
      <c r="A68" s="21"/>
      <c r="B68" s="21"/>
      <c r="C68" s="745" t="s">
        <v>2315</v>
      </c>
      <c r="D68" s="745"/>
      <c r="E68" s="745"/>
      <c r="F68" s="88"/>
      <c r="G68" s="21"/>
    </row>
    <row r="69" spans="1:7" ht="1.5" customHeight="1">
      <c r="A69" s="21"/>
      <c r="B69" s="21"/>
      <c r="C69" s="666"/>
      <c r="D69" s="666"/>
      <c r="E69" s="666"/>
      <c r="F69" s="88"/>
      <c r="G69" s="21"/>
    </row>
    <row r="70" spans="1:7" ht="1.5" customHeight="1">
      <c r="A70" s="21"/>
      <c r="B70" s="21"/>
      <c r="C70" s="666"/>
      <c r="D70" s="666"/>
      <c r="E70" s="666"/>
      <c r="F70" s="88"/>
      <c r="G70" s="21"/>
    </row>
    <row r="71" spans="1:7" ht="1.5" customHeight="1">
      <c r="A71" s="21"/>
      <c r="B71" s="21"/>
      <c r="C71" s="666"/>
      <c r="D71" s="666"/>
      <c r="E71" s="666"/>
      <c r="F71" s="88"/>
      <c r="G71" s="21"/>
    </row>
    <row r="72" spans="1:7" ht="1.5" customHeight="1">
      <c r="A72" s="21"/>
      <c r="B72" s="21"/>
      <c r="C72" s="666"/>
      <c r="D72" s="666"/>
      <c r="E72" s="666"/>
      <c r="F72" s="88"/>
      <c r="G72" s="21"/>
    </row>
    <row r="73" spans="1:7" ht="1.5" customHeight="1">
      <c r="A73" s="21"/>
      <c r="B73" s="21"/>
      <c r="C73" s="666"/>
      <c r="D73" s="666"/>
      <c r="E73" s="666"/>
      <c r="F73" s="88"/>
      <c r="G73" s="21"/>
    </row>
    <row r="74" spans="1:7" ht="1.5" customHeight="1">
      <c r="A74" s="21"/>
      <c r="B74" s="21"/>
      <c r="C74" s="666"/>
      <c r="D74" s="666"/>
      <c r="E74" s="666"/>
      <c r="F74" s="88"/>
      <c r="G74" s="21"/>
    </row>
    <row r="75" spans="1:7" ht="1.5" customHeight="1">
      <c r="A75" s="21"/>
      <c r="B75" s="21"/>
      <c r="C75" s="666"/>
      <c r="D75" s="666"/>
      <c r="E75" s="666"/>
      <c r="F75" s="88"/>
      <c r="G75" s="21"/>
    </row>
    <row r="76" spans="1:7" ht="1.5" customHeight="1">
      <c r="A76" s="21"/>
      <c r="B76" s="21"/>
      <c r="C76" s="666"/>
      <c r="D76" s="666"/>
      <c r="E76" s="666"/>
      <c r="F76" s="88"/>
      <c r="G76" s="21"/>
    </row>
    <row r="77" spans="1:7" ht="1.5" customHeight="1">
      <c r="A77" s="21"/>
      <c r="B77" s="21"/>
      <c r="C77" s="666"/>
      <c r="D77" s="666"/>
      <c r="E77" s="666"/>
      <c r="F77" s="88"/>
      <c r="G77" s="21"/>
    </row>
    <row r="78" spans="1:7" ht="1.5" customHeight="1">
      <c r="A78" s="21"/>
      <c r="B78" s="21"/>
      <c r="C78" s="666"/>
      <c r="D78" s="666"/>
      <c r="E78" s="666"/>
      <c r="F78" s="88"/>
      <c r="G78" s="21"/>
    </row>
    <row r="79" spans="1:7" ht="1.5" customHeight="1">
      <c r="A79" s="21"/>
      <c r="B79" s="21"/>
      <c r="C79" s="666"/>
      <c r="D79" s="666"/>
      <c r="E79" s="666"/>
      <c r="F79" s="88"/>
      <c r="G79" s="21"/>
    </row>
    <row r="80" spans="1:7" ht="35.1" customHeight="1">
      <c r="A80" s="21"/>
      <c r="B80" s="21"/>
      <c r="C80" s="742" t="s">
        <v>678</v>
      </c>
      <c r="D80" s="742"/>
      <c r="E80" s="742"/>
      <c r="F80" s="88" t="s">
        <v>658</v>
      </c>
      <c r="G80" s="21"/>
    </row>
    <row r="81" spans="1:11" ht="23.25" hidden="1" customHeight="1">
      <c r="A81" s="21"/>
      <c r="B81" s="21"/>
      <c r="C81" s="751" t="s">
        <v>2306</v>
      </c>
      <c r="D81" s="751"/>
      <c r="E81" s="27" t="s">
        <v>2305</v>
      </c>
      <c r="F81" s="88"/>
      <c r="G81" s="21"/>
    </row>
    <row r="82" spans="1:11" ht="15" hidden="1" customHeight="1">
      <c r="A82" s="21"/>
      <c r="B82" s="21"/>
      <c r="C82" s="751"/>
      <c r="D82" s="751"/>
      <c r="E82" s="27"/>
      <c r="F82" s="88"/>
      <c r="G82" s="21"/>
    </row>
    <row r="83" spans="1:11" ht="4.5" customHeight="1">
      <c r="B83" s="21"/>
      <c r="C83" s="754"/>
      <c r="D83" s="754"/>
      <c r="E83" s="754"/>
      <c r="F83" s="89"/>
      <c r="G83" s="21"/>
    </row>
    <row r="84" spans="1:11">
      <c r="A84" s="21"/>
      <c r="B84" s="21"/>
      <c r="C84" s="21"/>
      <c r="D84" s="21"/>
      <c r="E84" s="21"/>
      <c r="F84" s="89"/>
    </row>
    <row r="85" spans="1:11">
      <c r="B85" s="21"/>
      <c r="C85" s="21"/>
      <c r="D85" s="21"/>
      <c r="E85" s="21"/>
      <c r="F85" s="89"/>
    </row>
    <row r="86" spans="1:11">
      <c r="B86" s="21"/>
      <c r="C86" s="754"/>
      <c r="D86" s="754"/>
      <c r="E86" s="754"/>
      <c r="F86" s="89"/>
    </row>
    <row r="89" spans="1:11" s="19" customFormat="1" ht="23.25">
      <c r="A89" s="18"/>
      <c r="B89" s="753"/>
      <c r="C89" s="753"/>
      <c r="D89" s="753"/>
      <c r="E89" s="753"/>
      <c r="F89" s="86"/>
      <c r="G89" s="18"/>
      <c r="H89" s="18"/>
      <c r="I89" s="18"/>
      <c r="J89" s="18"/>
      <c r="K89" s="18"/>
    </row>
    <row r="96" spans="1:11" s="19" customFormat="1" ht="14.25" customHeight="1">
      <c r="A96" s="18"/>
      <c r="B96" s="18"/>
      <c r="C96" s="18"/>
      <c r="D96" s="18"/>
      <c r="E96" s="18"/>
      <c r="F96" s="86"/>
      <c r="G96" s="18"/>
      <c r="H96" s="18"/>
      <c r="I96" s="18"/>
      <c r="J96" s="18"/>
      <c r="K96" s="18"/>
    </row>
    <row r="97" spans="1:11" s="19" customFormat="1" ht="14.25" customHeight="1">
      <c r="A97" s="18"/>
      <c r="B97" s="18"/>
      <c r="C97" s="18"/>
      <c r="D97" s="18"/>
      <c r="E97" s="18"/>
      <c r="F97" s="86"/>
      <c r="G97" s="18"/>
      <c r="H97" s="18"/>
      <c r="I97" s="18"/>
      <c r="J97" s="18"/>
      <c r="K97" s="18"/>
    </row>
    <row r="98" spans="1:11" s="19" customFormat="1" ht="14.25" customHeight="1">
      <c r="A98" s="18"/>
      <c r="B98" s="18"/>
      <c r="C98" s="18"/>
      <c r="D98" s="18"/>
      <c r="E98" s="18"/>
      <c r="F98" s="86"/>
      <c r="G98" s="18"/>
      <c r="H98" s="18"/>
      <c r="I98" s="18"/>
      <c r="J98" s="18"/>
      <c r="K98" s="18"/>
    </row>
    <row r="99" spans="1:11" s="19" customFormat="1" ht="15" customHeight="1">
      <c r="A99" s="18"/>
      <c r="B99" s="18"/>
      <c r="C99" s="18"/>
      <c r="D99" s="18"/>
      <c r="E99" s="18"/>
      <c r="F99" s="86"/>
      <c r="G99" s="18"/>
      <c r="H99" s="18"/>
      <c r="I99" s="18"/>
      <c r="J99" s="18"/>
      <c r="K99" s="18"/>
    </row>
    <row r="100" spans="1:11" s="19" customFormat="1" ht="25.5" customHeight="1">
      <c r="A100" s="18"/>
      <c r="B100" s="18"/>
      <c r="C100" s="18"/>
      <c r="D100" s="18"/>
      <c r="E100" s="18"/>
      <c r="F100" s="86"/>
      <c r="G100" s="18"/>
      <c r="H100" s="18"/>
      <c r="I100" s="18"/>
      <c r="J100" s="18"/>
      <c r="K100" s="18"/>
    </row>
    <row r="101" spans="1:11" s="19" customFormat="1" ht="25.5" customHeight="1">
      <c r="A101" s="18"/>
      <c r="B101" s="18"/>
      <c r="C101" s="18"/>
      <c r="D101" s="18"/>
      <c r="E101" s="18"/>
      <c r="F101" s="86"/>
      <c r="G101" s="18"/>
      <c r="H101" s="18"/>
      <c r="I101" s="18"/>
      <c r="J101" s="18"/>
      <c r="K101" s="18"/>
    </row>
    <row r="102" spans="1:11" s="19" customFormat="1" ht="25.5" customHeight="1">
      <c r="A102" s="18"/>
      <c r="B102" s="18"/>
      <c r="C102" s="18"/>
      <c r="D102" s="18"/>
      <c r="E102" s="18"/>
      <c r="F102" s="86"/>
      <c r="G102" s="18"/>
      <c r="H102" s="18"/>
      <c r="I102" s="18"/>
      <c r="J102" s="18"/>
      <c r="K102" s="18"/>
    </row>
  </sheetData>
  <sheetProtection password="FA9C" sheet="1" objects="1" scenarios="1" formatColumns="0" formatRows="0"/>
  <dataConsolidate leftLabels="1"/>
  <mergeCells count="66">
    <mergeCell ref="C58:E58"/>
    <mergeCell ref="C67:E67"/>
    <mergeCell ref="C68:E68"/>
    <mergeCell ref="C61:E61"/>
    <mergeCell ref="C62:E62"/>
    <mergeCell ref="C63:E63"/>
    <mergeCell ref="C64:E64"/>
    <mergeCell ref="C65:E65"/>
    <mergeCell ref="C66:E66"/>
    <mergeCell ref="C49:E49"/>
    <mergeCell ref="B89:E89"/>
    <mergeCell ref="C83:E83"/>
    <mergeCell ref="C86:E86"/>
    <mergeCell ref="C82:D82"/>
    <mergeCell ref="C80:E80"/>
    <mergeCell ref="C81:D81"/>
    <mergeCell ref="C51:E51"/>
    <mergeCell ref="C52:E52"/>
    <mergeCell ref="C59:E59"/>
    <mergeCell ref="C60:E60"/>
    <mergeCell ref="C50:E50"/>
    <mergeCell ref="C53:E53"/>
    <mergeCell ref="C55:E55"/>
    <mergeCell ref="C56:E56"/>
    <mergeCell ref="C57:E57"/>
    <mergeCell ref="C40:E40"/>
    <mergeCell ref="C39:E39"/>
    <mergeCell ref="C46:D47"/>
    <mergeCell ref="C48:E48"/>
    <mergeCell ref="C45:D45"/>
    <mergeCell ref="C44:D44"/>
    <mergeCell ref="C41:E41"/>
    <mergeCell ref="C43:D43"/>
    <mergeCell ref="C42:E42"/>
    <mergeCell ref="D19:E19"/>
    <mergeCell ref="C38:E38"/>
    <mergeCell ref="C37:E37"/>
    <mergeCell ref="D18:E18"/>
    <mergeCell ref="C34:E34"/>
    <mergeCell ref="C35:E35"/>
    <mergeCell ref="C30:E30"/>
    <mergeCell ref="D26:E26"/>
    <mergeCell ref="C28:E28"/>
    <mergeCell ref="C32:E32"/>
    <mergeCell ref="C21:D21"/>
    <mergeCell ref="C29:E29"/>
    <mergeCell ref="C33:E33"/>
    <mergeCell ref="D20:E20"/>
    <mergeCell ref="C31:E31"/>
    <mergeCell ref="C27:E27"/>
    <mergeCell ref="C4:E4"/>
    <mergeCell ref="D17:E17"/>
    <mergeCell ref="B2:D2"/>
    <mergeCell ref="C5:E5"/>
    <mergeCell ref="C6:E6"/>
    <mergeCell ref="B3:C3"/>
    <mergeCell ref="C7:E7"/>
    <mergeCell ref="C9:E9"/>
    <mergeCell ref="C8:E8"/>
    <mergeCell ref="C12:E12"/>
    <mergeCell ref="C10:E10"/>
    <mergeCell ref="C11:E11"/>
    <mergeCell ref="D16:E16"/>
    <mergeCell ref="C14:E14"/>
    <mergeCell ref="C15:D15"/>
    <mergeCell ref="C13:E13"/>
  </mergeCells>
  <phoneticPr fontId="21" type="noConversion"/>
  <hyperlinks>
    <hyperlink ref="E45" r:id="rId1" location="'Инструкция'!A1"/>
    <hyperlink ref="C31" r:id="rId2" location="'Инструкция'!A1" tooltip="http://www.fstrf.ru/regions/region/showlist"/>
    <hyperlink ref="E43" r:id="rId3"/>
    <hyperlink ref="E44" r:id="rId4" location="'Инструкция'!A1"/>
    <hyperlink ref="E46" r:id="rId5" location="'Инструкция'!A1"/>
    <hyperlink ref="C52" r:id="rId6" location="'Инструкция'!A1"/>
    <hyperlink ref="E81" r:id="rId7"/>
  </hyperlinks>
  <pageMargins left="0.7" right="0.7" top="0.75" bottom="0.75" header="0.3" footer="0.3"/>
  <pageSetup paperSize="9" orientation="portrait" horizontalDpi="180" verticalDpi="180" r:id="rId8"/>
  <headerFooter alignWithMargins="0"/>
  <drawing r:id="rId9"/>
  <legacyDrawing r:id="rId10"/>
</worksheet>
</file>

<file path=xl/worksheets/sheet10.xml><?xml version="1.0" encoding="utf-8"?>
<worksheet xmlns="http://schemas.openxmlformats.org/spreadsheetml/2006/main" xmlns:r="http://schemas.openxmlformats.org/officeDocument/2006/relationships">
  <sheetPr codeName="HEAT_BAL_PR">
    <tabColor indexed="31"/>
    <pageSetUpPr fitToPage="1"/>
  </sheetPr>
  <dimension ref="A1:CM141"/>
  <sheetViews>
    <sheetView showGridLines="0" topLeftCell="D118" workbookViewId="0">
      <pane xSplit="6" ySplit="9" topLeftCell="J127" activePane="bottomRight" state="frozen"/>
      <selection activeCell="D118" sqref="D118"/>
      <selection pane="topRight" activeCell="J118" sqref="J118"/>
      <selection pane="bottomLeft" activeCell="D127" sqref="D127"/>
      <selection pane="bottomRight"/>
    </sheetView>
  </sheetViews>
  <sheetFormatPr defaultRowHeight="18"/>
  <cols>
    <col min="1" max="1" width="5.7109375" style="39" hidden="1" customWidth="1"/>
    <col min="2" max="2" width="5.7109375" style="40" hidden="1" customWidth="1"/>
    <col min="3" max="3" width="5.7109375" style="39" hidden="1" customWidth="1"/>
    <col min="4" max="4" width="5.7109375" style="711" customWidth="1"/>
    <col min="5" max="5" width="4.7109375" style="41" hidden="1" customWidth="1"/>
    <col min="6" max="6" width="6.7109375" style="39" customWidth="1"/>
    <col min="7" max="7" width="40.7109375" style="39" customWidth="1"/>
    <col min="8" max="9" width="14.140625" style="39" hidden="1" customWidth="1"/>
    <col min="10" max="10" width="14.7109375" style="39" customWidth="1"/>
    <col min="11" max="12" width="13.7109375" style="39" customWidth="1"/>
    <col min="13" max="13" width="17.5703125" style="39" customWidth="1"/>
    <col min="14" max="14" width="15.7109375" style="39" hidden="1" customWidth="1"/>
    <col min="15" max="16" width="14.7109375" style="39" hidden="1" customWidth="1"/>
    <col min="17" max="19" width="13.7109375" style="39" customWidth="1"/>
    <col min="20" max="20" width="15.7109375" style="39" customWidth="1"/>
    <col min="21" max="23" width="16.7109375" style="39" hidden="1" customWidth="1"/>
    <col min="24" max="24" width="16.5703125" style="39" hidden="1" customWidth="1"/>
    <col min="25" max="25" width="16.7109375" style="39" customWidth="1"/>
    <col min="26" max="26" width="12.7109375" style="39" customWidth="1"/>
    <col min="27" max="29" width="0.140625" style="39" customWidth="1"/>
    <col min="30" max="30" width="13.7109375" style="39" customWidth="1"/>
    <col min="31" max="33" width="0.140625" style="39" customWidth="1"/>
    <col min="34" max="34" width="13.7109375" style="39" customWidth="1"/>
    <col min="35" max="37" width="0.140625" style="39" customWidth="1"/>
    <col min="38" max="38" width="13.7109375" style="39" customWidth="1"/>
    <col min="39" max="41" width="0.140625" style="39" customWidth="1"/>
    <col min="42" max="45" width="13.7109375" style="39" customWidth="1"/>
    <col min="46" max="48" width="13.7109375" style="39" hidden="1" customWidth="1"/>
    <col min="49" max="49" width="16.7109375" style="39" customWidth="1"/>
    <col min="50" max="53" width="16.7109375" style="39" hidden="1" customWidth="1"/>
    <col min="54" max="57" width="15.7109375" style="39" customWidth="1"/>
    <col min="58" max="58" width="17.7109375" style="159" hidden="1" customWidth="1"/>
    <col min="59" max="59" width="2.5703125" customWidth="1"/>
    <col min="60" max="72" width="2.5703125" style="159" customWidth="1"/>
    <col min="73" max="88" width="12.7109375" style="159" hidden="1" customWidth="1"/>
    <col min="89" max="16384" width="9.140625" style="39"/>
  </cols>
  <sheetData>
    <row r="1" spans="1:91" ht="21" hidden="1" customHeight="1">
      <c r="A1" s="95"/>
      <c r="B1" s="910"/>
      <c r="C1" s="119" t="str">
        <f>F3</f>
        <v>0.0</v>
      </c>
      <c r="D1" s="714" t="s">
        <v>652</v>
      </c>
      <c r="E1" s="96"/>
      <c r="F1" s="835">
        <f>B1</f>
        <v>0</v>
      </c>
      <c r="G1" s="913"/>
      <c r="H1" s="107"/>
      <c r="I1" s="107"/>
      <c r="J1" s="266"/>
      <c r="K1" s="266"/>
      <c r="L1" s="266"/>
      <c r="M1" s="266"/>
      <c r="N1" s="266"/>
      <c r="O1" s="266"/>
      <c r="P1" s="266"/>
      <c r="Q1" s="266"/>
      <c r="R1" s="266"/>
      <c r="S1" s="266"/>
      <c r="T1" s="266"/>
      <c r="U1" s="266"/>
      <c r="V1" s="266"/>
      <c r="W1" s="266"/>
      <c r="X1" s="438"/>
      <c r="Y1" s="438"/>
      <c r="Z1" s="438"/>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426" t="s">
        <v>3144</v>
      </c>
      <c r="CM1" s="42"/>
    </row>
    <row r="2" spans="1:91" ht="0.75" hidden="1" customHeight="1">
      <c r="A2" s="95"/>
      <c r="B2" s="910"/>
      <c r="C2" s="119"/>
      <c r="D2" s="706"/>
      <c r="E2" s="96"/>
      <c r="F2" s="835"/>
      <c r="G2" s="913"/>
      <c r="H2" s="107"/>
      <c r="I2" s="107"/>
      <c r="J2" s="266"/>
      <c r="K2" s="266"/>
      <c r="L2" s="266"/>
      <c r="M2" s="266"/>
      <c r="N2" s="266"/>
      <c r="O2" s="266"/>
      <c r="P2" s="266"/>
      <c r="Q2" s="266"/>
      <c r="R2" s="266"/>
      <c r="S2" s="266"/>
      <c r="T2" s="266"/>
      <c r="U2" s="266"/>
      <c r="V2" s="266"/>
      <c r="W2" s="266"/>
      <c r="X2" s="438"/>
      <c r="Y2" s="438"/>
      <c r="Z2" s="438"/>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158" t="str">
        <f>IF(TEMPLATE_SPHERE="водоснабжения","TOTAL_ORG_TW","")</f>
        <v/>
      </c>
      <c r="CM2" s="42"/>
    </row>
    <row r="3" spans="1:91" ht="11.25" hidden="1" customHeight="1">
      <c r="A3" s="95"/>
      <c r="B3" s="910"/>
      <c r="C3" s="910"/>
      <c r="D3" s="707"/>
      <c r="E3" s="96"/>
      <c r="F3" s="106" t="str">
        <f>F1 &amp; ".0"</f>
        <v>0.0</v>
      </c>
      <c r="G3" s="105" t="s">
        <v>721</v>
      </c>
      <c r="H3" s="266"/>
      <c r="I3" s="266"/>
      <c r="J3" s="266"/>
      <c r="K3" s="266"/>
      <c r="L3" s="266"/>
      <c r="M3" s="266"/>
      <c r="N3" s="266"/>
      <c r="O3" s="266"/>
      <c r="P3" s="266"/>
      <c r="Q3" s="266"/>
      <c r="R3" s="266"/>
      <c r="S3" s="266"/>
      <c r="T3" s="266"/>
      <c r="U3" s="266"/>
      <c r="V3" s="266"/>
      <c r="W3" s="266"/>
      <c r="X3" s="438"/>
      <c r="Y3" s="438"/>
      <c r="Z3" s="438"/>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158" t="str">
        <f>IF(TEMPLATE_SPHERE="водоснабжения","TOTAL_ORG_PW","TOTAL_ORG")</f>
        <v>TOTAL_ORG</v>
      </c>
      <c r="CM3" s="42"/>
    </row>
    <row r="4" spans="1:91" ht="11.25" hidden="1" customHeight="1">
      <c r="A4" s="95"/>
      <c r="B4" s="910"/>
      <c r="C4" s="910"/>
      <c r="D4" s="707"/>
      <c r="E4" s="96"/>
      <c r="F4" s="106" t="str">
        <f>F1 &amp; ".1"</f>
        <v>0.1</v>
      </c>
      <c r="G4" s="105" t="s">
        <v>722</v>
      </c>
      <c r="H4" s="107"/>
      <c r="I4" s="107"/>
      <c r="J4" s="266"/>
      <c r="K4" s="266"/>
      <c r="L4" s="266"/>
      <c r="M4" s="266"/>
      <c r="N4" s="266"/>
      <c r="O4" s="266"/>
      <c r="P4" s="266"/>
      <c r="Q4" s="266"/>
      <c r="R4" s="266"/>
      <c r="S4" s="266"/>
      <c r="T4" s="266"/>
      <c r="U4" s="266"/>
      <c r="V4" s="266"/>
      <c r="W4" s="266"/>
      <c r="X4" s="438"/>
      <c r="Y4" s="438"/>
      <c r="Z4" s="438"/>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158" t="str">
        <f>C1 &amp; "-I"</f>
        <v>0.0-I</v>
      </c>
      <c r="CM4" s="42"/>
    </row>
    <row r="5" spans="1:91" ht="11.25" hidden="1" customHeight="1">
      <c r="A5" s="95"/>
      <c r="B5" s="910"/>
      <c r="C5" s="910"/>
      <c r="D5" s="707"/>
      <c r="E5" s="96"/>
      <c r="F5" s="106" t="str">
        <f>F1 &amp; ".2"</f>
        <v>0.2</v>
      </c>
      <c r="G5" s="105" t="s">
        <v>723</v>
      </c>
      <c r="H5" s="107"/>
      <c r="I5" s="107"/>
      <c r="J5" s="266"/>
      <c r="K5" s="266"/>
      <c r="L5" s="266"/>
      <c r="M5" s="266"/>
      <c r="N5" s="266"/>
      <c r="O5" s="266"/>
      <c r="P5" s="266"/>
      <c r="Q5" s="266"/>
      <c r="R5" s="266"/>
      <c r="S5" s="266"/>
      <c r="T5" s="266"/>
      <c r="U5" s="266"/>
      <c r="V5" s="266"/>
      <c r="W5" s="266"/>
      <c r="X5" s="438"/>
      <c r="Y5" s="438"/>
      <c r="Z5" s="438"/>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158" t="str">
        <f>C1 &amp; "-I"</f>
        <v>0.0-I</v>
      </c>
      <c r="CM5" s="42"/>
    </row>
    <row r="6" spans="1:91" ht="11.25" hidden="1" customHeight="1">
      <c r="A6" s="95"/>
      <c r="B6" s="910"/>
      <c r="C6" s="910"/>
      <c r="D6" s="707"/>
      <c r="E6" s="96"/>
      <c r="F6" s="106" t="str">
        <f>F1 &amp; ".3"</f>
        <v>0.3</v>
      </c>
      <c r="G6" s="105" t="s">
        <v>724</v>
      </c>
      <c r="H6" s="107"/>
      <c r="I6" s="107"/>
      <c r="J6" s="266"/>
      <c r="K6" s="266"/>
      <c r="L6" s="266"/>
      <c r="M6" s="266"/>
      <c r="N6" s="266"/>
      <c r="O6" s="266"/>
      <c r="P6" s="266"/>
      <c r="Q6" s="266"/>
      <c r="R6" s="266"/>
      <c r="S6" s="266"/>
      <c r="T6" s="266"/>
      <c r="U6" s="266"/>
      <c r="V6" s="266"/>
      <c r="W6" s="266"/>
      <c r="X6" s="438"/>
      <c r="Y6" s="438"/>
      <c r="Z6" s="438"/>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158" t="str">
        <f>C1 &amp; "-I"</f>
        <v>0.0-I</v>
      </c>
      <c r="CM6" s="42"/>
    </row>
    <row r="7" spans="1:91" ht="11.25" hidden="1" customHeight="1">
      <c r="A7" s="95"/>
      <c r="B7" s="910"/>
      <c r="C7" s="910"/>
      <c r="D7" s="707"/>
      <c r="E7" s="96"/>
      <c r="F7" s="106" t="str">
        <f>F1 &amp; ".4"</f>
        <v>0.4</v>
      </c>
      <c r="G7" s="105" t="s">
        <v>725</v>
      </c>
      <c r="H7" s="107"/>
      <c r="I7" s="107"/>
      <c r="J7" s="266"/>
      <c r="K7" s="266"/>
      <c r="L7" s="266"/>
      <c r="M7" s="266"/>
      <c r="N7" s="266"/>
      <c r="O7" s="266"/>
      <c r="P7" s="266"/>
      <c r="Q7" s="266"/>
      <c r="R7" s="266"/>
      <c r="S7" s="266"/>
      <c r="T7" s="266"/>
      <c r="U7" s="266"/>
      <c r="V7" s="266"/>
      <c r="W7" s="266"/>
      <c r="X7" s="438"/>
      <c r="Y7" s="438"/>
      <c r="Z7" s="438"/>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158" t="str">
        <f>C1 &amp; "-I"</f>
        <v>0.0-I</v>
      </c>
      <c r="CM7" s="42"/>
    </row>
    <row r="8" spans="1:91" ht="11.25" hidden="1" customHeight="1">
      <c r="A8" s="95"/>
      <c r="B8" s="910"/>
      <c r="C8" s="910"/>
      <c r="D8" s="707"/>
      <c r="E8" s="96"/>
      <c r="F8" s="106" t="str">
        <f>F1 &amp; ".5"</f>
        <v>0.5</v>
      </c>
      <c r="G8" s="105" t="s">
        <v>726</v>
      </c>
      <c r="H8" s="107"/>
      <c r="I8" s="107"/>
      <c r="J8" s="266"/>
      <c r="K8" s="266"/>
      <c r="L8" s="267"/>
      <c r="M8" s="267"/>
      <c r="N8" s="266"/>
      <c r="O8" s="266"/>
      <c r="P8" s="266"/>
      <c r="Q8" s="266"/>
      <c r="R8" s="266"/>
      <c r="S8" s="266"/>
      <c r="T8" s="266"/>
      <c r="U8" s="266"/>
      <c r="V8" s="266"/>
      <c r="W8" s="266"/>
      <c r="X8" s="438"/>
      <c r="Y8" s="438"/>
      <c r="Z8" s="438"/>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158" t="str">
        <f>C1 &amp; "-I"</f>
        <v>0.0-I</v>
      </c>
      <c r="CM8" s="42"/>
    </row>
    <row r="9" spans="1:91" ht="11.25" hidden="1" customHeight="1">
      <c r="A9" s="95"/>
      <c r="B9" s="910"/>
      <c r="C9" s="910"/>
      <c r="D9" s="707"/>
      <c r="E9" s="96"/>
      <c r="F9" s="106" t="str">
        <f>F1 &amp; ".6"</f>
        <v>0.6</v>
      </c>
      <c r="G9" s="105" t="s">
        <v>727</v>
      </c>
      <c r="H9" s="107"/>
      <c r="I9" s="107"/>
      <c r="J9" s="266"/>
      <c r="K9" s="268"/>
      <c r="L9" s="266"/>
      <c r="M9" s="269"/>
      <c r="N9" s="269"/>
      <c r="O9" s="269"/>
      <c r="P9" s="269"/>
      <c r="Q9" s="266"/>
      <c r="R9" s="266"/>
      <c r="S9" s="266"/>
      <c r="T9" s="266"/>
      <c r="U9" s="266"/>
      <c r="V9" s="266"/>
      <c r="W9" s="266"/>
      <c r="X9" s="438"/>
      <c r="Y9" s="438"/>
      <c r="Z9" s="438"/>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158" t="str">
        <f>C1 &amp; "-I"</f>
        <v>0.0-I</v>
      </c>
      <c r="CM9" s="42"/>
    </row>
    <row r="10" spans="1:91" ht="11.25" hidden="1" customHeight="1">
      <c r="A10" s="95"/>
      <c r="B10" s="910"/>
      <c r="C10" s="910"/>
      <c r="D10" s="707"/>
      <c r="E10" s="96"/>
      <c r="F10" s="106" t="str">
        <f>F1 &amp; ".7"</f>
        <v>0.7</v>
      </c>
      <c r="G10" s="105" t="s">
        <v>728</v>
      </c>
      <c r="H10" s="107"/>
      <c r="I10" s="107"/>
      <c r="J10" s="266"/>
      <c r="K10" s="266"/>
      <c r="L10" s="270"/>
      <c r="M10" s="270"/>
      <c r="N10" s="266"/>
      <c r="O10" s="266"/>
      <c r="P10" s="266"/>
      <c r="Q10" s="266"/>
      <c r="R10" s="266"/>
      <c r="S10" s="266"/>
      <c r="T10" s="266"/>
      <c r="U10" s="266"/>
      <c r="V10" s="266"/>
      <c r="W10" s="266"/>
      <c r="X10" s="438"/>
      <c r="Y10" s="438"/>
      <c r="Z10" s="438"/>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158" t="str">
        <f>C1 &amp; "-II"</f>
        <v>0.0-II</v>
      </c>
      <c r="CM10" s="42"/>
    </row>
    <row r="11" spans="1:91" ht="11.25" hidden="1" customHeight="1">
      <c r="A11" s="95"/>
      <c r="B11" s="910"/>
      <c r="C11" s="910"/>
      <c r="D11" s="707"/>
      <c r="E11" s="96"/>
      <c r="F11" s="106" t="str">
        <f>F1 &amp; ".8"</f>
        <v>0.8</v>
      </c>
      <c r="G11" s="105" t="s">
        <v>729</v>
      </c>
      <c r="H11" s="107"/>
      <c r="I11" s="107"/>
      <c r="J11" s="266"/>
      <c r="K11" s="266"/>
      <c r="L11" s="266"/>
      <c r="M11" s="266"/>
      <c r="N11" s="266"/>
      <c r="O11" s="266"/>
      <c r="P11" s="266"/>
      <c r="Q11" s="266"/>
      <c r="R11" s="266"/>
      <c r="S11" s="266"/>
      <c r="T11" s="266"/>
      <c r="U11" s="266"/>
      <c r="V11" s="266"/>
      <c r="W11" s="266"/>
      <c r="X11" s="438"/>
      <c r="Y11" s="438"/>
      <c r="Z11" s="438"/>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158" t="str">
        <f>C1 &amp; "-II"</f>
        <v>0.0-II</v>
      </c>
      <c r="CM11" s="42"/>
    </row>
    <row r="12" spans="1:91" ht="11.25" hidden="1" customHeight="1">
      <c r="A12" s="95"/>
      <c r="B12" s="910"/>
      <c r="C12" s="910"/>
      <c r="D12" s="707"/>
      <c r="E12" s="96"/>
      <c r="F12" s="106" t="str">
        <f>F1 &amp; ".9"</f>
        <v>0.9</v>
      </c>
      <c r="G12" s="105" t="s">
        <v>730</v>
      </c>
      <c r="H12" s="107"/>
      <c r="I12" s="107"/>
      <c r="J12" s="266"/>
      <c r="K12" s="266"/>
      <c r="L12" s="266"/>
      <c r="M12" s="266"/>
      <c r="N12" s="266"/>
      <c r="O12" s="266"/>
      <c r="P12" s="266"/>
      <c r="Q12" s="266"/>
      <c r="R12" s="266"/>
      <c r="S12" s="266"/>
      <c r="T12" s="266"/>
      <c r="U12" s="266"/>
      <c r="V12" s="266"/>
      <c r="W12" s="266"/>
      <c r="X12" s="438"/>
      <c r="Y12" s="438"/>
      <c r="Z12" s="438"/>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158" t="str">
        <f>C1 &amp; IF(TEMPLATE_CLAIM="P","-II","-III")</f>
        <v>0.0-III</v>
      </c>
      <c r="CM12" s="42"/>
    </row>
    <row r="13" spans="1:91" ht="11.25" hidden="1" customHeight="1">
      <c r="A13" s="95"/>
      <c r="B13" s="910"/>
      <c r="C13" s="910"/>
      <c r="D13" s="707"/>
      <c r="E13" s="96"/>
      <c r="F13" s="106" t="str">
        <f>F1 &amp; ".10"</f>
        <v>0.10</v>
      </c>
      <c r="G13" s="105" t="s">
        <v>731</v>
      </c>
      <c r="H13" s="107"/>
      <c r="I13" s="107"/>
      <c r="J13" s="266"/>
      <c r="K13" s="266"/>
      <c r="L13" s="266"/>
      <c r="M13" s="266"/>
      <c r="N13" s="266"/>
      <c r="O13" s="266"/>
      <c r="P13" s="266"/>
      <c r="Q13" s="266"/>
      <c r="R13" s="266"/>
      <c r="S13" s="266"/>
      <c r="T13" s="266"/>
      <c r="U13" s="266"/>
      <c r="V13" s="266"/>
      <c r="W13" s="266"/>
      <c r="X13" s="438"/>
      <c r="Y13" s="438"/>
      <c r="Z13" s="438"/>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158" t="str">
        <f>C1 &amp; IF(TEMPLATE_CLAIM="P","-II","-III")</f>
        <v>0.0-III</v>
      </c>
      <c r="CM13" s="42"/>
    </row>
    <row r="14" spans="1:91" ht="11.25" hidden="1" customHeight="1">
      <c r="A14" s="95"/>
      <c r="B14" s="910"/>
      <c r="C14" s="910"/>
      <c r="D14" s="707"/>
      <c r="E14" s="96"/>
      <c r="F14" s="106" t="str">
        <f>F1 &amp; ".11"</f>
        <v>0.11</v>
      </c>
      <c r="G14" s="105" t="s">
        <v>732</v>
      </c>
      <c r="H14" s="107"/>
      <c r="I14" s="107"/>
      <c r="J14" s="266"/>
      <c r="K14" s="266"/>
      <c r="L14" s="266"/>
      <c r="M14" s="266"/>
      <c r="N14" s="266"/>
      <c r="O14" s="266"/>
      <c r="P14" s="266"/>
      <c r="Q14" s="266"/>
      <c r="R14" s="266"/>
      <c r="S14" s="266"/>
      <c r="T14" s="266"/>
      <c r="U14" s="266"/>
      <c r="V14" s="266"/>
      <c r="W14" s="266"/>
      <c r="X14" s="438"/>
      <c r="Y14" s="438"/>
      <c r="Z14" s="438"/>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158" t="str">
        <f>C1 &amp; IF(TEMPLATE_CLAIM="P","-II","-III")</f>
        <v>0.0-III</v>
      </c>
      <c r="CM14" s="42"/>
    </row>
    <row r="15" spans="1:91" ht="11.25" hidden="1" customHeight="1">
      <c r="A15" s="95"/>
      <c r="B15" s="910"/>
      <c r="C15" s="910"/>
      <c r="D15" s="707"/>
      <c r="E15" s="96"/>
      <c r="F15" s="106" t="str">
        <f>F1 &amp; ".12"</f>
        <v>0.12</v>
      </c>
      <c r="G15" s="105" t="s">
        <v>733</v>
      </c>
      <c r="H15" s="107"/>
      <c r="I15" s="107"/>
      <c r="J15" s="266"/>
      <c r="K15" s="266"/>
      <c r="L15" s="266"/>
      <c r="M15" s="266"/>
      <c r="N15" s="266"/>
      <c r="O15" s="266"/>
      <c r="P15" s="266"/>
      <c r="Q15" s="266"/>
      <c r="R15" s="266"/>
      <c r="S15" s="266"/>
      <c r="T15" s="266"/>
      <c r="U15" s="266"/>
      <c r="V15" s="266"/>
      <c r="W15" s="266"/>
      <c r="X15" s="438"/>
      <c r="Y15" s="438"/>
      <c r="Z15" s="438"/>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158" t="str">
        <f>C1 &amp; IF(TEMPLATE_CLAIM="P","-II","-III")</f>
        <v>0.0-III</v>
      </c>
      <c r="CM15" s="42"/>
    </row>
    <row r="16" spans="1:91" ht="0.75" hidden="1" customHeight="1">
      <c r="A16" s="95"/>
      <c r="B16" s="910"/>
      <c r="C16" s="910"/>
      <c r="D16" s="707"/>
      <c r="E16" s="96"/>
      <c r="F16" s="107"/>
      <c r="G16" s="107"/>
      <c r="H16" s="107"/>
      <c r="I16" s="107"/>
      <c r="J16" s="266"/>
      <c r="K16" s="266"/>
      <c r="L16" s="266"/>
      <c r="M16" s="266"/>
      <c r="N16" s="266"/>
      <c r="O16" s="266"/>
      <c r="P16" s="266"/>
      <c r="Q16" s="266"/>
      <c r="R16" s="266"/>
      <c r="S16" s="266"/>
      <c r="T16" s="266"/>
      <c r="U16" s="266"/>
      <c r="V16" s="266"/>
      <c r="W16" s="266"/>
      <c r="X16" s="438"/>
      <c r="Y16" s="438"/>
      <c r="Z16" s="438"/>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158"/>
      <c r="CM16" s="42"/>
    </row>
    <row r="17" spans="1:91" ht="0.75" hidden="1" customHeight="1">
      <c r="A17" s="95"/>
      <c r="B17" s="910"/>
      <c r="C17" s="910"/>
      <c r="D17" s="707"/>
      <c r="E17" s="96"/>
      <c r="F17" s="107"/>
      <c r="G17" s="107"/>
      <c r="H17" s="107"/>
      <c r="I17" s="107"/>
      <c r="J17" s="266"/>
      <c r="K17" s="266"/>
      <c r="L17" s="266"/>
      <c r="M17" s="266"/>
      <c r="N17" s="266"/>
      <c r="O17" s="266"/>
      <c r="P17" s="266"/>
      <c r="Q17" s="266"/>
      <c r="R17" s="266"/>
      <c r="S17" s="266"/>
      <c r="T17" s="266"/>
      <c r="U17" s="266"/>
      <c r="V17" s="266"/>
      <c r="W17" s="266"/>
      <c r="X17" s="438"/>
      <c r="Y17" s="438"/>
      <c r="Z17" s="438"/>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158"/>
      <c r="CM17" s="42"/>
    </row>
    <row r="18" spans="1:91" ht="0.75" hidden="1" customHeight="1">
      <c r="A18" s="95"/>
      <c r="B18" s="910"/>
      <c r="C18" s="910"/>
      <c r="D18" s="707"/>
      <c r="E18" s="96"/>
      <c r="F18" s="107"/>
      <c r="G18" s="107"/>
      <c r="H18" s="107"/>
      <c r="I18" s="107"/>
      <c r="J18" s="266"/>
      <c r="K18" s="266"/>
      <c r="L18" s="266"/>
      <c r="M18" s="266"/>
      <c r="N18" s="266"/>
      <c r="O18" s="266"/>
      <c r="P18" s="266"/>
      <c r="Q18" s="266"/>
      <c r="R18" s="266"/>
      <c r="S18" s="266"/>
      <c r="T18" s="266"/>
      <c r="U18" s="266"/>
      <c r="V18" s="266"/>
      <c r="W18" s="266"/>
      <c r="X18" s="438"/>
      <c r="Y18" s="438"/>
      <c r="Z18" s="438"/>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158"/>
      <c r="CM18" s="42"/>
    </row>
    <row r="19" spans="1:91" ht="0.75" hidden="1" customHeight="1">
      <c r="A19" s="95"/>
      <c r="B19" s="910"/>
      <c r="C19" s="910"/>
      <c r="D19" s="707"/>
      <c r="E19" s="96"/>
      <c r="F19" s="107"/>
      <c r="G19" s="107"/>
      <c r="H19" s="107"/>
      <c r="I19" s="107"/>
      <c r="J19" s="266"/>
      <c r="K19" s="266"/>
      <c r="L19" s="266"/>
      <c r="M19" s="266"/>
      <c r="N19" s="266"/>
      <c r="O19" s="266"/>
      <c r="P19" s="266"/>
      <c r="Q19" s="266"/>
      <c r="R19" s="266"/>
      <c r="S19" s="266"/>
      <c r="T19" s="266"/>
      <c r="U19" s="266"/>
      <c r="V19" s="266"/>
      <c r="W19" s="266"/>
      <c r="X19" s="438"/>
      <c r="Y19" s="438"/>
      <c r="Z19" s="438"/>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158"/>
      <c r="CM19" s="42"/>
    </row>
    <row r="20" spans="1:91" ht="0.75" hidden="1" customHeight="1">
      <c r="A20" s="95"/>
      <c r="B20" s="910"/>
      <c r="C20" s="910"/>
      <c r="D20" s="707"/>
      <c r="E20" s="96"/>
      <c r="F20" s="107"/>
      <c r="G20" s="107"/>
      <c r="H20" s="107"/>
      <c r="I20" s="107"/>
      <c r="J20" s="266"/>
      <c r="K20" s="266"/>
      <c r="L20" s="266"/>
      <c r="M20" s="266"/>
      <c r="N20" s="266"/>
      <c r="O20" s="266"/>
      <c r="P20" s="266"/>
      <c r="Q20" s="266"/>
      <c r="R20" s="266"/>
      <c r="S20" s="266"/>
      <c r="T20" s="266"/>
      <c r="U20" s="266"/>
      <c r="V20" s="266"/>
      <c r="W20" s="266"/>
      <c r="X20" s="438"/>
      <c r="Y20" s="438"/>
      <c r="Z20" s="438"/>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158"/>
      <c r="CM20" s="42"/>
    </row>
    <row r="21" spans="1:91" ht="0.75" hidden="1" customHeight="1">
      <c r="A21" s="95"/>
      <c r="B21" s="910"/>
      <c r="C21" s="910"/>
      <c r="D21" s="707"/>
      <c r="E21" s="96"/>
      <c r="F21" s="107"/>
      <c r="G21" s="107"/>
      <c r="H21" s="107"/>
      <c r="I21" s="107"/>
      <c r="J21" s="266"/>
      <c r="K21" s="266"/>
      <c r="L21" s="266"/>
      <c r="M21" s="266"/>
      <c r="N21" s="266"/>
      <c r="O21" s="266"/>
      <c r="P21" s="266"/>
      <c r="Q21" s="266"/>
      <c r="R21" s="266"/>
      <c r="S21" s="266"/>
      <c r="T21" s="266"/>
      <c r="U21" s="266"/>
      <c r="V21" s="266"/>
      <c r="W21" s="266"/>
      <c r="X21" s="438"/>
      <c r="Y21" s="438"/>
      <c r="Z21" s="438"/>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158"/>
      <c r="CM21" s="42"/>
    </row>
    <row r="22" spans="1:91" ht="0.75" hidden="1" customHeight="1">
      <c r="A22" s="95"/>
      <c r="B22" s="910"/>
      <c r="C22" s="910"/>
      <c r="D22" s="707"/>
      <c r="E22" s="96"/>
      <c r="F22" s="107"/>
      <c r="G22" s="107"/>
      <c r="H22" s="107"/>
      <c r="I22" s="107"/>
      <c r="J22" s="266"/>
      <c r="K22" s="266"/>
      <c r="L22" s="266"/>
      <c r="M22" s="266"/>
      <c r="N22" s="266"/>
      <c r="O22" s="266"/>
      <c r="P22" s="266"/>
      <c r="Q22" s="266"/>
      <c r="R22" s="266"/>
      <c r="S22" s="266"/>
      <c r="T22" s="266"/>
      <c r="U22" s="266"/>
      <c r="V22" s="266"/>
      <c r="W22" s="266"/>
      <c r="X22" s="438"/>
      <c r="Y22" s="438"/>
      <c r="Z22" s="438"/>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158"/>
      <c r="CM22" s="42"/>
    </row>
    <row r="23" spans="1:91" ht="0.75" hidden="1" customHeight="1">
      <c r="A23" s="95"/>
      <c r="B23" s="910"/>
      <c r="C23" s="910"/>
      <c r="D23" s="707"/>
      <c r="E23" s="96"/>
      <c r="F23" s="107"/>
      <c r="G23" s="107"/>
      <c r="H23" s="107"/>
      <c r="I23" s="107"/>
      <c r="J23" s="266"/>
      <c r="K23" s="266"/>
      <c r="L23" s="266"/>
      <c r="M23" s="266"/>
      <c r="N23" s="266"/>
      <c r="O23" s="266"/>
      <c r="P23" s="266"/>
      <c r="Q23" s="266"/>
      <c r="R23" s="266"/>
      <c r="S23" s="266"/>
      <c r="T23" s="266"/>
      <c r="U23" s="266"/>
      <c r="V23" s="266"/>
      <c r="W23" s="266"/>
      <c r="X23" s="438"/>
      <c r="Y23" s="438"/>
      <c r="Z23" s="438"/>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158"/>
      <c r="CM23" s="42"/>
    </row>
    <row r="24" spans="1:91" ht="0.75" hidden="1" customHeight="1">
      <c r="A24" s="95"/>
      <c r="B24" s="910"/>
      <c r="C24" s="910"/>
      <c r="D24" s="707"/>
      <c r="E24" s="96"/>
      <c r="F24" s="107"/>
      <c r="G24" s="107"/>
      <c r="H24" s="107"/>
      <c r="I24" s="107"/>
      <c r="J24" s="266"/>
      <c r="K24" s="266"/>
      <c r="L24" s="266"/>
      <c r="M24" s="266"/>
      <c r="N24" s="266"/>
      <c r="O24" s="266"/>
      <c r="P24" s="266"/>
      <c r="Q24" s="266"/>
      <c r="R24" s="266"/>
      <c r="S24" s="266"/>
      <c r="T24" s="266"/>
      <c r="U24" s="266"/>
      <c r="V24" s="266"/>
      <c r="W24" s="266"/>
      <c r="X24" s="438"/>
      <c r="Y24" s="438"/>
      <c r="Z24" s="438"/>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158"/>
      <c r="CM24" s="42"/>
    </row>
    <row r="25" spans="1:91" ht="0.75" hidden="1" customHeight="1">
      <c r="A25" s="95"/>
      <c r="B25" s="910"/>
      <c r="C25" s="910"/>
      <c r="D25" s="707"/>
      <c r="E25" s="96"/>
      <c r="F25" s="107"/>
      <c r="G25" s="107"/>
      <c r="H25" s="107"/>
      <c r="I25" s="107"/>
      <c r="J25" s="266"/>
      <c r="K25" s="266"/>
      <c r="L25" s="266"/>
      <c r="M25" s="266"/>
      <c r="N25" s="266"/>
      <c r="O25" s="266"/>
      <c r="P25" s="266"/>
      <c r="Q25" s="266"/>
      <c r="R25" s="266"/>
      <c r="S25" s="266"/>
      <c r="T25" s="266"/>
      <c r="U25" s="266"/>
      <c r="V25" s="266"/>
      <c r="W25" s="266"/>
      <c r="X25" s="438"/>
      <c r="Y25" s="438"/>
      <c r="Z25" s="438"/>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158"/>
      <c r="CM25" s="42"/>
    </row>
    <row r="26" spans="1:91" ht="0.75" hidden="1" customHeight="1">
      <c r="A26" s="95"/>
      <c r="B26" s="910"/>
      <c r="C26" s="910"/>
      <c r="D26" s="707"/>
      <c r="E26" s="96"/>
      <c r="F26" s="107"/>
      <c r="G26" s="107"/>
      <c r="H26" s="107"/>
      <c r="I26" s="107"/>
      <c r="J26" s="266"/>
      <c r="K26" s="266"/>
      <c r="L26" s="266"/>
      <c r="M26" s="266"/>
      <c r="N26" s="266"/>
      <c r="O26" s="266"/>
      <c r="P26" s="266"/>
      <c r="Q26" s="266"/>
      <c r="R26" s="266"/>
      <c r="S26" s="266"/>
      <c r="T26" s="266"/>
      <c r="U26" s="266"/>
      <c r="V26" s="266"/>
      <c r="W26" s="266"/>
      <c r="X26" s="438"/>
      <c r="Y26" s="438"/>
      <c r="Z26" s="438"/>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158"/>
      <c r="CM26" s="42"/>
    </row>
    <row r="27" spans="1:91" ht="0.75" hidden="1" customHeight="1">
      <c r="A27" s="95"/>
      <c r="B27" s="910"/>
      <c r="C27" s="910"/>
      <c r="D27" s="707"/>
      <c r="E27" s="96"/>
      <c r="F27" s="107"/>
      <c r="G27" s="107"/>
      <c r="H27" s="107"/>
      <c r="I27" s="107"/>
      <c r="J27" s="266"/>
      <c r="K27" s="266"/>
      <c r="L27" s="266"/>
      <c r="M27" s="266"/>
      <c r="N27" s="266"/>
      <c r="O27" s="266"/>
      <c r="P27" s="266"/>
      <c r="Q27" s="266"/>
      <c r="R27" s="266"/>
      <c r="S27" s="266"/>
      <c r="T27" s="266"/>
      <c r="U27" s="266"/>
      <c r="V27" s="266"/>
      <c r="W27" s="266"/>
      <c r="X27" s="438"/>
      <c r="Y27" s="438"/>
      <c r="Z27" s="438"/>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158"/>
      <c r="CM27" s="42"/>
    </row>
    <row r="28" spans="1:91" ht="0.75" hidden="1" customHeight="1">
      <c r="A28" s="95"/>
      <c r="B28" s="910"/>
      <c r="C28" s="910"/>
      <c r="D28" s="707"/>
      <c r="E28" s="96"/>
      <c r="F28" s="107"/>
      <c r="G28" s="107"/>
      <c r="H28" s="107"/>
      <c r="I28" s="107"/>
      <c r="J28" s="266"/>
      <c r="K28" s="267"/>
      <c r="L28" s="266"/>
      <c r="M28" s="266"/>
      <c r="N28" s="266"/>
      <c r="O28" s="266"/>
      <c r="P28" s="266"/>
      <c r="Q28" s="266"/>
      <c r="R28" s="266"/>
      <c r="S28" s="266"/>
      <c r="T28" s="266"/>
      <c r="U28" s="266"/>
      <c r="V28" s="266"/>
      <c r="W28" s="266"/>
      <c r="X28" s="438"/>
      <c r="Y28" s="438"/>
      <c r="Z28" s="438"/>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158"/>
      <c r="CM28" s="42"/>
    </row>
    <row r="29" spans="1:91" ht="21" hidden="1" customHeight="1">
      <c r="A29" s="95"/>
      <c r="B29" s="910"/>
      <c r="C29" s="119" t="str">
        <f>F31</f>
        <v>0.0</v>
      </c>
      <c r="D29" s="714" t="s">
        <v>652</v>
      </c>
      <c r="E29" s="96"/>
      <c r="F29" s="835">
        <f>B29</f>
        <v>0</v>
      </c>
      <c r="G29" s="913"/>
      <c r="H29" s="696"/>
      <c r="I29" s="696"/>
      <c r="J29" s="690">
        <f>IF(TEMPLATE_CLAIM="P","",K29+L29-Y29+AP29-Z29-AH29)</f>
        <v>0</v>
      </c>
      <c r="K29" s="274"/>
      <c r="L29" s="691">
        <f>IF(TEMPLATE_CLAIM="P","",SUM(M29:P29,Q29:S29,T29,Y29))</f>
        <v>0</v>
      </c>
      <c r="M29" s="274"/>
      <c r="N29" s="692"/>
      <c r="O29" s="692"/>
      <c r="P29" s="692"/>
      <c r="Q29" s="274"/>
      <c r="R29" s="274"/>
      <c r="S29" s="274"/>
      <c r="T29" s="691">
        <f>IF(TEMPLATE_CLAIM="P","",SUM(U29:X29))</f>
        <v>0</v>
      </c>
      <c r="U29" s="692"/>
      <c r="V29" s="692"/>
      <c r="W29" s="692"/>
      <c r="X29" s="697"/>
      <c r="Y29" s="439"/>
      <c r="Z29" s="274"/>
      <c r="AA29" s="692"/>
      <c r="AB29" s="692"/>
      <c r="AC29" s="692"/>
      <c r="AD29" s="274"/>
      <c r="AE29" s="692"/>
      <c r="AF29" s="692"/>
      <c r="AG29" s="692"/>
      <c r="AH29" s="274"/>
      <c r="AI29" s="692"/>
      <c r="AJ29" s="692"/>
      <c r="AK29" s="692"/>
      <c r="AL29" s="274"/>
      <c r="AM29" s="692"/>
      <c r="AN29" s="692"/>
      <c r="AO29" s="692"/>
      <c r="AP29" s="274"/>
      <c r="AQ29" s="274"/>
      <c r="AR29" s="691">
        <f>IF(TEMPLATE_CLAIM="P","",SUM(AS29:AV29,AW29,BB29))</f>
        <v>0</v>
      </c>
      <c r="AS29" s="274"/>
      <c r="AT29" s="692"/>
      <c r="AU29" s="692"/>
      <c r="AV29" s="692"/>
      <c r="AW29" s="691">
        <f>IF(TEMPLATE_CLAIM="P","",SUM(AX29:BA29))</f>
        <v>0</v>
      </c>
      <c r="AX29" s="692"/>
      <c r="AY29" s="692"/>
      <c r="AZ29" s="692"/>
      <c r="BA29" s="692"/>
      <c r="BB29" s="691">
        <f>IF(TEMPLATE_CLAIM="P","",SUM(BC29:BE29))</f>
        <v>0</v>
      </c>
      <c r="BC29" s="274"/>
      <c r="BD29" s="274"/>
      <c r="BE29" s="274"/>
      <c r="BF29" s="426" t="s">
        <v>3144</v>
      </c>
      <c r="CM29" s="42"/>
    </row>
    <row r="30" spans="1:91" ht="0.75" hidden="1" customHeight="1">
      <c r="A30" s="95"/>
      <c r="B30" s="910"/>
      <c r="C30" s="119"/>
      <c r="D30" s="706"/>
      <c r="E30" s="96"/>
      <c r="F30" s="835"/>
      <c r="G30" s="913"/>
      <c r="H30" s="107"/>
      <c r="I30" s="107"/>
      <c r="J30" s="266"/>
      <c r="K30" s="266"/>
      <c r="L30" s="266"/>
      <c r="M30" s="266"/>
      <c r="N30" s="266"/>
      <c r="O30" s="266"/>
      <c r="P30" s="266"/>
      <c r="Q30" s="266"/>
      <c r="R30" s="266"/>
      <c r="S30" s="266"/>
      <c r="T30" s="266"/>
      <c r="U30" s="266"/>
      <c r="V30" s="266"/>
      <c r="W30" s="266"/>
      <c r="X30" s="438"/>
      <c r="Y30" s="438"/>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692"/>
      <c r="BF30" s="158" t="str">
        <f>IF(TEMPLATE_SPHERE="водоснабжения","TOTAL_ORG_TW","")</f>
        <v/>
      </c>
      <c r="CM30" s="42"/>
    </row>
    <row r="31" spans="1:91" ht="11.25" hidden="1" customHeight="1">
      <c r="A31" s="95"/>
      <c r="B31" s="910"/>
      <c r="C31" s="910"/>
      <c r="D31" s="707"/>
      <c r="E31" s="96"/>
      <c r="F31" s="106" t="str">
        <f>F29 &amp; ".0"</f>
        <v>0.0</v>
      </c>
      <c r="G31" s="105" t="s">
        <v>721</v>
      </c>
      <c r="H31" s="266"/>
      <c r="I31" s="266"/>
      <c r="J31" s="478">
        <f>K31+L31-Y31+AP31-Z31-AH31</f>
        <v>0</v>
      </c>
      <c r="K31" s="277"/>
      <c r="L31" s="271">
        <f t="shared" ref="L31:L43" si="0">SUM(M31:P31,Q31:S31,T31,Y31)</f>
        <v>0</v>
      </c>
      <c r="M31" s="271">
        <f>SUM(M32:M43)</f>
        <v>0</v>
      </c>
      <c r="N31" s="266"/>
      <c r="O31" s="266"/>
      <c r="P31" s="266"/>
      <c r="Q31" s="271">
        <f>SUM(Q32:Q43)</f>
        <v>0</v>
      </c>
      <c r="R31" s="271">
        <f>SUM(R32:R43)</f>
        <v>0</v>
      </c>
      <c r="S31" s="271">
        <f>SUM(S32:S43)</f>
        <v>0</v>
      </c>
      <c r="T31" s="271">
        <f>SUM(T32:T43)</f>
        <v>0</v>
      </c>
      <c r="U31" s="266"/>
      <c r="V31" s="266"/>
      <c r="W31" s="266"/>
      <c r="X31" s="438"/>
      <c r="Y31" s="271">
        <f>SUM(Y32:Y43)</f>
        <v>0</v>
      </c>
      <c r="Z31" s="272"/>
      <c r="AA31" s="266"/>
      <c r="AB31" s="266"/>
      <c r="AC31" s="266"/>
      <c r="AD31" s="272"/>
      <c r="AE31" s="266"/>
      <c r="AF31" s="266"/>
      <c r="AG31" s="266"/>
      <c r="AH31" s="272"/>
      <c r="AI31" s="266"/>
      <c r="AJ31" s="266"/>
      <c r="AK31" s="266"/>
      <c r="AL31" s="272"/>
      <c r="AM31" s="266"/>
      <c r="AN31" s="266"/>
      <c r="AO31" s="266"/>
      <c r="AP31" s="271">
        <f>AQ31+AR31</f>
        <v>0</v>
      </c>
      <c r="AQ31" s="272"/>
      <c r="AR31" s="271">
        <f>SUM(AR32:AR43)</f>
        <v>0</v>
      </c>
      <c r="AS31" s="271">
        <f>SUM(AS32:AS43)</f>
        <v>0</v>
      </c>
      <c r="AT31" s="266"/>
      <c r="AU31" s="266"/>
      <c r="AV31" s="266"/>
      <c r="AW31" s="271">
        <f>SUM(AW32:AW43)</f>
        <v>0</v>
      </c>
      <c r="AX31" s="266"/>
      <c r="AY31" s="266"/>
      <c r="AZ31" s="266"/>
      <c r="BA31" s="266"/>
      <c r="BB31" s="271">
        <f>SUM(BB32:BB43)</f>
        <v>0</v>
      </c>
      <c r="BC31" s="271">
        <f>SUM(BC32:BC43)</f>
        <v>0</v>
      </c>
      <c r="BD31" s="271">
        <f>SUM(BD32:BD43)</f>
        <v>0</v>
      </c>
      <c r="BE31" s="271">
        <f>SUM(BE32:BE43)</f>
        <v>0</v>
      </c>
      <c r="BF31" s="158" t="str">
        <f>IF(TEMPLATE_SPHERE="водоснабжения","TOTAL_ORG_PW","TOTAL_ORG")</f>
        <v>TOTAL_ORG</v>
      </c>
      <c r="BU31" s="638">
        <f>IF(TARIFF_SETUP_METHOD_CODE="BY_PSEUDO_YEARS",SUM($T32:$T43)+SUM($AW32:$AW43),SUM($T32:$T37)+SUM($AW32:$AW37))</f>
        <v>0</v>
      </c>
      <c r="BV31" s="638">
        <f>IF(TARIFF_SETUP_METHOD_CODE="BY_PSEUDO_YEARS",SUM($Q32:$Q43)+SUM($BC32:$BC43),SUM($Q32:$Q37)+SUM($BC32:$BC37))</f>
        <v>0</v>
      </c>
      <c r="BW31" s="638">
        <f>IF(TARIFF_SETUP_METHOD_CODE="BY_PSEUDO_YEARS",SUM($R32:$R43)+SUM($BD32:$BD43),SUM($R32:$R37)+SUM($BD32:$BD37))</f>
        <v>0</v>
      </c>
      <c r="BX31" s="638">
        <f>IF(TARIFF_SETUP_METHOD_CODE="BY_PSEUDO_YEARS",SUM($S32:$S43)+SUM($BE32:$BE43),SUM($S32:$S37)+SUM($BE32:$BE37))</f>
        <v>0</v>
      </c>
      <c r="BY31" s="638"/>
      <c r="BZ31" s="638">
        <f>IF(TARIFF_SETUP_METHOD_CODE="BY_PSEUDO_YEARS",SUM($T32:$T43)+SUM($AW32:$AW43),IF(TEMPLATE_CLAIM="U",SUM($T38:$T39)+SUM($AW38:$AW39),SUM($T38:$T43)+SUM($AW38:$AW43)))</f>
        <v>0</v>
      </c>
      <c r="CA31" s="638">
        <f>IF(TARIFF_SETUP_METHOD_CODE="BY_PSEUDO_YEARS",SUM($Q32:$Q43)+SUM($BC32:$BC43),IF(TEMPLATE_CLAIM="U",SUM($Q38:$Q39)+SUM($BC38:$BC39),SUM($Q38:$Q43)+SUM($BC38:$BC43)))</f>
        <v>0</v>
      </c>
      <c r="CB31" s="638">
        <f>IF(TARIFF_SETUP_METHOD_CODE="BY_PSEUDO_YEARS",SUM($R32:$R43)+SUM($BD32:$BD43),IF(TEMPLATE_CLAIM="U",SUM($R38:$R39)+SUM($BD38:$BD39),SUM($R38:$R43)+SUM($BD38:$BD43)))</f>
        <v>0</v>
      </c>
      <c r="CC31" s="638">
        <f>IF(TARIFF_SETUP_METHOD_CODE="BY_PSEUDO_YEARS",SUM($S32:$S43)+SUM($BE32:$BE43),IF(TEMPLATE_CLAIM="U",SUM($S38:$S39)+SUM($BE38:$BE39),SUM($S38:$S43)+SUM($BE38:$BE43)))</f>
        <v>0</v>
      </c>
      <c r="CD31" s="638"/>
      <c r="CE31" s="638">
        <f>IF(TEMPLATE_CLAIM="P","",IF(TARIFF_SETUP_METHOD_CODE="BY_PSEUDO_YEARS",SUM($T32:$T43)+SUM($AW32:$AW43),SUM($T40:$T43)+SUM($AW40:$AW43)))</f>
        <v>0</v>
      </c>
      <c r="CF31" s="638">
        <f>IF(TEMPLATE_CLAIM="P","",IF(TARIFF_SETUP_METHOD_CODE="BY_PSEUDO_YEARS",SUM($Q32:$Q43)+SUM($BC32:$BC43),SUM($Q40:$Q43)+SUM($BC40:$BC43)))</f>
        <v>0</v>
      </c>
      <c r="CG31" s="638">
        <f>IF(TEMPLATE_CLAIM="P","",IF(TARIFF_SETUP_METHOD_CODE="BY_PSEUDO_YEARS",SUM($R32:$R43)+SUM($BD32:$BD43),SUM($R40:$R43)+SUM($BD40:$BD43)))</f>
        <v>0</v>
      </c>
      <c r="CH31" s="638">
        <f>IF(TEMPLATE_CLAIM="P","",IF(TARIFF_SETUP_METHOD_CODE="BY_PSEUDO_YEARS",SUM($S32:$S43)+SUM($BE32:$BE43),SUM($S40:$S43)+SUM($BE40:$BE43)))</f>
        <v>0</v>
      </c>
      <c r="CI31" s="638"/>
      <c r="CJ31" s="638">
        <f>L31-Y31+AR31</f>
        <v>0</v>
      </c>
      <c r="CM31" s="42"/>
    </row>
    <row r="32" spans="1:91" ht="11.25" hidden="1" customHeight="1">
      <c r="A32" s="95"/>
      <c r="B32" s="910"/>
      <c r="C32" s="910"/>
      <c r="D32" s="707"/>
      <c r="E32" s="96"/>
      <c r="F32" s="106" t="str">
        <f>F29 &amp; ".1"</f>
        <v>0.1</v>
      </c>
      <c r="G32" s="105" t="s">
        <v>722</v>
      </c>
      <c r="H32" s="107"/>
      <c r="I32" s="107"/>
      <c r="J32" s="266"/>
      <c r="K32" s="266"/>
      <c r="L32" s="271">
        <f t="shared" si="0"/>
        <v>0</v>
      </c>
      <c r="M32" s="277"/>
      <c r="N32" s="266"/>
      <c r="O32" s="266"/>
      <c r="P32" s="266"/>
      <c r="Q32" s="272"/>
      <c r="R32" s="272"/>
      <c r="S32" s="272"/>
      <c r="T32" s="271">
        <f t="shared" ref="T32:T43" si="1">SUM(U32:X32)</f>
        <v>0</v>
      </c>
      <c r="U32" s="266"/>
      <c r="V32" s="266"/>
      <c r="W32" s="266"/>
      <c r="X32" s="438"/>
      <c r="Y32" s="272"/>
      <c r="Z32" s="266"/>
      <c r="AA32" s="266"/>
      <c r="AB32" s="266"/>
      <c r="AC32" s="266"/>
      <c r="AD32" s="266"/>
      <c r="AE32" s="266"/>
      <c r="AF32" s="266"/>
      <c r="AG32" s="266"/>
      <c r="AH32" s="266"/>
      <c r="AI32" s="266"/>
      <c r="AJ32" s="266"/>
      <c r="AK32" s="266"/>
      <c r="AL32" s="266"/>
      <c r="AM32" s="266"/>
      <c r="AN32" s="266"/>
      <c r="AO32" s="266"/>
      <c r="AP32" s="266"/>
      <c r="AQ32" s="266"/>
      <c r="AR32" s="271">
        <f t="shared" ref="AR32:AR43" si="2">SUM(AS32:AV32,AW32,BB32)</f>
        <v>0</v>
      </c>
      <c r="AS32" s="277"/>
      <c r="AT32" s="266"/>
      <c r="AU32" s="266"/>
      <c r="AV32" s="266"/>
      <c r="AW32" s="271">
        <f t="shared" ref="AW32:AW43" si="3">SUM(AX32:BA32)</f>
        <v>0</v>
      </c>
      <c r="AX32" s="266"/>
      <c r="AY32" s="266"/>
      <c r="AZ32" s="266"/>
      <c r="BA32" s="266"/>
      <c r="BB32" s="271">
        <f t="shared" ref="BB32:BB43" si="4">SUM(BC32:BE32)</f>
        <v>0</v>
      </c>
      <c r="BC32" s="272"/>
      <c r="BD32" s="272"/>
      <c r="BE32" s="272"/>
      <c r="BF32" s="158" t="str">
        <f>C29 &amp; "-I"</f>
        <v>0.0-I</v>
      </c>
      <c r="CM32" s="42"/>
    </row>
    <row r="33" spans="1:91" ht="11.25" hidden="1" customHeight="1">
      <c r="A33" s="95"/>
      <c r="B33" s="910"/>
      <c r="C33" s="910"/>
      <c r="D33" s="707"/>
      <c r="E33" s="96"/>
      <c r="F33" s="106" t="str">
        <f>F29 &amp; ".2"</f>
        <v>0.2</v>
      </c>
      <c r="G33" s="105" t="s">
        <v>723</v>
      </c>
      <c r="H33" s="107"/>
      <c r="I33" s="107"/>
      <c r="J33" s="266"/>
      <c r="K33" s="266"/>
      <c r="L33" s="271">
        <f t="shared" si="0"/>
        <v>0</v>
      </c>
      <c r="M33" s="277"/>
      <c r="N33" s="266"/>
      <c r="O33" s="266"/>
      <c r="P33" s="266"/>
      <c r="Q33" s="272"/>
      <c r="R33" s="272"/>
      <c r="S33" s="272"/>
      <c r="T33" s="271">
        <f t="shared" si="1"/>
        <v>0</v>
      </c>
      <c r="U33" s="266"/>
      <c r="V33" s="266"/>
      <c r="W33" s="266"/>
      <c r="X33" s="438"/>
      <c r="Y33" s="272"/>
      <c r="Z33" s="266"/>
      <c r="AA33" s="266"/>
      <c r="AB33" s="266"/>
      <c r="AC33" s="266"/>
      <c r="AD33" s="266"/>
      <c r="AE33" s="266"/>
      <c r="AF33" s="266"/>
      <c r="AG33" s="266"/>
      <c r="AH33" s="266"/>
      <c r="AI33" s="266"/>
      <c r="AJ33" s="266"/>
      <c r="AK33" s="266"/>
      <c r="AL33" s="266"/>
      <c r="AM33" s="266"/>
      <c r="AN33" s="266"/>
      <c r="AO33" s="266"/>
      <c r="AP33" s="266"/>
      <c r="AQ33" s="266"/>
      <c r="AR33" s="271">
        <f t="shared" si="2"/>
        <v>0</v>
      </c>
      <c r="AS33" s="277"/>
      <c r="AT33" s="266"/>
      <c r="AU33" s="266"/>
      <c r="AV33" s="266"/>
      <c r="AW33" s="271">
        <f t="shared" si="3"/>
        <v>0</v>
      </c>
      <c r="AX33" s="266"/>
      <c r="AY33" s="266"/>
      <c r="AZ33" s="266"/>
      <c r="BA33" s="266"/>
      <c r="BB33" s="271">
        <f t="shared" si="4"/>
        <v>0</v>
      </c>
      <c r="BC33" s="272"/>
      <c r="BD33" s="272"/>
      <c r="BE33" s="272"/>
      <c r="BF33" s="158" t="str">
        <f>C29 &amp; "-I"</f>
        <v>0.0-I</v>
      </c>
      <c r="CM33" s="42"/>
    </row>
    <row r="34" spans="1:91" ht="11.25" hidden="1" customHeight="1">
      <c r="A34" s="95"/>
      <c r="B34" s="910"/>
      <c r="C34" s="910"/>
      <c r="D34" s="707"/>
      <c r="E34" s="96"/>
      <c r="F34" s="106" t="str">
        <f>F29 &amp; ".3"</f>
        <v>0.3</v>
      </c>
      <c r="G34" s="105" t="s">
        <v>724</v>
      </c>
      <c r="H34" s="107"/>
      <c r="I34" s="107"/>
      <c r="J34" s="266"/>
      <c r="K34" s="266"/>
      <c r="L34" s="271">
        <f t="shared" si="0"/>
        <v>0</v>
      </c>
      <c r="M34" s="277"/>
      <c r="N34" s="266"/>
      <c r="O34" s="266"/>
      <c r="P34" s="266"/>
      <c r="Q34" s="272"/>
      <c r="R34" s="272"/>
      <c r="S34" s="272"/>
      <c r="T34" s="271">
        <f t="shared" si="1"/>
        <v>0</v>
      </c>
      <c r="U34" s="266"/>
      <c r="V34" s="266"/>
      <c r="W34" s="266"/>
      <c r="X34" s="438"/>
      <c r="Y34" s="272"/>
      <c r="Z34" s="266"/>
      <c r="AA34" s="266"/>
      <c r="AB34" s="266"/>
      <c r="AC34" s="266"/>
      <c r="AD34" s="266"/>
      <c r="AE34" s="266"/>
      <c r="AF34" s="266"/>
      <c r="AG34" s="266"/>
      <c r="AH34" s="266"/>
      <c r="AI34" s="266"/>
      <c r="AJ34" s="266"/>
      <c r="AK34" s="266"/>
      <c r="AL34" s="266"/>
      <c r="AM34" s="266"/>
      <c r="AN34" s="266"/>
      <c r="AO34" s="266"/>
      <c r="AP34" s="266"/>
      <c r="AQ34" s="266"/>
      <c r="AR34" s="271">
        <f t="shared" si="2"/>
        <v>0</v>
      </c>
      <c r="AS34" s="277"/>
      <c r="AT34" s="266"/>
      <c r="AU34" s="266"/>
      <c r="AV34" s="266"/>
      <c r="AW34" s="271">
        <f t="shared" si="3"/>
        <v>0</v>
      </c>
      <c r="AX34" s="266"/>
      <c r="AY34" s="266"/>
      <c r="AZ34" s="266"/>
      <c r="BA34" s="266"/>
      <c r="BB34" s="271">
        <f t="shared" si="4"/>
        <v>0</v>
      </c>
      <c r="BC34" s="272"/>
      <c r="BD34" s="272"/>
      <c r="BE34" s="272"/>
      <c r="BF34" s="158" t="str">
        <f>C29 &amp; "-I"</f>
        <v>0.0-I</v>
      </c>
      <c r="CM34" s="42"/>
    </row>
    <row r="35" spans="1:91" ht="11.25" hidden="1" customHeight="1">
      <c r="A35" s="95"/>
      <c r="B35" s="910"/>
      <c r="C35" s="910"/>
      <c r="D35" s="707"/>
      <c r="E35" s="96"/>
      <c r="F35" s="106" t="str">
        <f>F29 &amp; ".4"</f>
        <v>0.4</v>
      </c>
      <c r="G35" s="105" t="s">
        <v>725</v>
      </c>
      <c r="H35" s="107"/>
      <c r="I35" s="107"/>
      <c r="J35" s="266"/>
      <c r="K35" s="266"/>
      <c r="L35" s="271">
        <f t="shared" si="0"/>
        <v>0</v>
      </c>
      <c r="M35" s="277"/>
      <c r="N35" s="266"/>
      <c r="O35" s="266"/>
      <c r="P35" s="266"/>
      <c r="Q35" s="272"/>
      <c r="R35" s="272"/>
      <c r="S35" s="272"/>
      <c r="T35" s="271">
        <f t="shared" si="1"/>
        <v>0</v>
      </c>
      <c r="U35" s="266"/>
      <c r="V35" s="266"/>
      <c r="W35" s="266"/>
      <c r="X35" s="438"/>
      <c r="Y35" s="272"/>
      <c r="Z35" s="266"/>
      <c r="AA35" s="266"/>
      <c r="AB35" s="266"/>
      <c r="AC35" s="266"/>
      <c r="AD35" s="266"/>
      <c r="AE35" s="266"/>
      <c r="AF35" s="266"/>
      <c r="AG35" s="266"/>
      <c r="AH35" s="266"/>
      <c r="AI35" s="266"/>
      <c r="AJ35" s="266"/>
      <c r="AK35" s="266"/>
      <c r="AL35" s="266"/>
      <c r="AM35" s="266"/>
      <c r="AN35" s="266"/>
      <c r="AO35" s="266"/>
      <c r="AP35" s="266"/>
      <c r="AQ35" s="266"/>
      <c r="AR35" s="271">
        <f t="shared" si="2"/>
        <v>0</v>
      </c>
      <c r="AS35" s="277"/>
      <c r="AT35" s="266"/>
      <c r="AU35" s="266"/>
      <c r="AV35" s="266"/>
      <c r="AW35" s="271">
        <f t="shared" si="3"/>
        <v>0</v>
      </c>
      <c r="AX35" s="266"/>
      <c r="AY35" s="266"/>
      <c r="AZ35" s="266"/>
      <c r="BA35" s="266"/>
      <c r="BB35" s="271">
        <f t="shared" si="4"/>
        <v>0</v>
      </c>
      <c r="BC35" s="272"/>
      <c r="BD35" s="272"/>
      <c r="BE35" s="272"/>
      <c r="BF35" s="158" t="str">
        <f>C29 &amp; "-I"</f>
        <v>0.0-I</v>
      </c>
      <c r="CM35" s="42"/>
    </row>
    <row r="36" spans="1:91" ht="11.25" hidden="1" customHeight="1">
      <c r="A36" s="95"/>
      <c r="B36" s="910"/>
      <c r="C36" s="910"/>
      <c r="D36" s="707"/>
      <c r="E36" s="96"/>
      <c r="F36" s="106" t="str">
        <f>F29 &amp; ".5"</f>
        <v>0.5</v>
      </c>
      <c r="G36" s="105" t="s">
        <v>726</v>
      </c>
      <c r="H36" s="107"/>
      <c r="I36" s="107"/>
      <c r="J36" s="266"/>
      <c r="K36" s="266"/>
      <c r="L36" s="271">
        <f t="shared" si="0"/>
        <v>0</v>
      </c>
      <c r="M36" s="277"/>
      <c r="N36" s="266"/>
      <c r="O36" s="266"/>
      <c r="P36" s="266"/>
      <c r="Q36" s="272"/>
      <c r="R36" s="272"/>
      <c r="S36" s="272"/>
      <c r="T36" s="271">
        <f t="shared" si="1"/>
        <v>0</v>
      </c>
      <c r="U36" s="266"/>
      <c r="V36" s="266"/>
      <c r="W36" s="266"/>
      <c r="X36" s="438"/>
      <c r="Y36" s="272"/>
      <c r="Z36" s="266"/>
      <c r="AA36" s="266"/>
      <c r="AB36" s="266"/>
      <c r="AC36" s="266"/>
      <c r="AD36" s="266"/>
      <c r="AE36" s="266"/>
      <c r="AF36" s="266"/>
      <c r="AG36" s="266"/>
      <c r="AH36" s="266"/>
      <c r="AI36" s="266"/>
      <c r="AJ36" s="266"/>
      <c r="AK36" s="266"/>
      <c r="AL36" s="266"/>
      <c r="AM36" s="266"/>
      <c r="AN36" s="266"/>
      <c r="AO36" s="266"/>
      <c r="AP36" s="266"/>
      <c r="AQ36" s="266"/>
      <c r="AR36" s="271">
        <f t="shared" si="2"/>
        <v>0</v>
      </c>
      <c r="AS36" s="277"/>
      <c r="AT36" s="266"/>
      <c r="AU36" s="266"/>
      <c r="AV36" s="266"/>
      <c r="AW36" s="271">
        <f t="shared" si="3"/>
        <v>0</v>
      </c>
      <c r="AX36" s="266"/>
      <c r="AY36" s="266"/>
      <c r="AZ36" s="266"/>
      <c r="BA36" s="266"/>
      <c r="BB36" s="271">
        <f t="shared" si="4"/>
        <v>0</v>
      </c>
      <c r="BC36" s="272"/>
      <c r="BD36" s="272"/>
      <c r="BE36" s="272"/>
      <c r="BF36" s="158" t="str">
        <f>C29 &amp; "-I"</f>
        <v>0.0-I</v>
      </c>
      <c r="CM36" s="42"/>
    </row>
    <row r="37" spans="1:91" ht="11.25" hidden="1" customHeight="1">
      <c r="A37" s="95"/>
      <c r="B37" s="910"/>
      <c r="C37" s="910"/>
      <c r="D37" s="707"/>
      <c r="E37" s="96"/>
      <c r="F37" s="106" t="str">
        <f>F29 &amp; ".6"</f>
        <v>0.6</v>
      </c>
      <c r="G37" s="105" t="s">
        <v>727</v>
      </c>
      <c r="H37" s="107"/>
      <c r="I37" s="107"/>
      <c r="J37" s="266"/>
      <c r="K37" s="266"/>
      <c r="L37" s="271">
        <f t="shared" si="0"/>
        <v>0</v>
      </c>
      <c r="M37" s="277"/>
      <c r="N37" s="266"/>
      <c r="O37" s="266"/>
      <c r="P37" s="266"/>
      <c r="Q37" s="272"/>
      <c r="R37" s="272"/>
      <c r="S37" s="272"/>
      <c r="T37" s="271">
        <f t="shared" si="1"/>
        <v>0</v>
      </c>
      <c r="U37" s="266"/>
      <c r="V37" s="266"/>
      <c r="W37" s="266"/>
      <c r="X37" s="438"/>
      <c r="Y37" s="272"/>
      <c r="Z37" s="266"/>
      <c r="AA37" s="266"/>
      <c r="AB37" s="266"/>
      <c r="AC37" s="266"/>
      <c r="AD37" s="266"/>
      <c r="AE37" s="266"/>
      <c r="AF37" s="266"/>
      <c r="AG37" s="266"/>
      <c r="AH37" s="266"/>
      <c r="AI37" s="266"/>
      <c r="AJ37" s="266"/>
      <c r="AK37" s="266"/>
      <c r="AL37" s="266"/>
      <c r="AM37" s="266"/>
      <c r="AN37" s="266"/>
      <c r="AO37" s="266"/>
      <c r="AP37" s="266"/>
      <c r="AQ37" s="266"/>
      <c r="AR37" s="271">
        <f t="shared" si="2"/>
        <v>0</v>
      </c>
      <c r="AS37" s="277"/>
      <c r="AT37" s="266"/>
      <c r="AU37" s="266"/>
      <c r="AV37" s="266"/>
      <c r="AW37" s="271">
        <f t="shared" si="3"/>
        <v>0</v>
      </c>
      <c r="AX37" s="266"/>
      <c r="AY37" s="266"/>
      <c r="AZ37" s="266"/>
      <c r="BA37" s="266"/>
      <c r="BB37" s="271">
        <f t="shared" si="4"/>
        <v>0</v>
      </c>
      <c r="BC37" s="272"/>
      <c r="BD37" s="272"/>
      <c r="BE37" s="272"/>
      <c r="BF37" s="158" t="str">
        <f>C29 &amp; "-I"</f>
        <v>0.0-I</v>
      </c>
      <c r="CM37" s="42"/>
    </row>
    <row r="38" spans="1:91" ht="11.25" hidden="1" customHeight="1">
      <c r="A38" s="95"/>
      <c r="B38" s="910"/>
      <c r="C38" s="910"/>
      <c r="D38" s="707"/>
      <c r="E38" s="96"/>
      <c r="F38" s="106" t="str">
        <f>F29 &amp; ".7"</f>
        <v>0.7</v>
      </c>
      <c r="G38" s="105" t="s">
        <v>728</v>
      </c>
      <c r="H38" s="107"/>
      <c r="I38" s="107"/>
      <c r="J38" s="266"/>
      <c r="K38" s="266"/>
      <c r="L38" s="271">
        <f t="shared" si="0"/>
        <v>0</v>
      </c>
      <c r="M38" s="277"/>
      <c r="N38" s="266"/>
      <c r="O38" s="266"/>
      <c r="P38" s="266"/>
      <c r="Q38" s="272"/>
      <c r="R38" s="272"/>
      <c r="S38" s="272"/>
      <c r="T38" s="271">
        <f t="shared" si="1"/>
        <v>0</v>
      </c>
      <c r="U38" s="266"/>
      <c r="V38" s="266"/>
      <c r="W38" s="266"/>
      <c r="X38" s="438"/>
      <c r="Y38" s="272"/>
      <c r="Z38" s="266"/>
      <c r="AA38" s="266"/>
      <c r="AB38" s="266"/>
      <c r="AC38" s="266"/>
      <c r="AD38" s="266"/>
      <c r="AE38" s="266"/>
      <c r="AF38" s="266"/>
      <c r="AG38" s="266"/>
      <c r="AH38" s="266"/>
      <c r="AI38" s="266"/>
      <c r="AJ38" s="266"/>
      <c r="AK38" s="266"/>
      <c r="AL38" s="266"/>
      <c r="AM38" s="266"/>
      <c r="AN38" s="266"/>
      <c r="AO38" s="266"/>
      <c r="AP38" s="266"/>
      <c r="AQ38" s="266"/>
      <c r="AR38" s="271">
        <f t="shared" si="2"/>
        <v>0</v>
      </c>
      <c r="AS38" s="277"/>
      <c r="AT38" s="266"/>
      <c r="AU38" s="266"/>
      <c r="AV38" s="266"/>
      <c r="AW38" s="271">
        <f t="shared" si="3"/>
        <v>0</v>
      </c>
      <c r="AX38" s="266"/>
      <c r="AY38" s="266"/>
      <c r="AZ38" s="266"/>
      <c r="BA38" s="266"/>
      <c r="BB38" s="271">
        <f t="shared" si="4"/>
        <v>0</v>
      </c>
      <c r="BC38" s="272"/>
      <c r="BD38" s="272"/>
      <c r="BE38" s="272"/>
      <c r="BF38" s="158" t="str">
        <f>C29 &amp; "-II"</f>
        <v>0.0-II</v>
      </c>
      <c r="CM38" s="42"/>
    </row>
    <row r="39" spans="1:91" ht="11.25" hidden="1" customHeight="1">
      <c r="A39" s="95"/>
      <c r="B39" s="910"/>
      <c r="C39" s="910"/>
      <c r="D39" s="707"/>
      <c r="E39" s="96"/>
      <c r="F39" s="106" t="str">
        <f>F29 &amp; ".8"</f>
        <v>0.8</v>
      </c>
      <c r="G39" s="105" t="s">
        <v>729</v>
      </c>
      <c r="H39" s="107"/>
      <c r="I39" s="107"/>
      <c r="J39" s="266"/>
      <c r="K39" s="266"/>
      <c r="L39" s="271">
        <f t="shared" si="0"/>
        <v>0</v>
      </c>
      <c r="M39" s="277"/>
      <c r="N39" s="266"/>
      <c r="O39" s="266"/>
      <c r="P39" s="266"/>
      <c r="Q39" s="272"/>
      <c r="R39" s="272"/>
      <c r="S39" s="272"/>
      <c r="T39" s="271">
        <f t="shared" si="1"/>
        <v>0</v>
      </c>
      <c r="U39" s="266"/>
      <c r="V39" s="266"/>
      <c r="W39" s="266"/>
      <c r="X39" s="438"/>
      <c r="Y39" s="272"/>
      <c r="Z39" s="266"/>
      <c r="AA39" s="266"/>
      <c r="AB39" s="266"/>
      <c r="AC39" s="266"/>
      <c r="AD39" s="266"/>
      <c r="AE39" s="266"/>
      <c r="AF39" s="266"/>
      <c r="AG39" s="266"/>
      <c r="AH39" s="266"/>
      <c r="AI39" s="266"/>
      <c r="AJ39" s="266"/>
      <c r="AK39" s="266"/>
      <c r="AL39" s="266"/>
      <c r="AM39" s="266"/>
      <c r="AN39" s="266"/>
      <c r="AO39" s="266"/>
      <c r="AP39" s="266"/>
      <c r="AQ39" s="266"/>
      <c r="AR39" s="271">
        <f t="shared" si="2"/>
        <v>0</v>
      </c>
      <c r="AS39" s="277"/>
      <c r="AT39" s="266"/>
      <c r="AU39" s="266"/>
      <c r="AV39" s="266"/>
      <c r="AW39" s="271">
        <f t="shared" si="3"/>
        <v>0</v>
      </c>
      <c r="AX39" s="266"/>
      <c r="AY39" s="266"/>
      <c r="AZ39" s="266"/>
      <c r="BA39" s="266"/>
      <c r="BB39" s="271">
        <f t="shared" si="4"/>
        <v>0</v>
      </c>
      <c r="BC39" s="272"/>
      <c r="BD39" s="272"/>
      <c r="BE39" s="272"/>
      <c r="BF39" s="158" t="str">
        <f>C29 &amp; "-II"</f>
        <v>0.0-II</v>
      </c>
      <c r="CM39" s="42"/>
    </row>
    <row r="40" spans="1:91" ht="11.25" hidden="1" customHeight="1">
      <c r="A40" s="95"/>
      <c r="B40" s="910"/>
      <c r="C40" s="910"/>
      <c r="D40" s="707"/>
      <c r="E40" s="96"/>
      <c r="F40" s="106" t="str">
        <f>F29 &amp; ".9"</f>
        <v>0.9</v>
      </c>
      <c r="G40" s="105" t="s">
        <v>730</v>
      </c>
      <c r="H40" s="107"/>
      <c r="I40" s="107"/>
      <c r="J40" s="266"/>
      <c r="K40" s="266"/>
      <c r="L40" s="271">
        <f t="shared" si="0"/>
        <v>0</v>
      </c>
      <c r="M40" s="277"/>
      <c r="N40" s="266"/>
      <c r="O40" s="266"/>
      <c r="P40" s="266"/>
      <c r="Q40" s="272"/>
      <c r="R40" s="272"/>
      <c r="S40" s="272"/>
      <c r="T40" s="271">
        <f t="shared" si="1"/>
        <v>0</v>
      </c>
      <c r="U40" s="266"/>
      <c r="V40" s="266"/>
      <c r="W40" s="266"/>
      <c r="X40" s="438"/>
      <c r="Y40" s="272"/>
      <c r="Z40" s="266"/>
      <c r="AA40" s="266"/>
      <c r="AB40" s="266"/>
      <c r="AC40" s="266"/>
      <c r="AD40" s="266"/>
      <c r="AE40" s="266"/>
      <c r="AF40" s="266"/>
      <c r="AG40" s="266"/>
      <c r="AH40" s="266"/>
      <c r="AI40" s="266"/>
      <c r="AJ40" s="266"/>
      <c r="AK40" s="266"/>
      <c r="AL40" s="266"/>
      <c r="AM40" s="266"/>
      <c r="AN40" s="266"/>
      <c r="AO40" s="266"/>
      <c r="AP40" s="266"/>
      <c r="AQ40" s="266"/>
      <c r="AR40" s="271">
        <f t="shared" si="2"/>
        <v>0</v>
      </c>
      <c r="AS40" s="277"/>
      <c r="AT40" s="266"/>
      <c r="AU40" s="266"/>
      <c r="AV40" s="266"/>
      <c r="AW40" s="271">
        <f t="shared" si="3"/>
        <v>0</v>
      </c>
      <c r="AX40" s="266"/>
      <c r="AY40" s="266"/>
      <c r="AZ40" s="266"/>
      <c r="BA40" s="266"/>
      <c r="BB40" s="271">
        <f t="shared" si="4"/>
        <v>0</v>
      </c>
      <c r="BC40" s="272"/>
      <c r="BD40" s="272"/>
      <c r="BE40" s="272"/>
      <c r="BF40" s="158" t="str">
        <f>C29 &amp; IF(TEMPLATE_CLAIM="P","-II","-III")</f>
        <v>0.0-III</v>
      </c>
      <c r="CM40" s="42"/>
    </row>
    <row r="41" spans="1:91" ht="11.25" hidden="1" customHeight="1">
      <c r="A41" s="95"/>
      <c r="B41" s="910"/>
      <c r="C41" s="910"/>
      <c r="D41" s="707"/>
      <c r="E41" s="96"/>
      <c r="F41" s="106" t="str">
        <f>F29 &amp; ".10"</f>
        <v>0.10</v>
      </c>
      <c r="G41" s="105" t="s">
        <v>731</v>
      </c>
      <c r="H41" s="107"/>
      <c r="I41" s="107"/>
      <c r="J41" s="266"/>
      <c r="K41" s="266"/>
      <c r="L41" s="271">
        <f t="shared" si="0"/>
        <v>0</v>
      </c>
      <c r="M41" s="277"/>
      <c r="N41" s="266"/>
      <c r="O41" s="266"/>
      <c r="P41" s="266"/>
      <c r="Q41" s="272"/>
      <c r="R41" s="272"/>
      <c r="S41" s="272"/>
      <c r="T41" s="271">
        <f t="shared" si="1"/>
        <v>0</v>
      </c>
      <c r="U41" s="266"/>
      <c r="V41" s="266"/>
      <c r="W41" s="266"/>
      <c r="X41" s="438"/>
      <c r="Y41" s="272"/>
      <c r="Z41" s="266"/>
      <c r="AA41" s="266"/>
      <c r="AB41" s="266"/>
      <c r="AC41" s="266"/>
      <c r="AD41" s="266"/>
      <c r="AE41" s="266"/>
      <c r="AF41" s="266"/>
      <c r="AG41" s="266"/>
      <c r="AH41" s="266"/>
      <c r="AI41" s="266"/>
      <c r="AJ41" s="266"/>
      <c r="AK41" s="266"/>
      <c r="AL41" s="266"/>
      <c r="AM41" s="266"/>
      <c r="AN41" s="266"/>
      <c r="AO41" s="266"/>
      <c r="AP41" s="266"/>
      <c r="AQ41" s="266"/>
      <c r="AR41" s="271">
        <f t="shared" si="2"/>
        <v>0</v>
      </c>
      <c r="AS41" s="277"/>
      <c r="AT41" s="266"/>
      <c r="AU41" s="266"/>
      <c r="AV41" s="266"/>
      <c r="AW41" s="271">
        <f t="shared" si="3"/>
        <v>0</v>
      </c>
      <c r="AX41" s="266"/>
      <c r="AY41" s="266"/>
      <c r="AZ41" s="266"/>
      <c r="BA41" s="266"/>
      <c r="BB41" s="271">
        <f t="shared" si="4"/>
        <v>0</v>
      </c>
      <c r="BC41" s="272"/>
      <c r="BD41" s="272"/>
      <c r="BE41" s="272"/>
      <c r="BF41" s="158" t="str">
        <f>C29 &amp; IF(TEMPLATE_CLAIM="P","-II","-III")</f>
        <v>0.0-III</v>
      </c>
      <c r="CM41" s="42"/>
    </row>
    <row r="42" spans="1:91" ht="11.25" hidden="1" customHeight="1">
      <c r="A42" s="95"/>
      <c r="B42" s="910"/>
      <c r="C42" s="910"/>
      <c r="D42" s="707"/>
      <c r="E42" s="96"/>
      <c r="F42" s="106" t="str">
        <f>F29 &amp; ".11"</f>
        <v>0.11</v>
      </c>
      <c r="G42" s="105" t="s">
        <v>732</v>
      </c>
      <c r="H42" s="107"/>
      <c r="I42" s="107"/>
      <c r="J42" s="266"/>
      <c r="K42" s="266"/>
      <c r="L42" s="271">
        <f t="shared" si="0"/>
        <v>0</v>
      </c>
      <c r="M42" s="277"/>
      <c r="N42" s="266"/>
      <c r="O42" s="266"/>
      <c r="P42" s="266"/>
      <c r="Q42" s="272"/>
      <c r="R42" s="272"/>
      <c r="S42" s="272"/>
      <c r="T42" s="271">
        <f t="shared" si="1"/>
        <v>0</v>
      </c>
      <c r="U42" s="266"/>
      <c r="V42" s="266"/>
      <c r="W42" s="266"/>
      <c r="X42" s="438"/>
      <c r="Y42" s="272"/>
      <c r="Z42" s="266"/>
      <c r="AA42" s="266"/>
      <c r="AB42" s="266"/>
      <c r="AC42" s="266"/>
      <c r="AD42" s="266"/>
      <c r="AE42" s="266"/>
      <c r="AF42" s="266"/>
      <c r="AG42" s="266"/>
      <c r="AH42" s="266"/>
      <c r="AI42" s="266"/>
      <c r="AJ42" s="266"/>
      <c r="AK42" s="266"/>
      <c r="AL42" s="266"/>
      <c r="AM42" s="266"/>
      <c r="AN42" s="266"/>
      <c r="AO42" s="266"/>
      <c r="AP42" s="266"/>
      <c r="AQ42" s="266"/>
      <c r="AR42" s="271">
        <f t="shared" si="2"/>
        <v>0</v>
      </c>
      <c r="AS42" s="277"/>
      <c r="AT42" s="266"/>
      <c r="AU42" s="266"/>
      <c r="AV42" s="266"/>
      <c r="AW42" s="271">
        <f t="shared" si="3"/>
        <v>0</v>
      </c>
      <c r="AX42" s="266"/>
      <c r="AY42" s="266"/>
      <c r="AZ42" s="266"/>
      <c r="BA42" s="266"/>
      <c r="BB42" s="271">
        <f t="shared" si="4"/>
        <v>0</v>
      </c>
      <c r="BC42" s="272"/>
      <c r="BD42" s="272"/>
      <c r="BE42" s="272"/>
      <c r="BF42" s="158" t="str">
        <f>C29 &amp; IF(TEMPLATE_CLAIM="P","-II","-III")</f>
        <v>0.0-III</v>
      </c>
      <c r="CM42" s="42"/>
    </row>
    <row r="43" spans="1:91" ht="11.25" hidden="1" customHeight="1">
      <c r="A43" s="95"/>
      <c r="B43" s="910"/>
      <c r="C43" s="910"/>
      <c r="D43" s="707"/>
      <c r="E43" s="96"/>
      <c r="F43" s="106" t="str">
        <f>F29 &amp; ".12"</f>
        <v>0.12</v>
      </c>
      <c r="G43" s="105" t="s">
        <v>733</v>
      </c>
      <c r="H43" s="107"/>
      <c r="I43" s="107"/>
      <c r="J43" s="266"/>
      <c r="K43" s="266"/>
      <c r="L43" s="271">
        <f t="shared" si="0"/>
        <v>0</v>
      </c>
      <c r="M43" s="277"/>
      <c r="N43" s="266"/>
      <c r="O43" s="266"/>
      <c r="P43" s="266"/>
      <c r="Q43" s="272"/>
      <c r="R43" s="272"/>
      <c r="S43" s="272"/>
      <c r="T43" s="271">
        <f t="shared" si="1"/>
        <v>0</v>
      </c>
      <c r="U43" s="266"/>
      <c r="V43" s="266"/>
      <c r="W43" s="266"/>
      <c r="X43" s="438"/>
      <c r="Y43" s="272"/>
      <c r="Z43" s="266"/>
      <c r="AA43" s="266"/>
      <c r="AB43" s="266"/>
      <c r="AC43" s="266"/>
      <c r="AD43" s="266"/>
      <c r="AE43" s="266"/>
      <c r="AF43" s="266"/>
      <c r="AG43" s="266"/>
      <c r="AH43" s="266"/>
      <c r="AI43" s="266"/>
      <c r="AJ43" s="266"/>
      <c r="AK43" s="266"/>
      <c r="AL43" s="266"/>
      <c r="AM43" s="266"/>
      <c r="AN43" s="266"/>
      <c r="AO43" s="266"/>
      <c r="AP43" s="266"/>
      <c r="AQ43" s="266"/>
      <c r="AR43" s="271">
        <f t="shared" si="2"/>
        <v>0</v>
      </c>
      <c r="AS43" s="277"/>
      <c r="AT43" s="266"/>
      <c r="AU43" s="266"/>
      <c r="AV43" s="266"/>
      <c r="AW43" s="271">
        <f t="shared" si="3"/>
        <v>0</v>
      </c>
      <c r="AX43" s="266"/>
      <c r="AY43" s="266"/>
      <c r="AZ43" s="266"/>
      <c r="BA43" s="266"/>
      <c r="BB43" s="271">
        <f t="shared" si="4"/>
        <v>0</v>
      </c>
      <c r="BC43" s="272"/>
      <c r="BD43" s="272"/>
      <c r="BE43" s="272"/>
      <c r="BF43" s="158" t="str">
        <f>C29 &amp; IF(TEMPLATE_CLAIM="P","-II","-III")</f>
        <v>0.0-III</v>
      </c>
      <c r="CM43" s="42"/>
    </row>
    <row r="44" spans="1:91" ht="0.75" hidden="1" customHeight="1">
      <c r="A44" s="95"/>
      <c r="B44" s="910"/>
      <c r="C44" s="910"/>
      <c r="D44" s="707"/>
      <c r="E44" s="96"/>
      <c r="F44" s="107"/>
      <c r="G44" s="107"/>
      <c r="H44" s="107"/>
      <c r="I44" s="107"/>
      <c r="J44" s="266"/>
      <c r="K44" s="266"/>
      <c r="L44" s="266"/>
      <c r="M44" s="266"/>
      <c r="N44" s="266"/>
      <c r="O44" s="266"/>
      <c r="P44" s="266"/>
      <c r="Q44" s="266"/>
      <c r="R44" s="266"/>
      <c r="S44" s="266"/>
      <c r="T44" s="266"/>
      <c r="U44" s="266"/>
      <c r="V44" s="266"/>
      <c r="W44" s="266"/>
      <c r="X44" s="438"/>
      <c r="Y44" s="438"/>
      <c r="Z44" s="438"/>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158"/>
      <c r="CM44" s="42"/>
    </row>
    <row r="45" spans="1:91" ht="0.75" hidden="1" customHeight="1">
      <c r="A45" s="95"/>
      <c r="B45" s="910"/>
      <c r="C45" s="910"/>
      <c r="D45" s="707"/>
      <c r="E45" s="96"/>
      <c r="F45" s="107"/>
      <c r="G45" s="107"/>
      <c r="H45" s="107"/>
      <c r="I45" s="107"/>
      <c r="J45" s="266"/>
      <c r="K45" s="266"/>
      <c r="L45" s="266"/>
      <c r="M45" s="266"/>
      <c r="N45" s="266"/>
      <c r="O45" s="266"/>
      <c r="P45" s="266"/>
      <c r="Q45" s="266"/>
      <c r="R45" s="266"/>
      <c r="S45" s="266"/>
      <c r="T45" s="266"/>
      <c r="U45" s="266"/>
      <c r="V45" s="266"/>
      <c r="W45" s="266"/>
      <c r="X45" s="438"/>
      <c r="Y45" s="438"/>
      <c r="Z45" s="438"/>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158"/>
      <c r="CM45" s="42"/>
    </row>
    <row r="46" spans="1:91" ht="0.75" hidden="1" customHeight="1">
      <c r="A46" s="95"/>
      <c r="B46" s="910"/>
      <c r="C46" s="910"/>
      <c r="D46" s="707"/>
      <c r="E46" s="96"/>
      <c r="F46" s="107"/>
      <c r="G46" s="107"/>
      <c r="H46" s="107"/>
      <c r="I46" s="107"/>
      <c r="J46" s="266"/>
      <c r="K46" s="266"/>
      <c r="L46" s="266"/>
      <c r="M46" s="266"/>
      <c r="N46" s="266"/>
      <c r="O46" s="266"/>
      <c r="P46" s="266"/>
      <c r="Q46" s="266"/>
      <c r="R46" s="266"/>
      <c r="S46" s="266"/>
      <c r="T46" s="266"/>
      <c r="U46" s="266"/>
      <c r="V46" s="266"/>
      <c r="W46" s="266"/>
      <c r="X46" s="438"/>
      <c r="Y46" s="438"/>
      <c r="Z46" s="438"/>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158"/>
      <c r="CM46" s="42"/>
    </row>
    <row r="47" spans="1:91" ht="0.75" hidden="1" customHeight="1">
      <c r="A47" s="95"/>
      <c r="B47" s="910"/>
      <c r="C47" s="910"/>
      <c r="D47" s="707"/>
      <c r="E47" s="96"/>
      <c r="F47" s="107"/>
      <c r="G47" s="107"/>
      <c r="H47" s="107"/>
      <c r="I47" s="107"/>
      <c r="J47" s="266"/>
      <c r="K47" s="266"/>
      <c r="L47" s="266"/>
      <c r="M47" s="266"/>
      <c r="N47" s="266"/>
      <c r="O47" s="266"/>
      <c r="P47" s="266"/>
      <c r="Q47" s="266"/>
      <c r="R47" s="266"/>
      <c r="S47" s="266"/>
      <c r="T47" s="266"/>
      <c r="U47" s="266"/>
      <c r="V47" s="266"/>
      <c r="W47" s="266"/>
      <c r="X47" s="438"/>
      <c r="Y47" s="438"/>
      <c r="Z47" s="438"/>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158"/>
      <c r="CM47" s="42"/>
    </row>
    <row r="48" spans="1:91" ht="0.75" hidden="1" customHeight="1">
      <c r="A48" s="95"/>
      <c r="B48" s="910"/>
      <c r="C48" s="910"/>
      <c r="D48" s="707"/>
      <c r="E48" s="96"/>
      <c r="F48" s="107"/>
      <c r="G48" s="107"/>
      <c r="H48" s="107"/>
      <c r="I48" s="107"/>
      <c r="J48" s="266"/>
      <c r="K48" s="266"/>
      <c r="L48" s="266"/>
      <c r="M48" s="266"/>
      <c r="N48" s="266"/>
      <c r="O48" s="266"/>
      <c r="P48" s="266"/>
      <c r="Q48" s="266"/>
      <c r="R48" s="266"/>
      <c r="S48" s="266"/>
      <c r="T48" s="266"/>
      <c r="U48" s="266"/>
      <c r="V48" s="266"/>
      <c r="W48" s="266"/>
      <c r="X48" s="438"/>
      <c r="Y48" s="438"/>
      <c r="Z48" s="438"/>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158"/>
      <c r="CM48" s="42"/>
    </row>
    <row r="49" spans="1:91" ht="0.75" hidden="1" customHeight="1">
      <c r="A49" s="95"/>
      <c r="B49" s="910"/>
      <c r="C49" s="910"/>
      <c r="D49" s="707"/>
      <c r="E49" s="96"/>
      <c r="F49" s="107"/>
      <c r="G49" s="107"/>
      <c r="H49" s="107"/>
      <c r="I49" s="107"/>
      <c r="J49" s="266"/>
      <c r="K49" s="266"/>
      <c r="L49" s="266"/>
      <c r="M49" s="266"/>
      <c r="N49" s="266"/>
      <c r="O49" s="266"/>
      <c r="P49" s="266"/>
      <c r="Q49" s="266"/>
      <c r="R49" s="266"/>
      <c r="S49" s="266"/>
      <c r="T49" s="266"/>
      <c r="U49" s="266"/>
      <c r="V49" s="266"/>
      <c r="W49" s="266"/>
      <c r="X49" s="438"/>
      <c r="Y49" s="438"/>
      <c r="Z49" s="438"/>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158"/>
      <c r="CM49" s="42"/>
    </row>
    <row r="50" spans="1:91" ht="0.75" hidden="1" customHeight="1">
      <c r="A50" s="95"/>
      <c r="B50" s="910"/>
      <c r="C50" s="910"/>
      <c r="D50" s="707"/>
      <c r="E50" s="96"/>
      <c r="F50" s="107"/>
      <c r="G50" s="107"/>
      <c r="H50" s="107"/>
      <c r="I50" s="107"/>
      <c r="J50" s="266"/>
      <c r="K50" s="266"/>
      <c r="L50" s="266"/>
      <c r="M50" s="266"/>
      <c r="N50" s="266"/>
      <c r="O50" s="266"/>
      <c r="P50" s="266"/>
      <c r="Q50" s="266"/>
      <c r="R50" s="266"/>
      <c r="S50" s="266"/>
      <c r="T50" s="266"/>
      <c r="U50" s="266"/>
      <c r="V50" s="266"/>
      <c r="W50" s="266"/>
      <c r="X50" s="438"/>
      <c r="Y50" s="438"/>
      <c r="Z50" s="438"/>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158"/>
      <c r="CM50" s="42"/>
    </row>
    <row r="51" spans="1:91" ht="0.75" hidden="1" customHeight="1">
      <c r="A51" s="95"/>
      <c r="B51" s="910"/>
      <c r="C51" s="910"/>
      <c r="D51" s="707"/>
      <c r="E51" s="96"/>
      <c r="F51" s="107"/>
      <c r="G51" s="107"/>
      <c r="H51" s="107"/>
      <c r="I51" s="107"/>
      <c r="J51" s="266"/>
      <c r="K51" s="266"/>
      <c r="L51" s="266"/>
      <c r="M51" s="266"/>
      <c r="N51" s="266"/>
      <c r="O51" s="266"/>
      <c r="P51" s="266"/>
      <c r="Q51" s="266"/>
      <c r="R51" s="266"/>
      <c r="S51" s="266"/>
      <c r="T51" s="266"/>
      <c r="U51" s="266"/>
      <c r="V51" s="266"/>
      <c r="W51" s="266"/>
      <c r="X51" s="438"/>
      <c r="Y51" s="438"/>
      <c r="Z51" s="438"/>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158"/>
      <c r="CM51" s="42"/>
    </row>
    <row r="52" spans="1:91" ht="0.75" hidden="1" customHeight="1">
      <c r="A52" s="95"/>
      <c r="B52" s="910"/>
      <c r="C52" s="910"/>
      <c r="D52" s="707"/>
      <c r="E52" s="96"/>
      <c r="F52" s="107"/>
      <c r="G52" s="107"/>
      <c r="H52" s="107"/>
      <c r="I52" s="107"/>
      <c r="J52" s="266"/>
      <c r="K52" s="266"/>
      <c r="L52" s="266"/>
      <c r="M52" s="266"/>
      <c r="N52" s="266"/>
      <c r="O52" s="266"/>
      <c r="P52" s="266"/>
      <c r="Q52" s="266"/>
      <c r="R52" s="266"/>
      <c r="S52" s="266"/>
      <c r="T52" s="266"/>
      <c r="U52" s="266"/>
      <c r="V52" s="266"/>
      <c r="W52" s="266"/>
      <c r="X52" s="438"/>
      <c r="Y52" s="438"/>
      <c r="Z52" s="438"/>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158"/>
      <c r="CM52" s="42"/>
    </row>
    <row r="53" spans="1:91" ht="0.75" hidden="1" customHeight="1">
      <c r="A53" s="95"/>
      <c r="B53" s="910"/>
      <c r="C53" s="910"/>
      <c r="D53" s="707"/>
      <c r="E53" s="96"/>
      <c r="F53" s="107"/>
      <c r="G53" s="107"/>
      <c r="H53" s="107"/>
      <c r="I53" s="107"/>
      <c r="J53" s="266"/>
      <c r="K53" s="266"/>
      <c r="L53" s="266"/>
      <c r="M53" s="266"/>
      <c r="N53" s="266"/>
      <c r="O53" s="266"/>
      <c r="P53" s="266"/>
      <c r="Q53" s="266"/>
      <c r="R53" s="266"/>
      <c r="S53" s="266"/>
      <c r="T53" s="266"/>
      <c r="U53" s="266"/>
      <c r="V53" s="266"/>
      <c r="W53" s="266"/>
      <c r="X53" s="438"/>
      <c r="Y53" s="438"/>
      <c r="Z53" s="438"/>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158"/>
      <c r="CM53" s="42"/>
    </row>
    <row r="54" spans="1:91" ht="0.75" hidden="1" customHeight="1">
      <c r="A54" s="95"/>
      <c r="B54" s="910"/>
      <c r="C54" s="910"/>
      <c r="D54" s="707"/>
      <c r="E54" s="96"/>
      <c r="F54" s="107"/>
      <c r="G54" s="107"/>
      <c r="H54" s="107"/>
      <c r="I54" s="107"/>
      <c r="J54" s="266"/>
      <c r="K54" s="266"/>
      <c r="L54" s="266"/>
      <c r="M54" s="266"/>
      <c r="N54" s="266"/>
      <c r="O54" s="266"/>
      <c r="P54" s="266"/>
      <c r="Q54" s="266"/>
      <c r="R54" s="266"/>
      <c r="S54" s="266"/>
      <c r="T54" s="266"/>
      <c r="U54" s="266"/>
      <c r="V54" s="266"/>
      <c r="W54" s="266"/>
      <c r="X54" s="438"/>
      <c r="Y54" s="438"/>
      <c r="Z54" s="438"/>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158"/>
      <c r="CM54" s="42"/>
    </row>
    <row r="55" spans="1:91" ht="0.75" hidden="1" customHeight="1">
      <c r="A55" s="95"/>
      <c r="B55" s="910"/>
      <c r="C55" s="910"/>
      <c r="D55" s="707"/>
      <c r="E55" s="96"/>
      <c r="F55" s="107"/>
      <c r="G55" s="107"/>
      <c r="H55" s="107"/>
      <c r="I55" s="107"/>
      <c r="J55" s="266"/>
      <c r="K55" s="266"/>
      <c r="L55" s="266"/>
      <c r="M55" s="266"/>
      <c r="N55" s="266"/>
      <c r="O55" s="266"/>
      <c r="P55" s="266"/>
      <c r="Q55" s="266"/>
      <c r="R55" s="266"/>
      <c r="S55" s="266"/>
      <c r="T55" s="266"/>
      <c r="U55" s="266"/>
      <c r="V55" s="266"/>
      <c r="W55" s="266"/>
      <c r="X55" s="438"/>
      <c r="Y55" s="438"/>
      <c r="Z55" s="438"/>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160"/>
      <c r="CM55" s="42"/>
    </row>
    <row r="56" spans="1:91" ht="0.75" hidden="1" customHeight="1">
      <c r="A56" s="95"/>
      <c r="B56" s="910"/>
      <c r="C56" s="910"/>
      <c r="D56" s="707"/>
      <c r="E56" s="96"/>
      <c r="F56" s="107"/>
      <c r="G56" s="107"/>
      <c r="H56" s="107"/>
      <c r="I56" s="107"/>
      <c r="J56" s="266"/>
      <c r="K56" s="266"/>
      <c r="L56" s="266"/>
      <c r="M56" s="266"/>
      <c r="N56" s="266"/>
      <c r="O56" s="266"/>
      <c r="P56" s="266"/>
      <c r="Q56" s="266"/>
      <c r="R56" s="266"/>
      <c r="S56" s="266"/>
      <c r="T56" s="266"/>
      <c r="U56" s="266"/>
      <c r="V56" s="266"/>
      <c r="W56" s="266"/>
      <c r="X56" s="438"/>
      <c r="Y56" s="438"/>
      <c r="Z56" s="438"/>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160"/>
      <c r="CM56" s="42"/>
    </row>
    <row r="57" spans="1:91" ht="21" hidden="1" customHeight="1">
      <c r="A57" s="95"/>
      <c r="B57" s="910"/>
      <c r="C57" s="119" t="str">
        <f>F59</f>
        <v>0.0</v>
      </c>
      <c r="D57" s="714" t="s">
        <v>652</v>
      </c>
      <c r="E57" s="96"/>
      <c r="F57" s="835">
        <f>B57</f>
        <v>0</v>
      </c>
      <c r="G57" s="913"/>
      <c r="H57" s="696"/>
      <c r="I57" s="696"/>
      <c r="J57" s="690">
        <f>IF(TEMPLATE_CLAIM="P","",J59)</f>
        <v>0</v>
      </c>
      <c r="K57" s="690">
        <f>IF(TEMPLATE_CLAIM="P","",K59)</f>
        <v>0</v>
      </c>
      <c r="L57" s="690">
        <f>IF(TEMPLATE_CLAIM="P","",L59)</f>
        <v>0</v>
      </c>
      <c r="M57" s="692"/>
      <c r="N57" s="690">
        <f t="shared" ref="N57:T57" si="5">IF(TEMPLATE_CLAIM="P","",N59)</f>
        <v>0</v>
      </c>
      <c r="O57" s="690">
        <f t="shared" si="5"/>
        <v>0</v>
      </c>
      <c r="P57" s="690">
        <f t="shared" si="5"/>
        <v>0</v>
      </c>
      <c r="Q57" s="690">
        <f>IF(TEMPLATE_CLAIM="P","",Q59)</f>
        <v>0</v>
      </c>
      <c r="R57" s="690">
        <f t="shared" si="5"/>
        <v>0</v>
      </c>
      <c r="S57" s="690">
        <f t="shared" si="5"/>
        <v>0</v>
      </c>
      <c r="T57" s="690">
        <f t="shared" si="5"/>
        <v>0</v>
      </c>
      <c r="U57" s="692"/>
      <c r="V57" s="692"/>
      <c r="W57" s="692"/>
      <c r="X57" s="697"/>
      <c r="Y57" s="690">
        <f>IF(TEMPLATE_CLAIM="P","",Y59)</f>
        <v>0</v>
      </c>
      <c r="Z57" s="690">
        <f>IF(TEMPLATE_CLAIM="P","",Z59)</f>
        <v>0</v>
      </c>
      <c r="AA57" s="690">
        <f>IF(TEMPLATE_CLAIM="P","",AA59)</f>
        <v>0</v>
      </c>
      <c r="AB57" s="690">
        <f>IF(TEMPLATE_CLAIM="P","",AB59)</f>
        <v>0</v>
      </c>
      <c r="AC57" s="692"/>
      <c r="AD57" s="690">
        <f>IF(TEMPLATE_CLAIM="P","",AD59)</f>
        <v>0</v>
      </c>
      <c r="AE57" s="690">
        <f>IF(TEMPLATE_CLAIM="P","",AE59)</f>
        <v>0</v>
      </c>
      <c r="AF57" s="690">
        <f>IF(TEMPLATE_CLAIM="P","",AF59)</f>
        <v>0</v>
      </c>
      <c r="AG57" s="692"/>
      <c r="AH57" s="690">
        <f t="shared" ref="AH57:AR57" si="6">IF(TEMPLATE_CLAIM="P","",AH59)</f>
        <v>0</v>
      </c>
      <c r="AI57" s="690">
        <f t="shared" si="6"/>
        <v>0</v>
      </c>
      <c r="AJ57" s="690">
        <f t="shared" si="6"/>
        <v>0</v>
      </c>
      <c r="AK57" s="690">
        <f t="shared" si="6"/>
        <v>0</v>
      </c>
      <c r="AL57" s="690">
        <f t="shared" si="6"/>
        <v>0</v>
      </c>
      <c r="AM57" s="690">
        <f t="shared" si="6"/>
        <v>0</v>
      </c>
      <c r="AN57" s="690">
        <f t="shared" si="6"/>
        <v>0</v>
      </c>
      <c r="AO57" s="690">
        <f t="shared" si="6"/>
        <v>0</v>
      </c>
      <c r="AP57" s="690">
        <f t="shared" si="6"/>
        <v>0</v>
      </c>
      <c r="AQ57" s="690">
        <f t="shared" si="6"/>
        <v>0</v>
      </c>
      <c r="AR57" s="690">
        <f t="shared" si="6"/>
        <v>0</v>
      </c>
      <c r="AS57" s="692"/>
      <c r="AT57" s="690">
        <f>IF(TEMPLATE_CLAIM="P","",AT59)</f>
        <v>0</v>
      </c>
      <c r="AU57" s="690">
        <f>IF(TEMPLATE_CLAIM="P","",AU59)</f>
        <v>0</v>
      </c>
      <c r="AV57" s="690">
        <f>IF(TEMPLATE_CLAIM="P","",AV59)</f>
        <v>0</v>
      </c>
      <c r="AW57" s="690">
        <f>IF(TEMPLATE_CLAIM="P","",AW59)</f>
        <v>0</v>
      </c>
      <c r="AX57" s="692"/>
      <c r="AY57" s="692"/>
      <c r="AZ57" s="692"/>
      <c r="BA57" s="692"/>
      <c r="BB57" s="690">
        <f>IF(TEMPLATE_CLAIM="P","",BB59)</f>
        <v>0</v>
      </c>
      <c r="BC57" s="690">
        <f>IF(TEMPLATE_CLAIM="P","",BC59)</f>
        <v>0</v>
      </c>
      <c r="BD57" s="690">
        <f>IF(TEMPLATE_CLAIM="P","",BD59)</f>
        <v>0</v>
      </c>
      <c r="BE57" s="274">
        <f>IF(TEMPLATE_CLAIM="P","",BE59)</f>
        <v>0</v>
      </c>
      <c r="BF57" s="426" t="s">
        <v>3144</v>
      </c>
      <c r="CM57" s="42"/>
    </row>
    <row r="58" spans="1:91" ht="0.75" hidden="1" customHeight="1">
      <c r="A58" s="95"/>
      <c r="B58" s="910"/>
      <c r="C58" s="119"/>
      <c r="D58" s="706"/>
      <c r="E58" s="96"/>
      <c r="F58" s="835"/>
      <c r="G58" s="913"/>
      <c r="H58" s="107"/>
      <c r="I58" s="107"/>
      <c r="J58" s="266"/>
      <c r="K58" s="266"/>
      <c r="L58" s="266"/>
      <c r="M58" s="266"/>
      <c r="N58" s="266"/>
      <c r="O58" s="266"/>
      <c r="P58" s="266"/>
      <c r="Q58" s="266"/>
      <c r="R58" s="266"/>
      <c r="S58" s="266"/>
      <c r="T58" s="266"/>
      <c r="U58" s="266"/>
      <c r="V58" s="266"/>
      <c r="W58" s="266"/>
      <c r="X58" s="438"/>
      <c r="Y58" s="438"/>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158" t="str">
        <f>IF(TEMPLATE_SPHERE="водоснабжения","TOTAL_ORG_TW","")</f>
        <v/>
      </c>
      <c r="CM58" s="42"/>
    </row>
    <row r="59" spans="1:91" ht="11.25" hidden="1" customHeight="1">
      <c r="A59" s="95"/>
      <c r="B59" s="910"/>
      <c r="C59" s="910"/>
      <c r="D59" s="707"/>
      <c r="E59" s="96"/>
      <c r="F59" s="106" t="str">
        <f>F57 &amp; ".0"</f>
        <v>0.0</v>
      </c>
      <c r="G59" s="105" t="s">
        <v>721</v>
      </c>
      <c r="H59" s="272"/>
      <c r="I59" s="272"/>
      <c r="J59" s="478">
        <f>K59+L59-Y59+AP59-Z59-AH59</f>
        <v>0</v>
      </c>
      <c r="K59" s="277"/>
      <c r="L59" s="271">
        <f t="shared" ref="L59:L71" si="7">SUM(N59,Q59:S59,T59,Y59)</f>
        <v>0</v>
      </c>
      <c r="M59" s="266"/>
      <c r="N59" s="271">
        <f t="shared" ref="N59:T59" si="8">SUM(N60:N71)</f>
        <v>0</v>
      </c>
      <c r="O59" s="271">
        <f t="shared" si="8"/>
        <v>0</v>
      </c>
      <c r="P59" s="271">
        <f t="shared" si="8"/>
        <v>0</v>
      </c>
      <c r="Q59" s="271">
        <f t="shared" si="8"/>
        <v>0</v>
      </c>
      <c r="R59" s="271">
        <f t="shared" si="8"/>
        <v>0</v>
      </c>
      <c r="S59" s="271">
        <f t="shared" si="8"/>
        <v>0</v>
      </c>
      <c r="T59" s="271">
        <f t="shared" si="8"/>
        <v>0</v>
      </c>
      <c r="U59" s="266"/>
      <c r="V59" s="266"/>
      <c r="W59" s="266"/>
      <c r="X59" s="438"/>
      <c r="Y59" s="271">
        <f>SUM(Y60:Y71)</f>
        <v>0</v>
      </c>
      <c r="Z59" s="495">
        <f>SUM(AA59:AC59)</f>
        <v>0</v>
      </c>
      <c r="AA59" s="272"/>
      <c r="AB59" s="272"/>
      <c r="AC59" s="266"/>
      <c r="AD59" s="495">
        <f>SUM(AE59:AG59)</f>
        <v>0</v>
      </c>
      <c r="AE59" s="272"/>
      <c r="AF59" s="272"/>
      <c r="AG59" s="266"/>
      <c r="AH59" s="495">
        <f>SUM(AI59:AK59)</f>
        <v>0</v>
      </c>
      <c r="AI59" s="272"/>
      <c r="AJ59" s="272"/>
      <c r="AK59" s="272"/>
      <c r="AL59" s="495">
        <f>SUM(AM59:AO59)</f>
        <v>0</v>
      </c>
      <c r="AM59" s="272"/>
      <c r="AN59" s="272"/>
      <c r="AO59" s="272"/>
      <c r="AP59" s="271">
        <f>AQ59+AR59</f>
        <v>0</v>
      </c>
      <c r="AQ59" s="272"/>
      <c r="AR59" s="271">
        <f>SUM(AR60:AR71)</f>
        <v>0</v>
      </c>
      <c r="AS59" s="266"/>
      <c r="AT59" s="271">
        <f>SUM(AT60:AT71)</f>
        <v>0</v>
      </c>
      <c r="AU59" s="271">
        <f>SUM(AU60:AU71)</f>
        <v>0</v>
      </c>
      <c r="AV59" s="271">
        <f>SUM(AV60:AV71)</f>
        <v>0</v>
      </c>
      <c r="AW59" s="271">
        <f>SUM(AW60:AW71)</f>
        <v>0</v>
      </c>
      <c r="AX59" s="266"/>
      <c r="AY59" s="266"/>
      <c r="AZ59" s="266"/>
      <c r="BA59" s="266"/>
      <c r="BB59" s="271">
        <f>SUM(BB60:BB71)</f>
        <v>0</v>
      </c>
      <c r="BC59" s="271">
        <f>SUM(BC60:BC71)</f>
        <v>0</v>
      </c>
      <c r="BD59" s="271">
        <f>SUM(BD60:BD71)</f>
        <v>0</v>
      </c>
      <c r="BE59" s="271">
        <f>SUM(BE60:BE71)</f>
        <v>0</v>
      </c>
      <c r="BF59" s="158" t="str">
        <f>IF(TEMPLATE_SPHERE="водоснабжения","TOTAL_ORG_PW","TOTAL_ORG")</f>
        <v>TOTAL_ORG</v>
      </c>
      <c r="BU59" s="638">
        <f>IF(TARIFF_SETUP_METHOD_CODE="BY_PSEUDO_YEARS",SUM($T60:$T71)+SUM($AW60:$AW71),SUM($T60:$T65)+SUM($AW60:$AW65))</f>
        <v>0</v>
      </c>
      <c r="BV59" s="638">
        <f>IF(TARIFF_SETUP_METHOD_CODE="BY_PSEUDO_YEARS",SUM($Q60:$Q71)+SUM($BC60:$BC71),SUM($Q60:$Q65)+SUM($BC60:$BC65))</f>
        <v>0</v>
      </c>
      <c r="BW59" s="638">
        <f>IF(TARIFF_SETUP_METHOD_CODE="BY_PSEUDO_YEARS",SUM($R60:$R71)+SUM($BD60:$BD71),SUM($R60:$R65)+SUM($BD60:$BD65))</f>
        <v>0</v>
      </c>
      <c r="BX59" s="638">
        <f>IF(TARIFF_SETUP_METHOD_CODE="BY_PSEUDO_YEARS",SUM($S60:$S71)+SUM($BE60:$BE71),SUM($S60:$S65)+SUM($BE60:$BE65))</f>
        <v>0</v>
      </c>
      <c r="BY59" s="638"/>
      <c r="BZ59" s="638">
        <f>IF(TARIFF_SETUP_METHOD_CODE="BY_PSEUDO_YEARS",SUM($T60:$T71)+SUM($AW60:$AW71),IF(TEMPLATE_CLAIM="U",SUM($T66:$T67)+SUM($AW66:$AW67),SUM($T66:$T71)+SUM($AW66:$AW71)))</f>
        <v>0</v>
      </c>
      <c r="CA59" s="638">
        <f>IF(TARIFF_SETUP_METHOD_CODE="BY_PSEUDO_YEARS",SUM($Q60:$Q71)+SUM($BC60:$BC71),IF(TEMPLATE_CLAIM="U",SUM($Q66:$Q67)+SUM($BC66:$BC67),SUM($Q66:$Q71)+SUM($BC66:$BC71)))</f>
        <v>0</v>
      </c>
      <c r="CB59" s="638">
        <f>IF(TARIFF_SETUP_METHOD_CODE="BY_PSEUDO_YEARS",SUM($R60:$R71)+SUM($BD60:$BD71),IF(TEMPLATE_CLAIM="U",SUM($R66:$R67)+SUM($BD66:$BD67),SUM($R66:$R71)+SUM($BD66:$BD71)))</f>
        <v>0</v>
      </c>
      <c r="CC59" s="638">
        <f>IF(TARIFF_SETUP_METHOD_CODE="BY_PSEUDO_YEARS",SUM($S60:$S71)+SUM($BE60:$BE71),IF(TEMPLATE_CLAIM="U",SUM($S66:$S67)+SUM($BE66:$BE67),SUM($S66:$S71)+SUM($BE66:$BE71)))</f>
        <v>0</v>
      </c>
      <c r="CD59" s="638"/>
      <c r="CE59" s="638">
        <f>IF(TEMPLATE_CLAIM="P","",IF(TARIFF_SETUP_METHOD_CODE="BY_PSEUDO_YEARS",SUM($T60:$T71)+SUM($AW60:$AW71),SUM($T68:$T71)+SUM($AW68:$AW71)))</f>
        <v>0</v>
      </c>
      <c r="CF59" s="638">
        <f>IF(TEMPLATE_CLAIM="P","",IF(TARIFF_SETUP_METHOD_CODE="BY_PSEUDO_YEARS",SUM($Q60:$Q71)+SUM($BC60:$BC71),SUM($Q68:$Q71)+SUM($BC68:$BC71)))</f>
        <v>0</v>
      </c>
      <c r="CG59" s="638">
        <f>IF(TEMPLATE_CLAIM="P","",IF(TARIFF_SETUP_METHOD_CODE="BY_PSEUDO_YEARS",SUM($R60:$R71)+SUM($BD60:$BD71),SUM($R68:$R71)+SUM($BD68:$BD71)))</f>
        <v>0</v>
      </c>
      <c r="CH59" s="638">
        <f>IF(TEMPLATE_CLAIM="P","",IF(TARIFF_SETUP_METHOD_CODE="BY_PSEUDO_YEARS",SUM($S60:$S71)+SUM($BE60:$BE71),SUM($S68:$S71)+SUM($BE68:$BE71)))</f>
        <v>0</v>
      </c>
      <c r="CI59" s="638"/>
      <c r="CJ59" s="638">
        <f>L59-Y59+AR59</f>
        <v>0</v>
      </c>
      <c r="CM59" s="42"/>
    </row>
    <row r="60" spans="1:91" ht="11.25" hidden="1" customHeight="1">
      <c r="A60" s="95"/>
      <c r="B60" s="910"/>
      <c r="C60" s="910"/>
      <c r="D60" s="707"/>
      <c r="E60" s="96"/>
      <c r="F60" s="106" t="str">
        <f>F57 &amp; ".1"</f>
        <v>0.1</v>
      </c>
      <c r="G60" s="105" t="s">
        <v>722</v>
      </c>
      <c r="H60" s="107"/>
      <c r="I60" s="107"/>
      <c r="J60" s="266"/>
      <c r="K60" s="266"/>
      <c r="L60" s="271">
        <f t="shared" si="7"/>
        <v>0</v>
      </c>
      <c r="M60" s="266"/>
      <c r="N60" s="271">
        <f>SUM(O60:P60)</f>
        <v>0</v>
      </c>
      <c r="O60" s="277"/>
      <c r="P60" s="277"/>
      <c r="Q60" s="272"/>
      <c r="R60" s="272"/>
      <c r="S60" s="272"/>
      <c r="T60" s="271">
        <f t="shared" ref="T60:T71" si="9">SUM(U60:X60)</f>
        <v>0</v>
      </c>
      <c r="U60" s="266"/>
      <c r="V60" s="266"/>
      <c r="W60" s="266"/>
      <c r="X60" s="438"/>
      <c r="Y60" s="272"/>
      <c r="Z60" s="266"/>
      <c r="AA60" s="266"/>
      <c r="AB60" s="266"/>
      <c r="AC60" s="266"/>
      <c r="AD60" s="266"/>
      <c r="AE60" s="266"/>
      <c r="AF60" s="266"/>
      <c r="AG60" s="266"/>
      <c r="AH60" s="266"/>
      <c r="AI60" s="266"/>
      <c r="AJ60" s="266"/>
      <c r="AK60" s="266"/>
      <c r="AL60" s="266"/>
      <c r="AM60" s="266"/>
      <c r="AN60" s="266"/>
      <c r="AO60" s="266"/>
      <c r="AP60" s="266"/>
      <c r="AQ60" s="266"/>
      <c r="AR60" s="271">
        <f t="shared" ref="AR60:AR71" si="10">SUM(AT60,AW60,BB60)</f>
        <v>0</v>
      </c>
      <c r="AS60" s="266"/>
      <c r="AT60" s="271">
        <f>SUM(AU60:AV60)</f>
        <v>0</v>
      </c>
      <c r="AU60" s="277"/>
      <c r="AV60" s="277"/>
      <c r="AW60" s="271">
        <f t="shared" ref="AW60:AW71" si="11">SUM(AX60:BA60)</f>
        <v>0</v>
      </c>
      <c r="AX60" s="266"/>
      <c r="AY60" s="266"/>
      <c r="AZ60" s="266"/>
      <c r="BA60" s="266"/>
      <c r="BB60" s="271">
        <f t="shared" ref="BB60:BB71" si="12">SUM(BC60:BE60)</f>
        <v>0</v>
      </c>
      <c r="BC60" s="272"/>
      <c r="BD60" s="272"/>
      <c r="BE60" s="272"/>
      <c r="BF60" s="158" t="str">
        <f>C57 &amp; "-I"</f>
        <v>0.0-I</v>
      </c>
      <c r="CM60" s="42"/>
    </row>
    <row r="61" spans="1:91" ht="11.25" hidden="1" customHeight="1">
      <c r="A61" s="95"/>
      <c r="B61" s="910"/>
      <c r="C61" s="910"/>
      <c r="D61" s="707"/>
      <c r="E61" s="96"/>
      <c r="F61" s="106" t="str">
        <f>F57 &amp; ".2"</f>
        <v>0.2</v>
      </c>
      <c r="G61" s="105" t="s">
        <v>723</v>
      </c>
      <c r="H61" s="107"/>
      <c r="I61" s="107"/>
      <c r="J61" s="266"/>
      <c r="K61" s="266"/>
      <c r="L61" s="271">
        <f t="shared" si="7"/>
        <v>0</v>
      </c>
      <c r="M61" s="266"/>
      <c r="N61" s="271">
        <f t="shared" ref="N61:N71" si="13">SUM(O61:P61)</f>
        <v>0</v>
      </c>
      <c r="O61" s="277"/>
      <c r="P61" s="277"/>
      <c r="Q61" s="272"/>
      <c r="R61" s="272"/>
      <c r="S61" s="272"/>
      <c r="T61" s="271">
        <f t="shared" si="9"/>
        <v>0</v>
      </c>
      <c r="U61" s="266"/>
      <c r="V61" s="266"/>
      <c r="W61" s="266"/>
      <c r="X61" s="438"/>
      <c r="Y61" s="272"/>
      <c r="Z61" s="266"/>
      <c r="AA61" s="266"/>
      <c r="AB61" s="266"/>
      <c r="AC61" s="266"/>
      <c r="AD61" s="266"/>
      <c r="AE61" s="266"/>
      <c r="AF61" s="266"/>
      <c r="AG61" s="266"/>
      <c r="AH61" s="266"/>
      <c r="AI61" s="266"/>
      <c r="AJ61" s="266"/>
      <c r="AK61" s="266"/>
      <c r="AL61" s="266"/>
      <c r="AM61" s="266"/>
      <c r="AN61" s="266"/>
      <c r="AO61" s="266"/>
      <c r="AP61" s="266"/>
      <c r="AQ61" s="266"/>
      <c r="AR61" s="271">
        <f t="shared" si="10"/>
        <v>0</v>
      </c>
      <c r="AS61" s="266"/>
      <c r="AT61" s="271">
        <f t="shared" ref="AT61:AT71" si="14">SUM(AU61:AV61)</f>
        <v>0</v>
      </c>
      <c r="AU61" s="277"/>
      <c r="AV61" s="277"/>
      <c r="AW61" s="271">
        <f t="shared" si="11"/>
        <v>0</v>
      </c>
      <c r="AX61" s="266"/>
      <c r="AY61" s="266"/>
      <c r="AZ61" s="266"/>
      <c r="BA61" s="266"/>
      <c r="BB61" s="271">
        <f t="shared" si="12"/>
        <v>0</v>
      </c>
      <c r="BC61" s="272"/>
      <c r="BD61" s="272"/>
      <c r="BE61" s="272"/>
      <c r="BF61" s="158" t="str">
        <f>C57 &amp; "-I"</f>
        <v>0.0-I</v>
      </c>
      <c r="CM61" s="42"/>
    </row>
    <row r="62" spans="1:91" ht="11.25" hidden="1" customHeight="1">
      <c r="A62" s="95"/>
      <c r="B62" s="910"/>
      <c r="C62" s="910"/>
      <c r="D62" s="707"/>
      <c r="E62" s="96"/>
      <c r="F62" s="106" t="str">
        <f>F57 &amp; ".3"</f>
        <v>0.3</v>
      </c>
      <c r="G62" s="105" t="s">
        <v>724</v>
      </c>
      <c r="H62" s="107"/>
      <c r="I62" s="107"/>
      <c r="J62" s="266"/>
      <c r="K62" s="266"/>
      <c r="L62" s="271">
        <f t="shared" si="7"/>
        <v>0</v>
      </c>
      <c r="M62" s="266"/>
      <c r="N62" s="271">
        <f t="shared" si="13"/>
        <v>0</v>
      </c>
      <c r="O62" s="277"/>
      <c r="P62" s="277"/>
      <c r="Q62" s="272"/>
      <c r="R62" s="272"/>
      <c r="S62" s="272"/>
      <c r="T62" s="271">
        <f t="shared" si="9"/>
        <v>0</v>
      </c>
      <c r="U62" s="266"/>
      <c r="V62" s="266"/>
      <c r="W62" s="266"/>
      <c r="X62" s="438"/>
      <c r="Y62" s="272"/>
      <c r="Z62" s="266"/>
      <c r="AA62" s="266"/>
      <c r="AB62" s="266"/>
      <c r="AC62" s="266"/>
      <c r="AD62" s="266"/>
      <c r="AE62" s="266"/>
      <c r="AF62" s="266"/>
      <c r="AG62" s="266"/>
      <c r="AH62" s="266"/>
      <c r="AI62" s="266"/>
      <c r="AJ62" s="266"/>
      <c r="AK62" s="266"/>
      <c r="AL62" s="266"/>
      <c r="AM62" s="266"/>
      <c r="AN62" s="266"/>
      <c r="AO62" s="266"/>
      <c r="AP62" s="266"/>
      <c r="AQ62" s="266"/>
      <c r="AR62" s="271">
        <f t="shared" si="10"/>
        <v>0</v>
      </c>
      <c r="AS62" s="266"/>
      <c r="AT62" s="271">
        <f t="shared" si="14"/>
        <v>0</v>
      </c>
      <c r="AU62" s="277"/>
      <c r="AV62" s="277"/>
      <c r="AW62" s="271">
        <f t="shared" si="11"/>
        <v>0</v>
      </c>
      <c r="AX62" s="266"/>
      <c r="AY62" s="266"/>
      <c r="AZ62" s="266"/>
      <c r="BA62" s="266"/>
      <c r="BB62" s="271">
        <f t="shared" si="12"/>
        <v>0</v>
      </c>
      <c r="BC62" s="272"/>
      <c r="BD62" s="272"/>
      <c r="BE62" s="272"/>
      <c r="BF62" s="158" t="str">
        <f>C57 &amp; "-I"</f>
        <v>0.0-I</v>
      </c>
      <c r="CM62" s="42"/>
    </row>
    <row r="63" spans="1:91" ht="11.25" hidden="1" customHeight="1">
      <c r="A63" s="95"/>
      <c r="B63" s="910"/>
      <c r="C63" s="910"/>
      <c r="D63" s="707"/>
      <c r="E63" s="96"/>
      <c r="F63" s="106" t="str">
        <f>F57 &amp; ".4"</f>
        <v>0.4</v>
      </c>
      <c r="G63" s="105" t="s">
        <v>725</v>
      </c>
      <c r="H63" s="107"/>
      <c r="I63" s="107"/>
      <c r="J63" s="266"/>
      <c r="K63" s="266"/>
      <c r="L63" s="271">
        <f t="shared" si="7"/>
        <v>0</v>
      </c>
      <c r="M63" s="266"/>
      <c r="N63" s="271">
        <f t="shared" si="13"/>
        <v>0</v>
      </c>
      <c r="O63" s="277"/>
      <c r="P63" s="277"/>
      <c r="Q63" s="272"/>
      <c r="R63" s="272"/>
      <c r="S63" s="272"/>
      <c r="T63" s="271">
        <f t="shared" si="9"/>
        <v>0</v>
      </c>
      <c r="U63" s="266"/>
      <c r="V63" s="266"/>
      <c r="W63" s="266"/>
      <c r="X63" s="438"/>
      <c r="Y63" s="272"/>
      <c r="Z63" s="266"/>
      <c r="AA63" s="266"/>
      <c r="AB63" s="266"/>
      <c r="AC63" s="266"/>
      <c r="AD63" s="266"/>
      <c r="AE63" s="266"/>
      <c r="AF63" s="266"/>
      <c r="AG63" s="266"/>
      <c r="AH63" s="266"/>
      <c r="AI63" s="266"/>
      <c r="AJ63" s="266"/>
      <c r="AK63" s="266"/>
      <c r="AL63" s="266"/>
      <c r="AM63" s="266"/>
      <c r="AN63" s="266"/>
      <c r="AO63" s="266"/>
      <c r="AP63" s="266"/>
      <c r="AQ63" s="266"/>
      <c r="AR63" s="271">
        <f t="shared" si="10"/>
        <v>0</v>
      </c>
      <c r="AS63" s="266"/>
      <c r="AT63" s="271">
        <f t="shared" si="14"/>
        <v>0</v>
      </c>
      <c r="AU63" s="277"/>
      <c r="AV63" s="277"/>
      <c r="AW63" s="271">
        <f t="shared" si="11"/>
        <v>0</v>
      </c>
      <c r="AX63" s="266"/>
      <c r="AY63" s="266"/>
      <c r="AZ63" s="266"/>
      <c r="BA63" s="266"/>
      <c r="BB63" s="271">
        <f t="shared" si="12"/>
        <v>0</v>
      </c>
      <c r="BC63" s="272"/>
      <c r="BD63" s="272"/>
      <c r="BE63" s="272"/>
      <c r="BF63" s="158" t="str">
        <f>C57 &amp; "-I"</f>
        <v>0.0-I</v>
      </c>
      <c r="CM63" s="42"/>
    </row>
    <row r="64" spans="1:91" ht="11.25" hidden="1" customHeight="1">
      <c r="A64" s="95"/>
      <c r="B64" s="910"/>
      <c r="C64" s="910"/>
      <c r="D64" s="707"/>
      <c r="E64" s="96"/>
      <c r="F64" s="106" t="str">
        <f>F57 &amp; ".5"</f>
        <v>0.5</v>
      </c>
      <c r="G64" s="105" t="s">
        <v>726</v>
      </c>
      <c r="H64" s="107"/>
      <c r="I64" s="107"/>
      <c r="J64" s="266"/>
      <c r="K64" s="266"/>
      <c r="L64" s="271">
        <f t="shared" si="7"/>
        <v>0</v>
      </c>
      <c r="M64" s="266"/>
      <c r="N64" s="271">
        <f t="shared" si="13"/>
        <v>0</v>
      </c>
      <c r="O64" s="277"/>
      <c r="P64" s="277"/>
      <c r="Q64" s="272"/>
      <c r="R64" s="272"/>
      <c r="S64" s="272"/>
      <c r="T64" s="271">
        <f t="shared" si="9"/>
        <v>0</v>
      </c>
      <c r="U64" s="266"/>
      <c r="V64" s="266"/>
      <c r="W64" s="266"/>
      <c r="X64" s="438"/>
      <c r="Y64" s="272"/>
      <c r="Z64" s="266"/>
      <c r="AA64" s="266"/>
      <c r="AB64" s="266"/>
      <c r="AC64" s="266"/>
      <c r="AD64" s="266"/>
      <c r="AE64" s="266"/>
      <c r="AF64" s="266"/>
      <c r="AG64" s="266"/>
      <c r="AH64" s="266"/>
      <c r="AI64" s="266"/>
      <c r="AJ64" s="266"/>
      <c r="AK64" s="266"/>
      <c r="AL64" s="266"/>
      <c r="AM64" s="266"/>
      <c r="AN64" s="266"/>
      <c r="AO64" s="266"/>
      <c r="AP64" s="266"/>
      <c r="AQ64" s="266"/>
      <c r="AR64" s="271">
        <f t="shared" si="10"/>
        <v>0</v>
      </c>
      <c r="AS64" s="266"/>
      <c r="AT64" s="271">
        <f t="shared" si="14"/>
        <v>0</v>
      </c>
      <c r="AU64" s="277"/>
      <c r="AV64" s="277"/>
      <c r="AW64" s="271">
        <f t="shared" si="11"/>
        <v>0</v>
      </c>
      <c r="AX64" s="266"/>
      <c r="AY64" s="266"/>
      <c r="AZ64" s="266"/>
      <c r="BA64" s="266"/>
      <c r="BB64" s="271">
        <f t="shared" si="12"/>
        <v>0</v>
      </c>
      <c r="BC64" s="272"/>
      <c r="BD64" s="272"/>
      <c r="BE64" s="272"/>
      <c r="BF64" s="158" t="str">
        <f>C57 &amp; "-I"</f>
        <v>0.0-I</v>
      </c>
      <c r="CM64" s="42"/>
    </row>
    <row r="65" spans="1:91" ht="11.25" hidden="1" customHeight="1">
      <c r="A65" s="95"/>
      <c r="B65" s="910"/>
      <c r="C65" s="910"/>
      <c r="D65" s="707"/>
      <c r="E65" s="96"/>
      <c r="F65" s="106" t="str">
        <f>F57 &amp; ".6"</f>
        <v>0.6</v>
      </c>
      <c r="G65" s="105" t="s">
        <v>727</v>
      </c>
      <c r="H65" s="107"/>
      <c r="I65" s="107"/>
      <c r="J65" s="266"/>
      <c r="K65" s="266"/>
      <c r="L65" s="271">
        <f t="shared" si="7"/>
        <v>0</v>
      </c>
      <c r="M65" s="266"/>
      <c r="N65" s="271">
        <f t="shared" si="13"/>
        <v>0</v>
      </c>
      <c r="O65" s="277"/>
      <c r="P65" s="277"/>
      <c r="Q65" s="272"/>
      <c r="R65" s="272"/>
      <c r="S65" s="272"/>
      <c r="T65" s="271">
        <f t="shared" si="9"/>
        <v>0</v>
      </c>
      <c r="U65" s="266"/>
      <c r="V65" s="266"/>
      <c r="W65" s="266"/>
      <c r="X65" s="438"/>
      <c r="Y65" s="272"/>
      <c r="Z65" s="266"/>
      <c r="AA65" s="266"/>
      <c r="AB65" s="266"/>
      <c r="AC65" s="266"/>
      <c r="AD65" s="266"/>
      <c r="AE65" s="266"/>
      <c r="AF65" s="266"/>
      <c r="AG65" s="266"/>
      <c r="AH65" s="266"/>
      <c r="AI65" s="266"/>
      <c r="AJ65" s="266"/>
      <c r="AK65" s="266"/>
      <c r="AL65" s="266"/>
      <c r="AM65" s="266"/>
      <c r="AN65" s="266"/>
      <c r="AO65" s="266"/>
      <c r="AP65" s="266"/>
      <c r="AQ65" s="266"/>
      <c r="AR65" s="271">
        <f t="shared" si="10"/>
        <v>0</v>
      </c>
      <c r="AS65" s="266"/>
      <c r="AT65" s="271">
        <f t="shared" si="14"/>
        <v>0</v>
      </c>
      <c r="AU65" s="277"/>
      <c r="AV65" s="277"/>
      <c r="AW65" s="271">
        <f t="shared" si="11"/>
        <v>0</v>
      </c>
      <c r="AX65" s="266"/>
      <c r="AY65" s="266"/>
      <c r="AZ65" s="266"/>
      <c r="BA65" s="266"/>
      <c r="BB65" s="271">
        <f t="shared" si="12"/>
        <v>0</v>
      </c>
      <c r="BC65" s="272"/>
      <c r="BD65" s="272"/>
      <c r="BE65" s="272"/>
      <c r="BF65" s="158" t="str">
        <f>C57 &amp; "-I"</f>
        <v>0.0-I</v>
      </c>
      <c r="CM65" s="42"/>
    </row>
    <row r="66" spans="1:91" ht="11.25" hidden="1" customHeight="1">
      <c r="A66" s="95"/>
      <c r="B66" s="910"/>
      <c r="C66" s="910"/>
      <c r="D66" s="707"/>
      <c r="E66" s="96"/>
      <c r="F66" s="106" t="str">
        <f>F57 &amp; ".7"</f>
        <v>0.7</v>
      </c>
      <c r="G66" s="105" t="s">
        <v>728</v>
      </c>
      <c r="H66" s="107"/>
      <c r="I66" s="107"/>
      <c r="J66" s="266"/>
      <c r="K66" s="266"/>
      <c r="L66" s="271">
        <f t="shared" si="7"/>
        <v>0</v>
      </c>
      <c r="M66" s="266"/>
      <c r="N66" s="271">
        <f t="shared" si="13"/>
        <v>0</v>
      </c>
      <c r="O66" s="277"/>
      <c r="P66" s="277"/>
      <c r="Q66" s="272"/>
      <c r="R66" s="272"/>
      <c r="S66" s="272"/>
      <c r="T66" s="271">
        <f t="shared" si="9"/>
        <v>0</v>
      </c>
      <c r="U66" s="266"/>
      <c r="V66" s="266"/>
      <c r="W66" s="266"/>
      <c r="X66" s="438"/>
      <c r="Y66" s="272"/>
      <c r="Z66" s="266"/>
      <c r="AA66" s="266"/>
      <c r="AB66" s="266"/>
      <c r="AC66" s="266"/>
      <c r="AD66" s="266"/>
      <c r="AE66" s="266"/>
      <c r="AF66" s="266"/>
      <c r="AG66" s="266"/>
      <c r="AH66" s="266"/>
      <c r="AI66" s="266"/>
      <c r="AJ66" s="266"/>
      <c r="AK66" s="266"/>
      <c r="AL66" s="266"/>
      <c r="AM66" s="266"/>
      <c r="AN66" s="266"/>
      <c r="AO66" s="266"/>
      <c r="AP66" s="266"/>
      <c r="AQ66" s="266"/>
      <c r="AR66" s="271">
        <f t="shared" si="10"/>
        <v>0</v>
      </c>
      <c r="AS66" s="266"/>
      <c r="AT66" s="271">
        <f t="shared" si="14"/>
        <v>0</v>
      </c>
      <c r="AU66" s="277"/>
      <c r="AV66" s="277"/>
      <c r="AW66" s="271">
        <f t="shared" si="11"/>
        <v>0</v>
      </c>
      <c r="AX66" s="266"/>
      <c r="AY66" s="266"/>
      <c r="AZ66" s="266"/>
      <c r="BA66" s="266"/>
      <c r="BB66" s="271">
        <f t="shared" si="12"/>
        <v>0</v>
      </c>
      <c r="BC66" s="272"/>
      <c r="BD66" s="272"/>
      <c r="BE66" s="272"/>
      <c r="BF66" s="158" t="str">
        <f>C57 &amp; "-II"</f>
        <v>0.0-II</v>
      </c>
      <c r="CM66" s="42"/>
    </row>
    <row r="67" spans="1:91" ht="11.25" hidden="1" customHeight="1">
      <c r="A67" s="95"/>
      <c r="B67" s="910"/>
      <c r="C67" s="910"/>
      <c r="D67" s="707"/>
      <c r="E67" s="96"/>
      <c r="F67" s="106" t="str">
        <f>F57 &amp; ".8"</f>
        <v>0.8</v>
      </c>
      <c r="G67" s="105" t="s">
        <v>729</v>
      </c>
      <c r="H67" s="107"/>
      <c r="I67" s="107"/>
      <c r="J67" s="266"/>
      <c r="K67" s="266"/>
      <c r="L67" s="271">
        <f t="shared" si="7"/>
        <v>0</v>
      </c>
      <c r="M67" s="266"/>
      <c r="N67" s="271">
        <f t="shared" si="13"/>
        <v>0</v>
      </c>
      <c r="O67" s="277"/>
      <c r="P67" s="277"/>
      <c r="Q67" s="272"/>
      <c r="R67" s="272"/>
      <c r="S67" s="272"/>
      <c r="T67" s="271">
        <f t="shared" si="9"/>
        <v>0</v>
      </c>
      <c r="U67" s="266"/>
      <c r="V67" s="266"/>
      <c r="W67" s="266"/>
      <c r="X67" s="438"/>
      <c r="Y67" s="272"/>
      <c r="Z67" s="266"/>
      <c r="AA67" s="266"/>
      <c r="AB67" s="266"/>
      <c r="AC67" s="266"/>
      <c r="AD67" s="266"/>
      <c r="AE67" s="266"/>
      <c r="AF67" s="266"/>
      <c r="AG67" s="266"/>
      <c r="AH67" s="266"/>
      <c r="AI67" s="266"/>
      <c r="AJ67" s="266"/>
      <c r="AK67" s="266"/>
      <c r="AL67" s="266"/>
      <c r="AM67" s="266"/>
      <c r="AN67" s="266"/>
      <c r="AO67" s="266"/>
      <c r="AP67" s="266"/>
      <c r="AQ67" s="266"/>
      <c r="AR67" s="271">
        <f t="shared" si="10"/>
        <v>0</v>
      </c>
      <c r="AS67" s="266"/>
      <c r="AT67" s="271">
        <f t="shared" si="14"/>
        <v>0</v>
      </c>
      <c r="AU67" s="277"/>
      <c r="AV67" s="277"/>
      <c r="AW67" s="271">
        <f t="shared" si="11"/>
        <v>0</v>
      </c>
      <c r="AX67" s="266"/>
      <c r="AY67" s="266"/>
      <c r="AZ67" s="266"/>
      <c r="BA67" s="266"/>
      <c r="BB67" s="271">
        <f t="shared" si="12"/>
        <v>0</v>
      </c>
      <c r="BC67" s="272"/>
      <c r="BD67" s="272"/>
      <c r="BE67" s="272"/>
      <c r="BF67" s="158" t="str">
        <f>C57 &amp; "-II"</f>
        <v>0.0-II</v>
      </c>
      <c r="CM67" s="42"/>
    </row>
    <row r="68" spans="1:91" ht="11.25" hidden="1" customHeight="1">
      <c r="A68" s="95"/>
      <c r="B68" s="910"/>
      <c r="C68" s="910"/>
      <c r="D68" s="707"/>
      <c r="E68" s="96"/>
      <c r="F68" s="106" t="str">
        <f>F57 &amp; ".9"</f>
        <v>0.9</v>
      </c>
      <c r="G68" s="105" t="s">
        <v>730</v>
      </c>
      <c r="H68" s="107"/>
      <c r="I68" s="107"/>
      <c r="J68" s="266"/>
      <c r="K68" s="266"/>
      <c r="L68" s="271">
        <f t="shared" si="7"/>
        <v>0</v>
      </c>
      <c r="M68" s="266"/>
      <c r="N68" s="271">
        <f t="shared" si="13"/>
        <v>0</v>
      </c>
      <c r="O68" s="277"/>
      <c r="P68" s="277"/>
      <c r="Q68" s="272"/>
      <c r="R68" s="272"/>
      <c r="S68" s="272"/>
      <c r="T68" s="271">
        <f t="shared" si="9"/>
        <v>0</v>
      </c>
      <c r="U68" s="266"/>
      <c r="V68" s="266"/>
      <c r="W68" s="266"/>
      <c r="X68" s="438"/>
      <c r="Y68" s="272"/>
      <c r="Z68" s="266"/>
      <c r="AA68" s="266"/>
      <c r="AB68" s="266"/>
      <c r="AC68" s="266"/>
      <c r="AD68" s="266"/>
      <c r="AE68" s="266"/>
      <c r="AF68" s="266"/>
      <c r="AG68" s="266"/>
      <c r="AH68" s="266"/>
      <c r="AI68" s="266"/>
      <c r="AJ68" s="266"/>
      <c r="AK68" s="266"/>
      <c r="AL68" s="266"/>
      <c r="AM68" s="266"/>
      <c r="AN68" s="266"/>
      <c r="AO68" s="266"/>
      <c r="AP68" s="266"/>
      <c r="AQ68" s="266"/>
      <c r="AR68" s="271">
        <f t="shared" si="10"/>
        <v>0</v>
      </c>
      <c r="AS68" s="266"/>
      <c r="AT68" s="271">
        <f t="shared" si="14"/>
        <v>0</v>
      </c>
      <c r="AU68" s="277"/>
      <c r="AV68" s="277"/>
      <c r="AW68" s="271">
        <f t="shared" si="11"/>
        <v>0</v>
      </c>
      <c r="AX68" s="266"/>
      <c r="AY68" s="266"/>
      <c r="AZ68" s="266"/>
      <c r="BA68" s="266"/>
      <c r="BB68" s="271">
        <f t="shared" si="12"/>
        <v>0</v>
      </c>
      <c r="BC68" s="272"/>
      <c r="BD68" s="272"/>
      <c r="BE68" s="272"/>
      <c r="BF68" s="158" t="str">
        <f>C57 &amp; IF(TEMPLATE_CLAIM="P","-II","-III")</f>
        <v>0.0-III</v>
      </c>
      <c r="CM68" s="42"/>
    </row>
    <row r="69" spans="1:91" ht="11.25" hidden="1" customHeight="1">
      <c r="A69" s="95"/>
      <c r="B69" s="910"/>
      <c r="C69" s="910"/>
      <c r="D69" s="707"/>
      <c r="E69" s="96"/>
      <c r="F69" s="106" t="str">
        <f>F57 &amp; ".10"</f>
        <v>0.10</v>
      </c>
      <c r="G69" s="105" t="s">
        <v>731</v>
      </c>
      <c r="H69" s="107"/>
      <c r="I69" s="107"/>
      <c r="J69" s="266"/>
      <c r="K69" s="266"/>
      <c r="L69" s="271">
        <f t="shared" si="7"/>
        <v>0</v>
      </c>
      <c r="M69" s="266"/>
      <c r="N69" s="271">
        <f t="shared" si="13"/>
        <v>0</v>
      </c>
      <c r="O69" s="277"/>
      <c r="P69" s="277"/>
      <c r="Q69" s="272"/>
      <c r="R69" s="272"/>
      <c r="S69" s="272"/>
      <c r="T69" s="271">
        <f t="shared" si="9"/>
        <v>0</v>
      </c>
      <c r="U69" s="266"/>
      <c r="V69" s="266"/>
      <c r="W69" s="266"/>
      <c r="X69" s="438"/>
      <c r="Y69" s="272"/>
      <c r="Z69" s="266"/>
      <c r="AA69" s="266"/>
      <c r="AB69" s="266"/>
      <c r="AC69" s="266"/>
      <c r="AD69" s="266"/>
      <c r="AE69" s="266"/>
      <c r="AF69" s="266"/>
      <c r="AG69" s="266"/>
      <c r="AH69" s="266"/>
      <c r="AI69" s="266"/>
      <c r="AJ69" s="266"/>
      <c r="AK69" s="266"/>
      <c r="AL69" s="266"/>
      <c r="AM69" s="266"/>
      <c r="AN69" s="266"/>
      <c r="AO69" s="266"/>
      <c r="AP69" s="266"/>
      <c r="AQ69" s="266"/>
      <c r="AR69" s="271">
        <f t="shared" si="10"/>
        <v>0</v>
      </c>
      <c r="AS69" s="266"/>
      <c r="AT69" s="271">
        <f t="shared" si="14"/>
        <v>0</v>
      </c>
      <c r="AU69" s="277"/>
      <c r="AV69" s="277"/>
      <c r="AW69" s="271">
        <f t="shared" si="11"/>
        <v>0</v>
      </c>
      <c r="AX69" s="266"/>
      <c r="AY69" s="266"/>
      <c r="AZ69" s="266"/>
      <c r="BA69" s="266"/>
      <c r="BB69" s="271">
        <f t="shared" si="12"/>
        <v>0</v>
      </c>
      <c r="BC69" s="272"/>
      <c r="BD69" s="272"/>
      <c r="BE69" s="272"/>
      <c r="BF69" s="158" t="str">
        <f>C57 &amp; IF(TEMPLATE_CLAIM="P","-II","-III")</f>
        <v>0.0-III</v>
      </c>
      <c r="CM69" s="42"/>
    </row>
    <row r="70" spans="1:91" ht="11.25" hidden="1" customHeight="1">
      <c r="A70" s="95"/>
      <c r="B70" s="910"/>
      <c r="C70" s="910"/>
      <c r="D70" s="707"/>
      <c r="E70" s="96"/>
      <c r="F70" s="106" t="str">
        <f>F57 &amp; ".11"</f>
        <v>0.11</v>
      </c>
      <c r="G70" s="105" t="s">
        <v>732</v>
      </c>
      <c r="H70" s="107"/>
      <c r="I70" s="107"/>
      <c r="J70" s="266"/>
      <c r="K70" s="266"/>
      <c r="L70" s="271">
        <f t="shared" si="7"/>
        <v>0</v>
      </c>
      <c r="M70" s="266"/>
      <c r="N70" s="271">
        <f t="shared" si="13"/>
        <v>0</v>
      </c>
      <c r="O70" s="277"/>
      <c r="P70" s="277"/>
      <c r="Q70" s="272"/>
      <c r="R70" s="272"/>
      <c r="S70" s="272"/>
      <c r="T70" s="271">
        <f t="shared" si="9"/>
        <v>0</v>
      </c>
      <c r="U70" s="266"/>
      <c r="V70" s="266"/>
      <c r="W70" s="266"/>
      <c r="X70" s="438"/>
      <c r="Y70" s="272"/>
      <c r="Z70" s="266"/>
      <c r="AA70" s="266"/>
      <c r="AB70" s="266"/>
      <c r="AC70" s="266"/>
      <c r="AD70" s="266"/>
      <c r="AE70" s="266"/>
      <c r="AF70" s="266"/>
      <c r="AG70" s="266"/>
      <c r="AH70" s="266"/>
      <c r="AI70" s="266"/>
      <c r="AJ70" s="266"/>
      <c r="AK70" s="266"/>
      <c r="AL70" s="266"/>
      <c r="AM70" s="266"/>
      <c r="AN70" s="266"/>
      <c r="AO70" s="266"/>
      <c r="AP70" s="266"/>
      <c r="AQ70" s="266"/>
      <c r="AR70" s="271">
        <f t="shared" si="10"/>
        <v>0</v>
      </c>
      <c r="AS70" s="266"/>
      <c r="AT70" s="271">
        <f t="shared" si="14"/>
        <v>0</v>
      </c>
      <c r="AU70" s="277"/>
      <c r="AV70" s="277"/>
      <c r="AW70" s="271">
        <f t="shared" si="11"/>
        <v>0</v>
      </c>
      <c r="AX70" s="266"/>
      <c r="AY70" s="266"/>
      <c r="AZ70" s="266"/>
      <c r="BA70" s="266"/>
      <c r="BB70" s="271">
        <f t="shared" si="12"/>
        <v>0</v>
      </c>
      <c r="BC70" s="272"/>
      <c r="BD70" s="272"/>
      <c r="BE70" s="272"/>
      <c r="BF70" s="158" t="str">
        <f>C57 &amp; IF(TEMPLATE_CLAIM="P","-II","-III")</f>
        <v>0.0-III</v>
      </c>
      <c r="CM70" s="42"/>
    </row>
    <row r="71" spans="1:91" ht="11.25" hidden="1" customHeight="1">
      <c r="A71" s="95"/>
      <c r="B71" s="910"/>
      <c r="C71" s="910"/>
      <c r="D71" s="707"/>
      <c r="E71" s="96"/>
      <c r="F71" s="106" t="str">
        <f>F57 &amp; ".12"</f>
        <v>0.12</v>
      </c>
      <c r="G71" s="105" t="s">
        <v>733</v>
      </c>
      <c r="H71" s="107"/>
      <c r="I71" s="107"/>
      <c r="J71" s="266"/>
      <c r="K71" s="266"/>
      <c r="L71" s="271">
        <f t="shared" si="7"/>
        <v>0</v>
      </c>
      <c r="M71" s="266"/>
      <c r="N71" s="271">
        <f t="shared" si="13"/>
        <v>0</v>
      </c>
      <c r="O71" s="277"/>
      <c r="P71" s="277"/>
      <c r="Q71" s="272"/>
      <c r="R71" s="272"/>
      <c r="S71" s="272"/>
      <c r="T71" s="271">
        <f t="shared" si="9"/>
        <v>0</v>
      </c>
      <c r="U71" s="266"/>
      <c r="V71" s="266"/>
      <c r="W71" s="266"/>
      <c r="X71" s="438"/>
      <c r="Y71" s="272"/>
      <c r="Z71" s="266"/>
      <c r="AA71" s="266"/>
      <c r="AB71" s="266"/>
      <c r="AC71" s="266"/>
      <c r="AD71" s="266"/>
      <c r="AE71" s="266"/>
      <c r="AF71" s="266"/>
      <c r="AG71" s="266"/>
      <c r="AH71" s="266"/>
      <c r="AI71" s="266"/>
      <c r="AJ71" s="266"/>
      <c r="AK71" s="266"/>
      <c r="AL71" s="266"/>
      <c r="AM71" s="266"/>
      <c r="AN71" s="266"/>
      <c r="AO71" s="266"/>
      <c r="AP71" s="266"/>
      <c r="AQ71" s="266"/>
      <c r="AR71" s="271">
        <f t="shared" si="10"/>
        <v>0</v>
      </c>
      <c r="AS71" s="266"/>
      <c r="AT71" s="271">
        <f t="shared" si="14"/>
        <v>0</v>
      </c>
      <c r="AU71" s="277"/>
      <c r="AV71" s="277"/>
      <c r="AW71" s="271">
        <f t="shared" si="11"/>
        <v>0</v>
      </c>
      <c r="AX71" s="266"/>
      <c r="AY71" s="266"/>
      <c r="AZ71" s="266"/>
      <c r="BA71" s="266"/>
      <c r="BB71" s="271">
        <f t="shared" si="12"/>
        <v>0</v>
      </c>
      <c r="BC71" s="272"/>
      <c r="BD71" s="272"/>
      <c r="BE71" s="272"/>
      <c r="BF71" s="158" t="str">
        <f>C57 &amp; IF(TEMPLATE_CLAIM="P","-II","-III")</f>
        <v>0.0-III</v>
      </c>
      <c r="CM71" s="42"/>
    </row>
    <row r="72" spans="1:91" ht="0.75" hidden="1" customHeight="1">
      <c r="A72" s="95"/>
      <c r="B72" s="910"/>
      <c r="C72" s="910"/>
      <c r="D72" s="707"/>
      <c r="E72" s="96"/>
      <c r="F72" s="107"/>
      <c r="G72" s="107"/>
      <c r="H72" s="107"/>
      <c r="I72" s="107"/>
      <c r="J72" s="266"/>
      <c r="K72" s="266"/>
      <c r="L72" s="266"/>
      <c r="M72" s="266"/>
      <c r="N72" s="266"/>
      <c r="O72" s="266"/>
      <c r="P72" s="266"/>
      <c r="Q72" s="266"/>
      <c r="R72" s="266"/>
      <c r="S72" s="266"/>
      <c r="T72" s="266"/>
      <c r="U72" s="266"/>
      <c r="V72" s="266"/>
      <c r="W72" s="266"/>
      <c r="X72" s="438"/>
      <c r="Y72" s="438"/>
      <c r="Z72" s="438"/>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158"/>
      <c r="CM72" s="42"/>
    </row>
    <row r="73" spans="1:91" ht="0.75" hidden="1" customHeight="1">
      <c r="A73" s="95"/>
      <c r="B73" s="910"/>
      <c r="C73" s="910"/>
      <c r="D73" s="707"/>
      <c r="E73" s="96"/>
      <c r="F73" s="107"/>
      <c r="G73" s="107"/>
      <c r="H73" s="107"/>
      <c r="I73" s="107"/>
      <c r="J73" s="266"/>
      <c r="K73" s="266"/>
      <c r="L73" s="266"/>
      <c r="M73" s="266"/>
      <c r="N73" s="266"/>
      <c r="O73" s="266"/>
      <c r="P73" s="266"/>
      <c r="Q73" s="266"/>
      <c r="R73" s="266"/>
      <c r="S73" s="266"/>
      <c r="T73" s="266"/>
      <c r="U73" s="266"/>
      <c r="V73" s="266"/>
      <c r="W73" s="266"/>
      <c r="X73" s="438"/>
      <c r="Y73" s="438"/>
      <c r="Z73" s="438"/>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158"/>
      <c r="CM73" s="42"/>
    </row>
    <row r="74" spans="1:91" ht="0.75" hidden="1" customHeight="1">
      <c r="A74" s="95"/>
      <c r="B74" s="910"/>
      <c r="C74" s="910"/>
      <c r="D74" s="707"/>
      <c r="E74" s="96"/>
      <c r="F74" s="107"/>
      <c r="G74" s="107"/>
      <c r="H74" s="107"/>
      <c r="I74" s="107"/>
      <c r="J74" s="266"/>
      <c r="K74" s="266"/>
      <c r="L74" s="266"/>
      <c r="M74" s="266"/>
      <c r="N74" s="266"/>
      <c r="O74" s="266"/>
      <c r="P74" s="266"/>
      <c r="Q74" s="266"/>
      <c r="R74" s="266"/>
      <c r="S74" s="266"/>
      <c r="T74" s="266"/>
      <c r="U74" s="266"/>
      <c r="V74" s="266"/>
      <c r="W74" s="266"/>
      <c r="X74" s="438"/>
      <c r="Y74" s="438"/>
      <c r="Z74" s="438"/>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158"/>
      <c r="CM74" s="42"/>
    </row>
    <row r="75" spans="1:91" ht="0.75" hidden="1" customHeight="1">
      <c r="A75" s="95"/>
      <c r="B75" s="910"/>
      <c r="C75" s="910"/>
      <c r="D75" s="707"/>
      <c r="E75" s="96"/>
      <c r="F75" s="107"/>
      <c r="G75" s="107"/>
      <c r="H75" s="107"/>
      <c r="I75" s="107"/>
      <c r="J75" s="266"/>
      <c r="K75" s="266"/>
      <c r="L75" s="266"/>
      <c r="M75" s="266"/>
      <c r="N75" s="266"/>
      <c r="O75" s="266"/>
      <c r="P75" s="266"/>
      <c r="Q75" s="266"/>
      <c r="R75" s="266"/>
      <c r="S75" s="266"/>
      <c r="T75" s="266"/>
      <c r="U75" s="266"/>
      <c r="V75" s="266"/>
      <c r="W75" s="266"/>
      <c r="X75" s="438"/>
      <c r="Y75" s="438"/>
      <c r="Z75" s="438"/>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158"/>
      <c r="CM75" s="42"/>
    </row>
    <row r="76" spans="1:91" ht="0.75" hidden="1" customHeight="1">
      <c r="A76" s="95"/>
      <c r="B76" s="910"/>
      <c r="C76" s="910"/>
      <c r="D76" s="707"/>
      <c r="E76" s="96"/>
      <c r="F76" s="107"/>
      <c r="G76" s="107"/>
      <c r="H76" s="107"/>
      <c r="I76" s="107"/>
      <c r="J76" s="266"/>
      <c r="K76" s="266"/>
      <c r="L76" s="266"/>
      <c r="M76" s="266"/>
      <c r="N76" s="266"/>
      <c r="O76" s="266"/>
      <c r="P76" s="266"/>
      <c r="Q76" s="266"/>
      <c r="R76" s="266"/>
      <c r="S76" s="266"/>
      <c r="T76" s="266"/>
      <c r="U76" s="266"/>
      <c r="V76" s="266"/>
      <c r="W76" s="266"/>
      <c r="X76" s="438"/>
      <c r="Y76" s="438"/>
      <c r="Z76" s="438"/>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158"/>
      <c r="CM76" s="42"/>
    </row>
    <row r="77" spans="1:91" ht="0.75" hidden="1" customHeight="1">
      <c r="A77" s="95"/>
      <c r="B77" s="910"/>
      <c r="C77" s="910"/>
      <c r="D77" s="707"/>
      <c r="E77" s="96"/>
      <c r="F77" s="107"/>
      <c r="G77" s="107"/>
      <c r="H77" s="107"/>
      <c r="I77" s="107"/>
      <c r="J77" s="266"/>
      <c r="K77" s="266"/>
      <c r="L77" s="266"/>
      <c r="M77" s="266"/>
      <c r="N77" s="266"/>
      <c r="O77" s="266"/>
      <c r="P77" s="266"/>
      <c r="Q77" s="266"/>
      <c r="R77" s="266"/>
      <c r="S77" s="266"/>
      <c r="T77" s="266"/>
      <c r="U77" s="266"/>
      <c r="V77" s="266"/>
      <c r="W77" s="266"/>
      <c r="X77" s="438"/>
      <c r="Y77" s="438"/>
      <c r="Z77" s="438"/>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158"/>
      <c r="CM77" s="42"/>
    </row>
    <row r="78" spans="1:91" ht="0.75" hidden="1" customHeight="1">
      <c r="A78" s="95"/>
      <c r="B78" s="910"/>
      <c r="C78" s="910"/>
      <c r="D78" s="707"/>
      <c r="E78" s="96"/>
      <c r="F78" s="107"/>
      <c r="G78" s="107"/>
      <c r="H78" s="107"/>
      <c r="I78" s="107"/>
      <c r="J78" s="266"/>
      <c r="K78" s="266"/>
      <c r="L78" s="266"/>
      <c r="M78" s="266"/>
      <c r="N78" s="266"/>
      <c r="O78" s="266"/>
      <c r="P78" s="266"/>
      <c r="Q78" s="266"/>
      <c r="R78" s="266"/>
      <c r="S78" s="266"/>
      <c r="T78" s="266"/>
      <c r="U78" s="266"/>
      <c r="V78" s="266"/>
      <c r="W78" s="266"/>
      <c r="X78" s="438"/>
      <c r="Y78" s="438"/>
      <c r="Z78" s="438"/>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158"/>
      <c r="CM78" s="42"/>
    </row>
    <row r="79" spans="1:91" ht="0.75" hidden="1" customHeight="1">
      <c r="A79" s="95"/>
      <c r="B79" s="910"/>
      <c r="C79" s="910"/>
      <c r="D79" s="707"/>
      <c r="E79" s="96"/>
      <c r="F79" s="107"/>
      <c r="G79" s="107"/>
      <c r="H79" s="107"/>
      <c r="I79" s="107"/>
      <c r="J79" s="266"/>
      <c r="K79" s="266"/>
      <c r="L79" s="266"/>
      <c r="M79" s="266"/>
      <c r="N79" s="266"/>
      <c r="O79" s="266"/>
      <c r="P79" s="266"/>
      <c r="Q79" s="266"/>
      <c r="R79" s="266"/>
      <c r="S79" s="266"/>
      <c r="T79" s="266"/>
      <c r="U79" s="266"/>
      <c r="V79" s="266"/>
      <c r="W79" s="266"/>
      <c r="X79" s="438"/>
      <c r="Y79" s="438"/>
      <c r="Z79" s="438"/>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158"/>
      <c r="CM79" s="42"/>
    </row>
    <row r="80" spans="1:91" ht="0.75" hidden="1" customHeight="1">
      <c r="A80" s="95"/>
      <c r="B80" s="910"/>
      <c r="C80" s="910"/>
      <c r="D80" s="707"/>
      <c r="E80" s="96"/>
      <c r="F80" s="107"/>
      <c r="G80" s="107"/>
      <c r="H80" s="107"/>
      <c r="I80" s="107"/>
      <c r="J80" s="266"/>
      <c r="K80" s="266"/>
      <c r="L80" s="266"/>
      <c r="M80" s="266"/>
      <c r="N80" s="266"/>
      <c r="O80" s="266"/>
      <c r="P80" s="266"/>
      <c r="Q80" s="266"/>
      <c r="R80" s="266"/>
      <c r="S80" s="266"/>
      <c r="T80" s="266"/>
      <c r="U80" s="266"/>
      <c r="V80" s="266"/>
      <c r="W80" s="266"/>
      <c r="X80" s="438"/>
      <c r="Y80" s="438"/>
      <c r="Z80" s="438"/>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158"/>
      <c r="CM80" s="42"/>
    </row>
    <row r="81" spans="1:91" ht="0.75" hidden="1" customHeight="1">
      <c r="A81" s="95"/>
      <c r="B81" s="910"/>
      <c r="C81" s="910"/>
      <c r="D81" s="707"/>
      <c r="E81" s="96"/>
      <c r="F81" s="107"/>
      <c r="G81" s="107"/>
      <c r="H81" s="107"/>
      <c r="I81" s="107"/>
      <c r="J81" s="266"/>
      <c r="K81" s="266"/>
      <c r="L81" s="266"/>
      <c r="M81" s="266"/>
      <c r="N81" s="266"/>
      <c r="O81" s="266"/>
      <c r="P81" s="266"/>
      <c r="Q81" s="266"/>
      <c r="R81" s="266"/>
      <c r="S81" s="266"/>
      <c r="T81" s="266"/>
      <c r="U81" s="266"/>
      <c r="V81" s="266"/>
      <c r="W81" s="266"/>
      <c r="X81" s="438"/>
      <c r="Y81" s="438"/>
      <c r="Z81" s="438"/>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158"/>
      <c r="CM81" s="42"/>
    </row>
    <row r="82" spans="1:91" ht="0.75" hidden="1" customHeight="1">
      <c r="A82" s="95"/>
      <c r="B82" s="910"/>
      <c r="C82" s="910"/>
      <c r="D82" s="707"/>
      <c r="E82" s="96"/>
      <c r="F82" s="107"/>
      <c r="G82" s="107"/>
      <c r="H82" s="107"/>
      <c r="I82" s="107"/>
      <c r="J82" s="266"/>
      <c r="K82" s="266"/>
      <c r="L82" s="266"/>
      <c r="M82" s="266"/>
      <c r="N82" s="266"/>
      <c r="O82" s="266"/>
      <c r="P82" s="266"/>
      <c r="Q82" s="266"/>
      <c r="R82" s="266"/>
      <c r="S82" s="266"/>
      <c r="T82" s="266"/>
      <c r="U82" s="266"/>
      <c r="V82" s="266"/>
      <c r="W82" s="266"/>
      <c r="X82" s="438"/>
      <c r="Y82" s="438"/>
      <c r="Z82" s="438"/>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158"/>
      <c r="CM82" s="42"/>
    </row>
    <row r="83" spans="1:91" ht="0.75" hidden="1" customHeight="1">
      <c r="A83" s="95"/>
      <c r="B83" s="910"/>
      <c r="C83" s="910"/>
      <c r="D83" s="707"/>
      <c r="E83" s="96"/>
      <c r="F83" s="107"/>
      <c r="G83" s="107"/>
      <c r="H83" s="107"/>
      <c r="I83" s="107"/>
      <c r="J83" s="266"/>
      <c r="K83" s="266"/>
      <c r="L83" s="266"/>
      <c r="M83" s="266"/>
      <c r="N83" s="266"/>
      <c r="O83" s="266"/>
      <c r="P83" s="266"/>
      <c r="Q83" s="266"/>
      <c r="R83" s="266"/>
      <c r="S83" s="266"/>
      <c r="T83" s="266"/>
      <c r="U83" s="266"/>
      <c r="V83" s="266"/>
      <c r="W83" s="266"/>
      <c r="X83" s="438"/>
      <c r="Y83" s="438"/>
      <c r="Z83" s="438"/>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160"/>
      <c r="CM83" s="42"/>
    </row>
    <row r="84" spans="1:91" ht="0.75" hidden="1" customHeight="1">
      <c r="A84" s="95"/>
      <c r="B84" s="910"/>
      <c r="C84" s="910"/>
      <c r="D84" s="707"/>
      <c r="E84" s="96"/>
      <c r="F84" s="107"/>
      <c r="G84" s="107"/>
      <c r="H84" s="107"/>
      <c r="I84" s="107"/>
      <c r="J84" s="266"/>
      <c r="K84" s="266"/>
      <c r="L84" s="266"/>
      <c r="M84" s="266"/>
      <c r="N84" s="266"/>
      <c r="O84" s="266"/>
      <c r="P84" s="266"/>
      <c r="Q84" s="266"/>
      <c r="R84" s="266"/>
      <c r="S84" s="266"/>
      <c r="T84" s="266"/>
      <c r="U84" s="266"/>
      <c r="V84" s="266"/>
      <c r="W84" s="266"/>
      <c r="X84" s="438"/>
      <c r="Y84" s="438"/>
      <c r="Z84" s="438"/>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160"/>
      <c r="CM84" s="42"/>
    </row>
    <row r="85" spans="1:91" ht="12" hidden="1" customHeight="1">
      <c r="A85" s="95"/>
      <c r="B85" s="79"/>
      <c r="C85" s="95"/>
      <c r="D85" s="707"/>
      <c r="E85" s="95"/>
      <c r="F85" s="95"/>
      <c r="G85" s="95"/>
      <c r="H85" s="95"/>
      <c r="I85" s="95"/>
      <c r="J85" s="95"/>
      <c r="K85" s="95"/>
      <c r="L85" s="95"/>
      <c r="M85" s="95"/>
      <c r="N85" s="95"/>
      <c r="O85" s="95"/>
      <c r="P85" s="95"/>
      <c r="Q85" s="95"/>
      <c r="R85" s="95"/>
      <c r="S85" s="95"/>
      <c r="T85" s="95"/>
      <c r="U85" s="95"/>
      <c r="V85" s="95"/>
      <c r="W85" s="95"/>
      <c r="X85" s="102"/>
      <c r="Y85" s="102"/>
      <c r="Z85" s="102"/>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CM85" s="42"/>
    </row>
    <row r="86" spans="1:91" ht="12" hidden="1" customHeight="1">
      <c r="A86" s="95"/>
      <c r="B86" s="79"/>
      <c r="C86" s="95"/>
      <c r="D86" s="707"/>
      <c r="E86" s="95"/>
      <c r="F86" s="95"/>
      <c r="G86" s="95"/>
      <c r="H86" s="95"/>
      <c r="I86" s="95"/>
      <c r="J86" s="95"/>
      <c r="K86" s="95"/>
      <c r="L86" s="95"/>
      <c r="M86" s="95"/>
      <c r="N86" s="95"/>
      <c r="O86" s="95"/>
      <c r="P86" s="95"/>
      <c r="Q86" s="95"/>
      <c r="R86" s="95"/>
      <c r="S86" s="95"/>
      <c r="T86" s="95"/>
      <c r="U86" s="95"/>
      <c r="V86" s="95"/>
      <c r="W86" s="95"/>
      <c r="X86" s="102"/>
      <c r="Y86" s="102"/>
      <c r="Z86" s="102"/>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CM86" s="42"/>
    </row>
    <row r="87" spans="1:91" ht="12" hidden="1" customHeight="1">
      <c r="A87" s="95"/>
      <c r="B87" s="79"/>
      <c r="C87" s="95"/>
      <c r="D87" s="707"/>
      <c r="E87" s="95"/>
      <c r="F87" s="95"/>
      <c r="G87" s="95"/>
      <c r="H87" s="95"/>
      <c r="I87" s="95"/>
      <c r="J87" s="95"/>
      <c r="K87" s="95"/>
      <c r="L87" s="95"/>
      <c r="M87" s="95"/>
      <c r="N87" s="95"/>
      <c r="O87" s="95"/>
      <c r="P87" s="95"/>
      <c r="Q87" s="95"/>
      <c r="R87" s="95"/>
      <c r="S87" s="95"/>
      <c r="T87" s="95"/>
      <c r="U87" s="95"/>
      <c r="V87" s="95"/>
      <c r="W87" s="95"/>
      <c r="X87" s="102"/>
      <c r="Y87" s="102"/>
      <c r="Z87" s="102"/>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CM87" s="42"/>
    </row>
    <row r="88" spans="1:91" ht="12" hidden="1" customHeight="1">
      <c r="A88" s="95"/>
      <c r="B88" s="79"/>
      <c r="C88" s="95"/>
      <c r="D88" s="707"/>
      <c r="E88" s="95"/>
      <c r="F88" s="95"/>
      <c r="G88" s="95"/>
      <c r="H88" s="95"/>
      <c r="I88" s="95"/>
      <c r="J88" s="95"/>
      <c r="K88" s="95"/>
      <c r="L88" s="95"/>
      <c r="M88" s="95"/>
      <c r="N88" s="95"/>
      <c r="O88" s="95"/>
      <c r="P88" s="95"/>
      <c r="Q88" s="95"/>
      <c r="R88" s="95"/>
      <c r="S88" s="95"/>
      <c r="T88" s="95"/>
      <c r="U88" s="95"/>
      <c r="V88" s="95"/>
      <c r="W88" s="95"/>
      <c r="X88" s="102"/>
      <c r="Y88" s="102"/>
      <c r="Z88" s="102"/>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CM88" s="42"/>
    </row>
    <row r="89" spans="1:91" ht="12" hidden="1" customHeight="1">
      <c r="A89" s="95"/>
      <c r="B89" s="79"/>
      <c r="C89" s="95"/>
      <c r="D89" s="707"/>
      <c r="E89" s="95"/>
      <c r="F89" s="95"/>
      <c r="G89" s="95"/>
      <c r="H89" s="95"/>
      <c r="I89" s="95"/>
      <c r="J89" s="95"/>
      <c r="K89" s="95"/>
      <c r="L89" s="95"/>
      <c r="M89" s="95"/>
      <c r="N89" s="95"/>
      <c r="O89" s="95"/>
      <c r="P89" s="95"/>
      <c r="Q89" s="95"/>
      <c r="R89" s="95"/>
      <c r="S89" s="95"/>
      <c r="T89" s="95"/>
      <c r="U89" s="95"/>
      <c r="V89" s="95"/>
      <c r="W89" s="95"/>
      <c r="X89" s="102"/>
      <c r="Y89" s="102"/>
      <c r="Z89" s="102"/>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CM89" s="42"/>
    </row>
    <row r="90" spans="1:91" ht="12" hidden="1" customHeight="1">
      <c r="A90" s="95"/>
      <c r="B90" s="79"/>
      <c r="C90" s="95"/>
      <c r="D90" s="707"/>
      <c r="E90" s="95"/>
      <c r="F90" s="95"/>
      <c r="G90" s="95"/>
      <c r="H90" s="95"/>
      <c r="I90" s="95"/>
      <c r="J90" s="95"/>
      <c r="K90" s="95"/>
      <c r="L90" s="95"/>
      <c r="M90" s="95"/>
      <c r="N90" s="95"/>
      <c r="O90" s="95"/>
      <c r="P90" s="95"/>
      <c r="Q90" s="95"/>
      <c r="R90" s="95"/>
      <c r="S90" s="95"/>
      <c r="T90" s="95"/>
      <c r="U90" s="95"/>
      <c r="V90" s="95"/>
      <c r="W90" s="95"/>
      <c r="X90" s="102"/>
      <c r="Y90" s="102"/>
      <c r="Z90" s="102"/>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CM90" s="42"/>
    </row>
    <row r="91" spans="1:91" ht="12" hidden="1" customHeight="1">
      <c r="A91" s="95"/>
      <c r="B91" s="79"/>
      <c r="C91" s="95"/>
      <c r="D91" s="707"/>
      <c r="E91" s="95"/>
      <c r="F91" s="95"/>
      <c r="G91" s="95"/>
      <c r="H91" s="95"/>
      <c r="I91" s="95"/>
      <c r="J91" s="95"/>
      <c r="K91" s="95"/>
      <c r="L91" s="95"/>
      <c r="M91" s="95"/>
      <c r="N91" s="95"/>
      <c r="O91" s="95"/>
      <c r="P91" s="95"/>
      <c r="Q91" s="95"/>
      <c r="R91" s="95"/>
      <c r="S91" s="95"/>
      <c r="T91" s="95"/>
      <c r="U91" s="95"/>
      <c r="V91" s="95"/>
      <c r="W91" s="95"/>
      <c r="X91" s="102"/>
      <c r="Y91" s="102"/>
      <c r="Z91" s="102"/>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CM91" s="42"/>
    </row>
    <row r="92" spans="1:91" ht="12" hidden="1" customHeight="1">
      <c r="A92" s="95"/>
      <c r="B92" s="79"/>
      <c r="C92" s="95"/>
      <c r="D92" s="707"/>
      <c r="E92" s="95"/>
      <c r="F92" s="95"/>
      <c r="G92" s="95"/>
      <c r="H92" s="95"/>
      <c r="I92" s="95"/>
      <c r="J92" s="95"/>
      <c r="K92" s="95"/>
      <c r="L92" s="95"/>
      <c r="M92" s="95"/>
      <c r="N92" s="95"/>
      <c r="O92" s="95"/>
      <c r="P92" s="95"/>
      <c r="Q92" s="95"/>
      <c r="R92" s="95"/>
      <c r="S92" s="95"/>
      <c r="T92" s="95"/>
      <c r="U92" s="95"/>
      <c r="V92" s="95"/>
      <c r="W92" s="95"/>
      <c r="X92" s="102"/>
      <c r="Y92" s="102"/>
      <c r="Z92" s="102"/>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CM92" s="42"/>
    </row>
    <row r="93" spans="1:91" ht="12" hidden="1" customHeight="1">
      <c r="A93" s="95"/>
      <c r="B93" s="79"/>
      <c r="C93" s="95"/>
      <c r="D93" s="707"/>
      <c r="E93" s="95"/>
      <c r="F93" s="95"/>
      <c r="G93" s="95"/>
      <c r="H93" s="95"/>
      <c r="I93" s="95"/>
      <c r="J93" s="95"/>
      <c r="K93" s="95"/>
      <c r="L93" s="95"/>
      <c r="M93" s="95"/>
      <c r="N93" s="95"/>
      <c r="O93" s="95"/>
      <c r="P93" s="95"/>
      <c r="Q93" s="95"/>
      <c r="R93" s="95"/>
      <c r="S93" s="95"/>
      <c r="T93" s="95"/>
      <c r="U93" s="95"/>
      <c r="V93" s="95"/>
      <c r="W93" s="95"/>
      <c r="X93" s="102"/>
      <c r="Y93" s="102"/>
      <c r="Z93" s="102"/>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CM93" s="42"/>
    </row>
    <row r="94" spans="1:91" ht="12" hidden="1" customHeight="1">
      <c r="A94" s="95"/>
      <c r="B94" s="79"/>
      <c r="C94" s="95"/>
      <c r="D94" s="707"/>
      <c r="E94" s="95"/>
      <c r="F94" s="95"/>
      <c r="G94" s="95"/>
      <c r="H94" s="95"/>
      <c r="I94" s="95"/>
      <c r="J94" s="95"/>
      <c r="K94" s="95"/>
      <c r="L94" s="95"/>
      <c r="M94" s="95"/>
      <c r="N94" s="95"/>
      <c r="O94" s="95"/>
      <c r="P94" s="95"/>
      <c r="Q94" s="95"/>
      <c r="R94" s="95"/>
      <c r="S94" s="95"/>
      <c r="T94" s="95"/>
      <c r="U94" s="95"/>
      <c r="V94" s="95"/>
      <c r="W94" s="95"/>
      <c r="X94" s="102"/>
      <c r="Y94" s="102"/>
      <c r="Z94" s="102"/>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CM94" s="42"/>
    </row>
    <row r="95" spans="1:91" ht="12" hidden="1" customHeight="1">
      <c r="A95" s="95"/>
      <c r="B95" s="79"/>
      <c r="C95" s="95"/>
      <c r="D95" s="707"/>
      <c r="E95" s="95"/>
      <c r="F95" s="95"/>
      <c r="G95" s="95"/>
      <c r="H95" s="95"/>
      <c r="I95" s="95"/>
      <c r="J95" s="95"/>
      <c r="K95" s="95"/>
      <c r="L95" s="95"/>
      <c r="M95" s="95"/>
      <c r="N95" s="95"/>
      <c r="O95" s="95"/>
      <c r="P95" s="95"/>
      <c r="Q95" s="95"/>
      <c r="R95" s="95"/>
      <c r="S95" s="95"/>
      <c r="T95" s="95"/>
      <c r="U95" s="95"/>
      <c r="V95" s="95"/>
      <c r="W95" s="95"/>
      <c r="X95" s="102"/>
      <c r="Y95" s="102"/>
      <c r="Z95" s="102"/>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CM95" s="42"/>
    </row>
    <row r="96" spans="1:91" ht="12" hidden="1" customHeight="1">
      <c r="A96" s="95"/>
      <c r="B96" s="79"/>
      <c r="C96" s="95"/>
      <c r="D96" s="707"/>
      <c r="E96" s="95"/>
      <c r="F96" s="95"/>
      <c r="G96" s="95"/>
      <c r="H96" s="95"/>
      <c r="I96" s="95"/>
      <c r="J96" s="95"/>
      <c r="K96" s="95"/>
      <c r="L96" s="95"/>
      <c r="M96" s="95"/>
      <c r="N96" s="95"/>
      <c r="O96" s="95"/>
      <c r="P96" s="95"/>
      <c r="Q96" s="95"/>
      <c r="R96" s="95"/>
      <c r="S96" s="95"/>
      <c r="T96" s="95"/>
      <c r="U96" s="95"/>
      <c r="V96" s="95"/>
      <c r="W96" s="95"/>
      <c r="X96" s="102"/>
      <c r="Y96" s="102"/>
      <c r="Z96" s="102"/>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CM96" s="42"/>
    </row>
    <row r="97" spans="1:91" ht="12" hidden="1" customHeight="1">
      <c r="A97" s="95"/>
      <c r="B97" s="79"/>
      <c r="C97" s="95"/>
      <c r="D97" s="707"/>
      <c r="E97" s="95"/>
      <c r="F97" s="95"/>
      <c r="G97" s="95"/>
      <c r="H97" s="95"/>
      <c r="I97" s="95"/>
      <c r="J97" s="95"/>
      <c r="K97" s="95"/>
      <c r="L97" s="95"/>
      <c r="M97" s="95"/>
      <c r="N97" s="95"/>
      <c r="O97" s="95"/>
      <c r="P97" s="95"/>
      <c r="Q97" s="95"/>
      <c r="R97" s="95"/>
      <c r="S97" s="95"/>
      <c r="T97" s="95"/>
      <c r="U97" s="95"/>
      <c r="V97" s="95"/>
      <c r="W97" s="95"/>
      <c r="X97" s="102"/>
      <c r="Y97" s="102"/>
      <c r="Z97" s="102"/>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CM97" s="42"/>
    </row>
    <row r="98" spans="1:91" ht="12" hidden="1" customHeight="1">
      <c r="A98" s="95"/>
      <c r="B98" s="79"/>
      <c r="C98" s="95"/>
      <c r="D98" s="707"/>
      <c r="E98" s="95"/>
      <c r="F98" s="95"/>
      <c r="G98" s="95"/>
      <c r="H98" s="95"/>
      <c r="I98" s="95"/>
      <c r="J98" s="95"/>
      <c r="K98" s="95"/>
      <c r="L98" s="95"/>
      <c r="M98" s="95"/>
      <c r="N98" s="95"/>
      <c r="O98" s="95"/>
      <c r="P98" s="95"/>
      <c r="Q98" s="95"/>
      <c r="R98" s="95"/>
      <c r="S98" s="95"/>
      <c r="T98" s="95"/>
      <c r="U98" s="95"/>
      <c r="V98" s="95"/>
      <c r="W98" s="95"/>
      <c r="X98" s="102"/>
      <c r="Y98" s="102"/>
      <c r="Z98" s="102"/>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CM98" s="42"/>
    </row>
    <row r="99" spans="1:91" ht="12" hidden="1" customHeight="1">
      <c r="A99" s="95"/>
      <c r="B99" s="79"/>
      <c r="C99" s="95"/>
      <c r="D99" s="707"/>
      <c r="E99" s="95"/>
      <c r="F99" s="95"/>
      <c r="G99" s="95"/>
      <c r="H99" s="95"/>
      <c r="I99" s="95"/>
      <c r="J99" s="95"/>
      <c r="K99" s="95"/>
      <c r="L99" s="95"/>
      <c r="M99" s="95"/>
      <c r="N99" s="95"/>
      <c r="O99" s="95"/>
      <c r="P99" s="95"/>
      <c r="Q99" s="95"/>
      <c r="R99" s="95"/>
      <c r="S99" s="95"/>
      <c r="T99" s="95"/>
      <c r="U99" s="95"/>
      <c r="V99" s="95"/>
      <c r="W99" s="95"/>
      <c r="X99" s="102"/>
      <c r="Y99" s="102"/>
      <c r="Z99" s="102"/>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CM99" s="42"/>
    </row>
    <row r="100" spans="1:91" ht="12" hidden="1" customHeight="1">
      <c r="A100" s="95"/>
      <c r="B100" s="79"/>
      <c r="C100" s="95"/>
      <c r="D100" s="707"/>
      <c r="E100" s="95"/>
      <c r="F100" s="95"/>
      <c r="G100" s="95"/>
      <c r="H100" s="95"/>
      <c r="I100" s="95"/>
      <c r="J100" s="95"/>
      <c r="K100" s="95"/>
      <c r="L100" s="95"/>
      <c r="M100" s="95"/>
      <c r="N100" s="95"/>
      <c r="O100" s="95"/>
      <c r="P100" s="95"/>
      <c r="Q100" s="95"/>
      <c r="R100" s="95"/>
      <c r="S100" s="95"/>
      <c r="T100" s="95"/>
      <c r="U100" s="95"/>
      <c r="V100" s="95"/>
      <c r="W100" s="95"/>
      <c r="X100" s="102"/>
      <c r="Y100" s="102"/>
      <c r="Z100" s="102"/>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95"/>
      <c r="BB100" s="95"/>
      <c r="BC100" s="95"/>
      <c r="BD100" s="95"/>
      <c r="BE100" s="95"/>
      <c r="CM100" s="42"/>
    </row>
    <row r="101" spans="1:91" ht="12" hidden="1" customHeight="1">
      <c r="A101" s="95"/>
      <c r="B101" s="79"/>
      <c r="C101" s="95"/>
      <c r="D101" s="707"/>
      <c r="E101" s="95"/>
      <c r="F101" s="95"/>
      <c r="G101" s="95"/>
      <c r="H101" s="95"/>
      <c r="I101" s="95"/>
      <c r="J101" s="95"/>
      <c r="K101" s="95"/>
      <c r="L101" s="95"/>
      <c r="M101" s="95"/>
      <c r="N101" s="95"/>
      <c r="O101" s="95"/>
      <c r="P101" s="95"/>
      <c r="Q101" s="95"/>
      <c r="R101" s="95"/>
      <c r="S101" s="95"/>
      <c r="T101" s="95"/>
      <c r="U101" s="95"/>
      <c r="V101" s="95"/>
      <c r="W101" s="95"/>
      <c r="X101" s="102"/>
      <c r="Y101" s="102"/>
      <c r="Z101" s="102"/>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CM101" s="42"/>
    </row>
    <row r="102" spans="1:91" ht="12" hidden="1" customHeight="1">
      <c r="A102" s="95"/>
      <c r="B102" s="79"/>
      <c r="C102" s="95"/>
      <c r="D102" s="707"/>
      <c r="E102" s="95"/>
      <c r="F102" s="95"/>
      <c r="G102" s="95"/>
      <c r="H102" s="95"/>
      <c r="I102" s="95"/>
      <c r="J102" s="95"/>
      <c r="K102" s="95"/>
      <c r="L102" s="95"/>
      <c r="M102" s="95"/>
      <c r="N102" s="95"/>
      <c r="O102" s="95"/>
      <c r="P102" s="95"/>
      <c r="Q102" s="95"/>
      <c r="R102" s="95"/>
      <c r="S102" s="95"/>
      <c r="T102" s="95"/>
      <c r="U102" s="95"/>
      <c r="V102" s="95"/>
      <c r="W102" s="95"/>
      <c r="X102" s="102"/>
      <c r="Y102" s="102"/>
      <c r="Z102" s="102"/>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95"/>
      <c r="BB102" s="95"/>
      <c r="BC102" s="95"/>
      <c r="BD102" s="95"/>
      <c r="BE102" s="95"/>
      <c r="CM102" s="42"/>
    </row>
    <row r="103" spans="1:91" ht="12" hidden="1" customHeight="1">
      <c r="A103" s="95"/>
      <c r="B103" s="79"/>
      <c r="C103" s="95"/>
      <c r="D103" s="707"/>
      <c r="E103" s="95"/>
      <c r="F103" s="95"/>
      <c r="G103" s="95"/>
      <c r="H103" s="95"/>
      <c r="I103" s="95"/>
      <c r="J103" s="95"/>
      <c r="K103" s="95"/>
      <c r="L103" s="95"/>
      <c r="M103" s="95"/>
      <c r="N103" s="95"/>
      <c r="O103" s="95"/>
      <c r="P103" s="95"/>
      <c r="Q103" s="95"/>
      <c r="R103" s="95"/>
      <c r="S103" s="95"/>
      <c r="T103" s="95"/>
      <c r="U103" s="95"/>
      <c r="V103" s="95"/>
      <c r="W103" s="95"/>
      <c r="X103" s="102"/>
      <c r="Y103" s="102"/>
      <c r="Z103" s="102"/>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c r="BA103" s="95"/>
      <c r="BB103" s="95"/>
      <c r="BC103" s="95"/>
      <c r="BD103" s="95"/>
      <c r="BE103" s="95"/>
      <c r="CM103" s="42"/>
    </row>
    <row r="104" spans="1:91" ht="12" hidden="1" customHeight="1">
      <c r="A104" s="95"/>
      <c r="B104" s="79"/>
      <c r="C104" s="95"/>
      <c r="D104" s="707"/>
      <c r="E104" s="95"/>
      <c r="F104" s="95"/>
      <c r="G104" s="95"/>
      <c r="H104" s="95"/>
      <c r="I104" s="95"/>
      <c r="J104" s="95"/>
      <c r="K104" s="95"/>
      <c r="L104" s="95"/>
      <c r="M104" s="95"/>
      <c r="N104" s="95"/>
      <c r="O104" s="95"/>
      <c r="P104" s="95"/>
      <c r="Q104" s="95"/>
      <c r="R104" s="95"/>
      <c r="S104" s="95"/>
      <c r="T104" s="95"/>
      <c r="U104" s="95"/>
      <c r="V104" s="95"/>
      <c r="W104" s="95"/>
      <c r="X104" s="102"/>
      <c r="Y104" s="102"/>
      <c r="Z104" s="102"/>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CM104" s="42"/>
    </row>
    <row r="105" spans="1:91" ht="12" hidden="1" customHeight="1">
      <c r="A105" s="95"/>
      <c r="B105" s="79"/>
      <c r="C105" s="95"/>
      <c r="D105" s="707"/>
      <c r="E105" s="95"/>
      <c r="F105" s="95"/>
      <c r="G105" s="95"/>
      <c r="H105" s="95"/>
      <c r="I105" s="95"/>
      <c r="J105" s="95"/>
      <c r="K105" s="95"/>
      <c r="L105" s="95"/>
      <c r="M105" s="95"/>
      <c r="N105" s="95"/>
      <c r="O105" s="95"/>
      <c r="P105" s="95"/>
      <c r="Q105" s="95"/>
      <c r="R105" s="95"/>
      <c r="S105" s="95"/>
      <c r="T105" s="95"/>
      <c r="U105" s="95"/>
      <c r="V105" s="95"/>
      <c r="W105" s="95"/>
      <c r="X105" s="102"/>
      <c r="Y105" s="102"/>
      <c r="Z105" s="102"/>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c r="AW105" s="95"/>
      <c r="AX105" s="95"/>
      <c r="AY105" s="95"/>
      <c r="AZ105" s="95"/>
      <c r="BA105" s="95"/>
      <c r="BB105" s="95"/>
      <c r="BC105" s="95"/>
      <c r="BD105" s="95"/>
      <c r="BE105" s="95"/>
      <c r="CM105" s="42"/>
    </row>
    <row r="106" spans="1:91" ht="12" hidden="1" customHeight="1">
      <c r="A106" s="95"/>
      <c r="B106" s="79"/>
      <c r="C106" s="95"/>
      <c r="D106" s="707"/>
      <c r="E106" s="95"/>
      <c r="F106" s="95"/>
      <c r="G106" s="95"/>
      <c r="H106" s="95"/>
      <c r="I106" s="95"/>
      <c r="J106" s="95"/>
      <c r="K106" s="95"/>
      <c r="L106" s="95"/>
      <c r="M106" s="95"/>
      <c r="N106" s="95"/>
      <c r="O106" s="95"/>
      <c r="P106" s="95"/>
      <c r="Q106" s="95"/>
      <c r="R106" s="95"/>
      <c r="S106" s="95"/>
      <c r="T106" s="95"/>
      <c r="U106" s="95"/>
      <c r="V106" s="95"/>
      <c r="W106" s="95"/>
      <c r="X106" s="102"/>
      <c r="Y106" s="102"/>
      <c r="Z106" s="102"/>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95"/>
      <c r="BD106" s="95"/>
      <c r="BE106" s="95"/>
      <c r="CM106" s="42"/>
    </row>
    <row r="107" spans="1:91" ht="12" hidden="1" customHeight="1">
      <c r="A107" s="95"/>
      <c r="B107" s="79"/>
      <c r="C107" s="95"/>
      <c r="D107" s="707"/>
      <c r="E107" s="95"/>
      <c r="F107" s="95"/>
      <c r="G107" s="95"/>
      <c r="H107" s="95"/>
      <c r="I107" s="95"/>
      <c r="J107" s="95"/>
      <c r="K107" s="95"/>
      <c r="L107" s="95"/>
      <c r="M107" s="95"/>
      <c r="N107" s="95"/>
      <c r="O107" s="95"/>
      <c r="P107" s="95"/>
      <c r="Q107" s="95"/>
      <c r="R107" s="95"/>
      <c r="S107" s="95"/>
      <c r="T107" s="95"/>
      <c r="U107" s="95"/>
      <c r="V107" s="95"/>
      <c r="W107" s="95"/>
      <c r="X107" s="102"/>
      <c r="Y107" s="102"/>
      <c r="Z107" s="102"/>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95"/>
      <c r="BD107" s="95"/>
      <c r="BE107" s="95"/>
      <c r="CM107" s="42"/>
    </row>
    <row r="108" spans="1:91" ht="12" hidden="1" customHeight="1">
      <c r="A108" s="95"/>
      <c r="B108" s="79"/>
      <c r="C108" s="95"/>
      <c r="D108" s="707"/>
      <c r="E108" s="95"/>
      <c r="F108" s="95"/>
      <c r="G108" s="95"/>
      <c r="H108" s="95"/>
      <c r="I108" s="95"/>
      <c r="J108" s="95"/>
      <c r="K108" s="95"/>
      <c r="L108" s="95"/>
      <c r="M108" s="95"/>
      <c r="N108" s="95"/>
      <c r="O108" s="95"/>
      <c r="P108" s="95"/>
      <c r="Q108" s="95"/>
      <c r="R108" s="95"/>
      <c r="S108" s="95"/>
      <c r="T108" s="95"/>
      <c r="U108" s="95"/>
      <c r="V108" s="95"/>
      <c r="W108" s="95"/>
      <c r="X108" s="102"/>
      <c r="Y108" s="102"/>
      <c r="Z108" s="102"/>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5"/>
      <c r="BC108" s="95"/>
      <c r="BD108" s="95"/>
      <c r="BE108" s="95"/>
      <c r="CM108" s="42"/>
    </row>
    <row r="109" spans="1:91" ht="12" hidden="1" customHeight="1">
      <c r="A109" s="95"/>
      <c r="B109" s="79"/>
      <c r="C109" s="95"/>
      <c r="D109" s="707"/>
      <c r="E109" s="95"/>
      <c r="F109" s="95"/>
      <c r="G109" s="95"/>
      <c r="H109" s="95"/>
      <c r="I109" s="95"/>
      <c r="J109" s="95"/>
      <c r="K109" s="95"/>
      <c r="L109" s="95"/>
      <c r="M109" s="95"/>
      <c r="N109" s="95"/>
      <c r="O109" s="95"/>
      <c r="P109" s="95"/>
      <c r="Q109" s="95"/>
      <c r="R109" s="95"/>
      <c r="S109" s="95"/>
      <c r="T109" s="95"/>
      <c r="U109" s="95"/>
      <c r="V109" s="95"/>
      <c r="W109" s="95"/>
      <c r="X109" s="102"/>
      <c r="Y109" s="102"/>
      <c r="Z109" s="102"/>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CM109" s="42"/>
    </row>
    <row r="110" spans="1:91" ht="12" hidden="1" customHeight="1">
      <c r="A110" s="95"/>
      <c r="B110" s="79"/>
      <c r="C110" s="95"/>
      <c r="D110" s="707"/>
      <c r="E110" s="95"/>
      <c r="F110" s="95"/>
      <c r="G110" s="95"/>
      <c r="H110" s="95"/>
      <c r="I110" s="95"/>
      <c r="J110" s="95"/>
      <c r="K110" s="95"/>
      <c r="L110" s="95"/>
      <c r="M110" s="95"/>
      <c r="N110" s="95"/>
      <c r="O110" s="95"/>
      <c r="P110" s="95"/>
      <c r="Q110" s="95"/>
      <c r="R110" s="95"/>
      <c r="S110" s="95"/>
      <c r="T110" s="95"/>
      <c r="U110" s="95"/>
      <c r="V110" s="95"/>
      <c r="W110" s="95"/>
      <c r="X110" s="102"/>
      <c r="Y110" s="102"/>
      <c r="Z110" s="102"/>
      <c r="AA110" s="95"/>
      <c r="AB110" s="95"/>
      <c r="AC110" s="95"/>
      <c r="AD110" s="95"/>
      <c r="AE110" s="95"/>
      <c r="AF110" s="95"/>
      <c r="AG110" s="95"/>
      <c r="AH110" s="95"/>
      <c r="AI110" s="95"/>
      <c r="AJ110" s="95"/>
      <c r="AK110" s="95"/>
      <c r="AL110" s="95"/>
      <c r="AM110" s="95"/>
      <c r="AN110" s="95"/>
      <c r="AO110" s="95"/>
      <c r="AP110" s="95"/>
      <c r="AQ110" s="95"/>
      <c r="AR110" s="95"/>
      <c r="AS110" s="95"/>
      <c r="AT110" s="95"/>
      <c r="AU110" s="95"/>
      <c r="AV110" s="95"/>
      <c r="AW110" s="95"/>
      <c r="AX110" s="95"/>
      <c r="AY110" s="95"/>
      <c r="AZ110" s="95"/>
      <c r="BA110" s="95"/>
      <c r="BB110" s="95"/>
      <c r="BC110" s="95"/>
      <c r="BD110" s="95"/>
      <c r="BE110" s="95"/>
      <c r="CM110" s="42"/>
    </row>
    <row r="111" spans="1:91" ht="12" hidden="1" customHeight="1">
      <c r="A111" s="95"/>
      <c r="B111" s="79"/>
      <c r="C111" s="95"/>
      <c r="D111" s="707"/>
      <c r="E111" s="95"/>
      <c r="F111" s="95"/>
      <c r="G111" s="95"/>
      <c r="H111" s="95"/>
      <c r="I111" s="95"/>
      <c r="J111" s="95"/>
      <c r="K111" s="95"/>
      <c r="L111" s="95"/>
      <c r="M111" s="95"/>
      <c r="N111" s="95"/>
      <c r="O111" s="95"/>
      <c r="P111" s="95"/>
      <c r="Q111" s="95"/>
      <c r="R111" s="95"/>
      <c r="S111" s="95"/>
      <c r="T111" s="95"/>
      <c r="U111" s="95"/>
      <c r="V111" s="95"/>
      <c r="W111" s="95"/>
      <c r="X111" s="102"/>
      <c r="Y111" s="102"/>
      <c r="Z111" s="102"/>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CM111" s="42"/>
    </row>
    <row r="112" spans="1:91" ht="12" hidden="1" customHeight="1">
      <c r="A112" s="95"/>
      <c r="B112" s="79"/>
      <c r="C112" s="95"/>
      <c r="D112" s="707"/>
      <c r="E112" s="95"/>
      <c r="F112" s="95"/>
      <c r="G112" s="95"/>
      <c r="H112" s="95"/>
      <c r="I112" s="95"/>
      <c r="J112" s="95"/>
      <c r="K112" s="95"/>
      <c r="L112" s="95"/>
      <c r="M112" s="95"/>
      <c r="N112" s="95"/>
      <c r="O112" s="95"/>
      <c r="P112" s="95"/>
      <c r="Q112" s="95"/>
      <c r="R112" s="95"/>
      <c r="S112" s="95"/>
      <c r="T112" s="95"/>
      <c r="U112" s="95"/>
      <c r="V112" s="95"/>
      <c r="W112" s="95"/>
      <c r="X112" s="102"/>
      <c r="Y112" s="102"/>
      <c r="Z112" s="102"/>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c r="BA112" s="95"/>
      <c r="BB112" s="95"/>
      <c r="BC112" s="95"/>
      <c r="BD112" s="95"/>
      <c r="BE112" s="95"/>
      <c r="CM112" s="42"/>
    </row>
    <row r="113" spans="1:91" ht="12" hidden="1" customHeight="1">
      <c r="A113" s="95"/>
      <c r="B113" s="79"/>
      <c r="C113" s="95"/>
      <c r="D113" s="707"/>
      <c r="E113" s="95"/>
      <c r="F113" s="95"/>
      <c r="G113" s="95"/>
      <c r="H113" s="95"/>
      <c r="I113" s="95"/>
      <c r="J113" s="95"/>
      <c r="K113" s="95"/>
      <c r="L113" s="95"/>
      <c r="M113" s="95"/>
      <c r="N113" s="95"/>
      <c r="O113" s="95"/>
      <c r="P113" s="95"/>
      <c r="Q113" s="95"/>
      <c r="R113" s="95"/>
      <c r="S113" s="95"/>
      <c r="T113" s="95"/>
      <c r="U113" s="95"/>
      <c r="V113" s="95"/>
      <c r="W113" s="95"/>
      <c r="X113" s="102"/>
      <c r="Y113" s="102"/>
      <c r="Z113" s="102"/>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c r="BA113" s="95"/>
      <c r="BB113" s="95"/>
      <c r="BC113" s="95"/>
      <c r="BD113" s="95"/>
      <c r="BE113" s="95"/>
      <c r="CM113" s="42"/>
    </row>
    <row r="114" spans="1:91" ht="12" hidden="1" customHeight="1">
      <c r="A114" s="95"/>
      <c r="B114" s="79"/>
      <c r="C114" s="95"/>
      <c r="D114" s="707"/>
      <c r="E114" s="95"/>
      <c r="F114" s="95"/>
      <c r="G114" s="95"/>
      <c r="H114" s="95"/>
      <c r="I114" s="95"/>
      <c r="J114" s="95"/>
      <c r="K114" s="95"/>
      <c r="L114" s="95"/>
      <c r="M114" s="95"/>
      <c r="N114" s="95"/>
      <c r="O114" s="95"/>
      <c r="P114" s="95"/>
      <c r="Q114" s="95"/>
      <c r="R114" s="95"/>
      <c r="S114" s="95"/>
      <c r="T114" s="95"/>
      <c r="U114" s="95"/>
      <c r="V114" s="95"/>
      <c r="W114" s="95"/>
      <c r="X114" s="102"/>
      <c r="Y114" s="102"/>
      <c r="Z114" s="102"/>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c r="AW114" s="95"/>
      <c r="AX114" s="95"/>
      <c r="AY114" s="95"/>
      <c r="AZ114" s="95"/>
      <c r="BA114" s="95"/>
      <c r="BB114" s="95"/>
      <c r="BC114" s="95"/>
      <c r="BD114" s="95"/>
      <c r="BE114" s="95"/>
      <c r="CM114" s="42"/>
    </row>
    <row r="115" spans="1:91" ht="12" hidden="1" customHeight="1">
      <c r="A115" s="95"/>
      <c r="B115" s="79"/>
      <c r="C115" s="95"/>
      <c r="D115" s="707"/>
      <c r="E115" s="95"/>
      <c r="F115" s="95"/>
      <c r="G115" s="95"/>
      <c r="H115" s="95"/>
      <c r="I115" s="95"/>
      <c r="J115" s="95"/>
      <c r="K115" s="95"/>
      <c r="L115" s="95"/>
      <c r="M115" s="95"/>
      <c r="N115" s="95"/>
      <c r="O115" s="95"/>
      <c r="P115" s="95"/>
      <c r="Q115" s="95"/>
      <c r="R115" s="95"/>
      <c r="S115" s="95"/>
      <c r="T115" s="95"/>
      <c r="U115" s="95"/>
      <c r="V115" s="95"/>
      <c r="W115" s="95"/>
      <c r="X115" s="102"/>
      <c r="Y115" s="102"/>
      <c r="Z115" s="102"/>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CM115" s="42"/>
    </row>
    <row r="116" spans="1:91" ht="12" hidden="1" customHeight="1">
      <c r="A116" s="95"/>
      <c r="B116" s="79"/>
      <c r="C116" s="95"/>
      <c r="D116" s="707"/>
      <c r="E116" s="95"/>
      <c r="F116" s="95"/>
      <c r="G116" s="95"/>
      <c r="H116" s="95"/>
      <c r="I116" s="95"/>
      <c r="J116" s="95"/>
      <c r="K116" s="95"/>
      <c r="L116" s="95"/>
      <c r="M116" s="95"/>
      <c r="N116" s="95"/>
      <c r="O116" s="95"/>
      <c r="P116" s="95"/>
      <c r="Q116" s="95"/>
      <c r="R116" s="95"/>
      <c r="S116" s="95"/>
      <c r="T116" s="95"/>
      <c r="U116" s="95"/>
      <c r="V116" s="95"/>
      <c r="W116" s="95"/>
      <c r="X116" s="102"/>
      <c r="Y116" s="102"/>
      <c r="Z116" s="102"/>
      <c r="AA116" s="95"/>
      <c r="AB116" s="95"/>
      <c r="AC116" s="95"/>
      <c r="AD116" s="95"/>
      <c r="AE116" s="95"/>
      <c r="AF116" s="95"/>
      <c r="AG116" s="95"/>
      <c r="AH116" s="95"/>
      <c r="AI116" s="95"/>
      <c r="AJ116" s="95"/>
      <c r="AK116" s="95"/>
      <c r="AL116" s="95"/>
      <c r="AM116" s="95"/>
      <c r="AN116" s="95"/>
      <c r="AO116" s="95"/>
      <c r="AP116" s="95"/>
      <c r="AQ116" s="95"/>
      <c r="AR116" s="95"/>
      <c r="AS116" s="95"/>
      <c r="AT116" s="95"/>
      <c r="AU116" s="95"/>
      <c r="AV116" s="95"/>
      <c r="AW116" s="95"/>
      <c r="AX116" s="95"/>
      <c r="AY116" s="95"/>
      <c r="AZ116" s="95"/>
      <c r="BA116" s="95"/>
      <c r="BB116" s="95"/>
      <c r="BC116" s="95"/>
      <c r="BD116" s="95"/>
      <c r="BE116" s="95"/>
      <c r="CM116" s="42"/>
    </row>
    <row r="117" spans="1:91" ht="12" hidden="1" customHeight="1">
      <c r="A117" s="95"/>
      <c r="B117" s="79"/>
      <c r="C117" s="95"/>
      <c r="D117" s="707"/>
      <c r="E117" s="95"/>
      <c r="F117" s="95"/>
      <c r="G117" s="95"/>
      <c r="H117" s="95"/>
      <c r="I117" s="95"/>
      <c r="J117" s="95"/>
      <c r="K117" s="95"/>
      <c r="L117" s="95"/>
      <c r="M117" s="95"/>
      <c r="N117" s="95"/>
      <c r="O117" s="95"/>
      <c r="P117" s="95"/>
      <c r="Q117" s="95"/>
      <c r="R117" s="95"/>
      <c r="S117" s="95"/>
      <c r="T117" s="95"/>
      <c r="U117" s="95"/>
      <c r="V117" s="95"/>
      <c r="W117" s="95"/>
      <c r="X117" s="102"/>
      <c r="Y117" s="102"/>
      <c r="Z117" s="102"/>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CM117" s="42"/>
    </row>
    <row r="118" spans="1:91" s="42" customFormat="1" ht="12" customHeight="1">
      <c r="A118" s="95"/>
      <c r="B118" s="100"/>
      <c r="C118" s="101"/>
      <c r="D118" s="709"/>
      <c r="E118" s="101"/>
      <c r="F118" s="101"/>
      <c r="G118" s="730" t="s">
        <v>2665</v>
      </c>
      <c r="H118" s="101"/>
      <c r="I118" s="101"/>
      <c r="J118" s="101"/>
      <c r="K118" s="101"/>
      <c r="L118" s="101"/>
      <c r="M118" s="101"/>
      <c r="N118" s="101"/>
      <c r="O118" s="101"/>
      <c r="P118" s="101"/>
      <c r="Q118" s="101"/>
      <c r="R118" s="101"/>
      <c r="S118" s="101"/>
      <c r="T118" s="101"/>
      <c r="U118" s="101"/>
      <c r="V118" s="101"/>
      <c r="W118" s="101"/>
      <c r="X118" s="440"/>
      <c r="Y118" s="440"/>
      <c r="Z118" s="440"/>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c r="BH118" s="101"/>
      <c r="BI118" s="101"/>
      <c r="BJ118" s="101"/>
      <c r="BK118" s="101"/>
      <c r="BL118" s="101"/>
      <c r="BM118" s="101"/>
      <c r="BN118" s="101"/>
      <c r="BO118" s="101"/>
      <c r="BP118" s="101"/>
      <c r="BQ118" s="161"/>
      <c r="BR118" s="159"/>
      <c r="BS118" s="159"/>
      <c r="BT118" s="159"/>
      <c r="BU118" s="159"/>
      <c r="BV118" s="159"/>
      <c r="BW118" s="159"/>
      <c r="BX118" s="159"/>
      <c r="BY118" s="159"/>
      <c r="BZ118" s="159"/>
      <c r="CA118" s="159"/>
      <c r="CB118" s="159"/>
      <c r="CC118" s="159"/>
      <c r="CD118" s="159"/>
      <c r="CE118" s="159"/>
      <c r="CF118" s="159"/>
      <c r="CG118" s="159"/>
      <c r="CH118" s="159"/>
      <c r="CI118" s="159"/>
      <c r="CJ118" s="159"/>
      <c r="CK118" s="39"/>
      <c r="CL118" s="39"/>
    </row>
    <row r="119" spans="1:91" s="42" customFormat="1" ht="18" customHeight="1">
      <c r="A119" s="95"/>
      <c r="B119" s="100"/>
      <c r="C119" s="101"/>
      <c r="D119" s="709"/>
      <c r="E119" s="96"/>
      <c r="F119" s="422" t="str">
        <f>"Баланс " &amp; TEMPLATE_SPHERE &amp; " по муниципальному образованию - " &amp; IF(mo="","Не определено",mo)</f>
        <v>Баланс водоотведения по муниципальному образованию - Село Булава</v>
      </c>
      <c r="G119" s="415"/>
      <c r="H119" s="415"/>
      <c r="I119" s="415"/>
      <c r="J119" s="414"/>
      <c r="K119" s="414"/>
      <c r="L119" s="414"/>
      <c r="M119" s="414"/>
      <c r="N119" s="414"/>
      <c r="O119" s="414"/>
      <c r="P119" s="414"/>
      <c r="Q119" s="414"/>
      <c r="R119" s="414"/>
      <c r="S119" s="414"/>
      <c r="T119" s="414"/>
      <c r="U119" s="414"/>
      <c r="V119" s="414"/>
      <c r="W119" s="414"/>
      <c r="X119" s="441"/>
      <c r="Y119" s="441"/>
      <c r="Z119" s="444" t="s">
        <v>652</v>
      </c>
      <c r="AA119" s="414"/>
      <c r="AB119" s="414"/>
      <c r="AC119" s="414"/>
      <c r="AD119" s="414"/>
      <c r="AE119" s="414"/>
      <c r="AF119" s="414"/>
      <c r="AG119" s="414"/>
      <c r="AH119" s="414"/>
      <c r="AI119" s="414"/>
      <c r="AJ119" s="414"/>
      <c r="AK119" s="414"/>
      <c r="AL119" s="414"/>
      <c r="AM119" s="414"/>
      <c r="AN119" s="414"/>
      <c r="AO119" s="414"/>
      <c r="AP119" s="414"/>
      <c r="AQ119" s="414"/>
      <c r="AR119" s="414"/>
      <c r="AS119" s="414"/>
      <c r="AT119" s="414"/>
      <c r="AU119" s="414"/>
      <c r="AV119" s="414"/>
      <c r="AW119" s="414"/>
      <c r="AX119" s="414"/>
      <c r="AY119" s="414"/>
      <c r="AZ119" s="414"/>
      <c r="BA119" s="414"/>
      <c r="BB119" s="414"/>
      <c r="BC119" s="414"/>
      <c r="BD119" s="414"/>
      <c r="BE119" s="414"/>
      <c r="BF119" s="407"/>
      <c r="BG119"/>
      <c r="BH119" s="407"/>
      <c r="BI119" s="407"/>
      <c r="BJ119" s="407"/>
      <c r="BK119" s="407"/>
      <c r="BL119" s="407"/>
      <c r="BM119" s="407"/>
      <c r="BN119" s="407"/>
      <c r="BO119" s="407"/>
      <c r="BP119" s="407"/>
      <c r="BQ119" s="161"/>
      <c r="BR119" s="159"/>
      <c r="BS119" s="159"/>
      <c r="BT119" s="159"/>
      <c r="BU119" s="159"/>
      <c r="BV119" s="159"/>
      <c r="BW119" s="159"/>
      <c r="BX119" s="159"/>
      <c r="BY119" s="159"/>
      <c r="BZ119" s="159"/>
      <c r="CA119" s="159"/>
      <c r="CB119" s="159"/>
      <c r="CC119" s="159"/>
      <c r="CD119" s="159"/>
      <c r="CE119" s="159"/>
      <c r="CF119" s="159"/>
      <c r="CG119" s="159"/>
      <c r="CH119" s="159"/>
      <c r="CI119" s="159"/>
      <c r="CJ119" s="159"/>
      <c r="CK119" s="39"/>
      <c r="CL119" s="39"/>
    </row>
    <row r="120" spans="1:91" s="42" customFormat="1" ht="12" customHeight="1">
      <c r="A120" s="95"/>
      <c r="B120" s="100"/>
      <c r="C120" s="101"/>
      <c r="D120" s="709"/>
      <c r="E120" s="101"/>
      <c r="F120" s="101" t="s">
        <v>734</v>
      </c>
      <c r="G120" s="101"/>
      <c r="H120" s="101"/>
      <c r="I120" s="101"/>
      <c r="J120" s="101"/>
      <c r="K120" s="101"/>
      <c r="L120" s="101"/>
      <c r="M120" s="101"/>
      <c r="N120" s="101"/>
      <c r="O120" s="101"/>
      <c r="P120" s="101"/>
      <c r="Q120" s="101"/>
      <c r="R120" s="101"/>
      <c r="S120" s="101"/>
      <c r="T120" s="101"/>
      <c r="U120" s="101"/>
      <c r="V120" s="101"/>
      <c r="W120" s="101"/>
      <c r="X120" s="100" t="s">
        <v>720</v>
      </c>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0" t="s">
        <v>720</v>
      </c>
      <c r="BB120" s="101"/>
      <c r="BC120" s="101"/>
      <c r="BD120" s="101"/>
      <c r="BE120" s="101"/>
      <c r="BF120" s="101"/>
      <c r="BG120"/>
      <c r="BH120" s="101"/>
      <c r="BI120" s="101"/>
      <c r="BJ120" s="101"/>
      <c r="BK120" s="101"/>
      <c r="BL120" s="101"/>
      <c r="BM120" s="101"/>
      <c r="BN120" s="101"/>
      <c r="BO120" s="101"/>
      <c r="BP120" s="101"/>
      <c r="BQ120" s="158"/>
      <c r="BR120" s="158"/>
      <c r="BS120" s="158"/>
      <c r="BT120" s="158"/>
      <c r="BU120" s="158"/>
      <c r="BV120" s="158"/>
      <c r="BW120" s="158"/>
      <c r="BX120" s="158"/>
      <c r="BY120" s="158"/>
      <c r="BZ120" s="158"/>
      <c r="CA120" s="158"/>
      <c r="CB120" s="158"/>
      <c r="CC120" s="158"/>
      <c r="CD120" s="158"/>
      <c r="CE120" s="158"/>
      <c r="CF120" s="158"/>
      <c r="CG120" s="158"/>
      <c r="CH120" s="158"/>
      <c r="CI120" s="158"/>
      <c r="CJ120" s="158"/>
      <c r="CK120" s="101"/>
      <c r="CL120" s="39"/>
    </row>
    <row r="121" spans="1:91" ht="24" customHeight="1">
      <c r="B121" s="79"/>
      <c r="C121" s="95"/>
      <c r="D121" s="708"/>
      <c r="E121" s="97"/>
      <c r="F121" s="912" t="s">
        <v>641</v>
      </c>
      <c r="G121" s="827" t="s">
        <v>735</v>
      </c>
      <c r="H121" s="906" t="str">
        <f>IF(TEMPLATE_CLAIM="P","Установленная тепловая мощность, Гкал*час","")</f>
        <v/>
      </c>
      <c r="I121" s="906" t="str">
        <f>IF(TEMPLATE_CLAIM="P","Подключённая (фактическая) тепловая нагрузка, Гкал*час","")</f>
        <v/>
      </c>
      <c r="J121" s="907" t="s">
        <v>736</v>
      </c>
      <c r="K121" s="827" t="s">
        <v>737</v>
      </c>
      <c r="L121" s="827" t="s">
        <v>738</v>
      </c>
      <c r="M121" s="914"/>
      <c r="N121" s="914"/>
      <c r="O121" s="914"/>
      <c r="P121" s="914"/>
      <c r="Q121" s="827"/>
      <c r="R121" s="827"/>
      <c r="S121" s="827"/>
      <c r="T121" s="827"/>
      <c r="U121" s="827"/>
      <c r="V121" s="827"/>
      <c r="W121" s="827"/>
      <c r="X121" s="827"/>
      <c r="Y121" s="827"/>
      <c r="Z121" s="827" t="s">
        <v>739</v>
      </c>
      <c r="AA121" s="827"/>
      <c r="AB121" s="827"/>
      <c r="AC121" s="827"/>
      <c r="AD121" s="827"/>
      <c r="AE121" s="827"/>
      <c r="AF121" s="827"/>
      <c r="AG121" s="827"/>
      <c r="AH121" s="827"/>
      <c r="AI121" s="827"/>
      <c r="AJ121" s="827"/>
      <c r="AK121" s="827"/>
      <c r="AL121" s="827"/>
      <c r="AM121" s="827"/>
      <c r="AN121" s="827"/>
      <c r="AO121" s="827"/>
      <c r="AP121" s="827" t="s">
        <v>740</v>
      </c>
      <c r="AQ121" s="827" t="s">
        <v>741</v>
      </c>
      <c r="AR121" s="827" t="s">
        <v>742</v>
      </c>
      <c r="AS121" s="904" t="str">
        <f>IF(TEMPLATE_CLAIM="U","Полезный отпуск на нужды предприятия","")</f>
        <v>Полезный отпуск на нужды предприятия</v>
      </c>
      <c r="AT121" s="908" t="str">
        <f>IF(TEMPLATE_CLAIM="P","Полезный отпуск на нужды предприятия","")</f>
        <v/>
      </c>
      <c r="AU121" s="908"/>
      <c r="AV121" s="908"/>
      <c r="AW121" s="827" t="s">
        <v>743</v>
      </c>
      <c r="AX121" s="827"/>
      <c r="AY121" s="827"/>
      <c r="AZ121" s="827"/>
      <c r="BA121" s="827"/>
      <c r="BB121" s="827" t="s">
        <v>744</v>
      </c>
      <c r="BC121" s="827"/>
      <c r="BD121" s="827"/>
      <c r="BE121" s="827"/>
    </row>
    <row r="122" spans="1:91" s="45" customFormat="1" ht="12" customHeight="1">
      <c r="A122" s="39"/>
      <c r="B122" s="103"/>
      <c r="C122" s="102"/>
      <c r="D122" s="708"/>
      <c r="E122" s="98"/>
      <c r="F122" s="912"/>
      <c r="G122" s="827"/>
      <c r="H122" s="870"/>
      <c r="I122" s="870"/>
      <c r="J122" s="907"/>
      <c r="K122" s="827"/>
      <c r="L122" s="912" t="s">
        <v>745</v>
      </c>
      <c r="M122" s="904" t="str">
        <f>IF(TEMPLATE_CLAIM="U","На технологические нужды предприятия","")</f>
        <v>На технологические нужды предприятия</v>
      </c>
      <c r="N122" s="908" t="str">
        <f>IF(TEMPLATE_CLAIM="P","На технологические нужды предприятия","")</f>
        <v/>
      </c>
      <c r="O122" s="908"/>
      <c r="P122" s="908"/>
      <c r="Q122" s="907" t="s">
        <v>747</v>
      </c>
      <c r="R122" s="827" t="s">
        <v>748</v>
      </c>
      <c r="S122" s="827" t="s">
        <v>749</v>
      </c>
      <c r="T122" s="827" t="s">
        <v>750</v>
      </c>
      <c r="U122" s="151"/>
      <c r="V122" s="108"/>
      <c r="W122" s="152">
        <v>0</v>
      </c>
      <c r="X122" s="151"/>
      <c r="Y122" s="827" t="s">
        <v>754</v>
      </c>
      <c r="Z122" s="903" t="s">
        <v>2791</v>
      </c>
      <c r="AA122" s="901" t="str">
        <f>IF(TEMPLATE_CLAIM="P","от станций с мощностью производства &gt;= 25 МВт","")</f>
        <v/>
      </c>
      <c r="AB122" s="901" t="str">
        <f>IF(TEMPLATE_CLAIM="P","от станций с мощностью производства &lt; 25 МВт","")</f>
        <v/>
      </c>
      <c r="AC122" s="901"/>
      <c r="AD122" s="903" t="s">
        <v>755</v>
      </c>
      <c r="AE122" s="901" t="str">
        <f>IF(TEMPLATE_CLAIM="P","от станций с мощностью производства &gt;= 25 МВт","")</f>
        <v/>
      </c>
      <c r="AF122" s="901" t="str">
        <f>IF(TEMPLATE_CLAIM="P","от станций с мощностью производства &lt; 25 МВт","")</f>
        <v/>
      </c>
      <c r="AG122" s="901"/>
      <c r="AH122" s="903" t="s">
        <v>2792</v>
      </c>
      <c r="AI122" s="901" t="str">
        <f>IF(TEMPLATE_CLAIM="P","от станций с мощностью производства &gt;= 25 МВт","")</f>
        <v/>
      </c>
      <c r="AJ122" s="901" t="str">
        <f>IF(TEMPLATE_CLAIM="P","от станций с мощностью производства &lt; 25 МВт","")</f>
        <v/>
      </c>
      <c r="AK122" s="901" t="str">
        <f>IF(TEMPLATE_CLAIM="P","от котельных (некомбинированная выработка)","")</f>
        <v/>
      </c>
      <c r="AL122" s="903" t="s">
        <v>756</v>
      </c>
      <c r="AM122" s="901" t="str">
        <f>IF(TEMPLATE_CLAIM="P","от станций с мощностью производства &gt;= 25 МВт","")</f>
        <v/>
      </c>
      <c r="AN122" s="901" t="str">
        <f>IF(TEMPLATE_CLAIM="P","от станций с мощностью производства &lt; 25 МВт","")</f>
        <v/>
      </c>
      <c r="AO122" s="901" t="str">
        <f>IF(TEMPLATE_CLAIM="P","от котельных (некомбинированная выработка)","")</f>
        <v/>
      </c>
      <c r="AP122" s="827"/>
      <c r="AQ122" s="827"/>
      <c r="AR122" s="827"/>
      <c r="AS122" s="909"/>
      <c r="AT122" s="901" t="str">
        <f>IF(TEMPLATE_CLAIM="P","Всего","")</f>
        <v/>
      </c>
      <c r="AU122" s="901" t="str">
        <f>IF(TEMPLATE_CLAIM="P","На собственное производство","")</f>
        <v/>
      </c>
      <c r="AV122" s="901" t="str">
        <f>IF(TEMPLATE_CLAIM="P","На хозяйственные нужды","")</f>
        <v/>
      </c>
      <c r="AW122" s="827" t="s">
        <v>745</v>
      </c>
      <c r="AX122" s="151"/>
      <c r="AY122" s="108"/>
      <c r="AZ122" s="152">
        <v>0</v>
      </c>
      <c r="BA122" s="151"/>
      <c r="BB122" s="827" t="s">
        <v>745</v>
      </c>
      <c r="BC122" s="827" t="s">
        <v>757</v>
      </c>
      <c r="BD122" s="827" t="s">
        <v>748</v>
      </c>
      <c r="BE122" s="827" t="s">
        <v>758</v>
      </c>
      <c r="BF122" s="159"/>
      <c r="BG122"/>
      <c r="BH122" s="159"/>
      <c r="BI122" s="159"/>
      <c r="BJ122" s="159"/>
      <c r="BK122" s="159"/>
      <c r="BL122" s="159"/>
      <c r="BM122" s="159"/>
      <c r="BN122" s="159"/>
      <c r="BO122" s="159"/>
      <c r="BP122" s="159"/>
      <c r="BQ122" s="159"/>
      <c r="BR122" s="159"/>
      <c r="BS122" s="159"/>
      <c r="BT122" s="159"/>
      <c r="BU122" s="159"/>
      <c r="BV122" s="159"/>
      <c r="BW122" s="159"/>
      <c r="BX122" s="159"/>
      <c r="BY122" s="159"/>
      <c r="BZ122" s="159"/>
      <c r="CA122" s="159"/>
      <c r="CB122" s="159"/>
      <c r="CC122" s="159"/>
      <c r="CD122" s="159"/>
      <c r="CE122" s="159"/>
      <c r="CF122" s="159"/>
      <c r="CG122" s="159"/>
      <c r="CH122" s="159"/>
      <c r="CI122" s="159"/>
      <c r="CJ122" s="159"/>
      <c r="CK122" s="39"/>
      <c r="CL122" s="39"/>
    </row>
    <row r="123" spans="1:91" s="45" customFormat="1" ht="42" customHeight="1">
      <c r="A123" s="39"/>
      <c r="B123" s="103"/>
      <c r="C123" s="102"/>
      <c r="D123" s="708"/>
      <c r="E123" s="98"/>
      <c r="F123" s="912"/>
      <c r="G123" s="827"/>
      <c r="H123" s="870"/>
      <c r="I123" s="870"/>
      <c r="J123" s="907"/>
      <c r="K123" s="827"/>
      <c r="L123" s="912"/>
      <c r="M123" s="905"/>
      <c r="N123" s="437" t="str">
        <f>IF(TEMPLATE_CLAIM="P","Всего","")</f>
        <v/>
      </c>
      <c r="O123" s="437" t="str">
        <f>IF(TEMPLATE_CLAIM="P","На собственное производство","")</f>
        <v/>
      </c>
      <c r="P123" s="437" t="str">
        <f>IF(TEMPLATE_CLAIM="P","На хозяйственные нужды","")</f>
        <v/>
      </c>
      <c r="Q123" s="907"/>
      <c r="R123" s="827"/>
      <c r="S123" s="827"/>
      <c r="T123" s="827"/>
      <c r="U123" s="151"/>
      <c r="V123" s="109"/>
      <c r="W123" s="151"/>
      <c r="X123" s="151"/>
      <c r="Y123" s="827"/>
      <c r="Z123" s="903"/>
      <c r="AA123" s="902"/>
      <c r="AB123" s="902"/>
      <c r="AC123" s="902"/>
      <c r="AD123" s="903"/>
      <c r="AE123" s="902"/>
      <c r="AF123" s="902"/>
      <c r="AG123" s="902"/>
      <c r="AH123" s="903"/>
      <c r="AI123" s="902"/>
      <c r="AJ123" s="902"/>
      <c r="AK123" s="902"/>
      <c r="AL123" s="903"/>
      <c r="AM123" s="902"/>
      <c r="AN123" s="902"/>
      <c r="AO123" s="902"/>
      <c r="AP123" s="827"/>
      <c r="AQ123" s="827"/>
      <c r="AR123" s="827"/>
      <c r="AS123" s="905"/>
      <c r="AT123" s="902"/>
      <c r="AU123" s="902"/>
      <c r="AV123" s="902"/>
      <c r="AW123" s="827"/>
      <c r="AX123" s="151"/>
      <c r="AY123" s="109"/>
      <c r="AZ123" s="151"/>
      <c r="BA123" s="151"/>
      <c r="BB123" s="827"/>
      <c r="BC123" s="827"/>
      <c r="BD123" s="827"/>
      <c r="BE123" s="827"/>
      <c r="BF123" s="159"/>
      <c r="BG123"/>
      <c r="BH123" s="159"/>
      <c r="BI123"/>
      <c r="BJ123"/>
      <c r="BK123"/>
      <c r="BL123"/>
      <c r="BM123"/>
      <c r="BN123"/>
      <c r="BO123"/>
      <c r="BP123"/>
      <c r="BQ123"/>
      <c r="BR123"/>
      <c r="BS123"/>
      <c r="BT123"/>
      <c r="BU123" s="159"/>
      <c r="BV123" s="159"/>
      <c r="BW123" s="159"/>
      <c r="BX123" s="159"/>
      <c r="BY123" s="159"/>
      <c r="BZ123" s="159"/>
      <c r="CA123" s="159"/>
      <c r="CB123" s="159"/>
      <c r="CC123" s="159"/>
      <c r="CD123" s="159"/>
      <c r="CE123" s="159"/>
      <c r="CF123" s="159"/>
      <c r="CG123" s="159"/>
      <c r="CH123" s="159"/>
      <c r="CI123" s="159"/>
      <c r="CJ123" s="159"/>
      <c r="CK123" s="39"/>
      <c r="CL123" s="39"/>
    </row>
    <row r="124" spans="1:91" s="45" customFormat="1" ht="12" customHeight="1">
      <c r="A124" s="39"/>
      <c r="B124" s="103"/>
      <c r="C124" s="102"/>
      <c r="D124" s="710"/>
      <c r="E124" s="98"/>
      <c r="F124" s="408"/>
      <c r="G124" s="408" t="s">
        <v>759</v>
      </c>
      <c r="H124" s="156"/>
      <c r="I124" s="156"/>
      <c r="J124" s="408" t="s">
        <v>642</v>
      </c>
      <c r="K124" s="408" t="s">
        <v>751</v>
      </c>
      <c r="L124" s="408" t="s">
        <v>752</v>
      </c>
      <c r="M124" s="403" t="str">
        <f>IF(TEMPLATE_CLAIM="U","3.1","")</f>
        <v>3.1</v>
      </c>
      <c r="N124" s="403" t="str">
        <f>IF(TEMPLATE_CLAIM="P","3.1","")</f>
        <v/>
      </c>
      <c r="O124" s="403" t="str">
        <f>IF(TEMPLATE_CLAIM="P","3.1.1","")</f>
        <v/>
      </c>
      <c r="P124" s="403" t="str">
        <f>IF(TEMPLATE_CLAIM="P","3.1.2","")</f>
        <v/>
      </c>
      <c r="Q124" s="408" t="s">
        <v>761</v>
      </c>
      <c r="R124" s="408" t="s">
        <v>762</v>
      </c>
      <c r="S124" s="408" t="s">
        <v>763</v>
      </c>
      <c r="T124" s="408" t="s">
        <v>764</v>
      </c>
      <c r="U124" s="156"/>
      <c r="V124" s="403" t="str">
        <f>"3.5." &amp; V122</f>
        <v>3.5.</v>
      </c>
      <c r="W124" s="156"/>
      <c r="X124" s="156"/>
      <c r="Y124" s="408" t="s">
        <v>765</v>
      </c>
      <c r="Z124" s="408" t="s">
        <v>766</v>
      </c>
      <c r="AA124" s="403" t="str">
        <f>IF(TEMPLATE_CLAIM="P","4.1.1","")</f>
        <v/>
      </c>
      <c r="AB124" s="403" t="str">
        <f>IF(TEMPLATE_CLAIM="P","4.1.2","")</f>
        <v/>
      </c>
      <c r="AC124" s="408"/>
      <c r="AD124" s="408" t="s">
        <v>768</v>
      </c>
      <c r="AE124" s="403" t="str">
        <f>IF(TEMPLATE_CLAIM="P","4.2.1","")</f>
        <v/>
      </c>
      <c r="AF124" s="403" t="str">
        <f>IF(TEMPLATE_CLAIM="P","4.2.2","")</f>
        <v/>
      </c>
      <c r="AG124" s="408"/>
      <c r="AH124" s="408" t="s">
        <v>84</v>
      </c>
      <c r="AI124" s="403" t="str">
        <f>IF(TEMPLATE_CLAIM="P","4.3.1","")</f>
        <v/>
      </c>
      <c r="AJ124" s="403" t="str">
        <f>IF(TEMPLATE_CLAIM="P","4.3.2","")</f>
        <v/>
      </c>
      <c r="AK124" s="403" t="str">
        <f>IF(TEMPLATE_CLAIM="P","4.3.3","")</f>
        <v/>
      </c>
      <c r="AL124" s="408" t="s">
        <v>86</v>
      </c>
      <c r="AM124" s="403" t="str">
        <f>IF(TEMPLATE_CLAIM="P","4.4.1","")</f>
        <v/>
      </c>
      <c r="AN124" s="403" t="str">
        <f>IF(TEMPLATE_CLAIM="P","4.4.2","")</f>
        <v/>
      </c>
      <c r="AO124" s="403" t="str">
        <f>IF(TEMPLATE_CLAIM="P","4.4.3","")</f>
        <v/>
      </c>
      <c r="AP124" s="403" t="s">
        <v>769</v>
      </c>
      <c r="AQ124" s="408" t="s">
        <v>770</v>
      </c>
      <c r="AR124" s="408" t="s">
        <v>771</v>
      </c>
      <c r="AS124" s="403" t="str">
        <f>IF(TEMPLATE_CLAIM="U","5.2.1","")</f>
        <v>5.2.1</v>
      </c>
      <c r="AT124" s="403" t="str">
        <f>IF(TEMPLATE_CLAIM="P","5.2.1","")</f>
        <v/>
      </c>
      <c r="AU124" s="403" t="str">
        <f>IF(TEMPLATE_CLAIM="P","5.2.1.1","")</f>
        <v/>
      </c>
      <c r="AV124" s="403" t="str">
        <f>IF(TEMPLATE_CLAIM="P","5.2.1.2","")</f>
        <v/>
      </c>
      <c r="AW124" s="408" t="s">
        <v>773</v>
      </c>
      <c r="AX124" s="156"/>
      <c r="AY124" s="403" t="str">
        <f>"5.2.2." &amp; AY122</f>
        <v>5.2.2.</v>
      </c>
      <c r="AZ124" s="156"/>
      <c r="BA124" s="156"/>
      <c r="BB124" s="408" t="s">
        <v>774</v>
      </c>
      <c r="BC124" s="408" t="s">
        <v>775</v>
      </c>
      <c r="BD124" s="408" t="s">
        <v>776</v>
      </c>
      <c r="BE124" s="408" t="s">
        <v>777</v>
      </c>
      <c r="BF124" s="159"/>
      <c r="BG124"/>
      <c r="BH124" s="159"/>
      <c r="BI124"/>
      <c r="BJ124"/>
      <c r="BK124"/>
      <c r="BL124"/>
      <c r="BM124"/>
      <c r="BN124"/>
      <c r="BO124"/>
      <c r="BP124"/>
      <c r="BQ124"/>
      <c r="BR124"/>
      <c r="BS124"/>
      <c r="BT124"/>
      <c r="BU124" s="153" t="s">
        <v>102</v>
      </c>
      <c r="BV124" s="153" t="s">
        <v>99</v>
      </c>
      <c r="BW124" s="153" t="s">
        <v>100</v>
      </c>
      <c r="BX124" s="153" t="s">
        <v>101</v>
      </c>
      <c r="BY124" s="153" t="s">
        <v>113</v>
      </c>
      <c r="BZ124" s="153" t="s">
        <v>107</v>
      </c>
      <c r="CA124" s="153" t="s">
        <v>108</v>
      </c>
      <c r="CB124" s="153" t="s">
        <v>109</v>
      </c>
      <c r="CC124" s="153" t="s">
        <v>110</v>
      </c>
      <c r="CD124" s="153" t="s">
        <v>115</v>
      </c>
      <c r="CE124" s="153" t="s">
        <v>103</v>
      </c>
      <c r="CF124" s="153" t="s">
        <v>104</v>
      </c>
      <c r="CG124" s="153" t="s">
        <v>105</v>
      </c>
      <c r="CH124" s="153" t="s">
        <v>106</v>
      </c>
      <c r="CI124" s="153" t="s">
        <v>114</v>
      </c>
      <c r="CJ124" s="153" t="s">
        <v>111</v>
      </c>
      <c r="CK124" s="39"/>
      <c r="CL124" s="39"/>
    </row>
    <row r="125" spans="1:91" ht="24" customHeight="1">
      <c r="B125" s="104" t="s">
        <v>3141</v>
      </c>
      <c r="C125" s="99"/>
      <c r="D125" s="714" t="s">
        <v>652</v>
      </c>
      <c r="E125" s="94"/>
      <c r="F125" s="911" t="str">
        <f>B125</f>
        <v>0.1</v>
      </c>
      <c r="G125" s="913" t="s">
        <v>778</v>
      </c>
      <c r="H125" s="107"/>
      <c r="I125" s="107"/>
      <c r="J125" s="273">
        <f>SUMIF($BF129:$BF130,$BF125,J129:J130)</f>
        <v>0</v>
      </c>
      <c r="K125" s="273">
        <f>SUMIF($BF129:$BF130,$BF125,K129:K130)</f>
        <v>0</v>
      </c>
      <c r="L125" s="273">
        <f>SUMIF($BF129:$BF130,$BF125,L129:L130)</f>
        <v>0</v>
      </c>
      <c r="M125" s="273">
        <f>IF(TEMPLATE_CLAIM="P","",SUMIF($BF129:$BF130,$BF125,M129:M130))</f>
        <v>0</v>
      </c>
      <c r="N125" s="273" t="str">
        <f>IF(TEMPLATE_CLAIM="U","",SUMIF($BF129:$BF130,$BF125,N129:N130))</f>
        <v/>
      </c>
      <c r="O125" s="273" t="str">
        <f>IF(TEMPLATE_CLAIM="U","",SUMIF($BF129:$BF130,$BF125,O129:O130))</f>
        <v/>
      </c>
      <c r="P125" s="273" t="str">
        <f>IF(TEMPLATE_CLAIM="U","",SUMIF($BF129:$BF130,$BF125,P129:P130))</f>
        <v/>
      </c>
      <c r="Q125" s="273">
        <f>SUMIF($BF129:$BF130,$BF125,Q129:Q130)</f>
        <v>0</v>
      </c>
      <c r="R125" s="273">
        <f>SUMIF($BF129:$BF130,$BF125,R129:R130)</f>
        <v>0</v>
      </c>
      <c r="S125" s="273">
        <f>SUMIF($BF129:$BF130,$BF125,S129:S130)</f>
        <v>0</v>
      </c>
      <c r="T125" s="273">
        <f>SUMIF($BF129:$BF130,$BF125,T129:T130)</f>
        <v>0</v>
      </c>
      <c r="U125" s="270"/>
      <c r="V125" s="273">
        <f>SUMIF($BF129:$BF130,$BF125,V129:V130)</f>
        <v>0</v>
      </c>
      <c r="W125" s="270"/>
      <c r="X125" s="270"/>
      <c r="Y125" s="273">
        <f>SUMIF($BF129:$BF130,$BF125,Y129:Y130)</f>
        <v>0</v>
      </c>
      <c r="Z125" s="273">
        <f>SUMIF($BF129:$BF130,$BF125,Z129:Z130)</f>
        <v>0</v>
      </c>
      <c r="AA125" s="273" t="str">
        <f>IF(TEMPLATE_CLAIM="U","",SUMIF($BF129:$BF130,$BF125,AA129:AA130))</f>
        <v/>
      </c>
      <c r="AB125" s="273" t="str">
        <f>IF(TEMPLATE_CLAIM="U","",SUMIF($BF129:$BF130,$BF125,AB129:AB130))</f>
        <v/>
      </c>
      <c r="AC125" s="266"/>
      <c r="AD125" s="273">
        <f>SUMIF($BF129:$BF130,$BF125,AD129:AD130)</f>
        <v>0</v>
      </c>
      <c r="AE125" s="273" t="str">
        <f>IF(TEMPLATE_CLAIM="U","",SUMIF($BF129:$BF130,$BF125,AE129:AE130))</f>
        <v/>
      </c>
      <c r="AF125" s="273" t="str">
        <f>IF(TEMPLATE_CLAIM="U","",SUMIF($BF129:$BF130,$BF125,AF129:AF130))</f>
        <v/>
      </c>
      <c r="AG125" s="266"/>
      <c r="AH125" s="273">
        <f>SUMIF($BF129:$BF130,$BF125,AH129:AH130)</f>
        <v>0</v>
      </c>
      <c r="AI125" s="273" t="str">
        <f>IF(TEMPLATE_CLAIM="U","",SUMIF($BF129:$BF130,$BF125,AI129:AI130))</f>
        <v/>
      </c>
      <c r="AJ125" s="273" t="str">
        <f>IF(TEMPLATE_CLAIM="U","",SUMIF($BF129:$BF130,$BF125,AJ129:AJ130))</f>
        <v/>
      </c>
      <c r="AK125" s="273" t="str">
        <f>IF(TEMPLATE_CLAIM="U","",SUMIF($BF129:$BF130,$BF125,AK129:AK130))</f>
        <v/>
      </c>
      <c r="AL125" s="273">
        <f>SUMIF($BF129:$BF130,$BF125,AL129:AL130)</f>
        <v>0</v>
      </c>
      <c r="AM125" s="273" t="str">
        <f>IF(TEMPLATE_CLAIM="U","",SUMIF($BF129:$BF130,$BF125,AM129:AM130))</f>
        <v/>
      </c>
      <c r="AN125" s="273" t="str">
        <f>IF(TEMPLATE_CLAIM="U","",SUMIF($BF129:$BF130,$BF125,AN129:AN130))</f>
        <v/>
      </c>
      <c r="AO125" s="273" t="str">
        <f>IF(TEMPLATE_CLAIM="U","",SUMIF($BF129:$BF130,$BF125,AO129:AO130))</f>
        <v/>
      </c>
      <c r="AP125" s="273">
        <f>SUMIF($BF129:$BF130,$BF125,AP129:AP130)</f>
        <v>0</v>
      </c>
      <c r="AQ125" s="273">
        <f>SUMIF($BF129:$BF130,$BF125,AQ129:AQ130)</f>
        <v>0</v>
      </c>
      <c r="AR125" s="273">
        <f>SUMIF($BF129:$BF130,$BF125,AR129:AR130)</f>
        <v>0</v>
      </c>
      <c r="AS125" s="273">
        <f>IF(TEMPLATE_CLAIM="P","",SUMIF($BF129:$BF130,$BF125,AS129:AS130))</f>
        <v>0</v>
      </c>
      <c r="AT125" s="273" t="str">
        <f>IF(TEMPLATE_CLAIM="U","",SUMIF($BF129:$BF130,$BF125,AT129:AT130))</f>
        <v/>
      </c>
      <c r="AU125" s="273" t="str">
        <f>IF(TEMPLATE_CLAIM="U","",SUMIF($BF129:$BF130,$BF125,AU129:AU130))</f>
        <v/>
      </c>
      <c r="AV125" s="273" t="str">
        <f>IF(TEMPLATE_CLAIM="U","",SUMIF($BF129:$BF130,$BF125,AV129:AV130))</f>
        <v/>
      </c>
      <c r="AW125" s="273">
        <f>SUMIF($BF129:$BF130,$BF125,AW129:AW130)</f>
        <v>0</v>
      </c>
      <c r="AX125" s="270"/>
      <c r="AY125" s="273">
        <f>SUMIF($BF129:$BF130,$BF125,AY129:AY130)</f>
        <v>0</v>
      </c>
      <c r="AZ125" s="270"/>
      <c r="BA125" s="270"/>
      <c r="BB125" s="273">
        <f>SUMIF($BF129:$BF130,$BF125,BB129:BB130)</f>
        <v>0</v>
      </c>
      <c r="BC125" s="273">
        <f>SUMIF($BF129:$BF130,$BF125,BC129:BC130)</f>
        <v>0</v>
      </c>
      <c r="BD125" s="273">
        <f>SUMIF($BF129:$BF130,$BF125,BD129:BD130)</f>
        <v>0</v>
      </c>
      <c r="BE125" s="273">
        <f>SUMIF($BF129:$BF130,$BF125,BE129:BE130)</f>
        <v>0</v>
      </c>
      <c r="BF125" s="158" t="s">
        <v>3143</v>
      </c>
      <c r="BI125"/>
      <c r="BJ125"/>
      <c r="BK125"/>
      <c r="BL125"/>
      <c r="BM125"/>
      <c r="BN125"/>
      <c r="BO125"/>
      <c r="BP125"/>
      <c r="BQ125"/>
      <c r="BR125"/>
      <c r="BS125"/>
      <c r="BT125"/>
    </row>
    <row r="126" spans="1:91" ht="0.75" customHeight="1">
      <c r="B126" s="104"/>
      <c r="C126" s="99"/>
      <c r="D126" s="707"/>
      <c r="E126" s="94"/>
      <c r="F126" s="911"/>
      <c r="G126" s="913"/>
      <c r="H126" s="107"/>
      <c r="I126" s="107"/>
      <c r="J126" s="270"/>
      <c r="K126" s="270"/>
      <c r="L126" s="270"/>
      <c r="M126" s="270"/>
      <c r="N126" s="270"/>
      <c r="O126" s="270"/>
      <c r="P126" s="270"/>
      <c r="Q126" s="270"/>
      <c r="R126" s="270"/>
      <c r="S126" s="270"/>
      <c r="T126" s="270"/>
      <c r="U126" s="270"/>
      <c r="V126" s="270"/>
      <c r="W126" s="270"/>
      <c r="X126" s="270"/>
      <c r="Y126" s="270"/>
      <c r="Z126" s="270"/>
      <c r="AA126" s="270"/>
      <c r="AB126" s="270"/>
      <c r="AC126" s="266"/>
      <c r="AD126" s="270"/>
      <c r="AE126" s="270"/>
      <c r="AF126" s="270"/>
      <c r="AG126" s="266"/>
      <c r="AH126" s="270"/>
      <c r="AI126" s="270"/>
      <c r="AJ126" s="270"/>
      <c r="AK126" s="270"/>
      <c r="AL126" s="270"/>
      <c r="AM126" s="270"/>
      <c r="AN126" s="270"/>
      <c r="AO126" s="270"/>
      <c r="AP126" s="270"/>
      <c r="AQ126" s="270"/>
      <c r="AR126" s="270"/>
      <c r="AS126" s="270"/>
      <c r="AT126" s="270"/>
      <c r="AU126" s="270"/>
      <c r="AV126" s="270"/>
      <c r="AW126" s="270"/>
      <c r="AX126" s="270"/>
      <c r="AY126" s="270"/>
      <c r="AZ126" s="270"/>
      <c r="BA126" s="270"/>
      <c r="BB126" s="270"/>
      <c r="BC126" s="270"/>
      <c r="BD126" s="270"/>
      <c r="BE126" s="270"/>
      <c r="BF126" s="158"/>
    </row>
    <row r="127" spans="1:91" ht="24" customHeight="1">
      <c r="B127" s="104" t="s">
        <v>3142</v>
      </c>
      <c r="C127" s="99"/>
      <c r="D127" s="707"/>
      <c r="E127" s="94"/>
      <c r="F127" s="911" t="str">
        <f>B127</f>
        <v>0.2</v>
      </c>
      <c r="G127" s="913" t="str">
        <f>IF(TEMPLATE_CLAIM="U","Всего по МО (только годовые значения по данным предыдущего мониторинга)","")</f>
        <v>Всего по МО (только годовые значения по данным предыдущего мониторинга)</v>
      </c>
      <c r="H127" s="107"/>
      <c r="I127" s="107"/>
      <c r="J127" s="274">
        <f>IF(TEMPLATE_CLAIM="P","",SUMIF($BF129:$BF130,$BF127,J129:J130))</f>
        <v>0</v>
      </c>
      <c r="K127" s="274">
        <f>IF(TEMPLATE_CLAIM="P","",SUMIF($BF129:$BF130,$BF127,K129:K130))</f>
        <v>0</v>
      </c>
      <c r="L127" s="274">
        <f>IF(TEMPLATE_CLAIM="P","",SUMIF($BF129:$BF130,$BF127,L129:L130))</f>
        <v>0</v>
      </c>
      <c r="M127" s="274">
        <f>IF(TEMPLATE_CLAIM="P","",SUMIF($BF129:$BF130,$BF127,M129:M130))</f>
        <v>0</v>
      </c>
      <c r="N127" s="274"/>
      <c r="O127" s="274"/>
      <c r="P127" s="274"/>
      <c r="Q127" s="274">
        <f>IF(TEMPLATE_CLAIM="P","",SUMIF($BF129:$BF130,$BF127,Q129:Q130))</f>
        <v>0</v>
      </c>
      <c r="R127" s="274">
        <f>IF(TEMPLATE_CLAIM="P","",SUMIF($BF129:$BF130,$BF127,R129:R130))</f>
        <v>0</v>
      </c>
      <c r="S127" s="274">
        <f>IF(TEMPLATE_CLAIM="P","",SUMIF($BF129:$BF130,$BF127,S129:S130))</f>
        <v>0</v>
      </c>
      <c r="T127" s="274">
        <f>IF(TEMPLATE_CLAIM="P","",SUMIF($BF129:$BF130,$BF127,T129:T130))</f>
        <v>0</v>
      </c>
      <c r="U127" s="270"/>
      <c r="V127" s="274">
        <f>IF(TEMPLATE_CLAIM="P","",SUMIF($BF129:$BF130,$BF127,V129:V130))</f>
        <v>0</v>
      </c>
      <c r="W127" s="270"/>
      <c r="X127" s="270"/>
      <c r="Y127" s="274">
        <f>IF(TEMPLATE_CLAIM="P","",SUMIF($BF129:$BF130,$BF127,Y129:Y130))</f>
        <v>0</v>
      </c>
      <c r="Z127" s="274">
        <f>IF(TEMPLATE_CLAIM="P","",SUMIF($BF129:$BF130,$BF127,Z129:Z130))</f>
        <v>0</v>
      </c>
      <c r="AA127" s="274"/>
      <c r="AB127" s="274"/>
      <c r="AC127" s="266"/>
      <c r="AD127" s="274">
        <f>IF(TEMPLATE_CLAIM="P","",SUMIF($BF129:$BF130,$BF127,AD129:AD130))</f>
        <v>0</v>
      </c>
      <c r="AE127" s="274"/>
      <c r="AF127" s="274"/>
      <c r="AG127" s="266"/>
      <c r="AH127" s="274">
        <f>IF(TEMPLATE_CLAIM="P","",SUMIF($BF129:$BF130,$BF127,AH129:AH130))</f>
        <v>0</v>
      </c>
      <c r="AI127" s="274"/>
      <c r="AJ127" s="274"/>
      <c r="AK127" s="274"/>
      <c r="AL127" s="274">
        <f>IF(TEMPLATE_CLAIM="P","",SUMIF($BF129:$BF130,$BF127,AL129:AL130))</f>
        <v>0</v>
      </c>
      <c r="AM127" s="274"/>
      <c r="AN127" s="274"/>
      <c r="AO127" s="274"/>
      <c r="AP127" s="274">
        <f>IF(TEMPLATE_CLAIM="P","",SUMIF($BF129:$BF130,$BF127,AP129:AP130))</f>
        <v>0</v>
      </c>
      <c r="AQ127" s="274">
        <f>IF(TEMPLATE_CLAIM="P","",SUMIF($BF129:$BF130,$BF127,AQ129:AQ130))</f>
        <v>0</v>
      </c>
      <c r="AR127" s="274">
        <f>IF(TEMPLATE_CLAIM="P","",SUMIF($BF129:$BF130,$BF127,AR129:AR130))</f>
        <v>0</v>
      </c>
      <c r="AS127" s="274">
        <f>IF(TEMPLATE_CLAIM="P","",SUMIF($BF129:$BF130,$BF127,AS129:AS130))</f>
        <v>0</v>
      </c>
      <c r="AT127" s="274"/>
      <c r="AU127" s="274"/>
      <c r="AV127" s="274"/>
      <c r="AW127" s="274">
        <f>IF(TEMPLATE_CLAIM="P","",SUMIF($BF129:$BF130,$BF127,AW129:AW130))</f>
        <v>0</v>
      </c>
      <c r="AX127" s="270"/>
      <c r="AY127" s="274">
        <f>IF(TEMPLATE_CLAIM="P","",SUMIF($BF129:$BF130,$BF127,AY129:AY130))</f>
        <v>0</v>
      </c>
      <c r="AZ127" s="270"/>
      <c r="BA127" s="270"/>
      <c r="BB127" s="274">
        <f>IF(TEMPLATE_CLAIM="P","",SUMIF($BF129:$BF130,$BF127,BB129:BB130))</f>
        <v>0</v>
      </c>
      <c r="BC127" s="274">
        <f>IF(TEMPLATE_CLAIM="P","",SUMIF($BF129:$BF130,$BF127,BC129:BC130))</f>
        <v>0</v>
      </c>
      <c r="BD127" s="274">
        <f>IF(TEMPLATE_CLAIM="P","",SUMIF($BF129:$BF130,$BF127,BD129:BD130))</f>
        <v>0</v>
      </c>
      <c r="BE127" s="274">
        <f>IF(TEMPLATE_CLAIM="P","",SUMIF($BF129:$BF130,$BF127,BE129:BE130))</f>
        <v>0</v>
      </c>
      <c r="BF127" s="426" t="s">
        <v>3144</v>
      </c>
      <c r="BI127"/>
      <c r="BJ127"/>
      <c r="BK127"/>
      <c r="BL127"/>
      <c r="BM127"/>
      <c r="BN127"/>
      <c r="BO127"/>
      <c r="BP127"/>
      <c r="BQ127"/>
      <c r="BR127"/>
      <c r="BS127"/>
      <c r="BT127"/>
    </row>
    <row r="128" spans="1:91" ht="0.75" customHeight="1">
      <c r="B128" s="104"/>
      <c r="C128" s="99"/>
      <c r="D128" s="707"/>
      <c r="E128" s="94"/>
      <c r="F128" s="911"/>
      <c r="G128" s="913"/>
      <c r="H128" s="107"/>
      <c r="I128" s="107"/>
      <c r="J128" s="270"/>
      <c r="K128" s="270"/>
      <c r="L128" s="270"/>
      <c r="M128" s="270"/>
      <c r="N128" s="270"/>
      <c r="O128" s="270"/>
      <c r="P128" s="270"/>
      <c r="Q128" s="270"/>
      <c r="R128" s="270"/>
      <c r="S128" s="270"/>
      <c r="T128" s="270"/>
      <c r="U128" s="270"/>
      <c r="V128" s="270"/>
      <c r="W128" s="270"/>
      <c r="X128" s="270"/>
      <c r="Y128" s="270"/>
      <c r="Z128" s="270"/>
      <c r="AA128" s="270"/>
      <c r="AB128" s="270"/>
      <c r="AC128" s="266"/>
      <c r="AD128" s="270"/>
      <c r="AE128" s="270"/>
      <c r="AF128" s="270"/>
      <c r="AG128" s="266"/>
      <c r="AH128" s="270"/>
      <c r="AI128" s="270"/>
      <c r="AJ128" s="270"/>
      <c r="AK128" s="270"/>
      <c r="AL128" s="270"/>
      <c r="AM128" s="270"/>
      <c r="AN128" s="270"/>
      <c r="AO128" s="270"/>
      <c r="AP128" s="270"/>
      <c r="AQ128" s="270"/>
      <c r="AR128" s="270"/>
      <c r="AS128" s="270"/>
      <c r="AT128" s="270"/>
      <c r="AU128" s="270"/>
      <c r="AV128" s="270"/>
      <c r="AW128" s="270"/>
      <c r="AX128" s="270"/>
      <c r="AY128" s="270"/>
      <c r="AZ128" s="270"/>
      <c r="BA128" s="270"/>
      <c r="BB128" s="270"/>
      <c r="BC128" s="270"/>
      <c r="BD128" s="270"/>
      <c r="BE128" s="270"/>
      <c r="BF128" s="158"/>
      <c r="BI128"/>
      <c r="BJ128"/>
      <c r="BK128"/>
      <c r="BL128"/>
      <c r="BM128"/>
      <c r="BN128"/>
      <c r="BO128"/>
      <c r="BP128"/>
      <c r="BQ128"/>
      <c r="BR128"/>
      <c r="BS128"/>
      <c r="BT128"/>
    </row>
    <row r="129" spans="1:89" ht="12" hidden="1" customHeight="1">
      <c r="B129" s="104">
        <v>0</v>
      </c>
      <c r="C129" s="99"/>
      <c r="D129" s="707"/>
      <c r="E129" s="94"/>
      <c r="F129" s="639"/>
      <c r="G129" s="603"/>
      <c r="H129" s="154"/>
      <c r="I129" s="154"/>
      <c r="J129" s="585"/>
      <c r="K129" s="585"/>
      <c r="L129" s="585"/>
      <c r="M129" s="585"/>
      <c r="N129" s="585"/>
      <c r="O129" s="585"/>
      <c r="P129" s="585"/>
      <c r="Q129" s="585"/>
      <c r="R129" s="585"/>
      <c r="S129" s="585"/>
      <c r="T129" s="585"/>
      <c r="U129" s="585"/>
      <c r="V129" s="585"/>
      <c r="W129" s="585"/>
      <c r="X129" s="585"/>
      <c r="Y129" s="585"/>
      <c r="Z129" s="585"/>
      <c r="AA129" s="585"/>
      <c r="AB129" s="585"/>
      <c r="AC129" s="640"/>
      <c r="AD129" s="585"/>
      <c r="AE129" s="585"/>
      <c r="AF129" s="585"/>
      <c r="AG129" s="640"/>
      <c r="AH129" s="585"/>
      <c r="AI129" s="585"/>
      <c r="AJ129" s="585"/>
      <c r="AK129" s="585"/>
      <c r="AL129" s="585"/>
      <c r="AM129" s="585"/>
      <c r="AN129" s="585"/>
      <c r="AO129" s="585"/>
      <c r="AP129" s="585"/>
      <c r="AQ129" s="585"/>
      <c r="AR129" s="585"/>
      <c r="AS129" s="585"/>
      <c r="AT129" s="585"/>
      <c r="AU129" s="585"/>
      <c r="AV129" s="585"/>
      <c r="AW129" s="585"/>
      <c r="AX129" s="585"/>
      <c r="AY129" s="585"/>
      <c r="AZ129" s="585"/>
      <c r="BA129" s="585"/>
      <c r="BB129" s="585"/>
      <c r="BC129" s="585"/>
      <c r="BD129" s="585"/>
      <c r="BE129" s="585"/>
      <c r="BG129" s="641"/>
      <c r="BI129" s="641"/>
      <c r="BJ129" s="641"/>
      <c r="BK129" s="641"/>
      <c r="BL129" s="641"/>
      <c r="BM129" s="641"/>
      <c r="BN129" s="641"/>
      <c r="BO129" s="641"/>
      <c r="BP129" s="641"/>
      <c r="BQ129" s="641"/>
      <c r="BR129" s="641"/>
      <c r="BS129" s="641"/>
      <c r="BT129" s="641"/>
      <c r="BU129" s="824" t="s">
        <v>97</v>
      </c>
      <c r="BV129" s="824"/>
      <c r="BW129" s="824"/>
      <c r="BX129" s="824"/>
      <c r="BY129" s="824"/>
      <c r="BZ129" s="824"/>
      <c r="CA129" s="824"/>
      <c r="CB129" s="824"/>
      <c r="CC129" s="824"/>
      <c r="CD129" s="824"/>
      <c r="CE129" s="824"/>
      <c r="CF129" s="824"/>
      <c r="CG129" s="824"/>
      <c r="CH129" s="824"/>
      <c r="CI129" s="824"/>
      <c r="CJ129" s="646" t="s">
        <v>98</v>
      </c>
    </row>
    <row r="130" spans="1:89" ht="12" hidden="1" customHeight="1">
      <c r="A130" s="95"/>
      <c r="B130" s="104"/>
      <c r="C130" s="99"/>
      <c r="D130" s="707"/>
      <c r="E130" s="94"/>
      <c r="F130" s="642"/>
      <c r="G130" s="643" t="s">
        <v>720</v>
      </c>
      <c r="H130" s="643"/>
      <c r="I130" s="643"/>
      <c r="J130" s="644"/>
      <c r="K130" s="644"/>
      <c r="L130" s="644"/>
      <c r="M130" s="644"/>
      <c r="N130" s="644"/>
      <c r="O130" s="644"/>
      <c r="P130" s="644"/>
      <c r="Q130" s="644"/>
      <c r="R130" s="644"/>
      <c r="S130" s="644"/>
      <c r="T130" s="644"/>
      <c r="U130" s="644"/>
      <c r="V130" s="644"/>
      <c r="W130" s="644"/>
      <c r="X130" s="644"/>
      <c r="Y130" s="644"/>
      <c r="Z130" s="644"/>
      <c r="AA130" s="644"/>
      <c r="AB130" s="644"/>
      <c r="AC130" s="644"/>
      <c r="AD130" s="644"/>
      <c r="AE130" s="644"/>
      <c r="AF130" s="644"/>
      <c r="AG130" s="644"/>
      <c r="AH130" s="644"/>
      <c r="AI130" s="644"/>
      <c r="AJ130" s="644"/>
      <c r="AK130" s="644"/>
      <c r="AL130" s="644"/>
      <c r="AM130" s="644"/>
      <c r="AN130" s="644"/>
      <c r="AO130" s="644"/>
      <c r="AP130" s="644"/>
      <c r="AQ130" s="644"/>
      <c r="AR130" s="644"/>
      <c r="AS130" s="644"/>
      <c r="AT130" s="644"/>
      <c r="AU130" s="644"/>
      <c r="AV130" s="644"/>
      <c r="AW130" s="644"/>
      <c r="AX130" s="644"/>
      <c r="AY130" s="644"/>
      <c r="AZ130" s="644"/>
      <c r="BA130" s="644"/>
      <c r="BB130" s="644"/>
      <c r="BC130" s="644"/>
      <c r="BD130" s="644"/>
      <c r="BE130" s="645"/>
      <c r="BG130" s="641"/>
      <c r="CK130" s="162"/>
    </row>
    <row r="131" spans="1:89">
      <c r="A131" s="95"/>
      <c r="B131" s="79"/>
      <c r="C131" s="95"/>
      <c r="D131" s="707"/>
      <c r="E131" s="94"/>
    </row>
    <row r="132" spans="1:89">
      <c r="D132" s="707"/>
      <c r="E132" s="94"/>
    </row>
    <row r="133" spans="1:89">
      <c r="D133" s="707"/>
      <c r="E133" s="94"/>
    </row>
    <row r="134" spans="1:89">
      <c r="D134" s="707"/>
      <c r="E134" s="94"/>
    </row>
    <row r="135" spans="1:89">
      <c r="D135" s="707"/>
      <c r="E135" s="94"/>
    </row>
    <row r="136" spans="1:89">
      <c r="D136" s="707"/>
      <c r="E136" s="94"/>
    </row>
    <row r="137" spans="1:89">
      <c r="D137" s="707"/>
      <c r="E137" s="94"/>
    </row>
    <row r="138" spans="1:89">
      <c r="D138" s="707"/>
      <c r="E138" s="94"/>
    </row>
    <row r="139" spans="1:89">
      <c r="D139" s="707"/>
      <c r="E139" s="94"/>
    </row>
    <row r="140" spans="1:89">
      <c r="D140" s="707"/>
      <c r="E140" s="94"/>
    </row>
    <row r="141" spans="1:89">
      <c r="D141" s="707"/>
      <c r="E141" s="94"/>
    </row>
  </sheetData>
  <sheetProtection password="FA9C" sheet="1" objects="1" scenarios="1" formatColumns="0" formatRows="0"/>
  <mergeCells count="67">
    <mergeCell ref="Y122:Y123"/>
    <mergeCell ref="R122:R123"/>
    <mergeCell ref="S122:S123"/>
    <mergeCell ref="T122:T123"/>
    <mergeCell ref="F1:F2"/>
    <mergeCell ref="F57:F58"/>
    <mergeCell ref="G57:G58"/>
    <mergeCell ref="G1:G2"/>
    <mergeCell ref="F29:F30"/>
    <mergeCell ref="G29:G30"/>
    <mergeCell ref="J121:J123"/>
    <mergeCell ref="L122:L123"/>
    <mergeCell ref="L121:Y121"/>
    <mergeCell ref="F127:F128"/>
    <mergeCell ref="F125:F126"/>
    <mergeCell ref="G121:G123"/>
    <mergeCell ref="F121:F123"/>
    <mergeCell ref="G125:G126"/>
    <mergeCell ref="G127:G128"/>
    <mergeCell ref="B57:B84"/>
    <mergeCell ref="B1:B28"/>
    <mergeCell ref="C16:C28"/>
    <mergeCell ref="C44:C56"/>
    <mergeCell ref="B29:B56"/>
    <mergeCell ref="C3:C15"/>
    <mergeCell ref="C31:C43"/>
    <mergeCell ref="C72:C84"/>
    <mergeCell ref="C59:C71"/>
    <mergeCell ref="AA122:AA123"/>
    <mergeCell ref="AH122:AH123"/>
    <mergeCell ref="AT121:AV121"/>
    <mergeCell ref="AT122:AT123"/>
    <mergeCell ref="AU122:AU123"/>
    <mergeCell ref="AV122:AV123"/>
    <mergeCell ref="AS121:AS123"/>
    <mergeCell ref="AO122:AO123"/>
    <mergeCell ref="Z122:Z123"/>
    <mergeCell ref="AQ121:AQ123"/>
    <mergeCell ref="M122:M123"/>
    <mergeCell ref="H121:H123"/>
    <mergeCell ref="Q122:Q123"/>
    <mergeCell ref="N122:P122"/>
    <mergeCell ref="K121:K123"/>
    <mergeCell ref="I121:I123"/>
    <mergeCell ref="AI122:AI123"/>
    <mergeCell ref="AG122:AG123"/>
    <mergeCell ref="AB122:AB123"/>
    <mergeCell ref="AC122:AC123"/>
    <mergeCell ref="AJ122:AJ123"/>
    <mergeCell ref="AL122:AL123"/>
    <mergeCell ref="AD122:AD123"/>
    <mergeCell ref="AE122:AE123"/>
    <mergeCell ref="AF122:AF123"/>
    <mergeCell ref="BU129:CI129"/>
    <mergeCell ref="AK122:AK123"/>
    <mergeCell ref="AM122:AM123"/>
    <mergeCell ref="AN122:AN123"/>
    <mergeCell ref="AR121:AR123"/>
    <mergeCell ref="BB121:BE121"/>
    <mergeCell ref="AW121:BA121"/>
    <mergeCell ref="BE122:BE123"/>
    <mergeCell ref="BC122:BC123"/>
    <mergeCell ref="AW122:AW123"/>
    <mergeCell ref="BD122:BD123"/>
    <mergeCell ref="BB122:BB123"/>
    <mergeCell ref="AP121:AP123"/>
    <mergeCell ref="Z121:AO121"/>
  </mergeCells>
  <phoneticPr fontId="8" type="noConversion"/>
  <dataValidations disablePrompts="1" count="1">
    <dataValidation allowBlank="1" showInputMessage="1" showErrorMessage="1" sqref="AT122:AV122 N122:S123"/>
  </dataValidations>
  <hyperlinks>
    <hyperlink ref="Z119" location="'ТС.БПр'!A1" tooltip="Отобразить / Скрыть блок" display="-"/>
  </hyperlinks>
  <pageMargins left="0.37" right="0.35" top="1" bottom="1" header="0.5" footer="0.5"/>
  <pageSetup paperSize="9" scale="30" orientation="landscape" horizontalDpi="4294967292" verticalDpi="4294967292" r:id="rId1"/>
  <headerFooter alignWithMargins="0"/>
  <drawing r:id="rId2"/>
  <legacyDrawing r:id="rId3"/>
</worksheet>
</file>

<file path=xl/worksheets/sheet100.xml><?xml version="1.0" encoding="utf-8"?>
<worksheet xmlns="http://schemas.openxmlformats.org/spreadsheetml/2006/main" xmlns:r="http://schemas.openxmlformats.org/officeDocument/2006/relationships">
  <sheetPr codeName="modCalcCombi">
    <tabColor indexed="47"/>
  </sheetPr>
  <dimension ref="A1"/>
  <sheetViews>
    <sheetView workbookViewId="0"/>
  </sheetViews>
  <sheetFormatPr defaultRowHeight="11.25" customHeight="1"/>
  <cols>
    <col min="1" max="16384" width="9.140625" style="62"/>
  </cols>
  <sheetData/>
  <sheetProtection formatColumns="0" formatRows="0"/>
  <phoneticPr fontId="8" type="noConversion"/>
  <pageMargins left="0.75" right="0.75" top="1" bottom="1" header="0.5" footer="0.5"/>
  <pageSetup paperSize="9" orientation="portrait" horizontalDpi="200" verticalDpi="200" r:id="rId1"/>
  <headerFooter alignWithMargins="0"/>
</worksheet>
</file>

<file path=xl/worksheets/sheet101.xml><?xml version="1.0" encoding="utf-8"?>
<worksheet xmlns="http://schemas.openxmlformats.org/spreadsheetml/2006/main" xmlns:r="http://schemas.openxmlformats.org/officeDocument/2006/relationships">
  <sheetPr codeName="modCalcYear">
    <tabColor indexed="47"/>
  </sheetPr>
  <dimension ref="A1"/>
  <sheetViews>
    <sheetView workbookViewId="0"/>
  </sheetViews>
  <sheetFormatPr defaultRowHeight="11.25" customHeight="1"/>
  <cols>
    <col min="1" max="16384" width="9.140625" style="62"/>
  </cols>
  <sheetData/>
  <sheetProtection formatColumns="0" formatRows="0"/>
  <phoneticPr fontId="8" type="noConversion"/>
  <pageMargins left="0.75" right="0.75" top="1" bottom="1" header="0.5" footer="0.5"/>
  <pageSetup paperSize="9" orientation="portrait" horizontalDpi="200" verticalDpi="200" r:id="rId1"/>
  <headerFooter alignWithMargins="0"/>
</worksheet>
</file>

<file path=xl/worksheets/sheet102.xml><?xml version="1.0" encoding="utf-8"?>
<worksheet xmlns="http://schemas.openxmlformats.org/spreadsheetml/2006/main" xmlns:r="http://schemas.openxmlformats.org/officeDocument/2006/relationships">
  <sheetPr codeName="modConR">
    <tabColor indexed="47"/>
  </sheetPr>
  <dimension ref="A1"/>
  <sheetViews>
    <sheetView workbookViewId="0"/>
  </sheetViews>
  <sheetFormatPr defaultRowHeight="11.25" customHeight="1"/>
  <cols>
    <col min="1" max="16384" width="9.140625" style="62"/>
  </cols>
  <sheetData/>
  <sheetProtection formatColumns="0" formatRows="0"/>
  <phoneticPr fontId="8" type="noConversion"/>
  <pageMargins left="0.75" right="0.75" top="1" bottom="1" header="0.5" footer="0.5"/>
  <pageSetup paperSize="9" orientation="portrait" horizontalDpi="200" verticalDpi="200" r:id="rId1"/>
  <headerFooter alignWithMargins="0"/>
</worksheet>
</file>

<file path=xl/worksheets/sheet103.xml><?xml version="1.0" encoding="utf-8"?>
<worksheet xmlns="http://schemas.openxmlformats.org/spreadsheetml/2006/main" xmlns:r="http://schemas.openxmlformats.org/officeDocument/2006/relationships">
  <sheetPr codeName="modConRYear">
    <tabColor indexed="47"/>
  </sheetPr>
  <dimension ref="A1"/>
  <sheetViews>
    <sheetView workbookViewId="0"/>
  </sheetViews>
  <sheetFormatPr defaultRowHeight="11.25" customHeight="1"/>
  <cols>
    <col min="1" max="16384" width="9.140625" style="62"/>
  </cols>
  <sheetData/>
  <sheetProtection formatColumns="0" formatRows="0"/>
  <phoneticPr fontId="8" type="noConversion"/>
  <pageMargins left="0.75" right="0.75" top="1" bottom="1" header="0.5" footer="0.5"/>
  <pageSetup paperSize="9" orientation="portrait" horizontalDpi="200" verticalDpi="200" r:id="rId1"/>
  <headerFooter alignWithMargins="0"/>
</worksheet>
</file>

<file path=xl/worksheets/sheet104.xml><?xml version="1.0" encoding="utf-8"?>
<worksheet xmlns="http://schemas.openxmlformats.org/spreadsheetml/2006/main" xmlns:r="http://schemas.openxmlformats.org/officeDocument/2006/relationships">
  <sheetPr codeName="modFuel">
    <tabColor indexed="47"/>
  </sheetPr>
  <dimension ref="A1"/>
  <sheetViews>
    <sheetView workbookViewId="0"/>
  </sheetViews>
  <sheetFormatPr defaultRowHeight="11.25" customHeight="1"/>
  <cols>
    <col min="1" max="16384" width="9.140625" style="62"/>
  </cols>
  <sheetData/>
  <sheetProtection formatColumns="0" formatRows="0"/>
  <phoneticPr fontId="8" type="noConversion"/>
  <pageMargins left="0.75" right="0.75" top="1" bottom="1" header="0.5" footer="0.5"/>
  <pageSetup paperSize="9" orientation="portrait" horizontalDpi="200" verticalDpi="200" r:id="rId1"/>
  <headerFooter alignWithMargins="0"/>
</worksheet>
</file>

<file path=xl/worksheets/sheet105.xml><?xml version="1.0" encoding="utf-8"?>
<worksheet xmlns="http://schemas.openxmlformats.org/spreadsheetml/2006/main" xmlns:r="http://schemas.openxmlformats.org/officeDocument/2006/relationships">
  <sheetPr codeName="modDF">
    <tabColor indexed="47"/>
  </sheetPr>
  <dimension ref="A1"/>
  <sheetViews>
    <sheetView workbookViewId="0"/>
  </sheetViews>
  <sheetFormatPr defaultRowHeight="11.25" customHeight="1"/>
  <cols>
    <col min="1" max="16384" width="9.140625" style="62"/>
  </cols>
  <sheetData/>
  <sheetProtection formatColumns="0" formatRows="0"/>
  <phoneticPr fontId="8" type="noConversion"/>
  <pageMargins left="0.75" right="0.75" top="1" bottom="1" header="0.5" footer="0.5"/>
  <pageSetup paperSize="9" orientation="portrait" horizontalDpi="200" verticalDpi="200" r:id="rId1"/>
  <headerFooter alignWithMargins="0"/>
</worksheet>
</file>

<file path=xl/worksheets/sheet106.xml><?xml version="1.0" encoding="utf-8"?>
<worksheet xmlns="http://schemas.openxmlformats.org/spreadsheetml/2006/main" xmlns:r="http://schemas.openxmlformats.org/officeDocument/2006/relationships">
  <sheetPr codeName="modListOrg">
    <tabColor indexed="47"/>
  </sheetPr>
  <dimension ref="A1"/>
  <sheetViews>
    <sheetView workbookViewId="0"/>
  </sheetViews>
  <sheetFormatPr defaultRowHeight="11.25"/>
  <sheetData/>
  <sheetProtection formatColumns="0" formatRows="0"/>
  <phoneticPr fontId="8" type="noConversion"/>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sheetPr codeName="modCommandButton">
    <tabColor indexed="47"/>
  </sheetPr>
  <dimension ref="A1"/>
  <sheetViews>
    <sheetView workbookViewId="0"/>
  </sheetViews>
  <sheetFormatPr defaultRowHeight="11.25"/>
  <sheetData/>
  <sheetProtection formatColumns="0" formatRows="0"/>
  <phoneticPr fontId="8" type="noConversion"/>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sheetPr codeName="modfrmRegion">
    <tabColor indexed="47"/>
  </sheetPr>
  <dimension ref="A1"/>
  <sheetViews>
    <sheetView workbookViewId="0"/>
  </sheetViews>
  <sheetFormatPr defaultRowHeight="11.25"/>
  <cols>
    <col min="1" max="1" width="9.140625" style="10"/>
    <col min="2" max="16384" width="9.140625" style="9"/>
  </cols>
  <sheetData/>
  <sheetProtection formatColumns="0" formatRows="0"/>
  <phoneticPr fontId="8" type="noConversion"/>
  <pageMargins left="0.75" right="0.75" top="1" bottom="1" header="0.5" footer="0.5"/>
  <pageSetup paperSize="9" orientation="portrait" r:id="rId1"/>
  <headerFooter alignWithMargins="0"/>
</worksheet>
</file>

<file path=xl/worksheets/sheet109.xml><?xml version="1.0" encoding="utf-8"?>
<worksheet xmlns="http://schemas.openxmlformats.org/spreadsheetml/2006/main" xmlns:r="http://schemas.openxmlformats.org/officeDocument/2006/relationships">
  <sheetPr codeName="modVLDProvGeneralProc">
    <tabColor indexed="47"/>
  </sheetPr>
  <dimension ref="A1"/>
  <sheetViews>
    <sheetView workbookViewId="0"/>
  </sheetViews>
  <sheetFormatPr defaultRowHeight="12.75"/>
  <cols>
    <col min="1" max="16384" width="9.140625" style="70"/>
  </cols>
  <sheetData/>
  <phoneticPr fontId="8"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sheetPr codeName="HEAT_BAL_TR">
    <tabColor indexed="31"/>
    <pageSetUpPr fitToPage="1"/>
  </sheetPr>
  <dimension ref="A1:DR138"/>
  <sheetViews>
    <sheetView showGridLines="0" topLeftCell="D117" workbookViewId="0">
      <pane xSplit="6" ySplit="14" topLeftCell="J131" activePane="bottomRight" state="frozen"/>
      <selection activeCell="D117" sqref="D117"/>
      <selection pane="topRight" activeCell="J117" sqref="J117"/>
      <selection pane="bottomLeft" activeCell="D131" sqref="D131"/>
      <selection pane="bottomRight"/>
    </sheetView>
  </sheetViews>
  <sheetFormatPr defaultRowHeight="18"/>
  <cols>
    <col min="1" max="1" width="5.7109375" style="39" hidden="1" customWidth="1"/>
    <col min="2" max="2" width="5.7109375" style="40" hidden="1" customWidth="1"/>
    <col min="3" max="3" width="5.7109375" style="39" hidden="1" customWidth="1"/>
    <col min="4" max="4" width="5.7109375" style="711" customWidth="1"/>
    <col min="5" max="5" width="4.7109375" style="41" hidden="1" customWidth="1"/>
    <col min="6" max="6" width="6.7109375" style="39" customWidth="1"/>
    <col min="7" max="7" width="40.7109375" style="39" customWidth="1"/>
    <col min="8" max="8" width="17.7109375" style="39" hidden="1" customWidth="1"/>
    <col min="9" max="9" width="2.5703125" style="39" hidden="1" customWidth="1"/>
    <col min="10" max="10" width="18.7109375" style="39" customWidth="1"/>
    <col min="11" max="14" width="15.7109375" style="39" hidden="1" customWidth="1"/>
    <col min="15" max="15" width="10.7109375" style="39" customWidth="1"/>
    <col min="16" max="17" width="13.7109375" style="39" customWidth="1"/>
    <col min="18" max="20" width="13.7109375" style="39" hidden="1" customWidth="1"/>
    <col min="21" max="21" width="14" style="39" customWidth="1"/>
    <col min="22" max="25" width="15.7109375" style="39" hidden="1" customWidth="1"/>
    <col min="26" max="28" width="13.7109375" style="39" customWidth="1"/>
    <col min="29" max="29" width="2.5703125" style="159" customWidth="1"/>
    <col min="30" max="57" width="2.5703125" style="162" customWidth="1"/>
    <col min="58" max="58" width="17.5703125" style="159" hidden="1" customWidth="1"/>
    <col min="59" max="72" width="2.5703125" style="162" customWidth="1"/>
    <col min="73" max="83" width="12.7109375" style="162" hidden="1" customWidth="1"/>
    <col min="84" max="87" width="12.7109375" style="39" hidden="1" customWidth="1"/>
    <col min="88" max="108" width="9.140625" style="39" hidden="1" customWidth="1"/>
    <col min="109" max="16384" width="9.140625" style="39"/>
  </cols>
  <sheetData>
    <row r="1" spans="1:108" ht="21" hidden="1" customHeight="1">
      <c r="A1" s="38"/>
      <c r="B1" s="910"/>
      <c r="C1" s="119" t="str">
        <f>F3</f>
        <v>0.0</v>
      </c>
      <c r="D1" s="714" t="s">
        <v>652</v>
      </c>
      <c r="E1" s="96"/>
      <c r="F1" s="835">
        <f>B1</f>
        <v>0</v>
      </c>
      <c r="G1" s="913"/>
      <c r="H1" s="107"/>
      <c r="I1" s="107"/>
      <c r="J1" s="275"/>
      <c r="K1" s="275"/>
      <c r="L1" s="275"/>
      <c r="M1" s="275"/>
      <c r="N1" s="275"/>
      <c r="O1" s="275"/>
      <c r="P1" s="275"/>
      <c r="Q1" s="275"/>
      <c r="R1" s="275"/>
      <c r="S1" s="275"/>
      <c r="T1" s="275"/>
      <c r="U1" s="275"/>
      <c r="V1" s="275"/>
      <c r="W1" s="275"/>
      <c r="X1" s="275"/>
      <c r="Y1" s="275"/>
      <c r="Z1" s="275"/>
      <c r="AA1" s="275"/>
      <c r="AB1" s="275"/>
      <c r="AC1" s="161"/>
      <c r="BF1" s="426" t="s">
        <v>3144</v>
      </c>
    </row>
    <row r="2" spans="1:108" ht="0.75" hidden="1" customHeight="1">
      <c r="A2" s="38"/>
      <c r="B2" s="910"/>
      <c r="C2" s="119"/>
      <c r="D2" s="706"/>
      <c r="E2" s="96"/>
      <c r="F2" s="835"/>
      <c r="G2" s="913"/>
      <c r="H2" s="107"/>
      <c r="I2" s="107"/>
      <c r="J2" s="275"/>
      <c r="K2" s="275"/>
      <c r="L2" s="275"/>
      <c r="M2" s="275"/>
      <c r="N2" s="275"/>
      <c r="O2" s="275"/>
      <c r="P2" s="275"/>
      <c r="Q2" s="275"/>
      <c r="R2" s="275"/>
      <c r="S2" s="275"/>
      <c r="T2" s="275"/>
      <c r="U2" s="275"/>
      <c r="V2" s="275"/>
      <c r="W2" s="275"/>
      <c r="X2" s="275"/>
      <c r="Y2" s="275"/>
      <c r="Z2" s="275"/>
      <c r="AA2" s="275"/>
      <c r="AB2" s="275"/>
      <c r="AC2" s="161"/>
      <c r="BF2" s="158" t="str">
        <f>IF(TEMPLATE_SPHERE="водоснабжения","TOTAL_ORG_TW","")</f>
        <v/>
      </c>
    </row>
    <row r="3" spans="1:108" ht="11.25" hidden="1" customHeight="1">
      <c r="A3" s="38"/>
      <c r="B3" s="910"/>
      <c r="C3" s="910"/>
      <c r="D3" s="707"/>
      <c r="E3" s="96"/>
      <c r="F3" s="106" t="str">
        <f>F1 &amp; ".0"</f>
        <v>0.0</v>
      </c>
      <c r="G3" s="105" t="s">
        <v>721</v>
      </c>
      <c r="H3" s="107"/>
      <c r="I3" s="107"/>
      <c r="J3" s="275"/>
      <c r="K3" s="275"/>
      <c r="L3" s="275"/>
      <c r="M3" s="275"/>
      <c r="N3" s="275"/>
      <c r="O3" s="275"/>
      <c r="P3" s="275"/>
      <c r="Q3" s="275"/>
      <c r="R3" s="275"/>
      <c r="S3" s="275"/>
      <c r="T3" s="275"/>
      <c r="U3" s="275"/>
      <c r="V3" s="275"/>
      <c r="W3" s="275"/>
      <c r="X3" s="275"/>
      <c r="Y3" s="275"/>
      <c r="Z3" s="275"/>
      <c r="AA3" s="275"/>
      <c r="AB3" s="275"/>
      <c r="AC3" s="161"/>
      <c r="BF3" s="158" t="str">
        <f>IF(TEMPLATE_SPHERE="водоснабжения","TOTAL_ORG_PW","TOTAL_ORG")</f>
        <v>TOTAL_ORG</v>
      </c>
      <c r="BU3" s="162">
        <f>IF(TARIFF_SETUP_METHOD_CODE="BY_PSEUDO_YEARS",SUM($U4:$U15),SUM($U4:$U9))</f>
        <v>0</v>
      </c>
      <c r="BV3" s="162">
        <f>IF(TARIFF_SETUP_METHOD_CODE="BY_PSEUDO_YEARS",SUM($Z4:$Z15),SUM($Z4:$Z9))</f>
        <v>0</v>
      </c>
      <c r="BW3" s="162">
        <f>IF(TARIFF_SETUP_METHOD_CODE="BY_PSEUDO_YEARS",SUM($AA4:$AA15),SUM($AA4:$AA9))</f>
        <v>0</v>
      </c>
      <c r="BX3" s="162">
        <f>IF(TARIFF_SETUP_METHOD_CODE="BY_PSEUDO_YEARS",SUM($AB4:$AB15),SUM($AB4:$AB9))</f>
        <v>0</v>
      </c>
      <c r="BY3" s="162">
        <f>IF(TARIFF_SETUP_METHOD_CODE="BY_PSEUDO_YEARS",IF(TEMPLATE_CLAIM="U",SUM($Q4:$Q15),SUM($R4:$R15)),IF(TEMPLATE_CLAIM="U",SUM($Q4:$Q9),SUM($R4:$R9)))</f>
        <v>0</v>
      </c>
      <c r="BZ3" s="162">
        <f>IF(TARIFF_SETUP_METHOD_CODE="BY_PSEUDO_YEARS",SUM($U4:$U15),IF(TEMPLATE_CLAIM="U",SUM($U10:$U11),SUM($U10:$U15)))</f>
        <v>0</v>
      </c>
      <c r="CA3" s="162">
        <f>IF(TARIFF_SETUP_METHOD_CODE="BY_PSEUDO_YEARS",SUM($Z4:$Z15),IF(TEMPLATE_CLAIM="U",SUM($Z10:$Z11),SUM($Z10:$Z15)))</f>
        <v>0</v>
      </c>
      <c r="CB3" s="162">
        <f>IF(TARIFF_SETUP_METHOD_CODE="BY_PSEUDO_YEARS",SUM($AA4:$AA15),IF(TEMPLATE_CLAIM="U",SUM($AA10:$AA11),SUM($AA10:$AA15)))</f>
        <v>0</v>
      </c>
      <c r="CC3" s="162">
        <f>IF(TARIFF_SETUP_METHOD_CODE="BY_PSEUDO_YEARS",SUM($AB4:$AB15),IF(TEMPLATE_CLAIM="U",SUM($AB10:$AB11),SUM($AB10:$AB15)))</f>
        <v>0</v>
      </c>
      <c r="CD3" s="162">
        <f>IF(TARIFF_SETUP_METHOD_CODE="BY_PSEUDO_YEARS",IF(TEMPLATE_CLAIM="U",SUM($Q4:$Q15),SUM($R4:$R15)),IF(TEMPLATE_CLAIM="U",SUM($Q10:$Q11),SUM($R10:$R15)))</f>
        <v>0</v>
      </c>
      <c r="CE3" s="162">
        <f>IF(TEMPLATE_CLAIM="P","",IF(TARIFF_SETUP_METHOD_CODE="BY_PSEUDO_YEARS",SUM($U4:$U15),SUM($U12:$U15)))</f>
        <v>0</v>
      </c>
      <c r="CF3" s="39">
        <f>IF(TEMPLATE_CLAIM="P","",IF(TARIFF_SETUP_METHOD_CODE="BY_PSEUDO_YEARS",SUM($Z4:$Z15),SUM($Z12:$Z15)))</f>
        <v>0</v>
      </c>
      <c r="CG3" s="39">
        <f>IF(TEMPLATE_CLAIM="P","",IF(TARIFF_SETUP_METHOD_CODE="BY_PSEUDO_YEARS",SUM($AA4:$AA15),SUM($AA12:$AA15)))</f>
        <v>0</v>
      </c>
      <c r="CH3" s="39">
        <f>IF(TEMPLATE_CLAIM="P","",IF(TARIFF_SETUP_METHOD_CODE="BY_PSEUDO_YEARS",SUM($AB4:$AB15),SUM($AB12:$AB15)))</f>
        <v>0</v>
      </c>
      <c r="CI3" s="39">
        <f>IF(TARIFF_SETUP_METHOD_CODE="BY_PSEUDO_YEARS",IF(TEMPLATE_CLAIM="P","",SUM($R4:$R15)),IF(TEMPLATE_CLAIM="P","",SUM($R12:$R15)))</f>
        <v>0</v>
      </c>
      <c r="CJ3" s="382">
        <f>IF(TARIFF_SETUP_METHOD_CODE="STUB_INDICATOR",SUM($U4:$U15),SUM($U4:$U9))</f>
        <v>0</v>
      </c>
      <c r="CK3" s="382">
        <f>IF(TARIFF_SETUP_METHOD_CODE="STUB_INDICATOR",SUM($Z4:$Z15),SUM($Z4:$Z9))</f>
        <v>0</v>
      </c>
      <c r="CL3" s="382">
        <f>IF(TARIFF_SETUP_METHOD_CODE="STUB_INDICATOR",SUM($AA4:$AA15),SUM($AA4:$AA9))</f>
        <v>0</v>
      </c>
      <c r="CM3" s="382">
        <f>IF(TARIFF_SETUP_METHOD_CODE="STUB_INDICATOR",SUM($AB4:$AB15),SUM($AB4:$AB9))</f>
        <v>0</v>
      </c>
      <c r="CN3" s="382">
        <f>IF(TARIFF_SETUP_METHOD_CODE="STUB_INDICATOR",IF(TEMPLATE_CLAIM="U",SUM($Q4:$Q15),SUM($R4:$R15)),IF(TEMPLATE_CLAIM="U",SUM($Q4:$Q9),SUM($R4:$R9)))</f>
        <v>0</v>
      </c>
      <c r="CO3" s="382">
        <f>IF(TARIFF_SETUP_METHOD_CODE="STUB_INDICATOR",SUM($U4:$U15),IF(TEMPLATE_CLAIM="U",SUM($U10:$U11),SUM($U10:$U15)))</f>
        <v>0</v>
      </c>
      <c r="CP3" s="382">
        <f>IF(TARIFF_SETUP_METHOD_CODE="STUB_INDICATOR",SUM($Z4:$Z15),IF(TEMPLATE_CLAIM="U",SUM($Z10:$Z11),SUM($Z10:$Z15)))</f>
        <v>0</v>
      </c>
      <c r="CQ3" s="382">
        <f>IF(TARIFF_SETUP_METHOD_CODE="STUB_INDICATOR",SUM($AA4:$AA15),IF(TEMPLATE_CLAIM="U",SUM($AA10:$AA11),SUM($AA10:$AA15)))</f>
        <v>0</v>
      </c>
      <c r="CR3" s="382">
        <f>IF(TARIFF_SETUP_METHOD_CODE="STUB_INDICATOR",SUM($AB4:$AB15),IF(TEMPLATE_CLAIM="U",SUM($AB10:$AB11),SUM($AB10:$AB15)))</f>
        <v>0</v>
      </c>
      <c r="CS3" s="382">
        <f>IF(TARIFF_SETUP_METHOD_CODE="STUB_INDICATOR",IF(TEMPLATE_CLAIM="U",SUM($Q4:$Q15),SUM($R4:$R15)),IF(TEMPLATE_CLAIM="U",SUM($Q10:$Q11),SUM($R10:$R15)))</f>
        <v>0</v>
      </c>
      <c r="CT3" s="382">
        <f>IF(TEMPLATE_CLAIM="P","",IF(TARIFF_SETUP_METHOD_CODE="STUB_INDICATOR",SUM($U4:$U15),SUM($U12:$U15)))</f>
        <v>0</v>
      </c>
      <c r="CU3" s="382">
        <f>IF(TEMPLATE_CLAIM="P","",IF(TARIFF_SETUP_METHOD_CODE="STUB_INDICATOR",SUM($Z4:$Z15),SUM($Z12:$Z15)))</f>
        <v>0</v>
      </c>
      <c r="CV3" s="382">
        <f>IF(TEMPLATE_CLAIM="P","",IF(TARIFF_SETUP_METHOD_CODE="STUB_INDICATOR",SUM($AA4:$AA15),SUM($AA12:$AA15)))</f>
        <v>0</v>
      </c>
      <c r="CW3" s="382">
        <f>IF(TEMPLATE_CLAIM="P","",IF(TARIFF_SETUP_METHOD_CODE="STUB_INDICATOR",SUM($AB4:$AB15),SUM($AB12:$AB15)))</f>
        <v>0</v>
      </c>
      <c r="CX3" s="382">
        <f>IF(TARIFF_SETUP_METHOD_CODE="STUB_INDICATOR",IF(TEMPLATE_CLAIM="P","",SUM($R4:$R15)),IF(TEMPLATE_CLAIM="P","",SUM($R12:$R15)))</f>
        <v>0</v>
      </c>
    </row>
    <row r="4" spans="1:108" ht="11.25" hidden="1" customHeight="1">
      <c r="A4" s="38"/>
      <c r="B4" s="910"/>
      <c r="C4" s="910"/>
      <c r="D4" s="707"/>
      <c r="E4" s="96"/>
      <c r="F4" s="106" t="str">
        <f>F1 &amp; ".1"</f>
        <v>0.1</v>
      </c>
      <c r="G4" s="105" t="s">
        <v>722</v>
      </c>
      <c r="H4" s="107"/>
      <c r="I4" s="107"/>
      <c r="J4" s="275"/>
      <c r="K4" s="275"/>
      <c r="L4" s="275"/>
      <c r="M4" s="275"/>
      <c r="N4" s="275"/>
      <c r="O4" s="275"/>
      <c r="P4" s="275"/>
      <c r="Q4" s="275"/>
      <c r="R4" s="275"/>
      <c r="S4" s="275"/>
      <c r="T4" s="275"/>
      <c r="U4" s="275"/>
      <c r="V4" s="275"/>
      <c r="W4" s="275"/>
      <c r="X4" s="275"/>
      <c r="Y4" s="275"/>
      <c r="Z4" s="275"/>
      <c r="AA4" s="275"/>
      <c r="AB4" s="275"/>
      <c r="AC4" s="163"/>
      <c r="BF4" s="158" t="str">
        <f>C1 &amp; "-I"</f>
        <v>0.0-I</v>
      </c>
      <c r="CY4" s="673">
        <f>IF(OR(BU3=0,CJ3=0,BU3=""),0,CJ3/BU3)</f>
        <v>0</v>
      </c>
      <c r="CZ4" s="673">
        <f>IF(OR(BV3=0,CK3=0,BV3=""),0,CK3/BV3)</f>
        <v>0</v>
      </c>
      <c r="DA4" s="673">
        <f>IF(OR(BW3=0,CL3=0,BW3=""),0,CL3/BW3)</f>
        <v>0</v>
      </c>
      <c r="DB4" s="673">
        <f>IF(OR(BX3=0,CM3=0,BX3=""),0,CM3/BX3)</f>
        <v>0</v>
      </c>
      <c r="DC4" s="673">
        <f>IF(OR(BY3=0,CN3=0,BY3=""),0,CN3/BY3)</f>
        <v>0</v>
      </c>
      <c r="DD4" s="673">
        <f>IF(OR(SUM(BU3:BY3)=0,SUM(CJ3:CN3)=0),0,SUM(CJ3:CN3)/SUM(BU3:BY3))</f>
        <v>0</v>
      </c>
    </row>
    <row r="5" spans="1:108" ht="11.25" hidden="1" customHeight="1">
      <c r="A5" s="38"/>
      <c r="B5" s="910"/>
      <c r="C5" s="910"/>
      <c r="D5" s="707"/>
      <c r="E5" s="96"/>
      <c r="F5" s="106" t="str">
        <f>F1 &amp; ".2"</f>
        <v>0.2</v>
      </c>
      <c r="G5" s="105" t="s">
        <v>723</v>
      </c>
      <c r="H5" s="107"/>
      <c r="I5" s="107"/>
      <c r="J5" s="275"/>
      <c r="K5" s="275"/>
      <c r="L5" s="275"/>
      <c r="M5" s="275"/>
      <c r="N5" s="275"/>
      <c r="O5" s="275"/>
      <c r="P5" s="275"/>
      <c r="Q5" s="275"/>
      <c r="R5" s="275"/>
      <c r="S5" s="275"/>
      <c r="T5" s="275"/>
      <c r="U5" s="275"/>
      <c r="V5" s="275"/>
      <c r="W5" s="275"/>
      <c r="X5" s="275"/>
      <c r="Y5" s="275"/>
      <c r="Z5" s="275"/>
      <c r="AA5" s="275"/>
      <c r="AB5" s="275"/>
      <c r="AC5" s="163"/>
      <c r="BF5" s="158" t="str">
        <f>C1 &amp; "-I"</f>
        <v>0.0-I</v>
      </c>
    </row>
    <row r="6" spans="1:108" ht="11.25" hidden="1" customHeight="1">
      <c r="A6" s="38"/>
      <c r="B6" s="910"/>
      <c r="C6" s="910"/>
      <c r="D6" s="707"/>
      <c r="E6" s="96"/>
      <c r="F6" s="106" t="str">
        <f>F1 &amp; ".3"</f>
        <v>0.3</v>
      </c>
      <c r="G6" s="105" t="s">
        <v>724</v>
      </c>
      <c r="H6" s="107"/>
      <c r="I6" s="107"/>
      <c r="J6" s="275"/>
      <c r="K6" s="275"/>
      <c r="L6" s="275"/>
      <c r="M6" s="275"/>
      <c r="N6" s="275"/>
      <c r="O6" s="275"/>
      <c r="P6" s="275"/>
      <c r="Q6" s="275"/>
      <c r="R6" s="275"/>
      <c r="S6" s="275"/>
      <c r="T6" s="275"/>
      <c r="U6" s="275"/>
      <c r="V6" s="275"/>
      <c r="W6" s="275"/>
      <c r="X6" s="275"/>
      <c r="Y6" s="275"/>
      <c r="Z6" s="275"/>
      <c r="AA6" s="275"/>
      <c r="AB6" s="275"/>
      <c r="AC6" s="163"/>
      <c r="BF6" s="158" t="str">
        <f>C1 &amp; "-I"</f>
        <v>0.0-I</v>
      </c>
    </row>
    <row r="7" spans="1:108" ht="11.25" hidden="1" customHeight="1">
      <c r="A7" s="38"/>
      <c r="B7" s="910"/>
      <c r="C7" s="910"/>
      <c r="D7" s="707"/>
      <c r="E7" s="96"/>
      <c r="F7" s="106" t="str">
        <f>F1 &amp; ".4"</f>
        <v>0.4</v>
      </c>
      <c r="G7" s="105" t="s">
        <v>725</v>
      </c>
      <c r="H7" s="107"/>
      <c r="I7" s="107"/>
      <c r="J7" s="275"/>
      <c r="K7" s="275"/>
      <c r="L7" s="275"/>
      <c r="M7" s="275"/>
      <c r="N7" s="275"/>
      <c r="O7" s="275"/>
      <c r="P7" s="275"/>
      <c r="Q7" s="275"/>
      <c r="R7" s="275"/>
      <c r="S7" s="275"/>
      <c r="T7" s="275"/>
      <c r="U7" s="275"/>
      <c r="V7" s="275"/>
      <c r="W7" s="275"/>
      <c r="X7" s="275"/>
      <c r="Y7" s="275"/>
      <c r="Z7" s="275"/>
      <c r="AA7" s="275"/>
      <c r="AB7" s="275"/>
      <c r="AC7" s="163"/>
      <c r="BF7" s="158" t="str">
        <f>C1 &amp; "-I"</f>
        <v>0.0-I</v>
      </c>
    </row>
    <row r="8" spans="1:108" ht="11.25" hidden="1" customHeight="1">
      <c r="A8" s="38"/>
      <c r="B8" s="910"/>
      <c r="C8" s="910"/>
      <c r="D8" s="707"/>
      <c r="E8" s="96"/>
      <c r="F8" s="106" t="str">
        <f>F1 &amp; ".5"</f>
        <v>0.5</v>
      </c>
      <c r="G8" s="105" t="s">
        <v>726</v>
      </c>
      <c r="H8" s="107"/>
      <c r="I8" s="107"/>
      <c r="J8" s="275"/>
      <c r="K8" s="275"/>
      <c r="L8" s="275"/>
      <c r="M8" s="275"/>
      <c r="N8" s="275"/>
      <c r="O8" s="275"/>
      <c r="P8" s="275"/>
      <c r="Q8" s="275"/>
      <c r="R8" s="275"/>
      <c r="S8" s="275"/>
      <c r="T8" s="275"/>
      <c r="U8" s="275"/>
      <c r="V8" s="275"/>
      <c r="W8" s="275"/>
      <c r="X8" s="275"/>
      <c r="Y8" s="275"/>
      <c r="Z8" s="275"/>
      <c r="AA8" s="275"/>
      <c r="AB8" s="275"/>
      <c r="AC8" s="163"/>
      <c r="BF8" s="158" t="str">
        <f>C1 &amp; "-I"</f>
        <v>0.0-I</v>
      </c>
    </row>
    <row r="9" spans="1:108" ht="11.25" hidden="1" customHeight="1">
      <c r="A9" s="38"/>
      <c r="B9" s="910"/>
      <c r="C9" s="910"/>
      <c r="D9" s="707"/>
      <c r="E9" s="96"/>
      <c r="F9" s="106" t="str">
        <f>F1 &amp; ".6"</f>
        <v>0.6</v>
      </c>
      <c r="G9" s="105" t="s">
        <v>727</v>
      </c>
      <c r="H9" s="107"/>
      <c r="I9" s="107"/>
      <c r="J9" s="275"/>
      <c r="K9" s="275"/>
      <c r="L9" s="275"/>
      <c r="M9" s="275"/>
      <c r="N9" s="275"/>
      <c r="O9" s="275"/>
      <c r="P9" s="275"/>
      <c r="Q9" s="275"/>
      <c r="R9" s="275"/>
      <c r="S9" s="275"/>
      <c r="T9" s="275"/>
      <c r="U9" s="275"/>
      <c r="V9" s="275"/>
      <c r="W9" s="275"/>
      <c r="X9" s="275"/>
      <c r="Y9" s="275"/>
      <c r="Z9" s="275"/>
      <c r="AA9" s="275"/>
      <c r="AB9" s="275"/>
      <c r="AC9" s="163"/>
      <c r="BF9" s="158" t="str">
        <f>C1 &amp; "-I"</f>
        <v>0.0-I</v>
      </c>
    </row>
    <row r="10" spans="1:108" ht="11.25" hidden="1" customHeight="1">
      <c r="A10" s="38"/>
      <c r="B10" s="910"/>
      <c r="C10" s="910"/>
      <c r="D10" s="707"/>
      <c r="E10" s="96"/>
      <c r="F10" s="106" t="str">
        <f>F1 &amp; ".7"</f>
        <v>0.7</v>
      </c>
      <c r="G10" s="105" t="s">
        <v>728</v>
      </c>
      <c r="H10" s="107"/>
      <c r="I10" s="107"/>
      <c r="J10" s="275"/>
      <c r="K10" s="275"/>
      <c r="L10" s="275"/>
      <c r="M10" s="275"/>
      <c r="N10" s="275"/>
      <c r="O10" s="275"/>
      <c r="P10" s="275"/>
      <c r="Q10" s="275"/>
      <c r="R10" s="275"/>
      <c r="S10" s="275"/>
      <c r="T10" s="275"/>
      <c r="U10" s="275"/>
      <c r="V10" s="275"/>
      <c r="W10" s="275"/>
      <c r="X10" s="275"/>
      <c r="Y10" s="275"/>
      <c r="Z10" s="275"/>
      <c r="AA10" s="275"/>
      <c r="AB10" s="275"/>
      <c r="AC10" s="163"/>
      <c r="BF10" s="158" t="str">
        <f>C1 &amp; "-II"</f>
        <v>0.0-II</v>
      </c>
      <c r="CY10" s="673">
        <f>IF(OR(BZ3=0,CO3=0,BZ3=""),0,CO3/BZ3)</f>
        <v>0</v>
      </c>
      <c r="CZ10" s="673">
        <f>IF(OR(CA3=0,CP3=0,CA3=""),0,CP3/CA3)</f>
        <v>0</v>
      </c>
      <c r="DA10" s="673">
        <f>IF(OR(CB3=0,CQ3=0,CB3=""),0,CQ3/CB3)</f>
        <v>0</v>
      </c>
      <c r="DB10" s="673">
        <f>IF(OR(CC3=0,CR3=0,CC3=""),0,CR3/CC3)</f>
        <v>0</v>
      </c>
      <c r="DC10" s="673">
        <f>IF(OR(CD3=0,CS3=0,CD3=""),0,CS3/CD3)</f>
        <v>0</v>
      </c>
      <c r="DD10" s="673">
        <f>IF(OR(SUM(BZ3:CD3)=0,SUM(CO3:CS3)=0),0,SUM(CO3:CS3)/SUM(BZ3:CD3))</f>
        <v>0</v>
      </c>
    </row>
    <row r="11" spans="1:108" ht="11.25" hidden="1" customHeight="1">
      <c r="A11" s="38"/>
      <c r="B11" s="910"/>
      <c r="C11" s="910"/>
      <c r="D11" s="707"/>
      <c r="E11" s="96"/>
      <c r="F11" s="106" t="str">
        <f>F1 &amp; ".8"</f>
        <v>0.8</v>
      </c>
      <c r="G11" s="105" t="s">
        <v>729</v>
      </c>
      <c r="H11" s="107"/>
      <c r="I11" s="107"/>
      <c r="J11" s="275"/>
      <c r="K11" s="275"/>
      <c r="L11" s="275"/>
      <c r="M11" s="275"/>
      <c r="N11" s="275"/>
      <c r="O11" s="275"/>
      <c r="P11" s="275"/>
      <c r="Q11" s="275"/>
      <c r="R11" s="275"/>
      <c r="S11" s="275"/>
      <c r="T11" s="275"/>
      <c r="U11" s="275"/>
      <c r="V11" s="275"/>
      <c r="W11" s="275"/>
      <c r="X11" s="275"/>
      <c r="Y11" s="275"/>
      <c r="Z11" s="275"/>
      <c r="AA11" s="275"/>
      <c r="AB11" s="275"/>
      <c r="AC11" s="163"/>
      <c r="BF11" s="158" t="str">
        <f>C1 &amp; "-II"</f>
        <v>0.0-II</v>
      </c>
    </row>
    <row r="12" spans="1:108" ht="11.25" hidden="1" customHeight="1">
      <c r="A12" s="38"/>
      <c r="B12" s="910"/>
      <c r="C12" s="910"/>
      <c r="D12" s="707"/>
      <c r="E12" s="96"/>
      <c r="F12" s="106" t="str">
        <f>F1 &amp; ".9"</f>
        <v>0.9</v>
      </c>
      <c r="G12" s="105" t="s">
        <v>730</v>
      </c>
      <c r="H12" s="107"/>
      <c r="I12" s="107"/>
      <c r="J12" s="275"/>
      <c r="K12" s="275"/>
      <c r="L12" s="275"/>
      <c r="M12" s="275"/>
      <c r="N12" s="275"/>
      <c r="O12" s="275"/>
      <c r="P12" s="275"/>
      <c r="Q12" s="275"/>
      <c r="R12" s="275"/>
      <c r="S12" s="275"/>
      <c r="T12" s="275"/>
      <c r="U12" s="275"/>
      <c r="V12" s="275"/>
      <c r="W12" s="275"/>
      <c r="X12" s="275"/>
      <c r="Y12" s="275"/>
      <c r="Z12" s="275"/>
      <c r="AA12" s="275"/>
      <c r="AB12" s="275"/>
      <c r="AC12" s="163"/>
      <c r="BF12" s="158" t="str">
        <f>C1 &amp; IF(TEMPLATE_CLAIM="P","-II","-III")</f>
        <v>0.0-III</v>
      </c>
      <c r="CY12" s="673" t="str">
        <f>IF(OR(CE3=0,CT3=0,CE3=""),"",CT3/CE3)</f>
        <v/>
      </c>
      <c r="CZ12" s="673" t="str">
        <f>IF(OR(CF3=0,CU3=0,CF3=""),"",CU3/CF3)</f>
        <v/>
      </c>
      <c r="DA12" s="673" t="str">
        <f>IF(OR(CG3=0,CV3=0,CG3=""),"",CV3/CG3)</f>
        <v/>
      </c>
      <c r="DB12" s="673" t="str">
        <f>IF(OR(CH3=0,CW3=0,CH3=""),"",CW3/CH3)</f>
        <v/>
      </c>
      <c r="DC12" s="673" t="str">
        <f>IF(OR(CI3=0,CX3=0,CI3=""),"",CX3/CI3)</f>
        <v/>
      </c>
      <c r="DD12" s="673" t="str">
        <f>IF(OR(SUM(CE3:CI3)=0,SUM(CT3:CX3)=0),"",SUM(CT3:CX3)/SUM(CE3:CI3))</f>
        <v/>
      </c>
    </row>
    <row r="13" spans="1:108" ht="11.25" hidden="1" customHeight="1">
      <c r="A13" s="38"/>
      <c r="B13" s="910"/>
      <c r="C13" s="910"/>
      <c r="D13" s="707"/>
      <c r="E13" s="96"/>
      <c r="F13" s="106" t="str">
        <f>F1 &amp; ".10"</f>
        <v>0.10</v>
      </c>
      <c r="G13" s="105" t="s">
        <v>731</v>
      </c>
      <c r="H13" s="107"/>
      <c r="I13" s="107"/>
      <c r="J13" s="275"/>
      <c r="K13" s="275"/>
      <c r="L13" s="275"/>
      <c r="M13" s="275"/>
      <c r="N13" s="275"/>
      <c r="O13" s="275"/>
      <c r="P13" s="275"/>
      <c r="Q13" s="275"/>
      <c r="R13" s="275"/>
      <c r="S13" s="275"/>
      <c r="T13" s="275"/>
      <c r="U13" s="275"/>
      <c r="V13" s="275"/>
      <c r="W13" s="275"/>
      <c r="X13" s="275"/>
      <c r="Y13" s="275"/>
      <c r="Z13" s="275"/>
      <c r="AA13" s="275"/>
      <c r="AB13" s="275"/>
      <c r="AC13" s="163"/>
      <c r="BF13" s="158" t="str">
        <f>C1 &amp; IF(TEMPLATE_CLAIM="P","-II","-III")</f>
        <v>0.0-III</v>
      </c>
    </row>
    <row r="14" spans="1:108" ht="11.25" hidden="1" customHeight="1">
      <c r="A14" s="38"/>
      <c r="B14" s="910"/>
      <c r="C14" s="910"/>
      <c r="D14" s="707"/>
      <c r="E14" s="96"/>
      <c r="F14" s="106" t="str">
        <f>F1 &amp; ".11"</f>
        <v>0.11</v>
      </c>
      <c r="G14" s="105" t="s">
        <v>732</v>
      </c>
      <c r="H14" s="107"/>
      <c r="I14" s="107"/>
      <c r="J14" s="275"/>
      <c r="K14" s="275"/>
      <c r="L14" s="275"/>
      <c r="M14" s="275"/>
      <c r="N14" s="275"/>
      <c r="O14" s="275"/>
      <c r="P14" s="275"/>
      <c r="Q14" s="275"/>
      <c r="R14" s="275"/>
      <c r="S14" s="275"/>
      <c r="T14" s="275"/>
      <c r="U14" s="275"/>
      <c r="V14" s="275"/>
      <c r="W14" s="275"/>
      <c r="X14" s="275"/>
      <c r="Y14" s="275"/>
      <c r="Z14" s="275"/>
      <c r="AA14" s="275"/>
      <c r="AB14" s="275"/>
      <c r="AC14" s="163"/>
      <c r="BF14" s="158" t="str">
        <f>C1 &amp; IF(TEMPLATE_CLAIM="P","-II","-III")</f>
        <v>0.0-III</v>
      </c>
    </row>
    <row r="15" spans="1:108" ht="11.25" hidden="1" customHeight="1">
      <c r="A15" s="38"/>
      <c r="B15" s="910"/>
      <c r="C15" s="910"/>
      <c r="D15" s="707"/>
      <c r="E15" s="96"/>
      <c r="F15" s="106" t="str">
        <f>F1 &amp; ".12"</f>
        <v>0.12</v>
      </c>
      <c r="G15" s="105" t="s">
        <v>733</v>
      </c>
      <c r="H15" s="107"/>
      <c r="I15" s="107"/>
      <c r="J15" s="275"/>
      <c r="K15" s="275"/>
      <c r="L15" s="275"/>
      <c r="M15" s="275"/>
      <c r="N15" s="275"/>
      <c r="O15" s="275"/>
      <c r="P15" s="275"/>
      <c r="Q15" s="275"/>
      <c r="R15" s="275"/>
      <c r="S15" s="275"/>
      <c r="T15" s="275"/>
      <c r="U15" s="275"/>
      <c r="V15" s="275"/>
      <c r="W15" s="275"/>
      <c r="X15" s="275"/>
      <c r="Y15" s="275"/>
      <c r="Z15" s="275"/>
      <c r="AA15" s="275"/>
      <c r="AB15" s="275"/>
      <c r="AC15" s="163"/>
      <c r="BF15" s="158" t="str">
        <f>C1 &amp; IF(TEMPLATE_CLAIM="P","-II","-III")</f>
        <v>0.0-III</v>
      </c>
    </row>
    <row r="16" spans="1:108" ht="0.75" hidden="1" customHeight="1">
      <c r="B16" s="910"/>
      <c r="C16" s="910"/>
      <c r="D16" s="707"/>
      <c r="F16" s="107"/>
      <c r="G16" s="107"/>
      <c r="H16" s="107"/>
      <c r="I16" s="107"/>
      <c r="J16" s="275"/>
      <c r="K16" s="275"/>
      <c r="L16" s="275"/>
      <c r="M16" s="275"/>
      <c r="N16" s="275"/>
      <c r="O16" s="275"/>
      <c r="P16" s="275"/>
      <c r="Q16" s="275"/>
      <c r="R16" s="275"/>
      <c r="S16" s="275"/>
      <c r="T16" s="275"/>
      <c r="U16" s="275"/>
      <c r="V16" s="275"/>
      <c r="W16" s="275"/>
      <c r="X16" s="275"/>
      <c r="Y16" s="275"/>
      <c r="Z16" s="275"/>
      <c r="AA16" s="275"/>
      <c r="AB16" s="275"/>
      <c r="BF16" s="158"/>
    </row>
    <row r="17" spans="1:108" ht="0.75" hidden="1" customHeight="1">
      <c r="B17" s="910"/>
      <c r="C17" s="910"/>
      <c r="D17" s="707"/>
      <c r="F17" s="107"/>
      <c r="G17" s="107"/>
      <c r="H17" s="107"/>
      <c r="I17" s="107"/>
      <c r="J17" s="275"/>
      <c r="K17" s="275"/>
      <c r="L17" s="275"/>
      <c r="M17" s="275"/>
      <c r="N17" s="275"/>
      <c r="O17" s="275"/>
      <c r="P17" s="275"/>
      <c r="Q17" s="275"/>
      <c r="R17" s="275"/>
      <c r="S17" s="275"/>
      <c r="T17" s="275"/>
      <c r="U17" s="275"/>
      <c r="V17" s="275"/>
      <c r="W17" s="275"/>
      <c r="X17" s="275"/>
      <c r="Y17" s="275"/>
      <c r="Z17" s="275"/>
      <c r="AA17" s="275"/>
      <c r="AB17" s="275"/>
      <c r="BF17" s="158"/>
    </row>
    <row r="18" spans="1:108" ht="0.75" hidden="1" customHeight="1">
      <c r="B18" s="910"/>
      <c r="C18" s="910"/>
      <c r="D18" s="707"/>
      <c r="F18" s="107"/>
      <c r="G18" s="107"/>
      <c r="H18" s="107"/>
      <c r="I18" s="107"/>
      <c r="J18" s="275"/>
      <c r="K18" s="275"/>
      <c r="L18" s="275"/>
      <c r="M18" s="275"/>
      <c r="N18" s="275"/>
      <c r="O18" s="275"/>
      <c r="P18" s="275"/>
      <c r="Q18" s="275"/>
      <c r="R18" s="275"/>
      <c r="S18" s="275"/>
      <c r="T18" s="275"/>
      <c r="U18" s="275"/>
      <c r="V18" s="275"/>
      <c r="W18" s="275"/>
      <c r="X18" s="275"/>
      <c r="Y18" s="275"/>
      <c r="Z18" s="275"/>
      <c r="AA18" s="275"/>
      <c r="AB18" s="275"/>
      <c r="BF18" s="158"/>
    </row>
    <row r="19" spans="1:108" ht="0.75" hidden="1" customHeight="1">
      <c r="B19" s="910"/>
      <c r="C19" s="910"/>
      <c r="D19" s="707"/>
      <c r="F19" s="107"/>
      <c r="G19" s="107"/>
      <c r="H19" s="107"/>
      <c r="I19" s="107"/>
      <c r="J19" s="275"/>
      <c r="K19" s="275"/>
      <c r="L19" s="275"/>
      <c r="M19" s="275"/>
      <c r="N19" s="275"/>
      <c r="O19" s="275"/>
      <c r="P19" s="275"/>
      <c r="Q19" s="275"/>
      <c r="R19" s="275"/>
      <c r="S19" s="275"/>
      <c r="T19" s="275"/>
      <c r="U19" s="275"/>
      <c r="V19" s="275"/>
      <c r="W19" s="275"/>
      <c r="X19" s="275"/>
      <c r="Y19" s="275"/>
      <c r="Z19" s="275"/>
      <c r="AA19" s="275"/>
      <c r="AB19" s="275"/>
      <c r="BF19" s="158"/>
    </row>
    <row r="20" spans="1:108" ht="0.75" hidden="1" customHeight="1">
      <c r="B20" s="910"/>
      <c r="C20" s="910"/>
      <c r="D20" s="707"/>
      <c r="F20" s="107"/>
      <c r="G20" s="107"/>
      <c r="H20" s="107"/>
      <c r="I20" s="107"/>
      <c r="J20" s="275"/>
      <c r="K20" s="275"/>
      <c r="L20" s="275"/>
      <c r="M20" s="275"/>
      <c r="N20" s="275"/>
      <c r="O20" s="275"/>
      <c r="P20" s="275"/>
      <c r="Q20" s="275"/>
      <c r="R20" s="275"/>
      <c r="S20" s="275"/>
      <c r="T20" s="275"/>
      <c r="U20" s="275"/>
      <c r="V20" s="275"/>
      <c r="W20" s="275"/>
      <c r="X20" s="275"/>
      <c r="Y20" s="275"/>
      <c r="Z20" s="275"/>
      <c r="AA20" s="275"/>
      <c r="AB20" s="275"/>
      <c r="BF20" s="158"/>
    </row>
    <row r="21" spans="1:108" ht="0.75" hidden="1" customHeight="1">
      <c r="B21" s="910"/>
      <c r="C21" s="910"/>
      <c r="D21" s="707"/>
      <c r="F21" s="107"/>
      <c r="G21" s="107"/>
      <c r="H21" s="107"/>
      <c r="I21" s="107"/>
      <c r="J21" s="275"/>
      <c r="K21" s="275"/>
      <c r="L21" s="275"/>
      <c r="M21" s="275"/>
      <c r="N21" s="275"/>
      <c r="O21" s="275"/>
      <c r="P21" s="275"/>
      <c r="Q21" s="275"/>
      <c r="R21" s="275"/>
      <c r="S21" s="275"/>
      <c r="T21" s="275"/>
      <c r="U21" s="275"/>
      <c r="V21" s="275"/>
      <c r="W21" s="275"/>
      <c r="X21" s="275"/>
      <c r="Y21" s="275"/>
      <c r="Z21" s="275"/>
      <c r="AA21" s="275"/>
      <c r="AB21" s="275"/>
      <c r="BF21" s="158"/>
    </row>
    <row r="22" spans="1:108" ht="0.75" hidden="1" customHeight="1">
      <c r="B22" s="910"/>
      <c r="C22" s="910"/>
      <c r="D22" s="707"/>
      <c r="F22" s="107"/>
      <c r="G22" s="107"/>
      <c r="H22" s="107"/>
      <c r="I22" s="107"/>
      <c r="J22" s="275"/>
      <c r="K22" s="275"/>
      <c r="L22" s="275"/>
      <c r="M22" s="275"/>
      <c r="N22" s="275"/>
      <c r="O22" s="275"/>
      <c r="P22" s="275"/>
      <c r="Q22" s="275"/>
      <c r="R22" s="275"/>
      <c r="S22" s="275"/>
      <c r="T22" s="275"/>
      <c r="U22" s="275"/>
      <c r="V22" s="275"/>
      <c r="W22" s="275"/>
      <c r="X22" s="275"/>
      <c r="Y22" s="275"/>
      <c r="Z22" s="275"/>
      <c r="AA22" s="275"/>
      <c r="AB22" s="275"/>
      <c r="BF22" s="158"/>
    </row>
    <row r="23" spans="1:108" ht="0.75" hidden="1" customHeight="1">
      <c r="B23" s="910"/>
      <c r="C23" s="910"/>
      <c r="D23" s="707"/>
      <c r="F23" s="107"/>
      <c r="G23" s="107"/>
      <c r="H23" s="107"/>
      <c r="I23" s="107"/>
      <c r="J23" s="275"/>
      <c r="K23" s="275"/>
      <c r="L23" s="275"/>
      <c r="M23" s="275"/>
      <c r="N23" s="275"/>
      <c r="O23" s="275"/>
      <c r="P23" s="275"/>
      <c r="Q23" s="275"/>
      <c r="R23" s="275"/>
      <c r="S23" s="275"/>
      <c r="T23" s="275"/>
      <c r="U23" s="275"/>
      <c r="V23" s="275"/>
      <c r="W23" s="275"/>
      <c r="X23" s="275"/>
      <c r="Y23" s="275"/>
      <c r="Z23" s="275"/>
      <c r="AA23" s="275"/>
      <c r="AB23" s="275"/>
      <c r="BF23" s="158"/>
    </row>
    <row r="24" spans="1:108" ht="0.75" hidden="1" customHeight="1">
      <c r="B24" s="910"/>
      <c r="C24" s="910"/>
      <c r="D24" s="707"/>
      <c r="F24" s="107"/>
      <c r="G24" s="107"/>
      <c r="H24" s="107"/>
      <c r="I24" s="107"/>
      <c r="J24" s="275"/>
      <c r="K24" s="275"/>
      <c r="L24" s="275"/>
      <c r="M24" s="275"/>
      <c r="N24" s="275"/>
      <c r="O24" s="275"/>
      <c r="P24" s="275"/>
      <c r="Q24" s="275"/>
      <c r="R24" s="275"/>
      <c r="S24" s="275"/>
      <c r="T24" s="275"/>
      <c r="U24" s="275"/>
      <c r="V24" s="275"/>
      <c r="W24" s="275"/>
      <c r="X24" s="275"/>
      <c r="Y24" s="275"/>
      <c r="Z24" s="275"/>
      <c r="AA24" s="275"/>
      <c r="AB24" s="275"/>
      <c r="BF24" s="158"/>
    </row>
    <row r="25" spans="1:108" ht="0.75" hidden="1" customHeight="1">
      <c r="B25" s="910"/>
      <c r="C25" s="910"/>
      <c r="D25" s="707"/>
      <c r="F25" s="107"/>
      <c r="G25" s="107"/>
      <c r="H25" s="107"/>
      <c r="I25" s="107"/>
      <c r="J25" s="275"/>
      <c r="K25" s="275"/>
      <c r="L25" s="275"/>
      <c r="M25" s="275"/>
      <c r="N25" s="275"/>
      <c r="O25" s="275"/>
      <c r="P25" s="275"/>
      <c r="Q25" s="275"/>
      <c r="R25" s="275"/>
      <c r="S25" s="275"/>
      <c r="T25" s="275"/>
      <c r="U25" s="275"/>
      <c r="V25" s="275"/>
      <c r="W25" s="275"/>
      <c r="X25" s="275"/>
      <c r="Y25" s="275"/>
      <c r="Z25" s="275"/>
      <c r="AA25" s="275"/>
      <c r="AB25" s="275"/>
      <c r="BF25" s="158"/>
    </row>
    <row r="26" spans="1:108" ht="0.75" hidden="1" customHeight="1">
      <c r="B26" s="910"/>
      <c r="C26" s="910"/>
      <c r="D26" s="707"/>
      <c r="F26" s="107"/>
      <c r="G26" s="107"/>
      <c r="H26" s="107"/>
      <c r="I26" s="107"/>
      <c r="J26" s="275"/>
      <c r="K26" s="275"/>
      <c r="L26" s="275"/>
      <c r="M26" s="275"/>
      <c r="N26" s="275"/>
      <c r="O26" s="275"/>
      <c r="P26" s="275"/>
      <c r="Q26" s="275"/>
      <c r="R26" s="275"/>
      <c r="S26" s="275"/>
      <c r="T26" s="275"/>
      <c r="U26" s="275"/>
      <c r="V26" s="275"/>
      <c r="W26" s="275"/>
      <c r="X26" s="275"/>
      <c r="Y26" s="275"/>
      <c r="Z26" s="275"/>
      <c r="AA26" s="275"/>
      <c r="AB26" s="275"/>
      <c r="BF26" s="158"/>
    </row>
    <row r="27" spans="1:108" ht="0.75" hidden="1" customHeight="1">
      <c r="B27" s="910"/>
      <c r="C27" s="910"/>
      <c r="D27" s="707"/>
      <c r="F27" s="107"/>
      <c r="G27" s="107"/>
      <c r="H27" s="107"/>
      <c r="I27" s="107"/>
      <c r="J27" s="275"/>
      <c r="K27" s="275"/>
      <c r="L27" s="275"/>
      <c r="M27" s="275"/>
      <c r="N27" s="275"/>
      <c r="O27" s="275"/>
      <c r="P27" s="275"/>
      <c r="Q27" s="275"/>
      <c r="R27" s="275"/>
      <c r="S27" s="275"/>
      <c r="T27" s="275"/>
      <c r="U27" s="275"/>
      <c r="V27" s="275"/>
      <c r="W27" s="275"/>
      <c r="X27" s="275"/>
      <c r="Y27" s="275"/>
      <c r="Z27" s="275"/>
      <c r="AA27" s="275"/>
      <c r="AB27" s="275"/>
      <c r="BF27" s="158"/>
    </row>
    <row r="28" spans="1:108" ht="0.75" hidden="1" customHeight="1">
      <c r="B28" s="910"/>
      <c r="C28" s="910"/>
      <c r="D28" s="707"/>
      <c r="F28" s="107"/>
      <c r="G28" s="107"/>
      <c r="H28" s="107"/>
      <c r="I28" s="107"/>
      <c r="J28" s="275"/>
      <c r="K28" s="275"/>
      <c r="L28" s="275"/>
      <c r="M28" s="275"/>
      <c r="N28" s="275"/>
      <c r="O28" s="275"/>
      <c r="P28" s="275"/>
      <c r="Q28" s="275"/>
      <c r="R28" s="275"/>
      <c r="S28" s="275"/>
      <c r="T28" s="275"/>
      <c r="U28" s="275"/>
      <c r="V28" s="275"/>
      <c r="W28" s="275"/>
      <c r="X28" s="275"/>
      <c r="Y28" s="275"/>
      <c r="Z28" s="275"/>
      <c r="AA28" s="275"/>
      <c r="AB28" s="275"/>
      <c r="BF28" s="158"/>
    </row>
    <row r="29" spans="1:108" ht="21" hidden="1" customHeight="1">
      <c r="A29" s="38"/>
      <c r="B29" s="910"/>
      <c r="C29" s="119" t="str">
        <f>F31</f>
        <v>0.0</v>
      </c>
      <c r="D29" s="714" t="s">
        <v>652</v>
      </c>
      <c r="E29" s="96"/>
      <c r="F29" s="835">
        <f>B29</f>
        <v>0</v>
      </c>
      <c r="G29" s="913"/>
      <c r="H29" s="107"/>
      <c r="I29" s="107"/>
      <c r="J29" s="693">
        <f>IF(TEMPLATE_CLAIM="P","",SUM(M29:N29))</f>
        <v>0</v>
      </c>
      <c r="K29" s="698"/>
      <c r="L29" s="698"/>
      <c r="M29" s="698"/>
      <c r="N29" s="698"/>
      <c r="O29" s="274"/>
      <c r="P29" s="693">
        <f>IF(TEMPLATE_CLAIM="P","",SUM(Q29:T29,U29,Z29:AB29))</f>
        <v>0</v>
      </c>
      <c r="Q29" s="274"/>
      <c r="R29" s="698"/>
      <c r="S29" s="698"/>
      <c r="T29" s="698"/>
      <c r="U29" s="693">
        <f>IF(TEMPLATE_CLAIM="P","",SUM(X29:Y29))</f>
        <v>0</v>
      </c>
      <c r="V29" s="698"/>
      <c r="W29" s="698"/>
      <c r="X29" s="698"/>
      <c r="Y29" s="698"/>
      <c r="Z29" s="274"/>
      <c r="AA29" s="274"/>
      <c r="AB29" s="274"/>
      <c r="AC29" s="161"/>
      <c r="BF29" s="426" t="s">
        <v>3144</v>
      </c>
    </row>
    <row r="30" spans="1:108" ht="0.75" hidden="1" customHeight="1">
      <c r="A30" s="38"/>
      <c r="B30" s="910"/>
      <c r="C30" s="119"/>
      <c r="D30" s="706"/>
      <c r="E30" s="96"/>
      <c r="F30" s="835"/>
      <c r="G30" s="913"/>
      <c r="H30" s="107"/>
      <c r="I30" s="107"/>
      <c r="J30" s="266"/>
      <c r="K30" s="266"/>
      <c r="L30" s="266"/>
      <c r="M30" s="266"/>
      <c r="N30" s="266"/>
      <c r="O30" s="266"/>
      <c r="P30" s="266"/>
      <c r="Q30" s="266"/>
      <c r="R30" s="266"/>
      <c r="S30" s="266"/>
      <c r="T30" s="266"/>
      <c r="U30" s="266"/>
      <c r="V30" s="266"/>
      <c r="W30" s="266"/>
      <c r="X30" s="266"/>
      <c r="Y30" s="266"/>
      <c r="Z30" s="266"/>
      <c r="AA30" s="266"/>
      <c r="AB30" s="266"/>
      <c r="AC30" s="161"/>
      <c r="BF30" s="158"/>
    </row>
    <row r="31" spans="1:108" ht="11.25" hidden="1" customHeight="1">
      <c r="A31" s="38"/>
      <c r="B31" s="910"/>
      <c r="C31" s="910"/>
      <c r="D31" s="707"/>
      <c r="E31" s="96"/>
      <c r="F31" s="106" t="str">
        <f>F29 &amp; ".0"</f>
        <v>0.0</v>
      </c>
      <c r="G31" s="105" t="s">
        <v>721</v>
      </c>
      <c r="H31" s="107"/>
      <c r="I31" s="107"/>
      <c r="J31" s="276">
        <f>SUM(M31:N31)</f>
        <v>0</v>
      </c>
      <c r="K31" s="275"/>
      <c r="L31" s="275"/>
      <c r="M31" s="275"/>
      <c r="N31" s="275"/>
      <c r="O31" s="277"/>
      <c r="P31" s="276">
        <f t="shared" ref="P31:P43" si="0">SUM(Q31:T31,U31,Z31:AB31)</f>
        <v>0</v>
      </c>
      <c r="Q31" s="271">
        <f>SUM(Q32:Q43)</f>
        <v>0</v>
      </c>
      <c r="R31" s="275"/>
      <c r="S31" s="275"/>
      <c r="T31" s="275"/>
      <c r="U31" s="276">
        <f t="shared" ref="U31:U43" si="1">SUM(X31:Y31)</f>
        <v>0</v>
      </c>
      <c r="V31" s="275"/>
      <c r="W31" s="275"/>
      <c r="X31" s="275"/>
      <c r="Y31" s="275"/>
      <c r="Z31" s="271">
        <f>SUM(Z32:Z43)</f>
        <v>0</v>
      </c>
      <c r="AA31" s="271">
        <f>SUM(AA32:AA43)</f>
        <v>0</v>
      </c>
      <c r="AB31" s="271">
        <f>SUM(AB32:AB43)</f>
        <v>0</v>
      </c>
      <c r="AC31" s="161"/>
      <c r="BF31" s="158" t="str">
        <f>IF(TEMPLATE_SPHERE="водоснабжения","TOTAL_ORG_PW","TOTAL_ORG")</f>
        <v>TOTAL_ORG</v>
      </c>
      <c r="BU31" s="638">
        <f>IF(TARIFF_SETUP_METHOD_CODE="BY_PSEUDO_YEARS",SUM($U32:$U43),SUM($U32:$U37))</f>
        <v>0</v>
      </c>
      <c r="BV31" s="638">
        <f>IF(TARIFF_SETUP_METHOD_CODE="BY_PSEUDO_YEARS",SUM($Z32:$Z43),SUM($Z32:$Z37))</f>
        <v>0</v>
      </c>
      <c r="BW31" s="638">
        <f>IF(TARIFF_SETUP_METHOD_CODE="BY_PSEUDO_YEARS",SUM($AA32:$AA43),SUM($AA32:$AA37))</f>
        <v>0</v>
      </c>
      <c r="BX31" s="638">
        <f>IF(TARIFF_SETUP_METHOD_CODE="BY_PSEUDO_YEARS",SUM($AB32:$AB43),SUM($AB32:$AB37))</f>
        <v>0</v>
      </c>
      <c r="BY31" s="672">
        <f>IF(TARIFF_SETUP_METHOD_CODE="BY_PSEUDO_YEARS",IF(TEMPLATE_CLAIM="U",SUM($Q32:$Q43),SUM($R32:$R43)),IF(TEMPLATE_CLAIM="U",SUM($Q32:$Q37),SUM($R32:$R37)))</f>
        <v>0</v>
      </c>
      <c r="BZ31" s="638">
        <f>IF(TARIFF_SETUP_METHOD_CODE="BY_PSEUDO_YEARS",SUM($U32:$U43),IF(TEMPLATE_CLAIM="U",SUM($U38:$U39),SUM($U38:$U43)))</f>
        <v>0</v>
      </c>
      <c r="CA31" s="638">
        <f>IF(TARIFF_SETUP_METHOD_CODE="BY_PSEUDO_YEARS",SUM($Z32:$Z43),IF(TEMPLATE_CLAIM="U",SUM($Z38:$Z39),SUM($Z38:$Z43)))</f>
        <v>0</v>
      </c>
      <c r="CB31" s="638">
        <f>IF(TARIFF_SETUP_METHOD_CODE="BY_PSEUDO_YEARS",SUM($AA32:$AA43),IF(TEMPLATE_CLAIM="U",SUM($AA38:$AA39),SUM($AA38:$AA43)))</f>
        <v>0</v>
      </c>
      <c r="CC31" s="638">
        <f>IF(TARIFF_SETUP_METHOD_CODE="BY_PSEUDO_YEARS",SUM($AB32:$AB43),IF(TEMPLATE_CLAIM="U",SUM($AB38:$AB39),SUM($AB38:$AB43)))</f>
        <v>0</v>
      </c>
      <c r="CD31" s="672">
        <f>IF(TARIFF_SETUP_METHOD_CODE="BY_PSEUDO_YEARS",IF(TEMPLATE_CLAIM="U",SUM($Q32:$Q43),SUM($R32:$R43)),IF(TEMPLATE_CLAIM="U",SUM($Q38:$Q39),SUM($R38:$R43)))</f>
        <v>0</v>
      </c>
      <c r="CE31" s="638">
        <f>IF(TEMPLATE_CLAIM="P","",IF(TARIFF_SETUP_METHOD_CODE="BY_PSEUDO_YEARS",SUM($U32:$U43),SUM($U40:$U43)))</f>
        <v>0</v>
      </c>
      <c r="CF31" s="638">
        <f>IF(TEMPLATE_CLAIM="P","",IF(TARIFF_SETUP_METHOD_CODE="BY_PSEUDO_YEARS",SUM($Z32:$Z43),SUM($Z40:$Z43)))</f>
        <v>0</v>
      </c>
      <c r="CG31" s="638">
        <f>IF(TEMPLATE_CLAIM="P","",IF(TARIFF_SETUP_METHOD_CODE="BY_PSEUDO_YEARS",SUM($AA32:$AA43),SUM($AA40:$AA43)))</f>
        <v>0</v>
      </c>
      <c r="CH31" s="638">
        <f>IF(TEMPLATE_CLAIM="P","",IF(TARIFF_SETUP_METHOD_CODE="BY_PSEUDO_YEARS",SUM($AB32:$AB43),SUM($AB40:$AB43)))</f>
        <v>0</v>
      </c>
      <c r="CI31" s="672">
        <f>IF(TARIFF_SETUP_METHOD_CODE="BY_PSEUDO_YEARS",IF(TEMPLATE_CLAIM="P","",SUM($R32:$R43)),IF(TEMPLATE_CLAIM="P","",SUM($R40:$R43)))</f>
        <v>0</v>
      </c>
      <c r="CJ31" s="382">
        <f>IF(TARIFF_SETUP_METHOD_CODE="STUB_INDICATOR",SUM($U32:$U43),SUM($U32:$U37))</f>
        <v>0</v>
      </c>
      <c r="CK31" s="382">
        <f>IF(TARIFF_SETUP_METHOD_CODE="STUB_INDICATOR",SUM($Z32:$Z43),SUM($Z32:$Z37))</f>
        <v>0</v>
      </c>
      <c r="CL31" s="382">
        <f>IF(TARIFF_SETUP_METHOD_CODE="STUB_INDICATOR",SUM($AA32:$AA43),SUM($AA32:$AA37))</f>
        <v>0</v>
      </c>
      <c r="CM31" s="382">
        <f>IF(TARIFF_SETUP_METHOD_CODE="STUB_INDICATOR",SUM($AB32:$AB43),SUM($AB32:$AB37))</f>
        <v>0</v>
      </c>
      <c r="CN31" s="382">
        <f>IF(TARIFF_SETUP_METHOD_CODE="STUB_INDICATOR",IF(TEMPLATE_CLAIM="U",SUM($Q32:$Q43),SUM($R32:$R43)),IF(TEMPLATE_CLAIM="U",SUM($Q32:$Q37),SUM($R32:$R37)))</f>
        <v>0</v>
      </c>
      <c r="CO31" s="382">
        <f>IF(TARIFF_SETUP_METHOD_CODE="STUB_INDICATOR",SUM($U32:$U43),IF(TEMPLATE_CLAIM="U",SUM($U38:$U39),SUM($U38:$U43)))</f>
        <v>0</v>
      </c>
      <c r="CP31" s="382">
        <f>IF(TARIFF_SETUP_METHOD_CODE="STUB_INDICATOR",SUM($Z32:$Z43),IF(TEMPLATE_CLAIM="U",SUM($Z38:$Z39),SUM($Z38:$Z43)))</f>
        <v>0</v>
      </c>
      <c r="CQ31" s="382">
        <f>IF(TARIFF_SETUP_METHOD_CODE="STUB_INDICATOR",SUM($AA32:$AA43),IF(TEMPLATE_CLAIM="U",SUM($AA38:$AA39),SUM($AA38:$AA43)))</f>
        <v>0</v>
      </c>
      <c r="CR31" s="382">
        <f>IF(TARIFF_SETUP_METHOD_CODE="STUB_INDICATOR",SUM($AB32:$AB43),IF(TEMPLATE_CLAIM="U",SUM($AB38:$AB39),SUM($AB38:$AB43)))</f>
        <v>0</v>
      </c>
      <c r="CS31" s="382">
        <f>IF(TARIFF_SETUP_METHOD_CODE="STUB_INDICATOR",IF(TEMPLATE_CLAIM="U",SUM($Q32:$Q43),SUM($R32:$R43)),IF(TEMPLATE_CLAIM="U",SUM($Q38:$Q39),SUM($R38:$R43)))</f>
        <v>0</v>
      </c>
      <c r="CT31" s="382">
        <f>IF(TEMPLATE_CLAIM="P","",IF(TARIFF_SETUP_METHOD_CODE="STUB_INDICATOR",SUM($U32:$U43),SUM($U40:$U43)))</f>
        <v>0</v>
      </c>
      <c r="CU31" s="382">
        <f>IF(TEMPLATE_CLAIM="P","",IF(TARIFF_SETUP_METHOD_CODE="STUB_INDICATOR",SUM($Z32:$Z43),SUM($Z40:$Z43)))</f>
        <v>0</v>
      </c>
      <c r="CV31" s="382">
        <f>IF(TEMPLATE_CLAIM="P","",IF(TARIFF_SETUP_METHOD_CODE="STUB_INDICATOR",SUM($AA32:$AA43),SUM($AA40:$AA43)))</f>
        <v>0</v>
      </c>
      <c r="CW31" s="382">
        <f>IF(TEMPLATE_CLAIM="P","",IF(TARIFF_SETUP_METHOD_CODE="STUB_INDICATOR",SUM($AB32:$AB43),SUM($AB40:$AB43)))</f>
        <v>0</v>
      </c>
      <c r="CX31" s="382">
        <f>IF(TARIFF_SETUP_METHOD_CODE="STUB_INDICATOR",IF(TEMPLATE_CLAIM="P","",SUM($R32:$R43)),IF(TEMPLATE_CLAIM="P","",SUM($R40:$R43)))</f>
        <v>0</v>
      </c>
    </row>
    <row r="32" spans="1:108" ht="11.25" hidden="1" customHeight="1">
      <c r="A32" s="38"/>
      <c r="B32" s="910"/>
      <c r="C32" s="910"/>
      <c r="D32" s="707"/>
      <c r="E32" s="96"/>
      <c r="F32" s="106" t="str">
        <f>F29 &amp; ".1"</f>
        <v>0.1</v>
      </c>
      <c r="G32" s="105" t="s">
        <v>722</v>
      </c>
      <c r="H32" s="107"/>
      <c r="I32" s="107"/>
      <c r="J32" s="266"/>
      <c r="K32" s="275"/>
      <c r="L32" s="275"/>
      <c r="M32" s="275"/>
      <c r="N32" s="275"/>
      <c r="O32" s="266"/>
      <c r="P32" s="276">
        <f t="shared" si="0"/>
        <v>0</v>
      </c>
      <c r="Q32" s="277"/>
      <c r="R32" s="275"/>
      <c r="S32" s="275"/>
      <c r="T32" s="275"/>
      <c r="U32" s="276">
        <f t="shared" si="1"/>
        <v>0</v>
      </c>
      <c r="V32" s="275"/>
      <c r="W32" s="275"/>
      <c r="X32" s="275"/>
      <c r="Y32" s="275"/>
      <c r="Z32" s="277"/>
      <c r="AA32" s="277"/>
      <c r="AB32" s="277"/>
      <c r="AC32" s="161"/>
      <c r="BF32" s="158" t="str">
        <f>C29 &amp; "-I"</f>
        <v>0.0-I</v>
      </c>
      <c r="CY32" s="673">
        <f>IF(OR(BU31=0,CJ31=0,BU31=""),0,CJ31/BU31)</f>
        <v>0</v>
      </c>
      <c r="CZ32" s="673">
        <f>IF(OR(BV31=0,CK31=0,BV31=""),0,CK31/BV31)</f>
        <v>0</v>
      </c>
      <c r="DA32" s="673">
        <f>IF(OR(BW31=0,CL31=0,BW31=""),0,CL31/BW31)</f>
        <v>0</v>
      </c>
      <c r="DB32" s="673">
        <f>IF(OR(BX31=0,CM31=0,BX31=""),0,CM31/BX31)</f>
        <v>0</v>
      </c>
      <c r="DC32" s="673">
        <f>IF(OR(BY31=0,CN31=0,BY31=""),0,CN31/BY31)</f>
        <v>0</v>
      </c>
      <c r="DD32" s="673">
        <f>IF(OR(SUM(BU31:BY31)=0,SUM(CJ31:CN31)=0),0,SUM(CJ31:CN31)/SUM(BU31:BY31))</f>
        <v>0</v>
      </c>
    </row>
    <row r="33" spans="1:108" ht="11.25" hidden="1" customHeight="1">
      <c r="A33" s="38"/>
      <c r="B33" s="910"/>
      <c r="C33" s="910"/>
      <c r="D33" s="707"/>
      <c r="E33" s="96"/>
      <c r="F33" s="106" t="str">
        <f>F29 &amp; ".2"</f>
        <v>0.2</v>
      </c>
      <c r="G33" s="105" t="s">
        <v>723</v>
      </c>
      <c r="H33" s="107"/>
      <c r="I33" s="107"/>
      <c r="J33" s="266"/>
      <c r="K33" s="275"/>
      <c r="L33" s="275"/>
      <c r="M33" s="275"/>
      <c r="N33" s="275"/>
      <c r="O33" s="266"/>
      <c r="P33" s="276">
        <f t="shared" si="0"/>
        <v>0</v>
      </c>
      <c r="Q33" s="277"/>
      <c r="R33" s="275"/>
      <c r="S33" s="275"/>
      <c r="T33" s="275"/>
      <c r="U33" s="276">
        <f t="shared" si="1"/>
        <v>0</v>
      </c>
      <c r="V33" s="275"/>
      <c r="W33" s="275"/>
      <c r="X33" s="275"/>
      <c r="Y33" s="275"/>
      <c r="Z33" s="277"/>
      <c r="AA33" s="277"/>
      <c r="AB33" s="277"/>
      <c r="AC33" s="163"/>
      <c r="BF33" s="158" t="str">
        <f>C29 &amp; "-I"</f>
        <v>0.0-I</v>
      </c>
    </row>
    <row r="34" spans="1:108" ht="11.25" hidden="1" customHeight="1">
      <c r="A34" s="38"/>
      <c r="B34" s="910"/>
      <c r="C34" s="910"/>
      <c r="D34" s="707"/>
      <c r="E34" s="96"/>
      <c r="F34" s="106" t="str">
        <f>F29 &amp; ".3"</f>
        <v>0.3</v>
      </c>
      <c r="G34" s="105" t="s">
        <v>724</v>
      </c>
      <c r="H34" s="107"/>
      <c r="I34" s="107"/>
      <c r="J34" s="266"/>
      <c r="K34" s="275"/>
      <c r="L34" s="275"/>
      <c r="M34" s="275"/>
      <c r="N34" s="275"/>
      <c r="O34" s="266"/>
      <c r="P34" s="276">
        <f t="shared" si="0"/>
        <v>0</v>
      </c>
      <c r="Q34" s="277"/>
      <c r="R34" s="275"/>
      <c r="S34" s="275"/>
      <c r="T34" s="275"/>
      <c r="U34" s="276">
        <f t="shared" si="1"/>
        <v>0</v>
      </c>
      <c r="V34" s="275"/>
      <c r="W34" s="275"/>
      <c r="X34" s="275"/>
      <c r="Y34" s="275"/>
      <c r="Z34" s="277"/>
      <c r="AA34" s="277"/>
      <c r="AB34" s="277"/>
      <c r="AC34" s="163"/>
      <c r="BF34" s="158" t="str">
        <f>C29 &amp; "-I"</f>
        <v>0.0-I</v>
      </c>
    </row>
    <row r="35" spans="1:108" ht="11.25" hidden="1" customHeight="1">
      <c r="A35" s="38"/>
      <c r="B35" s="910"/>
      <c r="C35" s="910"/>
      <c r="D35" s="707"/>
      <c r="E35" s="96"/>
      <c r="F35" s="106" t="str">
        <f>F29 &amp; ".4"</f>
        <v>0.4</v>
      </c>
      <c r="G35" s="105" t="s">
        <v>725</v>
      </c>
      <c r="H35" s="107"/>
      <c r="I35" s="107"/>
      <c r="J35" s="266"/>
      <c r="K35" s="275"/>
      <c r="L35" s="275"/>
      <c r="M35" s="275"/>
      <c r="N35" s="275"/>
      <c r="O35" s="266"/>
      <c r="P35" s="276">
        <f t="shared" si="0"/>
        <v>0</v>
      </c>
      <c r="Q35" s="277"/>
      <c r="R35" s="275"/>
      <c r="S35" s="275"/>
      <c r="T35" s="275"/>
      <c r="U35" s="276">
        <f t="shared" si="1"/>
        <v>0</v>
      </c>
      <c r="V35" s="275"/>
      <c r="W35" s="275"/>
      <c r="X35" s="275"/>
      <c r="Y35" s="275"/>
      <c r="Z35" s="277"/>
      <c r="AA35" s="277"/>
      <c r="AB35" s="277"/>
      <c r="AC35" s="163"/>
      <c r="BF35" s="158" t="str">
        <f>C29 &amp; "-I"</f>
        <v>0.0-I</v>
      </c>
    </row>
    <row r="36" spans="1:108" ht="11.25" hidden="1" customHeight="1">
      <c r="A36" s="38"/>
      <c r="B36" s="910"/>
      <c r="C36" s="910"/>
      <c r="D36" s="707"/>
      <c r="E36" s="96"/>
      <c r="F36" s="106" t="str">
        <f>F29 &amp; ".5"</f>
        <v>0.5</v>
      </c>
      <c r="G36" s="105" t="s">
        <v>726</v>
      </c>
      <c r="H36" s="107"/>
      <c r="I36" s="107"/>
      <c r="J36" s="266"/>
      <c r="K36" s="275"/>
      <c r="L36" s="275"/>
      <c r="M36" s="275"/>
      <c r="N36" s="275"/>
      <c r="O36" s="266"/>
      <c r="P36" s="276">
        <f t="shared" si="0"/>
        <v>0</v>
      </c>
      <c r="Q36" s="277"/>
      <c r="R36" s="275"/>
      <c r="S36" s="275"/>
      <c r="T36" s="275"/>
      <c r="U36" s="276">
        <f t="shared" si="1"/>
        <v>0</v>
      </c>
      <c r="V36" s="275"/>
      <c r="W36" s="275"/>
      <c r="X36" s="275"/>
      <c r="Y36" s="275"/>
      <c r="Z36" s="277"/>
      <c r="AA36" s="277"/>
      <c r="AB36" s="277"/>
      <c r="AC36" s="163"/>
      <c r="BF36" s="158" t="str">
        <f>C29 &amp; "-I"</f>
        <v>0.0-I</v>
      </c>
    </row>
    <row r="37" spans="1:108" ht="11.25" hidden="1" customHeight="1">
      <c r="A37" s="38"/>
      <c r="B37" s="910"/>
      <c r="C37" s="910"/>
      <c r="D37" s="707"/>
      <c r="E37" s="96"/>
      <c r="F37" s="106" t="str">
        <f>F29 &amp; ".6"</f>
        <v>0.6</v>
      </c>
      <c r="G37" s="105" t="s">
        <v>727</v>
      </c>
      <c r="H37" s="107"/>
      <c r="I37" s="107"/>
      <c r="J37" s="266"/>
      <c r="K37" s="275"/>
      <c r="L37" s="275"/>
      <c r="M37" s="275"/>
      <c r="N37" s="275"/>
      <c r="O37" s="266"/>
      <c r="P37" s="276">
        <f t="shared" si="0"/>
        <v>0</v>
      </c>
      <c r="Q37" s="277"/>
      <c r="R37" s="275"/>
      <c r="S37" s="275"/>
      <c r="T37" s="275"/>
      <c r="U37" s="276">
        <f t="shared" si="1"/>
        <v>0</v>
      </c>
      <c r="V37" s="275"/>
      <c r="W37" s="275"/>
      <c r="X37" s="275"/>
      <c r="Y37" s="275"/>
      <c r="Z37" s="277"/>
      <c r="AA37" s="277"/>
      <c r="AB37" s="277"/>
      <c r="AC37" s="163"/>
      <c r="BF37" s="158" t="str">
        <f>C29 &amp; "-I"</f>
        <v>0.0-I</v>
      </c>
    </row>
    <row r="38" spans="1:108" ht="11.25" hidden="1" customHeight="1">
      <c r="A38" s="38"/>
      <c r="B38" s="910"/>
      <c r="C38" s="910"/>
      <c r="D38" s="707"/>
      <c r="E38" s="96"/>
      <c r="F38" s="106" t="str">
        <f>F29 &amp; ".7"</f>
        <v>0.7</v>
      </c>
      <c r="G38" s="105" t="s">
        <v>728</v>
      </c>
      <c r="H38" s="107"/>
      <c r="I38" s="107"/>
      <c r="J38" s="266"/>
      <c r="K38" s="275"/>
      <c r="L38" s="275"/>
      <c r="M38" s="275"/>
      <c r="N38" s="275"/>
      <c r="O38" s="266"/>
      <c r="P38" s="276">
        <f t="shared" si="0"/>
        <v>0</v>
      </c>
      <c r="Q38" s="277"/>
      <c r="R38" s="275"/>
      <c r="S38" s="275"/>
      <c r="T38" s="275"/>
      <c r="U38" s="276">
        <f t="shared" si="1"/>
        <v>0</v>
      </c>
      <c r="V38" s="275"/>
      <c r="W38" s="275"/>
      <c r="X38" s="275"/>
      <c r="Y38" s="275"/>
      <c r="Z38" s="277"/>
      <c r="AA38" s="277"/>
      <c r="AB38" s="277"/>
      <c r="AC38" s="163"/>
      <c r="BF38" s="158" t="str">
        <f>C29 &amp; "-II"</f>
        <v>0.0-II</v>
      </c>
      <c r="CY38" s="673">
        <f>IF(OR(BZ31=0,CO31=0,BZ31=""),0,CO31/BZ31)</f>
        <v>0</v>
      </c>
      <c r="CZ38" s="673">
        <f>IF(OR(CA31=0,CP31=0,CA31=""),0,CP31/CA31)</f>
        <v>0</v>
      </c>
      <c r="DA38" s="673">
        <f>IF(OR(CB31=0,CQ31=0,CB31=""),0,CQ31/CB31)</f>
        <v>0</v>
      </c>
      <c r="DB38" s="673">
        <f>IF(OR(CC31=0,CR31=0,CC31=""),0,CR31/CC31)</f>
        <v>0</v>
      </c>
      <c r="DC38" s="673">
        <f>IF(OR(CD31=0,CS31=0,CD31=""),0,CS31/CD31)</f>
        <v>0</v>
      </c>
      <c r="DD38" s="673">
        <f>IF(OR(SUM(BZ31:CD31)=0,SUM(CO31:CS31)=0),0,SUM(CO31:CS31)/SUM(BZ31:CD31))</f>
        <v>0</v>
      </c>
    </row>
    <row r="39" spans="1:108" ht="11.25" hidden="1" customHeight="1">
      <c r="A39" s="38"/>
      <c r="B39" s="910"/>
      <c r="C39" s="910"/>
      <c r="D39" s="707"/>
      <c r="E39" s="96"/>
      <c r="F39" s="106" t="str">
        <f>F29 &amp; ".8"</f>
        <v>0.8</v>
      </c>
      <c r="G39" s="105" t="s">
        <v>729</v>
      </c>
      <c r="H39" s="107"/>
      <c r="I39" s="107"/>
      <c r="J39" s="266"/>
      <c r="K39" s="275"/>
      <c r="L39" s="275"/>
      <c r="M39" s="275"/>
      <c r="N39" s="275"/>
      <c r="O39" s="266"/>
      <c r="P39" s="276">
        <f t="shared" si="0"/>
        <v>0</v>
      </c>
      <c r="Q39" s="277"/>
      <c r="R39" s="275"/>
      <c r="S39" s="275"/>
      <c r="T39" s="275"/>
      <c r="U39" s="276">
        <f t="shared" si="1"/>
        <v>0</v>
      </c>
      <c r="V39" s="275"/>
      <c r="W39" s="275"/>
      <c r="X39" s="275"/>
      <c r="Y39" s="275"/>
      <c r="Z39" s="277"/>
      <c r="AA39" s="277"/>
      <c r="AB39" s="277"/>
      <c r="AC39" s="163"/>
      <c r="BF39" s="158" t="str">
        <f>C29 &amp; "-II"</f>
        <v>0.0-II</v>
      </c>
    </row>
    <row r="40" spans="1:108" ht="11.25" hidden="1" customHeight="1">
      <c r="A40" s="38"/>
      <c r="B40" s="910"/>
      <c r="C40" s="910"/>
      <c r="D40" s="707"/>
      <c r="E40" s="96"/>
      <c r="F40" s="106" t="str">
        <f>F29 &amp; ".9"</f>
        <v>0.9</v>
      </c>
      <c r="G40" s="105" t="s">
        <v>730</v>
      </c>
      <c r="H40" s="107"/>
      <c r="I40" s="107"/>
      <c r="J40" s="266"/>
      <c r="K40" s="275"/>
      <c r="L40" s="275"/>
      <c r="M40" s="275"/>
      <c r="N40" s="275"/>
      <c r="O40" s="266"/>
      <c r="P40" s="276">
        <f t="shared" si="0"/>
        <v>0</v>
      </c>
      <c r="Q40" s="277"/>
      <c r="R40" s="275"/>
      <c r="S40" s="275"/>
      <c r="T40" s="275"/>
      <c r="U40" s="276">
        <f t="shared" si="1"/>
        <v>0</v>
      </c>
      <c r="V40" s="275"/>
      <c r="W40" s="275"/>
      <c r="X40" s="275"/>
      <c r="Y40" s="275"/>
      <c r="Z40" s="277"/>
      <c r="AA40" s="277"/>
      <c r="AB40" s="277"/>
      <c r="AC40" s="163"/>
      <c r="BF40" s="158" t="str">
        <f>C29 &amp; IF(TEMPLATE_CLAIM="P","-II","-III")</f>
        <v>0.0-III</v>
      </c>
      <c r="CY40" s="673" t="str">
        <f>IF(OR(CE31=0,CT31=0,CE31=""),"",CT31/CE31)</f>
        <v/>
      </c>
      <c r="CZ40" s="673" t="str">
        <f>IF(OR(CF31=0,CU31=0,CF31=""),"",CU31/CF31)</f>
        <v/>
      </c>
      <c r="DA40" s="673" t="str">
        <f>IF(OR(CG31=0,CV31=0,CG31=""),"",CV31/CG31)</f>
        <v/>
      </c>
      <c r="DB40" s="673" t="str">
        <f>IF(OR(CH31=0,CW31=0,CH31=""),"",CW31/CH31)</f>
        <v/>
      </c>
      <c r="DC40" s="673" t="str">
        <f>IF(OR(CI31=0,CX31=0,CI31=""),"",CX31/CI31)</f>
        <v/>
      </c>
      <c r="DD40" s="673" t="str">
        <f>IF(OR(SUM(CE31:CI31)=0,SUM(CT31:CX31)=0),"",SUM(CT31:CX31)/SUM(CE31:CI31))</f>
        <v/>
      </c>
    </row>
    <row r="41" spans="1:108" ht="11.25" hidden="1" customHeight="1">
      <c r="A41" s="38"/>
      <c r="B41" s="910"/>
      <c r="C41" s="910"/>
      <c r="D41" s="707"/>
      <c r="E41" s="96"/>
      <c r="F41" s="106" t="str">
        <f>F29 &amp; ".10"</f>
        <v>0.10</v>
      </c>
      <c r="G41" s="105" t="s">
        <v>731</v>
      </c>
      <c r="H41" s="107"/>
      <c r="I41" s="107"/>
      <c r="J41" s="266"/>
      <c r="K41" s="275"/>
      <c r="L41" s="275"/>
      <c r="M41" s="275"/>
      <c r="N41" s="275"/>
      <c r="O41" s="266"/>
      <c r="P41" s="276">
        <f t="shared" si="0"/>
        <v>0</v>
      </c>
      <c r="Q41" s="277"/>
      <c r="R41" s="275"/>
      <c r="S41" s="275"/>
      <c r="T41" s="275"/>
      <c r="U41" s="276">
        <f t="shared" si="1"/>
        <v>0</v>
      </c>
      <c r="V41" s="275"/>
      <c r="W41" s="275"/>
      <c r="X41" s="275"/>
      <c r="Y41" s="275"/>
      <c r="Z41" s="277"/>
      <c r="AA41" s="277"/>
      <c r="AB41" s="277"/>
      <c r="AC41" s="163"/>
      <c r="BF41" s="158" t="str">
        <f>C29 &amp; IF(TEMPLATE_CLAIM="P","-II","-III")</f>
        <v>0.0-III</v>
      </c>
    </row>
    <row r="42" spans="1:108" ht="11.25" hidden="1" customHeight="1">
      <c r="A42" s="38"/>
      <c r="B42" s="910"/>
      <c r="C42" s="910"/>
      <c r="D42" s="707"/>
      <c r="E42" s="96"/>
      <c r="F42" s="106" t="str">
        <f>F29 &amp; ".11"</f>
        <v>0.11</v>
      </c>
      <c r="G42" s="105" t="s">
        <v>732</v>
      </c>
      <c r="H42" s="107"/>
      <c r="I42" s="107"/>
      <c r="J42" s="266"/>
      <c r="K42" s="275"/>
      <c r="L42" s="275"/>
      <c r="M42" s="275"/>
      <c r="N42" s="275"/>
      <c r="O42" s="266"/>
      <c r="P42" s="276">
        <f t="shared" si="0"/>
        <v>0</v>
      </c>
      <c r="Q42" s="277"/>
      <c r="R42" s="275"/>
      <c r="S42" s="275"/>
      <c r="T42" s="275"/>
      <c r="U42" s="276">
        <f t="shared" si="1"/>
        <v>0</v>
      </c>
      <c r="V42" s="275"/>
      <c r="W42" s="275"/>
      <c r="X42" s="275"/>
      <c r="Y42" s="275"/>
      <c r="Z42" s="277"/>
      <c r="AA42" s="277"/>
      <c r="AB42" s="277"/>
      <c r="AC42" s="163"/>
      <c r="BF42" s="158" t="str">
        <f>C29 &amp; IF(TEMPLATE_CLAIM="P","-II","-III")</f>
        <v>0.0-III</v>
      </c>
    </row>
    <row r="43" spans="1:108" ht="11.25" hidden="1" customHeight="1">
      <c r="A43" s="38"/>
      <c r="B43" s="910"/>
      <c r="C43" s="910"/>
      <c r="D43" s="707"/>
      <c r="E43" s="96"/>
      <c r="F43" s="106" t="str">
        <f>F29 &amp; ".12"</f>
        <v>0.12</v>
      </c>
      <c r="G43" s="105" t="s">
        <v>733</v>
      </c>
      <c r="H43" s="107"/>
      <c r="I43" s="107"/>
      <c r="J43" s="266"/>
      <c r="K43" s="275"/>
      <c r="L43" s="275"/>
      <c r="M43" s="275"/>
      <c r="N43" s="275"/>
      <c r="O43" s="266"/>
      <c r="P43" s="276">
        <f t="shared" si="0"/>
        <v>0</v>
      </c>
      <c r="Q43" s="277"/>
      <c r="R43" s="275"/>
      <c r="S43" s="275"/>
      <c r="T43" s="275"/>
      <c r="U43" s="276">
        <f t="shared" si="1"/>
        <v>0</v>
      </c>
      <c r="V43" s="275"/>
      <c r="W43" s="275"/>
      <c r="X43" s="275"/>
      <c r="Y43" s="275"/>
      <c r="Z43" s="277"/>
      <c r="AA43" s="277"/>
      <c r="AB43" s="277"/>
      <c r="AC43" s="163"/>
      <c r="BF43" s="158" t="str">
        <f>C29 &amp; IF(TEMPLATE_CLAIM="P","-II","-III")</f>
        <v>0.0-III</v>
      </c>
    </row>
    <row r="44" spans="1:108" ht="0.75" hidden="1" customHeight="1">
      <c r="B44" s="910"/>
      <c r="C44" s="910"/>
      <c r="D44" s="707"/>
      <c r="F44" s="107"/>
      <c r="G44" s="107"/>
      <c r="H44" s="107"/>
      <c r="I44" s="107"/>
      <c r="J44" s="275"/>
      <c r="K44" s="275"/>
      <c r="L44" s="275"/>
      <c r="M44" s="275"/>
      <c r="N44" s="275"/>
      <c r="O44" s="275"/>
      <c r="P44" s="275"/>
      <c r="Q44" s="275"/>
      <c r="R44" s="275"/>
      <c r="S44" s="275"/>
      <c r="T44" s="275"/>
      <c r="U44" s="275"/>
      <c r="V44" s="275"/>
      <c r="W44" s="275"/>
      <c r="X44" s="275"/>
      <c r="Y44" s="275"/>
      <c r="Z44" s="275"/>
      <c r="AA44" s="275"/>
      <c r="AB44" s="275"/>
      <c r="BF44" s="158"/>
    </row>
    <row r="45" spans="1:108" ht="0.75" hidden="1" customHeight="1">
      <c r="B45" s="910"/>
      <c r="C45" s="910"/>
      <c r="D45" s="707"/>
      <c r="F45" s="107"/>
      <c r="G45" s="107"/>
      <c r="H45" s="107"/>
      <c r="I45" s="107"/>
      <c r="J45" s="275"/>
      <c r="K45" s="275"/>
      <c r="L45" s="275"/>
      <c r="M45" s="275"/>
      <c r="N45" s="275"/>
      <c r="O45" s="275"/>
      <c r="P45" s="275"/>
      <c r="Q45" s="275"/>
      <c r="R45" s="275"/>
      <c r="S45" s="275"/>
      <c r="T45" s="275"/>
      <c r="U45" s="275"/>
      <c r="V45" s="275"/>
      <c r="W45" s="275"/>
      <c r="X45" s="275"/>
      <c r="Y45" s="275"/>
      <c r="Z45" s="275"/>
      <c r="AA45" s="275"/>
      <c r="AB45" s="275"/>
      <c r="BF45" s="158"/>
    </row>
    <row r="46" spans="1:108" ht="0.75" hidden="1" customHeight="1">
      <c r="B46" s="910"/>
      <c r="C46" s="910"/>
      <c r="D46" s="707"/>
      <c r="F46" s="107"/>
      <c r="G46" s="107"/>
      <c r="H46" s="107"/>
      <c r="I46" s="107"/>
      <c r="J46" s="275"/>
      <c r="K46" s="275"/>
      <c r="L46" s="275"/>
      <c r="M46" s="275"/>
      <c r="N46" s="275"/>
      <c r="O46" s="275"/>
      <c r="P46" s="275"/>
      <c r="Q46" s="275"/>
      <c r="R46" s="275"/>
      <c r="S46" s="275"/>
      <c r="T46" s="275"/>
      <c r="U46" s="275"/>
      <c r="V46" s="275"/>
      <c r="W46" s="275"/>
      <c r="X46" s="275"/>
      <c r="Y46" s="275"/>
      <c r="Z46" s="275"/>
      <c r="AA46" s="275"/>
      <c r="AB46" s="275"/>
      <c r="BF46" s="158"/>
    </row>
    <row r="47" spans="1:108" ht="0.75" hidden="1" customHeight="1">
      <c r="B47" s="910"/>
      <c r="C47" s="910"/>
      <c r="D47" s="707"/>
      <c r="F47" s="107"/>
      <c r="G47" s="107"/>
      <c r="H47" s="107"/>
      <c r="I47" s="107"/>
      <c r="J47" s="275"/>
      <c r="K47" s="275"/>
      <c r="L47" s="275"/>
      <c r="M47" s="275"/>
      <c r="N47" s="275"/>
      <c r="O47" s="275"/>
      <c r="P47" s="275"/>
      <c r="Q47" s="275"/>
      <c r="R47" s="275"/>
      <c r="S47" s="275"/>
      <c r="T47" s="275"/>
      <c r="U47" s="275"/>
      <c r="V47" s="275"/>
      <c r="W47" s="275"/>
      <c r="X47" s="275"/>
      <c r="Y47" s="275"/>
      <c r="Z47" s="275"/>
      <c r="AA47" s="275"/>
      <c r="AB47" s="275"/>
      <c r="BF47" s="158"/>
    </row>
    <row r="48" spans="1:108" ht="0.75" hidden="1" customHeight="1">
      <c r="B48" s="910"/>
      <c r="C48" s="910"/>
      <c r="D48" s="707"/>
      <c r="F48" s="107"/>
      <c r="G48" s="107"/>
      <c r="H48" s="107"/>
      <c r="I48" s="107"/>
      <c r="J48" s="275"/>
      <c r="K48" s="275"/>
      <c r="L48" s="275"/>
      <c r="M48" s="275"/>
      <c r="N48" s="275"/>
      <c r="O48" s="275"/>
      <c r="P48" s="275"/>
      <c r="Q48" s="275"/>
      <c r="R48" s="275"/>
      <c r="S48" s="275"/>
      <c r="T48" s="275"/>
      <c r="U48" s="275"/>
      <c r="V48" s="275"/>
      <c r="W48" s="275"/>
      <c r="X48" s="275"/>
      <c r="Y48" s="275"/>
      <c r="Z48" s="275"/>
      <c r="AA48" s="275"/>
      <c r="AB48" s="275"/>
      <c r="BF48" s="158"/>
    </row>
    <row r="49" spans="1:108" ht="0.75" hidden="1" customHeight="1">
      <c r="B49" s="910"/>
      <c r="C49" s="910"/>
      <c r="D49" s="707"/>
      <c r="F49" s="107"/>
      <c r="G49" s="107"/>
      <c r="H49" s="107"/>
      <c r="I49" s="107"/>
      <c r="J49" s="275"/>
      <c r="K49" s="275"/>
      <c r="L49" s="275"/>
      <c r="M49" s="275"/>
      <c r="N49" s="275"/>
      <c r="O49" s="275"/>
      <c r="P49" s="275"/>
      <c r="Q49" s="275"/>
      <c r="R49" s="275"/>
      <c r="S49" s="275"/>
      <c r="T49" s="275"/>
      <c r="U49" s="275"/>
      <c r="V49" s="275"/>
      <c r="W49" s="275"/>
      <c r="X49" s="275"/>
      <c r="Y49" s="275"/>
      <c r="Z49" s="275"/>
      <c r="AA49" s="275"/>
      <c r="AB49" s="275"/>
      <c r="BF49" s="158"/>
    </row>
    <row r="50" spans="1:108" ht="0.75" hidden="1" customHeight="1">
      <c r="B50" s="910"/>
      <c r="C50" s="910"/>
      <c r="D50" s="707"/>
      <c r="F50" s="107"/>
      <c r="G50" s="107"/>
      <c r="H50" s="107"/>
      <c r="I50" s="107"/>
      <c r="J50" s="275"/>
      <c r="K50" s="275"/>
      <c r="L50" s="275"/>
      <c r="M50" s="275"/>
      <c r="N50" s="275"/>
      <c r="O50" s="275"/>
      <c r="P50" s="275"/>
      <c r="Q50" s="275"/>
      <c r="R50" s="275"/>
      <c r="S50" s="275"/>
      <c r="T50" s="275"/>
      <c r="U50" s="275"/>
      <c r="V50" s="275"/>
      <c r="W50" s="275"/>
      <c r="X50" s="275"/>
      <c r="Y50" s="275"/>
      <c r="Z50" s="275"/>
      <c r="AA50" s="275"/>
      <c r="AB50" s="275"/>
      <c r="BF50" s="158"/>
    </row>
    <row r="51" spans="1:108" ht="0.75" hidden="1" customHeight="1">
      <c r="B51" s="910"/>
      <c r="C51" s="910"/>
      <c r="D51" s="707"/>
      <c r="F51" s="107"/>
      <c r="G51" s="107"/>
      <c r="H51" s="107"/>
      <c r="I51" s="107"/>
      <c r="J51" s="275"/>
      <c r="K51" s="275"/>
      <c r="L51" s="275"/>
      <c r="M51" s="275"/>
      <c r="N51" s="275"/>
      <c r="O51" s="275"/>
      <c r="P51" s="275"/>
      <c r="Q51" s="275"/>
      <c r="R51" s="275"/>
      <c r="S51" s="275"/>
      <c r="T51" s="275"/>
      <c r="U51" s="275"/>
      <c r="V51" s="275"/>
      <c r="W51" s="275"/>
      <c r="X51" s="275"/>
      <c r="Y51" s="275"/>
      <c r="Z51" s="275"/>
      <c r="AA51" s="275"/>
      <c r="AB51" s="275"/>
      <c r="BF51" s="158"/>
    </row>
    <row r="52" spans="1:108" ht="0.75" hidden="1" customHeight="1">
      <c r="B52" s="910"/>
      <c r="C52" s="910"/>
      <c r="D52" s="707"/>
      <c r="F52" s="107"/>
      <c r="G52" s="107"/>
      <c r="H52" s="107"/>
      <c r="I52" s="107"/>
      <c r="J52" s="275"/>
      <c r="K52" s="275"/>
      <c r="L52" s="275"/>
      <c r="M52" s="275"/>
      <c r="N52" s="275"/>
      <c r="O52" s="275"/>
      <c r="P52" s="275"/>
      <c r="Q52" s="275"/>
      <c r="R52" s="275"/>
      <c r="S52" s="275"/>
      <c r="T52" s="275"/>
      <c r="U52" s="275"/>
      <c r="V52" s="275"/>
      <c r="W52" s="275"/>
      <c r="X52" s="275"/>
      <c r="Y52" s="275"/>
      <c r="Z52" s="275"/>
      <c r="AA52" s="275"/>
      <c r="AB52" s="275"/>
      <c r="BF52" s="158"/>
    </row>
    <row r="53" spans="1:108" ht="0.75" hidden="1" customHeight="1">
      <c r="B53" s="910"/>
      <c r="C53" s="910"/>
      <c r="D53" s="707"/>
      <c r="F53" s="107"/>
      <c r="G53" s="107"/>
      <c r="H53" s="107"/>
      <c r="I53" s="107"/>
      <c r="J53" s="275"/>
      <c r="K53" s="275"/>
      <c r="L53" s="275"/>
      <c r="M53" s="275"/>
      <c r="N53" s="275"/>
      <c r="O53" s="275"/>
      <c r="P53" s="275"/>
      <c r="Q53" s="275"/>
      <c r="R53" s="275"/>
      <c r="S53" s="275"/>
      <c r="T53" s="275"/>
      <c r="U53" s="275"/>
      <c r="V53" s="275"/>
      <c r="W53" s="275"/>
      <c r="X53" s="275"/>
      <c r="Y53" s="275"/>
      <c r="Z53" s="275"/>
      <c r="AA53" s="275"/>
      <c r="AB53" s="275"/>
      <c r="BF53" s="158"/>
    </row>
    <row r="54" spans="1:108" ht="0.75" hidden="1" customHeight="1">
      <c r="B54" s="910"/>
      <c r="C54" s="910"/>
      <c r="D54" s="707"/>
      <c r="F54" s="107"/>
      <c r="G54" s="107"/>
      <c r="H54" s="107"/>
      <c r="I54" s="107"/>
      <c r="J54" s="275"/>
      <c r="K54" s="275"/>
      <c r="L54" s="275"/>
      <c r="M54" s="275"/>
      <c r="N54" s="275"/>
      <c r="O54" s="275"/>
      <c r="P54" s="275"/>
      <c r="Q54" s="275"/>
      <c r="R54" s="275"/>
      <c r="S54" s="275"/>
      <c r="T54" s="275"/>
      <c r="U54" s="275"/>
      <c r="V54" s="275"/>
      <c r="W54" s="275"/>
      <c r="X54" s="275"/>
      <c r="Y54" s="275"/>
      <c r="Z54" s="275"/>
      <c r="AA54" s="275"/>
      <c r="AB54" s="275"/>
      <c r="BF54" s="158"/>
    </row>
    <row r="55" spans="1:108" ht="0.75" hidden="1" customHeight="1">
      <c r="B55" s="910"/>
      <c r="C55" s="910"/>
      <c r="D55" s="707"/>
      <c r="F55" s="107"/>
      <c r="G55" s="107"/>
      <c r="H55" s="107"/>
      <c r="I55" s="107"/>
      <c r="J55" s="275"/>
      <c r="K55" s="275"/>
      <c r="L55" s="275"/>
      <c r="M55" s="275"/>
      <c r="N55" s="275"/>
      <c r="O55" s="275"/>
      <c r="P55" s="275"/>
      <c r="Q55" s="275"/>
      <c r="R55" s="275"/>
      <c r="S55" s="275"/>
      <c r="T55" s="275"/>
      <c r="U55" s="275"/>
      <c r="V55" s="275"/>
      <c r="W55" s="275"/>
      <c r="X55" s="275"/>
      <c r="Y55" s="275"/>
      <c r="Z55" s="275"/>
      <c r="AA55" s="275"/>
      <c r="AB55" s="275"/>
      <c r="BF55" s="160"/>
    </row>
    <row r="56" spans="1:108" ht="0.75" hidden="1" customHeight="1">
      <c r="B56" s="910"/>
      <c r="C56" s="910"/>
      <c r="D56" s="707"/>
      <c r="F56" s="107"/>
      <c r="G56" s="107"/>
      <c r="H56" s="107"/>
      <c r="I56" s="107"/>
      <c r="J56" s="275"/>
      <c r="K56" s="275"/>
      <c r="L56" s="275"/>
      <c r="M56" s="275"/>
      <c r="N56" s="275"/>
      <c r="O56" s="275"/>
      <c r="P56" s="275"/>
      <c r="Q56" s="275"/>
      <c r="R56" s="275"/>
      <c r="S56" s="275"/>
      <c r="T56" s="275"/>
      <c r="U56" s="275"/>
      <c r="V56" s="275"/>
      <c r="W56" s="275"/>
      <c r="X56" s="275"/>
      <c r="Y56" s="275"/>
      <c r="Z56" s="275"/>
      <c r="AA56" s="275"/>
      <c r="AB56" s="671"/>
      <c r="BF56" s="160"/>
    </row>
    <row r="57" spans="1:108" ht="21" hidden="1" customHeight="1">
      <c r="A57" s="38"/>
      <c r="B57" s="910"/>
      <c r="C57" s="119" t="str">
        <f>F59</f>
        <v>0.0</v>
      </c>
      <c r="D57" s="714" t="s">
        <v>652</v>
      </c>
      <c r="E57" s="96"/>
      <c r="F57" s="835">
        <f>B57</f>
        <v>0</v>
      </c>
      <c r="G57" s="913"/>
      <c r="H57" s="107"/>
      <c r="I57" s="107"/>
      <c r="J57" s="690">
        <f>IF(TEMPLATE_CLAIM="P","",J59)</f>
        <v>0</v>
      </c>
      <c r="K57" s="698"/>
      <c r="L57" s="698"/>
      <c r="M57" s="698"/>
      <c r="N57" s="698"/>
      <c r="O57" s="690">
        <f>IF(TEMPLATE_CLAIM="P","",O59)</f>
        <v>0</v>
      </c>
      <c r="P57" s="690">
        <f>IF(TEMPLATE_CLAIM="P","",P59)</f>
        <v>0</v>
      </c>
      <c r="Q57" s="698"/>
      <c r="R57" s="690">
        <f>IF(TEMPLATE_CLAIM="P","",R59)</f>
        <v>0</v>
      </c>
      <c r="S57" s="690">
        <f>IF(TEMPLATE_CLAIM="P","",S59)</f>
        <v>0</v>
      </c>
      <c r="T57" s="690">
        <f>IF(TEMPLATE_CLAIM="P","",T59)</f>
        <v>0</v>
      </c>
      <c r="U57" s="690">
        <f>IF(TEMPLATE_CLAIM="P","",U59)</f>
        <v>0</v>
      </c>
      <c r="V57" s="698"/>
      <c r="W57" s="698"/>
      <c r="X57" s="698"/>
      <c r="Y57" s="698"/>
      <c r="Z57" s="690">
        <f>IF(TEMPLATE_CLAIM="P","",Z59)</f>
        <v>0</v>
      </c>
      <c r="AA57" s="690">
        <f>IF(TEMPLATE_CLAIM="P","",AA59)</f>
        <v>0</v>
      </c>
      <c r="AB57" s="691">
        <f>IF(TEMPLATE_CLAIM="P","",AB59)</f>
        <v>0</v>
      </c>
      <c r="AC57" s="161"/>
      <c r="BF57" s="426" t="s">
        <v>3144</v>
      </c>
    </row>
    <row r="58" spans="1:108" ht="0.75" hidden="1" customHeight="1">
      <c r="A58" s="38"/>
      <c r="B58" s="910"/>
      <c r="C58" s="119"/>
      <c r="D58" s="706"/>
      <c r="E58" s="96"/>
      <c r="F58" s="835"/>
      <c r="G58" s="913"/>
      <c r="H58" s="107"/>
      <c r="I58" s="107"/>
      <c r="J58" s="266"/>
      <c r="K58" s="266"/>
      <c r="L58" s="266"/>
      <c r="M58" s="266"/>
      <c r="N58" s="266"/>
      <c r="O58" s="266"/>
      <c r="P58" s="266"/>
      <c r="Q58" s="266"/>
      <c r="R58" s="266"/>
      <c r="S58" s="266"/>
      <c r="T58" s="266"/>
      <c r="U58" s="266"/>
      <c r="V58" s="266"/>
      <c r="W58" s="266"/>
      <c r="X58" s="266"/>
      <c r="Y58" s="266"/>
      <c r="Z58" s="266"/>
      <c r="AA58" s="266"/>
      <c r="AB58" s="270"/>
      <c r="AC58" s="161"/>
      <c r="BF58" s="158"/>
    </row>
    <row r="59" spans="1:108" ht="11.25" hidden="1" customHeight="1">
      <c r="A59" s="38"/>
      <c r="B59" s="910"/>
      <c r="C59" s="910"/>
      <c r="D59" s="707"/>
      <c r="E59" s="96"/>
      <c r="F59" s="106" t="str">
        <f>F57 &amp; ".0"</f>
        <v>0.0</v>
      </c>
      <c r="G59" s="105" t="s">
        <v>721</v>
      </c>
      <c r="H59" s="107"/>
      <c r="I59" s="107"/>
      <c r="J59" s="276">
        <f>SUM(M59:N59)</f>
        <v>0</v>
      </c>
      <c r="K59" s="275"/>
      <c r="L59" s="275"/>
      <c r="M59" s="275"/>
      <c r="N59" s="275"/>
      <c r="O59" s="277"/>
      <c r="P59" s="276">
        <f t="shared" ref="P59:P71" si="2">SUM(R59,U59,Z59:AB59)</f>
        <v>0</v>
      </c>
      <c r="Q59" s="275"/>
      <c r="R59" s="271">
        <f>SUM(R60:R71)</f>
        <v>0</v>
      </c>
      <c r="S59" s="271">
        <f>SUM(S60:S71)</f>
        <v>0</v>
      </c>
      <c r="T59" s="271">
        <f>SUM(T60:T71)</f>
        <v>0</v>
      </c>
      <c r="U59" s="276">
        <f t="shared" ref="U59:U71" si="3">SUM(X59:Y59)</f>
        <v>0</v>
      </c>
      <c r="V59" s="275"/>
      <c r="W59" s="275"/>
      <c r="X59" s="275"/>
      <c r="Y59" s="275"/>
      <c r="Z59" s="271">
        <f>SUM(Z60:Z71)</f>
        <v>0</v>
      </c>
      <c r="AA59" s="271">
        <f>SUM(AA60:AA71)</f>
        <v>0</v>
      </c>
      <c r="AB59" s="271">
        <f>SUM(AB60:AB71)</f>
        <v>0</v>
      </c>
      <c r="AC59" s="161"/>
      <c r="BF59" s="158" t="str">
        <f>IF(TEMPLATE_SPHERE="водоснабжения","TOTAL_ORG_PW","TOTAL_ORG")</f>
        <v>TOTAL_ORG</v>
      </c>
      <c r="BU59" s="638">
        <f>IF(TARIFF_SETUP_METHOD_CODE="BY_PSEUDO_YEARS",SUM($U60:$U71),SUM($U60:$U65))</f>
        <v>0</v>
      </c>
      <c r="BV59" s="638">
        <f>IF(TARIFF_SETUP_METHOD_CODE="BY_PSEUDO_YEARS",SUM($Z60:$Z71),SUM($Z60:$Z65))</f>
        <v>0</v>
      </c>
      <c r="BW59" s="638">
        <f>IF(TARIFF_SETUP_METHOD_CODE="BY_PSEUDO_YEARS",SUM($AA60:$AA71),SUM($AA60:$AA65))</f>
        <v>0</v>
      </c>
      <c r="BX59" s="638">
        <f>IF(TARIFF_SETUP_METHOD_CODE="BY_PSEUDO_YEARS",SUM($AB60:$AB71),SUM($AB60:$AB65))</f>
        <v>0</v>
      </c>
      <c r="BY59" s="672">
        <f>IF(TARIFF_SETUP_METHOD_CODE="BY_PSEUDO_YEARS",IF(TEMPLATE_CLAIM="U",SUM($Q60:$Q71),SUM($R60:$R71)),IF(TEMPLATE_CLAIM="U",SUM($Q60:$Q65),SUM($R60:$R65)))</f>
        <v>0</v>
      </c>
      <c r="BZ59" s="638">
        <f>IF(TARIFF_SETUP_METHOD_CODE="BY_PSEUDO_YEARS",SUM($U60:$U71),IF(TEMPLATE_CLAIM="U",SUM($U66:$U67),SUM($U66:$U71)))</f>
        <v>0</v>
      </c>
      <c r="CA59" s="638">
        <f>IF(TARIFF_SETUP_METHOD_CODE="BY_PSEUDO_YEARS",SUM($Z60:$Z71),IF(TEMPLATE_CLAIM="U",SUM($Z66:$Z67),SUM($Z66:$Z71)))</f>
        <v>0</v>
      </c>
      <c r="CB59" s="638">
        <f>IF(TARIFF_SETUP_METHOD_CODE="BY_PSEUDO_YEARS",SUM($AA60:$AA71),IF(TEMPLATE_CLAIM="U",SUM($AA66:$AA67),SUM($AA66:$AA71)))</f>
        <v>0</v>
      </c>
      <c r="CC59" s="638">
        <f>IF(TARIFF_SETUP_METHOD_CODE="BY_PSEUDO_YEARS",SUM($AB60:$AB71),IF(TEMPLATE_CLAIM="U",SUM($AB66:$AB67),SUM($AB66:$AB71)))</f>
        <v>0</v>
      </c>
      <c r="CD59" s="672">
        <f>IF(TARIFF_SETUP_METHOD_CODE="BY_PSEUDO_YEARS",IF(TEMPLATE_CLAIM="U",SUM($Q60:$Q71),SUM($R60:$R71)),IF(TEMPLATE_CLAIM="U",SUM($Q66:$Q67),SUM($R66:$R71)))</f>
        <v>0</v>
      </c>
      <c r="CE59" s="638">
        <f>IF(TEMPLATE_CLAIM="P","",IF(TARIFF_SETUP_METHOD_CODE="BY_PSEUDO_YEARS",SUM($U60:$U71),SUM($U68:$U71)))</f>
        <v>0</v>
      </c>
      <c r="CF59" s="638">
        <f>IF(TEMPLATE_CLAIM="P","",IF(TARIFF_SETUP_METHOD_CODE="BY_PSEUDO_YEARS",SUM($Z60:$Z71),SUM($Z68:$Z71)))</f>
        <v>0</v>
      </c>
      <c r="CG59" s="638">
        <f>IF(TEMPLATE_CLAIM="P","",IF(TARIFF_SETUP_METHOD_CODE="BY_PSEUDO_YEARS",SUM($AA60:$AA71),SUM($AA68:$AA71)))</f>
        <v>0</v>
      </c>
      <c r="CH59" s="638">
        <f>IF(TEMPLATE_CLAIM="P","",IF(TARIFF_SETUP_METHOD_CODE="BY_PSEUDO_YEARS",SUM($AB60:$AB71),SUM($AB68:$AB71)))</f>
        <v>0</v>
      </c>
      <c r="CI59" s="672">
        <f>IF(TARIFF_SETUP_METHOD_CODE="BY_PSEUDO_YEARS",IF(TEMPLATE_CLAIM="P","",SUM($R60:$R71)),IF(TEMPLATE_CLAIM="P","",SUM($R68:$R71)))</f>
        <v>0</v>
      </c>
      <c r="CJ59" s="382">
        <f>IF(TARIFF_SETUP_METHOD_CODE="STUB_INDICATOR",SUM($U60:$U71),SUM($U60:$U65))</f>
        <v>0</v>
      </c>
      <c r="CK59" s="382">
        <f>IF(TARIFF_SETUP_METHOD_CODE="STUB_INDICATOR",SUM($Z60:$Z71),SUM($Z60:$Z65))</f>
        <v>0</v>
      </c>
      <c r="CL59" s="382">
        <f>IF(TARIFF_SETUP_METHOD_CODE="STUB_INDICATOR",SUM($AA60:$AA71),SUM($AA60:$AA65))</f>
        <v>0</v>
      </c>
      <c r="CM59" s="382">
        <f>IF(TARIFF_SETUP_METHOD_CODE="STUB_INDICATOR",SUM($AB60:$AB71),SUM($AB60:$AB65))</f>
        <v>0</v>
      </c>
      <c r="CN59" s="382">
        <f>IF(TARIFF_SETUP_METHOD_CODE="STUB_INDICATOR",IF(TEMPLATE_CLAIM="U",SUM($Q60:$Q71),SUM($R60:$R71)),IF(TEMPLATE_CLAIM="U",SUM($Q60:$Q65),SUM($R60:$R65)))</f>
        <v>0</v>
      </c>
      <c r="CO59" s="382">
        <f>IF(TARIFF_SETUP_METHOD_CODE="STUB_INDICATOR",SUM($U60:$U71),IF(TEMPLATE_CLAIM="U",SUM($U66:$U67),SUM($U66:$U71)))</f>
        <v>0</v>
      </c>
      <c r="CP59" s="382">
        <f>IF(TARIFF_SETUP_METHOD_CODE="STUB_INDICATOR",SUM($Z60:$Z71),IF(TEMPLATE_CLAIM="U",SUM($Z66:$Z67),SUM($Z66:$Z71)))</f>
        <v>0</v>
      </c>
      <c r="CQ59" s="382">
        <f>IF(TARIFF_SETUP_METHOD_CODE="STUB_INDICATOR",SUM($AA60:$AA71),IF(TEMPLATE_CLAIM="U",SUM($AA66:$AA67),SUM($AA66:$AA71)))</f>
        <v>0</v>
      </c>
      <c r="CR59" s="382">
        <f>IF(TARIFF_SETUP_METHOD_CODE="STUB_INDICATOR",SUM($AB60:$AB71),IF(TEMPLATE_CLAIM="U",SUM($AB66:$AB67),SUM($AB66:$AB71)))</f>
        <v>0</v>
      </c>
      <c r="CS59" s="382">
        <f>IF(TARIFF_SETUP_METHOD_CODE="STUB_INDICATOR",IF(TEMPLATE_CLAIM="U",SUM($Q60:$Q71),SUM($R60:$R71)),IF(TEMPLATE_CLAIM="U",SUM($Q66:$Q67),SUM($R66:$R71)))</f>
        <v>0</v>
      </c>
      <c r="CT59" s="382">
        <f>IF(TEMPLATE_CLAIM="P","",IF(TARIFF_SETUP_METHOD_CODE="STUB_INDICATOR",SUM($U60:$U71),SUM($U68:$U71)))</f>
        <v>0</v>
      </c>
      <c r="CU59" s="382">
        <f>IF(TEMPLATE_CLAIM="P","",IF(TARIFF_SETUP_METHOD_CODE="STUB_INDICATOR",SUM($Z60:$Z71),SUM($Z68:$Z71)))</f>
        <v>0</v>
      </c>
      <c r="CV59" s="382">
        <f>IF(TEMPLATE_CLAIM="P","",IF(TARIFF_SETUP_METHOD_CODE="STUB_INDICATOR",SUM($AA60:$AA71),SUM($AA68:$AA71)))</f>
        <v>0</v>
      </c>
      <c r="CW59" s="382">
        <f>IF(TEMPLATE_CLAIM="P","",IF(TARIFF_SETUP_METHOD_CODE="STUB_INDICATOR",SUM($AB60:$AB71),SUM($AB68:$AB71)))</f>
        <v>0</v>
      </c>
      <c r="CX59" s="382">
        <f>IF(TARIFF_SETUP_METHOD_CODE="STUB_INDICATOR",IF(TEMPLATE_CLAIM="P","",SUM($R60:$R71)),IF(TEMPLATE_CLAIM="P","",SUM($R68:$R71)))</f>
        <v>0</v>
      </c>
    </row>
    <row r="60" spans="1:108" ht="11.25" hidden="1" customHeight="1">
      <c r="A60" s="38"/>
      <c r="B60" s="910"/>
      <c r="C60" s="910"/>
      <c r="D60" s="707"/>
      <c r="E60" s="96"/>
      <c r="F60" s="106" t="str">
        <f>F57 &amp; ".1"</f>
        <v>0.1</v>
      </c>
      <c r="G60" s="105" t="s">
        <v>722</v>
      </c>
      <c r="H60" s="107"/>
      <c r="I60" s="107"/>
      <c r="J60" s="266"/>
      <c r="K60" s="275"/>
      <c r="L60" s="275"/>
      <c r="M60" s="275"/>
      <c r="N60" s="275"/>
      <c r="O60" s="266"/>
      <c r="P60" s="276">
        <f t="shared" si="2"/>
        <v>0</v>
      </c>
      <c r="Q60" s="275"/>
      <c r="R60" s="271">
        <f>SUM(S60:T60)</f>
        <v>0</v>
      </c>
      <c r="S60" s="277"/>
      <c r="T60" s="277"/>
      <c r="U60" s="276">
        <f t="shared" si="3"/>
        <v>0</v>
      </c>
      <c r="V60" s="275"/>
      <c r="W60" s="275"/>
      <c r="X60" s="275"/>
      <c r="Y60" s="275"/>
      <c r="Z60" s="277"/>
      <c r="AA60" s="277"/>
      <c r="AB60" s="277"/>
      <c r="AC60" s="161"/>
      <c r="BF60" s="158" t="str">
        <f>C57 &amp; "-I"</f>
        <v>0.0-I</v>
      </c>
      <c r="CY60" s="673">
        <f>IF(OR(BU59=0,CJ59=0,BU59=""),0,CJ59/BU59)</f>
        <v>0</v>
      </c>
      <c r="CZ60" s="673">
        <f>IF(OR(BV59=0,CK59=0,BV59=""),0,CK59/BV59)</f>
        <v>0</v>
      </c>
      <c r="DA60" s="673">
        <f>IF(OR(BW59=0,CL59=0,BW59=""),0,CL59/BW59)</f>
        <v>0</v>
      </c>
      <c r="DB60" s="673">
        <f>IF(OR(BX59=0,CM59=0,BX59=""),0,CM59/BX59)</f>
        <v>0</v>
      </c>
      <c r="DC60" s="673">
        <f>IF(OR(BY59=0,CN59=0,BY59=""),0,CN59/BY59)</f>
        <v>0</v>
      </c>
      <c r="DD60" s="673">
        <f>IF(OR(SUM(BU59:BY59)=0,SUM(CJ59:CN59)=0),0,SUM(CJ59:CN59)/SUM(BU59:BY59))</f>
        <v>0</v>
      </c>
    </row>
    <row r="61" spans="1:108" ht="11.25" hidden="1" customHeight="1">
      <c r="A61" s="38"/>
      <c r="B61" s="910"/>
      <c r="C61" s="910"/>
      <c r="D61" s="707"/>
      <c r="E61" s="96"/>
      <c r="F61" s="106" t="str">
        <f>F57 &amp; ".2"</f>
        <v>0.2</v>
      </c>
      <c r="G61" s="105" t="s">
        <v>723</v>
      </c>
      <c r="H61" s="107"/>
      <c r="I61" s="107"/>
      <c r="J61" s="266"/>
      <c r="K61" s="275"/>
      <c r="L61" s="275"/>
      <c r="M61" s="275"/>
      <c r="N61" s="275"/>
      <c r="O61" s="266"/>
      <c r="P61" s="276">
        <f t="shared" si="2"/>
        <v>0</v>
      </c>
      <c r="Q61" s="275"/>
      <c r="R61" s="271">
        <f t="shared" ref="R61:R71" si="4">SUM(S61:T61)</f>
        <v>0</v>
      </c>
      <c r="S61" s="277"/>
      <c r="T61" s="277"/>
      <c r="U61" s="276">
        <f t="shared" si="3"/>
        <v>0</v>
      </c>
      <c r="V61" s="275"/>
      <c r="W61" s="275"/>
      <c r="X61" s="275"/>
      <c r="Y61" s="275"/>
      <c r="Z61" s="277"/>
      <c r="AA61" s="277"/>
      <c r="AB61" s="277"/>
      <c r="AC61" s="163"/>
      <c r="BF61" s="158" t="str">
        <f>C57 &amp; "-I"</f>
        <v>0.0-I</v>
      </c>
    </row>
    <row r="62" spans="1:108" ht="11.25" hidden="1" customHeight="1">
      <c r="A62" s="38"/>
      <c r="B62" s="910"/>
      <c r="C62" s="910"/>
      <c r="D62" s="707"/>
      <c r="E62" s="96"/>
      <c r="F62" s="106" t="str">
        <f>F57 &amp; ".3"</f>
        <v>0.3</v>
      </c>
      <c r="G62" s="105" t="s">
        <v>724</v>
      </c>
      <c r="H62" s="107"/>
      <c r="I62" s="107"/>
      <c r="J62" s="266"/>
      <c r="K62" s="275"/>
      <c r="L62" s="275"/>
      <c r="M62" s="275"/>
      <c r="N62" s="275"/>
      <c r="O62" s="266"/>
      <c r="P62" s="276">
        <f t="shared" si="2"/>
        <v>0</v>
      </c>
      <c r="Q62" s="275"/>
      <c r="R62" s="271">
        <f t="shared" si="4"/>
        <v>0</v>
      </c>
      <c r="S62" s="277"/>
      <c r="T62" s="277"/>
      <c r="U62" s="276">
        <f t="shared" si="3"/>
        <v>0</v>
      </c>
      <c r="V62" s="275"/>
      <c r="W62" s="275"/>
      <c r="X62" s="275"/>
      <c r="Y62" s="275"/>
      <c r="Z62" s="277"/>
      <c r="AA62" s="277"/>
      <c r="AB62" s="277"/>
      <c r="AC62" s="163"/>
      <c r="BF62" s="158" t="str">
        <f>C57 &amp; "-I"</f>
        <v>0.0-I</v>
      </c>
    </row>
    <row r="63" spans="1:108" ht="11.25" hidden="1" customHeight="1">
      <c r="A63" s="38"/>
      <c r="B63" s="910"/>
      <c r="C63" s="910"/>
      <c r="D63" s="707"/>
      <c r="E63" s="96"/>
      <c r="F63" s="106" t="str">
        <f>F57 &amp; ".4"</f>
        <v>0.4</v>
      </c>
      <c r="G63" s="105" t="s">
        <v>725</v>
      </c>
      <c r="H63" s="107"/>
      <c r="I63" s="107"/>
      <c r="J63" s="266"/>
      <c r="K63" s="275"/>
      <c r="L63" s="275"/>
      <c r="M63" s="275"/>
      <c r="N63" s="275"/>
      <c r="O63" s="266"/>
      <c r="P63" s="276">
        <f t="shared" si="2"/>
        <v>0</v>
      </c>
      <c r="Q63" s="275"/>
      <c r="R63" s="271">
        <f t="shared" si="4"/>
        <v>0</v>
      </c>
      <c r="S63" s="277"/>
      <c r="T63" s="277"/>
      <c r="U63" s="276">
        <f t="shared" si="3"/>
        <v>0</v>
      </c>
      <c r="V63" s="275"/>
      <c r="W63" s="275"/>
      <c r="X63" s="275"/>
      <c r="Y63" s="275"/>
      <c r="Z63" s="277"/>
      <c r="AA63" s="277"/>
      <c r="AB63" s="277"/>
      <c r="AC63" s="163"/>
      <c r="BF63" s="158" t="str">
        <f>C57 &amp; "-I"</f>
        <v>0.0-I</v>
      </c>
    </row>
    <row r="64" spans="1:108" ht="11.25" hidden="1" customHeight="1">
      <c r="A64" s="38"/>
      <c r="B64" s="910"/>
      <c r="C64" s="910"/>
      <c r="D64" s="707"/>
      <c r="E64" s="96"/>
      <c r="F64" s="106" t="str">
        <f>F57 &amp; ".5"</f>
        <v>0.5</v>
      </c>
      <c r="G64" s="105" t="s">
        <v>726</v>
      </c>
      <c r="H64" s="107"/>
      <c r="I64" s="107"/>
      <c r="J64" s="266"/>
      <c r="K64" s="275"/>
      <c r="L64" s="275"/>
      <c r="M64" s="275"/>
      <c r="N64" s="275"/>
      <c r="O64" s="266"/>
      <c r="P64" s="276">
        <f t="shared" si="2"/>
        <v>0</v>
      </c>
      <c r="Q64" s="275"/>
      <c r="R64" s="271">
        <f t="shared" si="4"/>
        <v>0</v>
      </c>
      <c r="S64" s="277"/>
      <c r="T64" s="277"/>
      <c r="U64" s="276">
        <f t="shared" si="3"/>
        <v>0</v>
      </c>
      <c r="V64" s="275"/>
      <c r="W64" s="275"/>
      <c r="X64" s="275"/>
      <c r="Y64" s="275"/>
      <c r="Z64" s="277"/>
      <c r="AA64" s="277"/>
      <c r="AB64" s="277"/>
      <c r="AC64" s="163"/>
      <c r="BF64" s="158" t="str">
        <f>C57 &amp; "-I"</f>
        <v>0.0-I</v>
      </c>
    </row>
    <row r="65" spans="1:108" ht="11.25" hidden="1" customHeight="1">
      <c r="A65" s="38"/>
      <c r="B65" s="910"/>
      <c r="C65" s="910"/>
      <c r="D65" s="707"/>
      <c r="E65" s="96"/>
      <c r="F65" s="106" t="str">
        <f>F57 &amp; ".6"</f>
        <v>0.6</v>
      </c>
      <c r="G65" s="105" t="s">
        <v>727</v>
      </c>
      <c r="H65" s="107"/>
      <c r="I65" s="107"/>
      <c r="J65" s="266"/>
      <c r="K65" s="275"/>
      <c r="L65" s="275"/>
      <c r="M65" s="275"/>
      <c r="N65" s="275"/>
      <c r="O65" s="266"/>
      <c r="P65" s="276">
        <f t="shared" si="2"/>
        <v>0</v>
      </c>
      <c r="Q65" s="275"/>
      <c r="R65" s="271">
        <f t="shared" si="4"/>
        <v>0</v>
      </c>
      <c r="S65" s="277"/>
      <c r="T65" s="277"/>
      <c r="U65" s="276">
        <f t="shared" si="3"/>
        <v>0</v>
      </c>
      <c r="V65" s="275"/>
      <c r="W65" s="275"/>
      <c r="X65" s="275"/>
      <c r="Y65" s="275"/>
      <c r="Z65" s="277"/>
      <c r="AA65" s="277"/>
      <c r="AB65" s="277"/>
      <c r="AC65" s="163"/>
      <c r="BF65" s="158" t="str">
        <f>C57 &amp; "-I"</f>
        <v>0.0-I</v>
      </c>
    </row>
    <row r="66" spans="1:108" ht="11.25" hidden="1" customHeight="1">
      <c r="A66" s="38"/>
      <c r="B66" s="910"/>
      <c r="C66" s="910"/>
      <c r="D66" s="707"/>
      <c r="E66" s="96"/>
      <c r="F66" s="106" t="str">
        <f>F57 &amp; ".7"</f>
        <v>0.7</v>
      </c>
      <c r="G66" s="105" t="s">
        <v>728</v>
      </c>
      <c r="H66" s="107"/>
      <c r="I66" s="107"/>
      <c r="J66" s="266"/>
      <c r="K66" s="275"/>
      <c r="L66" s="275"/>
      <c r="M66" s="275"/>
      <c r="N66" s="275"/>
      <c r="O66" s="266"/>
      <c r="P66" s="276">
        <f t="shared" si="2"/>
        <v>0</v>
      </c>
      <c r="Q66" s="275"/>
      <c r="R66" s="271">
        <f t="shared" si="4"/>
        <v>0</v>
      </c>
      <c r="S66" s="277"/>
      <c r="T66" s="277"/>
      <c r="U66" s="276">
        <f t="shared" si="3"/>
        <v>0</v>
      </c>
      <c r="V66" s="275"/>
      <c r="W66" s="275"/>
      <c r="X66" s="275"/>
      <c r="Y66" s="275"/>
      <c r="Z66" s="277"/>
      <c r="AA66" s="277"/>
      <c r="AB66" s="277"/>
      <c r="AC66" s="163"/>
      <c r="BF66" s="158" t="str">
        <f>C57 &amp; "-II"</f>
        <v>0.0-II</v>
      </c>
      <c r="CY66" s="673">
        <f>IF(OR(BZ59=0,CO59=0,BZ59=""),0,CO59/BZ59)</f>
        <v>0</v>
      </c>
      <c r="CZ66" s="673">
        <f>IF(OR(CA59=0,CP59=0,CA59=""),0,CP59/CA59)</f>
        <v>0</v>
      </c>
      <c r="DA66" s="673">
        <f>IF(OR(CB59=0,CQ59=0,CB59=""),0,CQ59/CB59)</f>
        <v>0</v>
      </c>
      <c r="DB66" s="673">
        <f>IF(OR(CC59=0,CR59=0,CC59=""),0,CR59/CC59)</f>
        <v>0</v>
      </c>
      <c r="DC66" s="673">
        <f>IF(OR(CD59=0,CS59=0,CD59=""),0,CS59/CD59)</f>
        <v>0</v>
      </c>
      <c r="DD66" s="673">
        <f>IF(OR(SUM(BZ59:CD59)=0,SUM(CO59:CS59)=0),0,SUM(CO59:CS59)/SUM(BZ59:CD59))</f>
        <v>0</v>
      </c>
    </row>
    <row r="67" spans="1:108" ht="11.25" hidden="1" customHeight="1">
      <c r="A67" s="38"/>
      <c r="B67" s="910"/>
      <c r="C67" s="910"/>
      <c r="D67" s="707"/>
      <c r="E67" s="96"/>
      <c r="F67" s="106" t="str">
        <f>F57 &amp; ".8"</f>
        <v>0.8</v>
      </c>
      <c r="G67" s="105" t="s">
        <v>729</v>
      </c>
      <c r="H67" s="107"/>
      <c r="I67" s="107"/>
      <c r="J67" s="266"/>
      <c r="K67" s="275"/>
      <c r="L67" s="275"/>
      <c r="M67" s="275"/>
      <c r="N67" s="275"/>
      <c r="O67" s="266"/>
      <c r="P67" s="276">
        <f t="shared" si="2"/>
        <v>0</v>
      </c>
      <c r="Q67" s="275"/>
      <c r="R67" s="271">
        <f t="shared" si="4"/>
        <v>0</v>
      </c>
      <c r="S67" s="277"/>
      <c r="T67" s="277"/>
      <c r="U67" s="276">
        <f t="shared" si="3"/>
        <v>0</v>
      </c>
      <c r="V67" s="275"/>
      <c r="W67" s="275"/>
      <c r="X67" s="275"/>
      <c r="Y67" s="275"/>
      <c r="Z67" s="277"/>
      <c r="AA67" s="277"/>
      <c r="AB67" s="277"/>
      <c r="AC67" s="163"/>
      <c r="BF67" s="158" t="str">
        <f>C57 &amp; "-II"</f>
        <v>0.0-II</v>
      </c>
    </row>
    <row r="68" spans="1:108" ht="11.25" hidden="1" customHeight="1">
      <c r="A68" s="38"/>
      <c r="B68" s="910"/>
      <c r="C68" s="910"/>
      <c r="D68" s="707"/>
      <c r="E68" s="96"/>
      <c r="F68" s="106" t="str">
        <f>F57 &amp; ".9"</f>
        <v>0.9</v>
      </c>
      <c r="G68" s="105" t="s">
        <v>730</v>
      </c>
      <c r="H68" s="107"/>
      <c r="I68" s="107"/>
      <c r="J68" s="266"/>
      <c r="K68" s="275"/>
      <c r="L68" s="275"/>
      <c r="M68" s="275"/>
      <c r="N68" s="275"/>
      <c r="O68" s="266"/>
      <c r="P68" s="276">
        <f t="shared" si="2"/>
        <v>0</v>
      </c>
      <c r="Q68" s="275"/>
      <c r="R68" s="271">
        <f t="shared" si="4"/>
        <v>0</v>
      </c>
      <c r="S68" s="277"/>
      <c r="T68" s="277"/>
      <c r="U68" s="276">
        <f t="shared" si="3"/>
        <v>0</v>
      </c>
      <c r="V68" s="275"/>
      <c r="W68" s="275"/>
      <c r="X68" s="275"/>
      <c r="Y68" s="275"/>
      <c r="Z68" s="277"/>
      <c r="AA68" s="277"/>
      <c r="AB68" s="277"/>
      <c r="AC68" s="163"/>
      <c r="BF68" s="158" t="str">
        <f>C57 &amp; IF(TEMPLATE_CLAIM="P","-II","-III")</f>
        <v>0.0-III</v>
      </c>
      <c r="CY68" s="673" t="str">
        <f>IF(OR(CE59=0,CT59=0,CE59=""),"",CT59/CE59)</f>
        <v/>
      </c>
      <c r="CZ68" s="673" t="str">
        <f>IF(OR(CF59=0,CU59=0,CF59=""),"",CU59/CF59)</f>
        <v/>
      </c>
      <c r="DA68" s="673" t="str">
        <f>IF(OR(CG59=0,CV59=0,CG59=""),"",CV59/CG59)</f>
        <v/>
      </c>
      <c r="DB68" s="673" t="str">
        <f>IF(OR(CH59=0,CW59=0,CH59=""),"",CW59/CH59)</f>
        <v/>
      </c>
      <c r="DC68" s="673" t="str">
        <f>IF(OR(CI59=0,CX59=0,CI59=""),"",CX59/CI59)</f>
        <v/>
      </c>
      <c r="DD68" s="673" t="str">
        <f>IF(OR(SUM(CE59:CI59)=0,SUM(CT59:CX59)=0),"",SUM(CT59:CX59)/SUM(CE59:CI59))</f>
        <v/>
      </c>
    </row>
    <row r="69" spans="1:108" ht="11.25" hidden="1" customHeight="1">
      <c r="A69" s="38"/>
      <c r="B69" s="910"/>
      <c r="C69" s="910"/>
      <c r="D69" s="707"/>
      <c r="E69" s="96"/>
      <c r="F69" s="106" t="str">
        <f>F57 &amp; ".10"</f>
        <v>0.10</v>
      </c>
      <c r="G69" s="105" t="s">
        <v>731</v>
      </c>
      <c r="H69" s="107"/>
      <c r="I69" s="107"/>
      <c r="J69" s="266"/>
      <c r="K69" s="275"/>
      <c r="L69" s="275"/>
      <c r="M69" s="275"/>
      <c r="N69" s="275"/>
      <c r="O69" s="266"/>
      <c r="P69" s="276">
        <f t="shared" si="2"/>
        <v>0</v>
      </c>
      <c r="Q69" s="275"/>
      <c r="R69" s="271">
        <f t="shared" si="4"/>
        <v>0</v>
      </c>
      <c r="S69" s="277"/>
      <c r="T69" s="277"/>
      <c r="U69" s="276">
        <f t="shared" si="3"/>
        <v>0</v>
      </c>
      <c r="V69" s="275"/>
      <c r="W69" s="275"/>
      <c r="X69" s="275"/>
      <c r="Y69" s="275"/>
      <c r="Z69" s="277"/>
      <c r="AA69" s="277"/>
      <c r="AB69" s="277"/>
      <c r="AC69" s="163"/>
      <c r="BF69" s="158" t="str">
        <f>C57 &amp; IF(TEMPLATE_CLAIM="P","-II","-III")</f>
        <v>0.0-III</v>
      </c>
    </row>
    <row r="70" spans="1:108" ht="11.25" hidden="1" customHeight="1">
      <c r="A70" s="38"/>
      <c r="B70" s="910"/>
      <c r="C70" s="910"/>
      <c r="D70" s="707"/>
      <c r="E70" s="96"/>
      <c r="F70" s="106" t="str">
        <f>F57 &amp; ".11"</f>
        <v>0.11</v>
      </c>
      <c r="G70" s="105" t="s">
        <v>732</v>
      </c>
      <c r="H70" s="107"/>
      <c r="I70" s="107"/>
      <c r="J70" s="266"/>
      <c r="K70" s="275"/>
      <c r="L70" s="275"/>
      <c r="M70" s="275"/>
      <c r="N70" s="275"/>
      <c r="O70" s="266"/>
      <c r="P70" s="276">
        <f t="shared" si="2"/>
        <v>0</v>
      </c>
      <c r="Q70" s="275"/>
      <c r="R70" s="271">
        <f t="shared" si="4"/>
        <v>0</v>
      </c>
      <c r="S70" s="277"/>
      <c r="T70" s="277"/>
      <c r="U70" s="276">
        <f t="shared" si="3"/>
        <v>0</v>
      </c>
      <c r="V70" s="275"/>
      <c r="W70" s="275"/>
      <c r="X70" s="275"/>
      <c r="Y70" s="275"/>
      <c r="Z70" s="277"/>
      <c r="AA70" s="277"/>
      <c r="AB70" s="277"/>
      <c r="AC70" s="163"/>
      <c r="BF70" s="158" t="str">
        <f>C57 &amp; IF(TEMPLATE_CLAIM="P","-II","-III")</f>
        <v>0.0-III</v>
      </c>
    </row>
    <row r="71" spans="1:108" ht="11.25" hidden="1" customHeight="1">
      <c r="A71" s="38"/>
      <c r="B71" s="910"/>
      <c r="C71" s="910"/>
      <c r="D71" s="707"/>
      <c r="E71" s="96"/>
      <c r="F71" s="106" t="str">
        <f>F57 &amp; ".12"</f>
        <v>0.12</v>
      </c>
      <c r="G71" s="105" t="s">
        <v>733</v>
      </c>
      <c r="H71" s="107"/>
      <c r="I71" s="107"/>
      <c r="J71" s="266"/>
      <c r="K71" s="275"/>
      <c r="L71" s="275"/>
      <c r="M71" s="275"/>
      <c r="N71" s="275"/>
      <c r="O71" s="266"/>
      <c r="P71" s="276">
        <f t="shared" si="2"/>
        <v>0</v>
      </c>
      <c r="Q71" s="275"/>
      <c r="R71" s="271">
        <f t="shared" si="4"/>
        <v>0</v>
      </c>
      <c r="S71" s="277"/>
      <c r="T71" s="277"/>
      <c r="U71" s="276">
        <f t="shared" si="3"/>
        <v>0</v>
      </c>
      <c r="V71" s="275"/>
      <c r="W71" s="275"/>
      <c r="X71" s="275"/>
      <c r="Y71" s="275"/>
      <c r="Z71" s="277"/>
      <c r="AA71" s="277"/>
      <c r="AB71" s="277"/>
      <c r="AC71" s="163"/>
      <c r="BF71" s="158" t="str">
        <f>C57 &amp; IF(TEMPLATE_CLAIM="P","-II","-III")</f>
        <v>0.0-III</v>
      </c>
    </row>
    <row r="72" spans="1:108" ht="0.75" hidden="1" customHeight="1">
      <c r="B72" s="910"/>
      <c r="C72" s="910"/>
      <c r="D72" s="707"/>
      <c r="F72" s="107"/>
      <c r="G72" s="107"/>
      <c r="H72" s="107"/>
      <c r="I72" s="107"/>
      <c r="J72" s="275"/>
      <c r="K72" s="275"/>
      <c r="L72" s="275"/>
      <c r="M72" s="275"/>
      <c r="N72" s="275"/>
      <c r="O72" s="275"/>
      <c r="P72" s="275"/>
      <c r="Q72" s="275"/>
      <c r="R72" s="275"/>
      <c r="S72" s="275"/>
      <c r="T72" s="275"/>
      <c r="U72" s="275"/>
      <c r="V72" s="275"/>
      <c r="W72" s="275"/>
      <c r="X72" s="275"/>
      <c r="Y72" s="275"/>
      <c r="Z72" s="275"/>
      <c r="AA72" s="275"/>
      <c r="AB72" s="275"/>
      <c r="BF72" s="158"/>
    </row>
    <row r="73" spans="1:108" ht="0.75" hidden="1" customHeight="1">
      <c r="B73" s="910"/>
      <c r="C73" s="910"/>
      <c r="D73" s="707"/>
      <c r="F73" s="107"/>
      <c r="G73" s="107"/>
      <c r="H73" s="107"/>
      <c r="I73" s="107"/>
      <c r="J73" s="275"/>
      <c r="K73" s="275"/>
      <c r="L73" s="275"/>
      <c r="M73" s="275"/>
      <c r="N73" s="275"/>
      <c r="O73" s="275"/>
      <c r="P73" s="275"/>
      <c r="Q73" s="275"/>
      <c r="R73" s="275"/>
      <c r="S73" s="275"/>
      <c r="T73" s="275"/>
      <c r="U73" s="275"/>
      <c r="V73" s="275"/>
      <c r="W73" s="275"/>
      <c r="X73" s="275"/>
      <c r="Y73" s="275"/>
      <c r="Z73" s="275"/>
      <c r="AA73" s="275"/>
      <c r="AB73" s="275"/>
      <c r="BF73" s="158"/>
    </row>
    <row r="74" spans="1:108" ht="0.75" hidden="1" customHeight="1">
      <c r="B74" s="910"/>
      <c r="C74" s="910"/>
      <c r="D74" s="707"/>
      <c r="F74" s="107"/>
      <c r="G74" s="107"/>
      <c r="H74" s="107"/>
      <c r="I74" s="107"/>
      <c r="J74" s="275"/>
      <c r="K74" s="275"/>
      <c r="L74" s="275"/>
      <c r="M74" s="275"/>
      <c r="N74" s="275"/>
      <c r="O74" s="275"/>
      <c r="P74" s="275"/>
      <c r="Q74" s="275"/>
      <c r="R74" s="275"/>
      <c r="S74" s="275"/>
      <c r="T74" s="275"/>
      <c r="U74" s="275"/>
      <c r="V74" s="275"/>
      <c r="W74" s="275"/>
      <c r="X74" s="275"/>
      <c r="Y74" s="275"/>
      <c r="Z74" s="275"/>
      <c r="AA74" s="275"/>
      <c r="AB74" s="275"/>
      <c r="BF74" s="158"/>
    </row>
    <row r="75" spans="1:108" ht="0.75" hidden="1" customHeight="1">
      <c r="B75" s="910"/>
      <c r="C75" s="910"/>
      <c r="D75" s="707"/>
      <c r="F75" s="107"/>
      <c r="G75" s="107"/>
      <c r="H75" s="107"/>
      <c r="I75" s="107"/>
      <c r="J75" s="275"/>
      <c r="K75" s="275"/>
      <c r="L75" s="275"/>
      <c r="M75" s="275"/>
      <c r="N75" s="275"/>
      <c r="O75" s="275"/>
      <c r="P75" s="275"/>
      <c r="Q75" s="275"/>
      <c r="R75" s="275"/>
      <c r="S75" s="275"/>
      <c r="T75" s="275"/>
      <c r="U75" s="275"/>
      <c r="V75" s="275"/>
      <c r="W75" s="275"/>
      <c r="X75" s="275"/>
      <c r="Y75" s="275"/>
      <c r="Z75" s="275"/>
      <c r="AA75" s="275"/>
      <c r="AB75" s="275"/>
      <c r="BF75" s="158"/>
    </row>
    <row r="76" spans="1:108" ht="0.75" hidden="1" customHeight="1">
      <c r="B76" s="910"/>
      <c r="C76" s="910"/>
      <c r="D76" s="707"/>
      <c r="F76" s="107"/>
      <c r="G76" s="107"/>
      <c r="H76" s="107"/>
      <c r="I76" s="107"/>
      <c r="J76" s="275"/>
      <c r="K76" s="275"/>
      <c r="L76" s="275"/>
      <c r="M76" s="275"/>
      <c r="N76" s="275"/>
      <c r="O76" s="275"/>
      <c r="P76" s="275"/>
      <c r="Q76" s="275"/>
      <c r="R76" s="275"/>
      <c r="S76" s="275"/>
      <c r="T76" s="275"/>
      <c r="U76" s="275"/>
      <c r="V76" s="275"/>
      <c r="W76" s="275"/>
      <c r="X76" s="275"/>
      <c r="Y76" s="275"/>
      <c r="Z76" s="275"/>
      <c r="AA76" s="275"/>
      <c r="AB76" s="275"/>
      <c r="BF76" s="158"/>
    </row>
    <row r="77" spans="1:108" ht="0.75" hidden="1" customHeight="1">
      <c r="B77" s="910"/>
      <c r="C77" s="910"/>
      <c r="D77" s="707"/>
      <c r="F77" s="107"/>
      <c r="G77" s="107"/>
      <c r="H77" s="107"/>
      <c r="I77" s="107"/>
      <c r="J77" s="275"/>
      <c r="K77" s="275"/>
      <c r="L77" s="275"/>
      <c r="M77" s="275"/>
      <c r="N77" s="275"/>
      <c r="O77" s="275"/>
      <c r="P77" s="275"/>
      <c r="Q77" s="275"/>
      <c r="R77" s="275"/>
      <c r="S77" s="275"/>
      <c r="T77" s="275"/>
      <c r="U77" s="275"/>
      <c r="V77" s="275"/>
      <c r="W77" s="275"/>
      <c r="X77" s="275"/>
      <c r="Y77" s="275"/>
      <c r="Z77" s="275"/>
      <c r="AA77" s="275"/>
      <c r="AB77" s="275"/>
      <c r="BF77" s="158"/>
    </row>
    <row r="78" spans="1:108" ht="0.75" hidden="1" customHeight="1">
      <c r="B78" s="910"/>
      <c r="C78" s="910"/>
      <c r="D78" s="707"/>
      <c r="F78" s="107"/>
      <c r="G78" s="107"/>
      <c r="H78" s="107"/>
      <c r="I78" s="107"/>
      <c r="J78" s="275"/>
      <c r="K78" s="275"/>
      <c r="L78" s="275"/>
      <c r="M78" s="275"/>
      <c r="N78" s="275"/>
      <c r="O78" s="275"/>
      <c r="P78" s="275"/>
      <c r="Q78" s="275"/>
      <c r="R78" s="275"/>
      <c r="S78" s="275"/>
      <c r="T78" s="275"/>
      <c r="U78" s="275"/>
      <c r="V78" s="275"/>
      <c r="W78" s="275"/>
      <c r="X78" s="275"/>
      <c r="Y78" s="275"/>
      <c r="Z78" s="275"/>
      <c r="AA78" s="275"/>
      <c r="AB78" s="275"/>
      <c r="BF78" s="158"/>
    </row>
    <row r="79" spans="1:108" ht="0.75" hidden="1" customHeight="1">
      <c r="B79" s="910"/>
      <c r="C79" s="910"/>
      <c r="D79" s="707"/>
      <c r="F79" s="107"/>
      <c r="G79" s="107"/>
      <c r="H79" s="107"/>
      <c r="I79" s="107"/>
      <c r="J79" s="275"/>
      <c r="K79" s="275"/>
      <c r="L79" s="275"/>
      <c r="M79" s="275"/>
      <c r="N79" s="275"/>
      <c r="O79" s="275"/>
      <c r="P79" s="275"/>
      <c r="Q79" s="275"/>
      <c r="R79" s="275"/>
      <c r="S79" s="275"/>
      <c r="T79" s="275"/>
      <c r="U79" s="275"/>
      <c r="V79" s="275"/>
      <c r="W79" s="275"/>
      <c r="X79" s="275"/>
      <c r="Y79" s="275"/>
      <c r="Z79" s="275"/>
      <c r="AA79" s="275"/>
      <c r="AB79" s="275"/>
      <c r="BF79" s="158"/>
    </row>
    <row r="80" spans="1:108" ht="0.75" hidden="1" customHeight="1">
      <c r="B80" s="910"/>
      <c r="C80" s="910"/>
      <c r="D80" s="707"/>
      <c r="F80" s="107"/>
      <c r="G80" s="107"/>
      <c r="H80" s="107"/>
      <c r="I80" s="107"/>
      <c r="J80" s="275"/>
      <c r="K80" s="275"/>
      <c r="L80" s="275"/>
      <c r="M80" s="275"/>
      <c r="N80" s="275"/>
      <c r="O80" s="275"/>
      <c r="P80" s="275"/>
      <c r="Q80" s="275"/>
      <c r="R80" s="275"/>
      <c r="S80" s="275"/>
      <c r="T80" s="275"/>
      <c r="U80" s="275"/>
      <c r="V80" s="275"/>
      <c r="W80" s="275"/>
      <c r="X80" s="275"/>
      <c r="Y80" s="275"/>
      <c r="Z80" s="275"/>
      <c r="AA80" s="275"/>
      <c r="AB80" s="275"/>
      <c r="BF80" s="158"/>
    </row>
    <row r="81" spans="2:58" ht="0.75" hidden="1" customHeight="1">
      <c r="B81" s="910"/>
      <c r="C81" s="910"/>
      <c r="D81" s="707"/>
      <c r="F81" s="107"/>
      <c r="G81" s="107"/>
      <c r="H81" s="107"/>
      <c r="I81" s="107"/>
      <c r="J81" s="275"/>
      <c r="K81" s="275"/>
      <c r="L81" s="275"/>
      <c r="M81" s="275"/>
      <c r="N81" s="275"/>
      <c r="O81" s="275"/>
      <c r="P81" s="275"/>
      <c r="Q81" s="275"/>
      <c r="R81" s="275"/>
      <c r="S81" s="275"/>
      <c r="T81" s="275"/>
      <c r="U81" s="275"/>
      <c r="V81" s="275"/>
      <c r="W81" s="275"/>
      <c r="X81" s="275"/>
      <c r="Y81" s="275"/>
      <c r="Z81" s="275"/>
      <c r="AA81" s="275"/>
      <c r="AB81" s="275"/>
      <c r="BF81" s="158"/>
    </row>
    <row r="82" spans="2:58" ht="0.75" hidden="1" customHeight="1">
      <c r="B82" s="910"/>
      <c r="C82" s="910"/>
      <c r="D82" s="707"/>
      <c r="F82" s="107"/>
      <c r="G82" s="107"/>
      <c r="H82" s="107"/>
      <c r="I82" s="107"/>
      <c r="J82" s="275"/>
      <c r="K82" s="275"/>
      <c r="L82" s="275"/>
      <c r="M82" s="275"/>
      <c r="N82" s="275"/>
      <c r="O82" s="275"/>
      <c r="P82" s="275"/>
      <c r="Q82" s="275"/>
      <c r="R82" s="275"/>
      <c r="S82" s="275"/>
      <c r="T82" s="275"/>
      <c r="U82" s="275"/>
      <c r="V82" s="275"/>
      <c r="W82" s="275"/>
      <c r="X82" s="275"/>
      <c r="Y82" s="275"/>
      <c r="Z82" s="275"/>
      <c r="AA82" s="275"/>
      <c r="AB82" s="275"/>
      <c r="BF82" s="158"/>
    </row>
    <row r="83" spans="2:58" ht="0.75" hidden="1" customHeight="1">
      <c r="B83" s="910"/>
      <c r="C83" s="910"/>
      <c r="D83" s="707"/>
      <c r="F83" s="107"/>
      <c r="G83" s="107"/>
      <c r="H83" s="107"/>
      <c r="I83" s="107"/>
      <c r="J83" s="275"/>
      <c r="K83" s="275"/>
      <c r="L83" s="275"/>
      <c r="M83" s="275"/>
      <c r="N83" s="275"/>
      <c r="O83" s="275"/>
      <c r="P83" s="275"/>
      <c r="Q83" s="275"/>
      <c r="R83" s="275"/>
      <c r="S83" s="275"/>
      <c r="T83" s="275"/>
      <c r="U83" s="275"/>
      <c r="V83" s="275"/>
      <c r="W83" s="275"/>
      <c r="X83" s="275"/>
      <c r="Y83" s="275"/>
      <c r="Z83" s="275"/>
      <c r="AA83" s="275"/>
      <c r="AB83" s="275"/>
      <c r="BF83" s="160"/>
    </row>
    <row r="84" spans="2:58" ht="0.75" hidden="1" customHeight="1">
      <c r="B84" s="910"/>
      <c r="C84" s="910"/>
      <c r="D84" s="707"/>
      <c r="F84" s="107"/>
      <c r="G84" s="107"/>
      <c r="H84" s="107"/>
      <c r="I84" s="107"/>
      <c r="J84" s="275"/>
      <c r="K84" s="275"/>
      <c r="L84" s="275"/>
      <c r="M84" s="275"/>
      <c r="N84" s="275"/>
      <c r="O84" s="275"/>
      <c r="P84" s="275"/>
      <c r="Q84" s="275"/>
      <c r="R84" s="275"/>
      <c r="S84" s="275"/>
      <c r="T84" s="275"/>
      <c r="U84" s="275"/>
      <c r="V84" s="275"/>
      <c r="W84" s="275"/>
      <c r="X84" s="275"/>
      <c r="Y84" s="275"/>
      <c r="Z84" s="275"/>
      <c r="AA84" s="275"/>
      <c r="AB84" s="275"/>
      <c r="BF84" s="160"/>
    </row>
    <row r="85" spans="2:58" ht="12" hidden="1" customHeight="1">
      <c r="B85" s="79"/>
      <c r="C85" s="95"/>
      <c r="D85" s="707"/>
    </row>
    <row r="86" spans="2:58" ht="12" hidden="1" customHeight="1">
      <c r="B86" s="79"/>
      <c r="C86" s="95"/>
      <c r="D86" s="707"/>
    </row>
    <row r="87" spans="2:58" ht="12" hidden="1" customHeight="1">
      <c r="B87" s="79"/>
      <c r="C87" s="95"/>
      <c r="D87" s="707"/>
    </row>
    <row r="88" spans="2:58" ht="12" hidden="1" customHeight="1">
      <c r="B88" s="79"/>
      <c r="C88" s="95"/>
      <c r="D88" s="707"/>
    </row>
    <row r="89" spans="2:58" ht="12" hidden="1" customHeight="1">
      <c r="B89" s="79"/>
      <c r="C89" s="95"/>
      <c r="D89" s="707"/>
    </row>
    <row r="90" spans="2:58" ht="12" hidden="1" customHeight="1">
      <c r="B90" s="79"/>
      <c r="C90" s="95"/>
      <c r="D90" s="707"/>
    </row>
    <row r="91" spans="2:58" ht="12" hidden="1" customHeight="1">
      <c r="B91" s="79"/>
      <c r="C91" s="95"/>
      <c r="D91" s="707"/>
    </row>
    <row r="92" spans="2:58" ht="12" hidden="1" customHeight="1">
      <c r="B92" s="79"/>
      <c r="C92" s="95"/>
      <c r="D92" s="707"/>
    </row>
    <row r="93" spans="2:58" ht="12" hidden="1" customHeight="1">
      <c r="B93" s="79"/>
      <c r="C93" s="95"/>
      <c r="D93" s="707"/>
    </row>
    <row r="94" spans="2:58" ht="12" hidden="1" customHeight="1">
      <c r="B94" s="79"/>
      <c r="C94" s="95"/>
      <c r="D94" s="707"/>
    </row>
    <row r="95" spans="2:58" ht="12" hidden="1" customHeight="1">
      <c r="B95" s="79"/>
      <c r="C95" s="95"/>
      <c r="D95" s="707"/>
    </row>
    <row r="96" spans="2:58" ht="12" hidden="1" customHeight="1">
      <c r="B96" s="79"/>
      <c r="C96" s="95"/>
      <c r="D96" s="707"/>
    </row>
    <row r="97" spans="2:4" ht="12" hidden="1" customHeight="1">
      <c r="B97" s="79"/>
      <c r="C97" s="95"/>
      <c r="D97" s="707"/>
    </row>
    <row r="98" spans="2:4" ht="12" hidden="1" customHeight="1">
      <c r="B98" s="79"/>
      <c r="C98" s="95"/>
      <c r="D98" s="707"/>
    </row>
    <row r="99" spans="2:4" ht="12" hidden="1" customHeight="1">
      <c r="B99" s="79"/>
      <c r="C99" s="95"/>
      <c r="D99" s="707"/>
    </row>
    <row r="100" spans="2:4" ht="12" hidden="1" customHeight="1">
      <c r="B100" s="79"/>
      <c r="C100" s="95"/>
      <c r="D100" s="707"/>
    </row>
    <row r="101" spans="2:4" ht="12" hidden="1" customHeight="1">
      <c r="B101" s="79"/>
      <c r="C101" s="95"/>
      <c r="D101" s="707"/>
    </row>
    <row r="102" spans="2:4" ht="12" hidden="1" customHeight="1">
      <c r="B102" s="79"/>
      <c r="C102" s="95"/>
      <c r="D102" s="707"/>
    </row>
    <row r="103" spans="2:4" ht="12" hidden="1" customHeight="1">
      <c r="B103" s="79"/>
      <c r="C103" s="95"/>
      <c r="D103" s="707"/>
    </row>
    <row r="104" spans="2:4" ht="12" hidden="1" customHeight="1">
      <c r="B104" s="79"/>
      <c r="C104" s="95"/>
      <c r="D104" s="707"/>
    </row>
    <row r="105" spans="2:4" ht="12" hidden="1" customHeight="1">
      <c r="B105" s="79"/>
      <c r="C105" s="95"/>
      <c r="D105" s="707"/>
    </row>
    <row r="106" spans="2:4" ht="12" hidden="1" customHeight="1">
      <c r="B106" s="79"/>
      <c r="C106" s="95"/>
      <c r="D106" s="707"/>
    </row>
    <row r="107" spans="2:4" ht="12" hidden="1" customHeight="1">
      <c r="B107" s="79"/>
      <c r="C107" s="95"/>
      <c r="D107" s="707"/>
    </row>
    <row r="108" spans="2:4" ht="12" hidden="1" customHeight="1">
      <c r="B108" s="79"/>
      <c r="C108" s="95"/>
      <c r="D108" s="707"/>
    </row>
    <row r="109" spans="2:4" ht="12" hidden="1" customHeight="1">
      <c r="B109" s="79"/>
      <c r="C109" s="95"/>
      <c r="D109" s="707"/>
    </row>
    <row r="110" spans="2:4" ht="12" hidden="1" customHeight="1">
      <c r="B110" s="79"/>
      <c r="C110" s="95"/>
      <c r="D110" s="707"/>
    </row>
    <row r="111" spans="2:4" ht="12" hidden="1" customHeight="1">
      <c r="B111" s="79"/>
      <c r="C111" s="95"/>
      <c r="D111" s="707"/>
    </row>
    <row r="112" spans="2:4" ht="12" hidden="1" customHeight="1">
      <c r="B112" s="79"/>
      <c r="C112" s="95"/>
      <c r="D112" s="707"/>
    </row>
    <row r="113" spans="1:87" ht="12" hidden="1" customHeight="1">
      <c r="B113" s="79"/>
      <c r="C113" s="95"/>
      <c r="D113" s="707"/>
    </row>
    <row r="114" spans="1:87" ht="12" hidden="1" customHeight="1">
      <c r="B114" s="79"/>
      <c r="C114" s="95"/>
      <c r="D114" s="707"/>
    </row>
    <row r="115" spans="1:87" ht="12" hidden="1" customHeight="1">
      <c r="B115" s="79"/>
      <c r="C115" s="95"/>
      <c r="D115" s="707"/>
    </row>
    <row r="116" spans="1:87" ht="12" hidden="1" customHeight="1">
      <c r="B116" s="79"/>
      <c r="C116" s="95"/>
      <c r="D116" s="707"/>
      <c r="E116" s="94"/>
      <c r="F116" s="95"/>
      <c r="G116" s="95"/>
      <c r="H116" s="95"/>
      <c r="I116" s="95"/>
      <c r="J116" s="95"/>
      <c r="K116" s="95"/>
      <c r="L116" s="95"/>
      <c r="M116" s="95"/>
      <c r="N116" s="95"/>
      <c r="O116" s="95"/>
      <c r="P116" s="95"/>
      <c r="Q116" s="95"/>
      <c r="R116" s="95"/>
      <c r="S116" s="95"/>
      <c r="T116" s="95"/>
      <c r="U116" s="102"/>
      <c r="V116" s="102"/>
      <c r="W116" s="102"/>
      <c r="X116" s="102"/>
      <c r="Y116" s="102"/>
      <c r="Z116" s="102"/>
      <c r="AA116" s="102"/>
      <c r="AB116" s="102"/>
      <c r="AC116" s="161"/>
    </row>
    <row r="117" spans="1:87" ht="12" customHeight="1">
      <c r="B117" s="79"/>
      <c r="C117" s="95"/>
      <c r="D117" s="707"/>
      <c r="E117" s="94"/>
      <c r="F117" s="95"/>
      <c r="G117" s="730" t="s">
        <v>2665</v>
      </c>
      <c r="H117" s="95"/>
      <c r="I117" s="95"/>
      <c r="J117" s="102"/>
      <c r="K117" s="102"/>
      <c r="L117" s="102"/>
      <c r="M117" s="102"/>
      <c r="N117" s="102"/>
      <c r="O117" s="102"/>
      <c r="P117" s="102"/>
      <c r="Q117" s="102"/>
      <c r="R117" s="102"/>
      <c r="S117" s="102"/>
      <c r="T117" s="102"/>
      <c r="U117" s="102"/>
      <c r="V117" s="102"/>
      <c r="W117" s="102"/>
      <c r="X117" s="102"/>
      <c r="Y117" s="102"/>
      <c r="Z117" s="102"/>
      <c r="AA117" s="102"/>
      <c r="AB117" s="102"/>
      <c r="AC117" s="161"/>
    </row>
    <row r="118" spans="1:87" s="42" customFormat="1" ht="18" customHeight="1">
      <c r="B118" s="43"/>
      <c r="D118" s="713"/>
      <c r="E118" s="96"/>
      <c r="F118" s="422" t="str">
        <f>"Баланс организаций " &amp; TEMPLATE_SPHERE &amp; ", осуществляющих передачу (транспортировку) по муниципальному образованию - " &amp; IF(mo="","Не определено",mo)</f>
        <v>Баланс организаций водоотведения, осуществляющих передачу (транспортировку) по муниципальному образованию - Село Булава</v>
      </c>
      <c r="G118" s="415"/>
      <c r="H118" s="415"/>
      <c r="I118" s="415"/>
      <c r="J118" s="407"/>
      <c r="K118" s="407"/>
      <c r="L118" s="407"/>
      <c r="M118" s="407"/>
      <c r="N118" s="407"/>
      <c r="O118" s="407"/>
      <c r="P118" s="407"/>
      <c r="Q118" s="407"/>
      <c r="R118" s="407"/>
      <c r="S118" s="407"/>
      <c r="T118" s="407"/>
      <c r="U118" s="407"/>
      <c r="V118" s="407"/>
      <c r="W118" s="407"/>
      <c r="X118" s="407"/>
      <c r="Y118" s="407"/>
      <c r="Z118" s="407"/>
      <c r="AA118" s="407"/>
      <c r="AB118" s="407"/>
      <c r="AC118" s="163"/>
      <c r="AD118" s="164"/>
      <c r="AE118" s="164"/>
      <c r="AF118" s="164"/>
      <c r="AG118" s="164"/>
      <c r="AH118" s="164"/>
      <c r="AI118" s="164"/>
      <c r="AJ118" s="164"/>
      <c r="AK118" s="164"/>
      <c r="AL118" s="164"/>
      <c r="AM118" s="164"/>
      <c r="AN118" s="164"/>
      <c r="AO118" s="164"/>
      <c r="AP118" s="164"/>
      <c r="AQ118" s="164"/>
      <c r="AR118" s="164"/>
      <c r="AS118" s="164"/>
      <c r="AT118" s="164"/>
      <c r="AU118" s="164"/>
      <c r="AV118" s="164"/>
      <c r="AW118" s="164"/>
      <c r="AX118" s="164"/>
      <c r="AY118" s="164"/>
      <c r="AZ118" s="164"/>
      <c r="BA118" s="164"/>
      <c r="BB118" s="164"/>
      <c r="BC118" s="164"/>
      <c r="BD118" s="164"/>
      <c r="BE118" s="164"/>
      <c r="BF118" s="159"/>
      <c r="BG118" s="164"/>
      <c r="BH118" s="164"/>
      <c r="BI118" s="164"/>
      <c r="BJ118" s="164"/>
      <c r="BK118" s="164"/>
      <c r="BL118" s="164"/>
      <c r="BM118" s="164"/>
      <c r="BN118" s="164"/>
      <c r="BO118" s="164"/>
      <c r="BP118" s="164"/>
      <c r="BQ118" s="164"/>
      <c r="BR118" s="164"/>
      <c r="BS118" s="164"/>
      <c r="BT118" s="164"/>
      <c r="BU118" s="164"/>
      <c r="BV118" s="164"/>
      <c r="BW118" s="164"/>
      <c r="BX118" s="164"/>
      <c r="BY118" s="164"/>
      <c r="BZ118" s="164"/>
      <c r="CA118" s="164"/>
      <c r="CB118" s="164"/>
      <c r="CC118" s="164"/>
      <c r="CD118" s="164"/>
      <c r="CE118" s="164"/>
    </row>
    <row r="119" spans="1:87" s="164" customFormat="1" ht="12" customHeight="1">
      <c r="B119" s="165"/>
      <c r="D119" s="712"/>
      <c r="E119" s="166"/>
      <c r="F119" s="158" t="s">
        <v>734</v>
      </c>
      <c r="G119" s="167"/>
      <c r="H119" s="167"/>
      <c r="I119" s="167"/>
      <c r="J119" s="158"/>
      <c r="K119" s="158"/>
      <c r="L119" s="158"/>
      <c r="M119" s="158"/>
      <c r="N119" s="163" t="s">
        <v>720</v>
      </c>
      <c r="O119" s="158"/>
      <c r="P119" s="158"/>
      <c r="Q119" s="158"/>
      <c r="R119" s="158"/>
      <c r="S119" s="158"/>
      <c r="T119" s="158"/>
      <c r="U119" s="158"/>
      <c r="V119" s="158"/>
      <c r="W119" s="158"/>
      <c r="X119" s="158"/>
      <c r="Y119" s="163" t="s">
        <v>720</v>
      </c>
      <c r="Z119" s="158"/>
      <c r="AA119" s="158"/>
      <c r="AB119" s="158"/>
      <c r="AC119" s="163"/>
      <c r="BF119" s="159"/>
    </row>
    <row r="120" spans="1:87" ht="12" customHeight="1">
      <c r="E120" s="97"/>
      <c r="F120" s="827" t="s">
        <v>641</v>
      </c>
      <c r="G120" s="827" t="s">
        <v>735</v>
      </c>
      <c r="H120" s="828"/>
      <c r="I120" s="828"/>
      <c r="J120" s="828" t="s">
        <v>779</v>
      </c>
      <c r="K120" s="828" t="s">
        <v>780</v>
      </c>
      <c r="L120" s="828"/>
      <c r="M120" s="828"/>
      <c r="N120" s="828"/>
      <c r="O120" s="828" t="s">
        <v>781</v>
      </c>
      <c r="P120" s="830" t="s">
        <v>782</v>
      </c>
      <c r="Q120" s="830"/>
      <c r="R120" s="830"/>
      <c r="S120" s="830"/>
      <c r="T120" s="830"/>
      <c r="U120" s="830"/>
      <c r="V120" s="830"/>
      <c r="W120" s="830"/>
      <c r="X120" s="830"/>
      <c r="Y120" s="830"/>
      <c r="Z120" s="830"/>
      <c r="AA120" s="830"/>
      <c r="AB120" s="830"/>
      <c r="AC120" s="161"/>
      <c r="BF120" s="158"/>
    </row>
    <row r="121" spans="1:87" ht="12" customHeight="1">
      <c r="D121" s="708"/>
      <c r="E121" s="97"/>
      <c r="F121" s="827"/>
      <c r="G121" s="827"/>
      <c r="H121" s="828"/>
      <c r="I121" s="828"/>
      <c r="J121" s="828"/>
      <c r="K121" s="828"/>
      <c r="L121" s="828"/>
      <c r="M121" s="828"/>
      <c r="N121" s="828"/>
      <c r="O121" s="878"/>
      <c r="P121" s="828" t="s">
        <v>745</v>
      </c>
      <c r="Q121" s="870" t="str">
        <f>IF(TEMPLATE_CLAIM="U","Передано на нужды организации","")</f>
        <v>Передано на нужды организации</v>
      </c>
      <c r="R121" s="908" t="str">
        <f>IF(TEMPLATE_CLAIM="P","Передано на нужды организации","")</f>
        <v/>
      </c>
      <c r="S121" s="908"/>
      <c r="T121" s="908"/>
      <c r="U121" s="828" t="s">
        <v>784</v>
      </c>
      <c r="V121" s="915" t="s">
        <v>2966</v>
      </c>
      <c r="W121" s="828"/>
      <c r="X121" s="828"/>
      <c r="Y121" s="828"/>
      <c r="Z121" s="828" t="s">
        <v>747</v>
      </c>
      <c r="AA121" s="828" t="s">
        <v>748</v>
      </c>
      <c r="AB121" s="828" t="s">
        <v>749</v>
      </c>
      <c r="AC121" s="161"/>
    </row>
    <row r="122" spans="1:87" ht="15" customHeight="1">
      <c r="D122" s="708"/>
      <c r="E122" s="97"/>
      <c r="F122" s="827"/>
      <c r="G122" s="827"/>
      <c r="H122" s="828"/>
      <c r="I122" s="828"/>
      <c r="J122" s="828"/>
      <c r="K122" s="151"/>
      <c r="L122" s="130"/>
      <c r="M122" s="152">
        <v>0</v>
      </c>
      <c r="N122" s="151"/>
      <c r="O122" s="878"/>
      <c r="P122" s="828"/>
      <c r="Q122" s="870"/>
      <c r="R122" s="908" t="str">
        <f>IF(TEMPLATE_CLAIM="P","Всего","")</f>
        <v/>
      </c>
      <c r="S122" s="908" t="str">
        <f>IF(TEMPLATE_CLAIM="P","На собственное производство","")</f>
        <v/>
      </c>
      <c r="T122" s="908" t="str">
        <f>IF(TEMPLATE_CLAIM="P","На хозяйственные нужды","")</f>
        <v/>
      </c>
      <c r="U122" s="828"/>
      <c r="V122" s="151"/>
      <c r="W122" s="116"/>
      <c r="X122" s="152">
        <v>0</v>
      </c>
      <c r="Y122" s="128"/>
      <c r="Z122" s="828"/>
      <c r="AA122" s="828"/>
      <c r="AB122" s="828"/>
      <c r="AC122" s="161"/>
    </row>
    <row r="123" spans="1:87" ht="35.25" customHeight="1">
      <c r="E123" s="97"/>
      <c r="F123" s="827"/>
      <c r="G123" s="827"/>
      <c r="H123" s="828"/>
      <c r="I123" s="828"/>
      <c r="J123" s="828"/>
      <c r="K123" s="151"/>
      <c r="L123" s="116"/>
      <c r="M123" s="151"/>
      <c r="N123" s="151"/>
      <c r="O123" s="878"/>
      <c r="P123" s="828"/>
      <c r="Q123" s="870"/>
      <c r="R123" s="908"/>
      <c r="S123" s="908"/>
      <c r="T123" s="908"/>
      <c r="U123" s="828"/>
      <c r="V123" s="151"/>
      <c r="W123" s="116"/>
      <c r="X123" s="151"/>
      <c r="Y123" s="151"/>
      <c r="Z123" s="828"/>
      <c r="AA123" s="828"/>
      <c r="AB123" s="828"/>
      <c r="AC123" s="161"/>
    </row>
    <row r="124" spans="1:87" ht="12" customHeight="1">
      <c r="E124" s="97"/>
      <c r="F124" s="153"/>
      <c r="G124" s="153" t="s">
        <v>759</v>
      </c>
      <c r="H124" s="154"/>
      <c r="I124" s="154"/>
      <c r="J124" s="155">
        <v>1</v>
      </c>
      <c r="K124" s="156"/>
      <c r="L124" s="157" t="str">
        <f>"1." &amp; L122</f>
        <v>1.</v>
      </c>
      <c r="M124" s="156"/>
      <c r="N124" s="156"/>
      <c r="O124" s="155">
        <v>2</v>
      </c>
      <c r="P124" s="659" t="s">
        <v>752</v>
      </c>
      <c r="Q124" s="403" t="str">
        <f>IF(TEMPLATE_CLAIM="U","3.1","")</f>
        <v>3.1</v>
      </c>
      <c r="R124" s="403" t="str">
        <f>IF(TEMPLATE_CLAIM="P","3.1","")</f>
        <v/>
      </c>
      <c r="S124" s="403" t="str">
        <f>IF(TEMPLATE_CLAIM="P","3.1.1","")</f>
        <v/>
      </c>
      <c r="T124" s="403" t="str">
        <f>IF(TEMPLATE_CLAIM="P","3.1.2","")</f>
        <v/>
      </c>
      <c r="U124" s="408" t="s">
        <v>761</v>
      </c>
      <c r="V124" s="156"/>
      <c r="W124" s="660" t="str">
        <f>"3.2." &amp; W122</f>
        <v>3.2.</v>
      </c>
      <c r="X124" s="156"/>
      <c r="Y124" s="156"/>
      <c r="Z124" s="408" t="s">
        <v>762</v>
      </c>
      <c r="AA124" s="408" t="s">
        <v>763</v>
      </c>
      <c r="AB124" s="408" t="s">
        <v>764</v>
      </c>
      <c r="AC124" s="161"/>
      <c r="BU124" s="153" t="s">
        <v>102</v>
      </c>
      <c r="BV124" s="153" t="s">
        <v>99</v>
      </c>
      <c r="BW124" s="153" t="s">
        <v>100</v>
      </c>
      <c r="BX124" s="153" t="s">
        <v>101</v>
      </c>
      <c r="BY124" s="153" t="s">
        <v>113</v>
      </c>
      <c r="BZ124" s="153" t="s">
        <v>107</v>
      </c>
      <c r="CA124" s="153" t="s">
        <v>108</v>
      </c>
      <c r="CB124" s="153" t="s">
        <v>109</v>
      </c>
      <c r="CC124" s="153" t="s">
        <v>110</v>
      </c>
      <c r="CD124" s="153" t="s">
        <v>115</v>
      </c>
      <c r="CE124" s="153" t="s">
        <v>103</v>
      </c>
      <c r="CF124" s="153" t="s">
        <v>104</v>
      </c>
      <c r="CG124" s="153" t="s">
        <v>105</v>
      </c>
      <c r="CH124" s="153" t="s">
        <v>106</v>
      </c>
      <c r="CI124" s="153" t="s">
        <v>114</v>
      </c>
    </row>
    <row r="125" spans="1:87" ht="24" customHeight="1">
      <c r="A125" s="38"/>
      <c r="B125" s="104" t="s">
        <v>3141</v>
      </c>
      <c r="C125" s="38"/>
      <c r="D125" s="714" t="s">
        <v>652</v>
      </c>
      <c r="E125" s="94"/>
      <c r="F125" s="911" t="str">
        <f>B125</f>
        <v>0.1</v>
      </c>
      <c r="G125" s="913" t="s">
        <v>778</v>
      </c>
      <c r="H125" s="107"/>
      <c r="I125" s="107"/>
      <c r="J125" s="273">
        <f>SUMIF($BF129:$BF130,$BF125,J129:J130)</f>
        <v>0</v>
      </c>
      <c r="K125" s="266"/>
      <c r="L125" s="273">
        <f>SUMIF($BF129:$BF130,$BF125,L129:L130)</f>
        <v>0</v>
      </c>
      <c r="M125" s="266"/>
      <c r="N125" s="266"/>
      <c r="O125" s="273">
        <f>SUMIF($BF129:$BF130,$BF125,O129:O130)</f>
        <v>0</v>
      </c>
      <c r="P125" s="273">
        <f>SUMIF($BF129:$BF130,$BF125,P129:P130)</f>
        <v>0</v>
      </c>
      <c r="Q125" s="273">
        <f>IF(TEMPLATE_CLAIM="P","",SUMIF($BF129:$BF130,$BF125,Q129:Q130))</f>
        <v>0</v>
      </c>
      <c r="R125" s="273" t="str">
        <f>IF(TEMPLATE_CLAIM="U","",SUMIF($BF129:$BF130,$BF125,R129:R130))</f>
        <v/>
      </c>
      <c r="S125" s="273" t="str">
        <f>IF(TEMPLATE_CLAIM="U","",SUMIF($BF129:$BF130,$BF125,S129:S130))</f>
        <v/>
      </c>
      <c r="T125" s="273" t="str">
        <f>IF(TEMPLATE_CLAIM="U","",SUMIF($BF129:$BF130,$BF125,T129:T130))</f>
        <v/>
      </c>
      <c r="U125" s="273">
        <f>SUMIF($BF129:$BF130,$BF125,U129:U130)</f>
        <v>0</v>
      </c>
      <c r="V125" s="266"/>
      <c r="W125" s="273">
        <f>SUMIF($BF129:$BF130,$BF125,W129:W130)</f>
        <v>0</v>
      </c>
      <c r="X125" s="266"/>
      <c r="Y125" s="266"/>
      <c r="Z125" s="273">
        <f>SUMIF($BF129:$BF130,$BF125,Z129:Z130)</f>
        <v>0</v>
      </c>
      <c r="AA125" s="273">
        <f>SUMIF($BF129:$BF130,$BF125,AA129:AA130)</f>
        <v>0</v>
      </c>
      <c r="AB125" s="273">
        <f>SUMIF($BF129:$BF130,$BF125,AB129:AB130)</f>
        <v>0</v>
      </c>
      <c r="AC125" s="161"/>
      <c r="BF125" s="426" t="s">
        <v>3143</v>
      </c>
    </row>
    <row r="126" spans="1:87" ht="0.75" customHeight="1">
      <c r="A126" s="38"/>
      <c r="B126" s="104"/>
      <c r="C126" s="38"/>
      <c r="E126" s="94"/>
      <c r="F126" s="911"/>
      <c r="G126" s="913"/>
      <c r="H126" s="107"/>
      <c r="I126" s="107"/>
      <c r="J126" s="266"/>
      <c r="K126" s="266"/>
      <c r="L126" s="266"/>
      <c r="M126" s="266"/>
      <c r="N126" s="266"/>
      <c r="O126" s="266"/>
      <c r="P126" s="266"/>
      <c r="Q126" s="266"/>
      <c r="R126" s="266"/>
      <c r="S126" s="266"/>
      <c r="T126" s="266"/>
      <c r="U126" s="266"/>
      <c r="V126" s="266"/>
      <c r="W126" s="266"/>
      <c r="X126" s="266"/>
      <c r="Y126" s="266"/>
      <c r="Z126" s="266"/>
      <c r="AA126" s="266"/>
      <c r="AB126" s="266"/>
      <c r="AC126" s="161"/>
      <c r="BF126" s="158"/>
    </row>
    <row r="127" spans="1:87" ht="24" customHeight="1">
      <c r="A127" s="38"/>
      <c r="B127" s="104" t="s">
        <v>3142</v>
      </c>
      <c r="C127" s="38"/>
      <c r="E127" s="94"/>
      <c r="F127" s="911" t="str">
        <f>B127</f>
        <v>0.2</v>
      </c>
      <c r="G127" s="913" t="str">
        <f>IF(TEMPLATE_CLAIM="U","Всего по МО (только годовые значения по данным предыдущего мониторинга)","")</f>
        <v>Всего по МО (только годовые значения по данным предыдущего мониторинга)</v>
      </c>
      <c r="H127" s="107"/>
      <c r="I127" s="107"/>
      <c r="J127" s="274">
        <f>IF(TEMPLATE_CLAIM="P","",SUMIF($BF129:$BF130,$BF127,J129:J130))</f>
        <v>0</v>
      </c>
      <c r="K127" s="266"/>
      <c r="L127" s="274">
        <f>IF(TEMPLATE_CLAIM="P","",SUMIF($BF129:$BF130,$BF127,L129:L130))</f>
        <v>0</v>
      </c>
      <c r="M127" s="266"/>
      <c r="N127" s="266"/>
      <c r="O127" s="274">
        <f>IF(TEMPLATE_CLAIM="P","",SUMIF($BF129:$BF130,$BF127,O129:O130))</f>
        <v>0</v>
      </c>
      <c r="P127" s="274">
        <f>IF(TEMPLATE_CLAIM="P","",SUMIF($BF129:$BF130,$BF127,P129:P130))</f>
        <v>0</v>
      </c>
      <c r="Q127" s="274">
        <f>IF(TEMPLATE_CLAIM="P","",SUMIF($BF129:$BF130,$BF127,Q129:Q130))</f>
        <v>0</v>
      </c>
      <c r="R127" s="274"/>
      <c r="S127" s="274"/>
      <c r="T127" s="274"/>
      <c r="U127" s="274">
        <f>IF(TEMPLATE_CLAIM="P","",SUMIF($BF129:$BF130,$BF127,U129:U130))</f>
        <v>0</v>
      </c>
      <c r="V127" s="266"/>
      <c r="W127" s="274">
        <f>IF(TEMPLATE_CLAIM="P","",SUMIF($BF129:$BF130,$BF127,W129:W130))</f>
        <v>0</v>
      </c>
      <c r="X127" s="266"/>
      <c r="Y127" s="266"/>
      <c r="Z127" s="274">
        <f>IF(TEMPLATE_CLAIM="P","",SUMIF($BF129:$BF130,$BF127,Z129:Z130))</f>
        <v>0</v>
      </c>
      <c r="AA127" s="274">
        <f>IF(TEMPLATE_CLAIM="P","",SUMIF($BF129:$BF130,$BF127,AA129:AA130))</f>
        <v>0</v>
      </c>
      <c r="AB127" s="274">
        <f>IF(TEMPLATE_CLAIM="P","",SUMIF($BF129:$BF130,$BF127,AB129:AB130))</f>
        <v>0</v>
      </c>
      <c r="AC127" s="161"/>
      <c r="BF127" s="426" t="s">
        <v>3144</v>
      </c>
    </row>
    <row r="128" spans="1:87" ht="0.75" customHeight="1">
      <c r="A128" s="38"/>
      <c r="B128" s="104"/>
      <c r="C128" s="38"/>
      <c r="E128" s="94"/>
      <c r="F128" s="911"/>
      <c r="G128" s="913"/>
      <c r="H128" s="107"/>
      <c r="I128" s="107"/>
      <c r="J128" s="266"/>
      <c r="K128" s="266"/>
      <c r="L128" s="266"/>
      <c r="M128" s="266"/>
      <c r="N128" s="266"/>
      <c r="O128" s="266"/>
      <c r="P128" s="266"/>
      <c r="Q128" s="266"/>
      <c r="R128" s="266"/>
      <c r="S128" s="266"/>
      <c r="T128" s="266"/>
      <c r="U128" s="266"/>
      <c r="V128" s="266"/>
      <c r="W128" s="266"/>
      <c r="X128" s="266"/>
      <c r="Y128" s="266"/>
      <c r="Z128" s="266"/>
      <c r="AA128" s="266"/>
      <c r="AB128" s="266"/>
      <c r="AC128" s="161"/>
      <c r="BF128" s="158"/>
    </row>
    <row r="129" spans="1:122" ht="12" hidden="1" customHeight="1">
      <c r="A129" s="38"/>
      <c r="B129" s="46">
        <v>0</v>
      </c>
      <c r="C129" s="38"/>
      <c r="E129" s="94"/>
      <c r="F129" s="639"/>
      <c r="G129" s="603"/>
      <c r="H129" s="154"/>
      <c r="I129" s="154"/>
      <c r="J129" s="585"/>
      <c r="K129" s="585"/>
      <c r="L129" s="585"/>
      <c r="M129" s="585"/>
      <c r="N129" s="585"/>
      <c r="O129" s="585"/>
      <c r="P129" s="585"/>
      <c r="Q129" s="585"/>
      <c r="R129" s="585"/>
      <c r="S129" s="585"/>
      <c r="T129" s="585"/>
      <c r="U129" s="585"/>
      <c r="V129" s="585"/>
      <c r="W129" s="585"/>
      <c r="X129" s="585"/>
      <c r="Y129" s="585"/>
      <c r="Z129" s="585"/>
      <c r="AA129" s="585"/>
      <c r="AB129" s="585"/>
      <c r="AC129" s="161"/>
      <c r="BU129" s="916" t="s">
        <v>116</v>
      </c>
      <c r="BV129" s="916"/>
      <c r="BW129" s="916"/>
      <c r="BX129" s="916"/>
      <c r="BY129" s="916"/>
      <c r="BZ129" s="916"/>
      <c r="CA129" s="916"/>
      <c r="CB129" s="916"/>
      <c r="CC129" s="916"/>
      <c r="CD129" s="916"/>
      <c r="CE129" s="916"/>
      <c r="CF129" s="916"/>
      <c r="CG129" s="916"/>
      <c r="CH129" s="916"/>
      <c r="CI129" s="916"/>
      <c r="CX129" s="39" t="s">
        <v>116</v>
      </c>
    </row>
    <row r="130" spans="1:122" ht="12" hidden="1" customHeight="1">
      <c r="A130" s="95"/>
      <c r="B130" s="104"/>
      <c r="C130" s="99"/>
      <c r="D130" s="707"/>
      <c r="E130" s="94"/>
      <c r="F130" s="642"/>
      <c r="G130" s="643" t="s">
        <v>720</v>
      </c>
      <c r="H130" s="643"/>
      <c r="I130" s="643"/>
      <c r="J130" s="644"/>
      <c r="K130" s="644"/>
      <c r="L130" s="644"/>
      <c r="M130" s="644"/>
      <c r="N130" s="644"/>
      <c r="O130" s="644"/>
      <c r="P130" s="644"/>
      <c r="Q130" s="644"/>
      <c r="R130" s="644"/>
      <c r="S130" s="644"/>
      <c r="T130" s="644"/>
      <c r="U130" s="644"/>
      <c r="V130" s="644"/>
      <c r="W130" s="644"/>
      <c r="X130" s="644"/>
      <c r="Y130" s="644"/>
      <c r="Z130" s="644"/>
      <c r="AA130" s="644"/>
      <c r="AB130" s="645"/>
      <c r="AC130" s="161"/>
      <c r="DM130" s="39">
        <f>IF(OR(CI129=0,CX129=0,CI129=""),0,CX129/CI129)</f>
        <v>0</v>
      </c>
      <c r="DN130" s="39">
        <f>IF(OR(CJ129=0,CY129=0,CJ129=""),0,CY129/CJ129)</f>
        <v>0</v>
      </c>
      <c r="DO130" s="39">
        <f>IF(OR(CK129=0,CZ129=0,CK129=""),0,CZ129/CK129)</f>
        <v>0</v>
      </c>
      <c r="DP130" s="39">
        <f>IF(OR(CL129=0,DA129=0,CL129=""),0,DA129/CL129)</f>
        <v>0</v>
      </c>
      <c r="DQ130" s="39">
        <f>IF(OR(CM129=0,DB129=0,CM129=""),0,DB129/CM129)</f>
        <v>0</v>
      </c>
      <c r="DR130" s="39">
        <f>IF(OR(SUM(CI129:CM129)=0,SUM(CX129:DB129)=0),0,SUM(CX129:DB129)/SUM(CI129:CM129))</f>
        <v>0</v>
      </c>
    </row>
    <row r="131" spans="1:122" ht="12" customHeight="1">
      <c r="A131"/>
      <c r="B131"/>
      <c r="C131"/>
      <c r="D131" s="708"/>
      <c r="E131"/>
      <c r="F131" s="114"/>
      <c r="G131" s="114"/>
      <c r="H131" s="114"/>
      <c r="I131" s="114"/>
      <c r="J131" s="114"/>
      <c r="K131" s="114"/>
      <c r="L131" s="114"/>
      <c r="M131" s="114"/>
      <c r="N131" s="114"/>
      <c r="O131" s="114"/>
      <c r="P131" s="115"/>
      <c r="Q131" s="115"/>
      <c r="R131" s="114"/>
      <c r="S131" s="114"/>
      <c r="T131" s="114"/>
      <c r="U131" s="114"/>
      <c r="V131" s="114"/>
      <c r="W131" s="114"/>
      <c r="X131" s="114"/>
      <c r="Y131" s="114"/>
      <c r="Z131" s="114"/>
      <c r="AA131" s="114"/>
      <c r="AB131" s="114"/>
      <c r="AC131" s="161"/>
    </row>
    <row r="132" spans="1:122" ht="12" customHeight="1">
      <c r="A132"/>
      <c r="B132"/>
      <c r="C132"/>
      <c r="D132" s="708"/>
      <c r="E132"/>
    </row>
    <row r="133" spans="1:122">
      <c r="A133"/>
      <c r="B133"/>
      <c r="C133"/>
      <c r="D133" s="708"/>
      <c r="E133"/>
      <c r="P133"/>
      <c r="Q133"/>
      <c r="R133"/>
      <c r="S133"/>
      <c r="T133"/>
      <c r="U133"/>
    </row>
    <row r="134" spans="1:122">
      <c r="P134"/>
      <c r="Q134"/>
      <c r="R134"/>
      <c r="S134"/>
      <c r="T134"/>
      <c r="U134"/>
    </row>
    <row r="135" spans="1:122">
      <c r="P135"/>
      <c r="Q135"/>
      <c r="R135"/>
      <c r="S135"/>
      <c r="T135"/>
      <c r="U135"/>
    </row>
    <row r="136" spans="1:122">
      <c r="P136"/>
      <c r="Q136"/>
      <c r="R136"/>
      <c r="S136"/>
      <c r="T136"/>
      <c r="U136"/>
      <c r="DM136" s="39">
        <f>IF(OR(CN129=0,DC129=0,CN129=""),0,DC129/CN129)</f>
        <v>0</v>
      </c>
      <c r="DN136" s="39">
        <f>IF(OR(CO129=0,DD129=0,CO129=""),0,DD129/CO129)</f>
        <v>0</v>
      </c>
      <c r="DO136" s="39">
        <f>IF(OR(CP129=0,DE129=0,CP129=""),0,DE129/CP129)</f>
        <v>0</v>
      </c>
      <c r="DP136" s="39">
        <f>IF(OR(CQ129=0,DF129=0,CQ129=""),0,DF129/CQ129)</f>
        <v>0</v>
      </c>
      <c r="DQ136" s="39">
        <f>IF(OR(CR129=0,DG129=0,CR129=""),0,DG129/CR129)</f>
        <v>0</v>
      </c>
      <c r="DR136" s="39">
        <f>IF(OR(SUM(CN129:CR129)=0,SUM(DC129:DG129)=0),0,SUM(DC129:DG129)/SUM(CN129:CR129))</f>
        <v>0</v>
      </c>
    </row>
    <row r="138" spans="1:122">
      <c r="DM138" s="39" t="str">
        <f>IF(OR(CS129=0,DH129=0,CS129=""),"",DH129/CS129)</f>
        <v/>
      </c>
      <c r="DN138" s="39" t="str">
        <f>IF(OR(CT129=0,DI129=0,CT129=""),"",DI129/CT129)</f>
        <v/>
      </c>
      <c r="DO138" s="39" t="str">
        <f>IF(OR(CU129=0,DJ129=0,CU129=""),"",DJ129/CU129)</f>
        <v/>
      </c>
      <c r="DP138" s="39" t="str">
        <f>IF(OR(CV129=0,DK129=0,CV129=""),"",DK129/CV129)</f>
        <v/>
      </c>
      <c r="DQ138" s="39" t="str">
        <f>IF(OR(CW129=0,DL129=0,CW129=""),"",DL129/CW129)</f>
        <v/>
      </c>
      <c r="DR138" s="39" t="str">
        <f>IF(OR(SUM(CS129:CW129)=0,SUM(DH129:DL129)=0),"",SUM(DH129:DL129)/SUM(CS129:CW129))</f>
        <v/>
      </c>
    </row>
  </sheetData>
  <sheetProtection password="FA9C" sheet="1" objects="1" scenarios="1" formatColumns="0" formatRows="0"/>
  <mergeCells count="39">
    <mergeCell ref="BU129:CI129"/>
    <mergeCell ref="G127:G128"/>
    <mergeCell ref="O120:O123"/>
    <mergeCell ref="H120:H123"/>
    <mergeCell ref="U121:U123"/>
    <mergeCell ref="AA121:AA123"/>
    <mergeCell ref="AB121:AB123"/>
    <mergeCell ref="R121:T121"/>
    <mergeCell ref="R122:R123"/>
    <mergeCell ref="P121:P123"/>
    <mergeCell ref="T122:T123"/>
    <mergeCell ref="S122:S123"/>
    <mergeCell ref="B29:B56"/>
    <mergeCell ref="C31:C43"/>
    <mergeCell ref="F127:F128"/>
    <mergeCell ref="G125:G126"/>
    <mergeCell ref="G120:G123"/>
    <mergeCell ref="F120:F123"/>
    <mergeCell ref="F125:F126"/>
    <mergeCell ref="B57:B84"/>
    <mergeCell ref="C72:C84"/>
    <mergeCell ref="C44:C56"/>
    <mergeCell ref="C59:C71"/>
    <mergeCell ref="B1:B28"/>
    <mergeCell ref="C3:C15"/>
    <mergeCell ref="C16:C28"/>
    <mergeCell ref="J120:J123"/>
    <mergeCell ref="P120:AB120"/>
    <mergeCell ref="F1:F2"/>
    <mergeCell ref="F29:F30"/>
    <mergeCell ref="F57:F58"/>
    <mergeCell ref="G1:G2"/>
    <mergeCell ref="G57:G58"/>
    <mergeCell ref="G29:G30"/>
    <mergeCell ref="Z121:Z123"/>
    <mergeCell ref="I120:I123"/>
    <mergeCell ref="K120:N121"/>
    <mergeCell ref="V121:Y121"/>
    <mergeCell ref="Q121:Q123"/>
  </mergeCells>
  <phoneticPr fontId="8" type="noConversion"/>
  <dataValidations count="1">
    <dataValidation allowBlank="1" showInputMessage="1" showErrorMessage="1" sqref="Z121:Z123 Y122 W122:W123 V121 U121:U123 R122:T122"/>
  </dataValidations>
  <pageMargins left="0.37" right="0.35" top="1" bottom="1" header="0.5" footer="0.5"/>
  <pageSetup paperSize="9" scale="37" orientation="landscape" horizontalDpi="4294967292" verticalDpi="4294967292" r:id="rId1"/>
  <headerFooter alignWithMargins="0"/>
  <drawing r:id="rId2"/>
  <legacyDrawing r:id="rId3"/>
</worksheet>
</file>

<file path=xl/worksheets/sheet110.xml><?xml version="1.0" encoding="utf-8"?>
<worksheet xmlns="http://schemas.openxmlformats.org/spreadsheetml/2006/main" xmlns:r="http://schemas.openxmlformats.org/officeDocument/2006/relationships">
  <sheetPr codeName="modfrmCheckInIsInProgress">
    <tabColor indexed="47"/>
  </sheetPr>
  <dimension ref="A1"/>
  <sheetViews>
    <sheetView workbookViewId="0"/>
  </sheetViews>
  <sheetFormatPr defaultRowHeight="11.25"/>
  <sheetData/>
  <sheetProtection formatColumns="0" formatRows="0"/>
  <phoneticPr fontId="8" type="noConversion"/>
  <pageMargins left="0.75" right="0.75" top="1" bottom="1" header="0.5" footer="0.5"/>
  <headerFooter alignWithMargins="0"/>
</worksheet>
</file>

<file path=xl/worksheets/sheet111.xml><?xml version="1.0" encoding="utf-8"?>
<worksheet xmlns="http://schemas.openxmlformats.org/spreadsheetml/2006/main" xmlns:r="http://schemas.openxmlformats.org/officeDocument/2006/relationships">
  <sheetPr codeName="modfrmPLAN1XUpdateIsInProgress">
    <tabColor indexed="47"/>
  </sheetPr>
  <dimension ref="A1"/>
  <sheetViews>
    <sheetView workbookViewId="0"/>
  </sheetViews>
  <sheetFormatPr defaultRowHeight="11.25"/>
  <sheetData/>
  <sheetProtection formatColumns="0" formatRows="0"/>
  <phoneticPr fontId="8" type="noConversion"/>
  <pageMargins left="0.75" right="0.75" top="1" bottom="1" header="0.5" footer="0.5"/>
  <headerFooter alignWithMargins="0"/>
</worksheet>
</file>

<file path=xl/worksheets/sheet112.xml><?xml version="1.0" encoding="utf-8"?>
<worksheet xmlns="http://schemas.openxmlformats.org/spreadsheetml/2006/main" xmlns:r="http://schemas.openxmlformats.org/officeDocument/2006/relationships">
  <sheetPr codeName="modfrmTemplateMode">
    <tabColor indexed="47"/>
  </sheetPr>
  <dimension ref="A1"/>
  <sheetViews>
    <sheetView workbookViewId="0"/>
  </sheetViews>
  <sheetFormatPr defaultRowHeight="11.25"/>
  <sheetData/>
  <sheetProtection formatColumns="0" formatRows="0"/>
  <phoneticPr fontId="8" type="noConversion"/>
  <pageMargins left="0.75" right="0.75" top="1" bottom="1" header="0.5" footer="0.5"/>
  <headerFooter alignWithMargins="0"/>
</worksheet>
</file>

<file path=xl/worksheets/sheet113.xml><?xml version="1.0" encoding="utf-8"?>
<worksheet xmlns="http://schemas.openxmlformats.org/spreadsheetml/2006/main" xmlns:r="http://schemas.openxmlformats.org/officeDocument/2006/relationships">
  <sheetPr codeName="modVLDOrgUniqueness">
    <tabColor indexed="47"/>
  </sheetPr>
  <dimension ref="A1"/>
  <sheetViews>
    <sheetView workbookViewId="0"/>
  </sheetViews>
  <sheetFormatPr defaultRowHeight="11.25"/>
  <cols>
    <col min="1" max="1" width="9.140625" style="10"/>
    <col min="2" max="16384" width="9.140625" style="9"/>
  </cols>
  <sheetData/>
  <sheetProtection formatColumns="0" formatRows="0"/>
  <phoneticPr fontId="8" type="noConversion"/>
  <pageMargins left="0.75" right="0.75" top="1" bottom="1" header="0.5" footer="0.5"/>
  <pageSetup paperSize="9" orientation="portrait" r:id="rId1"/>
  <headerFooter alignWithMargins="0"/>
</worksheet>
</file>

<file path=xl/worksheets/sheet114.xml><?xml version="1.0" encoding="utf-8"?>
<worksheet xmlns="http://schemas.openxmlformats.org/spreadsheetml/2006/main" xmlns:r="http://schemas.openxmlformats.org/officeDocument/2006/relationships">
  <sheetPr codeName="modCloneData">
    <tabColor indexed="47"/>
  </sheetPr>
  <dimension ref="A1"/>
  <sheetViews>
    <sheetView workbookViewId="0"/>
  </sheetViews>
  <sheetFormatPr defaultRowHeight="12.75"/>
  <cols>
    <col min="1" max="16384" width="9.140625" style="218"/>
  </cols>
  <sheetData/>
  <sheetProtection formatColumns="0" formatRows="0"/>
  <phoneticPr fontId="0" type="noConversion"/>
  <pageMargins left="0.7" right="0.7" top="0.75" bottom="0.75" header="0.3" footer="0.3"/>
  <headerFooter alignWithMargins="0"/>
</worksheet>
</file>

<file path=xl/worksheets/sheet115.xml><?xml version="1.0" encoding="utf-8"?>
<worksheet xmlns="http://schemas.openxmlformats.org/spreadsheetml/2006/main" xmlns:r="http://schemas.openxmlformats.org/officeDocument/2006/relationships">
  <sheetPr codeName="modTM1">
    <tabColor indexed="47"/>
  </sheetPr>
  <dimension ref="A1"/>
  <sheetViews>
    <sheetView workbookViewId="0"/>
  </sheetViews>
  <sheetFormatPr defaultRowHeight="11.25" customHeight="1"/>
  <cols>
    <col min="1" max="16384" width="9.140625" style="62"/>
  </cols>
  <sheetData/>
  <sheetProtection formatColumns="0" formatRows="0"/>
  <phoneticPr fontId="0" type="noConversion"/>
  <pageMargins left="0.75" right="0.75" top="1" bottom="1" header="0.5" footer="0.5"/>
  <pageSetup paperSize="9" orientation="portrait" horizontalDpi="200" verticalDpi="200" r:id="rId1"/>
  <headerFooter alignWithMargins="0"/>
</worksheet>
</file>

<file path=xl/worksheets/sheet116.xml><?xml version="1.0" encoding="utf-8"?>
<worksheet xmlns="http://schemas.openxmlformats.org/spreadsheetml/2006/main" xmlns:r="http://schemas.openxmlformats.org/officeDocument/2006/relationships">
  <sheetPr codeName="modTM2">
    <tabColor indexed="47"/>
  </sheetPr>
  <dimension ref="A1"/>
  <sheetViews>
    <sheetView workbookViewId="0"/>
  </sheetViews>
  <sheetFormatPr defaultRowHeight="11.25" customHeight="1"/>
  <cols>
    <col min="1" max="16384" width="9.140625" style="62"/>
  </cols>
  <sheetData/>
  <sheetProtection formatColumns="0" formatRows="0"/>
  <phoneticPr fontId="0" type="noConversion"/>
  <pageMargins left="0.75" right="0.75" top="1" bottom="1" header="0.5" footer="0.5"/>
  <pageSetup paperSize="9" orientation="portrait" horizontalDpi="200" verticalDpi="200" r:id="rId1"/>
  <headerFooter alignWithMargins="0"/>
</worksheet>
</file>

<file path=xl/worksheets/sheet117.xml><?xml version="1.0" encoding="utf-8"?>
<worksheet xmlns="http://schemas.openxmlformats.org/spreadsheetml/2006/main" xmlns:r="http://schemas.openxmlformats.org/officeDocument/2006/relationships">
  <sheetPr codeName="modfrmReestr">
    <tabColor indexed="47"/>
  </sheetPr>
  <dimension ref="A1"/>
  <sheetViews>
    <sheetView showGridLines="0" workbookViewId="0"/>
  </sheetViews>
  <sheetFormatPr defaultRowHeight="11.25"/>
  <cols>
    <col min="1" max="1" width="9.140625" style="294"/>
    <col min="2" max="16384" width="9.140625" style="295"/>
  </cols>
  <sheetData/>
  <sheetProtection formatColumns="0" formatRows="0"/>
  <phoneticPr fontId="0" type="noConversion"/>
  <pageMargins left="0.75" right="0.75" top="1" bottom="1" header="0.5" footer="0.5"/>
  <pageSetup paperSize="9" orientation="portrait" r:id="rId1"/>
  <headerFooter alignWithMargins="0"/>
</worksheet>
</file>

<file path=xl/worksheets/sheet118.xml><?xml version="1.0" encoding="utf-8"?>
<worksheet xmlns="http://schemas.openxmlformats.org/spreadsheetml/2006/main" xmlns:r="http://schemas.openxmlformats.org/officeDocument/2006/relationships">
  <sheetPr codeName="modfrmOrg">
    <tabColor indexed="47"/>
  </sheetPr>
  <dimension ref="A1"/>
  <sheetViews>
    <sheetView showGridLines="0" workbookViewId="0"/>
  </sheetViews>
  <sheetFormatPr defaultRowHeight="11.25"/>
  <cols>
    <col min="1" max="1" width="9.140625" style="6"/>
    <col min="2" max="16384" width="9.140625" style="2"/>
  </cols>
  <sheetData/>
  <sheetProtection formatColumns="0" formatRows="0"/>
  <phoneticPr fontId="8" type="noConversion"/>
  <pageMargins left="0.75" right="0.75" top="1" bottom="1" header="0.5" footer="0.5"/>
  <pageSetup paperSize="9" orientation="portrait" r:id="rId1"/>
  <headerFooter alignWithMargins="0"/>
</worksheet>
</file>

<file path=xl/worksheets/sheet119.xml><?xml version="1.0" encoding="utf-8"?>
<worksheet xmlns="http://schemas.openxmlformats.org/spreadsheetml/2006/main" xmlns:r="http://schemas.openxmlformats.org/officeDocument/2006/relationships">
  <sheetPr codeName="modUpdTemplMain">
    <tabColor indexed="47"/>
  </sheetPr>
  <dimension ref="AA1:AJ1"/>
  <sheetViews>
    <sheetView showGridLines="0" workbookViewId="0"/>
  </sheetViews>
  <sheetFormatPr defaultRowHeight="11.25"/>
  <cols>
    <col min="1" max="26" width="9.140625" style="4"/>
    <col min="27" max="36" width="9.140625" style="8"/>
    <col min="37" max="16384" width="9.140625" style="4"/>
  </cols>
  <sheetData/>
  <sheetProtection formatColumns="0" formatRows="0"/>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sheetPr codeName="HEAT_DF">
    <tabColor rgb="FFFFC000"/>
    <outlinePr summaryBelow="0"/>
  </sheetPr>
  <dimension ref="A1:AU1003"/>
  <sheetViews>
    <sheetView showGridLines="0" topLeftCell="AL8" workbookViewId="0"/>
  </sheetViews>
  <sheetFormatPr defaultRowHeight="11.25"/>
  <cols>
    <col min="1" max="9" width="4.7109375" style="47" hidden="1" customWidth="1"/>
    <col min="10" max="36" width="4.7109375" style="121" hidden="1" customWidth="1"/>
    <col min="37" max="37" width="2.7109375" style="121" hidden="1" customWidth="1"/>
    <col min="38" max="39" width="2.7109375" style="121" customWidth="1"/>
    <col min="40" max="40" width="13.7109375" style="49" customWidth="1"/>
    <col min="41" max="41" width="60.7109375" style="47" customWidth="1"/>
    <col min="42" max="42" width="17.7109375" style="47" customWidth="1"/>
    <col min="43" max="44" width="0.140625" style="47" customWidth="1"/>
    <col min="45" max="46" width="2.7109375" style="48" customWidth="1"/>
    <col min="47" max="47" width="9.140625" style="48"/>
    <col min="48" max="16384" width="9.140625" style="47"/>
  </cols>
  <sheetData>
    <row r="1" spans="10:45" s="48" customFormat="1" ht="12" hidden="1" customHeight="1">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199"/>
    </row>
    <row r="2" spans="10:45" s="48" customFormat="1" ht="12" hidden="1" customHeight="1">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199"/>
    </row>
    <row r="3" spans="10:45" s="48" customFormat="1" ht="12" hidden="1" customHeight="1">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199"/>
    </row>
    <row r="4" spans="10:45" s="48" customFormat="1" ht="12" hidden="1" customHeight="1">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199"/>
    </row>
    <row r="5" spans="10:45" s="48" customFormat="1" ht="12" hidden="1" customHeight="1">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199"/>
    </row>
    <row r="6" spans="10:45" s="48" customFormat="1" ht="12" hidden="1" customHeight="1">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199"/>
    </row>
    <row r="7" spans="10:45" s="48" customFormat="1" ht="12" hidden="1" customHeight="1">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199"/>
      <c r="AO7" s="158"/>
    </row>
    <row r="8" spans="10:45" s="312" customFormat="1" ht="12" customHeight="1">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308"/>
      <c r="AN8" s="618"/>
      <c r="AO8" s="432"/>
      <c r="AP8" s="616" t="s">
        <v>2790</v>
      </c>
      <c r="AQ8" s="310"/>
      <c r="AR8" s="310"/>
      <c r="AS8" s="311"/>
    </row>
    <row r="9" spans="10:45"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"Дополнительные факторы организаций " &amp; TEMPLATE_SPHERE &amp; " по муниципальному образованию - " &amp; IF(mo="","Не определено",mo)</f>
        <v>Дополнительные факторы организаций водоотведения по муниципальному образованию - Село Булава</v>
      </c>
      <c r="AO9" s="917"/>
      <c r="AP9" s="917"/>
      <c r="AQ9" s="201"/>
      <c r="AR9" s="122"/>
      <c r="AS9" s="200"/>
    </row>
    <row r="10" spans="10:45" s="48" customFormat="1" ht="12" customHeight="1">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189"/>
      <c r="AO10" s="209"/>
      <c r="AP10" s="214" t="s">
        <v>786</v>
      </c>
      <c r="AQ10" s="201"/>
      <c r="AR10" s="168" t="s">
        <v>720</v>
      </c>
      <c r="AS10" s="200"/>
    </row>
    <row r="11" spans="10:45" ht="12" customHeight="1">
      <c r="AN11" s="802" t="s">
        <v>641</v>
      </c>
      <c r="AO11" s="804" t="s">
        <v>787</v>
      </c>
      <c r="AP11" s="819" t="s">
        <v>778</v>
      </c>
      <c r="AQ11" s="206">
        <v>0</v>
      </c>
      <c r="AR11" s="206"/>
      <c r="AS11" s="203"/>
    </row>
    <row r="12" spans="10:45" ht="48" customHeight="1">
      <c r="AN12" s="802"/>
      <c r="AO12" s="804"/>
      <c r="AP12" s="819"/>
      <c r="AQ12" s="207"/>
      <c r="AR12" s="207"/>
      <c r="AS12" s="203"/>
    </row>
    <row r="13" spans="10:45" ht="11.25" customHeight="1">
      <c r="AN13" s="232"/>
      <c r="AO13" s="233" t="s">
        <v>788</v>
      </c>
      <c r="AP13" s="304"/>
      <c r="AQ13" s="207"/>
      <c r="AR13" s="207"/>
      <c r="AS13" s="203"/>
    </row>
    <row r="14" spans="10:45" ht="11.25" customHeight="1">
      <c r="AN14" s="232"/>
      <c r="AO14" s="490" t="str">
        <f>IF(CALC_IDENTIFIER="","",CALC_IDENTIFIER)</f>
        <v/>
      </c>
      <c r="AP14" s="304"/>
      <c r="AQ14" s="207"/>
      <c r="AR14" s="207"/>
      <c r="AS14" s="203"/>
    </row>
    <row r="15" spans="10:45">
      <c r="AN15" s="234" t="s">
        <v>642</v>
      </c>
      <c r="AO15" s="235" t="s">
        <v>789</v>
      </c>
      <c r="AP15" s="305">
        <f t="shared" ref="AP15:AP26" si="0">SUM(AQ15:AR15)</f>
        <v>0</v>
      </c>
      <c r="AQ15" s="258"/>
      <c r="AR15" s="258"/>
      <c r="AS15" s="202"/>
    </row>
    <row r="16" spans="10:45">
      <c r="AN16" s="234" t="s">
        <v>790</v>
      </c>
      <c r="AO16" s="224" t="s">
        <v>791</v>
      </c>
      <c r="AP16" s="305">
        <f t="shared" si="0"/>
        <v>0</v>
      </c>
      <c r="AQ16" s="258"/>
      <c r="AR16" s="258"/>
      <c r="AS16" s="202"/>
    </row>
    <row r="17" spans="1:45">
      <c r="AN17" s="236" t="s">
        <v>792</v>
      </c>
      <c r="AO17" s="237" t="s">
        <v>793</v>
      </c>
      <c r="AP17" s="305">
        <f t="shared" si="0"/>
        <v>0</v>
      </c>
      <c r="AQ17" s="258"/>
      <c r="AR17" s="258"/>
      <c r="AS17" s="202"/>
    </row>
    <row r="18" spans="1:45" hidden="1">
      <c r="AN18" s="234"/>
      <c r="AO18" s="238"/>
      <c r="AP18" s="287"/>
      <c r="AQ18" s="258"/>
      <c r="AR18" s="258"/>
      <c r="AS18" s="202"/>
    </row>
    <row r="19" spans="1:45" hidden="1">
      <c r="AN19" s="234"/>
      <c r="AO19" s="238"/>
      <c r="AP19" s="287"/>
      <c r="AQ19" s="258"/>
      <c r="AR19" s="258"/>
      <c r="AS19" s="202"/>
    </row>
    <row r="20" spans="1:45" ht="22.5">
      <c r="A20" s="51"/>
      <c r="B20" s="51"/>
      <c r="C20" s="51"/>
      <c r="D20" s="51"/>
      <c r="E20" s="51"/>
      <c r="F20" s="51"/>
      <c r="G20" s="51"/>
      <c r="H20" s="51"/>
      <c r="I20" s="51"/>
      <c r="AN20" s="236" t="s">
        <v>63</v>
      </c>
      <c r="AO20" s="237" t="s">
        <v>64</v>
      </c>
      <c r="AP20" s="305">
        <f t="shared" si="0"/>
        <v>0</v>
      </c>
      <c r="AQ20" s="258"/>
      <c r="AR20" s="258"/>
      <c r="AS20" s="202"/>
    </row>
    <row r="21" spans="1:45">
      <c r="A21" s="51"/>
      <c r="B21" s="51"/>
      <c r="C21" s="51"/>
      <c r="D21" s="51"/>
      <c r="E21" s="51"/>
      <c r="F21" s="51"/>
      <c r="G21" s="51"/>
      <c r="H21" s="51"/>
      <c r="I21" s="51"/>
      <c r="AN21" s="234" t="s">
        <v>751</v>
      </c>
      <c r="AO21" s="235" t="s">
        <v>65</v>
      </c>
      <c r="AP21" s="305">
        <f t="shared" si="0"/>
        <v>0</v>
      </c>
      <c r="AQ21" s="258"/>
      <c r="AR21" s="258"/>
      <c r="AS21" s="202"/>
    </row>
    <row r="22" spans="1:45">
      <c r="A22" s="51"/>
      <c r="B22" s="51"/>
      <c r="C22" s="51"/>
      <c r="D22" s="51"/>
      <c r="E22" s="51"/>
      <c r="F22" s="51"/>
      <c r="G22" s="51"/>
      <c r="H22" s="51"/>
      <c r="I22" s="51"/>
      <c r="AN22" s="234" t="s">
        <v>66</v>
      </c>
      <c r="AO22" s="237" t="s">
        <v>67</v>
      </c>
      <c r="AP22" s="305">
        <f t="shared" si="0"/>
        <v>0</v>
      </c>
      <c r="AQ22" s="258"/>
      <c r="AR22" s="258"/>
      <c r="AS22" s="202"/>
    </row>
    <row r="23" spans="1:45">
      <c r="A23" s="51"/>
      <c r="B23" s="51"/>
      <c r="C23" s="51"/>
      <c r="D23" s="51"/>
      <c r="E23" s="51"/>
      <c r="F23" s="51"/>
      <c r="G23" s="51"/>
      <c r="H23" s="51"/>
      <c r="I23" s="51"/>
      <c r="AN23" s="234" t="s">
        <v>69</v>
      </c>
      <c r="AO23" s="237" t="s">
        <v>70</v>
      </c>
      <c r="AP23" s="305">
        <f t="shared" si="0"/>
        <v>0</v>
      </c>
      <c r="AQ23" s="258"/>
      <c r="AR23" s="258"/>
      <c r="AS23" s="202"/>
    </row>
    <row r="24" spans="1:45">
      <c r="A24" s="51"/>
      <c r="B24" s="51"/>
      <c r="C24" s="51"/>
      <c r="D24" s="51"/>
      <c r="E24" s="51"/>
      <c r="F24" s="51"/>
      <c r="G24" s="51"/>
      <c r="H24" s="51"/>
      <c r="I24" s="51"/>
      <c r="AN24" s="234" t="s">
        <v>72</v>
      </c>
      <c r="AO24" s="237" t="s">
        <v>73</v>
      </c>
      <c r="AP24" s="305">
        <f t="shared" si="0"/>
        <v>0</v>
      </c>
      <c r="AQ24" s="258"/>
      <c r="AR24" s="258"/>
      <c r="AS24" s="202"/>
    </row>
    <row r="25" spans="1:45">
      <c r="A25" s="51"/>
      <c r="B25" s="51"/>
      <c r="C25" s="51"/>
      <c r="D25" s="51"/>
      <c r="E25" s="51"/>
      <c r="F25" s="51"/>
      <c r="G25" s="51"/>
      <c r="H25" s="51"/>
      <c r="I25" s="51"/>
      <c r="AN25" s="234" t="s">
        <v>752</v>
      </c>
      <c r="AO25" s="235" t="s">
        <v>74</v>
      </c>
      <c r="AP25" s="305">
        <f t="shared" si="0"/>
        <v>0</v>
      </c>
      <c r="AQ25" s="258"/>
      <c r="AR25" s="258"/>
      <c r="AS25" s="202"/>
    </row>
    <row r="26" spans="1:45">
      <c r="A26" s="51"/>
      <c r="B26" s="51"/>
      <c r="C26" s="51"/>
      <c r="D26" s="51"/>
      <c r="E26" s="51"/>
      <c r="F26" s="51"/>
      <c r="G26" s="51"/>
      <c r="H26" s="51"/>
      <c r="I26" s="51"/>
      <c r="AN26" s="236" t="s">
        <v>760</v>
      </c>
      <c r="AO26" s="237" t="s">
        <v>76</v>
      </c>
      <c r="AP26" s="305">
        <f t="shared" si="0"/>
        <v>0</v>
      </c>
      <c r="AQ26" s="258"/>
      <c r="AR26" s="258"/>
      <c r="AS26" s="202"/>
    </row>
    <row r="27" spans="1:45" ht="22.5">
      <c r="A27" s="51"/>
      <c r="B27" s="51"/>
      <c r="C27" s="51"/>
      <c r="D27" s="51"/>
      <c r="E27" s="51"/>
      <c r="F27" s="51"/>
      <c r="G27" s="51"/>
      <c r="H27" s="51"/>
      <c r="I27" s="51"/>
      <c r="AN27" s="234" t="s">
        <v>753</v>
      </c>
      <c r="AO27" s="233" t="s">
        <v>211</v>
      </c>
      <c r="AP27" s="305">
        <f>SUM(AQ27:AR27)</f>
        <v>0</v>
      </c>
      <c r="AQ27" s="258"/>
      <c r="AR27" s="258"/>
      <c r="AS27" s="202"/>
    </row>
    <row r="28" spans="1:45">
      <c r="A28" s="51"/>
      <c r="B28" s="51"/>
      <c r="C28" s="51"/>
      <c r="D28" s="51"/>
      <c r="E28" s="51"/>
      <c r="F28" s="51"/>
      <c r="G28" s="51"/>
      <c r="H28" s="51"/>
      <c r="I28" s="51"/>
      <c r="AN28" s="451" t="s">
        <v>766</v>
      </c>
      <c r="AO28" s="453" t="s">
        <v>78</v>
      </c>
      <c r="AP28" s="305">
        <f>SUM(AQ28:AR28)</f>
        <v>0</v>
      </c>
      <c r="AQ28" s="258"/>
      <c r="AR28" s="258"/>
      <c r="AS28" s="202"/>
    </row>
    <row r="29" spans="1:45">
      <c r="A29" s="51"/>
      <c r="B29" s="51"/>
      <c r="C29" s="51"/>
      <c r="D29" s="51"/>
      <c r="E29" s="51"/>
      <c r="F29" s="51"/>
      <c r="G29" s="51"/>
      <c r="H29" s="51"/>
      <c r="I29" s="51"/>
      <c r="AN29" s="451" t="s">
        <v>768</v>
      </c>
      <c r="AO29" s="454" t="s">
        <v>212</v>
      </c>
      <c r="AP29" s="305">
        <f>SUM(AQ29:AR29)</f>
        <v>0</v>
      </c>
      <c r="AQ29" s="258"/>
      <c r="AR29" s="258"/>
      <c r="AS29" s="202"/>
    </row>
    <row r="30" spans="1:45">
      <c r="A30" s="51"/>
      <c r="B30" s="51"/>
      <c r="C30" s="51"/>
      <c r="D30" s="51"/>
      <c r="E30" s="51"/>
      <c r="F30" s="51"/>
      <c r="G30" s="51"/>
      <c r="H30" s="51"/>
      <c r="I30" s="51"/>
      <c r="AN30" s="451" t="s">
        <v>132</v>
      </c>
      <c r="AO30" s="455" t="s">
        <v>79</v>
      </c>
      <c r="AP30" s="305">
        <f>SUM(AQ30:AR30)</f>
        <v>0</v>
      </c>
      <c r="AQ30" s="258"/>
      <c r="AR30" s="258"/>
      <c r="AS30" s="202"/>
    </row>
    <row r="31" spans="1:45" hidden="1">
      <c r="A31" s="51"/>
      <c r="B31" s="51"/>
      <c r="C31" s="51"/>
      <c r="D31" s="51"/>
      <c r="E31" s="51"/>
      <c r="F31" s="51"/>
      <c r="G31" s="51"/>
      <c r="H31" s="51"/>
      <c r="I31" s="51"/>
      <c r="AN31" s="451"/>
      <c r="AO31" s="455"/>
      <c r="AP31" s="287"/>
      <c r="AQ31" s="258"/>
      <c r="AR31" s="258"/>
      <c r="AS31" s="202"/>
    </row>
    <row r="32" spans="1:45" hidden="1">
      <c r="A32" s="51"/>
      <c r="B32" s="51"/>
      <c r="C32" s="51"/>
      <c r="D32" s="51"/>
      <c r="E32" s="51"/>
      <c r="F32" s="51"/>
      <c r="G32" s="51"/>
      <c r="H32" s="51"/>
      <c r="I32" s="51"/>
      <c r="AN32" s="451"/>
      <c r="AO32" s="455"/>
      <c r="AP32" s="287"/>
      <c r="AQ32" s="258"/>
      <c r="AR32" s="258"/>
      <c r="AS32" s="202"/>
    </row>
    <row r="33" spans="1:45" hidden="1">
      <c r="A33" s="51"/>
      <c r="B33" s="51"/>
      <c r="C33" s="51"/>
      <c r="D33" s="51"/>
      <c r="E33" s="51"/>
      <c r="F33" s="51"/>
      <c r="G33" s="51"/>
      <c r="H33" s="51"/>
      <c r="I33" s="51"/>
      <c r="AN33" s="451"/>
      <c r="AO33" s="455"/>
      <c r="AP33" s="287"/>
      <c r="AQ33" s="258"/>
      <c r="AR33" s="258"/>
      <c r="AS33" s="202"/>
    </row>
    <row r="34" spans="1:45" hidden="1">
      <c r="A34" s="51"/>
      <c r="B34" s="51"/>
      <c r="C34" s="51"/>
      <c r="D34" s="51"/>
      <c r="E34" s="51"/>
      <c r="F34" s="51"/>
      <c r="G34" s="51"/>
      <c r="H34" s="51"/>
      <c r="I34" s="51"/>
      <c r="AN34" s="451"/>
      <c r="AO34" s="455"/>
      <c r="AP34" s="287"/>
      <c r="AQ34" s="258"/>
      <c r="AR34" s="258"/>
      <c r="AS34" s="202"/>
    </row>
    <row r="35" spans="1:45" hidden="1">
      <c r="A35" s="51"/>
      <c r="B35" s="51"/>
      <c r="C35" s="51"/>
      <c r="D35" s="51"/>
      <c r="E35" s="51"/>
      <c r="F35" s="51"/>
      <c r="G35" s="51"/>
      <c r="H35" s="51"/>
      <c r="I35" s="51"/>
      <c r="AN35" s="451"/>
      <c r="AO35" s="455"/>
      <c r="AP35" s="287"/>
      <c r="AQ35" s="258"/>
      <c r="AR35" s="258"/>
      <c r="AS35" s="202"/>
    </row>
    <row r="36" spans="1:45" hidden="1">
      <c r="A36" s="51"/>
      <c r="B36" s="51"/>
      <c r="C36" s="51"/>
      <c r="D36" s="51"/>
      <c r="E36" s="51"/>
      <c r="F36" s="51"/>
      <c r="G36" s="51"/>
      <c r="H36" s="51"/>
      <c r="I36" s="51"/>
      <c r="AN36" s="451"/>
      <c r="AO36" s="455"/>
      <c r="AP36" s="287"/>
      <c r="AQ36" s="258"/>
      <c r="AR36" s="258"/>
      <c r="AS36" s="202"/>
    </row>
    <row r="37" spans="1:45" hidden="1">
      <c r="A37" s="51"/>
      <c r="B37" s="51"/>
      <c r="C37" s="51"/>
      <c r="D37" s="51"/>
      <c r="E37" s="51"/>
      <c r="F37" s="51"/>
      <c r="G37" s="51"/>
      <c r="H37" s="51"/>
      <c r="I37" s="51"/>
      <c r="AN37" s="451"/>
      <c r="AO37" s="455"/>
      <c r="AP37" s="287"/>
      <c r="AQ37" s="258"/>
      <c r="AR37" s="258"/>
      <c r="AS37" s="202"/>
    </row>
    <row r="38" spans="1:45">
      <c r="A38" s="51"/>
      <c r="B38" s="51"/>
      <c r="C38" s="51"/>
      <c r="D38" s="51"/>
      <c r="E38" s="51"/>
      <c r="F38" s="51"/>
      <c r="G38" s="51"/>
      <c r="H38" s="51"/>
      <c r="I38" s="51"/>
      <c r="AN38" s="451" t="s">
        <v>80</v>
      </c>
      <c r="AO38" s="455" t="s">
        <v>81</v>
      </c>
      <c r="AP38" s="305">
        <f>SUM(AQ38:AR38)</f>
        <v>0</v>
      </c>
      <c r="AQ38" s="258"/>
      <c r="AR38" s="258"/>
      <c r="AS38" s="202"/>
    </row>
    <row r="39" spans="1:45" hidden="1">
      <c r="A39" s="51"/>
      <c r="B39" s="51"/>
      <c r="C39" s="51"/>
      <c r="D39" s="51"/>
      <c r="E39" s="51"/>
      <c r="F39" s="51"/>
      <c r="G39" s="51"/>
      <c r="H39" s="51"/>
      <c r="I39" s="51"/>
      <c r="AN39" s="451"/>
      <c r="AO39" s="455"/>
      <c r="AP39" s="287"/>
      <c r="AQ39" s="258"/>
      <c r="AR39" s="258"/>
      <c r="AS39" s="202"/>
    </row>
    <row r="40" spans="1:45" hidden="1">
      <c r="A40" s="51"/>
      <c r="B40" s="51"/>
      <c r="C40" s="51"/>
      <c r="D40" s="51"/>
      <c r="E40" s="51"/>
      <c r="F40" s="51"/>
      <c r="G40" s="51"/>
      <c r="H40" s="51"/>
      <c r="I40" s="51"/>
      <c r="AN40" s="451"/>
      <c r="AO40" s="455"/>
      <c r="AP40" s="287"/>
      <c r="AQ40" s="258"/>
      <c r="AR40" s="258"/>
      <c r="AS40" s="202"/>
    </row>
    <row r="41" spans="1:45" hidden="1">
      <c r="A41" s="51"/>
      <c r="B41" s="51"/>
      <c r="C41" s="51"/>
      <c r="D41" s="51"/>
      <c r="E41" s="51"/>
      <c r="F41" s="51"/>
      <c r="G41" s="51"/>
      <c r="H41" s="51"/>
      <c r="I41" s="51"/>
      <c r="AN41" s="451"/>
      <c r="AO41" s="455"/>
      <c r="AP41" s="287"/>
      <c r="AQ41" s="258"/>
      <c r="AR41" s="258"/>
      <c r="AS41" s="202"/>
    </row>
    <row r="42" spans="1:45" hidden="1">
      <c r="A42" s="51"/>
      <c r="B42" s="51"/>
      <c r="C42" s="51"/>
      <c r="D42" s="51"/>
      <c r="E42" s="51"/>
      <c r="F42" s="51"/>
      <c r="G42" s="51"/>
      <c r="H42" s="51"/>
      <c r="I42" s="51"/>
      <c r="AN42" s="451"/>
      <c r="AO42" s="455"/>
      <c r="AP42" s="287"/>
      <c r="AQ42" s="258"/>
      <c r="AR42" s="258"/>
      <c r="AS42" s="202"/>
    </row>
    <row r="43" spans="1:45" hidden="1">
      <c r="A43" s="51"/>
      <c r="B43" s="51"/>
      <c r="C43" s="51"/>
      <c r="D43" s="51"/>
      <c r="E43" s="51"/>
      <c r="F43" s="51"/>
      <c r="G43" s="51"/>
      <c r="H43" s="51"/>
      <c r="I43" s="51"/>
      <c r="AN43" s="451"/>
      <c r="AO43" s="455"/>
      <c r="AP43" s="287"/>
      <c r="AQ43" s="258"/>
      <c r="AR43" s="258"/>
      <c r="AS43" s="202"/>
    </row>
    <row r="44" spans="1:45" hidden="1">
      <c r="A44" s="51"/>
      <c r="B44" s="51"/>
      <c r="C44" s="51"/>
      <c r="D44" s="51"/>
      <c r="E44" s="51"/>
      <c r="F44" s="51"/>
      <c r="G44" s="51"/>
      <c r="H44" s="51"/>
      <c r="I44" s="51"/>
      <c r="AN44" s="451"/>
      <c r="AO44" s="455"/>
      <c r="AP44" s="287"/>
      <c r="AQ44" s="258"/>
      <c r="AR44" s="258"/>
      <c r="AS44" s="202"/>
    </row>
    <row r="45" spans="1:45" hidden="1">
      <c r="A45" s="51"/>
      <c r="B45" s="51"/>
      <c r="C45" s="51"/>
      <c r="D45" s="51"/>
      <c r="E45" s="51"/>
      <c r="F45" s="51"/>
      <c r="G45" s="51"/>
      <c r="H45" s="51"/>
      <c r="I45" s="51"/>
      <c r="AN45" s="451"/>
      <c r="AO45" s="455"/>
      <c r="AP45" s="287"/>
      <c r="AQ45" s="258"/>
      <c r="AR45" s="258"/>
      <c r="AS45" s="202"/>
    </row>
    <row r="46" spans="1:45">
      <c r="A46" s="51"/>
      <c r="B46" s="51"/>
      <c r="C46" s="51"/>
      <c r="D46" s="51"/>
      <c r="E46" s="51"/>
      <c r="F46" s="51"/>
      <c r="G46" s="51"/>
      <c r="H46" s="51"/>
      <c r="I46" s="51"/>
      <c r="AN46" s="451" t="s">
        <v>82</v>
      </c>
      <c r="AO46" s="455" t="s">
        <v>83</v>
      </c>
      <c r="AP46" s="305">
        <f t="shared" ref="AP46:AP59" si="1">SUM(AQ46:AR46)</f>
        <v>0</v>
      </c>
      <c r="AQ46" s="258"/>
      <c r="AR46" s="258"/>
      <c r="AS46" s="202"/>
    </row>
    <row r="47" spans="1:45">
      <c r="A47" s="51"/>
      <c r="B47" s="51"/>
      <c r="C47" s="51"/>
      <c r="D47" s="51"/>
      <c r="E47" s="51"/>
      <c r="F47" s="51"/>
      <c r="G47" s="51"/>
      <c r="H47" s="51"/>
      <c r="I47" s="51"/>
      <c r="AN47" s="451" t="s">
        <v>84</v>
      </c>
      <c r="AO47" s="457" t="s">
        <v>85</v>
      </c>
      <c r="AP47" s="305">
        <f t="shared" si="1"/>
        <v>0</v>
      </c>
      <c r="AQ47" s="258"/>
      <c r="AR47" s="258"/>
      <c r="AS47" s="202"/>
    </row>
    <row r="48" spans="1:45">
      <c r="A48" s="51"/>
      <c r="B48" s="51"/>
      <c r="C48" s="51"/>
      <c r="D48" s="51"/>
      <c r="E48" s="51"/>
      <c r="F48" s="51"/>
      <c r="G48" s="51"/>
      <c r="H48" s="51"/>
      <c r="I48" s="51"/>
      <c r="AN48" s="451" t="s">
        <v>86</v>
      </c>
      <c r="AO48" s="457" t="s">
        <v>87</v>
      </c>
      <c r="AP48" s="305">
        <f t="shared" si="1"/>
        <v>0</v>
      </c>
      <c r="AQ48" s="258"/>
      <c r="AR48" s="258"/>
      <c r="AS48" s="202"/>
    </row>
    <row r="49" spans="1:45">
      <c r="A49" s="51"/>
      <c r="B49" s="51"/>
      <c r="C49" s="51"/>
      <c r="D49" s="51"/>
      <c r="E49" s="51"/>
      <c r="F49" s="51"/>
      <c r="G49" s="51"/>
      <c r="H49" s="51"/>
      <c r="I49" s="51"/>
      <c r="AN49" s="451" t="s">
        <v>88</v>
      </c>
      <c r="AO49" s="457" t="s">
        <v>89</v>
      </c>
      <c r="AP49" s="305">
        <f t="shared" si="1"/>
        <v>0</v>
      </c>
      <c r="AQ49" s="258"/>
      <c r="AR49" s="258"/>
      <c r="AS49" s="202"/>
    </row>
    <row r="50" spans="1:45">
      <c r="A50" s="51"/>
      <c r="B50" s="51"/>
      <c r="C50" s="51"/>
      <c r="D50" s="51"/>
      <c r="E50" s="51"/>
      <c r="F50" s="51"/>
      <c r="G50" s="51"/>
      <c r="H50" s="51"/>
      <c r="I50" s="51"/>
      <c r="AN50" s="451" t="s">
        <v>90</v>
      </c>
      <c r="AO50" s="457" t="s">
        <v>91</v>
      </c>
      <c r="AP50" s="305">
        <f t="shared" si="1"/>
        <v>0</v>
      </c>
      <c r="AQ50" s="258"/>
      <c r="AR50" s="258"/>
      <c r="AS50" s="202"/>
    </row>
    <row r="51" spans="1:45">
      <c r="A51" s="51"/>
      <c r="B51" s="51"/>
      <c r="C51" s="51"/>
      <c r="D51" s="51"/>
      <c r="E51" s="51"/>
      <c r="F51" s="51"/>
      <c r="G51" s="51"/>
      <c r="H51" s="51"/>
      <c r="I51" s="51"/>
      <c r="AN51" s="451" t="s">
        <v>92</v>
      </c>
      <c r="AO51" s="457" t="s">
        <v>93</v>
      </c>
      <c r="AP51" s="305">
        <f t="shared" si="1"/>
        <v>0</v>
      </c>
      <c r="AQ51" s="258"/>
      <c r="AR51" s="258"/>
      <c r="AS51" s="202"/>
    </row>
    <row r="52" spans="1:45">
      <c r="A52" s="51"/>
      <c r="B52" s="51"/>
      <c r="C52" s="51"/>
      <c r="D52" s="51"/>
      <c r="E52" s="51"/>
      <c r="F52" s="51"/>
      <c r="G52" s="51"/>
      <c r="H52" s="51"/>
      <c r="I52" s="51"/>
      <c r="AN52" s="451" t="s">
        <v>94</v>
      </c>
      <c r="AO52" s="457" t="s">
        <v>95</v>
      </c>
      <c r="AP52" s="305">
        <f t="shared" si="1"/>
        <v>0</v>
      </c>
      <c r="AQ52" s="258"/>
      <c r="AR52" s="258"/>
      <c r="AS52" s="202"/>
    </row>
    <row r="53" spans="1:45">
      <c r="A53" s="51"/>
      <c r="B53" s="51"/>
      <c r="C53" s="51"/>
      <c r="D53" s="51"/>
      <c r="E53" s="51"/>
      <c r="F53" s="51"/>
      <c r="G53" s="51"/>
      <c r="H53" s="51"/>
      <c r="I53" s="51"/>
      <c r="AN53" s="451" t="s">
        <v>2975</v>
      </c>
      <c r="AO53" s="457" t="s">
        <v>2976</v>
      </c>
      <c r="AP53" s="305">
        <f t="shared" si="1"/>
        <v>0</v>
      </c>
      <c r="AQ53" s="258"/>
      <c r="AR53" s="258"/>
      <c r="AS53" s="202"/>
    </row>
    <row r="54" spans="1:45">
      <c r="A54" s="51"/>
      <c r="B54" s="51"/>
      <c r="C54" s="51"/>
      <c r="D54" s="51"/>
      <c r="E54" s="51"/>
      <c r="F54" s="51"/>
      <c r="G54" s="51"/>
      <c r="H54" s="51"/>
      <c r="I54" s="51"/>
      <c r="AN54" s="451" t="s">
        <v>2977</v>
      </c>
      <c r="AO54" s="457" t="s">
        <v>2978</v>
      </c>
      <c r="AP54" s="305">
        <f t="shared" si="1"/>
        <v>0</v>
      </c>
      <c r="AQ54" s="258"/>
      <c r="AR54" s="258"/>
      <c r="AS54" s="202"/>
    </row>
    <row r="55" spans="1:45">
      <c r="A55" s="51"/>
      <c r="B55" s="51"/>
      <c r="C55" s="51"/>
      <c r="D55" s="51"/>
      <c r="E55" s="51"/>
      <c r="F55" s="51"/>
      <c r="G55" s="51"/>
      <c r="H55" s="51"/>
      <c r="I55" s="51"/>
      <c r="AN55" s="451" t="s">
        <v>2979</v>
      </c>
      <c r="AO55" s="457" t="s">
        <v>2980</v>
      </c>
      <c r="AP55" s="305">
        <f t="shared" si="1"/>
        <v>0</v>
      </c>
      <c r="AQ55" s="258"/>
      <c r="AR55" s="258"/>
      <c r="AS55" s="202"/>
    </row>
    <row r="56" spans="1:45">
      <c r="A56" s="51"/>
      <c r="B56" s="51"/>
      <c r="C56" s="51"/>
      <c r="D56" s="51"/>
      <c r="E56" s="51"/>
      <c r="F56" s="51"/>
      <c r="G56" s="51"/>
      <c r="H56" s="51"/>
      <c r="I56" s="51"/>
      <c r="AN56" s="451" t="s">
        <v>2981</v>
      </c>
      <c r="AO56" s="457" t="s">
        <v>2982</v>
      </c>
      <c r="AP56" s="305">
        <f t="shared" si="1"/>
        <v>0</v>
      </c>
      <c r="AQ56" s="258"/>
      <c r="AR56" s="258"/>
      <c r="AS56" s="202"/>
    </row>
    <row r="57" spans="1:45">
      <c r="A57" s="51"/>
      <c r="B57" s="51"/>
      <c r="C57" s="51"/>
      <c r="D57" s="51"/>
      <c r="E57" s="51"/>
      <c r="F57" s="51"/>
      <c r="G57" s="51"/>
      <c r="H57" s="51"/>
      <c r="I57" s="51"/>
      <c r="AN57" s="451" t="s">
        <v>2983</v>
      </c>
      <c r="AO57" s="224" t="s">
        <v>2984</v>
      </c>
      <c r="AP57" s="305">
        <f t="shared" si="1"/>
        <v>0</v>
      </c>
      <c r="AQ57" s="258"/>
      <c r="AR57" s="258"/>
      <c r="AS57" s="202"/>
    </row>
    <row r="58" spans="1:45">
      <c r="A58" s="51"/>
      <c r="B58" s="51"/>
      <c r="C58" s="51"/>
      <c r="D58" s="51"/>
      <c r="E58" s="51"/>
      <c r="F58" s="51"/>
      <c r="G58" s="51"/>
      <c r="H58" s="51"/>
      <c r="I58" s="51"/>
      <c r="AN58" s="451" t="s">
        <v>2989</v>
      </c>
      <c r="AO58" s="224" t="s">
        <v>2990</v>
      </c>
      <c r="AP58" s="305">
        <f t="shared" si="1"/>
        <v>0</v>
      </c>
      <c r="AQ58" s="258"/>
      <c r="AR58" s="258"/>
      <c r="AS58" s="202"/>
    </row>
    <row r="59" spans="1:45">
      <c r="A59" s="51"/>
      <c r="B59" s="51"/>
      <c r="C59" s="51"/>
      <c r="D59" s="51"/>
      <c r="E59" s="51"/>
      <c r="F59" s="51"/>
      <c r="G59" s="51"/>
      <c r="H59" s="51"/>
      <c r="I59" s="51"/>
      <c r="AN59" s="451" t="s">
        <v>292</v>
      </c>
      <c r="AO59" s="442" t="s">
        <v>291</v>
      </c>
      <c r="AP59" s="305">
        <f t="shared" si="1"/>
        <v>0</v>
      </c>
      <c r="AQ59" s="258"/>
      <c r="AR59" s="258"/>
      <c r="AS59" s="202"/>
    </row>
    <row r="60" spans="1:45" hidden="1">
      <c r="A60" s="51"/>
      <c r="B60" s="51"/>
      <c r="C60" s="51"/>
      <c r="D60" s="51"/>
      <c r="E60" s="51"/>
      <c r="F60" s="51"/>
      <c r="G60" s="51"/>
      <c r="H60" s="51"/>
      <c r="I60" s="51"/>
      <c r="AN60" s="239"/>
      <c r="AO60" s="225"/>
      <c r="AP60" s="287"/>
      <c r="AQ60" s="258"/>
      <c r="AR60" s="258"/>
      <c r="AS60" s="202"/>
    </row>
    <row r="61" spans="1:45" hidden="1">
      <c r="A61" s="51"/>
      <c r="B61" s="51"/>
      <c r="C61" s="51"/>
      <c r="D61" s="51"/>
      <c r="E61" s="51"/>
      <c r="F61" s="51"/>
      <c r="G61" s="51"/>
      <c r="H61" s="51"/>
      <c r="I61" s="51"/>
      <c r="AN61" s="239"/>
      <c r="AO61" s="225"/>
      <c r="AP61" s="287"/>
      <c r="AQ61" s="258"/>
      <c r="AR61" s="258"/>
      <c r="AS61" s="202"/>
    </row>
    <row r="62" spans="1:45" hidden="1">
      <c r="A62" s="51"/>
      <c r="B62" s="51"/>
      <c r="C62" s="51"/>
      <c r="D62" s="51"/>
      <c r="E62" s="51"/>
      <c r="F62" s="51"/>
      <c r="G62" s="51"/>
      <c r="H62" s="51"/>
      <c r="I62" s="51"/>
      <c r="AN62" s="239"/>
      <c r="AO62" s="225"/>
      <c r="AP62" s="287"/>
      <c r="AQ62" s="258"/>
      <c r="AR62" s="258"/>
      <c r="AS62" s="202"/>
    </row>
    <row r="63" spans="1:45" hidden="1">
      <c r="A63" s="51"/>
      <c r="B63" s="51"/>
      <c r="C63" s="51"/>
      <c r="D63" s="51"/>
      <c r="E63" s="51"/>
      <c r="F63" s="51"/>
      <c r="G63" s="51"/>
      <c r="H63" s="51"/>
      <c r="I63" s="51"/>
      <c r="AN63" s="239"/>
      <c r="AO63" s="225"/>
      <c r="AP63" s="287"/>
      <c r="AQ63" s="258"/>
      <c r="AR63" s="258"/>
      <c r="AS63" s="202"/>
    </row>
    <row r="64" spans="1:45" hidden="1">
      <c r="A64" s="51"/>
      <c r="B64" s="51"/>
      <c r="C64" s="51"/>
      <c r="D64" s="51"/>
      <c r="E64" s="51"/>
      <c r="F64" s="51"/>
      <c r="G64" s="51"/>
      <c r="H64" s="51"/>
      <c r="I64" s="51"/>
      <c r="AN64" s="239"/>
      <c r="AO64" s="225"/>
      <c r="AP64" s="287"/>
      <c r="AQ64" s="258"/>
      <c r="AR64" s="258"/>
      <c r="AS64" s="202"/>
    </row>
    <row r="65" spans="1:45" hidden="1">
      <c r="A65" s="51"/>
      <c r="B65" s="51"/>
      <c r="C65" s="51"/>
      <c r="D65" s="51"/>
      <c r="E65" s="51"/>
      <c r="F65" s="51"/>
      <c r="G65" s="51"/>
      <c r="H65" s="51"/>
      <c r="I65" s="51"/>
      <c r="AN65" s="239"/>
      <c r="AO65" s="225"/>
      <c r="AP65" s="287"/>
      <c r="AQ65" s="258"/>
      <c r="AR65" s="258"/>
      <c r="AS65" s="202"/>
    </row>
    <row r="66" spans="1:45" hidden="1">
      <c r="A66" s="51"/>
      <c r="B66" s="51"/>
      <c r="C66" s="51"/>
      <c r="D66" s="51"/>
      <c r="E66" s="51"/>
      <c r="F66" s="51"/>
      <c r="G66" s="51"/>
      <c r="H66" s="51"/>
      <c r="I66" s="51"/>
      <c r="AN66" s="239"/>
      <c r="AO66" s="225"/>
      <c r="AP66" s="287"/>
      <c r="AQ66" s="258"/>
      <c r="AR66" s="258"/>
      <c r="AS66" s="202"/>
    </row>
    <row r="67" spans="1:45" hidden="1">
      <c r="A67" s="51"/>
      <c r="B67" s="51"/>
      <c r="C67" s="51"/>
      <c r="D67" s="51"/>
      <c r="E67" s="51"/>
      <c r="F67" s="51"/>
      <c r="G67" s="51"/>
      <c r="H67" s="51"/>
      <c r="I67" s="51"/>
      <c r="AN67" s="239"/>
      <c r="AO67" s="225"/>
      <c r="AP67" s="287"/>
      <c r="AQ67" s="258"/>
      <c r="AR67" s="258"/>
      <c r="AS67" s="202"/>
    </row>
    <row r="68" spans="1:45" hidden="1">
      <c r="A68" s="51"/>
      <c r="B68" s="51"/>
      <c r="C68" s="51"/>
      <c r="D68" s="51"/>
      <c r="E68" s="51"/>
      <c r="F68" s="51"/>
      <c r="G68" s="51"/>
      <c r="H68" s="51"/>
      <c r="I68" s="51"/>
      <c r="AN68" s="239"/>
      <c r="AO68" s="225"/>
      <c r="AP68" s="287"/>
      <c r="AQ68" s="258"/>
      <c r="AR68" s="258"/>
      <c r="AS68" s="202"/>
    </row>
    <row r="69" spans="1:45" hidden="1">
      <c r="A69" s="51"/>
      <c r="B69" s="51"/>
      <c r="C69" s="51"/>
      <c r="D69" s="51"/>
      <c r="E69" s="51"/>
      <c r="F69" s="51"/>
      <c r="G69" s="51"/>
      <c r="H69" s="51"/>
      <c r="I69" s="51"/>
      <c r="AN69" s="239"/>
      <c r="AO69" s="225"/>
      <c r="AP69" s="287"/>
      <c r="AQ69" s="258"/>
      <c r="AR69" s="258"/>
      <c r="AS69" s="202"/>
    </row>
    <row r="70" spans="1:45" hidden="1">
      <c r="A70" s="51"/>
      <c r="B70" s="51"/>
      <c r="C70" s="51"/>
      <c r="D70" s="51"/>
      <c r="E70" s="51"/>
      <c r="F70" s="51"/>
      <c r="G70" s="51"/>
      <c r="H70" s="51"/>
      <c r="I70" s="51"/>
      <c r="AN70" s="239"/>
      <c r="AO70" s="225"/>
      <c r="AP70" s="287"/>
      <c r="AQ70" s="258"/>
      <c r="AR70" s="258"/>
      <c r="AS70" s="202"/>
    </row>
    <row r="71" spans="1:45" hidden="1">
      <c r="A71" s="51"/>
      <c r="B71" s="51"/>
      <c r="C71" s="51"/>
      <c r="D71" s="51"/>
      <c r="E71" s="51"/>
      <c r="F71" s="51"/>
      <c r="G71" s="51"/>
      <c r="H71" s="51"/>
      <c r="I71" s="51"/>
      <c r="AN71" s="239"/>
      <c r="AO71" s="225"/>
      <c r="AP71" s="287"/>
      <c r="AQ71" s="258"/>
      <c r="AR71" s="258"/>
      <c r="AS71" s="202"/>
    </row>
    <row r="72" spans="1:45" hidden="1">
      <c r="A72" s="51"/>
      <c r="B72" s="51"/>
      <c r="C72" s="51"/>
      <c r="D72" s="51"/>
      <c r="E72" s="51"/>
      <c r="F72" s="51"/>
      <c r="G72" s="51"/>
      <c r="H72" s="51"/>
      <c r="I72" s="51"/>
      <c r="AN72" s="239"/>
      <c r="AO72" s="225"/>
      <c r="AP72" s="287"/>
      <c r="AQ72" s="258"/>
      <c r="AR72" s="258"/>
      <c r="AS72" s="202"/>
    </row>
    <row r="73" spans="1:45" hidden="1">
      <c r="A73" s="51"/>
      <c r="B73" s="51"/>
      <c r="C73" s="51"/>
      <c r="D73" s="51"/>
      <c r="E73" s="51"/>
      <c r="F73" s="51"/>
      <c r="G73" s="51"/>
      <c r="H73" s="51"/>
      <c r="I73" s="51"/>
      <c r="AN73" s="239"/>
      <c r="AO73" s="225"/>
      <c r="AP73" s="287"/>
      <c r="AQ73" s="258"/>
      <c r="AR73" s="258"/>
      <c r="AS73" s="202"/>
    </row>
    <row r="74" spans="1:45" hidden="1">
      <c r="A74" s="51"/>
      <c r="B74" s="51"/>
      <c r="C74" s="51"/>
      <c r="D74" s="51"/>
      <c r="E74" s="51"/>
      <c r="F74" s="51"/>
      <c r="G74" s="51"/>
      <c r="H74" s="51"/>
      <c r="I74" s="51"/>
      <c r="AN74" s="239"/>
      <c r="AO74" s="225"/>
      <c r="AP74" s="287"/>
      <c r="AQ74" s="258"/>
      <c r="AR74" s="258"/>
      <c r="AS74" s="202"/>
    </row>
    <row r="75" spans="1:45" hidden="1">
      <c r="A75" s="51"/>
      <c r="B75" s="51"/>
      <c r="C75" s="51"/>
      <c r="D75" s="51"/>
      <c r="E75" s="51"/>
      <c r="F75" s="51"/>
      <c r="G75" s="51"/>
      <c r="H75" s="51"/>
      <c r="I75" s="51"/>
      <c r="AN75" s="239"/>
      <c r="AO75" s="225"/>
      <c r="AP75" s="287"/>
      <c r="AQ75" s="258"/>
      <c r="AR75" s="258"/>
      <c r="AS75" s="202"/>
    </row>
    <row r="76" spans="1:45" hidden="1">
      <c r="A76" s="51"/>
      <c r="B76" s="51"/>
      <c r="C76" s="51"/>
      <c r="D76" s="51"/>
      <c r="E76" s="51"/>
      <c r="F76" s="51"/>
      <c r="G76" s="51"/>
      <c r="H76" s="51"/>
      <c r="I76" s="51"/>
      <c r="AN76" s="239"/>
      <c r="AO76" s="225"/>
      <c r="AP76" s="287"/>
      <c r="AQ76" s="258"/>
      <c r="AR76" s="258"/>
      <c r="AS76" s="202"/>
    </row>
    <row r="77" spans="1:45" hidden="1">
      <c r="A77" s="51"/>
      <c r="B77" s="51"/>
      <c r="C77" s="51"/>
      <c r="D77" s="51"/>
      <c r="E77" s="51"/>
      <c r="F77" s="51"/>
      <c r="G77" s="51"/>
      <c r="H77" s="51"/>
      <c r="I77" s="51"/>
      <c r="AN77" s="239"/>
      <c r="AO77" s="225"/>
      <c r="AP77" s="287"/>
      <c r="AQ77" s="258"/>
      <c r="AR77" s="258"/>
      <c r="AS77" s="202"/>
    </row>
    <row r="78" spans="1:45" hidden="1">
      <c r="A78" s="51"/>
      <c r="B78" s="51"/>
      <c r="C78" s="51"/>
      <c r="D78" s="51"/>
      <c r="E78" s="51"/>
      <c r="F78" s="51"/>
      <c r="G78" s="51"/>
      <c r="H78" s="51"/>
      <c r="I78" s="51"/>
      <c r="AN78" s="239"/>
      <c r="AO78" s="225"/>
      <c r="AP78" s="287"/>
      <c r="AQ78" s="258"/>
      <c r="AR78" s="258"/>
      <c r="AS78" s="202"/>
    </row>
    <row r="79" spans="1:45" hidden="1">
      <c r="A79" s="51"/>
      <c r="B79" s="51"/>
      <c r="C79" s="51"/>
      <c r="D79" s="51"/>
      <c r="E79" s="51"/>
      <c r="F79" s="51"/>
      <c r="G79" s="51"/>
      <c r="H79" s="51"/>
      <c r="I79" s="51"/>
      <c r="AN79" s="239"/>
      <c r="AO79" s="225"/>
      <c r="AP79" s="287"/>
      <c r="AQ79" s="258"/>
      <c r="AR79" s="258"/>
      <c r="AS79" s="202"/>
    </row>
    <row r="80" spans="1:45" hidden="1">
      <c r="A80" s="51"/>
      <c r="B80" s="51"/>
      <c r="C80" s="51"/>
      <c r="D80" s="51"/>
      <c r="E80" s="51"/>
      <c r="F80" s="51"/>
      <c r="G80" s="51"/>
      <c r="H80" s="51"/>
      <c r="I80" s="51"/>
      <c r="AN80" s="239"/>
      <c r="AO80" s="225"/>
      <c r="AP80" s="287"/>
      <c r="AQ80" s="258"/>
      <c r="AR80" s="258"/>
      <c r="AS80" s="202"/>
    </row>
    <row r="81" spans="1:45" hidden="1">
      <c r="A81" s="51"/>
      <c r="B81" s="51"/>
      <c r="C81" s="51"/>
      <c r="D81" s="51"/>
      <c r="E81" s="51"/>
      <c r="F81" s="51"/>
      <c r="G81" s="51"/>
      <c r="H81" s="51"/>
      <c r="I81" s="51"/>
      <c r="AN81" s="239"/>
      <c r="AO81" s="225"/>
      <c r="AP81" s="287"/>
      <c r="AQ81" s="258"/>
      <c r="AR81" s="258"/>
      <c r="AS81" s="202"/>
    </row>
    <row r="82" spans="1:45" hidden="1">
      <c r="A82" s="51"/>
      <c r="B82" s="51"/>
      <c r="C82" s="51"/>
      <c r="D82" s="51"/>
      <c r="E82" s="51"/>
      <c r="F82" s="51"/>
      <c r="G82" s="51"/>
      <c r="H82" s="51"/>
      <c r="I82" s="51"/>
      <c r="AN82" s="239"/>
      <c r="AO82" s="225"/>
      <c r="AP82" s="287"/>
      <c r="AQ82" s="258"/>
      <c r="AR82" s="258"/>
      <c r="AS82" s="202"/>
    </row>
    <row r="83" spans="1:45" hidden="1">
      <c r="A83" s="51"/>
      <c r="B83" s="51"/>
      <c r="C83" s="51"/>
      <c r="D83" s="51"/>
      <c r="E83" s="51"/>
      <c r="F83" s="51"/>
      <c r="G83" s="51"/>
      <c r="H83" s="51"/>
      <c r="I83" s="51"/>
      <c r="AN83" s="239"/>
      <c r="AO83" s="225"/>
      <c r="AP83" s="287"/>
      <c r="AQ83" s="258"/>
      <c r="AR83" s="258"/>
      <c r="AS83" s="202"/>
    </row>
    <row r="84" spans="1:45" hidden="1">
      <c r="A84" s="51"/>
      <c r="B84" s="51"/>
      <c r="C84" s="51"/>
      <c r="D84" s="51"/>
      <c r="E84" s="51"/>
      <c r="F84" s="51"/>
      <c r="G84" s="51"/>
      <c r="H84" s="51"/>
      <c r="I84" s="51"/>
      <c r="AN84" s="239"/>
      <c r="AO84" s="225"/>
      <c r="AP84" s="287"/>
      <c r="AQ84" s="258"/>
      <c r="AR84" s="258"/>
      <c r="AS84" s="202"/>
    </row>
    <row r="85" spans="1:45" hidden="1">
      <c r="A85" s="51"/>
      <c r="B85" s="51"/>
      <c r="C85" s="51"/>
      <c r="D85" s="51"/>
      <c r="E85" s="51"/>
      <c r="F85" s="51"/>
      <c r="G85" s="51"/>
      <c r="H85" s="51"/>
      <c r="I85" s="51"/>
      <c r="AN85" s="239"/>
      <c r="AO85" s="225"/>
      <c r="AP85" s="287"/>
      <c r="AQ85" s="258"/>
      <c r="AR85" s="258"/>
      <c r="AS85" s="202"/>
    </row>
    <row r="86" spans="1:45" hidden="1">
      <c r="A86" s="51"/>
      <c r="B86" s="51"/>
      <c r="C86" s="51"/>
      <c r="D86" s="51"/>
      <c r="E86" s="51"/>
      <c r="F86" s="51"/>
      <c r="G86" s="51"/>
      <c r="H86" s="51"/>
      <c r="I86" s="51"/>
      <c r="AN86" s="239"/>
      <c r="AO86" s="225"/>
      <c r="AP86" s="287"/>
      <c r="AQ86" s="258"/>
      <c r="AR86" s="258"/>
      <c r="AS86" s="202"/>
    </row>
    <row r="87" spans="1:45" hidden="1">
      <c r="A87" s="51"/>
      <c r="B87" s="51"/>
      <c r="C87" s="51"/>
      <c r="D87" s="51"/>
      <c r="E87" s="51"/>
      <c r="F87" s="51"/>
      <c r="G87" s="51"/>
      <c r="H87" s="51"/>
      <c r="I87" s="51"/>
      <c r="AN87" s="239"/>
      <c r="AO87" s="225"/>
      <c r="AP87" s="287"/>
      <c r="AQ87" s="258"/>
      <c r="AR87" s="258"/>
      <c r="AS87" s="202"/>
    </row>
    <row r="88" spans="1:45" hidden="1">
      <c r="A88" s="51"/>
      <c r="B88" s="51"/>
      <c r="C88" s="51"/>
      <c r="D88" s="51"/>
      <c r="E88" s="51"/>
      <c r="F88" s="51"/>
      <c r="G88" s="51"/>
      <c r="H88" s="51"/>
      <c r="I88" s="51"/>
      <c r="AN88" s="239"/>
      <c r="AO88" s="225"/>
      <c r="AP88" s="287"/>
      <c r="AQ88" s="258"/>
      <c r="AR88" s="258"/>
      <c r="AS88" s="202"/>
    </row>
    <row r="89" spans="1:45" hidden="1">
      <c r="A89" s="51"/>
      <c r="B89" s="51"/>
      <c r="C89" s="51"/>
      <c r="D89" s="51"/>
      <c r="E89" s="51"/>
      <c r="F89" s="51"/>
      <c r="G89" s="51"/>
      <c r="H89" s="51"/>
      <c r="I89" s="51"/>
      <c r="AN89" s="239"/>
      <c r="AO89" s="225"/>
      <c r="AP89" s="287"/>
      <c r="AQ89" s="258"/>
      <c r="AR89" s="258"/>
      <c r="AS89" s="202"/>
    </row>
    <row r="90" spans="1:45" hidden="1">
      <c r="A90" s="51"/>
      <c r="B90" s="51"/>
      <c r="C90" s="51"/>
      <c r="D90" s="51"/>
      <c r="E90" s="51"/>
      <c r="F90" s="51"/>
      <c r="G90" s="51"/>
      <c r="H90" s="51"/>
      <c r="I90" s="51"/>
      <c r="AN90" s="239"/>
      <c r="AO90" s="225"/>
      <c r="AP90" s="287"/>
      <c r="AQ90" s="258"/>
      <c r="AR90" s="258"/>
      <c r="AS90" s="202"/>
    </row>
    <row r="91" spans="1:45" hidden="1">
      <c r="A91" s="51"/>
      <c r="B91" s="51"/>
      <c r="C91" s="51"/>
      <c r="D91" s="51"/>
      <c r="E91" s="51"/>
      <c r="F91" s="51"/>
      <c r="G91" s="51"/>
      <c r="H91" s="51"/>
      <c r="I91" s="51"/>
      <c r="AN91" s="239"/>
      <c r="AO91" s="225"/>
      <c r="AP91" s="287"/>
      <c r="AQ91" s="258"/>
      <c r="AR91" s="258"/>
      <c r="AS91" s="202"/>
    </row>
    <row r="92" spans="1:45" hidden="1">
      <c r="A92" s="51"/>
      <c r="B92" s="51"/>
      <c r="C92" s="51"/>
      <c r="D92" s="51"/>
      <c r="E92" s="51"/>
      <c r="F92" s="51"/>
      <c r="G92" s="51"/>
      <c r="H92" s="51"/>
      <c r="I92" s="51"/>
      <c r="AN92" s="239"/>
      <c r="AO92" s="225"/>
      <c r="AP92" s="287"/>
      <c r="AQ92" s="258"/>
      <c r="AR92" s="258"/>
      <c r="AS92" s="202"/>
    </row>
    <row r="93" spans="1:45" hidden="1">
      <c r="A93" s="51"/>
      <c r="B93" s="51"/>
      <c r="C93" s="51"/>
      <c r="D93" s="51"/>
      <c r="E93" s="51"/>
      <c r="F93" s="51"/>
      <c r="G93" s="51"/>
      <c r="H93" s="51"/>
      <c r="I93" s="51"/>
      <c r="AN93" s="239"/>
      <c r="AO93" s="225"/>
      <c r="AP93" s="287"/>
      <c r="AQ93" s="258"/>
      <c r="AR93" s="258"/>
      <c r="AS93" s="202"/>
    </row>
    <row r="94" spans="1:45" hidden="1">
      <c r="A94" s="51"/>
      <c r="B94" s="51"/>
      <c r="C94" s="51"/>
      <c r="D94" s="51"/>
      <c r="E94" s="51"/>
      <c r="F94" s="51"/>
      <c r="G94" s="51"/>
      <c r="H94" s="51"/>
      <c r="I94" s="51"/>
      <c r="AN94" s="239"/>
      <c r="AO94" s="225"/>
      <c r="AP94" s="287"/>
      <c r="AQ94" s="258"/>
      <c r="AR94" s="258"/>
      <c r="AS94" s="202"/>
    </row>
    <row r="95" spans="1:45" hidden="1">
      <c r="A95" s="51"/>
      <c r="B95" s="51"/>
      <c r="C95" s="51"/>
      <c r="D95" s="51"/>
      <c r="E95" s="51"/>
      <c r="F95" s="51"/>
      <c r="G95" s="51"/>
      <c r="H95" s="51"/>
      <c r="I95" s="51"/>
      <c r="AN95" s="239"/>
      <c r="AO95" s="225"/>
      <c r="AP95" s="287"/>
      <c r="AQ95" s="258"/>
      <c r="AR95" s="258"/>
      <c r="AS95" s="202"/>
    </row>
    <row r="96" spans="1:45" hidden="1">
      <c r="A96" s="51"/>
      <c r="B96" s="51"/>
      <c r="C96" s="51"/>
      <c r="D96" s="51"/>
      <c r="E96" s="51"/>
      <c r="F96" s="51"/>
      <c r="G96" s="51"/>
      <c r="H96" s="51"/>
      <c r="I96" s="51"/>
      <c r="AN96" s="239"/>
      <c r="AO96" s="225"/>
      <c r="AP96" s="287"/>
      <c r="AQ96" s="258"/>
      <c r="AR96" s="258"/>
      <c r="AS96" s="202"/>
    </row>
    <row r="97" spans="1:45" hidden="1">
      <c r="A97" s="51"/>
      <c r="B97" s="51"/>
      <c r="C97" s="51"/>
      <c r="D97" s="51"/>
      <c r="E97" s="51"/>
      <c r="F97" s="51"/>
      <c r="G97" s="51"/>
      <c r="H97" s="51"/>
      <c r="I97" s="51"/>
      <c r="AN97" s="239"/>
      <c r="AO97" s="225"/>
      <c r="AP97" s="287"/>
      <c r="AQ97" s="258"/>
      <c r="AR97" s="258"/>
      <c r="AS97" s="202"/>
    </row>
    <row r="98" spans="1:45" hidden="1">
      <c r="A98" s="51"/>
      <c r="B98" s="51"/>
      <c r="C98" s="51"/>
      <c r="D98" s="51"/>
      <c r="E98" s="51"/>
      <c r="F98" s="51"/>
      <c r="G98" s="51"/>
      <c r="H98" s="51"/>
      <c r="I98" s="51"/>
      <c r="AN98" s="239"/>
      <c r="AO98" s="225"/>
      <c r="AP98" s="287"/>
      <c r="AQ98" s="258"/>
      <c r="AR98" s="258"/>
      <c r="AS98" s="202"/>
    </row>
    <row r="99" spans="1:45" hidden="1">
      <c r="A99" s="51"/>
      <c r="B99" s="51"/>
      <c r="C99" s="51"/>
      <c r="D99" s="51"/>
      <c r="E99" s="51"/>
      <c r="F99" s="51"/>
      <c r="G99" s="51"/>
      <c r="H99" s="51"/>
      <c r="I99" s="51"/>
      <c r="AN99" s="239"/>
      <c r="AO99" s="225"/>
      <c r="AP99" s="287"/>
      <c r="AQ99" s="258"/>
      <c r="AR99" s="258"/>
      <c r="AS99" s="202"/>
    </row>
    <row r="100" spans="1:45" hidden="1">
      <c r="A100" s="51"/>
      <c r="B100" s="51"/>
      <c r="C100" s="51"/>
      <c r="D100" s="51"/>
      <c r="E100" s="51"/>
      <c r="F100" s="51"/>
      <c r="G100" s="51"/>
      <c r="H100" s="51"/>
      <c r="I100" s="51"/>
      <c r="AN100" s="239"/>
      <c r="AO100" s="225"/>
      <c r="AP100" s="287"/>
      <c r="AQ100" s="258"/>
      <c r="AR100" s="258"/>
      <c r="AS100" s="202"/>
    </row>
    <row r="101" spans="1:45" hidden="1">
      <c r="A101" s="51"/>
      <c r="B101" s="51"/>
      <c r="C101" s="51"/>
      <c r="D101" s="51"/>
      <c r="E101" s="51"/>
      <c r="F101" s="51"/>
      <c r="G101" s="51"/>
      <c r="H101" s="51"/>
      <c r="I101" s="51"/>
      <c r="AN101" s="239"/>
      <c r="AO101" s="225"/>
      <c r="AP101" s="287"/>
      <c r="AQ101" s="258"/>
      <c r="AR101" s="258"/>
      <c r="AS101" s="202"/>
    </row>
    <row r="102" spans="1:45" hidden="1">
      <c r="A102" s="51"/>
      <c r="B102" s="51"/>
      <c r="C102" s="51"/>
      <c r="D102" s="51"/>
      <c r="E102" s="51"/>
      <c r="F102" s="51"/>
      <c r="G102" s="51"/>
      <c r="H102" s="51"/>
      <c r="I102" s="51"/>
      <c r="AN102" s="239"/>
      <c r="AO102" s="225"/>
      <c r="AP102" s="287"/>
      <c r="AQ102" s="258"/>
      <c r="AR102" s="258"/>
      <c r="AS102" s="202"/>
    </row>
    <row r="103" spans="1:45" hidden="1">
      <c r="A103" s="51"/>
      <c r="B103" s="51"/>
      <c r="C103" s="51"/>
      <c r="D103" s="51"/>
      <c r="E103" s="51"/>
      <c r="F103" s="51"/>
      <c r="G103" s="51"/>
      <c r="H103" s="51"/>
      <c r="I103" s="51"/>
      <c r="AN103" s="239"/>
      <c r="AO103" s="225"/>
      <c r="AP103" s="287"/>
      <c r="AQ103" s="258"/>
      <c r="AR103" s="258"/>
      <c r="AS103" s="202"/>
    </row>
    <row r="104" spans="1:45" hidden="1">
      <c r="A104" s="51"/>
      <c r="B104" s="51"/>
      <c r="C104" s="51"/>
      <c r="D104" s="51"/>
      <c r="E104" s="51"/>
      <c r="F104" s="51"/>
      <c r="G104" s="51"/>
      <c r="H104" s="51"/>
      <c r="I104" s="51"/>
      <c r="AN104" s="239"/>
      <c r="AO104" s="225"/>
      <c r="AP104" s="287"/>
      <c r="AQ104" s="258"/>
      <c r="AR104" s="258"/>
      <c r="AS104" s="202"/>
    </row>
    <row r="105" spans="1:45" hidden="1">
      <c r="A105" s="51"/>
      <c r="B105" s="51"/>
      <c r="C105" s="51"/>
      <c r="D105" s="51"/>
      <c r="E105" s="51"/>
      <c r="F105" s="51"/>
      <c r="G105" s="51"/>
      <c r="H105" s="51"/>
      <c r="I105" s="51"/>
      <c r="AN105" s="239"/>
      <c r="AO105" s="225"/>
      <c r="AP105" s="287"/>
      <c r="AQ105" s="258"/>
      <c r="AR105" s="258"/>
      <c r="AS105" s="202"/>
    </row>
    <row r="106" spans="1:45" hidden="1">
      <c r="A106" s="51"/>
      <c r="B106" s="51"/>
      <c r="C106" s="51"/>
      <c r="D106" s="51"/>
      <c r="E106" s="51"/>
      <c r="F106" s="51"/>
      <c r="G106" s="51"/>
      <c r="H106" s="51"/>
      <c r="I106" s="51"/>
      <c r="AN106" s="239"/>
      <c r="AO106" s="225"/>
      <c r="AP106" s="287"/>
      <c r="AQ106" s="258"/>
      <c r="AR106" s="258"/>
      <c r="AS106" s="202"/>
    </row>
    <row r="107" spans="1:45" hidden="1">
      <c r="A107" s="51"/>
      <c r="B107" s="51"/>
      <c r="C107" s="51"/>
      <c r="D107" s="51"/>
      <c r="E107" s="51"/>
      <c r="F107" s="51"/>
      <c r="G107" s="51"/>
      <c r="H107" s="51"/>
      <c r="I107" s="51"/>
      <c r="AN107" s="239"/>
      <c r="AO107" s="225"/>
      <c r="AP107" s="287"/>
      <c r="AQ107" s="258"/>
      <c r="AR107" s="258"/>
      <c r="AS107" s="202"/>
    </row>
    <row r="108" spans="1:45" hidden="1">
      <c r="A108" s="51"/>
      <c r="B108" s="51"/>
      <c r="C108" s="51"/>
      <c r="D108" s="51"/>
      <c r="E108" s="51"/>
      <c r="F108" s="51"/>
      <c r="G108" s="51"/>
      <c r="H108" s="51"/>
      <c r="I108" s="51"/>
      <c r="AN108" s="239"/>
      <c r="AO108" s="225"/>
      <c r="AP108" s="287"/>
      <c r="AQ108" s="258"/>
      <c r="AR108" s="258"/>
      <c r="AS108" s="202"/>
    </row>
    <row r="109" spans="1:45" hidden="1">
      <c r="A109" s="51"/>
      <c r="B109" s="51"/>
      <c r="C109" s="51"/>
      <c r="D109" s="51"/>
      <c r="E109" s="51"/>
      <c r="F109" s="51"/>
      <c r="G109" s="51"/>
      <c r="H109" s="51"/>
      <c r="I109" s="51"/>
      <c r="AN109" s="239"/>
      <c r="AO109" s="225"/>
      <c r="AP109" s="287"/>
      <c r="AQ109" s="258"/>
      <c r="AR109" s="258"/>
      <c r="AS109" s="202"/>
    </row>
    <row r="110" spans="1:45" hidden="1">
      <c r="A110" s="51"/>
      <c r="B110" s="51"/>
      <c r="C110" s="51"/>
      <c r="D110" s="51"/>
      <c r="E110" s="51"/>
      <c r="F110" s="51"/>
      <c r="G110" s="51"/>
      <c r="H110" s="51"/>
      <c r="I110" s="51"/>
      <c r="AN110" s="239"/>
      <c r="AO110" s="225"/>
      <c r="AP110" s="287"/>
      <c r="AQ110" s="258"/>
      <c r="AR110" s="258"/>
      <c r="AS110" s="202"/>
    </row>
    <row r="111" spans="1:45" hidden="1">
      <c r="A111" s="51"/>
      <c r="B111" s="51"/>
      <c r="C111" s="51"/>
      <c r="D111" s="51"/>
      <c r="E111" s="51"/>
      <c r="F111" s="51"/>
      <c r="G111" s="51"/>
      <c r="H111" s="51"/>
      <c r="I111" s="51"/>
      <c r="AN111" s="239"/>
      <c r="AO111" s="225"/>
      <c r="AP111" s="287"/>
      <c r="AQ111" s="258"/>
      <c r="AR111" s="258"/>
      <c r="AS111" s="202"/>
    </row>
    <row r="112" spans="1:45" hidden="1">
      <c r="A112" s="51"/>
      <c r="B112" s="51"/>
      <c r="C112" s="51"/>
      <c r="D112" s="51"/>
      <c r="E112" s="51"/>
      <c r="F112" s="51"/>
      <c r="G112" s="51"/>
      <c r="H112" s="51"/>
      <c r="I112" s="51"/>
      <c r="AN112" s="239"/>
      <c r="AO112" s="225"/>
      <c r="AP112" s="287"/>
      <c r="AQ112" s="258"/>
      <c r="AR112" s="258"/>
      <c r="AS112" s="202"/>
    </row>
    <row r="113" spans="1:45" hidden="1">
      <c r="A113" s="51"/>
      <c r="B113" s="51"/>
      <c r="C113" s="51"/>
      <c r="D113" s="51"/>
      <c r="E113" s="51"/>
      <c r="F113" s="51"/>
      <c r="G113" s="51"/>
      <c r="H113" s="51"/>
      <c r="I113" s="51"/>
      <c r="AN113" s="239"/>
      <c r="AO113" s="225"/>
      <c r="AP113" s="287"/>
      <c r="AQ113" s="258"/>
      <c r="AR113" s="258"/>
      <c r="AS113" s="202"/>
    </row>
    <row r="114" spans="1:45" hidden="1">
      <c r="A114" s="51"/>
      <c r="B114" s="51"/>
      <c r="C114" s="51"/>
      <c r="D114" s="51"/>
      <c r="E114" s="51"/>
      <c r="F114" s="51"/>
      <c r="G114" s="51"/>
      <c r="H114" s="51"/>
      <c r="I114" s="51"/>
      <c r="AN114" s="239"/>
      <c r="AO114" s="225"/>
      <c r="AP114" s="287"/>
      <c r="AQ114" s="258"/>
      <c r="AR114" s="258"/>
      <c r="AS114" s="202"/>
    </row>
    <row r="115" spans="1:45" hidden="1">
      <c r="A115" s="51"/>
      <c r="B115" s="51"/>
      <c r="C115" s="51"/>
      <c r="D115" s="51"/>
      <c r="E115" s="51"/>
      <c r="F115" s="51"/>
      <c r="G115" s="51"/>
      <c r="H115" s="51"/>
      <c r="I115" s="51"/>
      <c r="AN115" s="239"/>
      <c r="AO115" s="225"/>
      <c r="AP115" s="287"/>
      <c r="AQ115" s="258"/>
      <c r="AR115" s="258"/>
      <c r="AS115" s="202"/>
    </row>
    <row r="116" spans="1:45" hidden="1">
      <c r="A116" s="51"/>
      <c r="B116" s="51"/>
      <c r="C116" s="51"/>
      <c r="D116" s="51"/>
      <c r="E116" s="51"/>
      <c r="F116" s="51"/>
      <c r="G116" s="51"/>
      <c r="H116" s="51"/>
      <c r="I116" s="51"/>
      <c r="AN116" s="239"/>
      <c r="AO116" s="225"/>
      <c r="AP116" s="287"/>
      <c r="AQ116" s="258"/>
      <c r="AR116" s="258"/>
      <c r="AS116" s="202"/>
    </row>
    <row r="117" spans="1:45" hidden="1">
      <c r="A117" s="51"/>
      <c r="B117" s="51"/>
      <c r="C117" s="51"/>
      <c r="D117" s="51"/>
      <c r="E117" s="51"/>
      <c r="F117" s="51"/>
      <c r="G117" s="51"/>
      <c r="H117" s="51"/>
      <c r="I117" s="51"/>
      <c r="AN117" s="239"/>
      <c r="AO117" s="225"/>
      <c r="AP117" s="287"/>
      <c r="AQ117" s="258"/>
      <c r="AR117" s="258"/>
      <c r="AS117" s="202"/>
    </row>
    <row r="118" spans="1:45" hidden="1">
      <c r="A118" s="51"/>
      <c r="B118" s="51"/>
      <c r="C118" s="51"/>
      <c r="D118" s="51"/>
      <c r="E118" s="51"/>
      <c r="F118" s="51"/>
      <c r="G118" s="51"/>
      <c r="H118" s="51"/>
      <c r="I118" s="51"/>
      <c r="AN118" s="239"/>
      <c r="AO118" s="225"/>
      <c r="AP118" s="287"/>
      <c r="AQ118" s="258"/>
      <c r="AR118" s="258"/>
      <c r="AS118" s="202"/>
    </row>
    <row r="119" spans="1:45" hidden="1">
      <c r="A119" s="51"/>
      <c r="B119" s="51"/>
      <c r="C119" s="51"/>
      <c r="D119" s="51"/>
      <c r="E119" s="51"/>
      <c r="F119" s="51"/>
      <c r="G119" s="51"/>
      <c r="H119" s="51"/>
      <c r="I119" s="51"/>
      <c r="AN119" s="239"/>
      <c r="AO119" s="225"/>
      <c r="AP119" s="287"/>
      <c r="AQ119" s="258"/>
      <c r="AR119" s="258"/>
      <c r="AS119" s="202"/>
    </row>
    <row r="120" spans="1:45" hidden="1">
      <c r="A120" s="51"/>
      <c r="B120" s="51"/>
      <c r="C120" s="51"/>
      <c r="D120" s="51"/>
      <c r="E120" s="51"/>
      <c r="F120" s="51"/>
      <c r="G120" s="51"/>
      <c r="H120" s="51"/>
      <c r="I120" s="51"/>
      <c r="AN120" s="239"/>
      <c r="AO120" s="225"/>
      <c r="AP120" s="287"/>
      <c r="AQ120" s="258"/>
      <c r="AR120" s="258"/>
      <c r="AS120" s="202"/>
    </row>
    <row r="121" spans="1:45" hidden="1">
      <c r="A121" s="51"/>
      <c r="B121" s="51"/>
      <c r="C121" s="51"/>
      <c r="D121" s="51"/>
      <c r="E121" s="51"/>
      <c r="F121" s="51"/>
      <c r="G121" s="51"/>
      <c r="H121" s="51"/>
      <c r="I121" s="51"/>
      <c r="AN121" s="239"/>
      <c r="AO121" s="225"/>
      <c r="AP121" s="287"/>
      <c r="AQ121" s="258"/>
      <c r="AR121" s="258"/>
      <c r="AS121" s="202"/>
    </row>
    <row r="122" spans="1:45" hidden="1">
      <c r="A122" s="51"/>
      <c r="B122" s="51"/>
      <c r="C122" s="51"/>
      <c r="D122" s="51"/>
      <c r="E122" s="51"/>
      <c r="F122" s="51"/>
      <c r="G122" s="51"/>
      <c r="H122" s="51"/>
      <c r="I122" s="51"/>
      <c r="AN122" s="239"/>
      <c r="AO122" s="225"/>
      <c r="AP122" s="287"/>
      <c r="AQ122" s="258"/>
      <c r="AR122" s="258"/>
      <c r="AS122" s="202"/>
    </row>
    <row r="123" spans="1:45" hidden="1">
      <c r="A123" s="51"/>
      <c r="B123" s="51"/>
      <c r="C123" s="51"/>
      <c r="D123" s="51"/>
      <c r="E123" s="51"/>
      <c r="F123" s="51"/>
      <c r="G123" s="51"/>
      <c r="H123" s="51"/>
      <c r="I123" s="51"/>
      <c r="AN123" s="239"/>
      <c r="AO123" s="225"/>
      <c r="AP123" s="287"/>
      <c r="AQ123" s="258"/>
      <c r="AR123" s="258"/>
      <c r="AS123" s="202"/>
    </row>
    <row r="124" spans="1:45" hidden="1">
      <c r="A124" s="51"/>
      <c r="B124" s="51"/>
      <c r="C124" s="51"/>
      <c r="D124" s="51"/>
      <c r="E124" s="51"/>
      <c r="F124" s="51"/>
      <c r="G124" s="51"/>
      <c r="H124" s="51"/>
      <c r="I124" s="51"/>
      <c r="AN124" s="239"/>
      <c r="AO124" s="225"/>
      <c r="AP124" s="287"/>
      <c r="AQ124" s="258"/>
      <c r="AR124" s="258"/>
      <c r="AS124" s="202"/>
    </row>
    <row r="125" spans="1:45" hidden="1">
      <c r="A125" s="51"/>
      <c r="B125" s="51"/>
      <c r="C125" s="51"/>
      <c r="D125" s="51"/>
      <c r="E125" s="51"/>
      <c r="F125" s="51"/>
      <c r="G125" s="51"/>
      <c r="H125" s="51"/>
      <c r="I125" s="51"/>
      <c r="AN125" s="239"/>
      <c r="AO125" s="225"/>
      <c r="AP125" s="287"/>
      <c r="AQ125" s="258"/>
      <c r="AR125" s="258"/>
      <c r="AS125" s="202"/>
    </row>
    <row r="126" spans="1:45" hidden="1">
      <c r="A126" s="51"/>
      <c r="B126" s="51"/>
      <c r="C126" s="51"/>
      <c r="D126" s="51"/>
      <c r="E126" s="51"/>
      <c r="F126" s="51"/>
      <c r="G126" s="51"/>
      <c r="H126" s="51"/>
      <c r="I126" s="51"/>
      <c r="AN126" s="239"/>
      <c r="AO126" s="225"/>
      <c r="AP126" s="287"/>
      <c r="AQ126" s="258"/>
      <c r="AR126" s="258"/>
      <c r="AS126" s="202"/>
    </row>
    <row r="127" spans="1:45" hidden="1">
      <c r="A127" s="51"/>
      <c r="B127" s="51"/>
      <c r="C127" s="51"/>
      <c r="D127" s="51"/>
      <c r="E127" s="51"/>
      <c r="F127" s="51"/>
      <c r="G127" s="51"/>
      <c r="H127" s="51"/>
      <c r="I127" s="51"/>
      <c r="AN127" s="239"/>
      <c r="AO127" s="225"/>
      <c r="AP127" s="287"/>
      <c r="AQ127" s="258"/>
      <c r="AR127" s="258"/>
      <c r="AS127" s="202"/>
    </row>
    <row r="128" spans="1:45" hidden="1">
      <c r="A128" s="51"/>
      <c r="B128" s="51"/>
      <c r="C128" s="51"/>
      <c r="D128" s="51"/>
      <c r="E128" s="51"/>
      <c r="F128" s="51"/>
      <c r="G128" s="51"/>
      <c r="H128" s="51"/>
      <c r="I128" s="51"/>
      <c r="AN128" s="239"/>
      <c r="AO128" s="225"/>
      <c r="AP128" s="287"/>
      <c r="AQ128" s="258"/>
      <c r="AR128" s="258"/>
      <c r="AS128" s="202"/>
    </row>
    <row r="129" spans="1:47" hidden="1">
      <c r="A129" s="51"/>
      <c r="B129" s="51"/>
      <c r="C129" s="51"/>
      <c r="D129" s="51"/>
      <c r="E129" s="51"/>
      <c r="F129" s="51"/>
      <c r="G129" s="51"/>
      <c r="H129" s="51"/>
      <c r="I129" s="51"/>
      <c r="AN129" s="239"/>
      <c r="AO129" s="225"/>
      <c r="AP129" s="287"/>
      <c r="AQ129" s="258"/>
      <c r="AR129" s="258"/>
      <c r="AS129" s="202"/>
    </row>
    <row r="130" spans="1:47" hidden="1">
      <c r="A130" s="51"/>
      <c r="B130" s="51"/>
      <c r="C130" s="51"/>
      <c r="D130" s="51"/>
      <c r="E130" s="51"/>
      <c r="F130" s="51"/>
      <c r="G130" s="51"/>
      <c r="H130" s="51"/>
      <c r="I130" s="51"/>
      <c r="AN130" s="239"/>
      <c r="AO130" s="225"/>
      <c r="AP130" s="287"/>
      <c r="AQ130" s="258"/>
      <c r="AR130" s="258"/>
      <c r="AS130" s="202"/>
    </row>
    <row r="131" spans="1:47" hidden="1">
      <c r="A131" s="51"/>
      <c r="B131" s="51"/>
      <c r="C131" s="51"/>
      <c r="D131" s="51"/>
      <c r="E131" s="51"/>
      <c r="F131" s="51"/>
      <c r="G131" s="51"/>
      <c r="H131" s="51"/>
      <c r="I131" s="51"/>
      <c r="AN131" s="239"/>
      <c r="AO131" s="225"/>
      <c r="AP131" s="287"/>
      <c r="AQ131" s="258"/>
      <c r="AR131" s="258"/>
      <c r="AS131" s="202"/>
    </row>
    <row r="132" spans="1:47" hidden="1">
      <c r="A132" s="51"/>
      <c r="B132" s="51"/>
      <c r="C132" s="51"/>
      <c r="D132" s="51"/>
      <c r="E132" s="51"/>
      <c r="F132" s="51"/>
      <c r="G132" s="51"/>
      <c r="H132" s="51"/>
      <c r="I132" s="51"/>
      <c r="AN132" s="239"/>
      <c r="AO132" s="225"/>
      <c r="AP132" s="287"/>
      <c r="AQ132" s="258"/>
      <c r="AR132" s="258"/>
      <c r="AS132" s="202"/>
    </row>
    <row r="133" spans="1:47" hidden="1">
      <c r="A133" s="51"/>
      <c r="B133" s="51"/>
      <c r="C133" s="51"/>
      <c r="D133" s="51"/>
      <c r="E133" s="51"/>
      <c r="F133" s="51"/>
      <c r="G133" s="51"/>
      <c r="H133" s="51"/>
      <c r="I133" s="51"/>
      <c r="AN133" s="239"/>
      <c r="AO133" s="225"/>
      <c r="AP133" s="287"/>
      <c r="AQ133" s="258"/>
      <c r="AR133" s="258"/>
      <c r="AS133" s="202"/>
    </row>
    <row r="134" spans="1:47" hidden="1">
      <c r="A134" s="51"/>
      <c r="B134" s="51"/>
      <c r="C134" s="51"/>
      <c r="D134" s="51"/>
      <c r="E134" s="51"/>
      <c r="F134" s="51"/>
      <c r="G134" s="51"/>
      <c r="H134" s="51"/>
      <c r="I134" s="51"/>
      <c r="AN134" s="239"/>
      <c r="AO134" s="225"/>
      <c r="AP134" s="287"/>
      <c r="AQ134" s="258"/>
      <c r="AR134" s="258"/>
      <c r="AS134" s="202"/>
    </row>
    <row r="135" spans="1:47" hidden="1">
      <c r="A135" s="51"/>
      <c r="B135" s="51"/>
      <c r="C135" s="51"/>
      <c r="D135" s="51"/>
      <c r="E135" s="51"/>
      <c r="F135" s="51"/>
      <c r="G135" s="51"/>
      <c r="H135" s="51"/>
      <c r="I135" s="51"/>
      <c r="AN135" s="239"/>
      <c r="AO135" s="225"/>
      <c r="AP135" s="287"/>
      <c r="AQ135" s="258"/>
      <c r="AR135" s="258"/>
      <c r="AS135" s="202"/>
    </row>
    <row r="136" spans="1:47" s="121" customFormat="1" hidden="1">
      <c r="AN136" s="239"/>
      <c r="AO136" s="225"/>
      <c r="AP136" s="287"/>
      <c r="AQ136" s="258"/>
      <c r="AR136" s="258"/>
      <c r="AS136" s="202"/>
      <c r="AT136" s="213"/>
      <c r="AU136" s="213"/>
    </row>
    <row r="137" spans="1:47" s="121" customFormat="1" hidden="1">
      <c r="AN137" s="239"/>
      <c r="AO137" s="225"/>
      <c r="AP137" s="287"/>
      <c r="AQ137" s="258"/>
      <c r="AR137" s="258"/>
      <c r="AS137" s="202"/>
      <c r="AT137" s="213"/>
      <c r="AU137" s="213"/>
    </row>
    <row r="138" spans="1:47" s="121" customFormat="1" hidden="1">
      <c r="AN138" s="239"/>
      <c r="AO138" s="225"/>
      <c r="AP138" s="287"/>
      <c r="AQ138" s="258"/>
      <c r="AR138" s="258"/>
      <c r="AS138" s="202"/>
      <c r="AT138" s="213"/>
      <c r="AU138" s="213"/>
    </row>
    <row r="139" spans="1:47" s="121" customFormat="1" hidden="1">
      <c r="AN139" s="239"/>
      <c r="AO139" s="225"/>
      <c r="AP139" s="287"/>
      <c r="AQ139" s="258"/>
      <c r="AR139" s="258"/>
      <c r="AS139" s="202"/>
      <c r="AT139" s="213"/>
      <c r="AU139" s="213"/>
    </row>
    <row r="140" spans="1:47" hidden="1">
      <c r="A140" s="51"/>
      <c r="B140" s="51"/>
      <c r="C140" s="51"/>
      <c r="D140" s="51"/>
      <c r="E140" s="51"/>
      <c r="F140" s="51"/>
      <c r="G140" s="51"/>
      <c r="H140" s="51"/>
      <c r="I140" s="51"/>
      <c r="AN140" s="239"/>
      <c r="AO140" s="225"/>
      <c r="AP140" s="287"/>
      <c r="AQ140" s="258"/>
      <c r="AR140" s="258"/>
      <c r="AS140" s="202"/>
    </row>
    <row r="141" spans="1:47" hidden="1">
      <c r="A141" s="51"/>
      <c r="B141" s="51"/>
      <c r="C141" s="51"/>
      <c r="D141" s="51"/>
      <c r="E141" s="51"/>
      <c r="F141" s="51"/>
      <c r="G141" s="51"/>
      <c r="H141" s="51"/>
      <c r="I141" s="51"/>
      <c r="AN141" s="239"/>
      <c r="AO141" s="225"/>
      <c r="AP141" s="287"/>
      <c r="AQ141" s="258"/>
      <c r="AR141" s="258"/>
      <c r="AS141" s="202"/>
    </row>
    <row r="142" spans="1:47" s="121" customFormat="1" hidden="1">
      <c r="AN142" s="239"/>
      <c r="AO142" s="225"/>
      <c r="AP142" s="287"/>
      <c r="AQ142" s="258"/>
      <c r="AR142" s="258"/>
      <c r="AS142" s="202"/>
      <c r="AT142" s="213"/>
      <c r="AU142" s="213"/>
    </row>
    <row r="143" spans="1:47" s="121" customFormat="1" hidden="1">
      <c r="AN143" s="239"/>
      <c r="AO143" s="225"/>
      <c r="AP143" s="287"/>
      <c r="AQ143" s="258"/>
      <c r="AR143" s="258"/>
      <c r="AS143" s="202"/>
      <c r="AT143" s="213"/>
      <c r="AU143" s="213"/>
    </row>
    <row r="144" spans="1:47" s="121" customFormat="1" hidden="1">
      <c r="AN144" s="239"/>
      <c r="AO144" s="225"/>
      <c r="AP144" s="287"/>
      <c r="AQ144" s="258"/>
      <c r="AR144" s="258"/>
      <c r="AS144" s="202"/>
      <c r="AT144" s="213"/>
      <c r="AU144" s="213"/>
    </row>
    <row r="145" spans="1:47" s="121" customFormat="1" hidden="1">
      <c r="AN145" s="239"/>
      <c r="AO145" s="225"/>
      <c r="AP145" s="287"/>
      <c r="AQ145" s="258"/>
      <c r="AR145" s="258"/>
      <c r="AS145" s="202"/>
      <c r="AT145" s="213"/>
      <c r="AU145" s="213"/>
    </row>
    <row r="146" spans="1:47" s="121" customFormat="1" hidden="1">
      <c r="AN146" s="239"/>
      <c r="AO146" s="225"/>
      <c r="AP146" s="287"/>
      <c r="AQ146" s="258"/>
      <c r="AR146" s="258"/>
      <c r="AS146" s="202"/>
      <c r="AT146" s="213"/>
      <c r="AU146" s="213"/>
    </row>
    <row r="147" spans="1:47" s="121" customFormat="1" hidden="1">
      <c r="AN147" s="239"/>
      <c r="AO147" s="225"/>
      <c r="AP147" s="287"/>
      <c r="AQ147" s="258"/>
      <c r="AR147" s="258"/>
      <c r="AS147" s="202"/>
      <c r="AT147" s="213"/>
      <c r="AU147" s="213"/>
    </row>
    <row r="148" spans="1:47" hidden="1">
      <c r="A148" s="51"/>
      <c r="B148" s="51"/>
      <c r="C148" s="51"/>
      <c r="D148" s="51"/>
      <c r="E148" s="51"/>
      <c r="F148" s="51"/>
      <c r="G148" s="51"/>
      <c r="H148" s="51"/>
      <c r="I148" s="51"/>
      <c r="AN148" s="239"/>
      <c r="AO148" s="225"/>
      <c r="AP148" s="287"/>
      <c r="AQ148" s="258"/>
      <c r="AR148" s="258"/>
      <c r="AS148" s="202"/>
    </row>
    <row r="149" spans="1:47" s="121" customFormat="1" hidden="1">
      <c r="AN149" s="239"/>
      <c r="AO149" s="225"/>
      <c r="AP149" s="287"/>
      <c r="AQ149" s="258"/>
      <c r="AR149" s="258"/>
      <c r="AS149" s="202"/>
      <c r="AT149" s="213"/>
      <c r="AU149" s="213"/>
    </row>
    <row r="150" spans="1:47" s="121" customFormat="1" hidden="1">
      <c r="AN150" s="239"/>
      <c r="AO150" s="225"/>
      <c r="AP150" s="287"/>
      <c r="AQ150" s="258"/>
      <c r="AR150" s="258"/>
      <c r="AS150" s="202"/>
      <c r="AT150" s="213"/>
      <c r="AU150" s="213"/>
    </row>
    <row r="151" spans="1:47" s="121" customFormat="1" hidden="1">
      <c r="AN151" s="239"/>
      <c r="AO151" s="225"/>
      <c r="AP151" s="287"/>
      <c r="AQ151" s="258"/>
      <c r="AR151" s="258"/>
      <c r="AS151" s="202"/>
      <c r="AT151" s="213"/>
      <c r="AU151" s="213"/>
    </row>
    <row r="152" spans="1:47" s="121" customFormat="1" hidden="1">
      <c r="AN152" s="239"/>
      <c r="AO152" s="225"/>
      <c r="AP152" s="287"/>
      <c r="AQ152" s="258"/>
      <c r="AR152" s="258"/>
      <c r="AS152" s="202"/>
      <c r="AT152" s="213"/>
      <c r="AU152" s="213"/>
    </row>
    <row r="153" spans="1:47" s="121" customFormat="1" hidden="1">
      <c r="AN153" s="239"/>
      <c r="AO153" s="225"/>
      <c r="AP153" s="287"/>
      <c r="AQ153" s="258"/>
      <c r="AR153" s="258"/>
      <c r="AS153" s="202"/>
      <c r="AT153" s="213"/>
      <c r="AU153" s="213"/>
    </row>
    <row r="154" spans="1:47" s="121" customFormat="1" hidden="1">
      <c r="AN154" s="239"/>
      <c r="AO154" s="225"/>
      <c r="AP154" s="287"/>
      <c r="AQ154" s="258"/>
      <c r="AR154" s="258"/>
      <c r="AS154" s="202"/>
      <c r="AT154" s="213"/>
      <c r="AU154" s="213"/>
    </row>
    <row r="155" spans="1:47" hidden="1">
      <c r="A155" s="51"/>
      <c r="B155" s="51"/>
      <c r="C155" s="51"/>
      <c r="D155" s="51"/>
      <c r="E155" s="51"/>
      <c r="F155" s="51"/>
      <c r="G155" s="51"/>
      <c r="H155" s="51"/>
      <c r="I155" s="51"/>
      <c r="AN155" s="239"/>
      <c r="AO155" s="225"/>
      <c r="AP155" s="287"/>
      <c r="AQ155" s="258"/>
      <c r="AR155" s="258"/>
      <c r="AS155" s="202"/>
    </row>
    <row r="156" spans="1:47" hidden="1">
      <c r="A156" s="51"/>
      <c r="B156" s="51"/>
      <c r="C156" s="51"/>
      <c r="D156" s="51"/>
      <c r="E156" s="51"/>
      <c r="F156" s="51"/>
      <c r="G156" s="51"/>
      <c r="H156" s="51"/>
      <c r="I156" s="51"/>
      <c r="AN156" s="239"/>
      <c r="AO156" s="225"/>
      <c r="AP156" s="287"/>
      <c r="AQ156" s="258"/>
      <c r="AR156" s="258"/>
      <c r="AS156" s="202"/>
    </row>
    <row r="157" spans="1:47" s="121" customFormat="1" hidden="1">
      <c r="AN157" s="239"/>
      <c r="AO157" s="225"/>
      <c r="AP157" s="287"/>
      <c r="AQ157" s="258"/>
      <c r="AR157" s="258"/>
      <c r="AS157" s="202"/>
      <c r="AT157" s="213"/>
      <c r="AU157" s="213"/>
    </row>
    <row r="158" spans="1:47" s="121" customFormat="1" hidden="1">
      <c r="AN158" s="239"/>
      <c r="AO158" s="225"/>
      <c r="AP158" s="287"/>
      <c r="AQ158" s="258"/>
      <c r="AR158" s="258"/>
      <c r="AS158" s="202"/>
      <c r="AT158" s="213"/>
      <c r="AU158" s="213"/>
    </row>
    <row r="159" spans="1:47" s="121" customFormat="1" hidden="1">
      <c r="AN159" s="239"/>
      <c r="AO159" s="225"/>
      <c r="AP159" s="287"/>
      <c r="AQ159" s="258"/>
      <c r="AR159" s="258"/>
      <c r="AS159" s="202"/>
      <c r="AT159" s="213"/>
      <c r="AU159" s="213"/>
    </row>
    <row r="160" spans="1:47" s="121" customFormat="1" hidden="1">
      <c r="AN160" s="239"/>
      <c r="AO160" s="225"/>
      <c r="AP160" s="287"/>
      <c r="AQ160" s="258"/>
      <c r="AR160" s="258"/>
      <c r="AS160" s="202"/>
      <c r="AT160" s="213"/>
      <c r="AU160" s="213"/>
    </row>
    <row r="161" spans="1:47" hidden="1">
      <c r="A161" s="51"/>
      <c r="B161" s="51"/>
      <c r="C161" s="51"/>
      <c r="D161" s="51"/>
      <c r="E161" s="51"/>
      <c r="F161" s="51"/>
      <c r="G161" s="51"/>
      <c r="H161" s="51"/>
      <c r="I161" s="51"/>
      <c r="AN161" s="239"/>
      <c r="AO161" s="225"/>
      <c r="AP161" s="287"/>
      <c r="AQ161" s="258"/>
      <c r="AR161" s="258"/>
      <c r="AS161" s="202"/>
    </row>
    <row r="162" spans="1:47" s="121" customFormat="1" hidden="1">
      <c r="AN162" s="239"/>
      <c r="AO162" s="225"/>
      <c r="AP162" s="287"/>
      <c r="AQ162" s="258"/>
      <c r="AR162" s="258"/>
      <c r="AS162" s="202"/>
      <c r="AT162" s="213"/>
      <c r="AU162" s="213"/>
    </row>
    <row r="163" spans="1:47" s="121" customFormat="1" hidden="1">
      <c r="AN163" s="239"/>
      <c r="AO163" s="225"/>
      <c r="AP163" s="287"/>
      <c r="AQ163" s="258"/>
      <c r="AR163" s="258"/>
      <c r="AS163" s="202"/>
      <c r="AT163" s="213"/>
      <c r="AU163" s="213"/>
    </row>
    <row r="164" spans="1:47" s="121" customFormat="1" hidden="1">
      <c r="AN164" s="239"/>
      <c r="AO164" s="225"/>
      <c r="AP164" s="287"/>
      <c r="AQ164" s="258"/>
      <c r="AR164" s="258"/>
      <c r="AS164" s="202"/>
      <c r="AT164" s="213"/>
      <c r="AU164" s="213"/>
    </row>
    <row r="165" spans="1:47" s="121" customFormat="1" hidden="1">
      <c r="AN165" s="239"/>
      <c r="AO165" s="225"/>
      <c r="AP165" s="287"/>
      <c r="AQ165" s="258"/>
      <c r="AR165" s="258"/>
      <c r="AS165" s="202"/>
      <c r="AT165" s="213"/>
      <c r="AU165" s="213"/>
    </row>
    <row r="166" spans="1:47" hidden="1">
      <c r="A166" s="51"/>
      <c r="B166" s="51"/>
      <c r="C166" s="51"/>
      <c r="D166" s="51"/>
      <c r="E166" s="51"/>
      <c r="F166" s="51"/>
      <c r="G166" s="51"/>
      <c r="H166" s="51"/>
      <c r="I166" s="51"/>
      <c r="AN166" s="239"/>
      <c r="AO166" s="225"/>
      <c r="AP166" s="287"/>
      <c r="AQ166" s="258"/>
      <c r="AR166" s="258"/>
      <c r="AS166" s="202"/>
    </row>
    <row r="167" spans="1:47" s="121" customFormat="1" hidden="1">
      <c r="AN167" s="239"/>
      <c r="AO167" s="225"/>
      <c r="AP167" s="287"/>
      <c r="AQ167" s="258"/>
      <c r="AR167" s="258"/>
      <c r="AS167" s="202"/>
      <c r="AT167" s="213"/>
      <c r="AU167" s="213"/>
    </row>
    <row r="168" spans="1:47" s="121" customFormat="1" hidden="1">
      <c r="AN168" s="239"/>
      <c r="AO168" s="225"/>
      <c r="AP168" s="287"/>
      <c r="AQ168" s="258"/>
      <c r="AR168" s="258"/>
      <c r="AS168" s="202"/>
      <c r="AT168" s="213"/>
      <c r="AU168" s="213"/>
    </row>
    <row r="169" spans="1:47" s="121" customFormat="1" hidden="1">
      <c r="AN169" s="239"/>
      <c r="AO169" s="225"/>
      <c r="AP169" s="287"/>
      <c r="AQ169" s="258"/>
      <c r="AR169" s="258"/>
      <c r="AS169" s="202"/>
      <c r="AT169" s="213"/>
      <c r="AU169" s="213"/>
    </row>
    <row r="170" spans="1:47" s="121" customFormat="1" hidden="1">
      <c r="AN170" s="239"/>
      <c r="AO170" s="225"/>
      <c r="AP170" s="287"/>
      <c r="AQ170" s="258"/>
      <c r="AR170" s="258"/>
      <c r="AS170" s="202"/>
      <c r="AT170" s="213"/>
      <c r="AU170" s="213"/>
    </row>
    <row r="171" spans="1:47" hidden="1">
      <c r="A171" s="51"/>
      <c r="B171" s="51"/>
      <c r="C171" s="51"/>
      <c r="D171" s="51"/>
      <c r="E171" s="51"/>
      <c r="F171" s="51"/>
      <c r="G171" s="51"/>
      <c r="H171" s="51"/>
      <c r="I171" s="51"/>
      <c r="AN171" s="239"/>
      <c r="AO171" s="225"/>
      <c r="AP171" s="287"/>
      <c r="AQ171" s="258"/>
      <c r="AR171" s="258"/>
      <c r="AS171" s="202"/>
    </row>
    <row r="172" spans="1:47" s="121" customFormat="1" hidden="1">
      <c r="AN172" s="239"/>
      <c r="AO172" s="225"/>
      <c r="AP172" s="287"/>
      <c r="AQ172" s="258"/>
      <c r="AR172" s="258"/>
      <c r="AS172" s="202"/>
      <c r="AT172" s="213"/>
      <c r="AU172" s="213"/>
    </row>
    <row r="173" spans="1:47" s="121" customFormat="1" hidden="1">
      <c r="AN173" s="239"/>
      <c r="AO173" s="225"/>
      <c r="AP173" s="287"/>
      <c r="AQ173" s="258"/>
      <c r="AR173" s="258"/>
      <c r="AS173" s="202"/>
      <c r="AT173" s="213"/>
      <c r="AU173" s="213"/>
    </row>
    <row r="174" spans="1:47" s="121" customFormat="1" hidden="1">
      <c r="AN174" s="239"/>
      <c r="AO174" s="225"/>
      <c r="AP174" s="287"/>
      <c r="AQ174" s="258"/>
      <c r="AR174" s="258"/>
      <c r="AS174" s="202"/>
      <c r="AT174" s="213"/>
      <c r="AU174" s="213"/>
    </row>
    <row r="175" spans="1:47" s="121" customFormat="1" hidden="1">
      <c r="AN175" s="239"/>
      <c r="AO175" s="225"/>
      <c r="AP175" s="287"/>
      <c r="AQ175" s="258"/>
      <c r="AR175" s="258"/>
      <c r="AS175" s="202"/>
      <c r="AT175" s="213"/>
      <c r="AU175" s="213"/>
    </row>
    <row r="176" spans="1:47" hidden="1">
      <c r="A176" s="51"/>
      <c r="B176" s="51"/>
      <c r="C176" s="51"/>
      <c r="D176" s="51"/>
      <c r="E176" s="51"/>
      <c r="F176" s="51"/>
      <c r="G176" s="51"/>
      <c r="H176" s="51"/>
      <c r="I176" s="51"/>
      <c r="AN176" s="239"/>
      <c r="AO176" s="225"/>
      <c r="AP176" s="287"/>
      <c r="AQ176" s="258"/>
      <c r="AR176" s="258"/>
      <c r="AS176" s="202"/>
    </row>
    <row r="177" spans="1:47" s="121" customFormat="1" hidden="1">
      <c r="AN177" s="239"/>
      <c r="AO177" s="225"/>
      <c r="AP177" s="287"/>
      <c r="AQ177" s="258"/>
      <c r="AR177" s="258"/>
      <c r="AS177" s="202"/>
      <c r="AT177" s="213"/>
      <c r="AU177" s="213"/>
    </row>
    <row r="178" spans="1:47" s="121" customFormat="1" hidden="1">
      <c r="AN178" s="239"/>
      <c r="AO178" s="225"/>
      <c r="AP178" s="287"/>
      <c r="AQ178" s="258"/>
      <c r="AR178" s="258"/>
      <c r="AS178" s="202"/>
      <c r="AT178" s="213"/>
      <c r="AU178" s="213"/>
    </row>
    <row r="179" spans="1:47" s="121" customFormat="1" hidden="1">
      <c r="AN179" s="239"/>
      <c r="AO179" s="225"/>
      <c r="AP179" s="287"/>
      <c r="AQ179" s="258"/>
      <c r="AR179" s="258"/>
      <c r="AS179" s="202"/>
      <c r="AT179" s="213"/>
      <c r="AU179" s="213"/>
    </row>
    <row r="180" spans="1:47" s="121" customFormat="1" hidden="1">
      <c r="AN180" s="239"/>
      <c r="AO180" s="225"/>
      <c r="AP180" s="287"/>
      <c r="AQ180" s="258"/>
      <c r="AR180" s="258"/>
      <c r="AS180" s="202"/>
      <c r="AT180" s="213"/>
      <c r="AU180" s="213"/>
    </row>
    <row r="181" spans="1:47" hidden="1">
      <c r="A181" s="51"/>
      <c r="B181" s="51"/>
      <c r="C181" s="51"/>
      <c r="D181" s="51"/>
      <c r="E181" s="51"/>
      <c r="F181" s="51"/>
      <c r="G181" s="51"/>
      <c r="H181" s="51"/>
      <c r="I181" s="51"/>
      <c r="AN181" s="239"/>
      <c r="AO181" s="225"/>
      <c r="AP181" s="287"/>
      <c r="AQ181" s="258"/>
      <c r="AR181" s="258"/>
      <c r="AS181" s="202"/>
    </row>
    <row r="182" spans="1:47" s="121" customFormat="1" hidden="1">
      <c r="AN182" s="239"/>
      <c r="AO182" s="225"/>
      <c r="AP182" s="287"/>
      <c r="AQ182" s="258"/>
      <c r="AR182" s="258"/>
      <c r="AS182" s="202"/>
      <c r="AT182" s="213"/>
      <c r="AU182" s="213"/>
    </row>
    <row r="183" spans="1:47" s="121" customFormat="1" hidden="1">
      <c r="AN183" s="239"/>
      <c r="AO183" s="225"/>
      <c r="AP183" s="287"/>
      <c r="AQ183" s="258"/>
      <c r="AR183" s="258"/>
      <c r="AS183" s="202"/>
      <c r="AT183" s="213"/>
      <c r="AU183" s="213"/>
    </row>
    <row r="184" spans="1:47" s="121" customFormat="1" hidden="1">
      <c r="AN184" s="239"/>
      <c r="AO184" s="225"/>
      <c r="AP184" s="287"/>
      <c r="AQ184" s="258"/>
      <c r="AR184" s="258"/>
      <c r="AS184" s="202"/>
      <c r="AT184" s="213"/>
      <c r="AU184" s="213"/>
    </row>
    <row r="185" spans="1:47" s="121" customFormat="1" hidden="1">
      <c r="AN185" s="239"/>
      <c r="AO185" s="225"/>
      <c r="AP185" s="287"/>
      <c r="AQ185" s="258"/>
      <c r="AR185" s="258"/>
      <c r="AS185" s="202"/>
      <c r="AT185" s="213"/>
      <c r="AU185" s="213"/>
    </row>
    <row r="186" spans="1:47" hidden="1">
      <c r="AN186" s="239"/>
      <c r="AO186" s="225"/>
      <c r="AP186" s="287"/>
      <c r="AQ186" s="258"/>
      <c r="AR186" s="258"/>
      <c r="AS186" s="202"/>
    </row>
    <row r="187" spans="1:47" s="121" customFormat="1" hidden="1">
      <c r="AN187" s="239"/>
      <c r="AO187" s="225"/>
      <c r="AP187" s="287"/>
      <c r="AQ187" s="258"/>
      <c r="AR187" s="258"/>
      <c r="AS187" s="202"/>
      <c r="AT187" s="213"/>
      <c r="AU187" s="213"/>
    </row>
    <row r="188" spans="1:47" s="121" customFormat="1" hidden="1">
      <c r="AN188" s="239"/>
      <c r="AO188" s="225"/>
      <c r="AP188" s="287"/>
      <c r="AQ188" s="258"/>
      <c r="AR188" s="258"/>
      <c r="AS188" s="202"/>
      <c r="AT188" s="213"/>
      <c r="AU188" s="213"/>
    </row>
    <row r="189" spans="1:47" s="121" customFormat="1" hidden="1">
      <c r="AN189" s="239"/>
      <c r="AO189" s="225"/>
      <c r="AP189" s="287"/>
      <c r="AQ189" s="258"/>
      <c r="AR189" s="258"/>
      <c r="AS189" s="202"/>
      <c r="AT189" s="213"/>
      <c r="AU189" s="213"/>
    </row>
    <row r="190" spans="1:47" s="121" customFormat="1" hidden="1" collapsed="1">
      <c r="AN190" s="239"/>
      <c r="AO190" s="225"/>
      <c r="AP190" s="287"/>
      <c r="AQ190" s="258"/>
      <c r="AR190" s="258"/>
      <c r="AS190" s="202"/>
      <c r="AT190" s="213"/>
      <c r="AU190" s="213"/>
    </row>
    <row r="191" spans="1:47" hidden="1">
      <c r="AN191" s="239"/>
      <c r="AO191" s="225"/>
      <c r="AP191" s="287"/>
      <c r="AQ191" s="258"/>
      <c r="AR191" s="258"/>
      <c r="AS191" s="202"/>
    </row>
    <row r="192" spans="1:47" s="121" customFormat="1" hidden="1">
      <c r="AN192" s="239"/>
      <c r="AO192" s="225"/>
      <c r="AP192" s="287"/>
      <c r="AQ192" s="258"/>
      <c r="AR192" s="258"/>
      <c r="AS192" s="202"/>
      <c r="AT192" s="213"/>
      <c r="AU192" s="213"/>
    </row>
    <row r="193" spans="1:47" s="121" customFormat="1" hidden="1">
      <c r="AN193" s="239"/>
      <c r="AO193" s="225"/>
      <c r="AP193" s="287"/>
      <c r="AQ193" s="258"/>
      <c r="AR193" s="258"/>
      <c r="AS193" s="202"/>
      <c r="AT193" s="213"/>
      <c r="AU193" s="213"/>
    </row>
    <row r="194" spans="1:47" s="121" customFormat="1" hidden="1">
      <c r="AN194" s="239"/>
      <c r="AO194" s="225"/>
      <c r="AP194" s="287"/>
      <c r="AQ194" s="258"/>
      <c r="AR194" s="258"/>
      <c r="AS194" s="202"/>
      <c r="AT194" s="213"/>
      <c r="AU194" s="213"/>
    </row>
    <row r="195" spans="1:47" s="121" customFormat="1" hidden="1">
      <c r="AN195" s="239"/>
      <c r="AO195" s="225"/>
      <c r="AP195" s="287"/>
      <c r="AQ195" s="258"/>
      <c r="AR195" s="258"/>
      <c r="AS195" s="202"/>
      <c r="AT195" s="213"/>
      <c r="AU195" s="213"/>
    </row>
    <row r="196" spans="1:47" hidden="1">
      <c r="AN196" s="239"/>
      <c r="AO196" s="225"/>
      <c r="AP196" s="287"/>
      <c r="AQ196" s="258"/>
      <c r="AR196" s="258"/>
      <c r="AS196" s="202"/>
    </row>
    <row r="197" spans="1:47" s="121" customFormat="1" hidden="1">
      <c r="AN197" s="239"/>
      <c r="AO197" s="225"/>
      <c r="AP197" s="287"/>
      <c r="AQ197" s="258"/>
      <c r="AR197" s="258"/>
      <c r="AS197" s="202"/>
      <c r="AT197" s="213"/>
      <c r="AU197" s="213"/>
    </row>
    <row r="198" spans="1:47" s="121" customFormat="1" hidden="1" collapsed="1">
      <c r="AN198" s="239"/>
      <c r="AO198" s="225"/>
      <c r="AP198" s="287"/>
      <c r="AQ198" s="258"/>
      <c r="AR198" s="258"/>
      <c r="AS198" s="202"/>
      <c r="AT198" s="213"/>
      <c r="AU198" s="213"/>
    </row>
    <row r="199" spans="1:47" s="121" customFormat="1" hidden="1">
      <c r="AN199" s="239"/>
      <c r="AO199" s="225"/>
      <c r="AP199" s="287"/>
      <c r="AQ199" s="258"/>
      <c r="AR199" s="258"/>
      <c r="AS199" s="202"/>
      <c r="AT199" s="213"/>
      <c r="AU199" s="213"/>
    </row>
    <row r="200" spans="1:47" s="121" customFormat="1" hidden="1">
      <c r="AN200" s="239"/>
      <c r="AO200" s="225"/>
      <c r="AP200" s="287"/>
      <c r="AQ200" s="258"/>
      <c r="AR200" s="258"/>
      <c r="AS200" s="202"/>
      <c r="AT200" s="213"/>
      <c r="AU200" s="213"/>
    </row>
    <row r="201" spans="1:47" hidden="1">
      <c r="AN201" s="239"/>
      <c r="AO201" s="225"/>
      <c r="AP201" s="287"/>
      <c r="AQ201" s="258"/>
      <c r="AR201" s="258"/>
      <c r="AS201" s="202"/>
    </row>
    <row r="202" spans="1:47" s="121" customFormat="1" hidden="1" collapsed="1">
      <c r="AN202" s="239"/>
      <c r="AO202" s="225"/>
      <c r="AP202" s="287"/>
      <c r="AQ202" s="258"/>
      <c r="AR202" s="258"/>
      <c r="AS202" s="202"/>
      <c r="AT202" s="213"/>
      <c r="AU202" s="213"/>
    </row>
    <row r="203" spans="1:47" s="121" customFormat="1" hidden="1">
      <c r="AN203" s="239"/>
      <c r="AO203" s="225"/>
      <c r="AP203" s="287"/>
      <c r="AQ203" s="258"/>
      <c r="AR203" s="258"/>
      <c r="AS203" s="202"/>
      <c r="AT203" s="213"/>
      <c r="AU203" s="213"/>
    </row>
    <row r="204" spans="1:47" s="121" customFormat="1" hidden="1">
      <c r="AN204" s="239"/>
      <c r="AO204" s="225"/>
      <c r="AP204" s="287"/>
      <c r="AQ204" s="258"/>
      <c r="AR204" s="258"/>
      <c r="AS204" s="202"/>
      <c r="AT204" s="213"/>
      <c r="AU204" s="213"/>
    </row>
    <row r="205" spans="1:47" s="121" customFormat="1" hidden="1">
      <c r="AN205" s="239"/>
      <c r="AO205" s="225"/>
      <c r="AP205" s="287"/>
      <c r="AQ205" s="258"/>
      <c r="AR205" s="258"/>
      <c r="AS205" s="202"/>
      <c r="AT205" s="213"/>
      <c r="AU205" s="213"/>
    </row>
    <row r="206" spans="1:47" hidden="1" collapsed="1">
      <c r="A206" s="51"/>
      <c r="B206" s="51"/>
      <c r="C206" s="51"/>
      <c r="D206" s="51"/>
      <c r="E206" s="51"/>
      <c r="F206" s="51"/>
      <c r="G206" s="51"/>
      <c r="H206" s="51"/>
      <c r="I206" s="51"/>
      <c r="AN206" s="239"/>
      <c r="AO206" s="225"/>
      <c r="AP206" s="287"/>
      <c r="AQ206" s="258"/>
      <c r="AR206" s="258"/>
      <c r="AS206" s="202"/>
    </row>
    <row r="207" spans="1:47" hidden="1">
      <c r="A207" s="51"/>
      <c r="B207" s="51"/>
      <c r="C207" s="51"/>
      <c r="D207" s="51"/>
      <c r="E207" s="51"/>
      <c r="F207" s="51"/>
      <c r="G207" s="51"/>
      <c r="H207" s="51"/>
      <c r="I207" s="51"/>
      <c r="AN207" s="239"/>
      <c r="AO207" s="225"/>
      <c r="AP207" s="287"/>
      <c r="AQ207" s="258"/>
      <c r="AR207" s="258"/>
      <c r="AS207" s="202"/>
    </row>
    <row r="208" spans="1:47" hidden="1">
      <c r="A208" s="51"/>
      <c r="B208" s="51"/>
      <c r="C208" s="51"/>
      <c r="D208" s="51"/>
      <c r="E208" s="51"/>
      <c r="F208" s="51"/>
      <c r="G208" s="51"/>
      <c r="H208" s="51"/>
      <c r="I208" s="51"/>
      <c r="AN208" s="239"/>
      <c r="AO208" s="225"/>
      <c r="AP208" s="287"/>
      <c r="AQ208" s="258"/>
      <c r="AR208" s="258"/>
      <c r="AS208" s="202"/>
    </row>
    <row r="209" spans="40:47" s="121" customFormat="1" hidden="1">
      <c r="AN209" s="239"/>
      <c r="AO209" s="225"/>
      <c r="AP209" s="287"/>
      <c r="AQ209" s="258"/>
      <c r="AR209" s="258"/>
      <c r="AS209" s="202"/>
      <c r="AT209" s="213"/>
      <c r="AU209" s="213"/>
    </row>
    <row r="210" spans="40:47" s="121" customFormat="1" hidden="1">
      <c r="AN210" s="239"/>
      <c r="AO210" s="225"/>
      <c r="AP210" s="287"/>
      <c r="AQ210" s="258"/>
      <c r="AR210" s="258"/>
      <c r="AS210" s="202"/>
      <c r="AT210" s="213"/>
      <c r="AU210" s="213"/>
    </row>
    <row r="211" spans="40:47" s="121" customFormat="1" hidden="1">
      <c r="AN211" s="239"/>
      <c r="AO211" s="225"/>
      <c r="AP211" s="287"/>
      <c r="AQ211" s="258"/>
      <c r="AR211" s="258"/>
      <c r="AS211" s="202"/>
      <c r="AT211" s="213"/>
      <c r="AU211" s="213"/>
    </row>
    <row r="212" spans="40:47" s="121" customFormat="1" hidden="1">
      <c r="AN212" s="239"/>
      <c r="AO212" s="225"/>
      <c r="AP212" s="287"/>
      <c r="AQ212" s="258"/>
      <c r="AR212" s="258"/>
      <c r="AS212" s="202"/>
      <c r="AT212" s="213"/>
      <c r="AU212" s="213"/>
    </row>
    <row r="213" spans="40:47" s="121" customFormat="1" hidden="1">
      <c r="AN213" s="239"/>
      <c r="AO213" s="225"/>
      <c r="AP213" s="287"/>
      <c r="AQ213" s="258"/>
      <c r="AR213" s="258"/>
      <c r="AS213" s="202"/>
      <c r="AT213" s="213"/>
      <c r="AU213" s="213"/>
    </row>
    <row r="214" spans="40:47" s="121" customFormat="1" hidden="1">
      <c r="AN214" s="239"/>
      <c r="AO214" s="225"/>
      <c r="AP214" s="287"/>
      <c r="AQ214" s="258"/>
      <c r="AR214" s="258"/>
      <c r="AS214" s="202"/>
      <c r="AT214" s="213"/>
      <c r="AU214" s="213"/>
    </row>
    <row r="215" spans="40:47" s="121" customFormat="1" hidden="1">
      <c r="AN215" s="239"/>
      <c r="AO215" s="225"/>
      <c r="AP215" s="287"/>
      <c r="AQ215" s="258"/>
      <c r="AR215" s="258"/>
      <c r="AS215" s="202"/>
      <c r="AT215" s="213"/>
      <c r="AU215" s="213"/>
    </row>
    <row r="216" spans="40:47" s="121" customFormat="1" hidden="1">
      <c r="AN216" s="239"/>
      <c r="AO216" s="225"/>
      <c r="AP216" s="287"/>
      <c r="AQ216" s="258"/>
      <c r="AR216" s="258"/>
      <c r="AS216" s="202"/>
      <c r="AT216" s="213"/>
      <c r="AU216" s="213"/>
    </row>
    <row r="217" spans="40:47" s="121" customFormat="1" hidden="1">
      <c r="AN217" s="239"/>
      <c r="AO217" s="225"/>
      <c r="AP217" s="287"/>
      <c r="AQ217" s="258"/>
      <c r="AR217" s="258"/>
      <c r="AS217" s="202"/>
      <c r="AT217" s="213"/>
      <c r="AU217" s="213"/>
    </row>
    <row r="218" spans="40:47" s="121" customFormat="1" hidden="1">
      <c r="AN218" s="239"/>
      <c r="AO218" s="225"/>
      <c r="AP218" s="287"/>
      <c r="AQ218" s="258"/>
      <c r="AR218" s="258"/>
      <c r="AS218" s="202"/>
      <c r="AT218" s="213"/>
      <c r="AU218" s="213"/>
    </row>
    <row r="219" spans="40:47" s="121" customFormat="1" hidden="1">
      <c r="AN219" s="239"/>
      <c r="AO219" s="225"/>
      <c r="AP219" s="287"/>
      <c r="AQ219" s="258"/>
      <c r="AR219" s="258"/>
      <c r="AS219" s="202"/>
      <c r="AT219" s="213"/>
      <c r="AU219" s="213"/>
    </row>
    <row r="220" spans="40:47" s="121" customFormat="1" hidden="1">
      <c r="AN220" s="239"/>
      <c r="AO220" s="225"/>
      <c r="AP220" s="287"/>
      <c r="AQ220" s="258"/>
      <c r="AR220" s="258"/>
      <c r="AS220" s="202"/>
      <c r="AT220" s="213"/>
      <c r="AU220" s="213"/>
    </row>
    <row r="221" spans="40:47" s="121" customFormat="1" hidden="1">
      <c r="AN221" s="239"/>
      <c r="AO221" s="225"/>
      <c r="AP221" s="287"/>
      <c r="AQ221" s="258"/>
      <c r="AR221" s="258"/>
      <c r="AS221" s="202"/>
      <c r="AT221" s="213"/>
      <c r="AU221" s="213"/>
    </row>
    <row r="222" spans="40:47" s="121" customFormat="1" hidden="1">
      <c r="AN222" s="239"/>
      <c r="AO222" s="225"/>
      <c r="AP222" s="287"/>
      <c r="AQ222" s="258"/>
      <c r="AR222" s="258"/>
      <c r="AS222" s="202"/>
      <c r="AT222" s="213"/>
      <c r="AU222" s="213"/>
    </row>
    <row r="223" spans="40:47" s="121" customFormat="1" hidden="1">
      <c r="AN223" s="239"/>
      <c r="AO223" s="225"/>
      <c r="AP223" s="287"/>
      <c r="AQ223" s="258"/>
      <c r="AR223" s="258"/>
      <c r="AS223" s="202"/>
      <c r="AT223" s="213"/>
      <c r="AU223" s="213"/>
    </row>
    <row r="224" spans="40:47" s="121" customFormat="1" hidden="1">
      <c r="AN224" s="239"/>
      <c r="AO224" s="225"/>
      <c r="AP224" s="287"/>
      <c r="AQ224" s="258"/>
      <c r="AR224" s="258"/>
      <c r="AS224" s="202"/>
      <c r="AT224" s="213"/>
      <c r="AU224" s="213"/>
    </row>
    <row r="225" spans="40:47" s="121" customFormat="1" hidden="1">
      <c r="AN225" s="239"/>
      <c r="AO225" s="225"/>
      <c r="AP225" s="287"/>
      <c r="AQ225" s="258"/>
      <c r="AR225" s="258"/>
      <c r="AS225" s="202"/>
      <c r="AT225" s="213"/>
      <c r="AU225" s="213"/>
    </row>
    <row r="226" spans="40:47" s="121" customFormat="1" hidden="1">
      <c r="AN226" s="239"/>
      <c r="AO226" s="225"/>
      <c r="AP226" s="287"/>
      <c r="AQ226" s="258"/>
      <c r="AR226" s="258"/>
      <c r="AS226" s="202"/>
      <c r="AT226" s="213"/>
      <c r="AU226" s="213"/>
    </row>
    <row r="227" spans="40:47" s="121" customFormat="1" hidden="1">
      <c r="AN227" s="239"/>
      <c r="AO227" s="225"/>
      <c r="AP227" s="260"/>
      <c r="AQ227" s="258"/>
      <c r="AR227" s="258"/>
      <c r="AS227" s="202"/>
      <c r="AT227" s="213"/>
      <c r="AU227" s="213"/>
    </row>
    <row r="228" spans="40:47" s="121" customFormat="1" hidden="1">
      <c r="AN228" s="239"/>
      <c r="AO228" s="225"/>
      <c r="AP228" s="260"/>
      <c r="AQ228" s="258"/>
      <c r="AR228" s="258"/>
      <c r="AS228" s="202"/>
      <c r="AT228" s="213"/>
      <c r="AU228" s="213"/>
    </row>
    <row r="229" spans="40:47" s="121" customFormat="1" hidden="1">
      <c r="AN229" s="239"/>
      <c r="AO229" s="225"/>
      <c r="AP229" s="260"/>
      <c r="AQ229" s="258"/>
      <c r="AR229" s="258"/>
      <c r="AS229" s="202"/>
      <c r="AT229" s="213"/>
      <c r="AU229" s="213"/>
    </row>
    <row r="230" spans="40:47" s="121" customFormat="1" hidden="1">
      <c r="AN230" s="239"/>
      <c r="AO230" s="225"/>
      <c r="AP230" s="260"/>
      <c r="AQ230" s="258"/>
      <c r="AR230" s="258"/>
      <c r="AS230" s="202"/>
      <c r="AT230" s="213"/>
      <c r="AU230" s="213"/>
    </row>
    <row r="231" spans="40:47" s="121" customFormat="1" hidden="1">
      <c r="AN231" s="239"/>
      <c r="AO231" s="225"/>
      <c r="AP231" s="260"/>
      <c r="AQ231" s="258"/>
      <c r="AR231" s="258"/>
      <c r="AS231" s="202"/>
      <c r="AT231" s="213"/>
      <c r="AU231" s="213"/>
    </row>
    <row r="232" spans="40:47" s="121" customFormat="1" hidden="1">
      <c r="AN232" s="239"/>
      <c r="AO232" s="225"/>
      <c r="AP232" s="260"/>
      <c r="AQ232" s="258"/>
      <c r="AR232" s="258"/>
      <c r="AS232" s="202"/>
      <c r="AT232" s="213"/>
      <c r="AU232" s="213"/>
    </row>
    <row r="233" spans="40:47" s="121" customFormat="1" hidden="1">
      <c r="AN233" s="239"/>
      <c r="AO233" s="225"/>
      <c r="AP233" s="260"/>
      <c r="AQ233" s="258"/>
      <c r="AR233" s="258"/>
      <c r="AS233" s="202"/>
      <c r="AT233" s="213"/>
      <c r="AU233" s="213"/>
    </row>
    <row r="234" spans="40:47" s="121" customFormat="1" hidden="1">
      <c r="AN234" s="239"/>
      <c r="AO234" s="225"/>
      <c r="AP234" s="260"/>
      <c r="AQ234" s="258"/>
      <c r="AR234" s="258"/>
      <c r="AS234" s="202"/>
      <c r="AT234" s="213"/>
      <c r="AU234" s="213"/>
    </row>
    <row r="235" spans="40:47" s="121" customFormat="1" hidden="1">
      <c r="AN235" s="239"/>
      <c r="AO235" s="225"/>
      <c r="AP235" s="260"/>
      <c r="AQ235" s="258"/>
      <c r="AR235" s="258"/>
      <c r="AS235" s="202"/>
      <c r="AT235" s="213"/>
      <c r="AU235" s="213"/>
    </row>
    <row r="236" spans="40:47" s="121" customFormat="1" hidden="1">
      <c r="AN236" s="239"/>
      <c r="AO236" s="225"/>
      <c r="AP236" s="260"/>
      <c r="AQ236" s="258"/>
      <c r="AR236" s="258"/>
      <c r="AS236" s="202"/>
      <c r="AT236" s="213"/>
      <c r="AU236" s="213"/>
    </row>
    <row r="237" spans="40:47" s="121" customFormat="1" hidden="1">
      <c r="AN237" s="239"/>
      <c r="AO237" s="225"/>
      <c r="AP237" s="260"/>
      <c r="AQ237" s="258"/>
      <c r="AR237" s="258"/>
      <c r="AS237" s="202"/>
      <c r="AT237" s="213"/>
      <c r="AU237" s="213"/>
    </row>
    <row r="238" spans="40:47" s="121" customFormat="1" hidden="1">
      <c r="AN238" s="239"/>
      <c r="AO238" s="225"/>
      <c r="AP238" s="260"/>
      <c r="AQ238" s="258"/>
      <c r="AR238" s="258"/>
      <c r="AS238" s="202"/>
      <c r="AT238" s="213"/>
      <c r="AU238" s="213"/>
    </row>
    <row r="239" spans="40:47" s="121" customFormat="1" hidden="1">
      <c r="AN239" s="239"/>
      <c r="AO239" s="225"/>
      <c r="AP239" s="260"/>
      <c r="AQ239" s="258"/>
      <c r="AR239" s="258"/>
      <c r="AS239" s="202"/>
      <c r="AT239" s="213"/>
      <c r="AU239" s="213"/>
    </row>
    <row r="240" spans="40:47" s="121" customFormat="1" hidden="1">
      <c r="AN240" s="239"/>
      <c r="AO240" s="225"/>
      <c r="AP240" s="260"/>
      <c r="AQ240" s="258"/>
      <c r="AR240" s="258"/>
      <c r="AS240" s="202"/>
      <c r="AT240" s="213"/>
      <c r="AU240" s="213"/>
    </row>
    <row r="241" spans="40:47" s="121" customFormat="1" hidden="1">
      <c r="AN241" s="239"/>
      <c r="AO241" s="225"/>
      <c r="AP241" s="260"/>
      <c r="AQ241" s="258"/>
      <c r="AR241" s="258"/>
      <c r="AS241" s="202"/>
      <c r="AT241" s="213"/>
      <c r="AU241" s="213"/>
    </row>
    <row r="242" spans="40:47" s="121" customFormat="1" hidden="1">
      <c r="AN242" s="239"/>
      <c r="AO242" s="225"/>
      <c r="AP242" s="260"/>
      <c r="AQ242" s="258"/>
      <c r="AR242" s="258"/>
      <c r="AS242" s="202"/>
      <c r="AT242" s="213"/>
      <c r="AU242" s="213"/>
    </row>
    <row r="243" spans="40:47" s="121" customFormat="1" hidden="1">
      <c r="AN243" s="239"/>
      <c r="AO243" s="225"/>
      <c r="AP243" s="260"/>
      <c r="AQ243" s="258"/>
      <c r="AR243" s="258"/>
      <c r="AS243" s="202"/>
      <c r="AT243" s="213"/>
      <c r="AU243" s="213"/>
    </row>
    <row r="244" spans="40:47" s="121" customFormat="1" hidden="1">
      <c r="AN244" s="239"/>
      <c r="AO244" s="225"/>
      <c r="AP244" s="260"/>
      <c r="AQ244" s="258"/>
      <c r="AR244" s="258"/>
      <c r="AS244" s="202"/>
      <c r="AT244" s="213"/>
      <c r="AU244" s="213"/>
    </row>
    <row r="245" spans="40:47" s="121" customFormat="1" hidden="1">
      <c r="AN245" s="239"/>
      <c r="AO245" s="225"/>
      <c r="AP245" s="260"/>
      <c r="AQ245" s="258"/>
      <c r="AR245" s="258"/>
      <c r="AS245" s="202"/>
      <c r="AT245" s="213"/>
      <c r="AU245" s="213"/>
    </row>
    <row r="246" spans="40:47" s="121" customFormat="1" hidden="1">
      <c r="AN246" s="239"/>
      <c r="AO246" s="225"/>
      <c r="AP246" s="260"/>
      <c r="AQ246" s="258"/>
      <c r="AR246" s="258"/>
      <c r="AS246" s="202"/>
      <c r="AT246" s="213"/>
      <c r="AU246" s="213"/>
    </row>
    <row r="247" spans="40:47" s="121" customFormat="1" hidden="1">
      <c r="AN247" s="239"/>
      <c r="AO247" s="225"/>
      <c r="AP247" s="260"/>
      <c r="AQ247" s="258"/>
      <c r="AR247" s="258"/>
      <c r="AS247" s="202"/>
      <c r="AT247" s="213"/>
      <c r="AU247" s="213"/>
    </row>
    <row r="248" spans="40:47" s="121" customFormat="1" hidden="1">
      <c r="AN248" s="239"/>
      <c r="AO248" s="225"/>
      <c r="AP248" s="260"/>
      <c r="AQ248" s="258"/>
      <c r="AR248" s="258"/>
      <c r="AS248" s="202"/>
      <c r="AT248" s="213"/>
      <c r="AU248" s="213"/>
    </row>
    <row r="249" spans="40:47" s="121" customFormat="1" hidden="1">
      <c r="AN249" s="239"/>
      <c r="AO249" s="225"/>
      <c r="AP249" s="260"/>
      <c r="AQ249" s="258"/>
      <c r="AR249" s="258"/>
      <c r="AS249" s="202"/>
      <c r="AT249" s="213"/>
      <c r="AU249" s="213"/>
    </row>
    <row r="250" spans="40:47" s="121" customFormat="1" hidden="1">
      <c r="AN250" s="239"/>
      <c r="AO250" s="225"/>
      <c r="AP250" s="260"/>
      <c r="AQ250" s="258"/>
      <c r="AR250" s="258"/>
      <c r="AS250" s="202"/>
      <c r="AT250" s="213"/>
      <c r="AU250" s="213"/>
    </row>
    <row r="251" spans="40:47" s="121" customFormat="1" hidden="1">
      <c r="AN251" s="239"/>
      <c r="AO251" s="225"/>
      <c r="AP251" s="260"/>
      <c r="AQ251" s="258"/>
      <c r="AR251" s="258"/>
      <c r="AS251" s="202"/>
      <c r="AT251" s="213"/>
      <c r="AU251" s="213"/>
    </row>
    <row r="252" spans="40:47" s="121" customFormat="1" hidden="1">
      <c r="AN252" s="239"/>
      <c r="AO252" s="225"/>
      <c r="AP252" s="260"/>
      <c r="AQ252" s="258"/>
      <c r="AR252" s="258"/>
      <c r="AS252" s="202"/>
      <c r="AT252" s="213"/>
      <c r="AU252" s="213"/>
    </row>
    <row r="253" spans="40:47" s="121" customFormat="1" hidden="1">
      <c r="AN253" s="239"/>
      <c r="AO253" s="225"/>
      <c r="AP253" s="260"/>
      <c r="AQ253" s="258"/>
      <c r="AR253" s="258"/>
      <c r="AS253" s="202"/>
      <c r="AT253" s="213"/>
      <c r="AU253" s="213"/>
    </row>
    <row r="254" spans="40:47" s="121" customFormat="1" hidden="1">
      <c r="AN254" s="239"/>
      <c r="AO254" s="225"/>
      <c r="AP254" s="260"/>
      <c r="AQ254" s="258"/>
      <c r="AR254" s="258"/>
      <c r="AS254" s="202"/>
      <c r="AT254" s="213"/>
      <c r="AU254" s="213"/>
    </row>
    <row r="255" spans="40:47" s="121" customFormat="1" hidden="1">
      <c r="AN255" s="239"/>
      <c r="AO255" s="225"/>
      <c r="AP255" s="260"/>
      <c r="AQ255" s="258"/>
      <c r="AR255" s="258"/>
      <c r="AS255" s="202"/>
      <c r="AT255" s="213"/>
      <c r="AU255" s="213"/>
    </row>
    <row r="256" spans="40:47" s="121" customFormat="1" hidden="1">
      <c r="AN256" s="239"/>
      <c r="AO256" s="225"/>
      <c r="AP256" s="260"/>
      <c r="AQ256" s="258"/>
      <c r="AR256" s="258"/>
      <c r="AS256" s="202"/>
      <c r="AT256" s="213"/>
      <c r="AU256" s="213"/>
    </row>
    <row r="257" spans="40:47" s="121" customFormat="1" hidden="1">
      <c r="AN257" s="239"/>
      <c r="AO257" s="225"/>
      <c r="AP257" s="260"/>
      <c r="AQ257" s="258"/>
      <c r="AR257" s="258"/>
      <c r="AS257" s="202"/>
      <c r="AT257" s="213"/>
      <c r="AU257" s="213"/>
    </row>
    <row r="258" spans="40:47" s="121" customFormat="1" hidden="1">
      <c r="AN258" s="239"/>
      <c r="AO258" s="225"/>
      <c r="AP258" s="260"/>
      <c r="AQ258" s="258"/>
      <c r="AR258" s="258"/>
      <c r="AS258" s="202"/>
      <c r="AT258" s="213"/>
      <c r="AU258" s="213"/>
    </row>
    <row r="259" spans="40:47" s="121" customFormat="1" hidden="1">
      <c r="AN259" s="239"/>
      <c r="AO259" s="225"/>
      <c r="AP259" s="260"/>
      <c r="AQ259" s="258"/>
      <c r="AR259" s="258"/>
      <c r="AS259" s="202"/>
      <c r="AT259" s="213"/>
      <c r="AU259" s="213"/>
    </row>
    <row r="260" spans="40:47" s="121" customFormat="1" hidden="1">
      <c r="AN260" s="239"/>
      <c r="AO260" s="225"/>
      <c r="AP260" s="260"/>
      <c r="AQ260" s="258"/>
      <c r="AR260" s="258"/>
      <c r="AS260" s="202"/>
      <c r="AT260" s="213"/>
      <c r="AU260" s="213"/>
    </row>
    <row r="261" spans="40:47" s="121" customFormat="1" hidden="1">
      <c r="AN261" s="239"/>
      <c r="AO261" s="225"/>
      <c r="AP261" s="260"/>
      <c r="AQ261" s="258"/>
      <c r="AR261" s="258"/>
      <c r="AS261" s="202"/>
      <c r="AT261" s="213"/>
      <c r="AU261" s="213"/>
    </row>
    <row r="262" spans="40:47" s="121" customFormat="1" hidden="1">
      <c r="AN262" s="239"/>
      <c r="AO262" s="225"/>
      <c r="AP262" s="260"/>
      <c r="AQ262" s="258"/>
      <c r="AR262" s="258"/>
      <c r="AS262" s="202"/>
      <c r="AT262" s="213"/>
      <c r="AU262" s="213"/>
    </row>
    <row r="263" spans="40:47" s="121" customFormat="1" hidden="1">
      <c r="AN263" s="239"/>
      <c r="AO263" s="225"/>
      <c r="AP263" s="260"/>
      <c r="AQ263" s="258"/>
      <c r="AR263" s="258"/>
      <c r="AS263" s="202"/>
      <c r="AT263" s="213"/>
      <c r="AU263" s="213"/>
    </row>
    <row r="264" spans="40:47" s="121" customFormat="1" hidden="1">
      <c r="AN264" s="239"/>
      <c r="AO264" s="225"/>
      <c r="AP264" s="260"/>
      <c r="AQ264" s="258"/>
      <c r="AR264" s="258"/>
      <c r="AS264" s="202"/>
      <c r="AT264" s="213"/>
      <c r="AU264" s="213"/>
    </row>
    <row r="265" spans="40:47" s="121" customFormat="1" hidden="1">
      <c r="AN265" s="239"/>
      <c r="AO265" s="225"/>
      <c r="AP265" s="260"/>
      <c r="AQ265" s="258"/>
      <c r="AR265" s="258"/>
      <c r="AS265" s="202"/>
      <c r="AT265" s="213"/>
      <c r="AU265" s="213"/>
    </row>
    <row r="266" spans="40:47" s="121" customFormat="1" hidden="1">
      <c r="AN266" s="239"/>
      <c r="AO266" s="225"/>
      <c r="AP266" s="260"/>
      <c r="AQ266" s="258"/>
      <c r="AR266" s="258"/>
      <c r="AS266" s="202"/>
      <c r="AT266" s="213"/>
      <c r="AU266" s="213"/>
    </row>
    <row r="267" spans="40:47" s="121" customFormat="1" hidden="1">
      <c r="AN267" s="239"/>
      <c r="AO267" s="225"/>
      <c r="AP267" s="260"/>
      <c r="AQ267" s="258"/>
      <c r="AR267" s="258"/>
      <c r="AS267" s="202"/>
      <c r="AT267" s="213"/>
      <c r="AU267" s="213"/>
    </row>
    <row r="268" spans="40:47" s="121" customFormat="1" hidden="1">
      <c r="AN268" s="239"/>
      <c r="AO268" s="225"/>
      <c r="AP268" s="260"/>
      <c r="AQ268" s="258"/>
      <c r="AR268" s="258"/>
      <c r="AS268" s="202"/>
      <c r="AT268" s="213"/>
      <c r="AU268" s="213"/>
    </row>
    <row r="269" spans="40:47" s="121" customFormat="1" hidden="1">
      <c r="AN269" s="239"/>
      <c r="AO269" s="225"/>
      <c r="AP269" s="260"/>
      <c r="AQ269" s="258"/>
      <c r="AR269" s="258"/>
      <c r="AS269" s="202"/>
      <c r="AT269" s="213"/>
      <c r="AU269" s="213"/>
    </row>
    <row r="270" spans="40:47" s="121" customFormat="1" hidden="1">
      <c r="AN270" s="239"/>
      <c r="AO270" s="225"/>
      <c r="AP270" s="260"/>
      <c r="AQ270" s="258"/>
      <c r="AR270" s="258"/>
      <c r="AS270" s="202"/>
      <c r="AT270" s="213"/>
      <c r="AU270" s="213"/>
    </row>
    <row r="271" spans="40:47" s="121" customFormat="1" hidden="1">
      <c r="AN271" s="239"/>
      <c r="AO271" s="225"/>
      <c r="AP271" s="260"/>
      <c r="AQ271" s="258"/>
      <c r="AR271" s="258"/>
      <c r="AS271" s="202"/>
      <c r="AT271" s="213"/>
      <c r="AU271" s="213"/>
    </row>
    <row r="272" spans="40:47" s="121" customFormat="1" hidden="1">
      <c r="AN272" s="239"/>
      <c r="AO272" s="225"/>
      <c r="AP272" s="260"/>
      <c r="AQ272" s="258"/>
      <c r="AR272" s="258"/>
      <c r="AS272" s="202"/>
      <c r="AT272" s="213"/>
      <c r="AU272" s="213"/>
    </row>
    <row r="273" spans="40:47" s="121" customFormat="1" hidden="1">
      <c r="AN273" s="239"/>
      <c r="AO273" s="225"/>
      <c r="AP273" s="260"/>
      <c r="AQ273" s="258"/>
      <c r="AR273" s="258"/>
      <c r="AS273" s="202"/>
      <c r="AT273" s="213"/>
      <c r="AU273" s="213"/>
    </row>
    <row r="274" spans="40:47" s="121" customFormat="1" hidden="1">
      <c r="AN274" s="239"/>
      <c r="AO274" s="225"/>
      <c r="AP274" s="260"/>
      <c r="AQ274" s="258"/>
      <c r="AR274" s="258"/>
      <c r="AS274" s="202"/>
      <c r="AT274" s="213"/>
      <c r="AU274" s="213"/>
    </row>
    <row r="275" spans="40:47" s="121" customFormat="1" hidden="1">
      <c r="AN275" s="239"/>
      <c r="AO275" s="225"/>
      <c r="AP275" s="260"/>
      <c r="AQ275" s="258"/>
      <c r="AR275" s="258"/>
      <c r="AS275" s="202"/>
      <c r="AT275" s="213"/>
      <c r="AU275" s="213"/>
    </row>
    <row r="276" spans="40:47" s="121" customFormat="1" hidden="1">
      <c r="AN276" s="239"/>
      <c r="AO276" s="225"/>
      <c r="AP276" s="260"/>
      <c r="AQ276" s="258"/>
      <c r="AR276" s="258"/>
      <c r="AS276" s="202"/>
      <c r="AT276" s="213"/>
      <c r="AU276" s="213"/>
    </row>
    <row r="277" spans="40:47" s="121" customFormat="1" hidden="1">
      <c r="AN277" s="239"/>
      <c r="AO277" s="225"/>
      <c r="AP277" s="260"/>
      <c r="AQ277" s="258"/>
      <c r="AR277" s="258"/>
      <c r="AS277" s="202"/>
      <c r="AT277" s="213"/>
      <c r="AU277" s="213"/>
    </row>
    <row r="278" spans="40:47" s="121" customFormat="1" hidden="1">
      <c r="AN278" s="239"/>
      <c r="AO278" s="225"/>
      <c r="AP278" s="260"/>
      <c r="AQ278" s="258"/>
      <c r="AR278" s="258"/>
      <c r="AS278" s="202"/>
      <c r="AT278" s="213"/>
      <c r="AU278" s="213"/>
    </row>
    <row r="279" spans="40:47" s="121" customFormat="1" hidden="1">
      <c r="AN279" s="239"/>
      <c r="AO279" s="225"/>
      <c r="AP279" s="260"/>
      <c r="AQ279" s="258"/>
      <c r="AR279" s="258"/>
      <c r="AS279" s="202"/>
      <c r="AT279" s="213"/>
      <c r="AU279" s="213"/>
    </row>
    <row r="280" spans="40:47" s="121" customFormat="1" hidden="1">
      <c r="AN280" s="239"/>
      <c r="AO280" s="225"/>
      <c r="AP280" s="260"/>
      <c r="AQ280" s="258"/>
      <c r="AR280" s="258"/>
      <c r="AS280" s="202"/>
      <c r="AT280" s="213"/>
      <c r="AU280" s="213"/>
    </row>
    <row r="281" spans="40:47" s="121" customFormat="1" hidden="1">
      <c r="AN281" s="239"/>
      <c r="AO281" s="225"/>
      <c r="AP281" s="260"/>
      <c r="AQ281" s="258"/>
      <c r="AR281" s="258"/>
      <c r="AS281" s="202"/>
      <c r="AT281" s="213"/>
      <c r="AU281" s="213"/>
    </row>
    <row r="282" spans="40:47" s="121" customFormat="1" hidden="1">
      <c r="AN282" s="239"/>
      <c r="AO282" s="225"/>
      <c r="AP282" s="260"/>
      <c r="AQ282" s="258"/>
      <c r="AR282" s="258"/>
      <c r="AS282" s="202"/>
      <c r="AT282" s="213"/>
      <c r="AU282" s="213"/>
    </row>
    <row r="283" spans="40:47" s="121" customFormat="1" hidden="1">
      <c r="AN283" s="239"/>
      <c r="AO283" s="225"/>
      <c r="AP283" s="260"/>
      <c r="AQ283" s="258"/>
      <c r="AR283" s="258"/>
      <c r="AS283" s="202"/>
      <c r="AT283" s="213"/>
      <c r="AU283" s="213"/>
    </row>
    <row r="284" spans="40:47" s="121" customFormat="1" hidden="1">
      <c r="AN284" s="239"/>
      <c r="AO284" s="225"/>
      <c r="AP284" s="260"/>
      <c r="AQ284" s="258"/>
      <c r="AR284" s="258"/>
      <c r="AS284" s="202"/>
      <c r="AT284" s="213"/>
      <c r="AU284" s="213"/>
    </row>
    <row r="285" spans="40:47" s="121" customFormat="1" hidden="1">
      <c r="AN285" s="239"/>
      <c r="AO285" s="225"/>
      <c r="AP285" s="260"/>
      <c r="AQ285" s="258"/>
      <c r="AR285" s="258"/>
      <c r="AS285" s="202"/>
      <c r="AT285" s="213"/>
      <c r="AU285" s="213"/>
    </row>
    <row r="286" spans="40:47" s="121" customFormat="1" hidden="1">
      <c r="AN286" s="239"/>
      <c r="AO286" s="225"/>
      <c r="AP286" s="260"/>
      <c r="AQ286" s="258"/>
      <c r="AR286" s="258"/>
      <c r="AS286" s="202"/>
      <c r="AT286" s="213"/>
      <c r="AU286" s="213"/>
    </row>
    <row r="287" spans="40:47" s="121" customFormat="1" hidden="1">
      <c r="AN287" s="239"/>
      <c r="AO287" s="225"/>
      <c r="AP287" s="260"/>
      <c r="AQ287" s="258"/>
      <c r="AR287" s="258"/>
      <c r="AS287" s="202"/>
      <c r="AT287" s="213"/>
      <c r="AU287" s="213"/>
    </row>
    <row r="288" spans="40:47" s="121" customFormat="1" hidden="1">
      <c r="AN288" s="239"/>
      <c r="AO288" s="225"/>
      <c r="AP288" s="260"/>
      <c r="AQ288" s="258"/>
      <c r="AR288" s="258"/>
      <c r="AS288" s="202"/>
      <c r="AT288" s="213"/>
      <c r="AU288" s="213"/>
    </row>
    <row r="289" spans="40:47" s="121" customFormat="1" hidden="1">
      <c r="AN289" s="239"/>
      <c r="AO289" s="225"/>
      <c r="AP289" s="260"/>
      <c r="AQ289" s="258"/>
      <c r="AR289" s="258"/>
      <c r="AS289" s="202"/>
      <c r="AT289" s="213"/>
      <c r="AU289" s="213"/>
    </row>
    <row r="290" spans="40:47" s="121" customFormat="1" hidden="1">
      <c r="AN290" s="239"/>
      <c r="AO290" s="225"/>
      <c r="AP290" s="260"/>
      <c r="AQ290" s="258"/>
      <c r="AR290" s="258"/>
      <c r="AS290" s="202"/>
      <c r="AT290" s="213"/>
      <c r="AU290" s="213"/>
    </row>
    <row r="291" spans="40:47" s="121" customFormat="1" hidden="1">
      <c r="AN291" s="239"/>
      <c r="AO291" s="225"/>
      <c r="AP291" s="260"/>
      <c r="AQ291" s="258"/>
      <c r="AR291" s="258"/>
      <c r="AS291" s="202"/>
      <c r="AT291" s="213"/>
      <c r="AU291" s="213"/>
    </row>
    <row r="292" spans="40:47" s="121" customFormat="1" hidden="1">
      <c r="AN292" s="239"/>
      <c r="AO292" s="225"/>
      <c r="AP292" s="260"/>
      <c r="AQ292" s="258"/>
      <c r="AR292" s="258"/>
      <c r="AS292" s="202"/>
      <c r="AT292" s="213"/>
      <c r="AU292" s="213"/>
    </row>
    <row r="293" spans="40:47" s="121" customFormat="1" hidden="1">
      <c r="AN293" s="239"/>
      <c r="AO293" s="225"/>
      <c r="AP293" s="260"/>
      <c r="AQ293" s="258"/>
      <c r="AR293" s="258"/>
      <c r="AS293" s="202"/>
      <c r="AT293" s="213"/>
      <c r="AU293" s="213"/>
    </row>
    <row r="294" spans="40:47" s="121" customFormat="1" hidden="1">
      <c r="AN294" s="239"/>
      <c r="AO294" s="225"/>
      <c r="AP294" s="260"/>
      <c r="AQ294" s="258"/>
      <c r="AR294" s="258"/>
      <c r="AS294" s="202"/>
      <c r="AT294" s="213"/>
      <c r="AU294" s="213"/>
    </row>
    <row r="295" spans="40:47" s="121" customFormat="1" hidden="1">
      <c r="AN295" s="239"/>
      <c r="AO295" s="225"/>
      <c r="AP295" s="260"/>
      <c r="AQ295" s="258"/>
      <c r="AR295" s="258"/>
      <c r="AS295" s="202"/>
      <c r="AT295" s="213"/>
      <c r="AU295" s="213"/>
    </row>
    <row r="296" spans="40:47" s="121" customFormat="1" hidden="1">
      <c r="AN296" s="239"/>
      <c r="AO296" s="225"/>
      <c r="AP296" s="260"/>
      <c r="AQ296" s="258"/>
      <c r="AR296" s="258"/>
      <c r="AS296" s="202"/>
      <c r="AT296" s="213"/>
      <c r="AU296" s="213"/>
    </row>
    <row r="297" spans="40:47" s="121" customFormat="1" hidden="1">
      <c r="AN297" s="239"/>
      <c r="AO297" s="225"/>
      <c r="AP297" s="260"/>
      <c r="AQ297" s="258"/>
      <c r="AR297" s="258"/>
      <c r="AS297" s="202"/>
      <c r="AT297" s="213"/>
      <c r="AU297" s="213"/>
    </row>
    <row r="298" spans="40:47" s="121" customFormat="1" hidden="1">
      <c r="AN298" s="239"/>
      <c r="AO298" s="225"/>
      <c r="AP298" s="260"/>
      <c r="AQ298" s="258"/>
      <c r="AR298" s="258"/>
      <c r="AS298" s="202"/>
      <c r="AT298" s="213"/>
      <c r="AU298" s="213"/>
    </row>
    <row r="299" spans="40:47" s="121" customFormat="1" hidden="1">
      <c r="AN299" s="239"/>
      <c r="AO299" s="225"/>
      <c r="AP299" s="260"/>
      <c r="AQ299" s="258"/>
      <c r="AR299" s="258"/>
      <c r="AS299" s="202"/>
      <c r="AT299" s="213"/>
      <c r="AU299" s="213"/>
    </row>
    <row r="300" spans="40:47" s="121" customFormat="1" hidden="1">
      <c r="AN300" s="239"/>
      <c r="AO300" s="225"/>
      <c r="AP300" s="260"/>
      <c r="AQ300" s="258"/>
      <c r="AR300" s="258"/>
      <c r="AS300" s="202"/>
      <c r="AT300" s="213"/>
      <c r="AU300" s="213"/>
    </row>
    <row r="301" spans="40:47" s="121" customFormat="1" hidden="1">
      <c r="AN301" s="239"/>
      <c r="AO301" s="225"/>
      <c r="AP301" s="260"/>
      <c r="AQ301" s="258"/>
      <c r="AR301" s="258"/>
      <c r="AS301" s="202"/>
      <c r="AT301" s="213"/>
      <c r="AU301" s="213"/>
    </row>
    <row r="302" spans="40:47" s="121" customFormat="1" hidden="1">
      <c r="AN302" s="239"/>
      <c r="AO302" s="225"/>
      <c r="AP302" s="260"/>
      <c r="AQ302" s="258"/>
      <c r="AR302" s="258"/>
      <c r="AS302" s="202"/>
      <c r="AT302" s="213"/>
      <c r="AU302" s="213"/>
    </row>
    <row r="303" spans="40:47" s="121" customFormat="1" hidden="1">
      <c r="AN303" s="239"/>
      <c r="AO303" s="225"/>
      <c r="AP303" s="260"/>
      <c r="AQ303" s="258"/>
      <c r="AR303" s="258"/>
      <c r="AS303" s="202"/>
      <c r="AT303" s="213"/>
      <c r="AU303" s="213"/>
    </row>
    <row r="304" spans="40:47" s="121" customFormat="1" hidden="1">
      <c r="AN304" s="239"/>
      <c r="AO304" s="225"/>
      <c r="AP304" s="260"/>
      <c r="AQ304" s="258"/>
      <c r="AR304" s="258"/>
      <c r="AS304" s="202"/>
      <c r="AT304" s="213"/>
      <c r="AU304" s="213"/>
    </row>
    <row r="305" spans="40:47" s="121" customFormat="1" hidden="1">
      <c r="AN305" s="239"/>
      <c r="AO305" s="225"/>
      <c r="AP305" s="260"/>
      <c r="AQ305" s="258"/>
      <c r="AR305" s="258"/>
      <c r="AS305" s="202"/>
      <c r="AT305" s="213"/>
      <c r="AU305" s="213"/>
    </row>
    <row r="306" spans="40:47" s="121" customFormat="1" hidden="1">
      <c r="AN306" s="239"/>
      <c r="AO306" s="225"/>
      <c r="AP306" s="260"/>
      <c r="AQ306" s="258"/>
      <c r="AR306" s="258"/>
      <c r="AS306" s="202"/>
      <c r="AT306" s="213"/>
      <c r="AU306" s="213"/>
    </row>
    <row r="307" spans="40:47" s="121" customFormat="1" hidden="1">
      <c r="AN307" s="239"/>
      <c r="AO307" s="225"/>
      <c r="AP307" s="260"/>
      <c r="AQ307" s="258"/>
      <c r="AR307" s="258"/>
      <c r="AS307" s="202"/>
      <c r="AT307" s="213"/>
      <c r="AU307" s="213"/>
    </row>
    <row r="308" spans="40:47" s="121" customFormat="1" hidden="1">
      <c r="AN308" s="239"/>
      <c r="AO308" s="225"/>
      <c r="AP308" s="260"/>
      <c r="AQ308" s="258"/>
      <c r="AR308" s="258"/>
      <c r="AS308" s="202"/>
      <c r="AT308" s="213"/>
      <c r="AU308" s="213"/>
    </row>
    <row r="309" spans="40:47" s="121" customFormat="1" hidden="1">
      <c r="AN309" s="239"/>
      <c r="AO309" s="225"/>
      <c r="AP309" s="260"/>
      <c r="AQ309" s="258"/>
      <c r="AR309" s="258"/>
      <c r="AS309" s="202"/>
      <c r="AT309" s="213"/>
      <c r="AU309" s="213"/>
    </row>
    <row r="310" spans="40:47" s="121" customFormat="1" hidden="1">
      <c r="AN310" s="239"/>
      <c r="AO310" s="225"/>
      <c r="AP310" s="260"/>
      <c r="AQ310" s="258"/>
      <c r="AR310" s="258"/>
      <c r="AS310" s="202"/>
      <c r="AT310" s="213"/>
      <c r="AU310" s="213"/>
    </row>
    <row r="311" spans="40:47" s="121" customFormat="1" hidden="1">
      <c r="AN311" s="239"/>
      <c r="AO311" s="225"/>
      <c r="AP311" s="260"/>
      <c r="AQ311" s="258"/>
      <c r="AR311" s="258"/>
      <c r="AS311" s="202"/>
      <c r="AT311" s="213"/>
      <c r="AU311" s="213"/>
    </row>
    <row r="312" spans="40:47" s="121" customFormat="1" hidden="1">
      <c r="AN312" s="239"/>
      <c r="AO312" s="225"/>
      <c r="AP312" s="260"/>
      <c r="AQ312" s="258"/>
      <c r="AR312" s="258"/>
      <c r="AS312" s="202"/>
      <c r="AT312" s="213"/>
      <c r="AU312" s="213"/>
    </row>
    <row r="313" spans="40:47" s="121" customFormat="1" hidden="1">
      <c r="AN313" s="239"/>
      <c r="AO313" s="225"/>
      <c r="AP313" s="260"/>
      <c r="AQ313" s="258"/>
      <c r="AR313" s="258"/>
      <c r="AS313" s="202"/>
      <c r="AT313" s="213"/>
      <c r="AU313" s="213"/>
    </row>
    <row r="314" spans="40:47" s="121" customFormat="1" hidden="1">
      <c r="AN314" s="239"/>
      <c r="AO314" s="225"/>
      <c r="AP314" s="260"/>
      <c r="AQ314" s="258"/>
      <c r="AR314" s="258"/>
      <c r="AS314" s="202"/>
      <c r="AT314" s="213"/>
      <c r="AU314" s="213"/>
    </row>
    <row r="315" spans="40:47" s="121" customFormat="1" hidden="1">
      <c r="AN315" s="239"/>
      <c r="AO315" s="225"/>
      <c r="AP315" s="260"/>
      <c r="AQ315" s="258"/>
      <c r="AR315" s="258"/>
      <c r="AS315" s="202"/>
      <c r="AT315" s="213"/>
      <c r="AU315" s="213"/>
    </row>
    <row r="316" spans="40:47" s="121" customFormat="1" hidden="1">
      <c r="AN316" s="239"/>
      <c r="AO316" s="225"/>
      <c r="AP316" s="260"/>
      <c r="AQ316" s="258"/>
      <c r="AR316" s="258"/>
      <c r="AS316" s="202"/>
      <c r="AT316" s="213"/>
      <c r="AU316" s="213"/>
    </row>
    <row r="317" spans="40:47" s="121" customFormat="1" hidden="1">
      <c r="AN317" s="239"/>
      <c r="AO317" s="225"/>
      <c r="AP317" s="260"/>
      <c r="AQ317" s="258"/>
      <c r="AR317" s="258"/>
      <c r="AS317" s="202"/>
      <c r="AT317" s="213"/>
      <c r="AU317" s="213"/>
    </row>
    <row r="318" spans="40:47" s="121" customFormat="1" hidden="1">
      <c r="AN318" s="239"/>
      <c r="AO318" s="225"/>
      <c r="AP318" s="260"/>
      <c r="AQ318" s="258"/>
      <c r="AR318" s="258"/>
      <c r="AS318" s="202"/>
      <c r="AT318" s="213"/>
      <c r="AU318" s="213"/>
    </row>
    <row r="319" spans="40:47" s="121" customFormat="1" hidden="1">
      <c r="AN319" s="239"/>
      <c r="AO319" s="225"/>
      <c r="AP319" s="260"/>
      <c r="AQ319" s="258"/>
      <c r="AR319" s="258"/>
      <c r="AS319" s="202"/>
      <c r="AT319" s="213"/>
      <c r="AU319" s="213"/>
    </row>
    <row r="320" spans="40:47" s="121" customFormat="1" hidden="1">
      <c r="AN320" s="239"/>
      <c r="AO320" s="225"/>
      <c r="AP320" s="260"/>
      <c r="AQ320" s="258"/>
      <c r="AR320" s="258"/>
      <c r="AS320" s="202"/>
      <c r="AT320" s="213"/>
      <c r="AU320" s="213"/>
    </row>
    <row r="321" spans="40:47" s="121" customFormat="1" hidden="1">
      <c r="AN321" s="239"/>
      <c r="AO321" s="225"/>
      <c r="AP321" s="260"/>
      <c r="AQ321" s="258"/>
      <c r="AR321" s="258"/>
      <c r="AS321" s="202"/>
      <c r="AT321" s="213"/>
      <c r="AU321" s="213"/>
    </row>
    <row r="322" spans="40:47" s="121" customFormat="1" hidden="1">
      <c r="AN322" s="239"/>
      <c r="AO322" s="225"/>
      <c r="AP322" s="260"/>
      <c r="AQ322" s="258"/>
      <c r="AR322" s="258"/>
      <c r="AS322" s="202"/>
      <c r="AT322" s="213"/>
      <c r="AU322" s="213"/>
    </row>
    <row r="323" spans="40:47" s="121" customFormat="1" hidden="1">
      <c r="AN323" s="239"/>
      <c r="AO323" s="225"/>
      <c r="AP323" s="260"/>
      <c r="AQ323" s="258"/>
      <c r="AR323" s="258"/>
      <c r="AS323" s="202"/>
      <c r="AT323" s="213"/>
      <c r="AU323" s="213"/>
    </row>
    <row r="324" spans="40:47" s="121" customFormat="1" hidden="1">
      <c r="AN324" s="239"/>
      <c r="AO324" s="225"/>
      <c r="AP324" s="260"/>
      <c r="AQ324" s="258"/>
      <c r="AR324" s="258"/>
      <c r="AS324" s="202"/>
      <c r="AT324" s="213"/>
      <c r="AU324" s="213"/>
    </row>
    <row r="325" spans="40:47" s="121" customFormat="1" hidden="1">
      <c r="AN325" s="239"/>
      <c r="AO325" s="225"/>
      <c r="AP325" s="260"/>
      <c r="AQ325" s="258"/>
      <c r="AR325" s="258"/>
      <c r="AS325" s="202"/>
      <c r="AT325" s="213"/>
      <c r="AU325" s="213"/>
    </row>
    <row r="326" spans="40:47" s="121" customFormat="1" hidden="1">
      <c r="AN326" s="239"/>
      <c r="AO326" s="225"/>
      <c r="AP326" s="260"/>
      <c r="AQ326" s="258"/>
      <c r="AR326" s="258"/>
      <c r="AS326" s="202"/>
      <c r="AT326" s="213"/>
      <c r="AU326" s="213"/>
    </row>
    <row r="327" spans="40:47" s="121" customFormat="1" hidden="1">
      <c r="AN327" s="239"/>
      <c r="AO327" s="225"/>
      <c r="AP327" s="260"/>
      <c r="AQ327" s="258"/>
      <c r="AR327" s="258"/>
      <c r="AS327" s="202"/>
      <c r="AT327" s="213"/>
      <c r="AU327" s="213"/>
    </row>
    <row r="328" spans="40:47" s="121" customFormat="1" hidden="1">
      <c r="AN328" s="239"/>
      <c r="AO328" s="225"/>
      <c r="AP328" s="260"/>
      <c r="AQ328" s="258"/>
      <c r="AR328" s="258"/>
      <c r="AS328" s="202"/>
      <c r="AT328" s="213"/>
      <c r="AU328" s="213"/>
    </row>
    <row r="329" spans="40:47" s="121" customFormat="1" hidden="1">
      <c r="AN329" s="239"/>
      <c r="AO329" s="225"/>
      <c r="AP329" s="260"/>
      <c r="AQ329" s="258"/>
      <c r="AR329" s="258"/>
      <c r="AS329" s="202"/>
      <c r="AT329" s="213"/>
      <c r="AU329" s="213"/>
    </row>
    <row r="330" spans="40:47" s="121" customFormat="1" hidden="1">
      <c r="AN330" s="239"/>
      <c r="AO330" s="225"/>
      <c r="AP330" s="260"/>
      <c r="AQ330" s="258"/>
      <c r="AR330" s="258"/>
      <c r="AS330" s="202"/>
      <c r="AT330" s="213"/>
      <c r="AU330" s="213"/>
    </row>
    <row r="331" spans="40:47" s="121" customFormat="1" hidden="1">
      <c r="AN331" s="239"/>
      <c r="AO331" s="225"/>
      <c r="AP331" s="260"/>
      <c r="AQ331" s="258"/>
      <c r="AR331" s="258"/>
      <c r="AS331" s="202"/>
      <c r="AT331" s="213"/>
      <c r="AU331" s="213"/>
    </row>
    <row r="332" spans="40:47" s="121" customFormat="1" hidden="1">
      <c r="AN332" s="239"/>
      <c r="AO332" s="225"/>
      <c r="AP332" s="260"/>
      <c r="AQ332" s="258"/>
      <c r="AR332" s="258"/>
      <c r="AS332" s="202"/>
      <c r="AT332" s="213"/>
      <c r="AU332" s="213"/>
    </row>
    <row r="333" spans="40:47" s="121" customFormat="1" hidden="1">
      <c r="AN333" s="239"/>
      <c r="AO333" s="225"/>
      <c r="AP333" s="260"/>
      <c r="AQ333" s="258"/>
      <c r="AR333" s="258"/>
      <c r="AS333" s="202"/>
      <c r="AT333" s="213"/>
      <c r="AU333" s="213"/>
    </row>
    <row r="334" spans="40:47" s="121" customFormat="1" hidden="1">
      <c r="AN334" s="239"/>
      <c r="AO334" s="225"/>
      <c r="AP334" s="260"/>
      <c r="AQ334" s="258"/>
      <c r="AR334" s="258"/>
      <c r="AS334" s="202"/>
      <c r="AT334" s="213"/>
      <c r="AU334" s="213"/>
    </row>
    <row r="335" spans="40:47" s="121" customFormat="1" hidden="1">
      <c r="AN335" s="239"/>
      <c r="AO335" s="225"/>
      <c r="AP335" s="260"/>
      <c r="AQ335" s="258"/>
      <c r="AR335" s="258"/>
      <c r="AS335" s="202"/>
      <c r="AT335" s="213"/>
      <c r="AU335" s="213"/>
    </row>
    <row r="336" spans="40:47" s="121" customFormat="1" hidden="1">
      <c r="AN336" s="239"/>
      <c r="AO336" s="225"/>
      <c r="AP336" s="260"/>
      <c r="AQ336" s="258"/>
      <c r="AR336" s="258"/>
      <c r="AS336" s="202"/>
      <c r="AT336" s="213"/>
      <c r="AU336" s="213"/>
    </row>
    <row r="337" spans="40:47" s="121" customFormat="1" hidden="1">
      <c r="AN337" s="239"/>
      <c r="AO337" s="225"/>
      <c r="AP337" s="260"/>
      <c r="AQ337" s="258"/>
      <c r="AR337" s="258"/>
      <c r="AS337" s="202"/>
      <c r="AT337" s="213"/>
      <c r="AU337" s="213"/>
    </row>
    <row r="338" spans="40:47" s="121" customFormat="1" hidden="1">
      <c r="AN338" s="239"/>
      <c r="AO338" s="225"/>
      <c r="AP338" s="260"/>
      <c r="AQ338" s="258"/>
      <c r="AR338" s="258"/>
      <c r="AS338" s="202"/>
      <c r="AT338" s="213"/>
      <c r="AU338" s="213"/>
    </row>
    <row r="339" spans="40:47" s="121" customFormat="1" hidden="1">
      <c r="AN339" s="239"/>
      <c r="AO339" s="225"/>
      <c r="AP339" s="260"/>
      <c r="AQ339" s="258"/>
      <c r="AR339" s="258"/>
      <c r="AS339" s="202"/>
      <c r="AT339" s="213"/>
      <c r="AU339" s="213"/>
    </row>
    <row r="340" spans="40:47" s="121" customFormat="1" hidden="1">
      <c r="AN340" s="239"/>
      <c r="AO340" s="225"/>
      <c r="AP340" s="260"/>
      <c r="AQ340" s="258"/>
      <c r="AR340" s="258"/>
      <c r="AS340" s="202"/>
      <c r="AT340" s="213"/>
      <c r="AU340" s="213"/>
    </row>
    <row r="341" spans="40:47" s="121" customFormat="1" hidden="1">
      <c r="AN341" s="239"/>
      <c r="AO341" s="225"/>
      <c r="AP341" s="260"/>
      <c r="AQ341" s="258"/>
      <c r="AR341" s="258"/>
      <c r="AS341" s="202"/>
      <c r="AT341" s="213"/>
      <c r="AU341" s="213"/>
    </row>
    <row r="342" spans="40:47" s="121" customFormat="1" hidden="1">
      <c r="AN342" s="239"/>
      <c r="AO342" s="225"/>
      <c r="AP342" s="260"/>
      <c r="AQ342" s="258"/>
      <c r="AR342" s="258"/>
      <c r="AS342" s="202"/>
      <c r="AT342" s="213"/>
      <c r="AU342" s="213"/>
    </row>
    <row r="343" spans="40:47" s="121" customFormat="1" hidden="1">
      <c r="AN343" s="239"/>
      <c r="AO343" s="225"/>
      <c r="AP343" s="260"/>
      <c r="AQ343" s="258"/>
      <c r="AR343" s="258"/>
      <c r="AS343" s="202"/>
      <c r="AT343" s="213"/>
      <c r="AU343" s="213"/>
    </row>
    <row r="344" spans="40:47" s="121" customFormat="1" hidden="1">
      <c r="AN344" s="239"/>
      <c r="AO344" s="225"/>
      <c r="AP344" s="260"/>
      <c r="AQ344" s="258"/>
      <c r="AR344" s="258"/>
      <c r="AS344" s="202"/>
      <c r="AT344" s="213"/>
      <c r="AU344" s="213"/>
    </row>
    <row r="345" spans="40:47" s="121" customFormat="1" hidden="1">
      <c r="AN345" s="239"/>
      <c r="AO345" s="225"/>
      <c r="AP345" s="260"/>
      <c r="AQ345" s="258"/>
      <c r="AR345" s="258"/>
      <c r="AS345" s="202"/>
      <c r="AT345" s="213"/>
      <c r="AU345" s="213"/>
    </row>
    <row r="346" spans="40:47" s="121" customFormat="1" hidden="1">
      <c r="AN346" s="239"/>
      <c r="AO346" s="225"/>
      <c r="AP346" s="260"/>
      <c r="AQ346" s="258"/>
      <c r="AR346" s="258"/>
      <c r="AS346" s="202"/>
      <c r="AT346" s="213"/>
      <c r="AU346" s="213"/>
    </row>
    <row r="347" spans="40:47" s="121" customFormat="1" hidden="1">
      <c r="AN347" s="239"/>
      <c r="AO347" s="225"/>
      <c r="AP347" s="260"/>
      <c r="AQ347" s="258"/>
      <c r="AR347" s="258"/>
      <c r="AS347" s="202"/>
      <c r="AT347" s="213"/>
      <c r="AU347" s="213"/>
    </row>
    <row r="348" spans="40:47" s="121" customFormat="1" hidden="1">
      <c r="AN348" s="239"/>
      <c r="AO348" s="225"/>
      <c r="AP348" s="260"/>
      <c r="AQ348" s="258"/>
      <c r="AR348" s="258"/>
      <c r="AS348" s="202"/>
      <c r="AT348" s="213"/>
      <c r="AU348" s="213"/>
    </row>
    <row r="349" spans="40:47" s="121" customFormat="1" hidden="1">
      <c r="AN349" s="239"/>
      <c r="AO349" s="225"/>
      <c r="AP349" s="260"/>
      <c r="AQ349" s="258"/>
      <c r="AR349" s="258"/>
      <c r="AS349" s="202"/>
      <c r="AT349" s="213"/>
      <c r="AU349" s="213"/>
    </row>
    <row r="350" spans="40:47" s="121" customFormat="1" hidden="1">
      <c r="AN350" s="239"/>
      <c r="AO350" s="225"/>
      <c r="AP350" s="260"/>
      <c r="AQ350" s="258"/>
      <c r="AR350" s="258"/>
      <c r="AS350" s="202"/>
      <c r="AT350" s="213"/>
      <c r="AU350" s="213"/>
    </row>
    <row r="351" spans="40:47" s="121" customFormat="1" hidden="1">
      <c r="AN351" s="239"/>
      <c r="AO351" s="225"/>
      <c r="AP351" s="260"/>
      <c r="AQ351" s="258"/>
      <c r="AR351" s="258"/>
      <c r="AS351" s="202"/>
      <c r="AT351" s="213"/>
      <c r="AU351" s="213"/>
    </row>
    <row r="352" spans="40:47" s="121" customFormat="1" hidden="1">
      <c r="AN352" s="239"/>
      <c r="AO352" s="225"/>
      <c r="AP352" s="260"/>
      <c r="AQ352" s="258"/>
      <c r="AR352" s="258"/>
      <c r="AS352" s="202"/>
      <c r="AT352" s="213"/>
      <c r="AU352" s="213"/>
    </row>
    <row r="353" spans="40:47" s="121" customFormat="1" hidden="1">
      <c r="AN353" s="239"/>
      <c r="AO353" s="225"/>
      <c r="AP353" s="260"/>
      <c r="AQ353" s="258"/>
      <c r="AR353" s="258"/>
      <c r="AS353" s="202"/>
      <c r="AT353" s="213"/>
      <c r="AU353" s="213"/>
    </row>
    <row r="354" spans="40:47" s="121" customFormat="1" hidden="1">
      <c r="AN354" s="239"/>
      <c r="AO354" s="225"/>
      <c r="AP354" s="260"/>
      <c r="AQ354" s="258"/>
      <c r="AR354" s="258"/>
      <c r="AS354" s="202"/>
      <c r="AT354" s="213"/>
      <c r="AU354" s="213"/>
    </row>
    <row r="355" spans="40:47" s="121" customFormat="1" hidden="1">
      <c r="AN355" s="239"/>
      <c r="AO355" s="225"/>
      <c r="AP355" s="260"/>
      <c r="AQ355" s="258"/>
      <c r="AR355" s="258"/>
      <c r="AS355" s="202"/>
      <c r="AT355" s="213"/>
      <c r="AU355" s="213"/>
    </row>
    <row r="356" spans="40:47" s="121" customFormat="1" hidden="1">
      <c r="AN356" s="239"/>
      <c r="AO356" s="225"/>
      <c r="AP356" s="260"/>
      <c r="AQ356" s="258"/>
      <c r="AR356" s="258"/>
      <c r="AS356" s="202"/>
      <c r="AT356" s="213"/>
      <c r="AU356" s="213"/>
    </row>
    <row r="357" spans="40:47" s="121" customFormat="1" hidden="1">
      <c r="AN357" s="239"/>
      <c r="AO357" s="225"/>
      <c r="AP357" s="260"/>
      <c r="AQ357" s="258"/>
      <c r="AR357" s="258"/>
      <c r="AS357" s="202"/>
      <c r="AT357" s="213"/>
      <c r="AU357" s="213"/>
    </row>
    <row r="358" spans="40:47" s="121" customFormat="1" hidden="1">
      <c r="AN358" s="239"/>
      <c r="AO358" s="225"/>
      <c r="AP358" s="260"/>
      <c r="AQ358" s="258"/>
      <c r="AR358" s="258"/>
      <c r="AS358" s="202"/>
      <c r="AT358" s="213"/>
      <c r="AU358" s="213"/>
    </row>
    <row r="359" spans="40:47" s="121" customFormat="1" hidden="1">
      <c r="AN359" s="239"/>
      <c r="AO359" s="225"/>
      <c r="AP359" s="260"/>
      <c r="AQ359" s="258"/>
      <c r="AR359" s="258"/>
      <c r="AS359" s="202"/>
      <c r="AT359" s="213"/>
      <c r="AU359" s="213"/>
    </row>
    <row r="360" spans="40:47" s="121" customFormat="1" hidden="1">
      <c r="AN360" s="239"/>
      <c r="AO360" s="225"/>
      <c r="AP360" s="260"/>
      <c r="AQ360" s="258"/>
      <c r="AR360" s="258"/>
      <c r="AS360" s="202"/>
      <c r="AT360" s="213"/>
      <c r="AU360" s="213"/>
    </row>
    <row r="361" spans="40:47" s="121" customFormat="1" hidden="1">
      <c r="AN361" s="239"/>
      <c r="AO361" s="225"/>
      <c r="AP361" s="260"/>
      <c r="AQ361" s="258"/>
      <c r="AR361" s="258"/>
      <c r="AS361" s="202"/>
      <c r="AT361" s="213"/>
      <c r="AU361" s="213"/>
    </row>
    <row r="362" spans="40:47" s="121" customFormat="1" hidden="1">
      <c r="AN362" s="239"/>
      <c r="AO362" s="225"/>
      <c r="AP362" s="260"/>
      <c r="AQ362" s="258"/>
      <c r="AR362" s="258"/>
      <c r="AS362" s="202"/>
      <c r="AT362" s="213"/>
      <c r="AU362" s="213"/>
    </row>
    <row r="363" spans="40:47" s="121" customFormat="1" hidden="1">
      <c r="AN363" s="239"/>
      <c r="AO363" s="225"/>
      <c r="AP363" s="260"/>
      <c r="AQ363" s="258"/>
      <c r="AR363" s="258"/>
      <c r="AS363" s="202"/>
      <c r="AT363" s="213"/>
      <c r="AU363" s="213"/>
    </row>
    <row r="364" spans="40:47" s="121" customFormat="1" hidden="1">
      <c r="AN364" s="239"/>
      <c r="AO364" s="225"/>
      <c r="AP364" s="260"/>
      <c r="AQ364" s="258"/>
      <c r="AR364" s="258"/>
      <c r="AS364" s="202"/>
      <c r="AT364" s="213"/>
      <c r="AU364" s="213"/>
    </row>
    <row r="365" spans="40:47" s="121" customFormat="1" hidden="1">
      <c r="AN365" s="239"/>
      <c r="AO365" s="225"/>
      <c r="AP365" s="260"/>
      <c r="AQ365" s="258"/>
      <c r="AR365" s="258"/>
      <c r="AS365" s="202"/>
      <c r="AT365" s="213"/>
      <c r="AU365" s="213"/>
    </row>
    <row r="366" spans="40:47" s="121" customFormat="1" hidden="1">
      <c r="AN366" s="239"/>
      <c r="AO366" s="225"/>
      <c r="AP366" s="260"/>
      <c r="AQ366" s="258"/>
      <c r="AR366" s="258"/>
      <c r="AS366" s="202"/>
      <c r="AT366" s="213"/>
      <c r="AU366" s="213"/>
    </row>
    <row r="367" spans="40:47" s="121" customFormat="1" hidden="1">
      <c r="AN367" s="239"/>
      <c r="AO367" s="225"/>
      <c r="AP367" s="260"/>
      <c r="AQ367" s="258"/>
      <c r="AR367" s="258"/>
      <c r="AS367" s="202"/>
      <c r="AT367" s="213"/>
      <c r="AU367" s="213"/>
    </row>
    <row r="368" spans="40:47" s="121" customFormat="1" hidden="1">
      <c r="AN368" s="239"/>
      <c r="AO368" s="225"/>
      <c r="AP368" s="260"/>
      <c r="AQ368" s="258"/>
      <c r="AR368" s="258"/>
      <c r="AS368" s="202"/>
      <c r="AT368" s="213"/>
      <c r="AU368" s="213"/>
    </row>
    <row r="369" spans="40:47" s="121" customFormat="1" hidden="1">
      <c r="AN369" s="239"/>
      <c r="AO369" s="225"/>
      <c r="AP369" s="260"/>
      <c r="AQ369" s="258"/>
      <c r="AR369" s="258"/>
      <c r="AS369" s="202"/>
      <c r="AT369" s="213"/>
      <c r="AU369" s="213"/>
    </row>
    <row r="370" spans="40:47" s="121" customFormat="1" hidden="1">
      <c r="AN370" s="239"/>
      <c r="AO370" s="225"/>
      <c r="AP370" s="260"/>
      <c r="AQ370" s="258"/>
      <c r="AR370" s="258"/>
      <c r="AS370" s="202"/>
      <c r="AT370" s="213"/>
      <c r="AU370" s="213"/>
    </row>
    <row r="371" spans="40:47" s="121" customFormat="1" hidden="1">
      <c r="AN371" s="239"/>
      <c r="AO371" s="225"/>
      <c r="AP371" s="260"/>
      <c r="AQ371" s="258"/>
      <c r="AR371" s="258"/>
      <c r="AS371" s="202"/>
      <c r="AT371" s="213"/>
      <c r="AU371" s="213"/>
    </row>
    <row r="372" spans="40:47" s="121" customFormat="1" hidden="1">
      <c r="AN372" s="239"/>
      <c r="AO372" s="225"/>
      <c r="AP372" s="260"/>
      <c r="AQ372" s="258"/>
      <c r="AR372" s="258"/>
      <c r="AS372" s="202"/>
      <c r="AT372" s="213"/>
      <c r="AU372" s="213"/>
    </row>
    <row r="373" spans="40:47" s="121" customFormat="1" hidden="1">
      <c r="AN373" s="239"/>
      <c r="AO373" s="225"/>
      <c r="AP373" s="260"/>
      <c r="AQ373" s="258"/>
      <c r="AR373" s="258"/>
      <c r="AS373" s="202"/>
      <c r="AT373" s="213"/>
      <c r="AU373" s="213"/>
    </row>
    <row r="374" spans="40:47" s="121" customFormat="1" hidden="1">
      <c r="AN374" s="239"/>
      <c r="AO374" s="225"/>
      <c r="AP374" s="260"/>
      <c r="AQ374" s="258"/>
      <c r="AR374" s="258"/>
      <c r="AS374" s="202"/>
      <c r="AT374" s="213"/>
      <c r="AU374" s="213"/>
    </row>
    <row r="375" spans="40:47" s="121" customFormat="1" hidden="1">
      <c r="AN375" s="239"/>
      <c r="AO375" s="225"/>
      <c r="AP375" s="260"/>
      <c r="AQ375" s="258"/>
      <c r="AR375" s="258"/>
      <c r="AS375" s="202"/>
      <c r="AT375" s="213"/>
      <c r="AU375" s="213"/>
    </row>
    <row r="376" spans="40:47" s="121" customFormat="1" hidden="1">
      <c r="AN376" s="239"/>
      <c r="AO376" s="225"/>
      <c r="AP376" s="260"/>
      <c r="AQ376" s="258"/>
      <c r="AR376" s="258"/>
      <c r="AS376" s="202"/>
      <c r="AT376" s="213"/>
      <c r="AU376" s="213"/>
    </row>
    <row r="377" spans="40:47" s="121" customFormat="1" hidden="1">
      <c r="AN377" s="239"/>
      <c r="AO377" s="225"/>
      <c r="AP377" s="260"/>
      <c r="AQ377" s="258"/>
      <c r="AR377" s="258"/>
      <c r="AS377" s="202"/>
      <c r="AT377" s="213"/>
      <c r="AU377" s="213"/>
    </row>
    <row r="378" spans="40:47" s="121" customFormat="1" hidden="1">
      <c r="AN378" s="239"/>
      <c r="AO378" s="225"/>
      <c r="AP378" s="260"/>
      <c r="AQ378" s="258"/>
      <c r="AR378" s="258"/>
      <c r="AS378" s="202"/>
      <c r="AT378" s="213"/>
      <c r="AU378" s="213"/>
    </row>
    <row r="379" spans="40:47" s="121" customFormat="1" hidden="1">
      <c r="AN379" s="239"/>
      <c r="AO379" s="225"/>
      <c r="AP379" s="260"/>
      <c r="AQ379" s="258"/>
      <c r="AR379" s="258"/>
      <c r="AS379" s="202"/>
      <c r="AT379" s="213"/>
      <c r="AU379" s="213"/>
    </row>
    <row r="380" spans="40:47" s="121" customFormat="1" hidden="1">
      <c r="AN380" s="239"/>
      <c r="AO380" s="225"/>
      <c r="AP380" s="260"/>
      <c r="AQ380" s="258"/>
      <c r="AR380" s="258"/>
      <c r="AS380" s="202"/>
      <c r="AT380" s="213"/>
      <c r="AU380" s="213"/>
    </row>
    <row r="381" spans="40:47" s="121" customFormat="1" hidden="1">
      <c r="AN381" s="239"/>
      <c r="AO381" s="225"/>
      <c r="AP381" s="260"/>
      <c r="AQ381" s="258"/>
      <c r="AR381" s="258"/>
      <c r="AS381" s="202"/>
      <c r="AT381" s="213"/>
      <c r="AU381" s="213"/>
    </row>
    <row r="382" spans="40:47" s="121" customFormat="1" hidden="1">
      <c r="AN382" s="239"/>
      <c r="AO382" s="225"/>
      <c r="AP382" s="260"/>
      <c r="AQ382" s="258"/>
      <c r="AR382" s="258"/>
      <c r="AS382" s="202"/>
      <c r="AT382" s="213"/>
      <c r="AU382" s="213"/>
    </row>
    <row r="383" spans="40:47" s="121" customFormat="1" hidden="1">
      <c r="AN383" s="239"/>
      <c r="AO383" s="225"/>
      <c r="AP383" s="260"/>
      <c r="AQ383" s="258"/>
      <c r="AR383" s="258"/>
      <c r="AS383" s="202"/>
      <c r="AT383" s="213"/>
      <c r="AU383" s="213"/>
    </row>
    <row r="384" spans="40:47" s="121" customFormat="1" hidden="1">
      <c r="AN384" s="239"/>
      <c r="AO384" s="225"/>
      <c r="AP384" s="260"/>
      <c r="AQ384" s="258"/>
      <c r="AR384" s="258"/>
      <c r="AS384" s="202"/>
      <c r="AT384" s="213"/>
      <c r="AU384" s="213"/>
    </row>
    <row r="385" spans="40:47" s="121" customFormat="1" hidden="1">
      <c r="AN385" s="239"/>
      <c r="AO385" s="225"/>
      <c r="AP385" s="260"/>
      <c r="AQ385" s="258"/>
      <c r="AR385" s="258"/>
      <c r="AS385" s="202"/>
      <c r="AT385" s="213"/>
      <c r="AU385" s="213"/>
    </row>
    <row r="386" spans="40:47" s="121" customFormat="1" hidden="1">
      <c r="AN386" s="239"/>
      <c r="AO386" s="225"/>
      <c r="AP386" s="260"/>
      <c r="AQ386" s="258"/>
      <c r="AR386" s="258"/>
      <c r="AS386" s="202"/>
      <c r="AT386" s="213"/>
      <c r="AU386" s="213"/>
    </row>
    <row r="387" spans="40:47" s="121" customFormat="1" hidden="1">
      <c r="AN387" s="239"/>
      <c r="AO387" s="225"/>
      <c r="AP387" s="260"/>
      <c r="AQ387" s="258"/>
      <c r="AR387" s="258"/>
      <c r="AS387" s="202"/>
      <c r="AT387" s="213"/>
      <c r="AU387" s="213"/>
    </row>
    <row r="388" spans="40:47" s="121" customFormat="1" hidden="1">
      <c r="AN388" s="239"/>
      <c r="AO388" s="225"/>
      <c r="AP388" s="260"/>
      <c r="AQ388" s="258"/>
      <c r="AR388" s="258"/>
      <c r="AS388" s="202"/>
      <c r="AT388" s="213"/>
      <c r="AU388" s="213"/>
    </row>
    <row r="389" spans="40:47" s="121" customFormat="1" hidden="1">
      <c r="AN389" s="239"/>
      <c r="AO389" s="225"/>
      <c r="AP389" s="260"/>
      <c r="AQ389" s="258"/>
      <c r="AR389" s="258"/>
      <c r="AS389" s="202"/>
      <c r="AT389" s="213"/>
      <c r="AU389" s="213"/>
    </row>
    <row r="390" spans="40:47" s="121" customFormat="1" hidden="1">
      <c r="AN390" s="239"/>
      <c r="AO390" s="225"/>
      <c r="AP390" s="260"/>
      <c r="AQ390" s="258"/>
      <c r="AR390" s="258"/>
      <c r="AS390" s="202"/>
      <c r="AT390" s="213"/>
      <c r="AU390" s="213"/>
    </row>
    <row r="391" spans="40:47" s="121" customFormat="1" hidden="1">
      <c r="AN391" s="239"/>
      <c r="AO391" s="225"/>
      <c r="AP391" s="260"/>
      <c r="AQ391" s="258"/>
      <c r="AR391" s="258"/>
      <c r="AS391" s="202"/>
      <c r="AT391" s="213"/>
      <c r="AU391" s="213"/>
    </row>
    <row r="392" spans="40:47" s="121" customFormat="1" hidden="1">
      <c r="AN392" s="239"/>
      <c r="AO392" s="225"/>
      <c r="AP392" s="260"/>
      <c r="AQ392" s="258"/>
      <c r="AR392" s="258"/>
      <c r="AS392" s="202"/>
      <c r="AT392" s="213"/>
      <c r="AU392" s="213"/>
    </row>
    <row r="393" spans="40:47" s="121" customFormat="1" hidden="1">
      <c r="AN393" s="239"/>
      <c r="AO393" s="225"/>
      <c r="AP393" s="260"/>
      <c r="AQ393" s="258"/>
      <c r="AR393" s="258"/>
      <c r="AS393" s="202"/>
      <c r="AT393" s="213"/>
      <c r="AU393" s="213"/>
    </row>
    <row r="394" spans="40:47" s="121" customFormat="1" hidden="1">
      <c r="AN394" s="239"/>
      <c r="AO394" s="225"/>
      <c r="AP394" s="260"/>
      <c r="AQ394" s="258"/>
      <c r="AR394" s="258"/>
      <c r="AS394" s="202"/>
      <c r="AT394" s="213"/>
      <c r="AU394" s="213"/>
    </row>
    <row r="395" spans="40:47" s="121" customFormat="1" hidden="1">
      <c r="AN395" s="239"/>
      <c r="AO395" s="225"/>
      <c r="AP395" s="260"/>
      <c r="AQ395" s="258"/>
      <c r="AR395" s="258"/>
      <c r="AS395" s="202"/>
      <c r="AT395" s="213"/>
      <c r="AU395" s="213"/>
    </row>
    <row r="396" spans="40:47" s="121" customFormat="1" hidden="1">
      <c r="AN396" s="239"/>
      <c r="AO396" s="225"/>
      <c r="AP396" s="260"/>
      <c r="AQ396" s="258"/>
      <c r="AR396" s="258"/>
      <c r="AS396" s="202"/>
      <c r="AT396" s="213"/>
      <c r="AU396" s="213"/>
    </row>
    <row r="397" spans="40:47" s="121" customFormat="1" hidden="1">
      <c r="AN397" s="239"/>
      <c r="AO397" s="225"/>
      <c r="AP397" s="260"/>
      <c r="AQ397" s="258"/>
      <c r="AR397" s="258"/>
      <c r="AS397" s="202"/>
      <c r="AT397" s="213"/>
      <c r="AU397" s="213"/>
    </row>
    <row r="398" spans="40:47" s="121" customFormat="1" hidden="1">
      <c r="AN398" s="239"/>
      <c r="AO398" s="225"/>
      <c r="AP398" s="260"/>
      <c r="AQ398" s="258"/>
      <c r="AR398" s="258"/>
      <c r="AS398" s="202"/>
      <c r="AT398" s="213"/>
      <c r="AU398" s="213"/>
    </row>
    <row r="399" spans="40:47" s="121" customFormat="1" hidden="1">
      <c r="AN399" s="239"/>
      <c r="AO399" s="225"/>
      <c r="AP399" s="260"/>
      <c r="AQ399" s="258"/>
      <c r="AR399" s="258"/>
      <c r="AS399" s="202"/>
      <c r="AT399" s="213"/>
      <c r="AU399" s="213"/>
    </row>
    <row r="400" spans="40:47" s="121" customFormat="1" hidden="1">
      <c r="AN400" s="239"/>
      <c r="AO400" s="225"/>
      <c r="AP400" s="260"/>
      <c r="AQ400" s="258"/>
      <c r="AR400" s="258"/>
      <c r="AS400" s="202"/>
      <c r="AT400" s="213"/>
      <c r="AU400" s="213"/>
    </row>
    <row r="401" spans="40:47" s="121" customFormat="1" hidden="1">
      <c r="AN401" s="239"/>
      <c r="AO401" s="225"/>
      <c r="AP401" s="260"/>
      <c r="AQ401" s="258"/>
      <c r="AR401" s="258"/>
      <c r="AS401" s="202"/>
      <c r="AT401" s="213"/>
      <c r="AU401" s="213"/>
    </row>
    <row r="402" spans="40:47" s="121" customFormat="1" hidden="1">
      <c r="AN402" s="239"/>
      <c r="AO402" s="225"/>
      <c r="AP402" s="260"/>
      <c r="AQ402" s="258"/>
      <c r="AR402" s="258"/>
      <c r="AS402" s="202"/>
      <c r="AT402" s="213"/>
      <c r="AU402" s="213"/>
    </row>
    <row r="403" spans="40:47" s="121" customFormat="1" hidden="1">
      <c r="AN403" s="239"/>
      <c r="AO403" s="225"/>
      <c r="AP403" s="260"/>
      <c r="AQ403" s="258"/>
      <c r="AR403" s="258"/>
      <c r="AS403" s="202"/>
      <c r="AT403" s="213"/>
      <c r="AU403" s="213"/>
    </row>
    <row r="404" spans="40:47" s="121" customFormat="1" hidden="1">
      <c r="AN404" s="239"/>
      <c r="AO404" s="225"/>
      <c r="AP404" s="260"/>
      <c r="AQ404" s="258"/>
      <c r="AR404" s="258"/>
      <c r="AS404" s="202"/>
      <c r="AT404" s="213"/>
      <c r="AU404" s="213"/>
    </row>
    <row r="405" spans="40:47" s="121" customFormat="1" hidden="1">
      <c r="AN405" s="239"/>
      <c r="AO405" s="225"/>
      <c r="AP405" s="260"/>
      <c r="AQ405" s="258"/>
      <c r="AR405" s="258"/>
      <c r="AS405" s="202"/>
      <c r="AT405" s="213"/>
      <c r="AU405" s="213"/>
    </row>
    <row r="406" spans="40:47" s="121" customFormat="1" hidden="1">
      <c r="AN406" s="239"/>
      <c r="AO406" s="225"/>
      <c r="AP406" s="260"/>
      <c r="AQ406" s="258"/>
      <c r="AR406" s="258"/>
      <c r="AS406" s="202"/>
      <c r="AT406" s="213"/>
      <c r="AU406" s="213"/>
    </row>
    <row r="407" spans="40:47" s="121" customFormat="1" hidden="1">
      <c r="AN407" s="239"/>
      <c r="AO407" s="225"/>
      <c r="AP407" s="260"/>
      <c r="AQ407" s="258"/>
      <c r="AR407" s="258"/>
      <c r="AS407" s="202"/>
      <c r="AT407" s="213"/>
      <c r="AU407" s="213"/>
    </row>
    <row r="408" spans="40:47" s="121" customFormat="1" hidden="1">
      <c r="AN408" s="239"/>
      <c r="AO408" s="225"/>
      <c r="AP408" s="260"/>
      <c r="AQ408" s="258"/>
      <c r="AR408" s="258"/>
      <c r="AS408" s="202"/>
      <c r="AT408" s="213"/>
      <c r="AU408" s="213"/>
    </row>
    <row r="409" spans="40:47" s="121" customFormat="1" hidden="1">
      <c r="AN409" s="239"/>
      <c r="AO409" s="225"/>
      <c r="AP409" s="260"/>
      <c r="AQ409" s="258"/>
      <c r="AR409" s="258"/>
      <c r="AS409" s="202"/>
      <c r="AT409" s="213"/>
      <c r="AU409" s="213"/>
    </row>
    <row r="410" spans="40:47" s="121" customFormat="1" hidden="1">
      <c r="AN410" s="239"/>
      <c r="AO410" s="225"/>
      <c r="AP410" s="260"/>
      <c r="AQ410" s="258"/>
      <c r="AR410" s="258"/>
      <c r="AS410" s="202"/>
      <c r="AT410" s="213"/>
      <c r="AU410" s="213"/>
    </row>
    <row r="411" spans="40:47" s="121" customFormat="1" hidden="1">
      <c r="AN411" s="239"/>
      <c r="AO411" s="225"/>
      <c r="AP411" s="260"/>
      <c r="AQ411" s="258"/>
      <c r="AR411" s="258"/>
      <c r="AS411" s="202"/>
      <c r="AT411" s="213"/>
      <c r="AU411" s="213"/>
    </row>
    <row r="412" spans="40:47" s="121" customFormat="1" hidden="1">
      <c r="AN412" s="239"/>
      <c r="AO412" s="225"/>
      <c r="AP412" s="260"/>
      <c r="AQ412" s="258"/>
      <c r="AR412" s="258"/>
      <c r="AS412" s="202"/>
      <c r="AT412" s="213"/>
      <c r="AU412" s="213"/>
    </row>
    <row r="413" spans="40:47" s="121" customFormat="1" hidden="1">
      <c r="AN413" s="239"/>
      <c r="AO413" s="225"/>
      <c r="AP413" s="260"/>
      <c r="AQ413" s="258"/>
      <c r="AR413" s="258"/>
      <c r="AS413" s="202"/>
      <c r="AT413" s="213"/>
      <c r="AU413" s="213"/>
    </row>
    <row r="414" spans="40:47" s="121" customFormat="1" hidden="1">
      <c r="AN414" s="239"/>
      <c r="AO414" s="225"/>
      <c r="AP414" s="260"/>
      <c r="AQ414" s="258"/>
      <c r="AR414" s="258"/>
      <c r="AS414" s="202"/>
      <c r="AT414" s="213"/>
      <c r="AU414" s="213"/>
    </row>
    <row r="415" spans="40:47" s="121" customFormat="1" hidden="1">
      <c r="AN415" s="239"/>
      <c r="AO415" s="225"/>
      <c r="AP415" s="260"/>
      <c r="AQ415" s="258"/>
      <c r="AR415" s="258"/>
      <c r="AS415" s="202"/>
      <c r="AT415" s="213"/>
      <c r="AU415" s="213"/>
    </row>
    <row r="416" spans="40:47" s="121" customFormat="1" hidden="1">
      <c r="AN416" s="239"/>
      <c r="AO416" s="225"/>
      <c r="AP416" s="260"/>
      <c r="AQ416" s="258"/>
      <c r="AR416" s="258"/>
      <c r="AS416" s="202"/>
      <c r="AT416" s="213"/>
      <c r="AU416" s="213"/>
    </row>
    <row r="417" spans="40:47" s="121" customFormat="1" hidden="1">
      <c r="AN417" s="239"/>
      <c r="AO417" s="225"/>
      <c r="AP417" s="260"/>
      <c r="AQ417" s="258"/>
      <c r="AR417" s="258"/>
      <c r="AS417" s="202"/>
      <c r="AT417" s="213"/>
      <c r="AU417" s="213"/>
    </row>
    <row r="418" spans="40:47" s="121" customFormat="1" hidden="1">
      <c r="AN418" s="239"/>
      <c r="AO418" s="225"/>
      <c r="AP418" s="260"/>
      <c r="AQ418" s="258"/>
      <c r="AR418" s="258"/>
      <c r="AS418" s="202"/>
      <c r="AT418" s="213"/>
      <c r="AU418" s="213"/>
    </row>
    <row r="419" spans="40:47" s="121" customFormat="1" hidden="1">
      <c r="AN419" s="239"/>
      <c r="AO419" s="225"/>
      <c r="AP419" s="260"/>
      <c r="AQ419" s="258"/>
      <c r="AR419" s="258"/>
      <c r="AS419" s="202"/>
      <c r="AT419" s="213"/>
      <c r="AU419" s="213"/>
    </row>
    <row r="420" spans="40:47" s="121" customFormat="1" hidden="1">
      <c r="AN420" s="239"/>
      <c r="AO420" s="225"/>
      <c r="AP420" s="260"/>
      <c r="AQ420" s="258"/>
      <c r="AR420" s="258"/>
      <c r="AS420" s="202"/>
      <c r="AT420" s="213"/>
      <c r="AU420" s="213"/>
    </row>
    <row r="421" spans="40:47" s="121" customFormat="1" hidden="1">
      <c r="AN421" s="239"/>
      <c r="AO421" s="225"/>
      <c r="AP421" s="260"/>
      <c r="AQ421" s="258"/>
      <c r="AR421" s="258"/>
      <c r="AS421" s="202"/>
      <c r="AT421" s="213"/>
      <c r="AU421" s="213"/>
    </row>
    <row r="422" spans="40:47" s="121" customFormat="1" hidden="1">
      <c r="AN422" s="239"/>
      <c r="AO422" s="225"/>
      <c r="AP422" s="260"/>
      <c r="AQ422" s="258"/>
      <c r="AR422" s="258"/>
      <c r="AS422" s="202"/>
      <c r="AT422" s="213"/>
      <c r="AU422" s="213"/>
    </row>
    <row r="423" spans="40:47" s="121" customFormat="1" hidden="1">
      <c r="AN423" s="239"/>
      <c r="AO423" s="225"/>
      <c r="AP423" s="260"/>
      <c r="AQ423" s="258"/>
      <c r="AR423" s="258"/>
      <c r="AS423" s="202"/>
      <c r="AT423" s="213"/>
      <c r="AU423" s="213"/>
    </row>
    <row r="424" spans="40:47" s="121" customFormat="1" hidden="1">
      <c r="AN424" s="239"/>
      <c r="AO424" s="225"/>
      <c r="AP424" s="260"/>
      <c r="AQ424" s="258"/>
      <c r="AR424" s="258"/>
      <c r="AS424" s="202"/>
      <c r="AT424" s="213"/>
      <c r="AU424" s="213"/>
    </row>
    <row r="425" spans="40:47" s="121" customFormat="1" hidden="1">
      <c r="AN425" s="239"/>
      <c r="AO425" s="225"/>
      <c r="AP425" s="260"/>
      <c r="AQ425" s="258"/>
      <c r="AR425" s="258"/>
      <c r="AS425" s="202"/>
      <c r="AT425" s="213"/>
      <c r="AU425" s="213"/>
    </row>
    <row r="426" spans="40:47" s="121" customFormat="1" hidden="1">
      <c r="AN426" s="239"/>
      <c r="AO426" s="225"/>
      <c r="AP426" s="260"/>
      <c r="AQ426" s="258"/>
      <c r="AR426" s="258"/>
      <c r="AS426" s="202"/>
      <c r="AT426" s="213"/>
      <c r="AU426" s="213"/>
    </row>
    <row r="427" spans="40:47" s="121" customFormat="1" hidden="1">
      <c r="AN427" s="239"/>
      <c r="AO427" s="225"/>
      <c r="AP427" s="260"/>
      <c r="AQ427" s="258"/>
      <c r="AR427" s="258"/>
      <c r="AS427" s="202"/>
      <c r="AT427" s="213"/>
      <c r="AU427" s="213"/>
    </row>
    <row r="428" spans="40:47" s="121" customFormat="1" hidden="1">
      <c r="AN428" s="239"/>
      <c r="AO428" s="225"/>
      <c r="AP428" s="260"/>
      <c r="AQ428" s="258"/>
      <c r="AR428" s="258"/>
      <c r="AS428" s="202"/>
      <c r="AT428" s="213"/>
      <c r="AU428" s="213"/>
    </row>
    <row r="429" spans="40:47" s="121" customFormat="1" hidden="1">
      <c r="AN429" s="239"/>
      <c r="AO429" s="225"/>
      <c r="AP429" s="260"/>
      <c r="AQ429" s="258"/>
      <c r="AR429" s="258"/>
      <c r="AS429" s="202"/>
      <c r="AT429" s="213"/>
      <c r="AU429" s="213"/>
    </row>
    <row r="430" spans="40:47" s="121" customFormat="1" hidden="1">
      <c r="AN430" s="239"/>
      <c r="AO430" s="225"/>
      <c r="AP430" s="260"/>
      <c r="AQ430" s="258"/>
      <c r="AR430" s="258"/>
      <c r="AS430" s="202"/>
      <c r="AT430" s="213"/>
      <c r="AU430" s="213"/>
    </row>
    <row r="431" spans="40:47" s="121" customFormat="1" hidden="1">
      <c r="AN431" s="239"/>
      <c r="AO431" s="225"/>
      <c r="AP431" s="260"/>
      <c r="AQ431" s="258"/>
      <c r="AR431" s="258"/>
      <c r="AS431" s="202"/>
      <c r="AT431" s="213"/>
      <c r="AU431" s="213"/>
    </row>
    <row r="432" spans="40:47" s="121" customFormat="1" hidden="1">
      <c r="AN432" s="239"/>
      <c r="AO432" s="225"/>
      <c r="AP432" s="260"/>
      <c r="AQ432" s="258"/>
      <c r="AR432" s="258"/>
      <c r="AS432" s="202"/>
      <c r="AT432" s="213"/>
      <c r="AU432" s="213"/>
    </row>
    <row r="433" spans="40:47" s="121" customFormat="1" hidden="1">
      <c r="AN433" s="239"/>
      <c r="AO433" s="225"/>
      <c r="AP433" s="260"/>
      <c r="AQ433" s="258"/>
      <c r="AR433" s="258"/>
      <c r="AS433" s="202"/>
      <c r="AT433" s="213"/>
      <c r="AU433" s="213"/>
    </row>
    <row r="434" spans="40:47" s="121" customFormat="1" hidden="1">
      <c r="AN434" s="239"/>
      <c r="AO434" s="225"/>
      <c r="AP434" s="260"/>
      <c r="AQ434" s="258"/>
      <c r="AR434" s="258"/>
      <c r="AS434" s="202"/>
      <c r="AT434" s="213"/>
      <c r="AU434" s="213"/>
    </row>
    <row r="435" spans="40:47" s="121" customFormat="1" hidden="1">
      <c r="AN435" s="239"/>
      <c r="AO435" s="225"/>
      <c r="AP435" s="260"/>
      <c r="AQ435" s="258"/>
      <c r="AR435" s="258"/>
      <c r="AS435" s="202"/>
      <c r="AT435" s="213"/>
      <c r="AU435" s="213"/>
    </row>
    <row r="436" spans="40:47" s="121" customFormat="1" hidden="1">
      <c r="AN436" s="239"/>
      <c r="AO436" s="225"/>
      <c r="AP436" s="260"/>
      <c r="AQ436" s="258"/>
      <c r="AR436" s="258"/>
      <c r="AS436" s="202"/>
      <c r="AT436" s="213"/>
      <c r="AU436" s="213"/>
    </row>
    <row r="437" spans="40:47" s="121" customFormat="1" hidden="1">
      <c r="AN437" s="239"/>
      <c r="AO437" s="225"/>
      <c r="AP437" s="260"/>
      <c r="AQ437" s="258"/>
      <c r="AR437" s="258"/>
      <c r="AS437" s="202"/>
      <c r="AT437" s="213"/>
      <c r="AU437" s="213"/>
    </row>
    <row r="438" spans="40:47" s="121" customFormat="1" hidden="1">
      <c r="AN438" s="239"/>
      <c r="AO438" s="225"/>
      <c r="AP438" s="260"/>
      <c r="AQ438" s="258"/>
      <c r="AR438" s="258"/>
      <c r="AS438" s="202"/>
      <c r="AT438" s="213"/>
      <c r="AU438" s="213"/>
    </row>
    <row r="439" spans="40:47" s="121" customFormat="1" hidden="1">
      <c r="AN439" s="239"/>
      <c r="AO439" s="225"/>
      <c r="AP439" s="260"/>
      <c r="AQ439" s="258"/>
      <c r="AR439" s="258"/>
      <c r="AS439" s="202"/>
      <c r="AT439" s="213"/>
      <c r="AU439" s="213"/>
    </row>
    <row r="440" spans="40:47" s="121" customFormat="1" hidden="1">
      <c r="AN440" s="239"/>
      <c r="AO440" s="225"/>
      <c r="AP440" s="260"/>
      <c r="AQ440" s="258"/>
      <c r="AR440" s="258"/>
      <c r="AS440" s="202"/>
      <c r="AT440" s="213"/>
      <c r="AU440" s="213"/>
    </row>
    <row r="441" spans="40:47" s="121" customFormat="1" hidden="1">
      <c r="AN441" s="239"/>
      <c r="AO441" s="225"/>
      <c r="AP441" s="260"/>
      <c r="AQ441" s="258"/>
      <c r="AR441" s="258"/>
      <c r="AS441" s="202"/>
      <c r="AT441" s="213"/>
      <c r="AU441" s="213"/>
    </row>
    <row r="442" spans="40:47" s="121" customFormat="1" hidden="1">
      <c r="AN442" s="239"/>
      <c r="AO442" s="225"/>
      <c r="AP442" s="260"/>
      <c r="AQ442" s="258"/>
      <c r="AR442" s="258"/>
      <c r="AS442" s="202"/>
      <c r="AT442" s="213"/>
      <c r="AU442" s="213"/>
    </row>
    <row r="443" spans="40:47" s="121" customFormat="1" hidden="1">
      <c r="AN443" s="239"/>
      <c r="AO443" s="225"/>
      <c r="AP443" s="260"/>
      <c r="AQ443" s="258"/>
      <c r="AR443" s="258"/>
      <c r="AS443" s="202"/>
      <c r="AT443" s="213"/>
      <c r="AU443" s="213"/>
    </row>
    <row r="444" spans="40:47" s="121" customFormat="1" hidden="1">
      <c r="AN444" s="239"/>
      <c r="AO444" s="225"/>
      <c r="AP444" s="260"/>
      <c r="AQ444" s="258"/>
      <c r="AR444" s="258"/>
      <c r="AS444" s="202"/>
      <c r="AT444" s="213"/>
      <c r="AU444" s="213"/>
    </row>
    <row r="445" spans="40:47" s="121" customFormat="1" hidden="1">
      <c r="AN445" s="239"/>
      <c r="AO445" s="225"/>
      <c r="AP445" s="260"/>
      <c r="AQ445" s="258"/>
      <c r="AR445" s="258"/>
      <c r="AS445" s="202"/>
      <c r="AT445" s="213"/>
      <c r="AU445" s="213"/>
    </row>
    <row r="446" spans="40:47" s="121" customFormat="1" hidden="1">
      <c r="AN446" s="239"/>
      <c r="AO446" s="225"/>
      <c r="AP446" s="260"/>
      <c r="AQ446" s="258"/>
      <c r="AR446" s="258"/>
      <c r="AS446" s="202"/>
      <c r="AT446" s="213"/>
      <c r="AU446" s="213"/>
    </row>
    <row r="447" spans="40:47" s="121" customFormat="1" hidden="1">
      <c r="AN447" s="239"/>
      <c r="AO447" s="225"/>
      <c r="AP447" s="260"/>
      <c r="AQ447" s="258"/>
      <c r="AR447" s="258"/>
      <c r="AS447" s="202"/>
      <c r="AT447" s="213"/>
      <c r="AU447" s="213"/>
    </row>
    <row r="448" spans="40:47" s="121" customFormat="1" hidden="1">
      <c r="AN448" s="239"/>
      <c r="AO448" s="225"/>
      <c r="AP448" s="260"/>
      <c r="AQ448" s="258"/>
      <c r="AR448" s="258"/>
      <c r="AS448" s="202"/>
      <c r="AT448" s="213"/>
      <c r="AU448" s="213"/>
    </row>
    <row r="449" spans="40:47" s="121" customFormat="1" hidden="1">
      <c r="AN449" s="239"/>
      <c r="AO449" s="225"/>
      <c r="AP449" s="260"/>
      <c r="AQ449" s="258"/>
      <c r="AR449" s="258"/>
      <c r="AS449" s="202"/>
      <c r="AT449" s="213"/>
      <c r="AU449" s="213"/>
    </row>
    <row r="450" spans="40:47" s="121" customFormat="1" hidden="1">
      <c r="AN450" s="239"/>
      <c r="AO450" s="225"/>
      <c r="AP450" s="260"/>
      <c r="AQ450" s="258"/>
      <c r="AR450" s="258"/>
      <c r="AS450" s="202"/>
      <c r="AT450" s="213"/>
      <c r="AU450" s="213"/>
    </row>
    <row r="451" spans="40:47" s="121" customFormat="1" hidden="1">
      <c r="AN451" s="239"/>
      <c r="AO451" s="225"/>
      <c r="AP451" s="260"/>
      <c r="AQ451" s="258"/>
      <c r="AR451" s="258"/>
      <c r="AS451" s="202"/>
      <c r="AT451" s="213"/>
      <c r="AU451" s="213"/>
    </row>
    <row r="452" spans="40:47" s="121" customFormat="1" hidden="1">
      <c r="AN452" s="239"/>
      <c r="AO452" s="225"/>
      <c r="AP452" s="260"/>
      <c r="AQ452" s="258"/>
      <c r="AR452" s="258"/>
      <c r="AS452" s="202"/>
      <c r="AT452" s="213"/>
      <c r="AU452" s="213"/>
    </row>
    <row r="453" spans="40:47" s="121" customFormat="1" hidden="1">
      <c r="AN453" s="239"/>
      <c r="AO453" s="225"/>
      <c r="AP453" s="260"/>
      <c r="AQ453" s="258"/>
      <c r="AR453" s="258"/>
      <c r="AS453" s="202"/>
      <c r="AT453" s="213"/>
      <c r="AU453" s="213"/>
    </row>
    <row r="454" spans="40:47" s="121" customFormat="1" hidden="1">
      <c r="AN454" s="239"/>
      <c r="AO454" s="225"/>
      <c r="AP454" s="260"/>
      <c r="AQ454" s="258"/>
      <c r="AR454" s="258"/>
      <c r="AS454" s="202"/>
      <c r="AT454" s="213"/>
      <c r="AU454" s="213"/>
    </row>
    <row r="455" spans="40:47" s="121" customFormat="1" hidden="1">
      <c r="AN455" s="239"/>
      <c r="AO455" s="225"/>
      <c r="AP455" s="260"/>
      <c r="AQ455" s="258"/>
      <c r="AR455" s="258"/>
      <c r="AS455" s="202"/>
      <c r="AT455" s="213"/>
      <c r="AU455" s="213"/>
    </row>
    <row r="456" spans="40:47" s="121" customFormat="1" hidden="1">
      <c r="AN456" s="239"/>
      <c r="AO456" s="225"/>
      <c r="AP456" s="260"/>
      <c r="AQ456" s="258"/>
      <c r="AR456" s="258"/>
      <c r="AS456" s="202"/>
      <c r="AT456" s="213"/>
      <c r="AU456" s="213"/>
    </row>
    <row r="457" spans="40:47" s="121" customFormat="1" hidden="1">
      <c r="AN457" s="239"/>
      <c r="AO457" s="225"/>
      <c r="AP457" s="260"/>
      <c r="AQ457" s="258"/>
      <c r="AR457" s="258"/>
      <c r="AS457" s="202"/>
      <c r="AT457" s="213"/>
      <c r="AU457" s="213"/>
    </row>
    <row r="458" spans="40:47" s="121" customFormat="1" hidden="1">
      <c r="AN458" s="239"/>
      <c r="AO458" s="225"/>
      <c r="AP458" s="260"/>
      <c r="AQ458" s="258"/>
      <c r="AR458" s="258"/>
      <c r="AS458" s="202"/>
      <c r="AT458" s="213"/>
      <c r="AU458" s="213"/>
    </row>
    <row r="459" spans="40:47" s="121" customFormat="1" hidden="1">
      <c r="AN459" s="239"/>
      <c r="AO459" s="225"/>
      <c r="AP459" s="260"/>
      <c r="AQ459" s="258"/>
      <c r="AR459" s="258"/>
      <c r="AS459" s="202"/>
      <c r="AT459" s="213"/>
      <c r="AU459" s="213"/>
    </row>
    <row r="460" spans="40:47" s="121" customFormat="1" hidden="1">
      <c r="AN460" s="239"/>
      <c r="AO460" s="225"/>
      <c r="AP460" s="260"/>
      <c r="AQ460" s="258"/>
      <c r="AR460" s="258"/>
      <c r="AS460" s="202"/>
      <c r="AT460" s="213"/>
      <c r="AU460" s="213"/>
    </row>
    <row r="461" spans="40:47" s="121" customFormat="1" hidden="1">
      <c r="AN461" s="239"/>
      <c r="AO461" s="225"/>
      <c r="AP461" s="260"/>
      <c r="AQ461" s="258"/>
      <c r="AR461" s="258"/>
      <c r="AS461" s="202"/>
      <c r="AT461" s="213"/>
      <c r="AU461" s="213"/>
    </row>
    <row r="462" spans="40:47" s="121" customFormat="1" hidden="1">
      <c r="AN462" s="239"/>
      <c r="AO462" s="225"/>
      <c r="AP462" s="260"/>
      <c r="AQ462" s="258"/>
      <c r="AR462" s="258"/>
      <c r="AS462" s="202"/>
      <c r="AT462" s="213"/>
      <c r="AU462" s="213"/>
    </row>
    <row r="463" spans="40:47" s="121" customFormat="1" hidden="1">
      <c r="AN463" s="239"/>
      <c r="AO463" s="225"/>
      <c r="AP463" s="260"/>
      <c r="AQ463" s="258"/>
      <c r="AR463" s="258"/>
      <c r="AS463" s="202"/>
      <c r="AT463" s="213"/>
      <c r="AU463" s="213"/>
    </row>
    <row r="464" spans="40:47" s="121" customFormat="1" hidden="1">
      <c r="AN464" s="239"/>
      <c r="AO464" s="225"/>
      <c r="AP464" s="260"/>
      <c r="AQ464" s="258"/>
      <c r="AR464" s="258"/>
      <c r="AS464" s="202"/>
      <c r="AT464" s="213"/>
      <c r="AU464" s="213"/>
    </row>
    <row r="465" spans="40:47" s="121" customFormat="1" hidden="1">
      <c r="AN465" s="239"/>
      <c r="AO465" s="225"/>
      <c r="AP465" s="260"/>
      <c r="AQ465" s="258"/>
      <c r="AR465" s="258"/>
      <c r="AS465" s="202"/>
      <c r="AT465" s="213"/>
      <c r="AU465" s="213"/>
    </row>
    <row r="466" spans="40:47" s="121" customFormat="1" hidden="1">
      <c r="AN466" s="239"/>
      <c r="AO466" s="225"/>
      <c r="AP466" s="260"/>
      <c r="AQ466" s="258"/>
      <c r="AR466" s="258"/>
      <c r="AS466" s="202"/>
      <c r="AT466" s="213"/>
      <c r="AU466" s="213"/>
    </row>
    <row r="467" spans="40:47" s="121" customFormat="1" hidden="1">
      <c r="AN467" s="239"/>
      <c r="AO467" s="225"/>
      <c r="AP467" s="260"/>
      <c r="AQ467" s="258"/>
      <c r="AR467" s="258"/>
      <c r="AS467" s="202"/>
      <c r="AT467" s="213"/>
      <c r="AU467" s="213"/>
    </row>
    <row r="468" spans="40:47" s="121" customFormat="1" hidden="1">
      <c r="AN468" s="239"/>
      <c r="AO468" s="225"/>
      <c r="AP468" s="260"/>
      <c r="AQ468" s="258"/>
      <c r="AR468" s="258"/>
      <c r="AS468" s="202"/>
      <c r="AT468" s="213"/>
      <c r="AU468" s="213"/>
    </row>
    <row r="469" spans="40:47" s="121" customFormat="1" hidden="1">
      <c r="AN469" s="239"/>
      <c r="AO469" s="225"/>
      <c r="AP469" s="260"/>
      <c r="AQ469" s="258"/>
      <c r="AR469" s="258"/>
      <c r="AS469" s="202"/>
      <c r="AT469" s="213"/>
      <c r="AU469" s="213"/>
    </row>
    <row r="470" spans="40:47" s="121" customFormat="1" hidden="1">
      <c r="AN470" s="239"/>
      <c r="AO470" s="225"/>
      <c r="AP470" s="260"/>
      <c r="AQ470" s="258"/>
      <c r="AR470" s="258"/>
      <c r="AS470" s="202"/>
      <c r="AT470" s="213"/>
      <c r="AU470" s="213"/>
    </row>
    <row r="471" spans="40:47" s="121" customFormat="1" hidden="1">
      <c r="AN471" s="239"/>
      <c r="AO471" s="225"/>
      <c r="AP471" s="260"/>
      <c r="AQ471" s="258"/>
      <c r="AR471" s="258"/>
      <c r="AS471" s="202"/>
      <c r="AT471" s="213"/>
      <c r="AU471" s="213"/>
    </row>
    <row r="472" spans="40:47" s="121" customFormat="1" hidden="1">
      <c r="AN472" s="239"/>
      <c r="AO472" s="225"/>
      <c r="AP472" s="260"/>
      <c r="AQ472" s="258"/>
      <c r="AR472" s="258"/>
      <c r="AS472" s="202"/>
      <c r="AT472" s="213"/>
      <c r="AU472" s="213"/>
    </row>
    <row r="473" spans="40:47" s="121" customFormat="1" hidden="1">
      <c r="AN473" s="239"/>
      <c r="AO473" s="225"/>
      <c r="AP473" s="260"/>
      <c r="AQ473" s="258"/>
      <c r="AR473" s="258"/>
      <c r="AS473" s="202"/>
      <c r="AT473" s="213"/>
      <c r="AU473" s="213"/>
    </row>
    <row r="474" spans="40:47" s="121" customFormat="1" hidden="1">
      <c r="AN474" s="239"/>
      <c r="AO474" s="225"/>
      <c r="AP474" s="260"/>
      <c r="AQ474" s="258"/>
      <c r="AR474" s="258"/>
      <c r="AS474" s="202"/>
      <c r="AT474" s="213"/>
      <c r="AU474" s="213"/>
    </row>
    <row r="475" spans="40:47" s="121" customFormat="1" hidden="1">
      <c r="AN475" s="239"/>
      <c r="AO475" s="225"/>
      <c r="AP475" s="260"/>
      <c r="AQ475" s="258"/>
      <c r="AR475" s="258"/>
      <c r="AS475" s="202"/>
      <c r="AT475" s="213"/>
      <c r="AU475" s="213"/>
    </row>
    <row r="476" spans="40:47" s="121" customFormat="1" hidden="1">
      <c r="AN476" s="239"/>
      <c r="AO476" s="225"/>
      <c r="AP476" s="260"/>
      <c r="AQ476" s="258"/>
      <c r="AR476" s="258"/>
      <c r="AS476" s="202"/>
      <c r="AT476" s="213"/>
      <c r="AU476" s="213"/>
    </row>
    <row r="477" spans="40:47" s="121" customFormat="1" hidden="1">
      <c r="AN477" s="239"/>
      <c r="AO477" s="225"/>
      <c r="AP477" s="260"/>
      <c r="AQ477" s="258"/>
      <c r="AR477" s="258"/>
      <c r="AS477" s="202"/>
      <c r="AT477" s="213"/>
      <c r="AU477" s="213"/>
    </row>
    <row r="478" spans="40:47" s="121" customFormat="1" hidden="1">
      <c r="AN478" s="239"/>
      <c r="AO478" s="225"/>
      <c r="AP478" s="260"/>
      <c r="AQ478" s="258"/>
      <c r="AR478" s="258"/>
      <c r="AS478" s="202"/>
      <c r="AT478" s="213"/>
      <c r="AU478" s="213"/>
    </row>
    <row r="479" spans="40:47" s="121" customFormat="1" hidden="1">
      <c r="AN479" s="239"/>
      <c r="AO479" s="225"/>
      <c r="AP479" s="260"/>
      <c r="AQ479" s="258"/>
      <c r="AR479" s="258"/>
      <c r="AS479" s="202"/>
      <c r="AT479" s="213"/>
      <c r="AU479" s="213"/>
    </row>
    <row r="480" spans="40:47" s="121" customFormat="1" hidden="1">
      <c r="AN480" s="239"/>
      <c r="AO480" s="225"/>
      <c r="AP480" s="260"/>
      <c r="AQ480" s="258"/>
      <c r="AR480" s="258"/>
      <c r="AS480" s="202"/>
      <c r="AT480" s="213"/>
      <c r="AU480" s="213"/>
    </row>
    <row r="481" spans="40:47" s="121" customFormat="1" hidden="1">
      <c r="AN481" s="239"/>
      <c r="AO481" s="225"/>
      <c r="AP481" s="260"/>
      <c r="AQ481" s="258"/>
      <c r="AR481" s="258"/>
      <c r="AS481" s="202"/>
      <c r="AT481" s="213"/>
      <c r="AU481" s="213"/>
    </row>
    <row r="482" spans="40:47" s="121" customFormat="1" hidden="1">
      <c r="AN482" s="239"/>
      <c r="AO482" s="225"/>
      <c r="AP482" s="260"/>
      <c r="AQ482" s="258"/>
      <c r="AR482" s="258"/>
      <c r="AS482" s="202"/>
      <c r="AT482" s="213"/>
      <c r="AU482" s="213"/>
    </row>
    <row r="483" spans="40:47" s="121" customFormat="1" hidden="1">
      <c r="AN483" s="239"/>
      <c r="AO483" s="225"/>
      <c r="AP483" s="260"/>
      <c r="AQ483" s="258"/>
      <c r="AR483" s="258"/>
      <c r="AS483" s="202"/>
      <c r="AT483" s="213"/>
      <c r="AU483" s="213"/>
    </row>
    <row r="484" spans="40:47" s="121" customFormat="1" hidden="1">
      <c r="AN484" s="239"/>
      <c r="AO484" s="225"/>
      <c r="AP484" s="260"/>
      <c r="AQ484" s="258"/>
      <c r="AR484" s="258"/>
      <c r="AS484" s="202"/>
      <c r="AT484" s="213"/>
      <c r="AU484" s="213"/>
    </row>
    <row r="485" spans="40:47" s="121" customFormat="1" hidden="1">
      <c r="AN485" s="239"/>
      <c r="AO485" s="225"/>
      <c r="AP485" s="260"/>
      <c r="AQ485" s="258"/>
      <c r="AR485" s="258"/>
      <c r="AS485" s="202"/>
      <c r="AT485" s="213"/>
      <c r="AU485" s="213"/>
    </row>
    <row r="486" spans="40:47" s="121" customFormat="1" hidden="1">
      <c r="AN486" s="239"/>
      <c r="AO486" s="225"/>
      <c r="AP486" s="260"/>
      <c r="AQ486" s="258"/>
      <c r="AR486" s="258"/>
      <c r="AS486" s="202"/>
      <c r="AT486" s="213"/>
      <c r="AU486" s="213"/>
    </row>
    <row r="487" spans="40:47" s="121" customFormat="1" hidden="1">
      <c r="AN487" s="239"/>
      <c r="AO487" s="225"/>
      <c r="AP487" s="260"/>
      <c r="AQ487" s="258"/>
      <c r="AR487" s="258"/>
      <c r="AS487" s="202"/>
      <c r="AT487" s="213"/>
      <c r="AU487" s="213"/>
    </row>
    <row r="488" spans="40:47" s="121" customFormat="1" hidden="1">
      <c r="AN488" s="239"/>
      <c r="AO488" s="225"/>
      <c r="AP488" s="260"/>
      <c r="AQ488" s="258"/>
      <c r="AR488" s="258"/>
      <c r="AS488" s="202"/>
      <c r="AT488" s="213"/>
      <c r="AU488" s="213"/>
    </row>
    <row r="489" spans="40:47" s="121" customFormat="1" hidden="1">
      <c r="AN489" s="239"/>
      <c r="AO489" s="225"/>
      <c r="AP489" s="260"/>
      <c r="AQ489" s="258"/>
      <c r="AR489" s="258"/>
      <c r="AS489" s="202"/>
      <c r="AT489" s="213"/>
      <c r="AU489" s="213"/>
    </row>
    <row r="490" spans="40:47" s="121" customFormat="1" hidden="1">
      <c r="AN490" s="239"/>
      <c r="AO490" s="225"/>
      <c r="AP490" s="260"/>
      <c r="AQ490" s="258"/>
      <c r="AR490" s="258"/>
      <c r="AS490" s="202"/>
      <c r="AT490" s="213"/>
      <c r="AU490" s="213"/>
    </row>
    <row r="491" spans="40:47" s="121" customFormat="1" hidden="1">
      <c r="AN491" s="239"/>
      <c r="AO491" s="225"/>
      <c r="AP491" s="260"/>
      <c r="AQ491" s="258"/>
      <c r="AR491" s="258"/>
      <c r="AS491" s="202"/>
      <c r="AT491" s="213"/>
      <c r="AU491" s="213"/>
    </row>
    <row r="492" spans="40:47" s="121" customFormat="1" hidden="1">
      <c r="AN492" s="239"/>
      <c r="AO492" s="225"/>
      <c r="AP492" s="260"/>
      <c r="AQ492" s="258"/>
      <c r="AR492" s="258"/>
      <c r="AS492" s="202"/>
      <c r="AT492" s="213"/>
      <c r="AU492" s="213"/>
    </row>
    <row r="493" spans="40:47" s="121" customFormat="1" hidden="1">
      <c r="AN493" s="239"/>
      <c r="AO493" s="225"/>
      <c r="AP493" s="260"/>
      <c r="AQ493" s="258"/>
      <c r="AR493" s="258"/>
      <c r="AS493" s="202"/>
      <c r="AT493" s="213"/>
      <c r="AU493" s="213"/>
    </row>
    <row r="494" spans="40:47" s="121" customFormat="1" hidden="1">
      <c r="AN494" s="239"/>
      <c r="AO494" s="225"/>
      <c r="AP494" s="260"/>
      <c r="AQ494" s="258"/>
      <c r="AR494" s="258"/>
      <c r="AS494" s="202"/>
      <c r="AT494" s="213"/>
      <c r="AU494" s="213"/>
    </row>
    <row r="495" spans="40:47" s="121" customFormat="1" hidden="1">
      <c r="AN495" s="239"/>
      <c r="AO495" s="225"/>
      <c r="AP495" s="260"/>
      <c r="AQ495" s="258"/>
      <c r="AR495" s="258"/>
      <c r="AS495" s="202"/>
      <c r="AT495" s="213"/>
      <c r="AU495" s="213"/>
    </row>
    <row r="496" spans="40:47" s="121" customFormat="1" hidden="1">
      <c r="AN496" s="239"/>
      <c r="AO496" s="225"/>
      <c r="AP496" s="260"/>
      <c r="AQ496" s="258"/>
      <c r="AR496" s="258"/>
      <c r="AS496" s="202"/>
      <c r="AT496" s="213"/>
      <c r="AU496" s="213"/>
    </row>
    <row r="497" spans="40:47" s="121" customFormat="1" hidden="1">
      <c r="AN497" s="239"/>
      <c r="AO497" s="225"/>
      <c r="AP497" s="260"/>
      <c r="AQ497" s="258"/>
      <c r="AR497" s="258"/>
      <c r="AS497" s="202"/>
      <c r="AT497" s="213"/>
      <c r="AU497" s="213"/>
    </row>
    <row r="498" spans="40:47" s="121" customFormat="1" hidden="1">
      <c r="AN498" s="239"/>
      <c r="AO498" s="225"/>
      <c r="AP498" s="260"/>
      <c r="AQ498" s="258"/>
      <c r="AR498" s="258"/>
      <c r="AS498" s="202"/>
      <c r="AT498" s="213"/>
      <c r="AU498" s="213"/>
    </row>
    <row r="499" spans="40:47" s="121" customFormat="1" hidden="1">
      <c r="AN499" s="239"/>
      <c r="AO499" s="225"/>
      <c r="AP499" s="260"/>
      <c r="AQ499" s="258"/>
      <c r="AR499" s="258"/>
      <c r="AS499" s="202"/>
      <c r="AT499" s="213"/>
      <c r="AU499" s="213"/>
    </row>
    <row r="500" spans="40:47" s="121" customFormat="1" hidden="1">
      <c r="AN500" s="239"/>
      <c r="AO500" s="225"/>
      <c r="AP500" s="260"/>
      <c r="AQ500" s="258"/>
      <c r="AR500" s="258"/>
      <c r="AS500" s="202"/>
      <c r="AT500" s="213"/>
      <c r="AU500" s="213"/>
    </row>
    <row r="501" spans="40:47" s="121" customFormat="1" hidden="1">
      <c r="AN501" s="239"/>
      <c r="AO501" s="225"/>
      <c r="AP501" s="260"/>
      <c r="AQ501" s="258"/>
      <c r="AR501" s="258"/>
      <c r="AS501" s="202"/>
      <c r="AT501" s="213"/>
      <c r="AU501" s="213"/>
    </row>
    <row r="502" spans="40:47" s="121" customFormat="1" hidden="1">
      <c r="AN502" s="239"/>
      <c r="AO502" s="225"/>
      <c r="AP502" s="260"/>
      <c r="AQ502" s="258"/>
      <c r="AR502" s="258"/>
      <c r="AS502" s="202"/>
      <c r="AT502" s="213"/>
      <c r="AU502" s="213"/>
    </row>
    <row r="503" spans="40:47" s="121" customFormat="1" hidden="1">
      <c r="AN503" s="239"/>
      <c r="AO503" s="225"/>
      <c r="AP503" s="260"/>
      <c r="AQ503" s="258"/>
      <c r="AR503" s="258"/>
      <c r="AS503" s="202"/>
      <c r="AT503" s="213"/>
      <c r="AU503" s="213"/>
    </row>
    <row r="504" spans="40:47" s="121" customFormat="1" hidden="1">
      <c r="AN504" s="239"/>
      <c r="AO504" s="225"/>
      <c r="AP504" s="260"/>
      <c r="AQ504" s="258"/>
      <c r="AR504" s="258"/>
      <c r="AS504" s="202"/>
      <c r="AT504" s="213"/>
      <c r="AU504" s="213"/>
    </row>
    <row r="505" spans="40:47" s="121" customFormat="1" hidden="1">
      <c r="AN505" s="239"/>
      <c r="AO505" s="225"/>
      <c r="AP505" s="260"/>
      <c r="AQ505" s="258"/>
      <c r="AR505" s="258"/>
      <c r="AS505" s="202"/>
      <c r="AT505" s="213"/>
      <c r="AU505" s="213"/>
    </row>
    <row r="506" spans="40:47" s="121" customFormat="1" hidden="1">
      <c r="AN506" s="239"/>
      <c r="AO506" s="225"/>
      <c r="AP506" s="260"/>
      <c r="AQ506" s="258"/>
      <c r="AR506" s="258"/>
      <c r="AS506" s="202"/>
      <c r="AT506" s="213"/>
      <c r="AU506" s="213"/>
    </row>
    <row r="507" spans="40:47" s="121" customFormat="1" hidden="1">
      <c r="AN507" s="239"/>
      <c r="AO507" s="225"/>
      <c r="AP507" s="260"/>
      <c r="AQ507" s="258"/>
      <c r="AR507" s="258"/>
      <c r="AS507" s="202"/>
      <c r="AT507" s="213"/>
      <c r="AU507" s="213"/>
    </row>
    <row r="508" spans="40:47" s="121" customFormat="1" hidden="1">
      <c r="AN508" s="239"/>
      <c r="AO508" s="225"/>
      <c r="AP508" s="260"/>
      <c r="AQ508" s="258"/>
      <c r="AR508" s="258"/>
      <c r="AS508" s="202"/>
      <c r="AT508" s="213"/>
      <c r="AU508" s="213"/>
    </row>
    <row r="509" spans="40:47" s="121" customFormat="1" hidden="1">
      <c r="AN509" s="239"/>
      <c r="AO509" s="225"/>
      <c r="AP509" s="260"/>
      <c r="AQ509" s="258"/>
      <c r="AR509" s="258"/>
      <c r="AS509" s="202"/>
      <c r="AT509" s="213"/>
      <c r="AU509" s="213"/>
    </row>
    <row r="510" spans="40:47" s="121" customFormat="1" hidden="1">
      <c r="AN510" s="239"/>
      <c r="AO510" s="225"/>
      <c r="AP510" s="260"/>
      <c r="AQ510" s="258"/>
      <c r="AR510" s="258"/>
      <c r="AS510" s="202"/>
      <c r="AT510" s="213"/>
      <c r="AU510" s="213"/>
    </row>
    <row r="511" spans="40:47" s="121" customFormat="1" hidden="1">
      <c r="AN511" s="239"/>
      <c r="AO511" s="225"/>
      <c r="AP511" s="260"/>
      <c r="AQ511" s="258"/>
      <c r="AR511" s="258"/>
      <c r="AS511" s="202"/>
      <c r="AT511" s="213"/>
      <c r="AU511" s="213"/>
    </row>
    <row r="512" spans="40:47" s="121" customFormat="1" hidden="1">
      <c r="AN512" s="239"/>
      <c r="AO512" s="225"/>
      <c r="AP512" s="260"/>
      <c r="AQ512" s="258"/>
      <c r="AR512" s="258"/>
      <c r="AS512" s="202"/>
      <c r="AT512" s="213"/>
      <c r="AU512" s="213"/>
    </row>
    <row r="513" spans="40:47" s="121" customFormat="1" hidden="1">
      <c r="AN513" s="239"/>
      <c r="AO513" s="225"/>
      <c r="AP513" s="260"/>
      <c r="AQ513" s="258"/>
      <c r="AR513" s="258"/>
      <c r="AS513" s="202"/>
      <c r="AT513" s="213"/>
      <c r="AU513" s="213"/>
    </row>
    <row r="514" spans="40:47" s="121" customFormat="1" hidden="1">
      <c r="AN514" s="239"/>
      <c r="AO514" s="225"/>
      <c r="AP514" s="260"/>
      <c r="AQ514" s="258"/>
      <c r="AR514" s="258"/>
      <c r="AS514" s="202"/>
      <c r="AT514" s="213"/>
      <c r="AU514" s="213"/>
    </row>
    <row r="515" spans="40:47" s="121" customFormat="1" hidden="1">
      <c r="AN515" s="239"/>
      <c r="AO515" s="225"/>
      <c r="AP515" s="260"/>
      <c r="AQ515" s="258"/>
      <c r="AR515" s="258"/>
      <c r="AS515" s="202"/>
      <c r="AT515" s="213"/>
      <c r="AU515" s="213"/>
    </row>
    <row r="516" spans="40:47" s="121" customFormat="1" hidden="1">
      <c r="AN516" s="239"/>
      <c r="AO516" s="225"/>
      <c r="AP516" s="260"/>
      <c r="AQ516" s="258"/>
      <c r="AR516" s="258"/>
      <c r="AS516" s="202"/>
      <c r="AT516" s="213"/>
      <c r="AU516" s="213"/>
    </row>
    <row r="517" spans="40:47" s="121" customFormat="1" hidden="1">
      <c r="AN517" s="239"/>
      <c r="AO517" s="225"/>
      <c r="AP517" s="260"/>
      <c r="AQ517" s="258"/>
      <c r="AR517" s="258"/>
      <c r="AS517" s="202"/>
      <c r="AT517" s="213"/>
      <c r="AU517" s="213"/>
    </row>
    <row r="518" spans="40:47" s="121" customFormat="1" hidden="1">
      <c r="AN518" s="239"/>
      <c r="AO518" s="225"/>
      <c r="AP518" s="260"/>
      <c r="AQ518" s="258"/>
      <c r="AR518" s="258"/>
      <c r="AS518" s="202"/>
      <c r="AT518" s="213"/>
      <c r="AU518" s="213"/>
    </row>
    <row r="519" spans="40:47" s="121" customFormat="1" hidden="1">
      <c r="AN519" s="239"/>
      <c r="AO519" s="225"/>
      <c r="AP519" s="260"/>
      <c r="AQ519" s="258"/>
      <c r="AR519" s="258"/>
      <c r="AS519" s="202"/>
      <c r="AT519" s="213"/>
      <c r="AU519" s="213"/>
    </row>
    <row r="520" spans="40:47" s="121" customFormat="1" hidden="1">
      <c r="AN520" s="239"/>
      <c r="AO520" s="225"/>
      <c r="AP520" s="260"/>
      <c r="AQ520" s="258"/>
      <c r="AR520" s="258"/>
      <c r="AS520" s="202"/>
      <c r="AT520" s="213"/>
      <c r="AU520" s="213"/>
    </row>
    <row r="521" spans="40:47" s="121" customFormat="1" hidden="1">
      <c r="AN521" s="239"/>
      <c r="AO521" s="225"/>
      <c r="AP521" s="260"/>
      <c r="AQ521" s="258"/>
      <c r="AR521" s="258"/>
      <c r="AS521" s="202"/>
      <c r="AT521" s="213"/>
      <c r="AU521" s="213"/>
    </row>
    <row r="522" spans="40:47" s="121" customFormat="1" hidden="1">
      <c r="AN522" s="239"/>
      <c r="AO522" s="225"/>
      <c r="AP522" s="260"/>
      <c r="AQ522" s="258"/>
      <c r="AR522" s="258"/>
      <c r="AS522" s="202"/>
      <c r="AT522" s="213"/>
      <c r="AU522" s="213"/>
    </row>
    <row r="523" spans="40:47" s="121" customFormat="1" hidden="1">
      <c r="AN523" s="239"/>
      <c r="AO523" s="225"/>
      <c r="AP523" s="260"/>
      <c r="AQ523" s="258"/>
      <c r="AR523" s="258"/>
      <c r="AS523" s="202"/>
      <c r="AT523" s="213"/>
      <c r="AU523" s="213"/>
    </row>
    <row r="524" spans="40:47" s="121" customFormat="1" hidden="1">
      <c r="AN524" s="239"/>
      <c r="AO524" s="225"/>
      <c r="AP524" s="260"/>
      <c r="AQ524" s="258"/>
      <c r="AR524" s="258"/>
      <c r="AS524" s="202"/>
      <c r="AT524" s="213"/>
      <c r="AU524" s="213"/>
    </row>
    <row r="525" spans="40:47" s="121" customFormat="1" hidden="1">
      <c r="AN525" s="239"/>
      <c r="AO525" s="225"/>
      <c r="AP525" s="260"/>
      <c r="AQ525" s="258"/>
      <c r="AR525" s="258"/>
      <c r="AS525" s="202"/>
      <c r="AT525" s="213"/>
      <c r="AU525" s="213"/>
    </row>
    <row r="526" spans="40:47" s="121" customFormat="1" hidden="1">
      <c r="AN526" s="239"/>
      <c r="AO526" s="225"/>
      <c r="AP526" s="260"/>
      <c r="AQ526" s="258"/>
      <c r="AR526" s="258"/>
      <c r="AS526" s="202"/>
      <c r="AT526" s="213"/>
      <c r="AU526" s="213"/>
    </row>
    <row r="527" spans="40:47" s="121" customFormat="1" hidden="1">
      <c r="AN527" s="239"/>
      <c r="AO527" s="225"/>
      <c r="AP527" s="260"/>
      <c r="AQ527" s="258"/>
      <c r="AR527" s="258"/>
      <c r="AS527" s="202"/>
      <c r="AT527" s="213"/>
      <c r="AU527" s="213"/>
    </row>
    <row r="528" spans="40:47" s="121" customFormat="1" hidden="1">
      <c r="AN528" s="239"/>
      <c r="AO528" s="225"/>
      <c r="AP528" s="260"/>
      <c r="AQ528" s="258"/>
      <c r="AR528" s="258"/>
      <c r="AS528" s="202"/>
      <c r="AT528" s="213"/>
      <c r="AU528" s="213"/>
    </row>
    <row r="529" spans="40:47" s="121" customFormat="1" hidden="1">
      <c r="AN529" s="239"/>
      <c r="AO529" s="225"/>
      <c r="AP529" s="260"/>
      <c r="AQ529" s="258"/>
      <c r="AR529" s="258"/>
      <c r="AS529" s="202"/>
      <c r="AT529" s="213"/>
      <c r="AU529" s="213"/>
    </row>
    <row r="530" spans="40:47" s="121" customFormat="1" hidden="1">
      <c r="AN530" s="239"/>
      <c r="AO530" s="225"/>
      <c r="AP530" s="260"/>
      <c r="AQ530" s="258"/>
      <c r="AR530" s="258"/>
      <c r="AS530" s="202"/>
      <c r="AT530" s="213"/>
      <c r="AU530" s="213"/>
    </row>
    <row r="531" spans="40:47" s="121" customFormat="1" hidden="1">
      <c r="AN531" s="239"/>
      <c r="AO531" s="225"/>
      <c r="AP531" s="260"/>
      <c r="AQ531" s="258"/>
      <c r="AR531" s="258"/>
      <c r="AS531" s="202"/>
      <c r="AT531" s="213"/>
      <c r="AU531" s="213"/>
    </row>
    <row r="532" spans="40:47" s="121" customFormat="1" hidden="1">
      <c r="AN532" s="239"/>
      <c r="AO532" s="225"/>
      <c r="AP532" s="260"/>
      <c r="AQ532" s="258"/>
      <c r="AR532" s="258"/>
      <c r="AS532" s="202"/>
      <c r="AT532" s="213"/>
      <c r="AU532" s="213"/>
    </row>
    <row r="533" spans="40:47" s="121" customFormat="1" hidden="1">
      <c r="AN533" s="239"/>
      <c r="AO533" s="225"/>
      <c r="AP533" s="260"/>
      <c r="AQ533" s="258"/>
      <c r="AR533" s="258"/>
      <c r="AS533" s="202"/>
      <c r="AT533" s="213"/>
      <c r="AU533" s="213"/>
    </row>
    <row r="534" spans="40:47" s="121" customFormat="1" hidden="1">
      <c r="AN534" s="239"/>
      <c r="AO534" s="225"/>
      <c r="AP534" s="260"/>
      <c r="AQ534" s="258"/>
      <c r="AR534" s="258"/>
      <c r="AS534" s="202"/>
      <c r="AT534" s="213"/>
      <c r="AU534" s="213"/>
    </row>
    <row r="535" spans="40:47" s="121" customFormat="1" hidden="1">
      <c r="AN535" s="239"/>
      <c r="AO535" s="225"/>
      <c r="AP535" s="260"/>
      <c r="AQ535" s="258"/>
      <c r="AR535" s="258"/>
      <c r="AS535" s="202"/>
      <c r="AT535" s="213"/>
      <c r="AU535" s="213"/>
    </row>
    <row r="536" spans="40:47" s="121" customFormat="1" hidden="1">
      <c r="AN536" s="239"/>
      <c r="AO536" s="225"/>
      <c r="AP536" s="260"/>
      <c r="AQ536" s="258"/>
      <c r="AR536" s="258"/>
      <c r="AS536" s="202"/>
      <c r="AT536" s="213"/>
      <c r="AU536" s="213"/>
    </row>
    <row r="537" spans="40:47" s="121" customFormat="1" hidden="1">
      <c r="AN537" s="239"/>
      <c r="AO537" s="225"/>
      <c r="AP537" s="260"/>
      <c r="AQ537" s="258"/>
      <c r="AR537" s="258"/>
      <c r="AS537" s="202"/>
      <c r="AT537" s="213"/>
      <c r="AU537" s="213"/>
    </row>
    <row r="538" spans="40:47" s="121" customFormat="1" hidden="1">
      <c r="AN538" s="239"/>
      <c r="AO538" s="225"/>
      <c r="AP538" s="260"/>
      <c r="AQ538" s="258"/>
      <c r="AR538" s="258"/>
      <c r="AS538" s="202"/>
      <c r="AT538" s="213"/>
      <c r="AU538" s="213"/>
    </row>
    <row r="539" spans="40:47" s="121" customFormat="1" hidden="1">
      <c r="AN539" s="239"/>
      <c r="AO539" s="225"/>
      <c r="AP539" s="260"/>
      <c r="AQ539" s="258"/>
      <c r="AR539" s="258"/>
      <c r="AS539" s="202"/>
      <c r="AT539" s="213"/>
      <c r="AU539" s="213"/>
    </row>
    <row r="540" spans="40:47" s="121" customFormat="1" hidden="1">
      <c r="AN540" s="239"/>
      <c r="AO540" s="225"/>
      <c r="AP540" s="260"/>
      <c r="AQ540" s="258"/>
      <c r="AR540" s="258"/>
      <c r="AS540" s="202"/>
      <c r="AT540" s="213"/>
      <c r="AU540" s="213"/>
    </row>
    <row r="541" spans="40:47" s="121" customFormat="1" hidden="1">
      <c r="AN541" s="239"/>
      <c r="AO541" s="225"/>
      <c r="AP541" s="260"/>
      <c r="AQ541" s="258"/>
      <c r="AR541" s="258"/>
      <c r="AS541" s="202"/>
      <c r="AT541" s="213"/>
      <c r="AU541" s="213"/>
    </row>
    <row r="542" spans="40:47" s="121" customFormat="1" hidden="1">
      <c r="AN542" s="239"/>
      <c r="AO542" s="225"/>
      <c r="AP542" s="260"/>
      <c r="AQ542" s="258"/>
      <c r="AR542" s="258"/>
      <c r="AS542" s="202"/>
      <c r="AT542" s="213"/>
      <c r="AU542" s="213"/>
    </row>
    <row r="543" spans="40:47" s="121" customFormat="1" hidden="1">
      <c r="AN543" s="239"/>
      <c r="AO543" s="225"/>
      <c r="AP543" s="260"/>
      <c r="AQ543" s="258"/>
      <c r="AR543" s="258"/>
      <c r="AS543" s="202"/>
      <c r="AT543" s="213"/>
      <c r="AU543" s="213"/>
    </row>
    <row r="544" spans="40:47" s="121" customFormat="1" hidden="1">
      <c r="AN544" s="239"/>
      <c r="AO544" s="225"/>
      <c r="AP544" s="260"/>
      <c r="AQ544" s="258"/>
      <c r="AR544" s="258"/>
      <c r="AS544" s="202"/>
      <c r="AT544" s="213"/>
      <c r="AU544" s="213"/>
    </row>
    <row r="545" spans="40:47" s="121" customFormat="1" hidden="1">
      <c r="AN545" s="239"/>
      <c r="AO545" s="225"/>
      <c r="AP545" s="260"/>
      <c r="AQ545" s="258"/>
      <c r="AR545" s="258"/>
      <c r="AS545" s="202"/>
      <c r="AT545" s="213"/>
      <c r="AU545" s="213"/>
    </row>
    <row r="546" spans="40:47" s="121" customFormat="1" hidden="1">
      <c r="AN546" s="239"/>
      <c r="AO546" s="225"/>
      <c r="AP546" s="260"/>
      <c r="AQ546" s="258"/>
      <c r="AR546" s="258"/>
      <c r="AS546" s="202"/>
      <c r="AT546" s="213"/>
      <c r="AU546" s="213"/>
    </row>
    <row r="547" spans="40:47" s="121" customFormat="1" hidden="1">
      <c r="AN547" s="239"/>
      <c r="AO547" s="225"/>
      <c r="AP547" s="260"/>
      <c r="AQ547" s="258"/>
      <c r="AR547" s="258"/>
      <c r="AS547" s="202"/>
      <c r="AT547" s="213"/>
      <c r="AU547" s="213"/>
    </row>
    <row r="548" spans="40:47" s="121" customFormat="1" hidden="1">
      <c r="AN548" s="239"/>
      <c r="AO548" s="225"/>
      <c r="AP548" s="260"/>
      <c r="AQ548" s="258"/>
      <c r="AR548" s="258"/>
      <c r="AS548" s="202"/>
      <c r="AT548" s="213"/>
      <c r="AU548" s="213"/>
    </row>
    <row r="549" spans="40:47" s="121" customFormat="1" hidden="1">
      <c r="AN549" s="239"/>
      <c r="AO549" s="225"/>
      <c r="AP549" s="260"/>
      <c r="AQ549" s="258"/>
      <c r="AR549" s="258"/>
      <c r="AS549" s="202"/>
      <c r="AT549" s="213"/>
      <c r="AU549" s="213"/>
    </row>
    <row r="550" spans="40:47" s="121" customFormat="1" hidden="1">
      <c r="AN550" s="239"/>
      <c r="AO550" s="225"/>
      <c r="AP550" s="260"/>
      <c r="AQ550" s="258"/>
      <c r="AR550" s="258"/>
      <c r="AS550" s="202"/>
      <c r="AT550" s="213"/>
      <c r="AU550" s="213"/>
    </row>
    <row r="551" spans="40:47" s="121" customFormat="1" hidden="1">
      <c r="AN551" s="239"/>
      <c r="AO551" s="225"/>
      <c r="AP551" s="260"/>
      <c r="AQ551" s="258"/>
      <c r="AR551" s="258"/>
      <c r="AS551" s="202"/>
      <c r="AT551" s="213"/>
      <c r="AU551" s="213"/>
    </row>
    <row r="552" spans="40:47" s="121" customFormat="1" hidden="1">
      <c r="AN552" s="239"/>
      <c r="AO552" s="225"/>
      <c r="AP552" s="260"/>
      <c r="AQ552" s="258"/>
      <c r="AR552" s="258"/>
      <c r="AS552" s="202"/>
      <c r="AT552" s="213"/>
      <c r="AU552" s="213"/>
    </row>
    <row r="553" spans="40:47" s="121" customFormat="1" hidden="1">
      <c r="AN553" s="239"/>
      <c r="AO553" s="225"/>
      <c r="AP553" s="260"/>
      <c r="AQ553" s="258"/>
      <c r="AR553" s="258"/>
      <c r="AS553" s="202"/>
      <c r="AT553" s="213"/>
      <c r="AU553" s="213"/>
    </row>
    <row r="554" spans="40:47" s="121" customFormat="1" hidden="1">
      <c r="AN554" s="239"/>
      <c r="AO554" s="225"/>
      <c r="AP554" s="260"/>
      <c r="AQ554" s="258"/>
      <c r="AR554" s="258"/>
      <c r="AS554" s="202"/>
      <c r="AT554" s="213"/>
      <c r="AU554" s="213"/>
    </row>
    <row r="555" spans="40:47" s="121" customFormat="1" hidden="1">
      <c r="AN555" s="239"/>
      <c r="AO555" s="225"/>
      <c r="AP555" s="260"/>
      <c r="AQ555" s="258"/>
      <c r="AR555" s="258"/>
      <c r="AS555" s="202"/>
      <c r="AT555" s="213"/>
      <c r="AU555" s="213"/>
    </row>
    <row r="556" spans="40:47" s="121" customFormat="1" hidden="1">
      <c r="AN556" s="239"/>
      <c r="AO556" s="225"/>
      <c r="AP556" s="260"/>
      <c r="AQ556" s="258"/>
      <c r="AR556" s="258"/>
      <c r="AS556" s="202"/>
      <c r="AT556" s="213"/>
      <c r="AU556" s="213"/>
    </row>
    <row r="557" spans="40:47" s="121" customFormat="1" hidden="1">
      <c r="AN557" s="239"/>
      <c r="AO557" s="225"/>
      <c r="AP557" s="260"/>
      <c r="AQ557" s="258"/>
      <c r="AR557" s="258"/>
      <c r="AS557" s="202"/>
      <c r="AT557" s="213"/>
      <c r="AU557" s="213"/>
    </row>
    <row r="558" spans="40:47" s="121" customFormat="1" hidden="1">
      <c r="AN558" s="239"/>
      <c r="AO558" s="225"/>
      <c r="AP558" s="260"/>
      <c r="AQ558" s="258"/>
      <c r="AR558" s="258"/>
      <c r="AS558" s="202"/>
      <c r="AT558" s="213"/>
      <c r="AU558" s="213"/>
    </row>
    <row r="559" spans="40:47" s="121" customFormat="1" hidden="1">
      <c r="AN559" s="239"/>
      <c r="AO559" s="225"/>
      <c r="AP559" s="260"/>
      <c r="AQ559" s="258"/>
      <c r="AR559" s="258"/>
      <c r="AS559" s="202"/>
      <c r="AT559" s="213"/>
      <c r="AU559" s="213"/>
    </row>
    <row r="560" spans="40:47" s="121" customFormat="1" hidden="1">
      <c r="AN560" s="239"/>
      <c r="AO560" s="225"/>
      <c r="AP560" s="260"/>
      <c r="AQ560" s="258"/>
      <c r="AR560" s="258"/>
      <c r="AS560" s="202"/>
      <c r="AT560" s="213"/>
      <c r="AU560" s="213"/>
    </row>
    <row r="561" spans="40:47" s="121" customFormat="1" hidden="1">
      <c r="AN561" s="239"/>
      <c r="AO561" s="225"/>
      <c r="AP561" s="260"/>
      <c r="AQ561" s="258"/>
      <c r="AR561" s="258"/>
      <c r="AS561" s="202"/>
      <c r="AT561" s="213"/>
      <c r="AU561" s="213"/>
    </row>
    <row r="562" spans="40:47" s="121" customFormat="1" hidden="1">
      <c r="AN562" s="239"/>
      <c r="AO562" s="225"/>
      <c r="AP562" s="260"/>
      <c r="AQ562" s="258"/>
      <c r="AR562" s="258"/>
      <c r="AS562" s="202"/>
      <c r="AT562" s="213"/>
      <c r="AU562" s="213"/>
    </row>
    <row r="563" spans="40:47" s="121" customFormat="1" hidden="1">
      <c r="AN563" s="239"/>
      <c r="AO563" s="225"/>
      <c r="AP563" s="260"/>
      <c r="AQ563" s="258"/>
      <c r="AR563" s="258"/>
      <c r="AS563" s="202"/>
      <c r="AT563" s="213"/>
      <c r="AU563" s="213"/>
    </row>
    <row r="564" spans="40:47" s="121" customFormat="1" hidden="1">
      <c r="AN564" s="239"/>
      <c r="AO564" s="225"/>
      <c r="AP564" s="260"/>
      <c r="AQ564" s="258"/>
      <c r="AR564" s="258"/>
      <c r="AS564" s="202"/>
      <c r="AT564" s="213"/>
      <c r="AU564" s="213"/>
    </row>
    <row r="565" spans="40:47" s="121" customFormat="1" hidden="1">
      <c r="AN565" s="239"/>
      <c r="AO565" s="225"/>
      <c r="AP565" s="260"/>
      <c r="AQ565" s="258"/>
      <c r="AR565" s="258"/>
      <c r="AS565" s="202"/>
      <c r="AT565" s="213"/>
      <c r="AU565" s="213"/>
    </row>
    <row r="566" spans="40:47" s="121" customFormat="1" hidden="1">
      <c r="AN566" s="239"/>
      <c r="AO566" s="225"/>
      <c r="AP566" s="260"/>
      <c r="AQ566" s="258"/>
      <c r="AR566" s="258"/>
      <c r="AS566" s="202"/>
      <c r="AT566" s="213"/>
      <c r="AU566" s="213"/>
    </row>
    <row r="567" spans="40:47" s="121" customFormat="1" hidden="1">
      <c r="AN567" s="239"/>
      <c r="AO567" s="225"/>
      <c r="AP567" s="260"/>
      <c r="AQ567" s="258"/>
      <c r="AR567" s="258"/>
      <c r="AS567" s="202"/>
      <c r="AT567" s="213"/>
      <c r="AU567" s="213"/>
    </row>
    <row r="568" spans="40:47" s="121" customFormat="1" hidden="1">
      <c r="AN568" s="239"/>
      <c r="AO568" s="225"/>
      <c r="AP568" s="260"/>
      <c r="AQ568" s="258"/>
      <c r="AR568" s="258"/>
      <c r="AS568" s="202"/>
      <c r="AT568" s="213"/>
      <c r="AU568" s="213"/>
    </row>
    <row r="569" spans="40:47" s="121" customFormat="1" hidden="1">
      <c r="AN569" s="239"/>
      <c r="AO569" s="225"/>
      <c r="AP569" s="260"/>
      <c r="AQ569" s="258"/>
      <c r="AR569" s="258"/>
      <c r="AS569" s="202"/>
      <c r="AT569" s="213"/>
      <c r="AU569" s="213"/>
    </row>
    <row r="570" spans="40:47" s="121" customFormat="1" hidden="1">
      <c r="AN570" s="239"/>
      <c r="AO570" s="225"/>
      <c r="AP570" s="260"/>
      <c r="AQ570" s="258"/>
      <c r="AR570" s="258"/>
      <c r="AS570" s="202"/>
      <c r="AT570" s="213"/>
      <c r="AU570" s="213"/>
    </row>
    <row r="571" spans="40:47" s="121" customFormat="1" hidden="1">
      <c r="AN571" s="239"/>
      <c r="AO571" s="225"/>
      <c r="AP571" s="260"/>
      <c r="AQ571" s="258"/>
      <c r="AR571" s="258"/>
      <c r="AS571" s="202"/>
      <c r="AT571" s="213"/>
      <c r="AU571" s="213"/>
    </row>
    <row r="572" spans="40:47" s="121" customFormat="1" hidden="1">
      <c r="AN572" s="239"/>
      <c r="AO572" s="225"/>
      <c r="AP572" s="260"/>
      <c r="AQ572" s="258"/>
      <c r="AR572" s="258"/>
      <c r="AS572" s="202"/>
      <c r="AT572" s="213"/>
      <c r="AU572" s="213"/>
    </row>
    <row r="573" spans="40:47" s="121" customFormat="1" hidden="1">
      <c r="AN573" s="239"/>
      <c r="AO573" s="225"/>
      <c r="AP573" s="260"/>
      <c r="AQ573" s="258"/>
      <c r="AR573" s="258"/>
      <c r="AS573" s="202"/>
      <c r="AT573" s="213"/>
      <c r="AU573" s="213"/>
    </row>
    <row r="574" spans="40:47" s="121" customFormat="1" hidden="1">
      <c r="AN574" s="239"/>
      <c r="AO574" s="225"/>
      <c r="AP574" s="260"/>
      <c r="AQ574" s="258"/>
      <c r="AR574" s="258"/>
      <c r="AS574" s="202"/>
      <c r="AT574" s="213"/>
      <c r="AU574" s="213"/>
    </row>
    <row r="575" spans="40:47" s="121" customFormat="1" hidden="1">
      <c r="AN575" s="239"/>
      <c r="AO575" s="225"/>
      <c r="AP575" s="260"/>
      <c r="AQ575" s="258"/>
      <c r="AR575" s="258"/>
      <c r="AS575" s="202"/>
      <c r="AT575" s="213"/>
      <c r="AU575" s="213"/>
    </row>
    <row r="576" spans="40:47" s="121" customFormat="1" hidden="1">
      <c r="AN576" s="239"/>
      <c r="AO576" s="225"/>
      <c r="AP576" s="260"/>
      <c r="AQ576" s="258"/>
      <c r="AR576" s="258"/>
      <c r="AS576" s="202"/>
      <c r="AT576" s="213"/>
      <c r="AU576" s="213"/>
    </row>
    <row r="577" spans="40:47" s="121" customFormat="1" hidden="1">
      <c r="AN577" s="239"/>
      <c r="AO577" s="225"/>
      <c r="AP577" s="260"/>
      <c r="AQ577" s="258"/>
      <c r="AR577" s="258"/>
      <c r="AS577" s="202"/>
      <c r="AT577" s="213"/>
      <c r="AU577" s="213"/>
    </row>
    <row r="578" spans="40:47" s="121" customFormat="1" hidden="1">
      <c r="AN578" s="239"/>
      <c r="AO578" s="225"/>
      <c r="AP578" s="260"/>
      <c r="AQ578" s="258"/>
      <c r="AR578" s="258"/>
      <c r="AS578" s="202"/>
      <c r="AT578" s="213"/>
      <c r="AU578" s="213"/>
    </row>
    <row r="579" spans="40:47" s="121" customFormat="1" hidden="1">
      <c r="AN579" s="239"/>
      <c r="AO579" s="225"/>
      <c r="AP579" s="260"/>
      <c r="AQ579" s="258"/>
      <c r="AR579" s="258"/>
      <c r="AS579" s="202"/>
      <c r="AT579" s="213"/>
      <c r="AU579" s="213"/>
    </row>
    <row r="580" spans="40:47" s="121" customFormat="1" hidden="1">
      <c r="AN580" s="239"/>
      <c r="AO580" s="225"/>
      <c r="AP580" s="260"/>
      <c r="AQ580" s="258"/>
      <c r="AR580" s="258"/>
      <c r="AS580" s="202"/>
      <c r="AT580" s="213"/>
      <c r="AU580" s="213"/>
    </row>
    <row r="581" spans="40:47" s="121" customFormat="1" hidden="1">
      <c r="AN581" s="239"/>
      <c r="AO581" s="225"/>
      <c r="AP581" s="260"/>
      <c r="AQ581" s="258"/>
      <c r="AR581" s="258"/>
      <c r="AS581" s="202"/>
      <c r="AT581" s="213"/>
      <c r="AU581" s="213"/>
    </row>
    <row r="582" spans="40:47" s="121" customFormat="1" hidden="1">
      <c r="AN582" s="239"/>
      <c r="AO582" s="225"/>
      <c r="AP582" s="260"/>
      <c r="AQ582" s="258"/>
      <c r="AR582" s="258"/>
      <c r="AS582" s="202"/>
      <c r="AT582" s="213"/>
      <c r="AU582" s="213"/>
    </row>
    <row r="583" spans="40:47" s="121" customFormat="1" hidden="1">
      <c r="AN583" s="239"/>
      <c r="AO583" s="225"/>
      <c r="AP583" s="260"/>
      <c r="AQ583" s="258"/>
      <c r="AR583" s="258"/>
      <c r="AS583" s="202"/>
      <c r="AT583" s="213"/>
      <c r="AU583" s="213"/>
    </row>
    <row r="584" spans="40:47" s="121" customFormat="1" hidden="1">
      <c r="AN584" s="239"/>
      <c r="AO584" s="225"/>
      <c r="AP584" s="260"/>
      <c r="AQ584" s="258"/>
      <c r="AR584" s="258"/>
      <c r="AS584" s="202"/>
      <c r="AT584" s="213"/>
      <c r="AU584" s="213"/>
    </row>
    <row r="585" spans="40:47" s="121" customFormat="1" hidden="1">
      <c r="AN585" s="239"/>
      <c r="AO585" s="225"/>
      <c r="AP585" s="260"/>
      <c r="AQ585" s="258"/>
      <c r="AR585" s="258"/>
      <c r="AS585" s="202"/>
      <c r="AT585" s="213"/>
      <c r="AU585" s="213"/>
    </row>
    <row r="586" spans="40:47" s="121" customFormat="1" hidden="1">
      <c r="AN586" s="239"/>
      <c r="AO586" s="225"/>
      <c r="AP586" s="260"/>
      <c r="AQ586" s="258"/>
      <c r="AR586" s="258"/>
      <c r="AS586" s="202"/>
      <c r="AT586" s="213"/>
      <c r="AU586" s="213"/>
    </row>
    <row r="587" spans="40:47" s="121" customFormat="1" hidden="1">
      <c r="AN587" s="239"/>
      <c r="AO587" s="225"/>
      <c r="AP587" s="260"/>
      <c r="AQ587" s="258"/>
      <c r="AR587" s="258"/>
      <c r="AS587" s="202"/>
      <c r="AT587" s="213"/>
      <c r="AU587" s="213"/>
    </row>
    <row r="588" spans="40:47" s="121" customFormat="1" hidden="1">
      <c r="AN588" s="239"/>
      <c r="AO588" s="225"/>
      <c r="AP588" s="260"/>
      <c r="AQ588" s="258"/>
      <c r="AR588" s="258"/>
      <c r="AS588" s="202"/>
      <c r="AT588" s="213"/>
      <c r="AU588" s="213"/>
    </row>
    <row r="589" spans="40:47" s="121" customFormat="1" hidden="1">
      <c r="AN589" s="239"/>
      <c r="AO589" s="225"/>
      <c r="AP589" s="260"/>
      <c r="AQ589" s="258"/>
      <c r="AR589" s="258"/>
      <c r="AS589" s="202"/>
      <c r="AT589" s="213"/>
      <c r="AU589" s="213"/>
    </row>
    <row r="590" spans="40:47" s="121" customFormat="1" hidden="1">
      <c r="AN590" s="239"/>
      <c r="AO590" s="225"/>
      <c r="AP590" s="260"/>
      <c r="AQ590" s="258"/>
      <c r="AR590" s="258"/>
      <c r="AS590" s="202"/>
      <c r="AT590" s="213"/>
      <c r="AU590" s="213"/>
    </row>
    <row r="591" spans="40:47" s="121" customFormat="1" hidden="1">
      <c r="AN591" s="239"/>
      <c r="AO591" s="225"/>
      <c r="AP591" s="260"/>
      <c r="AQ591" s="258"/>
      <c r="AR591" s="258"/>
      <c r="AS591" s="202"/>
      <c r="AT591" s="213"/>
      <c r="AU591" s="213"/>
    </row>
    <row r="592" spans="40:47" s="121" customFormat="1" hidden="1">
      <c r="AN592" s="239"/>
      <c r="AO592" s="225"/>
      <c r="AP592" s="260"/>
      <c r="AQ592" s="258"/>
      <c r="AR592" s="258"/>
      <c r="AS592" s="202"/>
      <c r="AT592" s="213"/>
      <c r="AU592" s="213"/>
    </row>
    <row r="593" spans="40:47" s="121" customFormat="1" hidden="1">
      <c r="AN593" s="239"/>
      <c r="AO593" s="225"/>
      <c r="AP593" s="260"/>
      <c r="AQ593" s="258"/>
      <c r="AR593" s="258"/>
      <c r="AS593" s="202"/>
      <c r="AT593" s="213"/>
      <c r="AU593" s="213"/>
    </row>
    <row r="594" spans="40:47" s="121" customFormat="1" hidden="1">
      <c r="AN594" s="239"/>
      <c r="AO594" s="225"/>
      <c r="AP594" s="260"/>
      <c r="AQ594" s="258"/>
      <c r="AR594" s="258"/>
      <c r="AS594" s="202"/>
      <c r="AT594" s="213"/>
      <c r="AU594" s="213"/>
    </row>
    <row r="595" spans="40:47" s="121" customFormat="1" hidden="1">
      <c r="AN595" s="239"/>
      <c r="AO595" s="225"/>
      <c r="AP595" s="260"/>
      <c r="AQ595" s="258"/>
      <c r="AR595" s="258"/>
      <c r="AS595" s="202"/>
      <c r="AT595" s="213"/>
      <c r="AU595" s="213"/>
    </row>
    <row r="596" spans="40:47" s="121" customFormat="1" hidden="1">
      <c r="AN596" s="239"/>
      <c r="AO596" s="225"/>
      <c r="AP596" s="260"/>
      <c r="AQ596" s="258"/>
      <c r="AR596" s="258"/>
      <c r="AS596" s="202"/>
      <c r="AT596" s="213"/>
      <c r="AU596" s="213"/>
    </row>
    <row r="597" spans="40:47" s="121" customFormat="1" hidden="1">
      <c r="AN597" s="239"/>
      <c r="AO597" s="225"/>
      <c r="AP597" s="260"/>
      <c r="AQ597" s="258"/>
      <c r="AR597" s="258"/>
      <c r="AS597" s="202"/>
      <c r="AT597" s="213"/>
      <c r="AU597" s="213"/>
    </row>
    <row r="598" spans="40:47" s="121" customFormat="1" hidden="1">
      <c r="AN598" s="239"/>
      <c r="AO598" s="225"/>
      <c r="AP598" s="260"/>
      <c r="AQ598" s="258"/>
      <c r="AR598" s="258"/>
      <c r="AS598" s="202"/>
      <c r="AT598" s="213"/>
      <c r="AU598" s="213"/>
    </row>
    <row r="599" spans="40:47" s="121" customFormat="1" hidden="1">
      <c r="AN599" s="239"/>
      <c r="AO599" s="225"/>
      <c r="AP599" s="260"/>
      <c r="AQ599" s="258"/>
      <c r="AR599" s="258"/>
      <c r="AS599" s="202"/>
      <c r="AT599" s="213"/>
      <c r="AU599" s="213"/>
    </row>
    <row r="600" spans="40:47" s="121" customFormat="1" hidden="1">
      <c r="AN600" s="239"/>
      <c r="AO600" s="225"/>
      <c r="AP600" s="260"/>
      <c r="AQ600" s="258"/>
      <c r="AR600" s="258"/>
      <c r="AS600" s="202"/>
      <c r="AT600" s="213"/>
      <c r="AU600" s="213"/>
    </row>
    <row r="601" spans="40:47" s="121" customFormat="1" hidden="1">
      <c r="AN601" s="239"/>
      <c r="AO601" s="225"/>
      <c r="AP601" s="260"/>
      <c r="AQ601" s="258"/>
      <c r="AR601" s="258"/>
      <c r="AS601" s="202"/>
      <c r="AT601" s="213"/>
      <c r="AU601" s="213"/>
    </row>
    <row r="602" spans="40:47" s="121" customFormat="1" hidden="1">
      <c r="AN602" s="239"/>
      <c r="AO602" s="225"/>
      <c r="AP602" s="260"/>
      <c r="AQ602" s="258"/>
      <c r="AR602" s="258"/>
      <c r="AS602" s="202"/>
      <c r="AT602" s="213"/>
      <c r="AU602" s="213"/>
    </row>
    <row r="603" spans="40:47" s="121" customFormat="1" hidden="1">
      <c r="AN603" s="239"/>
      <c r="AO603" s="225"/>
      <c r="AP603" s="260"/>
      <c r="AQ603" s="258"/>
      <c r="AR603" s="258"/>
      <c r="AS603" s="202"/>
      <c r="AT603" s="213"/>
      <c r="AU603" s="213"/>
    </row>
    <row r="604" spans="40:47" s="121" customFormat="1" hidden="1">
      <c r="AN604" s="239"/>
      <c r="AO604" s="225"/>
      <c r="AP604" s="260"/>
      <c r="AQ604" s="258"/>
      <c r="AR604" s="258"/>
      <c r="AS604" s="202"/>
      <c r="AT604" s="213"/>
      <c r="AU604" s="213"/>
    </row>
    <row r="605" spans="40:47" s="121" customFormat="1" hidden="1">
      <c r="AN605" s="239"/>
      <c r="AO605" s="225"/>
      <c r="AP605" s="260"/>
      <c r="AQ605" s="258"/>
      <c r="AR605" s="258"/>
      <c r="AS605" s="202"/>
      <c r="AT605" s="213"/>
      <c r="AU605" s="213"/>
    </row>
    <row r="606" spans="40:47" s="121" customFormat="1" hidden="1">
      <c r="AN606" s="239"/>
      <c r="AO606" s="225"/>
      <c r="AP606" s="260"/>
      <c r="AQ606" s="258"/>
      <c r="AR606" s="258"/>
      <c r="AS606" s="202"/>
      <c r="AT606" s="213"/>
      <c r="AU606" s="213"/>
    </row>
    <row r="607" spans="40:47" s="121" customFormat="1" hidden="1">
      <c r="AN607" s="239"/>
      <c r="AO607" s="225"/>
      <c r="AP607" s="260"/>
      <c r="AQ607" s="258"/>
      <c r="AR607" s="258"/>
      <c r="AS607" s="202"/>
      <c r="AT607" s="213"/>
      <c r="AU607" s="213"/>
    </row>
    <row r="608" spans="40:47" s="121" customFormat="1" hidden="1">
      <c r="AN608" s="239"/>
      <c r="AO608" s="225"/>
      <c r="AP608" s="260"/>
      <c r="AQ608" s="258"/>
      <c r="AR608" s="258"/>
      <c r="AS608" s="202"/>
      <c r="AT608" s="213"/>
      <c r="AU608" s="213"/>
    </row>
    <row r="609" spans="40:47" s="121" customFormat="1" hidden="1">
      <c r="AN609" s="239"/>
      <c r="AO609" s="225"/>
      <c r="AP609" s="260"/>
      <c r="AQ609" s="258"/>
      <c r="AR609" s="258"/>
      <c r="AS609" s="202"/>
      <c r="AT609" s="213"/>
      <c r="AU609" s="213"/>
    </row>
    <row r="610" spans="40:47" s="121" customFormat="1" hidden="1">
      <c r="AN610" s="239"/>
      <c r="AO610" s="225"/>
      <c r="AP610" s="260"/>
      <c r="AQ610" s="258"/>
      <c r="AR610" s="258"/>
      <c r="AS610" s="202"/>
      <c r="AT610" s="213"/>
      <c r="AU610" s="213"/>
    </row>
    <row r="611" spans="40:47" s="121" customFormat="1" hidden="1">
      <c r="AN611" s="239"/>
      <c r="AO611" s="225"/>
      <c r="AP611" s="260"/>
      <c r="AQ611" s="258"/>
      <c r="AR611" s="258"/>
      <c r="AS611" s="202"/>
      <c r="AT611" s="213"/>
      <c r="AU611" s="213"/>
    </row>
    <row r="612" spans="40:47" s="121" customFormat="1" hidden="1">
      <c r="AN612" s="239"/>
      <c r="AO612" s="225"/>
      <c r="AP612" s="260"/>
      <c r="AQ612" s="258"/>
      <c r="AR612" s="258"/>
      <c r="AS612" s="202"/>
      <c r="AT612" s="213"/>
      <c r="AU612" s="213"/>
    </row>
    <row r="613" spans="40:47" s="121" customFormat="1" hidden="1">
      <c r="AN613" s="239"/>
      <c r="AO613" s="225"/>
      <c r="AP613" s="260"/>
      <c r="AQ613" s="258"/>
      <c r="AR613" s="258"/>
      <c r="AS613" s="202"/>
      <c r="AT613" s="213"/>
      <c r="AU613" s="213"/>
    </row>
    <row r="614" spans="40:47" s="121" customFormat="1" hidden="1">
      <c r="AN614" s="239"/>
      <c r="AO614" s="225"/>
      <c r="AP614" s="260"/>
      <c r="AQ614" s="258"/>
      <c r="AR614" s="258"/>
      <c r="AS614" s="202"/>
      <c r="AT614" s="213"/>
      <c r="AU614" s="213"/>
    </row>
    <row r="615" spans="40:47" s="121" customFormat="1" hidden="1">
      <c r="AN615" s="239"/>
      <c r="AO615" s="225"/>
      <c r="AP615" s="260"/>
      <c r="AQ615" s="258"/>
      <c r="AR615" s="258"/>
      <c r="AS615" s="202"/>
      <c r="AT615" s="213"/>
      <c r="AU615" s="213"/>
    </row>
    <row r="616" spans="40:47" s="121" customFormat="1" hidden="1">
      <c r="AN616" s="239"/>
      <c r="AO616" s="225"/>
      <c r="AP616" s="260"/>
      <c r="AQ616" s="258"/>
      <c r="AR616" s="258"/>
      <c r="AS616" s="202"/>
      <c r="AT616" s="213"/>
      <c r="AU616" s="213"/>
    </row>
    <row r="617" spans="40:47" s="121" customFormat="1" hidden="1">
      <c r="AN617" s="239"/>
      <c r="AO617" s="225"/>
      <c r="AP617" s="260"/>
      <c r="AQ617" s="258"/>
      <c r="AR617" s="258"/>
      <c r="AS617" s="202"/>
      <c r="AT617" s="213"/>
      <c r="AU617" s="213"/>
    </row>
    <row r="618" spans="40:47" s="121" customFormat="1" hidden="1">
      <c r="AN618" s="239"/>
      <c r="AO618" s="225"/>
      <c r="AP618" s="260"/>
      <c r="AQ618" s="258"/>
      <c r="AR618" s="258"/>
      <c r="AS618" s="202"/>
      <c r="AT618" s="213"/>
      <c r="AU618" s="213"/>
    </row>
    <row r="619" spans="40:47" s="121" customFormat="1" hidden="1">
      <c r="AN619" s="239"/>
      <c r="AO619" s="225"/>
      <c r="AP619" s="260"/>
      <c r="AQ619" s="258"/>
      <c r="AR619" s="258"/>
      <c r="AS619" s="202"/>
      <c r="AT619" s="213"/>
      <c r="AU619" s="213"/>
    </row>
    <row r="620" spans="40:47" s="121" customFormat="1" hidden="1">
      <c r="AN620" s="239"/>
      <c r="AO620" s="225"/>
      <c r="AP620" s="260"/>
      <c r="AQ620" s="258"/>
      <c r="AR620" s="258"/>
      <c r="AS620" s="202"/>
      <c r="AT620" s="213"/>
      <c r="AU620" s="213"/>
    </row>
    <row r="621" spans="40:47" s="121" customFormat="1" hidden="1">
      <c r="AN621" s="239"/>
      <c r="AO621" s="225"/>
      <c r="AP621" s="260"/>
      <c r="AQ621" s="258"/>
      <c r="AR621" s="258"/>
      <c r="AS621" s="202"/>
      <c r="AT621" s="213"/>
      <c r="AU621" s="213"/>
    </row>
    <row r="622" spans="40:47" s="121" customFormat="1" hidden="1">
      <c r="AN622" s="239"/>
      <c r="AO622" s="225"/>
      <c r="AP622" s="260"/>
      <c r="AQ622" s="258"/>
      <c r="AR622" s="258"/>
      <c r="AS622" s="202"/>
      <c r="AT622" s="213"/>
      <c r="AU622" s="213"/>
    </row>
    <row r="623" spans="40:47" s="121" customFormat="1" hidden="1">
      <c r="AN623" s="239"/>
      <c r="AO623" s="225"/>
      <c r="AP623" s="260"/>
      <c r="AQ623" s="258"/>
      <c r="AR623" s="258"/>
      <c r="AS623" s="202"/>
      <c r="AT623" s="213"/>
      <c r="AU623" s="213"/>
    </row>
    <row r="624" spans="40:47" s="121" customFormat="1" hidden="1">
      <c r="AN624" s="239"/>
      <c r="AO624" s="225"/>
      <c r="AP624" s="260"/>
      <c r="AQ624" s="258"/>
      <c r="AR624" s="258"/>
      <c r="AS624" s="202"/>
      <c r="AT624" s="213"/>
      <c r="AU624" s="213"/>
    </row>
    <row r="625" spans="40:47" s="121" customFormat="1" hidden="1">
      <c r="AN625" s="239"/>
      <c r="AO625" s="225"/>
      <c r="AP625" s="260"/>
      <c r="AQ625" s="258"/>
      <c r="AR625" s="258"/>
      <c r="AS625" s="202"/>
      <c r="AT625" s="213"/>
      <c r="AU625" s="213"/>
    </row>
    <row r="626" spans="40:47" s="121" customFormat="1" hidden="1">
      <c r="AN626" s="239"/>
      <c r="AO626" s="225"/>
      <c r="AP626" s="260"/>
      <c r="AQ626" s="258"/>
      <c r="AR626" s="258"/>
      <c r="AS626" s="202"/>
      <c r="AT626" s="213"/>
      <c r="AU626" s="213"/>
    </row>
    <row r="627" spans="40:47" s="121" customFormat="1" hidden="1">
      <c r="AN627" s="239"/>
      <c r="AO627" s="225"/>
      <c r="AP627" s="260"/>
      <c r="AQ627" s="258"/>
      <c r="AR627" s="258"/>
      <c r="AS627" s="202"/>
      <c r="AT627" s="213"/>
      <c r="AU627" s="213"/>
    </row>
    <row r="628" spans="40:47" s="121" customFormat="1" hidden="1">
      <c r="AN628" s="239"/>
      <c r="AO628" s="225"/>
      <c r="AP628" s="260"/>
      <c r="AQ628" s="258"/>
      <c r="AR628" s="258"/>
      <c r="AS628" s="202"/>
      <c r="AT628" s="213"/>
      <c r="AU628" s="213"/>
    </row>
    <row r="629" spans="40:47" s="121" customFormat="1" hidden="1">
      <c r="AN629" s="239"/>
      <c r="AO629" s="225"/>
      <c r="AP629" s="260"/>
      <c r="AQ629" s="258"/>
      <c r="AR629" s="258"/>
      <c r="AS629" s="202"/>
      <c r="AT629" s="213"/>
      <c r="AU629" s="213"/>
    </row>
    <row r="630" spans="40:47" s="121" customFormat="1" hidden="1">
      <c r="AN630" s="239"/>
      <c r="AO630" s="225"/>
      <c r="AP630" s="260"/>
      <c r="AQ630" s="258"/>
      <c r="AR630" s="258"/>
      <c r="AS630" s="202"/>
      <c r="AT630" s="213"/>
      <c r="AU630" s="213"/>
    </row>
    <row r="631" spans="40:47" s="121" customFormat="1" hidden="1">
      <c r="AN631" s="239"/>
      <c r="AO631" s="225"/>
      <c r="AP631" s="260"/>
      <c r="AQ631" s="258"/>
      <c r="AR631" s="258"/>
      <c r="AS631" s="202"/>
      <c r="AT631" s="213"/>
      <c r="AU631" s="213"/>
    </row>
    <row r="632" spans="40:47" s="121" customFormat="1" hidden="1">
      <c r="AN632" s="239"/>
      <c r="AO632" s="225"/>
      <c r="AP632" s="260"/>
      <c r="AQ632" s="258"/>
      <c r="AR632" s="258"/>
      <c r="AS632" s="202"/>
      <c r="AT632" s="213"/>
      <c r="AU632" s="213"/>
    </row>
    <row r="633" spans="40:47" s="121" customFormat="1" hidden="1">
      <c r="AN633" s="239"/>
      <c r="AO633" s="225"/>
      <c r="AP633" s="260"/>
      <c r="AQ633" s="258"/>
      <c r="AR633" s="258"/>
      <c r="AS633" s="202"/>
      <c r="AT633" s="213"/>
      <c r="AU633" s="213"/>
    </row>
    <row r="634" spans="40:47" s="121" customFormat="1" hidden="1">
      <c r="AN634" s="239"/>
      <c r="AO634" s="225"/>
      <c r="AP634" s="260"/>
      <c r="AQ634" s="258"/>
      <c r="AR634" s="258"/>
      <c r="AS634" s="202"/>
      <c r="AT634" s="213"/>
      <c r="AU634" s="213"/>
    </row>
    <row r="635" spans="40:47" s="121" customFormat="1" hidden="1">
      <c r="AN635" s="239"/>
      <c r="AO635" s="225"/>
      <c r="AP635" s="260"/>
      <c r="AQ635" s="258"/>
      <c r="AR635" s="258"/>
      <c r="AS635" s="202"/>
      <c r="AT635" s="213"/>
      <c r="AU635" s="213"/>
    </row>
    <row r="636" spans="40:47" s="121" customFormat="1" hidden="1">
      <c r="AN636" s="239"/>
      <c r="AO636" s="225"/>
      <c r="AP636" s="260"/>
      <c r="AQ636" s="258"/>
      <c r="AR636" s="258"/>
      <c r="AS636" s="202"/>
      <c r="AT636" s="213"/>
      <c r="AU636" s="213"/>
    </row>
    <row r="637" spans="40:47" s="121" customFormat="1" hidden="1">
      <c r="AN637" s="239"/>
      <c r="AO637" s="225"/>
      <c r="AP637" s="260"/>
      <c r="AQ637" s="258"/>
      <c r="AR637" s="258"/>
      <c r="AS637" s="202"/>
      <c r="AT637" s="213"/>
      <c r="AU637" s="213"/>
    </row>
    <row r="638" spans="40:47" s="121" customFormat="1" hidden="1">
      <c r="AN638" s="239"/>
      <c r="AO638" s="225"/>
      <c r="AP638" s="260"/>
      <c r="AQ638" s="258"/>
      <c r="AR638" s="258"/>
      <c r="AS638" s="202"/>
      <c r="AT638" s="213"/>
      <c r="AU638" s="213"/>
    </row>
    <row r="639" spans="40:47" s="121" customFormat="1" hidden="1">
      <c r="AN639" s="239"/>
      <c r="AO639" s="225"/>
      <c r="AP639" s="260"/>
      <c r="AQ639" s="258"/>
      <c r="AR639" s="258"/>
      <c r="AS639" s="202"/>
      <c r="AT639" s="213"/>
      <c r="AU639" s="213"/>
    </row>
    <row r="640" spans="40:47" s="121" customFormat="1" hidden="1">
      <c r="AN640" s="239"/>
      <c r="AO640" s="225"/>
      <c r="AP640" s="260"/>
      <c r="AQ640" s="258"/>
      <c r="AR640" s="258"/>
      <c r="AS640" s="202"/>
      <c r="AT640" s="213"/>
      <c r="AU640" s="213"/>
    </row>
    <row r="641" spans="40:47" s="121" customFormat="1" hidden="1">
      <c r="AN641" s="239"/>
      <c r="AO641" s="225"/>
      <c r="AP641" s="260"/>
      <c r="AQ641" s="258"/>
      <c r="AR641" s="258"/>
      <c r="AS641" s="202"/>
      <c r="AT641" s="213"/>
      <c r="AU641" s="213"/>
    </row>
    <row r="642" spans="40:47" s="121" customFormat="1" hidden="1">
      <c r="AN642" s="239"/>
      <c r="AO642" s="225"/>
      <c r="AP642" s="260"/>
      <c r="AQ642" s="258"/>
      <c r="AR642" s="258"/>
      <c r="AS642" s="202"/>
      <c r="AT642" s="213"/>
      <c r="AU642" s="213"/>
    </row>
    <row r="643" spans="40:47" s="121" customFormat="1" hidden="1">
      <c r="AN643" s="239"/>
      <c r="AO643" s="225"/>
      <c r="AP643" s="260"/>
      <c r="AQ643" s="258"/>
      <c r="AR643" s="258"/>
      <c r="AS643" s="202"/>
      <c r="AT643" s="213"/>
      <c r="AU643" s="213"/>
    </row>
    <row r="644" spans="40:47" s="121" customFormat="1" hidden="1">
      <c r="AN644" s="239"/>
      <c r="AO644" s="225"/>
      <c r="AP644" s="260"/>
      <c r="AQ644" s="258"/>
      <c r="AR644" s="258"/>
      <c r="AS644" s="202"/>
      <c r="AT644" s="213"/>
      <c r="AU644" s="213"/>
    </row>
    <row r="645" spans="40:47" s="121" customFormat="1" hidden="1">
      <c r="AN645" s="239"/>
      <c r="AO645" s="225"/>
      <c r="AP645" s="260"/>
      <c r="AQ645" s="258"/>
      <c r="AR645" s="258"/>
      <c r="AS645" s="202"/>
      <c r="AT645" s="213"/>
      <c r="AU645" s="213"/>
    </row>
    <row r="646" spans="40:47" s="121" customFormat="1" hidden="1">
      <c r="AN646" s="239"/>
      <c r="AO646" s="225"/>
      <c r="AP646" s="260"/>
      <c r="AQ646" s="258"/>
      <c r="AR646" s="258"/>
      <c r="AS646" s="202"/>
      <c r="AT646" s="213"/>
      <c r="AU646" s="213"/>
    </row>
    <row r="647" spans="40:47" s="121" customFormat="1" hidden="1">
      <c r="AN647" s="239"/>
      <c r="AO647" s="225"/>
      <c r="AP647" s="260"/>
      <c r="AQ647" s="258"/>
      <c r="AR647" s="258"/>
      <c r="AS647" s="202"/>
      <c r="AT647" s="213"/>
      <c r="AU647" s="213"/>
    </row>
    <row r="648" spans="40:47" s="121" customFormat="1" hidden="1">
      <c r="AN648" s="239"/>
      <c r="AO648" s="225"/>
      <c r="AP648" s="260"/>
      <c r="AQ648" s="258"/>
      <c r="AR648" s="258"/>
      <c r="AS648" s="202"/>
      <c r="AT648" s="213"/>
      <c r="AU648" s="213"/>
    </row>
    <row r="649" spans="40:47" s="121" customFormat="1" hidden="1">
      <c r="AN649" s="239"/>
      <c r="AO649" s="225"/>
      <c r="AP649" s="260"/>
      <c r="AQ649" s="258"/>
      <c r="AR649" s="258"/>
      <c r="AS649" s="202"/>
      <c r="AT649" s="213"/>
      <c r="AU649" s="213"/>
    </row>
    <row r="650" spans="40:47" s="121" customFormat="1" hidden="1">
      <c r="AN650" s="239"/>
      <c r="AO650" s="225"/>
      <c r="AP650" s="260"/>
      <c r="AQ650" s="258"/>
      <c r="AR650" s="258"/>
      <c r="AS650" s="202"/>
      <c r="AT650" s="213"/>
      <c r="AU650" s="213"/>
    </row>
    <row r="651" spans="40:47" s="121" customFormat="1" hidden="1">
      <c r="AN651" s="239"/>
      <c r="AO651" s="225"/>
      <c r="AP651" s="260"/>
      <c r="AQ651" s="258"/>
      <c r="AR651" s="258"/>
      <c r="AS651" s="202"/>
      <c r="AT651" s="213"/>
      <c r="AU651" s="213"/>
    </row>
    <row r="652" spans="40:47" s="121" customFormat="1" hidden="1">
      <c r="AN652" s="239"/>
      <c r="AO652" s="225"/>
      <c r="AP652" s="260"/>
      <c r="AQ652" s="258"/>
      <c r="AR652" s="258"/>
      <c r="AS652" s="202"/>
      <c r="AT652" s="213"/>
      <c r="AU652" s="213"/>
    </row>
    <row r="653" spans="40:47" s="121" customFormat="1" hidden="1">
      <c r="AN653" s="239"/>
      <c r="AO653" s="225"/>
      <c r="AP653" s="260"/>
      <c r="AQ653" s="258"/>
      <c r="AR653" s="258"/>
      <c r="AS653" s="202"/>
      <c r="AT653" s="213"/>
      <c r="AU653" s="213"/>
    </row>
    <row r="654" spans="40:47" s="121" customFormat="1" hidden="1">
      <c r="AN654" s="239"/>
      <c r="AO654" s="225"/>
      <c r="AP654" s="260"/>
      <c r="AQ654" s="258"/>
      <c r="AR654" s="258"/>
      <c r="AS654" s="202"/>
      <c r="AT654" s="213"/>
      <c r="AU654" s="213"/>
    </row>
    <row r="655" spans="40:47" s="121" customFormat="1" hidden="1">
      <c r="AN655" s="239"/>
      <c r="AO655" s="225"/>
      <c r="AP655" s="260"/>
      <c r="AQ655" s="258"/>
      <c r="AR655" s="258"/>
      <c r="AS655" s="202"/>
      <c r="AT655" s="213"/>
      <c r="AU655" s="213"/>
    </row>
    <row r="656" spans="40:47" s="121" customFormat="1" hidden="1">
      <c r="AN656" s="239"/>
      <c r="AO656" s="225"/>
      <c r="AP656" s="260"/>
      <c r="AQ656" s="258"/>
      <c r="AR656" s="258"/>
      <c r="AS656" s="202"/>
      <c r="AT656" s="213"/>
      <c r="AU656" s="213"/>
    </row>
    <row r="657" spans="40:47" s="121" customFormat="1" hidden="1">
      <c r="AN657" s="239"/>
      <c r="AO657" s="225"/>
      <c r="AP657" s="260"/>
      <c r="AQ657" s="258"/>
      <c r="AR657" s="258"/>
      <c r="AS657" s="202"/>
      <c r="AT657" s="213"/>
      <c r="AU657" s="213"/>
    </row>
    <row r="658" spans="40:47" s="121" customFormat="1" hidden="1">
      <c r="AN658" s="239"/>
      <c r="AO658" s="225"/>
      <c r="AP658" s="260"/>
      <c r="AQ658" s="258"/>
      <c r="AR658" s="258"/>
      <c r="AS658" s="202"/>
      <c r="AT658" s="213"/>
      <c r="AU658" s="213"/>
    </row>
    <row r="659" spans="40:47" s="121" customFormat="1" hidden="1">
      <c r="AN659" s="239"/>
      <c r="AO659" s="225"/>
      <c r="AP659" s="260"/>
      <c r="AQ659" s="258"/>
      <c r="AR659" s="258"/>
      <c r="AS659" s="202"/>
      <c r="AT659" s="213"/>
      <c r="AU659" s="213"/>
    </row>
    <row r="660" spans="40:47" s="121" customFormat="1" hidden="1">
      <c r="AN660" s="239"/>
      <c r="AO660" s="225"/>
      <c r="AP660" s="260"/>
      <c r="AQ660" s="258"/>
      <c r="AR660" s="258"/>
      <c r="AS660" s="202"/>
      <c r="AT660" s="213"/>
      <c r="AU660" s="213"/>
    </row>
    <row r="661" spans="40:47" s="121" customFormat="1" hidden="1">
      <c r="AN661" s="239"/>
      <c r="AO661" s="225"/>
      <c r="AP661" s="260"/>
      <c r="AQ661" s="258"/>
      <c r="AR661" s="258"/>
      <c r="AS661" s="202"/>
      <c r="AT661" s="213"/>
      <c r="AU661" s="213"/>
    </row>
    <row r="662" spans="40:47" s="121" customFormat="1" hidden="1">
      <c r="AN662" s="239"/>
      <c r="AO662" s="225"/>
      <c r="AP662" s="260"/>
      <c r="AQ662" s="258"/>
      <c r="AR662" s="258"/>
      <c r="AS662" s="202"/>
      <c r="AT662" s="213"/>
      <c r="AU662" s="213"/>
    </row>
    <row r="663" spans="40:47" s="121" customFormat="1" hidden="1">
      <c r="AN663" s="239"/>
      <c r="AO663" s="225"/>
      <c r="AP663" s="260"/>
      <c r="AQ663" s="258"/>
      <c r="AR663" s="258"/>
      <c r="AS663" s="202"/>
      <c r="AT663" s="213"/>
      <c r="AU663" s="213"/>
    </row>
    <row r="664" spans="40:47" s="121" customFormat="1" hidden="1">
      <c r="AN664" s="239"/>
      <c r="AO664" s="225"/>
      <c r="AP664" s="260"/>
      <c r="AQ664" s="258"/>
      <c r="AR664" s="258"/>
      <c r="AS664" s="202"/>
      <c r="AT664" s="213"/>
      <c r="AU664" s="213"/>
    </row>
    <row r="665" spans="40:47" s="121" customFormat="1" hidden="1">
      <c r="AN665" s="239"/>
      <c r="AO665" s="225"/>
      <c r="AP665" s="260"/>
      <c r="AQ665" s="258"/>
      <c r="AR665" s="258"/>
      <c r="AS665" s="202"/>
      <c r="AT665" s="213"/>
      <c r="AU665" s="213"/>
    </row>
    <row r="666" spans="40:47" s="121" customFormat="1" hidden="1">
      <c r="AN666" s="239"/>
      <c r="AO666" s="225"/>
      <c r="AP666" s="260"/>
      <c r="AQ666" s="258"/>
      <c r="AR666" s="258"/>
      <c r="AS666" s="202"/>
      <c r="AT666" s="213"/>
      <c r="AU666" s="213"/>
    </row>
    <row r="667" spans="40:47" s="121" customFormat="1" hidden="1">
      <c r="AN667" s="239"/>
      <c r="AO667" s="225"/>
      <c r="AP667" s="260"/>
      <c r="AQ667" s="258"/>
      <c r="AR667" s="258"/>
      <c r="AS667" s="202"/>
      <c r="AT667" s="213"/>
      <c r="AU667" s="213"/>
    </row>
    <row r="668" spans="40:47" s="121" customFormat="1" hidden="1">
      <c r="AN668" s="239"/>
      <c r="AO668" s="225"/>
      <c r="AP668" s="260"/>
      <c r="AQ668" s="258"/>
      <c r="AR668" s="258"/>
      <c r="AS668" s="202"/>
      <c r="AT668" s="213"/>
      <c r="AU668" s="213"/>
    </row>
    <row r="669" spans="40:47" s="121" customFormat="1" hidden="1">
      <c r="AN669" s="239"/>
      <c r="AO669" s="225"/>
      <c r="AP669" s="260"/>
      <c r="AQ669" s="258"/>
      <c r="AR669" s="258"/>
      <c r="AS669" s="202"/>
      <c r="AT669" s="213"/>
      <c r="AU669" s="213"/>
    </row>
    <row r="670" spans="40:47" s="121" customFormat="1" hidden="1">
      <c r="AN670" s="239"/>
      <c r="AO670" s="225"/>
      <c r="AP670" s="260"/>
      <c r="AQ670" s="258"/>
      <c r="AR670" s="258"/>
      <c r="AS670" s="202"/>
      <c r="AT670" s="213"/>
      <c r="AU670" s="213"/>
    </row>
    <row r="671" spans="40:47" s="121" customFormat="1" hidden="1">
      <c r="AN671" s="239"/>
      <c r="AO671" s="225"/>
      <c r="AP671" s="260"/>
      <c r="AQ671" s="258"/>
      <c r="AR671" s="258"/>
      <c r="AS671" s="202"/>
      <c r="AT671" s="213"/>
      <c r="AU671" s="213"/>
    </row>
    <row r="672" spans="40:47" s="121" customFormat="1" hidden="1">
      <c r="AN672" s="239"/>
      <c r="AO672" s="225"/>
      <c r="AP672" s="260"/>
      <c r="AQ672" s="258"/>
      <c r="AR672" s="258"/>
      <c r="AS672" s="202"/>
      <c r="AT672" s="213"/>
      <c r="AU672" s="213"/>
    </row>
    <row r="673" spans="40:47" s="121" customFormat="1" hidden="1">
      <c r="AN673" s="239"/>
      <c r="AO673" s="225"/>
      <c r="AP673" s="260"/>
      <c r="AQ673" s="258"/>
      <c r="AR673" s="258"/>
      <c r="AS673" s="202"/>
      <c r="AT673" s="213"/>
      <c r="AU673" s="213"/>
    </row>
    <row r="674" spans="40:47" s="121" customFormat="1" hidden="1">
      <c r="AN674" s="239"/>
      <c r="AO674" s="225"/>
      <c r="AP674" s="260"/>
      <c r="AQ674" s="258"/>
      <c r="AR674" s="258"/>
      <c r="AS674" s="202"/>
      <c r="AT674" s="213"/>
      <c r="AU674" s="213"/>
    </row>
    <row r="675" spans="40:47" s="121" customFormat="1" hidden="1">
      <c r="AN675" s="239"/>
      <c r="AO675" s="225"/>
      <c r="AP675" s="260"/>
      <c r="AQ675" s="258"/>
      <c r="AR675" s="258"/>
      <c r="AS675" s="202"/>
      <c r="AT675" s="213"/>
      <c r="AU675" s="213"/>
    </row>
    <row r="676" spans="40:47" s="121" customFormat="1" hidden="1">
      <c r="AN676" s="239"/>
      <c r="AO676" s="225"/>
      <c r="AP676" s="260"/>
      <c r="AQ676" s="258"/>
      <c r="AR676" s="258"/>
      <c r="AS676" s="202"/>
      <c r="AT676" s="213"/>
      <c r="AU676" s="213"/>
    </row>
    <row r="677" spans="40:47" s="121" customFormat="1" hidden="1">
      <c r="AN677" s="239"/>
      <c r="AO677" s="225"/>
      <c r="AP677" s="260"/>
      <c r="AQ677" s="258"/>
      <c r="AR677" s="258"/>
      <c r="AS677" s="202"/>
      <c r="AT677" s="213"/>
      <c r="AU677" s="213"/>
    </row>
    <row r="678" spans="40:47" s="121" customFormat="1" hidden="1">
      <c r="AN678" s="239"/>
      <c r="AO678" s="225"/>
      <c r="AP678" s="260"/>
      <c r="AQ678" s="258"/>
      <c r="AR678" s="258"/>
      <c r="AS678" s="202"/>
      <c r="AT678" s="213"/>
      <c r="AU678" s="213"/>
    </row>
    <row r="679" spans="40:47" s="121" customFormat="1" hidden="1">
      <c r="AN679" s="239"/>
      <c r="AO679" s="225"/>
      <c r="AP679" s="260"/>
      <c r="AQ679" s="258"/>
      <c r="AR679" s="258"/>
      <c r="AS679" s="202"/>
      <c r="AT679" s="213"/>
      <c r="AU679" s="213"/>
    </row>
    <row r="680" spans="40:47" s="121" customFormat="1" hidden="1">
      <c r="AN680" s="239"/>
      <c r="AO680" s="225"/>
      <c r="AP680" s="260"/>
      <c r="AQ680" s="258"/>
      <c r="AR680" s="258"/>
      <c r="AS680" s="202"/>
      <c r="AT680" s="213"/>
      <c r="AU680" s="213"/>
    </row>
    <row r="681" spans="40:47" s="121" customFormat="1" hidden="1">
      <c r="AN681" s="239"/>
      <c r="AO681" s="225"/>
      <c r="AP681" s="260"/>
      <c r="AQ681" s="258"/>
      <c r="AR681" s="258"/>
      <c r="AS681" s="202"/>
      <c r="AT681" s="213"/>
      <c r="AU681" s="213"/>
    </row>
    <row r="682" spans="40:47" s="121" customFormat="1" hidden="1">
      <c r="AN682" s="239"/>
      <c r="AO682" s="225"/>
      <c r="AP682" s="260"/>
      <c r="AQ682" s="258"/>
      <c r="AR682" s="258"/>
      <c r="AS682" s="202"/>
      <c r="AT682" s="213"/>
      <c r="AU682" s="213"/>
    </row>
    <row r="683" spans="40:47" s="121" customFormat="1" hidden="1">
      <c r="AN683" s="239"/>
      <c r="AO683" s="225"/>
      <c r="AP683" s="260"/>
      <c r="AQ683" s="258"/>
      <c r="AR683" s="258"/>
      <c r="AS683" s="202"/>
      <c r="AT683" s="213"/>
      <c r="AU683" s="213"/>
    </row>
    <row r="684" spans="40:47" s="121" customFormat="1" hidden="1">
      <c r="AN684" s="239"/>
      <c r="AO684" s="225"/>
      <c r="AP684" s="260"/>
      <c r="AQ684" s="258"/>
      <c r="AR684" s="258"/>
      <c r="AS684" s="202"/>
      <c r="AT684" s="213"/>
      <c r="AU684" s="213"/>
    </row>
    <row r="685" spans="40:47" s="121" customFormat="1" hidden="1">
      <c r="AN685" s="239"/>
      <c r="AO685" s="225"/>
      <c r="AP685" s="260"/>
      <c r="AQ685" s="258"/>
      <c r="AR685" s="258"/>
      <c r="AS685" s="202"/>
      <c r="AT685" s="213"/>
      <c r="AU685" s="213"/>
    </row>
    <row r="686" spans="40:47" s="121" customFormat="1" hidden="1">
      <c r="AN686" s="239"/>
      <c r="AO686" s="225"/>
      <c r="AP686" s="260"/>
      <c r="AQ686" s="258"/>
      <c r="AR686" s="258"/>
      <c r="AS686" s="202"/>
      <c r="AT686" s="213"/>
      <c r="AU686" s="213"/>
    </row>
    <row r="687" spans="40:47" s="121" customFormat="1" hidden="1">
      <c r="AN687" s="239"/>
      <c r="AO687" s="225"/>
      <c r="AP687" s="260"/>
      <c r="AQ687" s="258"/>
      <c r="AR687" s="258"/>
      <c r="AS687" s="202"/>
      <c r="AT687" s="213"/>
      <c r="AU687" s="213"/>
    </row>
    <row r="688" spans="40:47" s="121" customFormat="1" hidden="1">
      <c r="AN688" s="239"/>
      <c r="AO688" s="225"/>
      <c r="AP688" s="260"/>
      <c r="AQ688" s="258"/>
      <c r="AR688" s="258"/>
      <c r="AS688" s="202"/>
      <c r="AT688" s="213"/>
      <c r="AU688" s="213"/>
    </row>
    <row r="689" spans="40:47" s="121" customFormat="1" hidden="1">
      <c r="AN689" s="239"/>
      <c r="AO689" s="225"/>
      <c r="AP689" s="260"/>
      <c r="AQ689" s="258"/>
      <c r="AR689" s="258"/>
      <c r="AS689" s="202"/>
      <c r="AT689" s="213"/>
      <c r="AU689" s="213"/>
    </row>
    <row r="690" spans="40:47" s="121" customFormat="1" hidden="1">
      <c r="AN690" s="239"/>
      <c r="AO690" s="225"/>
      <c r="AP690" s="260"/>
      <c r="AQ690" s="258"/>
      <c r="AR690" s="258"/>
      <c r="AS690" s="202"/>
      <c r="AT690" s="213"/>
      <c r="AU690" s="213"/>
    </row>
    <row r="691" spans="40:47" s="121" customFormat="1" hidden="1">
      <c r="AN691" s="239"/>
      <c r="AO691" s="225"/>
      <c r="AP691" s="260"/>
      <c r="AQ691" s="258"/>
      <c r="AR691" s="258"/>
      <c r="AS691" s="202"/>
      <c r="AT691" s="213"/>
      <c r="AU691" s="213"/>
    </row>
    <row r="692" spans="40:47" s="121" customFormat="1" hidden="1">
      <c r="AN692" s="239"/>
      <c r="AO692" s="225"/>
      <c r="AP692" s="260"/>
      <c r="AQ692" s="258"/>
      <c r="AR692" s="258"/>
      <c r="AS692" s="202"/>
      <c r="AT692" s="213"/>
      <c r="AU692" s="213"/>
    </row>
    <row r="693" spans="40:47" s="121" customFormat="1" hidden="1">
      <c r="AN693" s="239"/>
      <c r="AO693" s="225"/>
      <c r="AP693" s="260"/>
      <c r="AQ693" s="258"/>
      <c r="AR693" s="258"/>
      <c r="AS693" s="202"/>
      <c r="AT693" s="213"/>
      <c r="AU693" s="213"/>
    </row>
    <row r="694" spans="40:47" s="121" customFormat="1" hidden="1">
      <c r="AN694" s="239"/>
      <c r="AO694" s="225"/>
      <c r="AP694" s="260"/>
      <c r="AQ694" s="258"/>
      <c r="AR694" s="258"/>
      <c r="AS694" s="202"/>
      <c r="AT694" s="213"/>
      <c r="AU694" s="213"/>
    </row>
    <row r="695" spans="40:47" s="121" customFormat="1" hidden="1">
      <c r="AN695" s="239"/>
      <c r="AO695" s="225"/>
      <c r="AP695" s="260"/>
      <c r="AQ695" s="258"/>
      <c r="AR695" s="258"/>
      <c r="AS695" s="202"/>
      <c r="AT695" s="213"/>
      <c r="AU695" s="213"/>
    </row>
    <row r="696" spans="40:47" s="121" customFormat="1" hidden="1">
      <c r="AN696" s="239"/>
      <c r="AO696" s="225"/>
      <c r="AP696" s="260"/>
      <c r="AQ696" s="258"/>
      <c r="AR696" s="258"/>
      <c r="AS696" s="202"/>
      <c r="AT696" s="213"/>
      <c r="AU696" s="213"/>
    </row>
    <row r="697" spans="40:47" s="121" customFormat="1" hidden="1">
      <c r="AN697" s="239"/>
      <c r="AO697" s="225"/>
      <c r="AP697" s="260"/>
      <c r="AQ697" s="258"/>
      <c r="AR697" s="258"/>
      <c r="AS697" s="202"/>
      <c r="AT697" s="213"/>
      <c r="AU697" s="213"/>
    </row>
    <row r="698" spans="40:47" s="121" customFormat="1" hidden="1">
      <c r="AN698" s="239"/>
      <c r="AO698" s="225"/>
      <c r="AP698" s="260"/>
      <c r="AQ698" s="258"/>
      <c r="AR698" s="258"/>
      <c r="AS698" s="202"/>
      <c r="AT698" s="213"/>
      <c r="AU698" s="213"/>
    </row>
    <row r="699" spans="40:47" s="121" customFormat="1" hidden="1">
      <c r="AN699" s="239"/>
      <c r="AO699" s="225"/>
      <c r="AP699" s="260"/>
      <c r="AQ699" s="258"/>
      <c r="AR699" s="258"/>
      <c r="AS699" s="202"/>
      <c r="AT699" s="213"/>
      <c r="AU699" s="213"/>
    </row>
    <row r="700" spans="40:47" s="121" customFormat="1">
      <c r="AN700" s="236" t="s">
        <v>2985</v>
      </c>
      <c r="AO700" s="225" t="s">
        <v>2972</v>
      </c>
      <c r="AP700" s="257">
        <f>SUM(AQ700:AR700)</f>
        <v>0</v>
      </c>
      <c r="AQ700" s="258"/>
      <c r="AR700" s="258"/>
      <c r="AS700" s="202"/>
      <c r="AT700" s="213"/>
      <c r="AU700" s="213"/>
    </row>
    <row r="701" spans="40:47" s="121" customFormat="1">
      <c r="AN701" s="236" t="s">
        <v>2987</v>
      </c>
      <c r="AO701" s="225" t="s">
        <v>2988</v>
      </c>
      <c r="AP701" s="257">
        <f>SUM(AQ701:AR701)</f>
        <v>0</v>
      </c>
      <c r="AQ701" s="258"/>
      <c r="AR701" s="258"/>
      <c r="AS701" s="202"/>
      <c r="AT701" s="213"/>
      <c r="AU701" s="213"/>
    </row>
    <row r="702" spans="40:47" s="121" customFormat="1" hidden="1" collapsed="1">
      <c r="AN702" s="239"/>
      <c r="AO702" s="226"/>
      <c r="AP702" s="260"/>
      <c r="AQ702" s="258"/>
      <c r="AR702" s="258"/>
      <c r="AS702" s="202"/>
      <c r="AT702" s="213"/>
      <c r="AU702" s="213"/>
    </row>
    <row r="703" spans="40:47" s="121" customFormat="1" hidden="1">
      <c r="AN703" s="239"/>
      <c r="AO703" s="227"/>
      <c r="AP703" s="260"/>
      <c r="AQ703" s="258"/>
      <c r="AR703" s="258"/>
      <c r="AS703" s="202"/>
      <c r="AT703" s="213"/>
      <c r="AU703" s="213"/>
    </row>
    <row r="704" spans="40:47" s="121" customFormat="1" hidden="1">
      <c r="AN704" s="239"/>
      <c r="AO704" s="227"/>
      <c r="AP704" s="260"/>
      <c r="AQ704" s="258"/>
      <c r="AR704" s="258"/>
      <c r="AS704" s="202"/>
      <c r="AT704" s="213"/>
      <c r="AU704" s="213"/>
    </row>
    <row r="705" spans="40:47" s="121" customFormat="1" hidden="1">
      <c r="AN705" s="239"/>
      <c r="AO705" s="226"/>
      <c r="AP705" s="260"/>
      <c r="AQ705" s="258"/>
      <c r="AR705" s="258"/>
      <c r="AS705" s="202"/>
      <c r="AT705" s="213"/>
      <c r="AU705" s="213"/>
    </row>
    <row r="706" spans="40:47" s="121" customFormat="1" hidden="1" collapsed="1">
      <c r="AN706" s="239"/>
      <c r="AO706" s="227"/>
      <c r="AP706" s="260"/>
      <c r="AQ706" s="258"/>
      <c r="AR706" s="258"/>
      <c r="AS706" s="202"/>
      <c r="AT706" s="213"/>
      <c r="AU706" s="213"/>
    </row>
    <row r="707" spans="40:47" s="121" customFormat="1" hidden="1">
      <c r="AN707" s="239"/>
      <c r="AO707" s="227"/>
      <c r="AP707" s="260"/>
      <c r="AQ707" s="258"/>
      <c r="AR707" s="258"/>
      <c r="AS707" s="202"/>
      <c r="AT707" s="213"/>
      <c r="AU707" s="213"/>
    </row>
    <row r="708" spans="40:47" s="121" customFormat="1" hidden="1">
      <c r="AN708" s="239"/>
      <c r="AO708" s="226"/>
      <c r="AP708" s="260"/>
      <c r="AQ708" s="258"/>
      <c r="AR708" s="258"/>
      <c r="AS708" s="202"/>
      <c r="AT708" s="213"/>
      <c r="AU708" s="213"/>
    </row>
    <row r="709" spans="40:47" s="121" customFormat="1" hidden="1">
      <c r="AN709" s="239"/>
      <c r="AO709" s="225"/>
      <c r="AP709" s="260"/>
      <c r="AQ709" s="258"/>
      <c r="AR709" s="258"/>
      <c r="AS709" s="202"/>
      <c r="AT709" s="213"/>
      <c r="AU709" s="213"/>
    </row>
    <row r="710" spans="40:47" s="121" customFormat="1" hidden="1" collapsed="1">
      <c r="AN710" s="239"/>
      <c r="AO710" s="225"/>
      <c r="AP710" s="260"/>
      <c r="AQ710" s="258"/>
      <c r="AR710" s="258"/>
      <c r="AS710" s="202"/>
      <c r="AT710" s="213"/>
      <c r="AU710" s="213"/>
    </row>
    <row r="711" spans="40:47" s="121" customFormat="1" hidden="1">
      <c r="AN711" s="239"/>
      <c r="AO711" s="225"/>
      <c r="AP711" s="260"/>
      <c r="AQ711" s="258"/>
      <c r="AR711" s="258"/>
      <c r="AS711" s="202"/>
      <c r="AT711" s="213"/>
      <c r="AU711" s="213"/>
    </row>
    <row r="712" spans="40:47" s="121" customFormat="1" hidden="1">
      <c r="AN712" s="239"/>
      <c r="AO712" s="225"/>
      <c r="AP712" s="260"/>
      <c r="AQ712" s="258"/>
      <c r="AR712" s="258"/>
      <c r="AS712" s="202"/>
      <c r="AT712" s="213"/>
      <c r="AU712" s="213"/>
    </row>
    <row r="713" spans="40:47" s="121" customFormat="1" hidden="1">
      <c r="AN713" s="239"/>
      <c r="AO713" s="225"/>
      <c r="AP713" s="260"/>
      <c r="AQ713" s="258"/>
      <c r="AR713" s="258"/>
      <c r="AS713" s="202"/>
      <c r="AT713" s="213"/>
      <c r="AU713" s="213"/>
    </row>
    <row r="714" spans="40:47" s="121" customFormat="1" hidden="1">
      <c r="AN714" s="239"/>
      <c r="AO714" s="225"/>
      <c r="AP714" s="260"/>
      <c r="AQ714" s="258"/>
      <c r="AR714" s="258"/>
      <c r="AS714" s="202"/>
      <c r="AT714" s="213"/>
      <c r="AU714" s="213"/>
    </row>
    <row r="715" spans="40:47" s="121" customFormat="1" hidden="1">
      <c r="AN715" s="239"/>
      <c r="AO715" s="225"/>
      <c r="AP715" s="260"/>
      <c r="AQ715" s="258"/>
      <c r="AR715" s="258"/>
      <c r="AS715" s="202"/>
      <c r="AT715" s="213"/>
      <c r="AU715" s="213"/>
    </row>
    <row r="716" spans="40:47" s="121" customFormat="1" hidden="1">
      <c r="AN716" s="239"/>
      <c r="AO716" s="225"/>
      <c r="AP716" s="260"/>
      <c r="AQ716" s="258"/>
      <c r="AR716" s="258"/>
      <c r="AS716" s="202"/>
      <c r="AT716" s="213"/>
      <c r="AU716" s="213"/>
    </row>
    <row r="717" spans="40:47" s="121" customFormat="1" hidden="1">
      <c r="AN717" s="239"/>
      <c r="AO717" s="225"/>
      <c r="AP717" s="260"/>
      <c r="AQ717" s="258"/>
      <c r="AR717" s="258"/>
      <c r="AS717" s="202"/>
      <c r="AT717" s="213"/>
      <c r="AU717" s="213"/>
    </row>
    <row r="718" spans="40:47" s="121" customFormat="1" hidden="1">
      <c r="AN718" s="239"/>
      <c r="AO718" s="225"/>
      <c r="AP718" s="260"/>
      <c r="AQ718" s="258"/>
      <c r="AR718" s="258"/>
      <c r="AS718" s="202"/>
      <c r="AT718" s="213"/>
      <c r="AU718" s="213"/>
    </row>
    <row r="719" spans="40:47" s="121" customFormat="1" hidden="1">
      <c r="AN719" s="239"/>
      <c r="AO719" s="225"/>
      <c r="AP719" s="260"/>
      <c r="AQ719" s="258"/>
      <c r="AR719" s="258"/>
      <c r="AS719" s="202"/>
      <c r="AT719" s="213"/>
      <c r="AU719" s="213"/>
    </row>
    <row r="720" spans="40:47" s="121" customFormat="1" hidden="1">
      <c r="AN720" s="239"/>
      <c r="AO720" s="225"/>
      <c r="AP720" s="260"/>
      <c r="AQ720" s="258"/>
      <c r="AR720" s="258"/>
      <c r="AS720" s="202"/>
      <c r="AT720" s="213"/>
      <c r="AU720" s="213"/>
    </row>
    <row r="721" spans="1:47" s="121" customFormat="1" hidden="1">
      <c r="AN721" s="239"/>
      <c r="AO721" s="225"/>
      <c r="AP721" s="260"/>
      <c r="AQ721" s="258"/>
      <c r="AR721" s="258"/>
      <c r="AS721" s="202"/>
      <c r="AT721" s="213"/>
      <c r="AU721" s="213"/>
    </row>
    <row r="722" spans="1:47" s="121" customFormat="1" hidden="1">
      <c r="AN722" s="239"/>
      <c r="AO722" s="225"/>
      <c r="AP722" s="260"/>
      <c r="AQ722" s="258"/>
      <c r="AR722" s="258"/>
      <c r="AS722" s="202"/>
      <c r="AT722" s="213"/>
      <c r="AU722" s="213"/>
    </row>
    <row r="723" spans="1:47" s="121" customFormat="1" hidden="1">
      <c r="AN723" s="239"/>
      <c r="AO723" s="225"/>
      <c r="AP723" s="260"/>
      <c r="AQ723" s="258"/>
      <c r="AR723" s="258"/>
      <c r="AS723" s="202"/>
      <c r="AT723" s="213"/>
      <c r="AU723" s="213"/>
    </row>
    <row r="724" spans="1:47" s="121" customFormat="1" hidden="1">
      <c r="AN724" s="239"/>
      <c r="AO724" s="225"/>
      <c r="AP724" s="260"/>
      <c r="AQ724" s="258"/>
      <c r="AR724" s="258"/>
      <c r="AS724" s="202"/>
      <c r="AT724" s="213"/>
      <c r="AU724" s="213"/>
    </row>
    <row r="725" spans="1:47" s="121" customFormat="1" hidden="1">
      <c r="AN725" s="239"/>
      <c r="AO725" s="225"/>
      <c r="AP725" s="260"/>
      <c r="AQ725" s="258"/>
      <c r="AR725" s="258"/>
      <c r="AS725" s="202"/>
      <c r="AT725" s="213"/>
      <c r="AU725" s="213"/>
    </row>
    <row r="726" spans="1:47" s="121" customFormat="1" hidden="1">
      <c r="AN726" s="239"/>
      <c r="AO726" s="225"/>
      <c r="AP726" s="260"/>
      <c r="AQ726" s="258"/>
      <c r="AR726" s="258"/>
      <c r="AS726" s="202"/>
      <c r="AT726" s="213"/>
      <c r="AU726" s="213"/>
    </row>
    <row r="727" spans="1:47">
      <c r="A727" s="51"/>
      <c r="B727" s="51"/>
      <c r="C727" s="51"/>
      <c r="D727" s="51"/>
      <c r="E727" s="51"/>
      <c r="F727" s="51"/>
      <c r="G727" s="51"/>
      <c r="H727" s="51"/>
      <c r="I727" s="51"/>
      <c r="AN727" s="234" t="s">
        <v>769</v>
      </c>
      <c r="AO727" s="235" t="s">
        <v>2991</v>
      </c>
      <c r="AP727" s="257">
        <f>SUM(AQ727:AR727)</f>
        <v>0</v>
      </c>
      <c r="AQ727" s="258"/>
      <c r="AR727" s="258"/>
      <c r="AS727" s="202"/>
    </row>
    <row r="728" spans="1:47">
      <c r="A728" s="51"/>
      <c r="B728" s="51"/>
      <c r="C728" s="51"/>
      <c r="D728" s="51"/>
      <c r="E728" s="51"/>
      <c r="F728" s="51"/>
      <c r="G728" s="51"/>
      <c r="H728" s="51"/>
      <c r="I728" s="51"/>
      <c r="AN728" s="234" t="s">
        <v>770</v>
      </c>
      <c r="AO728" s="442" t="s">
        <v>2992</v>
      </c>
      <c r="AP728" s="257">
        <f>SUM(AQ728:AR728)</f>
        <v>0</v>
      </c>
      <c r="AQ728" s="258"/>
      <c r="AR728" s="258"/>
      <c r="AS728" s="202"/>
    </row>
    <row r="729" spans="1:47">
      <c r="A729" s="51"/>
      <c r="B729" s="51"/>
      <c r="C729" s="51"/>
      <c r="D729" s="51"/>
      <c r="E729" s="51"/>
      <c r="F729" s="51"/>
      <c r="G729" s="51"/>
      <c r="H729" s="51"/>
      <c r="I729" s="51"/>
      <c r="AN729" s="236" t="s">
        <v>2993</v>
      </c>
      <c r="AO729" s="225" t="s">
        <v>2994</v>
      </c>
      <c r="AP729" s="257">
        <f>SUM(AQ729:AR729)</f>
        <v>0</v>
      </c>
      <c r="AQ729" s="258"/>
      <c r="AR729" s="258"/>
      <c r="AS729" s="202"/>
    </row>
    <row r="730" spans="1:47">
      <c r="A730" s="51"/>
      <c r="B730" s="51"/>
      <c r="C730" s="51"/>
      <c r="D730" s="51"/>
      <c r="E730" s="51"/>
      <c r="F730" s="51"/>
      <c r="G730" s="51"/>
      <c r="H730" s="51"/>
      <c r="I730" s="51"/>
      <c r="AN730" s="236" t="s">
        <v>2995</v>
      </c>
      <c r="AO730" s="482" t="s">
        <v>2791</v>
      </c>
      <c r="AP730" s="257">
        <f>SUM(AQ730:AR730)</f>
        <v>0</v>
      </c>
      <c r="AQ730" s="258"/>
      <c r="AR730" s="258"/>
      <c r="AS730" s="202"/>
    </row>
    <row r="731" spans="1:47">
      <c r="A731" s="51"/>
      <c r="B731" s="51"/>
      <c r="C731" s="51"/>
      <c r="D731" s="51"/>
      <c r="E731" s="51"/>
      <c r="F731" s="51"/>
      <c r="G731" s="51"/>
      <c r="H731" s="51"/>
      <c r="I731" s="51"/>
      <c r="AN731" s="594" t="str">
        <f>IF(TEMPLATE_CLAIM="P","5.1.1.1.1","")</f>
        <v/>
      </c>
      <c r="AO731" s="593" t="str">
        <f>IF(TEMPLATE_CLAIM="P","от станций с мощностью производства &gt;= 25 МВт","")</f>
        <v/>
      </c>
      <c r="AP731" s="257" t="str">
        <f>IF(TEMPLATE_CLAIM="P",SUM(AQ731:AR731),"")</f>
        <v/>
      </c>
      <c r="AQ731" s="258"/>
      <c r="AR731" s="258"/>
      <c r="AS731" s="202"/>
    </row>
    <row r="732" spans="1:47">
      <c r="A732" s="51"/>
      <c r="B732" s="51"/>
      <c r="C732" s="51"/>
      <c r="D732" s="51"/>
      <c r="E732" s="51"/>
      <c r="F732" s="51"/>
      <c r="G732" s="51"/>
      <c r="H732" s="51"/>
      <c r="I732" s="51"/>
      <c r="AN732" s="594" t="str">
        <f>IF(TEMPLATE_CLAIM="P","5.1.1.1.2","")</f>
        <v/>
      </c>
      <c r="AO732" s="593" t="str">
        <f>IF(TEMPLATE_CLAIM="P","от станций с мощностью производства &lt; 25 МВт","")</f>
        <v/>
      </c>
      <c r="AP732" s="257" t="str">
        <f>IF(TEMPLATE_CLAIM="P",SUM(AQ732:AR732),"")</f>
        <v/>
      </c>
      <c r="AQ732" s="258"/>
      <c r="AR732" s="258"/>
      <c r="AS732" s="202"/>
    </row>
    <row r="733" spans="1:47" ht="0.75" customHeight="1">
      <c r="A733" s="51"/>
      <c r="B733" s="51"/>
      <c r="C733" s="51"/>
      <c r="D733" s="51"/>
      <c r="E733" s="51"/>
      <c r="F733" s="51"/>
      <c r="G733" s="51"/>
      <c r="H733" s="51"/>
      <c r="I733" s="51"/>
      <c r="AN733" s="236"/>
      <c r="AO733" s="243"/>
      <c r="AP733" s="260"/>
      <c r="AQ733" s="258"/>
      <c r="AR733" s="258"/>
      <c r="AS733" s="202"/>
    </row>
    <row r="734" spans="1:47">
      <c r="A734" s="51"/>
      <c r="B734" s="51"/>
      <c r="C734" s="51"/>
      <c r="D734" s="51"/>
      <c r="E734" s="51"/>
      <c r="F734" s="51"/>
      <c r="G734" s="51"/>
      <c r="H734" s="51"/>
      <c r="I734" s="51"/>
      <c r="AN734" s="236" t="s">
        <v>2998</v>
      </c>
      <c r="AO734" s="482" t="s">
        <v>755</v>
      </c>
      <c r="AP734" s="257">
        <f>SUM(AQ734:AR734)</f>
        <v>0</v>
      </c>
      <c r="AQ734" s="258"/>
      <c r="AR734" s="258"/>
      <c r="AS734" s="202"/>
    </row>
    <row r="735" spans="1:47">
      <c r="A735" s="51"/>
      <c r="B735" s="51"/>
      <c r="C735" s="51"/>
      <c r="D735" s="51"/>
      <c r="E735" s="51"/>
      <c r="F735" s="51"/>
      <c r="G735" s="51"/>
      <c r="H735" s="51"/>
      <c r="I735" s="51"/>
      <c r="AN735" s="594" t="str">
        <f>IF(TEMPLATE_CLAIM="P","5.1.1.2.1","")</f>
        <v/>
      </c>
      <c r="AO735" s="593" t="str">
        <f>IF(TEMPLATE_CLAIM="P","от станций с мощностью производства &gt;= 25 МВт","")</f>
        <v/>
      </c>
      <c r="AP735" s="257" t="str">
        <f>IF(TEMPLATE_CLAIM="P",SUM(AQ735:AR735),"")</f>
        <v/>
      </c>
      <c r="AQ735" s="258"/>
      <c r="AR735" s="258"/>
      <c r="AS735" s="202"/>
    </row>
    <row r="736" spans="1:47">
      <c r="A736" s="51"/>
      <c r="B736" s="51"/>
      <c r="C736" s="51"/>
      <c r="D736" s="51"/>
      <c r="E736" s="51"/>
      <c r="F736" s="51"/>
      <c r="G736" s="51"/>
      <c r="H736" s="51"/>
      <c r="I736" s="51"/>
      <c r="AN736" s="594" t="str">
        <f>IF(TEMPLATE_CLAIM="P","5.1.1.2.2","")</f>
        <v/>
      </c>
      <c r="AO736" s="593" t="str">
        <f>IF(TEMPLATE_CLAIM="P","от станций с мощностью производства &lt; 25 МВт","")</f>
        <v/>
      </c>
      <c r="AP736" s="257" t="str">
        <f>IF(TEMPLATE_CLAIM="P",SUM(AQ736:AR736),"")</f>
        <v/>
      </c>
      <c r="AQ736" s="258"/>
      <c r="AR736" s="258"/>
      <c r="AS736" s="202"/>
    </row>
    <row r="737" spans="1:45" ht="0.75" customHeight="1">
      <c r="A737" s="51"/>
      <c r="B737" s="51"/>
      <c r="C737" s="51"/>
      <c r="D737" s="51"/>
      <c r="E737" s="51"/>
      <c r="F737" s="51"/>
      <c r="G737" s="51"/>
      <c r="H737" s="51"/>
      <c r="I737" s="51"/>
      <c r="AN737" s="436"/>
      <c r="AO737" s="243"/>
      <c r="AP737" s="260"/>
      <c r="AQ737" s="258"/>
      <c r="AR737" s="258"/>
      <c r="AS737" s="202"/>
    </row>
    <row r="738" spans="1:45">
      <c r="A738" s="51"/>
      <c r="B738" s="51"/>
      <c r="C738" s="51"/>
      <c r="D738" s="51"/>
      <c r="E738" s="51"/>
      <c r="F738" s="51"/>
      <c r="G738" s="51"/>
      <c r="H738" s="51"/>
      <c r="I738" s="51"/>
      <c r="AN738" s="236" t="s">
        <v>2999</v>
      </c>
      <c r="AO738" s="482" t="s">
        <v>2792</v>
      </c>
      <c r="AP738" s="257">
        <f>SUM(AQ738:AR738)</f>
        <v>0</v>
      </c>
      <c r="AQ738" s="258"/>
      <c r="AR738" s="258"/>
      <c r="AS738" s="202"/>
    </row>
    <row r="739" spans="1:45">
      <c r="A739" s="51"/>
      <c r="B739" s="51"/>
      <c r="C739" s="51"/>
      <c r="D739" s="51"/>
      <c r="E739" s="51"/>
      <c r="F739" s="51"/>
      <c r="G739" s="51"/>
      <c r="H739" s="51"/>
      <c r="I739" s="51"/>
      <c r="AN739" s="594" t="str">
        <f>IF(TEMPLATE_CLAIM="P","5.1.1.3.1","")</f>
        <v/>
      </c>
      <c r="AO739" s="593" t="str">
        <f>IF(TEMPLATE_CLAIM="P","от станций с мощностью производства &gt;= 25 МВт","")</f>
        <v/>
      </c>
      <c r="AP739" s="257" t="str">
        <f>IF(TEMPLATE_CLAIM="P",SUM(AQ739:AR739),"")</f>
        <v/>
      </c>
      <c r="AQ739" s="258"/>
      <c r="AR739" s="258"/>
      <c r="AS739" s="202"/>
    </row>
    <row r="740" spans="1:45">
      <c r="A740" s="51"/>
      <c r="B740" s="51"/>
      <c r="C740" s="51"/>
      <c r="D740" s="51"/>
      <c r="E740" s="51"/>
      <c r="F740" s="51"/>
      <c r="G740" s="51"/>
      <c r="H740" s="51"/>
      <c r="I740" s="51"/>
      <c r="AN740" s="594" t="str">
        <f>IF(TEMPLATE_CLAIM="P","5.1.1.3.2","")</f>
        <v/>
      </c>
      <c r="AO740" s="593" t="str">
        <f>IF(TEMPLATE_CLAIM="P","от станций с мощностью производства &lt; 25 МВт","")</f>
        <v/>
      </c>
      <c r="AP740" s="257" t="str">
        <f>IF(TEMPLATE_CLAIM="P",SUM(AQ740:AR740),"")</f>
        <v/>
      </c>
      <c r="AQ740" s="258"/>
      <c r="AR740" s="258"/>
      <c r="AS740" s="202"/>
    </row>
    <row r="741" spans="1:45">
      <c r="A741" s="51"/>
      <c r="B741" s="51"/>
      <c r="C741" s="51"/>
      <c r="D741" s="51"/>
      <c r="E741" s="51"/>
      <c r="F741" s="51"/>
      <c r="G741" s="51"/>
      <c r="H741" s="51"/>
      <c r="I741" s="51"/>
      <c r="AN741" s="594" t="str">
        <f>IF(TEMPLATE_CLAIM="P","5.1.1.3.3","")</f>
        <v/>
      </c>
      <c r="AO741" s="593" t="str">
        <f>IF(TEMPLATE_CLAIM="P","от котельных (некомбинированная выработка)","")</f>
        <v/>
      </c>
      <c r="AP741" s="257" t="str">
        <f>IF(TEMPLATE_CLAIM="P",SUM(AQ741:AR741),"")</f>
        <v/>
      </c>
      <c r="AQ741" s="258"/>
      <c r="AR741" s="258"/>
      <c r="AS741" s="202"/>
    </row>
    <row r="742" spans="1:45">
      <c r="A742" s="51"/>
      <c r="B742" s="51"/>
      <c r="C742" s="51"/>
      <c r="D742" s="51"/>
      <c r="E742" s="51"/>
      <c r="F742" s="51"/>
      <c r="G742" s="51"/>
      <c r="H742" s="51"/>
      <c r="I742" s="51"/>
      <c r="AN742" s="236" t="s">
        <v>3002</v>
      </c>
      <c r="AO742" s="482" t="s">
        <v>756</v>
      </c>
      <c r="AP742" s="257">
        <f>SUM(AQ742:AR742)</f>
        <v>0</v>
      </c>
      <c r="AQ742" s="258"/>
      <c r="AR742" s="258"/>
      <c r="AS742" s="202"/>
    </row>
    <row r="743" spans="1:45">
      <c r="A743" s="51"/>
      <c r="B743" s="51"/>
      <c r="C743" s="51"/>
      <c r="D743" s="51"/>
      <c r="E743" s="51"/>
      <c r="F743" s="51"/>
      <c r="G743" s="51"/>
      <c r="H743" s="51"/>
      <c r="I743" s="51"/>
      <c r="AN743" s="594" t="str">
        <f>IF(TEMPLATE_CLAIM="P","5.1.1.4.1","")</f>
        <v/>
      </c>
      <c r="AO743" s="593" t="str">
        <f>IF(TEMPLATE_CLAIM="P","от станций с мощностью производства &gt;= 25 МВт","")</f>
        <v/>
      </c>
      <c r="AP743" s="257" t="str">
        <f>IF(TEMPLATE_CLAIM="P",SUM(AQ743:AR743),"")</f>
        <v/>
      </c>
      <c r="AQ743" s="258"/>
      <c r="AR743" s="258"/>
      <c r="AS743" s="202"/>
    </row>
    <row r="744" spans="1:45">
      <c r="A744" s="51"/>
      <c r="B744" s="51"/>
      <c r="C744" s="51"/>
      <c r="D744" s="51"/>
      <c r="E744" s="51"/>
      <c r="F744" s="51"/>
      <c r="G744" s="51"/>
      <c r="H744" s="51"/>
      <c r="I744" s="51"/>
      <c r="AN744" s="594" t="str">
        <f>IF(TEMPLATE_CLAIM="P","5.1.1.4.2","")</f>
        <v/>
      </c>
      <c r="AO744" s="593" t="str">
        <f>IF(TEMPLATE_CLAIM="P","от станций с мощностью производства &lt; 25 МВт","")</f>
        <v/>
      </c>
      <c r="AP744" s="257" t="str">
        <f>IF(TEMPLATE_CLAIM="P",SUM(AQ744:AR744),"")</f>
        <v/>
      </c>
      <c r="AQ744" s="258"/>
      <c r="AR744" s="258"/>
      <c r="AS744" s="202"/>
    </row>
    <row r="745" spans="1:45">
      <c r="A745" s="51"/>
      <c r="B745" s="51"/>
      <c r="C745" s="51"/>
      <c r="D745" s="51"/>
      <c r="E745" s="51"/>
      <c r="F745" s="51"/>
      <c r="G745" s="51"/>
      <c r="H745" s="51"/>
      <c r="I745" s="51"/>
      <c r="AN745" s="594" t="str">
        <f>IF(TEMPLATE_CLAIM="P","5.1.1.4.3","")</f>
        <v/>
      </c>
      <c r="AO745" s="593" t="str">
        <f>IF(TEMPLATE_CLAIM="P","от котельных (некомбинированная выработка)","")</f>
        <v/>
      </c>
      <c r="AP745" s="257" t="str">
        <f>IF(TEMPLATE_CLAIM="P",SUM(AQ745:AR745),"")</f>
        <v/>
      </c>
      <c r="AQ745" s="258"/>
      <c r="AR745" s="258"/>
      <c r="AS745" s="202"/>
    </row>
    <row r="746" spans="1:45">
      <c r="A746" s="51"/>
      <c r="B746" s="51"/>
      <c r="C746" s="51"/>
      <c r="D746" s="51"/>
      <c r="E746" s="51"/>
      <c r="F746" s="51"/>
      <c r="G746" s="51"/>
      <c r="H746" s="51"/>
      <c r="I746" s="51"/>
      <c r="AN746" s="234" t="s">
        <v>3003</v>
      </c>
      <c r="AO746" s="225" t="s">
        <v>3004</v>
      </c>
      <c r="AP746" s="257">
        <f>SUM(AQ746:AR746)</f>
        <v>0</v>
      </c>
      <c r="AQ746" s="258"/>
      <c r="AR746" s="258"/>
      <c r="AS746" s="202"/>
    </row>
    <row r="747" spans="1:45" ht="22.5">
      <c r="A747" s="51"/>
      <c r="B747" s="51"/>
      <c r="C747" s="51"/>
      <c r="D747" s="51"/>
      <c r="E747" s="51"/>
      <c r="F747" s="51"/>
      <c r="G747" s="51"/>
      <c r="H747" s="51"/>
      <c r="I747" s="51"/>
      <c r="AN747" s="234" t="s">
        <v>3006</v>
      </c>
      <c r="AO747" s="225" t="s">
        <v>3007</v>
      </c>
      <c r="AP747" s="257">
        <f>SUM(AQ747:AR747)</f>
        <v>0</v>
      </c>
      <c r="AQ747" s="258"/>
      <c r="AR747" s="258"/>
      <c r="AS747" s="202"/>
    </row>
    <row r="748" spans="1:45">
      <c r="A748" s="51"/>
      <c r="B748" s="51"/>
      <c r="C748" s="51"/>
      <c r="D748" s="51"/>
      <c r="E748" s="51"/>
      <c r="F748" s="51"/>
      <c r="G748" s="51"/>
      <c r="H748" s="51"/>
      <c r="I748" s="51"/>
      <c r="AN748" s="236" t="s">
        <v>3008</v>
      </c>
      <c r="AO748" s="242" t="s">
        <v>2972</v>
      </c>
      <c r="AP748" s="257">
        <f>SUM(AQ748:AR748)</f>
        <v>0</v>
      </c>
      <c r="AQ748" s="258"/>
      <c r="AR748" s="258"/>
      <c r="AS748" s="202"/>
    </row>
    <row r="749" spans="1:45">
      <c r="A749" s="51"/>
      <c r="B749" s="51"/>
      <c r="C749" s="51"/>
      <c r="D749" s="51"/>
      <c r="E749" s="51"/>
      <c r="F749" s="51"/>
      <c r="G749" s="51"/>
      <c r="H749" s="51"/>
      <c r="I749" s="51"/>
      <c r="AN749" s="236" t="s">
        <v>3009</v>
      </c>
      <c r="AO749" s="242" t="s">
        <v>2988</v>
      </c>
      <c r="AP749" s="257">
        <f>SUM(AQ749:AR749)</f>
        <v>0</v>
      </c>
      <c r="AQ749" s="258"/>
      <c r="AR749" s="258"/>
      <c r="AS749" s="202"/>
    </row>
    <row r="750" spans="1:45" hidden="1">
      <c r="A750" s="51"/>
      <c r="B750" s="51"/>
      <c r="C750" s="51"/>
      <c r="D750" s="51"/>
      <c r="E750" s="51"/>
      <c r="F750" s="51"/>
      <c r="G750" s="51"/>
      <c r="H750" s="51"/>
      <c r="I750" s="51"/>
      <c r="AN750" s="236"/>
      <c r="AO750" s="242"/>
      <c r="AP750" s="260"/>
      <c r="AQ750" s="258"/>
      <c r="AR750" s="258"/>
      <c r="AS750" s="202"/>
    </row>
    <row r="751" spans="1:45" hidden="1">
      <c r="A751" s="51"/>
      <c r="B751" s="51"/>
      <c r="C751" s="51"/>
      <c r="D751" s="51"/>
      <c r="E751" s="51"/>
      <c r="F751" s="51"/>
      <c r="G751" s="51"/>
      <c r="H751" s="51"/>
      <c r="I751" s="51"/>
      <c r="AN751" s="236"/>
      <c r="AO751" s="244"/>
      <c r="AP751" s="260"/>
      <c r="AQ751" s="258"/>
      <c r="AR751" s="258"/>
      <c r="AS751" s="202"/>
    </row>
    <row r="752" spans="1:45" hidden="1">
      <c r="A752" s="51"/>
      <c r="B752" s="51"/>
      <c r="C752" s="51"/>
      <c r="D752" s="51"/>
      <c r="E752" s="51"/>
      <c r="F752" s="51"/>
      <c r="G752" s="51"/>
      <c r="H752" s="51"/>
      <c r="I752" s="51"/>
      <c r="AN752" s="236"/>
      <c r="AO752" s="244"/>
      <c r="AP752" s="260"/>
      <c r="AQ752" s="258"/>
      <c r="AR752" s="258"/>
      <c r="AS752" s="202"/>
    </row>
    <row r="753" spans="1:45" hidden="1">
      <c r="A753" s="51"/>
      <c r="B753" s="51"/>
      <c r="C753" s="51"/>
      <c r="D753" s="51"/>
      <c r="E753" s="51"/>
      <c r="F753" s="51"/>
      <c r="G753" s="51"/>
      <c r="H753" s="51"/>
      <c r="I753" s="51"/>
      <c r="AN753" s="236"/>
      <c r="AO753" s="245"/>
      <c r="AP753" s="260"/>
      <c r="AQ753" s="258"/>
      <c r="AR753" s="258"/>
      <c r="AS753" s="202"/>
    </row>
    <row r="754" spans="1:45" hidden="1">
      <c r="AN754" s="236"/>
      <c r="AO754" s="244"/>
      <c r="AP754" s="260"/>
      <c r="AQ754" s="258"/>
      <c r="AR754" s="258"/>
      <c r="AS754" s="202"/>
    </row>
    <row r="755" spans="1:45" hidden="1">
      <c r="AN755" s="236"/>
      <c r="AO755" s="244"/>
      <c r="AP755" s="260"/>
      <c r="AQ755" s="258"/>
      <c r="AR755" s="258"/>
      <c r="AS755" s="202"/>
    </row>
    <row r="756" spans="1:45" hidden="1">
      <c r="AN756" s="236"/>
      <c r="AO756" s="242"/>
      <c r="AP756" s="260"/>
      <c r="AQ756" s="258"/>
      <c r="AR756" s="258"/>
      <c r="AS756" s="202"/>
    </row>
    <row r="757" spans="1:45" hidden="1">
      <c r="AN757" s="236"/>
      <c r="AO757" s="244"/>
      <c r="AP757" s="260"/>
      <c r="AQ757" s="258"/>
      <c r="AR757" s="258"/>
      <c r="AS757" s="202"/>
    </row>
    <row r="758" spans="1:45" hidden="1">
      <c r="AN758" s="236"/>
      <c r="AO758" s="244"/>
      <c r="AP758" s="260"/>
      <c r="AQ758" s="258"/>
      <c r="AR758" s="258"/>
      <c r="AS758" s="202"/>
    </row>
    <row r="759" spans="1:45" hidden="1">
      <c r="AN759" s="236"/>
      <c r="AO759" s="245"/>
      <c r="AP759" s="260"/>
      <c r="AQ759" s="258"/>
      <c r="AR759" s="258"/>
      <c r="AS759" s="202"/>
    </row>
    <row r="760" spans="1:45" hidden="1">
      <c r="AN760" s="236"/>
      <c r="AO760" s="244"/>
      <c r="AP760" s="260"/>
      <c r="AQ760" s="258"/>
      <c r="AR760" s="258"/>
      <c r="AS760" s="202"/>
    </row>
    <row r="761" spans="1:45" hidden="1">
      <c r="AN761" s="236"/>
      <c r="AO761" s="244"/>
      <c r="AP761" s="260"/>
      <c r="AQ761" s="258"/>
      <c r="AR761" s="258"/>
      <c r="AS761" s="202"/>
    </row>
    <row r="762" spans="1:45" hidden="1">
      <c r="AN762" s="236"/>
      <c r="AO762" s="242"/>
      <c r="AP762" s="260"/>
      <c r="AQ762" s="258"/>
      <c r="AR762" s="258"/>
      <c r="AS762" s="202"/>
    </row>
    <row r="763" spans="1:45" hidden="1">
      <c r="AN763" s="236"/>
      <c r="AO763" s="244"/>
      <c r="AP763" s="260"/>
      <c r="AQ763" s="258"/>
      <c r="AR763" s="258"/>
      <c r="AS763" s="202"/>
    </row>
    <row r="764" spans="1:45" hidden="1">
      <c r="AN764" s="236"/>
      <c r="AO764" s="244"/>
      <c r="AP764" s="260"/>
      <c r="AQ764" s="258"/>
      <c r="AR764" s="258"/>
      <c r="AS764" s="202"/>
    </row>
    <row r="765" spans="1:45" hidden="1">
      <c r="AN765" s="236"/>
      <c r="AO765" s="245"/>
      <c r="AP765" s="260"/>
      <c r="AQ765" s="258"/>
      <c r="AR765" s="258"/>
      <c r="AS765" s="202"/>
    </row>
    <row r="766" spans="1:45" hidden="1">
      <c r="AN766" s="236"/>
      <c r="AO766" s="244"/>
      <c r="AP766" s="260"/>
      <c r="AQ766" s="258"/>
      <c r="AR766" s="258"/>
      <c r="AS766" s="202"/>
    </row>
    <row r="767" spans="1:45" hidden="1">
      <c r="AN767" s="236"/>
      <c r="AO767" s="244"/>
      <c r="AP767" s="260"/>
      <c r="AQ767" s="258"/>
      <c r="AR767" s="258"/>
      <c r="AS767" s="202"/>
    </row>
    <row r="768" spans="1:45" hidden="1">
      <c r="AN768" s="236"/>
      <c r="AO768" s="242"/>
      <c r="AP768" s="260"/>
      <c r="AQ768" s="258"/>
      <c r="AR768" s="258"/>
      <c r="AS768" s="202"/>
    </row>
    <row r="769" spans="40:45" hidden="1">
      <c r="AN769" s="236"/>
      <c r="AO769" s="244"/>
      <c r="AP769" s="260"/>
      <c r="AQ769" s="258"/>
      <c r="AR769" s="258"/>
      <c r="AS769" s="202"/>
    </row>
    <row r="770" spans="40:45" hidden="1">
      <c r="AN770" s="236"/>
      <c r="AO770" s="244"/>
      <c r="AP770" s="260"/>
      <c r="AQ770" s="258"/>
      <c r="AR770" s="258"/>
      <c r="AS770" s="202"/>
    </row>
    <row r="771" spans="40:45" hidden="1">
      <c r="AN771" s="236"/>
      <c r="AO771" s="245"/>
      <c r="AP771" s="260"/>
      <c r="AQ771" s="258"/>
      <c r="AR771" s="258"/>
      <c r="AS771" s="202"/>
    </row>
    <row r="772" spans="40:45" hidden="1">
      <c r="AN772" s="236"/>
      <c r="AO772" s="244"/>
      <c r="AP772" s="260"/>
      <c r="AQ772" s="258"/>
      <c r="AR772" s="258"/>
      <c r="AS772" s="202"/>
    </row>
    <row r="773" spans="40:45" hidden="1">
      <c r="AN773" s="236"/>
      <c r="AO773" s="244"/>
      <c r="AP773" s="260"/>
      <c r="AQ773" s="258"/>
      <c r="AR773" s="258"/>
      <c r="AS773" s="202"/>
    </row>
    <row r="774" spans="40:45">
      <c r="AN774" s="436" t="s">
        <v>771</v>
      </c>
      <c r="AO774" s="591" t="s">
        <v>3043</v>
      </c>
      <c r="AP774" s="257">
        <f>SUM(AQ774:AR774)</f>
        <v>0</v>
      </c>
      <c r="AQ774" s="258"/>
      <c r="AR774" s="258"/>
      <c r="AS774" s="202"/>
    </row>
    <row r="775" spans="40:45">
      <c r="AN775" s="436" t="s">
        <v>772</v>
      </c>
      <c r="AO775" s="592" t="s">
        <v>3044</v>
      </c>
      <c r="AP775" s="257">
        <f>SUM(AQ775:AR775)</f>
        <v>0</v>
      </c>
      <c r="AQ775" s="258"/>
      <c r="AR775" s="258"/>
      <c r="AS775" s="202"/>
    </row>
    <row r="776" spans="40:45">
      <c r="AN776" s="236" t="s">
        <v>773</v>
      </c>
      <c r="AO776" s="248" t="s">
        <v>3045</v>
      </c>
      <c r="AP776" s="257">
        <f>SUM(AQ776:AR776)</f>
        <v>0</v>
      </c>
      <c r="AQ776" s="258"/>
      <c r="AR776" s="258"/>
      <c r="AS776" s="202"/>
    </row>
    <row r="777" spans="40:45">
      <c r="AN777" s="236" t="s">
        <v>3046</v>
      </c>
      <c r="AO777" s="242" t="s">
        <v>2972</v>
      </c>
      <c r="AP777" s="257">
        <f>SUM(AQ777:AR777)</f>
        <v>0</v>
      </c>
      <c r="AQ777" s="258"/>
      <c r="AR777" s="258"/>
      <c r="AS777" s="202"/>
    </row>
    <row r="778" spans="40:45">
      <c r="AN778" s="236" t="s">
        <v>3047</v>
      </c>
      <c r="AO778" s="242" t="s">
        <v>2988</v>
      </c>
      <c r="AP778" s="257">
        <f>SUM(AQ778:AR778)</f>
        <v>0</v>
      </c>
      <c r="AQ778" s="258"/>
      <c r="AR778" s="258"/>
      <c r="AS778" s="202"/>
    </row>
    <row r="779" spans="40:45" hidden="1">
      <c r="AN779" s="236"/>
      <c r="AO779" s="242"/>
      <c r="AP779" s="260"/>
      <c r="AQ779" s="258"/>
      <c r="AR779" s="258"/>
      <c r="AS779" s="202"/>
    </row>
    <row r="780" spans="40:45" hidden="1">
      <c r="AN780" s="236"/>
      <c r="AO780" s="244"/>
      <c r="AP780" s="260"/>
      <c r="AQ780" s="258"/>
      <c r="AR780" s="258"/>
      <c r="AS780" s="202"/>
    </row>
    <row r="781" spans="40:45" hidden="1">
      <c r="AN781" s="236"/>
      <c r="AO781" s="244"/>
      <c r="AP781" s="260"/>
      <c r="AQ781" s="258"/>
      <c r="AR781" s="258"/>
      <c r="AS781" s="202"/>
    </row>
    <row r="782" spans="40:45" hidden="1">
      <c r="AN782" s="236"/>
      <c r="AO782" s="245"/>
      <c r="AP782" s="260"/>
      <c r="AQ782" s="258"/>
      <c r="AR782" s="258"/>
      <c r="AS782" s="202"/>
    </row>
    <row r="783" spans="40:45" hidden="1">
      <c r="AN783" s="236"/>
      <c r="AO783" s="244"/>
      <c r="AP783" s="260"/>
      <c r="AQ783" s="258"/>
      <c r="AR783" s="258"/>
      <c r="AS783" s="202"/>
    </row>
    <row r="784" spans="40:45" hidden="1">
      <c r="AN784" s="236"/>
      <c r="AO784" s="244"/>
      <c r="AP784" s="260"/>
      <c r="AQ784" s="258"/>
      <c r="AR784" s="258"/>
      <c r="AS784" s="202"/>
    </row>
    <row r="785" spans="40:45" hidden="1">
      <c r="AN785" s="236"/>
      <c r="AO785" s="242"/>
      <c r="AP785" s="260"/>
      <c r="AQ785" s="258"/>
      <c r="AR785" s="258"/>
      <c r="AS785" s="202"/>
    </row>
    <row r="786" spans="40:45" hidden="1">
      <c r="AN786" s="236"/>
      <c r="AO786" s="244"/>
      <c r="AP786" s="260"/>
      <c r="AQ786" s="258"/>
      <c r="AR786" s="258"/>
      <c r="AS786" s="202"/>
    </row>
    <row r="787" spans="40:45" hidden="1">
      <c r="AN787" s="236"/>
      <c r="AO787" s="244"/>
      <c r="AP787" s="260"/>
      <c r="AQ787" s="258"/>
      <c r="AR787" s="258"/>
      <c r="AS787" s="202"/>
    </row>
    <row r="788" spans="40:45" hidden="1">
      <c r="AN788" s="236"/>
      <c r="AO788" s="245"/>
      <c r="AP788" s="260"/>
      <c r="AQ788" s="258"/>
      <c r="AR788" s="258"/>
      <c r="AS788" s="202"/>
    </row>
    <row r="789" spans="40:45" hidden="1">
      <c r="AN789" s="236"/>
      <c r="AO789" s="244"/>
      <c r="AP789" s="260"/>
      <c r="AQ789" s="258"/>
      <c r="AR789" s="258"/>
      <c r="AS789" s="202"/>
    </row>
    <row r="790" spans="40:45" hidden="1">
      <c r="AN790" s="236"/>
      <c r="AO790" s="244"/>
      <c r="AP790" s="260"/>
      <c r="AQ790" s="258"/>
      <c r="AR790" s="258"/>
      <c r="AS790" s="202"/>
    </row>
    <row r="791" spans="40:45" hidden="1">
      <c r="AN791" s="236"/>
      <c r="AO791" s="242"/>
      <c r="AP791" s="260"/>
      <c r="AQ791" s="258"/>
      <c r="AR791" s="258"/>
      <c r="AS791" s="202"/>
    </row>
    <row r="792" spans="40:45" hidden="1">
      <c r="AN792" s="236"/>
      <c r="AO792" s="244"/>
      <c r="AP792" s="260"/>
      <c r="AQ792" s="258"/>
      <c r="AR792" s="258"/>
      <c r="AS792" s="202"/>
    </row>
    <row r="793" spans="40:45" hidden="1">
      <c r="AN793" s="236"/>
      <c r="AO793" s="244"/>
      <c r="AP793" s="260"/>
      <c r="AQ793" s="258"/>
      <c r="AR793" s="258"/>
      <c r="AS793" s="202"/>
    </row>
    <row r="794" spans="40:45" hidden="1">
      <c r="AN794" s="236"/>
      <c r="AO794" s="245"/>
      <c r="AP794" s="260"/>
      <c r="AQ794" s="258"/>
      <c r="AR794" s="258"/>
      <c r="AS794" s="202"/>
    </row>
    <row r="795" spans="40:45" hidden="1">
      <c r="AN795" s="236"/>
      <c r="AO795" s="244"/>
      <c r="AP795" s="260"/>
      <c r="AQ795" s="258"/>
      <c r="AR795" s="258"/>
      <c r="AS795" s="202"/>
    </row>
    <row r="796" spans="40:45" hidden="1">
      <c r="AN796" s="236"/>
      <c r="AO796" s="244"/>
      <c r="AP796" s="260"/>
      <c r="AQ796" s="258"/>
      <c r="AR796" s="258"/>
      <c r="AS796" s="202"/>
    </row>
    <row r="797" spans="40:45" hidden="1">
      <c r="AN797" s="236"/>
      <c r="AO797" s="242"/>
      <c r="AP797" s="260"/>
      <c r="AQ797" s="258"/>
      <c r="AR797" s="258"/>
      <c r="AS797" s="202"/>
    </row>
    <row r="798" spans="40:45" hidden="1">
      <c r="AN798" s="236"/>
      <c r="AO798" s="244"/>
      <c r="AP798" s="260"/>
      <c r="AQ798" s="258"/>
      <c r="AR798" s="258"/>
      <c r="AS798" s="202"/>
    </row>
    <row r="799" spans="40:45" hidden="1">
      <c r="AN799" s="236"/>
      <c r="AO799" s="244"/>
      <c r="AP799" s="260"/>
      <c r="AQ799" s="258"/>
      <c r="AR799" s="258"/>
      <c r="AS799" s="202"/>
    </row>
    <row r="800" spans="40:45" hidden="1">
      <c r="AN800" s="236"/>
      <c r="AO800" s="245"/>
      <c r="AP800" s="260"/>
      <c r="AQ800" s="258"/>
      <c r="AR800" s="258"/>
      <c r="AS800" s="202"/>
    </row>
    <row r="801" spans="40:45" hidden="1">
      <c r="AN801" s="236"/>
      <c r="AO801" s="244"/>
      <c r="AP801" s="260"/>
      <c r="AQ801" s="258"/>
      <c r="AR801" s="258"/>
      <c r="AS801" s="202"/>
    </row>
    <row r="802" spans="40:45" hidden="1">
      <c r="AN802" s="236"/>
      <c r="AO802" s="244"/>
      <c r="AP802" s="260"/>
      <c r="AQ802" s="258"/>
      <c r="AR802" s="258"/>
      <c r="AS802" s="202"/>
    </row>
    <row r="803" spans="40:45">
      <c r="AN803" s="234" t="s">
        <v>3072</v>
      </c>
      <c r="AO803" s="235" t="s">
        <v>799</v>
      </c>
      <c r="AP803" s="257">
        <f>SUM(AQ803:AR803)</f>
        <v>0</v>
      </c>
      <c r="AQ803" s="258"/>
      <c r="AR803" s="258"/>
      <c r="AS803" s="202"/>
    </row>
    <row r="804" spans="40:45" hidden="1">
      <c r="AN804" s="234"/>
      <c r="AO804" s="235"/>
      <c r="AP804" s="260"/>
      <c r="AQ804" s="258"/>
      <c r="AR804" s="258"/>
      <c r="AS804" s="202"/>
    </row>
    <row r="805" spans="40:45" hidden="1">
      <c r="AN805" s="234"/>
      <c r="AO805" s="235"/>
      <c r="AP805" s="260"/>
      <c r="AQ805" s="258"/>
      <c r="AR805" s="258"/>
      <c r="AS805" s="202"/>
    </row>
    <row r="806" spans="40:45" hidden="1">
      <c r="AN806" s="234"/>
      <c r="AO806" s="235"/>
      <c r="AP806" s="260"/>
      <c r="AQ806" s="258"/>
      <c r="AR806" s="258"/>
      <c r="AS806" s="202"/>
    </row>
    <row r="807" spans="40:45">
      <c r="AN807" s="236" t="s">
        <v>75</v>
      </c>
      <c r="AO807" s="224" t="s">
        <v>1832</v>
      </c>
      <c r="AP807" s="257">
        <f>SUM(AQ807:AR807)</f>
        <v>0</v>
      </c>
      <c r="AQ807" s="258"/>
      <c r="AR807" s="258"/>
      <c r="AS807" s="202"/>
    </row>
    <row r="808" spans="40:45" hidden="1">
      <c r="AN808" s="236"/>
      <c r="AO808" s="225"/>
      <c r="AP808" s="255"/>
      <c r="AQ808" s="258"/>
      <c r="AR808" s="258"/>
      <c r="AS808" s="202"/>
    </row>
    <row r="809" spans="40:45" hidden="1">
      <c r="AN809" s="236"/>
      <c r="AO809" s="225"/>
      <c r="AP809" s="260"/>
      <c r="AQ809" s="258"/>
      <c r="AR809" s="258"/>
      <c r="AS809" s="202"/>
    </row>
    <row r="810" spans="40:45" hidden="1">
      <c r="AN810" s="236"/>
      <c r="AO810" s="225"/>
      <c r="AP810" s="260"/>
      <c r="AQ810" s="258"/>
      <c r="AR810" s="258"/>
      <c r="AS810" s="202"/>
    </row>
    <row r="811" spans="40:45" hidden="1">
      <c r="AN811" s="236"/>
      <c r="AO811" s="225"/>
      <c r="AP811" s="260"/>
      <c r="AQ811" s="258"/>
      <c r="AR811" s="258"/>
      <c r="AS811" s="202"/>
    </row>
    <row r="812" spans="40:45" hidden="1">
      <c r="AN812" s="236"/>
      <c r="AO812" s="225"/>
      <c r="AP812" s="260"/>
      <c r="AQ812" s="258"/>
      <c r="AR812" s="258"/>
      <c r="AS812" s="202"/>
    </row>
    <row r="813" spans="40:45">
      <c r="AN813" s="236" t="s">
        <v>62</v>
      </c>
      <c r="AO813" s="224" t="s">
        <v>1838</v>
      </c>
      <c r="AP813" s="257">
        <f>SUM(AQ813:AR813)</f>
        <v>0</v>
      </c>
      <c r="AQ813" s="258"/>
      <c r="AR813" s="258"/>
      <c r="AS813" s="202"/>
    </row>
    <row r="814" spans="40:45" hidden="1">
      <c r="AN814" s="236"/>
      <c r="AO814" s="228"/>
      <c r="AP814" s="255"/>
      <c r="AQ814" s="258"/>
      <c r="AR814" s="258"/>
      <c r="AS814" s="202"/>
    </row>
    <row r="815" spans="40:45" hidden="1">
      <c r="AN815" s="236"/>
      <c r="AO815" s="228"/>
      <c r="AP815" s="260"/>
      <c r="AQ815" s="258"/>
      <c r="AR815" s="258"/>
      <c r="AS815" s="202"/>
    </row>
    <row r="816" spans="40:45" hidden="1">
      <c r="AN816" s="236"/>
      <c r="AO816" s="228"/>
      <c r="AP816" s="260"/>
      <c r="AQ816" s="258"/>
      <c r="AR816" s="258"/>
      <c r="AS816" s="202"/>
    </row>
    <row r="817" spans="40:45" hidden="1">
      <c r="AN817" s="236"/>
      <c r="AO817" s="228"/>
      <c r="AP817" s="260"/>
      <c r="AQ817" s="258"/>
      <c r="AR817" s="258"/>
      <c r="AS817" s="202"/>
    </row>
    <row r="818" spans="40:45" hidden="1">
      <c r="AN818" s="236"/>
      <c r="AO818" s="228"/>
      <c r="AP818" s="260"/>
      <c r="AQ818" s="258"/>
      <c r="AR818" s="258"/>
      <c r="AS818" s="202"/>
    </row>
    <row r="819" spans="40:45">
      <c r="AN819" s="236" t="s">
        <v>68</v>
      </c>
      <c r="AO819" s="224" t="s">
        <v>1843</v>
      </c>
      <c r="AP819" s="257">
        <f>SUM(AQ819:AR819)</f>
        <v>0</v>
      </c>
      <c r="AQ819" s="258"/>
      <c r="AR819" s="258"/>
      <c r="AS819" s="202"/>
    </row>
    <row r="820" spans="40:45" hidden="1">
      <c r="AN820" s="236"/>
      <c r="AO820" s="228"/>
      <c r="AP820" s="255"/>
      <c r="AQ820" s="258"/>
      <c r="AR820" s="258"/>
      <c r="AS820" s="202"/>
    </row>
    <row r="821" spans="40:45" hidden="1">
      <c r="AN821" s="236"/>
      <c r="AO821" s="228"/>
      <c r="AP821" s="260"/>
      <c r="AQ821" s="258"/>
      <c r="AR821" s="258"/>
      <c r="AS821" s="202"/>
    </row>
    <row r="822" spans="40:45">
      <c r="AN822" s="236" t="s">
        <v>1848</v>
      </c>
      <c r="AO822" s="224" t="s">
        <v>1849</v>
      </c>
      <c r="AP822" s="257">
        <f>SUM(AQ822:AR822)</f>
        <v>0</v>
      </c>
      <c r="AQ822" s="258"/>
      <c r="AR822" s="258"/>
      <c r="AS822" s="202"/>
    </row>
    <row r="823" spans="40:45" hidden="1">
      <c r="AN823" s="236"/>
      <c r="AO823" s="228"/>
      <c r="AP823" s="255"/>
      <c r="AQ823" s="258"/>
      <c r="AR823" s="258"/>
      <c r="AS823" s="202"/>
    </row>
    <row r="824" spans="40:45" hidden="1">
      <c r="AN824" s="236"/>
      <c r="AO824" s="225"/>
      <c r="AP824" s="260"/>
      <c r="AQ824" s="258"/>
      <c r="AR824" s="258"/>
      <c r="AS824" s="202"/>
    </row>
    <row r="825" spans="40:45" ht="22.5">
      <c r="AN825" s="236" t="s">
        <v>1855</v>
      </c>
      <c r="AO825" s="224" t="s">
        <v>1856</v>
      </c>
      <c r="AP825" s="257">
        <f>SUM(AQ825:AR825)</f>
        <v>0</v>
      </c>
      <c r="AQ825" s="258"/>
      <c r="AR825" s="258"/>
      <c r="AS825" s="202"/>
    </row>
    <row r="826" spans="40:45" hidden="1">
      <c r="AN826" s="236"/>
      <c r="AO826" s="228"/>
      <c r="AP826" s="255"/>
      <c r="AQ826" s="258"/>
      <c r="AR826" s="258"/>
      <c r="AS826" s="202"/>
    </row>
    <row r="827" spans="40:45" hidden="1">
      <c r="AN827" s="236"/>
      <c r="AO827" s="225"/>
      <c r="AP827" s="260"/>
      <c r="AQ827" s="258"/>
      <c r="AR827" s="258"/>
      <c r="AS827" s="202"/>
    </row>
    <row r="828" spans="40:45">
      <c r="AN828" s="234" t="s">
        <v>2412</v>
      </c>
      <c r="AO828" s="235" t="s">
        <v>2413</v>
      </c>
      <c r="AP828" s="257">
        <f t="shared" ref="AP828:AP844" si="2">SUM(AQ828:AR828)</f>
        <v>0</v>
      </c>
      <c r="AQ828" s="258"/>
      <c r="AR828" s="258"/>
      <c r="AS828" s="202"/>
    </row>
    <row r="829" spans="40:45" ht="22.5">
      <c r="AN829" s="236" t="s">
        <v>2414</v>
      </c>
      <c r="AO829" s="224" t="s">
        <v>2415</v>
      </c>
      <c r="AP829" s="257">
        <f t="shared" si="2"/>
        <v>0</v>
      </c>
      <c r="AQ829" s="258"/>
      <c r="AR829" s="258"/>
      <c r="AS829" s="202"/>
    </row>
    <row r="830" spans="40:45" ht="22.5">
      <c r="AN830" s="236" t="s">
        <v>2416</v>
      </c>
      <c r="AO830" s="224" t="s">
        <v>2417</v>
      </c>
      <c r="AP830" s="257">
        <f t="shared" si="2"/>
        <v>0</v>
      </c>
      <c r="AQ830" s="258"/>
      <c r="AR830" s="258"/>
      <c r="AS830" s="202"/>
    </row>
    <row r="831" spans="40:45" ht="22.5">
      <c r="AN831" s="236" t="s">
        <v>2419</v>
      </c>
      <c r="AO831" s="224" t="s">
        <v>2420</v>
      </c>
      <c r="AP831" s="257">
        <f t="shared" si="2"/>
        <v>0</v>
      </c>
      <c r="AQ831" s="258"/>
      <c r="AR831" s="258"/>
      <c r="AS831" s="202"/>
    </row>
    <row r="832" spans="40:45">
      <c r="AN832" s="236" t="s">
        <v>2422</v>
      </c>
      <c r="AO832" s="224" t="s">
        <v>2423</v>
      </c>
      <c r="AP832" s="257">
        <f t="shared" si="2"/>
        <v>0</v>
      </c>
      <c r="AQ832" s="258"/>
      <c r="AR832" s="258"/>
      <c r="AS832" s="202"/>
    </row>
    <row r="833" spans="40:45">
      <c r="AN833" s="236" t="s">
        <v>2425</v>
      </c>
      <c r="AO833" s="224" t="s">
        <v>2426</v>
      </c>
      <c r="AP833" s="257">
        <f t="shared" si="2"/>
        <v>0</v>
      </c>
      <c r="AQ833" s="258"/>
      <c r="AR833" s="258"/>
      <c r="AS833" s="202"/>
    </row>
    <row r="834" spans="40:45" ht="22.5">
      <c r="AN834" s="236" t="s">
        <v>2427</v>
      </c>
      <c r="AO834" s="235" t="s">
        <v>2428</v>
      </c>
      <c r="AP834" s="257">
        <f t="shared" si="2"/>
        <v>0</v>
      </c>
      <c r="AQ834" s="258"/>
      <c r="AR834" s="258"/>
      <c r="AS834" s="202"/>
    </row>
    <row r="835" spans="40:45" ht="33.75">
      <c r="AN835" s="234" t="s">
        <v>2429</v>
      </c>
      <c r="AO835" s="224" t="s">
        <v>2430</v>
      </c>
      <c r="AP835" s="257">
        <f t="shared" si="2"/>
        <v>0</v>
      </c>
      <c r="AQ835" s="258"/>
      <c r="AR835" s="258"/>
      <c r="AS835" s="202"/>
    </row>
    <row r="836" spans="40:45">
      <c r="AN836" s="234" t="s">
        <v>2431</v>
      </c>
      <c r="AO836" s="235" t="s">
        <v>2432</v>
      </c>
      <c r="AP836" s="257">
        <f t="shared" si="2"/>
        <v>0</v>
      </c>
      <c r="AQ836" s="258"/>
      <c r="AR836" s="258"/>
      <c r="AS836" s="202"/>
    </row>
    <row r="837" spans="40:45" ht="22.5">
      <c r="AN837" s="236" t="s">
        <v>1842</v>
      </c>
      <c r="AO837" s="224" t="s">
        <v>2433</v>
      </c>
      <c r="AP837" s="257">
        <f t="shared" si="2"/>
        <v>0</v>
      </c>
      <c r="AQ837" s="258"/>
      <c r="AR837" s="258"/>
      <c r="AS837" s="202"/>
    </row>
    <row r="838" spans="40:45">
      <c r="AN838" s="236" t="s">
        <v>2418</v>
      </c>
      <c r="AO838" s="224" t="s">
        <v>2434</v>
      </c>
      <c r="AP838" s="257">
        <f t="shared" si="2"/>
        <v>0</v>
      </c>
      <c r="AQ838" s="258"/>
      <c r="AR838" s="258"/>
      <c r="AS838" s="202"/>
    </row>
    <row r="839" spans="40:45">
      <c r="AN839" s="236" t="s">
        <v>2435</v>
      </c>
      <c r="AO839" s="224" t="s">
        <v>2436</v>
      </c>
      <c r="AP839" s="257">
        <f t="shared" si="2"/>
        <v>0</v>
      </c>
      <c r="AQ839" s="258"/>
      <c r="AR839" s="258"/>
      <c r="AS839" s="202"/>
    </row>
    <row r="840" spans="40:45" ht="22.5">
      <c r="AN840" s="236" t="s">
        <v>2437</v>
      </c>
      <c r="AO840" s="224" t="s">
        <v>2438</v>
      </c>
      <c r="AP840" s="257">
        <f t="shared" si="2"/>
        <v>0</v>
      </c>
      <c r="AQ840" s="258"/>
      <c r="AR840" s="258"/>
      <c r="AS840" s="202"/>
    </row>
    <row r="841" spans="40:45">
      <c r="AN841" s="236" t="s">
        <v>2439</v>
      </c>
      <c r="AO841" s="224" t="s">
        <v>2440</v>
      </c>
      <c r="AP841" s="257">
        <f t="shared" si="2"/>
        <v>0</v>
      </c>
      <c r="AQ841" s="258"/>
      <c r="AR841" s="258"/>
      <c r="AS841" s="202"/>
    </row>
    <row r="842" spans="40:45">
      <c r="AN842" s="236" t="s">
        <v>2441</v>
      </c>
      <c r="AO842" s="224" t="s">
        <v>2442</v>
      </c>
      <c r="AP842" s="257">
        <f t="shared" si="2"/>
        <v>0</v>
      </c>
      <c r="AQ842" s="258"/>
      <c r="AR842" s="258"/>
      <c r="AS842" s="202"/>
    </row>
    <row r="843" spans="40:45">
      <c r="AN843" s="236" t="s">
        <v>2443</v>
      </c>
      <c r="AO843" s="224" t="s">
        <v>2444</v>
      </c>
      <c r="AP843" s="257">
        <f t="shared" si="2"/>
        <v>0</v>
      </c>
      <c r="AQ843" s="258"/>
      <c r="AR843" s="258"/>
      <c r="AS843" s="202"/>
    </row>
    <row r="844" spans="40:45">
      <c r="AN844" s="236" t="s">
        <v>842</v>
      </c>
      <c r="AO844" s="224" t="s">
        <v>843</v>
      </c>
      <c r="AP844" s="257">
        <f t="shared" si="2"/>
        <v>0</v>
      </c>
      <c r="AQ844" s="258"/>
      <c r="AR844" s="258"/>
      <c r="AS844" s="202"/>
    </row>
    <row r="845" spans="40:45">
      <c r="AN845" s="236" t="s">
        <v>845</v>
      </c>
      <c r="AO845" s="235" t="s">
        <v>846</v>
      </c>
      <c r="AP845" s="257">
        <f>SUM(AQ845:AR845)</f>
        <v>0</v>
      </c>
      <c r="AQ845" s="258"/>
      <c r="AR845" s="258"/>
      <c r="AS845" s="202"/>
    </row>
    <row r="846" spans="40:45">
      <c r="AN846" s="475" t="s">
        <v>287</v>
      </c>
      <c r="AO846" s="476" t="s">
        <v>288</v>
      </c>
      <c r="AP846" s="257">
        <f>SUM(AQ846:AR846)</f>
        <v>0</v>
      </c>
      <c r="AQ846" s="258"/>
      <c r="AR846" s="258"/>
      <c r="AS846" s="202"/>
    </row>
    <row r="847" spans="40:45">
      <c r="AN847" s="234" t="s">
        <v>1847</v>
      </c>
      <c r="AO847" s="224" t="s">
        <v>847</v>
      </c>
      <c r="AP847" s="257">
        <f>SUM(AQ847:AR847)</f>
        <v>0</v>
      </c>
      <c r="AQ847" s="258"/>
      <c r="AR847" s="258"/>
      <c r="AS847" s="202"/>
    </row>
    <row r="848" spans="40:45" ht="22.5">
      <c r="AN848" s="234" t="s">
        <v>1854</v>
      </c>
      <c r="AO848" s="683" t="s">
        <v>848</v>
      </c>
      <c r="AP848" s="257">
        <f>SUM(AQ848:AR848)</f>
        <v>0</v>
      </c>
      <c r="AQ848" s="258"/>
      <c r="AR848" s="258"/>
      <c r="AS848" s="202"/>
    </row>
    <row r="849" spans="40:45" ht="22.5">
      <c r="AN849" s="234" t="s">
        <v>2421</v>
      </c>
      <c r="AO849" s="224" t="s">
        <v>849</v>
      </c>
      <c r="AP849" s="257">
        <f>SUM(AQ849:AR849)</f>
        <v>0</v>
      </c>
      <c r="AQ849" s="258"/>
      <c r="AR849" s="258"/>
      <c r="AS849" s="202"/>
    </row>
    <row r="850" spans="40:45">
      <c r="AN850" s="236" t="s">
        <v>3005</v>
      </c>
      <c r="AO850" s="235" t="s">
        <v>851</v>
      </c>
      <c r="AP850" s="257">
        <f t="shared" ref="AP850:AP871" si="3">SUM(AQ850:AR850)</f>
        <v>0</v>
      </c>
      <c r="AQ850" s="258"/>
      <c r="AR850" s="258"/>
      <c r="AS850" s="202"/>
    </row>
    <row r="851" spans="40:45" hidden="1">
      <c r="AN851" s="236"/>
      <c r="AO851" s="224"/>
      <c r="AP851" s="224"/>
      <c r="AQ851" s="258"/>
      <c r="AR851" s="258"/>
      <c r="AS851" s="202"/>
    </row>
    <row r="852" spans="40:45" hidden="1">
      <c r="AN852" s="236"/>
      <c r="AO852" s="224"/>
      <c r="AP852" s="224"/>
      <c r="AQ852" s="258"/>
      <c r="AR852" s="258"/>
      <c r="AS852" s="202"/>
    </row>
    <row r="853" spans="40:45">
      <c r="AN853" s="236" t="s">
        <v>844</v>
      </c>
      <c r="AO853" s="235" t="s">
        <v>853</v>
      </c>
      <c r="AP853" s="257">
        <f t="shared" si="3"/>
        <v>0</v>
      </c>
      <c r="AQ853" s="258"/>
      <c r="AR853" s="258"/>
      <c r="AS853" s="202"/>
    </row>
    <row r="854" spans="40:45">
      <c r="AN854" s="234" t="s">
        <v>854</v>
      </c>
      <c r="AO854" s="205" t="s">
        <v>76</v>
      </c>
      <c r="AP854" s="257">
        <f t="shared" si="3"/>
        <v>0</v>
      </c>
      <c r="AQ854" s="258"/>
      <c r="AR854" s="258"/>
      <c r="AS854" s="202"/>
    </row>
    <row r="855" spans="40:45">
      <c r="AN855" s="236" t="s">
        <v>850</v>
      </c>
      <c r="AO855" s="235" t="s">
        <v>856</v>
      </c>
      <c r="AP855" s="257">
        <f t="shared" si="3"/>
        <v>0</v>
      </c>
      <c r="AQ855" s="258"/>
      <c r="AR855" s="258"/>
      <c r="AS855" s="202"/>
    </row>
    <row r="856" spans="40:45">
      <c r="AN856" s="236" t="s">
        <v>858</v>
      </c>
      <c r="AO856" s="205" t="s">
        <v>859</v>
      </c>
      <c r="AP856" s="257">
        <f t="shared" si="3"/>
        <v>0</v>
      </c>
      <c r="AQ856" s="258"/>
      <c r="AR856" s="258"/>
      <c r="AS856" s="202"/>
    </row>
    <row r="857" spans="40:45">
      <c r="AN857" s="236" t="s">
        <v>861</v>
      </c>
      <c r="AO857" s="205" t="s">
        <v>862</v>
      </c>
      <c r="AP857" s="257">
        <f t="shared" si="3"/>
        <v>0</v>
      </c>
      <c r="AQ857" s="258"/>
      <c r="AR857" s="258"/>
      <c r="AS857" s="202"/>
    </row>
    <row r="858" spans="40:45">
      <c r="AN858" s="236" t="s">
        <v>863</v>
      </c>
      <c r="AO858" s="205" t="s">
        <v>864</v>
      </c>
      <c r="AP858" s="257">
        <f t="shared" si="3"/>
        <v>0</v>
      </c>
      <c r="AQ858" s="258"/>
      <c r="AR858" s="258"/>
      <c r="AS858" s="202"/>
    </row>
    <row r="859" spans="40:45">
      <c r="AN859" s="236" t="s">
        <v>865</v>
      </c>
      <c r="AO859" s="205" t="s">
        <v>866</v>
      </c>
      <c r="AP859" s="257">
        <f t="shared" si="3"/>
        <v>0</v>
      </c>
      <c r="AQ859" s="258"/>
      <c r="AR859" s="258"/>
      <c r="AS859" s="202"/>
    </row>
    <row r="860" spans="40:45">
      <c r="AN860" s="236" t="s">
        <v>867</v>
      </c>
      <c r="AO860" s="205" t="s">
        <v>868</v>
      </c>
      <c r="AP860" s="257">
        <f t="shared" si="3"/>
        <v>0</v>
      </c>
      <c r="AQ860" s="258"/>
      <c r="AR860" s="258"/>
      <c r="AS860" s="202"/>
    </row>
    <row r="861" spans="40:45">
      <c r="AN861" s="236" t="s">
        <v>869</v>
      </c>
      <c r="AO861" s="229" t="s">
        <v>870</v>
      </c>
      <c r="AP861" s="257">
        <f t="shared" si="3"/>
        <v>0</v>
      </c>
      <c r="AQ861" s="258"/>
      <c r="AR861" s="258"/>
      <c r="AS861" s="202"/>
    </row>
    <row r="862" spans="40:45">
      <c r="AN862" s="236" t="s">
        <v>871</v>
      </c>
      <c r="AO862" s="229" t="s">
        <v>872</v>
      </c>
      <c r="AP862" s="257">
        <f t="shared" si="3"/>
        <v>0</v>
      </c>
      <c r="AQ862" s="258"/>
      <c r="AR862" s="258"/>
      <c r="AS862" s="202"/>
    </row>
    <row r="863" spans="40:45">
      <c r="AN863" s="236" t="s">
        <v>873</v>
      </c>
      <c r="AO863" s="229" t="s">
        <v>874</v>
      </c>
      <c r="AP863" s="257">
        <f t="shared" si="3"/>
        <v>0</v>
      </c>
      <c r="AQ863" s="258"/>
      <c r="AR863" s="258"/>
      <c r="AS863" s="202"/>
    </row>
    <row r="864" spans="40:45">
      <c r="AN864" s="234" t="s">
        <v>852</v>
      </c>
      <c r="AO864" s="249" t="s">
        <v>875</v>
      </c>
      <c r="AP864" s="257">
        <f t="shared" si="3"/>
        <v>0</v>
      </c>
      <c r="AQ864" s="258"/>
      <c r="AR864" s="258"/>
      <c r="AS864" s="202"/>
    </row>
    <row r="865" spans="40:45" ht="22.5">
      <c r="AN865" s="236" t="s">
        <v>877</v>
      </c>
      <c r="AO865" s="205" t="s">
        <v>878</v>
      </c>
      <c r="AP865" s="257">
        <f t="shared" si="3"/>
        <v>0</v>
      </c>
      <c r="AQ865" s="258"/>
      <c r="AR865" s="258"/>
      <c r="AS865" s="202"/>
    </row>
    <row r="866" spans="40:45">
      <c r="AN866" s="236" t="s">
        <v>879</v>
      </c>
      <c r="AO866" s="205" t="s">
        <v>880</v>
      </c>
      <c r="AP866" s="257">
        <f t="shared" si="3"/>
        <v>0</v>
      </c>
      <c r="AQ866" s="258"/>
      <c r="AR866" s="258"/>
      <c r="AS866" s="202"/>
    </row>
    <row r="867" spans="40:45">
      <c r="AN867" s="236" t="s">
        <v>855</v>
      </c>
      <c r="AO867" s="604" t="s">
        <v>1691</v>
      </c>
      <c r="AP867" s="257">
        <f t="shared" si="3"/>
        <v>0</v>
      </c>
      <c r="AQ867" s="258"/>
      <c r="AR867" s="258"/>
      <c r="AS867" s="202"/>
    </row>
    <row r="868" spans="40:45">
      <c r="AN868" s="236" t="s">
        <v>876</v>
      </c>
      <c r="AO868" s="604" t="s">
        <v>1692</v>
      </c>
      <c r="AP868" s="257">
        <f t="shared" si="3"/>
        <v>0</v>
      </c>
      <c r="AQ868" s="258"/>
      <c r="AR868" s="258"/>
      <c r="AS868" s="202"/>
    </row>
    <row r="869" spans="40:45" ht="0.75" customHeight="1">
      <c r="AN869" s="236"/>
      <c r="AO869" s="674"/>
      <c r="AP869" s="257">
        <f t="shared" si="3"/>
        <v>0</v>
      </c>
      <c r="AQ869" s="258"/>
      <c r="AR869" s="258"/>
      <c r="AS869" s="202"/>
    </row>
    <row r="870" spans="40:45" ht="0.75" customHeight="1">
      <c r="AN870" s="236"/>
      <c r="AO870" s="205"/>
      <c r="AP870" s="264"/>
      <c r="AQ870" s="258"/>
      <c r="AR870" s="258"/>
      <c r="AS870" s="202"/>
    </row>
    <row r="871" spans="40:45" ht="0.75" customHeight="1">
      <c r="AN871" s="236"/>
      <c r="AO871" s="674"/>
      <c r="AP871" s="257">
        <f t="shared" si="3"/>
        <v>0</v>
      </c>
      <c r="AQ871" s="258"/>
      <c r="AR871" s="258"/>
      <c r="AS871" s="202"/>
    </row>
    <row r="872" spans="40:45" ht="0.75" customHeight="1">
      <c r="AN872" s="236"/>
      <c r="AO872" s="325"/>
      <c r="AP872" s="264"/>
      <c r="AQ872" s="258"/>
      <c r="AR872" s="258"/>
      <c r="AS872" s="202"/>
    </row>
    <row r="873" spans="40:45" ht="0.75" customHeight="1">
      <c r="AN873" s="236"/>
      <c r="AO873" s="483"/>
      <c r="AP873" s="264"/>
      <c r="AQ873" s="258"/>
      <c r="AR873" s="258"/>
      <c r="AS873" s="202"/>
    </row>
    <row r="874" spans="40:45" ht="0.75" customHeight="1">
      <c r="AN874" s="236"/>
      <c r="AO874" s="235"/>
      <c r="AP874" s="264"/>
      <c r="AQ874" s="258"/>
      <c r="AR874" s="258"/>
      <c r="AS874" s="202"/>
    </row>
    <row r="875" spans="40:45" ht="0.75" customHeight="1">
      <c r="AN875" s="436"/>
      <c r="AO875" s="485"/>
      <c r="AP875" s="264"/>
      <c r="AQ875" s="258"/>
      <c r="AR875" s="258"/>
      <c r="AS875" s="202"/>
    </row>
    <row r="876" spans="40:45" ht="0.75" customHeight="1">
      <c r="AN876" s="236"/>
      <c r="AO876" s="235"/>
      <c r="AP876" s="264"/>
      <c r="AQ876" s="258"/>
      <c r="AR876" s="258"/>
      <c r="AS876" s="202"/>
    </row>
    <row r="877" spans="40:45" ht="0.75" customHeight="1">
      <c r="AN877" s="236"/>
      <c r="AO877" s="205"/>
      <c r="AP877" s="264"/>
      <c r="AQ877" s="258"/>
      <c r="AR877" s="258"/>
      <c r="AS877" s="202"/>
    </row>
    <row r="878" spans="40:45" ht="0.75" customHeight="1">
      <c r="AN878" s="236"/>
      <c r="AO878" s="205"/>
      <c r="AP878" s="264"/>
      <c r="AQ878" s="258"/>
      <c r="AR878" s="258"/>
      <c r="AS878" s="202"/>
    </row>
    <row r="879" spans="40:45" ht="0.75" customHeight="1">
      <c r="AN879" s="236"/>
      <c r="AO879" s="205"/>
      <c r="AP879" s="264"/>
      <c r="AQ879" s="258"/>
      <c r="AR879" s="258"/>
      <c r="AS879" s="202"/>
    </row>
    <row r="880" spans="40:45">
      <c r="AN880" s="436" t="s">
        <v>490</v>
      </c>
      <c r="AO880" s="249" t="s">
        <v>2450</v>
      </c>
      <c r="AP880" s="257">
        <f t="shared" ref="AP880:AP894" si="4">SUM(AQ880:AR880)</f>
        <v>0</v>
      </c>
      <c r="AQ880" s="258"/>
      <c r="AR880" s="258"/>
      <c r="AS880" s="202"/>
    </row>
    <row r="881" spans="10:45">
      <c r="AN881" s="436" t="s">
        <v>491</v>
      </c>
      <c r="AO881" s="205" t="s">
        <v>2452</v>
      </c>
      <c r="AP881" s="257">
        <f t="shared" si="4"/>
        <v>0</v>
      </c>
      <c r="AQ881" s="258"/>
      <c r="AR881" s="258"/>
      <c r="AS881" s="202"/>
    </row>
    <row r="882" spans="10:45">
      <c r="AN882" s="436" t="s">
        <v>492</v>
      </c>
      <c r="AO882" s="205" t="s">
        <v>2453</v>
      </c>
      <c r="AP882" s="257">
        <f t="shared" si="4"/>
        <v>0</v>
      </c>
      <c r="AQ882" s="258"/>
      <c r="AR882" s="258"/>
      <c r="AS882" s="202"/>
    </row>
    <row r="883" spans="10:45">
      <c r="AN883" s="436" t="s">
        <v>493</v>
      </c>
      <c r="AO883" s="678" t="s">
        <v>519</v>
      </c>
      <c r="AP883" s="257">
        <f t="shared" si="4"/>
        <v>0</v>
      </c>
      <c r="AQ883" s="258"/>
      <c r="AR883" s="258"/>
      <c r="AS883" s="202"/>
    </row>
    <row r="884" spans="10:45">
      <c r="AN884" s="436" t="s">
        <v>494</v>
      </c>
      <c r="AO884" s="229" t="s">
        <v>747</v>
      </c>
      <c r="AP884" s="257">
        <f t="shared" si="4"/>
        <v>0</v>
      </c>
      <c r="AQ884" s="258"/>
      <c r="AR884" s="258"/>
      <c r="AS884" s="202"/>
    </row>
    <row r="885" spans="10:45">
      <c r="AN885" s="436" t="s">
        <v>495</v>
      </c>
      <c r="AO885" s="229" t="s">
        <v>748</v>
      </c>
      <c r="AP885" s="257">
        <f t="shared" si="4"/>
        <v>0</v>
      </c>
      <c r="AQ885" s="258"/>
      <c r="AR885" s="258"/>
      <c r="AS885" s="202"/>
    </row>
    <row r="886" spans="10:45">
      <c r="AN886" s="436" t="s">
        <v>496</v>
      </c>
      <c r="AO886" s="229" t="s">
        <v>749</v>
      </c>
      <c r="AP886" s="257">
        <f t="shared" si="4"/>
        <v>0</v>
      </c>
      <c r="AQ886" s="258"/>
      <c r="AR886" s="258"/>
      <c r="AS886" s="202"/>
    </row>
    <row r="887" spans="10:45">
      <c r="AN887" s="436" t="s">
        <v>497</v>
      </c>
      <c r="AO887" s="249" t="s">
        <v>2454</v>
      </c>
      <c r="AP887" s="257">
        <f t="shared" si="4"/>
        <v>0</v>
      </c>
      <c r="AQ887" s="258"/>
      <c r="AR887" s="258"/>
      <c r="AS887" s="202"/>
    </row>
    <row r="888" spans="10:45">
      <c r="AN888" s="436" t="s">
        <v>498</v>
      </c>
      <c r="AO888" s="205" t="s">
        <v>746</v>
      </c>
      <c r="AP888" s="257">
        <f t="shared" si="4"/>
        <v>0</v>
      </c>
      <c r="AQ888" s="258"/>
      <c r="AR888" s="258"/>
      <c r="AS888" s="202"/>
    </row>
    <row r="889" spans="10:45">
      <c r="AN889" s="436" t="s">
        <v>499</v>
      </c>
      <c r="AO889" s="205" t="s">
        <v>747</v>
      </c>
      <c r="AP889" s="257">
        <f t="shared" si="4"/>
        <v>0</v>
      </c>
      <c r="AQ889" s="258"/>
      <c r="AR889" s="258"/>
      <c r="AS889" s="202"/>
    </row>
    <row r="890" spans="10:45">
      <c r="AN890" s="436" t="s">
        <v>500</v>
      </c>
      <c r="AO890" s="205" t="s">
        <v>748</v>
      </c>
      <c r="AP890" s="257">
        <f t="shared" si="4"/>
        <v>0</v>
      </c>
      <c r="AQ890" s="258"/>
      <c r="AR890" s="258"/>
      <c r="AS890" s="202"/>
    </row>
    <row r="891" spans="10:45">
      <c r="AN891" s="436" t="s">
        <v>501</v>
      </c>
      <c r="AO891" s="205" t="s">
        <v>749</v>
      </c>
      <c r="AP891" s="257">
        <f t="shared" si="4"/>
        <v>0</v>
      </c>
      <c r="AQ891" s="258"/>
      <c r="AR891" s="258"/>
      <c r="AS891" s="202"/>
    </row>
    <row r="892" spans="10:45">
      <c r="AN892" s="436" t="s">
        <v>502</v>
      </c>
      <c r="AO892" s="224" t="s">
        <v>2459</v>
      </c>
      <c r="AP892" s="257">
        <f t="shared" si="4"/>
        <v>0</v>
      </c>
      <c r="AQ892" s="258"/>
      <c r="AR892" s="258"/>
      <c r="AS892" s="202"/>
    </row>
    <row r="893" spans="10:45">
      <c r="AN893" s="436" t="s">
        <v>503</v>
      </c>
      <c r="AO893" s="677" t="s">
        <v>754</v>
      </c>
      <c r="AP893" s="257">
        <f t="shared" si="4"/>
        <v>0</v>
      </c>
      <c r="AQ893" s="258"/>
      <c r="AR893" s="258"/>
      <c r="AS893" s="202"/>
    </row>
    <row r="894" spans="10:45">
      <c r="AN894" s="675">
        <v>32</v>
      </c>
      <c r="AO894" s="483" t="s">
        <v>518</v>
      </c>
      <c r="AP894" s="257">
        <f t="shared" si="4"/>
        <v>0</v>
      </c>
      <c r="AQ894" s="258"/>
      <c r="AR894" s="258"/>
      <c r="AS894" s="202"/>
    </row>
    <row r="895" spans="10:45" s="55" customFormat="1" ht="0.75" customHeight="1">
      <c r="J895" s="213"/>
      <c r="K895" s="213"/>
      <c r="L895" s="213"/>
      <c r="M895" s="213"/>
      <c r="N895" s="213"/>
      <c r="O895" s="213"/>
      <c r="P895" s="213"/>
      <c r="Q895" s="213"/>
      <c r="R895" s="213"/>
      <c r="S895" s="213"/>
      <c r="T895" s="213"/>
      <c r="U895" s="213"/>
      <c r="V895" s="213"/>
      <c r="W895" s="213"/>
      <c r="X895" s="213"/>
      <c r="Y895" s="213"/>
      <c r="Z895" s="213"/>
      <c r="AA895" s="213"/>
      <c r="AB895" s="213"/>
      <c r="AC895" s="213"/>
      <c r="AD895" s="213"/>
      <c r="AE895" s="213"/>
      <c r="AF895" s="213"/>
      <c r="AG895" s="213"/>
      <c r="AH895" s="213"/>
      <c r="AI895" s="213"/>
      <c r="AJ895" s="213"/>
      <c r="AK895" s="213"/>
      <c r="AL895" s="213"/>
      <c r="AM895" s="213"/>
      <c r="AN895" s="236"/>
      <c r="AO895" s="301"/>
      <c r="AP895" s="264"/>
      <c r="AQ895" s="258"/>
      <c r="AR895" s="258"/>
      <c r="AS895" s="50"/>
    </row>
    <row r="896" spans="10:45" s="55" customFormat="1" ht="22.5">
      <c r="J896" s="213"/>
      <c r="K896" s="213"/>
      <c r="L896" s="213"/>
      <c r="M896" s="213"/>
      <c r="N896" s="213"/>
      <c r="O896" s="213"/>
      <c r="P896" s="213"/>
      <c r="Q896" s="213"/>
      <c r="R896" s="213"/>
      <c r="S896" s="213"/>
      <c r="T896" s="213"/>
      <c r="U896" s="213"/>
      <c r="V896" s="213"/>
      <c r="W896" s="213"/>
      <c r="X896" s="213"/>
      <c r="Y896" s="213"/>
      <c r="Z896" s="213"/>
      <c r="AA896" s="213"/>
      <c r="AB896" s="213"/>
      <c r="AC896" s="213"/>
      <c r="AD896" s="213"/>
      <c r="AE896" s="213"/>
      <c r="AF896" s="213"/>
      <c r="AG896" s="213"/>
      <c r="AH896" s="213"/>
      <c r="AI896" s="213"/>
      <c r="AJ896" s="213"/>
      <c r="AK896" s="213"/>
      <c r="AL896" s="213"/>
      <c r="AM896" s="213"/>
      <c r="AN896" s="436" t="s">
        <v>1854</v>
      </c>
      <c r="AO896" s="687" t="s">
        <v>523</v>
      </c>
      <c r="AP896" s="257">
        <f t="shared" ref="AP896:AP923" si="5">SUM(AQ896:AR896)</f>
        <v>0</v>
      </c>
      <c r="AQ896" s="258"/>
      <c r="AR896" s="258"/>
    </row>
    <row r="897" spans="10:44" s="48" customFormat="1">
      <c r="J897" s="213"/>
      <c r="K897" s="213"/>
      <c r="L897" s="213"/>
      <c r="M897" s="213"/>
      <c r="N897" s="213"/>
      <c r="O897" s="213"/>
      <c r="P897" s="213"/>
      <c r="Q897" s="213"/>
      <c r="R897" s="213"/>
      <c r="S897" s="213"/>
      <c r="T897" s="213"/>
      <c r="U897" s="213"/>
      <c r="V897" s="213"/>
      <c r="W897" s="213"/>
      <c r="X897" s="213"/>
      <c r="Y897" s="213"/>
      <c r="Z897" s="213"/>
      <c r="AA897" s="213"/>
      <c r="AB897" s="213"/>
      <c r="AC897" s="213"/>
      <c r="AD897" s="213"/>
      <c r="AE897" s="213"/>
      <c r="AF897" s="213"/>
      <c r="AG897" s="213"/>
      <c r="AH897" s="213"/>
      <c r="AI897" s="213"/>
      <c r="AJ897" s="213"/>
      <c r="AK897" s="213"/>
      <c r="AL897" s="213"/>
      <c r="AM897" s="213"/>
      <c r="AN897" s="236" t="s">
        <v>1858</v>
      </c>
      <c r="AO897" s="228" t="s">
        <v>2461</v>
      </c>
      <c r="AP897" s="257">
        <f t="shared" si="5"/>
        <v>0</v>
      </c>
      <c r="AQ897" s="258"/>
      <c r="AR897" s="258"/>
    </row>
    <row r="898" spans="10:44" s="48" customFormat="1">
      <c r="J898" s="213"/>
      <c r="K898" s="213"/>
      <c r="L898" s="213"/>
      <c r="M898" s="213"/>
      <c r="N898" s="213"/>
      <c r="O898" s="213"/>
      <c r="P898" s="213"/>
      <c r="Q898" s="213"/>
      <c r="R898" s="213"/>
      <c r="S898" s="213"/>
      <c r="T898" s="213"/>
      <c r="U898" s="213"/>
      <c r="V898" s="213"/>
      <c r="W898" s="213"/>
      <c r="X898" s="213"/>
      <c r="Y898" s="213"/>
      <c r="Z898" s="213"/>
      <c r="AA898" s="213"/>
      <c r="AB898" s="213"/>
      <c r="AC898" s="213"/>
      <c r="AD898" s="213"/>
      <c r="AE898" s="213"/>
      <c r="AF898" s="213"/>
      <c r="AG898" s="213"/>
      <c r="AH898" s="213"/>
      <c r="AI898" s="213"/>
      <c r="AJ898" s="213"/>
      <c r="AK898" s="213"/>
      <c r="AL898" s="213"/>
      <c r="AM898" s="213"/>
      <c r="AN898" s="236" t="s">
        <v>2462</v>
      </c>
      <c r="AO898" s="679" t="s">
        <v>78</v>
      </c>
      <c r="AP898" s="257">
        <f t="shared" si="5"/>
        <v>0</v>
      </c>
      <c r="AQ898" s="258"/>
      <c r="AR898" s="258"/>
    </row>
    <row r="899" spans="10:44" s="48" customFormat="1">
      <c r="J899" s="213"/>
      <c r="K899" s="213"/>
      <c r="L899" s="213"/>
      <c r="M899" s="213"/>
      <c r="N899" s="213"/>
      <c r="O899" s="213"/>
      <c r="P899" s="213"/>
      <c r="Q899" s="213"/>
      <c r="R899" s="213"/>
      <c r="S899" s="213"/>
      <c r="T899" s="213"/>
      <c r="U899" s="213"/>
      <c r="V899" s="213"/>
      <c r="W899" s="213"/>
      <c r="X899" s="213"/>
      <c r="Y899" s="213"/>
      <c r="Z899" s="213"/>
      <c r="AA899" s="213"/>
      <c r="AB899" s="213"/>
      <c r="AC899" s="213"/>
      <c r="AD899" s="213"/>
      <c r="AE899" s="213"/>
      <c r="AF899" s="213"/>
      <c r="AG899" s="213"/>
      <c r="AH899" s="213"/>
      <c r="AI899" s="213"/>
      <c r="AJ899" s="213"/>
      <c r="AK899" s="213"/>
      <c r="AL899" s="213"/>
      <c r="AM899" s="213"/>
      <c r="AN899" s="236" t="s">
        <v>2463</v>
      </c>
      <c r="AO899" s="676" t="s">
        <v>212</v>
      </c>
      <c r="AP899" s="257">
        <f t="shared" si="5"/>
        <v>0</v>
      </c>
      <c r="AQ899" s="258"/>
      <c r="AR899" s="258"/>
    </row>
    <row r="900" spans="10:44" s="48" customFormat="1">
      <c r="J900" s="213"/>
      <c r="K900" s="213"/>
      <c r="L900" s="213"/>
      <c r="M900" s="213"/>
      <c r="N900" s="213"/>
      <c r="O900" s="213"/>
      <c r="P900" s="213"/>
      <c r="Q900" s="213"/>
      <c r="R900" s="213"/>
      <c r="S900" s="213"/>
      <c r="T900" s="213"/>
      <c r="U900" s="213"/>
      <c r="V900" s="213"/>
      <c r="W900" s="213"/>
      <c r="X900" s="213"/>
      <c r="Y900" s="213"/>
      <c r="Z900" s="213"/>
      <c r="AA900" s="213"/>
      <c r="AB900" s="213"/>
      <c r="AC900" s="213"/>
      <c r="AD900" s="213"/>
      <c r="AE900" s="213"/>
      <c r="AF900" s="213"/>
      <c r="AG900" s="213"/>
      <c r="AH900" s="213"/>
      <c r="AI900" s="213"/>
      <c r="AJ900" s="213"/>
      <c r="AK900" s="213"/>
      <c r="AL900" s="213"/>
      <c r="AM900" s="213"/>
      <c r="AN900" s="436" t="s">
        <v>515</v>
      </c>
      <c r="AO900" s="680" t="s">
        <v>79</v>
      </c>
      <c r="AP900" s="257">
        <f t="shared" si="5"/>
        <v>0</v>
      </c>
      <c r="AQ900" s="258"/>
      <c r="AR900" s="258"/>
    </row>
    <row r="901" spans="10:44" s="48" customFormat="1">
      <c r="J901" s="213"/>
      <c r="K901" s="213"/>
      <c r="L901" s="213"/>
      <c r="M901" s="213"/>
      <c r="N901" s="213"/>
      <c r="O901" s="213"/>
      <c r="P901" s="213"/>
      <c r="Q901" s="213"/>
      <c r="R901" s="213"/>
      <c r="S901" s="213"/>
      <c r="T901" s="213"/>
      <c r="U901" s="213"/>
      <c r="V901" s="213"/>
      <c r="W901" s="213"/>
      <c r="X901" s="213"/>
      <c r="Y901" s="213"/>
      <c r="Z901" s="213"/>
      <c r="AA901" s="213"/>
      <c r="AB901" s="213"/>
      <c r="AC901" s="213"/>
      <c r="AD901" s="213"/>
      <c r="AE901" s="213"/>
      <c r="AF901" s="213"/>
      <c r="AG901" s="213"/>
      <c r="AH901" s="213"/>
      <c r="AI901" s="213"/>
      <c r="AJ901" s="213"/>
      <c r="AK901" s="213"/>
      <c r="AL901" s="213"/>
      <c r="AM901" s="213"/>
      <c r="AN901" s="436" t="s">
        <v>516</v>
      </c>
      <c r="AO901" s="680" t="s">
        <v>81</v>
      </c>
      <c r="AP901" s="257">
        <f t="shared" si="5"/>
        <v>0</v>
      </c>
      <c r="AQ901" s="258"/>
      <c r="AR901" s="258"/>
    </row>
    <row r="902" spans="10:44" s="48" customFormat="1">
      <c r="J902" s="213"/>
      <c r="K902" s="213"/>
      <c r="L902" s="213"/>
      <c r="M902" s="213"/>
      <c r="N902" s="213"/>
      <c r="O902" s="213"/>
      <c r="P902" s="213"/>
      <c r="Q902" s="213"/>
      <c r="R902" s="213"/>
      <c r="S902" s="213"/>
      <c r="T902" s="213"/>
      <c r="U902" s="213"/>
      <c r="V902" s="213"/>
      <c r="W902" s="213"/>
      <c r="X902" s="213"/>
      <c r="Y902" s="213"/>
      <c r="Z902" s="213"/>
      <c r="AA902" s="213"/>
      <c r="AB902" s="213"/>
      <c r="AC902" s="213"/>
      <c r="AD902" s="213"/>
      <c r="AE902" s="213"/>
      <c r="AF902" s="213"/>
      <c r="AG902" s="213"/>
      <c r="AH902" s="213"/>
      <c r="AI902" s="213"/>
      <c r="AJ902" s="213"/>
      <c r="AK902" s="213"/>
      <c r="AL902" s="213"/>
      <c r="AM902" s="213"/>
      <c r="AN902" s="436" t="s">
        <v>517</v>
      </c>
      <c r="AO902" s="680" t="s">
        <v>83</v>
      </c>
      <c r="AP902" s="257">
        <f t="shared" si="5"/>
        <v>0</v>
      </c>
      <c r="AQ902" s="258"/>
      <c r="AR902" s="258"/>
    </row>
    <row r="903" spans="10:44" s="48" customFormat="1">
      <c r="J903" s="213"/>
      <c r="K903" s="213"/>
      <c r="L903" s="213"/>
      <c r="M903" s="213"/>
      <c r="N903" s="213"/>
      <c r="O903" s="213"/>
      <c r="P903" s="213"/>
      <c r="Q903" s="213"/>
      <c r="R903" s="213"/>
      <c r="S903" s="213"/>
      <c r="T903" s="213"/>
      <c r="U903" s="213"/>
      <c r="V903" s="213"/>
      <c r="W903" s="213"/>
      <c r="X903" s="213"/>
      <c r="Y903" s="213"/>
      <c r="Z903" s="213"/>
      <c r="AA903" s="213"/>
      <c r="AB903" s="213"/>
      <c r="AC903" s="213"/>
      <c r="AD903" s="213"/>
      <c r="AE903" s="213"/>
      <c r="AF903" s="213"/>
      <c r="AG903" s="213"/>
      <c r="AH903" s="213"/>
      <c r="AI903" s="213"/>
      <c r="AJ903" s="213"/>
      <c r="AK903" s="213"/>
      <c r="AL903" s="213"/>
      <c r="AM903" s="213"/>
      <c r="AN903" s="236" t="s">
        <v>2464</v>
      </c>
      <c r="AO903" s="681" t="s">
        <v>85</v>
      </c>
      <c r="AP903" s="257">
        <f t="shared" si="5"/>
        <v>0</v>
      </c>
      <c r="AQ903" s="258"/>
      <c r="AR903" s="258"/>
    </row>
    <row r="904" spans="10:44" s="48" customFormat="1">
      <c r="J904" s="213"/>
      <c r="K904" s="213"/>
      <c r="L904" s="213"/>
      <c r="M904" s="213"/>
      <c r="N904" s="213"/>
      <c r="O904" s="213"/>
      <c r="P904" s="213"/>
      <c r="Q904" s="213"/>
      <c r="R904" s="213"/>
      <c r="S904" s="213"/>
      <c r="T904" s="213"/>
      <c r="U904" s="213"/>
      <c r="V904" s="213"/>
      <c r="W904" s="213"/>
      <c r="X904" s="213"/>
      <c r="Y904" s="213"/>
      <c r="Z904" s="213"/>
      <c r="AA904" s="213"/>
      <c r="AB904" s="213"/>
      <c r="AC904" s="213"/>
      <c r="AD904" s="213"/>
      <c r="AE904" s="213"/>
      <c r="AF904" s="213"/>
      <c r="AG904" s="213"/>
      <c r="AH904" s="213"/>
      <c r="AI904" s="213"/>
      <c r="AJ904" s="213"/>
      <c r="AK904" s="213"/>
      <c r="AL904" s="213"/>
      <c r="AM904" s="213"/>
      <c r="AN904" s="236" t="s">
        <v>2465</v>
      </c>
      <c r="AO904" s="681" t="s">
        <v>87</v>
      </c>
      <c r="AP904" s="257">
        <f t="shared" si="5"/>
        <v>0</v>
      </c>
      <c r="AQ904" s="258"/>
      <c r="AR904" s="258"/>
    </row>
    <row r="905" spans="10:44" s="48" customFormat="1">
      <c r="J905" s="213"/>
      <c r="K905" s="213"/>
      <c r="L905" s="213"/>
      <c r="M905" s="213"/>
      <c r="N905" s="213"/>
      <c r="O905" s="213"/>
      <c r="P905" s="213"/>
      <c r="Q905" s="213"/>
      <c r="R905" s="213"/>
      <c r="S905" s="213"/>
      <c r="T905" s="213"/>
      <c r="U905" s="213"/>
      <c r="V905" s="213"/>
      <c r="W905" s="213"/>
      <c r="X905" s="213"/>
      <c r="Y905" s="213"/>
      <c r="Z905" s="213"/>
      <c r="AA905" s="213"/>
      <c r="AB905" s="213"/>
      <c r="AC905" s="213"/>
      <c r="AD905" s="213"/>
      <c r="AE905" s="213"/>
      <c r="AF905" s="213"/>
      <c r="AG905" s="213"/>
      <c r="AH905" s="213"/>
      <c r="AI905" s="213"/>
      <c r="AJ905" s="213"/>
      <c r="AK905" s="213"/>
      <c r="AL905" s="213"/>
      <c r="AM905" s="213"/>
      <c r="AN905" s="236" t="s">
        <v>504</v>
      </c>
      <c r="AO905" s="681" t="s">
        <v>89</v>
      </c>
      <c r="AP905" s="257">
        <f t="shared" si="5"/>
        <v>0</v>
      </c>
      <c r="AQ905" s="258"/>
      <c r="AR905" s="258"/>
    </row>
    <row r="906" spans="10:44" s="48" customFormat="1">
      <c r="J906" s="213"/>
      <c r="K906" s="213"/>
      <c r="L906" s="213"/>
      <c r="M906" s="213"/>
      <c r="N906" s="213"/>
      <c r="O906" s="213"/>
      <c r="P906" s="213"/>
      <c r="Q906" s="213"/>
      <c r="R906" s="213"/>
      <c r="S906" s="213"/>
      <c r="T906" s="213"/>
      <c r="U906" s="213"/>
      <c r="V906" s="213"/>
      <c r="W906" s="213"/>
      <c r="X906" s="213"/>
      <c r="Y906" s="213"/>
      <c r="Z906" s="213"/>
      <c r="AA906" s="213"/>
      <c r="AB906" s="213"/>
      <c r="AC906" s="213"/>
      <c r="AD906" s="213"/>
      <c r="AE906" s="213"/>
      <c r="AF906" s="213"/>
      <c r="AG906" s="213"/>
      <c r="AH906" s="213"/>
      <c r="AI906" s="213"/>
      <c r="AJ906" s="213"/>
      <c r="AK906" s="213"/>
      <c r="AL906" s="213"/>
      <c r="AM906" s="213"/>
      <c r="AN906" s="236" t="s">
        <v>505</v>
      </c>
      <c r="AO906" s="681" t="s">
        <v>91</v>
      </c>
      <c r="AP906" s="257">
        <f t="shared" si="5"/>
        <v>0</v>
      </c>
      <c r="AQ906" s="258"/>
      <c r="AR906" s="258"/>
    </row>
    <row r="907" spans="10:44" s="48" customFormat="1">
      <c r="J907" s="213"/>
      <c r="K907" s="213"/>
      <c r="L907" s="213"/>
      <c r="M907" s="213"/>
      <c r="N907" s="213"/>
      <c r="O907" s="213"/>
      <c r="P907" s="213"/>
      <c r="Q907" s="213"/>
      <c r="R907" s="213"/>
      <c r="S907" s="213"/>
      <c r="T907" s="213"/>
      <c r="U907" s="213"/>
      <c r="V907" s="213"/>
      <c r="W907" s="213"/>
      <c r="X907" s="213"/>
      <c r="Y907" s="213"/>
      <c r="Z907" s="213"/>
      <c r="AA907" s="213"/>
      <c r="AB907" s="213"/>
      <c r="AC907" s="213"/>
      <c r="AD907" s="213"/>
      <c r="AE907" s="213"/>
      <c r="AF907" s="213"/>
      <c r="AG907" s="213"/>
      <c r="AH907" s="213"/>
      <c r="AI907" s="213"/>
      <c r="AJ907" s="213"/>
      <c r="AK907" s="213"/>
      <c r="AL907" s="213"/>
      <c r="AM907" s="213"/>
      <c r="AN907" s="236" t="s">
        <v>506</v>
      </c>
      <c r="AO907" s="681" t="s">
        <v>93</v>
      </c>
      <c r="AP907" s="257">
        <f t="shared" si="5"/>
        <v>0</v>
      </c>
      <c r="AQ907" s="258"/>
      <c r="AR907" s="258"/>
    </row>
    <row r="908" spans="10:44" s="48" customFormat="1">
      <c r="J908" s="213"/>
      <c r="K908" s="213"/>
      <c r="L908" s="213"/>
      <c r="M908" s="213"/>
      <c r="N908" s="213"/>
      <c r="O908" s="213"/>
      <c r="P908" s="213"/>
      <c r="Q908" s="213"/>
      <c r="R908" s="213"/>
      <c r="S908" s="213"/>
      <c r="T908" s="213"/>
      <c r="U908" s="213"/>
      <c r="V908" s="213"/>
      <c r="W908" s="213"/>
      <c r="X908" s="213"/>
      <c r="Y908" s="213"/>
      <c r="Z908" s="213"/>
      <c r="AA908" s="213"/>
      <c r="AB908" s="213"/>
      <c r="AC908" s="213"/>
      <c r="AD908" s="213"/>
      <c r="AE908" s="213"/>
      <c r="AF908" s="213"/>
      <c r="AG908" s="213"/>
      <c r="AH908" s="213"/>
      <c r="AI908" s="213"/>
      <c r="AJ908" s="213"/>
      <c r="AK908" s="213"/>
      <c r="AL908" s="213"/>
      <c r="AM908" s="213"/>
      <c r="AN908" s="236" t="s">
        <v>507</v>
      </c>
      <c r="AO908" s="681" t="s">
        <v>95</v>
      </c>
      <c r="AP908" s="257">
        <f t="shared" si="5"/>
        <v>0</v>
      </c>
      <c r="AQ908" s="258"/>
      <c r="AR908" s="258"/>
    </row>
    <row r="909" spans="10:44" s="48" customFormat="1">
      <c r="J909" s="213"/>
      <c r="K909" s="213"/>
      <c r="L909" s="213"/>
      <c r="M909" s="213"/>
      <c r="N909" s="213"/>
      <c r="O909" s="213"/>
      <c r="P909" s="213"/>
      <c r="Q909" s="213"/>
      <c r="R909" s="213"/>
      <c r="S909" s="213"/>
      <c r="T909" s="213"/>
      <c r="U909" s="213"/>
      <c r="V909" s="213"/>
      <c r="W909" s="213"/>
      <c r="X909" s="213"/>
      <c r="Y909" s="213"/>
      <c r="Z909" s="213"/>
      <c r="AA909" s="213"/>
      <c r="AB909" s="213"/>
      <c r="AC909" s="213"/>
      <c r="AD909" s="213"/>
      <c r="AE909" s="213"/>
      <c r="AF909" s="213"/>
      <c r="AG909" s="213"/>
      <c r="AH909" s="213"/>
      <c r="AI909" s="213"/>
      <c r="AJ909" s="213"/>
      <c r="AK909" s="213"/>
      <c r="AL909" s="213"/>
      <c r="AM909" s="213"/>
      <c r="AN909" s="236" t="s">
        <v>508</v>
      </c>
      <c r="AO909" s="681" t="s">
        <v>2976</v>
      </c>
      <c r="AP909" s="257">
        <f t="shared" si="5"/>
        <v>0</v>
      </c>
      <c r="AQ909" s="258"/>
      <c r="AR909" s="258"/>
    </row>
    <row r="910" spans="10:44" s="48" customFormat="1">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36" t="s">
        <v>509</v>
      </c>
      <c r="AO910" s="681" t="s">
        <v>2978</v>
      </c>
      <c r="AP910" s="257">
        <f t="shared" si="5"/>
        <v>0</v>
      </c>
      <c r="AQ910" s="258"/>
      <c r="AR910" s="258"/>
    </row>
    <row r="911" spans="10:44" s="48" customFormat="1">
      <c r="J911" s="213"/>
      <c r="K911" s="213"/>
      <c r="L911" s="213"/>
      <c r="M911" s="213"/>
      <c r="N911" s="213"/>
      <c r="O911" s="213"/>
      <c r="P911" s="213"/>
      <c r="Q911" s="213"/>
      <c r="R911" s="213"/>
      <c r="S911" s="213"/>
      <c r="T911" s="213"/>
      <c r="U911" s="213"/>
      <c r="V911" s="213"/>
      <c r="W911" s="213"/>
      <c r="X911" s="213"/>
      <c r="Y911" s="213"/>
      <c r="Z911" s="213"/>
      <c r="AA911" s="213"/>
      <c r="AB911" s="213"/>
      <c r="AC911" s="213"/>
      <c r="AD911" s="213"/>
      <c r="AE911" s="213"/>
      <c r="AF911" s="213"/>
      <c r="AG911" s="213"/>
      <c r="AH911" s="213"/>
      <c r="AI911" s="213"/>
      <c r="AJ911" s="213"/>
      <c r="AK911" s="213"/>
      <c r="AL911" s="213"/>
      <c r="AM911" s="213"/>
      <c r="AN911" s="236" t="s">
        <v>510</v>
      </c>
      <c r="AO911" s="681" t="s">
        <v>2980</v>
      </c>
      <c r="AP911" s="257">
        <f t="shared" si="5"/>
        <v>0</v>
      </c>
      <c r="AQ911" s="258"/>
      <c r="AR911" s="258"/>
    </row>
    <row r="912" spans="10:44" s="48" customFormat="1">
      <c r="J912" s="213"/>
      <c r="K912" s="213"/>
      <c r="L912" s="213"/>
      <c r="M912" s="213"/>
      <c r="N912" s="213"/>
      <c r="O912" s="213"/>
      <c r="P912" s="213"/>
      <c r="Q912" s="213"/>
      <c r="R912" s="213"/>
      <c r="S912" s="213"/>
      <c r="T912" s="213"/>
      <c r="U912" s="213"/>
      <c r="V912" s="213"/>
      <c r="W912" s="213"/>
      <c r="X912" s="213"/>
      <c r="Y912" s="213"/>
      <c r="Z912" s="213"/>
      <c r="AA912" s="213"/>
      <c r="AB912" s="213"/>
      <c r="AC912" s="213"/>
      <c r="AD912" s="213"/>
      <c r="AE912" s="213"/>
      <c r="AF912" s="213"/>
      <c r="AG912" s="213"/>
      <c r="AH912" s="213"/>
      <c r="AI912" s="213"/>
      <c r="AJ912" s="213"/>
      <c r="AK912" s="213"/>
      <c r="AL912" s="213"/>
      <c r="AM912" s="213"/>
      <c r="AN912" s="236" t="s">
        <v>511</v>
      </c>
      <c r="AO912" s="681" t="s">
        <v>2982</v>
      </c>
      <c r="AP912" s="257">
        <f t="shared" si="5"/>
        <v>0</v>
      </c>
      <c r="AQ912" s="258"/>
      <c r="AR912" s="258"/>
    </row>
    <row r="913" spans="10:44" s="48" customFormat="1">
      <c r="J913" s="213"/>
      <c r="K913" s="213"/>
      <c r="L913" s="213"/>
      <c r="M913" s="213"/>
      <c r="N913" s="213"/>
      <c r="O913" s="213"/>
      <c r="P913" s="213"/>
      <c r="Q913" s="213"/>
      <c r="R913" s="213"/>
      <c r="S913" s="213"/>
      <c r="T913" s="213"/>
      <c r="U913" s="213"/>
      <c r="V913" s="213"/>
      <c r="W913" s="213"/>
      <c r="X913" s="213"/>
      <c r="Y913" s="213"/>
      <c r="Z913" s="213"/>
      <c r="AA913" s="213"/>
      <c r="AB913" s="213"/>
      <c r="AC913" s="213"/>
      <c r="AD913" s="213"/>
      <c r="AE913" s="213"/>
      <c r="AF913" s="213"/>
      <c r="AG913" s="213"/>
      <c r="AH913" s="213"/>
      <c r="AI913" s="213"/>
      <c r="AJ913" s="213"/>
      <c r="AK913" s="213"/>
      <c r="AL913" s="213"/>
      <c r="AM913" s="213"/>
      <c r="AN913" s="236" t="s">
        <v>512</v>
      </c>
      <c r="AO913" s="242" t="s">
        <v>2984</v>
      </c>
      <c r="AP913" s="257">
        <f t="shared" si="5"/>
        <v>0</v>
      </c>
      <c r="AQ913" s="258"/>
      <c r="AR913" s="258"/>
    </row>
    <row r="914" spans="10:44" s="48" customFormat="1">
      <c r="J914" s="213"/>
      <c r="K914" s="213"/>
      <c r="L914" s="213"/>
      <c r="M914" s="213"/>
      <c r="N914" s="213"/>
      <c r="O914" s="213"/>
      <c r="P914" s="213"/>
      <c r="Q914" s="213"/>
      <c r="R914" s="213"/>
      <c r="S914" s="213"/>
      <c r="T914" s="213"/>
      <c r="U914" s="213"/>
      <c r="V914" s="213"/>
      <c r="W914" s="213"/>
      <c r="X914" s="213"/>
      <c r="Y914" s="213"/>
      <c r="Z914" s="213"/>
      <c r="AA914" s="213"/>
      <c r="AB914" s="213"/>
      <c r="AC914" s="213"/>
      <c r="AD914" s="213"/>
      <c r="AE914" s="213"/>
      <c r="AF914" s="213"/>
      <c r="AG914" s="213"/>
      <c r="AH914" s="213"/>
      <c r="AI914" s="213"/>
      <c r="AJ914" s="213"/>
      <c r="AK914" s="213"/>
      <c r="AL914" s="213"/>
      <c r="AM914" s="213"/>
      <c r="AN914" s="236" t="s">
        <v>513</v>
      </c>
      <c r="AO914" s="242" t="s">
        <v>2990</v>
      </c>
      <c r="AP914" s="257">
        <f t="shared" si="5"/>
        <v>0</v>
      </c>
      <c r="AQ914" s="258"/>
      <c r="AR914" s="258"/>
    </row>
    <row r="915" spans="10:44" s="48" customFormat="1">
      <c r="J915" s="213"/>
      <c r="K915" s="213"/>
      <c r="L915" s="213"/>
      <c r="M915" s="213"/>
      <c r="N915" s="213"/>
      <c r="O915" s="213"/>
      <c r="P915" s="213"/>
      <c r="Q915" s="213"/>
      <c r="R915" s="213"/>
      <c r="S915" s="213"/>
      <c r="T915" s="213"/>
      <c r="U915" s="213"/>
      <c r="V915" s="213"/>
      <c r="W915" s="213"/>
      <c r="X915" s="213"/>
      <c r="Y915" s="213"/>
      <c r="Z915" s="213"/>
      <c r="AA915" s="213"/>
      <c r="AB915" s="213"/>
      <c r="AC915" s="213"/>
      <c r="AD915" s="213"/>
      <c r="AE915" s="213"/>
      <c r="AF915" s="213"/>
      <c r="AG915" s="213"/>
      <c r="AH915" s="213"/>
      <c r="AI915" s="213"/>
      <c r="AJ915" s="213"/>
      <c r="AK915" s="213"/>
      <c r="AL915" s="213"/>
      <c r="AM915" s="213"/>
      <c r="AN915" s="236" t="s">
        <v>514</v>
      </c>
      <c r="AO915" s="635" t="s">
        <v>291</v>
      </c>
      <c r="AP915" s="257">
        <f t="shared" si="5"/>
        <v>0</v>
      </c>
      <c r="AQ915" s="258"/>
      <c r="AR915" s="258"/>
    </row>
    <row r="916" spans="10:44" s="48" customFormat="1">
      <c r="J916" s="213"/>
      <c r="K916" s="213"/>
      <c r="L916" s="213"/>
      <c r="M916" s="213"/>
      <c r="N916" s="213"/>
      <c r="O916" s="213"/>
      <c r="P916" s="213"/>
      <c r="Q916" s="213"/>
      <c r="R916" s="213"/>
      <c r="S916" s="213"/>
      <c r="T916" s="213"/>
      <c r="U916" s="213"/>
      <c r="V916" s="213"/>
      <c r="W916" s="213"/>
      <c r="X916" s="213"/>
      <c r="Y916" s="213"/>
      <c r="Z916" s="213"/>
      <c r="AA916" s="213"/>
      <c r="AB916" s="213"/>
      <c r="AC916" s="213"/>
      <c r="AD916" s="213"/>
      <c r="AE916" s="213"/>
      <c r="AF916" s="213"/>
      <c r="AG916" s="213"/>
      <c r="AH916" s="213"/>
      <c r="AI916" s="213"/>
      <c r="AJ916" s="213"/>
      <c r="AK916" s="213"/>
      <c r="AL916" s="213"/>
      <c r="AM916" s="213"/>
      <c r="AN916" s="236" t="s">
        <v>2466</v>
      </c>
      <c r="AO916" s="228" t="s">
        <v>2984</v>
      </c>
      <c r="AP916" s="257">
        <f t="shared" si="5"/>
        <v>0</v>
      </c>
      <c r="AQ916" s="258"/>
      <c r="AR916" s="258"/>
    </row>
    <row r="917" spans="10:44" s="48" customFormat="1">
      <c r="J917" s="213"/>
      <c r="K917" s="213"/>
      <c r="L917" s="213"/>
      <c r="M917" s="213"/>
      <c r="N917" s="213"/>
      <c r="O917" s="213"/>
      <c r="P917" s="213"/>
      <c r="Q917" s="213"/>
      <c r="R917" s="213"/>
      <c r="S917" s="213"/>
      <c r="T917" s="213"/>
      <c r="U917" s="213"/>
      <c r="V917" s="213"/>
      <c r="W917" s="213"/>
      <c r="X917" s="213"/>
      <c r="Y917" s="213"/>
      <c r="Z917" s="213"/>
      <c r="AA917" s="213"/>
      <c r="AB917" s="213"/>
      <c r="AC917" s="213"/>
      <c r="AD917" s="213"/>
      <c r="AE917" s="213"/>
      <c r="AF917" s="213"/>
      <c r="AG917" s="213"/>
      <c r="AH917" s="213"/>
      <c r="AI917" s="213"/>
      <c r="AJ917" s="213"/>
      <c r="AK917" s="213"/>
      <c r="AL917" s="213"/>
      <c r="AM917" s="213"/>
      <c r="AN917" s="236" t="s">
        <v>2467</v>
      </c>
      <c r="AO917" s="228" t="s">
        <v>2469</v>
      </c>
      <c r="AP917" s="257">
        <f t="shared" si="5"/>
        <v>0</v>
      </c>
      <c r="AQ917" s="258"/>
      <c r="AR917" s="258"/>
    </row>
    <row r="918" spans="10:44" s="48" customFormat="1">
      <c r="J918" s="213"/>
      <c r="K918" s="213"/>
      <c r="L918" s="213"/>
      <c r="M918" s="213"/>
      <c r="N918" s="213"/>
      <c r="O918" s="213"/>
      <c r="P918" s="213"/>
      <c r="Q918" s="213"/>
      <c r="R918" s="213"/>
      <c r="S918" s="213"/>
      <c r="T918" s="213"/>
      <c r="U918" s="213"/>
      <c r="V918" s="213"/>
      <c r="W918" s="213"/>
      <c r="X918" s="213"/>
      <c r="Y918" s="213"/>
      <c r="Z918" s="213"/>
      <c r="AA918" s="213"/>
      <c r="AB918" s="213"/>
      <c r="AC918" s="213"/>
      <c r="AD918" s="213"/>
      <c r="AE918" s="213"/>
      <c r="AF918" s="213"/>
      <c r="AG918" s="213"/>
      <c r="AH918" s="213"/>
      <c r="AI918" s="213"/>
      <c r="AJ918" s="213"/>
      <c r="AK918" s="213"/>
      <c r="AL918" s="213"/>
      <c r="AM918" s="213"/>
      <c r="AN918" s="236" t="s">
        <v>2468</v>
      </c>
      <c r="AO918" s="228" t="s">
        <v>2471</v>
      </c>
      <c r="AP918" s="257">
        <f t="shared" si="5"/>
        <v>0</v>
      </c>
      <c r="AQ918" s="258"/>
      <c r="AR918" s="258"/>
    </row>
    <row r="919" spans="10:44" s="48" customFormat="1">
      <c r="J919" s="213"/>
      <c r="K919" s="213"/>
      <c r="L919" s="213"/>
      <c r="M919" s="213"/>
      <c r="N919" s="213"/>
      <c r="O919" s="213"/>
      <c r="P919" s="213"/>
      <c r="Q919" s="213"/>
      <c r="R919" s="213"/>
      <c r="S919" s="213"/>
      <c r="T919" s="213"/>
      <c r="U919" s="213"/>
      <c r="V919" s="213"/>
      <c r="W919" s="213"/>
      <c r="X919" s="213"/>
      <c r="Y919" s="213"/>
      <c r="Z919" s="213"/>
      <c r="AA919" s="213"/>
      <c r="AB919" s="213"/>
      <c r="AC919" s="213"/>
      <c r="AD919" s="213"/>
      <c r="AE919" s="213"/>
      <c r="AF919" s="213"/>
      <c r="AG919" s="213"/>
      <c r="AH919" s="213"/>
      <c r="AI919" s="213"/>
      <c r="AJ919" s="213"/>
      <c r="AK919" s="213"/>
      <c r="AL919" s="213"/>
      <c r="AM919" s="213"/>
      <c r="AN919" s="236" t="s">
        <v>2470</v>
      </c>
      <c r="AO919" s="228" t="s">
        <v>2473</v>
      </c>
      <c r="AP919" s="257">
        <f t="shared" si="5"/>
        <v>0</v>
      </c>
      <c r="AQ919" s="258"/>
      <c r="AR919" s="258"/>
    </row>
    <row r="920" spans="10:44" s="48" customFormat="1">
      <c r="J920" s="213"/>
      <c r="K920" s="213"/>
      <c r="L920" s="213"/>
      <c r="M920" s="213"/>
      <c r="N920" s="213"/>
      <c r="O920" s="213"/>
      <c r="P920" s="213"/>
      <c r="Q920" s="213"/>
      <c r="R920" s="213"/>
      <c r="S920" s="213"/>
      <c r="T920" s="213"/>
      <c r="U920" s="213"/>
      <c r="V920" s="213"/>
      <c r="W920" s="213"/>
      <c r="X920" s="213"/>
      <c r="Y920" s="213"/>
      <c r="Z920" s="213"/>
      <c r="AA920" s="213"/>
      <c r="AB920" s="213"/>
      <c r="AC920" s="213"/>
      <c r="AD920" s="213"/>
      <c r="AE920" s="213"/>
      <c r="AF920" s="213"/>
      <c r="AG920" s="213"/>
      <c r="AH920" s="213"/>
      <c r="AI920" s="213"/>
      <c r="AJ920" s="213"/>
      <c r="AK920" s="213"/>
      <c r="AL920" s="213"/>
      <c r="AM920" s="213"/>
      <c r="AN920" s="236" t="s">
        <v>2472</v>
      </c>
      <c r="AO920" s="228" t="s">
        <v>2475</v>
      </c>
      <c r="AP920" s="257">
        <f t="shared" si="5"/>
        <v>0</v>
      </c>
      <c r="AQ920" s="258"/>
      <c r="AR920" s="258"/>
    </row>
    <row r="921" spans="10:44" s="48" customFormat="1">
      <c r="J921" s="213"/>
      <c r="K921" s="213"/>
      <c r="L921" s="213"/>
      <c r="M921" s="213"/>
      <c r="N921" s="213"/>
      <c r="O921" s="213"/>
      <c r="P921" s="213"/>
      <c r="Q921" s="213"/>
      <c r="R921" s="213"/>
      <c r="S921" s="213"/>
      <c r="T921" s="213"/>
      <c r="U921" s="213"/>
      <c r="V921" s="213"/>
      <c r="W921" s="213"/>
      <c r="X921" s="213"/>
      <c r="Y921" s="213"/>
      <c r="Z921" s="213"/>
      <c r="AA921" s="213"/>
      <c r="AB921" s="213"/>
      <c r="AC921" s="213"/>
      <c r="AD921" s="213"/>
      <c r="AE921" s="213"/>
      <c r="AF921" s="213"/>
      <c r="AG921" s="213"/>
      <c r="AH921" s="213"/>
      <c r="AI921" s="213"/>
      <c r="AJ921" s="213"/>
      <c r="AK921" s="213"/>
      <c r="AL921" s="213"/>
      <c r="AM921" s="213"/>
      <c r="AN921" s="236" t="s">
        <v>2474</v>
      </c>
      <c r="AO921" s="228" t="s">
        <v>2477</v>
      </c>
      <c r="AP921" s="257">
        <f t="shared" si="5"/>
        <v>0</v>
      </c>
      <c r="AQ921" s="258"/>
      <c r="AR921" s="258"/>
    </row>
    <row r="922" spans="10:44" s="48" customFormat="1">
      <c r="J922" s="213"/>
      <c r="K922" s="213"/>
      <c r="L922" s="213"/>
      <c r="M922" s="213"/>
      <c r="N922" s="213"/>
      <c r="O922" s="213"/>
      <c r="P922" s="213"/>
      <c r="Q922" s="213"/>
      <c r="R922" s="213"/>
      <c r="S922" s="213"/>
      <c r="T922" s="213"/>
      <c r="U922" s="213"/>
      <c r="V922" s="213"/>
      <c r="W922" s="213"/>
      <c r="X922" s="213"/>
      <c r="Y922" s="213"/>
      <c r="Z922" s="213"/>
      <c r="AA922" s="213"/>
      <c r="AB922" s="213"/>
      <c r="AC922" s="213"/>
      <c r="AD922" s="213"/>
      <c r="AE922" s="213"/>
      <c r="AF922" s="213"/>
      <c r="AG922" s="213"/>
      <c r="AH922" s="213"/>
      <c r="AI922" s="213"/>
      <c r="AJ922" s="213"/>
      <c r="AK922" s="213"/>
      <c r="AL922" s="213"/>
      <c r="AM922" s="213"/>
      <c r="AN922" s="236" t="s">
        <v>2476</v>
      </c>
      <c r="AO922" s="228" t="s">
        <v>866</v>
      </c>
      <c r="AP922" s="257">
        <f t="shared" si="5"/>
        <v>0</v>
      </c>
      <c r="AQ922" s="258"/>
      <c r="AR922" s="258"/>
    </row>
    <row r="923" spans="10:44" s="48" customFormat="1">
      <c r="J923" s="213"/>
      <c r="K923" s="213"/>
      <c r="L923" s="213"/>
      <c r="M923" s="213"/>
      <c r="N923" s="213"/>
      <c r="O923" s="213"/>
      <c r="P923" s="213"/>
      <c r="Q923" s="213"/>
      <c r="R923" s="213"/>
      <c r="S923" s="213"/>
      <c r="T923" s="213"/>
      <c r="U923" s="213"/>
      <c r="V923" s="213"/>
      <c r="W923" s="213"/>
      <c r="X923" s="213"/>
      <c r="Y923" s="213"/>
      <c r="Z923" s="213"/>
      <c r="AA923" s="213"/>
      <c r="AB923" s="213"/>
      <c r="AC923" s="213"/>
      <c r="AD923" s="213"/>
      <c r="AE923" s="213"/>
      <c r="AF923" s="213"/>
      <c r="AG923" s="213"/>
      <c r="AH923" s="213"/>
      <c r="AI923" s="213"/>
      <c r="AJ923" s="213"/>
      <c r="AK923" s="213"/>
      <c r="AL923" s="213"/>
      <c r="AM923" s="213"/>
      <c r="AN923" s="236" t="s">
        <v>2478</v>
      </c>
      <c r="AO923" s="682" t="s">
        <v>2479</v>
      </c>
      <c r="AP923" s="257">
        <f t="shared" si="5"/>
        <v>0</v>
      </c>
      <c r="AQ923" s="258"/>
      <c r="AR923" s="258"/>
    </row>
    <row r="924" spans="10:44" s="48" customFormat="1" hidden="1">
      <c r="J924" s="213"/>
      <c r="K924" s="213"/>
      <c r="L924" s="213"/>
      <c r="M924" s="213"/>
      <c r="N924" s="213"/>
      <c r="O924" s="213"/>
      <c r="P924" s="213"/>
      <c r="Q924" s="213"/>
      <c r="R924" s="213"/>
      <c r="S924" s="213"/>
      <c r="T924" s="213"/>
      <c r="U924" s="213"/>
      <c r="V924" s="213"/>
      <c r="W924" s="213"/>
      <c r="X924" s="213"/>
      <c r="Y924" s="213"/>
      <c r="Z924" s="213"/>
      <c r="AA924" s="213"/>
      <c r="AB924" s="213"/>
      <c r="AC924" s="213"/>
      <c r="AD924" s="213"/>
      <c r="AE924" s="213"/>
      <c r="AF924" s="213"/>
      <c r="AG924" s="213"/>
      <c r="AH924" s="213"/>
      <c r="AI924" s="213"/>
      <c r="AJ924" s="213"/>
      <c r="AK924" s="213"/>
      <c r="AL924" s="213"/>
      <c r="AM924" s="213"/>
      <c r="AN924" s="236"/>
      <c r="AO924" s="682"/>
      <c r="AP924" s="285"/>
      <c r="AQ924" s="258"/>
      <c r="AR924" s="258"/>
    </row>
    <row r="925" spans="10:44" s="48" customFormat="1" hidden="1">
      <c r="J925" s="213"/>
      <c r="K925" s="213"/>
      <c r="L925" s="213"/>
      <c r="M925" s="213"/>
      <c r="N925" s="213"/>
      <c r="O925" s="213"/>
      <c r="P925" s="213"/>
      <c r="Q925" s="213"/>
      <c r="R925" s="213"/>
      <c r="S925" s="213"/>
      <c r="T925" s="213"/>
      <c r="U925" s="213"/>
      <c r="V925" s="213"/>
      <c r="W925" s="213"/>
      <c r="X925" s="213"/>
      <c r="Y925" s="213"/>
      <c r="Z925" s="213"/>
      <c r="AA925" s="213"/>
      <c r="AB925" s="213"/>
      <c r="AC925" s="213"/>
      <c r="AD925" s="213"/>
      <c r="AE925" s="213"/>
      <c r="AF925" s="213"/>
      <c r="AG925" s="213"/>
      <c r="AH925" s="213"/>
      <c r="AI925" s="213"/>
      <c r="AJ925" s="213"/>
      <c r="AK925" s="213"/>
      <c r="AL925" s="213"/>
      <c r="AM925" s="213"/>
      <c r="AN925" s="236"/>
      <c r="AO925" s="301"/>
      <c r="AP925" s="285"/>
      <c r="AQ925" s="258"/>
      <c r="AR925" s="258"/>
    </row>
    <row r="926" spans="10:44" s="48" customFormat="1" ht="12" hidden="1" customHeight="1">
      <c r="J926" s="213"/>
      <c r="K926" s="213"/>
      <c r="L926" s="213"/>
      <c r="M926" s="213"/>
      <c r="N926" s="213"/>
      <c r="O926" s="213"/>
      <c r="P926" s="213"/>
      <c r="Q926" s="213"/>
      <c r="R926" s="213"/>
      <c r="S926" s="213"/>
      <c r="T926" s="213"/>
      <c r="U926" s="213"/>
      <c r="V926" s="213"/>
      <c r="W926" s="213"/>
      <c r="X926" s="213"/>
      <c r="Y926" s="213"/>
      <c r="Z926" s="213"/>
      <c r="AA926" s="213"/>
      <c r="AB926" s="213"/>
      <c r="AC926" s="213"/>
      <c r="AD926" s="213"/>
      <c r="AE926" s="213"/>
      <c r="AF926" s="213"/>
      <c r="AG926" s="213"/>
      <c r="AH926" s="213"/>
      <c r="AI926" s="213"/>
      <c r="AJ926" s="213"/>
      <c r="AK926" s="213"/>
      <c r="AL926" s="213"/>
      <c r="AM926" s="213"/>
      <c r="AN926" s="236"/>
      <c r="AO926" s="301"/>
      <c r="AP926" s="285"/>
      <c r="AQ926" s="258"/>
      <c r="AR926" s="258"/>
    </row>
    <row r="927" spans="10:44" s="48" customFormat="1" ht="12" hidden="1" customHeight="1">
      <c r="J927" s="213"/>
      <c r="K927" s="213"/>
      <c r="L927" s="213"/>
      <c r="M927" s="213"/>
      <c r="N927" s="213"/>
      <c r="O927" s="213"/>
      <c r="P927" s="213"/>
      <c r="Q927" s="213"/>
      <c r="R927" s="213"/>
      <c r="S927" s="213"/>
      <c r="T927" s="213"/>
      <c r="U927" s="213"/>
      <c r="V927" s="213"/>
      <c r="W927" s="213"/>
      <c r="X927" s="213"/>
      <c r="Y927" s="213"/>
      <c r="Z927" s="213"/>
      <c r="AA927" s="213"/>
      <c r="AB927" s="213"/>
      <c r="AC927" s="213"/>
      <c r="AD927" s="213"/>
      <c r="AE927" s="213"/>
      <c r="AF927" s="213"/>
      <c r="AG927" s="213"/>
      <c r="AH927" s="213"/>
      <c r="AI927" s="213"/>
      <c r="AJ927" s="213"/>
      <c r="AK927" s="213"/>
      <c r="AL927" s="213"/>
      <c r="AM927" s="213"/>
      <c r="AN927" s="236"/>
      <c r="AO927" s="301"/>
      <c r="AP927" s="285"/>
      <c r="AQ927" s="258"/>
      <c r="AR927" s="258"/>
    </row>
    <row r="928" spans="10:44" s="48" customFormat="1" ht="12" hidden="1" customHeight="1">
      <c r="J928" s="213"/>
      <c r="K928" s="213"/>
      <c r="L928" s="213"/>
      <c r="M928" s="213"/>
      <c r="N928" s="213"/>
      <c r="O928" s="213"/>
      <c r="P928" s="213"/>
      <c r="Q928" s="213"/>
      <c r="R928" s="213"/>
      <c r="S928" s="213"/>
      <c r="T928" s="213"/>
      <c r="U928" s="213"/>
      <c r="V928" s="213"/>
      <c r="W928" s="213"/>
      <c r="X928" s="213"/>
      <c r="Y928" s="213"/>
      <c r="Z928" s="213"/>
      <c r="AA928" s="213"/>
      <c r="AB928" s="213"/>
      <c r="AC928" s="213"/>
      <c r="AD928" s="213"/>
      <c r="AE928" s="213"/>
      <c r="AF928" s="213"/>
      <c r="AG928" s="213"/>
      <c r="AH928" s="213"/>
      <c r="AI928" s="213"/>
      <c r="AJ928" s="213"/>
      <c r="AK928" s="213"/>
      <c r="AL928" s="213"/>
      <c r="AM928" s="213"/>
      <c r="AN928" s="236"/>
      <c r="AO928" s="301"/>
      <c r="AP928" s="285"/>
      <c r="AQ928" s="258"/>
      <c r="AR928" s="258"/>
    </row>
    <row r="929" spans="10:44" s="48" customFormat="1" ht="12" hidden="1" customHeight="1">
      <c r="J929" s="213"/>
      <c r="K929" s="213"/>
      <c r="L929" s="213"/>
      <c r="M929" s="213"/>
      <c r="N929" s="213"/>
      <c r="O929" s="213"/>
      <c r="P929" s="213"/>
      <c r="Q929" s="213"/>
      <c r="R929" s="213"/>
      <c r="S929" s="213"/>
      <c r="T929" s="213"/>
      <c r="U929" s="213"/>
      <c r="V929" s="213"/>
      <c r="W929" s="213"/>
      <c r="X929" s="213"/>
      <c r="Y929" s="213"/>
      <c r="Z929" s="213"/>
      <c r="AA929" s="213"/>
      <c r="AB929" s="213"/>
      <c r="AC929" s="213"/>
      <c r="AD929" s="213"/>
      <c r="AE929" s="213"/>
      <c r="AF929" s="213"/>
      <c r="AG929" s="213"/>
      <c r="AH929" s="213"/>
      <c r="AI929" s="213"/>
      <c r="AJ929" s="213"/>
      <c r="AK929" s="213"/>
      <c r="AL929" s="213"/>
      <c r="AM929" s="213"/>
      <c r="AN929" s="302"/>
      <c r="AO929" s="303"/>
      <c r="AP929" s="285"/>
      <c r="AQ929" s="258"/>
      <c r="AR929" s="258"/>
    </row>
    <row r="930" spans="10:44" s="48" customFormat="1" ht="12" hidden="1" customHeight="1">
      <c r="J930" s="213"/>
      <c r="K930" s="213"/>
      <c r="L930" s="213"/>
      <c r="M930" s="213"/>
      <c r="N930" s="213"/>
      <c r="O930" s="213"/>
      <c r="P930" s="213"/>
      <c r="Q930" s="213"/>
      <c r="R930" s="213"/>
      <c r="S930" s="213"/>
      <c r="T930" s="213"/>
      <c r="U930" s="213"/>
      <c r="V930" s="213"/>
      <c r="W930" s="213"/>
      <c r="X930" s="213"/>
      <c r="Y930" s="213"/>
      <c r="Z930" s="213"/>
      <c r="AA930" s="213"/>
      <c r="AB930" s="213"/>
      <c r="AC930" s="213"/>
      <c r="AD930" s="213"/>
      <c r="AE930" s="213"/>
      <c r="AF930" s="213"/>
      <c r="AG930" s="213"/>
      <c r="AH930" s="213"/>
      <c r="AI930" s="213"/>
      <c r="AJ930" s="213"/>
      <c r="AK930" s="213"/>
      <c r="AL930" s="213"/>
      <c r="AM930" s="213"/>
      <c r="AN930" s="302"/>
      <c r="AO930" s="303"/>
      <c r="AP930" s="285"/>
      <c r="AQ930" s="258"/>
      <c r="AR930" s="258"/>
    </row>
    <row r="931" spans="10:44" s="48" customFormat="1" ht="12" hidden="1" customHeight="1">
      <c r="J931" s="213"/>
      <c r="K931" s="213"/>
      <c r="L931" s="213"/>
      <c r="M931" s="213"/>
      <c r="N931" s="213"/>
      <c r="O931" s="213"/>
      <c r="P931" s="213"/>
      <c r="Q931" s="213"/>
      <c r="R931" s="213"/>
      <c r="S931" s="213"/>
      <c r="T931" s="213"/>
      <c r="U931" s="213"/>
      <c r="V931" s="213"/>
      <c r="W931" s="213"/>
      <c r="X931" s="213"/>
      <c r="Y931" s="213"/>
      <c r="Z931" s="213"/>
      <c r="AA931" s="213"/>
      <c r="AB931" s="213"/>
      <c r="AC931" s="213"/>
      <c r="AD931" s="213"/>
      <c r="AE931" s="213"/>
      <c r="AF931" s="213"/>
      <c r="AG931" s="213"/>
      <c r="AH931" s="213"/>
      <c r="AI931" s="213"/>
      <c r="AJ931" s="213"/>
      <c r="AK931" s="213"/>
      <c r="AL931" s="213"/>
      <c r="AM931" s="213"/>
      <c r="AN931" s="302"/>
      <c r="AO931" s="303"/>
      <c r="AP931" s="285"/>
      <c r="AQ931" s="258"/>
      <c r="AR931" s="258"/>
    </row>
    <row r="932" spans="10:44" s="48" customFormat="1" ht="12" hidden="1" customHeight="1">
      <c r="J932" s="213"/>
      <c r="K932" s="213"/>
      <c r="L932" s="213"/>
      <c r="M932" s="213"/>
      <c r="N932" s="213"/>
      <c r="O932" s="213"/>
      <c r="P932" s="213"/>
      <c r="Q932" s="213"/>
      <c r="R932" s="213"/>
      <c r="S932" s="213"/>
      <c r="T932" s="213"/>
      <c r="U932" s="213"/>
      <c r="V932" s="213"/>
      <c r="W932" s="213"/>
      <c r="X932" s="213"/>
      <c r="Y932" s="213"/>
      <c r="Z932" s="213"/>
      <c r="AA932" s="213"/>
      <c r="AB932" s="213"/>
      <c r="AC932" s="213"/>
      <c r="AD932" s="213"/>
      <c r="AE932" s="213"/>
      <c r="AF932" s="213"/>
      <c r="AG932" s="213"/>
      <c r="AH932" s="213"/>
      <c r="AI932" s="213"/>
      <c r="AJ932" s="213"/>
      <c r="AK932" s="213"/>
      <c r="AL932" s="213"/>
      <c r="AM932" s="213"/>
      <c r="AN932" s="302"/>
      <c r="AO932" s="303"/>
      <c r="AP932" s="285"/>
      <c r="AQ932" s="258"/>
      <c r="AR932" s="258"/>
    </row>
    <row r="933" spans="10:44" s="48" customFormat="1" ht="12" hidden="1" customHeight="1">
      <c r="J933" s="213"/>
      <c r="K933" s="213"/>
      <c r="L933" s="213"/>
      <c r="M933" s="213"/>
      <c r="N933" s="213"/>
      <c r="O933" s="213"/>
      <c r="P933" s="213"/>
      <c r="Q933" s="213"/>
      <c r="R933" s="213"/>
      <c r="S933" s="213"/>
      <c r="T933" s="213"/>
      <c r="U933" s="213"/>
      <c r="V933" s="213"/>
      <c r="W933" s="213"/>
      <c r="X933" s="213"/>
      <c r="Y933" s="213"/>
      <c r="Z933" s="213"/>
      <c r="AA933" s="213"/>
      <c r="AB933" s="213"/>
      <c r="AC933" s="213"/>
      <c r="AD933" s="213"/>
      <c r="AE933" s="213"/>
      <c r="AF933" s="213"/>
      <c r="AG933" s="213"/>
      <c r="AH933" s="213"/>
      <c r="AI933" s="213"/>
      <c r="AJ933" s="213"/>
      <c r="AK933" s="213"/>
      <c r="AL933" s="213"/>
      <c r="AM933" s="213"/>
      <c r="AN933" s="302"/>
      <c r="AO933" s="303"/>
      <c r="AP933" s="285"/>
      <c r="AQ933" s="258"/>
      <c r="AR933" s="258"/>
    </row>
    <row r="934" spans="10:44" s="48" customFormat="1" ht="12" hidden="1" customHeight="1">
      <c r="J934" s="213"/>
      <c r="K934" s="213"/>
      <c r="L934" s="213"/>
      <c r="M934" s="213"/>
      <c r="N934" s="213"/>
      <c r="O934" s="213"/>
      <c r="P934" s="213"/>
      <c r="Q934" s="213"/>
      <c r="R934" s="213"/>
      <c r="S934" s="213"/>
      <c r="T934" s="213"/>
      <c r="U934" s="213"/>
      <c r="V934" s="213"/>
      <c r="W934" s="213"/>
      <c r="X934" s="213"/>
      <c r="Y934" s="213"/>
      <c r="Z934" s="213"/>
      <c r="AA934" s="213"/>
      <c r="AB934" s="213"/>
      <c r="AC934" s="213"/>
      <c r="AD934" s="213"/>
      <c r="AE934" s="213"/>
      <c r="AF934" s="213"/>
      <c r="AG934" s="213"/>
      <c r="AH934" s="213"/>
      <c r="AI934" s="213"/>
      <c r="AJ934" s="213"/>
      <c r="AK934" s="213"/>
      <c r="AL934" s="213"/>
      <c r="AM934" s="213"/>
      <c r="AN934" s="302"/>
      <c r="AO934" s="303"/>
      <c r="AP934" s="285"/>
      <c r="AQ934" s="258"/>
      <c r="AR934" s="258"/>
    </row>
    <row r="935" spans="10:44" s="48" customFormat="1" ht="12" hidden="1" customHeight="1">
      <c r="J935" s="213"/>
      <c r="K935" s="213"/>
      <c r="L935" s="213"/>
      <c r="M935" s="213"/>
      <c r="N935" s="213"/>
      <c r="O935" s="213"/>
      <c r="P935" s="213"/>
      <c r="Q935" s="213"/>
      <c r="R935" s="213"/>
      <c r="S935" s="213"/>
      <c r="T935" s="213"/>
      <c r="U935" s="213"/>
      <c r="V935" s="213"/>
      <c r="W935" s="213"/>
      <c r="X935" s="213"/>
      <c r="Y935" s="213"/>
      <c r="Z935" s="213"/>
      <c r="AA935" s="213"/>
      <c r="AB935" s="213"/>
      <c r="AC935" s="213"/>
      <c r="AD935" s="213"/>
      <c r="AE935" s="213"/>
      <c r="AF935" s="213"/>
      <c r="AG935" s="213"/>
      <c r="AH935" s="213"/>
      <c r="AI935" s="213"/>
      <c r="AJ935" s="213"/>
      <c r="AK935" s="213"/>
      <c r="AL935" s="213"/>
      <c r="AM935" s="213"/>
      <c r="AN935" s="302"/>
      <c r="AO935" s="303"/>
      <c r="AP935" s="285"/>
      <c r="AQ935" s="258"/>
      <c r="AR935" s="258"/>
    </row>
    <row r="936" spans="10:44" s="48" customFormat="1" ht="12" hidden="1" customHeight="1">
      <c r="J936" s="213"/>
      <c r="K936" s="213"/>
      <c r="L936" s="213"/>
      <c r="M936" s="213"/>
      <c r="N936" s="213"/>
      <c r="O936" s="213"/>
      <c r="P936" s="213"/>
      <c r="Q936" s="213"/>
      <c r="R936" s="213"/>
      <c r="S936" s="213"/>
      <c r="T936" s="213"/>
      <c r="U936" s="213"/>
      <c r="V936" s="213"/>
      <c r="W936" s="213"/>
      <c r="X936" s="213"/>
      <c r="Y936" s="213"/>
      <c r="Z936" s="213"/>
      <c r="AA936" s="213"/>
      <c r="AB936" s="213"/>
      <c r="AC936" s="213"/>
      <c r="AD936" s="213"/>
      <c r="AE936" s="213"/>
      <c r="AF936" s="213"/>
      <c r="AG936" s="213"/>
      <c r="AH936" s="213"/>
      <c r="AI936" s="213"/>
      <c r="AJ936" s="213"/>
      <c r="AK936" s="213"/>
      <c r="AL936" s="213"/>
      <c r="AM936" s="213"/>
      <c r="AN936" s="302"/>
      <c r="AO936" s="303"/>
      <c r="AP936" s="285"/>
      <c r="AQ936" s="258"/>
      <c r="AR936" s="258"/>
    </row>
    <row r="937" spans="10:44" s="48" customFormat="1" ht="12" hidden="1" customHeight="1">
      <c r="J937" s="213"/>
      <c r="K937" s="213"/>
      <c r="L937" s="213"/>
      <c r="M937" s="213"/>
      <c r="N937" s="213"/>
      <c r="O937" s="213"/>
      <c r="P937" s="213"/>
      <c r="Q937" s="213"/>
      <c r="R937" s="213"/>
      <c r="S937" s="213"/>
      <c r="T937" s="213"/>
      <c r="U937" s="213"/>
      <c r="V937" s="213"/>
      <c r="W937" s="213"/>
      <c r="X937" s="213"/>
      <c r="Y937" s="213"/>
      <c r="Z937" s="213"/>
      <c r="AA937" s="213"/>
      <c r="AB937" s="213"/>
      <c r="AC937" s="213"/>
      <c r="AD937" s="213"/>
      <c r="AE937" s="213"/>
      <c r="AF937" s="213"/>
      <c r="AG937" s="213"/>
      <c r="AH937" s="213"/>
      <c r="AI937" s="213"/>
      <c r="AJ937" s="213"/>
      <c r="AK937" s="213"/>
      <c r="AL937" s="213"/>
      <c r="AM937" s="213"/>
      <c r="AN937" s="302"/>
      <c r="AO937" s="303"/>
      <c r="AP937" s="285"/>
      <c r="AQ937" s="258"/>
      <c r="AR937" s="258"/>
    </row>
    <row r="938" spans="10:44" s="48" customFormat="1" ht="12" hidden="1" customHeight="1">
      <c r="J938" s="213"/>
      <c r="K938" s="213"/>
      <c r="L938" s="213"/>
      <c r="M938" s="213"/>
      <c r="N938" s="213"/>
      <c r="O938" s="213"/>
      <c r="P938" s="213"/>
      <c r="Q938" s="213"/>
      <c r="R938" s="213"/>
      <c r="S938" s="213"/>
      <c r="T938" s="213"/>
      <c r="U938" s="213"/>
      <c r="V938" s="213"/>
      <c r="W938" s="213"/>
      <c r="X938" s="213"/>
      <c r="Y938" s="213"/>
      <c r="Z938" s="213"/>
      <c r="AA938" s="213"/>
      <c r="AB938" s="213"/>
      <c r="AC938" s="213"/>
      <c r="AD938" s="213"/>
      <c r="AE938" s="213"/>
      <c r="AF938" s="213"/>
      <c r="AG938" s="213"/>
      <c r="AH938" s="213"/>
      <c r="AI938" s="213"/>
      <c r="AJ938" s="213"/>
      <c r="AK938" s="213"/>
      <c r="AL938" s="213"/>
      <c r="AM938" s="213"/>
      <c r="AN938" s="302"/>
      <c r="AO938" s="303"/>
      <c r="AP938" s="285"/>
      <c r="AQ938" s="258"/>
      <c r="AR938" s="258"/>
    </row>
    <row r="939" spans="10:44" s="48" customFormat="1" ht="12" hidden="1" customHeight="1">
      <c r="J939" s="213"/>
      <c r="K939" s="213"/>
      <c r="L939" s="213"/>
      <c r="M939" s="213"/>
      <c r="N939" s="213"/>
      <c r="O939" s="213"/>
      <c r="P939" s="213"/>
      <c r="Q939" s="213"/>
      <c r="R939" s="213"/>
      <c r="S939" s="213"/>
      <c r="T939" s="213"/>
      <c r="U939" s="213"/>
      <c r="V939" s="213"/>
      <c r="W939" s="213"/>
      <c r="X939" s="213"/>
      <c r="Y939" s="213"/>
      <c r="Z939" s="213"/>
      <c r="AA939" s="213"/>
      <c r="AB939" s="213"/>
      <c r="AC939" s="213"/>
      <c r="AD939" s="213"/>
      <c r="AE939" s="213"/>
      <c r="AF939" s="213"/>
      <c r="AG939" s="213"/>
      <c r="AH939" s="213"/>
      <c r="AI939" s="213"/>
      <c r="AJ939" s="213"/>
      <c r="AK939" s="213"/>
      <c r="AL939" s="213"/>
      <c r="AM939" s="213"/>
      <c r="AN939" s="302"/>
      <c r="AO939" s="303"/>
      <c r="AP939" s="285"/>
      <c r="AQ939" s="258"/>
      <c r="AR939" s="258"/>
    </row>
    <row r="940" spans="10:44" s="48" customFormat="1" ht="12" hidden="1" customHeight="1">
      <c r="J940" s="213"/>
      <c r="K940" s="213"/>
      <c r="L940" s="213"/>
      <c r="M940" s="213"/>
      <c r="N940" s="213"/>
      <c r="O940" s="213"/>
      <c r="P940" s="213"/>
      <c r="Q940" s="213"/>
      <c r="R940" s="213"/>
      <c r="S940" s="213"/>
      <c r="T940" s="213"/>
      <c r="U940" s="213"/>
      <c r="V940" s="213"/>
      <c r="W940" s="213"/>
      <c r="X940" s="213"/>
      <c r="Y940" s="213"/>
      <c r="Z940" s="213"/>
      <c r="AA940" s="213"/>
      <c r="AB940" s="213"/>
      <c r="AC940" s="213"/>
      <c r="AD940" s="213"/>
      <c r="AE940" s="213"/>
      <c r="AF940" s="213"/>
      <c r="AG940" s="213"/>
      <c r="AH940" s="213"/>
      <c r="AI940" s="213"/>
      <c r="AJ940" s="213"/>
      <c r="AK940" s="213"/>
      <c r="AL940" s="213"/>
      <c r="AM940" s="213"/>
      <c r="AN940" s="302"/>
      <c r="AO940" s="303"/>
      <c r="AP940" s="285"/>
      <c r="AQ940" s="258"/>
      <c r="AR940" s="258"/>
    </row>
    <row r="941" spans="10:44" s="48" customFormat="1" ht="12" hidden="1" customHeight="1">
      <c r="J941" s="213"/>
      <c r="K941" s="213"/>
      <c r="L941" s="213"/>
      <c r="M941" s="213"/>
      <c r="N941" s="213"/>
      <c r="O941" s="213"/>
      <c r="P941" s="213"/>
      <c r="Q941" s="213"/>
      <c r="R941" s="213"/>
      <c r="S941" s="213"/>
      <c r="T941" s="213"/>
      <c r="U941" s="213"/>
      <c r="V941" s="213"/>
      <c r="W941" s="213"/>
      <c r="X941" s="213"/>
      <c r="Y941" s="213"/>
      <c r="Z941" s="213"/>
      <c r="AA941" s="213"/>
      <c r="AB941" s="213"/>
      <c r="AC941" s="213"/>
      <c r="AD941" s="213"/>
      <c r="AE941" s="213"/>
      <c r="AF941" s="213"/>
      <c r="AG941" s="213"/>
      <c r="AH941" s="213"/>
      <c r="AI941" s="213"/>
      <c r="AJ941" s="213"/>
      <c r="AK941" s="213"/>
      <c r="AL941" s="213"/>
      <c r="AM941" s="213"/>
      <c r="AN941" s="302"/>
      <c r="AO941" s="303"/>
      <c r="AP941" s="285"/>
      <c r="AQ941" s="258"/>
      <c r="AR941" s="258"/>
    </row>
    <row r="942" spans="10:44" s="48" customFormat="1" ht="12" hidden="1" customHeight="1">
      <c r="J942" s="213"/>
      <c r="K942" s="213"/>
      <c r="L942" s="213"/>
      <c r="M942" s="213"/>
      <c r="N942" s="213"/>
      <c r="O942" s="213"/>
      <c r="P942" s="213"/>
      <c r="Q942" s="213"/>
      <c r="R942" s="213"/>
      <c r="S942" s="213"/>
      <c r="T942" s="213"/>
      <c r="U942" s="213"/>
      <c r="V942" s="213"/>
      <c r="W942" s="213"/>
      <c r="X942" s="213"/>
      <c r="Y942" s="213"/>
      <c r="Z942" s="213"/>
      <c r="AA942" s="213"/>
      <c r="AB942" s="213"/>
      <c r="AC942" s="213"/>
      <c r="AD942" s="213"/>
      <c r="AE942" s="213"/>
      <c r="AF942" s="213"/>
      <c r="AG942" s="213"/>
      <c r="AH942" s="213"/>
      <c r="AI942" s="213"/>
      <c r="AJ942" s="213"/>
      <c r="AK942" s="213"/>
      <c r="AL942" s="213"/>
      <c r="AM942" s="213"/>
      <c r="AN942" s="302"/>
      <c r="AO942" s="303"/>
      <c r="AP942" s="285"/>
      <c r="AQ942" s="258"/>
      <c r="AR942" s="258"/>
    </row>
    <row r="943" spans="10:44" s="48" customFormat="1" ht="12" hidden="1" customHeight="1">
      <c r="J943" s="213"/>
      <c r="K943" s="213"/>
      <c r="L943" s="213"/>
      <c r="M943" s="213"/>
      <c r="N943" s="213"/>
      <c r="O943" s="213"/>
      <c r="P943" s="213"/>
      <c r="Q943" s="213"/>
      <c r="R943" s="213"/>
      <c r="S943" s="213"/>
      <c r="T943" s="213"/>
      <c r="U943" s="213"/>
      <c r="V943" s="213"/>
      <c r="W943" s="213"/>
      <c r="X943" s="213"/>
      <c r="Y943" s="213"/>
      <c r="Z943" s="213"/>
      <c r="AA943" s="213"/>
      <c r="AB943" s="213"/>
      <c r="AC943" s="213"/>
      <c r="AD943" s="213"/>
      <c r="AE943" s="213"/>
      <c r="AF943" s="213"/>
      <c r="AG943" s="213"/>
      <c r="AH943" s="213"/>
      <c r="AI943" s="213"/>
      <c r="AJ943" s="213"/>
      <c r="AK943" s="213"/>
      <c r="AL943" s="213"/>
      <c r="AM943" s="213"/>
      <c r="AN943" s="302"/>
      <c r="AO943" s="303"/>
      <c r="AP943" s="285"/>
      <c r="AQ943" s="258"/>
      <c r="AR943" s="258"/>
    </row>
    <row r="944" spans="10:44" s="48" customFormat="1" ht="12" hidden="1" customHeight="1">
      <c r="J944" s="213"/>
      <c r="K944" s="213"/>
      <c r="L944" s="213"/>
      <c r="M944" s="213"/>
      <c r="N944" s="213"/>
      <c r="O944" s="213"/>
      <c r="P944" s="213"/>
      <c r="Q944" s="213"/>
      <c r="R944" s="213"/>
      <c r="S944" s="213"/>
      <c r="T944" s="213"/>
      <c r="U944" s="213"/>
      <c r="V944" s="213"/>
      <c r="W944" s="213"/>
      <c r="X944" s="213"/>
      <c r="Y944" s="213"/>
      <c r="Z944" s="213"/>
      <c r="AA944" s="213"/>
      <c r="AB944" s="213"/>
      <c r="AC944" s="213"/>
      <c r="AD944" s="213"/>
      <c r="AE944" s="213"/>
      <c r="AF944" s="213"/>
      <c r="AG944" s="213"/>
      <c r="AH944" s="213"/>
      <c r="AI944" s="213"/>
      <c r="AJ944" s="213"/>
      <c r="AK944" s="213"/>
      <c r="AL944" s="213"/>
      <c r="AM944" s="213"/>
      <c r="AN944" s="302"/>
      <c r="AO944" s="303"/>
      <c r="AP944" s="285"/>
      <c r="AQ944" s="258"/>
      <c r="AR944" s="258"/>
    </row>
    <row r="945" spans="10:44" s="48" customFormat="1" ht="12" hidden="1" customHeight="1">
      <c r="J945" s="213"/>
      <c r="K945" s="213"/>
      <c r="L945" s="213"/>
      <c r="M945" s="213"/>
      <c r="N945" s="213"/>
      <c r="O945" s="213"/>
      <c r="P945" s="213"/>
      <c r="Q945" s="213"/>
      <c r="R945" s="213"/>
      <c r="S945" s="213"/>
      <c r="T945" s="213"/>
      <c r="U945" s="213"/>
      <c r="V945" s="213"/>
      <c r="W945" s="213"/>
      <c r="X945" s="213"/>
      <c r="Y945" s="213"/>
      <c r="Z945" s="213"/>
      <c r="AA945" s="213"/>
      <c r="AB945" s="213"/>
      <c r="AC945" s="213"/>
      <c r="AD945" s="213"/>
      <c r="AE945" s="213"/>
      <c r="AF945" s="213"/>
      <c r="AG945" s="213"/>
      <c r="AH945" s="213"/>
      <c r="AI945" s="213"/>
      <c r="AJ945" s="213"/>
      <c r="AK945" s="213"/>
      <c r="AL945" s="213"/>
      <c r="AM945" s="213"/>
      <c r="AN945" s="302"/>
      <c r="AO945" s="303"/>
      <c r="AP945" s="285"/>
      <c r="AQ945" s="258"/>
      <c r="AR945" s="258"/>
    </row>
    <row r="946" spans="10:44" s="48" customFormat="1" ht="12" hidden="1" customHeight="1">
      <c r="J946" s="213"/>
      <c r="K946" s="213"/>
      <c r="L946" s="213"/>
      <c r="M946" s="213"/>
      <c r="N946" s="213"/>
      <c r="O946" s="213"/>
      <c r="P946" s="213"/>
      <c r="Q946" s="213"/>
      <c r="R946" s="213"/>
      <c r="S946" s="213"/>
      <c r="T946" s="213"/>
      <c r="U946" s="213"/>
      <c r="V946" s="213"/>
      <c r="W946" s="213"/>
      <c r="X946" s="213"/>
      <c r="Y946" s="213"/>
      <c r="Z946" s="213"/>
      <c r="AA946" s="213"/>
      <c r="AB946" s="213"/>
      <c r="AC946" s="213"/>
      <c r="AD946" s="213"/>
      <c r="AE946" s="213"/>
      <c r="AF946" s="213"/>
      <c r="AG946" s="213"/>
      <c r="AH946" s="213"/>
      <c r="AI946" s="213"/>
      <c r="AJ946" s="213"/>
      <c r="AK946" s="213"/>
      <c r="AL946" s="213"/>
      <c r="AM946" s="213"/>
      <c r="AN946" s="302"/>
      <c r="AO946" s="303"/>
      <c r="AP946" s="285"/>
      <c r="AQ946" s="258"/>
      <c r="AR946" s="258"/>
    </row>
    <row r="947" spans="10:44" s="48" customFormat="1" ht="12" hidden="1" customHeight="1">
      <c r="J947" s="213"/>
      <c r="K947" s="213"/>
      <c r="L947" s="213"/>
      <c r="M947" s="213"/>
      <c r="N947" s="213"/>
      <c r="O947" s="213"/>
      <c r="P947" s="213"/>
      <c r="Q947" s="213"/>
      <c r="R947" s="213"/>
      <c r="S947" s="213"/>
      <c r="T947" s="213"/>
      <c r="U947" s="213"/>
      <c r="V947" s="213"/>
      <c r="W947" s="213"/>
      <c r="X947" s="213"/>
      <c r="Y947" s="213"/>
      <c r="Z947" s="213"/>
      <c r="AA947" s="213"/>
      <c r="AB947" s="213"/>
      <c r="AC947" s="213"/>
      <c r="AD947" s="213"/>
      <c r="AE947" s="213"/>
      <c r="AF947" s="213"/>
      <c r="AG947" s="213"/>
      <c r="AH947" s="213"/>
      <c r="AI947" s="213"/>
      <c r="AJ947" s="213"/>
      <c r="AK947" s="213"/>
      <c r="AL947" s="213"/>
      <c r="AM947" s="213"/>
      <c r="AN947" s="302"/>
      <c r="AO947" s="303"/>
      <c r="AP947" s="285"/>
      <c r="AQ947" s="258"/>
      <c r="AR947" s="258"/>
    </row>
    <row r="948" spans="10:44" s="48" customFormat="1" ht="12" hidden="1" customHeight="1">
      <c r="J948" s="213"/>
      <c r="K948" s="213"/>
      <c r="L948" s="213"/>
      <c r="M948" s="213"/>
      <c r="N948" s="213"/>
      <c r="O948" s="213"/>
      <c r="P948" s="213"/>
      <c r="Q948" s="213"/>
      <c r="R948" s="213"/>
      <c r="S948" s="213"/>
      <c r="T948" s="213"/>
      <c r="U948" s="213"/>
      <c r="V948" s="213"/>
      <c r="W948" s="213"/>
      <c r="X948" s="213"/>
      <c r="Y948" s="213"/>
      <c r="Z948" s="213"/>
      <c r="AA948" s="213"/>
      <c r="AB948" s="213"/>
      <c r="AC948" s="213"/>
      <c r="AD948" s="213"/>
      <c r="AE948" s="213"/>
      <c r="AF948" s="213"/>
      <c r="AG948" s="213"/>
      <c r="AH948" s="213"/>
      <c r="AI948" s="213"/>
      <c r="AJ948" s="213"/>
      <c r="AK948" s="213"/>
      <c r="AL948" s="213"/>
      <c r="AM948" s="213"/>
      <c r="AN948" s="302"/>
      <c r="AO948" s="303"/>
      <c r="AP948" s="285"/>
      <c r="AQ948" s="258"/>
      <c r="AR948" s="258"/>
    </row>
    <row r="949" spans="10:44" s="48" customFormat="1" ht="12" hidden="1" customHeight="1">
      <c r="J949" s="213"/>
      <c r="K949" s="213"/>
      <c r="L949" s="213"/>
      <c r="M949" s="213"/>
      <c r="N949" s="213"/>
      <c r="O949" s="213"/>
      <c r="P949" s="213"/>
      <c r="Q949" s="213"/>
      <c r="R949" s="213"/>
      <c r="S949" s="213"/>
      <c r="T949" s="213"/>
      <c r="U949" s="213"/>
      <c r="V949" s="213"/>
      <c r="W949" s="213"/>
      <c r="X949" s="213"/>
      <c r="Y949" s="213"/>
      <c r="Z949" s="213"/>
      <c r="AA949" s="213"/>
      <c r="AB949" s="213"/>
      <c r="AC949" s="213"/>
      <c r="AD949" s="213"/>
      <c r="AE949" s="213"/>
      <c r="AF949" s="213"/>
      <c r="AG949" s="213"/>
      <c r="AH949" s="213"/>
      <c r="AI949" s="213"/>
      <c r="AJ949" s="213"/>
      <c r="AK949" s="213"/>
      <c r="AL949" s="213"/>
      <c r="AM949" s="213"/>
      <c r="AN949" s="302"/>
      <c r="AO949" s="303"/>
      <c r="AP949" s="285"/>
      <c r="AQ949" s="258"/>
      <c r="AR949" s="258"/>
    </row>
    <row r="950" spans="10:44" s="48" customFormat="1" ht="12" hidden="1" customHeight="1">
      <c r="J950" s="213"/>
      <c r="K950" s="213"/>
      <c r="L950" s="213"/>
      <c r="M950" s="213"/>
      <c r="N950" s="213"/>
      <c r="O950" s="213"/>
      <c r="P950" s="213"/>
      <c r="Q950" s="213"/>
      <c r="R950" s="213"/>
      <c r="S950" s="213"/>
      <c r="T950" s="213"/>
      <c r="U950" s="213"/>
      <c r="V950" s="213"/>
      <c r="W950" s="213"/>
      <c r="X950" s="213"/>
      <c r="Y950" s="213"/>
      <c r="Z950" s="213"/>
      <c r="AA950" s="213"/>
      <c r="AB950" s="213"/>
      <c r="AC950" s="213"/>
      <c r="AD950" s="213"/>
      <c r="AE950" s="213"/>
      <c r="AF950" s="213"/>
      <c r="AG950" s="213"/>
      <c r="AH950" s="213"/>
      <c r="AI950" s="213"/>
      <c r="AJ950" s="213"/>
      <c r="AK950" s="213"/>
      <c r="AL950" s="213"/>
      <c r="AM950" s="213"/>
      <c r="AN950" s="302"/>
      <c r="AO950" s="303"/>
      <c r="AP950" s="285"/>
      <c r="AQ950" s="258"/>
      <c r="AR950" s="258"/>
    </row>
    <row r="951" spans="10:44" s="48" customFormat="1" ht="12" hidden="1" customHeight="1">
      <c r="J951" s="213"/>
      <c r="K951" s="213"/>
      <c r="L951" s="213"/>
      <c r="M951" s="213"/>
      <c r="N951" s="213"/>
      <c r="O951" s="213"/>
      <c r="P951" s="213"/>
      <c r="Q951" s="213"/>
      <c r="R951" s="213"/>
      <c r="S951" s="213"/>
      <c r="T951" s="213"/>
      <c r="U951" s="213"/>
      <c r="V951" s="213"/>
      <c r="W951" s="213"/>
      <c r="X951" s="213"/>
      <c r="Y951" s="213"/>
      <c r="Z951" s="213"/>
      <c r="AA951" s="213"/>
      <c r="AB951" s="213"/>
      <c r="AC951" s="213"/>
      <c r="AD951" s="213"/>
      <c r="AE951" s="213"/>
      <c r="AF951" s="213"/>
      <c r="AG951" s="213"/>
      <c r="AH951" s="213"/>
      <c r="AI951" s="213"/>
      <c r="AJ951" s="213"/>
      <c r="AK951" s="213"/>
      <c r="AL951" s="213"/>
      <c r="AM951" s="213"/>
      <c r="AN951" s="302"/>
      <c r="AO951" s="303"/>
      <c r="AP951" s="285"/>
      <c r="AQ951" s="258"/>
      <c r="AR951" s="258"/>
    </row>
    <row r="952" spans="10:44" s="48" customFormat="1" ht="12" hidden="1" customHeight="1">
      <c r="J952" s="213"/>
      <c r="K952" s="213"/>
      <c r="L952" s="213"/>
      <c r="M952" s="213"/>
      <c r="N952" s="213"/>
      <c r="O952" s="213"/>
      <c r="P952" s="213"/>
      <c r="Q952" s="213"/>
      <c r="R952" s="213"/>
      <c r="S952" s="213"/>
      <c r="T952" s="213"/>
      <c r="U952" s="213"/>
      <c r="V952" s="213"/>
      <c r="W952" s="213"/>
      <c r="X952" s="213"/>
      <c r="Y952" s="213"/>
      <c r="Z952" s="213"/>
      <c r="AA952" s="213"/>
      <c r="AB952" s="213"/>
      <c r="AC952" s="213"/>
      <c r="AD952" s="213"/>
      <c r="AE952" s="213"/>
      <c r="AF952" s="213"/>
      <c r="AG952" s="213"/>
      <c r="AH952" s="213"/>
      <c r="AI952" s="213"/>
      <c r="AJ952" s="213"/>
      <c r="AK952" s="213"/>
      <c r="AL952" s="213"/>
      <c r="AM952" s="213"/>
      <c r="AN952" s="302"/>
      <c r="AO952" s="303"/>
      <c r="AP952" s="285"/>
      <c r="AQ952" s="258"/>
      <c r="AR952" s="258"/>
    </row>
    <row r="953" spans="10:44" s="48" customFormat="1" ht="12" hidden="1" customHeight="1">
      <c r="J953" s="213"/>
      <c r="K953" s="213"/>
      <c r="L953" s="213"/>
      <c r="M953" s="213"/>
      <c r="N953" s="213"/>
      <c r="O953" s="213"/>
      <c r="P953" s="213"/>
      <c r="Q953" s="213"/>
      <c r="R953" s="213"/>
      <c r="S953" s="213"/>
      <c r="T953" s="213"/>
      <c r="U953" s="213"/>
      <c r="V953" s="213"/>
      <c r="W953" s="213"/>
      <c r="X953" s="213"/>
      <c r="Y953" s="213"/>
      <c r="Z953" s="213"/>
      <c r="AA953" s="213"/>
      <c r="AB953" s="213"/>
      <c r="AC953" s="213"/>
      <c r="AD953" s="213"/>
      <c r="AE953" s="213"/>
      <c r="AF953" s="213"/>
      <c r="AG953" s="213"/>
      <c r="AH953" s="213"/>
      <c r="AI953" s="213"/>
      <c r="AJ953" s="213"/>
      <c r="AK953" s="213"/>
      <c r="AL953" s="213"/>
      <c r="AM953" s="213"/>
      <c r="AN953" s="302"/>
      <c r="AO953" s="303"/>
      <c r="AP953" s="285"/>
      <c r="AQ953" s="258"/>
      <c r="AR953" s="258"/>
    </row>
    <row r="954" spans="10:44" s="48" customFormat="1" ht="12" hidden="1" customHeight="1">
      <c r="J954" s="213"/>
      <c r="K954" s="213"/>
      <c r="L954" s="213"/>
      <c r="M954" s="213"/>
      <c r="N954" s="213"/>
      <c r="O954" s="213"/>
      <c r="P954" s="213"/>
      <c r="Q954" s="213"/>
      <c r="R954" s="213"/>
      <c r="S954" s="213"/>
      <c r="T954" s="213"/>
      <c r="U954" s="213"/>
      <c r="V954" s="213"/>
      <c r="W954" s="213"/>
      <c r="X954" s="213"/>
      <c r="Y954" s="213"/>
      <c r="Z954" s="213"/>
      <c r="AA954" s="213"/>
      <c r="AB954" s="213"/>
      <c r="AC954" s="213"/>
      <c r="AD954" s="213"/>
      <c r="AE954" s="213"/>
      <c r="AF954" s="213"/>
      <c r="AG954" s="213"/>
      <c r="AH954" s="213"/>
      <c r="AI954" s="213"/>
      <c r="AJ954" s="213"/>
      <c r="AK954" s="213"/>
      <c r="AL954" s="213"/>
      <c r="AM954" s="213"/>
      <c r="AN954" s="302"/>
      <c r="AO954" s="303"/>
      <c r="AP954" s="285"/>
      <c r="AQ954" s="258"/>
      <c r="AR954" s="258"/>
    </row>
    <row r="955" spans="10:44" s="48" customFormat="1" ht="12" hidden="1" customHeight="1">
      <c r="J955" s="213"/>
      <c r="K955" s="213"/>
      <c r="L955" s="213"/>
      <c r="M955" s="213"/>
      <c r="N955" s="213"/>
      <c r="O955" s="213"/>
      <c r="P955" s="213"/>
      <c r="Q955" s="213"/>
      <c r="R955" s="213"/>
      <c r="S955" s="213"/>
      <c r="T955" s="213"/>
      <c r="U955" s="213"/>
      <c r="V955" s="213"/>
      <c r="W955" s="213"/>
      <c r="X955" s="213"/>
      <c r="Y955" s="213"/>
      <c r="Z955" s="213"/>
      <c r="AA955" s="213"/>
      <c r="AB955" s="213"/>
      <c r="AC955" s="213"/>
      <c r="AD955" s="213"/>
      <c r="AE955" s="213"/>
      <c r="AF955" s="213"/>
      <c r="AG955" s="213"/>
      <c r="AH955" s="213"/>
      <c r="AI955" s="213"/>
      <c r="AJ955" s="213"/>
      <c r="AK955" s="213"/>
      <c r="AL955" s="213"/>
      <c r="AM955" s="213"/>
      <c r="AN955" s="302"/>
      <c r="AO955" s="303"/>
      <c r="AP955" s="285"/>
      <c r="AQ955" s="258"/>
      <c r="AR955" s="258"/>
    </row>
    <row r="956" spans="10:44" s="48" customFormat="1" ht="12" hidden="1" customHeight="1">
      <c r="J956" s="213"/>
      <c r="K956" s="213"/>
      <c r="L956" s="213"/>
      <c r="M956" s="213"/>
      <c r="N956" s="213"/>
      <c r="O956" s="213"/>
      <c r="P956" s="213"/>
      <c r="Q956" s="213"/>
      <c r="R956" s="213"/>
      <c r="S956" s="213"/>
      <c r="T956" s="213"/>
      <c r="U956" s="213"/>
      <c r="V956" s="213"/>
      <c r="W956" s="213"/>
      <c r="X956" s="213"/>
      <c r="Y956" s="213"/>
      <c r="Z956" s="213"/>
      <c r="AA956" s="213"/>
      <c r="AB956" s="213"/>
      <c r="AC956" s="213"/>
      <c r="AD956" s="213"/>
      <c r="AE956" s="213"/>
      <c r="AF956" s="213"/>
      <c r="AG956" s="213"/>
      <c r="AH956" s="213"/>
      <c r="AI956" s="213"/>
      <c r="AJ956" s="213"/>
      <c r="AK956" s="213"/>
      <c r="AL956" s="213"/>
      <c r="AM956" s="213"/>
      <c r="AN956" s="302"/>
      <c r="AO956" s="303"/>
      <c r="AP956" s="285"/>
      <c r="AQ956" s="258"/>
      <c r="AR956" s="258"/>
    </row>
    <row r="957" spans="10:44" s="48" customFormat="1" ht="12" hidden="1" customHeight="1">
      <c r="J957" s="213"/>
      <c r="K957" s="213"/>
      <c r="L957" s="213"/>
      <c r="M957" s="213"/>
      <c r="N957" s="213"/>
      <c r="O957" s="213"/>
      <c r="P957" s="213"/>
      <c r="Q957" s="213"/>
      <c r="R957" s="213"/>
      <c r="S957" s="213"/>
      <c r="T957" s="213"/>
      <c r="U957" s="213"/>
      <c r="V957" s="213"/>
      <c r="W957" s="213"/>
      <c r="X957" s="213"/>
      <c r="Y957" s="213"/>
      <c r="Z957" s="213"/>
      <c r="AA957" s="213"/>
      <c r="AB957" s="213"/>
      <c r="AC957" s="213"/>
      <c r="AD957" s="213"/>
      <c r="AE957" s="213"/>
      <c r="AF957" s="213"/>
      <c r="AG957" s="213"/>
      <c r="AH957" s="213"/>
      <c r="AI957" s="213"/>
      <c r="AJ957" s="213"/>
      <c r="AK957" s="213"/>
      <c r="AL957" s="213"/>
      <c r="AM957" s="213"/>
      <c r="AN957" s="302"/>
      <c r="AO957" s="303"/>
      <c r="AP957" s="285"/>
      <c r="AQ957" s="258"/>
      <c r="AR957" s="258"/>
    </row>
    <row r="958" spans="10:44" s="48" customFormat="1" ht="12" hidden="1" customHeight="1">
      <c r="J958" s="213"/>
      <c r="K958" s="213"/>
      <c r="L958" s="213"/>
      <c r="M958" s="213"/>
      <c r="N958" s="213"/>
      <c r="O958" s="213"/>
      <c r="P958" s="213"/>
      <c r="Q958" s="213"/>
      <c r="R958" s="213"/>
      <c r="S958" s="213"/>
      <c r="T958" s="213"/>
      <c r="U958" s="213"/>
      <c r="V958" s="213"/>
      <c r="W958" s="213"/>
      <c r="X958" s="213"/>
      <c r="Y958" s="213"/>
      <c r="Z958" s="213"/>
      <c r="AA958" s="213"/>
      <c r="AB958" s="213"/>
      <c r="AC958" s="213"/>
      <c r="AD958" s="213"/>
      <c r="AE958" s="213"/>
      <c r="AF958" s="213"/>
      <c r="AG958" s="213"/>
      <c r="AH958" s="213"/>
      <c r="AI958" s="213"/>
      <c r="AJ958" s="213"/>
      <c r="AK958" s="213"/>
      <c r="AL958" s="213"/>
      <c r="AM958" s="213"/>
      <c r="AN958" s="302"/>
      <c r="AO958" s="303"/>
      <c r="AP958" s="285"/>
      <c r="AQ958" s="258"/>
      <c r="AR958" s="258"/>
    </row>
    <row r="959" spans="10:44" s="48" customFormat="1" ht="12" hidden="1" customHeight="1">
      <c r="J959" s="213"/>
      <c r="K959" s="213"/>
      <c r="L959" s="213"/>
      <c r="M959" s="213"/>
      <c r="N959" s="213"/>
      <c r="O959" s="213"/>
      <c r="P959" s="213"/>
      <c r="Q959" s="213"/>
      <c r="R959" s="213"/>
      <c r="S959" s="213"/>
      <c r="T959" s="213"/>
      <c r="U959" s="213"/>
      <c r="V959" s="213"/>
      <c r="W959" s="213"/>
      <c r="X959" s="213"/>
      <c r="Y959" s="213"/>
      <c r="Z959" s="213"/>
      <c r="AA959" s="213"/>
      <c r="AB959" s="213"/>
      <c r="AC959" s="213"/>
      <c r="AD959" s="213"/>
      <c r="AE959" s="213"/>
      <c r="AF959" s="213"/>
      <c r="AG959" s="213"/>
      <c r="AH959" s="213"/>
      <c r="AI959" s="213"/>
      <c r="AJ959" s="213"/>
      <c r="AK959" s="213"/>
      <c r="AL959" s="213"/>
      <c r="AM959" s="213"/>
      <c r="AN959" s="302"/>
      <c r="AO959" s="303"/>
      <c r="AP959" s="285"/>
      <c r="AQ959" s="258"/>
      <c r="AR959" s="258"/>
    </row>
    <row r="960" spans="10:44" s="48" customFormat="1" ht="12" hidden="1" customHeight="1">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302"/>
      <c r="AO960" s="303"/>
      <c r="AP960" s="285"/>
      <c r="AQ960" s="258"/>
      <c r="AR960" s="258"/>
    </row>
    <row r="961" spans="10:44" s="48" customFormat="1" ht="12" hidden="1" customHeight="1">
      <c r="J961" s="213"/>
      <c r="K961" s="213"/>
      <c r="L961" s="213"/>
      <c r="M961" s="213"/>
      <c r="N961" s="213"/>
      <c r="O961" s="213"/>
      <c r="P961" s="213"/>
      <c r="Q961" s="213"/>
      <c r="R961" s="213"/>
      <c r="S961" s="213"/>
      <c r="T961" s="213"/>
      <c r="U961" s="213"/>
      <c r="V961" s="213"/>
      <c r="W961" s="213"/>
      <c r="X961" s="213"/>
      <c r="Y961" s="213"/>
      <c r="Z961" s="213"/>
      <c r="AA961" s="213"/>
      <c r="AB961" s="213"/>
      <c r="AC961" s="213"/>
      <c r="AD961" s="213"/>
      <c r="AE961" s="213"/>
      <c r="AF961" s="213"/>
      <c r="AG961" s="213"/>
      <c r="AH961" s="213"/>
      <c r="AI961" s="213"/>
      <c r="AJ961" s="213"/>
      <c r="AK961" s="213"/>
      <c r="AL961" s="213"/>
      <c r="AM961" s="213"/>
      <c r="AN961" s="302"/>
      <c r="AO961" s="303"/>
      <c r="AP961" s="285"/>
      <c r="AQ961" s="258"/>
      <c r="AR961" s="258"/>
    </row>
    <row r="962" spans="10:44" s="48" customFormat="1" ht="12" hidden="1" customHeight="1">
      <c r="J962" s="213"/>
      <c r="K962" s="213"/>
      <c r="L962" s="213"/>
      <c r="M962" s="213"/>
      <c r="N962" s="213"/>
      <c r="O962" s="213"/>
      <c r="P962" s="213"/>
      <c r="Q962" s="213"/>
      <c r="R962" s="213"/>
      <c r="S962" s="213"/>
      <c r="T962" s="213"/>
      <c r="U962" s="213"/>
      <c r="V962" s="213"/>
      <c r="W962" s="213"/>
      <c r="X962" s="213"/>
      <c r="Y962" s="213"/>
      <c r="Z962" s="213"/>
      <c r="AA962" s="213"/>
      <c r="AB962" s="213"/>
      <c r="AC962" s="213"/>
      <c r="AD962" s="213"/>
      <c r="AE962" s="213"/>
      <c r="AF962" s="213"/>
      <c r="AG962" s="213"/>
      <c r="AH962" s="213"/>
      <c r="AI962" s="213"/>
      <c r="AJ962" s="213"/>
      <c r="AK962" s="213"/>
      <c r="AL962" s="213"/>
      <c r="AM962" s="213"/>
      <c r="AN962" s="302"/>
      <c r="AO962" s="303"/>
      <c r="AP962" s="285"/>
      <c r="AQ962" s="258"/>
      <c r="AR962" s="258"/>
    </row>
    <row r="963" spans="10:44" s="48" customFormat="1" ht="12" hidden="1" customHeight="1">
      <c r="J963" s="213"/>
      <c r="K963" s="213"/>
      <c r="L963" s="213"/>
      <c r="M963" s="213"/>
      <c r="N963" s="213"/>
      <c r="O963" s="213"/>
      <c r="P963" s="213"/>
      <c r="Q963" s="213"/>
      <c r="R963" s="213"/>
      <c r="S963" s="213"/>
      <c r="T963" s="213"/>
      <c r="U963" s="213"/>
      <c r="V963" s="213"/>
      <c r="W963" s="213"/>
      <c r="X963" s="213"/>
      <c r="Y963" s="213"/>
      <c r="Z963" s="213"/>
      <c r="AA963" s="213"/>
      <c r="AB963" s="213"/>
      <c r="AC963" s="213"/>
      <c r="AD963" s="213"/>
      <c r="AE963" s="213"/>
      <c r="AF963" s="213"/>
      <c r="AG963" s="213"/>
      <c r="AH963" s="213"/>
      <c r="AI963" s="213"/>
      <c r="AJ963" s="213"/>
      <c r="AK963" s="213"/>
      <c r="AL963" s="213"/>
      <c r="AM963" s="213"/>
      <c r="AN963" s="302"/>
      <c r="AO963" s="303"/>
      <c r="AP963" s="285"/>
      <c r="AQ963" s="258"/>
      <c r="AR963" s="258"/>
    </row>
    <row r="964" spans="10:44" s="48" customFormat="1" ht="12" hidden="1" customHeight="1">
      <c r="J964" s="213"/>
      <c r="K964" s="213"/>
      <c r="L964" s="213"/>
      <c r="M964" s="213"/>
      <c r="N964" s="213"/>
      <c r="O964" s="213"/>
      <c r="P964" s="213"/>
      <c r="Q964" s="213"/>
      <c r="R964" s="213"/>
      <c r="S964" s="213"/>
      <c r="T964" s="213"/>
      <c r="U964" s="213"/>
      <c r="V964" s="213"/>
      <c r="W964" s="213"/>
      <c r="X964" s="213"/>
      <c r="Y964" s="213"/>
      <c r="Z964" s="213"/>
      <c r="AA964" s="213"/>
      <c r="AB964" s="213"/>
      <c r="AC964" s="213"/>
      <c r="AD964" s="213"/>
      <c r="AE964" s="213"/>
      <c r="AF964" s="213"/>
      <c r="AG964" s="213"/>
      <c r="AH964" s="213"/>
      <c r="AI964" s="213"/>
      <c r="AJ964" s="213"/>
      <c r="AK964" s="213"/>
      <c r="AL964" s="213"/>
      <c r="AM964" s="213"/>
      <c r="AN964" s="302"/>
      <c r="AO964" s="303"/>
      <c r="AP964" s="285"/>
      <c r="AQ964" s="258"/>
      <c r="AR964" s="258"/>
    </row>
    <row r="965" spans="10:44" s="48" customFormat="1" ht="12" hidden="1" customHeight="1">
      <c r="J965" s="213"/>
      <c r="K965" s="213"/>
      <c r="L965" s="213"/>
      <c r="M965" s="213"/>
      <c r="N965" s="213"/>
      <c r="O965" s="213"/>
      <c r="P965" s="213"/>
      <c r="Q965" s="213"/>
      <c r="R965" s="213"/>
      <c r="S965" s="213"/>
      <c r="T965" s="213"/>
      <c r="U965" s="213"/>
      <c r="V965" s="213"/>
      <c r="W965" s="213"/>
      <c r="X965" s="213"/>
      <c r="Y965" s="213"/>
      <c r="Z965" s="213"/>
      <c r="AA965" s="213"/>
      <c r="AB965" s="213"/>
      <c r="AC965" s="213"/>
      <c r="AD965" s="213"/>
      <c r="AE965" s="213"/>
      <c r="AF965" s="213"/>
      <c r="AG965" s="213"/>
      <c r="AH965" s="213"/>
      <c r="AI965" s="213"/>
      <c r="AJ965" s="213"/>
      <c r="AK965" s="213"/>
      <c r="AL965" s="213"/>
      <c r="AM965" s="213"/>
      <c r="AN965" s="302"/>
      <c r="AO965" s="303"/>
      <c r="AP965" s="285"/>
      <c r="AQ965" s="258"/>
      <c r="AR965" s="258"/>
    </row>
    <row r="966" spans="10:44" s="48" customFormat="1" ht="12" hidden="1" customHeight="1">
      <c r="J966" s="213"/>
      <c r="K966" s="213"/>
      <c r="L966" s="213"/>
      <c r="M966" s="213"/>
      <c r="N966" s="213"/>
      <c r="O966" s="213"/>
      <c r="P966" s="213"/>
      <c r="Q966" s="213"/>
      <c r="R966" s="213"/>
      <c r="S966" s="213"/>
      <c r="T966" s="213"/>
      <c r="U966" s="213"/>
      <c r="V966" s="213"/>
      <c r="W966" s="213"/>
      <c r="X966" s="213"/>
      <c r="Y966" s="213"/>
      <c r="Z966" s="213"/>
      <c r="AA966" s="213"/>
      <c r="AB966" s="213"/>
      <c r="AC966" s="213"/>
      <c r="AD966" s="213"/>
      <c r="AE966" s="213"/>
      <c r="AF966" s="213"/>
      <c r="AG966" s="213"/>
      <c r="AH966" s="213"/>
      <c r="AI966" s="213"/>
      <c r="AJ966" s="213"/>
      <c r="AK966" s="213"/>
      <c r="AL966" s="213"/>
      <c r="AM966" s="213"/>
      <c r="AN966" s="302"/>
      <c r="AO966" s="303"/>
      <c r="AP966" s="285"/>
      <c r="AQ966" s="258"/>
      <c r="AR966" s="258"/>
    </row>
    <row r="967" spans="10:44" s="48" customFormat="1" ht="12" hidden="1" customHeight="1">
      <c r="J967" s="213"/>
      <c r="K967" s="213"/>
      <c r="L967" s="213"/>
      <c r="M967" s="213"/>
      <c r="N967" s="213"/>
      <c r="O967" s="213"/>
      <c r="P967" s="213"/>
      <c r="Q967" s="213"/>
      <c r="R967" s="213"/>
      <c r="S967" s="213"/>
      <c r="T967" s="213"/>
      <c r="U967" s="213"/>
      <c r="V967" s="213"/>
      <c r="W967" s="213"/>
      <c r="X967" s="213"/>
      <c r="Y967" s="213"/>
      <c r="Z967" s="213"/>
      <c r="AA967" s="213"/>
      <c r="AB967" s="213"/>
      <c r="AC967" s="213"/>
      <c r="AD967" s="213"/>
      <c r="AE967" s="213"/>
      <c r="AF967" s="213"/>
      <c r="AG967" s="213"/>
      <c r="AH967" s="213"/>
      <c r="AI967" s="213"/>
      <c r="AJ967" s="213"/>
      <c r="AK967" s="213"/>
      <c r="AL967" s="213"/>
      <c r="AM967" s="213"/>
      <c r="AN967" s="302"/>
      <c r="AO967" s="303"/>
      <c r="AP967" s="285"/>
      <c r="AQ967" s="258"/>
      <c r="AR967" s="258"/>
    </row>
    <row r="968" spans="10:44" s="48" customFormat="1" ht="12" hidden="1" customHeight="1">
      <c r="J968" s="213"/>
      <c r="K968" s="213"/>
      <c r="L968" s="213"/>
      <c r="M968" s="213"/>
      <c r="N968" s="213"/>
      <c r="O968" s="213"/>
      <c r="P968" s="213"/>
      <c r="Q968" s="213"/>
      <c r="R968" s="213"/>
      <c r="S968" s="213"/>
      <c r="T968" s="213"/>
      <c r="U968" s="213"/>
      <c r="V968" s="213"/>
      <c r="W968" s="213"/>
      <c r="X968" s="213"/>
      <c r="Y968" s="213"/>
      <c r="Z968" s="213"/>
      <c r="AA968" s="213"/>
      <c r="AB968" s="213"/>
      <c r="AC968" s="213"/>
      <c r="AD968" s="213"/>
      <c r="AE968" s="213"/>
      <c r="AF968" s="213"/>
      <c r="AG968" s="213"/>
      <c r="AH968" s="213"/>
      <c r="AI968" s="213"/>
      <c r="AJ968" s="213"/>
      <c r="AK968" s="213"/>
      <c r="AL968" s="213"/>
      <c r="AM968" s="213"/>
      <c r="AN968" s="302"/>
      <c r="AO968" s="303"/>
      <c r="AP968" s="285"/>
      <c r="AQ968" s="258"/>
      <c r="AR968" s="258"/>
    </row>
    <row r="969" spans="10:44" s="48" customFormat="1" ht="12" hidden="1" customHeight="1">
      <c r="J969" s="213"/>
      <c r="K969" s="213"/>
      <c r="L969" s="213"/>
      <c r="M969" s="213"/>
      <c r="N969" s="213"/>
      <c r="O969" s="213"/>
      <c r="P969" s="213"/>
      <c r="Q969" s="213"/>
      <c r="R969" s="213"/>
      <c r="S969" s="213"/>
      <c r="T969" s="213"/>
      <c r="U969" s="213"/>
      <c r="V969" s="213"/>
      <c r="W969" s="213"/>
      <c r="X969" s="213"/>
      <c r="Y969" s="213"/>
      <c r="Z969" s="213"/>
      <c r="AA969" s="213"/>
      <c r="AB969" s="213"/>
      <c r="AC969" s="213"/>
      <c r="AD969" s="213"/>
      <c r="AE969" s="213"/>
      <c r="AF969" s="213"/>
      <c r="AG969" s="213"/>
      <c r="AH969" s="213"/>
      <c r="AI969" s="213"/>
      <c r="AJ969" s="213"/>
      <c r="AK969" s="213"/>
      <c r="AL969" s="213"/>
      <c r="AM969" s="213"/>
      <c r="AN969" s="302"/>
      <c r="AO969" s="303"/>
      <c r="AP969" s="285"/>
      <c r="AQ969" s="258"/>
      <c r="AR969" s="258"/>
    </row>
    <row r="970" spans="10:44" s="48" customFormat="1" ht="12" hidden="1" customHeight="1">
      <c r="J970" s="213"/>
      <c r="K970" s="213"/>
      <c r="L970" s="213"/>
      <c r="M970" s="213"/>
      <c r="N970" s="213"/>
      <c r="O970" s="213"/>
      <c r="P970" s="213"/>
      <c r="Q970" s="213"/>
      <c r="R970" s="213"/>
      <c r="S970" s="213"/>
      <c r="T970" s="213"/>
      <c r="U970" s="213"/>
      <c r="V970" s="213"/>
      <c r="W970" s="213"/>
      <c r="X970" s="213"/>
      <c r="Y970" s="213"/>
      <c r="Z970" s="213"/>
      <c r="AA970" s="213"/>
      <c r="AB970" s="213"/>
      <c r="AC970" s="213"/>
      <c r="AD970" s="213"/>
      <c r="AE970" s="213"/>
      <c r="AF970" s="213"/>
      <c r="AG970" s="213"/>
      <c r="AH970" s="213"/>
      <c r="AI970" s="213"/>
      <c r="AJ970" s="213"/>
      <c r="AK970" s="213"/>
      <c r="AL970" s="213"/>
      <c r="AM970" s="213"/>
      <c r="AN970" s="302"/>
      <c r="AO970" s="303"/>
      <c r="AP970" s="285"/>
      <c r="AQ970" s="258"/>
      <c r="AR970" s="258"/>
    </row>
    <row r="971" spans="10:44" s="48" customFormat="1" ht="12" hidden="1" customHeight="1">
      <c r="J971" s="213"/>
      <c r="K971" s="213"/>
      <c r="L971" s="213"/>
      <c r="M971" s="213"/>
      <c r="N971" s="213"/>
      <c r="O971" s="213"/>
      <c r="P971" s="213"/>
      <c r="Q971" s="213"/>
      <c r="R971" s="213"/>
      <c r="S971" s="213"/>
      <c r="T971" s="213"/>
      <c r="U971" s="213"/>
      <c r="V971" s="213"/>
      <c r="W971" s="213"/>
      <c r="X971" s="213"/>
      <c r="Y971" s="213"/>
      <c r="Z971" s="213"/>
      <c r="AA971" s="213"/>
      <c r="AB971" s="213"/>
      <c r="AC971" s="213"/>
      <c r="AD971" s="213"/>
      <c r="AE971" s="213"/>
      <c r="AF971" s="213"/>
      <c r="AG971" s="213"/>
      <c r="AH971" s="213"/>
      <c r="AI971" s="213"/>
      <c r="AJ971" s="213"/>
      <c r="AK971" s="213"/>
      <c r="AL971" s="213"/>
      <c r="AM971" s="213"/>
      <c r="AN971" s="302"/>
      <c r="AO971" s="303"/>
      <c r="AP971" s="285"/>
      <c r="AQ971" s="258"/>
      <c r="AR971" s="258"/>
    </row>
    <row r="972" spans="10:44" s="48" customFormat="1" ht="12" hidden="1" customHeight="1">
      <c r="J972" s="213"/>
      <c r="K972" s="213"/>
      <c r="L972" s="213"/>
      <c r="M972" s="213"/>
      <c r="N972" s="213"/>
      <c r="O972" s="213"/>
      <c r="P972" s="213"/>
      <c r="Q972" s="213"/>
      <c r="R972" s="213"/>
      <c r="S972" s="213"/>
      <c r="T972" s="213"/>
      <c r="U972" s="213"/>
      <c r="V972" s="213"/>
      <c r="W972" s="213"/>
      <c r="X972" s="213"/>
      <c r="Y972" s="213"/>
      <c r="Z972" s="213"/>
      <c r="AA972" s="213"/>
      <c r="AB972" s="213"/>
      <c r="AC972" s="213"/>
      <c r="AD972" s="213"/>
      <c r="AE972" s="213"/>
      <c r="AF972" s="213"/>
      <c r="AG972" s="213"/>
      <c r="AH972" s="213"/>
      <c r="AI972" s="213"/>
      <c r="AJ972" s="213"/>
      <c r="AK972" s="213"/>
      <c r="AL972" s="213"/>
      <c r="AM972" s="213"/>
      <c r="AN972" s="302"/>
      <c r="AO972" s="303"/>
      <c r="AP972" s="285"/>
      <c r="AQ972" s="258"/>
      <c r="AR972" s="258"/>
    </row>
    <row r="973" spans="10:44" s="48" customFormat="1" ht="12" hidden="1" customHeight="1">
      <c r="J973" s="213"/>
      <c r="K973" s="213"/>
      <c r="L973" s="213"/>
      <c r="M973" s="213"/>
      <c r="N973" s="213"/>
      <c r="O973" s="213"/>
      <c r="P973" s="213"/>
      <c r="Q973" s="213"/>
      <c r="R973" s="213"/>
      <c r="S973" s="213"/>
      <c r="T973" s="213"/>
      <c r="U973" s="213"/>
      <c r="V973" s="213"/>
      <c r="W973" s="213"/>
      <c r="X973" s="213"/>
      <c r="Y973" s="213"/>
      <c r="Z973" s="213"/>
      <c r="AA973" s="213"/>
      <c r="AB973" s="213"/>
      <c r="AC973" s="213"/>
      <c r="AD973" s="213"/>
      <c r="AE973" s="213"/>
      <c r="AF973" s="213"/>
      <c r="AG973" s="213"/>
      <c r="AH973" s="213"/>
      <c r="AI973" s="213"/>
      <c r="AJ973" s="213"/>
      <c r="AK973" s="213"/>
      <c r="AL973" s="213"/>
      <c r="AM973" s="213"/>
      <c r="AN973" s="302"/>
      <c r="AO973" s="303"/>
      <c r="AP973" s="285"/>
      <c r="AQ973" s="258"/>
      <c r="AR973" s="258"/>
    </row>
    <row r="974" spans="10:44" s="48" customFormat="1" ht="12" hidden="1" customHeight="1">
      <c r="J974" s="213"/>
      <c r="K974" s="213"/>
      <c r="L974" s="213"/>
      <c r="M974" s="213"/>
      <c r="N974" s="213"/>
      <c r="O974" s="213"/>
      <c r="P974" s="213"/>
      <c r="Q974" s="213"/>
      <c r="R974" s="213"/>
      <c r="S974" s="213"/>
      <c r="T974" s="213"/>
      <c r="U974" s="213"/>
      <c r="V974" s="213"/>
      <c r="W974" s="213"/>
      <c r="X974" s="213"/>
      <c r="Y974" s="213"/>
      <c r="Z974" s="213"/>
      <c r="AA974" s="213"/>
      <c r="AB974" s="213"/>
      <c r="AC974" s="213"/>
      <c r="AD974" s="213"/>
      <c r="AE974" s="213"/>
      <c r="AF974" s="213"/>
      <c r="AG974" s="213"/>
      <c r="AH974" s="213"/>
      <c r="AI974" s="213"/>
      <c r="AJ974" s="213"/>
      <c r="AK974" s="213"/>
      <c r="AL974" s="213"/>
      <c r="AM974" s="213"/>
      <c r="AN974" s="302"/>
      <c r="AO974" s="303"/>
      <c r="AP974" s="285"/>
      <c r="AQ974" s="258"/>
      <c r="AR974" s="258"/>
    </row>
    <row r="975" spans="10:44" s="48" customFormat="1" ht="12" hidden="1" customHeight="1">
      <c r="J975" s="213"/>
      <c r="K975" s="213"/>
      <c r="L975" s="213"/>
      <c r="M975" s="213"/>
      <c r="N975" s="213"/>
      <c r="O975" s="213"/>
      <c r="P975" s="213"/>
      <c r="Q975" s="213"/>
      <c r="R975" s="213"/>
      <c r="S975" s="213"/>
      <c r="T975" s="213"/>
      <c r="U975" s="213"/>
      <c r="V975" s="213"/>
      <c r="W975" s="213"/>
      <c r="X975" s="213"/>
      <c r="Y975" s="213"/>
      <c r="Z975" s="213"/>
      <c r="AA975" s="213"/>
      <c r="AB975" s="213"/>
      <c r="AC975" s="213"/>
      <c r="AD975" s="213"/>
      <c r="AE975" s="213"/>
      <c r="AF975" s="213"/>
      <c r="AG975" s="213"/>
      <c r="AH975" s="213"/>
      <c r="AI975" s="213"/>
      <c r="AJ975" s="213"/>
      <c r="AK975" s="213"/>
      <c r="AL975" s="213"/>
      <c r="AM975" s="213"/>
      <c r="AN975" s="302"/>
      <c r="AO975" s="303"/>
      <c r="AP975" s="285"/>
      <c r="AQ975" s="258"/>
      <c r="AR975" s="258"/>
    </row>
    <row r="976" spans="10:44" s="48" customFormat="1" ht="12" hidden="1" customHeight="1">
      <c r="J976" s="213"/>
      <c r="K976" s="213"/>
      <c r="L976" s="213"/>
      <c r="M976" s="213"/>
      <c r="N976" s="213"/>
      <c r="O976" s="213"/>
      <c r="P976" s="213"/>
      <c r="Q976" s="213"/>
      <c r="R976" s="213"/>
      <c r="S976" s="213"/>
      <c r="T976" s="213"/>
      <c r="U976" s="213"/>
      <c r="V976" s="213"/>
      <c r="W976" s="213"/>
      <c r="X976" s="213"/>
      <c r="Y976" s="213"/>
      <c r="Z976" s="213"/>
      <c r="AA976" s="213"/>
      <c r="AB976" s="213"/>
      <c r="AC976" s="213"/>
      <c r="AD976" s="213"/>
      <c r="AE976" s="213"/>
      <c r="AF976" s="213"/>
      <c r="AG976" s="213"/>
      <c r="AH976" s="213"/>
      <c r="AI976" s="213"/>
      <c r="AJ976" s="213"/>
      <c r="AK976" s="213"/>
      <c r="AL976" s="213"/>
      <c r="AM976" s="213"/>
      <c r="AN976" s="302"/>
      <c r="AO976" s="303"/>
      <c r="AP976" s="285"/>
      <c r="AQ976" s="258"/>
      <c r="AR976" s="258"/>
    </row>
    <row r="977" spans="10:44" s="48" customFormat="1" ht="12" hidden="1" customHeight="1">
      <c r="J977" s="213"/>
      <c r="K977" s="213"/>
      <c r="L977" s="213"/>
      <c r="M977" s="213"/>
      <c r="N977" s="213"/>
      <c r="O977" s="213"/>
      <c r="P977" s="213"/>
      <c r="Q977" s="213"/>
      <c r="R977" s="213"/>
      <c r="S977" s="213"/>
      <c r="T977" s="213"/>
      <c r="U977" s="213"/>
      <c r="V977" s="213"/>
      <c r="W977" s="213"/>
      <c r="X977" s="213"/>
      <c r="Y977" s="213"/>
      <c r="Z977" s="213"/>
      <c r="AA977" s="213"/>
      <c r="AB977" s="213"/>
      <c r="AC977" s="213"/>
      <c r="AD977" s="213"/>
      <c r="AE977" s="213"/>
      <c r="AF977" s="213"/>
      <c r="AG977" s="213"/>
      <c r="AH977" s="213"/>
      <c r="AI977" s="213"/>
      <c r="AJ977" s="213"/>
      <c r="AK977" s="213"/>
      <c r="AL977" s="213"/>
      <c r="AM977" s="213"/>
      <c r="AN977" s="302"/>
      <c r="AO977" s="303"/>
      <c r="AP977" s="285"/>
      <c r="AQ977" s="258"/>
      <c r="AR977" s="258"/>
    </row>
    <row r="978" spans="10:44" s="48" customFormat="1" ht="12" hidden="1" customHeight="1">
      <c r="J978" s="213"/>
      <c r="K978" s="213"/>
      <c r="L978" s="213"/>
      <c r="M978" s="213"/>
      <c r="N978" s="213"/>
      <c r="O978" s="213"/>
      <c r="P978" s="213"/>
      <c r="Q978" s="213"/>
      <c r="R978" s="213"/>
      <c r="S978" s="213"/>
      <c r="T978" s="213"/>
      <c r="U978" s="213"/>
      <c r="V978" s="213"/>
      <c r="W978" s="213"/>
      <c r="X978" s="213"/>
      <c r="Y978" s="213"/>
      <c r="Z978" s="213"/>
      <c r="AA978" s="213"/>
      <c r="AB978" s="213"/>
      <c r="AC978" s="213"/>
      <c r="AD978" s="213"/>
      <c r="AE978" s="213"/>
      <c r="AF978" s="213"/>
      <c r="AG978" s="213"/>
      <c r="AH978" s="213"/>
      <c r="AI978" s="213"/>
      <c r="AJ978" s="213"/>
      <c r="AK978" s="213"/>
      <c r="AL978" s="213"/>
      <c r="AM978" s="213"/>
      <c r="AN978" s="302"/>
      <c r="AO978" s="303"/>
      <c r="AP978" s="285"/>
      <c r="AQ978" s="258"/>
      <c r="AR978" s="258"/>
    </row>
    <row r="979" spans="10:44" s="48" customFormat="1" ht="12" hidden="1" customHeight="1">
      <c r="J979" s="213"/>
      <c r="K979" s="213"/>
      <c r="L979" s="213"/>
      <c r="M979" s="213"/>
      <c r="N979" s="213"/>
      <c r="O979" s="213"/>
      <c r="P979" s="213"/>
      <c r="Q979" s="213"/>
      <c r="R979" s="213"/>
      <c r="S979" s="213"/>
      <c r="T979" s="213"/>
      <c r="U979" s="213"/>
      <c r="V979" s="213"/>
      <c r="W979" s="213"/>
      <c r="X979" s="213"/>
      <c r="Y979" s="213"/>
      <c r="Z979" s="213"/>
      <c r="AA979" s="213"/>
      <c r="AB979" s="213"/>
      <c r="AC979" s="213"/>
      <c r="AD979" s="213"/>
      <c r="AE979" s="213"/>
      <c r="AF979" s="213"/>
      <c r="AG979" s="213"/>
      <c r="AH979" s="213"/>
      <c r="AI979" s="213"/>
      <c r="AJ979" s="213"/>
      <c r="AK979" s="213"/>
      <c r="AL979" s="213"/>
      <c r="AM979" s="213"/>
      <c r="AN979" s="302"/>
      <c r="AO979" s="303"/>
      <c r="AP979" s="285"/>
      <c r="AQ979" s="258"/>
      <c r="AR979" s="258"/>
    </row>
    <row r="980" spans="10:44" s="48" customFormat="1" ht="12" hidden="1" customHeight="1">
      <c r="J980" s="213"/>
      <c r="K980" s="213"/>
      <c r="L980" s="213"/>
      <c r="M980" s="213"/>
      <c r="N980" s="213"/>
      <c r="O980" s="213"/>
      <c r="P980" s="213"/>
      <c r="Q980" s="213"/>
      <c r="R980" s="213"/>
      <c r="S980" s="213"/>
      <c r="T980" s="213"/>
      <c r="U980" s="213"/>
      <c r="V980" s="213"/>
      <c r="W980" s="213"/>
      <c r="X980" s="213"/>
      <c r="Y980" s="213"/>
      <c r="Z980" s="213"/>
      <c r="AA980" s="213"/>
      <c r="AB980" s="213"/>
      <c r="AC980" s="213"/>
      <c r="AD980" s="213"/>
      <c r="AE980" s="213"/>
      <c r="AF980" s="213"/>
      <c r="AG980" s="213"/>
      <c r="AH980" s="213"/>
      <c r="AI980" s="213"/>
      <c r="AJ980" s="213"/>
      <c r="AK980" s="213"/>
      <c r="AL980" s="213"/>
      <c r="AM980" s="213"/>
      <c r="AN980" s="302"/>
      <c r="AO980" s="303"/>
      <c r="AP980" s="285"/>
      <c r="AQ980" s="258"/>
      <c r="AR980" s="258"/>
    </row>
    <row r="981" spans="10:44" s="48" customFormat="1" ht="12" hidden="1" customHeight="1">
      <c r="J981" s="213"/>
      <c r="K981" s="213"/>
      <c r="L981" s="213"/>
      <c r="M981" s="213"/>
      <c r="N981" s="213"/>
      <c r="O981" s="213"/>
      <c r="P981" s="213"/>
      <c r="Q981" s="213"/>
      <c r="R981" s="213"/>
      <c r="S981" s="213"/>
      <c r="T981" s="213"/>
      <c r="U981" s="213"/>
      <c r="V981" s="213"/>
      <c r="W981" s="213"/>
      <c r="X981" s="213"/>
      <c r="Y981" s="213"/>
      <c r="Z981" s="213"/>
      <c r="AA981" s="213"/>
      <c r="AB981" s="213"/>
      <c r="AC981" s="213"/>
      <c r="AD981" s="213"/>
      <c r="AE981" s="213"/>
      <c r="AF981" s="213"/>
      <c r="AG981" s="213"/>
      <c r="AH981" s="213"/>
      <c r="AI981" s="213"/>
      <c r="AJ981" s="213"/>
      <c r="AK981" s="213"/>
      <c r="AL981" s="213"/>
      <c r="AM981" s="213"/>
      <c r="AN981" s="302"/>
      <c r="AO981" s="303"/>
      <c r="AP981" s="285"/>
      <c r="AQ981" s="258"/>
      <c r="AR981" s="258"/>
    </row>
    <row r="982" spans="10:44" s="48" customFormat="1" ht="12" hidden="1" customHeight="1">
      <c r="J982" s="213"/>
      <c r="K982" s="213"/>
      <c r="L982" s="213"/>
      <c r="M982" s="213"/>
      <c r="N982" s="213"/>
      <c r="O982" s="213"/>
      <c r="P982" s="213"/>
      <c r="Q982" s="213"/>
      <c r="R982" s="213"/>
      <c r="S982" s="213"/>
      <c r="T982" s="213"/>
      <c r="U982" s="213"/>
      <c r="V982" s="213"/>
      <c r="W982" s="213"/>
      <c r="X982" s="213"/>
      <c r="Y982" s="213"/>
      <c r="Z982" s="213"/>
      <c r="AA982" s="213"/>
      <c r="AB982" s="213"/>
      <c r="AC982" s="213"/>
      <c r="AD982" s="213"/>
      <c r="AE982" s="213"/>
      <c r="AF982" s="213"/>
      <c r="AG982" s="213"/>
      <c r="AH982" s="213"/>
      <c r="AI982" s="213"/>
      <c r="AJ982" s="213"/>
      <c r="AK982" s="213"/>
      <c r="AL982" s="213"/>
      <c r="AM982" s="213"/>
      <c r="AN982" s="302"/>
      <c r="AO982" s="303"/>
      <c r="AP982" s="285"/>
      <c r="AQ982" s="258"/>
      <c r="AR982" s="258"/>
    </row>
    <row r="983" spans="10:44" s="48" customFormat="1" ht="12" hidden="1" customHeight="1">
      <c r="J983" s="213"/>
      <c r="K983" s="213"/>
      <c r="L983" s="213"/>
      <c r="M983" s="213"/>
      <c r="N983" s="213"/>
      <c r="O983" s="213"/>
      <c r="P983" s="213"/>
      <c r="Q983" s="213"/>
      <c r="R983" s="213"/>
      <c r="S983" s="213"/>
      <c r="T983" s="213"/>
      <c r="U983" s="213"/>
      <c r="V983" s="213"/>
      <c r="W983" s="213"/>
      <c r="X983" s="213"/>
      <c r="Y983" s="213"/>
      <c r="Z983" s="213"/>
      <c r="AA983" s="213"/>
      <c r="AB983" s="213"/>
      <c r="AC983" s="213"/>
      <c r="AD983" s="213"/>
      <c r="AE983" s="213"/>
      <c r="AF983" s="213"/>
      <c r="AG983" s="213"/>
      <c r="AH983" s="213"/>
      <c r="AI983" s="213"/>
      <c r="AJ983" s="213"/>
      <c r="AK983" s="213"/>
      <c r="AL983" s="213"/>
      <c r="AM983" s="213"/>
      <c r="AN983" s="302"/>
      <c r="AO983" s="303"/>
      <c r="AP983" s="285"/>
      <c r="AQ983" s="258"/>
      <c r="AR983" s="258"/>
    </row>
    <row r="984" spans="10:44" s="48" customFormat="1" ht="12" hidden="1" customHeight="1">
      <c r="J984" s="213"/>
      <c r="K984" s="213"/>
      <c r="L984" s="213"/>
      <c r="M984" s="213"/>
      <c r="N984" s="213"/>
      <c r="O984" s="213"/>
      <c r="P984" s="213"/>
      <c r="Q984" s="213"/>
      <c r="R984" s="213"/>
      <c r="S984" s="213"/>
      <c r="T984" s="213"/>
      <c r="U984" s="213"/>
      <c r="V984" s="213"/>
      <c r="W984" s="213"/>
      <c r="X984" s="213"/>
      <c r="Y984" s="213"/>
      <c r="Z984" s="213"/>
      <c r="AA984" s="213"/>
      <c r="AB984" s="213"/>
      <c r="AC984" s="213"/>
      <c r="AD984" s="213"/>
      <c r="AE984" s="213"/>
      <c r="AF984" s="213"/>
      <c r="AG984" s="213"/>
      <c r="AH984" s="213"/>
      <c r="AI984" s="213"/>
      <c r="AJ984" s="213"/>
      <c r="AK984" s="213"/>
      <c r="AL984" s="213"/>
      <c r="AM984" s="213"/>
      <c r="AN984" s="302"/>
      <c r="AO984" s="303"/>
      <c r="AP984" s="285"/>
      <c r="AQ984" s="258"/>
      <c r="AR984" s="258"/>
    </row>
    <row r="985" spans="10:44" s="48" customFormat="1" ht="12" hidden="1" customHeight="1">
      <c r="J985" s="213"/>
      <c r="K985" s="213"/>
      <c r="L985" s="213"/>
      <c r="M985" s="213"/>
      <c r="N985" s="213"/>
      <c r="O985" s="213"/>
      <c r="P985" s="213"/>
      <c r="Q985" s="213"/>
      <c r="R985" s="213"/>
      <c r="S985" s="213"/>
      <c r="T985" s="213"/>
      <c r="U985" s="213"/>
      <c r="V985" s="213"/>
      <c r="W985" s="213"/>
      <c r="X985" s="213"/>
      <c r="Y985" s="213"/>
      <c r="Z985" s="213"/>
      <c r="AA985" s="213"/>
      <c r="AB985" s="213"/>
      <c r="AC985" s="213"/>
      <c r="AD985" s="213"/>
      <c r="AE985" s="213"/>
      <c r="AF985" s="213"/>
      <c r="AG985" s="213"/>
      <c r="AH985" s="213"/>
      <c r="AI985" s="213"/>
      <c r="AJ985" s="213"/>
      <c r="AK985" s="213"/>
      <c r="AL985" s="213"/>
      <c r="AM985" s="213"/>
      <c r="AN985" s="302"/>
      <c r="AO985" s="303"/>
      <c r="AP985" s="285"/>
      <c r="AQ985" s="258"/>
      <c r="AR985" s="258"/>
    </row>
    <row r="986" spans="10:44" s="48" customFormat="1" ht="12" hidden="1" customHeight="1">
      <c r="J986" s="213"/>
      <c r="K986" s="213"/>
      <c r="L986" s="213"/>
      <c r="M986" s="213"/>
      <c r="N986" s="213"/>
      <c r="O986" s="213"/>
      <c r="P986" s="213"/>
      <c r="Q986" s="213"/>
      <c r="R986" s="213"/>
      <c r="S986" s="213"/>
      <c r="T986" s="213"/>
      <c r="U986" s="213"/>
      <c r="V986" s="213"/>
      <c r="W986" s="213"/>
      <c r="X986" s="213"/>
      <c r="Y986" s="213"/>
      <c r="Z986" s="213"/>
      <c r="AA986" s="213"/>
      <c r="AB986" s="213"/>
      <c r="AC986" s="213"/>
      <c r="AD986" s="213"/>
      <c r="AE986" s="213"/>
      <c r="AF986" s="213"/>
      <c r="AG986" s="213"/>
      <c r="AH986" s="213"/>
      <c r="AI986" s="213"/>
      <c r="AJ986" s="213"/>
      <c r="AK986" s="213"/>
      <c r="AL986" s="213"/>
      <c r="AM986" s="213"/>
      <c r="AN986" s="302"/>
      <c r="AO986" s="303"/>
      <c r="AP986" s="285"/>
      <c r="AQ986" s="258"/>
      <c r="AR986" s="258"/>
    </row>
    <row r="987" spans="10:44" s="48" customFormat="1" ht="12" hidden="1" customHeight="1">
      <c r="J987" s="213"/>
      <c r="K987" s="213"/>
      <c r="L987" s="213"/>
      <c r="M987" s="213"/>
      <c r="N987" s="213"/>
      <c r="O987" s="213"/>
      <c r="P987" s="213"/>
      <c r="Q987" s="213"/>
      <c r="R987" s="213"/>
      <c r="S987" s="213"/>
      <c r="T987" s="213"/>
      <c r="U987" s="213"/>
      <c r="V987" s="213"/>
      <c r="W987" s="213"/>
      <c r="X987" s="213"/>
      <c r="Y987" s="213"/>
      <c r="Z987" s="213"/>
      <c r="AA987" s="213"/>
      <c r="AB987" s="213"/>
      <c r="AC987" s="213"/>
      <c r="AD987" s="213"/>
      <c r="AE987" s="213"/>
      <c r="AF987" s="213"/>
      <c r="AG987" s="213"/>
      <c r="AH987" s="213"/>
      <c r="AI987" s="213"/>
      <c r="AJ987" s="213"/>
      <c r="AK987" s="213"/>
      <c r="AL987" s="213"/>
      <c r="AM987" s="213"/>
      <c r="AN987" s="302"/>
      <c r="AO987" s="303"/>
      <c r="AP987" s="285"/>
      <c r="AQ987" s="258"/>
      <c r="AR987" s="258"/>
    </row>
    <row r="988" spans="10:44" s="48" customFormat="1" ht="12" hidden="1" customHeight="1">
      <c r="J988" s="213"/>
      <c r="K988" s="213"/>
      <c r="L988" s="213"/>
      <c r="M988" s="213"/>
      <c r="N988" s="213"/>
      <c r="O988" s="213"/>
      <c r="P988" s="213"/>
      <c r="Q988" s="213"/>
      <c r="R988" s="213"/>
      <c r="S988" s="213"/>
      <c r="T988" s="213"/>
      <c r="U988" s="213"/>
      <c r="V988" s="213"/>
      <c r="W988" s="213"/>
      <c r="X988" s="213"/>
      <c r="Y988" s="213"/>
      <c r="Z988" s="213"/>
      <c r="AA988" s="213"/>
      <c r="AB988" s="213"/>
      <c r="AC988" s="213"/>
      <c r="AD988" s="213"/>
      <c r="AE988" s="213"/>
      <c r="AF988" s="213"/>
      <c r="AG988" s="213"/>
      <c r="AH988" s="213"/>
      <c r="AI988" s="213"/>
      <c r="AJ988" s="213"/>
      <c r="AK988" s="213"/>
      <c r="AL988" s="213"/>
      <c r="AM988" s="213"/>
      <c r="AN988" s="302"/>
      <c r="AO988" s="303"/>
      <c r="AP988" s="285"/>
      <c r="AQ988" s="258"/>
      <c r="AR988" s="258"/>
    </row>
    <row r="989" spans="10:44" s="48" customFormat="1" ht="12" hidden="1" customHeight="1">
      <c r="J989" s="213"/>
      <c r="K989" s="213"/>
      <c r="L989" s="213"/>
      <c r="M989" s="213"/>
      <c r="N989" s="213"/>
      <c r="O989" s="213"/>
      <c r="P989" s="213"/>
      <c r="Q989" s="213"/>
      <c r="R989" s="213"/>
      <c r="S989" s="213"/>
      <c r="T989" s="213"/>
      <c r="U989" s="213"/>
      <c r="V989" s="213"/>
      <c r="W989" s="213"/>
      <c r="X989" s="213"/>
      <c r="Y989" s="213"/>
      <c r="Z989" s="213"/>
      <c r="AA989" s="213"/>
      <c r="AB989" s="213"/>
      <c r="AC989" s="213"/>
      <c r="AD989" s="213"/>
      <c r="AE989" s="213"/>
      <c r="AF989" s="213"/>
      <c r="AG989" s="213"/>
      <c r="AH989" s="213"/>
      <c r="AI989" s="213"/>
      <c r="AJ989" s="213"/>
      <c r="AK989" s="213"/>
      <c r="AL989" s="213"/>
      <c r="AM989" s="213"/>
      <c r="AN989" s="302"/>
      <c r="AO989" s="303"/>
      <c r="AP989" s="285"/>
      <c r="AQ989" s="258"/>
      <c r="AR989" s="258"/>
    </row>
    <row r="990" spans="10:44" s="48" customFormat="1" ht="12" hidden="1" customHeight="1">
      <c r="J990" s="213"/>
      <c r="K990" s="213"/>
      <c r="L990" s="213"/>
      <c r="M990" s="213"/>
      <c r="N990" s="213"/>
      <c r="O990" s="213"/>
      <c r="P990" s="213"/>
      <c r="Q990" s="213"/>
      <c r="R990" s="213"/>
      <c r="S990" s="213"/>
      <c r="T990" s="213"/>
      <c r="U990" s="213"/>
      <c r="V990" s="213"/>
      <c r="W990" s="213"/>
      <c r="X990" s="213"/>
      <c r="Y990" s="213"/>
      <c r="Z990" s="213"/>
      <c r="AA990" s="213"/>
      <c r="AB990" s="213"/>
      <c r="AC990" s="213"/>
      <c r="AD990" s="213"/>
      <c r="AE990" s="213"/>
      <c r="AF990" s="213"/>
      <c r="AG990" s="213"/>
      <c r="AH990" s="213"/>
      <c r="AI990" s="213"/>
      <c r="AJ990" s="213"/>
      <c r="AK990" s="213"/>
      <c r="AL990" s="213"/>
      <c r="AM990" s="213"/>
      <c r="AN990" s="302"/>
      <c r="AO990" s="303"/>
      <c r="AP990" s="285"/>
      <c r="AQ990" s="258"/>
      <c r="AR990" s="258"/>
    </row>
    <row r="991" spans="10:44" s="48" customFormat="1" ht="12" hidden="1" customHeight="1">
      <c r="J991" s="213"/>
      <c r="K991" s="213"/>
      <c r="L991" s="213"/>
      <c r="M991" s="213"/>
      <c r="N991" s="213"/>
      <c r="O991" s="213"/>
      <c r="P991" s="213"/>
      <c r="Q991" s="213"/>
      <c r="R991" s="213"/>
      <c r="S991" s="213"/>
      <c r="T991" s="213"/>
      <c r="U991" s="213"/>
      <c r="V991" s="213"/>
      <c r="W991" s="213"/>
      <c r="X991" s="213"/>
      <c r="Y991" s="213"/>
      <c r="Z991" s="213"/>
      <c r="AA991" s="213"/>
      <c r="AB991" s="213"/>
      <c r="AC991" s="213"/>
      <c r="AD991" s="213"/>
      <c r="AE991" s="213"/>
      <c r="AF991" s="213"/>
      <c r="AG991" s="213"/>
      <c r="AH991" s="213"/>
      <c r="AI991" s="213"/>
      <c r="AJ991" s="213"/>
      <c r="AK991" s="213"/>
      <c r="AL991" s="213"/>
      <c r="AM991" s="213"/>
      <c r="AN991" s="302"/>
      <c r="AO991" s="303"/>
      <c r="AP991" s="285"/>
      <c r="AQ991" s="258"/>
      <c r="AR991" s="258"/>
    </row>
    <row r="992" spans="10:44" s="48" customFormat="1" ht="12" hidden="1" customHeight="1">
      <c r="J992" s="213"/>
      <c r="K992" s="213"/>
      <c r="L992" s="213"/>
      <c r="M992" s="213"/>
      <c r="N992" s="213"/>
      <c r="O992" s="213"/>
      <c r="P992" s="213"/>
      <c r="Q992" s="213"/>
      <c r="R992" s="213"/>
      <c r="S992" s="213"/>
      <c r="T992" s="213"/>
      <c r="U992" s="213"/>
      <c r="V992" s="213"/>
      <c r="W992" s="213"/>
      <c r="X992" s="213"/>
      <c r="Y992" s="213"/>
      <c r="Z992" s="213"/>
      <c r="AA992" s="213"/>
      <c r="AB992" s="213"/>
      <c r="AC992" s="213"/>
      <c r="AD992" s="213"/>
      <c r="AE992" s="213"/>
      <c r="AF992" s="213"/>
      <c r="AG992" s="213"/>
      <c r="AH992" s="213"/>
      <c r="AI992" s="213"/>
      <c r="AJ992" s="213"/>
      <c r="AK992" s="213"/>
      <c r="AL992" s="213"/>
      <c r="AM992" s="213"/>
      <c r="AN992" s="302"/>
      <c r="AO992" s="303"/>
      <c r="AP992" s="285"/>
      <c r="AQ992" s="258"/>
      <c r="AR992" s="258"/>
    </row>
    <row r="993" spans="10:44" s="48" customFormat="1" ht="12" hidden="1" customHeight="1">
      <c r="J993" s="213"/>
      <c r="K993" s="213"/>
      <c r="L993" s="213"/>
      <c r="M993" s="213"/>
      <c r="N993" s="213"/>
      <c r="O993" s="213"/>
      <c r="P993" s="213"/>
      <c r="Q993" s="213"/>
      <c r="R993" s="213"/>
      <c r="S993" s="213"/>
      <c r="T993" s="213"/>
      <c r="U993" s="213"/>
      <c r="V993" s="213"/>
      <c r="W993" s="213"/>
      <c r="X993" s="213"/>
      <c r="Y993" s="213"/>
      <c r="Z993" s="213"/>
      <c r="AA993" s="213"/>
      <c r="AB993" s="213"/>
      <c r="AC993" s="213"/>
      <c r="AD993" s="213"/>
      <c r="AE993" s="213"/>
      <c r="AF993" s="213"/>
      <c r="AG993" s="213"/>
      <c r="AH993" s="213"/>
      <c r="AI993" s="213"/>
      <c r="AJ993" s="213"/>
      <c r="AK993" s="213"/>
      <c r="AL993" s="213"/>
      <c r="AM993" s="213"/>
      <c r="AN993" s="302"/>
      <c r="AO993" s="303"/>
      <c r="AP993" s="285"/>
      <c r="AQ993" s="258"/>
      <c r="AR993" s="258"/>
    </row>
    <row r="994" spans="10:44" s="48" customFormat="1" ht="12" hidden="1" customHeight="1">
      <c r="J994" s="213"/>
      <c r="K994" s="213"/>
      <c r="L994" s="213"/>
      <c r="M994" s="213"/>
      <c r="N994" s="213"/>
      <c r="O994" s="213"/>
      <c r="P994" s="213"/>
      <c r="Q994" s="213"/>
      <c r="R994" s="213"/>
      <c r="S994" s="213"/>
      <c r="T994" s="213"/>
      <c r="U994" s="213"/>
      <c r="V994" s="213"/>
      <c r="W994" s="213"/>
      <c r="X994" s="213"/>
      <c r="Y994" s="213"/>
      <c r="Z994" s="213"/>
      <c r="AA994" s="213"/>
      <c r="AB994" s="213"/>
      <c r="AC994" s="213"/>
      <c r="AD994" s="213"/>
      <c r="AE994" s="213"/>
      <c r="AF994" s="213"/>
      <c r="AG994" s="213"/>
      <c r="AH994" s="213"/>
      <c r="AI994" s="213"/>
      <c r="AJ994" s="213"/>
      <c r="AK994" s="213"/>
      <c r="AL994" s="213"/>
      <c r="AM994" s="213"/>
      <c r="AN994" s="302"/>
      <c r="AO994" s="303"/>
      <c r="AP994" s="285"/>
      <c r="AQ994" s="258"/>
      <c r="AR994" s="258"/>
    </row>
    <row r="995" spans="10:44" s="48" customFormat="1" ht="12" hidden="1" customHeight="1">
      <c r="J995" s="213"/>
      <c r="K995" s="213"/>
      <c r="L995" s="213"/>
      <c r="M995" s="213"/>
      <c r="N995" s="213"/>
      <c r="O995" s="213"/>
      <c r="P995" s="213"/>
      <c r="Q995" s="213"/>
      <c r="R995" s="213"/>
      <c r="S995" s="213"/>
      <c r="T995" s="213"/>
      <c r="U995" s="213"/>
      <c r="V995" s="213"/>
      <c r="W995" s="213"/>
      <c r="X995" s="213"/>
      <c r="Y995" s="213"/>
      <c r="Z995" s="213"/>
      <c r="AA995" s="213"/>
      <c r="AB995" s="213"/>
      <c r="AC995" s="213"/>
      <c r="AD995" s="213"/>
      <c r="AE995" s="213"/>
      <c r="AF995" s="213"/>
      <c r="AG995" s="213"/>
      <c r="AH995" s="213"/>
      <c r="AI995" s="213"/>
      <c r="AJ995" s="213"/>
      <c r="AK995" s="213"/>
      <c r="AL995" s="213"/>
      <c r="AM995" s="213"/>
      <c r="AN995" s="302"/>
      <c r="AO995" s="303"/>
      <c r="AP995" s="285"/>
      <c r="AQ995" s="258"/>
      <c r="AR995" s="258"/>
    </row>
    <row r="996" spans="10:44" s="48" customFormat="1" ht="12" hidden="1" customHeight="1">
      <c r="J996" s="213"/>
      <c r="K996" s="213"/>
      <c r="L996" s="213"/>
      <c r="M996" s="213"/>
      <c r="N996" s="213"/>
      <c r="O996" s="213"/>
      <c r="P996" s="213"/>
      <c r="Q996" s="213"/>
      <c r="R996" s="213"/>
      <c r="S996" s="213"/>
      <c r="T996" s="213"/>
      <c r="U996" s="213"/>
      <c r="V996" s="213"/>
      <c r="W996" s="213"/>
      <c r="X996" s="213"/>
      <c r="Y996" s="213"/>
      <c r="Z996" s="213"/>
      <c r="AA996" s="213"/>
      <c r="AB996" s="213"/>
      <c r="AC996" s="213"/>
      <c r="AD996" s="213"/>
      <c r="AE996" s="213"/>
      <c r="AF996" s="213"/>
      <c r="AG996" s="213"/>
      <c r="AH996" s="213"/>
      <c r="AI996" s="213"/>
      <c r="AJ996" s="213"/>
      <c r="AK996" s="213"/>
      <c r="AL996" s="213"/>
      <c r="AM996" s="213"/>
      <c r="AN996" s="302"/>
      <c r="AO996" s="303"/>
      <c r="AP996" s="285"/>
      <c r="AQ996" s="258"/>
      <c r="AR996" s="258"/>
    </row>
    <row r="997" spans="10:44" s="48" customFormat="1" ht="12" hidden="1" customHeight="1">
      <c r="J997" s="213"/>
      <c r="K997" s="213"/>
      <c r="L997" s="213"/>
      <c r="M997" s="213"/>
      <c r="N997" s="213"/>
      <c r="O997" s="213"/>
      <c r="P997" s="213"/>
      <c r="Q997" s="213"/>
      <c r="R997" s="213"/>
      <c r="S997" s="213"/>
      <c r="T997" s="213"/>
      <c r="U997" s="213"/>
      <c r="V997" s="213"/>
      <c r="W997" s="213"/>
      <c r="X997" s="213"/>
      <c r="Y997" s="213"/>
      <c r="Z997" s="213"/>
      <c r="AA997" s="213"/>
      <c r="AB997" s="213"/>
      <c r="AC997" s="213"/>
      <c r="AD997" s="213"/>
      <c r="AE997" s="213"/>
      <c r="AF997" s="213"/>
      <c r="AG997" s="213"/>
      <c r="AH997" s="213"/>
      <c r="AI997" s="213"/>
      <c r="AJ997" s="213"/>
      <c r="AK997" s="213"/>
      <c r="AL997" s="213"/>
      <c r="AM997" s="213"/>
      <c r="AN997" s="302"/>
      <c r="AO997" s="303"/>
      <c r="AP997" s="285"/>
      <c r="AQ997" s="258"/>
      <c r="AR997" s="258"/>
    </row>
    <row r="998" spans="10:44" s="48" customFormat="1" ht="12" hidden="1" customHeight="1">
      <c r="J998" s="213"/>
      <c r="K998" s="213"/>
      <c r="L998" s="213"/>
      <c r="M998" s="213"/>
      <c r="N998" s="213"/>
      <c r="O998" s="213"/>
      <c r="P998" s="213"/>
      <c r="Q998" s="213"/>
      <c r="R998" s="213"/>
      <c r="S998" s="213"/>
      <c r="T998" s="213"/>
      <c r="U998" s="213"/>
      <c r="V998" s="213"/>
      <c r="W998" s="213"/>
      <c r="X998" s="213"/>
      <c r="Y998" s="213"/>
      <c r="Z998" s="213"/>
      <c r="AA998" s="213"/>
      <c r="AB998" s="213"/>
      <c r="AC998" s="213"/>
      <c r="AD998" s="213"/>
      <c r="AE998" s="213"/>
      <c r="AF998" s="213"/>
      <c r="AG998" s="213"/>
      <c r="AH998" s="213"/>
      <c r="AI998" s="213"/>
      <c r="AJ998" s="213"/>
      <c r="AK998" s="213"/>
      <c r="AL998" s="213"/>
      <c r="AM998" s="213"/>
      <c r="AN998" s="302"/>
      <c r="AO998" s="303"/>
      <c r="AP998" s="285"/>
      <c r="AQ998" s="258"/>
      <c r="AR998" s="258"/>
    </row>
    <row r="999" spans="10:44" s="48" customFormat="1" ht="12" hidden="1" customHeight="1">
      <c r="J999" s="213"/>
      <c r="K999" s="213"/>
      <c r="L999" s="213"/>
      <c r="M999" s="213"/>
      <c r="N999" s="213"/>
      <c r="O999" s="213"/>
      <c r="P999" s="213"/>
      <c r="Q999" s="213"/>
      <c r="R999" s="213"/>
      <c r="S999" s="213"/>
      <c r="T999" s="213"/>
      <c r="U999" s="213"/>
      <c r="V999" s="213"/>
      <c r="W999" s="213"/>
      <c r="X999" s="213"/>
      <c r="Y999" s="213"/>
      <c r="Z999" s="213"/>
      <c r="AA999" s="213"/>
      <c r="AB999" s="213"/>
      <c r="AC999" s="213"/>
      <c r="AD999" s="213"/>
      <c r="AE999" s="213"/>
      <c r="AF999" s="213"/>
      <c r="AG999" s="213"/>
      <c r="AH999" s="213"/>
      <c r="AI999" s="213"/>
      <c r="AJ999" s="213"/>
      <c r="AK999" s="213"/>
      <c r="AL999" s="213"/>
      <c r="AM999" s="213"/>
      <c r="AN999" s="302"/>
      <c r="AO999" s="303"/>
      <c r="AP999" s="285"/>
      <c r="AQ999" s="258"/>
      <c r="AR999" s="258"/>
    </row>
    <row r="1000" spans="10:44" s="48" customFormat="1" ht="0.75" customHeight="1">
      <c r="J1000" s="213"/>
      <c r="K1000" s="213"/>
      <c r="L1000" s="213"/>
      <c r="M1000" s="213"/>
      <c r="N1000" s="213"/>
      <c r="O1000" s="213"/>
      <c r="P1000" s="213"/>
      <c r="Q1000" s="213"/>
      <c r="R1000" s="213"/>
      <c r="S1000" s="213"/>
      <c r="T1000" s="213"/>
      <c r="U1000" s="213"/>
      <c r="V1000" s="213"/>
      <c r="W1000" s="213"/>
      <c r="X1000" s="213"/>
      <c r="Y1000" s="213"/>
      <c r="Z1000" s="213"/>
      <c r="AA1000" s="213"/>
      <c r="AB1000" s="213"/>
      <c r="AC1000" s="213"/>
      <c r="AD1000" s="213"/>
      <c r="AE1000" s="213"/>
      <c r="AF1000" s="213"/>
      <c r="AG1000" s="213"/>
      <c r="AH1000" s="213"/>
      <c r="AI1000" s="213"/>
      <c r="AJ1000" s="213"/>
      <c r="AK1000" s="213"/>
      <c r="AL1000" s="213"/>
      <c r="AM1000" s="213"/>
      <c r="AN1000" s="283"/>
      <c r="AO1000" s="215"/>
      <c r="AP1000" s="286"/>
      <c r="AQ1000" s="265"/>
      <c r="AR1000" s="265"/>
    </row>
    <row r="1001" spans="10:44" s="48" customFormat="1">
      <c r="J1001" s="213"/>
      <c r="K1001" s="213"/>
      <c r="L1001" s="213"/>
      <c r="M1001" s="213"/>
      <c r="N1001" s="213"/>
      <c r="O1001" s="213"/>
      <c r="P1001" s="213"/>
      <c r="Q1001" s="213"/>
      <c r="R1001" s="213"/>
      <c r="S1001" s="213"/>
      <c r="T1001" s="213"/>
      <c r="U1001" s="213"/>
      <c r="V1001" s="213"/>
      <c r="W1001" s="213"/>
      <c r="X1001" s="213"/>
      <c r="Y1001" s="213"/>
      <c r="Z1001" s="213"/>
      <c r="AA1001" s="213"/>
      <c r="AB1001" s="213"/>
      <c r="AC1001" s="213"/>
      <c r="AD1001" s="213"/>
      <c r="AE1001" s="213"/>
      <c r="AF1001" s="213"/>
      <c r="AG1001" s="213"/>
      <c r="AH1001" s="213"/>
      <c r="AI1001" s="213"/>
      <c r="AJ1001" s="213"/>
      <c r="AK1001" s="213"/>
      <c r="AL1001" s="213"/>
      <c r="AM1001" s="213"/>
      <c r="AN1001" s="199"/>
      <c r="AP1001" s="121"/>
      <c r="AQ1001" s="121"/>
    </row>
    <row r="1002" spans="10:44">
      <c r="AP1002" s="121"/>
      <c r="AQ1002" s="121"/>
    </row>
    <row r="1003" spans="10:44">
      <c r="AP1003" s="121"/>
      <c r="AQ1003" s="121"/>
    </row>
  </sheetData>
  <sheetProtection password="FA9C" sheet="1" objects="1" scenarios="1" formatColumns="0" formatRows="0"/>
  <mergeCells count="4">
    <mergeCell ref="AN9:AP9"/>
    <mergeCell ref="AN11:AN12"/>
    <mergeCell ref="AO11:AO12"/>
    <mergeCell ref="AP11:AP12"/>
  </mergeCells>
  <phoneticPr fontId="8"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120.xml><?xml version="1.0" encoding="utf-8"?>
<worksheet xmlns="http://schemas.openxmlformats.org/spreadsheetml/2006/main" xmlns:r="http://schemas.openxmlformats.org/officeDocument/2006/relationships">
  <sheetPr codeName="modfrmCheckUpdates">
    <tabColor indexed="47"/>
  </sheetPr>
  <dimension ref="A1"/>
  <sheetViews>
    <sheetView showGridLines="0" workbookViewId="0"/>
  </sheetViews>
  <sheetFormatPr defaultRowHeight="11.25"/>
  <cols>
    <col min="1" max="16384" width="9.140625" style="10"/>
  </cols>
  <sheetData/>
  <sheetProtection formatColumns="0" formatRows="0"/>
  <phoneticPr fontId="0" type="noConversion"/>
  <pageMargins left="0.75" right="0.75" top="1" bottom="1" header="0.5" footer="0.5"/>
  <pageSetup paperSize="9" orientation="portrait" r:id="rId1"/>
  <headerFooter alignWithMargins="0"/>
</worksheet>
</file>

<file path=xl/worksheets/sheet121.xml><?xml version="1.0" encoding="utf-8"?>
<worksheet xmlns="http://schemas.openxmlformats.org/spreadsheetml/2006/main" xmlns:r="http://schemas.openxmlformats.org/officeDocument/2006/relationships">
  <sheetPr codeName="modIHLCommandBar">
    <tabColor indexed="47"/>
  </sheetPr>
  <dimension ref="A1"/>
  <sheetViews>
    <sheetView showGridLines="0" workbookViewId="0"/>
  </sheetViews>
  <sheetFormatPr defaultRowHeight="11.25"/>
  <cols>
    <col min="1" max="16384" width="9.140625" style="9"/>
  </cols>
  <sheetData/>
  <sheetProtection formatColumns="0" formatRows="0"/>
  <dataConsolidate leftLabels="1"/>
  <phoneticPr fontId="0" type="noConversion"/>
  <pageMargins left="0.75" right="0.75" top="1" bottom="1" header="0.5" footer="0.5"/>
  <pageSetup paperSize="9" orientation="portrait" r:id="rId1"/>
  <headerFooter alignWithMargins="0"/>
</worksheet>
</file>

<file path=xl/worksheets/sheet122.xml><?xml version="1.0" encoding="utf-8"?>
<worksheet xmlns="http://schemas.openxmlformats.org/spreadsheetml/2006/main" xmlns:r="http://schemas.openxmlformats.org/officeDocument/2006/relationships">
  <sheetPr codeName="modfrmHEATINGAdditionalOrgData">
    <tabColor indexed="47"/>
  </sheetPr>
  <dimension ref="A1"/>
  <sheetViews>
    <sheetView showGridLines="0" workbookViewId="0"/>
  </sheetViews>
  <sheetFormatPr defaultRowHeight="11.25"/>
  <cols>
    <col min="1" max="1" width="9.140625" style="6"/>
    <col min="2" max="16384" width="9.140625" style="2"/>
  </cols>
  <sheetData/>
  <sheetProtection formatColumns="0" formatRows="0"/>
  <phoneticPr fontId="0" type="noConversion"/>
  <pageMargins left="0.75" right="0.75" top="1" bottom="1" header="0.5" footer="0.5"/>
  <pageSetup paperSize="9" orientation="portrait" r:id="rId1"/>
  <headerFooter alignWithMargins="0"/>
</worksheet>
</file>

<file path=xl/worksheets/sheet123.xml><?xml version="1.0" encoding="utf-8"?>
<worksheet xmlns="http://schemas.openxmlformats.org/spreadsheetml/2006/main" xmlns:r="http://schemas.openxmlformats.org/officeDocument/2006/relationships">
  <sheetPr codeName="modfrmVSNAVOTVAdditionalOrgData">
    <tabColor indexed="47"/>
  </sheetPr>
  <dimension ref="A1"/>
  <sheetViews>
    <sheetView showGridLines="0" workbookViewId="0"/>
  </sheetViews>
  <sheetFormatPr defaultRowHeight="11.25"/>
  <cols>
    <col min="1" max="1" width="9.140625" style="6"/>
    <col min="2" max="16384" width="9.140625" style="2"/>
  </cols>
  <sheetData/>
  <sheetProtection formatColumns="0" formatRows="0"/>
  <phoneticPr fontId="0" type="noConversion"/>
  <pageMargins left="0.75" right="0.75" top="1" bottom="1" header="0.5" footer="0.5"/>
  <pageSetup paperSize="9" orientation="portrait" r:id="rId1"/>
  <headerFooter alignWithMargins="0"/>
</worksheet>
</file>

<file path=xl/worksheets/sheet124.xml><?xml version="1.0" encoding="utf-8"?>
<worksheet xmlns="http://schemas.openxmlformats.org/spreadsheetml/2006/main" xmlns:r="http://schemas.openxmlformats.org/officeDocument/2006/relationships">
  <sheetPr codeName="modGeneralProcedures">
    <tabColor indexed="47"/>
  </sheetPr>
  <dimension ref="A1"/>
  <sheetViews>
    <sheetView showGridLines="0" workbookViewId="0"/>
  </sheetViews>
  <sheetFormatPr defaultRowHeight="11.25"/>
  <sheetData/>
  <sheetProtection formatColumns="0" formatRows="0"/>
  <phoneticPr fontId="0" type="noConversion"/>
  <pageMargins left="0.75" right="0.75" top="1" bottom="1" header="0.5" footer="0.5"/>
  <headerFooter alignWithMargins="0"/>
</worksheet>
</file>

<file path=xl/worksheets/sheet125.xml><?xml version="1.0" encoding="utf-8"?>
<worksheet xmlns="http://schemas.openxmlformats.org/spreadsheetml/2006/main" xmlns:r="http://schemas.openxmlformats.org/officeDocument/2006/relationships">
  <sheetPr codeName="modOpen">
    <tabColor indexed="47"/>
  </sheetPr>
  <dimension ref="A1"/>
  <sheetViews>
    <sheetView workbookViewId="0"/>
  </sheetViews>
  <sheetFormatPr defaultRowHeight="11.25"/>
  <cols>
    <col min="1" max="16384" width="9.140625" style="58"/>
  </cols>
  <sheetData/>
  <sheetProtection formatColumns="0" formatRows="0"/>
  <phoneticPr fontId="0" type="noConversion"/>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sheetPr codeName="modfrmReportMode">
    <tabColor indexed="47"/>
  </sheetPr>
  <dimension ref="A1"/>
  <sheetViews>
    <sheetView workbookViewId="0"/>
  </sheetViews>
  <sheetFormatPr defaultRowHeight="11.25"/>
  <sheetData/>
  <sheetProtection formatColumns="0" formatRows="0"/>
  <phoneticPr fontId="8" type="noConversion"/>
  <pageMargins left="0.75" right="0.75" top="1" bottom="1" header="0.5" footer="0.5"/>
  <headerFooter alignWithMargins="0"/>
</worksheet>
</file>

<file path=xl/worksheets/sheet127.xml><?xml version="1.0" encoding="utf-8"?>
<worksheet xmlns="http://schemas.openxmlformats.org/spreadsheetml/2006/main" xmlns:r="http://schemas.openxmlformats.org/officeDocument/2006/relationships">
  <sheetPr codeName="modVLDProvTM">
    <tabColor indexed="47"/>
  </sheetPr>
  <dimension ref="A1"/>
  <sheetViews>
    <sheetView workbookViewId="0"/>
  </sheetViews>
  <sheetFormatPr defaultRowHeight="11.25"/>
  <cols>
    <col min="1" max="1" width="9.140625" style="10"/>
    <col min="2" max="16384" width="9.140625" style="9"/>
  </cols>
  <sheetData/>
  <sheetProtection formatColumns="0" formatRows="0"/>
  <phoneticPr fontId="0" type="noConversion"/>
  <pageMargins left="0.75" right="0.75" top="1" bottom="1" header="0.5" footer="0.5"/>
  <pageSetup paperSize="9" orientation="portrait" r:id="rId1"/>
  <headerFooter alignWithMargins="0"/>
</worksheet>
</file>

<file path=xl/worksheets/sheet128.xml><?xml version="1.0" encoding="utf-8"?>
<worksheet xmlns="http://schemas.openxmlformats.org/spreadsheetml/2006/main" xmlns:r="http://schemas.openxmlformats.org/officeDocument/2006/relationships">
  <sheetPr codeName="modfrmDateChoose">
    <tabColor indexed="47"/>
  </sheetPr>
  <dimension ref="A1"/>
  <sheetViews>
    <sheetView showGridLines="0" workbookViewId="0"/>
  </sheetViews>
  <sheetFormatPr defaultRowHeight="11.25"/>
  <cols>
    <col min="1" max="16384" width="9.140625" style="9"/>
  </cols>
  <sheetData/>
  <phoneticPr fontId="8" type="noConversion"/>
  <pageMargins left="0.75" right="0.75" top="1" bottom="1" header="0.5" footer="0.5"/>
  <headerFooter alignWithMargins="0"/>
</worksheet>
</file>

<file path=xl/worksheets/sheet129.xml><?xml version="1.0" encoding="utf-8"?>
<worksheet xmlns="http://schemas.openxmlformats.org/spreadsheetml/2006/main" xmlns:r="http://schemas.openxmlformats.org/officeDocument/2006/relationships">
  <dimension ref="A1"/>
  <sheetViews>
    <sheetView workbookViewId="0"/>
  </sheetViews>
  <sheetFormatPr defaultRowHeight="11.25"/>
  <sheetData/>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HEAT_CALC_PERIOD_YEAR">
    <tabColor rgb="FF002060"/>
    <outlinePr summaryBelow="0"/>
  </sheetPr>
  <dimension ref="A1:AU1003"/>
  <sheetViews>
    <sheetView showGridLines="0" topLeftCell="AL8" workbookViewId="0"/>
  </sheetViews>
  <sheetFormatPr defaultRowHeight="11.25"/>
  <cols>
    <col min="1" max="9" width="4.7109375" style="47" hidden="1" customWidth="1"/>
    <col min="10" max="36" width="4.7109375" style="121" hidden="1" customWidth="1"/>
    <col min="37" max="37" width="2.7109375" style="121" hidden="1" customWidth="1"/>
    <col min="38" max="39" width="2.7109375" style="121" customWidth="1"/>
    <col min="40" max="40" width="13.7109375" style="49" customWidth="1"/>
    <col min="41" max="41" width="60.7109375" style="47" customWidth="1"/>
    <col min="42" max="42" width="17.7109375" style="47" customWidth="1"/>
    <col min="43" max="44" width="0.140625" style="47" customWidth="1"/>
    <col min="45" max="46" width="2.7109375" style="48" customWidth="1"/>
    <col min="47" max="47" width="9.140625" style="48"/>
    <col min="48" max="16384" width="9.140625" style="47"/>
  </cols>
  <sheetData>
    <row r="1" spans="10:45" s="48" customFormat="1" ht="12" hidden="1" customHeight="1">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199"/>
    </row>
    <row r="2" spans="10:45" s="48" customFormat="1" ht="12" hidden="1" customHeight="1">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199"/>
    </row>
    <row r="3" spans="10:45" s="48" customFormat="1" ht="12" hidden="1" customHeight="1">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199"/>
    </row>
    <row r="4" spans="10:45" s="48" customFormat="1" ht="12" hidden="1" customHeight="1">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199"/>
    </row>
    <row r="5" spans="10:45" s="48" customFormat="1" ht="12" hidden="1" customHeight="1">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199"/>
    </row>
    <row r="6" spans="10:45" s="48" customFormat="1" ht="12" hidden="1" customHeight="1">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199"/>
    </row>
    <row r="7" spans="10:45" s="48" customFormat="1" ht="12" hidden="1" customHeight="1">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199"/>
      <c r="AO7" s="158"/>
    </row>
    <row r="8" spans="10:45" s="312" customFormat="1" ht="12" customHeight="1">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308"/>
      <c r="AN8" s="618"/>
      <c r="AO8" s="432"/>
      <c r="AP8" s="616" t="s">
        <v>2790</v>
      </c>
      <c r="AQ8" s="310"/>
      <c r="AR8" s="310"/>
      <c r="AS8" s="311"/>
    </row>
    <row r="9" spans="10:45"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по муниципальному образованию - " &amp; IF(mo="","Не определено",mo)</f>
        <v>Фактические расходы организаций водоотведения по муниципальному образованию - Село Булава</v>
      </c>
      <c r="AO9" s="917"/>
      <c r="AP9" s="917"/>
      <c r="AQ9" s="201"/>
      <c r="AR9" s="122"/>
      <c r="AS9" s="200"/>
    </row>
    <row r="10" spans="10:45" s="48" customFormat="1" ht="12" customHeight="1">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189"/>
      <c r="AO10" s="209"/>
      <c r="AP10" s="214" t="s">
        <v>786</v>
      </c>
      <c r="AQ10" s="201"/>
      <c r="AR10" s="168" t="s">
        <v>720</v>
      </c>
      <c r="AS10" s="200"/>
    </row>
    <row r="11" spans="10:45" ht="12" customHeight="1">
      <c r="AN11" s="802" t="s">
        <v>641</v>
      </c>
      <c r="AO11" s="804" t="s">
        <v>787</v>
      </c>
      <c r="AP11" s="819" t="s">
        <v>778</v>
      </c>
      <c r="AQ11" s="206">
        <v>0</v>
      </c>
      <c r="AR11" s="206"/>
      <c r="AS11" s="203"/>
    </row>
    <row r="12" spans="10:45" ht="48" customHeight="1">
      <c r="AN12" s="802"/>
      <c r="AO12" s="804"/>
      <c r="AP12" s="819"/>
      <c r="AQ12" s="207"/>
      <c r="AR12" s="207"/>
      <c r="AS12" s="203"/>
    </row>
    <row r="13" spans="10:45" ht="11.25" customHeight="1">
      <c r="AN13" s="232"/>
      <c r="AO13" s="233" t="s">
        <v>788</v>
      </c>
      <c r="AP13" s="304"/>
      <c r="AQ13" s="207"/>
      <c r="AR13" s="207"/>
      <c r="AS13" s="203"/>
    </row>
    <row r="14" spans="10:45" ht="11.25" customHeight="1">
      <c r="AN14" s="232"/>
      <c r="AO14" s="490" t="str">
        <f>IF(CALC_IDENTIFIER="","",CALC_IDENTIFIER)</f>
        <v/>
      </c>
      <c r="AP14" s="304"/>
      <c r="AQ14" s="207"/>
      <c r="AR14" s="207"/>
      <c r="AS14" s="203"/>
    </row>
    <row r="15" spans="10:45">
      <c r="AN15" s="234" t="s">
        <v>642</v>
      </c>
      <c r="AO15" s="235" t="s">
        <v>789</v>
      </c>
      <c r="AP15" s="305">
        <f t="shared" ref="AP15:AP26" si="0">SUM(AQ15:AR15)</f>
        <v>0</v>
      </c>
      <c r="AQ15" s="258"/>
      <c r="AR15" s="258"/>
      <c r="AS15" s="202"/>
    </row>
    <row r="16" spans="10:45">
      <c r="AN16" s="234" t="s">
        <v>790</v>
      </c>
      <c r="AO16" s="224" t="s">
        <v>791</v>
      </c>
      <c r="AP16" s="305">
        <f t="shared" si="0"/>
        <v>0</v>
      </c>
      <c r="AQ16" s="258"/>
      <c r="AR16" s="258"/>
      <c r="AS16" s="202"/>
    </row>
    <row r="17" spans="1:45">
      <c r="AN17" s="236" t="s">
        <v>792</v>
      </c>
      <c r="AO17" s="237" t="s">
        <v>793</v>
      </c>
      <c r="AP17" s="305">
        <f t="shared" si="0"/>
        <v>0</v>
      </c>
      <c r="AQ17" s="258"/>
      <c r="AR17" s="258"/>
      <c r="AS17" s="202"/>
    </row>
    <row r="18" spans="1:45" hidden="1">
      <c r="AN18" s="234"/>
      <c r="AO18" s="238"/>
      <c r="AP18" s="287"/>
      <c r="AQ18" s="258"/>
      <c r="AR18" s="258"/>
      <c r="AS18" s="202"/>
    </row>
    <row r="19" spans="1:45" hidden="1">
      <c r="AN19" s="234"/>
      <c r="AO19" s="238"/>
      <c r="AP19" s="287"/>
      <c r="AQ19" s="258"/>
      <c r="AR19" s="258"/>
      <c r="AS19" s="202"/>
    </row>
    <row r="20" spans="1:45" ht="22.5">
      <c r="A20" s="51"/>
      <c r="B20" s="51"/>
      <c r="C20" s="51"/>
      <c r="D20" s="51"/>
      <c r="E20" s="51"/>
      <c r="F20" s="51"/>
      <c r="G20" s="51"/>
      <c r="H20" s="51"/>
      <c r="I20" s="51"/>
      <c r="AN20" s="236" t="s">
        <v>63</v>
      </c>
      <c r="AO20" s="237" t="s">
        <v>64</v>
      </c>
      <c r="AP20" s="305">
        <f t="shared" si="0"/>
        <v>0</v>
      </c>
      <c r="AQ20" s="258"/>
      <c r="AR20" s="258"/>
      <c r="AS20" s="202"/>
    </row>
    <row r="21" spans="1:45">
      <c r="A21" s="51"/>
      <c r="B21" s="51"/>
      <c r="C21" s="51"/>
      <c r="D21" s="51"/>
      <c r="E21" s="51"/>
      <c r="F21" s="51"/>
      <c r="G21" s="51"/>
      <c r="H21" s="51"/>
      <c r="I21" s="51"/>
      <c r="AN21" s="234" t="s">
        <v>751</v>
      </c>
      <c r="AO21" s="235" t="s">
        <v>65</v>
      </c>
      <c r="AP21" s="305">
        <f t="shared" si="0"/>
        <v>0</v>
      </c>
      <c r="AQ21" s="258"/>
      <c r="AR21" s="258"/>
      <c r="AS21" s="202"/>
    </row>
    <row r="22" spans="1:45">
      <c r="A22" s="51"/>
      <c r="B22" s="51"/>
      <c r="C22" s="51"/>
      <c r="D22" s="51"/>
      <c r="E22" s="51"/>
      <c r="F22" s="51"/>
      <c r="G22" s="51"/>
      <c r="H22" s="51"/>
      <c r="I22" s="51"/>
      <c r="AN22" s="234" t="s">
        <v>66</v>
      </c>
      <c r="AO22" s="237" t="s">
        <v>67</v>
      </c>
      <c r="AP22" s="305">
        <f t="shared" si="0"/>
        <v>0</v>
      </c>
      <c r="AQ22" s="258"/>
      <c r="AR22" s="258"/>
      <c r="AS22" s="202"/>
    </row>
    <row r="23" spans="1:45">
      <c r="A23" s="51"/>
      <c r="B23" s="51"/>
      <c r="C23" s="51"/>
      <c r="D23" s="51"/>
      <c r="E23" s="51"/>
      <c r="F23" s="51"/>
      <c r="G23" s="51"/>
      <c r="H23" s="51"/>
      <c r="I23" s="51"/>
      <c r="AN23" s="234" t="s">
        <v>69</v>
      </c>
      <c r="AO23" s="237" t="s">
        <v>70</v>
      </c>
      <c r="AP23" s="305">
        <f t="shared" si="0"/>
        <v>0</v>
      </c>
      <c r="AQ23" s="258"/>
      <c r="AR23" s="258"/>
      <c r="AS23" s="202"/>
    </row>
    <row r="24" spans="1:45">
      <c r="A24" s="51"/>
      <c r="B24" s="51"/>
      <c r="C24" s="51"/>
      <c r="D24" s="51"/>
      <c r="E24" s="51"/>
      <c r="F24" s="51"/>
      <c r="G24" s="51"/>
      <c r="H24" s="51"/>
      <c r="I24" s="51"/>
      <c r="AN24" s="234" t="s">
        <v>72</v>
      </c>
      <c r="AO24" s="237" t="s">
        <v>73</v>
      </c>
      <c r="AP24" s="305">
        <f t="shared" si="0"/>
        <v>0</v>
      </c>
      <c r="AQ24" s="258"/>
      <c r="AR24" s="258"/>
      <c r="AS24" s="202"/>
    </row>
    <row r="25" spans="1:45">
      <c r="A25" s="51"/>
      <c r="B25" s="51"/>
      <c r="C25" s="51"/>
      <c r="D25" s="51"/>
      <c r="E25" s="51"/>
      <c r="F25" s="51"/>
      <c r="G25" s="51"/>
      <c r="H25" s="51"/>
      <c r="I25" s="51"/>
      <c r="AN25" s="234" t="s">
        <v>752</v>
      </c>
      <c r="AO25" s="235" t="s">
        <v>74</v>
      </c>
      <c r="AP25" s="305">
        <f t="shared" si="0"/>
        <v>0</v>
      </c>
      <c r="AQ25" s="258"/>
      <c r="AR25" s="258"/>
      <c r="AS25" s="202"/>
    </row>
    <row r="26" spans="1:45">
      <c r="A26" s="51"/>
      <c r="B26" s="51"/>
      <c r="C26" s="51"/>
      <c r="D26" s="51"/>
      <c r="E26" s="51"/>
      <c r="F26" s="51"/>
      <c r="G26" s="51"/>
      <c r="H26" s="51"/>
      <c r="I26" s="51"/>
      <c r="AN26" s="236" t="s">
        <v>760</v>
      </c>
      <c r="AO26" s="237" t="s">
        <v>76</v>
      </c>
      <c r="AP26" s="305">
        <f t="shared" si="0"/>
        <v>0</v>
      </c>
      <c r="AQ26" s="258"/>
      <c r="AR26" s="258"/>
      <c r="AS26" s="202"/>
    </row>
    <row r="27" spans="1:45" ht="22.5">
      <c r="A27" s="51"/>
      <c r="B27" s="51"/>
      <c r="C27" s="51"/>
      <c r="D27" s="51"/>
      <c r="E27" s="51"/>
      <c r="F27" s="51"/>
      <c r="G27" s="51"/>
      <c r="H27" s="51"/>
      <c r="I27" s="51"/>
      <c r="AN27" s="234" t="s">
        <v>753</v>
      </c>
      <c r="AO27" s="233" t="s">
        <v>211</v>
      </c>
      <c r="AP27" s="305">
        <f>SUM(AQ27:AR27)</f>
        <v>0</v>
      </c>
      <c r="AQ27" s="258"/>
      <c r="AR27" s="258"/>
      <c r="AS27" s="202"/>
    </row>
    <row r="28" spans="1:45">
      <c r="A28" s="51"/>
      <c r="B28" s="51"/>
      <c r="C28" s="51"/>
      <c r="D28" s="51"/>
      <c r="E28" s="51"/>
      <c r="F28" s="51"/>
      <c r="G28" s="51"/>
      <c r="H28" s="51"/>
      <c r="I28" s="51"/>
      <c r="AN28" s="451" t="s">
        <v>766</v>
      </c>
      <c r="AO28" s="453" t="s">
        <v>78</v>
      </c>
      <c r="AP28" s="305">
        <f>SUM(AQ28:AR28)</f>
        <v>0</v>
      </c>
      <c r="AQ28" s="258"/>
      <c r="AR28" s="258"/>
      <c r="AS28" s="202"/>
    </row>
    <row r="29" spans="1:45">
      <c r="A29" s="51"/>
      <c r="B29" s="51"/>
      <c r="C29" s="51"/>
      <c r="D29" s="51"/>
      <c r="E29" s="51"/>
      <c r="F29" s="51"/>
      <c r="G29" s="51"/>
      <c r="H29" s="51"/>
      <c r="I29" s="51"/>
      <c r="AN29" s="451" t="s">
        <v>768</v>
      </c>
      <c r="AO29" s="454" t="s">
        <v>212</v>
      </c>
      <c r="AP29" s="305">
        <f>SUM(AQ29:AR29)</f>
        <v>0</v>
      </c>
      <c r="AQ29" s="258"/>
      <c r="AR29" s="258"/>
      <c r="AS29" s="202"/>
    </row>
    <row r="30" spans="1:45">
      <c r="A30" s="51"/>
      <c r="B30" s="51"/>
      <c r="C30" s="51"/>
      <c r="D30" s="51"/>
      <c r="E30" s="51"/>
      <c r="F30" s="51"/>
      <c r="G30" s="51"/>
      <c r="H30" s="51"/>
      <c r="I30" s="51"/>
      <c r="AN30" s="451" t="s">
        <v>132</v>
      </c>
      <c r="AO30" s="455" t="s">
        <v>79</v>
      </c>
      <c r="AP30" s="305">
        <f>SUM(AQ30:AR30)</f>
        <v>0</v>
      </c>
      <c r="AQ30" s="258"/>
      <c r="AR30" s="258"/>
      <c r="AS30" s="202"/>
    </row>
    <row r="31" spans="1:45" hidden="1">
      <c r="A31" s="51"/>
      <c r="B31" s="51"/>
      <c r="C31" s="51"/>
      <c r="D31" s="51"/>
      <c r="E31" s="51"/>
      <c r="F31" s="51"/>
      <c r="G31" s="51"/>
      <c r="H31" s="51"/>
      <c r="I31" s="51"/>
      <c r="AN31" s="451"/>
      <c r="AO31" s="455"/>
      <c r="AP31" s="287"/>
      <c r="AQ31" s="258"/>
      <c r="AR31" s="258"/>
      <c r="AS31" s="202"/>
    </row>
    <row r="32" spans="1:45" hidden="1">
      <c r="A32" s="51"/>
      <c r="B32" s="51"/>
      <c r="C32" s="51"/>
      <c r="D32" s="51"/>
      <c r="E32" s="51"/>
      <c r="F32" s="51"/>
      <c r="G32" s="51"/>
      <c r="H32" s="51"/>
      <c r="I32" s="51"/>
      <c r="AN32" s="451"/>
      <c r="AO32" s="455"/>
      <c r="AP32" s="287"/>
      <c r="AQ32" s="258"/>
      <c r="AR32" s="258"/>
      <c r="AS32" s="202"/>
    </row>
    <row r="33" spans="1:45" hidden="1">
      <c r="A33" s="51"/>
      <c r="B33" s="51"/>
      <c r="C33" s="51"/>
      <c r="D33" s="51"/>
      <c r="E33" s="51"/>
      <c r="F33" s="51"/>
      <c r="G33" s="51"/>
      <c r="H33" s="51"/>
      <c r="I33" s="51"/>
      <c r="AN33" s="451"/>
      <c r="AO33" s="455"/>
      <c r="AP33" s="287"/>
      <c r="AQ33" s="258"/>
      <c r="AR33" s="258"/>
      <c r="AS33" s="202"/>
    </row>
    <row r="34" spans="1:45" hidden="1">
      <c r="A34" s="51"/>
      <c r="B34" s="51"/>
      <c r="C34" s="51"/>
      <c r="D34" s="51"/>
      <c r="E34" s="51"/>
      <c r="F34" s="51"/>
      <c r="G34" s="51"/>
      <c r="H34" s="51"/>
      <c r="I34" s="51"/>
      <c r="AN34" s="451"/>
      <c r="AO34" s="455"/>
      <c r="AP34" s="287"/>
      <c r="AQ34" s="258"/>
      <c r="AR34" s="258"/>
      <c r="AS34" s="202"/>
    </row>
    <row r="35" spans="1:45" hidden="1">
      <c r="A35" s="51"/>
      <c r="B35" s="51"/>
      <c r="C35" s="51"/>
      <c r="D35" s="51"/>
      <c r="E35" s="51"/>
      <c r="F35" s="51"/>
      <c r="G35" s="51"/>
      <c r="H35" s="51"/>
      <c r="I35" s="51"/>
      <c r="AN35" s="451"/>
      <c r="AO35" s="455"/>
      <c r="AP35" s="287"/>
      <c r="AQ35" s="258"/>
      <c r="AR35" s="258"/>
      <c r="AS35" s="202"/>
    </row>
    <row r="36" spans="1:45" hidden="1">
      <c r="A36" s="51"/>
      <c r="B36" s="51"/>
      <c r="C36" s="51"/>
      <c r="D36" s="51"/>
      <c r="E36" s="51"/>
      <c r="F36" s="51"/>
      <c r="G36" s="51"/>
      <c r="H36" s="51"/>
      <c r="I36" s="51"/>
      <c r="AN36" s="451"/>
      <c r="AO36" s="455"/>
      <c r="AP36" s="287"/>
      <c r="AQ36" s="258"/>
      <c r="AR36" s="258"/>
      <c r="AS36" s="202"/>
    </row>
    <row r="37" spans="1:45" hidden="1">
      <c r="A37" s="51"/>
      <c r="B37" s="51"/>
      <c r="C37" s="51"/>
      <c r="D37" s="51"/>
      <c r="E37" s="51"/>
      <c r="F37" s="51"/>
      <c r="G37" s="51"/>
      <c r="H37" s="51"/>
      <c r="I37" s="51"/>
      <c r="AN37" s="451"/>
      <c r="AO37" s="455"/>
      <c r="AP37" s="287"/>
      <c r="AQ37" s="258"/>
      <c r="AR37" s="258"/>
      <c r="AS37" s="202"/>
    </row>
    <row r="38" spans="1:45">
      <c r="A38" s="51"/>
      <c r="B38" s="51"/>
      <c r="C38" s="51"/>
      <c r="D38" s="51"/>
      <c r="E38" s="51"/>
      <c r="F38" s="51"/>
      <c r="G38" s="51"/>
      <c r="H38" s="51"/>
      <c r="I38" s="51"/>
      <c r="AN38" s="451" t="s">
        <v>80</v>
      </c>
      <c r="AO38" s="455" t="s">
        <v>81</v>
      </c>
      <c r="AP38" s="305">
        <f>SUM(AQ38:AR38)</f>
        <v>0</v>
      </c>
      <c r="AQ38" s="258"/>
      <c r="AR38" s="258"/>
      <c r="AS38" s="202"/>
    </row>
    <row r="39" spans="1:45" hidden="1">
      <c r="A39" s="51"/>
      <c r="B39" s="51"/>
      <c r="C39" s="51"/>
      <c r="D39" s="51"/>
      <c r="E39" s="51"/>
      <c r="F39" s="51"/>
      <c r="G39" s="51"/>
      <c r="H39" s="51"/>
      <c r="I39" s="51"/>
      <c r="AN39" s="451"/>
      <c r="AO39" s="455"/>
      <c r="AP39" s="287"/>
      <c r="AQ39" s="258"/>
      <c r="AR39" s="258"/>
      <c r="AS39" s="202"/>
    </row>
    <row r="40" spans="1:45" hidden="1">
      <c r="A40" s="51"/>
      <c r="B40" s="51"/>
      <c r="C40" s="51"/>
      <c r="D40" s="51"/>
      <c r="E40" s="51"/>
      <c r="F40" s="51"/>
      <c r="G40" s="51"/>
      <c r="H40" s="51"/>
      <c r="I40" s="51"/>
      <c r="AN40" s="451"/>
      <c r="AO40" s="455"/>
      <c r="AP40" s="287"/>
      <c r="AQ40" s="258"/>
      <c r="AR40" s="258"/>
      <c r="AS40" s="202"/>
    </row>
    <row r="41" spans="1:45" hidden="1">
      <c r="A41" s="51"/>
      <c r="B41" s="51"/>
      <c r="C41" s="51"/>
      <c r="D41" s="51"/>
      <c r="E41" s="51"/>
      <c r="F41" s="51"/>
      <c r="G41" s="51"/>
      <c r="H41" s="51"/>
      <c r="I41" s="51"/>
      <c r="AN41" s="451"/>
      <c r="AO41" s="455"/>
      <c r="AP41" s="287"/>
      <c r="AQ41" s="258"/>
      <c r="AR41" s="258"/>
      <c r="AS41" s="202"/>
    </row>
    <row r="42" spans="1:45" hidden="1">
      <c r="A42" s="51"/>
      <c r="B42" s="51"/>
      <c r="C42" s="51"/>
      <c r="D42" s="51"/>
      <c r="E42" s="51"/>
      <c r="F42" s="51"/>
      <c r="G42" s="51"/>
      <c r="H42" s="51"/>
      <c r="I42" s="51"/>
      <c r="AN42" s="451"/>
      <c r="AO42" s="455"/>
      <c r="AP42" s="287"/>
      <c r="AQ42" s="258"/>
      <c r="AR42" s="258"/>
      <c r="AS42" s="202"/>
    </row>
    <row r="43" spans="1:45" hidden="1">
      <c r="A43" s="51"/>
      <c r="B43" s="51"/>
      <c r="C43" s="51"/>
      <c r="D43" s="51"/>
      <c r="E43" s="51"/>
      <c r="F43" s="51"/>
      <c r="G43" s="51"/>
      <c r="H43" s="51"/>
      <c r="I43" s="51"/>
      <c r="AN43" s="451"/>
      <c r="AO43" s="455"/>
      <c r="AP43" s="287"/>
      <c r="AQ43" s="258"/>
      <c r="AR43" s="258"/>
      <c r="AS43" s="202"/>
    </row>
    <row r="44" spans="1:45" hidden="1">
      <c r="A44" s="51"/>
      <c r="B44" s="51"/>
      <c r="C44" s="51"/>
      <c r="D44" s="51"/>
      <c r="E44" s="51"/>
      <c r="F44" s="51"/>
      <c r="G44" s="51"/>
      <c r="H44" s="51"/>
      <c r="I44" s="51"/>
      <c r="AN44" s="451"/>
      <c r="AO44" s="455"/>
      <c r="AP44" s="287"/>
      <c r="AQ44" s="258"/>
      <c r="AR44" s="258"/>
      <c r="AS44" s="202"/>
    </row>
    <row r="45" spans="1:45" hidden="1">
      <c r="A45" s="51"/>
      <c r="B45" s="51"/>
      <c r="C45" s="51"/>
      <c r="D45" s="51"/>
      <c r="E45" s="51"/>
      <c r="F45" s="51"/>
      <c r="G45" s="51"/>
      <c r="H45" s="51"/>
      <c r="I45" s="51"/>
      <c r="AN45" s="451"/>
      <c r="AO45" s="455"/>
      <c r="AP45" s="287"/>
      <c r="AQ45" s="258"/>
      <c r="AR45" s="258"/>
      <c r="AS45" s="202"/>
    </row>
    <row r="46" spans="1:45">
      <c r="A46" s="51"/>
      <c r="B46" s="51"/>
      <c r="C46" s="51"/>
      <c r="D46" s="51"/>
      <c r="E46" s="51"/>
      <c r="F46" s="51"/>
      <c r="G46" s="51"/>
      <c r="H46" s="51"/>
      <c r="I46" s="51"/>
      <c r="AN46" s="451" t="s">
        <v>82</v>
      </c>
      <c r="AO46" s="455" t="s">
        <v>83</v>
      </c>
      <c r="AP46" s="305">
        <f t="shared" ref="AP46:AP59" si="1">SUM(AQ46:AR46)</f>
        <v>0</v>
      </c>
      <c r="AQ46" s="258"/>
      <c r="AR46" s="258"/>
      <c r="AS46" s="202"/>
    </row>
    <row r="47" spans="1:45">
      <c r="A47" s="51"/>
      <c r="B47" s="51"/>
      <c r="C47" s="51"/>
      <c r="D47" s="51"/>
      <c r="E47" s="51"/>
      <c r="F47" s="51"/>
      <c r="G47" s="51"/>
      <c r="H47" s="51"/>
      <c r="I47" s="51"/>
      <c r="AN47" s="451" t="s">
        <v>84</v>
      </c>
      <c r="AO47" s="457" t="s">
        <v>85</v>
      </c>
      <c r="AP47" s="305">
        <f t="shared" si="1"/>
        <v>0</v>
      </c>
      <c r="AQ47" s="258"/>
      <c r="AR47" s="258"/>
      <c r="AS47" s="202"/>
    </row>
    <row r="48" spans="1:45">
      <c r="A48" s="51"/>
      <c r="B48" s="51"/>
      <c r="C48" s="51"/>
      <c r="D48" s="51"/>
      <c r="E48" s="51"/>
      <c r="F48" s="51"/>
      <c r="G48" s="51"/>
      <c r="H48" s="51"/>
      <c r="I48" s="51"/>
      <c r="AN48" s="451" t="s">
        <v>86</v>
      </c>
      <c r="AO48" s="457" t="s">
        <v>87</v>
      </c>
      <c r="AP48" s="305">
        <f t="shared" si="1"/>
        <v>0</v>
      </c>
      <c r="AQ48" s="258"/>
      <c r="AR48" s="258"/>
      <c r="AS48" s="202"/>
    </row>
    <row r="49" spans="1:45">
      <c r="A49" s="51"/>
      <c r="B49" s="51"/>
      <c r="C49" s="51"/>
      <c r="D49" s="51"/>
      <c r="E49" s="51"/>
      <c r="F49" s="51"/>
      <c r="G49" s="51"/>
      <c r="H49" s="51"/>
      <c r="I49" s="51"/>
      <c r="AN49" s="451" t="s">
        <v>88</v>
      </c>
      <c r="AO49" s="457" t="s">
        <v>89</v>
      </c>
      <c r="AP49" s="305">
        <f t="shared" si="1"/>
        <v>0</v>
      </c>
      <c r="AQ49" s="258"/>
      <c r="AR49" s="258"/>
      <c r="AS49" s="202"/>
    </row>
    <row r="50" spans="1:45">
      <c r="A50" s="51"/>
      <c r="B50" s="51"/>
      <c r="C50" s="51"/>
      <c r="D50" s="51"/>
      <c r="E50" s="51"/>
      <c r="F50" s="51"/>
      <c r="G50" s="51"/>
      <c r="H50" s="51"/>
      <c r="I50" s="51"/>
      <c r="AN50" s="451" t="s">
        <v>90</v>
      </c>
      <c r="AO50" s="457" t="s">
        <v>91</v>
      </c>
      <c r="AP50" s="305">
        <f t="shared" si="1"/>
        <v>0</v>
      </c>
      <c r="AQ50" s="258"/>
      <c r="AR50" s="258"/>
      <c r="AS50" s="202"/>
    </row>
    <row r="51" spans="1:45">
      <c r="A51" s="51"/>
      <c r="B51" s="51"/>
      <c r="C51" s="51"/>
      <c r="D51" s="51"/>
      <c r="E51" s="51"/>
      <c r="F51" s="51"/>
      <c r="G51" s="51"/>
      <c r="H51" s="51"/>
      <c r="I51" s="51"/>
      <c r="AN51" s="451" t="s">
        <v>92</v>
      </c>
      <c r="AO51" s="457" t="s">
        <v>93</v>
      </c>
      <c r="AP51" s="305">
        <f t="shared" si="1"/>
        <v>0</v>
      </c>
      <c r="AQ51" s="258"/>
      <c r="AR51" s="258"/>
      <c r="AS51" s="202"/>
    </row>
    <row r="52" spans="1:45">
      <c r="A52" s="51"/>
      <c r="B52" s="51"/>
      <c r="C52" s="51"/>
      <c r="D52" s="51"/>
      <c r="E52" s="51"/>
      <c r="F52" s="51"/>
      <c r="G52" s="51"/>
      <c r="H52" s="51"/>
      <c r="I52" s="51"/>
      <c r="AN52" s="451" t="s">
        <v>94</v>
      </c>
      <c r="AO52" s="457" t="s">
        <v>95</v>
      </c>
      <c r="AP52" s="305">
        <f t="shared" si="1"/>
        <v>0</v>
      </c>
      <c r="AQ52" s="258"/>
      <c r="AR52" s="258"/>
      <c r="AS52" s="202"/>
    </row>
    <row r="53" spans="1:45">
      <c r="A53" s="51"/>
      <c r="B53" s="51"/>
      <c r="C53" s="51"/>
      <c r="D53" s="51"/>
      <c r="E53" s="51"/>
      <c r="F53" s="51"/>
      <c r="G53" s="51"/>
      <c r="H53" s="51"/>
      <c r="I53" s="51"/>
      <c r="AN53" s="451" t="s">
        <v>2975</v>
      </c>
      <c r="AO53" s="457" t="s">
        <v>2976</v>
      </c>
      <c r="AP53" s="305">
        <f t="shared" si="1"/>
        <v>0</v>
      </c>
      <c r="AQ53" s="258"/>
      <c r="AR53" s="258"/>
      <c r="AS53" s="202"/>
    </row>
    <row r="54" spans="1:45">
      <c r="A54" s="51"/>
      <c r="B54" s="51"/>
      <c r="C54" s="51"/>
      <c r="D54" s="51"/>
      <c r="E54" s="51"/>
      <c r="F54" s="51"/>
      <c r="G54" s="51"/>
      <c r="H54" s="51"/>
      <c r="I54" s="51"/>
      <c r="AN54" s="451" t="s">
        <v>2977</v>
      </c>
      <c r="AO54" s="457" t="s">
        <v>2978</v>
      </c>
      <c r="AP54" s="305">
        <f t="shared" si="1"/>
        <v>0</v>
      </c>
      <c r="AQ54" s="258"/>
      <c r="AR54" s="258"/>
      <c r="AS54" s="202"/>
    </row>
    <row r="55" spans="1:45">
      <c r="A55" s="51"/>
      <c r="B55" s="51"/>
      <c r="C55" s="51"/>
      <c r="D55" s="51"/>
      <c r="E55" s="51"/>
      <c r="F55" s="51"/>
      <c r="G55" s="51"/>
      <c r="H55" s="51"/>
      <c r="I55" s="51"/>
      <c r="AN55" s="451" t="s">
        <v>2979</v>
      </c>
      <c r="AO55" s="457" t="s">
        <v>2980</v>
      </c>
      <c r="AP55" s="305">
        <f t="shared" si="1"/>
        <v>0</v>
      </c>
      <c r="AQ55" s="258"/>
      <c r="AR55" s="258"/>
      <c r="AS55" s="202"/>
    </row>
    <row r="56" spans="1:45">
      <c r="A56" s="51"/>
      <c r="B56" s="51"/>
      <c r="C56" s="51"/>
      <c r="D56" s="51"/>
      <c r="E56" s="51"/>
      <c r="F56" s="51"/>
      <c r="G56" s="51"/>
      <c r="H56" s="51"/>
      <c r="I56" s="51"/>
      <c r="AN56" s="451" t="s">
        <v>2981</v>
      </c>
      <c r="AO56" s="457" t="s">
        <v>2982</v>
      </c>
      <c r="AP56" s="305">
        <f t="shared" si="1"/>
        <v>0</v>
      </c>
      <c r="AQ56" s="258"/>
      <c r="AR56" s="258"/>
      <c r="AS56" s="202"/>
    </row>
    <row r="57" spans="1:45">
      <c r="A57" s="51"/>
      <c r="B57" s="51"/>
      <c r="C57" s="51"/>
      <c r="D57" s="51"/>
      <c r="E57" s="51"/>
      <c r="F57" s="51"/>
      <c r="G57" s="51"/>
      <c r="H57" s="51"/>
      <c r="I57" s="51"/>
      <c r="AN57" s="451" t="s">
        <v>2983</v>
      </c>
      <c r="AO57" s="224" t="s">
        <v>2984</v>
      </c>
      <c r="AP57" s="305">
        <f t="shared" si="1"/>
        <v>0</v>
      </c>
      <c r="AQ57" s="258"/>
      <c r="AR57" s="258"/>
      <c r="AS57" s="202"/>
    </row>
    <row r="58" spans="1:45">
      <c r="A58" s="51"/>
      <c r="B58" s="51"/>
      <c r="C58" s="51"/>
      <c r="D58" s="51"/>
      <c r="E58" s="51"/>
      <c r="F58" s="51"/>
      <c r="G58" s="51"/>
      <c r="H58" s="51"/>
      <c r="I58" s="51"/>
      <c r="AN58" s="451" t="s">
        <v>2989</v>
      </c>
      <c r="AO58" s="224" t="s">
        <v>2990</v>
      </c>
      <c r="AP58" s="305">
        <f t="shared" si="1"/>
        <v>0</v>
      </c>
      <c r="AQ58" s="258"/>
      <c r="AR58" s="258"/>
      <c r="AS58" s="202"/>
    </row>
    <row r="59" spans="1:45">
      <c r="A59" s="51"/>
      <c r="B59" s="51"/>
      <c r="C59" s="51"/>
      <c r="D59" s="51"/>
      <c r="E59" s="51"/>
      <c r="F59" s="51"/>
      <c r="G59" s="51"/>
      <c r="H59" s="51"/>
      <c r="I59" s="51"/>
      <c r="AN59" s="451" t="s">
        <v>292</v>
      </c>
      <c r="AO59" s="442" t="s">
        <v>291</v>
      </c>
      <c r="AP59" s="305">
        <f t="shared" si="1"/>
        <v>0</v>
      </c>
      <c r="AQ59" s="258"/>
      <c r="AR59" s="258"/>
      <c r="AS59" s="202"/>
    </row>
    <row r="60" spans="1:45" hidden="1">
      <c r="A60" s="51"/>
      <c r="B60" s="51"/>
      <c r="C60" s="51"/>
      <c r="D60" s="51"/>
      <c r="E60" s="51"/>
      <c r="F60" s="51"/>
      <c r="G60" s="51"/>
      <c r="H60" s="51"/>
      <c r="I60" s="51"/>
      <c r="AN60" s="239"/>
      <c r="AO60" s="225"/>
      <c r="AP60" s="287"/>
      <c r="AQ60" s="258"/>
      <c r="AR60" s="258"/>
      <c r="AS60" s="202"/>
    </row>
    <row r="61" spans="1:45" hidden="1">
      <c r="A61" s="51"/>
      <c r="B61" s="51"/>
      <c r="C61" s="51"/>
      <c r="D61" s="51"/>
      <c r="E61" s="51"/>
      <c r="F61" s="51"/>
      <c r="G61" s="51"/>
      <c r="H61" s="51"/>
      <c r="I61" s="51"/>
      <c r="AN61" s="239"/>
      <c r="AO61" s="225"/>
      <c r="AP61" s="287"/>
      <c r="AQ61" s="258"/>
      <c r="AR61" s="258"/>
      <c r="AS61" s="202"/>
    </row>
    <row r="62" spans="1:45" hidden="1">
      <c r="A62" s="51"/>
      <c r="B62" s="51"/>
      <c r="C62" s="51"/>
      <c r="D62" s="51"/>
      <c r="E62" s="51"/>
      <c r="F62" s="51"/>
      <c r="G62" s="51"/>
      <c r="H62" s="51"/>
      <c r="I62" s="51"/>
      <c r="AN62" s="239"/>
      <c r="AO62" s="225"/>
      <c r="AP62" s="287"/>
      <c r="AQ62" s="258"/>
      <c r="AR62" s="258"/>
      <c r="AS62" s="202"/>
    </row>
    <row r="63" spans="1:45" hidden="1">
      <c r="A63" s="51"/>
      <c r="B63" s="51"/>
      <c r="C63" s="51"/>
      <c r="D63" s="51"/>
      <c r="E63" s="51"/>
      <c r="F63" s="51"/>
      <c r="G63" s="51"/>
      <c r="H63" s="51"/>
      <c r="I63" s="51"/>
      <c r="AN63" s="239"/>
      <c r="AO63" s="225"/>
      <c r="AP63" s="287"/>
      <c r="AQ63" s="258"/>
      <c r="AR63" s="258"/>
      <c r="AS63" s="202"/>
    </row>
    <row r="64" spans="1:45" hidden="1">
      <c r="A64" s="51"/>
      <c r="B64" s="51"/>
      <c r="C64" s="51"/>
      <c r="D64" s="51"/>
      <c r="E64" s="51"/>
      <c r="F64" s="51"/>
      <c r="G64" s="51"/>
      <c r="H64" s="51"/>
      <c r="I64" s="51"/>
      <c r="AN64" s="239"/>
      <c r="AO64" s="225"/>
      <c r="AP64" s="287"/>
      <c r="AQ64" s="258"/>
      <c r="AR64" s="258"/>
      <c r="AS64" s="202"/>
    </row>
    <row r="65" spans="1:45" hidden="1">
      <c r="A65" s="51"/>
      <c r="B65" s="51"/>
      <c r="C65" s="51"/>
      <c r="D65" s="51"/>
      <c r="E65" s="51"/>
      <c r="F65" s="51"/>
      <c r="G65" s="51"/>
      <c r="H65" s="51"/>
      <c r="I65" s="51"/>
      <c r="AN65" s="239"/>
      <c r="AO65" s="225"/>
      <c r="AP65" s="287"/>
      <c r="AQ65" s="258"/>
      <c r="AR65" s="258"/>
      <c r="AS65" s="202"/>
    </row>
    <row r="66" spans="1:45" hidden="1">
      <c r="A66" s="51"/>
      <c r="B66" s="51"/>
      <c r="C66" s="51"/>
      <c r="D66" s="51"/>
      <c r="E66" s="51"/>
      <c r="F66" s="51"/>
      <c r="G66" s="51"/>
      <c r="H66" s="51"/>
      <c r="I66" s="51"/>
      <c r="AN66" s="239"/>
      <c r="AO66" s="225"/>
      <c r="AP66" s="287"/>
      <c r="AQ66" s="258"/>
      <c r="AR66" s="258"/>
      <c r="AS66" s="202"/>
    </row>
    <row r="67" spans="1:45" hidden="1">
      <c r="A67" s="51"/>
      <c r="B67" s="51"/>
      <c r="C67" s="51"/>
      <c r="D67" s="51"/>
      <c r="E67" s="51"/>
      <c r="F67" s="51"/>
      <c r="G67" s="51"/>
      <c r="H67" s="51"/>
      <c r="I67" s="51"/>
      <c r="AN67" s="239"/>
      <c r="AO67" s="225"/>
      <c r="AP67" s="287"/>
      <c r="AQ67" s="258"/>
      <c r="AR67" s="258"/>
      <c r="AS67" s="202"/>
    </row>
    <row r="68" spans="1:45" hidden="1">
      <c r="A68" s="51"/>
      <c r="B68" s="51"/>
      <c r="C68" s="51"/>
      <c r="D68" s="51"/>
      <c r="E68" s="51"/>
      <c r="F68" s="51"/>
      <c r="G68" s="51"/>
      <c r="H68" s="51"/>
      <c r="I68" s="51"/>
      <c r="AN68" s="239"/>
      <c r="AO68" s="225"/>
      <c r="AP68" s="287"/>
      <c r="AQ68" s="258"/>
      <c r="AR68" s="258"/>
      <c r="AS68" s="202"/>
    </row>
    <row r="69" spans="1:45" hidden="1">
      <c r="A69" s="51"/>
      <c r="B69" s="51"/>
      <c r="C69" s="51"/>
      <c r="D69" s="51"/>
      <c r="E69" s="51"/>
      <c r="F69" s="51"/>
      <c r="G69" s="51"/>
      <c r="H69" s="51"/>
      <c r="I69" s="51"/>
      <c r="AN69" s="239"/>
      <c r="AO69" s="225"/>
      <c r="AP69" s="287"/>
      <c r="AQ69" s="258"/>
      <c r="AR69" s="258"/>
      <c r="AS69" s="202"/>
    </row>
    <row r="70" spans="1:45" hidden="1">
      <c r="A70" s="51"/>
      <c r="B70" s="51"/>
      <c r="C70" s="51"/>
      <c r="D70" s="51"/>
      <c r="E70" s="51"/>
      <c r="F70" s="51"/>
      <c r="G70" s="51"/>
      <c r="H70" s="51"/>
      <c r="I70" s="51"/>
      <c r="AN70" s="239"/>
      <c r="AO70" s="225"/>
      <c r="AP70" s="287"/>
      <c r="AQ70" s="258"/>
      <c r="AR70" s="258"/>
      <c r="AS70" s="202"/>
    </row>
    <row r="71" spans="1:45" hidden="1">
      <c r="A71" s="51"/>
      <c r="B71" s="51"/>
      <c r="C71" s="51"/>
      <c r="D71" s="51"/>
      <c r="E71" s="51"/>
      <c r="F71" s="51"/>
      <c r="G71" s="51"/>
      <c r="H71" s="51"/>
      <c r="I71" s="51"/>
      <c r="AN71" s="239"/>
      <c r="AO71" s="225"/>
      <c r="AP71" s="287"/>
      <c r="AQ71" s="258"/>
      <c r="AR71" s="258"/>
      <c r="AS71" s="202"/>
    </row>
    <row r="72" spans="1:45" hidden="1">
      <c r="A72" s="51"/>
      <c r="B72" s="51"/>
      <c r="C72" s="51"/>
      <c r="D72" s="51"/>
      <c r="E72" s="51"/>
      <c r="F72" s="51"/>
      <c r="G72" s="51"/>
      <c r="H72" s="51"/>
      <c r="I72" s="51"/>
      <c r="AN72" s="239"/>
      <c r="AO72" s="225"/>
      <c r="AP72" s="287"/>
      <c r="AQ72" s="258"/>
      <c r="AR72" s="258"/>
      <c r="AS72" s="202"/>
    </row>
    <row r="73" spans="1:45" hidden="1">
      <c r="A73" s="51"/>
      <c r="B73" s="51"/>
      <c r="C73" s="51"/>
      <c r="D73" s="51"/>
      <c r="E73" s="51"/>
      <c r="F73" s="51"/>
      <c r="G73" s="51"/>
      <c r="H73" s="51"/>
      <c r="I73" s="51"/>
      <c r="AN73" s="239"/>
      <c r="AO73" s="225"/>
      <c r="AP73" s="287"/>
      <c r="AQ73" s="258"/>
      <c r="AR73" s="258"/>
      <c r="AS73" s="202"/>
    </row>
    <row r="74" spans="1:45" hidden="1">
      <c r="A74" s="51"/>
      <c r="B74" s="51"/>
      <c r="C74" s="51"/>
      <c r="D74" s="51"/>
      <c r="E74" s="51"/>
      <c r="F74" s="51"/>
      <c r="G74" s="51"/>
      <c r="H74" s="51"/>
      <c r="I74" s="51"/>
      <c r="AN74" s="239"/>
      <c r="AO74" s="225"/>
      <c r="AP74" s="287"/>
      <c r="AQ74" s="258"/>
      <c r="AR74" s="258"/>
      <c r="AS74" s="202"/>
    </row>
    <row r="75" spans="1:45" hidden="1">
      <c r="A75" s="51"/>
      <c r="B75" s="51"/>
      <c r="C75" s="51"/>
      <c r="D75" s="51"/>
      <c r="E75" s="51"/>
      <c r="F75" s="51"/>
      <c r="G75" s="51"/>
      <c r="H75" s="51"/>
      <c r="I75" s="51"/>
      <c r="AN75" s="239"/>
      <c r="AO75" s="225"/>
      <c r="AP75" s="287"/>
      <c r="AQ75" s="258"/>
      <c r="AR75" s="258"/>
      <c r="AS75" s="202"/>
    </row>
    <row r="76" spans="1:45" hidden="1">
      <c r="A76" s="51"/>
      <c r="B76" s="51"/>
      <c r="C76" s="51"/>
      <c r="D76" s="51"/>
      <c r="E76" s="51"/>
      <c r="F76" s="51"/>
      <c r="G76" s="51"/>
      <c r="H76" s="51"/>
      <c r="I76" s="51"/>
      <c r="AN76" s="239"/>
      <c r="AO76" s="225"/>
      <c r="AP76" s="287"/>
      <c r="AQ76" s="258"/>
      <c r="AR76" s="258"/>
      <c r="AS76" s="202"/>
    </row>
    <row r="77" spans="1:45" hidden="1">
      <c r="A77" s="51"/>
      <c r="B77" s="51"/>
      <c r="C77" s="51"/>
      <c r="D77" s="51"/>
      <c r="E77" s="51"/>
      <c r="F77" s="51"/>
      <c r="G77" s="51"/>
      <c r="H77" s="51"/>
      <c r="I77" s="51"/>
      <c r="AN77" s="239"/>
      <c r="AO77" s="225"/>
      <c r="AP77" s="287"/>
      <c r="AQ77" s="258"/>
      <c r="AR77" s="258"/>
      <c r="AS77" s="202"/>
    </row>
    <row r="78" spans="1:45" hidden="1">
      <c r="A78" s="51"/>
      <c r="B78" s="51"/>
      <c r="C78" s="51"/>
      <c r="D78" s="51"/>
      <c r="E78" s="51"/>
      <c r="F78" s="51"/>
      <c r="G78" s="51"/>
      <c r="H78" s="51"/>
      <c r="I78" s="51"/>
      <c r="AN78" s="239"/>
      <c r="AO78" s="225"/>
      <c r="AP78" s="287"/>
      <c r="AQ78" s="258"/>
      <c r="AR78" s="258"/>
      <c r="AS78" s="202"/>
    </row>
    <row r="79" spans="1:45" hidden="1">
      <c r="A79" s="51"/>
      <c r="B79" s="51"/>
      <c r="C79" s="51"/>
      <c r="D79" s="51"/>
      <c r="E79" s="51"/>
      <c r="F79" s="51"/>
      <c r="G79" s="51"/>
      <c r="H79" s="51"/>
      <c r="I79" s="51"/>
      <c r="AN79" s="239"/>
      <c r="AO79" s="225"/>
      <c r="AP79" s="287"/>
      <c r="AQ79" s="258"/>
      <c r="AR79" s="258"/>
      <c r="AS79" s="202"/>
    </row>
    <row r="80" spans="1:45" hidden="1">
      <c r="A80" s="51"/>
      <c r="B80" s="51"/>
      <c r="C80" s="51"/>
      <c r="D80" s="51"/>
      <c r="E80" s="51"/>
      <c r="F80" s="51"/>
      <c r="G80" s="51"/>
      <c r="H80" s="51"/>
      <c r="I80" s="51"/>
      <c r="AN80" s="239"/>
      <c r="AO80" s="225"/>
      <c r="AP80" s="287"/>
      <c r="AQ80" s="258"/>
      <c r="AR80" s="258"/>
      <c r="AS80" s="202"/>
    </row>
    <row r="81" spans="1:45" hidden="1">
      <c r="A81" s="51"/>
      <c r="B81" s="51"/>
      <c r="C81" s="51"/>
      <c r="D81" s="51"/>
      <c r="E81" s="51"/>
      <c r="F81" s="51"/>
      <c r="G81" s="51"/>
      <c r="H81" s="51"/>
      <c r="I81" s="51"/>
      <c r="AN81" s="239"/>
      <c r="AO81" s="225"/>
      <c r="AP81" s="287"/>
      <c r="AQ81" s="258"/>
      <c r="AR81" s="258"/>
      <c r="AS81" s="202"/>
    </row>
    <row r="82" spans="1:45" hidden="1">
      <c r="A82" s="51"/>
      <c r="B82" s="51"/>
      <c r="C82" s="51"/>
      <c r="D82" s="51"/>
      <c r="E82" s="51"/>
      <c r="F82" s="51"/>
      <c r="G82" s="51"/>
      <c r="H82" s="51"/>
      <c r="I82" s="51"/>
      <c r="AN82" s="239"/>
      <c r="AO82" s="225"/>
      <c r="AP82" s="287"/>
      <c r="AQ82" s="258"/>
      <c r="AR82" s="258"/>
      <c r="AS82" s="202"/>
    </row>
    <row r="83" spans="1:45" hidden="1">
      <c r="A83" s="51"/>
      <c r="B83" s="51"/>
      <c r="C83" s="51"/>
      <c r="D83" s="51"/>
      <c r="E83" s="51"/>
      <c r="F83" s="51"/>
      <c r="G83" s="51"/>
      <c r="H83" s="51"/>
      <c r="I83" s="51"/>
      <c r="AN83" s="239"/>
      <c r="AO83" s="225"/>
      <c r="AP83" s="287"/>
      <c r="AQ83" s="258"/>
      <c r="AR83" s="258"/>
      <c r="AS83" s="202"/>
    </row>
    <row r="84" spans="1:45" hidden="1">
      <c r="A84" s="51"/>
      <c r="B84" s="51"/>
      <c r="C84" s="51"/>
      <c r="D84" s="51"/>
      <c r="E84" s="51"/>
      <c r="F84" s="51"/>
      <c r="G84" s="51"/>
      <c r="H84" s="51"/>
      <c r="I84" s="51"/>
      <c r="AN84" s="239"/>
      <c r="AO84" s="225"/>
      <c r="AP84" s="287"/>
      <c r="AQ84" s="258"/>
      <c r="AR84" s="258"/>
      <c r="AS84" s="202"/>
    </row>
    <row r="85" spans="1:45" hidden="1">
      <c r="A85" s="51"/>
      <c r="B85" s="51"/>
      <c r="C85" s="51"/>
      <c r="D85" s="51"/>
      <c r="E85" s="51"/>
      <c r="F85" s="51"/>
      <c r="G85" s="51"/>
      <c r="H85" s="51"/>
      <c r="I85" s="51"/>
      <c r="AN85" s="239"/>
      <c r="AO85" s="225"/>
      <c r="AP85" s="287"/>
      <c r="AQ85" s="258"/>
      <c r="AR85" s="258"/>
      <c r="AS85" s="202"/>
    </row>
    <row r="86" spans="1:45" hidden="1">
      <c r="A86" s="51"/>
      <c r="B86" s="51"/>
      <c r="C86" s="51"/>
      <c r="D86" s="51"/>
      <c r="E86" s="51"/>
      <c r="F86" s="51"/>
      <c r="G86" s="51"/>
      <c r="H86" s="51"/>
      <c r="I86" s="51"/>
      <c r="AN86" s="239"/>
      <c r="AO86" s="225"/>
      <c r="AP86" s="287"/>
      <c r="AQ86" s="258"/>
      <c r="AR86" s="258"/>
      <c r="AS86" s="202"/>
    </row>
    <row r="87" spans="1:45" hidden="1">
      <c r="A87" s="51"/>
      <c r="B87" s="51"/>
      <c r="C87" s="51"/>
      <c r="D87" s="51"/>
      <c r="E87" s="51"/>
      <c r="F87" s="51"/>
      <c r="G87" s="51"/>
      <c r="H87" s="51"/>
      <c r="I87" s="51"/>
      <c r="AN87" s="239"/>
      <c r="AO87" s="225"/>
      <c r="AP87" s="287"/>
      <c r="AQ87" s="258"/>
      <c r="AR87" s="258"/>
      <c r="AS87" s="202"/>
    </row>
    <row r="88" spans="1:45" hidden="1">
      <c r="A88" s="51"/>
      <c r="B88" s="51"/>
      <c r="C88" s="51"/>
      <c r="D88" s="51"/>
      <c r="E88" s="51"/>
      <c r="F88" s="51"/>
      <c r="G88" s="51"/>
      <c r="H88" s="51"/>
      <c r="I88" s="51"/>
      <c r="AN88" s="239"/>
      <c r="AO88" s="225"/>
      <c r="AP88" s="287"/>
      <c r="AQ88" s="258"/>
      <c r="AR88" s="258"/>
      <c r="AS88" s="202"/>
    </row>
    <row r="89" spans="1:45" hidden="1">
      <c r="A89" s="51"/>
      <c r="B89" s="51"/>
      <c r="C89" s="51"/>
      <c r="D89" s="51"/>
      <c r="E89" s="51"/>
      <c r="F89" s="51"/>
      <c r="G89" s="51"/>
      <c r="H89" s="51"/>
      <c r="I89" s="51"/>
      <c r="AN89" s="239"/>
      <c r="AO89" s="225"/>
      <c r="AP89" s="287"/>
      <c r="AQ89" s="258"/>
      <c r="AR89" s="258"/>
      <c r="AS89" s="202"/>
    </row>
    <row r="90" spans="1:45" hidden="1">
      <c r="A90" s="51"/>
      <c r="B90" s="51"/>
      <c r="C90" s="51"/>
      <c r="D90" s="51"/>
      <c r="E90" s="51"/>
      <c r="F90" s="51"/>
      <c r="G90" s="51"/>
      <c r="H90" s="51"/>
      <c r="I90" s="51"/>
      <c r="AN90" s="239"/>
      <c r="AO90" s="225"/>
      <c r="AP90" s="287"/>
      <c r="AQ90" s="258"/>
      <c r="AR90" s="258"/>
      <c r="AS90" s="202"/>
    </row>
    <row r="91" spans="1:45" hidden="1">
      <c r="A91" s="51"/>
      <c r="B91" s="51"/>
      <c r="C91" s="51"/>
      <c r="D91" s="51"/>
      <c r="E91" s="51"/>
      <c r="F91" s="51"/>
      <c r="G91" s="51"/>
      <c r="H91" s="51"/>
      <c r="I91" s="51"/>
      <c r="AN91" s="239"/>
      <c r="AO91" s="225"/>
      <c r="AP91" s="287"/>
      <c r="AQ91" s="258"/>
      <c r="AR91" s="258"/>
      <c r="AS91" s="202"/>
    </row>
    <row r="92" spans="1:45" hidden="1">
      <c r="A92" s="51"/>
      <c r="B92" s="51"/>
      <c r="C92" s="51"/>
      <c r="D92" s="51"/>
      <c r="E92" s="51"/>
      <c r="F92" s="51"/>
      <c r="G92" s="51"/>
      <c r="H92" s="51"/>
      <c r="I92" s="51"/>
      <c r="AN92" s="239"/>
      <c r="AO92" s="225"/>
      <c r="AP92" s="287"/>
      <c r="AQ92" s="258"/>
      <c r="AR92" s="258"/>
      <c r="AS92" s="202"/>
    </row>
    <row r="93" spans="1:45" hidden="1">
      <c r="A93" s="51"/>
      <c r="B93" s="51"/>
      <c r="C93" s="51"/>
      <c r="D93" s="51"/>
      <c r="E93" s="51"/>
      <c r="F93" s="51"/>
      <c r="G93" s="51"/>
      <c r="H93" s="51"/>
      <c r="I93" s="51"/>
      <c r="AN93" s="239"/>
      <c r="AO93" s="225"/>
      <c r="AP93" s="287"/>
      <c r="AQ93" s="258"/>
      <c r="AR93" s="258"/>
      <c r="AS93" s="202"/>
    </row>
    <row r="94" spans="1:45" hidden="1">
      <c r="A94" s="51"/>
      <c r="B94" s="51"/>
      <c r="C94" s="51"/>
      <c r="D94" s="51"/>
      <c r="E94" s="51"/>
      <c r="F94" s="51"/>
      <c r="G94" s="51"/>
      <c r="H94" s="51"/>
      <c r="I94" s="51"/>
      <c r="AN94" s="239"/>
      <c r="AO94" s="225"/>
      <c r="AP94" s="287"/>
      <c r="AQ94" s="258"/>
      <c r="AR94" s="258"/>
      <c r="AS94" s="202"/>
    </row>
    <row r="95" spans="1:45" hidden="1">
      <c r="A95" s="51"/>
      <c r="B95" s="51"/>
      <c r="C95" s="51"/>
      <c r="D95" s="51"/>
      <c r="E95" s="51"/>
      <c r="F95" s="51"/>
      <c r="G95" s="51"/>
      <c r="H95" s="51"/>
      <c r="I95" s="51"/>
      <c r="AN95" s="239"/>
      <c r="AO95" s="225"/>
      <c r="AP95" s="287"/>
      <c r="AQ95" s="258"/>
      <c r="AR95" s="258"/>
      <c r="AS95" s="202"/>
    </row>
    <row r="96" spans="1:45" hidden="1">
      <c r="A96" s="51"/>
      <c r="B96" s="51"/>
      <c r="C96" s="51"/>
      <c r="D96" s="51"/>
      <c r="E96" s="51"/>
      <c r="F96" s="51"/>
      <c r="G96" s="51"/>
      <c r="H96" s="51"/>
      <c r="I96" s="51"/>
      <c r="AN96" s="239"/>
      <c r="AO96" s="225"/>
      <c r="AP96" s="287"/>
      <c r="AQ96" s="258"/>
      <c r="AR96" s="258"/>
      <c r="AS96" s="202"/>
    </row>
    <row r="97" spans="1:45" hidden="1">
      <c r="A97" s="51"/>
      <c r="B97" s="51"/>
      <c r="C97" s="51"/>
      <c r="D97" s="51"/>
      <c r="E97" s="51"/>
      <c r="F97" s="51"/>
      <c r="G97" s="51"/>
      <c r="H97" s="51"/>
      <c r="I97" s="51"/>
      <c r="AN97" s="239"/>
      <c r="AO97" s="225"/>
      <c r="AP97" s="287"/>
      <c r="AQ97" s="258"/>
      <c r="AR97" s="258"/>
      <c r="AS97" s="202"/>
    </row>
    <row r="98" spans="1:45" hidden="1">
      <c r="A98" s="51"/>
      <c r="B98" s="51"/>
      <c r="C98" s="51"/>
      <c r="D98" s="51"/>
      <c r="E98" s="51"/>
      <c r="F98" s="51"/>
      <c r="G98" s="51"/>
      <c r="H98" s="51"/>
      <c r="I98" s="51"/>
      <c r="AN98" s="239"/>
      <c r="AO98" s="225"/>
      <c r="AP98" s="287"/>
      <c r="AQ98" s="258"/>
      <c r="AR98" s="258"/>
      <c r="AS98" s="202"/>
    </row>
    <row r="99" spans="1:45" hidden="1">
      <c r="A99" s="51"/>
      <c r="B99" s="51"/>
      <c r="C99" s="51"/>
      <c r="D99" s="51"/>
      <c r="E99" s="51"/>
      <c r="F99" s="51"/>
      <c r="G99" s="51"/>
      <c r="H99" s="51"/>
      <c r="I99" s="51"/>
      <c r="AN99" s="239"/>
      <c r="AO99" s="225"/>
      <c r="AP99" s="287"/>
      <c r="AQ99" s="258"/>
      <c r="AR99" s="258"/>
      <c r="AS99" s="202"/>
    </row>
    <row r="100" spans="1:45" hidden="1">
      <c r="A100" s="51"/>
      <c r="B100" s="51"/>
      <c r="C100" s="51"/>
      <c r="D100" s="51"/>
      <c r="E100" s="51"/>
      <c r="F100" s="51"/>
      <c r="G100" s="51"/>
      <c r="H100" s="51"/>
      <c r="I100" s="51"/>
      <c r="AN100" s="239"/>
      <c r="AO100" s="225"/>
      <c r="AP100" s="287"/>
      <c r="AQ100" s="258"/>
      <c r="AR100" s="258"/>
      <c r="AS100" s="202"/>
    </row>
    <row r="101" spans="1:45" hidden="1">
      <c r="A101" s="51"/>
      <c r="B101" s="51"/>
      <c r="C101" s="51"/>
      <c r="D101" s="51"/>
      <c r="E101" s="51"/>
      <c r="F101" s="51"/>
      <c r="G101" s="51"/>
      <c r="H101" s="51"/>
      <c r="I101" s="51"/>
      <c r="AN101" s="239"/>
      <c r="AO101" s="225"/>
      <c r="AP101" s="287"/>
      <c r="AQ101" s="258"/>
      <c r="AR101" s="258"/>
      <c r="AS101" s="202"/>
    </row>
    <row r="102" spans="1:45" hidden="1">
      <c r="A102" s="51"/>
      <c r="B102" s="51"/>
      <c r="C102" s="51"/>
      <c r="D102" s="51"/>
      <c r="E102" s="51"/>
      <c r="F102" s="51"/>
      <c r="G102" s="51"/>
      <c r="H102" s="51"/>
      <c r="I102" s="51"/>
      <c r="AN102" s="239"/>
      <c r="AO102" s="225"/>
      <c r="AP102" s="287"/>
      <c r="AQ102" s="258"/>
      <c r="AR102" s="258"/>
      <c r="AS102" s="202"/>
    </row>
    <row r="103" spans="1:45" hidden="1">
      <c r="A103" s="51"/>
      <c r="B103" s="51"/>
      <c r="C103" s="51"/>
      <c r="D103" s="51"/>
      <c r="E103" s="51"/>
      <c r="F103" s="51"/>
      <c r="G103" s="51"/>
      <c r="H103" s="51"/>
      <c r="I103" s="51"/>
      <c r="AN103" s="239"/>
      <c r="AO103" s="225"/>
      <c r="AP103" s="287"/>
      <c r="AQ103" s="258"/>
      <c r="AR103" s="258"/>
      <c r="AS103" s="202"/>
    </row>
    <row r="104" spans="1:45" hidden="1">
      <c r="A104" s="51"/>
      <c r="B104" s="51"/>
      <c r="C104" s="51"/>
      <c r="D104" s="51"/>
      <c r="E104" s="51"/>
      <c r="F104" s="51"/>
      <c r="G104" s="51"/>
      <c r="H104" s="51"/>
      <c r="I104" s="51"/>
      <c r="AN104" s="239"/>
      <c r="AO104" s="225"/>
      <c r="AP104" s="287"/>
      <c r="AQ104" s="258"/>
      <c r="AR104" s="258"/>
      <c r="AS104" s="202"/>
    </row>
    <row r="105" spans="1:45" hidden="1">
      <c r="A105" s="51"/>
      <c r="B105" s="51"/>
      <c r="C105" s="51"/>
      <c r="D105" s="51"/>
      <c r="E105" s="51"/>
      <c r="F105" s="51"/>
      <c r="G105" s="51"/>
      <c r="H105" s="51"/>
      <c r="I105" s="51"/>
      <c r="AN105" s="239"/>
      <c r="AO105" s="225"/>
      <c r="AP105" s="287"/>
      <c r="AQ105" s="258"/>
      <c r="AR105" s="258"/>
      <c r="AS105" s="202"/>
    </row>
    <row r="106" spans="1:45" hidden="1">
      <c r="A106" s="51"/>
      <c r="B106" s="51"/>
      <c r="C106" s="51"/>
      <c r="D106" s="51"/>
      <c r="E106" s="51"/>
      <c r="F106" s="51"/>
      <c r="G106" s="51"/>
      <c r="H106" s="51"/>
      <c r="I106" s="51"/>
      <c r="AN106" s="239"/>
      <c r="AO106" s="225"/>
      <c r="AP106" s="287"/>
      <c r="AQ106" s="258"/>
      <c r="AR106" s="258"/>
      <c r="AS106" s="202"/>
    </row>
    <row r="107" spans="1:45" hidden="1">
      <c r="A107" s="51"/>
      <c r="B107" s="51"/>
      <c r="C107" s="51"/>
      <c r="D107" s="51"/>
      <c r="E107" s="51"/>
      <c r="F107" s="51"/>
      <c r="G107" s="51"/>
      <c r="H107" s="51"/>
      <c r="I107" s="51"/>
      <c r="AN107" s="239"/>
      <c r="AO107" s="225"/>
      <c r="AP107" s="287"/>
      <c r="AQ107" s="258"/>
      <c r="AR107" s="258"/>
      <c r="AS107" s="202"/>
    </row>
    <row r="108" spans="1:45" hidden="1">
      <c r="A108" s="51"/>
      <c r="B108" s="51"/>
      <c r="C108" s="51"/>
      <c r="D108" s="51"/>
      <c r="E108" s="51"/>
      <c r="F108" s="51"/>
      <c r="G108" s="51"/>
      <c r="H108" s="51"/>
      <c r="I108" s="51"/>
      <c r="AN108" s="239"/>
      <c r="AO108" s="225"/>
      <c r="AP108" s="287"/>
      <c r="AQ108" s="258"/>
      <c r="AR108" s="258"/>
      <c r="AS108" s="202"/>
    </row>
    <row r="109" spans="1:45" hidden="1">
      <c r="A109" s="51"/>
      <c r="B109" s="51"/>
      <c r="C109" s="51"/>
      <c r="D109" s="51"/>
      <c r="E109" s="51"/>
      <c r="F109" s="51"/>
      <c r="G109" s="51"/>
      <c r="H109" s="51"/>
      <c r="I109" s="51"/>
      <c r="AN109" s="239"/>
      <c r="AO109" s="225"/>
      <c r="AP109" s="287"/>
      <c r="AQ109" s="258"/>
      <c r="AR109" s="258"/>
      <c r="AS109" s="202"/>
    </row>
    <row r="110" spans="1:45" hidden="1">
      <c r="A110" s="51"/>
      <c r="B110" s="51"/>
      <c r="C110" s="51"/>
      <c r="D110" s="51"/>
      <c r="E110" s="51"/>
      <c r="F110" s="51"/>
      <c r="G110" s="51"/>
      <c r="H110" s="51"/>
      <c r="I110" s="51"/>
      <c r="AN110" s="239"/>
      <c r="AO110" s="225"/>
      <c r="AP110" s="287"/>
      <c r="AQ110" s="258"/>
      <c r="AR110" s="258"/>
      <c r="AS110" s="202"/>
    </row>
    <row r="111" spans="1:45" hidden="1">
      <c r="A111" s="51"/>
      <c r="B111" s="51"/>
      <c r="C111" s="51"/>
      <c r="D111" s="51"/>
      <c r="E111" s="51"/>
      <c r="F111" s="51"/>
      <c r="G111" s="51"/>
      <c r="H111" s="51"/>
      <c r="I111" s="51"/>
      <c r="AN111" s="239"/>
      <c r="AO111" s="225"/>
      <c r="AP111" s="287"/>
      <c r="AQ111" s="258"/>
      <c r="AR111" s="258"/>
      <c r="AS111" s="202"/>
    </row>
    <row r="112" spans="1:45" hidden="1">
      <c r="A112" s="51"/>
      <c r="B112" s="51"/>
      <c r="C112" s="51"/>
      <c r="D112" s="51"/>
      <c r="E112" s="51"/>
      <c r="F112" s="51"/>
      <c r="G112" s="51"/>
      <c r="H112" s="51"/>
      <c r="I112" s="51"/>
      <c r="AN112" s="239"/>
      <c r="AO112" s="225"/>
      <c r="AP112" s="287"/>
      <c r="AQ112" s="258"/>
      <c r="AR112" s="258"/>
      <c r="AS112" s="202"/>
    </row>
    <row r="113" spans="1:45" hidden="1">
      <c r="A113" s="51"/>
      <c r="B113" s="51"/>
      <c r="C113" s="51"/>
      <c r="D113" s="51"/>
      <c r="E113" s="51"/>
      <c r="F113" s="51"/>
      <c r="G113" s="51"/>
      <c r="H113" s="51"/>
      <c r="I113" s="51"/>
      <c r="AN113" s="239"/>
      <c r="AO113" s="225"/>
      <c r="AP113" s="287"/>
      <c r="AQ113" s="258"/>
      <c r="AR113" s="258"/>
      <c r="AS113" s="202"/>
    </row>
    <row r="114" spans="1:45" hidden="1">
      <c r="A114" s="51"/>
      <c r="B114" s="51"/>
      <c r="C114" s="51"/>
      <c r="D114" s="51"/>
      <c r="E114" s="51"/>
      <c r="F114" s="51"/>
      <c r="G114" s="51"/>
      <c r="H114" s="51"/>
      <c r="I114" s="51"/>
      <c r="AN114" s="239"/>
      <c r="AO114" s="225"/>
      <c r="AP114" s="287"/>
      <c r="AQ114" s="258"/>
      <c r="AR114" s="258"/>
      <c r="AS114" s="202"/>
    </row>
    <row r="115" spans="1:45" hidden="1">
      <c r="A115" s="51"/>
      <c r="B115" s="51"/>
      <c r="C115" s="51"/>
      <c r="D115" s="51"/>
      <c r="E115" s="51"/>
      <c r="F115" s="51"/>
      <c r="G115" s="51"/>
      <c r="H115" s="51"/>
      <c r="I115" s="51"/>
      <c r="AN115" s="239"/>
      <c r="AO115" s="225"/>
      <c r="AP115" s="287"/>
      <c r="AQ115" s="258"/>
      <c r="AR115" s="258"/>
      <c r="AS115" s="202"/>
    </row>
    <row r="116" spans="1:45" hidden="1">
      <c r="A116" s="51"/>
      <c r="B116" s="51"/>
      <c r="C116" s="51"/>
      <c r="D116" s="51"/>
      <c r="E116" s="51"/>
      <c r="F116" s="51"/>
      <c r="G116" s="51"/>
      <c r="H116" s="51"/>
      <c r="I116" s="51"/>
      <c r="AN116" s="239"/>
      <c r="AO116" s="225"/>
      <c r="AP116" s="287"/>
      <c r="AQ116" s="258"/>
      <c r="AR116" s="258"/>
      <c r="AS116" s="202"/>
    </row>
    <row r="117" spans="1:45" hidden="1">
      <c r="A117" s="51"/>
      <c r="B117" s="51"/>
      <c r="C117" s="51"/>
      <c r="D117" s="51"/>
      <c r="E117" s="51"/>
      <c r="F117" s="51"/>
      <c r="G117" s="51"/>
      <c r="H117" s="51"/>
      <c r="I117" s="51"/>
      <c r="AN117" s="239"/>
      <c r="AO117" s="225"/>
      <c r="AP117" s="287"/>
      <c r="AQ117" s="258"/>
      <c r="AR117" s="258"/>
      <c r="AS117" s="202"/>
    </row>
    <row r="118" spans="1:45" hidden="1">
      <c r="A118" s="51"/>
      <c r="B118" s="51"/>
      <c r="C118" s="51"/>
      <c r="D118" s="51"/>
      <c r="E118" s="51"/>
      <c r="F118" s="51"/>
      <c r="G118" s="51"/>
      <c r="H118" s="51"/>
      <c r="I118" s="51"/>
      <c r="AN118" s="239"/>
      <c r="AO118" s="225"/>
      <c r="AP118" s="287"/>
      <c r="AQ118" s="258"/>
      <c r="AR118" s="258"/>
      <c r="AS118" s="202"/>
    </row>
    <row r="119" spans="1:45" hidden="1">
      <c r="A119" s="51"/>
      <c r="B119" s="51"/>
      <c r="C119" s="51"/>
      <c r="D119" s="51"/>
      <c r="E119" s="51"/>
      <c r="F119" s="51"/>
      <c r="G119" s="51"/>
      <c r="H119" s="51"/>
      <c r="I119" s="51"/>
      <c r="AN119" s="239"/>
      <c r="AO119" s="225"/>
      <c r="AP119" s="287"/>
      <c r="AQ119" s="258"/>
      <c r="AR119" s="258"/>
      <c r="AS119" s="202"/>
    </row>
    <row r="120" spans="1:45" hidden="1">
      <c r="A120" s="51"/>
      <c r="B120" s="51"/>
      <c r="C120" s="51"/>
      <c r="D120" s="51"/>
      <c r="E120" s="51"/>
      <c r="F120" s="51"/>
      <c r="G120" s="51"/>
      <c r="H120" s="51"/>
      <c r="I120" s="51"/>
      <c r="AN120" s="239"/>
      <c r="AO120" s="225"/>
      <c r="AP120" s="287"/>
      <c r="AQ120" s="258"/>
      <c r="AR120" s="258"/>
      <c r="AS120" s="202"/>
    </row>
    <row r="121" spans="1:45" hidden="1">
      <c r="A121" s="51"/>
      <c r="B121" s="51"/>
      <c r="C121" s="51"/>
      <c r="D121" s="51"/>
      <c r="E121" s="51"/>
      <c r="F121" s="51"/>
      <c r="G121" s="51"/>
      <c r="H121" s="51"/>
      <c r="I121" s="51"/>
      <c r="AN121" s="239"/>
      <c r="AO121" s="225"/>
      <c r="AP121" s="287"/>
      <c r="AQ121" s="258"/>
      <c r="AR121" s="258"/>
      <c r="AS121" s="202"/>
    </row>
    <row r="122" spans="1:45" hidden="1">
      <c r="A122" s="51"/>
      <c r="B122" s="51"/>
      <c r="C122" s="51"/>
      <c r="D122" s="51"/>
      <c r="E122" s="51"/>
      <c r="F122" s="51"/>
      <c r="G122" s="51"/>
      <c r="H122" s="51"/>
      <c r="I122" s="51"/>
      <c r="AN122" s="239"/>
      <c r="AO122" s="225"/>
      <c r="AP122" s="287"/>
      <c r="AQ122" s="258"/>
      <c r="AR122" s="258"/>
      <c r="AS122" s="202"/>
    </row>
    <row r="123" spans="1:45" hidden="1">
      <c r="A123" s="51"/>
      <c r="B123" s="51"/>
      <c r="C123" s="51"/>
      <c r="D123" s="51"/>
      <c r="E123" s="51"/>
      <c r="F123" s="51"/>
      <c r="G123" s="51"/>
      <c r="H123" s="51"/>
      <c r="I123" s="51"/>
      <c r="AN123" s="239"/>
      <c r="AO123" s="225"/>
      <c r="AP123" s="287"/>
      <c r="AQ123" s="258"/>
      <c r="AR123" s="258"/>
      <c r="AS123" s="202"/>
    </row>
    <row r="124" spans="1:45" hidden="1">
      <c r="A124" s="51"/>
      <c r="B124" s="51"/>
      <c r="C124" s="51"/>
      <c r="D124" s="51"/>
      <c r="E124" s="51"/>
      <c r="F124" s="51"/>
      <c r="G124" s="51"/>
      <c r="H124" s="51"/>
      <c r="I124" s="51"/>
      <c r="AN124" s="239"/>
      <c r="AO124" s="225"/>
      <c r="AP124" s="287"/>
      <c r="AQ124" s="258"/>
      <c r="AR124" s="258"/>
      <c r="AS124" s="202"/>
    </row>
    <row r="125" spans="1:45" hidden="1">
      <c r="A125" s="51"/>
      <c r="B125" s="51"/>
      <c r="C125" s="51"/>
      <c r="D125" s="51"/>
      <c r="E125" s="51"/>
      <c r="F125" s="51"/>
      <c r="G125" s="51"/>
      <c r="H125" s="51"/>
      <c r="I125" s="51"/>
      <c r="AN125" s="239"/>
      <c r="AO125" s="225"/>
      <c r="AP125" s="287"/>
      <c r="AQ125" s="258"/>
      <c r="AR125" s="258"/>
      <c r="AS125" s="202"/>
    </row>
    <row r="126" spans="1:45" hidden="1">
      <c r="A126" s="51"/>
      <c r="B126" s="51"/>
      <c r="C126" s="51"/>
      <c r="D126" s="51"/>
      <c r="E126" s="51"/>
      <c r="F126" s="51"/>
      <c r="G126" s="51"/>
      <c r="H126" s="51"/>
      <c r="I126" s="51"/>
      <c r="AN126" s="239"/>
      <c r="AO126" s="225"/>
      <c r="AP126" s="287"/>
      <c r="AQ126" s="258"/>
      <c r="AR126" s="258"/>
      <c r="AS126" s="202"/>
    </row>
    <row r="127" spans="1:45" hidden="1">
      <c r="A127" s="51"/>
      <c r="B127" s="51"/>
      <c r="C127" s="51"/>
      <c r="D127" s="51"/>
      <c r="E127" s="51"/>
      <c r="F127" s="51"/>
      <c r="G127" s="51"/>
      <c r="H127" s="51"/>
      <c r="I127" s="51"/>
      <c r="AN127" s="239"/>
      <c r="AO127" s="225"/>
      <c r="AP127" s="287"/>
      <c r="AQ127" s="258"/>
      <c r="AR127" s="258"/>
      <c r="AS127" s="202"/>
    </row>
    <row r="128" spans="1:45" hidden="1">
      <c r="A128" s="51"/>
      <c r="B128" s="51"/>
      <c r="C128" s="51"/>
      <c r="D128" s="51"/>
      <c r="E128" s="51"/>
      <c r="F128" s="51"/>
      <c r="G128" s="51"/>
      <c r="H128" s="51"/>
      <c r="I128" s="51"/>
      <c r="AN128" s="239"/>
      <c r="AO128" s="225"/>
      <c r="AP128" s="287"/>
      <c r="AQ128" s="258"/>
      <c r="AR128" s="258"/>
      <c r="AS128" s="202"/>
    </row>
    <row r="129" spans="1:47" hidden="1">
      <c r="A129" s="51"/>
      <c r="B129" s="51"/>
      <c r="C129" s="51"/>
      <c r="D129" s="51"/>
      <c r="E129" s="51"/>
      <c r="F129" s="51"/>
      <c r="G129" s="51"/>
      <c r="H129" s="51"/>
      <c r="I129" s="51"/>
      <c r="AN129" s="239"/>
      <c r="AO129" s="225"/>
      <c r="AP129" s="287"/>
      <c r="AQ129" s="258"/>
      <c r="AR129" s="258"/>
      <c r="AS129" s="202"/>
    </row>
    <row r="130" spans="1:47" hidden="1">
      <c r="A130" s="51"/>
      <c r="B130" s="51"/>
      <c r="C130" s="51"/>
      <c r="D130" s="51"/>
      <c r="E130" s="51"/>
      <c r="F130" s="51"/>
      <c r="G130" s="51"/>
      <c r="H130" s="51"/>
      <c r="I130" s="51"/>
      <c r="AN130" s="239"/>
      <c r="AO130" s="225"/>
      <c r="AP130" s="287"/>
      <c r="AQ130" s="258"/>
      <c r="AR130" s="258"/>
      <c r="AS130" s="202"/>
    </row>
    <row r="131" spans="1:47" hidden="1">
      <c r="A131" s="51"/>
      <c r="B131" s="51"/>
      <c r="C131" s="51"/>
      <c r="D131" s="51"/>
      <c r="E131" s="51"/>
      <c r="F131" s="51"/>
      <c r="G131" s="51"/>
      <c r="H131" s="51"/>
      <c r="I131" s="51"/>
      <c r="AN131" s="239"/>
      <c r="AO131" s="225"/>
      <c r="AP131" s="287"/>
      <c r="AQ131" s="258"/>
      <c r="AR131" s="258"/>
      <c r="AS131" s="202"/>
    </row>
    <row r="132" spans="1:47" hidden="1">
      <c r="A132" s="51"/>
      <c r="B132" s="51"/>
      <c r="C132" s="51"/>
      <c r="D132" s="51"/>
      <c r="E132" s="51"/>
      <c r="F132" s="51"/>
      <c r="G132" s="51"/>
      <c r="H132" s="51"/>
      <c r="I132" s="51"/>
      <c r="AN132" s="239"/>
      <c r="AO132" s="225"/>
      <c r="AP132" s="287"/>
      <c r="AQ132" s="258"/>
      <c r="AR132" s="258"/>
      <c r="AS132" s="202"/>
    </row>
    <row r="133" spans="1:47" hidden="1">
      <c r="A133" s="51"/>
      <c r="B133" s="51"/>
      <c r="C133" s="51"/>
      <c r="D133" s="51"/>
      <c r="E133" s="51"/>
      <c r="F133" s="51"/>
      <c r="G133" s="51"/>
      <c r="H133" s="51"/>
      <c r="I133" s="51"/>
      <c r="AN133" s="239"/>
      <c r="AO133" s="225"/>
      <c r="AP133" s="287"/>
      <c r="AQ133" s="258"/>
      <c r="AR133" s="258"/>
      <c r="AS133" s="202"/>
    </row>
    <row r="134" spans="1:47" hidden="1">
      <c r="A134" s="51"/>
      <c r="B134" s="51"/>
      <c r="C134" s="51"/>
      <c r="D134" s="51"/>
      <c r="E134" s="51"/>
      <c r="F134" s="51"/>
      <c r="G134" s="51"/>
      <c r="H134" s="51"/>
      <c r="I134" s="51"/>
      <c r="AN134" s="239"/>
      <c r="AO134" s="225"/>
      <c r="AP134" s="287"/>
      <c r="AQ134" s="258"/>
      <c r="AR134" s="258"/>
      <c r="AS134" s="202"/>
    </row>
    <row r="135" spans="1:47" hidden="1">
      <c r="A135" s="51"/>
      <c r="B135" s="51"/>
      <c r="C135" s="51"/>
      <c r="D135" s="51"/>
      <c r="E135" s="51"/>
      <c r="F135" s="51"/>
      <c r="G135" s="51"/>
      <c r="H135" s="51"/>
      <c r="I135" s="51"/>
      <c r="AN135" s="239"/>
      <c r="AO135" s="225"/>
      <c r="AP135" s="287"/>
      <c r="AQ135" s="258"/>
      <c r="AR135" s="258"/>
      <c r="AS135" s="202"/>
    </row>
    <row r="136" spans="1:47" s="121" customFormat="1" hidden="1">
      <c r="AN136" s="239"/>
      <c r="AO136" s="225"/>
      <c r="AP136" s="287"/>
      <c r="AQ136" s="258"/>
      <c r="AR136" s="258"/>
      <c r="AS136" s="202"/>
      <c r="AT136" s="213"/>
      <c r="AU136" s="213"/>
    </row>
    <row r="137" spans="1:47" s="121" customFormat="1" hidden="1">
      <c r="AN137" s="239"/>
      <c r="AO137" s="225"/>
      <c r="AP137" s="287"/>
      <c r="AQ137" s="258"/>
      <c r="AR137" s="258"/>
      <c r="AS137" s="202"/>
      <c r="AT137" s="213"/>
      <c r="AU137" s="213"/>
    </row>
    <row r="138" spans="1:47" s="121" customFormat="1" hidden="1">
      <c r="AN138" s="239"/>
      <c r="AO138" s="225"/>
      <c r="AP138" s="287"/>
      <c r="AQ138" s="258"/>
      <c r="AR138" s="258"/>
      <c r="AS138" s="202"/>
      <c r="AT138" s="213"/>
      <c r="AU138" s="213"/>
    </row>
    <row r="139" spans="1:47" s="121" customFormat="1" hidden="1">
      <c r="AN139" s="239"/>
      <c r="AO139" s="225"/>
      <c r="AP139" s="287"/>
      <c r="AQ139" s="258"/>
      <c r="AR139" s="258"/>
      <c r="AS139" s="202"/>
      <c r="AT139" s="213"/>
      <c r="AU139" s="213"/>
    </row>
    <row r="140" spans="1:47" hidden="1">
      <c r="A140" s="51"/>
      <c r="B140" s="51"/>
      <c r="C140" s="51"/>
      <c r="D140" s="51"/>
      <c r="E140" s="51"/>
      <c r="F140" s="51"/>
      <c r="G140" s="51"/>
      <c r="H140" s="51"/>
      <c r="I140" s="51"/>
      <c r="AN140" s="239"/>
      <c r="AO140" s="225"/>
      <c r="AP140" s="287"/>
      <c r="AQ140" s="258"/>
      <c r="AR140" s="258"/>
      <c r="AS140" s="202"/>
    </row>
    <row r="141" spans="1:47" hidden="1">
      <c r="A141" s="51"/>
      <c r="B141" s="51"/>
      <c r="C141" s="51"/>
      <c r="D141" s="51"/>
      <c r="E141" s="51"/>
      <c r="F141" s="51"/>
      <c r="G141" s="51"/>
      <c r="H141" s="51"/>
      <c r="I141" s="51"/>
      <c r="AN141" s="239"/>
      <c r="AO141" s="225"/>
      <c r="AP141" s="287"/>
      <c r="AQ141" s="258"/>
      <c r="AR141" s="258"/>
      <c r="AS141" s="202"/>
    </row>
    <row r="142" spans="1:47" s="121" customFormat="1" hidden="1">
      <c r="AN142" s="239"/>
      <c r="AO142" s="225"/>
      <c r="AP142" s="287"/>
      <c r="AQ142" s="258"/>
      <c r="AR142" s="258"/>
      <c r="AS142" s="202"/>
      <c r="AT142" s="213"/>
      <c r="AU142" s="213"/>
    </row>
    <row r="143" spans="1:47" s="121" customFormat="1" hidden="1">
      <c r="AN143" s="239"/>
      <c r="AO143" s="225"/>
      <c r="AP143" s="287"/>
      <c r="AQ143" s="258"/>
      <c r="AR143" s="258"/>
      <c r="AS143" s="202"/>
      <c r="AT143" s="213"/>
      <c r="AU143" s="213"/>
    </row>
    <row r="144" spans="1:47" s="121" customFormat="1" hidden="1">
      <c r="AN144" s="239"/>
      <c r="AO144" s="225"/>
      <c r="AP144" s="287"/>
      <c r="AQ144" s="258"/>
      <c r="AR144" s="258"/>
      <c r="AS144" s="202"/>
      <c r="AT144" s="213"/>
      <c r="AU144" s="213"/>
    </row>
    <row r="145" spans="1:47" s="121" customFormat="1" hidden="1">
      <c r="AN145" s="239"/>
      <c r="AO145" s="225"/>
      <c r="AP145" s="287"/>
      <c r="AQ145" s="258"/>
      <c r="AR145" s="258"/>
      <c r="AS145" s="202"/>
      <c r="AT145" s="213"/>
      <c r="AU145" s="213"/>
    </row>
    <row r="146" spans="1:47" s="121" customFormat="1" hidden="1">
      <c r="AN146" s="239"/>
      <c r="AO146" s="225"/>
      <c r="AP146" s="287"/>
      <c r="AQ146" s="258"/>
      <c r="AR146" s="258"/>
      <c r="AS146" s="202"/>
      <c r="AT146" s="213"/>
      <c r="AU146" s="213"/>
    </row>
    <row r="147" spans="1:47" s="121" customFormat="1" hidden="1">
      <c r="AN147" s="239"/>
      <c r="AO147" s="225"/>
      <c r="AP147" s="287"/>
      <c r="AQ147" s="258"/>
      <c r="AR147" s="258"/>
      <c r="AS147" s="202"/>
      <c r="AT147" s="213"/>
      <c r="AU147" s="213"/>
    </row>
    <row r="148" spans="1:47" hidden="1">
      <c r="A148" s="51"/>
      <c r="B148" s="51"/>
      <c r="C148" s="51"/>
      <c r="D148" s="51"/>
      <c r="E148" s="51"/>
      <c r="F148" s="51"/>
      <c r="G148" s="51"/>
      <c r="H148" s="51"/>
      <c r="I148" s="51"/>
      <c r="AN148" s="239"/>
      <c r="AO148" s="225"/>
      <c r="AP148" s="287"/>
      <c r="AQ148" s="258"/>
      <c r="AR148" s="258"/>
      <c r="AS148" s="202"/>
    </row>
    <row r="149" spans="1:47" s="121" customFormat="1" hidden="1">
      <c r="AN149" s="239"/>
      <c r="AO149" s="225"/>
      <c r="AP149" s="287"/>
      <c r="AQ149" s="258"/>
      <c r="AR149" s="258"/>
      <c r="AS149" s="202"/>
      <c r="AT149" s="213"/>
      <c r="AU149" s="213"/>
    </row>
    <row r="150" spans="1:47" s="121" customFormat="1" hidden="1">
      <c r="AN150" s="239"/>
      <c r="AO150" s="225"/>
      <c r="AP150" s="287"/>
      <c r="AQ150" s="258"/>
      <c r="AR150" s="258"/>
      <c r="AS150" s="202"/>
      <c r="AT150" s="213"/>
      <c r="AU150" s="213"/>
    </row>
    <row r="151" spans="1:47" s="121" customFormat="1" hidden="1">
      <c r="AN151" s="239"/>
      <c r="AO151" s="225"/>
      <c r="AP151" s="287"/>
      <c r="AQ151" s="258"/>
      <c r="AR151" s="258"/>
      <c r="AS151" s="202"/>
      <c r="AT151" s="213"/>
      <c r="AU151" s="213"/>
    </row>
    <row r="152" spans="1:47" s="121" customFormat="1" hidden="1">
      <c r="AN152" s="239"/>
      <c r="AO152" s="225"/>
      <c r="AP152" s="287"/>
      <c r="AQ152" s="258"/>
      <c r="AR152" s="258"/>
      <c r="AS152" s="202"/>
      <c r="AT152" s="213"/>
      <c r="AU152" s="213"/>
    </row>
    <row r="153" spans="1:47" s="121" customFormat="1" hidden="1">
      <c r="AN153" s="239"/>
      <c r="AO153" s="225"/>
      <c r="AP153" s="287"/>
      <c r="AQ153" s="258"/>
      <c r="AR153" s="258"/>
      <c r="AS153" s="202"/>
      <c r="AT153" s="213"/>
      <c r="AU153" s="213"/>
    </row>
    <row r="154" spans="1:47" s="121" customFormat="1" hidden="1">
      <c r="AN154" s="239"/>
      <c r="AO154" s="225"/>
      <c r="AP154" s="287"/>
      <c r="AQ154" s="258"/>
      <c r="AR154" s="258"/>
      <c r="AS154" s="202"/>
      <c r="AT154" s="213"/>
      <c r="AU154" s="213"/>
    </row>
    <row r="155" spans="1:47" hidden="1">
      <c r="A155" s="51"/>
      <c r="B155" s="51"/>
      <c r="C155" s="51"/>
      <c r="D155" s="51"/>
      <c r="E155" s="51"/>
      <c r="F155" s="51"/>
      <c r="G155" s="51"/>
      <c r="H155" s="51"/>
      <c r="I155" s="51"/>
      <c r="AN155" s="239"/>
      <c r="AO155" s="225"/>
      <c r="AP155" s="287"/>
      <c r="AQ155" s="258"/>
      <c r="AR155" s="258"/>
      <c r="AS155" s="202"/>
    </row>
    <row r="156" spans="1:47" hidden="1">
      <c r="A156" s="51"/>
      <c r="B156" s="51"/>
      <c r="C156" s="51"/>
      <c r="D156" s="51"/>
      <c r="E156" s="51"/>
      <c r="F156" s="51"/>
      <c r="G156" s="51"/>
      <c r="H156" s="51"/>
      <c r="I156" s="51"/>
      <c r="AN156" s="239"/>
      <c r="AO156" s="225"/>
      <c r="AP156" s="287"/>
      <c r="AQ156" s="258"/>
      <c r="AR156" s="258"/>
      <c r="AS156" s="202"/>
    </row>
    <row r="157" spans="1:47" s="121" customFormat="1" hidden="1">
      <c r="AN157" s="239"/>
      <c r="AO157" s="225"/>
      <c r="AP157" s="287"/>
      <c r="AQ157" s="258"/>
      <c r="AR157" s="258"/>
      <c r="AS157" s="202"/>
      <c r="AT157" s="213"/>
      <c r="AU157" s="213"/>
    </row>
    <row r="158" spans="1:47" s="121" customFormat="1" hidden="1">
      <c r="AN158" s="239"/>
      <c r="AO158" s="225"/>
      <c r="AP158" s="287"/>
      <c r="AQ158" s="258"/>
      <c r="AR158" s="258"/>
      <c r="AS158" s="202"/>
      <c r="AT158" s="213"/>
      <c r="AU158" s="213"/>
    </row>
    <row r="159" spans="1:47" s="121" customFormat="1" hidden="1">
      <c r="AN159" s="239"/>
      <c r="AO159" s="225"/>
      <c r="AP159" s="287"/>
      <c r="AQ159" s="258"/>
      <c r="AR159" s="258"/>
      <c r="AS159" s="202"/>
      <c r="AT159" s="213"/>
      <c r="AU159" s="213"/>
    </row>
    <row r="160" spans="1:47" s="121" customFormat="1" hidden="1">
      <c r="AN160" s="239"/>
      <c r="AO160" s="225"/>
      <c r="AP160" s="287"/>
      <c r="AQ160" s="258"/>
      <c r="AR160" s="258"/>
      <c r="AS160" s="202"/>
      <c r="AT160" s="213"/>
      <c r="AU160" s="213"/>
    </row>
    <row r="161" spans="1:47" hidden="1">
      <c r="A161" s="51"/>
      <c r="B161" s="51"/>
      <c r="C161" s="51"/>
      <c r="D161" s="51"/>
      <c r="E161" s="51"/>
      <c r="F161" s="51"/>
      <c r="G161" s="51"/>
      <c r="H161" s="51"/>
      <c r="I161" s="51"/>
      <c r="AN161" s="239"/>
      <c r="AO161" s="225"/>
      <c r="AP161" s="287"/>
      <c r="AQ161" s="258"/>
      <c r="AR161" s="258"/>
      <c r="AS161" s="202"/>
    </row>
    <row r="162" spans="1:47" s="121" customFormat="1" hidden="1">
      <c r="AN162" s="239"/>
      <c r="AO162" s="225"/>
      <c r="AP162" s="287"/>
      <c r="AQ162" s="258"/>
      <c r="AR162" s="258"/>
      <c r="AS162" s="202"/>
      <c r="AT162" s="213"/>
      <c r="AU162" s="213"/>
    </row>
    <row r="163" spans="1:47" s="121" customFormat="1" hidden="1">
      <c r="AN163" s="239"/>
      <c r="AO163" s="225"/>
      <c r="AP163" s="287"/>
      <c r="AQ163" s="258"/>
      <c r="AR163" s="258"/>
      <c r="AS163" s="202"/>
      <c r="AT163" s="213"/>
      <c r="AU163" s="213"/>
    </row>
    <row r="164" spans="1:47" s="121" customFormat="1" hidden="1">
      <c r="AN164" s="239"/>
      <c r="AO164" s="225"/>
      <c r="AP164" s="287"/>
      <c r="AQ164" s="258"/>
      <c r="AR164" s="258"/>
      <c r="AS164" s="202"/>
      <c r="AT164" s="213"/>
      <c r="AU164" s="213"/>
    </row>
    <row r="165" spans="1:47" s="121" customFormat="1" hidden="1">
      <c r="AN165" s="239"/>
      <c r="AO165" s="225"/>
      <c r="AP165" s="287"/>
      <c r="AQ165" s="258"/>
      <c r="AR165" s="258"/>
      <c r="AS165" s="202"/>
      <c r="AT165" s="213"/>
      <c r="AU165" s="213"/>
    </row>
    <row r="166" spans="1:47" hidden="1">
      <c r="A166" s="51"/>
      <c r="B166" s="51"/>
      <c r="C166" s="51"/>
      <c r="D166" s="51"/>
      <c r="E166" s="51"/>
      <c r="F166" s="51"/>
      <c r="G166" s="51"/>
      <c r="H166" s="51"/>
      <c r="I166" s="51"/>
      <c r="AN166" s="239"/>
      <c r="AO166" s="225"/>
      <c r="AP166" s="287"/>
      <c r="AQ166" s="258"/>
      <c r="AR166" s="258"/>
      <c r="AS166" s="202"/>
    </row>
    <row r="167" spans="1:47" s="121" customFormat="1" hidden="1">
      <c r="AN167" s="239"/>
      <c r="AO167" s="225"/>
      <c r="AP167" s="287"/>
      <c r="AQ167" s="258"/>
      <c r="AR167" s="258"/>
      <c r="AS167" s="202"/>
      <c r="AT167" s="213"/>
      <c r="AU167" s="213"/>
    </row>
    <row r="168" spans="1:47" s="121" customFormat="1" hidden="1">
      <c r="AN168" s="239"/>
      <c r="AO168" s="225"/>
      <c r="AP168" s="287"/>
      <c r="AQ168" s="258"/>
      <c r="AR168" s="258"/>
      <c r="AS168" s="202"/>
      <c r="AT168" s="213"/>
      <c r="AU168" s="213"/>
    </row>
    <row r="169" spans="1:47" s="121" customFormat="1" hidden="1">
      <c r="AN169" s="239"/>
      <c r="AO169" s="225"/>
      <c r="AP169" s="287"/>
      <c r="AQ169" s="258"/>
      <c r="AR169" s="258"/>
      <c r="AS169" s="202"/>
      <c r="AT169" s="213"/>
      <c r="AU169" s="213"/>
    </row>
    <row r="170" spans="1:47" s="121" customFormat="1" hidden="1">
      <c r="AN170" s="239"/>
      <c r="AO170" s="225"/>
      <c r="AP170" s="287"/>
      <c r="AQ170" s="258"/>
      <c r="AR170" s="258"/>
      <c r="AS170" s="202"/>
      <c r="AT170" s="213"/>
      <c r="AU170" s="213"/>
    </row>
    <row r="171" spans="1:47" hidden="1">
      <c r="A171" s="51"/>
      <c r="B171" s="51"/>
      <c r="C171" s="51"/>
      <c r="D171" s="51"/>
      <c r="E171" s="51"/>
      <c r="F171" s="51"/>
      <c r="G171" s="51"/>
      <c r="H171" s="51"/>
      <c r="I171" s="51"/>
      <c r="AN171" s="239"/>
      <c r="AO171" s="225"/>
      <c r="AP171" s="287"/>
      <c r="AQ171" s="258"/>
      <c r="AR171" s="258"/>
      <c r="AS171" s="202"/>
    </row>
    <row r="172" spans="1:47" s="121" customFormat="1" hidden="1">
      <c r="AN172" s="239"/>
      <c r="AO172" s="225"/>
      <c r="AP172" s="287"/>
      <c r="AQ172" s="258"/>
      <c r="AR172" s="258"/>
      <c r="AS172" s="202"/>
      <c r="AT172" s="213"/>
      <c r="AU172" s="213"/>
    </row>
    <row r="173" spans="1:47" s="121" customFormat="1" hidden="1">
      <c r="AN173" s="239"/>
      <c r="AO173" s="225"/>
      <c r="AP173" s="287"/>
      <c r="AQ173" s="258"/>
      <c r="AR173" s="258"/>
      <c r="AS173" s="202"/>
      <c r="AT173" s="213"/>
      <c r="AU173" s="213"/>
    </row>
    <row r="174" spans="1:47" s="121" customFormat="1" hidden="1">
      <c r="AN174" s="239"/>
      <c r="AO174" s="225"/>
      <c r="AP174" s="287"/>
      <c r="AQ174" s="258"/>
      <c r="AR174" s="258"/>
      <c r="AS174" s="202"/>
      <c r="AT174" s="213"/>
      <c r="AU174" s="213"/>
    </row>
    <row r="175" spans="1:47" s="121" customFormat="1" hidden="1">
      <c r="AN175" s="239"/>
      <c r="AO175" s="225"/>
      <c r="AP175" s="287"/>
      <c r="AQ175" s="258"/>
      <c r="AR175" s="258"/>
      <c r="AS175" s="202"/>
      <c r="AT175" s="213"/>
      <c r="AU175" s="213"/>
    </row>
    <row r="176" spans="1:47" hidden="1">
      <c r="A176" s="51"/>
      <c r="B176" s="51"/>
      <c r="C176" s="51"/>
      <c r="D176" s="51"/>
      <c r="E176" s="51"/>
      <c r="F176" s="51"/>
      <c r="G176" s="51"/>
      <c r="H176" s="51"/>
      <c r="I176" s="51"/>
      <c r="AN176" s="239"/>
      <c r="AO176" s="225"/>
      <c r="AP176" s="287"/>
      <c r="AQ176" s="258"/>
      <c r="AR176" s="258"/>
      <c r="AS176" s="202"/>
    </row>
    <row r="177" spans="1:47" s="121" customFormat="1" hidden="1">
      <c r="AN177" s="239"/>
      <c r="AO177" s="225"/>
      <c r="AP177" s="287"/>
      <c r="AQ177" s="258"/>
      <c r="AR177" s="258"/>
      <c r="AS177" s="202"/>
      <c r="AT177" s="213"/>
      <c r="AU177" s="213"/>
    </row>
    <row r="178" spans="1:47" s="121" customFormat="1" hidden="1">
      <c r="AN178" s="239"/>
      <c r="AO178" s="225"/>
      <c r="AP178" s="287"/>
      <c r="AQ178" s="258"/>
      <c r="AR178" s="258"/>
      <c r="AS178" s="202"/>
      <c r="AT178" s="213"/>
      <c r="AU178" s="213"/>
    </row>
    <row r="179" spans="1:47" s="121" customFormat="1" hidden="1">
      <c r="AN179" s="239"/>
      <c r="AO179" s="225"/>
      <c r="AP179" s="287"/>
      <c r="AQ179" s="258"/>
      <c r="AR179" s="258"/>
      <c r="AS179" s="202"/>
      <c r="AT179" s="213"/>
      <c r="AU179" s="213"/>
    </row>
    <row r="180" spans="1:47" s="121" customFormat="1" hidden="1">
      <c r="AN180" s="239"/>
      <c r="AO180" s="225"/>
      <c r="AP180" s="287"/>
      <c r="AQ180" s="258"/>
      <c r="AR180" s="258"/>
      <c r="AS180" s="202"/>
      <c r="AT180" s="213"/>
      <c r="AU180" s="213"/>
    </row>
    <row r="181" spans="1:47" hidden="1">
      <c r="A181" s="51"/>
      <c r="B181" s="51"/>
      <c r="C181" s="51"/>
      <c r="D181" s="51"/>
      <c r="E181" s="51"/>
      <c r="F181" s="51"/>
      <c r="G181" s="51"/>
      <c r="H181" s="51"/>
      <c r="I181" s="51"/>
      <c r="AN181" s="239"/>
      <c r="AO181" s="225"/>
      <c r="AP181" s="287"/>
      <c r="AQ181" s="258"/>
      <c r="AR181" s="258"/>
      <c r="AS181" s="202"/>
    </row>
    <row r="182" spans="1:47" s="121" customFormat="1" hidden="1">
      <c r="AN182" s="239"/>
      <c r="AO182" s="225"/>
      <c r="AP182" s="287"/>
      <c r="AQ182" s="258"/>
      <c r="AR182" s="258"/>
      <c r="AS182" s="202"/>
      <c r="AT182" s="213"/>
      <c r="AU182" s="213"/>
    </row>
    <row r="183" spans="1:47" s="121" customFormat="1" hidden="1">
      <c r="AN183" s="239"/>
      <c r="AO183" s="225"/>
      <c r="AP183" s="287"/>
      <c r="AQ183" s="258"/>
      <c r="AR183" s="258"/>
      <c r="AS183" s="202"/>
      <c r="AT183" s="213"/>
      <c r="AU183" s="213"/>
    </row>
    <row r="184" spans="1:47" s="121" customFormat="1" hidden="1">
      <c r="AN184" s="239"/>
      <c r="AO184" s="225"/>
      <c r="AP184" s="287"/>
      <c r="AQ184" s="258"/>
      <c r="AR184" s="258"/>
      <c r="AS184" s="202"/>
      <c r="AT184" s="213"/>
      <c r="AU184" s="213"/>
    </row>
    <row r="185" spans="1:47" s="121" customFormat="1" hidden="1">
      <c r="AN185" s="239"/>
      <c r="AO185" s="225"/>
      <c r="AP185" s="287"/>
      <c r="AQ185" s="258"/>
      <c r="AR185" s="258"/>
      <c r="AS185" s="202"/>
      <c r="AT185" s="213"/>
      <c r="AU185" s="213"/>
    </row>
    <row r="186" spans="1:47" hidden="1">
      <c r="AN186" s="239"/>
      <c r="AO186" s="225"/>
      <c r="AP186" s="287"/>
      <c r="AQ186" s="258"/>
      <c r="AR186" s="258"/>
      <c r="AS186" s="202"/>
    </row>
    <row r="187" spans="1:47" s="121" customFormat="1" hidden="1">
      <c r="AN187" s="239"/>
      <c r="AO187" s="225"/>
      <c r="AP187" s="287"/>
      <c r="AQ187" s="258"/>
      <c r="AR187" s="258"/>
      <c r="AS187" s="202"/>
      <c r="AT187" s="213"/>
      <c r="AU187" s="213"/>
    </row>
    <row r="188" spans="1:47" s="121" customFormat="1" hidden="1">
      <c r="AN188" s="239"/>
      <c r="AO188" s="225"/>
      <c r="AP188" s="287"/>
      <c r="AQ188" s="258"/>
      <c r="AR188" s="258"/>
      <c r="AS188" s="202"/>
      <c r="AT188" s="213"/>
      <c r="AU188" s="213"/>
    </row>
    <row r="189" spans="1:47" s="121" customFormat="1" hidden="1">
      <c r="AN189" s="239"/>
      <c r="AO189" s="225"/>
      <c r="AP189" s="287"/>
      <c r="AQ189" s="258"/>
      <c r="AR189" s="258"/>
      <c r="AS189" s="202"/>
      <c r="AT189" s="213"/>
      <c r="AU189" s="213"/>
    </row>
    <row r="190" spans="1:47" s="121" customFormat="1" hidden="1" collapsed="1">
      <c r="AN190" s="239"/>
      <c r="AO190" s="225"/>
      <c r="AP190" s="287"/>
      <c r="AQ190" s="258"/>
      <c r="AR190" s="258"/>
      <c r="AS190" s="202"/>
      <c r="AT190" s="213"/>
      <c r="AU190" s="213"/>
    </row>
    <row r="191" spans="1:47" hidden="1">
      <c r="AN191" s="239"/>
      <c r="AO191" s="225"/>
      <c r="AP191" s="287"/>
      <c r="AQ191" s="258"/>
      <c r="AR191" s="258"/>
      <c r="AS191" s="202"/>
    </row>
    <row r="192" spans="1:47" s="121" customFormat="1" hidden="1">
      <c r="AN192" s="239"/>
      <c r="AO192" s="225"/>
      <c r="AP192" s="287"/>
      <c r="AQ192" s="258"/>
      <c r="AR192" s="258"/>
      <c r="AS192" s="202"/>
      <c r="AT192" s="213"/>
      <c r="AU192" s="213"/>
    </row>
    <row r="193" spans="1:47" s="121" customFormat="1" hidden="1">
      <c r="AN193" s="239"/>
      <c r="AO193" s="225"/>
      <c r="AP193" s="287"/>
      <c r="AQ193" s="258"/>
      <c r="AR193" s="258"/>
      <c r="AS193" s="202"/>
      <c r="AT193" s="213"/>
      <c r="AU193" s="213"/>
    </row>
    <row r="194" spans="1:47" s="121" customFormat="1" hidden="1">
      <c r="AN194" s="239"/>
      <c r="AO194" s="225"/>
      <c r="AP194" s="287"/>
      <c r="AQ194" s="258"/>
      <c r="AR194" s="258"/>
      <c r="AS194" s="202"/>
      <c r="AT194" s="213"/>
      <c r="AU194" s="213"/>
    </row>
    <row r="195" spans="1:47" s="121" customFormat="1" hidden="1">
      <c r="AN195" s="239"/>
      <c r="AO195" s="225"/>
      <c r="AP195" s="287"/>
      <c r="AQ195" s="258"/>
      <c r="AR195" s="258"/>
      <c r="AS195" s="202"/>
      <c r="AT195" s="213"/>
      <c r="AU195" s="213"/>
    </row>
    <row r="196" spans="1:47" hidden="1">
      <c r="AN196" s="239"/>
      <c r="AO196" s="225"/>
      <c r="AP196" s="287"/>
      <c r="AQ196" s="258"/>
      <c r="AR196" s="258"/>
      <c r="AS196" s="202"/>
    </row>
    <row r="197" spans="1:47" s="121" customFormat="1" hidden="1">
      <c r="AN197" s="239"/>
      <c r="AO197" s="225"/>
      <c r="AP197" s="287"/>
      <c r="AQ197" s="258"/>
      <c r="AR197" s="258"/>
      <c r="AS197" s="202"/>
      <c r="AT197" s="213"/>
      <c r="AU197" s="213"/>
    </row>
    <row r="198" spans="1:47" s="121" customFormat="1" hidden="1" collapsed="1">
      <c r="AN198" s="239"/>
      <c r="AO198" s="225"/>
      <c r="AP198" s="287"/>
      <c r="AQ198" s="258"/>
      <c r="AR198" s="258"/>
      <c r="AS198" s="202"/>
      <c r="AT198" s="213"/>
      <c r="AU198" s="213"/>
    </row>
    <row r="199" spans="1:47" s="121" customFormat="1" hidden="1">
      <c r="AN199" s="239"/>
      <c r="AO199" s="225"/>
      <c r="AP199" s="287"/>
      <c r="AQ199" s="258"/>
      <c r="AR199" s="258"/>
      <c r="AS199" s="202"/>
      <c r="AT199" s="213"/>
      <c r="AU199" s="213"/>
    </row>
    <row r="200" spans="1:47" s="121" customFormat="1" hidden="1">
      <c r="AN200" s="239"/>
      <c r="AO200" s="225"/>
      <c r="AP200" s="287"/>
      <c r="AQ200" s="258"/>
      <c r="AR200" s="258"/>
      <c r="AS200" s="202"/>
      <c r="AT200" s="213"/>
      <c r="AU200" s="213"/>
    </row>
    <row r="201" spans="1:47" hidden="1">
      <c r="AN201" s="239"/>
      <c r="AO201" s="225"/>
      <c r="AP201" s="287"/>
      <c r="AQ201" s="258"/>
      <c r="AR201" s="258"/>
      <c r="AS201" s="202"/>
    </row>
    <row r="202" spans="1:47" s="121" customFormat="1" hidden="1" collapsed="1">
      <c r="AN202" s="239"/>
      <c r="AO202" s="225"/>
      <c r="AP202" s="287"/>
      <c r="AQ202" s="258"/>
      <c r="AR202" s="258"/>
      <c r="AS202" s="202"/>
      <c r="AT202" s="213"/>
      <c r="AU202" s="213"/>
    </row>
    <row r="203" spans="1:47" s="121" customFormat="1" hidden="1">
      <c r="AN203" s="239"/>
      <c r="AO203" s="225"/>
      <c r="AP203" s="287"/>
      <c r="AQ203" s="258"/>
      <c r="AR203" s="258"/>
      <c r="AS203" s="202"/>
      <c r="AT203" s="213"/>
      <c r="AU203" s="213"/>
    </row>
    <row r="204" spans="1:47" s="121" customFormat="1" hidden="1">
      <c r="AN204" s="239"/>
      <c r="AO204" s="225"/>
      <c r="AP204" s="287"/>
      <c r="AQ204" s="258"/>
      <c r="AR204" s="258"/>
      <c r="AS204" s="202"/>
      <c r="AT204" s="213"/>
      <c r="AU204" s="213"/>
    </row>
    <row r="205" spans="1:47" s="121" customFormat="1" hidden="1">
      <c r="AN205" s="239"/>
      <c r="AO205" s="225"/>
      <c r="AP205" s="287"/>
      <c r="AQ205" s="258"/>
      <c r="AR205" s="258"/>
      <c r="AS205" s="202"/>
      <c r="AT205" s="213"/>
      <c r="AU205" s="213"/>
    </row>
    <row r="206" spans="1:47" hidden="1" collapsed="1">
      <c r="A206" s="51"/>
      <c r="B206" s="51"/>
      <c r="C206" s="51"/>
      <c r="D206" s="51"/>
      <c r="E206" s="51"/>
      <c r="F206" s="51"/>
      <c r="G206" s="51"/>
      <c r="H206" s="51"/>
      <c r="I206" s="51"/>
      <c r="AN206" s="239"/>
      <c r="AO206" s="225"/>
      <c r="AP206" s="287"/>
      <c r="AQ206" s="258"/>
      <c r="AR206" s="258"/>
      <c r="AS206" s="202"/>
    </row>
    <row r="207" spans="1:47" hidden="1">
      <c r="A207" s="51"/>
      <c r="B207" s="51"/>
      <c r="C207" s="51"/>
      <c r="D207" s="51"/>
      <c r="E207" s="51"/>
      <c r="F207" s="51"/>
      <c r="G207" s="51"/>
      <c r="H207" s="51"/>
      <c r="I207" s="51"/>
      <c r="AN207" s="239"/>
      <c r="AO207" s="225"/>
      <c r="AP207" s="287"/>
      <c r="AQ207" s="258"/>
      <c r="AR207" s="258"/>
      <c r="AS207" s="202"/>
    </row>
    <row r="208" spans="1:47" hidden="1">
      <c r="A208" s="51"/>
      <c r="B208" s="51"/>
      <c r="C208" s="51"/>
      <c r="D208" s="51"/>
      <c r="E208" s="51"/>
      <c r="F208" s="51"/>
      <c r="G208" s="51"/>
      <c r="H208" s="51"/>
      <c r="I208" s="51"/>
      <c r="AN208" s="239"/>
      <c r="AO208" s="225"/>
      <c r="AP208" s="287"/>
      <c r="AQ208" s="258"/>
      <c r="AR208" s="258"/>
      <c r="AS208" s="202"/>
    </row>
    <row r="209" spans="40:47" s="121" customFormat="1" hidden="1">
      <c r="AN209" s="239"/>
      <c r="AO209" s="225"/>
      <c r="AP209" s="287"/>
      <c r="AQ209" s="258"/>
      <c r="AR209" s="258"/>
      <c r="AS209" s="202"/>
      <c r="AT209" s="213"/>
      <c r="AU209" s="213"/>
    </row>
    <row r="210" spans="40:47" s="121" customFormat="1" hidden="1">
      <c r="AN210" s="239"/>
      <c r="AO210" s="225"/>
      <c r="AP210" s="287"/>
      <c r="AQ210" s="258"/>
      <c r="AR210" s="258"/>
      <c r="AS210" s="202"/>
      <c r="AT210" s="213"/>
      <c r="AU210" s="213"/>
    </row>
    <row r="211" spans="40:47" s="121" customFormat="1" hidden="1">
      <c r="AN211" s="239"/>
      <c r="AO211" s="225"/>
      <c r="AP211" s="287"/>
      <c r="AQ211" s="258"/>
      <c r="AR211" s="258"/>
      <c r="AS211" s="202"/>
      <c r="AT211" s="213"/>
      <c r="AU211" s="213"/>
    </row>
    <row r="212" spans="40:47" s="121" customFormat="1" hidden="1">
      <c r="AN212" s="239"/>
      <c r="AO212" s="225"/>
      <c r="AP212" s="287"/>
      <c r="AQ212" s="258"/>
      <c r="AR212" s="258"/>
      <c r="AS212" s="202"/>
      <c r="AT212" s="213"/>
      <c r="AU212" s="213"/>
    </row>
    <row r="213" spans="40:47" s="121" customFormat="1" hidden="1">
      <c r="AN213" s="239"/>
      <c r="AO213" s="225"/>
      <c r="AP213" s="287"/>
      <c r="AQ213" s="258"/>
      <c r="AR213" s="258"/>
      <c r="AS213" s="202"/>
      <c r="AT213" s="213"/>
      <c r="AU213" s="213"/>
    </row>
    <row r="214" spans="40:47" s="121" customFormat="1" hidden="1">
      <c r="AN214" s="239"/>
      <c r="AO214" s="225"/>
      <c r="AP214" s="287"/>
      <c r="AQ214" s="258"/>
      <c r="AR214" s="258"/>
      <c r="AS214" s="202"/>
      <c r="AT214" s="213"/>
      <c r="AU214" s="213"/>
    </row>
    <row r="215" spans="40:47" s="121" customFormat="1" hidden="1">
      <c r="AN215" s="239"/>
      <c r="AO215" s="225"/>
      <c r="AP215" s="287"/>
      <c r="AQ215" s="258"/>
      <c r="AR215" s="258"/>
      <c r="AS215" s="202"/>
      <c r="AT215" s="213"/>
      <c r="AU215" s="213"/>
    </row>
    <row r="216" spans="40:47" s="121" customFormat="1" hidden="1">
      <c r="AN216" s="239"/>
      <c r="AO216" s="225"/>
      <c r="AP216" s="287"/>
      <c r="AQ216" s="258"/>
      <c r="AR216" s="258"/>
      <c r="AS216" s="202"/>
      <c r="AT216" s="213"/>
      <c r="AU216" s="213"/>
    </row>
    <row r="217" spans="40:47" s="121" customFormat="1" hidden="1">
      <c r="AN217" s="239"/>
      <c r="AO217" s="225"/>
      <c r="AP217" s="287"/>
      <c r="AQ217" s="258"/>
      <c r="AR217" s="258"/>
      <c r="AS217" s="202"/>
      <c r="AT217" s="213"/>
      <c r="AU217" s="213"/>
    </row>
    <row r="218" spans="40:47" s="121" customFormat="1" hidden="1">
      <c r="AN218" s="239"/>
      <c r="AO218" s="225"/>
      <c r="AP218" s="287"/>
      <c r="AQ218" s="258"/>
      <c r="AR218" s="258"/>
      <c r="AS218" s="202"/>
      <c r="AT218" s="213"/>
      <c r="AU218" s="213"/>
    </row>
    <row r="219" spans="40:47" s="121" customFormat="1" hidden="1">
      <c r="AN219" s="239"/>
      <c r="AO219" s="225"/>
      <c r="AP219" s="287"/>
      <c r="AQ219" s="258"/>
      <c r="AR219" s="258"/>
      <c r="AS219" s="202"/>
      <c r="AT219" s="213"/>
      <c r="AU219" s="213"/>
    </row>
    <row r="220" spans="40:47" s="121" customFormat="1" hidden="1">
      <c r="AN220" s="239"/>
      <c r="AO220" s="225"/>
      <c r="AP220" s="287"/>
      <c r="AQ220" s="258"/>
      <c r="AR220" s="258"/>
      <c r="AS220" s="202"/>
      <c r="AT220" s="213"/>
      <c r="AU220" s="213"/>
    </row>
    <row r="221" spans="40:47" s="121" customFormat="1" hidden="1">
      <c r="AN221" s="239"/>
      <c r="AO221" s="225"/>
      <c r="AP221" s="287"/>
      <c r="AQ221" s="258"/>
      <c r="AR221" s="258"/>
      <c r="AS221" s="202"/>
      <c r="AT221" s="213"/>
      <c r="AU221" s="213"/>
    </row>
    <row r="222" spans="40:47" s="121" customFormat="1" hidden="1">
      <c r="AN222" s="239"/>
      <c r="AO222" s="225"/>
      <c r="AP222" s="287"/>
      <c r="AQ222" s="258"/>
      <c r="AR222" s="258"/>
      <c r="AS222" s="202"/>
      <c r="AT222" s="213"/>
      <c r="AU222" s="213"/>
    </row>
    <row r="223" spans="40:47" s="121" customFormat="1" hidden="1">
      <c r="AN223" s="239"/>
      <c r="AO223" s="225"/>
      <c r="AP223" s="287"/>
      <c r="AQ223" s="258"/>
      <c r="AR223" s="258"/>
      <c r="AS223" s="202"/>
      <c r="AT223" s="213"/>
      <c r="AU223" s="213"/>
    </row>
    <row r="224" spans="40:47" s="121" customFormat="1" hidden="1">
      <c r="AN224" s="239"/>
      <c r="AO224" s="225"/>
      <c r="AP224" s="287"/>
      <c r="AQ224" s="258"/>
      <c r="AR224" s="258"/>
      <c r="AS224" s="202"/>
      <c r="AT224" s="213"/>
      <c r="AU224" s="213"/>
    </row>
    <row r="225" spans="40:47" s="121" customFormat="1" hidden="1">
      <c r="AN225" s="239"/>
      <c r="AO225" s="225"/>
      <c r="AP225" s="287"/>
      <c r="AQ225" s="258"/>
      <c r="AR225" s="258"/>
      <c r="AS225" s="202"/>
      <c r="AT225" s="213"/>
      <c r="AU225" s="213"/>
    </row>
    <row r="226" spans="40:47" s="121" customFormat="1" hidden="1">
      <c r="AN226" s="239"/>
      <c r="AO226" s="225"/>
      <c r="AP226" s="287"/>
      <c r="AQ226" s="258"/>
      <c r="AR226" s="258"/>
      <c r="AS226" s="202"/>
      <c r="AT226" s="213"/>
      <c r="AU226" s="213"/>
    </row>
    <row r="227" spans="40:47" s="121" customFormat="1" hidden="1">
      <c r="AN227" s="239"/>
      <c r="AO227" s="225"/>
      <c r="AP227" s="260"/>
      <c r="AQ227" s="258"/>
      <c r="AR227" s="258"/>
      <c r="AS227" s="202"/>
      <c r="AT227" s="213"/>
      <c r="AU227" s="213"/>
    </row>
    <row r="228" spans="40:47" s="121" customFormat="1" hidden="1">
      <c r="AN228" s="239"/>
      <c r="AO228" s="225"/>
      <c r="AP228" s="260"/>
      <c r="AQ228" s="258"/>
      <c r="AR228" s="258"/>
      <c r="AS228" s="202"/>
      <c r="AT228" s="213"/>
      <c r="AU228" s="213"/>
    </row>
    <row r="229" spans="40:47" s="121" customFormat="1" hidden="1">
      <c r="AN229" s="239"/>
      <c r="AO229" s="225"/>
      <c r="AP229" s="260"/>
      <c r="AQ229" s="258"/>
      <c r="AR229" s="258"/>
      <c r="AS229" s="202"/>
      <c r="AT229" s="213"/>
      <c r="AU229" s="213"/>
    </row>
    <row r="230" spans="40:47" s="121" customFormat="1" hidden="1">
      <c r="AN230" s="239"/>
      <c r="AO230" s="225"/>
      <c r="AP230" s="260"/>
      <c r="AQ230" s="258"/>
      <c r="AR230" s="258"/>
      <c r="AS230" s="202"/>
      <c r="AT230" s="213"/>
      <c r="AU230" s="213"/>
    </row>
    <row r="231" spans="40:47" s="121" customFormat="1" hidden="1">
      <c r="AN231" s="239"/>
      <c r="AO231" s="225"/>
      <c r="AP231" s="260"/>
      <c r="AQ231" s="258"/>
      <c r="AR231" s="258"/>
      <c r="AS231" s="202"/>
      <c r="AT231" s="213"/>
      <c r="AU231" s="213"/>
    </row>
    <row r="232" spans="40:47" s="121" customFormat="1" hidden="1">
      <c r="AN232" s="239"/>
      <c r="AO232" s="225"/>
      <c r="AP232" s="260"/>
      <c r="AQ232" s="258"/>
      <c r="AR232" s="258"/>
      <c r="AS232" s="202"/>
      <c r="AT232" s="213"/>
      <c r="AU232" s="213"/>
    </row>
    <row r="233" spans="40:47" s="121" customFormat="1" hidden="1">
      <c r="AN233" s="239"/>
      <c r="AO233" s="225"/>
      <c r="AP233" s="260"/>
      <c r="AQ233" s="258"/>
      <c r="AR233" s="258"/>
      <c r="AS233" s="202"/>
      <c r="AT233" s="213"/>
      <c r="AU233" s="213"/>
    </row>
    <row r="234" spans="40:47" s="121" customFormat="1" hidden="1">
      <c r="AN234" s="239"/>
      <c r="AO234" s="225"/>
      <c r="AP234" s="260"/>
      <c r="AQ234" s="258"/>
      <c r="AR234" s="258"/>
      <c r="AS234" s="202"/>
      <c r="AT234" s="213"/>
      <c r="AU234" s="213"/>
    </row>
    <row r="235" spans="40:47" s="121" customFormat="1" hidden="1">
      <c r="AN235" s="239"/>
      <c r="AO235" s="225"/>
      <c r="AP235" s="260"/>
      <c r="AQ235" s="258"/>
      <c r="AR235" s="258"/>
      <c r="AS235" s="202"/>
      <c r="AT235" s="213"/>
      <c r="AU235" s="213"/>
    </row>
    <row r="236" spans="40:47" s="121" customFormat="1" hidden="1">
      <c r="AN236" s="239"/>
      <c r="AO236" s="225"/>
      <c r="AP236" s="260"/>
      <c r="AQ236" s="258"/>
      <c r="AR236" s="258"/>
      <c r="AS236" s="202"/>
      <c r="AT236" s="213"/>
      <c r="AU236" s="213"/>
    </row>
    <row r="237" spans="40:47" s="121" customFormat="1" hidden="1">
      <c r="AN237" s="239"/>
      <c r="AO237" s="225"/>
      <c r="AP237" s="260"/>
      <c r="AQ237" s="258"/>
      <c r="AR237" s="258"/>
      <c r="AS237" s="202"/>
      <c r="AT237" s="213"/>
      <c r="AU237" s="213"/>
    </row>
    <row r="238" spans="40:47" s="121" customFormat="1" hidden="1">
      <c r="AN238" s="239"/>
      <c r="AO238" s="225"/>
      <c r="AP238" s="260"/>
      <c r="AQ238" s="258"/>
      <c r="AR238" s="258"/>
      <c r="AS238" s="202"/>
      <c r="AT238" s="213"/>
      <c r="AU238" s="213"/>
    </row>
    <row r="239" spans="40:47" s="121" customFormat="1" hidden="1">
      <c r="AN239" s="239"/>
      <c r="AO239" s="225"/>
      <c r="AP239" s="260"/>
      <c r="AQ239" s="258"/>
      <c r="AR239" s="258"/>
      <c r="AS239" s="202"/>
      <c r="AT239" s="213"/>
      <c r="AU239" s="213"/>
    </row>
    <row r="240" spans="40:47" s="121" customFormat="1" hidden="1">
      <c r="AN240" s="239"/>
      <c r="AO240" s="225"/>
      <c r="AP240" s="260"/>
      <c r="AQ240" s="258"/>
      <c r="AR240" s="258"/>
      <c r="AS240" s="202"/>
      <c r="AT240" s="213"/>
      <c r="AU240" s="213"/>
    </row>
    <row r="241" spans="40:47" s="121" customFormat="1" hidden="1">
      <c r="AN241" s="239"/>
      <c r="AO241" s="225"/>
      <c r="AP241" s="260"/>
      <c r="AQ241" s="258"/>
      <c r="AR241" s="258"/>
      <c r="AS241" s="202"/>
      <c r="AT241" s="213"/>
      <c r="AU241" s="213"/>
    </row>
    <row r="242" spans="40:47" s="121" customFormat="1" hidden="1">
      <c r="AN242" s="239"/>
      <c r="AO242" s="225"/>
      <c r="AP242" s="260"/>
      <c r="AQ242" s="258"/>
      <c r="AR242" s="258"/>
      <c r="AS242" s="202"/>
      <c r="AT242" s="213"/>
      <c r="AU242" s="213"/>
    </row>
    <row r="243" spans="40:47" s="121" customFormat="1" hidden="1">
      <c r="AN243" s="239"/>
      <c r="AO243" s="225"/>
      <c r="AP243" s="260"/>
      <c r="AQ243" s="258"/>
      <c r="AR243" s="258"/>
      <c r="AS243" s="202"/>
      <c r="AT243" s="213"/>
      <c r="AU243" s="213"/>
    </row>
    <row r="244" spans="40:47" s="121" customFormat="1" hidden="1">
      <c r="AN244" s="239"/>
      <c r="AO244" s="225"/>
      <c r="AP244" s="260"/>
      <c r="AQ244" s="258"/>
      <c r="AR244" s="258"/>
      <c r="AS244" s="202"/>
      <c r="AT244" s="213"/>
      <c r="AU244" s="213"/>
    </row>
    <row r="245" spans="40:47" s="121" customFormat="1" hidden="1">
      <c r="AN245" s="239"/>
      <c r="AO245" s="225"/>
      <c r="AP245" s="260"/>
      <c r="AQ245" s="258"/>
      <c r="AR245" s="258"/>
      <c r="AS245" s="202"/>
      <c r="AT245" s="213"/>
      <c r="AU245" s="213"/>
    </row>
    <row r="246" spans="40:47" s="121" customFormat="1" hidden="1">
      <c r="AN246" s="239"/>
      <c r="AO246" s="225"/>
      <c r="AP246" s="260"/>
      <c r="AQ246" s="258"/>
      <c r="AR246" s="258"/>
      <c r="AS246" s="202"/>
      <c r="AT246" s="213"/>
      <c r="AU246" s="213"/>
    </row>
    <row r="247" spans="40:47" s="121" customFormat="1" hidden="1">
      <c r="AN247" s="239"/>
      <c r="AO247" s="225"/>
      <c r="AP247" s="260"/>
      <c r="AQ247" s="258"/>
      <c r="AR247" s="258"/>
      <c r="AS247" s="202"/>
      <c r="AT247" s="213"/>
      <c r="AU247" s="213"/>
    </row>
    <row r="248" spans="40:47" s="121" customFormat="1" hidden="1">
      <c r="AN248" s="239"/>
      <c r="AO248" s="225"/>
      <c r="AP248" s="260"/>
      <c r="AQ248" s="258"/>
      <c r="AR248" s="258"/>
      <c r="AS248" s="202"/>
      <c r="AT248" s="213"/>
      <c r="AU248" s="213"/>
    </row>
    <row r="249" spans="40:47" s="121" customFormat="1" hidden="1">
      <c r="AN249" s="239"/>
      <c r="AO249" s="225"/>
      <c r="AP249" s="260"/>
      <c r="AQ249" s="258"/>
      <c r="AR249" s="258"/>
      <c r="AS249" s="202"/>
      <c r="AT249" s="213"/>
      <c r="AU249" s="213"/>
    </row>
    <row r="250" spans="40:47" s="121" customFormat="1" hidden="1">
      <c r="AN250" s="239"/>
      <c r="AO250" s="225"/>
      <c r="AP250" s="260"/>
      <c r="AQ250" s="258"/>
      <c r="AR250" s="258"/>
      <c r="AS250" s="202"/>
      <c r="AT250" s="213"/>
      <c r="AU250" s="213"/>
    </row>
    <row r="251" spans="40:47" s="121" customFormat="1" hidden="1">
      <c r="AN251" s="239"/>
      <c r="AO251" s="225"/>
      <c r="AP251" s="260"/>
      <c r="AQ251" s="258"/>
      <c r="AR251" s="258"/>
      <c r="AS251" s="202"/>
      <c r="AT251" s="213"/>
      <c r="AU251" s="213"/>
    </row>
    <row r="252" spans="40:47" s="121" customFormat="1" hidden="1">
      <c r="AN252" s="239"/>
      <c r="AO252" s="225"/>
      <c r="AP252" s="260"/>
      <c r="AQ252" s="258"/>
      <c r="AR252" s="258"/>
      <c r="AS252" s="202"/>
      <c r="AT252" s="213"/>
      <c r="AU252" s="213"/>
    </row>
    <row r="253" spans="40:47" s="121" customFormat="1" hidden="1">
      <c r="AN253" s="239"/>
      <c r="AO253" s="225"/>
      <c r="AP253" s="260"/>
      <c r="AQ253" s="258"/>
      <c r="AR253" s="258"/>
      <c r="AS253" s="202"/>
      <c r="AT253" s="213"/>
      <c r="AU253" s="213"/>
    </row>
    <row r="254" spans="40:47" s="121" customFormat="1" hidden="1">
      <c r="AN254" s="239"/>
      <c r="AO254" s="225"/>
      <c r="AP254" s="260"/>
      <c r="AQ254" s="258"/>
      <c r="AR254" s="258"/>
      <c r="AS254" s="202"/>
      <c r="AT254" s="213"/>
      <c r="AU254" s="213"/>
    </row>
    <row r="255" spans="40:47" s="121" customFormat="1" hidden="1">
      <c r="AN255" s="239"/>
      <c r="AO255" s="225"/>
      <c r="AP255" s="260"/>
      <c r="AQ255" s="258"/>
      <c r="AR255" s="258"/>
      <c r="AS255" s="202"/>
      <c r="AT255" s="213"/>
      <c r="AU255" s="213"/>
    </row>
    <row r="256" spans="40:47" s="121" customFormat="1" hidden="1">
      <c r="AN256" s="239"/>
      <c r="AO256" s="225"/>
      <c r="AP256" s="260"/>
      <c r="AQ256" s="258"/>
      <c r="AR256" s="258"/>
      <c r="AS256" s="202"/>
      <c r="AT256" s="213"/>
      <c r="AU256" s="213"/>
    </row>
    <row r="257" spans="40:47" s="121" customFormat="1" hidden="1">
      <c r="AN257" s="239"/>
      <c r="AO257" s="225"/>
      <c r="AP257" s="260"/>
      <c r="AQ257" s="258"/>
      <c r="AR257" s="258"/>
      <c r="AS257" s="202"/>
      <c r="AT257" s="213"/>
      <c r="AU257" s="213"/>
    </row>
    <row r="258" spans="40:47" s="121" customFormat="1" hidden="1">
      <c r="AN258" s="239"/>
      <c r="AO258" s="225"/>
      <c r="AP258" s="260"/>
      <c r="AQ258" s="258"/>
      <c r="AR258" s="258"/>
      <c r="AS258" s="202"/>
      <c r="AT258" s="213"/>
      <c r="AU258" s="213"/>
    </row>
    <row r="259" spans="40:47" s="121" customFormat="1" hidden="1">
      <c r="AN259" s="239"/>
      <c r="AO259" s="225"/>
      <c r="AP259" s="260"/>
      <c r="AQ259" s="258"/>
      <c r="AR259" s="258"/>
      <c r="AS259" s="202"/>
      <c r="AT259" s="213"/>
      <c r="AU259" s="213"/>
    </row>
    <row r="260" spans="40:47" s="121" customFormat="1" hidden="1">
      <c r="AN260" s="239"/>
      <c r="AO260" s="225"/>
      <c r="AP260" s="260"/>
      <c r="AQ260" s="258"/>
      <c r="AR260" s="258"/>
      <c r="AS260" s="202"/>
      <c r="AT260" s="213"/>
      <c r="AU260" s="213"/>
    </row>
    <row r="261" spans="40:47" s="121" customFormat="1" hidden="1">
      <c r="AN261" s="239"/>
      <c r="AO261" s="225"/>
      <c r="AP261" s="260"/>
      <c r="AQ261" s="258"/>
      <c r="AR261" s="258"/>
      <c r="AS261" s="202"/>
      <c r="AT261" s="213"/>
      <c r="AU261" s="213"/>
    </row>
    <row r="262" spans="40:47" s="121" customFormat="1" hidden="1">
      <c r="AN262" s="239"/>
      <c r="AO262" s="225"/>
      <c r="AP262" s="260"/>
      <c r="AQ262" s="258"/>
      <c r="AR262" s="258"/>
      <c r="AS262" s="202"/>
      <c r="AT262" s="213"/>
      <c r="AU262" s="213"/>
    </row>
    <row r="263" spans="40:47" s="121" customFormat="1" hidden="1">
      <c r="AN263" s="239"/>
      <c r="AO263" s="225"/>
      <c r="AP263" s="260"/>
      <c r="AQ263" s="258"/>
      <c r="AR263" s="258"/>
      <c r="AS263" s="202"/>
      <c r="AT263" s="213"/>
      <c r="AU263" s="213"/>
    </row>
    <row r="264" spans="40:47" s="121" customFormat="1" hidden="1">
      <c r="AN264" s="239"/>
      <c r="AO264" s="225"/>
      <c r="AP264" s="260"/>
      <c r="AQ264" s="258"/>
      <c r="AR264" s="258"/>
      <c r="AS264" s="202"/>
      <c r="AT264" s="213"/>
      <c r="AU264" s="213"/>
    </row>
    <row r="265" spans="40:47" s="121" customFormat="1" hidden="1">
      <c r="AN265" s="239"/>
      <c r="AO265" s="225"/>
      <c r="AP265" s="260"/>
      <c r="AQ265" s="258"/>
      <c r="AR265" s="258"/>
      <c r="AS265" s="202"/>
      <c r="AT265" s="213"/>
      <c r="AU265" s="213"/>
    </row>
    <row r="266" spans="40:47" s="121" customFormat="1" hidden="1">
      <c r="AN266" s="239"/>
      <c r="AO266" s="225"/>
      <c r="AP266" s="260"/>
      <c r="AQ266" s="258"/>
      <c r="AR266" s="258"/>
      <c r="AS266" s="202"/>
      <c r="AT266" s="213"/>
      <c r="AU266" s="213"/>
    </row>
    <row r="267" spans="40:47" s="121" customFormat="1" hidden="1">
      <c r="AN267" s="239"/>
      <c r="AO267" s="225"/>
      <c r="AP267" s="260"/>
      <c r="AQ267" s="258"/>
      <c r="AR267" s="258"/>
      <c r="AS267" s="202"/>
      <c r="AT267" s="213"/>
      <c r="AU267" s="213"/>
    </row>
    <row r="268" spans="40:47" s="121" customFormat="1" hidden="1">
      <c r="AN268" s="239"/>
      <c r="AO268" s="225"/>
      <c r="AP268" s="260"/>
      <c r="AQ268" s="258"/>
      <c r="AR268" s="258"/>
      <c r="AS268" s="202"/>
      <c r="AT268" s="213"/>
      <c r="AU268" s="213"/>
    </row>
    <row r="269" spans="40:47" s="121" customFormat="1" hidden="1">
      <c r="AN269" s="239"/>
      <c r="AO269" s="225"/>
      <c r="AP269" s="260"/>
      <c r="AQ269" s="258"/>
      <c r="AR269" s="258"/>
      <c r="AS269" s="202"/>
      <c r="AT269" s="213"/>
      <c r="AU269" s="213"/>
    </row>
    <row r="270" spans="40:47" s="121" customFormat="1" hidden="1">
      <c r="AN270" s="239"/>
      <c r="AO270" s="225"/>
      <c r="AP270" s="260"/>
      <c r="AQ270" s="258"/>
      <c r="AR270" s="258"/>
      <c r="AS270" s="202"/>
      <c r="AT270" s="213"/>
      <c r="AU270" s="213"/>
    </row>
    <row r="271" spans="40:47" s="121" customFormat="1" hidden="1">
      <c r="AN271" s="239"/>
      <c r="AO271" s="225"/>
      <c r="AP271" s="260"/>
      <c r="AQ271" s="258"/>
      <c r="AR271" s="258"/>
      <c r="AS271" s="202"/>
      <c r="AT271" s="213"/>
      <c r="AU271" s="213"/>
    </row>
    <row r="272" spans="40:47" s="121" customFormat="1" hidden="1">
      <c r="AN272" s="239"/>
      <c r="AO272" s="225"/>
      <c r="AP272" s="260"/>
      <c r="AQ272" s="258"/>
      <c r="AR272" s="258"/>
      <c r="AS272" s="202"/>
      <c r="AT272" s="213"/>
      <c r="AU272" s="213"/>
    </row>
    <row r="273" spans="40:47" s="121" customFormat="1" hidden="1">
      <c r="AN273" s="239"/>
      <c r="AO273" s="225"/>
      <c r="AP273" s="260"/>
      <c r="AQ273" s="258"/>
      <c r="AR273" s="258"/>
      <c r="AS273" s="202"/>
      <c r="AT273" s="213"/>
      <c r="AU273" s="213"/>
    </row>
    <row r="274" spans="40:47" s="121" customFormat="1" hidden="1">
      <c r="AN274" s="239"/>
      <c r="AO274" s="225"/>
      <c r="AP274" s="260"/>
      <c r="AQ274" s="258"/>
      <c r="AR274" s="258"/>
      <c r="AS274" s="202"/>
      <c r="AT274" s="213"/>
      <c r="AU274" s="213"/>
    </row>
    <row r="275" spans="40:47" s="121" customFormat="1" hidden="1">
      <c r="AN275" s="239"/>
      <c r="AO275" s="225"/>
      <c r="AP275" s="260"/>
      <c r="AQ275" s="258"/>
      <c r="AR275" s="258"/>
      <c r="AS275" s="202"/>
      <c r="AT275" s="213"/>
      <c r="AU275" s="213"/>
    </row>
    <row r="276" spans="40:47" s="121" customFormat="1" hidden="1">
      <c r="AN276" s="239"/>
      <c r="AO276" s="225"/>
      <c r="AP276" s="260"/>
      <c r="AQ276" s="258"/>
      <c r="AR276" s="258"/>
      <c r="AS276" s="202"/>
      <c r="AT276" s="213"/>
      <c r="AU276" s="213"/>
    </row>
    <row r="277" spans="40:47" s="121" customFormat="1" hidden="1">
      <c r="AN277" s="239"/>
      <c r="AO277" s="225"/>
      <c r="AP277" s="260"/>
      <c r="AQ277" s="258"/>
      <c r="AR277" s="258"/>
      <c r="AS277" s="202"/>
      <c r="AT277" s="213"/>
      <c r="AU277" s="213"/>
    </row>
    <row r="278" spans="40:47" s="121" customFormat="1" hidden="1">
      <c r="AN278" s="239"/>
      <c r="AO278" s="225"/>
      <c r="AP278" s="260"/>
      <c r="AQ278" s="258"/>
      <c r="AR278" s="258"/>
      <c r="AS278" s="202"/>
      <c r="AT278" s="213"/>
      <c r="AU278" s="213"/>
    </row>
    <row r="279" spans="40:47" s="121" customFormat="1" hidden="1">
      <c r="AN279" s="239"/>
      <c r="AO279" s="225"/>
      <c r="AP279" s="260"/>
      <c r="AQ279" s="258"/>
      <c r="AR279" s="258"/>
      <c r="AS279" s="202"/>
      <c r="AT279" s="213"/>
      <c r="AU279" s="213"/>
    </row>
    <row r="280" spans="40:47" s="121" customFormat="1" hidden="1">
      <c r="AN280" s="239"/>
      <c r="AO280" s="225"/>
      <c r="AP280" s="260"/>
      <c r="AQ280" s="258"/>
      <c r="AR280" s="258"/>
      <c r="AS280" s="202"/>
      <c r="AT280" s="213"/>
      <c r="AU280" s="213"/>
    </row>
    <row r="281" spans="40:47" s="121" customFormat="1" hidden="1">
      <c r="AN281" s="239"/>
      <c r="AO281" s="225"/>
      <c r="AP281" s="260"/>
      <c r="AQ281" s="258"/>
      <c r="AR281" s="258"/>
      <c r="AS281" s="202"/>
      <c r="AT281" s="213"/>
      <c r="AU281" s="213"/>
    </row>
    <row r="282" spans="40:47" s="121" customFormat="1" hidden="1">
      <c r="AN282" s="239"/>
      <c r="AO282" s="225"/>
      <c r="AP282" s="260"/>
      <c r="AQ282" s="258"/>
      <c r="AR282" s="258"/>
      <c r="AS282" s="202"/>
      <c r="AT282" s="213"/>
      <c r="AU282" s="213"/>
    </row>
    <row r="283" spans="40:47" s="121" customFormat="1" hidden="1">
      <c r="AN283" s="239"/>
      <c r="AO283" s="225"/>
      <c r="AP283" s="260"/>
      <c r="AQ283" s="258"/>
      <c r="AR283" s="258"/>
      <c r="AS283" s="202"/>
      <c r="AT283" s="213"/>
      <c r="AU283" s="213"/>
    </row>
    <row r="284" spans="40:47" s="121" customFormat="1" hidden="1">
      <c r="AN284" s="239"/>
      <c r="AO284" s="225"/>
      <c r="AP284" s="260"/>
      <c r="AQ284" s="258"/>
      <c r="AR284" s="258"/>
      <c r="AS284" s="202"/>
      <c r="AT284" s="213"/>
      <c r="AU284" s="213"/>
    </row>
    <row r="285" spans="40:47" s="121" customFormat="1" hidden="1">
      <c r="AN285" s="239"/>
      <c r="AO285" s="225"/>
      <c r="AP285" s="260"/>
      <c r="AQ285" s="258"/>
      <c r="AR285" s="258"/>
      <c r="AS285" s="202"/>
      <c r="AT285" s="213"/>
      <c r="AU285" s="213"/>
    </row>
    <row r="286" spans="40:47" s="121" customFormat="1" hidden="1">
      <c r="AN286" s="239"/>
      <c r="AO286" s="225"/>
      <c r="AP286" s="260"/>
      <c r="AQ286" s="258"/>
      <c r="AR286" s="258"/>
      <c r="AS286" s="202"/>
      <c r="AT286" s="213"/>
      <c r="AU286" s="213"/>
    </row>
    <row r="287" spans="40:47" s="121" customFormat="1" hidden="1">
      <c r="AN287" s="239"/>
      <c r="AO287" s="225"/>
      <c r="AP287" s="260"/>
      <c r="AQ287" s="258"/>
      <c r="AR287" s="258"/>
      <c r="AS287" s="202"/>
      <c r="AT287" s="213"/>
      <c r="AU287" s="213"/>
    </row>
    <row r="288" spans="40:47" s="121" customFormat="1" hidden="1">
      <c r="AN288" s="239"/>
      <c r="AO288" s="225"/>
      <c r="AP288" s="260"/>
      <c r="AQ288" s="258"/>
      <c r="AR288" s="258"/>
      <c r="AS288" s="202"/>
      <c r="AT288" s="213"/>
      <c r="AU288" s="213"/>
    </row>
    <row r="289" spans="40:47" s="121" customFormat="1" hidden="1">
      <c r="AN289" s="239"/>
      <c r="AO289" s="225"/>
      <c r="AP289" s="260"/>
      <c r="AQ289" s="258"/>
      <c r="AR289" s="258"/>
      <c r="AS289" s="202"/>
      <c r="AT289" s="213"/>
      <c r="AU289" s="213"/>
    </row>
    <row r="290" spans="40:47" s="121" customFormat="1" hidden="1">
      <c r="AN290" s="239"/>
      <c r="AO290" s="225"/>
      <c r="AP290" s="260"/>
      <c r="AQ290" s="258"/>
      <c r="AR290" s="258"/>
      <c r="AS290" s="202"/>
      <c r="AT290" s="213"/>
      <c r="AU290" s="213"/>
    </row>
    <row r="291" spans="40:47" s="121" customFormat="1" hidden="1">
      <c r="AN291" s="239"/>
      <c r="AO291" s="225"/>
      <c r="AP291" s="260"/>
      <c r="AQ291" s="258"/>
      <c r="AR291" s="258"/>
      <c r="AS291" s="202"/>
      <c r="AT291" s="213"/>
      <c r="AU291" s="213"/>
    </row>
    <row r="292" spans="40:47" s="121" customFormat="1" hidden="1">
      <c r="AN292" s="239"/>
      <c r="AO292" s="225"/>
      <c r="AP292" s="260"/>
      <c r="AQ292" s="258"/>
      <c r="AR292" s="258"/>
      <c r="AS292" s="202"/>
      <c r="AT292" s="213"/>
      <c r="AU292" s="213"/>
    </row>
    <row r="293" spans="40:47" s="121" customFormat="1" hidden="1">
      <c r="AN293" s="239"/>
      <c r="AO293" s="225"/>
      <c r="AP293" s="260"/>
      <c r="AQ293" s="258"/>
      <c r="AR293" s="258"/>
      <c r="AS293" s="202"/>
      <c r="AT293" s="213"/>
      <c r="AU293" s="213"/>
    </row>
    <row r="294" spans="40:47" s="121" customFormat="1" hidden="1">
      <c r="AN294" s="239"/>
      <c r="AO294" s="225"/>
      <c r="AP294" s="260"/>
      <c r="AQ294" s="258"/>
      <c r="AR294" s="258"/>
      <c r="AS294" s="202"/>
      <c r="AT294" s="213"/>
      <c r="AU294" s="213"/>
    </row>
    <row r="295" spans="40:47" s="121" customFormat="1" hidden="1">
      <c r="AN295" s="239"/>
      <c r="AO295" s="225"/>
      <c r="AP295" s="260"/>
      <c r="AQ295" s="258"/>
      <c r="AR295" s="258"/>
      <c r="AS295" s="202"/>
      <c r="AT295" s="213"/>
      <c r="AU295" s="213"/>
    </row>
    <row r="296" spans="40:47" s="121" customFormat="1" hidden="1">
      <c r="AN296" s="239"/>
      <c r="AO296" s="225"/>
      <c r="AP296" s="260"/>
      <c r="AQ296" s="258"/>
      <c r="AR296" s="258"/>
      <c r="AS296" s="202"/>
      <c r="AT296" s="213"/>
      <c r="AU296" s="213"/>
    </row>
    <row r="297" spans="40:47" s="121" customFormat="1" hidden="1">
      <c r="AN297" s="239"/>
      <c r="AO297" s="225"/>
      <c r="AP297" s="260"/>
      <c r="AQ297" s="258"/>
      <c r="AR297" s="258"/>
      <c r="AS297" s="202"/>
      <c r="AT297" s="213"/>
      <c r="AU297" s="213"/>
    </row>
    <row r="298" spans="40:47" s="121" customFormat="1" hidden="1">
      <c r="AN298" s="239"/>
      <c r="AO298" s="225"/>
      <c r="AP298" s="260"/>
      <c r="AQ298" s="258"/>
      <c r="AR298" s="258"/>
      <c r="AS298" s="202"/>
      <c r="AT298" s="213"/>
      <c r="AU298" s="213"/>
    </row>
    <row r="299" spans="40:47" s="121" customFormat="1" hidden="1">
      <c r="AN299" s="239"/>
      <c r="AO299" s="225"/>
      <c r="AP299" s="260"/>
      <c r="AQ299" s="258"/>
      <c r="AR299" s="258"/>
      <c r="AS299" s="202"/>
      <c r="AT299" s="213"/>
      <c r="AU299" s="213"/>
    </row>
    <row r="300" spans="40:47" s="121" customFormat="1" hidden="1">
      <c r="AN300" s="239"/>
      <c r="AO300" s="225"/>
      <c r="AP300" s="260"/>
      <c r="AQ300" s="258"/>
      <c r="AR300" s="258"/>
      <c r="AS300" s="202"/>
      <c r="AT300" s="213"/>
      <c r="AU300" s="213"/>
    </row>
    <row r="301" spans="40:47" s="121" customFormat="1" hidden="1">
      <c r="AN301" s="239"/>
      <c r="AO301" s="225"/>
      <c r="AP301" s="260"/>
      <c r="AQ301" s="258"/>
      <c r="AR301" s="258"/>
      <c r="AS301" s="202"/>
      <c r="AT301" s="213"/>
      <c r="AU301" s="213"/>
    </row>
    <row r="302" spans="40:47" s="121" customFormat="1" hidden="1">
      <c r="AN302" s="239"/>
      <c r="AO302" s="225"/>
      <c r="AP302" s="260"/>
      <c r="AQ302" s="258"/>
      <c r="AR302" s="258"/>
      <c r="AS302" s="202"/>
      <c r="AT302" s="213"/>
      <c r="AU302" s="213"/>
    </row>
    <row r="303" spans="40:47" s="121" customFormat="1" hidden="1">
      <c r="AN303" s="239"/>
      <c r="AO303" s="225"/>
      <c r="AP303" s="260"/>
      <c r="AQ303" s="258"/>
      <c r="AR303" s="258"/>
      <c r="AS303" s="202"/>
      <c r="AT303" s="213"/>
      <c r="AU303" s="213"/>
    </row>
    <row r="304" spans="40:47" s="121" customFormat="1" hidden="1">
      <c r="AN304" s="239"/>
      <c r="AO304" s="225"/>
      <c r="AP304" s="260"/>
      <c r="AQ304" s="258"/>
      <c r="AR304" s="258"/>
      <c r="AS304" s="202"/>
      <c r="AT304" s="213"/>
      <c r="AU304" s="213"/>
    </row>
    <row r="305" spans="40:47" s="121" customFormat="1" hidden="1">
      <c r="AN305" s="239"/>
      <c r="AO305" s="225"/>
      <c r="AP305" s="260"/>
      <c r="AQ305" s="258"/>
      <c r="AR305" s="258"/>
      <c r="AS305" s="202"/>
      <c r="AT305" s="213"/>
      <c r="AU305" s="213"/>
    </row>
    <row r="306" spans="40:47" s="121" customFormat="1" hidden="1">
      <c r="AN306" s="239"/>
      <c r="AO306" s="225"/>
      <c r="AP306" s="260"/>
      <c r="AQ306" s="258"/>
      <c r="AR306" s="258"/>
      <c r="AS306" s="202"/>
      <c r="AT306" s="213"/>
      <c r="AU306" s="213"/>
    </row>
    <row r="307" spans="40:47" s="121" customFormat="1" hidden="1">
      <c r="AN307" s="239"/>
      <c r="AO307" s="225"/>
      <c r="AP307" s="260"/>
      <c r="AQ307" s="258"/>
      <c r="AR307" s="258"/>
      <c r="AS307" s="202"/>
      <c r="AT307" s="213"/>
      <c r="AU307" s="213"/>
    </row>
    <row r="308" spans="40:47" s="121" customFormat="1" hidden="1">
      <c r="AN308" s="239"/>
      <c r="AO308" s="225"/>
      <c r="AP308" s="260"/>
      <c r="AQ308" s="258"/>
      <c r="AR308" s="258"/>
      <c r="AS308" s="202"/>
      <c r="AT308" s="213"/>
      <c r="AU308" s="213"/>
    </row>
    <row r="309" spans="40:47" s="121" customFormat="1" hidden="1">
      <c r="AN309" s="239"/>
      <c r="AO309" s="225"/>
      <c r="AP309" s="260"/>
      <c r="AQ309" s="258"/>
      <c r="AR309" s="258"/>
      <c r="AS309" s="202"/>
      <c r="AT309" s="213"/>
      <c r="AU309" s="213"/>
    </row>
    <row r="310" spans="40:47" s="121" customFormat="1" hidden="1">
      <c r="AN310" s="239"/>
      <c r="AO310" s="225"/>
      <c r="AP310" s="260"/>
      <c r="AQ310" s="258"/>
      <c r="AR310" s="258"/>
      <c r="AS310" s="202"/>
      <c r="AT310" s="213"/>
      <c r="AU310" s="213"/>
    </row>
    <row r="311" spans="40:47" s="121" customFormat="1" hidden="1">
      <c r="AN311" s="239"/>
      <c r="AO311" s="225"/>
      <c r="AP311" s="260"/>
      <c r="AQ311" s="258"/>
      <c r="AR311" s="258"/>
      <c r="AS311" s="202"/>
      <c r="AT311" s="213"/>
      <c r="AU311" s="213"/>
    </row>
    <row r="312" spans="40:47" s="121" customFormat="1" hidden="1">
      <c r="AN312" s="239"/>
      <c r="AO312" s="225"/>
      <c r="AP312" s="260"/>
      <c r="AQ312" s="258"/>
      <c r="AR312" s="258"/>
      <c r="AS312" s="202"/>
      <c r="AT312" s="213"/>
      <c r="AU312" s="213"/>
    </row>
    <row r="313" spans="40:47" s="121" customFormat="1" hidden="1">
      <c r="AN313" s="239"/>
      <c r="AO313" s="225"/>
      <c r="AP313" s="260"/>
      <c r="AQ313" s="258"/>
      <c r="AR313" s="258"/>
      <c r="AS313" s="202"/>
      <c r="AT313" s="213"/>
      <c r="AU313" s="213"/>
    </row>
    <row r="314" spans="40:47" s="121" customFormat="1" hidden="1">
      <c r="AN314" s="239"/>
      <c r="AO314" s="225"/>
      <c r="AP314" s="260"/>
      <c r="AQ314" s="258"/>
      <c r="AR314" s="258"/>
      <c r="AS314" s="202"/>
      <c r="AT314" s="213"/>
      <c r="AU314" s="213"/>
    </row>
    <row r="315" spans="40:47" s="121" customFormat="1" hidden="1">
      <c r="AN315" s="239"/>
      <c r="AO315" s="225"/>
      <c r="AP315" s="260"/>
      <c r="AQ315" s="258"/>
      <c r="AR315" s="258"/>
      <c r="AS315" s="202"/>
      <c r="AT315" s="213"/>
      <c r="AU315" s="213"/>
    </row>
    <row r="316" spans="40:47" s="121" customFormat="1" hidden="1">
      <c r="AN316" s="239"/>
      <c r="AO316" s="225"/>
      <c r="AP316" s="260"/>
      <c r="AQ316" s="258"/>
      <c r="AR316" s="258"/>
      <c r="AS316" s="202"/>
      <c r="AT316" s="213"/>
      <c r="AU316" s="213"/>
    </row>
    <row r="317" spans="40:47" s="121" customFormat="1" hidden="1">
      <c r="AN317" s="239"/>
      <c r="AO317" s="225"/>
      <c r="AP317" s="260"/>
      <c r="AQ317" s="258"/>
      <c r="AR317" s="258"/>
      <c r="AS317" s="202"/>
      <c r="AT317" s="213"/>
      <c r="AU317" s="213"/>
    </row>
    <row r="318" spans="40:47" s="121" customFormat="1" hidden="1">
      <c r="AN318" s="239"/>
      <c r="AO318" s="225"/>
      <c r="AP318" s="260"/>
      <c r="AQ318" s="258"/>
      <c r="AR318" s="258"/>
      <c r="AS318" s="202"/>
      <c r="AT318" s="213"/>
      <c r="AU318" s="213"/>
    </row>
    <row r="319" spans="40:47" s="121" customFormat="1" hidden="1">
      <c r="AN319" s="239"/>
      <c r="AO319" s="225"/>
      <c r="AP319" s="260"/>
      <c r="AQ319" s="258"/>
      <c r="AR319" s="258"/>
      <c r="AS319" s="202"/>
      <c r="AT319" s="213"/>
      <c r="AU319" s="213"/>
    </row>
    <row r="320" spans="40:47" s="121" customFormat="1" hidden="1">
      <c r="AN320" s="239"/>
      <c r="AO320" s="225"/>
      <c r="AP320" s="260"/>
      <c r="AQ320" s="258"/>
      <c r="AR320" s="258"/>
      <c r="AS320" s="202"/>
      <c r="AT320" s="213"/>
      <c r="AU320" s="213"/>
    </row>
    <row r="321" spans="40:47" s="121" customFormat="1" hidden="1">
      <c r="AN321" s="239"/>
      <c r="AO321" s="225"/>
      <c r="AP321" s="260"/>
      <c r="AQ321" s="258"/>
      <c r="AR321" s="258"/>
      <c r="AS321" s="202"/>
      <c r="AT321" s="213"/>
      <c r="AU321" s="213"/>
    </row>
    <row r="322" spans="40:47" s="121" customFormat="1" hidden="1">
      <c r="AN322" s="239"/>
      <c r="AO322" s="225"/>
      <c r="AP322" s="260"/>
      <c r="AQ322" s="258"/>
      <c r="AR322" s="258"/>
      <c r="AS322" s="202"/>
      <c r="AT322" s="213"/>
      <c r="AU322" s="213"/>
    </row>
    <row r="323" spans="40:47" s="121" customFormat="1" hidden="1">
      <c r="AN323" s="239"/>
      <c r="AO323" s="225"/>
      <c r="AP323" s="260"/>
      <c r="AQ323" s="258"/>
      <c r="AR323" s="258"/>
      <c r="AS323" s="202"/>
      <c r="AT323" s="213"/>
      <c r="AU323" s="213"/>
    </row>
    <row r="324" spans="40:47" s="121" customFormat="1" hidden="1">
      <c r="AN324" s="239"/>
      <c r="AO324" s="225"/>
      <c r="AP324" s="260"/>
      <c r="AQ324" s="258"/>
      <c r="AR324" s="258"/>
      <c r="AS324" s="202"/>
      <c r="AT324" s="213"/>
      <c r="AU324" s="213"/>
    </row>
    <row r="325" spans="40:47" s="121" customFormat="1" hidden="1">
      <c r="AN325" s="239"/>
      <c r="AO325" s="225"/>
      <c r="AP325" s="260"/>
      <c r="AQ325" s="258"/>
      <c r="AR325" s="258"/>
      <c r="AS325" s="202"/>
      <c r="AT325" s="213"/>
      <c r="AU325" s="213"/>
    </row>
    <row r="326" spans="40:47" s="121" customFormat="1" hidden="1">
      <c r="AN326" s="239"/>
      <c r="AO326" s="225"/>
      <c r="AP326" s="260"/>
      <c r="AQ326" s="258"/>
      <c r="AR326" s="258"/>
      <c r="AS326" s="202"/>
      <c r="AT326" s="213"/>
      <c r="AU326" s="213"/>
    </row>
    <row r="327" spans="40:47" s="121" customFormat="1" hidden="1">
      <c r="AN327" s="239"/>
      <c r="AO327" s="225"/>
      <c r="AP327" s="260"/>
      <c r="AQ327" s="258"/>
      <c r="AR327" s="258"/>
      <c r="AS327" s="202"/>
      <c r="AT327" s="213"/>
      <c r="AU327" s="213"/>
    </row>
    <row r="328" spans="40:47" s="121" customFormat="1" hidden="1">
      <c r="AN328" s="239"/>
      <c r="AO328" s="225"/>
      <c r="AP328" s="260"/>
      <c r="AQ328" s="258"/>
      <c r="AR328" s="258"/>
      <c r="AS328" s="202"/>
      <c r="AT328" s="213"/>
      <c r="AU328" s="213"/>
    </row>
    <row r="329" spans="40:47" s="121" customFormat="1" hidden="1">
      <c r="AN329" s="239"/>
      <c r="AO329" s="225"/>
      <c r="AP329" s="260"/>
      <c r="AQ329" s="258"/>
      <c r="AR329" s="258"/>
      <c r="AS329" s="202"/>
      <c r="AT329" s="213"/>
      <c r="AU329" s="213"/>
    </row>
    <row r="330" spans="40:47" s="121" customFormat="1" hidden="1">
      <c r="AN330" s="239"/>
      <c r="AO330" s="225"/>
      <c r="AP330" s="260"/>
      <c r="AQ330" s="258"/>
      <c r="AR330" s="258"/>
      <c r="AS330" s="202"/>
      <c r="AT330" s="213"/>
      <c r="AU330" s="213"/>
    </row>
    <row r="331" spans="40:47" s="121" customFormat="1" hidden="1">
      <c r="AN331" s="239"/>
      <c r="AO331" s="225"/>
      <c r="AP331" s="260"/>
      <c r="AQ331" s="258"/>
      <c r="AR331" s="258"/>
      <c r="AS331" s="202"/>
      <c r="AT331" s="213"/>
      <c r="AU331" s="213"/>
    </row>
    <row r="332" spans="40:47" s="121" customFormat="1" hidden="1">
      <c r="AN332" s="239"/>
      <c r="AO332" s="225"/>
      <c r="AP332" s="260"/>
      <c r="AQ332" s="258"/>
      <c r="AR332" s="258"/>
      <c r="AS332" s="202"/>
      <c r="AT332" s="213"/>
      <c r="AU332" s="213"/>
    </row>
    <row r="333" spans="40:47" s="121" customFormat="1" hidden="1">
      <c r="AN333" s="239"/>
      <c r="AO333" s="225"/>
      <c r="AP333" s="260"/>
      <c r="AQ333" s="258"/>
      <c r="AR333" s="258"/>
      <c r="AS333" s="202"/>
      <c r="AT333" s="213"/>
      <c r="AU333" s="213"/>
    </row>
    <row r="334" spans="40:47" s="121" customFormat="1" hidden="1">
      <c r="AN334" s="239"/>
      <c r="AO334" s="225"/>
      <c r="AP334" s="260"/>
      <c r="AQ334" s="258"/>
      <c r="AR334" s="258"/>
      <c r="AS334" s="202"/>
      <c r="AT334" s="213"/>
      <c r="AU334" s="213"/>
    </row>
    <row r="335" spans="40:47" s="121" customFormat="1" hidden="1">
      <c r="AN335" s="239"/>
      <c r="AO335" s="225"/>
      <c r="AP335" s="260"/>
      <c r="AQ335" s="258"/>
      <c r="AR335" s="258"/>
      <c r="AS335" s="202"/>
      <c r="AT335" s="213"/>
      <c r="AU335" s="213"/>
    </row>
    <row r="336" spans="40:47" s="121" customFormat="1" hidden="1">
      <c r="AN336" s="239"/>
      <c r="AO336" s="225"/>
      <c r="AP336" s="260"/>
      <c r="AQ336" s="258"/>
      <c r="AR336" s="258"/>
      <c r="AS336" s="202"/>
      <c r="AT336" s="213"/>
      <c r="AU336" s="213"/>
    </row>
    <row r="337" spans="40:47" s="121" customFormat="1" hidden="1">
      <c r="AN337" s="239"/>
      <c r="AO337" s="225"/>
      <c r="AP337" s="260"/>
      <c r="AQ337" s="258"/>
      <c r="AR337" s="258"/>
      <c r="AS337" s="202"/>
      <c r="AT337" s="213"/>
      <c r="AU337" s="213"/>
    </row>
    <row r="338" spans="40:47" s="121" customFormat="1" hidden="1">
      <c r="AN338" s="239"/>
      <c r="AO338" s="225"/>
      <c r="AP338" s="260"/>
      <c r="AQ338" s="258"/>
      <c r="AR338" s="258"/>
      <c r="AS338" s="202"/>
      <c r="AT338" s="213"/>
      <c r="AU338" s="213"/>
    </row>
    <row r="339" spans="40:47" s="121" customFormat="1" hidden="1">
      <c r="AN339" s="239"/>
      <c r="AO339" s="225"/>
      <c r="AP339" s="260"/>
      <c r="AQ339" s="258"/>
      <c r="AR339" s="258"/>
      <c r="AS339" s="202"/>
      <c r="AT339" s="213"/>
      <c r="AU339" s="213"/>
    </row>
    <row r="340" spans="40:47" s="121" customFormat="1" hidden="1">
      <c r="AN340" s="239"/>
      <c r="AO340" s="225"/>
      <c r="AP340" s="260"/>
      <c r="AQ340" s="258"/>
      <c r="AR340" s="258"/>
      <c r="AS340" s="202"/>
      <c r="AT340" s="213"/>
      <c r="AU340" s="213"/>
    </row>
    <row r="341" spans="40:47" s="121" customFormat="1" hidden="1">
      <c r="AN341" s="239"/>
      <c r="AO341" s="225"/>
      <c r="AP341" s="260"/>
      <c r="AQ341" s="258"/>
      <c r="AR341" s="258"/>
      <c r="AS341" s="202"/>
      <c r="AT341" s="213"/>
      <c r="AU341" s="213"/>
    </row>
    <row r="342" spans="40:47" s="121" customFormat="1" hidden="1">
      <c r="AN342" s="239"/>
      <c r="AO342" s="225"/>
      <c r="AP342" s="260"/>
      <c r="AQ342" s="258"/>
      <c r="AR342" s="258"/>
      <c r="AS342" s="202"/>
      <c r="AT342" s="213"/>
      <c r="AU342" s="213"/>
    </row>
    <row r="343" spans="40:47" s="121" customFormat="1" hidden="1">
      <c r="AN343" s="239"/>
      <c r="AO343" s="225"/>
      <c r="AP343" s="260"/>
      <c r="AQ343" s="258"/>
      <c r="AR343" s="258"/>
      <c r="AS343" s="202"/>
      <c r="AT343" s="213"/>
      <c r="AU343" s="213"/>
    </row>
    <row r="344" spans="40:47" s="121" customFormat="1" hidden="1">
      <c r="AN344" s="239"/>
      <c r="AO344" s="225"/>
      <c r="AP344" s="260"/>
      <c r="AQ344" s="258"/>
      <c r="AR344" s="258"/>
      <c r="AS344" s="202"/>
      <c r="AT344" s="213"/>
      <c r="AU344" s="213"/>
    </row>
    <row r="345" spans="40:47" s="121" customFormat="1" hidden="1">
      <c r="AN345" s="239"/>
      <c r="AO345" s="225"/>
      <c r="AP345" s="260"/>
      <c r="AQ345" s="258"/>
      <c r="AR345" s="258"/>
      <c r="AS345" s="202"/>
      <c r="AT345" s="213"/>
      <c r="AU345" s="213"/>
    </row>
    <row r="346" spans="40:47" s="121" customFormat="1" hidden="1">
      <c r="AN346" s="239"/>
      <c r="AO346" s="225"/>
      <c r="AP346" s="260"/>
      <c r="AQ346" s="258"/>
      <c r="AR346" s="258"/>
      <c r="AS346" s="202"/>
      <c r="AT346" s="213"/>
      <c r="AU346" s="213"/>
    </row>
    <row r="347" spans="40:47" s="121" customFormat="1" hidden="1">
      <c r="AN347" s="239"/>
      <c r="AO347" s="225"/>
      <c r="AP347" s="260"/>
      <c r="AQ347" s="258"/>
      <c r="AR347" s="258"/>
      <c r="AS347" s="202"/>
      <c r="AT347" s="213"/>
      <c r="AU347" s="213"/>
    </row>
    <row r="348" spans="40:47" s="121" customFormat="1" hidden="1">
      <c r="AN348" s="239"/>
      <c r="AO348" s="225"/>
      <c r="AP348" s="260"/>
      <c r="AQ348" s="258"/>
      <c r="AR348" s="258"/>
      <c r="AS348" s="202"/>
      <c r="AT348" s="213"/>
      <c r="AU348" s="213"/>
    </row>
    <row r="349" spans="40:47" s="121" customFormat="1" hidden="1">
      <c r="AN349" s="239"/>
      <c r="AO349" s="225"/>
      <c r="AP349" s="260"/>
      <c r="AQ349" s="258"/>
      <c r="AR349" s="258"/>
      <c r="AS349" s="202"/>
      <c r="AT349" s="213"/>
      <c r="AU349" s="213"/>
    </row>
    <row r="350" spans="40:47" s="121" customFormat="1" hidden="1">
      <c r="AN350" s="239"/>
      <c r="AO350" s="225"/>
      <c r="AP350" s="260"/>
      <c r="AQ350" s="258"/>
      <c r="AR350" s="258"/>
      <c r="AS350" s="202"/>
      <c r="AT350" s="213"/>
      <c r="AU350" s="213"/>
    </row>
    <row r="351" spans="40:47" s="121" customFormat="1" hidden="1">
      <c r="AN351" s="239"/>
      <c r="AO351" s="225"/>
      <c r="AP351" s="260"/>
      <c r="AQ351" s="258"/>
      <c r="AR351" s="258"/>
      <c r="AS351" s="202"/>
      <c r="AT351" s="213"/>
      <c r="AU351" s="213"/>
    </row>
    <row r="352" spans="40:47" s="121" customFormat="1" hidden="1">
      <c r="AN352" s="239"/>
      <c r="AO352" s="225"/>
      <c r="AP352" s="260"/>
      <c r="AQ352" s="258"/>
      <c r="AR352" s="258"/>
      <c r="AS352" s="202"/>
      <c r="AT352" s="213"/>
      <c r="AU352" s="213"/>
    </row>
    <row r="353" spans="40:47" s="121" customFormat="1" hidden="1">
      <c r="AN353" s="239"/>
      <c r="AO353" s="225"/>
      <c r="AP353" s="260"/>
      <c r="AQ353" s="258"/>
      <c r="AR353" s="258"/>
      <c r="AS353" s="202"/>
      <c r="AT353" s="213"/>
      <c r="AU353" s="213"/>
    </row>
    <row r="354" spans="40:47" s="121" customFormat="1" hidden="1">
      <c r="AN354" s="239"/>
      <c r="AO354" s="225"/>
      <c r="AP354" s="260"/>
      <c r="AQ354" s="258"/>
      <c r="AR354" s="258"/>
      <c r="AS354" s="202"/>
      <c r="AT354" s="213"/>
      <c r="AU354" s="213"/>
    </row>
    <row r="355" spans="40:47" s="121" customFormat="1" hidden="1">
      <c r="AN355" s="239"/>
      <c r="AO355" s="225"/>
      <c r="AP355" s="260"/>
      <c r="AQ355" s="258"/>
      <c r="AR355" s="258"/>
      <c r="AS355" s="202"/>
      <c r="AT355" s="213"/>
      <c r="AU355" s="213"/>
    </row>
    <row r="356" spans="40:47" s="121" customFormat="1" hidden="1">
      <c r="AN356" s="239"/>
      <c r="AO356" s="225"/>
      <c r="AP356" s="260"/>
      <c r="AQ356" s="258"/>
      <c r="AR356" s="258"/>
      <c r="AS356" s="202"/>
      <c r="AT356" s="213"/>
      <c r="AU356" s="213"/>
    </row>
    <row r="357" spans="40:47" s="121" customFormat="1" hidden="1">
      <c r="AN357" s="239"/>
      <c r="AO357" s="225"/>
      <c r="AP357" s="260"/>
      <c r="AQ357" s="258"/>
      <c r="AR357" s="258"/>
      <c r="AS357" s="202"/>
      <c r="AT357" s="213"/>
      <c r="AU357" s="213"/>
    </row>
    <row r="358" spans="40:47" s="121" customFormat="1" hidden="1">
      <c r="AN358" s="239"/>
      <c r="AO358" s="225"/>
      <c r="AP358" s="260"/>
      <c r="AQ358" s="258"/>
      <c r="AR358" s="258"/>
      <c r="AS358" s="202"/>
      <c r="AT358" s="213"/>
      <c r="AU358" s="213"/>
    </row>
    <row r="359" spans="40:47" s="121" customFormat="1" hidden="1">
      <c r="AN359" s="239"/>
      <c r="AO359" s="225"/>
      <c r="AP359" s="260"/>
      <c r="AQ359" s="258"/>
      <c r="AR359" s="258"/>
      <c r="AS359" s="202"/>
      <c r="AT359" s="213"/>
      <c r="AU359" s="213"/>
    </row>
    <row r="360" spans="40:47" s="121" customFormat="1" hidden="1">
      <c r="AN360" s="239"/>
      <c r="AO360" s="225"/>
      <c r="AP360" s="260"/>
      <c r="AQ360" s="258"/>
      <c r="AR360" s="258"/>
      <c r="AS360" s="202"/>
      <c r="AT360" s="213"/>
      <c r="AU360" s="213"/>
    </row>
    <row r="361" spans="40:47" s="121" customFormat="1" hidden="1">
      <c r="AN361" s="239"/>
      <c r="AO361" s="225"/>
      <c r="AP361" s="260"/>
      <c r="AQ361" s="258"/>
      <c r="AR361" s="258"/>
      <c r="AS361" s="202"/>
      <c r="AT361" s="213"/>
      <c r="AU361" s="213"/>
    </row>
    <row r="362" spans="40:47" s="121" customFormat="1" hidden="1">
      <c r="AN362" s="239"/>
      <c r="AO362" s="225"/>
      <c r="AP362" s="260"/>
      <c r="AQ362" s="258"/>
      <c r="AR362" s="258"/>
      <c r="AS362" s="202"/>
      <c r="AT362" s="213"/>
      <c r="AU362" s="213"/>
    </row>
    <row r="363" spans="40:47" s="121" customFormat="1" hidden="1">
      <c r="AN363" s="239"/>
      <c r="AO363" s="225"/>
      <c r="AP363" s="260"/>
      <c r="AQ363" s="258"/>
      <c r="AR363" s="258"/>
      <c r="AS363" s="202"/>
      <c r="AT363" s="213"/>
      <c r="AU363" s="213"/>
    </row>
    <row r="364" spans="40:47" s="121" customFormat="1" hidden="1">
      <c r="AN364" s="239"/>
      <c r="AO364" s="225"/>
      <c r="AP364" s="260"/>
      <c r="AQ364" s="258"/>
      <c r="AR364" s="258"/>
      <c r="AS364" s="202"/>
      <c r="AT364" s="213"/>
      <c r="AU364" s="213"/>
    </row>
    <row r="365" spans="40:47" s="121" customFormat="1" hidden="1">
      <c r="AN365" s="239"/>
      <c r="AO365" s="225"/>
      <c r="AP365" s="260"/>
      <c r="AQ365" s="258"/>
      <c r="AR365" s="258"/>
      <c r="AS365" s="202"/>
      <c r="AT365" s="213"/>
      <c r="AU365" s="213"/>
    </row>
    <row r="366" spans="40:47" s="121" customFormat="1" hidden="1">
      <c r="AN366" s="239"/>
      <c r="AO366" s="225"/>
      <c r="AP366" s="260"/>
      <c r="AQ366" s="258"/>
      <c r="AR366" s="258"/>
      <c r="AS366" s="202"/>
      <c r="AT366" s="213"/>
      <c r="AU366" s="213"/>
    </row>
    <row r="367" spans="40:47" s="121" customFormat="1" hidden="1">
      <c r="AN367" s="239"/>
      <c r="AO367" s="225"/>
      <c r="AP367" s="260"/>
      <c r="AQ367" s="258"/>
      <c r="AR367" s="258"/>
      <c r="AS367" s="202"/>
      <c r="AT367" s="213"/>
      <c r="AU367" s="213"/>
    </row>
    <row r="368" spans="40:47" s="121" customFormat="1" hidden="1">
      <c r="AN368" s="239"/>
      <c r="AO368" s="225"/>
      <c r="AP368" s="260"/>
      <c r="AQ368" s="258"/>
      <c r="AR368" s="258"/>
      <c r="AS368" s="202"/>
      <c r="AT368" s="213"/>
      <c r="AU368" s="213"/>
    </row>
    <row r="369" spans="40:47" s="121" customFormat="1" hidden="1">
      <c r="AN369" s="239"/>
      <c r="AO369" s="225"/>
      <c r="AP369" s="260"/>
      <c r="AQ369" s="258"/>
      <c r="AR369" s="258"/>
      <c r="AS369" s="202"/>
      <c r="AT369" s="213"/>
      <c r="AU369" s="213"/>
    </row>
    <row r="370" spans="40:47" s="121" customFormat="1" hidden="1">
      <c r="AN370" s="239"/>
      <c r="AO370" s="225"/>
      <c r="AP370" s="260"/>
      <c r="AQ370" s="258"/>
      <c r="AR370" s="258"/>
      <c r="AS370" s="202"/>
      <c r="AT370" s="213"/>
      <c r="AU370" s="213"/>
    </row>
    <row r="371" spans="40:47" s="121" customFormat="1" hidden="1">
      <c r="AN371" s="239"/>
      <c r="AO371" s="225"/>
      <c r="AP371" s="260"/>
      <c r="AQ371" s="258"/>
      <c r="AR371" s="258"/>
      <c r="AS371" s="202"/>
      <c r="AT371" s="213"/>
      <c r="AU371" s="213"/>
    </row>
    <row r="372" spans="40:47" s="121" customFormat="1" hidden="1">
      <c r="AN372" s="239"/>
      <c r="AO372" s="225"/>
      <c r="AP372" s="260"/>
      <c r="AQ372" s="258"/>
      <c r="AR372" s="258"/>
      <c r="AS372" s="202"/>
      <c r="AT372" s="213"/>
      <c r="AU372" s="213"/>
    </row>
    <row r="373" spans="40:47" s="121" customFormat="1" hidden="1">
      <c r="AN373" s="239"/>
      <c r="AO373" s="225"/>
      <c r="AP373" s="260"/>
      <c r="AQ373" s="258"/>
      <c r="AR373" s="258"/>
      <c r="AS373" s="202"/>
      <c r="AT373" s="213"/>
      <c r="AU373" s="213"/>
    </row>
    <row r="374" spans="40:47" s="121" customFormat="1" hidden="1">
      <c r="AN374" s="239"/>
      <c r="AO374" s="225"/>
      <c r="AP374" s="260"/>
      <c r="AQ374" s="258"/>
      <c r="AR374" s="258"/>
      <c r="AS374" s="202"/>
      <c r="AT374" s="213"/>
      <c r="AU374" s="213"/>
    </row>
    <row r="375" spans="40:47" s="121" customFormat="1" hidden="1">
      <c r="AN375" s="239"/>
      <c r="AO375" s="225"/>
      <c r="AP375" s="260"/>
      <c r="AQ375" s="258"/>
      <c r="AR375" s="258"/>
      <c r="AS375" s="202"/>
      <c r="AT375" s="213"/>
      <c r="AU375" s="213"/>
    </row>
    <row r="376" spans="40:47" s="121" customFormat="1" hidden="1">
      <c r="AN376" s="239"/>
      <c r="AO376" s="225"/>
      <c r="AP376" s="260"/>
      <c r="AQ376" s="258"/>
      <c r="AR376" s="258"/>
      <c r="AS376" s="202"/>
      <c r="AT376" s="213"/>
      <c r="AU376" s="213"/>
    </row>
    <row r="377" spans="40:47" s="121" customFormat="1" hidden="1">
      <c r="AN377" s="239"/>
      <c r="AO377" s="225"/>
      <c r="AP377" s="260"/>
      <c r="AQ377" s="258"/>
      <c r="AR377" s="258"/>
      <c r="AS377" s="202"/>
      <c r="AT377" s="213"/>
      <c r="AU377" s="213"/>
    </row>
    <row r="378" spans="40:47" s="121" customFormat="1" hidden="1">
      <c r="AN378" s="239"/>
      <c r="AO378" s="225"/>
      <c r="AP378" s="260"/>
      <c r="AQ378" s="258"/>
      <c r="AR378" s="258"/>
      <c r="AS378" s="202"/>
      <c r="AT378" s="213"/>
      <c r="AU378" s="213"/>
    </row>
    <row r="379" spans="40:47" s="121" customFormat="1" hidden="1">
      <c r="AN379" s="239"/>
      <c r="AO379" s="225"/>
      <c r="AP379" s="260"/>
      <c r="AQ379" s="258"/>
      <c r="AR379" s="258"/>
      <c r="AS379" s="202"/>
      <c r="AT379" s="213"/>
      <c r="AU379" s="213"/>
    </row>
    <row r="380" spans="40:47" s="121" customFormat="1" hidden="1">
      <c r="AN380" s="239"/>
      <c r="AO380" s="225"/>
      <c r="AP380" s="260"/>
      <c r="AQ380" s="258"/>
      <c r="AR380" s="258"/>
      <c r="AS380" s="202"/>
      <c r="AT380" s="213"/>
      <c r="AU380" s="213"/>
    </row>
    <row r="381" spans="40:47" s="121" customFormat="1" hidden="1">
      <c r="AN381" s="239"/>
      <c r="AO381" s="225"/>
      <c r="AP381" s="260"/>
      <c r="AQ381" s="258"/>
      <c r="AR381" s="258"/>
      <c r="AS381" s="202"/>
      <c r="AT381" s="213"/>
      <c r="AU381" s="213"/>
    </row>
    <row r="382" spans="40:47" s="121" customFormat="1" hidden="1">
      <c r="AN382" s="239"/>
      <c r="AO382" s="225"/>
      <c r="AP382" s="260"/>
      <c r="AQ382" s="258"/>
      <c r="AR382" s="258"/>
      <c r="AS382" s="202"/>
      <c r="AT382" s="213"/>
      <c r="AU382" s="213"/>
    </row>
    <row r="383" spans="40:47" s="121" customFormat="1" hidden="1">
      <c r="AN383" s="239"/>
      <c r="AO383" s="225"/>
      <c r="AP383" s="260"/>
      <c r="AQ383" s="258"/>
      <c r="AR383" s="258"/>
      <c r="AS383" s="202"/>
      <c r="AT383" s="213"/>
      <c r="AU383" s="213"/>
    </row>
    <row r="384" spans="40:47" s="121" customFormat="1" hidden="1">
      <c r="AN384" s="239"/>
      <c r="AO384" s="225"/>
      <c r="AP384" s="260"/>
      <c r="AQ384" s="258"/>
      <c r="AR384" s="258"/>
      <c r="AS384" s="202"/>
      <c r="AT384" s="213"/>
      <c r="AU384" s="213"/>
    </row>
    <row r="385" spans="40:47" s="121" customFormat="1" hidden="1">
      <c r="AN385" s="239"/>
      <c r="AO385" s="225"/>
      <c r="AP385" s="260"/>
      <c r="AQ385" s="258"/>
      <c r="AR385" s="258"/>
      <c r="AS385" s="202"/>
      <c r="AT385" s="213"/>
      <c r="AU385" s="213"/>
    </row>
    <row r="386" spans="40:47" s="121" customFormat="1" hidden="1">
      <c r="AN386" s="239"/>
      <c r="AO386" s="225"/>
      <c r="AP386" s="260"/>
      <c r="AQ386" s="258"/>
      <c r="AR386" s="258"/>
      <c r="AS386" s="202"/>
      <c r="AT386" s="213"/>
      <c r="AU386" s="213"/>
    </row>
    <row r="387" spans="40:47" s="121" customFormat="1" hidden="1">
      <c r="AN387" s="239"/>
      <c r="AO387" s="225"/>
      <c r="AP387" s="260"/>
      <c r="AQ387" s="258"/>
      <c r="AR387" s="258"/>
      <c r="AS387" s="202"/>
      <c r="AT387" s="213"/>
      <c r="AU387" s="213"/>
    </row>
    <row r="388" spans="40:47" s="121" customFormat="1" hidden="1">
      <c r="AN388" s="239"/>
      <c r="AO388" s="225"/>
      <c r="AP388" s="260"/>
      <c r="AQ388" s="258"/>
      <c r="AR388" s="258"/>
      <c r="AS388" s="202"/>
      <c r="AT388" s="213"/>
      <c r="AU388" s="213"/>
    </row>
    <row r="389" spans="40:47" s="121" customFormat="1" hidden="1">
      <c r="AN389" s="239"/>
      <c r="AO389" s="225"/>
      <c r="AP389" s="260"/>
      <c r="AQ389" s="258"/>
      <c r="AR389" s="258"/>
      <c r="AS389" s="202"/>
      <c r="AT389" s="213"/>
      <c r="AU389" s="213"/>
    </row>
    <row r="390" spans="40:47" s="121" customFormat="1" hidden="1">
      <c r="AN390" s="239"/>
      <c r="AO390" s="225"/>
      <c r="AP390" s="260"/>
      <c r="AQ390" s="258"/>
      <c r="AR390" s="258"/>
      <c r="AS390" s="202"/>
      <c r="AT390" s="213"/>
      <c r="AU390" s="213"/>
    </row>
    <row r="391" spans="40:47" s="121" customFormat="1" hidden="1">
      <c r="AN391" s="239"/>
      <c r="AO391" s="225"/>
      <c r="AP391" s="260"/>
      <c r="AQ391" s="258"/>
      <c r="AR391" s="258"/>
      <c r="AS391" s="202"/>
      <c r="AT391" s="213"/>
      <c r="AU391" s="213"/>
    </row>
    <row r="392" spans="40:47" s="121" customFormat="1" hidden="1">
      <c r="AN392" s="239"/>
      <c r="AO392" s="225"/>
      <c r="AP392" s="260"/>
      <c r="AQ392" s="258"/>
      <c r="AR392" s="258"/>
      <c r="AS392" s="202"/>
      <c r="AT392" s="213"/>
      <c r="AU392" s="213"/>
    </row>
    <row r="393" spans="40:47" s="121" customFormat="1" hidden="1">
      <c r="AN393" s="239"/>
      <c r="AO393" s="225"/>
      <c r="AP393" s="260"/>
      <c r="AQ393" s="258"/>
      <c r="AR393" s="258"/>
      <c r="AS393" s="202"/>
      <c r="AT393" s="213"/>
      <c r="AU393" s="213"/>
    </row>
    <row r="394" spans="40:47" s="121" customFormat="1" hidden="1">
      <c r="AN394" s="239"/>
      <c r="AO394" s="225"/>
      <c r="AP394" s="260"/>
      <c r="AQ394" s="258"/>
      <c r="AR394" s="258"/>
      <c r="AS394" s="202"/>
      <c r="AT394" s="213"/>
      <c r="AU394" s="213"/>
    </row>
    <row r="395" spans="40:47" s="121" customFormat="1" hidden="1">
      <c r="AN395" s="239"/>
      <c r="AO395" s="225"/>
      <c r="AP395" s="260"/>
      <c r="AQ395" s="258"/>
      <c r="AR395" s="258"/>
      <c r="AS395" s="202"/>
      <c r="AT395" s="213"/>
      <c r="AU395" s="213"/>
    </row>
    <row r="396" spans="40:47" s="121" customFormat="1" hidden="1">
      <c r="AN396" s="239"/>
      <c r="AO396" s="225"/>
      <c r="AP396" s="260"/>
      <c r="AQ396" s="258"/>
      <c r="AR396" s="258"/>
      <c r="AS396" s="202"/>
      <c r="AT396" s="213"/>
      <c r="AU396" s="213"/>
    </row>
    <row r="397" spans="40:47" s="121" customFormat="1" hidden="1">
      <c r="AN397" s="239"/>
      <c r="AO397" s="225"/>
      <c r="AP397" s="260"/>
      <c r="AQ397" s="258"/>
      <c r="AR397" s="258"/>
      <c r="AS397" s="202"/>
      <c r="AT397" s="213"/>
      <c r="AU397" s="213"/>
    </row>
    <row r="398" spans="40:47" s="121" customFormat="1" hidden="1">
      <c r="AN398" s="239"/>
      <c r="AO398" s="225"/>
      <c r="AP398" s="260"/>
      <c r="AQ398" s="258"/>
      <c r="AR398" s="258"/>
      <c r="AS398" s="202"/>
      <c r="AT398" s="213"/>
      <c r="AU398" s="213"/>
    </row>
    <row r="399" spans="40:47" s="121" customFormat="1" hidden="1">
      <c r="AN399" s="239"/>
      <c r="AO399" s="225"/>
      <c r="AP399" s="260"/>
      <c r="AQ399" s="258"/>
      <c r="AR399" s="258"/>
      <c r="AS399" s="202"/>
      <c r="AT399" s="213"/>
      <c r="AU399" s="213"/>
    </row>
    <row r="400" spans="40:47" s="121" customFormat="1" hidden="1">
      <c r="AN400" s="239"/>
      <c r="AO400" s="225"/>
      <c r="AP400" s="260"/>
      <c r="AQ400" s="258"/>
      <c r="AR400" s="258"/>
      <c r="AS400" s="202"/>
      <c r="AT400" s="213"/>
      <c r="AU400" s="213"/>
    </row>
    <row r="401" spans="40:47" s="121" customFormat="1" hidden="1">
      <c r="AN401" s="239"/>
      <c r="AO401" s="225"/>
      <c r="AP401" s="260"/>
      <c r="AQ401" s="258"/>
      <c r="AR401" s="258"/>
      <c r="AS401" s="202"/>
      <c r="AT401" s="213"/>
      <c r="AU401" s="213"/>
    </row>
    <row r="402" spans="40:47" s="121" customFormat="1" hidden="1">
      <c r="AN402" s="239"/>
      <c r="AO402" s="225"/>
      <c r="AP402" s="260"/>
      <c r="AQ402" s="258"/>
      <c r="AR402" s="258"/>
      <c r="AS402" s="202"/>
      <c r="AT402" s="213"/>
      <c r="AU402" s="213"/>
    </row>
    <row r="403" spans="40:47" s="121" customFormat="1" hidden="1">
      <c r="AN403" s="239"/>
      <c r="AO403" s="225"/>
      <c r="AP403" s="260"/>
      <c r="AQ403" s="258"/>
      <c r="AR403" s="258"/>
      <c r="AS403" s="202"/>
      <c r="AT403" s="213"/>
      <c r="AU403" s="213"/>
    </row>
    <row r="404" spans="40:47" s="121" customFormat="1" hidden="1">
      <c r="AN404" s="239"/>
      <c r="AO404" s="225"/>
      <c r="AP404" s="260"/>
      <c r="AQ404" s="258"/>
      <c r="AR404" s="258"/>
      <c r="AS404" s="202"/>
      <c r="AT404" s="213"/>
      <c r="AU404" s="213"/>
    </row>
    <row r="405" spans="40:47" s="121" customFormat="1" hidden="1">
      <c r="AN405" s="239"/>
      <c r="AO405" s="225"/>
      <c r="AP405" s="260"/>
      <c r="AQ405" s="258"/>
      <c r="AR405" s="258"/>
      <c r="AS405" s="202"/>
      <c r="AT405" s="213"/>
      <c r="AU405" s="213"/>
    </row>
    <row r="406" spans="40:47" s="121" customFormat="1" hidden="1">
      <c r="AN406" s="239"/>
      <c r="AO406" s="225"/>
      <c r="AP406" s="260"/>
      <c r="AQ406" s="258"/>
      <c r="AR406" s="258"/>
      <c r="AS406" s="202"/>
      <c r="AT406" s="213"/>
      <c r="AU406" s="213"/>
    </row>
    <row r="407" spans="40:47" s="121" customFormat="1" hidden="1">
      <c r="AN407" s="239"/>
      <c r="AO407" s="225"/>
      <c r="AP407" s="260"/>
      <c r="AQ407" s="258"/>
      <c r="AR407" s="258"/>
      <c r="AS407" s="202"/>
      <c r="AT407" s="213"/>
      <c r="AU407" s="213"/>
    </row>
    <row r="408" spans="40:47" s="121" customFormat="1" hidden="1">
      <c r="AN408" s="239"/>
      <c r="AO408" s="225"/>
      <c r="AP408" s="260"/>
      <c r="AQ408" s="258"/>
      <c r="AR408" s="258"/>
      <c r="AS408" s="202"/>
      <c r="AT408" s="213"/>
      <c r="AU408" s="213"/>
    </row>
    <row r="409" spans="40:47" s="121" customFormat="1" hidden="1">
      <c r="AN409" s="239"/>
      <c r="AO409" s="225"/>
      <c r="AP409" s="260"/>
      <c r="AQ409" s="258"/>
      <c r="AR409" s="258"/>
      <c r="AS409" s="202"/>
      <c r="AT409" s="213"/>
      <c r="AU409" s="213"/>
    </row>
    <row r="410" spans="40:47" s="121" customFormat="1" hidden="1">
      <c r="AN410" s="239"/>
      <c r="AO410" s="225"/>
      <c r="AP410" s="260"/>
      <c r="AQ410" s="258"/>
      <c r="AR410" s="258"/>
      <c r="AS410" s="202"/>
      <c r="AT410" s="213"/>
      <c r="AU410" s="213"/>
    </row>
    <row r="411" spans="40:47" s="121" customFormat="1" hidden="1">
      <c r="AN411" s="239"/>
      <c r="AO411" s="225"/>
      <c r="AP411" s="260"/>
      <c r="AQ411" s="258"/>
      <c r="AR411" s="258"/>
      <c r="AS411" s="202"/>
      <c r="AT411" s="213"/>
      <c r="AU411" s="213"/>
    </row>
    <row r="412" spans="40:47" s="121" customFormat="1" hidden="1">
      <c r="AN412" s="239"/>
      <c r="AO412" s="225"/>
      <c r="AP412" s="260"/>
      <c r="AQ412" s="258"/>
      <c r="AR412" s="258"/>
      <c r="AS412" s="202"/>
      <c r="AT412" s="213"/>
      <c r="AU412" s="213"/>
    </row>
    <row r="413" spans="40:47" s="121" customFormat="1" hidden="1">
      <c r="AN413" s="239"/>
      <c r="AO413" s="225"/>
      <c r="AP413" s="260"/>
      <c r="AQ413" s="258"/>
      <c r="AR413" s="258"/>
      <c r="AS413" s="202"/>
      <c r="AT413" s="213"/>
      <c r="AU413" s="213"/>
    </row>
    <row r="414" spans="40:47" s="121" customFormat="1" hidden="1">
      <c r="AN414" s="239"/>
      <c r="AO414" s="225"/>
      <c r="AP414" s="260"/>
      <c r="AQ414" s="258"/>
      <c r="AR414" s="258"/>
      <c r="AS414" s="202"/>
      <c r="AT414" s="213"/>
      <c r="AU414" s="213"/>
    </row>
    <row r="415" spans="40:47" s="121" customFormat="1" hidden="1">
      <c r="AN415" s="239"/>
      <c r="AO415" s="225"/>
      <c r="AP415" s="260"/>
      <c r="AQ415" s="258"/>
      <c r="AR415" s="258"/>
      <c r="AS415" s="202"/>
      <c r="AT415" s="213"/>
      <c r="AU415" s="213"/>
    </row>
    <row r="416" spans="40:47" s="121" customFormat="1" hidden="1">
      <c r="AN416" s="239"/>
      <c r="AO416" s="225"/>
      <c r="AP416" s="260"/>
      <c r="AQ416" s="258"/>
      <c r="AR416" s="258"/>
      <c r="AS416" s="202"/>
      <c r="AT416" s="213"/>
      <c r="AU416" s="213"/>
    </row>
    <row r="417" spans="40:47" s="121" customFormat="1" hidden="1">
      <c r="AN417" s="239"/>
      <c r="AO417" s="225"/>
      <c r="AP417" s="260"/>
      <c r="AQ417" s="258"/>
      <c r="AR417" s="258"/>
      <c r="AS417" s="202"/>
      <c r="AT417" s="213"/>
      <c r="AU417" s="213"/>
    </row>
    <row r="418" spans="40:47" s="121" customFormat="1" hidden="1">
      <c r="AN418" s="239"/>
      <c r="AO418" s="225"/>
      <c r="AP418" s="260"/>
      <c r="AQ418" s="258"/>
      <c r="AR418" s="258"/>
      <c r="AS418" s="202"/>
      <c r="AT418" s="213"/>
      <c r="AU418" s="213"/>
    </row>
    <row r="419" spans="40:47" s="121" customFormat="1" hidden="1">
      <c r="AN419" s="239"/>
      <c r="AO419" s="225"/>
      <c r="AP419" s="260"/>
      <c r="AQ419" s="258"/>
      <c r="AR419" s="258"/>
      <c r="AS419" s="202"/>
      <c r="AT419" s="213"/>
      <c r="AU419" s="213"/>
    </row>
    <row r="420" spans="40:47" s="121" customFormat="1" hidden="1">
      <c r="AN420" s="239"/>
      <c r="AO420" s="225"/>
      <c r="AP420" s="260"/>
      <c r="AQ420" s="258"/>
      <c r="AR420" s="258"/>
      <c r="AS420" s="202"/>
      <c r="AT420" s="213"/>
      <c r="AU420" s="213"/>
    </row>
    <row r="421" spans="40:47" s="121" customFormat="1" hidden="1">
      <c r="AN421" s="239"/>
      <c r="AO421" s="225"/>
      <c r="AP421" s="260"/>
      <c r="AQ421" s="258"/>
      <c r="AR421" s="258"/>
      <c r="AS421" s="202"/>
      <c r="AT421" s="213"/>
      <c r="AU421" s="213"/>
    </row>
    <row r="422" spans="40:47" s="121" customFormat="1" hidden="1">
      <c r="AN422" s="239"/>
      <c r="AO422" s="225"/>
      <c r="AP422" s="260"/>
      <c r="AQ422" s="258"/>
      <c r="AR422" s="258"/>
      <c r="AS422" s="202"/>
      <c r="AT422" s="213"/>
      <c r="AU422" s="213"/>
    </row>
    <row r="423" spans="40:47" s="121" customFormat="1" hidden="1">
      <c r="AN423" s="239"/>
      <c r="AO423" s="225"/>
      <c r="AP423" s="260"/>
      <c r="AQ423" s="258"/>
      <c r="AR423" s="258"/>
      <c r="AS423" s="202"/>
      <c r="AT423" s="213"/>
      <c r="AU423" s="213"/>
    </row>
    <row r="424" spans="40:47" s="121" customFormat="1" hidden="1">
      <c r="AN424" s="239"/>
      <c r="AO424" s="225"/>
      <c r="AP424" s="260"/>
      <c r="AQ424" s="258"/>
      <c r="AR424" s="258"/>
      <c r="AS424" s="202"/>
      <c r="AT424" s="213"/>
      <c r="AU424" s="213"/>
    </row>
    <row r="425" spans="40:47" s="121" customFormat="1" hidden="1">
      <c r="AN425" s="239"/>
      <c r="AO425" s="225"/>
      <c r="AP425" s="260"/>
      <c r="AQ425" s="258"/>
      <c r="AR425" s="258"/>
      <c r="AS425" s="202"/>
      <c r="AT425" s="213"/>
      <c r="AU425" s="213"/>
    </row>
    <row r="426" spans="40:47" s="121" customFormat="1" hidden="1">
      <c r="AN426" s="239"/>
      <c r="AO426" s="225"/>
      <c r="AP426" s="260"/>
      <c r="AQ426" s="258"/>
      <c r="AR426" s="258"/>
      <c r="AS426" s="202"/>
      <c r="AT426" s="213"/>
      <c r="AU426" s="213"/>
    </row>
    <row r="427" spans="40:47" s="121" customFormat="1" hidden="1">
      <c r="AN427" s="239"/>
      <c r="AO427" s="225"/>
      <c r="AP427" s="260"/>
      <c r="AQ427" s="258"/>
      <c r="AR427" s="258"/>
      <c r="AS427" s="202"/>
      <c r="AT427" s="213"/>
      <c r="AU427" s="213"/>
    </row>
    <row r="428" spans="40:47" s="121" customFormat="1" hidden="1">
      <c r="AN428" s="239"/>
      <c r="AO428" s="225"/>
      <c r="AP428" s="260"/>
      <c r="AQ428" s="258"/>
      <c r="AR428" s="258"/>
      <c r="AS428" s="202"/>
      <c r="AT428" s="213"/>
      <c r="AU428" s="213"/>
    </row>
    <row r="429" spans="40:47" s="121" customFormat="1" hidden="1">
      <c r="AN429" s="239"/>
      <c r="AO429" s="225"/>
      <c r="AP429" s="260"/>
      <c r="AQ429" s="258"/>
      <c r="AR429" s="258"/>
      <c r="AS429" s="202"/>
      <c r="AT429" s="213"/>
      <c r="AU429" s="213"/>
    </row>
    <row r="430" spans="40:47" s="121" customFormat="1" hidden="1">
      <c r="AN430" s="239"/>
      <c r="AO430" s="225"/>
      <c r="AP430" s="260"/>
      <c r="AQ430" s="258"/>
      <c r="AR430" s="258"/>
      <c r="AS430" s="202"/>
      <c r="AT430" s="213"/>
      <c r="AU430" s="213"/>
    </row>
    <row r="431" spans="40:47" s="121" customFormat="1" hidden="1">
      <c r="AN431" s="239"/>
      <c r="AO431" s="225"/>
      <c r="AP431" s="260"/>
      <c r="AQ431" s="258"/>
      <c r="AR431" s="258"/>
      <c r="AS431" s="202"/>
      <c r="AT431" s="213"/>
      <c r="AU431" s="213"/>
    </row>
    <row r="432" spans="40:47" s="121" customFormat="1" hidden="1">
      <c r="AN432" s="239"/>
      <c r="AO432" s="225"/>
      <c r="AP432" s="260"/>
      <c r="AQ432" s="258"/>
      <c r="AR432" s="258"/>
      <c r="AS432" s="202"/>
      <c r="AT432" s="213"/>
      <c r="AU432" s="213"/>
    </row>
    <row r="433" spans="40:47" s="121" customFormat="1" hidden="1">
      <c r="AN433" s="239"/>
      <c r="AO433" s="225"/>
      <c r="AP433" s="260"/>
      <c r="AQ433" s="258"/>
      <c r="AR433" s="258"/>
      <c r="AS433" s="202"/>
      <c r="AT433" s="213"/>
      <c r="AU433" s="213"/>
    </row>
    <row r="434" spans="40:47" s="121" customFormat="1" hidden="1">
      <c r="AN434" s="239"/>
      <c r="AO434" s="225"/>
      <c r="AP434" s="260"/>
      <c r="AQ434" s="258"/>
      <c r="AR434" s="258"/>
      <c r="AS434" s="202"/>
      <c r="AT434" s="213"/>
      <c r="AU434" s="213"/>
    </row>
    <row r="435" spans="40:47" s="121" customFormat="1" hidden="1">
      <c r="AN435" s="239"/>
      <c r="AO435" s="225"/>
      <c r="AP435" s="260"/>
      <c r="AQ435" s="258"/>
      <c r="AR435" s="258"/>
      <c r="AS435" s="202"/>
      <c r="AT435" s="213"/>
      <c r="AU435" s="213"/>
    </row>
    <row r="436" spans="40:47" s="121" customFormat="1" hidden="1">
      <c r="AN436" s="239"/>
      <c r="AO436" s="225"/>
      <c r="AP436" s="260"/>
      <c r="AQ436" s="258"/>
      <c r="AR436" s="258"/>
      <c r="AS436" s="202"/>
      <c r="AT436" s="213"/>
      <c r="AU436" s="213"/>
    </row>
    <row r="437" spans="40:47" s="121" customFormat="1" hidden="1">
      <c r="AN437" s="239"/>
      <c r="AO437" s="225"/>
      <c r="AP437" s="260"/>
      <c r="AQ437" s="258"/>
      <c r="AR437" s="258"/>
      <c r="AS437" s="202"/>
      <c r="AT437" s="213"/>
      <c r="AU437" s="213"/>
    </row>
    <row r="438" spans="40:47" s="121" customFormat="1" hidden="1">
      <c r="AN438" s="239"/>
      <c r="AO438" s="225"/>
      <c r="AP438" s="260"/>
      <c r="AQ438" s="258"/>
      <c r="AR438" s="258"/>
      <c r="AS438" s="202"/>
      <c r="AT438" s="213"/>
      <c r="AU438" s="213"/>
    </row>
    <row r="439" spans="40:47" s="121" customFormat="1" hidden="1">
      <c r="AN439" s="239"/>
      <c r="AO439" s="225"/>
      <c r="AP439" s="260"/>
      <c r="AQ439" s="258"/>
      <c r="AR439" s="258"/>
      <c r="AS439" s="202"/>
      <c r="AT439" s="213"/>
      <c r="AU439" s="213"/>
    </row>
    <row r="440" spans="40:47" s="121" customFormat="1" hidden="1">
      <c r="AN440" s="239"/>
      <c r="AO440" s="225"/>
      <c r="AP440" s="260"/>
      <c r="AQ440" s="258"/>
      <c r="AR440" s="258"/>
      <c r="AS440" s="202"/>
      <c r="AT440" s="213"/>
      <c r="AU440" s="213"/>
    </row>
    <row r="441" spans="40:47" s="121" customFormat="1" hidden="1">
      <c r="AN441" s="239"/>
      <c r="AO441" s="225"/>
      <c r="AP441" s="260"/>
      <c r="AQ441" s="258"/>
      <c r="AR441" s="258"/>
      <c r="AS441" s="202"/>
      <c r="AT441" s="213"/>
      <c r="AU441" s="213"/>
    </row>
    <row r="442" spans="40:47" s="121" customFormat="1" hidden="1">
      <c r="AN442" s="239"/>
      <c r="AO442" s="225"/>
      <c r="AP442" s="260"/>
      <c r="AQ442" s="258"/>
      <c r="AR442" s="258"/>
      <c r="AS442" s="202"/>
      <c r="AT442" s="213"/>
      <c r="AU442" s="213"/>
    </row>
    <row r="443" spans="40:47" s="121" customFormat="1" hidden="1">
      <c r="AN443" s="239"/>
      <c r="AO443" s="225"/>
      <c r="AP443" s="260"/>
      <c r="AQ443" s="258"/>
      <c r="AR443" s="258"/>
      <c r="AS443" s="202"/>
      <c r="AT443" s="213"/>
      <c r="AU443" s="213"/>
    </row>
    <row r="444" spans="40:47" s="121" customFormat="1" hidden="1">
      <c r="AN444" s="239"/>
      <c r="AO444" s="225"/>
      <c r="AP444" s="260"/>
      <c r="AQ444" s="258"/>
      <c r="AR444" s="258"/>
      <c r="AS444" s="202"/>
      <c r="AT444" s="213"/>
      <c r="AU444" s="213"/>
    </row>
    <row r="445" spans="40:47" s="121" customFormat="1" hidden="1">
      <c r="AN445" s="239"/>
      <c r="AO445" s="225"/>
      <c r="AP445" s="260"/>
      <c r="AQ445" s="258"/>
      <c r="AR445" s="258"/>
      <c r="AS445" s="202"/>
      <c r="AT445" s="213"/>
      <c r="AU445" s="213"/>
    </row>
    <row r="446" spans="40:47" s="121" customFormat="1" hidden="1">
      <c r="AN446" s="239"/>
      <c r="AO446" s="225"/>
      <c r="AP446" s="260"/>
      <c r="AQ446" s="258"/>
      <c r="AR446" s="258"/>
      <c r="AS446" s="202"/>
      <c r="AT446" s="213"/>
      <c r="AU446" s="213"/>
    </row>
    <row r="447" spans="40:47" s="121" customFormat="1" hidden="1">
      <c r="AN447" s="239"/>
      <c r="AO447" s="225"/>
      <c r="AP447" s="260"/>
      <c r="AQ447" s="258"/>
      <c r="AR447" s="258"/>
      <c r="AS447" s="202"/>
      <c r="AT447" s="213"/>
      <c r="AU447" s="213"/>
    </row>
    <row r="448" spans="40:47" s="121" customFormat="1" hidden="1">
      <c r="AN448" s="239"/>
      <c r="AO448" s="225"/>
      <c r="AP448" s="260"/>
      <c r="AQ448" s="258"/>
      <c r="AR448" s="258"/>
      <c r="AS448" s="202"/>
      <c r="AT448" s="213"/>
      <c r="AU448" s="213"/>
    </row>
    <row r="449" spans="40:47" s="121" customFormat="1" hidden="1">
      <c r="AN449" s="239"/>
      <c r="AO449" s="225"/>
      <c r="AP449" s="260"/>
      <c r="AQ449" s="258"/>
      <c r="AR449" s="258"/>
      <c r="AS449" s="202"/>
      <c r="AT449" s="213"/>
      <c r="AU449" s="213"/>
    </row>
    <row r="450" spans="40:47" s="121" customFormat="1" hidden="1">
      <c r="AN450" s="239"/>
      <c r="AO450" s="225"/>
      <c r="AP450" s="260"/>
      <c r="AQ450" s="258"/>
      <c r="AR450" s="258"/>
      <c r="AS450" s="202"/>
      <c r="AT450" s="213"/>
      <c r="AU450" s="213"/>
    </row>
    <row r="451" spans="40:47" s="121" customFormat="1" hidden="1">
      <c r="AN451" s="239"/>
      <c r="AO451" s="225"/>
      <c r="AP451" s="260"/>
      <c r="AQ451" s="258"/>
      <c r="AR451" s="258"/>
      <c r="AS451" s="202"/>
      <c r="AT451" s="213"/>
      <c r="AU451" s="213"/>
    </row>
    <row r="452" spans="40:47" s="121" customFormat="1" hidden="1">
      <c r="AN452" s="239"/>
      <c r="AO452" s="225"/>
      <c r="AP452" s="260"/>
      <c r="AQ452" s="258"/>
      <c r="AR452" s="258"/>
      <c r="AS452" s="202"/>
      <c r="AT452" s="213"/>
      <c r="AU452" s="213"/>
    </row>
    <row r="453" spans="40:47" s="121" customFormat="1" hidden="1">
      <c r="AN453" s="239"/>
      <c r="AO453" s="225"/>
      <c r="AP453" s="260"/>
      <c r="AQ453" s="258"/>
      <c r="AR453" s="258"/>
      <c r="AS453" s="202"/>
      <c r="AT453" s="213"/>
      <c r="AU453" s="213"/>
    </row>
    <row r="454" spans="40:47" s="121" customFormat="1" hidden="1">
      <c r="AN454" s="239"/>
      <c r="AO454" s="225"/>
      <c r="AP454" s="260"/>
      <c r="AQ454" s="258"/>
      <c r="AR454" s="258"/>
      <c r="AS454" s="202"/>
      <c r="AT454" s="213"/>
      <c r="AU454" s="213"/>
    </row>
    <row r="455" spans="40:47" s="121" customFormat="1" hidden="1">
      <c r="AN455" s="239"/>
      <c r="AO455" s="225"/>
      <c r="AP455" s="260"/>
      <c r="AQ455" s="258"/>
      <c r="AR455" s="258"/>
      <c r="AS455" s="202"/>
      <c r="AT455" s="213"/>
      <c r="AU455" s="213"/>
    </row>
    <row r="456" spans="40:47" s="121" customFormat="1" hidden="1">
      <c r="AN456" s="239"/>
      <c r="AO456" s="225"/>
      <c r="AP456" s="260"/>
      <c r="AQ456" s="258"/>
      <c r="AR456" s="258"/>
      <c r="AS456" s="202"/>
      <c r="AT456" s="213"/>
      <c r="AU456" s="213"/>
    </row>
    <row r="457" spans="40:47" s="121" customFormat="1" hidden="1">
      <c r="AN457" s="239"/>
      <c r="AO457" s="225"/>
      <c r="AP457" s="260"/>
      <c r="AQ457" s="258"/>
      <c r="AR457" s="258"/>
      <c r="AS457" s="202"/>
      <c r="AT457" s="213"/>
      <c r="AU457" s="213"/>
    </row>
    <row r="458" spans="40:47" s="121" customFormat="1" hidden="1">
      <c r="AN458" s="239"/>
      <c r="AO458" s="225"/>
      <c r="AP458" s="260"/>
      <c r="AQ458" s="258"/>
      <c r="AR458" s="258"/>
      <c r="AS458" s="202"/>
      <c r="AT458" s="213"/>
      <c r="AU458" s="213"/>
    </row>
    <row r="459" spans="40:47" s="121" customFormat="1" hidden="1">
      <c r="AN459" s="239"/>
      <c r="AO459" s="225"/>
      <c r="AP459" s="260"/>
      <c r="AQ459" s="258"/>
      <c r="AR459" s="258"/>
      <c r="AS459" s="202"/>
      <c r="AT459" s="213"/>
      <c r="AU459" s="213"/>
    </row>
    <row r="460" spans="40:47" s="121" customFormat="1" hidden="1">
      <c r="AN460" s="239"/>
      <c r="AO460" s="225"/>
      <c r="AP460" s="260"/>
      <c r="AQ460" s="258"/>
      <c r="AR460" s="258"/>
      <c r="AS460" s="202"/>
      <c r="AT460" s="213"/>
      <c r="AU460" s="213"/>
    </row>
    <row r="461" spans="40:47" s="121" customFormat="1" hidden="1">
      <c r="AN461" s="239"/>
      <c r="AO461" s="225"/>
      <c r="AP461" s="260"/>
      <c r="AQ461" s="258"/>
      <c r="AR461" s="258"/>
      <c r="AS461" s="202"/>
      <c r="AT461" s="213"/>
      <c r="AU461" s="213"/>
    </row>
    <row r="462" spans="40:47" s="121" customFormat="1" hidden="1">
      <c r="AN462" s="239"/>
      <c r="AO462" s="225"/>
      <c r="AP462" s="260"/>
      <c r="AQ462" s="258"/>
      <c r="AR462" s="258"/>
      <c r="AS462" s="202"/>
      <c r="AT462" s="213"/>
      <c r="AU462" s="213"/>
    </row>
    <row r="463" spans="40:47" s="121" customFormat="1" hidden="1">
      <c r="AN463" s="239"/>
      <c r="AO463" s="225"/>
      <c r="AP463" s="260"/>
      <c r="AQ463" s="258"/>
      <c r="AR463" s="258"/>
      <c r="AS463" s="202"/>
      <c r="AT463" s="213"/>
      <c r="AU463" s="213"/>
    </row>
    <row r="464" spans="40:47" s="121" customFormat="1" hidden="1">
      <c r="AN464" s="239"/>
      <c r="AO464" s="225"/>
      <c r="AP464" s="260"/>
      <c r="AQ464" s="258"/>
      <c r="AR464" s="258"/>
      <c r="AS464" s="202"/>
      <c r="AT464" s="213"/>
      <c r="AU464" s="213"/>
    </row>
    <row r="465" spans="40:47" s="121" customFormat="1" hidden="1">
      <c r="AN465" s="239"/>
      <c r="AO465" s="225"/>
      <c r="AP465" s="260"/>
      <c r="AQ465" s="258"/>
      <c r="AR465" s="258"/>
      <c r="AS465" s="202"/>
      <c r="AT465" s="213"/>
      <c r="AU465" s="213"/>
    </row>
    <row r="466" spans="40:47" s="121" customFormat="1" hidden="1">
      <c r="AN466" s="239"/>
      <c r="AO466" s="225"/>
      <c r="AP466" s="260"/>
      <c r="AQ466" s="258"/>
      <c r="AR466" s="258"/>
      <c r="AS466" s="202"/>
      <c r="AT466" s="213"/>
      <c r="AU466" s="213"/>
    </row>
    <row r="467" spans="40:47" s="121" customFormat="1" hidden="1">
      <c r="AN467" s="239"/>
      <c r="AO467" s="225"/>
      <c r="AP467" s="260"/>
      <c r="AQ467" s="258"/>
      <c r="AR467" s="258"/>
      <c r="AS467" s="202"/>
      <c r="AT467" s="213"/>
      <c r="AU467" s="213"/>
    </row>
    <row r="468" spans="40:47" s="121" customFormat="1" hidden="1">
      <c r="AN468" s="239"/>
      <c r="AO468" s="225"/>
      <c r="AP468" s="260"/>
      <c r="AQ468" s="258"/>
      <c r="AR468" s="258"/>
      <c r="AS468" s="202"/>
      <c r="AT468" s="213"/>
      <c r="AU468" s="213"/>
    </row>
    <row r="469" spans="40:47" s="121" customFormat="1" hidden="1">
      <c r="AN469" s="239"/>
      <c r="AO469" s="225"/>
      <c r="AP469" s="260"/>
      <c r="AQ469" s="258"/>
      <c r="AR469" s="258"/>
      <c r="AS469" s="202"/>
      <c r="AT469" s="213"/>
      <c r="AU469" s="213"/>
    </row>
    <row r="470" spans="40:47" s="121" customFormat="1" hidden="1">
      <c r="AN470" s="239"/>
      <c r="AO470" s="225"/>
      <c r="AP470" s="260"/>
      <c r="AQ470" s="258"/>
      <c r="AR470" s="258"/>
      <c r="AS470" s="202"/>
      <c r="AT470" s="213"/>
      <c r="AU470" s="213"/>
    </row>
    <row r="471" spans="40:47" s="121" customFormat="1" hidden="1">
      <c r="AN471" s="239"/>
      <c r="AO471" s="225"/>
      <c r="AP471" s="260"/>
      <c r="AQ471" s="258"/>
      <c r="AR471" s="258"/>
      <c r="AS471" s="202"/>
      <c r="AT471" s="213"/>
      <c r="AU471" s="213"/>
    </row>
    <row r="472" spans="40:47" s="121" customFormat="1" hidden="1">
      <c r="AN472" s="239"/>
      <c r="AO472" s="225"/>
      <c r="AP472" s="260"/>
      <c r="AQ472" s="258"/>
      <c r="AR472" s="258"/>
      <c r="AS472" s="202"/>
      <c r="AT472" s="213"/>
      <c r="AU472" s="213"/>
    </row>
    <row r="473" spans="40:47" s="121" customFormat="1" hidden="1">
      <c r="AN473" s="239"/>
      <c r="AO473" s="225"/>
      <c r="AP473" s="260"/>
      <c r="AQ473" s="258"/>
      <c r="AR473" s="258"/>
      <c r="AS473" s="202"/>
      <c r="AT473" s="213"/>
      <c r="AU473" s="213"/>
    </row>
    <row r="474" spans="40:47" s="121" customFormat="1" hidden="1">
      <c r="AN474" s="239"/>
      <c r="AO474" s="225"/>
      <c r="AP474" s="260"/>
      <c r="AQ474" s="258"/>
      <c r="AR474" s="258"/>
      <c r="AS474" s="202"/>
      <c r="AT474" s="213"/>
      <c r="AU474" s="213"/>
    </row>
    <row r="475" spans="40:47" s="121" customFormat="1" hidden="1">
      <c r="AN475" s="239"/>
      <c r="AO475" s="225"/>
      <c r="AP475" s="260"/>
      <c r="AQ475" s="258"/>
      <c r="AR475" s="258"/>
      <c r="AS475" s="202"/>
      <c r="AT475" s="213"/>
      <c r="AU475" s="213"/>
    </row>
    <row r="476" spans="40:47" s="121" customFormat="1" hidden="1">
      <c r="AN476" s="239"/>
      <c r="AO476" s="225"/>
      <c r="AP476" s="260"/>
      <c r="AQ476" s="258"/>
      <c r="AR476" s="258"/>
      <c r="AS476" s="202"/>
      <c r="AT476" s="213"/>
      <c r="AU476" s="213"/>
    </row>
    <row r="477" spans="40:47" s="121" customFormat="1" hidden="1">
      <c r="AN477" s="239"/>
      <c r="AO477" s="225"/>
      <c r="AP477" s="260"/>
      <c r="AQ477" s="258"/>
      <c r="AR477" s="258"/>
      <c r="AS477" s="202"/>
      <c r="AT477" s="213"/>
      <c r="AU477" s="213"/>
    </row>
    <row r="478" spans="40:47" s="121" customFormat="1" hidden="1">
      <c r="AN478" s="239"/>
      <c r="AO478" s="225"/>
      <c r="AP478" s="260"/>
      <c r="AQ478" s="258"/>
      <c r="AR478" s="258"/>
      <c r="AS478" s="202"/>
      <c r="AT478" s="213"/>
      <c r="AU478" s="213"/>
    </row>
    <row r="479" spans="40:47" s="121" customFormat="1" hidden="1">
      <c r="AN479" s="239"/>
      <c r="AO479" s="225"/>
      <c r="AP479" s="260"/>
      <c r="AQ479" s="258"/>
      <c r="AR479" s="258"/>
      <c r="AS479" s="202"/>
      <c r="AT479" s="213"/>
      <c r="AU479" s="213"/>
    </row>
    <row r="480" spans="40:47" s="121" customFormat="1" hidden="1">
      <c r="AN480" s="239"/>
      <c r="AO480" s="225"/>
      <c r="AP480" s="260"/>
      <c r="AQ480" s="258"/>
      <c r="AR480" s="258"/>
      <c r="AS480" s="202"/>
      <c r="AT480" s="213"/>
      <c r="AU480" s="213"/>
    </row>
    <row r="481" spans="40:47" s="121" customFormat="1" hidden="1">
      <c r="AN481" s="239"/>
      <c r="AO481" s="225"/>
      <c r="AP481" s="260"/>
      <c r="AQ481" s="258"/>
      <c r="AR481" s="258"/>
      <c r="AS481" s="202"/>
      <c r="AT481" s="213"/>
      <c r="AU481" s="213"/>
    </row>
    <row r="482" spans="40:47" s="121" customFormat="1" hidden="1">
      <c r="AN482" s="239"/>
      <c r="AO482" s="225"/>
      <c r="AP482" s="260"/>
      <c r="AQ482" s="258"/>
      <c r="AR482" s="258"/>
      <c r="AS482" s="202"/>
      <c r="AT482" s="213"/>
      <c r="AU482" s="213"/>
    </row>
    <row r="483" spans="40:47" s="121" customFormat="1" hidden="1">
      <c r="AN483" s="239"/>
      <c r="AO483" s="225"/>
      <c r="AP483" s="260"/>
      <c r="AQ483" s="258"/>
      <c r="AR483" s="258"/>
      <c r="AS483" s="202"/>
      <c r="AT483" s="213"/>
      <c r="AU483" s="213"/>
    </row>
    <row r="484" spans="40:47" s="121" customFormat="1" hidden="1">
      <c r="AN484" s="239"/>
      <c r="AO484" s="225"/>
      <c r="AP484" s="260"/>
      <c r="AQ484" s="258"/>
      <c r="AR484" s="258"/>
      <c r="AS484" s="202"/>
      <c r="AT484" s="213"/>
      <c r="AU484" s="213"/>
    </row>
    <row r="485" spans="40:47" s="121" customFormat="1" hidden="1">
      <c r="AN485" s="239"/>
      <c r="AO485" s="225"/>
      <c r="AP485" s="260"/>
      <c r="AQ485" s="258"/>
      <c r="AR485" s="258"/>
      <c r="AS485" s="202"/>
      <c r="AT485" s="213"/>
      <c r="AU485" s="213"/>
    </row>
    <row r="486" spans="40:47" s="121" customFormat="1" hidden="1">
      <c r="AN486" s="239"/>
      <c r="AO486" s="225"/>
      <c r="AP486" s="260"/>
      <c r="AQ486" s="258"/>
      <c r="AR486" s="258"/>
      <c r="AS486" s="202"/>
      <c r="AT486" s="213"/>
      <c r="AU486" s="213"/>
    </row>
    <row r="487" spans="40:47" s="121" customFormat="1" hidden="1">
      <c r="AN487" s="239"/>
      <c r="AO487" s="225"/>
      <c r="AP487" s="260"/>
      <c r="AQ487" s="258"/>
      <c r="AR487" s="258"/>
      <c r="AS487" s="202"/>
      <c r="AT487" s="213"/>
      <c r="AU487" s="213"/>
    </row>
    <row r="488" spans="40:47" s="121" customFormat="1" hidden="1">
      <c r="AN488" s="239"/>
      <c r="AO488" s="225"/>
      <c r="AP488" s="260"/>
      <c r="AQ488" s="258"/>
      <c r="AR488" s="258"/>
      <c r="AS488" s="202"/>
      <c r="AT488" s="213"/>
      <c r="AU488" s="213"/>
    </row>
    <row r="489" spans="40:47" s="121" customFormat="1" hidden="1">
      <c r="AN489" s="239"/>
      <c r="AO489" s="225"/>
      <c r="AP489" s="260"/>
      <c r="AQ489" s="258"/>
      <c r="AR489" s="258"/>
      <c r="AS489" s="202"/>
      <c r="AT489" s="213"/>
      <c r="AU489" s="213"/>
    </row>
    <row r="490" spans="40:47" s="121" customFormat="1" hidden="1">
      <c r="AN490" s="239"/>
      <c r="AO490" s="225"/>
      <c r="AP490" s="260"/>
      <c r="AQ490" s="258"/>
      <c r="AR490" s="258"/>
      <c r="AS490" s="202"/>
      <c r="AT490" s="213"/>
      <c r="AU490" s="213"/>
    </row>
    <row r="491" spans="40:47" s="121" customFormat="1" hidden="1">
      <c r="AN491" s="239"/>
      <c r="AO491" s="225"/>
      <c r="AP491" s="260"/>
      <c r="AQ491" s="258"/>
      <c r="AR491" s="258"/>
      <c r="AS491" s="202"/>
      <c r="AT491" s="213"/>
      <c r="AU491" s="213"/>
    </row>
    <row r="492" spans="40:47" s="121" customFormat="1" hidden="1">
      <c r="AN492" s="239"/>
      <c r="AO492" s="225"/>
      <c r="AP492" s="260"/>
      <c r="AQ492" s="258"/>
      <c r="AR492" s="258"/>
      <c r="AS492" s="202"/>
      <c r="AT492" s="213"/>
      <c r="AU492" s="213"/>
    </row>
    <row r="493" spans="40:47" s="121" customFormat="1" hidden="1">
      <c r="AN493" s="239"/>
      <c r="AO493" s="225"/>
      <c r="AP493" s="260"/>
      <c r="AQ493" s="258"/>
      <c r="AR493" s="258"/>
      <c r="AS493" s="202"/>
      <c r="AT493" s="213"/>
      <c r="AU493" s="213"/>
    </row>
    <row r="494" spans="40:47" s="121" customFormat="1" hidden="1">
      <c r="AN494" s="239"/>
      <c r="AO494" s="225"/>
      <c r="AP494" s="260"/>
      <c r="AQ494" s="258"/>
      <c r="AR494" s="258"/>
      <c r="AS494" s="202"/>
      <c r="AT494" s="213"/>
      <c r="AU494" s="213"/>
    </row>
    <row r="495" spans="40:47" s="121" customFormat="1" hidden="1">
      <c r="AN495" s="239"/>
      <c r="AO495" s="225"/>
      <c r="AP495" s="260"/>
      <c r="AQ495" s="258"/>
      <c r="AR495" s="258"/>
      <c r="AS495" s="202"/>
      <c r="AT495" s="213"/>
      <c r="AU495" s="213"/>
    </row>
    <row r="496" spans="40:47" s="121" customFormat="1" hidden="1">
      <c r="AN496" s="239"/>
      <c r="AO496" s="225"/>
      <c r="AP496" s="260"/>
      <c r="AQ496" s="258"/>
      <c r="AR496" s="258"/>
      <c r="AS496" s="202"/>
      <c r="AT496" s="213"/>
      <c r="AU496" s="213"/>
    </row>
    <row r="497" spans="40:47" s="121" customFormat="1" hidden="1">
      <c r="AN497" s="239"/>
      <c r="AO497" s="225"/>
      <c r="AP497" s="260"/>
      <c r="AQ497" s="258"/>
      <c r="AR497" s="258"/>
      <c r="AS497" s="202"/>
      <c r="AT497" s="213"/>
      <c r="AU497" s="213"/>
    </row>
    <row r="498" spans="40:47" s="121" customFormat="1" hidden="1">
      <c r="AN498" s="239"/>
      <c r="AO498" s="225"/>
      <c r="AP498" s="260"/>
      <c r="AQ498" s="258"/>
      <c r="AR498" s="258"/>
      <c r="AS498" s="202"/>
      <c r="AT498" s="213"/>
      <c r="AU498" s="213"/>
    </row>
    <row r="499" spans="40:47" s="121" customFormat="1" hidden="1">
      <c r="AN499" s="239"/>
      <c r="AO499" s="225"/>
      <c r="AP499" s="260"/>
      <c r="AQ499" s="258"/>
      <c r="AR499" s="258"/>
      <c r="AS499" s="202"/>
      <c r="AT499" s="213"/>
      <c r="AU499" s="213"/>
    </row>
    <row r="500" spans="40:47" s="121" customFormat="1" hidden="1">
      <c r="AN500" s="239"/>
      <c r="AO500" s="225"/>
      <c r="AP500" s="260"/>
      <c r="AQ500" s="258"/>
      <c r="AR500" s="258"/>
      <c r="AS500" s="202"/>
      <c r="AT500" s="213"/>
      <c r="AU500" s="213"/>
    </row>
    <row r="501" spans="40:47" s="121" customFormat="1" hidden="1">
      <c r="AN501" s="239"/>
      <c r="AO501" s="225"/>
      <c r="AP501" s="260"/>
      <c r="AQ501" s="258"/>
      <c r="AR501" s="258"/>
      <c r="AS501" s="202"/>
      <c r="AT501" s="213"/>
      <c r="AU501" s="213"/>
    </row>
    <row r="502" spans="40:47" s="121" customFormat="1" hidden="1">
      <c r="AN502" s="239"/>
      <c r="AO502" s="225"/>
      <c r="AP502" s="260"/>
      <c r="AQ502" s="258"/>
      <c r="AR502" s="258"/>
      <c r="AS502" s="202"/>
      <c r="AT502" s="213"/>
      <c r="AU502" s="213"/>
    </row>
    <row r="503" spans="40:47" s="121" customFormat="1" hidden="1">
      <c r="AN503" s="239"/>
      <c r="AO503" s="225"/>
      <c r="AP503" s="260"/>
      <c r="AQ503" s="258"/>
      <c r="AR503" s="258"/>
      <c r="AS503" s="202"/>
      <c r="AT503" s="213"/>
      <c r="AU503" s="213"/>
    </row>
    <row r="504" spans="40:47" s="121" customFormat="1" hidden="1">
      <c r="AN504" s="239"/>
      <c r="AO504" s="225"/>
      <c r="AP504" s="260"/>
      <c r="AQ504" s="258"/>
      <c r="AR504" s="258"/>
      <c r="AS504" s="202"/>
      <c r="AT504" s="213"/>
      <c r="AU504" s="213"/>
    </row>
    <row r="505" spans="40:47" s="121" customFormat="1" hidden="1">
      <c r="AN505" s="239"/>
      <c r="AO505" s="225"/>
      <c r="AP505" s="260"/>
      <c r="AQ505" s="258"/>
      <c r="AR505" s="258"/>
      <c r="AS505" s="202"/>
      <c r="AT505" s="213"/>
      <c r="AU505" s="213"/>
    </row>
    <row r="506" spans="40:47" s="121" customFormat="1" hidden="1">
      <c r="AN506" s="239"/>
      <c r="AO506" s="225"/>
      <c r="AP506" s="260"/>
      <c r="AQ506" s="258"/>
      <c r="AR506" s="258"/>
      <c r="AS506" s="202"/>
      <c r="AT506" s="213"/>
      <c r="AU506" s="213"/>
    </row>
    <row r="507" spans="40:47" s="121" customFormat="1" hidden="1">
      <c r="AN507" s="239"/>
      <c r="AO507" s="225"/>
      <c r="AP507" s="260"/>
      <c r="AQ507" s="258"/>
      <c r="AR507" s="258"/>
      <c r="AS507" s="202"/>
      <c r="AT507" s="213"/>
      <c r="AU507" s="213"/>
    </row>
    <row r="508" spans="40:47" s="121" customFormat="1" hidden="1">
      <c r="AN508" s="239"/>
      <c r="AO508" s="225"/>
      <c r="AP508" s="260"/>
      <c r="AQ508" s="258"/>
      <c r="AR508" s="258"/>
      <c r="AS508" s="202"/>
      <c r="AT508" s="213"/>
      <c r="AU508" s="213"/>
    </row>
    <row r="509" spans="40:47" s="121" customFormat="1" hidden="1">
      <c r="AN509" s="239"/>
      <c r="AO509" s="225"/>
      <c r="AP509" s="260"/>
      <c r="AQ509" s="258"/>
      <c r="AR509" s="258"/>
      <c r="AS509" s="202"/>
      <c r="AT509" s="213"/>
      <c r="AU509" s="213"/>
    </row>
    <row r="510" spans="40:47" s="121" customFormat="1" hidden="1">
      <c r="AN510" s="239"/>
      <c r="AO510" s="225"/>
      <c r="AP510" s="260"/>
      <c r="AQ510" s="258"/>
      <c r="AR510" s="258"/>
      <c r="AS510" s="202"/>
      <c r="AT510" s="213"/>
      <c r="AU510" s="213"/>
    </row>
    <row r="511" spans="40:47" s="121" customFormat="1" hidden="1">
      <c r="AN511" s="239"/>
      <c r="AO511" s="225"/>
      <c r="AP511" s="260"/>
      <c r="AQ511" s="258"/>
      <c r="AR511" s="258"/>
      <c r="AS511" s="202"/>
      <c r="AT511" s="213"/>
      <c r="AU511" s="213"/>
    </row>
    <row r="512" spans="40:47" s="121" customFormat="1" hidden="1">
      <c r="AN512" s="239"/>
      <c r="AO512" s="225"/>
      <c r="AP512" s="260"/>
      <c r="AQ512" s="258"/>
      <c r="AR512" s="258"/>
      <c r="AS512" s="202"/>
      <c r="AT512" s="213"/>
      <c r="AU512" s="213"/>
    </row>
    <row r="513" spans="40:47" s="121" customFormat="1" hidden="1">
      <c r="AN513" s="239"/>
      <c r="AO513" s="225"/>
      <c r="AP513" s="260"/>
      <c r="AQ513" s="258"/>
      <c r="AR513" s="258"/>
      <c r="AS513" s="202"/>
      <c r="AT513" s="213"/>
      <c r="AU513" s="213"/>
    </row>
    <row r="514" spans="40:47" s="121" customFormat="1" hidden="1">
      <c r="AN514" s="239"/>
      <c r="AO514" s="225"/>
      <c r="AP514" s="260"/>
      <c r="AQ514" s="258"/>
      <c r="AR514" s="258"/>
      <c r="AS514" s="202"/>
      <c r="AT514" s="213"/>
      <c r="AU514" s="213"/>
    </row>
    <row r="515" spans="40:47" s="121" customFormat="1" hidden="1">
      <c r="AN515" s="239"/>
      <c r="AO515" s="225"/>
      <c r="AP515" s="260"/>
      <c r="AQ515" s="258"/>
      <c r="AR515" s="258"/>
      <c r="AS515" s="202"/>
      <c r="AT515" s="213"/>
      <c r="AU515" s="213"/>
    </row>
    <row r="516" spans="40:47" s="121" customFormat="1" hidden="1">
      <c r="AN516" s="239"/>
      <c r="AO516" s="225"/>
      <c r="AP516" s="260"/>
      <c r="AQ516" s="258"/>
      <c r="AR516" s="258"/>
      <c r="AS516" s="202"/>
      <c r="AT516" s="213"/>
      <c r="AU516" s="213"/>
    </row>
    <row r="517" spans="40:47" s="121" customFormat="1" hidden="1">
      <c r="AN517" s="239"/>
      <c r="AO517" s="225"/>
      <c r="AP517" s="260"/>
      <c r="AQ517" s="258"/>
      <c r="AR517" s="258"/>
      <c r="AS517" s="202"/>
      <c r="AT517" s="213"/>
      <c r="AU517" s="213"/>
    </row>
    <row r="518" spans="40:47" s="121" customFormat="1" hidden="1">
      <c r="AN518" s="239"/>
      <c r="AO518" s="225"/>
      <c r="AP518" s="260"/>
      <c r="AQ518" s="258"/>
      <c r="AR518" s="258"/>
      <c r="AS518" s="202"/>
      <c r="AT518" s="213"/>
      <c r="AU518" s="213"/>
    </row>
    <row r="519" spans="40:47" s="121" customFormat="1" hidden="1">
      <c r="AN519" s="239"/>
      <c r="AO519" s="225"/>
      <c r="AP519" s="260"/>
      <c r="AQ519" s="258"/>
      <c r="AR519" s="258"/>
      <c r="AS519" s="202"/>
      <c r="AT519" s="213"/>
      <c r="AU519" s="213"/>
    </row>
    <row r="520" spans="40:47" s="121" customFormat="1" hidden="1">
      <c r="AN520" s="239"/>
      <c r="AO520" s="225"/>
      <c r="AP520" s="260"/>
      <c r="AQ520" s="258"/>
      <c r="AR520" s="258"/>
      <c r="AS520" s="202"/>
      <c r="AT520" s="213"/>
      <c r="AU520" s="213"/>
    </row>
    <row r="521" spans="40:47" s="121" customFormat="1" hidden="1">
      <c r="AN521" s="239"/>
      <c r="AO521" s="225"/>
      <c r="AP521" s="260"/>
      <c r="AQ521" s="258"/>
      <c r="AR521" s="258"/>
      <c r="AS521" s="202"/>
      <c r="AT521" s="213"/>
      <c r="AU521" s="213"/>
    </row>
    <row r="522" spans="40:47" s="121" customFormat="1" hidden="1">
      <c r="AN522" s="239"/>
      <c r="AO522" s="225"/>
      <c r="AP522" s="260"/>
      <c r="AQ522" s="258"/>
      <c r="AR522" s="258"/>
      <c r="AS522" s="202"/>
      <c r="AT522" s="213"/>
      <c r="AU522" s="213"/>
    </row>
    <row r="523" spans="40:47" s="121" customFormat="1" hidden="1">
      <c r="AN523" s="239"/>
      <c r="AO523" s="225"/>
      <c r="AP523" s="260"/>
      <c r="AQ523" s="258"/>
      <c r="AR523" s="258"/>
      <c r="AS523" s="202"/>
      <c r="AT523" s="213"/>
      <c r="AU523" s="213"/>
    </row>
    <row r="524" spans="40:47" s="121" customFormat="1" hidden="1">
      <c r="AN524" s="239"/>
      <c r="AO524" s="225"/>
      <c r="AP524" s="260"/>
      <c r="AQ524" s="258"/>
      <c r="AR524" s="258"/>
      <c r="AS524" s="202"/>
      <c r="AT524" s="213"/>
      <c r="AU524" s="213"/>
    </row>
    <row r="525" spans="40:47" s="121" customFormat="1" hidden="1">
      <c r="AN525" s="239"/>
      <c r="AO525" s="225"/>
      <c r="AP525" s="260"/>
      <c r="AQ525" s="258"/>
      <c r="AR525" s="258"/>
      <c r="AS525" s="202"/>
      <c r="AT525" s="213"/>
      <c r="AU525" s="213"/>
    </row>
    <row r="526" spans="40:47" s="121" customFormat="1" hidden="1">
      <c r="AN526" s="239"/>
      <c r="AO526" s="225"/>
      <c r="AP526" s="260"/>
      <c r="AQ526" s="258"/>
      <c r="AR526" s="258"/>
      <c r="AS526" s="202"/>
      <c r="AT526" s="213"/>
      <c r="AU526" s="213"/>
    </row>
    <row r="527" spans="40:47" s="121" customFormat="1" hidden="1">
      <c r="AN527" s="239"/>
      <c r="AO527" s="225"/>
      <c r="AP527" s="260"/>
      <c r="AQ527" s="258"/>
      <c r="AR527" s="258"/>
      <c r="AS527" s="202"/>
      <c r="AT527" s="213"/>
      <c r="AU527" s="213"/>
    </row>
    <row r="528" spans="40:47" s="121" customFormat="1" hidden="1">
      <c r="AN528" s="239"/>
      <c r="AO528" s="225"/>
      <c r="AP528" s="260"/>
      <c r="AQ528" s="258"/>
      <c r="AR528" s="258"/>
      <c r="AS528" s="202"/>
      <c r="AT528" s="213"/>
      <c r="AU528" s="213"/>
    </row>
    <row r="529" spans="40:47" s="121" customFormat="1" hidden="1">
      <c r="AN529" s="239"/>
      <c r="AO529" s="225"/>
      <c r="AP529" s="260"/>
      <c r="AQ529" s="258"/>
      <c r="AR529" s="258"/>
      <c r="AS529" s="202"/>
      <c r="AT529" s="213"/>
      <c r="AU529" s="213"/>
    </row>
    <row r="530" spans="40:47" s="121" customFormat="1" hidden="1">
      <c r="AN530" s="239"/>
      <c r="AO530" s="225"/>
      <c r="AP530" s="260"/>
      <c r="AQ530" s="258"/>
      <c r="AR530" s="258"/>
      <c r="AS530" s="202"/>
      <c r="AT530" s="213"/>
      <c r="AU530" s="213"/>
    </row>
    <row r="531" spans="40:47" s="121" customFormat="1" hidden="1">
      <c r="AN531" s="239"/>
      <c r="AO531" s="225"/>
      <c r="AP531" s="260"/>
      <c r="AQ531" s="258"/>
      <c r="AR531" s="258"/>
      <c r="AS531" s="202"/>
      <c r="AT531" s="213"/>
      <c r="AU531" s="213"/>
    </row>
    <row r="532" spans="40:47" s="121" customFormat="1" hidden="1">
      <c r="AN532" s="239"/>
      <c r="AO532" s="225"/>
      <c r="AP532" s="260"/>
      <c r="AQ532" s="258"/>
      <c r="AR532" s="258"/>
      <c r="AS532" s="202"/>
      <c r="AT532" s="213"/>
      <c r="AU532" s="213"/>
    </row>
    <row r="533" spans="40:47" s="121" customFormat="1" hidden="1">
      <c r="AN533" s="239"/>
      <c r="AO533" s="225"/>
      <c r="AP533" s="260"/>
      <c r="AQ533" s="258"/>
      <c r="AR533" s="258"/>
      <c r="AS533" s="202"/>
      <c r="AT533" s="213"/>
      <c r="AU533" s="213"/>
    </row>
    <row r="534" spans="40:47" s="121" customFormat="1" hidden="1">
      <c r="AN534" s="239"/>
      <c r="AO534" s="225"/>
      <c r="AP534" s="260"/>
      <c r="AQ534" s="258"/>
      <c r="AR534" s="258"/>
      <c r="AS534" s="202"/>
      <c r="AT534" s="213"/>
      <c r="AU534" s="213"/>
    </row>
    <row r="535" spans="40:47" s="121" customFormat="1" hidden="1">
      <c r="AN535" s="239"/>
      <c r="AO535" s="225"/>
      <c r="AP535" s="260"/>
      <c r="AQ535" s="258"/>
      <c r="AR535" s="258"/>
      <c r="AS535" s="202"/>
      <c r="AT535" s="213"/>
      <c r="AU535" s="213"/>
    </row>
    <row r="536" spans="40:47" s="121" customFormat="1" hidden="1">
      <c r="AN536" s="239"/>
      <c r="AO536" s="225"/>
      <c r="AP536" s="260"/>
      <c r="AQ536" s="258"/>
      <c r="AR536" s="258"/>
      <c r="AS536" s="202"/>
      <c r="AT536" s="213"/>
      <c r="AU536" s="213"/>
    </row>
    <row r="537" spans="40:47" s="121" customFormat="1" hidden="1">
      <c r="AN537" s="239"/>
      <c r="AO537" s="225"/>
      <c r="AP537" s="260"/>
      <c r="AQ537" s="258"/>
      <c r="AR537" s="258"/>
      <c r="AS537" s="202"/>
      <c r="AT537" s="213"/>
      <c r="AU537" s="213"/>
    </row>
    <row r="538" spans="40:47" s="121" customFormat="1" hidden="1">
      <c r="AN538" s="239"/>
      <c r="AO538" s="225"/>
      <c r="AP538" s="260"/>
      <c r="AQ538" s="258"/>
      <c r="AR538" s="258"/>
      <c r="AS538" s="202"/>
      <c r="AT538" s="213"/>
      <c r="AU538" s="213"/>
    </row>
    <row r="539" spans="40:47" s="121" customFormat="1" hidden="1">
      <c r="AN539" s="239"/>
      <c r="AO539" s="225"/>
      <c r="AP539" s="260"/>
      <c r="AQ539" s="258"/>
      <c r="AR539" s="258"/>
      <c r="AS539" s="202"/>
      <c r="AT539" s="213"/>
      <c r="AU539" s="213"/>
    </row>
    <row r="540" spans="40:47" s="121" customFormat="1" hidden="1">
      <c r="AN540" s="239"/>
      <c r="AO540" s="225"/>
      <c r="AP540" s="260"/>
      <c r="AQ540" s="258"/>
      <c r="AR540" s="258"/>
      <c r="AS540" s="202"/>
      <c r="AT540" s="213"/>
      <c r="AU540" s="213"/>
    </row>
    <row r="541" spans="40:47" s="121" customFormat="1" hidden="1">
      <c r="AN541" s="239"/>
      <c r="AO541" s="225"/>
      <c r="AP541" s="260"/>
      <c r="AQ541" s="258"/>
      <c r="AR541" s="258"/>
      <c r="AS541" s="202"/>
      <c r="AT541" s="213"/>
      <c r="AU541" s="213"/>
    </row>
    <row r="542" spans="40:47" s="121" customFormat="1" hidden="1">
      <c r="AN542" s="239"/>
      <c r="AO542" s="225"/>
      <c r="AP542" s="260"/>
      <c r="AQ542" s="258"/>
      <c r="AR542" s="258"/>
      <c r="AS542" s="202"/>
      <c r="AT542" s="213"/>
      <c r="AU542" s="213"/>
    </row>
    <row r="543" spans="40:47" s="121" customFormat="1" hidden="1">
      <c r="AN543" s="239"/>
      <c r="AO543" s="225"/>
      <c r="AP543" s="260"/>
      <c r="AQ543" s="258"/>
      <c r="AR543" s="258"/>
      <c r="AS543" s="202"/>
      <c r="AT543" s="213"/>
      <c r="AU543" s="213"/>
    </row>
    <row r="544" spans="40:47" s="121" customFormat="1" hidden="1">
      <c r="AN544" s="239"/>
      <c r="AO544" s="225"/>
      <c r="AP544" s="260"/>
      <c r="AQ544" s="258"/>
      <c r="AR544" s="258"/>
      <c r="AS544" s="202"/>
      <c r="AT544" s="213"/>
      <c r="AU544" s="213"/>
    </row>
    <row r="545" spans="40:47" s="121" customFormat="1" hidden="1">
      <c r="AN545" s="239"/>
      <c r="AO545" s="225"/>
      <c r="AP545" s="260"/>
      <c r="AQ545" s="258"/>
      <c r="AR545" s="258"/>
      <c r="AS545" s="202"/>
      <c r="AT545" s="213"/>
      <c r="AU545" s="213"/>
    </row>
    <row r="546" spans="40:47" s="121" customFormat="1" hidden="1">
      <c r="AN546" s="239"/>
      <c r="AO546" s="225"/>
      <c r="AP546" s="260"/>
      <c r="AQ546" s="258"/>
      <c r="AR546" s="258"/>
      <c r="AS546" s="202"/>
      <c r="AT546" s="213"/>
      <c r="AU546" s="213"/>
    </row>
    <row r="547" spans="40:47" s="121" customFormat="1" hidden="1">
      <c r="AN547" s="239"/>
      <c r="AO547" s="225"/>
      <c r="AP547" s="260"/>
      <c r="AQ547" s="258"/>
      <c r="AR547" s="258"/>
      <c r="AS547" s="202"/>
      <c r="AT547" s="213"/>
      <c r="AU547" s="213"/>
    </row>
    <row r="548" spans="40:47" s="121" customFormat="1" hidden="1">
      <c r="AN548" s="239"/>
      <c r="AO548" s="225"/>
      <c r="AP548" s="260"/>
      <c r="AQ548" s="258"/>
      <c r="AR548" s="258"/>
      <c r="AS548" s="202"/>
      <c r="AT548" s="213"/>
      <c r="AU548" s="213"/>
    </row>
    <row r="549" spans="40:47" s="121" customFormat="1" hidden="1">
      <c r="AN549" s="239"/>
      <c r="AO549" s="225"/>
      <c r="AP549" s="260"/>
      <c r="AQ549" s="258"/>
      <c r="AR549" s="258"/>
      <c r="AS549" s="202"/>
      <c r="AT549" s="213"/>
      <c r="AU549" s="213"/>
    </row>
    <row r="550" spans="40:47" s="121" customFormat="1" hidden="1">
      <c r="AN550" s="239"/>
      <c r="AO550" s="225"/>
      <c r="AP550" s="260"/>
      <c r="AQ550" s="258"/>
      <c r="AR550" s="258"/>
      <c r="AS550" s="202"/>
      <c r="AT550" s="213"/>
      <c r="AU550" s="213"/>
    </row>
    <row r="551" spans="40:47" s="121" customFormat="1" hidden="1">
      <c r="AN551" s="239"/>
      <c r="AO551" s="225"/>
      <c r="AP551" s="260"/>
      <c r="AQ551" s="258"/>
      <c r="AR551" s="258"/>
      <c r="AS551" s="202"/>
      <c r="AT551" s="213"/>
      <c r="AU551" s="213"/>
    </row>
    <row r="552" spans="40:47" s="121" customFormat="1" hidden="1">
      <c r="AN552" s="239"/>
      <c r="AO552" s="225"/>
      <c r="AP552" s="260"/>
      <c r="AQ552" s="258"/>
      <c r="AR552" s="258"/>
      <c r="AS552" s="202"/>
      <c r="AT552" s="213"/>
      <c r="AU552" s="213"/>
    </row>
    <row r="553" spans="40:47" s="121" customFormat="1" hidden="1">
      <c r="AN553" s="239"/>
      <c r="AO553" s="225"/>
      <c r="AP553" s="260"/>
      <c r="AQ553" s="258"/>
      <c r="AR553" s="258"/>
      <c r="AS553" s="202"/>
      <c r="AT553" s="213"/>
      <c r="AU553" s="213"/>
    </row>
    <row r="554" spans="40:47" s="121" customFormat="1" hidden="1">
      <c r="AN554" s="239"/>
      <c r="AO554" s="225"/>
      <c r="AP554" s="260"/>
      <c r="AQ554" s="258"/>
      <c r="AR554" s="258"/>
      <c r="AS554" s="202"/>
      <c r="AT554" s="213"/>
      <c r="AU554" s="213"/>
    </row>
    <row r="555" spans="40:47" s="121" customFormat="1" hidden="1">
      <c r="AN555" s="239"/>
      <c r="AO555" s="225"/>
      <c r="AP555" s="260"/>
      <c r="AQ555" s="258"/>
      <c r="AR555" s="258"/>
      <c r="AS555" s="202"/>
      <c r="AT555" s="213"/>
      <c r="AU555" s="213"/>
    </row>
    <row r="556" spans="40:47" s="121" customFormat="1" hidden="1">
      <c r="AN556" s="239"/>
      <c r="AO556" s="225"/>
      <c r="AP556" s="260"/>
      <c r="AQ556" s="258"/>
      <c r="AR556" s="258"/>
      <c r="AS556" s="202"/>
      <c r="AT556" s="213"/>
      <c r="AU556" s="213"/>
    </row>
    <row r="557" spans="40:47" s="121" customFormat="1" hidden="1">
      <c r="AN557" s="239"/>
      <c r="AO557" s="225"/>
      <c r="AP557" s="260"/>
      <c r="AQ557" s="258"/>
      <c r="AR557" s="258"/>
      <c r="AS557" s="202"/>
      <c r="AT557" s="213"/>
      <c r="AU557" s="213"/>
    </row>
    <row r="558" spans="40:47" s="121" customFormat="1" hidden="1">
      <c r="AN558" s="239"/>
      <c r="AO558" s="225"/>
      <c r="AP558" s="260"/>
      <c r="AQ558" s="258"/>
      <c r="AR558" s="258"/>
      <c r="AS558" s="202"/>
      <c r="AT558" s="213"/>
      <c r="AU558" s="213"/>
    </row>
    <row r="559" spans="40:47" s="121" customFormat="1" hidden="1">
      <c r="AN559" s="239"/>
      <c r="AO559" s="225"/>
      <c r="AP559" s="260"/>
      <c r="AQ559" s="258"/>
      <c r="AR559" s="258"/>
      <c r="AS559" s="202"/>
      <c r="AT559" s="213"/>
      <c r="AU559" s="213"/>
    </row>
    <row r="560" spans="40:47" s="121" customFormat="1" hidden="1">
      <c r="AN560" s="239"/>
      <c r="AO560" s="225"/>
      <c r="AP560" s="260"/>
      <c r="AQ560" s="258"/>
      <c r="AR560" s="258"/>
      <c r="AS560" s="202"/>
      <c r="AT560" s="213"/>
      <c r="AU560" s="213"/>
    </row>
    <row r="561" spans="40:47" s="121" customFormat="1" hidden="1">
      <c r="AN561" s="239"/>
      <c r="AO561" s="225"/>
      <c r="AP561" s="260"/>
      <c r="AQ561" s="258"/>
      <c r="AR561" s="258"/>
      <c r="AS561" s="202"/>
      <c r="AT561" s="213"/>
      <c r="AU561" s="213"/>
    </row>
    <row r="562" spans="40:47" s="121" customFormat="1" hidden="1">
      <c r="AN562" s="239"/>
      <c r="AO562" s="225"/>
      <c r="AP562" s="260"/>
      <c r="AQ562" s="258"/>
      <c r="AR562" s="258"/>
      <c r="AS562" s="202"/>
      <c r="AT562" s="213"/>
      <c r="AU562" s="213"/>
    </row>
    <row r="563" spans="40:47" s="121" customFormat="1" hidden="1">
      <c r="AN563" s="239"/>
      <c r="AO563" s="225"/>
      <c r="AP563" s="260"/>
      <c r="AQ563" s="258"/>
      <c r="AR563" s="258"/>
      <c r="AS563" s="202"/>
      <c r="AT563" s="213"/>
      <c r="AU563" s="213"/>
    </row>
    <row r="564" spans="40:47" s="121" customFormat="1" hidden="1">
      <c r="AN564" s="239"/>
      <c r="AO564" s="225"/>
      <c r="AP564" s="260"/>
      <c r="AQ564" s="258"/>
      <c r="AR564" s="258"/>
      <c r="AS564" s="202"/>
      <c r="AT564" s="213"/>
      <c r="AU564" s="213"/>
    </row>
    <row r="565" spans="40:47" s="121" customFormat="1" hidden="1">
      <c r="AN565" s="239"/>
      <c r="AO565" s="225"/>
      <c r="AP565" s="260"/>
      <c r="AQ565" s="258"/>
      <c r="AR565" s="258"/>
      <c r="AS565" s="202"/>
      <c r="AT565" s="213"/>
      <c r="AU565" s="213"/>
    </row>
    <row r="566" spans="40:47" s="121" customFormat="1" hidden="1">
      <c r="AN566" s="239"/>
      <c r="AO566" s="225"/>
      <c r="AP566" s="260"/>
      <c r="AQ566" s="258"/>
      <c r="AR566" s="258"/>
      <c r="AS566" s="202"/>
      <c r="AT566" s="213"/>
      <c r="AU566" s="213"/>
    </row>
    <row r="567" spans="40:47" s="121" customFormat="1" hidden="1">
      <c r="AN567" s="239"/>
      <c r="AO567" s="225"/>
      <c r="AP567" s="260"/>
      <c r="AQ567" s="258"/>
      <c r="AR567" s="258"/>
      <c r="AS567" s="202"/>
      <c r="AT567" s="213"/>
      <c r="AU567" s="213"/>
    </row>
    <row r="568" spans="40:47" s="121" customFormat="1" hidden="1">
      <c r="AN568" s="239"/>
      <c r="AO568" s="225"/>
      <c r="AP568" s="260"/>
      <c r="AQ568" s="258"/>
      <c r="AR568" s="258"/>
      <c r="AS568" s="202"/>
      <c r="AT568" s="213"/>
      <c r="AU568" s="213"/>
    </row>
    <row r="569" spans="40:47" s="121" customFormat="1" hidden="1">
      <c r="AN569" s="239"/>
      <c r="AO569" s="225"/>
      <c r="AP569" s="260"/>
      <c r="AQ569" s="258"/>
      <c r="AR569" s="258"/>
      <c r="AS569" s="202"/>
      <c r="AT569" s="213"/>
      <c r="AU569" s="213"/>
    </row>
    <row r="570" spans="40:47" s="121" customFormat="1" hidden="1">
      <c r="AN570" s="239"/>
      <c r="AO570" s="225"/>
      <c r="AP570" s="260"/>
      <c r="AQ570" s="258"/>
      <c r="AR570" s="258"/>
      <c r="AS570" s="202"/>
      <c r="AT570" s="213"/>
      <c r="AU570" s="213"/>
    </row>
    <row r="571" spans="40:47" s="121" customFormat="1" hidden="1">
      <c r="AN571" s="239"/>
      <c r="AO571" s="225"/>
      <c r="AP571" s="260"/>
      <c r="AQ571" s="258"/>
      <c r="AR571" s="258"/>
      <c r="AS571" s="202"/>
      <c r="AT571" s="213"/>
      <c r="AU571" s="213"/>
    </row>
    <row r="572" spans="40:47" s="121" customFormat="1" hidden="1">
      <c r="AN572" s="239"/>
      <c r="AO572" s="225"/>
      <c r="AP572" s="260"/>
      <c r="AQ572" s="258"/>
      <c r="AR572" s="258"/>
      <c r="AS572" s="202"/>
      <c r="AT572" s="213"/>
      <c r="AU572" s="213"/>
    </row>
    <row r="573" spans="40:47" s="121" customFormat="1" hidden="1">
      <c r="AN573" s="239"/>
      <c r="AO573" s="225"/>
      <c r="AP573" s="260"/>
      <c r="AQ573" s="258"/>
      <c r="AR573" s="258"/>
      <c r="AS573" s="202"/>
      <c r="AT573" s="213"/>
      <c r="AU573" s="213"/>
    </row>
    <row r="574" spans="40:47" s="121" customFormat="1" hidden="1">
      <c r="AN574" s="239"/>
      <c r="AO574" s="225"/>
      <c r="AP574" s="260"/>
      <c r="AQ574" s="258"/>
      <c r="AR574" s="258"/>
      <c r="AS574" s="202"/>
      <c r="AT574" s="213"/>
      <c r="AU574" s="213"/>
    </row>
    <row r="575" spans="40:47" s="121" customFormat="1" hidden="1">
      <c r="AN575" s="239"/>
      <c r="AO575" s="225"/>
      <c r="AP575" s="260"/>
      <c r="AQ575" s="258"/>
      <c r="AR575" s="258"/>
      <c r="AS575" s="202"/>
      <c r="AT575" s="213"/>
      <c r="AU575" s="213"/>
    </row>
    <row r="576" spans="40:47" s="121" customFormat="1" hidden="1">
      <c r="AN576" s="239"/>
      <c r="AO576" s="225"/>
      <c r="AP576" s="260"/>
      <c r="AQ576" s="258"/>
      <c r="AR576" s="258"/>
      <c r="AS576" s="202"/>
      <c r="AT576" s="213"/>
      <c r="AU576" s="213"/>
    </row>
    <row r="577" spans="40:47" s="121" customFormat="1" hidden="1">
      <c r="AN577" s="239"/>
      <c r="AO577" s="225"/>
      <c r="AP577" s="260"/>
      <c r="AQ577" s="258"/>
      <c r="AR577" s="258"/>
      <c r="AS577" s="202"/>
      <c r="AT577" s="213"/>
      <c r="AU577" s="213"/>
    </row>
    <row r="578" spans="40:47" s="121" customFormat="1" hidden="1">
      <c r="AN578" s="239"/>
      <c r="AO578" s="225"/>
      <c r="AP578" s="260"/>
      <c r="AQ578" s="258"/>
      <c r="AR578" s="258"/>
      <c r="AS578" s="202"/>
      <c r="AT578" s="213"/>
      <c r="AU578" s="213"/>
    </row>
    <row r="579" spans="40:47" s="121" customFormat="1" hidden="1">
      <c r="AN579" s="239"/>
      <c r="AO579" s="225"/>
      <c r="AP579" s="260"/>
      <c r="AQ579" s="258"/>
      <c r="AR579" s="258"/>
      <c r="AS579" s="202"/>
      <c r="AT579" s="213"/>
      <c r="AU579" s="213"/>
    </row>
    <row r="580" spans="40:47" s="121" customFormat="1" hidden="1">
      <c r="AN580" s="239"/>
      <c r="AO580" s="225"/>
      <c r="AP580" s="260"/>
      <c r="AQ580" s="258"/>
      <c r="AR580" s="258"/>
      <c r="AS580" s="202"/>
      <c r="AT580" s="213"/>
      <c r="AU580" s="213"/>
    </row>
    <row r="581" spans="40:47" s="121" customFormat="1" hidden="1">
      <c r="AN581" s="239"/>
      <c r="AO581" s="225"/>
      <c r="AP581" s="260"/>
      <c r="AQ581" s="258"/>
      <c r="AR581" s="258"/>
      <c r="AS581" s="202"/>
      <c r="AT581" s="213"/>
      <c r="AU581" s="213"/>
    </row>
    <row r="582" spans="40:47" s="121" customFormat="1" hidden="1">
      <c r="AN582" s="239"/>
      <c r="AO582" s="225"/>
      <c r="AP582" s="260"/>
      <c r="AQ582" s="258"/>
      <c r="AR582" s="258"/>
      <c r="AS582" s="202"/>
      <c r="AT582" s="213"/>
      <c r="AU582" s="213"/>
    </row>
    <row r="583" spans="40:47" s="121" customFormat="1" hidden="1">
      <c r="AN583" s="239"/>
      <c r="AO583" s="225"/>
      <c r="AP583" s="260"/>
      <c r="AQ583" s="258"/>
      <c r="AR583" s="258"/>
      <c r="AS583" s="202"/>
      <c r="AT583" s="213"/>
      <c r="AU583" s="213"/>
    </row>
    <row r="584" spans="40:47" s="121" customFormat="1" hidden="1">
      <c r="AN584" s="239"/>
      <c r="AO584" s="225"/>
      <c r="AP584" s="260"/>
      <c r="AQ584" s="258"/>
      <c r="AR584" s="258"/>
      <c r="AS584" s="202"/>
      <c r="AT584" s="213"/>
      <c r="AU584" s="213"/>
    </row>
    <row r="585" spans="40:47" s="121" customFormat="1" hidden="1">
      <c r="AN585" s="239"/>
      <c r="AO585" s="225"/>
      <c r="AP585" s="260"/>
      <c r="AQ585" s="258"/>
      <c r="AR585" s="258"/>
      <c r="AS585" s="202"/>
      <c r="AT585" s="213"/>
      <c r="AU585" s="213"/>
    </row>
    <row r="586" spans="40:47" s="121" customFormat="1" hidden="1">
      <c r="AN586" s="239"/>
      <c r="AO586" s="225"/>
      <c r="AP586" s="260"/>
      <c r="AQ586" s="258"/>
      <c r="AR586" s="258"/>
      <c r="AS586" s="202"/>
      <c r="AT586" s="213"/>
      <c r="AU586" s="213"/>
    </row>
    <row r="587" spans="40:47" s="121" customFormat="1" hidden="1">
      <c r="AN587" s="239"/>
      <c r="AO587" s="225"/>
      <c r="AP587" s="260"/>
      <c r="AQ587" s="258"/>
      <c r="AR587" s="258"/>
      <c r="AS587" s="202"/>
      <c r="AT587" s="213"/>
      <c r="AU587" s="213"/>
    </row>
    <row r="588" spans="40:47" s="121" customFormat="1" hidden="1">
      <c r="AN588" s="239"/>
      <c r="AO588" s="225"/>
      <c r="AP588" s="260"/>
      <c r="AQ588" s="258"/>
      <c r="AR588" s="258"/>
      <c r="AS588" s="202"/>
      <c r="AT588" s="213"/>
      <c r="AU588" s="213"/>
    </row>
    <row r="589" spans="40:47" s="121" customFormat="1" hidden="1">
      <c r="AN589" s="239"/>
      <c r="AO589" s="225"/>
      <c r="AP589" s="260"/>
      <c r="AQ589" s="258"/>
      <c r="AR589" s="258"/>
      <c r="AS589" s="202"/>
      <c r="AT589" s="213"/>
      <c r="AU589" s="213"/>
    </row>
    <row r="590" spans="40:47" s="121" customFormat="1" hidden="1">
      <c r="AN590" s="239"/>
      <c r="AO590" s="225"/>
      <c r="AP590" s="260"/>
      <c r="AQ590" s="258"/>
      <c r="AR590" s="258"/>
      <c r="AS590" s="202"/>
      <c r="AT590" s="213"/>
      <c r="AU590" s="213"/>
    </row>
    <row r="591" spans="40:47" s="121" customFormat="1" hidden="1">
      <c r="AN591" s="239"/>
      <c r="AO591" s="225"/>
      <c r="AP591" s="260"/>
      <c r="AQ591" s="258"/>
      <c r="AR591" s="258"/>
      <c r="AS591" s="202"/>
      <c r="AT591" s="213"/>
      <c r="AU591" s="213"/>
    </row>
    <row r="592" spans="40:47" s="121" customFormat="1" hidden="1">
      <c r="AN592" s="239"/>
      <c r="AO592" s="225"/>
      <c r="AP592" s="260"/>
      <c r="AQ592" s="258"/>
      <c r="AR592" s="258"/>
      <c r="AS592" s="202"/>
      <c r="AT592" s="213"/>
      <c r="AU592" s="213"/>
    </row>
    <row r="593" spans="40:47" s="121" customFormat="1" hidden="1">
      <c r="AN593" s="239"/>
      <c r="AO593" s="225"/>
      <c r="AP593" s="260"/>
      <c r="AQ593" s="258"/>
      <c r="AR593" s="258"/>
      <c r="AS593" s="202"/>
      <c r="AT593" s="213"/>
      <c r="AU593" s="213"/>
    </row>
    <row r="594" spans="40:47" s="121" customFormat="1" hidden="1">
      <c r="AN594" s="239"/>
      <c r="AO594" s="225"/>
      <c r="AP594" s="260"/>
      <c r="AQ594" s="258"/>
      <c r="AR594" s="258"/>
      <c r="AS594" s="202"/>
      <c r="AT594" s="213"/>
      <c r="AU594" s="213"/>
    </row>
    <row r="595" spans="40:47" s="121" customFormat="1" hidden="1">
      <c r="AN595" s="239"/>
      <c r="AO595" s="225"/>
      <c r="AP595" s="260"/>
      <c r="AQ595" s="258"/>
      <c r="AR595" s="258"/>
      <c r="AS595" s="202"/>
      <c r="AT595" s="213"/>
      <c r="AU595" s="213"/>
    </row>
    <row r="596" spans="40:47" s="121" customFormat="1" hidden="1">
      <c r="AN596" s="239"/>
      <c r="AO596" s="225"/>
      <c r="AP596" s="260"/>
      <c r="AQ596" s="258"/>
      <c r="AR596" s="258"/>
      <c r="AS596" s="202"/>
      <c r="AT596" s="213"/>
      <c r="AU596" s="213"/>
    </row>
    <row r="597" spans="40:47" s="121" customFormat="1" hidden="1">
      <c r="AN597" s="239"/>
      <c r="AO597" s="225"/>
      <c r="AP597" s="260"/>
      <c r="AQ597" s="258"/>
      <c r="AR597" s="258"/>
      <c r="AS597" s="202"/>
      <c r="AT597" s="213"/>
      <c r="AU597" s="213"/>
    </row>
    <row r="598" spans="40:47" s="121" customFormat="1" hidden="1">
      <c r="AN598" s="239"/>
      <c r="AO598" s="225"/>
      <c r="AP598" s="260"/>
      <c r="AQ598" s="258"/>
      <c r="AR598" s="258"/>
      <c r="AS598" s="202"/>
      <c r="AT598" s="213"/>
      <c r="AU598" s="213"/>
    </row>
    <row r="599" spans="40:47" s="121" customFormat="1" hidden="1">
      <c r="AN599" s="239"/>
      <c r="AO599" s="225"/>
      <c r="AP599" s="260"/>
      <c r="AQ599" s="258"/>
      <c r="AR599" s="258"/>
      <c r="AS599" s="202"/>
      <c r="AT599" s="213"/>
      <c r="AU599" s="213"/>
    </row>
    <row r="600" spans="40:47" s="121" customFormat="1" hidden="1">
      <c r="AN600" s="239"/>
      <c r="AO600" s="225"/>
      <c r="AP600" s="260"/>
      <c r="AQ600" s="258"/>
      <c r="AR600" s="258"/>
      <c r="AS600" s="202"/>
      <c r="AT600" s="213"/>
      <c r="AU600" s="213"/>
    </row>
    <row r="601" spans="40:47" s="121" customFormat="1" hidden="1">
      <c r="AN601" s="239"/>
      <c r="AO601" s="225"/>
      <c r="AP601" s="260"/>
      <c r="AQ601" s="258"/>
      <c r="AR601" s="258"/>
      <c r="AS601" s="202"/>
      <c r="AT601" s="213"/>
      <c r="AU601" s="213"/>
    </row>
    <row r="602" spans="40:47" s="121" customFormat="1" hidden="1">
      <c r="AN602" s="239"/>
      <c r="AO602" s="225"/>
      <c r="AP602" s="260"/>
      <c r="AQ602" s="258"/>
      <c r="AR602" s="258"/>
      <c r="AS602" s="202"/>
      <c r="AT602" s="213"/>
      <c r="AU602" s="213"/>
    </row>
    <row r="603" spans="40:47" s="121" customFormat="1" hidden="1">
      <c r="AN603" s="239"/>
      <c r="AO603" s="225"/>
      <c r="AP603" s="260"/>
      <c r="AQ603" s="258"/>
      <c r="AR603" s="258"/>
      <c r="AS603" s="202"/>
      <c r="AT603" s="213"/>
      <c r="AU603" s="213"/>
    </row>
    <row r="604" spans="40:47" s="121" customFormat="1" hidden="1">
      <c r="AN604" s="239"/>
      <c r="AO604" s="225"/>
      <c r="AP604" s="260"/>
      <c r="AQ604" s="258"/>
      <c r="AR604" s="258"/>
      <c r="AS604" s="202"/>
      <c r="AT604" s="213"/>
      <c r="AU604" s="213"/>
    </row>
    <row r="605" spans="40:47" s="121" customFormat="1" hidden="1">
      <c r="AN605" s="239"/>
      <c r="AO605" s="225"/>
      <c r="AP605" s="260"/>
      <c r="AQ605" s="258"/>
      <c r="AR605" s="258"/>
      <c r="AS605" s="202"/>
      <c r="AT605" s="213"/>
      <c r="AU605" s="213"/>
    </row>
    <row r="606" spans="40:47" s="121" customFormat="1" hidden="1">
      <c r="AN606" s="239"/>
      <c r="AO606" s="225"/>
      <c r="AP606" s="260"/>
      <c r="AQ606" s="258"/>
      <c r="AR606" s="258"/>
      <c r="AS606" s="202"/>
      <c r="AT606" s="213"/>
      <c r="AU606" s="213"/>
    </row>
    <row r="607" spans="40:47" s="121" customFormat="1" hidden="1">
      <c r="AN607" s="239"/>
      <c r="AO607" s="225"/>
      <c r="AP607" s="260"/>
      <c r="AQ607" s="258"/>
      <c r="AR607" s="258"/>
      <c r="AS607" s="202"/>
      <c r="AT607" s="213"/>
      <c r="AU607" s="213"/>
    </row>
    <row r="608" spans="40:47" s="121" customFormat="1" hidden="1">
      <c r="AN608" s="239"/>
      <c r="AO608" s="225"/>
      <c r="AP608" s="260"/>
      <c r="AQ608" s="258"/>
      <c r="AR608" s="258"/>
      <c r="AS608" s="202"/>
      <c r="AT608" s="213"/>
      <c r="AU608" s="213"/>
    </row>
    <row r="609" spans="40:47" s="121" customFormat="1" hidden="1">
      <c r="AN609" s="239"/>
      <c r="AO609" s="225"/>
      <c r="AP609" s="260"/>
      <c r="AQ609" s="258"/>
      <c r="AR609" s="258"/>
      <c r="AS609" s="202"/>
      <c r="AT609" s="213"/>
      <c r="AU609" s="213"/>
    </row>
    <row r="610" spans="40:47" s="121" customFormat="1" hidden="1">
      <c r="AN610" s="239"/>
      <c r="AO610" s="225"/>
      <c r="AP610" s="260"/>
      <c r="AQ610" s="258"/>
      <c r="AR610" s="258"/>
      <c r="AS610" s="202"/>
      <c r="AT610" s="213"/>
      <c r="AU610" s="213"/>
    </row>
    <row r="611" spans="40:47" s="121" customFormat="1" hidden="1">
      <c r="AN611" s="239"/>
      <c r="AO611" s="225"/>
      <c r="AP611" s="260"/>
      <c r="AQ611" s="258"/>
      <c r="AR611" s="258"/>
      <c r="AS611" s="202"/>
      <c r="AT611" s="213"/>
      <c r="AU611" s="213"/>
    </row>
    <row r="612" spans="40:47" s="121" customFormat="1" hidden="1">
      <c r="AN612" s="239"/>
      <c r="AO612" s="225"/>
      <c r="AP612" s="260"/>
      <c r="AQ612" s="258"/>
      <c r="AR612" s="258"/>
      <c r="AS612" s="202"/>
      <c r="AT612" s="213"/>
      <c r="AU612" s="213"/>
    </row>
    <row r="613" spans="40:47" s="121" customFormat="1" hidden="1">
      <c r="AN613" s="239"/>
      <c r="AO613" s="225"/>
      <c r="AP613" s="260"/>
      <c r="AQ613" s="258"/>
      <c r="AR613" s="258"/>
      <c r="AS613" s="202"/>
      <c r="AT613" s="213"/>
      <c r="AU613" s="213"/>
    </row>
    <row r="614" spans="40:47" s="121" customFormat="1" hidden="1">
      <c r="AN614" s="239"/>
      <c r="AO614" s="225"/>
      <c r="AP614" s="260"/>
      <c r="AQ614" s="258"/>
      <c r="AR614" s="258"/>
      <c r="AS614" s="202"/>
      <c r="AT614" s="213"/>
      <c r="AU614" s="213"/>
    </row>
    <row r="615" spans="40:47" s="121" customFormat="1" hidden="1">
      <c r="AN615" s="239"/>
      <c r="AO615" s="225"/>
      <c r="AP615" s="260"/>
      <c r="AQ615" s="258"/>
      <c r="AR615" s="258"/>
      <c r="AS615" s="202"/>
      <c r="AT615" s="213"/>
      <c r="AU615" s="213"/>
    </row>
    <row r="616" spans="40:47" s="121" customFormat="1" hidden="1">
      <c r="AN616" s="239"/>
      <c r="AO616" s="225"/>
      <c r="AP616" s="260"/>
      <c r="AQ616" s="258"/>
      <c r="AR616" s="258"/>
      <c r="AS616" s="202"/>
      <c r="AT616" s="213"/>
      <c r="AU616" s="213"/>
    </row>
    <row r="617" spans="40:47" s="121" customFormat="1" hidden="1">
      <c r="AN617" s="239"/>
      <c r="AO617" s="225"/>
      <c r="AP617" s="260"/>
      <c r="AQ617" s="258"/>
      <c r="AR617" s="258"/>
      <c r="AS617" s="202"/>
      <c r="AT617" s="213"/>
      <c r="AU617" s="213"/>
    </row>
    <row r="618" spans="40:47" s="121" customFormat="1" hidden="1">
      <c r="AN618" s="239"/>
      <c r="AO618" s="225"/>
      <c r="AP618" s="260"/>
      <c r="AQ618" s="258"/>
      <c r="AR618" s="258"/>
      <c r="AS618" s="202"/>
      <c r="AT618" s="213"/>
      <c r="AU618" s="213"/>
    </row>
    <row r="619" spans="40:47" s="121" customFormat="1" hidden="1">
      <c r="AN619" s="239"/>
      <c r="AO619" s="225"/>
      <c r="AP619" s="260"/>
      <c r="AQ619" s="258"/>
      <c r="AR619" s="258"/>
      <c r="AS619" s="202"/>
      <c r="AT619" s="213"/>
      <c r="AU619" s="213"/>
    </row>
    <row r="620" spans="40:47" s="121" customFormat="1" hidden="1">
      <c r="AN620" s="239"/>
      <c r="AO620" s="225"/>
      <c r="AP620" s="260"/>
      <c r="AQ620" s="258"/>
      <c r="AR620" s="258"/>
      <c r="AS620" s="202"/>
      <c r="AT620" s="213"/>
      <c r="AU620" s="213"/>
    </row>
    <row r="621" spans="40:47" s="121" customFormat="1" hidden="1">
      <c r="AN621" s="239"/>
      <c r="AO621" s="225"/>
      <c r="AP621" s="260"/>
      <c r="AQ621" s="258"/>
      <c r="AR621" s="258"/>
      <c r="AS621" s="202"/>
      <c r="AT621" s="213"/>
      <c r="AU621" s="213"/>
    </row>
    <row r="622" spans="40:47" s="121" customFormat="1" hidden="1">
      <c r="AN622" s="239"/>
      <c r="AO622" s="225"/>
      <c r="AP622" s="260"/>
      <c r="AQ622" s="258"/>
      <c r="AR622" s="258"/>
      <c r="AS622" s="202"/>
      <c r="AT622" s="213"/>
      <c r="AU622" s="213"/>
    </row>
    <row r="623" spans="40:47" s="121" customFormat="1" hidden="1">
      <c r="AN623" s="239"/>
      <c r="AO623" s="225"/>
      <c r="AP623" s="260"/>
      <c r="AQ623" s="258"/>
      <c r="AR623" s="258"/>
      <c r="AS623" s="202"/>
      <c r="AT623" s="213"/>
      <c r="AU623" s="213"/>
    </row>
    <row r="624" spans="40:47" s="121" customFormat="1" hidden="1">
      <c r="AN624" s="239"/>
      <c r="AO624" s="225"/>
      <c r="AP624" s="260"/>
      <c r="AQ624" s="258"/>
      <c r="AR624" s="258"/>
      <c r="AS624" s="202"/>
      <c r="AT624" s="213"/>
      <c r="AU624" s="213"/>
    </row>
    <row r="625" spans="40:47" s="121" customFormat="1" hidden="1">
      <c r="AN625" s="239"/>
      <c r="AO625" s="225"/>
      <c r="AP625" s="260"/>
      <c r="AQ625" s="258"/>
      <c r="AR625" s="258"/>
      <c r="AS625" s="202"/>
      <c r="AT625" s="213"/>
      <c r="AU625" s="213"/>
    </row>
    <row r="626" spans="40:47" s="121" customFormat="1" hidden="1">
      <c r="AN626" s="239"/>
      <c r="AO626" s="225"/>
      <c r="AP626" s="260"/>
      <c r="AQ626" s="258"/>
      <c r="AR626" s="258"/>
      <c r="AS626" s="202"/>
      <c r="AT626" s="213"/>
      <c r="AU626" s="213"/>
    </row>
    <row r="627" spans="40:47" s="121" customFormat="1" hidden="1">
      <c r="AN627" s="239"/>
      <c r="AO627" s="225"/>
      <c r="AP627" s="260"/>
      <c r="AQ627" s="258"/>
      <c r="AR627" s="258"/>
      <c r="AS627" s="202"/>
      <c r="AT627" s="213"/>
      <c r="AU627" s="213"/>
    </row>
    <row r="628" spans="40:47" s="121" customFormat="1" hidden="1">
      <c r="AN628" s="239"/>
      <c r="AO628" s="225"/>
      <c r="AP628" s="260"/>
      <c r="AQ628" s="258"/>
      <c r="AR628" s="258"/>
      <c r="AS628" s="202"/>
      <c r="AT628" s="213"/>
      <c r="AU628" s="213"/>
    </row>
    <row r="629" spans="40:47" s="121" customFormat="1" hidden="1">
      <c r="AN629" s="239"/>
      <c r="AO629" s="225"/>
      <c r="AP629" s="260"/>
      <c r="AQ629" s="258"/>
      <c r="AR629" s="258"/>
      <c r="AS629" s="202"/>
      <c r="AT629" s="213"/>
      <c r="AU629" s="213"/>
    </row>
    <row r="630" spans="40:47" s="121" customFormat="1" hidden="1">
      <c r="AN630" s="239"/>
      <c r="AO630" s="225"/>
      <c r="AP630" s="260"/>
      <c r="AQ630" s="258"/>
      <c r="AR630" s="258"/>
      <c r="AS630" s="202"/>
      <c r="AT630" s="213"/>
      <c r="AU630" s="213"/>
    </row>
    <row r="631" spans="40:47" s="121" customFormat="1" hidden="1">
      <c r="AN631" s="239"/>
      <c r="AO631" s="225"/>
      <c r="AP631" s="260"/>
      <c r="AQ631" s="258"/>
      <c r="AR631" s="258"/>
      <c r="AS631" s="202"/>
      <c r="AT631" s="213"/>
      <c r="AU631" s="213"/>
    </row>
    <row r="632" spans="40:47" s="121" customFormat="1" hidden="1">
      <c r="AN632" s="239"/>
      <c r="AO632" s="225"/>
      <c r="AP632" s="260"/>
      <c r="AQ632" s="258"/>
      <c r="AR632" s="258"/>
      <c r="AS632" s="202"/>
      <c r="AT632" s="213"/>
      <c r="AU632" s="213"/>
    </row>
    <row r="633" spans="40:47" s="121" customFormat="1" hidden="1">
      <c r="AN633" s="239"/>
      <c r="AO633" s="225"/>
      <c r="AP633" s="260"/>
      <c r="AQ633" s="258"/>
      <c r="AR633" s="258"/>
      <c r="AS633" s="202"/>
      <c r="AT633" s="213"/>
      <c r="AU633" s="213"/>
    </row>
    <row r="634" spans="40:47" s="121" customFormat="1" hidden="1">
      <c r="AN634" s="239"/>
      <c r="AO634" s="225"/>
      <c r="AP634" s="260"/>
      <c r="AQ634" s="258"/>
      <c r="AR634" s="258"/>
      <c r="AS634" s="202"/>
      <c r="AT634" s="213"/>
      <c r="AU634" s="213"/>
    </row>
    <row r="635" spans="40:47" s="121" customFormat="1" hidden="1">
      <c r="AN635" s="239"/>
      <c r="AO635" s="225"/>
      <c r="AP635" s="260"/>
      <c r="AQ635" s="258"/>
      <c r="AR635" s="258"/>
      <c r="AS635" s="202"/>
      <c r="AT635" s="213"/>
      <c r="AU635" s="213"/>
    </row>
    <row r="636" spans="40:47" s="121" customFormat="1" hidden="1">
      <c r="AN636" s="239"/>
      <c r="AO636" s="225"/>
      <c r="AP636" s="260"/>
      <c r="AQ636" s="258"/>
      <c r="AR636" s="258"/>
      <c r="AS636" s="202"/>
      <c r="AT636" s="213"/>
      <c r="AU636" s="213"/>
    </row>
    <row r="637" spans="40:47" s="121" customFormat="1" hidden="1">
      <c r="AN637" s="239"/>
      <c r="AO637" s="225"/>
      <c r="AP637" s="260"/>
      <c r="AQ637" s="258"/>
      <c r="AR637" s="258"/>
      <c r="AS637" s="202"/>
      <c r="AT637" s="213"/>
      <c r="AU637" s="213"/>
    </row>
    <row r="638" spans="40:47" s="121" customFormat="1" hidden="1">
      <c r="AN638" s="239"/>
      <c r="AO638" s="225"/>
      <c r="AP638" s="260"/>
      <c r="AQ638" s="258"/>
      <c r="AR638" s="258"/>
      <c r="AS638" s="202"/>
      <c r="AT638" s="213"/>
      <c r="AU638" s="213"/>
    </row>
    <row r="639" spans="40:47" s="121" customFormat="1" hidden="1">
      <c r="AN639" s="239"/>
      <c r="AO639" s="225"/>
      <c r="AP639" s="260"/>
      <c r="AQ639" s="258"/>
      <c r="AR639" s="258"/>
      <c r="AS639" s="202"/>
      <c r="AT639" s="213"/>
      <c r="AU639" s="213"/>
    </row>
    <row r="640" spans="40:47" s="121" customFormat="1" hidden="1">
      <c r="AN640" s="239"/>
      <c r="AO640" s="225"/>
      <c r="AP640" s="260"/>
      <c r="AQ640" s="258"/>
      <c r="AR640" s="258"/>
      <c r="AS640" s="202"/>
      <c r="AT640" s="213"/>
      <c r="AU640" s="213"/>
    </row>
    <row r="641" spans="40:47" s="121" customFormat="1" hidden="1">
      <c r="AN641" s="239"/>
      <c r="AO641" s="225"/>
      <c r="AP641" s="260"/>
      <c r="AQ641" s="258"/>
      <c r="AR641" s="258"/>
      <c r="AS641" s="202"/>
      <c r="AT641" s="213"/>
      <c r="AU641" s="213"/>
    </row>
    <row r="642" spans="40:47" s="121" customFormat="1" hidden="1">
      <c r="AN642" s="239"/>
      <c r="AO642" s="225"/>
      <c r="AP642" s="260"/>
      <c r="AQ642" s="258"/>
      <c r="AR642" s="258"/>
      <c r="AS642" s="202"/>
      <c r="AT642" s="213"/>
      <c r="AU642" s="213"/>
    </row>
    <row r="643" spans="40:47" s="121" customFormat="1" hidden="1">
      <c r="AN643" s="239"/>
      <c r="AO643" s="225"/>
      <c r="AP643" s="260"/>
      <c r="AQ643" s="258"/>
      <c r="AR643" s="258"/>
      <c r="AS643" s="202"/>
      <c r="AT643" s="213"/>
      <c r="AU643" s="213"/>
    </row>
    <row r="644" spans="40:47" s="121" customFormat="1" hidden="1">
      <c r="AN644" s="239"/>
      <c r="AO644" s="225"/>
      <c r="AP644" s="260"/>
      <c r="AQ644" s="258"/>
      <c r="AR644" s="258"/>
      <c r="AS644" s="202"/>
      <c r="AT644" s="213"/>
      <c r="AU644" s="213"/>
    </row>
    <row r="645" spans="40:47" s="121" customFormat="1" hidden="1">
      <c r="AN645" s="239"/>
      <c r="AO645" s="225"/>
      <c r="AP645" s="260"/>
      <c r="AQ645" s="258"/>
      <c r="AR645" s="258"/>
      <c r="AS645" s="202"/>
      <c r="AT645" s="213"/>
      <c r="AU645" s="213"/>
    </row>
    <row r="646" spans="40:47" s="121" customFormat="1" hidden="1">
      <c r="AN646" s="239"/>
      <c r="AO646" s="225"/>
      <c r="AP646" s="260"/>
      <c r="AQ646" s="258"/>
      <c r="AR646" s="258"/>
      <c r="AS646" s="202"/>
      <c r="AT646" s="213"/>
      <c r="AU646" s="213"/>
    </row>
    <row r="647" spans="40:47" s="121" customFormat="1" hidden="1">
      <c r="AN647" s="239"/>
      <c r="AO647" s="225"/>
      <c r="AP647" s="260"/>
      <c r="AQ647" s="258"/>
      <c r="AR647" s="258"/>
      <c r="AS647" s="202"/>
      <c r="AT647" s="213"/>
      <c r="AU647" s="213"/>
    </row>
    <row r="648" spans="40:47" s="121" customFormat="1" hidden="1">
      <c r="AN648" s="239"/>
      <c r="AO648" s="225"/>
      <c r="AP648" s="260"/>
      <c r="AQ648" s="258"/>
      <c r="AR648" s="258"/>
      <c r="AS648" s="202"/>
      <c r="AT648" s="213"/>
      <c r="AU648" s="213"/>
    </row>
    <row r="649" spans="40:47" s="121" customFormat="1" hidden="1">
      <c r="AN649" s="239"/>
      <c r="AO649" s="225"/>
      <c r="AP649" s="260"/>
      <c r="AQ649" s="258"/>
      <c r="AR649" s="258"/>
      <c r="AS649" s="202"/>
      <c r="AT649" s="213"/>
      <c r="AU649" s="213"/>
    </row>
    <row r="650" spans="40:47" s="121" customFormat="1" hidden="1">
      <c r="AN650" s="239"/>
      <c r="AO650" s="225"/>
      <c r="AP650" s="260"/>
      <c r="AQ650" s="258"/>
      <c r="AR650" s="258"/>
      <c r="AS650" s="202"/>
      <c r="AT650" s="213"/>
      <c r="AU650" s="213"/>
    </row>
    <row r="651" spans="40:47" s="121" customFormat="1" hidden="1">
      <c r="AN651" s="239"/>
      <c r="AO651" s="225"/>
      <c r="AP651" s="260"/>
      <c r="AQ651" s="258"/>
      <c r="AR651" s="258"/>
      <c r="AS651" s="202"/>
      <c r="AT651" s="213"/>
      <c r="AU651" s="213"/>
    </row>
    <row r="652" spans="40:47" s="121" customFormat="1" hidden="1">
      <c r="AN652" s="239"/>
      <c r="AO652" s="225"/>
      <c r="AP652" s="260"/>
      <c r="AQ652" s="258"/>
      <c r="AR652" s="258"/>
      <c r="AS652" s="202"/>
      <c r="AT652" s="213"/>
      <c r="AU652" s="213"/>
    </row>
    <row r="653" spans="40:47" s="121" customFormat="1" hidden="1">
      <c r="AN653" s="239"/>
      <c r="AO653" s="225"/>
      <c r="AP653" s="260"/>
      <c r="AQ653" s="258"/>
      <c r="AR653" s="258"/>
      <c r="AS653" s="202"/>
      <c r="AT653" s="213"/>
      <c r="AU653" s="213"/>
    </row>
    <row r="654" spans="40:47" s="121" customFormat="1" hidden="1">
      <c r="AN654" s="239"/>
      <c r="AO654" s="225"/>
      <c r="AP654" s="260"/>
      <c r="AQ654" s="258"/>
      <c r="AR654" s="258"/>
      <c r="AS654" s="202"/>
      <c r="AT654" s="213"/>
      <c r="AU654" s="213"/>
    </row>
    <row r="655" spans="40:47" s="121" customFormat="1" hidden="1">
      <c r="AN655" s="239"/>
      <c r="AO655" s="225"/>
      <c r="AP655" s="260"/>
      <c r="AQ655" s="258"/>
      <c r="AR655" s="258"/>
      <c r="AS655" s="202"/>
      <c r="AT655" s="213"/>
      <c r="AU655" s="213"/>
    </row>
    <row r="656" spans="40:47" s="121" customFormat="1" hidden="1">
      <c r="AN656" s="239"/>
      <c r="AO656" s="225"/>
      <c r="AP656" s="260"/>
      <c r="AQ656" s="258"/>
      <c r="AR656" s="258"/>
      <c r="AS656" s="202"/>
      <c r="AT656" s="213"/>
      <c r="AU656" s="213"/>
    </row>
    <row r="657" spans="40:47" s="121" customFormat="1" hidden="1">
      <c r="AN657" s="239"/>
      <c r="AO657" s="225"/>
      <c r="AP657" s="260"/>
      <c r="AQ657" s="258"/>
      <c r="AR657" s="258"/>
      <c r="AS657" s="202"/>
      <c r="AT657" s="213"/>
      <c r="AU657" s="213"/>
    </row>
    <row r="658" spans="40:47" s="121" customFormat="1" hidden="1">
      <c r="AN658" s="239"/>
      <c r="AO658" s="225"/>
      <c r="AP658" s="260"/>
      <c r="AQ658" s="258"/>
      <c r="AR658" s="258"/>
      <c r="AS658" s="202"/>
      <c r="AT658" s="213"/>
      <c r="AU658" s="213"/>
    </row>
    <row r="659" spans="40:47" s="121" customFormat="1" hidden="1">
      <c r="AN659" s="239"/>
      <c r="AO659" s="225"/>
      <c r="AP659" s="260"/>
      <c r="AQ659" s="258"/>
      <c r="AR659" s="258"/>
      <c r="AS659" s="202"/>
      <c r="AT659" s="213"/>
      <c r="AU659" s="213"/>
    </row>
    <row r="660" spans="40:47" s="121" customFormat="1" hidden="1">
      <c r="AN660" s="239"/>
      <c r="AO660" s="225"/>
      <c r="AP660" s="260"/>
      <c r="AQ660" s="258"/>
      <c r="AR660" s="258"/>
      <c r="AS660" s="202"/>
      <c r="AT660" s="213"/>
      <c r="AU660" s="213"/>
    </row>
    <row r="661" spans="40:47" s="121" customFormat="1" hidden="1">
      <c r="AN661" s="239"/>
      <c r="AO661" s="225"/>
      <c r="AP661" s="260"/>
      <c r="AQ661" s="258"/>
      <c r="AR661" s="258"/>
      <c r="AS661" s="202"/>
      <c r="AT661" s="213"/>
      <c r="AU661" s="213"/>
    </row>
    <row r="662" spans="40:47" s="121" customFormat="1" hidden="1">
      <c r="AN662" s="239"/>
      <c r="AO662" s="225"/>
      <c r="AP662" s="260"/>
      <c r="AQ662" s="258"/>
      <c r="AR662" s="258"/>
      <c r="AS662" s="202"/>
      <c r="AT662" s="213"/>
      <c r="AU662" s="213"/>
    </row>
    <row r="663" spans="40:47" s="121" customFormat="1" hidden="1">
      <c r="AN663" s="239"/>
      <c r="AO663" s="225"/>
      <c r="AP663" s="260"/>
      <c r="AQ663" s="258"/>
      <c r="AR663" s="258"/>
      <c r="AS663" s="202"/>
      <c r="AT663" s="213"/>
      <c r="AU663" s="213"/>
    </row>
    <row r="664" spans="40:47" s="121" customFormat="1" hidden="1">
      <c r="AN664" s="239"/>
      <c r="AO664" s="225"/>
      <c r="AP664" s="260"/>
      <c r="AQ664" s="258"/>
      <c r="AR664" s="258"/>
      <c r="AS664" s="202"/>
      <c r="AT664" s="213"/>
      <c r="AU664" s="213"/>
    </row>
    <row r="665" spans="40:47" s="121" customFormat="1" hidden="1">
      <c r="AN665" s="239"/>
      <c r="AO665" s="225"/>
      <c r="AP665" s="260"/>
      <c r="AQ665" s="258"/>
      <c r="AR665" s="258"/>
      <c r="AS665" s="202"/>
      <c r="AT665" s="213"/>
      <c r="AU665" s="213"/>
    </row>
    <row r="666" spans="40:47" s="121" customFormat="1" hidden="1">
      <c r="AN666" s="239"/>
      <c r="AO666" s="225"/>
      <c r="AP666" s="260"/>
      <c r="AQ666" s="258"/>
      <c r="AR666" s="258"/>
      <c r="AS666" s="202"/>
      <c r="AT666" s="213"/>
      <c r="AU666" s="213"/>
    </row>
    <row r="667" spans="40:47" s="121" customFormat="1" hidden="1">
      <c r="AN667" s="239"/>
      <c r="AO667" s="225"/>
      <c r="AP667" s="260"/>
      <c r="AQ667" s="258"/>
      <c r="AR667" s="258"/>
      <c r="AS667" s="202"/>
      <c r="AT667" s="213"/>
      <c r="AU667" s="213"/>
    </row>
    <row r="668" spans="40:47" s="121" customFormat="1" hidden="1">
      <c r="AN668" s="239"/>
      <c r="AO668" s="225"/>
      <c r="AP668" s="260"/>
      <c r="AQ668" s="258"/>
      <c r="AR668" s="258"/>
      <c r="AS668" s="202"/>
      <c r="AT668" s="213"/>
      <c r="AU668" s="213"/>
    </row>
    <row r="669" spans="40:47" s="121" customFormat="1" hidden="1">
      <c r="AN669" s="239"/>
      <c r="AO669" s="225"/>
      <c r="AP669" s="260"/>
      <c r="AQ669" s="258"/>
      <c r="AR669" s="258"/>
      <c r="AS669" s="202"/>
      <c r="AT669" s="213"/>
      <c r="AU669" s="213"/>
    </row>
    <row r="670" spans="40:47" s="121" customFormat="1" hidden="1">
      <c r="AN670" s="239"/>
      <c r="AO670" s="225"/>
      <c r="AP670" s="260"/>
      <c r="AQ670" s="258"/>
      <c r="AR670" s="258"/>
      <c r="AS670" s="202"/>
      <c r="AT670" s="213"/>
      <c r="AU670" s="213"/>
    </row>
    <row r="671" spans="40:47" s="121" customFormat="1" hidden="1">
      <c r="AN671" s="239"/>
      <c r="AO671" s="225"/>
      <c r="AP671" s="260"/>
      <c r="AQ671" s="258"/>
      <c r="AR671" s="258"/>
      <c r="AS671" s="202"/>
      <c r="AT671" s="213"/>
      <c r="AU671" s="213"/>
    </row>
    <row r="672" spans="40:47" s="121" customFormat="1" hidden="1">
      <c r="AN672" s="239"/>
      <c r="AO672" s="225"/>
      <c r="AP672" s="260"/>
      <c r="AQ672" s="258"/>
      <c r="AR672" s="258"/>
      <c r="AS672" s="202"/>
      <c r="AT672" s="213"/>
      <c r="AU672" s="213"/>
    </row>
    <row r="673" spans="40:47" s="121" customFormat="1" hidden="1">
      <c r="AN673" s="239"/>
      <c r="AO673" s="225"/>
      <c r="AP673" s="260"/>
      <c r="AQ673" s="258"/>
      <c r="AR673" s="258"/>
      <c r="AS673" s="202"/>
      <c r="AT673" s="213"/>
      <c r="AU673" s="213"/>
    </row>
    <row r="674" spans="40:47" s="121" customFormat="1" hidden="1">
      <c r="AN674" s="239"/>
      <c r="AO674" s="225"/>
      <c r="AP674" s="260"/>
      <c r="AQ674" s="258"/>
      <c r="AR674" s="258"/>
      <c r="AS674" s="202"/>
      <c r="AT674" s="213"/>
      <c r="AU674" s="213"/>
    </row>
    <row r="675" spans="40:47" s="121" customFormat="1" hidden="1">
      <c r="AN675" s="239"/>
      <c r="AO675" s="225"/>
      <c r="AP675" s="260"/>
      <c r="AQ675" s="258"/>
      <c r="AR675" s="258"/>
      <c r="AS675" s="202"/>
      <c r="AT675" s="213"/>
      <c r="AU675" s="213"/>
    </row>
    <row r="676" spans="40:47" s="121" customFormat="1" hidden="1">
      <c r="AN676" s="239"/>
      <c r="AO676" s="225"/>
      <c r="AP676" s="260"/>
      <c r="AQ676" s="258"/>
      <c r="AR676" s="258"/>
      <c r="AS676" s="202"/>
      <c r="AT676" s="213"/>
      <c r="AU676" s="213"/>
    </row>
    <row r="677" spans="40:47" s="121" customFormat="1" hidden="1">
      <c r="AN677" s="239"/>
      <c r="AO677" s="225"/>
      <c r="AP677" s="260"/>
      <c r="AQ677" s="258"/>
      <c r="AR677" s="258"/>
      <c r="AS677" s="202"/>
      <c r="AT677" s="213"/>
      <c r="AU677" s="213"/>
    </row>
    <row r="678" spans="40:47" s="121" customFormat="1" hidden="1">
      <c r="AN678" s="239"/>
      <c r="AO678" s="225"/>
      <c r="AP678" s="260"/>
      <c r="AQ678" s="258"/>
      <c r="AR678" s="258"/>
      <c r="AS678" s="202"/>
      <c r="AT678" s="213"/>
      <c r="AU678" s="213"/>
    </row>
    <row r="679" spans="40:47" s="121" customFormat="1" hidden="1">
      <c r="AN679" s="239"/>
      <c r="AO679" s="225"/>
      <c r="AP679" s="260"/>
      <c r="AQ679" s="258"/>
      <c r="AR679" s="258"/>
      <c r="AS679" s="202"/>
      <c r="AT679" s="213"/>
      <c r="AU679" s="213"/>
    </row>
    <row r="680" spans="40:47" s="121" customFormat="1" hidden="1">
      <c r="AN680" s="239"/>
      <c r="AO680" s="225"/>
      <c r="AP680" s="260"/>
      <c r="AQ680" s="258"/>
      <c r="AR680" s="258"/>
      <c r="AS680" s="202"/>
      <c r="AT680" s="213"/>
      <c r="AU680" s="213"/>
    </row>
    <row r="681" spans="40:47" s="121" customFormat="1" hidden="1">
      <c r="AN681" s="239"/>
      <c r="AO681" s="225"/>
      <c r="AP681" s="260"/>
      <c r="AQ681" s="258"/>
      <c r="AR681" s="258"/>
      <c r="AS681" s="202"/>
      <c r="AT681" s="213"/>
      <c r="AU681" s="213"/>
    </row>
    <row r="682" spans="40:47" s="121" customFormat="1" hidden="1">
      <c r="AN682" s="239"/>
      <c r="AO682" s="225"/>
      <c r="AP682" s="260"/>
      <c r="AQ682" s="258"/>
      <c r="AR682" s="258"/>
      <c r="AS682" s="202"/>
      <c r="AT682" s="213"/>
      <c r="AU682" s="213"/>
    </row>
    <row r="683" spans="40:47" s="121" customFormat="1" hidden="1">
      <c r="AN683" s="239"/>
      <c r="AO683" s="225"/>
      <c r="AP683" s="260"/>
      <c r="AQ683" s="258"/>
      <c r="AR683" s="258"/>
      <c r="AS683" s="202"/>
      <c r="AT683" s="213"/>
      <c r="AU683" s="213"/>
    </row>
    <row r="684" spans="40:47" s="121" customFormat="1" hidden="1">
      <c r="AN684" s="239"/>
      <c r="AO684" s="225"/>
      <c r="AP684" s="260"/>
      <c r="AQ684" s="258"/>
      <c r="AR684" s="258"/>
      <c r="AS684" s="202"/>
      <c r="AT684" s="213"/>
      <c r="AU684" s="213"/>
    </row>
    <row r="685" spans="40:47" s="121" customFormat="1" hidden="1">
      <c r="AN685" s="239"/>
      <c r="AO685" s="225"/>
      <c r="AP685" s="260"/>
      <c r="AQ685" s="258"/>
      <c r="AR685" s="258"/>
      <c r="AS685" s="202"/>
      <c r="AT685" s="213"/>
      <c r="AU685" s="213"/>
    </row>
    <row r="686" spans="40:47" s="121" customFormat="1" hidden="1">
      <c r="AN686" s="239"/>
      <c r="AO686" s="225"/>
      <c r="AP686" s="260"/>
      <c r="AQ686" s="258"/>
      <c r="AR686" s="258"/>
      <c r="AS686" s="202"/>
      <c r="AT686" s="213"/>
      <c r="AU686" s="213"/>
    </row>
    <row r="687" spans="40:47" s="121" customFormat="1" hidden="1">
      <c r="AN687" s="239"/>
      <c r="AO687" s="225"/>
      <c r="AP687" s="260"/>
      <c r="AQ687" s="258"/>
      <c r="AR687" s="258"/>
      <c r="AS687" s="202"/>
      <c r="AT687" s="213"/>
      <c r="AU687" s="213"/>
    </row>
    <row r="688" spans="40:47" s="121" customFormat="1" hidden="1">
      <c r="AN688" s="239"/>
      <c r="AO688" s="225"/>
      <c r="AP688" s="260"/>
      <c r="AQ688" s="258"/>
      <c r="AR688" s="258"/>
      <c r="AS688" s="202"/>
      <c r="AT688" s="213"/>
      <c r="AU688" s="213"/>
    </row>
    <row r="689" spans="40:47" s="121" customFormat="1" hidden="1">
      <c r="AN689" s="239"/>
      <c r="AO689" s="225"/>
      <c r="AP689" s="260"/>
      <c r="AQ689" s="258"/>
      <c r="AR689" s="258"/>
      <c r="AS689" s="202"/>
      <c r="AT689" s="213"/>
      <c r="AU689" s="213"/>
    </row>
    <row r="690" spans="40:47" s="121" customFormat="1" hidden="1">
      <c r="AN690" s="239"/>
      <c r="AO690" s="225"/>
      <c r="AP690" s="260"/>
      <c r="AQ690" s="258"/>
      <c r="AR690" s="258"/>
      <c r="AS690" s="202"/>
      <c r="AT690" s="213"/>
      <c r="AU690" s="213"/>
    </row>
    <row r="691" spans="40:47" s="121" customFormat="1" hidden="1">
      <c r="AN691" s="239"/>
      <c r="AO691" s="225"/>
      <c r="AP691" s="260"/>
      <c r="AQ691" s="258"/>
      <c r="AR691" s="258"/>
      <c r="AS691" s="202"/>
      <c r="AT691" s="213"/>
      <c r="AU691" s="213"/>
    </row>
    <row r="692" spans="40:47" s="121" customFormat="1" hidden="1">
      <c r="AN692" s="239"/>
      <c r="AO692" s="225"/>
      <c r="AP692" s="260"/>
      <c r="AQ692" s="258"/>
      <c r="AR692" s="258"/>
      <c r="AS692" s="202"/>
      <c r="AT692" s="213"/>
      <c r="AU692" s="213"/>
    </row>
    <row r="693" spans="40:47" s="121" customFormat="1" hidden="1">
      <c r="AN693" s="239"/>
      <c r="AO693" s="225"/>
      <c r="AP693" s="260"/>
      <c r="AQ693" s="258"/>
      <c r="AR693" s="258"/>
      <c r="AS693" s="202"/>
      <c r="AT693" s="213"/>
      <c r="AU693" s="213"/>
    </row>
    <row r="694" spans="40:47" s="121" customFormat="1" hidden="1">
      <c r="AN694" s="239"/>
      <c r="AO694" s="225"/>
      <c r="AP694" s="260"/>
      <c r="AQ694" s="258"/>
      <c r="AR694" s="258"/>
      <c r="AS694" s="202"/>
      <c r="AT694" s="213"/>
      <c r="AU694" s="213"/>
    </row>
    <row r="695" spans="40:47" s="121" customFormat="1" hidden="1">
      <c r="AN695" s="239"/>
      <c r="AO695" s="225"/>
      <c r="AP695" s="260"/>
      <c r="AQ695" s="258"/>
      <c r="AR695" s="258"/>
      <c r="AS695" s="202"/>
      <c r="AT695" s="213"/>
      <c r="AU695" s="213"/>
    </row>
    <row r="696" spans="40:47" s="121" customFormat="1" hidden="1">
      <c r="AN696" s="239"/>
      <c r="AO696" s="225"/>
      <c r="AP696" s="260"/>
      <c r="AQ696" s="258"/>
      <c r="AR696" s="258"/>
      <c r="AS696" s="202"/>
      <c r="AT696" s="213"/>
      <c r="AU696" s="213"/>
    </row>
    <row r="697" spans="40:47" s="121" customFormat="1" hidden="1">
      <c r="AN697" s="239"/>
      <c r="AO697" s="225"/>
      <c r="AP697" s="260"/>
      <c r="AQ697" s="258"/>
      <c r="AR697" s="258"/>
      <c r="AS697" s="202"/>
      <c r="AT697" s="213"/>
      <c r="AU697" s="213"/>
    </row>
    <row r="698" spans="40:47" s="121" customFormat="1" hidden="1">
      <c r="AN698" s="239"/>
      <c r="AO698" s="225"/>
      <c r="AP698" s="260"/>
      <c r="AQ698" s="258"/>
      <c r="AR698" s="258"/>
      <c r="AS698" s="202"/>
      <c r="AT698" s="213"/>
      <c r="AU698" s="213"/>
    </row>
    <row r="699" spans="40:47" s="121" customFormat="1" hidden="1">
      <c r="AN699" s="239"/>
      <c r="AO699" s="225"/>
      <c r="AP699" s="260"/>
      <c r="AQ699" s="258"/>
      <c r="AR699" s="258"/>
      <c r="AS699" s="202"/>
      <c r="AT699" s="213"/>
      <c r="AU699" s="213"/>
    </row>
    <row r="700" spans="40:47" s="121" customFormat="1">
      <c r="AN700" s="236" t="s">
        <v>2985</v>
      </c>
      <c r="AO700" s="225" t="s">
        <v>2972</v>
      </c>
      <c r="AP700" s="257">
        <f>SUM(AQ700:AR700)</f>
        <v>0</v>
      </c>
      <c r="AQ700" s="258"/>
      <c r="AR700" s="258"/>
      <c r="AS700" s="202"/>
      <c r="AT700" s="213"/>
      <c r="AU700" s="213"/>
    </row>
    <row r="701" spans="40:47" s="121" customFormat="1">
      <c r="AN701" s="236" t="s">
        <v>2987</v>
      </c>
      <c r="AO701" s="225" t="s">
        <v>2988</v>
      </c>
      <c r="AP701" s="257">
        <f>SUM(AQ701:AR701)</f>
        <v>0</v>
      </c>
      <c r="AQ701" s="258"/>
      <c r="AR701" s="258"/>
      <c r="AS701" s="202"/>
      <c r="AT701" s="213"/>
      <c r="AU701" s="213"/>
    </row>
    <row r="702" spans="40:47" s="121" customFormat="1" hidden="1" collapsed="1">
      <c r="AN702" s="239"/>
      <c r="AO702" s="226"/>
      <c r="AP702" s="260"/>
      <c r="AQ702" s="258"/>
      <c r="AR702" s="258"/>
      <c r="AS702" s="202"/>
      <c r="AT702" s="213"/>
      <c r="AU702" s="213"/>
    </row>
    <row r="703" spans="40:47" s="121" customFormat="1" hidden="1">
      <c r="AN703" s="239"/>
      <c r="AO703" s="227"/>
      <c r="AP703" s="260"/>
      <c r="AQ703" s="258"/>
      <c r="AR703" s="258"/>
      <c r="AS703" s="202"/>
      <c r="AT703" s="213"/>
      <c r="AU703" s="213"/>
    </row>
    <row r="704" spans="40:47" s="121" customFormat="1" hidden="1">
      <c r="AN704" s="239"/>
      <c r="AO704" s="227"/>
      <c r="AP704" s="260"/>
      <c r="AQ704" s="258"/>
      <c r="AR704" s="258"/>
      <c r="AS704" s="202"/>
      <c r="AT704" s="213"/>
      <c r="AU704" s="213"/>
    </row>
    <row r="705" spans="40:47" s="121" customFormat="1" hidden="1">
      <c r="AN705" s="239"/>
      <c r="AO705" s="226"/>
      <c r="AP705" s="260"/>
      <c r="AQ705" s="258"/>
      <c r="AR705" s="258"/>
      <c r="AS705" s="202"/>
      <c r="AT705" s="213"/>
      <c r="AU705" s="213"/>
    </row>
    <row r="706" spans="40:47" s="121" customFormat="1" hidden="1" collapsed="1">
      <c r="AN706" s="239"/>
      <c r="AO706" s="227"/>
      <c r="AP706" s="260"/>
      <c r="AQ706" s="258"/>
      <c r="AR706" s="258"/>
      <c r="AS706" s="202"/>
      <c r="AT706" s="213"/>
      <c r="AU706" s="213"/>
    </row>
    <row r="707" spans="40:47" s="121" customFormat="1" hidden="1">
      <c r="AN707" s="239"/>
      <c r="AO707" s="227"/>
      <c r="AP707" s="260"/>
      <c r="AQ707" s="258"/>
      <c r="AR707" s="258"/>
      <c r="AS707" s="202"/>
      <c r="AT707" s="213"/>
      <c r="AU707" s="213"/>
    </row>
    <row r="708" spans="40:47" s="121" customFormat="1" hidden="1">
      <c r="AN708" s="239"/>
      <c r="AO708" s="226"/>
      <c r="AP708" s="260"/>
      <c r="AQ708" s="258"/>
      <c r="AR708" s="258"/>
      <c r="AS708" s="202"/>
      <c r="AT708" s="213"/>
      <c r="AU708" s="213"/>
    </row>
    <row r="709" spans="40:47" s="121" customFormat="1" hidden="1">
      <c r="AN709" s="239"/>
      <c r="AO709" s="225"/>
      <c r="AP709" s="260"/>
      <c r="AQ709" s="258"/>
      <c r="AR709" s="258"/>
      <c r="AS709" s="202"/>
      <c r="AT709" s="213"/>
      <c r="AU709" s="213"/>
    </row>
    <row r="710" spans="40:47" s="121" customFormat="1" hidden="1" collapsed="1">
      <c r="AN710" s="239"/>
      <c r="AO710" s="225"/>
      <c r="AP710" s="260"/>
      <c r="AQ710" s="258"/>
      <c r="AR710" s="258"/>
      <c r="AS710" s="202"/>
      <c r="AT710" s="213"/>
      <c r="AU710" s="213"/>
    </row>
    <row r="711" spans="40:47" s="121" customFormat="1" hidden="1">
      <c r="AN711" s="239"/>
      <c r="AO711" s="225"/>
      <c r="AP711" s="260"/>
      <c r="AQ711" s="258"/>
      <c r="AR711" s="258"/>
      <c r="AS711" s="202"/>
      <c r="AT711" s="213"/>
      <c r="AU711" s="213"/>
    </row>
    <row r="712" spans="40:47" s="121" customFormat="1" hidden="1">
      <c r="AN712" s="239"/>
      <c r="AO712" s="225"/>
      <c r="AP712" s="260"/>
      <c r="AQ712" s="258"/>
      <c r="AR712" s="258"/>
      <c r="AS712" s="202"/>
      <c r="AT712" s="213"/>
      <c r="AU712" s="213"/>
    </row>
    <row r="713" spans="40:47" s="121" customFormat="1" hidden="1">
      <c r="AN713" s="239"/>
      <c r="AO713" s="225"/>
      <c r="AP713" s="260"/>
      <c r="AQ713" s="258"/>
      <c r="AR713" s="258"/>
      <c r="AS713" s="202"/>
      <c r="AT713" s="213"/>
      <c r="AU713" s="213"/>
    </row>
    <row r="714" spans="40:47" s="121" customFormat="1" hidden="1">
      <c r="AN714" s="239"/>
      <c r="AO714" s="225"/>
      <c r="AP714" s="260"/>
      <c r="AQ714" s="258"/>
      <c r="AR714" s="258"/>
      <c r="AS714" s="202"/>
      <c r="AT714" s="213"/>
      <c r="AU714" s="213"/>
    </row>
    <row r="715" spans="40:47" s="121" customFormat="1" hidden="1">
      <c r="AN715" s="239"/>
      <c r="AO715" s="225"/>
      <c r="AP715" s="260"/>
      <c r="AQ715" s="258"/>
      <c r="AR715" s="258"/>
      <c r="AS715" s="202"/>
      <c r="AT715" s="213"/>
      <c r="AU715" s="213"/>
    </row>
    <row r="716" spans="40:47" s="121" customFormat="1" hidden="1">
      <c r="AN716" s="239"/>
      <c r="AO716" s="225"/>
      <c r="AP716" s="260"/>
      <c r="AQ716" s="258"/>
      <c r="AR716" s="258"/>
      <c r="AS716" s="202"/>
      <c r="AT716" s="213"/>
      <c r="AU716" s="213"/>
    </row>
    <row r="717" spans="40:47" s="121" customFormat="1" hidden="1">
      <c r="AN717" s="239"/>
      <c r="AO717" s="225"/>
      <c r="AP717" s="260"/>
      <c r="AQ717" s="258"/>
      <c r="AR717" s="258"/>
      <c r="AS717" s="202"/>
      <c r="AT717" s="213"/>
      <c r="AU717" s="213"/>
    </row>
    <row r="718" spans="40:47" s="121" customFormat="1" hidden="1">
      <c r="AN718" s="239"/>
      <c r="AO718" s="225"/>
      <c r="AP718" s="260"/>
      <c r="AQ718" s="258"/>
      <c r="AR718" s="258"/>
      <c r="AS718" s="202"/>
      <c r="AT718" s="213"/>
      <c r="AU718" s="213"/>
    </row>
    <row r="719" spans="40:47" s="121" customFormat="1" hidden="1">
      <c r="AN719" s="239"/>
      <c r="AO719" s="225"/>
      <c r="AP719" s="260"/>
      <c r="AQ719" s="258"/>
      <c r="AR719" s="258"/>
      <c r="AS719" s="202"/>
      <c r="AT719" s="213"/>
      <c r="AU719" s="213"/>
    </row>
    <row r="720" spans="40:47" s="121" customFormat="1" hidden="1">
      <c r="AN720" s="239"/>
      <c r="AO720" s="225"/>
      <c r="AP720" s="260"/>
      <c r="AQ720" s="258"/>
      <c r="AR720" s="258"/>
      <c r="AS720" s="202"/>
      <c r="AT720" s="213"/>
      <c r="AU720" s="213"/>
    </row>
    <row r="721" spans="1:47" s="121" customFormat="1" hidden="1">
      <c r="AN721" s="239"/>
      <c r="AO721" s="225"/>
      <c r="AP721" s="260"/>
      <c r="AQ721" s="258"/>
      <c r="AR721" s="258"/>
      <c r="AS721" s="202"/>
      <c r="AT721" s="213"/>
      <c r="AU721" s="213"/>
    </row>
    <row r="722" spans="1:47" s="121" customFormat="1" hidden="1">
      <c r="AN722" s="239"/>
      <c r="AO722" s="225"/>
      <c r="AP722" s="260"/>
      <c r="AQ722" s="258"/>
      <c r="AR722" s="258"/>
      <c r="AS722" s="202"/>
      <c r="AT722" s="213"/>
      <c r="AU722" s="213"/>
    </row>
    <row r="723" spans="1:47" s="121" customFormat="1" hidden="1">
      <c r="AN723" s="239"/>
      <c r="AO723" s="225"/>
      <c r="AP723" s="260"/>
      <c r="AQ723" s="258"/>
      <c r="AR723" s="258"/>
      <c r="AS723" s="202"/>
      <c r="AT723" s="213"/>
      <c r="AU723" s="213"/>
    </row>
    <row r="724" spans="1:47" s="121" customFormat="1" hidden="1">
      <c r="AN724" s="239"/>
      <c r="AO724" s="225"/>
      <c r="AP724" s="260"/>
      <c r="AQ724" s="258"/>
      <c r="AR724" s="258"/>
      <c r="AS724" s="202"/>
      <c r="AT724" s="213"/>
      <c r="AU724" s="213"/>
    </row>
    <row r="725" spans="1:47" s="121" customFormat="1" hidden="1">
      <c r="AN725" s="239"/>
      <c r="AO725" s="225"/>
      <c r="AP725" s="260"/>
      <c r="AQ725" s="258"/>
      <c r="AR725" s="258"/>
      <c r="AS725" s="202"/>
      <c r="AT725" s="213"/>
      <c r="AU725" s="213"/>
    </row>
    <row r="726" spans="1:47" s="121" customFormat="1" hidden="1">
      <c r="AN726" s="239"/>
      <c r="AO726" s="225"/>
      <c r="AP726" s="260"/>
      <c r="AQ726" s="258"/>
      <c r="AR726" s="258"/>
      <c r="AS726" s="202"/>
      <c r="AT726" s="213"/>
      <c r="AU726" s="213"/>
    </row>
    <row r="727" spans="1:47">
      <c r="A727" s="51"/>
      <c r="B727" s="51"/>
      <c r="C727" s="51"/>
      <c r="D727" s="51"/>
      <c r="E727" s="51"/>
      <c r="F727" s="51"/>
      <c r="G727" s="51"/>
      <c r="H727" s="51"/>
      <c r="I727" s="51"/>
      <c r="AN727" s="234" t="s">
        <v>769</v>
      </c>
      <c r="AO727" s="235" t="s">
        <v>2991</v>
      </c>
      <c r="AP727" s="257">
        <f>SUM(AQ727:AR727)</f>
        <v>0</v>
      </c>
      <c r="AQ727" s="258"/>
      <c r="AR727" s="258"/>
      <c r="AS727" s="202"/>
    </row>
    <row r="728" spans="1:47">
      <c r="A728" s="51"/>
      <c r="B728" s="51"/>
      <c r="C728" s="51"/>
      <c r="D728" s="51"/>
      <c r="E728" s="51"/>
      <c r="F728" s="51"/>
      <c r="G728" s="51"/>
      <c r="H728" s="51"/>
      <c r="I728" s="51"/>
      <c r="AN728" s="234" t="s">
        <v>770</v>
      </c>
      <c r="AO728" s="442" t="s">
        <v>2992</v>
      </c>
      <c r="AP728" s="257">
        <f>SUM(AQ728:AR728)</f>
        <v>0</v>
      </c>
      <c r="AQ728" s="258"/>
      <c r="AR728" s="258"/>
      <c r="AS728" s="202"/>
    </row>
    <row r="729" spans="1:47">
      <c r="A729" s="51"/>
      <c r="B729" s="51"/>
      <c r="C729" s="51"/>
      <c r="D729" s="51"/>
      <c r="E729" s="51"/>
      <c r="F729" s="51"/>
      <c r="G729" s="51"/>
      <c r="H729" s="51"/>
      <c r="I729" s="51"/>
      <c r="AN729" s="236" t="s">
        <v>2993</v>
      </c>
      <c r="AO729" s="225" t="s">
        <v>2994</v>
      </c>
      <c r="AP729" s="257">
        <f>SUM(AQ729:AR729)</f>
        <v>0</v>
      </c>
      <c r="AQ729" s="258"/>
      <c r="AR729" s="258"/>
      <c r="AS729" s="202"/>
    </row>
    <row r="730" spans="1:47">
      <c r="A730" s="51"/>
      <c r="B730" s="51"/>
      <c r="C730" s="51"/>
      <c r="D730" s="51"/>
      <c r="E730" s="51"/>
      <c r="F730" s="51"/>
      <c r="G730" s="51"/>
      <c r="H730" s="51"/>
      <c r="I730" s="51"/>
      <c r="AN730" s="236" t="s">
        <v>2995</v>
      </c>
      <c r="AO730" s="482" t="s">
        <v>2791</v>
      </c>
      <c r="AP730" s="257">
        <f>SUM(AQ730:AR730)</f>
        <v>0</v>
      </c>
      <c r="AQ730" s="258"/>
      <c r="AR730" s="258"/>
      <c r="AS730" s="202"/>
    </row>
    <row r="731" spans="1:47" hidden="1">
      <c r="A731" s="51"/>
      <c r="B731" s="51"/>
      <c r="C731" s="51"/>
      <c r="D731" s="51"/>
      <c r="E731" s="51"/>
      <c r="F731" s="51"/>
      <c r="G731" s="51"/>
      <c r="H731" s="51"/>
      <c r="I731" s="51"/>
      <c r="AN731" s="594" t="str">
        <f>IF(TEMPLATE_CLAIM="P","5.1.1.1.1","")</f>
        <v/>
      </c>
      <c r="AO731" s="593" t="str">
        <f>IF(TEMPLATE_CLAIM="P","от станций с мощностью производства &gt;= 25 МВт","")</f>
        <v/>
      </c>
      <c r="AP731" s="257" t="str">
        <f>IF(TEMPLATE_CLAIM="P",SUM(AQ731:AR731),"")</f>
        <v/>
      </c>
      <c r="AQ731" s="258"/>
      <c r="AR731" s="258"/>
      <c r="AS731" s="202"/>
    </row>
    <row r="732" spans="1:47" hidden="1">
      <c r="A732" s="51"/>
      <c r="B732" s="51"/>
      <c r="C732" s="51"/>
      <c r="D732" s="51"/>
      <c r="E732" s="51"/>
      <c r="F732" s="51"/>
      <c r="G732" s="51"/>
      <c r="H732" s="51"/>
      <c r="I732" s="51"/>
      <c r="AN732" s="594" t="str">
        <f>IF(TEMPLATE_CLAIM="P","5.1.1.1.2","")</f>
        <v/>
      </c>
      <c r="AO732" s="593" t="str">
        <f>IF(TEMPLATE_CLAIM="P","от станций с мощностью производства &lt; 25 МВт","")</f>
        <v/>
      </c>
      <c r="AP732" s="257" t="str">
        <f>IF(TEMPLATE_CLAIM="P",SUM(AQ732:AR732),"")</f>
        <v/>
      </c>
      <c r="AQ732" s="258"/>
      <c r="AR732" s="258"/>
      <c r="AS732" s="202"/>
    </row>
    <row r="733" spans="1:47" ht="0.75" hidden="1" customHeight="1">
      <c r="A733" s="51"/>
      <c r="B733" s="51"/>
      <c r="C733" s="51"/>
      <c r="D733" s="51"/>
      <c r="E733" s="51"/>
      <c r="F733" s="51"/>
      <c r="G733" s="51"/>
      <c r="H733" s="51"/>
      <c r="I733" s="51"/>
      <c r="AN733" s="236"/>
      <c r="AO733" s="243"/>
      <c r="AP733" s="260"/>
      <c r="AQ733" s="258"/>
      <c r="AR733" s="258"/>
      <c r="AS733" s="202"/>
    </row>
    <row r="734" spans="1:47">
      <c r="A734" s="51"/>
      <c r="B734" s="51"/>
      <c r="C734" s="51"/>
      <c r="D734" s="51"/>
      <c r="E734" s="51"/>
      <c r="F734" s="51"/>
      <c r="G734" s="51"/>
      <c r="H734" s="51"/>
      <c r="I734" s="51"/>
      <c r="AN734" s="236" t="s">
        <v>2998</v>
      </c>
      <c r="AO734" s="482" t="s">
        <v>755</v>
      </c>
      <c r="AP734" s="257">
        <f>SUM(AQ734:AR734)</f>
        <v>0</v>
      </c>
      <c r="AQ734" s="258"/>
      <c r="AR734" s="258"/>
      <c r="AS734" s="202"/>
    </row>
    <row r="735" spans="1:47" hidden="1">
      <c r="A735" s="51"/>
      <c r="B735" s="51"/>
      <c r="C735" s="51"/>
      <c r="D735" s="51"/>
      <c r="E735" s="51"/>
      <c r="F735" s="51"/>
      <c r="G735" s="51"/>
      <c r="H735" s="51"/>
      <c r="I735" s="51"/>
      <c r="AN735" s="594" t="str">
        <f>IF(TEMPLATE_CLAIM="P","5.1.1.2.1","")</f>
        <v/>
      </c>
      <c r="AO735" s="593" t="str">
        <f>IF(TEMPLATE_CLAIM="P","от станций с мощностью производства &gt;= 25 МВт","")</f>
        <v/>
      </c>
      <c r="AP735" s="257" t="str">
        <f>IF(TEMPLATE_CLAIM="P",SUM(AQ735:AR735),"")</f>
        <v/>
      </c>
      <c r="AQ735" s="258"/>
      <c r="AR735" s="258"/>
      <c r="AS735" s="202"/>
    </row>
    <row r="736" spans="1:47" hidden="1">
      <c r="A736" s="51"/>
      <c r="B736" s="51"/>
      <c r="C736" s="51"/>
      <c r="D736" s="51"/>
      <c r="E736" s="51"/>
      <c r="F736" s="51"/>
      <c r="G736" s="51"/>
      <c r="H736" s="51"/>
      <c r="I736" s="51"/>
      <c r="AN736" s="594" t="str">
        <f>IF(TEMPLATE_CLAIM="P","5.1.1.2.2","")</f>
        <v/>
      </c>
      <c r="AO736" s="593" t="str">
        <f>IF(TEMPLATE_CLAIM="P","от станций с мощностью производства &lt; 25 МВт","")</f>
        <v/>
      </c>
      <c r="AP736" s="257" t="str">
        <f>IF(TEMPLATE_CLAIM="P",SUM(AQ736:AR736),"")</f>
        <v/>
      </c>
      <c r="AQ736" s="258"/>
      <c r="AR736" s="258"/>
      <c r="AS736" s="202"/>
    </row>
    <row r="737" spans="1:45" ht="0.75" hidden="1" customHeight="1">
      <c r="A737" s="51"/>
      <c r="B737" s="51"/>
      <c r="C737" s="51"/>
      <c r="D737" s="51"/>
      <c r="E737" s="51"/>
      <c r="F737" s="51"/>
      <c r="G737" s="51"/>
      <c r="H737" s="51"/>
      <c r="I737" s="51"/>
      <c r="AN737" s="436"/>
      <c r="AO737" s="243"/>
      <c r="AP737" s="260"/>
      <c r="AQ737" s="258"/>
      <c r="AR737" s="258"/>
      <c r="AS737" s="202"/>
    </row>
    <row r="738" spans="1:45">
      <c r="A738" s="51"/>
      <c r="B738" s="51"/>
      <c r="C738" s="51"/>
      <c r="D738" s="51"/>
      <c r="E738" s="51"/>
      <c r="F738" s="51"/>
      <c r="G738" s="51"/>
      <c r="H738" s="51"/>
      <c r="I738" s="51"/>
      <c r="AN738" s="236" t="s">
        <v>2999</v>
      </c>
      <c r="AO738" s="482" t="s">
        <v>2792</v>
      </c>
      <c r="AP738" s="257">
        <f>SUM(AQ738:AR738)</f>
        <v>0</v>
      </c>
      <c r="AQ738" s="258"/>
      <c r="AR738" s="258"/>
      <c r="AS738" s="202"/>
    </row>
    <row r="739" spans="1:45" hidden="1">
      <c r="A739" s="51"/>
      <c r="B739" s="51"/>
      <c r="C739" s="51"/>
      <c r="D739" s="51"/>
      <c r="E739" s="51"/>
      <c r="F739" s="51"/>
      <c r="G739" s="51"/>
      <c r="H739" s="51"/>
      <c r="I739" s="51"/>
      <c r="AN739" s="594" t="str">
        <f>IF(TEMPLATE_CLAIM="P","5.1.1.3.1","")</f>
        <v/>
      </c>
      <c r="AO739" s="593" t="str">
        <f>IF(TEMPLATE_CLAIM="P","от станций с мощностью производства &gt;= 25 МВт","")</f>
        <v/>
      </c>
      <c r="AP739" s="257" t="str">
        <f>IF(TEMPLATE_CLAIM="P",SUM(AQ739:AR739),"")</f>
        <v/>
      </c>
      <c r="AQ739" s="258"/>
      <c r="AR739" s="258"/>
      <c r="AS739" s="202"/>
    </row>
    <row r="740" spans="1:45" hidden="1">
      <c r="A740" s="51"/>
      <c r="B740" s="51"/>
      <c r="C740" s="51"/>
      <c r="D740" s="51"/>
      <c r="E740" s="51"/>
      <c r="F740" s="51"/>
      <c r="G740" s="51"/>
      <c r="H740" s="51"/>
      <c r="I740" s="51"/>
      <c r="AN740" s="594" t="str">
        <f>IF(TEMPLATE_CLAIM="P","5.1.1.3.2","")</f>
        <v/>
      </c>
      <c r="AO740" s="593" t="str">
        <f>IF(TEMPLATE_CLAIM="P","от станций с мощностью производства &lt; 25 МВт","")</f>
        <v/>
      </c>
      <c r="AP740" s="257" t="str">
        <f>IF(TEMPLATE_CLAIM="P",SUM(AQ740:AR740),"")</f>
        <v/>
      </c>
      <c r="AQ740" s="258"/>
      <c r="AR740" s="258"/>
      <c r="AS740" s="202"/>
    </row>
    <row r="741" spans="1:45" hidden="1">
      <c r="A741" s="51"/>
      <c r="B741" s="51"/>
      <c r="C741" s="51"/>
      <c r="D741" s="51"/>
      <c r="E741" s="51"/>
      <c r="F741" s="51"/>
      <c r="G741" s="51"/>
      <c r="H741" s="51"/>
      <c r="I741" s="51"/>
      <c r="AN741" s="594" t="str">
        <f>IF(TEMPLATE_CLAIM="P","5.1.1.3.3","")</f>
        <v/>
      </c>
      <c r="AO741" s="593" t="str">
        <f>IF(TEMPLATE_CLAIM="P","от котельных (некомбинированная выработка)","")</f>
        <v/>
      </c>
      <c r="AP741" s="257" t="str">
        <f>IF(TEMPLATE_CLAIM="P",SUM(AQ741:AR741),"")</f>
        <v/>
      </c>
      <c r="AQ741" s="258"/>
      <c r="AR741" s="258"/>
      <c r="AS741" s="202"/>
    </row>
    <row r="742" spans="1:45">
      <c r="A742" s="51"/>
      <c r="B742" s="51"/>
      <c r="C742" s="51"/>
      <c r="D742" s="51"/>
      <c r="E742" s="51"/>
      <c r="F742" s="51"/>
      <c r="G742" s="51"/>
      <c r="H742" s="51"/>
      <c r="I742" s="51"/>
      <c r="AN742" s="236" t="s">
        <v>3002</v>
      </c>
      <c r="AO742" s="482" t="s">
        <v>756</v>
      </c>
      <c r="AP742" s="257">
        <f>SUM(AQ742:AR742)</f>
        <v>0</v>
      </c>
      <c r="AQ742" s="258"/>
      <c r="AR742" s="258"/>
      <c r="AS742" s="202"/>
    </row>
    <row r="743" spans="1:45" hidden="1">
      <c r="A743" s="51"/>
      <c r="B743" s="51"/>
      <c r="C743" s="51"/>
      <c r="D743" s="51"/>
      <c r="E743" s="51"/>
      <c r="F743" s="51"/>
      <c r="G743" s="51"/>
      <c r="H743" s="51"/>
      <c r="I743" s="51"/>
      <c r="AN743" s="594" t="str">
        <f>IF(TEMPLATE_CLAIM="P","5.1.1.4.1","")</f>
        <v/>
      </c>
      <c r="AO743" s="593" t="str">
        <f>IF(TEMPLATE_CLAIM="P","от станций с мощностью производства &gt;= 25 МВт","")</f>
        <v/>
      </c>
      <c r="AP743" s="257" t="str">
        <f>IF(TEMPLATE_CLAIM="P",SUM(AQ743:AR743),"")</f>
        <v/>
      </c>
      <c r="AQ743" s="258"/>
      <c r="AR743" s="258"/>
      <c r="AS743" s="202"/>
    </row>
    <row r="744" spans="1:45" hidden="1">
      <c r="A744" s="51"/>
      <c r="B744" s="51"/>
      <c r="C744" s="51"/>
      <c r="D744" s="51"/>
      <c r="E744" s="51"/>
      <c r="F744" s="51"/>
      <c r="G744" s="51"/>
      <c r="H744" s="51"/>
      <c r="I744" s="51"/>
      <c r="AN744" s="594" t="str">
        <f>IF(TEMPLATE_CLAIM="P","5.1.1.4.2","")</f>
        <v/>
      </c>
      <c r="AO744" s="593" t="str">
        <f>IF(TEMPLATE_CLAIM="P","от станций с мощностью производства &lt; 25 МВт","")</f>
        <v/>
      </c>
      <c r="AP744" s="257" t="str">
        <f>IF(TEMPLATE_CLAIM="P",SUM(AQ744:AR744),"")</f>
        <v/>
      </c>
      <c r="AQ744" s="258"/>
      <c r="AR744" s="258"/>
      <c r="AS744" s="202"/>
    </row>
    <row r="745" spans="1:45" hidden="1">
      <c r="A745" s="51"/>
      <c r="B745" s="51"/>
      <c r="C745" s="51"/>
      <c r="D745" s="51"/>
      <c r="E745" s="51"/>
      <c r="F745" s="51"/>
      <c r="G745" s="51"/>
      <c r="H745" s="51"/>
      <c r="I745" s="51"/>
      <c r="AN745" s="594" t="str">
        <f>IF(TEMPLATE_CLAIM="P","5.1.1.4.3","")</f>
        <v/>
      </c>
      <c r="AO745" s="593" t="str">
        <f>IF(TEMPLATE_CLAIM="P","от котельных (некомбинированная выработка)","")</f>
        <v/>
      </c>
      <c r="AP745" s="257" t="str">
        <f>IF(TEMPLATE_CLAIM="P",SUM(AQ745:AR745),"")</f>
        <v/>
      </c>
      <c r="AQ745" s="258"/>
      <c r="AR745" s="258"/>
      <c r="AS745" s="202"/>
    </row>
    <row r="746" spans="1:45">
      <c r="A746" s="51"/>
      <c r="B746" s="51"/>
      <c r="C746" s="51"/>
      <c r="D746" s="51"/>
      <c r="E746" s="51"/>
      <c r="F746" s="51"/>
      <c r="G746" s="51"/>
      <c r="H746" s="51"/>
      <c r="I746" s="51"/>
      <c r="AN746" s="234" t="s">
        <v>3003</v>
      </c>
      <c r="AO746" s="225" t="s">
        <v>3004</v>
      </c>
      <c r="AP746" s="257">
        <f>SUM(AQ746:AR746)</f>
        <v>0</v>
      </c>
      <c r="AQ746" s="258"/>
      <c r="AR746" s="258"/>
      <c r="AS746" s="202"/>
    </row>
    <row r="747" spans="1:45" ht="22.5">
      <c r="A747" s="51"/>
      <c r="B747" s="51"/>
      <c r="C747" s="51"/>
      <c r="D747" s="51"/>
      <c r="E747" s="51"/>
      <c r="F747" s="51"/>
      <c r="G747" s="51"/>
      <c r="H747" s="51"/>
      <c r="I747" s="51"/>
      <c r="AN747" s="234" t="s">
        <v>3006</v>
      </c>
      <c r="AO747" s="225" t="s">
        <v>3007</v>
      </c>
      <c r="AP747" s="257">
        <f>SUM(AQ747:AR747)</f>
        <v>0</v>
      </c>
      <c r="AQ747" s="258"/>
      <c r="AR747" s="258"/>
      <c r="AS747" s="202"/>
    </row>
    <row r="748" spans="1:45">
      <c r="A748" s="51"/>
      <c r="B748" s="51"/>
      <c r="C748" s="51"/>
      <c r="D748" s="51"/>
      <c r="E748" s="51"/>
      <c r="F748" s="51"/>
      <c r="G748" s="51"/>
      <c r="H748" s="51"/>
      <c r="I748" s="51"/>
      <c r="AN748" s="236" t="s">
        <v>3008</v>
      </c>
      <c r="AO748" s="242" t="s">
        <v>2972</v>
      </c>
      <c r="AP748" s="257">
        <f>SUM(AQ748:AR748)</f>
        <v>0</v>
      </c>
      <c r="AQ748" s="258"/>
      <c r="AR748" s="258"/>
      <c r="AS748" s="202"/>
    </row>
    <row r="749" spans="1:45">
      <c r="A749" s="51"/>
      <c r="B749" s="51"/>
      <c r="C749" s="51"/>
      <c r="D749" s="51"/>
      <c r="E749" s="51"/>
      <c r="F749" s="51"/>
      <c r="G749" s="51"/>
      <c r="H749" s="51"/>
      <c r="I749" s="51"/>
      <c r="AN749" s="236" t="s">
        <v>3009</v>
      </c>
      <c r="AO749" s="242" t="s">
        <v>2988</v>
      </c>
      <c r="AP749" s="257">
        <f>SUM(AQ749:AR749)</f>
        <v>0</v>
      </c>
      <c r="AQ749" s="258"/>
      <c r="AR749" s="258"/>
      <c r="AS749" s="202"/>
    </row>
    <row r="750" spans="1:45" hidden="1">
      <c r="A750" s="51"/>
      <c r="B750" s="51"/>
      <c r="C750" s="51"/>
      <c r="D750" s="51"/>
      <c r="E750" s="51"/>
      <c r="F750" s="51"/>
      <c r="G750" s="51"/>
      <c r="H750" s="51"/>
      <c r="I750" s="51"/>
      <c r="AN750" s="236"/>
      <c r="AO750" s="242"/>
      <c r="AP750" s="260"/>
      <c r="AQ750" s="258"/>
      <c r="AR750" s="258"/>
      <c r="AS750" s="202"/>
    </row>
    <row r="751" spans="1:45" hidden="1">
      <c r="A751" s="51"/>
      <c r="B751" s="51"/>
      <c r="C751" s="51"/>
      <c r="D751" s="51"/>
      <c r="E751" s="51"/>
      <c r="F751" s="51"/>
      <c r="G751" s="51"/>
      <c r="H751" s="51"/>
      <c r="I751" s="51"/>
      <c r="AN751" s="236"/>
      <c r="AO751" s="244"/>
      <c r="AP751" s="260"/>
      <c r="AQ751" s="258"/>
      <c r="AR751" s="258"/>
      <c r="AS751" s="202"/>
    </row>
    <row r="752" spans="1:45" hidden="1">
      <c r="A752" s="51"/>
      <c r="B752" s="51"/>
      <c r="C752" s="51"/>
      <c r="D752" s="51"/>
      <c r="E752" s="51"/>
      <c r="F752" s="51"/>
      <c r="G752" s="51"/>
      <c r="H752" s="51"/>
      <c r="I752" s="51"/>
      <c r="AN752" s="236"/>
      <c r="AO752" s="244"/>
      <c r="AP752" s="260"/>
      <c r="AQ752" s="258"/>
      <c r="AR752" s="258"/>
      <c r="AS752" s="202"/>
    </row>
    <row r="753" spans="1:45" hidden="1">
      <c r="A753" s="51"/>
      <c r="B753" s="51"/>
      <c r="C753" s="51"/>
      <c r="D753" s="51"/>
      <c r="E753" s="51"/>
      <c r="F753" s="51"/>
      <c r="G753" s="51"/>
      <c r="H753" s="51"/>
      <c r="I753" s="51"/>
      <c r="AN753" s="236"/>
      <c r="AO753" s="245"/>
      <c r="AP753" s="260"/>
      <c r="AQ753" s="258"/>
      <c r="AR753" s="258"/>
      <c r="AS753" s="202"/>
    </row>
    <row r="754" spans="1:45" hidden="1">
      <c r="AN754" s="236"/>
      <c r="AO754" s="244"/>
      <c r="AP754" s="260"/>
      <c r="AQ754" s="258"/>
      <c r="AR754" s="258"/>
      <c r="AS754" s="202"/>
    </row>
    <row r="755" spans="1:45" hidden="1">
      <c r="AN755" s="236"/>
      <c r="AO755" s="244"/>
      <c r="AP755" s="260"/>
      <c r="AQ755" s="258"/>
      <c r="AR755" s="258"/>
      <c r="AS755" s="202"/>
    </row>
    <row r="756" spans="1:45" hidden="1">
      <c r="AN756" s="236"/>
      <c r="AO756" s="242"/>
      <c r="AP756" s="260"/>
      <c r="AQ756" s="258"/>
      <c r="AR756" s="258"/>
      <c r="AS756" s="202"/>
    </row>
    <row r="757" spans="1:45" hidden="1">
      <c r="AN757" s="236"/>
      <c r="AO757" s="244"/>
      <c r="AP757" s="260"/>
      <c r="AQ757" s="258"/>
      <c r="AR757" s="258"/>
      <c r="AS757" s="202"/>
    </row>
    <row r="758" spans="1:45" hidden="1">
      <c r="AN758" s="236"/>
      <c r="AO758" s="244"/>
      <c r="AP758" s="260"/>
      <c r="AQ758" s="258"/>
      <c r="AR758" s="258"/>
      <c r="AS758" s="202"/>
    </row>
    <row r="759" spans="1:45" hidden="1">
      <c r="AN759" s="236"/>
      <c r="AO759" s="245"/>
      <c r="AP759" s="260"/>
      <c r="AQ759" s="258"/>
      <c r="AR759" s="258"/>
      <c r="AS759" s="202"/>
    </row>
    <row r="760" spans="1:45" hidden="1">
      <c r="AN760" s="236"/>
      <c r="AO760" s="244"/>
      <c r="AP760" s="260"/>
      <c r="AQ760" s="258"/>
      <c r="AR760" s="258"/>
      <c r="AS760" s="202"/>
    </row>
    <row r="761" spans="1:45" hidden="1">
      <c r="AN761" s="236"/>
      <c r="AO761" s="244"/>
      <c r="AP761" s="260"/>
      <c r="AQ761" s="258"/>
      <c r="AR761" s="258"/>
      <c r="AS761" s="202"/>
    </row>
    <row r="762" spans="1:45" hidden="1">
      <c r="AN762" s="236"/>
      <c r="AO762" s="242"/>
      <c r="AP762" s="260"/>
      <c r="AQ762" s="258"/>
      <c r="AR762" s="258"/>
      <c r="AS762" s="202"/>
    </row>
    <row r="763" spans="1:45" hidden="1">
      <c r="AN763" s="236"/>
      <c r="AO763" s="244"/>
      <c r="AP763" s="260"/>
      <c r="AQ763" s="258"/>
      <c r="AR763" s="258"/>
      <c r="AS763" s="202"/>
    </row>
    <row r="764" spans="1:45" hidden="1">
      <c r="AN764" s="236"/>
      <c r="AO764" s="244"/>
      <c r="AP764" s="260"/>
      <c r="AQ764" s="258"/>
      <c r="AR764" s="258"/>
      <c r="AS764" s="202"/>
    </row>
    <row r="765" spans="1:45" hidden="1">
      <c r="AN765" s="236"/>
      <c r="AO765" s="245"/>
      <c r="AP765" s="260"/>
      <c r="AQ765" s="258"/>
      <c r="AR765" s="258"/>
      <c r="AS765" s="202"/>
    </row>
    <row r="766" spans="1:45" hidden="1">
      <c r="AN766" s="236"/>
      <c r="AO766" s="244"/>
      <c r="AP766" s="260"/>
      <c r="AQ766" s="258"/>
      <c r="AR766" s="258"/>
      <c r="AS766" s="202"/>
    </row>
    <row r="767" spans="1:45" hidden="1">
      <c r="AN767" s="236"/>
      <c r="AO767" s="244"/>
      <c r="AP767" s="260"/>
      <c r="AQ767" s="258"/>
      <c r="AR767" s="258"/>
      <c r="AS767" s="202"/>
    </row>
    <row r="768" spans="1:45" hidden="1">
      <c r="AN768" s="236"/>
      <c r="AO768" s="242"/>
      <c r="AP768" s="260"/>
      <c r="AQ768" s="258"/>
      <c r="AR768" s="258"/>
      <c r="AS768" s="202"/>
    </row>
    <row r="769" spans="40:45" hidden="1">
      <c r="AN769" s="236"/>
      <c r="AO769" s="244"/>
      <c r="AP769" s="260"/>
      <c r="AQ769" s="258"/>
      <c r="AR769" s="258"/>
      <c r="AS769" s="202"/>
    </row>
    <row r="770" spans="40:45" hidden="1">
      <c r="AN770" s="236"/>
      <c r="AO770" s="244"/>
      <c r="AP770" s="260"/>
      <c r="AQ770" s="258"/>
      <c r="AR770" s="258"/>
      <c r="AS770" s="202"/>
    </row>
    <row r="771" spans="40:45" hidden="1">
      <c r="AN771" s="236"/>
      <c r="AO771" s="245"/>
      <c r="AP771" s="260"/>
      <c r="AQ771" s="258"/>
      <c r="AR771" s="258"/>
      <c r="AS771" s="202"/>
    </row>
    <row r="772" spans="40:45" hidden="1">
      <c r="AN772" s="236"/>
      <c r="AO772" s="244"/>
      <c r="AP772" s="260"/>
      <c r="AQ772" s="258"/>
      <c r="AR772" s="258"/>
      <c r="AS772" s="202"/>
    </row>
    <row r="773" spans="40:45" hidden="1">
      <c r="AN773" s="236"/>
      <c r="AO773" s="244"/>
      <c r="AP773" s="260"/>
      <c r="AQ773" s="258"/>
      <c r="AR773" s="258"/>
      <c r="AS773" s="202"/>
    </row>
    <row r="774" spans="40:45">
      <c r="AN774" s="436" t="s">
        <v>771</v>
      </c>
      <c r="AO774" s="591" t="s">
        <v>3043</v>
      </c>
      <c r="AP774" s="257">
        <f>SUM(AQ774:AR774)</f>
        <v>0</v>
      </c>
      <c r="AQ774" s="258"/>
      <c r="AR774" s="258"/>
      <c r="AS774" s="202"/>
    </row>
    <row r="775" spans="40:45">
      <c r="AN775" s="436" t="s">
        <v>772</v>
      </c>
      <c r="AO775" s="592" t="s">
        <v>3044</v>
      </c>
      <c r="AP775" s="257">
        <f>SUM(AQ775:AR775)</f>
        <v>0</v>
      </c>
      <c r="AQ775" s="258"/>
      <c r="AR775" s="258"/>
      <c r="AS775" s="202"/>
    </row>
    <row r="776" spans="40:45">
      <c r="AN776" s="236" t="s">
        <v>773</v>
      </c>
      <c r="AO776" s="248" t="s">
        <v>3045</v>
      </c>
      <c r="AP776" s="257">
        <f>SUM(AQ776:AR776)</f>
        <v>0</v>
      </c>
      <c r="AQ776" s="258"/>
      <c r="AR776" s="258"/>
      <c r="AS776" s="202"/>
    </row>
    <row r="777" spans="40:45">
      <c r="AN777" s="236" t="s">
        <v>3046</v>
      </c>
      <c r="AO777" s="242" t="s">
        <v>2972</v>
      </c>
      <c r="AP777" s="257">
        <f>SUM(AQ777:AR777)</f>
        <v>0</v>
      </c>
      <c r="AQ777" s="258"/>
      <c r="AR777" s="258"/>
      <c r="AS777" s="202"/>
    </row>
    <row r="778" spans="40:45">
      <c r="AN778" s="236" t="s">
        <v>3047</v>
      </c>
      <c r="AO778" s="242" t="s">
        <v>2988</v>
      </c>
      <c r="AP778" s="257">
        <f>SUM(AQ778:AR778)</f>
        <v>0</v>
      </c>
      <c r="AQ778" s="258"/>
      <c r="AR778" s="258"/>
      <c r="AS778" s="202"/>
    </row>
    <row r="779" spans="40:45" hidden="1">
      <c r="AN779" s="236"/>
      <c r="AO779" s="242"/>
      <c r="AP779" s="260"/>
      <c r="AQ779" s="258"/>
      <c r="AR779" s="258"/>
      <c r="AS779" s="202"/>
    </row>
    <row r="780" spans="40:45" hidden="1">
      <c r="AN780" s="236"/>
      <c r="AO780" s="244"/>
      <c r="AP780" s="260"/>
      <c r="AQ780" s="258"/>
      <c r="AR780" s="258"/>
      <c r="AS780" s="202"/>
    </row>
    <row r="781" spans="40:45" hidden="1">
      <c r="AN781" s="236"/>
      <c r="AO781" s="244"/>
      <c r="AP781" s="260"/>
      <c r="AQ781" s="258"/>
      <c r="AR781" s="258"/>
      <c r="AS781" s="202"/>
    </row>
    <row r="782" spans="40:45" hidden="1">
      <c r="AN782" s="236"/>
      <c r="AO782" s="245"/>
      <c r="AP782" s="260"/>
      <c r="AQ782" s="258"/>
      <c r="AR782" s="258"/>
      <c r="AS782" s="202"/>
    </row>
    <row r="783" spans="40:45" hidden="1">
      <c r="AN783" s="236"/>
      <c r="AO783" s="244"/>
      <c r="AP783" s="260"/>
      <c r="AQ783" s="258"/>
      <c r="AR783" s="258"/>
      <c r="AS783" s="202"/>
    </row>
    <row r="784" spans="40:45" hidden="1">
      <c r="AN784" s="236"/>
      <c r="AO784" s="244"/>
      <c r="AP784" s="260"/>
      <c r="AQ784" s="258"/>
      <c r="AR784" s="258"/>
      <c r="AS784" s="202"/>
    </row>
    <row r="785" spans="40:45" hidden="1">
      <c r="AN785" s="236"/>
      <c r="AO785" s="242"/>
      <c r="AP785" s="260"/>
      <c r="AQ785" s="258"/>
      <c r="AR785" s="258"/>
      <c r="AS785" s="202"/>
    </row>
    <row r="786" spans="40:45" hidden="1">
      <c r="AN786" s="236"/>
      <c r="AO786" s="244"/>
      <c r="AP786" s="260"/>
      <c r="AQ786" s="258"/>
      <c r="AR786" s="258"/>
      <c r="AS786" s="202"/>
    </row>
    <row r="787" spans="40:45" hidden="1">
      <c r="AN787" s="236"/>
      <c r="AO787" s="244"/>
      <c r="AP787" s="260"/>
      <c r="AQ787" s="258"/>
      <c r="AR787" s="258"/>
      <c r="AS787" s="202"/>
    </row>
    <row r="788" spans="40:45" hidden="1">
      <c r="AN788" s="236"/>
      <c r="AO788" s="245"/>
      <c r="AP788" s="260"/>
      <c r="AQ788" s="258"/>
      <c r="AR788" s="258"/>
      <c r="AS788" s="202"/>
    </row>
    <row r="789" spans="40:45" hidden="1">
      <c r="AN789" s="236"/>
      <c r="AO789" s="244"/>
      <c r="AP789" s="260"/>
      <c r="AQ789" s="258"/>
      <c r="AR789" s="258"/>
      <c r="AS789" s="202"/>
    </row>
    <row r="790" spans="40:45" hidden="1">
      <c r="AN790" s="236"/>
      <c r="AO790" s="244"/>
      <c r="AP790" s="260"/>
      <c r="AQ790" s="258"/>
      <c r="AR790" s="258"/>
      <c r="AS790" s="202"/>
    </row>
    <row r="791" spans="40:45" hidden="1">
      <c r="AN791" s="236"/>
      <c r="AO791" s="242"/>
      <c r="AP791" s="260"/>
      <c r="AQ791" s="258"/>
      <c r="AR791" s="258"/>
      <c r="AS791" s="202"/>
    </row>
    <row r="792" spans="40:45" hidden="1">
      <c r="AN792" s="236"/>
      <c r="AO792" s="244"/>
      <c r="AP792" s="260"/>
      <c r="AQ792" s="258"/>
      <c r="AR792" s="258"/>
      <c r="AS792" s="202"/>
    </row>
    <row r="793" spans="40:45" hidden="1">
      <c r="AN793" s="236"/>
      <c r="AO793" s="244"/>
      <c r="AP793" s="260"/>
      <c r="AQ793" s="258"/>
      <c r="AR793" s="258"/>
      <c r="AS793" s="202"/>
    </row>
    <row r="794" spans="40:45" hidden="1">
      <c r="AN794" s="236"/>
      <c r="AO794" s="245"/>
      <c r="AP794" s="260"/>
      <c r="AQ794" s="258"/>
      <c r="AR794" s="258"/>
      <c r="AS794" s="202"/>
    </row>
    <row r="795" spans="40:45" hidden="1">
      <c r="AN795" s="236"/>
      <c r="AO795" s="244"/>
      <c r="AP795" s="260"/>
      <c r="AQ795" s="258"/>
      <c r="AR795" s="258"/>
      <c r="AS795" s="202"/>
    </row>
    <row r="796" spans="40:45" hidden="1">
      <c r="AN796" s="236"/>
      <c r="AO796" s="244"/>
      <c r="AP796" s="260"/>
      <c r="AQ796" s="258"/>
      <c r="AR796" s="258"/>
      <c r="AS796" s="202"/>
    </row>
    <row r="797" spans="40:45" hidden="1">
      <c r="AN797" s="236"/>
      <c r="AO797" s="242"/>
      <c r="AP797" s="260"/>
      <c r="AQ797" s="258"/>
      <c r="AR797" s="258"/>
      <c r="AS797" s="202"/>
    </row>
    <row r="798" spans="40:45" hidden="1">
      <c r="AN798" s="236"/>
      <c r="AO798" s="244"/>
      <c r="AP798" s="260"/>
      <c r="AQ798" s="258"/>
      <c r="AR798" s="258"/>
      <c r="AS798" s="202"/>
    </row>
    <row r="799" spans="40:45" hidden="1">
      <c r="AN799" s="236"/>
      <c r="AO799" s="244"/>
      <c r="AP799" s="260"/>
      <c r="AQ799" s="258"/>
      <c r="AR799" s="258"/>
      <c r="AS799" s="202"/>
    </row>
    <row r="800" spans="40:45" hidden="1">
      <c r="AN800" s="236"/>
      <c r="AO800" s="245"/>
      <c r="AP800" s="260"/>
      <c r="AQ800" s="258"/>
      <c r="AR800" s="258"/>
      <c r="AS800" s="202"/>
    </row>
    <row r="801" spans="40:45" hidden="1">
      <c r="AN801" s="236"/>
      <c r="AO801" s="244"/>
      <c r="AP801" s="260"/>
      <c r="AQ801" s="258"/>
      <c r="AR801" s="258"/>
      <c r="AS801" s="202"/>
    </row>
    <row r="802" spans="40:45" hidden="1">
      <c r="AN802" s="236"/>
      <c r="AO802" s="244"/>
      <c r="AP802" s="260"/>
      <c r="AQ802" s="258"/>
      <c r="AR802" s="258"/>
      <c r="AS802" s="202"/>
    </row>
    <row r="803" spans="40:45">
      <c r="AN803" s="234" t="s">
        <v>3072</v>
      </c>
      <c r="AO803" s="235" t="s">
        <v>799</v>
      </c>
      <c r="AP803" s="257">
        <f>SUM(AQ803:AR803)</f>
        <v>0</v>
      </c>
      <c r="AQ803" s="258"/>
      <c r="AR803" s="258"/>
      <c r="AS803" s="202"/>
    </row>
    <row r="804" spans="40:45" hidden="1">
      <c r="AN804" s="234"/>
      <c r="AO804" s="235"/>
      <c r="AP804" s="260"/>
      <c r="AQ804" s="258"/>
      <c r="AR804" s="258"/>
      <c r="AS804" s="202"/>
    </row>
    <row r="805" spans="40:45" hidden="1">
      <c r="AN805" s="234"/>
      <c r="AO805" s="235"/>
      <c r="AP805" s="260"/>
      <c r="AQ805" s="258"/>
      <c r="AR805" s="258"/>
      <c r="AS805" s="202"/>
    </row>
    <row r="806" spans="40:45" hidden="1">
      <c r="AN806" s="234"/>
      <c r="AO806" s="235"/>
      <c r="AP806" s="260"/>
      <c r="AQ806" s="258"/>
      <c r="AR806" s="258"/>
      <c r="AS806" s="202"/>
    </row>
    <row r="807" spans="40:45">
      <c r="AN807" s="236" t="s">
        <v>75</v>
      </c>
      <c r="AO807" s="224" t="s">
        <v>1832</v>
      </c>
      <c r="AP807" s="257">
        <f>SUM(AQ807:AR807)</f>
        <v>0</v>
      </c>
      <c r="AQ807" s="258"/>
      <c r="AR807" s="258"/>
      <c r="AS807" s="202"/>
    </row>
    <row r="808" spans="40:45" hidden="1">
      <c r="AN808" s="236"/>
      <c r="AO808" s="225"/>
      <c r="AP808" s="255"/>
      <c r="AQ808" s="258"/>
      <c r="AR808" s="258"/>
      <c r="AS808" s="202"/>
    </row>
    <row r="809" spans="40:45" hidden="1">
      <c r="AN809" s="236"/>
      <c r="AO809" s="225"/>
      <c r="AP809" s="260"/>
      <c r="AQ809" s="258"/>
      <c r="AR809" s="258"/>
      <c r="AS809" s="202"/>
    </row>
    <row r="810" spans="40:45" hidden="1">
      <c r="AN810" s="236"/>
      <c r="AO810" s="225"/>
      <c r="AP810" s="260"/>
      <c r="AQ810" s="258"/>
      <c r="AR810" s="258"/>
      <c r="AS810" s="202"/>
    </row>
    <row r="811" spans="40:45" hidden="1">
      <c r="AN811" s="236"/>
      <c r="AO811" s="225"/>
      <c r="AP811" s="260"/>
      <c r="AQ811" s="258"/>
      <c r="AR811" s="258"/>
      <c r="AS811" s="202"/>
    </row>
    <row r="812" spans="40:45" hidden="1">
      <c r="AN812" s="236"/>
      <c r="AO812" s="225"/>
      <c r="AP812" s="260"/>
      <c r="AQ812" s="258"/>
      <c r="AR812" s="258"/>
      <c r="AS812" s="202"/>
    </row>
    <row r="813" spans="40:45">
      <c r="AN813" s="236" t="s">
        <v>62</v>
      </c>
      <c r="AO813" s="224" t="s">
        <v>1838</v>
      </c>
      <c r="AP813" s="257">
        <f>SUM(AQ813:AR813)</f>
        <v>0</v>
      </c>
      <c r="AQ813" s="258"/>
      <c r="AR813" s="258"/>
      <c r="AS813" s="202"/>
    </row>
    <row r="814" spans="40:45" hidden="1">
      <c r="AN814" s="236"/>
      <c r="AO814" s="228"/>
      <c r="AP814" s="255"/>
      <c r="AQ814" s="258"/>
      <c r="AR814" s="258"/>
      <c r="AS814" s="202"/>
    </row>
    <row r="815" spans="40:45" hidden="1">
      <c r="AN815" s="236"/>
      <c r="AO815" s="228"/>
      <c r="AP815" s="260"/>
      <c r="AQ815" s="258"/>
      <c r="AR815" s="258"/>
      <c r="AS815" s="202"/>
    </row>
    <row r="816" spans="40:45" hidden="1">
      <c r="AN816" s="236"/>
      <c r="AO816" s="228"/>
      <c r="AP816" s="260"/>
      <c r="AQ816" s="258"/>
      <c r="AR816" s="258"/>
      <c r="AS816" s="202"/>
    </row>
    <row r="817" spans="40:45" hidden="1">
      <c r="AN817" s="236"/>
      <c r="AO817" s="228"/>
      <c r="AP817" s="260"/>
      <c r="AQ817" s="258"/>
      <c r="AR817" s="258"/>
      <c r="AS817" s="202"/>
    </row>
    <row r="818" spans="40:45" hidden="1">
      <c r="AN818" s="236"/>
      <c r="AO818" s="228"/>
      <c r="AP818" s="260"/>
      <c r="AQ818" s="258"/>
      <c r="AR818" s="258"/>
      <c r="AS818" s="202"/>
    </row>
    <row r="819" spans="40:45">
      <c r="AN819" s="236" t="s">
        <v>68</v>
      </c>
      <c r="AO819" s="224" t="s">
        <v>1843</v>
      </c>
      <c r="AP819" s="257">
        <f>SUM(AQ819:AR819)</f>
        <v>0</v>
      </c>
      <c r="AQ819" s="258"/>
      <c r="AR819" s="258"/>
      <c r="AS819" s="202"/>
    </row>
    <row r="820" spans="40:45" hidden="1">
      <c r="AN820" s="236"/>
      <c r="AO820" s="228"/>
      <c r="AP820" s="255"/>
      <c r="AQ820" s="258"/>
      <c r="AR820" s="258"/>
      <c r="AS820" s="202"/>
    </row>
    <row r="821" spans="40:45" hidden="1">
      <c r="AN821" s="236"/>
      <c r="AO821" s="228"/>
      <c r="AP821" s="260"/>
      <c r="AQ821" s="258"/>
      <c r="AR821" s="258"/>
      <c r="AS821" s="202"/>
    </row>
    <row r="822" spans="40:45">
      <c r="AN822" s="236" t="s">
        <v>1848</v>
      </c>
      <c r="AO822" s="224" t="s">
        <v>1849</v>
      </c>
      <c r="AP822" s="257">
        <f>SUM(AQ822:AR822)</f>
        <v>0</v>
      </c>
      <c r="AQ822" s="258"/>
      <c r="AR822" s="258"/>
      <c r="AS822" s="202"/>
    </row>
    <row r="823" spans="40:45" hidden="1">
      <c r="AN823" s="236"/>
      <c r="AO823" s="228"/>
      <c r="AP823" s="255"/>
      <c r="AQ823" s="258"/>
      <c r="AR823" s="258"/>
      <c r="AS823" s="202"/>
    </row>
    <row r="824" spans="40:45" hidden="1">
      <c r="AN824" s="236"/>
      <c r="AO824" s="225"/>
      <c r="AP824" s="260"/>
      <c r="AQ824" s="258"/>
      <c r="AR824" s="258"/>
      <c r="AS824" s="202"/>
    </row>
    <row r="825" spans="40:45" ht="22.5">
      <c r="AN825" s="236" t="s">
        <v>1855</v>
      </c>
      <c r="AO825" s="224" t="s">
        <v>1856</v>
      </c>
      <c r="AP825" s="257">
        <f>SUM(AQ825:AR825)</f>
        <v>0</v>
      </c>
      <c r="AQ825" s="258"/>
      <c r="AR825" s="258"/>
      <c r="AS825" s="202"/>
    </row>
    <row r="826" spans="40:45" hidden="1">
      <c r="AN826" s="236"/>
      <c r="AO826" s="228"/>
      <c r="AP826" s="255"/>
      <c r="AQ826" s="258"/>
      <c r="AR826" s="258"/>
      <c r="AS826" s="202"/>
    </row>
    <row r="827" spans="40:45" hidden="1">
      <c r="AN827" s="236"/>
      <c r="AO827" s="225"/>
      <c r="AP827" s="260"/>
      <c r="AQ827" s="258"/>
      <c r="AR827" s="258"/>
      <c r="AS827" s="202"/>
    </row>
    <row r="828" spans="40:45">
      <c r="AN828" s="234" t="s">
        <v>2412</v>
      </c>
      <c r="AO828" s="235" t="s">
        <v>2413</v>
      </c>
      <c r="AP828" s="257">
        <f t="shared" ref="AP828:AP844" si="2">SUM(AQ828:AR828)</f>
        <v>0</v>
      </c>
      <c r="AQ828" s="258"/>
      <c r="AR828" s="258"/>
      <c r="AS828" s="202"/>
    </row>
    <row r="829" spans="40:45" ht="22.5">
      <c r="AN829" s="236" t="s">
        <v>2414</v>
      </c>
      <c r="AO829" s="224" t="s">
        <v>2415</v>
      </c>
      <c r="AP829" s="257">
        <f t="shared" si="2"/>
        <v>0</v>
      </c>
      <c r="AQ829" s="258"/>
      <c r="AR829" s="258"/>
      <c r="AS829" s="202"/>
    </row>
    <row r="830" spans="40:45" ht="22.5">
      <c r="AN830" s="236" t="s">
        <v>2416</v>
      </c>
      <c r="AO830" s="224" t="s">
        <v>2417</v>
      </c>
      <c r="AP830" s="257">
        <f t="shared" si="2"/>
        <v>0</v>
      </c>
      <c r="AQ830" s="258"/>
      <c r="AR830" s="258"/>
      <c r="AS830" s="202"/>
    </row>
    <row r="831" spans="40:45" ht="22.5">
      <c r="AN831" s="236" t="s">
        <v>2419</v>
      </c>
      <c r="AO831" s="224" t="s">
        <v>2420</v>
      </c>
      <c r="AP831" s="257">
        <f t="shared" si="2"/>
        <v>0</v>
      </c>
      <c r="AQ831" s="258"/>
      <c r="AR831" s="258"/>
      <c r="AS831" s="202"/>
    </row>
    <row r="832" spans="40:45">
      <c r="AN832" s="236" t="s">
        <v>2422</v>
      </c>
      <c r="AO832" s="224" t="s">
        <v>2423</v>
      </c>
      <c r="AP832" s="257">
        <f t="shared" si="2"/>
        <v>0</v>
      </c>
      <c r="AQ832" s="258"/>
      <c r="AR832" s="258"/>
      <c r="AS832" s="202"/>
    </row>
    <row r="833" spans="10:47">
      <c r="AN833" s="236" t="s">
        <v>2425</v>
      </c>
      <c r="AO833" s="224" t="s">
        <v>2426</v>
      </c>
      <c r="AP833" s="257">
        <f t="shared" si="2"/>
        <v>0</v>
      </c>
      <c r="AQ833" s="258"/>
      <c r="AR833" s="258"/>
      <c r="AS833" s="202"/>
    </row>
    <row r="834" spans="10:47" ht="22.5">
      <c r="AN834" s="236" t="s">
        <v>2427</v>
      </c>
      <c r="AO834" s="235" t="s">
        <v>2428</v>
      </c>
      <c r="AP834" s="257">
        <f t="shared" si="2"/>
        <v>0</v>
      </c>
      <c r="AQ834" s="258"/>
      <c r="AR834" s="258"/>
      <c r="AS834" s="202"/>
    </row>
    <row r="835" spans="10:47" ht="33.75">
      <c r="AN835" s="234" t="s">
        <v>2429</v>
      </c>
      <c r="AO835" s="224" t="s">
        <v>2430</v>
      </c>
      <c r="AP835" s="257">
        <f t="shared" si="2"/>
        <v>0</v>
      </c>
      <c r="AQ835" s="258"/>
      <c r="AR835" s="258"/>
      <c r="AS835" s="202"/>
    </row>
    <row r="836" spans="10:47">
      <c r="AN836" s="234" t="s">
        <v>2431</v>
      </c>
      <c r="AO836" s="235" t="s">
        <v>2432</v>
      </c>
      <c r="AP836" s="257">
        <f t="shared" si="2"/>
        <v>0</v>
      </c>
      <c r="AQ836" s="258"/>
      <c r="AR836" s="258"/>
      <c r="AS836" s="202"/>
    </row>
    <row r="837" spans="10:47" ht="22.5">
      <c r="AN837" s="236" t="s">
        <v>1842</v>
      </c>
      <c r="AO837" s="224" t="s">
        <v>2433</v>
      </c>
      <c r="AP837" s="257">
        <f t="shared" si="2"/>
        <v>0</v>
      </c>
      <c r="AQ837" s="258"/>
      <c r="AR837" s="258"/>
      <c r="AS837" s="202"/>
    </row>
    <row r="838" spans="10:47">
      <c r="AN838" s="236" t="s">
        <v>2418</v>
      </c>
      <c r="AO838" s="224" t="s">
        <v>2434</v>
      </c>
      <c r="AP838" s="257">
        <f t="shared" si="2"/>
        <v>0</v>
      </c>
      <c r="AQ838" s="258"/>
      <c r="AR838" s="258"/>
      <c r="AS838" s="202"/>
    </row>
    <row r="839" spans="10:47">
      <c r="AN839" s="236" t="s">
        <v>2435</v>
      </c>
      <c r="AO839" s="224" t="s">
        <v>2436</v>
      </c>
      <c r="AP839" s="257">
        <f t="shared" si="2"/>
        <v>0</v>
      </c>
      <c r="AQ839" s="258"/>
      <c r="AR839" s="258"/>
      <c r="AS839" s="202"/>
    </row>
    <row r="840" spans="10:47" ht="22.5">
      <c r="AN840" s="236" t="s">
        <v>2437</v>
      </c>
      <c r="AO840" s="224" t="s">
        <v>2438</v>
      </c>
      <c r="AP840" s="257">
        <f t="shared" si="2"/>
        <v>0</v>
      </c>
      <c r="AQ840" s="258"/>
      <c r="AR840" s="258"/>
      <c r="AS840" s="202"/>
    </row>
    <row r="841" spans="10:47">
      <c r="AN841" s="236" t="s">
        <v>2439</v>
      </c>
      <c r="AO841" s="224" t="s">
        <v>2440</v>
      </c>
      <c r="AP841" s="257">
        <f t="shared" si="2"/>
        <v>0</v>
      </c>
      <c r="AQ841" s="258"/>
      <c r="AR841" s="258"/>
      <c r="AS841" s="202"/>
    </row>
    <row r="842" spans="10:47">
      <c r="AN842" s="236" t="s">
        <v>2441</v>
      </c>
      <c r="AO842" s="224" t="s">
        <v>2442</v>
      </c>
      <c r="AP842" s="257">
        <f t="shared" si="2"/>
        <v>0</v>
      </c>
      <c r="AQ842" s="258"/>
      <c r="AR842" s="258"/>
      <c r="AS842" s="202"/>
    </row>
    <row r="843" spans="10:47">
      <c r="AN843" s="236" t="s">
        <v>2443</v>
      </c>
      <c r="AO843" s="224" t="s">
        <v>2444</v>
      </c>
      <c r="AP843" s="257">
        <f t="shared" si="2"/>
        <v>0</v>
      </c>
      <c r="AQ843" s="258"/>
      <c r="AR843" s="258"/>
      <c r="AS843" s="202"/>
    </row>
    <row r="844" spans="10:47">
      <c r="AN844" s="236" t="s">
        <v>842</v>
      </c>
      <c r="AO844" s="224" t="s">
        <v>843</v>
      </c>
      <c r="AP844" s="257">
        <f t="shared" si="2"/>
        <v>0</v>
      </c>
      <c r="AQ844" s="258"/>
      <c r="AR844" s="258"/>
      <c r="AS844" s="202"/>
    </row>
    <row r="845" spans="10:47" ht="0.75" customHeight="1">
      <c r="J845"/>
      <c r="K845" s="47"/>
      <c r="L845" s="47"/>
      <c r="M845" s="47"/>
      <c r="N845" s="47"/>
      <c r="O845" s="47"/>
      <c r="P845" s="47"/>
      <c r="Q845" s="47"/>
      <c r="R845" s="47"/>
      <c r="S845" s="47"/>
      <c r="T845" s="47"/>
      <c r="U845" s="47"/>
      <c r="V845" s="47"/>
      <c r="W845" s="47"/>
      <c r="X845" s="47"/>
      <c r="Y845" s="47"/>
      <c r="Z845" s="47"/>
      <c r="AA845" s="47"/>
      <c r="AB845" s="47"/>
      <c r="AC845" s="47"/>
      <c r="AD845" s="47"/>
      <c r="AE845" s="47"/>
      <c r="AF845" s="47"/>
      <c r="AG845" s="47"/>
      <c r="AH845" s="47"/>
      <c r="AI845" s="47"/>
      <c r="AJ845" s="47"/>
      <c r="AK845" s="47"/>
      <c r="AL845" s="50"/>
      <c r="AM845" s="126"/>
      <c r="AN845" s="223"/>
      <c r="AO845" s="728"/>
      <c r="AP845" s="260"/>
      <c r="AQ845" s="258"/>
      <c r="AR845" s="258"/>
      <c r="AS845" s="127"/>
      <c r="AT845" s="47"/>
      <c r="AU845" s="47"/>
    </row>
    <row r="846" spans="10:47" ht="0.75" customHeight="1">
      <c r="J846"/>
      <c r="K846" s="47"/>
      <c r="L846" s="47"/>
      <c r="M846" s="47"/>
      <c r="N846" s="47"/>
      <c r="O846" s="47"/>
      <c r="P846" s="47"/>
      <c r="Q846" s="47"/>
      <c r="R846" s="47"/>
      <c r="S846" s="47"/>
      <c r="T846" s="47"/>
      <c r="U846" s="47"/>
      <c r="V846" s="47"/>
      <c r="W846" s="47"/>
      <c r="X846" s="47"/>
      <c r="Y846" s="47"/>
      <c r="Z846" s="47"/>
      <c r="AA846" s="47"/>
      <c r="AB846" s="47"/>
      <c r="AC846" s="47"/>
      <c r="AD846" s="47"/>
      <c r="AE846" s="47"/>
      <c r="AF846" s="47"/>
      <c r="AG846" s="47"/>
      <c r="AH846" s="47"/>
      <c r="AI846" s="47"/>
      <c r="AJ846" s="47"/>
      <c r="AK846" s="47"/>
      <c r="AL846" s="50"/>
      <c r="AM846" s="126"/>
      <c r="AN846" s="223"/>
      <c r="AO846" s="728"/>
      <c r="AP846" s="260"/>
      <c r="AQ846" s="258"/>
      <c r="AR846" s="258"/>
      <c r="AS846" s="127"/>
      <c r="AT846" s="47"/>
      <c r="AU846" s="47"/>
    </row>
    <row r="847" spans="10:47" ht="0.75" customHeight="1">
      <c r="J847"/>
      <c r="K847" s="47"/>
      <c r="L847" s="47"/>
      <c r="M847" s="47"/>
      <c r="N847" s="47"/>
      <c r="O847" s="47"/>
      <c r="P847" s="47"/>
      <c r="Q847" s="47"/>
      <c r="R847" s="47"/>
      <c r="S847" s="47"/>
      <c r="T847" s="47"/>
      <c r="U847" s="47"/>
      <c r="V847" s="47"/>
      <c r="W847" s="47"/>
      <c r="X847" s="47"/>
      <c r="Y847" s="47"/>
      <c r="Z847" s="47"/>
      <c r="AA847" s="47"/>
      <c r="AB847" s="47"/>
      <c r="AC847" s="47"/>
      <c r="AD847" s="47"/>
      <c r="AE847" s="47"/>
      <c r="AF847" s="47"/>
      <c r="AG847" s="47"/>
      <c r="AH847" s="47"/>
      <c r="AI847" s="47"/>
      <c r="AJ847" s="47"/>
      <c r="AK847" s="47"/>
      <c r="AL847" s="50"/>
      <c r="AM847" s="126"/>
      <c r="AN847" s="223"/>
      <c r="AO847" s="728"/>
      <c r="AP847" s="260"/>
      <c r="AQ847" s="258"/>
      <c r="AR847" s="258"/>
      <c r="AS847" s="127"/>
      <c r="AT847" s="47"/>
      <c r="AU847" s="47"/>
    </row>
    <row r="848" spans="10:47" ht="0.75" customHeight="1">
      <c r="J848"/>
      <c r="K848" s="47"/>
      <c r="L848" s="47"/>
      <c r="M848" s="47"/>
      <c r="N848" s="47"/>
      <c r="O848" s="47"/>
      <c r="P848" s="47"/>
      <c r="Q848" s="47"/>
      <c r="R848" s="47"/>
      <c r="S848" s="47"/>
      <c r="T848" s="47"/>
      <c r="U848" s="47"/>
      <c r="V848" s="47"/>
      <c r="W848" s="47"/>
      <c r="X848" s="47"/>
      <c r="Y848" s="47"/>
      <c r="Z848" s="47"/>
      <c r="AA848" s="47"/>
      <c r="AB848" s="47"/>
      <c r="AC848" s="47"/>
      <c r="AD848" s="47"/>
      <c r="AE848" s="47"/>
      <c r="AF848" s="47"/>
      <c r="AG848" s="47"/>
      <c r="AH848" s="47"/>
      <c r="AI848" s="47"/>
      <c r="AJ848" s="47"/>
      <c r="AK848" s="47"/>
      <c r="AL848" s="50"/>
      <c r="AM848" s="126"/>
      <c r="AN848" s="223"/>
      <c r="AO848" s="728"/>
      <c r="AP848" s="260"/>
      <c r="AQ848" s="258"/>
      <c r="AR848" s="258"/>
      <c r="AS848" s="127"/>
      <c r="AT848" s="47"/>
      <c r="AU848" s="47"/>
    </row>
    <row r="849" spans="10:47" ht="0.75" customHeight="1">
      <c r="J849"/>
      <c r="K849" s="47"/>
      <c r="L849" s="47"/>
      <c r="M849" s="47"/>
      <c r="N849" s="47"/>
      <c r="O849" s="47"/>
      <c r="P849" s="47"/>
      <c r="Q849" s="47"/>
      <c r="R849" s="47"/>
      <c r="S849" s="47"/>
      <c r="T849" s="47"/>
      <c r="U849" s="47"/>
      <c r="V849" s="47"/>
      <c r="W849" s="47"/>
      <c r="X849" s="47"/>
      <c r="Y849" s="47"/>
      <c r="Z849" s="47"/>
      <c r="AA849" s="47"/>
      <c r="AB849" s="47"/>
      <c r="AC849" s="47"/>
      <c r="AD849" s="47"/>
      <c r="AE849" s="47"/>
      <c r="AF849" s="47"/>
      <c r="AG849" s="47"/>
      <c r="AH849" s="47"/>
      <c r="AI849" s="47"/>
      <c r="AJ849" s="47"/>
      <c r="AK849" s="47"/>
      <c r="AL849" s="50"/>
      <c r="AM849" s="126"/>
      <c r="AN849" s="223"/>
      <c r="AO849" s="728"/>
      <c r="AP849" s="260"/>
      <c r="AQ849" s="258"/>
      <c r="AR849" s="258"/>
      <c r="AS849" s="127"/>
      <c r="AT849" s="47"/>
      <c r="AU849" s="47"/>
    </row>
    <row r="850" spans="10:47" ht="0.75" customHeight="1">
      <c r="J850"/>
      <c r="K850" s="47"/>
      <c r="L850" s="47"/>
      <c r="M850" s="47"/>
      <c r="N850" s="47"/>
      <c r="O850" s="47"/>
      <c r="P850" s="47"/>
      <c r="Q850" s="47"/>
      <c r="R850" s="47"/>
      <c r="S850" s="47"/>
      <c r="T850" s="47"/>
      <c r="U850" s="47"/>
      <c r="V850" s="47"/>
      <c r="W850" s="47"/>
      <c r="X850" s="47"/>
      <c r="Y850" s="47"/>
      <c r="Z850" s="47"/>
      <c r="AA850" s="47"/>
      <c r="AB850" s="47"/>
      <c r="AC850" s="47"/>
      <c r="AD850" s="47"/>
      <c r="AE850" s="47"/>
      <c r="AF850" s="47"/>
      <c r="AG850" s="47"/>
      <c r="AH850" s="47"/>
      <c r="AI850" s="47"/>
      <c r="AJ850" s="47"/>
      <c r="AK850" s="47"/>
      <c r="AL850" s="50"/>
      <c r="AM850" s="126"/>
      <c r="AN850" s="223"/>
      <c r="AO850" s="728"/>
      <c r="AP850" s="260"/>
      <c r="AQ850" s="258"/>
      <c r="AR850" s="258"/>
      <c r="AS850" s="127"/>
      <c r="AT850" s="47"/>
      <c r="AU850" s="47"/>
    </row>
    <row r="851" spans="10:47" hidden="1">
      <c r="AN851" s="236"/>
      <c r="AO851" s="224"/>
      <c r="AP851" s="224"/>
      <c r="AQ851" s="258"/>
      <c r="AR851" s="258"/>
      <c r="AS851" s="202"/>
    </row>
    <row r="852" spans="10:47" hidden="1">
      <c r="AN852" s="236"/>
      <c r="AO852" s="224"/>
      <c r="AP852" s="224"/>
      <c r="AQ852" s="258"/>
      <c r="AR852" s="258"/>
      <c r="AS852" s="202"/>
    </row>
    <row r="853" spans="10:47">
      <c r="AN853" s="236" t="s">
        <v>844</v>
      </c>
      <c r="AO853" s="235" t="s">
        <v>853</v>
      </c>
      <c r="AP853" s="257">
        <f>SUM(AQ853:AR853)</f>
        <v>0</v>
      </c>
      <c r="AQ853" s="258"/>
      <c r="AR853" s="258"/>
      <c r="AS853" s="202"/>
    </row>
    <row r="854" spans="10:47">
      <c r="AN854" s="234" t="s">
        <v>854</v>
      </c>
      <c r="AO854" s="205" t="s">
        <v>76</v>
      </c>
      <c r="AP854" s="257">
        <f>SUM(AQ854:AR854)</f>
        <v>0</v>
      </c>
      <c r="AQ854" s="258"/>
      <c r="AR854" s="258"/>
      <c r="AS854" s="202"/>
    </row>
    <row r="855" spans="10:47" ht="0.75" customHeight="1">
      <c r="AN855" s="236"/>
      <c r="AO855" s="235"/>
      <c r="AP855" s="260"/>
      <c r="AQ855" s="258"/>
      <c r="AR855" s="258"/>
      <c r="AS855" s="202"/>
    </row>
    <row r="856" spans="10:47" ht="0.75" customHeight="1">
      <c r="AN856" s="236"/>
      <c r="AO856" s="205"/>
      <c r="AP856" s="260"/>
      <c r="AQ856" s="258"/>
      <c r="AR856" s="258"/>
      <c r="AS856" s="202"/>
    </row>
    <row r="857" spans="10:47" ht="0.75" customHeight="1">
      <c r="AN857" s="236"/>
      <c r="AO857" s="205"/>
      <c r="AP857" s="260"/>
      <c r="AQ857" s="258"/>
      <c r="AR857" s="258"/>
      <c r="AS857" s="202"/>
    </row>
    <row r="858" spans="10:47" ht="0.75" customHeight="1">
      <c r="AN858" s="236"/>
      <c r="AO858" s="205"/>
      <c r="AP858" s="260"/>
      <c r="AQ858" s="258"/>
      <c r="AR858" s="258"/>
      <c r="AS858" s="202"/>
    </row>
    <row r="859" spans="10:47" ht="0.75" customHeight="1">
      <c r="AN859" s="236"/>
      <c r="AO859" s="205"/>
      <c r="AP859" s="260"/>
      <c r="AQ859" s="258"/>
      <c r="AR859" s="258"/>
      <c r="AS859" s="202"/>
    </row>
    <row r="860" spans="10:47" ht="0.75" customHeight="1">
      <c r="AN860" s="236"/>
      <c r="AO860" s="205"/>
      <c r="AP860" s="260"/>
      <c r="AQ860" s="258"/>
      <c r="AR860" s="258"/>
      <c r="AS860" s="202"/>
    </row>
    <row r="861" spans="10:47" ht="0.75" customHeight="1">
      <c r="AN861" s="236"/>
      <c r="AO861" s="229"/>
      <c r="AP861" s="260"/>
      <c r="AQ861" s="258"/>
      <c r="AR861" s="258"/>
      <c r="AS861" s="202"/>
    </row>
    <row r="862" spans="10:47" ht="0.75" customHeight="1">
      <c r="AN862" s="236"/>
      <c r="AO862" s="229"/>
      <c r="AP862" s="260"/>
      <c r="AQ862" s="258"/>
      <c r="AR862" s="258"/>
      <c r="AS862" s="202"/>
    </row>
    <row r="863" spans="10:47" ht="0.75" customHeight="1">
      <c r="AN863" s="236"/>
      <c r="AO863" s="229"/>
      <c r="AP863" s="260"/>
      <c r="AQ863" s="258"/>
      <c r="AR863" s="258"/>
      <c r="AS863" s="202"/>
    </row>
    <row r="864" spans="10:47" ht="0.75" customHeight="1">
      <c r="AN864" s="234"/>
      <c r="AO864" s="249"/>
      <c r="AP864" s="260"/>
      <c r="AQ864" s="258"/>
      <c r="AR864" s="258"/>
      <c r="AS864" s="202"/>
    </row>
    <row r="865" spans="40:45" ht="0.75" customHeight="1">
      <c r="AN865" s="236"/>
      <c r="AO865" s="205"/>
      <c r="AP865" s="260"/>
      <c r="AQ865" s="258"/>
      <c r="AR865" s="258"/>
      <c r="AS865" s="202"/>
    </row>
    <row r="866" spans="40:45" ht="0.75" customHeight="1">
      <c r="AN866" s="236"/>
      <c r="AO866" s="205"/>
      <c r="AP866" s="260"/>
      <c r="AQ866" s="258"/>
      <c r="AR866" s="258"/>
      <c r="AS866" s="202"/>
    </row>
    <row r="867" spans="40:45" ht="0.75" customHeight="1">
      <c r="AN867" s="236"/>
      <c r="AO867" s="250"/>
      <c r="AP867" s="260"/>
      <c r="AQ867" s="258"/>
      <c r="AR867" s="258"/>
      <c r="AS867" s="202"/>
    </row>
    <row r="868" spans="40:45" ht="0.75" customHeight="1">
      <c r="AN868" s="236"/>
      <c r="AO868" s="250"/>
      <c r="AP868" s="260"/>
      <c r="AQ868" s="258"/>
      <c r="AR868" s="258"/>
      <c r="AS868" s="202"/>
    </row>
    <row r="869" spans="40:45" ht="0.75" customHeight="1">
      <c r="AN869" s="236"/>
      <c r="AO869" s="250"/>
      <c r="AP869" s="260"/>
      <c r="AQ869" s="258"/>
      <c r="AR869" s="258"/>
      <c r="AS869" s="202"/>
    </row>
    <row r="870" spans="40:45" ht="0.75" customHeight="1">
      <c r="AN870" s="236"/>
      <c r="AO870" s="205"/>
      <c r="AP870" s="547"/>
      <c r="AQ870" s="258"/>
      <c r="AR870" s="258"/>
      <c r="AS870" s="202"/>
    </row>
    <row r="871" spans="40:45" ht="0.75" customHeight="1">
      <c r="AN871" s="236"/>
      <c r="AO871" s="250"/>
      <c r="AP871" s="260"/>
      <c r="AQ871" s="258"/>
      <c r="AR871" s="258"/>
      <c r="AS871" s="202"/>
    </row>
    <row r="872" spans="40:45" ht="0.75" customHeight="1">
      <c r="AN872" s="236"/>
      <c r="AO872" s="325"/>
      <c r="AP872" s="260"/>
      <c r="AQ872" s="258"/>
      <c r="AR872" s="258"/>
      <c r="AS872" s="202"/>
    </row>
    <row r="873" spans="40:45" ht="0.75" customHeight="1">
      <c r="AN873" s="236"/>
      <c r="AO873" s="483"/>
      <c r="AP873" s="260"/>
      <c r="AQ873" s="258"/>
      <c r="AR873" s="258"/>
      <c r="AS873" s="202"/>
    </row>
    <row r="874" spans="40:45" ht="0.75" customHeight="1">
      <c r="AN874" s="236"/>
      <c r="AO874" s="235"/>
      <c r="AP874" s="255"/>
      <c r="AQ874" s="258"/>
      <c r="AR874" s="258"/>
      <c r="AS874" s="202"/>
    </row>
    <row r="875" spans="40:45" ht="0.75" customHeight="1">
      <c r="AN875" s="436"/>
      <c r="AO875" s="485"/>
      <c r="AP875" s="260"/>
      <c r="AQ875" s="258"/>
      <c r="AR875" s="258"/>
      <c r="AS875" s="202"/>
    </row>
    <row r="876" spans="40:45" ht="0.75" customHeight="1">
      <c r="AN876" s="236"/>
      <c r="AO876" s="235"/>
      <c r="AP876" s="260"/>
      <c r="AQ876" s="258"/>
      <c r="AR876" s="258"/>
      <c r="AS876" s="202"/>
    </row>
    <row r="877" spans="40:45" ht="0.75" customHeight="1">
      <c r="AN877" s="236"/>
      <c r="AO877" s="205"/>
      <c r="AP877" s="547"/>
      <c r="AQ877" s="258"/>
      <c r="AR877" s="258"/>
      <c r="AS877" s="202"/>
    </row>
    <row r="878" spans="40:45" ht="0.75" customHeight="1">
      <c r="AN878" s="236"/>
      <c r="AO878" s="205"/>
      <c r="AP878" s="547"/>
      <c r="AQ878" s="258"/>
      <c r="AR878" s="258"/>
      <c r="AS878" s="202"/>
    </row>
    <row r="879" spans="40:45" ht="0.75" customHeight="1">
      <c r="AN879" s="236"/>
      <c r="AO879" s="205"/>
      <c r="AP879" s="547"/>
      <c r="AQ879" s="258"/>
      <c r="AR879" s="258"/>
      <c r="AS879" s="202"/>
    </row>
    <row r="880" spans="40:45" ht="0.75" customHeight="1">
      <c r="AN880" s="236"/>
      <c r="AO880" s="205"/>
      <c r="AP880" s="547"/>
      <c r="AQ880" s="258"/>
      <c r="AR880" s="258"/>
      <c r="AS880" s="202"/>
    </row>
    <row r="881" spans="10:45" ht="0.75" customHeight="1">
      <c r="AN881" s="236"/>
      <c r="AO881" s="205"/>
      <c r="AP881" s="547"/>
      <c r="AQ881" s="258"/>
      <c r="AR881" s="258"/>
      <c r="AS881" s="202"/>
    </row>
    <row r="882" spans="10:45" ht="0.75" customHeight="1">
      <c r="AN882" s="236"/>
      <c r="AO882" s="205"/>
      <c r="AP882" s="547"/>
      <c r="AQ882" s="258"/>
      <c r="AR882" s="258"/>
      <c r="AS882" s="202"/>
    </row>
    <row r="883" spans="10:45" ht="0.75" customHeight="1">
      <c r="AN883" s="236"/>
      <c r="AO883" s="205"/>
      <c r="AP883" s="547"/>
      <c r="AQ883" s="258"/>
      <c r="AR883" s="258"/>
      <c r="AS883" s="202"/>
    </row>
    <row r="884" spans="10:45" ht="0.75" customHeight="1">
      <c r="AN884" s="236"/>
      <c r="AO884" s="205"/>
      <c r="AP884" s="547"/>
      <c r="AQ884" s="258"/>
      <c r="AR884" s="258"/>
      <c r="AS884" s="202"/>
    </row>
    <row r="885" spans="10:45" ht="0.75" customHeight="1">
      <c r="AN885" s="236"/>
      <c r="AO885" s="205"/>
      <c r="AP885" s="547"/>
      <c r="AQ885" s="258"/>
      <c r="AR885" s="258"/>
      <c r="AS885" s="202"/>
    </row>
    <row r="886" spans="10:45" ht="0.75" customHeight="1">
      <c r="AN886" s="236"/>
      <c r="AO886" s="205"/>
      <c r="AP886" s="547"/>
      <c r="AQ886" s="258"/>
      <c r="AR886" s="258"/>
      <c r="AS886" s="202"/>
    </row>
    <row r="887" spans="10:45" ht="0.75" customHeight="1">
      <c r="AN887" s="236"/>
      <c r="AO887" s="205"/>
      <c r="AP887" s="547"/>
      <c r="AQ887" s="258"/>
      <c r="AR887" s="258"/>
      <c r="AS887" s="202"/>
    </row>
    <row r="888" spans="10:45" ht="0.75" customHeight="1">
      <c r="AN888" s="236"/>
      <c r="AO888" s="205"/>
      <c r="AP888" s="547"/>
      <c r="AQ888" s="258"/>
      <c r="AR888" s="258"/>
      <c r="AS888" s="202"/>
    </row>
    <row r="889" spans="10:45" ht="0.75" customHeight="1">
      <c r="AN889" s="236"/>
      <c r="AO889" s="205"/>
      <c r="AP889" s="547"/>
      <c r="AQ889" s="258"/>
      <c r="AR889" s="258"/>
      <c r="AS889" s="202"/>
    </row>
    <row r="890" spans="10:45" ht="0.75" customHeight="1">
      <c r="AN890" s="236"/>
      <c r="AO890" s="205"/>
      <c r="AP890" s="547"/>
      <c r="AQ890" s="258"/>
      <c r="AR890" s="258"/>
      <c r="AS890" s="202"/>
    </row>
    <row r="891" spans="10:45" ht="0.75" customHeight="1">
      <c r="AN891" s="236"/>
      <c r="AO891" s="205"/>
      <c r="AP891" s="547"/>
      <c r="AQ891" s="258"/>
      <c r="AR891" s="258"/>
      <c r="AS891" s="202"/>
    </row>
    <row r="892" spans="10:45" ht="0.75" customHeight="1">
      <c r="AN892" s="236"/>
      <c r="AO892" s="235"/>
      <c r="AP892" s="260"/>
      <c r="AQ892" s="258"/>
      <c r="AR892" s="258"/>
      <c r="AS892" s="202"/>
    </row>
    <row r="893" spans="10:45" ht="0.75" customHeight="1">
      <c r="AN893" s="236"/>
      <c r="AO893" s="483"/>
      <c r="AP893" s="260"/>
      <c r="AQ893" s="258"/>
      <c r="AR893" s="258"/>
      <c r="AS893" s="202"/>
    </row>
    <row r="894" spans="10:45" ht="0.75" customHeight="1">
      <c r="AN894" s="496"/>
      <c r="AO894" s="483"/>
      <c r="AP894" s="281"/>
      <c r="AQ894" s="258"/>
      <c r="AR894" s="258"/>
      <c r="AS894" s="202"/>
    </row>
    <row r="895" spans="10:45" s="55" customFormat="1" hidden="1">
      <c r="J895" s="213"/>
      <c r="K895" s="213"/>
      <c r="L895" s="213"/>
      <c r="M895" s="213"/>
      <c r="N895" s="213"/>
      <c r="O895" s="213"/>
      <c r="P895" s="213"/>
      <c r="Q895" s="213"/>
      <c r="R895" s="213"/>
      <c r="S895" s="213"/>
      <c r="T895" s="213"/>
      <c r="U895" s="213"/>
      <c r="V895" s="213"/>
      <c r="W895" s="213"/>
      <c r="X895" s="213"/>
      <c r="Y895" s="213"/>
      <c r="Z895" s="213"/>
      <c r="AA895" s="213"/>
      <c r="AB895" s="213"/>
      <c r="AC895" s="213"/>
      <c r="AD895" s="213"/>
      <c r="AE895" s="213"/>
      <c r="AF895" s="213"/>
      <c r="AG895" s="213"/>
      <c r="AH895" s="213"/>
      <c r="AI895" s="213"/>
      <c r="AJ895" s="213"/>
      <c r="AK895" s="213"/>
      <c r="AL895" s="213"/>
      <c r="AM895" s="213"/>
      <c r="AN895" s="298"/>
      <c r="AO895" s="299"/>
      <c r="AP895" s="282"/>
      <c r="AQ895" s="258"/>
      <c r="AR895" s="258"/>
      <c r="AS895" s="50"/>
    </row>
    <row r="896" spans="10:45" s="55" customFormat="1" hidden="1">
      <c r="J896" s="213"/>
      <c r="K896" s="213"/>
      <c r="L896" s="213"/>
      <c r="M896" s="213"/>
      <c r="N896" s="213"/>
      <c r="O896" s="213"/>
      <c r="P896" s="213"/>
      <c r="Q896" s="213"/>
      <c r="R896" s="213"/>
      <c r="S896" s="213"/>
      <c r="T896" s="213"/>
      <c r="U896" s="213"/>
      <c r="V896" s="213"/>
      <c r="W896" s="213"/>
      <c r="X896" s="213"/>
      <c r="Y896" s="213"/>
      <c r="Z896" s="213"/>
      <c r="AA896" s="213"/>
      <c r="AB896" s="213"/>
      <c r="AC896" s="213"/>
      <c r="AD896" s="213"/>
      <c r="AE896" s="213"/>
      <c r="AF896" s="213"/>
      <c r="AG896" s="213"/>
      <c r="AH896" s="213"/>
      <c r="AI896" s="213"/>
      <c r="AJ896" s="213"/>
      <c r="AK896" s="213"/>
      <c r="AL896" s="213"/>
      <c r="AM896" s="213"/>
      <c r="AN896" s="298"/>
      <c r="AO896" s="299"/>
      <c r="AP896" s="282"/>
      <c r="AQ896" s="258"/>
      <c r="AR896" s="258"/>
    </row>
    <row r="897" spans="10:44" s="48" customFormat="1" hidden="1">
      <c r="J897" s="213"/>
      <c r="K897" s="213"/>
      <c r="L897" s="213"/>
      <c r="M897" s="213"/>
      <c r="N897" s="213"/>
      <c r="O897" s="213"/>
      <c r="P897" s="213"/>
      <c r="Q897" s="213"/>
      <c r="R897" s="213"/>
      <c r="S897" s="213"/>
      <c r="T897" s="213"/>
      <c r="U897" s="213"/>
      <c r="V897" s="213"/>
      <c r="W897" s="213"/>
      <c r="X897" s="213"/>
      <c r="Y897" s="213"/>
      <c r="Z897" s="213"/>
      <c r="AA897" s="213"/>
      <c r="AB897" s="213"/>
      <c r="AC897" s="213"/>
      <c r="AD897" s="213"/>
      <c r="AE897" s="213"/>
      <c r="AF897" s="213"/>
      <c r="AG897" s="213"/>
      <c r="AH897" s="213"/>
      <c r="AI897" s="213"/>
      <c r="AJ897" s="213"/>
      <c r="AK897" s="213"/>
      <c r="AL897" s="213"/>
      <c r="AM897" s="213"/>
      <c r="AN897" s="300"/>
      <c r="AO897" s="301"/>
      <c r="AP897" s="285"/>
      <c r="AQ897" s="258"/>
      <c r="AR897" s="258"/>
    </row>
    <row r="898" spans="10:44" s="48" customFormat="1" hidden="1">
      <c r="J898" s="213"/>
      <c r="K898" s="213"/>
      <c r="L898" s="213"/>
      <c r="M898" s="213"/>
      <c r="N898" s="213"/>
      <c r="O898" s="213"/>
      <c r="P898" s="213"/>
      <c r="Q898" s="213"/>
      <c r="R898" s="213"/>
      <c r="S898" s="213"/>
      <c r="T898" s="213"/>
      <c r="U898" s="213"/>
      <c r="V898" s="213"/>
      <c r="W898" s="213"/>
      <c r="X898" s="213"/>
      <c r="Y898" s="213"/>
      <c r="Z898" s="213"/>
      <c r="AA898" s="213"/>
      <c r="AB898" s="213"/>
      <c r="AC898" s="213"/>
      <c r="AD898" s="213"/>
      <c r="AE898" s="213"/>
      <c r="AF898" s="213"/>
      <c r="AG898" s="213"/>
      <c r="AH898" s="213"/>
      <c r="AI898" s="213"/>
      <c r="AJ898" s="213"/>
      <c r="AK898" s="213"/>
      <c r="AL898" s="213"/>
      <c r="AM898" s="213"/>
      <c r="AN898" s="300"/>
      <c r="AO898" s="301"/>
      <c r="AP898" s="285"/>
      <c r="AQ898" s="258"/>
      <c r="AR898" s="258"/>
    </row>
    <row r="899" spans="10:44" s="48" customFormat="1" hidden="1">
      <c r="J899" s="213"/>
      <c r="K899" s="213"/>
      <c r="L899" s="213"/>
      <c r="M899" s="213"/>
      <c r="N899" s="213"/>
      <c r="O899" s="213"/>
      <c r="P899" s="213"/>
      <c r="Q899" s="213"/>
      <c r="R899" s="213"/>
      <c r="S899" s="213"/>
      <c r="T899" s="213"/>
      <c r="U899" s="213"/>
      <c r="V899" s="213"/>
      <c r="W899" s="213"/>
      <c r="X899" s="213"/>
      <c r="Y899" s="213"/>
      <c r="Z899" s="213"/>
      <c r="AA899" s="213"/>
      <c r="AB899" s="213"/>
      <c r="AC899" s="213"/>
      <c r="AD899" s="213"/>
      <c r="AE899" s="213"/>
      <c r="AF899" s="213"/>
      <c r="AG899" s="213"/>
      <c r="AH899" s="213"/>
      <c r="AI899" s="213"/>
      <c r="AJ899" s="213"/>
      <c r="AK899" s="213"/>
      <c r="AL899" s="213"/>
      <c r="AM899" s="213"/>
      <c r="AN899" s="300"/>
      <c r="AO899" s="301"/>
      <c r="AP899" s="285"/>
      <c r="AQ899" s="258"/>
      <c r="AR899" s="258"/>
    </row>
    <row r="900" spans="10:44" s="48" customFormat="1" hidden="1">
      <c r="J900" s="213"/>
      <c r="K900" s="213"/>
      <c r="L900" s="213"/>
      <c r="M900" s="213"/>
      <c r="N900" s="213"/>
      <c r="O900" s="213"/>
      <c r="P900" s="213"/>
      <c r="Q900" s="213"/>
      <c r="R900" s="213"/>
      <c r="S900" s="213"/>
      <c r="T900" s="213"/>
      <c r="U900" s="213"/>
      <c r="V900" s="213"/>
      <c r="W900" s="213"/>
      <c r="X900" s="213"/>
      <c r="Y900" s="213"/>
      <c r="Z900" s="213"/>
      <c r="AA900" s="213"/>
      <c r="AB900" s="213"/>
      <c r="AC900" s="213"/>
      <c r="AD900" s="213"/>
      <c r="AE900" s="213"/>
      <c r="AF900" s="213"/>
      <c r="AG900" s="213"/>
      <c r="AH900" s="213"/>
      <c r="AI900" s="213"/>
      <c r="AJ900" s="213"/>
      <c r="AK900" s="213"/>
      <c r="AL900" s="213"/>
      <c r="AM900" s="213"/>
      <c r="AN900" s="300"/>
      <c r="AO900" s="301"/>
      <c r="AP900" s="285"/>
      <c r="AQ900" s="258"/>
      <c r="AR900" s="258"/>
    </row>
    <row r="901" spans="10:44" s="48" customFormat="1" hidden="1">
      <c r="J901" s="213"/>
      <c r="K901" s="213"/>
      <c r="L901" s="213"/>
      <c r="M901" s="213"/>
      <c r="N901" s="213"/>
      <c r="O901" s="213"/>
      <c r="P901" s="213"/>
      <c r="Q901" s="213"/>
      <c r="R901" s="213"/>
      <c r="S901" s="213"/>
      <c r="T901" s="213"/>
      <c r="U901" s="213"/>
      <c r="V901" s="213"/>
      <c r="W901" s="213"/>
      <c r="X901" s="213"/>
      <c r="Y901" s="213"/>
      <c r="Z901" s="213"/>
      <c r="AA901" s="213"/>
      <c r="AB901" s="213"/>
      <c r="AC901" s="213"/>
      <c r="AD901" s="213"/>
      <c r="AE901" s="213"/>
      <c r="AF901" s="213"/>
      <c r="AG901" s="213"/>
      <c r="AH901" s="213"/>
      <c r="AI901" s="213"/>
      <c r="AJ901" s="213"/>
      <c r="AK901" s="213"/>
      <c r="AL901" s="213"/>
      <c r="AM901" s="213"/>
      <c r="AN901" s="300"/>
      <c r="AO901" s="301"/>
      <c r="AP901" s="285"/>
      <c r="AQ901" s="258"/>
      <c r="AR901" s="258"/>
    </row>
    <row r="902" spans="10:44" s="48" customFormat="1" hidden="1">
      <c r="J902" s="213"/>
      <c r="K902" s="213"/>
      <c r="L902" s="213"/>
      <c r="M902" s="213"/>
      <c r="N902" s="213"/>
      <c r="O902" s="213"/>
      <c r="P902" s="213"/>
      <c r="Q902" s="213"/>
      <c r="R902" s="213"/>
      <c r="S902" s="213"/>
      <c r="T902" s="213"/>
      <c r="U902" s="213"/>
      <c r="V902" s="213"/>
      <c r="W902" s="213"/>
      <c r="X902" s="213"/>
      <c r="Y902" s="213"/>
      <c r="Z902" s="213"/>
      <c r="AA902" s="213"/>
      <c r="AB902" s="213"/>
      <c r="AC902" s="213"/>
      <c r="AD902" s="213"/>
      <c r="AE902" s="213"/>
      <c r="AF902" s="213"/>
      <c r="AG902" s="213"/>
      <c r="AH902" s="213"/>
      <c r="AI902" s="213"/>
      <c r="AJ902" s="213"/>
      <c r="AK902" s="213"/>
      <c r="AL902" s="213"/>
      <c r="AM902" s="213"/>
      <c r="AN902" s="300"/>
      <c r="AO902" s="301"/>
      <c r="AP902" s="285"/>
      <c r="AQ902" s="258"/>
      <c r="AR902" s="258"/>
    </row>
    <row r="903" spans="10:44" s="48" customFormat="1" hidden="1">
      <c r="J903" s="213"/>
      <c r="K903" s="213"/>
      <c r="L903" s="213"/>
      <c r="M903" s="213"/>
      <c r="N903" s="213"/>
      <c r="O903" s="213"/>
      <c r="P903" s="213"/>
      <c r="Q903" s="213"/>
      <c r="R903" s="213"/>
      <c r="S903" s="213"/>
      <c r="T903" s="213"/>
      <c r="U903" s="213"/>
      <c r="V903" s="213"/>
      <c r="W903" s="213"/>
      <c r="X903" s="213"/>
      <c r="Y903" s="213"/>
      <c r="Z903" s="213"/>
      <c r="AA903" s="213"/>
      <c r="AB903" s="213"/>
      <c r="AC903" s="213"/>
      <c r="AD903" s="213"/>
      <c r="AE903" s="213"/>
      <c r="AF903" s="213"/>
      <c r="AG903" s="213"/>
      <c r="AH903" s="213"/>
      <c r="AI903" s="213"/>
      <c r="AJ903" s="213"/>
      <c r="AK903" s="213"/>
      <c r="AL903" s="213"/>
      <c r="AM903" s="213"/>
      <c r="AN903" s="300"/>
      <c r="AO903" s="301"/>
      <c r="AP903" s="285"/>
      <c r="AQ903" s="258"/>
      <c r="AR903" s="258"/>
    </row>
    <row r="904" spans="10:44" s="48" customFormat="1" hidden="1">
      <c r="J904" s="213"/>
      <c r="K904" s="213"/>
      <c r="L904" s="213"/>
      <c r="M904" s="213"/>
      <c r="N904" s="213"/>
      <c r="O904" s="213"/>
      <c r="P904" s="213"/>
      <c r="Q904" s="213"/>
      <c r="R904" s="213"/>
      <c r="S904" s="213"/>
      <c r="T904" s="213"/>
      <c r="U904" s="213"/>
      <c r="V904" s="213"/>
      <c r="W904" s="213"/>
      <c r="X904" s="213"/>
      <c r="Y904" s="213"/>
      <c r="Z904" s="213"/>
      <c r="AA904" s="213"/>
      <c r="AB904" s="213"/>
      <c r="AC904" s="213"/>
      <c r="AD904" s="213"/>
      <c r="AE904" s="213"/>
      <c r="AF904" s="213"/>
      <c r="AG904" s="213"/>
      <c r="AH904" s="213"/>
      <c r="AI904" s="213"/>
      <c r="AJ904" s="213"/>
      <c r="AK904" s="213"/>
      <c r="AL904" s="213"/>
      <c r="AM904" s="213"/>
      <c r="AN904" s="300"/>
      <c r="AO904" s="301"/>
      <c r="AP904" s="285"/>
      <c r="AQ904" s="258"/>
      <c r="AR904" s="258"/>
    </row>
    <row r="905" spans="10:44" s="48" customFormat="1" hidden="1">
      <c r="J905" s="213"/>
      <c r="K905" s="213"/>
      <c r="L905" s="213"/>
      <c r="M905" s="213"/>
      <c r="N905" s="213"/>
      <c r="O905" s="213"/>
      <c r="P905" s="213"/>
      <c r="Q905" s="213"/>
      <c r="R905" s="213"/>
      <c r="S905" s="213"/>
      <c r="T905" s="213"/>
      <c r="U905" s="213"/>
      <c r="V905" s="213"/>
      <c r="W905" s="213"/>
      <c r="X905" s="213"/>
      <c r="Y905" s="213"/>
      <c r="Z905" s="213"/>
      <c r="AA905" s="213"/>
      <c r="AB905" s="213"/>
      <c r="AC905" s="213"/>
      <c r="AD905" s="213"/>
      <c r="AE905" s="213"/>
      <c r="AF905" s="213"/>
      <c r="AG905" s="213"/>
      <c r="AH905" s="213"/>
      <c r="AI905" s="213"/>
      <c r="AJ905" s="213"/>
      <c r="AK905" s="213"/>
      <c r="AL905" s="213"/>
      <c r="AM905" s="213"/>
      <c r="AN905" s="300"/>
      <c r="AO905" s="301"/>
      <c r="AP905" s="285"/>
      <c r="AQ905" s="258"/>
      <c r="AR905" s="258"/>
    </row>
    <row r="906" spans="10:44" s="48" customFormat="1" hidden="1">
      <c r="J906" s="213"/>
      <c r="K906" s="213"/>
      <c r="L906" s="213"/>
      <c r="M906" s="213"/>
      <c r="N906" s="213"/>
      <c r="O906" s="213"/>
      <c r="P906" s="213"/>
      <c r="Q906" s="213"/>
      <c r="R906" s="213"/>
      <c r="S906" s="213"/>
      <c r="T906" s="213"/>
      <c r="U906" s="213"/>
      <c r="V906" s="213"/>
      <c r="W906" s="213"/>
      <c r="X906" s="213"/>
      <c r="Y906" s="213"/>
      <c r="Z906" s="213"/>
      <c r="AA906" s="213"/>
      <c r="AB906" s="213"/>
      <c r="AC906" s="213"/>
      <c r="AD906" s="213"/>
      <c r="AE906" s="213"/>
      <c r="AF906" s="213"/>
      <c r="AG906" s="213"/>
      <c r="AH906" s="213"/>
      <c r="AI906" s="213"/>
      <c r="AJ906" s="213"/>
      <c r="AK906" s="213"/>
      <c r="AL906" s="213"/>
      <c r="AM906" s="213"/>
      <c r="AN906" s="300"/>
      <c r="AO906" s="301"/>
      <c r="AP906" s="285"/>
      <c r="AQ906" s="258"/>
      <c r="AR906" s="258"/>
    </row>
    <row r="907" spans="10:44" s="48" customFormat="1" hidden="1">
      <c r="J907" s="213"/>
      <c r="K907" s="213"/>
      <c r="L907" s="213"/>
      <c r="M907" s="213"/>
      <c r="N907" s="213"/>
      <c r="O907" s="213"/>
      <c r="P907" s="213"/>
      <c r="Q907" s="213"/>
      <c r="R907" s="213"/>
      <c r="S907" s="213"/>
      <c r="T907" s="213"/>
      <c r="U907" s="213"/>
      <c r="V907" s="213"/>
      <c r="W907" s="213"/>
      <c r="X907" s="213"/>
      <c r="Y907" s="213"/>
      <c r="Z907" s="213"/>
      <c r="AA907" s="213"/>
      <c r="AB907" s="213"/>
      <c r="AC907" s="213"/>
      <c r="AD907" s="213"/>
      <c r="AE907" s="213"/>
      <c r="AF907" s="213"/>
      <c r="AG907" s="213"/>
      <c r="AH907" s="213"/>
      <c r="AI907" s="213"/>
      <c r="AJ907" s="213"/>
      <c r="AK907" s="213"/>
      <c r="AL907" s="213"/>
      <c r="AM907" s="213"/>
      <c r="AN907" s="300"/>
      <c r="AO907" s="301"/>
      <c r="AP907" s="285"/>
      <c r="AQ907" s="258"/>
      <c r="AR907" s="258"/>
    </row>
    <row r="908" spans="10:44" s="48" customFormat="1" hidden="1">
      <c r="J908" s="213"/>
      <c r="K908" s="213"/>
      <c r="L908" s="213"/>
      <c r="M908" s="213"/>
      <c r="N908" s="213"/>
      <c r="O908" s="213"/>
      <c r="P908" s="213"/>
      <c r="Q908" s="213"/>
      <c r="R908" s="213"/>
      <c r="S908" s="213"/>
      <c r="T908" s="213"/>
      <c r="U908" s="213"/>
      <c r="V908" s="213"/>
      <c r="W908" s="213"/>
      <c r="X908" s="213"/>
      <c r="Y908" s="213"/>
      <c r="Z908" s="213"/>
      <c r="AA908" s="213"/>
      <c r="AB908" s="213"/>
      <c r="AC908" s="213"/>
      <c r="AD908" s="213"/>
      <c r="AE908" s="213"/>
      <c r="AF908" s="213"/>
      <c r="AG908" s="213"/>
      <c r="AH908" s="213"/>
      <c r="AI908" s="213"/>
      <c r="AJ908" s="213"/>
      <c r="AK908" s="213"/>
      <c r="AL908" s="213"/>
      <c r="AM908" s="213"/>
      <c r="AN908" s="300"/>
      <c r="AO908" s="301"/>
      <c r="AP908" s="285"/>
      <c r="AQ908" s="258"/>
      <c r="AR908" s="258"/>
    </row>
    <row r="909" spans="10:44" s="48" customFormat="1" hidden="1">
      <c r="J909" s="213"/>
      <c r="K909" s="213"/>
      <c r="L909" s="213"/>
      <c r="M909" s="213"/>
      <c r="N909" s="213"/>
      <c r="O909" s="213"/>
      <c r="P909" s="213"/>
      <c r="Q909" s="213"/>
      <c r="R909" s="213"/>
      <c r="S909" s="213"/>
      <c r="T909" s="213"/>
      <c r="U909" s="213"/>
      <c r="V909" s="213"/>
      <c r="W909" s="213"/>
      <c r="X909" s="213"/>
      <c r="Y909" s="213"/>
      <c r="Z909" s="213"/>
      <c r="AA909" s="213"/>
      <c r="AB909" s="213"/>
      <c r="AC909" s="213"/>
      <c r="AD909" s="213"/>
      <c r="AE909" s="213"/>
      <c r="AF909" s="213"/>
      <c r="AG909" s="213"/>
      <c r="AH909" s="213"/>
      <c r="AI909" s="213"/>
      <c r="AJ909" s="213"/>
      <c r="AK909" s="213"/>
      <c r="AL909" s="213"/>
      <c r="AM909" s="213"/>
      <c r="AN909" s="300"/>
      <c r="AO909" s="301"/>
      <c r="AP909" s="285"/>
      <c r="AQ909" s="258"/>
      <c r="AR909" s="258"/>
    </row>
    <row r="910" spans="10:44" s="48" customFormat="1" hidden="1">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300"/>
      <c r="AO910" s="301"/>
      <c r="AP910" s="285"/>
      <c r="AQ910" s="258"/>
      <c r="AR910" s="258"/>
    </row>
    <row r="911" spans="10:44" s="48" customFormat="1" hidden="1">
      <c r="J911" s="213"/>
      <c r="K911" s="213"/>
      <c r="L911" s="213"/>
      <c r="M911" s="213"/>
      <c r="N911" s="213"/>
      <c r="O911" s="213"/>
      <c r="P911" s="213"/>
      <c r="Q911" s="213"/>
      <c r="R911" s="213"/>
      <c r="S911" s="213"/>
      <c r="T911" s="213"/>
      <c r="U911" s="213"/>
      <c r="V911" s="213"/>
      <c r="W911" s="213"/>
      <c r="X911" s="213"/>
      <c r="Y911" s="213"/>
      <c r="Z911" s="213"/>
      <c r="AA911" s="213"/>
      <c r="AB911" s="213"/>
      <c r="AC911" s="213"/>
      <c r="AD911" s="213"/>
      <c r="AE911" s="213"/>
      <c r="AF911" s="213"/>
      <c r="AG911" s="213"/>
      <c r="AH911" s="213"/>
      <c r="AI911" s="213"/>
      <c r="AJ911" s="213"/>
      <c r="AK911" s="213"/>
      <c r="AL911" s="213"/>
      <c r="AM911" s="213"/>
      <c r="AN911" s="300"/>
      <c r="AO911" s="301"/>
      <c r="AP911" s="285"/>
      <c r="AQ911" s="258"/>
      <c r="AR911" s="258"/>
    </row>
    <row r="912" spans="10:44" s="48" customFormat="1" hidden="1">
      <c r="J912" s="213"/>
      <c r="K912" s="213"/>
      <c r="L912" s="213"/>
      <c r="M912" s="213"/>
      <c r="N912" s="213"/>
      <c r="O912" s="213"/>
      <c r="P912" s="213"/>
      <c r="Q912" s="213"/>
      <c r="R912" s="213"/>
      <c r="S912" s="213"/>
      <c r="T912" s="213"/>
      <c r="U912" s="213"/>
      <c r="V912" s="213"/>
      <c r="W912" s="213"/>
      <c r="X912" s="213"/>
      <c r="Y912" s="213"/>
      <c r="Z912" s="213"/>
      <c r="AA912" s="213"/>
      <c r="AB912" s="213"/>
      <c r="AC912" s="213"/>
      <c r="AD912" s="213"/>
      <c r="AE912" s="213"/>
      <c r="AF912" s="213"/>
      <c r="AG912" s="213"/>
      <c r="AH912" s="213"/>
      <c r="AI912" s="213"/>
      <c r="AJ912" s="213"/>
      <c r="AK912" s="213"/>
      <c r="AL912" s="213"/>
      <c r="AM912" s="213"/>
      <c r="AN912" s="300"/>
      <c r="AO912" s="301"/>
      <c r="AP912" s="285"/>
      <c r="AQ912" s="258"/>
      <c r="AR912" s="258"/>
    </row>
    <row r="913" spans="10:44" s="48" customFormat="1" hidden="1">
      <c r="J913" s="213"/>
      <c r="K913" s="213"/>
      <c r="L913" s="213"/>
      <c r="M913" s="213"/>
      <c r="N913" s="213"/>
      <c r="O913" s="213"/>
      <c r="P913" s="213"/>
      <c r="Q913" s="213"/>
      <c r="R913" s="213"/>
      <c r="S913" s="213"/>
      <c r="T913" s="213"/>
      <c r="U913" s="213"/>
      <c r="V913" s="213"/>
      <c r="W913" s="213"/>
      <c r="X913" s="213"/>
      <c r="Y913" s="213"/>
      <c r="Z913" s="213"/>
      <c r="AA913" s="213"/>
      <c r="AB913" s="213"/>
      <c r="AC913" s="213"/>
      <c r="AD913" s="213"/>
      <c r="AE913" s="213"/>
      <c r="AF913" s="213"/>
      <c r="AG913" s="213"/>
      <c r="AH913" s="213"/>
      <c r="AI913" s="213"/>
      <c r="AJ913" s="213"/>
      <c r="AK913" s="213"/>
      <c r="AL913" s="213"/>
      <c r="AM913" s="213"/>
      <c r="AN913" s="300"/>
      <c r="AO913" s="301"/>
      <c r="AP913" s="285"/>
      <c r="AQ913" s="258"/>
      <c r="AR913" s="258"/>
    </row>
    <row r="914" spans="10:44" s="48" customFormat="1" hidden="1">
      <c r="J914" s="213"/>
      <c r="K914" s="213"/>
      <c r="L914" s="213"/>
      <c r="M914" s="213"/>
      <c r="N914" s="213"/>
      <c r="O914" s="213"/>
      <c r="P914" s="213"/>
      <c r="Q914" s="213"/>
      <c r="R914" s="213"/>
      <c r="S914" s="213"/>
      <c r="T914" s="213"/>
      <c r="U914" s="213"/>
      <c r="V914" s="213"/>
      <c r="W914" s="213"/>
      <c r="X914" s="213"/>
      <c r="Y914" s="213"/>
      <c r="Z914" s="213"/>
      <c r="AA914" s="213"/>
      <c r="AB914" s="213"/>
      <c r="AC914" s="213"/>
      <c r="AD914" s="213"/>
      <c r="AE914" s="213"/>
      <c r="AF914" s="213"/>
      <c r="AG914" s="213"/>
      <c r="AH914" s="213"/>
      <c r="AI914" s="213"/>
      <c r="AJ914" s="213"/>
      <c r="AK914" s="213"/>
      <c r="AL914" s="213"/>
      <c r="AM914" s="213"/>
      <c r="AN914" s="300"/>
      <c r="AO914" s="301"/>
      <c r="AP914" s="285"/>
      <c r="AQ914" s="258"/>
      <c r="AR914" s="258"/>
    </row>
    <row r="915" spans="10:44" s="48" customFormat="1" hidden="1">
      <c r="J915" s="213"/>
      <c r="K915" s="213"/>
      <c r="L915" s="213"/>
      <c r="M915" s="213"/>
      <c r="N915" s="213"/>
      <c r="O915" s="213"/>
      <c r="P915" s="213"/>
      <c r="Q915" s="213"/>
      <c r="R915" s="213"/>
      <c r="S915" s="213"/>
      <c r="T915" s="213"/>
      <c r="U915" s="213"/>
      <c r="V915" s="213"/>
      <c r="W915" s="213"/>
      <c r="X915" s="213"/>
      <c r="Y915" s="213"/>
      <c r="Z915" s="213"/>
      <c r="AA915" s="213"/>
      <c r="AB915" s="213"/>
      <c r="AC915" s="213"/>
      <c r="AD915" s="213"/>
      <c r="AE915" s="213"/>
      <c r="AF915" s="213"/>
      <c r="AG915" s="213"/>
      <c r="AH915" s="213"/>
      <c r="AI915" s="213"/>
      <c r="AJ915" s="213"/>
      <c r="AK915" s="213"/>
      <c r="AL915" s="213"/>
      <c r="AM915" s="213"/>
      <c r="AN915" s="300"/>
      <c r="AO915" s="301"/>
      <c r="AP915" s="285"/>
      <c r="AQ915" s="258"/>
      <c r="AR915" s="258"/>
    </row>
    <row r="916" spans="10:44" s="48" customFormat="1" hidden="1">
      <c r="J916" s="213"/>
      <c r="K916" s="213"/>
      <c r="L916" s="213"/>
      <c r="M916" s="213"/>
      <c r="N916" s="213"/>
      <c r="O916" s="213"/>
      <c r="P916" s="213"/>
      <c r="Q916" s="213"/>
      <c r="R916" s="213"/>
      <c r="S916" s="213"/>
      <c r="T916" s="213"/>
      <c r="U916" s="213"/>
      <c r="V916" s="213"/>
      <c r="W916" s="213"/>
      <c r="X916" s="213"/>
      <c r="Y916" s="213"/>
      <c r="Z916" s="213"/>
      <c r="AA916" s="213"/>
      <c r="AB916" s="213"/>
      <c r="AC916" s="213"/>
      <c r="AD916" s="213"/>
      <c r="AE916" s="213"/>
      <c r="AF916" s="213"/>
      <c r="AG916" s="213"/>
      <c r="AH916" s="213"/>
      <c r="AI916" s="213"/>
      <c r="AJ916" s="213"/>
      <c r="AK916" s="213"/>
      <c r="AL916" s="213"/>
      <c r="AM916" s="213"/>
      <c r="AN916" s="300"/>
      <c r="AO916" s="301"/>
      <c r="AP916" s="285"/>
      <c r="AQ916" s="258"/>
      <c r="AR916" s="258"/>
    </row>
    <row r="917" spans="10:44" s="48" customFormat="1" hidden="1">
      <c r="J917" s="213"/>
      <c r="K917" s="213"/>
      <c r="L917" s="213"/>
      <c r="M917" s="213"/>
      <c r="N917" s="213"/>
      <c r="O917" s="213"/>
      <c r="P917" s="213"/>
      <c r="Q917" s="213"/>
      <c r="R917" s="213"/>
      <c r="S917" s="213"/>
      <c r="T917" s="213"/>
      <c r="U917" s="213"/>
      <c r="V917" s="213"/>
      <c r="W917" s="213"/>
      <c r="X917" s="213"/>
      <c r="Y917" s="213"/>
      <c r="Z917" s="213"/>
      <c r="AA917" s="213"/>
      <c r="AB917" s="213"/>
      <c r="AC917" s="213"/>
      <c r="AD917" s="213"/>
      <c r="AE917" s="213"/>
      <c r="AF917" s="213"/>
      <c r="AG917" s="213"/>
      <c r="AH917" s="213"/>
      <c r="AI917" s="213"/>
      <c r="AJ917" s="213"/>
      <c r="AK917" s="213"/>
      <c r="AL917" s="213"/>
      <c r="AM917" s="213"/>
      <c r="AN917" s="300"/>
      <c r="AO917" s="301"/>
      <c r="AP917" s="285"/>
      <c r="AQ917" s="258"/>
      <c r="AR917" s="258"/>
    </row>
    <row r="918" spans="10:44" s="48" customFormat="1" hidden="1">
      <c r="J918" s="213"/>
      <c r="K918" s="213"/>
      <c r="L918" s="213"/>
      <c r="M918" s="213"/>
      <c r="N918" s="213"/>
      <c r="O918" s="213"/>
      <c r="P918" s="213"/>
      <c r="Q918" s="213"/>
      <c r="R918" s="213"/>
      <c r="S918" s="213"/>
      <c r="T918" s="213"/>
      <c r="U918" s="213"/>
      <c r="V918" s="213"/>
      <c r="W918" s="213"/>
      <c r="X918" s="213"/>
      <c r="Y918" s="213"/>
      <c r="Z918" s="213"/>
      <c r="AA918" s="213"/>
      <c r="AB918" s="213"/>
      <c r="AC918" s="213"/>
      <c r="AD918" s="213"/>
      <c r="AE918" s="213"/>
      <c r="AF918" s="213"/>
      <c r="AG918" s="213"/>
      <c r="AH918" s="213"/>
      <c r="AI918" s="213"/>
      <c r="AJ918" s="213"/>
      <c r="AK918" s="213"/>
      <c r="AL918" s="213"/>
      <c r="AM918" s="213"/>
      <c r="AN918" s="492" t="str">
        <f>IF(TEMPLATE_CLAIM="P","30.1","")</f>
        <v/>
      </c>
      <c r="AO918" s="493" t="str">
        <f>IF(TEMPLATE_CLAIM="P","Базовый уровень операционных расходов, тыс.руб.","")</f>
        <v/>
      </c>
      <c r="AP918" s="254"/>
      <c r="AQ918" s="258"/>
      <c r="AR918" s="258"/>
    </row>
    <row r="919" spans="10:44" s="48" customFormat="1" hidden="1">
      <c r="J919" s="213"/>
      <c r="K919" s="213"/>
      <c r="L919" s="213"/>
      <c r="M919" s="213"/>
      <c r="N919" s="213"/>
      <c r="O919" s="213"/>
      <c r="P919" s="213"/>
      <c r="Q919" s="213"/>
      <c r="R919" s="213"/>
      <c r="S919" s="213"/>
      <c r="T919" s="213"/>
      <c r="U919" s="213"/>
      <c r="V919" s="213"/>
      <c r="W919" s="213"/>
      <c r="X919" s="213"/>
      <c r="Y919" s="213"/>
      <c r="Z919" s="213"/>
      <c r="AA919" s="213"/>
      <c r="AB919" s="213"/>
      <c r="AC919" s="213"/>
      <c r="AD919" s="213"/>
      <c r="AE919" s="213"/>
      <c r="AF919" s="213"/>
      <c r="AG919" s="213"/>
      <c r="AH919" s="213"/>
      <c r="AI919" s="213"/>
      <c r="AJ919" s="213"/>
      <c r="AK919" s="213"/>
      <c r="AL919" s="213"/>
      <c r="AM919" s="213"/>
      <c r="AN919" s="492" t="str">
        <f>IF(TEMPLATE_CLAIM="P","30.2","")</f>
        <v/>
      </c>
      <c r="AO919" s="493" t="str">
        <f>IF(TEMPLATE_CLAIM="P","Индекс эффективности операционных расходов, %","")</f>
        <v/>
      </c>
      <c r="AP919" s="254"/>
      <c r="AQ919" s="258"/>
      <c r="AR919" s="258"/>
    </row>
    <row r="920" spans="10:44" s="48" customFormat="1" hidden="1">
      <c r="J920" s="213"/>
      <c r="K920" s="213"/>
      <c r="L920" s="213"/>
      <c r="M920" s="213"/>
      <c r="N920" s="213"/>
      <c r="O920" s="213"/>
      <c r="P920" s="213"/>
      <c r="Q920" s="213"/>
      <c r="R920" s="213"/>
      <c r="S920" s="213"/>
      <c r="T920" s="213"/>
      <c r="U920" s="213"/>
      <c r="V920" s="213"/>
      <c r="W920" s="213"/>
      <c r="X920" s="213"/>
      <c r="Y920" s="213"/>
      <c r="Z920" s="213"/>
      <c r="AA920" s="213"/>
      <c r="AB920" s="213"/>
      <c r="AC920" s="213"/>
      <c r="AD920" s="213"/>
      <c r="AE920" s="213"/>
      <c r="AF920" s="213"/>
      <c r="AG920" s="213"/>
      <c r="AH920" s="213"/>
      <c r="AI920" s="213"/>
      <c r="AJ920" s="213"/>
      <c r="AK920" s="213"/>
      <c r="AL920" s="213"/>
      <c r="AM920" s="213"/>
      <c r="AN920" s="492" t="str">
        <f>IF(TEMPLATE_CLAIM="P","30.3","")</f>
        <v/>
      </c>
      <c r="AO920" s="493" t="str">
        <f>IF(TEMPLATE_CLAIM="P","Размер инвестированного капитала, тыс.руб.","")</f>
        <v/>
      </c>
      <c r="AP920" s="254"/>
      <c r="AQ920" s="258"/>
      <c r="AR920" s="258"/>
    </row>
    <row r="921" spans="10:44" s="48" customFormat="1" hidden="1">
      <c r="J921" s="213"/>
      <c r="K921" s="213"/>
      <c r="L921" s="213"/>
      <c r="M921" s="213"/>
      <c r="N921" s="213"/>
      <c r="O921" s="213"/>
      <c r="P921" s="213"/>
      <c r="Q921" s="213"/>
      <c r="R921" s="213"/>
      <c r="S921" s="213"/>
      <c r="T921" s="213"/>
      <c r="U921" s="213"/>
      <c r="V921" s="213"/>
      <c r="W921" s="213"/>
      <c r="X921" s="213"/>
      <c r="Y921" s="213"/>
      <c r="Z921" s="213"/>
      <c r="AA921" s="213"/>
      <c r="AB921" s="213"/>
      <c r="AC921" s="213"/>
      <c r="AD921" s="213"/>
      <c r="AE921" s="213"/>
      <c r="AF921" s="213"/>
      <c r="AG921" s="213"/>
      <c r="AH921" s="213"/>
      <c r="AI921" s="213"/>
      <c r="AJ921" s="213"/>
      <c r="AK921" s="213"/>
      <c r="AL921" s="213"/>
      <c r="AM921" s="213"/>
      <c r="AN921" s="492" t="str">
        <f>IF(TEMPLATE_CLAIM="P","30.4","")</f>
        <v/>
      </c>
      <c r="AO921" s="493" t="str">
        <f>IF(TEMPLATE_CLAIM="P","Чистый оборотный капитал, тыс.руб.","")</f>
        <v/>
      </c>
      <c r="AP921" s="254"/>
      <c r="AQ921" s="258"/>
      <c r="AR921" s="258"/>
    </row>
    <row r="922" spans="10:44" s="48" customFormat="1" hidden="1">
      <c r="J922" s="213"/>
      <c r="K922" s="213"/>
      <c r="L922" s="213"/>
      <c r="M922" s="213"/>
      <c r="N922" s="213"/>
      <c r="O922" s="213"/>
      <c r="P922" s="213"/>
      <c r="Q922" s="213"/>
      <c r="R922" s="213"/>
      <c r="S922" s="213"/>
      <c r="T922" s="213"/>
      <c r="U922" s="213"/>
      <c r="V922" s="213"/>
      <c r="W922" s="213"/>
      <c r="X922" s="213"/>
      <c r="Y922" s="213"/>
      <c r="Z922" s="213"/>
      <c r="AA922" s="213"/>
      <c r="AB922" s="213"/>
      <c r="AC922" s="213"/>
      <c r="AD922" s="213"/>
      <c r="AE922" s="213"/>
      <c r="AF922" s="213"/>
      <c r="AG922" s="213"/>
      <c r="AH922" s="213"/>
      <c r="AI922" s="213"/>
      <c r="AJ922" s="213"/>
      <c r="AK922" s="213"/>
      <c r="AL922" s="213"/>
      <c r="AM922" s="213"/>
      <c r="AN922" s="492" t="str">
        <f>IF(TEMPLATE_CLAIM="P","30.5","")</f>
        <v/>
      </c>
      <c r="AO922" s="493" t="str">
        <f>IF(TEMPLATE_CLAIM="P","Норма доходности на инвестированный капитал (НДi), %","")</f>
        <v/>
      </c>
      <c r="AP922" s="254"/>
      <c r="AQ922" s="258"/>
      <c r="AR922" s="258"/>
    </row>
    <row r="923" spans="10:44" s="48" customFormat="1" hidden="1">
      <c r="J923" s="213"/>
      <c r="K923" s="213"/>
      <c r="L923" s="213"/>
      <c r="M923" s="213"/>
      <c r="N923" s="213"/>
      <c r="O923" s="213"/>
      <c r="P923" s="213"/>
      <c r="Q923" s="213"/>
      <c r="R923" s="213"/>
      <c r="S923" s="213"/>
      <c r="T923" s="213"/>
      <c r="U923" s="213"/>
      <c r="V923" s="213"/>
      <c r="W923" s="213"/>
      <c r="X923" s="213"/>
      <c r="Y923" s="213"/>
      <c r="Z923" s="213"/>
      <c r="AA923" s="213"/>
      <c r="AB923" s="213"/>
      <c r="AC923" s="213"/>
      <c r="AD923" s="213"/>
      <c r="AE923" s="213"/>
      <c r="AF923" s="213"/>
      <c r="AG923" s="213"/>
      <c r="AH923" s="213"/>
      <c r="AI923" s="213"/>
      <c r="AJ923" s="213"/>
      <c r="AK923" s="213"/>
      <c r="AL923" s="213"/>
      <c r="AM923" s="213"/>
      <c r="AN923" s="492" t="str">
        <f>IF(TEMPLATE_CLAIM="P","30.6","")</f>
        <v/>
      </c>
      <c r="AO923" s="493" t="str">
        <f>IF(TEMPLATE_CLAIM="P","Норма доходности (НДi), %","")</f>
        <v/>
      </c>
      <c r="AP923" s="254"/>
      <c r="AQ923" s="258"/>
      <c r="AR923" s="258"/>
    </row>
    <row r="924" spans="10:44" s="48" customFormat="1" hidden="1">
      <c r="J924" s="213"/>
      <c r="K924" s="213"/>
      <c r="L924" s="213"/>
      <c r="M924" s="213"/>
      <c r="N924" s="213"/>
      <c r="O924" s="213"/>
      <c r="P924" s="213"/>
      <c r="Q924" s="213"/>
      <c r="R924" s="213"/>
      <c r="S924" s="213"/>
      <c r="T924" s="213"/>
      <c r="U924" s="213"/>
      <c r="V924" s="213"/>
      <c r="W924" s="213"/>
      <c r="X924" s="213"/>
      <c r="Y924" s="213"/>
      <c r="Z924" s="213"/>
      <c r="AA924" s="213"/>
      <c r="AB924" s="213"/>
      <c r="AC924" s="213"/>
      <c r="AD924" s="213"/>
      <c r="AE924" s="213"/>
      <c r="AF924" s="213"/>
      <c r="AG924" s="213"/>
      <c r="AH924" s="213"/>
      <c r="AI924" s="213"/>
      <c r="AJ924" s="213"/>
      <c r="AK924" s="213"/>
      <c r="AL924" s="213"/>
      <c r="AM924" s="213"/>
      <c r="AN924" s="492" t="str">
        <f>IF(TEMPLATE_CLAIM="P","30.7","")</f>
        <v/>
      </c>
      <c r="AO924" s="493" t="str">
        <f>IF(TEMPLATE_CLAIM="P","Срок возврата инвестированного капитала, лет","")</f>
        <v/>
      </c>
      <c r="AP924" s="254"/>
      <c r="AQ924" s="258"/>
      <c r="AR924" s="258"/>
    </row>
    <row r="925" spans="10:44" s="48" customFormat="1" hidden="1">
      <c r="J925" s="213"/>
      <c r="K925" s="213"/>
      <c r="L925" s="213"/>
      <c r="M925" s="213"/>
      <c r="N925" s="213"/>
      <c r="O925" s="213"/>
      <c r="P925" s="213"/>
      <c r="Q925" s="213"/>
      <c r="R925" s="213"/>
      <c r="S925" s="213"/>
      <c r="T925" s="213"/>
      <c r="U925" s="213"/>
      <c r="V925" s="213"/>
      <c r="W925" s="213"/>
      <c r="X925" s="213"/>
      <c r="Y925" s="213"/>
      <c r="Z925" s="213"/>
      <c r="AA925" s="213"/>
      <c r="AB925" s="213"/>
      <c r="AC925" s="213"/>
      <c r="AD925" s="213"/>
      <c r="AE925" s="213"/>
      <c r="AF925" s="213"/>
      <c r="AG925" s="213"/>
      <c r="AH925" s="213"/>
      <c r="AI925" s="213"/>
      <c r="AJ925" s="213"/>
      <c r="AK925" s="213"/>
      <c r="AL925" s="213"/>
      <c r="AM925" s="213"/>
      <c r="AN925" s="492" t="str">
        <f>IF(TEMPLATE_CLAIM="P","30.8","")</f>
        <v/>
      </c>
      <c r="AO925" s="494" t="str">
        <f>IF(TEMPLATE_CLAIM="P","Уровень надежности и качества реализуемых товаров (услуг)","")</f>
        <v/>
      </c>
      <c r="AP925" s="254"/>
      <c r="AQ925" s="258"/>
      <c r="AR925" s="258"/>
    </row>
    <row r="926" spans="10:44" s="48" customFormat="1" ht="12" hidden="1" customHeight="1">
      <c r="J926" s="213"/>
      <c r="K926" s="213"/>
      <c r="L926" s="213"/>
      <c r="M926" s="213"/>
      <c r="N926" s="213"/>
      <c r="O926" s="213"/>
      <c r="P926" s="213"/>
      <c r="Q926" s="213"/>
      <c r="R926" s="213"/>
      <c r="S926" s="213"/>
      <c r="T926" s="213"/>
      <c r="U926" s="213"/>
      <c r="V926" s="213"/>
      <c r="W926" s="213"/>
      <c r="X926" s="213"/>
      <c r="Y926" s="213"/>
      <c r="Z926" s="213"/>
      <c r="AA926" s="213"/>
      <c r="AB926" s="213"/>
      <c r="AC926" s="213"/>
      <c r="AD926" s="213"/>
      <c r="AE926" s="213"/>
      <c r="AF926" s="213"/>
      <c r="AG926" s="213"/>
      <c r="AH926" s="213"/>
      <c r="AI926" s="213"/>
      <c r="AJ926" s="213"/>
      <c r="AK926" s="213"/>
      <c r="AL926" s="213"/>
      <c r="AM926" s="213"/>
      <c r="AN926" s="302"/>
      <c r="AO926" s="303"/>
      <c r="AP926" s="285"/>
      <c r="AQ926" s="258"/>
      <c r="AR926" s="258"/>
    </row>
    <row r="927" spans="10:44" s="48" customFormat="1" ht="12" hidden="1" customHeight="1">
      <c r="J927" s="213"/>
      <c r="K927" s="213"/>
      <c r="L927" s="213"/>
      <c r="M927" s="213"/>
      <c r="N927" s="213"/>
      <c r="O927" s="213"/>
      <c r="P927" s="213"/>
      <c r="Q927" s="213"/>
      <c r="R927" s="213"/>
      <c r="S927" s="213"/>
      <c r="T927" s="213"/>
      <c r="U927" s="213"/>
      <c r="V927" s="213"/>
      <c r="W927" s="213"/>
      <c r="X927" s="213"/>
      <c r="Y927" s="213"/>
      <c r="Z927" s="213"/>
      <c r="AA927" s="213"/>
      <c r="AB927" s="213"/>
      <c r="AC927" s="213"/>
      <c r="AD927" s="213"/>
      <c r="AE927" s="213"/>
      <c r="AF927" s="213"/>
      <c r="AG927" s="213"/>
      <c r="AH927" s="213"/>
      <c r="AI927" s="213"/>
      <c r="AJ927" s="213"/>
      <c r="AK927" s="213"/>
      <c r="AL927" s="213"/>
      <c r="AM927" s="213"/>
      <c r="AN927" s="302"/>
      <c r="AO927" s="303"/>
      <c r="AP927" s="285"/>
      <c r="AQ927" s="258"/>
      <c r="AR927" s="258"/>
    </row>
    <row r="928" spans="10:44" s="48" customFormat="1" ht="12" hidden="1" customHeight="1">
      <c r="J928" s="213"/>
      <c r="K928" s="213"/>
      <c r="L928" s="213"/>
      <c r="M928" s="213"/>
      <c r="N928" s="213"/>
      <c r="O928" s="213"/>
      <c r="P928" s="213"/>
      <c r="Q928" s="213"/>
      <c r="R928" s="213"/>
      <c r="S928" s="213"/>
      <c r="T928" s="213"/>
      <c r="U928" s="213"/>
      <c r="V928" s="213"/>
      <c r="W928" s="213"/>
      <c r="X928" s="213"/>
      <c r="Y928" s="213"/>
      <c r="Z928" s="213"/>
      <c r="AA928" s="213"/>
      <c r="AB928" s="213"/>
      <c r="AC928" s="213"/>
      <c r="AD928" s="213"/>
      <c r="AE928" s="213"/>
      <c r="AF928" s="213"/>
      <c r="AG928" s="213"/>
      <c r="AH928" s="213"/>
      <c r="AI928" s="213"/>
      <c r="AJ928" s="213"/>
      <c r="AK928" s="213"/>
      <c r="AL928" s="213"/>
      <c r="AM928" s="213"/>
      <c r="AN928" s="302"/>
      <c r="AO928" s="303"/>
      <c r="AP928" s="285"/>
      <c r="AQ928" s="258"/>
      <c r="AR928" s="258"/>
    </row>
    <row r="929" spans="10:44" s="48" customFormat="1" ht="12" hidden="1" customHeight="1">
      <c r="J929" s="213"/>
      <c r="K929" s="213"/>
      <c r="L929" s="213"/>
      <c r="M929" s="213"/>
      <c r="N929" s="213"/>
      <c r="O929" s="213"/>
      <c r="P929" s="213"/>
      <c r="Q929" s="213"/>
      <c r="R929" s="213"/>
      <c r="S929" s="213"/>
      <c r="T929" s="213"/>
      <c r="U929" s="213"/>
      <c r="V929" s="213"/>
      <c r="W929" s="213"/>
      <c r="X929" s="213"/>
      <c r="Y929" s="213"/>
      <c r="Z929" s="213"/>
      <c r="AA929" s="213"/>
      <c r="AB929" s="213"/>
      <c r="AC929" s="213"/>
      <c r="AD929" s="213"/>
      <c r="AE929" s="213"/>
      <c r="AF929" s="213"/>
      <c r="AG929" s="213"/>
      <c r="AH929" s="213"/>
      <c r="AI929" s="213"/>
      <c r="AJ929" s="213"/>
      <c r="AK929" s="213"/>
      <c r="AL929" s="213"/>
      <c r="AM929" s="213"/>
      <c r="AN929" s="302"/>
      <c r="AO929" s="303"/>
      <c r="AP929" s="285"/>
      <c r="AQ929" s="258"/>
      <c r="AR929" s="258"/>
    </row>
    <row r="930" spans="10:44" s="48" customFormat="1" ht="12" hidden="1" customHeight="1">
      <c r="J930" s="213"/>
      <c r="K930" s="213"/>
      <c r="L930" s="213"/>
      <c r="M930" s="213"/>
      <c r="N930" s="213"/>
      <c r="O930" s="213"/>
      <c r="P930" s="213"/>
      <c r="Q930" s="213"/>
      <c r="R930" s="213"/>
      <c r="S930" s="213"/>
      <c r="T930" s="213"/>
      <c r="U930" s="213"/>
      <c r="V930" s="213"/>
      <c r="W930" s="213"/>
      <c r="X930" s="213"/>
      <c r="Y930" s="213"/>
      <c r="Z930" s="213"/>
      <c r="AA930" s="213"/>
      <c r="AB930" s="213"/>
      <c r="AC930" s="213"/>
      <c r="AD930" s="213"/>
      <c r="AE930" s="213"/>
      <c r="AF930" s="213"/>
      <c r="AG930" s="213"/>
      <c r="AH930" s="213"/>
      <c r="AI930" s="213"/>
      <c r="AJ930" s="213"/>
      <c r="AK930" s="213"/>
      <c r="AL930" s="213"/>
      <c r="AM930" s="213"/>
      <c r="AN930" s="302"/>
      <c r="AO930" s="303"/>
      <c r="AP930" s="285"/>
      <c r="AQ930" s="258"/>
      <c r="AR930" s="258"/>
    </row>
    <row r="931" spans="10:44" s="48" customFormat="1" ht="12" hidden="1" customHeight="1">
      <c r="J931" s="213"/>
      <c r="K931" s="213"/>
      <c r="L931" s="213"/>
      <c r="M931" s="213"/>
      <c r="N931" s="213"/>
      <c r="O931" s="213"/>
      <c r="P931" s="213"/>
      <c r="Q931" s="213"/>
      <c r="R931" s="213"/>
      <c r="S931" s="213"/>
      <c r="T931" s="213"/>
      <c r="U931" s="213"/>
      <c r="V931" s="213"/>
      <c r="W931" s="213"/>
      <c r="X931" s="213"/>
      <c r="Y931" s="213"/>
      <c r="Z931" s="213"/>
      <c r="AA931" s="213"/>
      <c r="AB931" s="213"/>
      <c r="AC931" s="213"/>
      <c r="AD931" s="213"/>
      <c r="AE931" s="213"/>
      <c r="AF931" s="213"/>
      <c r="AG931" s="213"/>
      <c r="AH931" s="213"/>
      <c r="AI931" s="213"/>
      <c r="AJ931" s="213"/>
      <c r="AK931" s="213"/>
      <c r="AL931" s="213"/>
      <c r="AM931" s="213"/>
      <c r="AN931" s="302"/>
      <c r="AO931" s="303"/>
      <c r="AP931" s="285"/>
      <c r="AQ931" s="258"/>
      <c r="AR931" s="258"/>
    </row>
    <row r="932" spans="10:44" s="48" customFormat="1" ht="12" hidden="1" customHeight="1">
      <c r="J932" s="213"/>
      <c r="K932" s="213"/>
      <c r="L932" s="213"/>
      <c r="M932" s="213"/>
      <c r="N932" s="213"/>
      <c r="O932" s="213"/>
      <c r="P932" s="213"/>
      <c r="Q932" s="213"/>
      <c r="R932" s="213"/>
      <c r="S932" s="213"/>
      <c r="T932" s="213"/>
      <c r="U932" s="213"/>
      <c r="V932" s="213"/>
      <c r="W932" s="213"/>
      <c r="X932" s="213"/>
      <c r="Y932" s="213"/>
      <c r="Z932" s="213"/>
      <c r="AA932" s="213"/>
      <c r="AB932" s="213"/>
      <c r="AC932" s="213"/>
      <c r="AD932" s="213"/>
      <c r="AE932" s="213"/>
      <c r="AF932" s="213"/>
      <c r="AG932" s="213"/>
      <c r="AH932" s="213"/>
      <c r="AI932" s="213"/>
      <c r="AJ932" s="213"/>
      <c r="AK932" s="213"/>
      <c r="AL932" s="213"/>
      <c r="AM932" s="213"/>
      <c r="AN932" s="302"/>
      <c r="AO932" s="303"/>
      <c r="AP932" s="285"/>
      <c r="AQ932" s="258"/>
      <c r="AR932" s="258"/>
    </row>
    <row r="933" spans="10:44" s="48" customFormat="1" ht="12" hidden="1" customHeight="1">
      <c r="J933" s="213"/>
      <c r="K933" s="213"/>
      <c r="L933" s="213"/>
      <c r="M933" s="213"/>
      <c r="N933" s="213"/>
      <c r="O933" s="213"/>
      <c r="P933" s="213"/>
      <c r="Q933" s="213"/>
      <c r="R933" s="213"/>
      <c r="S933" s="213"/>
      <c r="T933" s="213"/>
      <c r="U933" s="213"/>
      <c r="V933" s="213"/>
      <c r="W933" s="213"/>
      <c r="X933" s="213"/>
      <c r="Y933" s="213"/>
      <c r="Z933" s="213"/>
      <c r="AA933" s="213"/>
      <c r="AB933" s="213"/>
      <c r="AC933" s="213"/>
      <c r="AD933" s="213"/>
      <c r="AE933" s="213"/>
      <c r="AF933" s="213"/>
      <c r="AG933" s="213"/>
      <c r="AH933" s="213"/>
      <c r="AI933" s="213"/>
      <c r="AJ933" s="213"/>
      <c r="AK933" s="213"/>
      <c r="AL933" s="213"/>
      <c r="AM933" s="213"/>
      <c r="AN933" s="302"/>
      <c r="AO933" s="303"/>
      <c r="AP933" s="285"/>
      <c r="AQ933" s="258"/>
      <c r="AR933" s="258"/>
    </row>
    <row r="934" spans="10:44" s="48" customFormat="1" ht="12" hidden="1" customHeight="1">
      <c r="J934" s="213"/>
      <c r="K934" s="213"/>
      <c r="L934" s="213"/>
      <c r="M934" s="213"/>
      <c r="N934" s="213"/>
      <c r="O934" s="213"/>
      <c r="P934" s="213"/>
      <c r="Q934" s="213"/>
      <c r="R934" s="213"/>
      <c r="S934" s="213"/>
      <c r="T934" s="213"/>
      <c r="U934" s="213"/>
      <c r="V934" s="213"/>
      <c r="W934" s="213"/>
      <c r="X934" s="213"/>
      <c r="Y934" s="213"/>
      <c r="Z934" s="213"/>
      <c r="AA934" s="213"/>
      <c r="AB934" s="213"/>
      <c r="AC934" s="213"/>
      <c r="AD934" s="213"/>
      <c r="AE934" s="213"/>
      <c r="AF934" s="213"/>
      <c r="AG934" s="213"/>
      <c r="AH934" s="213"/>
      <c r="AI934" s="213"/>
      <c r="AJ934" s="213"/>
      <c r="AK934" s="213"/>
      <c r="AL934" s="213"/>
      <c r="AM934" s="213"/>
      <c r="AN934" s="302"/>
      <c r="AO934" s="303"/>
      <c r="AP934" s="285"/>
      <c r="AQ934" s="258"/>
      <c r="AR934" s="258"/>
    </row>
    <row r="935" spans="10:44" s="48" customFormat="1" ht="12" hidden="1" customHeight="1">
      <c r="J935" s="213"/>
      <c r="K935" s="213"/>
      <c r="L935" s="213"/>
      <c r="M935" s="213"/>
      <c r="N935" s="213"/>
      <c r="O935" s="213"/>
      <c r="P935" s="213"/>
      <c r="Q935" s="213"/>
      <c r="R935" s="213"/>
      <c r="S935" s="213"/>
      <c r="T935" s="213"/>
      <c r="U935" s="213"/>
      <c r="V935" s="213"/>
      <c r="W935" s="213"/>
      <c r="X935" s="213"/>
      <c r="Y935" s="213"/>
      <c r="Z935" s="213"/>
      <c r="AA935" s="213"/>
      <c r="AB935" s="213"/>
      <c r="AC935" s="213"/>
      <c r="AD935" s="213"/>
      <c r="AE935" s="213"/>
      <c r="AF935" s="213"/>
      <c r="AG935" s="213"/>
      <c r="AH935" s="213"/>
      <c r="AI935" s="213"/>
      <c r="AJ935" s="213"/>
      <c r="AK935" s="213"/>
      <c r="AL935" s="213"/>
      <c r="AM935" s="213"/>
      <c r="AN935" s="302"/>
      <c r="AO935" s="303"/>
      <c r="AP935" s="285"/>
      <c r="AQ935" s="258"/>
      <c r="AR935" s="258"/>
    </row>
    <row r="936" spans="10:44" s="48" customFormat="1" ht="12" hidden="1" customHeight="1">
      <c r="J936" s="213"/>
      <c r="K936" s="213"/>
      <c r="L936" s="213"/>
      <c r="M936" s="213"/>
      <c r="N936" s="213"/>
      <c r="O936" s="213"/>
      <c r="P936" s="213"/>
      <c r="Q936" s="213"/>
      <c r="R936" s="213"/>
      <c r="S936" s="213"/>
      <c r="T936" s="213"/>
      <c r="U936" s="213"/>
      <c r="V936" s="213"/>
      <c r="W936" s="213"/>
      <c r="X936" s="213"/>
      <c r="Y936" s="213"/>
      <c r="Z936" s="213"/>
      <c r="AA936" s="213"/>
      <c r="AB936" s="213"/>
      <c r="AC936" s="213"/>
      <c r="AD936" s="213"/>
      <c r="AE936" s="213"/>
      <c r="AF936" s="213"/>
      <c r="AG936" s="213"/>
      <c r="AH936" s="213"/>
      <c r="AI936" s="213"/>
      <c r="AJ936" s="213"/>
      <c r="AK936" s="213"/>
      <c r="AL936" s="213"/>
      <c r="AM936" s="213"/>
      <c r="AN936" s="302"/>
      <c r="AO936" s="303"/>
      <c r="AP936" s="285"/>
      <c r="AQ936" s="258"/>
      <c r="AR936" s="258"/>
    </row>
    <row r="937" spans="10:44" s="48" customFormat="1" ht="12" hidden="1" customHeight="1">
      <c r="J937" s="213"/>
      <c r="K937" s="213"/>
      <c r="L937" s="213"/>
      <c r="M937" s="213"/>
      <c r="N937" s="213"/>
      <c r="O937" s="213"/>
      <c r="P937" s="213"/>
      <c r="Q937" s="213"/>
      <c r="R937" s="213"/>
      <c r="S937" s="213"/>
      <c r="T937" s="213"/>
      <c r="U937" s="213"/>
      <c r="V937" s="213"/>
      <c r="W937" s="213"/>
      <c r="X937" s="213"/>
      <c r="Y937" s="213"/>
      <c r="Z937" s="213"/>
      <c r="AA937" s="213"/>
      <c r="AB937" s="213"/>
      <c r="AC937" s="213"/>
      <c r="AD937" s="213"/>
      <c r="AE937" s="213"/>
      <c r="AF937" s="213"/>
      <c r="AG937" s="213"/>
      <c r="AH937" s="213"/>
      <c r="AI937" s="213"/>
      <c r="AJ937" s="213"/>
      <c r="AK937" s="213"/>
      <c r="AL937" s="213"/>
      <c r="AM937" s="213"/>
      <c r="AN937" s="302"/>
      <c r="AO937" s="303"/>
      <c r="AP937" s="285"/>
      <c r="AQ937" s="258"/>
      <c r="AR937" s="258"/>
    </row>
    <row r="938" spans="10:44" s="48" customFormat="1" ht="12" hidden="1" customHeight="1">
      <c r="J938" s="213"/>
      <c r="K938" s="213"/>
      <c r="L938" s="213"/>
      <c r="M938" s="213"/>
      <c r="N938" s="213"/>
      <c r="O938" s="213"/>
      <c r="P938" s="213"/>
      <c r="Q938" s="213"/>
      <c r="R938" s="213"/>
      <c r="S938" s="213"/>
      <c r="T938" s="213"/>
      <c r="U938" s="213"/>
      <c r="V938" s="213"/>
      <c r="W938" s="213"/>
      <c r="X938" s="213"/>
      <c r="Y938" s="213"/>
      <c r="Z938" s="213"/>
      <c r="AA938" s="213"/>
      <c r="AB938" s="213"/>
      <c r="AC938" s="213"/>
      <c r="AD938" s="213"/>
      <c r="AE938" s="213"/>
      <c r="AF938" s="213"/>
      <c r="AG938" s="213"/>
      <c r="AH938" s="213"/>
      <c r="AI938" s="213"/>
      <c r="AJ938" s="213"/>
      <c r="AK938" s="213"/>
      <c r="AL938" s="213"/>
      <c r="AM938" s="213"/>
      <c r="AN938" s="302"/>
      <c r="AO938" s="303"/>
      <c r="AP938" s="285"/>
      <c r="AQ938" s="258"/>
      <c r="AR938" s="258"/>
    </row>
    <row r="939" spans="10:44" s="48" customFormat="1" ht="12" hidden="1" customHeight="1">
      <c r="J939" s="213"/>
      <c r="K939" s="213"/>
      <c r="L939" s="213"/>
      <c r="M939" s="213"/>
      <c r="N939" s="213"/>
      <c r="O939" s="213"/>
      <c r="P939" s="213"/>
      <c r="Q939" s="213"/>
      <c r="R939" s="213"/>
      <c r="S939" s="213"/>
      <c r="T939" s="213"/>
      <c r="U939" s="213"/>
      <c r="V939" s="213"/>
      <c r="W939" s="213"/>
      <c r="X939" s="213"/>
      <c r="Y939" s="213"/>
      <c r="Z939" s="213"/>
      <c r="AA939" s="213"/>
      <c r="AB939" s="213"/>
      <c r="AC939" s="213"/>
      <c r="AD939" s="213"/>
      <c r="AE939" s="213"/>
      <c r="AF939" s="213"/>
      <c r="AG939" s="213"/>
      <c r="AH939" s="213"/>
      <c r="AI939" s="213"/>
      <c r="AJ939" s="213"/>
      <c r="AK939" s="213"/>
      <c r="AL939" s="213"/>
      <c r="AM939" s="213"/>
      <c r="AN939" s="302"/>
      <c r="AO939" s="303"/>
      <c r="AP939" s="285"/>
      <c r="AQ939" s="258"/>
      <c r="AR939" s="258"/>
    </row>
    <row r="940" spans="10:44" s="48" customFormat="1" ht="12" hidden="1" customHeight="1">
      <c r="J940" s="213"/>
      <c r="K940" s="213"/>
      <c r="L940" s="213"/>
      <c r="M940" s="213"/>
      <c r="N940" s="213"/>
      <c r="O940" s="213"/>
      <c r="P940" s="213"/>
      <c r="Q940" s="213"/>
      <c r="R940" s="213"/>
      <c r="S940" s="213"/>
      <c r="T940" s="213"/>
      <c r="U940" s="213"/>
      <c r="V940" s="213"/>
      <c r="W940" s="213"/>
      <c r="X940" s="213"/>
      <c r="Y940" s="213"/>
      <c r="Z940" s="213"/>
      <c r="AA940" s="213"/>
      <c r="AB940" s="213"/>
      <c r="AC940" s="213"/>
      <c r="AD940" s="213"/>
      <c r="AE940" s="213"/>
      <c r="AF940" s="213"/>
      <c r="AG940" s="213"/>
      <c r="AH940" s="213"/>
      <c r="AI940" s="213"/>
      <c r="AJ940" s="213"/>
      <c r="AK940" s="213"/>
      <c r="AL940" s="213"/>
      <c r="AM940" s="213"/>
      <c r="AN940" s="302"/>
      <c r="AO940" s="303"/>
      <c r="AP940" s="285"/>
      <c r="AQ940" s="258"/>
      <c r="AR940" s="258"/>
    </row>
    <row r="941" spans="10:44" s="48" customFormat="1" ht="12" hidden="1" customHeight="1">
      <c r="J941" s="213"/>
      <c r="K941" s="213"/>
      <c r="L941" s="213"/>
      <c r="M941" s="213"/>
      <c r="N941" s="213"/>
      <c r="O941" s="213"/>
      <c r="P941" s="213"/>
      <c r="Q941" s="213"/>
      <c r="R941" s="213"/>
      <c r="S941" s="213"/>
      <c r="T941" s="213"/>
      <c r="U941" s="213"/>
      <c r="V941" s="213"/>
      <c r="W941" s="213"/>
      <c r="X941" s="213"/>
      <c r="Y941" s="213"/>
      <c r="Z941" s="213"/>
      <c r="AA941" s="213"/>
      <c r="AB941" s="213"/>
      <c r="AC941" s="213"/>
      <c r="AD941" s="213"/>
      <c r="AE941" s="213"/>
      <c r="AF941" s="213"/>
      <c r="AG941" s="213"/>
      <c r="AH941" s="213"/>
      <c r="AI941" s="213"/>
      <c r="AJ941" s="213"/>
      <c r="AK941" s="213"/>
      <c r="AL941" s="213"/>
      <c r="AM941" s="213"/>
      <c r="AN941" s="302"/>
      <c r="AO941" s="303"/>
      <c r="AP941" s="285"/>
      <c r="AQ941" s="258"/>
      <c r="AR941" s="258"/>
    </row>
    <row r="942" spans="10:44" s="48" customFormat="1" ht="12" hidden="1" customHeight="1">
      <c r="J942" s="213"/>
      <c r="K942" s="213"/>
      <c r="L942" s="213"/>
      <c r="M942" s="213"/>
      <c r="N942" s="213"/>
      <c r="O942" s="213"/>
      <c r="P942" s="213"/>
      <c r="Q942" s="213"/>
      <c r="R942" s="213"/>
      <c r="S942" s="213"/>
      <c r="T942" s="213"/>
      <c r="U942" s="213"/>
      <c r="V942" s="213"/>
      <c r="W942" s="213"/>
      <c r="X942" s="213"/>
      <c r="Y942" s="213"/>
      <c r="Z942" s="213"/>
      <c r="AA942" s="213"/>
      <c r="AB942" s="213"/>
      <c r="AC942" s="213"/>
      <c r="AD942" s="213"/>
      <c r="AE942" s="213"/>
      <c r="AF942" s="213"/>
      <c r="AG942" s="213"/>
      <c r="AH942" s="213"/>
      <c r="AI942" s="213"/>
      <c r="AJ942" s="213"/>
      <c r="AK942" s="213"/>
      <c r="AL942" s="213"/>
      <c r="AM942" s="213"/>
      <c r="AN942" s="302"/>
      <c r="AO942" s="303"/>
      <c r="AP942" s="285"/>
      <c r="AQ942" s="258"/>
      <c r="AR942" s="258"/>
    </row>
    <row r="943" spans="10:44" s="48" customFormat="1" ht="12" hidden="1" customHeight="1">
      <c r="J943" s="213"/>
      <c r="K943" s="213"/>
      <c r="L943" s="213"/>
      <c r="M943" s="213"/>
      <c r="N943" s="213"/>
      <c r="O943" s="213"/>
      <c r="P943" s="213"/>
      <c r="Q943" s="213"/>
      <c r="R943" s="213"/>
      <c r="S943" s="213"/>
      <c r="T943" s="213"/>
      <c r="U943" s="213"/>
      <c r="V943" s="213"/>
      <c r="W943" s="213"/>
      <c r="X943" s="213"/>
      <c r="Y943" s="213"/>
      <c r="Z943" s="213"/>
      <c r="AA943" s="213"/>
      <c r="AB943" s="213"/>
      <c r="AC943" s="213"/>
      <c r="AD943" s="213"/>
      <c r="AE943" s="213"/>
      <c r="AF943" s="213"/>
      <c r="AG943" s="213"/>
      <c r="AH943" s="213"/>
      <c r="AI943" s="213"/>
      <c r="AJ943" s="213"/>
      <c r="AK943" s="213"/>
      <c r="AL943" s="213"/>
      <c r="AM943" s="213"/>
      <c r="AN943" s="302"/>
      <c r="AO943" s="303"/>
      <c r="AP943" s="285"/>
      <c r="AQ943" s="258"/>
      <c r="AR943" s="258"/>
    </row>
    <row r="944" spans="10:44" s="48" customFormat="1" ht="12" hidden="1" customHeight="1">
      <c r="J944" s="213"/>
      <c r="K944" s="213"/>
      <c r="L944" s="213"/>
      <c r="M944" s="213"/>
      <c r="N944" s="213"/>
      <c r="O944" s="213"/>
      <c r="P944" s="213"/>
      <c r="Q944" s="213"/>
      <c r="R944" s="213"/>
      <c r="S944" s="213"/>
      <c r="T944" s="213"/>
      <c r="U944" s="213"/>
      <c r="V944" s="213"/>
      <c r="W944" s="213"/>
      <c r="X944" s="213"/>
      <c r="Y944" s="213"/>
      <c r="Z944" s="213"/>
      <c r="AA944" s="213"/>
      <c r="AB944" s="213"/>
      <c r="AC944" s="213"/>
      <c r="AD944" s="213"/>
      <c r="AE944" s="213"/>
      <c r="AF944" s="213"/>
      <c r="AG944" s="213"/>
      <c r="AH944" s="213"/>
      <c r="AI944" s="213"/>
      <c r="AJ944" s="213"/>
      <c r="AK944" s="213"/>
      <c r="AL944" s="213"/>
      <c r="AM944" s="213"/>
      <c r="AN944" s="302"/>
      <c r="AO944" s="303"/>
      <c r="AP944" s="285"/>
      <c r="AQ944" s="258"/>
      <c r="AR944" s="258"/>
    </row>
    <row r="945" spans="10:44" s="48" customFormat="1" ht="12" hidden="1" customHeight="1">
      <c r="J945" s="213"/>
      <c r="K945" s="213"/>
      <c r="L945" s="213"/>
      <c r="M945" s="213"/>
      <c r="N945" s="213"/>
      <c r="O945" s="213"/>
      <c r="P945" s="213"/>
      <c r="Q945" s="213"/>
      <c r="R945" s="213"/>
      <c r="S945" s="213"/>
      <c r="T945" s="213"/>
      <c r="U945" s="213"/>
      <c r="V945" s="213"/>
      <c r="W945" s="213"/>
      <c r="X945" s="213"/>
      <c r="Y945" s="213"/>
      <c r="Z945" s="213"/>
      <c r="AA945" s="213"/>
      <c r="AB945" s="213"/>
      <c r="AC945" s="213"/>
      <c r="AD945" s="213"/>
      <c r="AE945" s="213"/>
      <c r="AF945" s="213"/>
      <c r="AG945" s="213"/>
      <c r="AH945" s="213"/>
      <c r="AI945" s="213"/>
      <c r="AJ945" s="213"/>
      <c r="AK945" s="213"/>
      <c r="AL945" s="213"/>
      <c r="AM945" s="213"/>
      <c r="AN945" s="302"/>
      <c r="AO945" s="303"/>
      <c r="AP945" s="285"/>
      <c r="AQ945" s="258"/>
      <c r="AR945" s="258"/>
    </row>
    <row r="946" spans="10:44" s="48" customFormat="1" ht="12" hidden="1" customHeight="1">
      <c r="J946" s="213"/>
      <c r="K946" s="213"/>
      <c r="L946" s="213"/>
      <c r="M946" s="213"/>
      <c r="N946" s="213"/>
      <c r="O946" s="213"/>
      <c r="P946" s="213"/>
      <c r="Q946" s="213"/>
      <c r="R946" s="213"/>
      <c r="S946" s="213"/>
      <c r="T946" s="213"/>
      <c r="U946" s="213"/>
      <c r="V946" s="213"/>
      <c r="W946" s="213"/>
      <c r="X946" s="213"/>
      <c r="Y946" s="213"/>
      <c r="Z946" s="213"/>
      <c r="AA946" s="213"/>
      <c r="AB946" s="213"/>
      <c r="AC946" s="213"/>
      <c r="AD946" s="213"/>
      <c r="AE946" s="213"/>
      <c r="AF946" s="213"/>
      <c r="AG946" s="213"/>
      <c r="AH946" s="213"/>
      <c r="AI946" s="213"/>
      <c r="AJ946" s="213"/>
      <c r="AK946" s="213"/>
      <c r="AL946" s="213"/>
      <c r="AM946" s="213"/>
      <c r="AN946" s="302"/>
      <c r="AO946" s="303"/>
      <c r="AP946" s="285"/>
      <c r="AQ946" s="258"/>
      <c r="AR946" s="258"/>
    </row>
    <row r="947" spans="10:44" s="48" customFormat="1" ht="12" hidden="1" customHeight="1">
      <c r="J947" s="213"/>
      <c r="K947" s="213"/>
      <c r="L947" s="213"/>
      <c r="M947" s="213"/>
      <c r="N947" s="213"/>
      <c r="O947" s="213"/>
      <c r="P947" s="213"/>
      <c r="Q947" s="213"/>
      <c r="R947" s="213"/>
      <c r="S947" s="213"/>
      <c r="T947" s="213"/>
      <c r="U947" s="213"/>
      <c r="V947" s="213"/>
      <c r="W947" s="213"/>
      <c r="X947" s="213"/>
      <c r="Y947" s="213"/>
      <c r="Z947" s="213"/>
      <c r="AA947" s="213"/>
      <c r="AB947" s="213"/>
      <c r="AC947" s="213"/>
      <c r="AD947" s="213"/>
      <c r="AE947" s="213"/>
      <c r="AF947" s="213"/>
      <c r="AG947" s="213"/>
      <c r="AH947" s="213"/>
      <c r="AI947" s="213"/>
      <c r="AJ947" s="213"/>
      <c r="AK947" s="213"/>
      <c r="AL947" s="213"/>
      <c r="AM947" s="213"/>
      <c r="AN947" s="302"/>
      <c r="AO947" s="303"/>
      <c r="AP947" s="285"/>
      <c r="AQ947" s="258"/>
      <c r="AR947" s="258"/>
    </row>
    <row r="948" spans="10:44" s="48" customFormat="1" ht="12" hidden="1" customHeight="1">
      <c r="J948" s="213"/>
      <c r="K948" s="213"/>
      <c r="L948" s="213"/>
      <c r="M948" s="213"/>
      <c r="N948" s="213"/>
      <c r="O948" s="213"/>
      <c r="P948" s="213"/>
      <c r="Q948" s="213"/>
      <c r="R948" s="213"/>
      <c r="S948" s="213"/>
      <c r="T948" s="213"/>
      <c r="U948" s="213"/>
      <c r="V948" s="213"/>
      <c r="W948" s="213"/>
      <c r="X948" s="213"/>
      <c r="Y948" s="213"/>
      <c r="Z948" s="213"/>
      <c r="AA948" s="213"/>
      <c r="AB948" s="213"/>
      <c r="AC948" s="213"/>
      <c r="AD948" s="213"/>
      <c r="AE948" s="213"/>
      <c r="AF948" s="213"/>
      <c r="AG948" s="213"/>
      <c r="AH948" s="213"/>
      <c r="AI948" s="213"/>
      <c r="AJ948" s="213"/>
      <c r="AK948" s="213"/>
      <c r="AL948" s="213"/>
      <c r="AM948" s="213"/>
      <c r="AN948" s="302"/>
      <c r="AO948" s="303"/>
      <c r="AP948" s="285"/>
      <c r="AQ948" s="258"/>
      <c r="AR948" s="258"/>
    </row>
    <row r="949" spans="10:44" s="48" customFormat="1" ht="12" hidden="1" customHeight="1">
      <c r="J949" s="213"/>
      <c r="K949" s="213"/>
      <c r="L949" s="213"/>
      <c r="M949" s="213"/>
      <c r="N949" s="213"/>
      <c r="O949" s="213"/>
      <c r="P949" s="213"/>
      <c r="Q949" s="213"/>
      <c r="R949" s="213"/>
      <c r="S949" s="213"/>
      <c r="T949" s="213"/>
      <c r="U949" s="213"/>
      <c r="V949" s="213"/>
      <c r="W949" s="213"/>
      <c r="X949" s="213"/>
      <c r="Y949" s="213"/>
      <c r="Z949" s="213"/>
      <c r="AA949" s="213"/>
      <c r="AB949" s="213"/>
      <c r="AC949" s="213"/>
      <c r="AD949" s="213"/>
      <c r="AE949" s="213"/>
      <c r="AF949" s="213"/>
      <c r="AG949" s="213"/>
      <c r="AH949" s="213"/>
      <c r="AI949" s="213"/>
      <c r="AJ949" s="213"/>
      <c r="AK949" s="213"/>
      <c r="AL949" s="213"/>
      <c r="AM949" s="213"/>
      <c r="AN949" s="302"/>
      <c r="AO949" s="303"/>
      <c r="AP949" s="285"/>
      <c r="AQ949" s="258"/>
      <c r="AR949" s="258"/>
    </row>
    <row r="950" spans="10:44" s="48" customFormat="1" ht="12" hidden="1" customHeight="1">
      <c r="J950" s="213"/>
      <c r="K950" s="213"/>
      <c r="L950" s="213"/>
      <c r="M950" s="213"/>
      <c r="N950" s="213"/>
      <c r="O950" s="213"/>
      <c r="P950" s="213"/>
      <c r="Q950" s="213"/>
      <c r="R950" s="213"/>
      <c r="S950" s="213"/>
      <c r="T950" s="213"/>
      <c r="U950" s="213"/>
      <c r="V950" s="213"/>
      <c r="W950" s="213"/>
      <c r="X950" s="213"/>
      <c r="Y950" s="213"/>
      <c r="Z950" s="213"/>
      <c r="AA950" s="213"/>
      <c r="AB950" s="213"/>
      <c r="AC950" s="213"/>
      <c r="AD950" s="213"/>
      <c r="AE950" s="213"/>
      <c r="AF950" s="213"/>
      <c r="AG950" s="213"/>
      <c r="AH950" s="213"/>
      <c r="AI950" s="213"/>
      <c r="AJ950" s="213"/>
      <c r="AK950" s="213"/>
      <c r="AL950" s="213"/>
      <c r="AM950" s="213"/>
      <c r="AN950" s="302"/>
      <c r="AO950" s="303"/>
      <c r="AP950" s="285"/>
      <c r="AQ950" s="258"/>
      <c r="AR950" s="258"/>
    </row>
    <row r="951" spans="10:44" s="48" customFormat="1" ht="12" hidden="1" customHeight="1">
      <c r="J951" s="213"/>
      <c r="K951" s="213"/>
      <c r="L951" s="213"/>
      <c r="M951" s="213"/>
      <c r="N951" s="213"/>
      <c r="O951" s="213"/>
      <c r="P951" s="213"/>
      <c r="Q951" s="213"/>
      <c r="R951" s="213"/>
      <c r="S951" s="213"/>
      <c r="T951" s="213"/>
      <c r="U951" s="213"/>
      <c r="V951" s="213"/>
      <c r="W951" s="213"/>
      <c r="X951" s="213"/>
      <c r="Y951" s="213"/>
      <c r="Z951" s="213"/>
      <c r="AA951" s="213"/>
      <c r="AB951" s="213"/>
      <c r="AC951" s="213"/>
      <c r="AD951" s="213"/>
      <c r="AE951" s="213"/>
      <c r="AF951" s="213"/>
      <c r="AG951" s="213"/>
      <c r="AH951" s="213"/>
      <c r="AI951" s="213"/>
      <c r="AJ951" s="213"/>
      <c r="AK951" s="213"/>
      <c r="AL951" s="213"/>
      <c r="AM951" s="213"/>
      <c r="AN951" s="302"/>
      <c r="AO951" s="303"/>
      <c r="AP951" s="285"/>
      <c r="AQ951" s="258"/>
      <c r="AR951" s="258"/>
    </row>
    <row r="952" spans="10:44" s="48" customFormat="1" ht="12" hidden="1" customHeight="1">
      <c r="J952" s="213"/>
      <c r="K952" s="213"/>
      <c r="L952" s="213"/>
      <c r="M952" s="213"/>
      <c r="N952" s="213"/>
      <c r="O952" s="213"/>
      <c r="P952" s="213"/>
      <c r="Q952" s="213"/>
      <c r="R952" s="213"/>
      <c r="S952" s="213"/>
      <c r="T952" s="213"/>
      <c r="U952" s="213"/>
      <c r="V952" s="213"/>
      <c r="W952" s="213"/>
      <c r="X952" s="213"/>
      <c r="Y952" s="213"/>
      <c r="Z952" s="213"/>
      <c r="AA952" s="213"/>
      <c r="AB952" s="213"/>
      <c r="AC952" s="213"/>
      <c r="AD952" s="213"/>
      <c r="AE952" s="213"/>
      <c r="AF952" s="213"/>
      <c r="AG952" s="213"/>
      <c r="AH952" s="213"/>
      <c r="AI952" s="213"/>
      <c r="AJ952" s="213"/>
      <c r="AK952" s="213"/>
      <c r="AL952" s="213"/>
      <c r="AM952" s="213"/>
      <c r="AN952" s="302"/>
      <c r="AO952" s="303"/>
      <c r="AP952" s="285"/>
      <c r="AQ952" s="258"/>
      <c r="AR952" s="258"/>
    </row>
    <row r="953" spans="10:44" s="48" customFormat="1" ht="12" hidden="1" customHeight="1">
      <c r="J953" s="213"/>
      <c r="K953" s="213"/>
      <c r="L953" s="213"/>
      <c r="M953" s="213"/>
      <c r="N953" s="213"/>
      <c r="O953" s="213"/>
      <c r="P953" s="213"/>
      <c r="Q953" s="213"/>
      <c r="R953" s="213"/>
      <c r="S953" s="213"/>
      <c r="T953" s="213"/>
      <c r="U953" s="213"/>
      <c r="V953" s="213"/>
      <c r="W953" s="213"/>
      <c r="X953" s="213"/>
      <c r="Y953" s="213"/>
      <c r="Z953" s="213"/>
      <c r="AA953" s="213"/>
      <c r="AB953" s="213"/>
      <c r="AC953" s="213"/>
      <c r="AD953" s="213"/>
      <c r="AE953" s="213"/>
      <c r="AF953" s="213"/>
      <c r="AG953" s="213"/>
      <c r="AH953" s="213"/>
      <c r="AI953" s="213"/>
      <c r="AJ953" s="213"/>
      <c r="AK953" s="213"/>
      <c r="AL953" s="213"/>
      <c r="AM953" s="213"/>
      <c r="AN953" s="302"/>
      <c r="AO953" s="303"/>
      <c r="AP953" s="285"/>
      <c r="AQ953" s="258"/>
      <c r="AR953" s="258"/>
    </row>
    <row r="954" spans="10:44" s="48" customFormat="1" ht="12" hidden="1" customHeight="1">
      <c r="J954" s="213"/>
      <c r="K954" s="213"/>
      <c r="L954" s="213"/>
      <c r="M954" s="213"/>
      <c r="N954" s="213"/>
      <c r="O954" s="213"/>
      <c r="P954" s="213"/>
      <c r="Q954" s="213"/>
      <c r="R954" s="213"/>
      <c r="S954" s="213"/>
      <c r="T954" s="213"/>
      <c r="U954" s="213"/>
      <c r="V954" s="213"/>
      <c r="W954" s="213"/>
      <c r="X954" s="213"/>
      <c r="Y954" s="213"/>
      <c r="Z954" s="213"/>
      <c r="AA954" s="213"/>
      <c r="AB954" s="213"/>
      <c r="AC954" s="213"/>
      <c r="AD954" s="213"/>
      <c r="AE954" s="213"/>
      <c r="AF954" s="213"/>
      <c r="AG954" s="213"/>
      <c r="AH954" s="213"/>
      <c r="AI954" s="213"/>
      <c r="AJ954" s="213"/>
      <c r="AK954" s="213"/>
      <c r="AL954" s="213"/>
      <c r="AM954" s="213"/>
      <c r="AN954" s="302"/>
      <c r="AO954" s="303"/>
      <c r="AP954" s="285"/>
      <c r="AQ954" s="258"/>
      <c r="AR954" s="258"/>
    </row>
    <row r="955" spans="10:44" s="48" customFormat="1" ht="12" hidden="1" customHeight="1">
      <c r="J955" s="213"/>
      <c r="K955" s="213"/>
      <c r="L955" s="213"/>
      <c r="M955" s="213"/>
      <c r="N955" s="213"/>
      <c r="O955" s="213"/>
      <c r="P955" s="213"/>
      <c r="Q955" s="213"/>
      <c r="R955" s="213"/>
      <c r="S955" s="213"/>
      <c r="T955" s="213"/>
      <c r="U955" s="213"/>
      <c r="V955" s="213"/>
      <c r="W955" s="213"/>
      <c r="X955" s="213"/>
      <c r="Y955" s="213"/>
      <c r="Z955" s="213"/>
      <c r="AA955" s="213"/>
      <c r="AB955" s="213"/>
      <c r="AC955" s="213"/>
      <c r="AD955" s="213"/>
      <c r="AE955" s="213"/>
      <c r="AF955" s="213"/>
      <c r="AG955" s="213"/>
      <c r="AH955" s="213"/>
      <c r="AI955" s="213"/>
      <c r="AJ955" s="213"/>
      <c r="AK955" s="213"/>
      <c r="AL955" s="213"/>
      <c r="AM955" s="213"/>
      <c r="AN955" s="302"/>
      <c r="AO955" s="303"/>
      <c r="AP955" s="285"/>
      <c r="AQ955" s="258"/>
      <c r="AR955" s="258"/>
    </row>
    <row r="956" spans="10:44" s="48" customFormat="1" ht="12" hidden="1" customHeight="1">
      <c r="J956" s="213"/>
      <c r="K956" s="213"/>
      <c r="L956" s="213"/>
      <c r="M956" s="213"/>
      <c r="N956" s="213"/>
      <c r="O956" s="213"/>
      <c r="P956" s="213"/>
      <c r="Q956" s="213"/>
      <c r="R956" s="213"/>
      <c r="S956" s="213"/>
      <c r="T956" s="213"/>
      <c r="U956" s="213"/>
      <c r="V956" s="213"/>
      <c r="W956" s="213"/>
      <c r="X956" s="213"/>
      <c r="Y956" s="213"/>
      <c r="Z956" s="213"/>
      <c r="AA956" s="213"/>
      <c r="AB956" s="213"/>
      <c r="AC956" s="213"/>
      <c r="AD956" s="213"/>
      <c r="AE956" s="213"/>
      <c r="AF956" s="213"/>
      <c r="AG956" s="213"/>
      <c r="AH956" s="213"/>
      <c r="AI956" s="213"/>
      <c r="AJ956" s="213"/>
      <c r="AK956" s="213"/>
      <c r="AL956" s="213"/>
      <c r="AM956" s="213"/>
      <c r="AN956" s="302"/>
      <c r="AO956" s="303"/>
      <c r="AP956" s="285"/>
      <c r="AQ956" s="258"/>
      <c r="AR956" s="258"/>
    </row>
    <row r="957" spans="10:44" s="48" customFormat="1" ht="12" hidden="1" customHeight="1">
      <c r="J957" s="213"/>
      <c r="K957" s="213"/>
      <c r="L957" s="213"/>
      <c r="M957" s="213"/>
      <c r="N957" s="213"/>
      <c r="O957" s="213"/>
      <c r="P957" s="213"/>
      <c r="Q957" s="213"/>
      <c r="R957" s="213"/>
      <c r="S957" s="213"/>
      <c r="T957" s="213"/>
      <c r="U957" s="213"/>
      <c r="V957" s="213"/>
      <c r="W957" s="213"/>
      <c r="X957" s="213"/>
      <c r="Y957" s="213"/>
      <c r="Z957" s="213"/>
      <c r="AA957" s="213"/>
      <c r="AB957" s="213"/>
      <c r="AC957" s="213"/>
      <c r="AD957" s="213"/>
      <c r="AE957" s="213"/>
      <c r="AF957" s="213"/>
      <c r="AG957" s="213"/>
      <c r="AH957" s="213"/>
      <c r="AI957" s="213"/>
      <c r="AJ957" s="213"/>
      <c r="AK957" s="213"/>
      <c r="AL957" s="213"/>
      <c r="AM957" s="213"/>
      <c r="AN957" s="302"/>
      <c r="AO957" s="303"/>
      <c r="AP957" s="285"/>
      <c r="AQ957" s="258"/>
      <c r="AR957" s="258"/>
    </row>
    <row r="958" spans="10:44" s="48" customFormat="1" ht="12" hidden="1" customHeight="1">
      <c r="J958" s="213"/>
      <c r="K958" s="213"/>
      <c r="L958" s="213"/>
      <c r="M958" s="213"/>
      <c r="N958" s="213"/>
      <c r="O958" s="213"/>
      <c r="P958" s="213"/>
      <c r="Q958" s="213"/>
      <c r="R958" s="213"/>
      <c r="S958" s="213"/>
      <c r="T958" s="213"/>
      <c r="U958" s="213"/>
      <c r="V958" s="213"/>
      <c r="W958" s="213"/>
      <c r="X958" s="213"/>
      <c r="Y958" s="213"/>
      <c r="Z958" s="213"/>
      <c r="AA958" s="213"/>
      <c r="AB958" s="213"/>
      <c r="AC958" s="213"/>
      <c r="AD958" s="213"/>
      <c r="AE958" s="213"/>
      <c r="AF958" s="213"/>
      <c r="AG958" s="213"/>
      <c r="AH958" s="213"/>
      <c r="AI958" s="213"/>
      <c r="AJ958" s="213"/>
      <c r="AK958" s="213"/>
      <c r="AL958" s="213"/>
      <c r="AM958" s="213"/>
      <c r="AN958" s="302"/>
      <c r="AO958" s="303"/>
      <c r="AP958" s="285"/>
      <c r="AQ958" s="258"/>
      <c r="AR958" s="258"/>
    </row>
    <row r="959" spans="10:44" s="48" customFormat="1" ht="12" hidden="1" customHeight="1">
      <c r="J959" s="213"/>
      <c r="K959" s="213"/>
      <c r="L959" s="213"/>
      <c r="M959" s="213"/>
      <c r="N959" s="213"/>
      <c r="O959" s="213"/>
      <c r="P959" s="213"/>
      <c r="Q959" s="213"/>
      <c r="R959" s="213"/>
      <c r="S959" s="213"/>
      <c r="T959" s="213"/>
      <c r="U959" s="213"/>
      <c r="V959" s="213"/>
      <c r="W959" s="213"/>
      <c r="X959" s="213"/>
      <c r="Y959" s="213"/>
      <c r="Z959" s="213"/>
      <c r="AA959" s="213"/>
      <c r="AB959" s="213"/>
      <c r="AC959" s="213"/>
      <c r="AD959" s="213"/>
      <c r="AE959" s="213"/>
      <c r="AF959" s="213"/>
      <c r="AG959" s="213"/>
      <c r="AH959" s="213"/>
      <c r="AI959" s="213"/>
      <c r="AJ959" s="213"/>
      <c r="AK959" s="213"/>
      <c r="AL959" s="213"/>
      <c r="AM959" s="213"/>
      <c r="AN959" s="302"/>
      <c r="AO959" s="303"/>
      <c r="AP959" s="285"/>
      <c r="AQ959" s="258"/>
      <c r="AR959" s="258"/>
    </row>
    <row r="960" spans="10:44" s="48" customFormat="1" ht="12" hidden="1" customHeight="1">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302"/>
      <c r="AO960" s="303"/>
      <c r="AP960" s="285"/>
      <c r="AQ960" s="258"/>
      <c r="AR960" s="258"/>
    </row>
    <row r="961" spans="10:44" s="48" customFormat="1" ht="12" hidden="1" customHeight="1">
      <c r="J961" s="213"/>
      <c r="K961" s="213"/>
      <c r="L961" s="213"/>
      <c r="M961" s="213"/>
      <c r="N961" s="213"/>
      <c r="O961" s="213"/>
      <c r="P961" s="213"/>
      <c r="Q961" s="213"/>
      <c r="R961" s="213"/>
      <c r="S961" s="213"/>
      <c r="T961" s="213"/>
      <c r="U961" s="213"/>
      <c r="V961" s="213"/>
      <c r="W961" s="213"/>
      <c r="X961" s="213"/>
      <c r="Y961" s="213"/>
      <c r="Z961" s="213"/>
      <c r="AA961" s="213"/>
      <c r="AB961" s="213"/>
      <c r="AC961" s="213"/>
      <c r="AD961" s="213"/>
      <c r="AE961" s="213"/>
      <c r="AF961" s="213"/>
      <c r="AG961" s="213"/>
      <c r="AH961" s="213"/>
      <c r="AI961" s="213"/>
      <c r="AJ961" s="213"/>
      <c r="AK961" s="213"/>
      <c r="AL961" s="213"/>
      <c r="AM961" s="213"/>
      <c r="AN961" s="302"/>
      <c r="AO961" s="303"/>
      <c r="AP961" s="285"/>
      <c r="AQ961" s="258"/>
      <c r="AR961" s="258"/>
    </row>
    <row r="962" spans="10:44" s="48" customFormat="1" ht="12" hidden="1" customHeight="1">
      <c r="J962" s="213"/>
      <c r="K962" s="213"/>
      <c r="L962" s="213"/>
      <c r="M962" s="213"/>
      <c r="N962" s="213"/>
      <c r="O962" s="213"/>
      <c r="P962" s="213"/>
      <c r="Q962" s="213"/>
      <c r="R962" s="213"/>
      <c r="S962" s="213"/>
      <c r="T962" s="213"/>
      <c r="U962" s="213"/>
      <c r="V962" s="213"/>
      <c r="W962" s="213"/>
      <c r="X962" s="213"/>
      <c r="Y962" s="213"/>
      <c r="Z962" s="213"/>
      <c r="AA962" s="213"/>
      <c r="AB962" s="213"/>
      <c r="AC962" s="213"/>
      <c r="AD962" s="213"/>
      <c r="AE962" s="213"/>
      <c r="AF962" s="213"/>
      <c r="AG962" s="213"/>
      <c r="AH962" s="213"/>
      <c r="AI962" s="213"/>
      <c r="AJ962" s="213"/>
      <c r="AK962" s="213"/>
      <c r="AL962" s="213"/>
      <c r="AM962" s="213"/>
      <c r="AN962" s="302"/>
      <c r="AO962" s="303"/>
      <c r="AP962" s="285"/>
      <c r="AQ962" s="258"/>
      <c r="AR962" s="258"/>
    </row>
    <row r="963" spans="10:44" s="48" customFormat="1" ht="12" hidden="1" customHeight="1">
      <c r="J963" s="213"/>
      <c r="K963" s="213"/>
      <c r="L963" s="213"/>
      <c r="M963" s="213"/>
      <c r="N963" s="213"/>
      <c r="O963" s="213"/>
      <c r="P963" s="213"/>
      <c r="Q963" s="213"/>
      <c r="R963" s="213"/>
      <c r="S963" s="213"/>
      <c r="T963" s="213"/>
      <c r="U963" s="213"/>
      <c r="V963" s="213"/>
      <c r="W963" s="213"/>
      <c r="X963" s="213"/>
      <c r="Y963" s="213"/>
      <c r="Z963" s="213"/>
      <c r="AA963" s="213"/>
      <c r="AB963" s="213"/>
      <c r="AC963" s="213"/>
      <c r="AD963" s="213"/>
      <c r="AE963" s="213"/>
      <c r="AF963" s="213"/>
      <c r="AG963" s="213"/>
      <c r="AH963" s="213"/>
      <c r="AI963" s="213"/>
      <c r="AJ963" s="213"/>
      <c r="AK963" s="213"/>
      <c r="AL963" s="213"/>
      <c r="AM963" s="213"/>
      <c r="AN963" s="302"/>
      <c r="AO963" s="303"/>
      <c r="AP963" s="285"/>
      <c r="AQ963" s="258"/>
      <c r="AR963" s="258"/>
    </row>
    <row r="964" spans="10:44" s="48" customFormat="1" ht="12" hidden="1" customHeight="1">
      <c r="J964" s="213"/>
      <c r="K964" s="213"/>
      <c r="L964" s="213"/>
      <c r="M964" s="213"/>
      <c r="N964" s="213"/>
      <c r="O964" s="213"/>
      <c r="P964" s="213"/>
      <c r="Q964" s="213"/>
      <c r="R964" s="213"/>
      <c r="S964" s="213"/>
      <c r="T964" s="213"/>
      <c r="U964" s="213"/>
      <c r="V964" s="213"/>
      <c r="W964" s="213"/>
      <c r="X964" s="213"/>
      <c r="Y964" s="213"/>
      <c r="Z964" s="213"/>
      <c r="AA964" s="213"/>
      <c r="AB964" s="213"/>
      <c r="AC964" s="213"/>
      <c r="AD964" s="213"/>
      <c r="AE964" s="213"/>
      <c r="AF964" s="213"/>
      <c r="AG964" s="213"/>
      <c r="AH964" s="213"/>
      <c r="AI964" s="213"/>
      <c r="AJ964" s="213"/>
      <c r="AK964" s="213"/>
      <c r="AL964" s="213"/>
      <c r="AM964" s="213"/>
      <c r="AN964" s="302"/>
      <c r="AO964" s="303"/>
      <c r="AP964" s="285"/>
      <c r="AQ964" s="258"/>
      <c r="AR964" s="258"/>
    </row>
    <row r="965" spans="10:44" s="48" customFormat="1" ht="12" hidden="1" customHeight="1">
      <c r="J965" s="213"/>
      <c r="K965" s="213"/>
      <c r="L965" s="213"/>
      <c r="M965" s="213"/>
      <c r="N965" s="213"/>
      <c r="O965" s="213"/>
      <c r="P965" s="213"/>
      <c r="Q965" s="213"/>
      <c r="R965" s="213"/>
      <c r="S965" s="213"/>
      <c r="T965" s="213"/>
      <c r="U965" s="213"/>
      <c r="V965" s="213"/>
      <c r="W965" s="213"/>
      <c r="X965" s="213"/>
      <c r="Y965" s="213"/>
      <c r="Z965" s="213"/>
      <c r="AA965" s="213"/>
      <c r="AB965" s="213"/>
      <c r="AC965" s="213"/>
      <c r="AD965" s="213"/>
      <c r="AE965" s="213"/>
      <c r="AF965" s="213"/>
      <c r="AG965" s="213"/>
      <c r="AH965" s="213"/>
      <c r="AI965" s="213"/>
      <c r="AJ965" s="213"/>
      <c r="AK965" s="213"/>
      <c r="AL965" s="213"/>
      <c r="AM965" s="213"/>
      <c r="AN965" s="302"/>
      <c r="AO965" s="303"/>
      <c r="AP965" s="285"/>
      <c r="AQ965" s="258"/>
      <c r="AR965" s="258"/>
    </row>
    <row r="966" spans="10:44" s="48" customFormat="1" ht="12" hidden="1" customHeight="1">
      <c r="J966" s="213"/>
      <c r="K966" s="213"/>
      <c r="L966" s="213"/>
      <c r="M966" s="213"/>
      <c r="N966" s="213"/>
      <c r="O966" s="213"/>
      <c r="P966" s="213"/>
      <c r="Q966" s="213"/>
      <c r="R966" s="213"/>
      <c r="S966" s="213"/>
      <c r="T966" s="213"/>
      <c r="U966" s="213"/>
      <c r="V966" s="213"/>
      <c r="W966" s="213"/>
      <c r="X966" s="213"/>
      <c r="Y966" s="213"/>
      <c r="Z966" s="213"/>
      <c r="AA966" s="213"/>
      <c r="AB966" s="213"/>
      <c r="AC966" s="213"/>
      <c r="AD966" s="213"/>
      <c r="AE966" s="213"/>
      <c r="AF966" s="213"/>
      <c r="AG966" s="213"/>
      <c r="AH966" s="213"/>
      <c r="AI966" s="213"/>
      <c r="AJ966" s="213"/>
      <c r="AK966" s="213"/>
      <c r="AL966" s="213"/>
      <c r="AM966" s="213"/>
      <c r="AN966" s="302"/>
      <c r="AO966" s="303"/>
      <c r="AP966" s="285"/>
      <c r="AQ966" s="258"/>
      <c r="AR966" s="258"/>
    </row>
    <row r="967" spans="10:44" s="48" customFormat="1" ht="12" hidden="1" customHeight="1">
      <c r="J967" s="213"/>
      <c r="K967" s="213"/>
      <c r="L967" s="213"/>
      <c r="M967" s="213"/>
      <c r="N967" s="213"/>
      <c r="O967" s="213"/>
      <c r="P967" s="213"/>
      <c r="Q967" s="213"/>
      <c r="R967" s="213"/>
      <c r="S967" s="213"/>
      <c r="T967" s="213"/>
      <c r="U967" s="213"/>
      <c r="V967" s="213"/>
      <c r="W967" s="213"/>
      <c r="X967" s="213"/>
      <c r="Y967" s="213"/>
      <c r="Z967" s="213"/>
      <c r="AA967" s="213"/>
      <c r="AB967" s="213"/>
      <c r="AC967" s="213"/>
      <c r="AD967" s="213"/>
      <c r="AE967" s="213"/>
      <c r="AF967" s="213"/>
      <c r="AG967" s="213"/>
      <c r="AH967" s="213"/>
      <c r="AI967" s="213"/>
      <c r="AJ967" s="213"/>
      <c r="AK967" s="213"/>
      <c r="AL967" s="213"/>
      <c r="AM967" s="213"/>
      <c r="AN967" s="302"/>
      <c r="AO967" s="303"/>
      <c r="AP967" s="285"/>
      <c r="AQ967" s="258"/>
      <c r="AR967" s="258"/>
    </row>
    <row r="968" spans="10:44" s="48" customFormat="1" ht="12" hidden="1" customHeight="1">
      <c r="J968" s="213"/>
      <c r="K968" s="213"/>
      <c r="L968" s="213"/>
      <c r="M968" s="213"/>
      <c r="N968" s="213"/>
      <c r="O968" s="213"/>
      <c r="P968" s="213"/>
      <c r="Q968" s="213"/>
      <c r="R968" s="213"/>
      <c r="S968" s="213"/>
      <c r="T968" s="213"/>
      <c r="U968" s="213"/>
      <c r="V968" s="213"/>
      <c r="W968" s="213"/>
      <c r="X968" s="213"/>
      <c r="Y968" s="213"/>
      <c r="Z968" s="213"/>
      <c r="AA968" s="213"/>
      <c r="AB968" s="213"/>
      <c r="AC968" s="213"/>
      <c r="AD968" s="213"/>
      <c r="AE968" s="213"/>
      <c r="AF968" s="213"/>
      <c r="AG968" s="213"/>
      <c r="AH968" s="213"/>
      <c r="AI968" s="213"/>
      <c r="AJ968" s="213"/>
      <c r="AK968" s="213"/>
      <c r="AL968" s="213"/>
      <c r="AM968" s="213"/>
      <c r="AN968" s="302"/>
      <c r="AO968" s="303"/>
      <c r="AP968" s="285"/>
      <c r="AQ968" s="258"/>
      <c r="AR968" s="258"/>
    </row>
    <row r="969" spans="10:44" s="48" customFormat="1" ht="12" hidden="1" customHeight="1">
      <c r="J969" s="213"/>
      <c r="K969" s="213"/>
      <c r="L969" s="213"/>
      <c r="M969" s="213"/>
      <c r="N969" s="213"/>
      <c r="O969" s="213"/>
      <c r="P969" s="213"/>
      <c r="Q969" s="213"/>
      <c r="R969" s="213"/>
      <c r="S969" s="213"/>
      <c r="T969" s="213"/>
      <c r="U969" s="213"/>
      <c r="V969" s="213"/>
      <c r="W969" s="213"/>
      <c r="X969" s="213"/>
      <c r="Y969" s="213"/>
      <c r="Z969" s="213"/>
      <c r="AA969" s="213"/>
      <c r="AB969" s="213"/>
      <c r="AC969" s="213"/>
      <c r="AD969" s="213"/>
      <c r="AE969" s="213"/>
      <c r="AF969" s="213"/>
      <c r="AG969" s="213"/>
      <c r="AH969" s="213"/>
      <c r="AI969" s="213"/>
      <c r="AJ969" s="213"/>
      <c r="AK969" s="213"/>
      <c r="AL969" s="213"/>
      <c r="AM969" s="213"/>
      <c r="AN969" s="302"/>
      <c r="AO969" s="303"/>
      <c r="AP969" s="285"/>
      <c r="AQ969" s="258"/>
      <c r="AR969" s="258"/>
    </row>
    <row r="970" spans="10:44" s="48" customFormat="1" ht="12" hidden="1" customHeight="1">
      <c r="J970" s="213"/>
      <c r="K970" s="213"/>
      <c r="L970" s="213"/>
      <c r="M970" s="213"/>
      <c r="N970" s="213"/>
      <c r="O970" s="213"/>
      <c r="P970" s="213"/>
      <c r="Q970" s="213"/>
      <c r="R970" s="213"/>
      <c r="S970" s="213"/>
      <c r="T970" s="213"/>
      <c r="U970" s="213"/>
      <c r="V970" s="213"/>
      <c r="W970" s="213"/>
      <c r="X970" s="213"/>
      <c r="Y970" s="213"/>
      <c r="Z970" s="213"/>
      <c r="AA970" s="213"/>
      <c r="AB970" s="213"/>
      <c r="AC970" s="213"/>
      <c r="AD970" s="213"/>
      <c r="AE970" s="213"/>
      <c r="AF970" s="213"/>
      <c r="AG970" s="213"/>
      <c r="AH970" s="213"/>
      <c r="AI970" s="213"/>
      <c r="AJ970" s="213"/>
      <c r="AK970" s="213"/>
      <c r="AL970" s="213"/>
      <c r="AM970" s="213"/>
      <c r="AN970" s="302"/>
      <c r="AO970" s="303"/>
      <c r="AP970" s="285"/>
      <c r="AQ970" s="258"/>
      <c r="AR970" s="258"/>
    </row>
    <row r="971" spans="10:44" s="48" customFormat="1" ht="12" hidden="1" customHeight="1">
      <c r="J971" s="213"/>
      <c r="K971" s="213"/>
      <c r="L971" s="213"/>
      <c r="M971" s="213"/>
      <c r="N971" s="213"/>
      <c r="O971" s="213"/>
      <c r="P971" s="213"/>
      <c r="Q971" s="213"/>
      <c r="R971" s="213"/>
      <c r="S971" s="213"/>
      <c r="T971" s="213"/>
      <c r="U971" s="213"/>
      <c r="V971" s="213"/>
      <c r="W971" s="213"/>
      <c r="X971" s="213"/>
      <c r="Y971" s="213"/>
      <c r="Z971" s="213"/>
      <c r="AA971" s="213"/>
      <c r="AB971" s="213"/>
      <c r="AC971" s="213"/>
      <c r="AD971" s="213"/>
      <c r="AE971" s="213"/>
      <c r="AF971" s="213"/>
      <c r="AG971" s="213"/>
      <c r="AH971" s="213"/>
      <c r="AI971" s="213"/>
      <c r="AJ971" s="213"/>
      <c r="AK971" s="213"/>
      <c r="AL971" s="213"/>
      <c r="AM971" s="213"/>
      <c r="AN971" s="302"/>
      <c r="AO971" s="303"/>
      <c r="AP971" s="285"/>
      <c r="AQ971" s="258"/>
      <c r="AR971" s="258"/>
    </row>
    <row r="972" spans="10:44" s="48" customFormat="1" ht="12" hidden="1" customHeight="1">
      <c r="J972" s="213"/>
      <c r="K972" s="213"/>
      <c r="L972" s="213"/>
      <c r="M972" s="213"/>
      <c r="N972" s="213"/>
      <c r="O972" s="213"/>
      <c r="P972" s="213"/>
      <c r="Q972" s="213"/>
      <c r="R972" s="213"/>
      <c r="S972" s="213"/>
      <c r="T972" s="213"/>
      <c r="U972" s="213"/>
      <c r="V972" s="213"/>
      <c r="W972" s="213"/>
      <c r="X972" s="213"/>
      <c r="Y972" s="213"/>
      <c r="Z972" s="213"/>
      <c r="AA972" s="213"/>
      <c r="AB972" s="213"/>
      <c r="AC972" s="213"/>
      <c r="AD972" s="213"/>
      <c r="AE972" s="213"/>
      <c r="AF972" s="213"/>
      <c r="AG972" s="213"/>
      <c r="AH972" s="213"/>
      <c r="AI972" s="213"/>
      <c r="AJ972" s="213"/>
      <c r="AK972" s="213"/>
      <c r="AL972" s="213"/>
      <c r="AM972" s="213"/>
      <c r="AN972" s="302"/>
      <c r="AO972" s="303"/>
      <c r="AP972" s="285"/>
      <c r="AQ972" s="258"/>
      <c r="AR972" s="258"/>
    </row>
    <row r="973" spans="10:44" s="48" customFormat="1" ht="12" hidden="1" customHeight="1">
      <c r="J973" s="213"/>
      <c r="K973" s="213"/>
      <c r="L973" s="213"/>
      <c r="M973" s="213"/>
      <c r="N973" s="213"/>
      <c r="O973" s="213"/>
      <c r="P973" s="213"/>
      <c r="Q973" s="213"/>
      <c r="R973" s="213"/>
      <c r="S973" s="213"/>
      <c r="T973" s="213"/>
      <c r="U973" s="213"/>
      <c r="V973" s="213"/>
      <c r="W973" s="213"/>
      <c r="X973" s="213"/>
      <c r="Y973" s="213"/>
      <c r="Z973" s="213"/>
      <c r="AA973" s="213"/>
      <c r="AB973" s="213"/>
      <c r="AC973" s="213"/>
      <c r="AD973" s="213"/>
      <c r="AE973" s="213"/>
      <c r="AF973" s="213"/>
      <c r="AG973" s="213"/>
      <c r="AH973" s="213"/>
      <c r="AI973" s="213"/>
      <c r="AJ973" s="213"/>
      <c r="AK973" s="213"/>
      <c r="AL973" s="213"/>
      <c r="AM973" s="213"/>
      <c r="AN973" s="302"/>
      <c r="AO973" s="303"/>
      <c r="AP973" s="285"/>
      <c r="AQ973" s="258"/>
      <c r="AR973" s="258"/>
    </row>
    <row r="974" spans="10:44" s="48" customFormat="1" ht="12" hidden="1" customHeight="1">
      <c r="J974" s="213"/>
      <c r="K974" s="213"/>
      <c r="L974" s="213"/>
      <c r="M974" s="213"/>
      <c r="N974" s="213"/>
      <c r="O974" s="213"/>
      <c r="P974" s="213"/>
      <c r="Q974" s="213"/>
      <c r="R974" s="213"/>
      <c r="S974" s="213"/>
      <c r="T974" s="213"/>
      <c r="U974" s="213"/>
      <c r="V974" s="213"/>
      <c r="W974" s="213"/>
      <c r="X974" s="213"/>
      <c r="Y974" s="213"/>
      <c r="Z974" s="213"/>
      <c r="AA974" s="213"/>
      <c r="AB974" s="213"/>
      <c r="AC974" s="213"/>
      <c r="AD974" s="213"/>
      <c r="AE974" s="213"/>
      <c r="AF974" s="213"/>
      <c r="AG974" s="213"/>
      <c r="AH974" s="213"/>
      <c r="AI974" s="213"/>
      <c r="AJ974" s="213"/>
      <c r="AK974" s="213"/>
      <c r="AL974" s="213"/>
      <c r="AM974" s="213"/>
      <c r="AN974" s="302"/>
      <c r="AO974" s="303"/>
      <c r="AP974" s="285"/>
      <c r="AQ974" s="258"/>
      <c r="AR974" s="258"/>
    </row>
    <row r="975" spans="10:44" s="48" customFormat="1" ht="12" hidden="1" customHeight="1">
      <c r="J975" s="213"/>
      <c r="K975" s="213"/>
      <c r="L975" s="213"/>
      <c r="M975" s="213"/>
      <c r="N975" s="213"/>
      <c r="O975" s="213"/>
      <c r="P975" s="213"/>
      <c r="Q975" s="213"/>
      <c r="R975" s="213"/>
      <c r="S975" s="213"/>
      <c r="T975" s="213"/>
      <c r="U975" s="213"/>
      <c r="V975" s="213"/>
      <c r="W975" s="213"/>
      <c r="X975" s="213"/>
      <c r="Y975" s="213"/>
      <c r="Z975" s="213"/>
      <c r="AA975" s="213"/>
      <c r="AB975" s="213"/>
      <c r="AC975" s="213"/>
      <c r="AD975" s="213"/>
      <c r="AE975" s="213"/>
      <c r="AF975" s="213"/>
      <c r="AG975" s="213"/>
      <c r="AH975" s="213"/>
      <c r="AI975" s="213"/>
      <c r="AJ975" s="213"/>
      <c r="AK975" s="213"/>
      <c r="AL975" s="213"/>
      <c r="AM975" s="213"/>
      <c r="AN975" s="302"/>
      <c r="AO975" s="303"/>
      <c r="AP975" s="285"/>
      <c r="AQ975" s="258"/>
      <c r="AR975" s="258"/>
    </row>
    <row r="976" spans="10:44" s="48" customFormat="1" ht="12" hidden="1" customHeight="1">
      <c r="J976" s="213"/>
      <c r="K976" s="213"/>
      <c r="L976" s="213"/>
      <c r="M976" s="213"/>
      <c r="N976" s="213"/>
      <c r="O976" s="213"/>
      <c r="P976" s="213"/>
      <c r="Q976" s="213"/>
      <c r="R976" s="213"/>
      <c r="S976" s="213"/>
      <c r="T976" s="213"/>
      <c r="U976" s="213"/>
      <c r="V976" s="213"/>
      <c r="W976" s="213"/>
      <c r="X976" s="213"/>
      <c r="Y976" s="213"/>
      <c r="Z976" s="213"/>
      <c r="AA976" s="213"/>
      <c r="AB976" s="213"/>
      <c r="AC976" s="213"/>
      <c r="AD976" s="213"/>
      <c r="AE976" s="213"/>
      <c r="AF976" s="213"/>
      <c r="AG976" s="213"/>
      <c r="AH976" s="213"/>
      <c r="AI976" s="213"/>
      <c r="AJ976" s="213"/>
      <c r="AK976" s="213"/>
      <c r="AL976" s="213"/>
      <c r="AM976" s="213"/>
      <c r="AN976" s="302"/>
      <c r="AO976" s="303"/>
      <c r="AP976" s="285"/>
      <c r="AQ976" s="258"/>
      <c r="AR976" s="258"/>
    </row>
    <row r="977" spans="10:44" s="48" customFormat="1" ht="12" hidden="1" customHeight="1">
      <c r="J977" s="213"/>
      <c r="K977" s="213"/>
      <c r="L977" s="213"/>
      <c r="M977" s="213"/>
      <c r="N977" s="213"/>
      <c r="O977" s="213"/>
      <c r="P977" s="213"/>
      <c r="Q977" s="213"/>
      <c r="R977" s="213"/>
      <c r="S977" s="213"/>
      <c r="T977" s="213"/>
      <c r="U977" s="213"/>
      <c r="V977" s="213"/>
      <c r="W977" s="213"/>
      <c r="X977" s="213"/>
      <c r="Y977" s="213"/>
      <c r="Z977" s="213"/>
      <c r="AA977" s="213"/>
      <c r="AB977" s="213"/>
      <c r="AC977" s="213"/>
      <c r="AD977" s="213"/>
      <c r="AE977" s="213"/>
      <c r="AF977" s="213"/>
      <c r="AG977" s="213"/>
      <c r="AH977" s="213"/>
      <c r="AI977" s="213"/>
      <c r="AJ977" s="213"/>
      <c r="AK977" s="213"/>
      <c r="AL977" s="213"/>
      <c r="AM977" s="213"/>
      <c r="AN977" s="302"/>
      <c r="AO977" s="303"/>
      <c r="AP977" s="285"/>
      <c r="AQ977" s="258"/>
      <c r="AR977" s="258"/>
    </row>
    <row r="978" spans="10:44" s="48" customFormat="1" ht="12" hidden="1" customHeight="1">
      <c r="J978" s="213"/>
      <c r="K978" s="213"/>
      <c r="L978" s="213"/>
      <c r="M978" s="213"/>
      <c r="N978" s="213"/>
      <c r="O978" s="213"/>
      <c r="P978" s="213"/>
      <c r="Q978" s="213"/>
      <c r="R978" s="213"/>
      <c r="S978" s="213"/>
      <c r="T978" s="213"/>
      <c r="U978" s="213"/>
      <c r="V978" s="213"/>
      <c r="W978" s="213"/>
      <c r="X978" s="213"/>
      <c r="Y978" s="213"/>
      <c r="Z978" s="213"/>
      <c r="AA978" s="213"/>
      <c r="AB978" s="213"/>
      <c r="AC978" s="213"/>
      <c r="AD978" s="213"/>
      <c r="AE978" s="213"/>
      <c r="AF978" s="213"/>
      <c r="AG978" s="213"/>
      <c r="AH978" s="213"/>
      <c r="AI978" s="213"/>
      <c r="AJ978" s="213"/>
      <c r="AK978" s="213"/>
      <c r="AL978" s="213"/>
      <c r="AM978" s="213"/>
      <c r="AN978" s="302"/>
      <c r="AO978" s="303"/>
      <c r="AP978" s="285"/>
      <c r="AQ978" s="258"/>
      <c r="AR978" s="258"/>
    </row>
    <row r="979" spans="10:44" s="48" customFormat="1" ht="12" hidden="1" customHeight="1">
      <c r="J979" s="213"/>
      <c r="K979" s="213"/>
      <c r="L979" s="213"/>
      <c r="M979" s="213"/>
      <c r="N979" s="213"/>
      <c r="O979" s="213"/>
      <c r="P979" s="213"/>
      <c r="Q979" s="213"/>
      <c r="R979" s="213"/>
      <c r="S979" s="213"/>
      <c r="T979" s="213"/>
      <c r="U979" s="213"/>
      <c r="V979" s="213"/>
      <c r="W979" s="213"/>
      <c r="X979" s="213"/>
      <c r="Y979" s="213"/>
      <c r="Z979" s="213"/>
      <c r="AA979" s="213"/>
      <c r="AB979" s="213"/>
      <c r="AC979" s="213"/>
      <c r="AD979" s="213"/>
      <c r="AE979" s="213"/>
      <c r="AF979" s="213"/>
      <c r="AG979" s="213"/>
      <c r="AH979" s="213"/>
      <c r="AI979" s="213"/>
      <c r="AJ979" s="213"/>
      <c r="AK979" s="213"/>
      <c r="AL979" s="213"/>
      <c r="AM979" s="213"/>
      <c r="AN979" s="302"/>
      <c r="AO979" s="303"/>
      <c r="AP979" s="285"/>
      <c r="AQ979" s="258"/>
      <c r="AR979" s="258"/>
    </row>
    <row r="980" spans="10:44" s="48" customFormat="1" ht="12" hidden="1" customHeight="1">
      <c r="J980" s="213"/>
      <c r="K980" s="213"/>
      <c r="L980" s="213"/>
      <c r="M980" s="213"/>
      <c r="N980" s="213"/>
      <c r="O980" s="213"/>
      <c r="P980" s="213"/>
      <c r="Q980" s="213"/>
      <c r="R980" s="213"/>
      <c r="S980" s="213"/>
      <c r="T980" s="213"/>
      <c r="U980" s="213"/>
      <c r="V980" s="213"/>
      <c r="W980" s="213"/>
      <c r="X980" s="213"/>
      <c r="Y980" s="213"/>
      <c r="Z980" s="213"/>
      <c r="AA980" s="213"/>
      <c r="AB980" s="213"/>
      <c r="AC980" s="213"/>
      <c r="AD980" s="213"/>
      <c r="AE980" s="213"/>
      <c r="AF980" s="213"/>
      <c r="AG980" s="213"/>
      <c r="AH980" s="213"/>
      <c r="AI980" s="213"/>
      <c r="AJ980" s="213"/>
      <c r="AK980" s="213"/>
      <c r="AL980" s="213"/>
      <c r="AM980" s="213"/>
      <c r="AN980" s="302"/>
      <c r="AO980" s="303"/>
      <c r="AP980" s="285"/>
      <c r="AQ980" s="258"/>
      <c r="AR980" s="258"/>
    </row>
    <row r="981" spans="10:44" s="48" customFormat="1" ht="12" hidden="1" customHeight="1">
      <c r="J981" s="213"/>
      <c r="K981" s="213"/>
      <c r="L981" s="213"/>
      <c r="M981" s="213"/>
      <c r="N981" s="213"/>
      <c r="O981" s="213"/>
      <c r="P981" s="213"/>
      <c r="Q981" s="213"/>
      <c r="R981" s="213"/>
      <c r="S981" s="213"/>
      <c r="T981" s="213"/>
      <c r="U981" s="213"/>
      <c r="V981" s="213"/>
      <c r="W981" s="213"/>
      <c r="X981" s="213"/>
      <c r="Y981" s="213"/>
      <c r="Z981" s="213"/>
      <c r="AA981" s="213"/>
      <c r="AB981" s="213"/>
      <c r="AC981" s="213"/>
      <c r="AD981" s="213"/>
      <c r="AE981" s="213"/>
      <c r="AF981" s="213"/>
      <c r="AG981" s="213"/>
      <c r="AH981" s="213"/>
      <c r="AI981" s="213"/>
      <c r="AJ981" s="213"/>
      <c r="AK981" s="213"/>
      <c r="AL981" s="213"/>
      <c r="AM981" s="213"/>
      <c r="AN981" s="302"/>
      <c r="AO981" s="303"/>
      <c r="AP981" s="285"/>
      <c r="AQ981" s="258"/>
      <c r="AR981" s="258"/>
    </row>
    <row r="982" spans="10:44" s="48" customFormat="1" ht="12" hidden="1" customHeight="1">
      <c r="J982" s="213"/>
      <c r="K982" s="213"/>
      <c r="L982" s="213"/>
      <c r="M982" s="213"/>
      <c r="N982" s="213"/>
      <c r="O982" s="213"/>
      <c r="P982" s="213"/>
      <c r="Q982" s="213"/>
      <c r="R982" s="213"/>
      <c r="S982" s="213"/>
      <c r="T982" s="213"/>
      <c r="U982" s="213"/>
      <c r="V982" s="213"/>
      <c r="W982" s="213"/>
      <c r="X982" s="213"/>
      <c r="Y982" s="213"/>
      <c r="Z982" s="213"/>
      <c r="AA982" s="213"/>
      <c r="AB982" s="213"/>
      <c r="AC982" s="213"/>
      <c r="AD982" s="213"/>
      <c r="AE982" s="213"/>
      <c r="AF982" s="213"/>
      <c r="AG982" s="213"/>
      <c r="AH982" s="213"/>
      <c r="AI982" s="213"/>
      <c r="AJ982" s="213"/>
      <c r="AK982" s="213"/>
      <c r="AL982" s="213"/>
      <c r="AM982" s="213"/>
      <c r="AN982" s="302"/>
      <c r="AO982" s="303"/>
      <c r="AP982" s="285"/>
      <c r="AQ982" s="258"/>
      <c r="AR982" s="258"/>
    </row>
    <row r="983" spans="10:44" s="48" customFormat="1" ht="12" hidden="1" customHeight="1">
      <c r="J983" s="213"/>
      <c r="K983" s="213"/>
      <c r="L983" s="213"/>
      <c r="M983" s="213"/>
      <c r="N983" s="213"/>
      <c r="O983" s="213"/>
      <c r="P983" s="213"/>
      <c r="Q983" s="213"/>
      <c r="R983" s="213"/>
      <c r="S983" s="213"/>
      <c r="T983" s="213"/>
      <c r="U983" s="213"/>
      <c r="V983" s="213"/>
      <c r="W983" s="213"/>
      <c r="X983" s="213"/>
      <c r="Y983" s="213"/>
      <c r="Z983" s="213"/>
      <c r="AA983" s="213"/>
      <c r="AB983" s="213"/>
      <c r="AC983" s="213"/>
      <c r="AD983" s="213"/>
      <c r="AE983" s="213"/>
      <c r="AF983" s="213"/>
      <c r="AG983" s="213"/>
      <c r="AH983" s="213"/>
      <c r="AI983" s="213"/>
      <c r="AJ983" s="213"/>
      <c r="AK983" s="213"/>
      <c r="AL983" s="213"/>
      <c r="AM983" s="213"/>
      <c r="AN983" s="302"/>
      <c r="AO983" s="303"/>
      <c r="AP983" s="285"/>
      <c r="AQ983" s="258"/>
      <c r="AR983" s="258"/>
    </row>
    <row r="984" spans="10:44" s="48" customFormat="1" ht="12" hidden="1" customHeight="1">
      <c r="J984" s="213"/>
      <c r="K984" s="213"/>
      <c r="L984" s="213"/>
      <c r="M984" s="213"/>
      <c r="N984" s="213"/>
      <c r="O984" s="213"/>
      <c r="P984" s="213"/>
      <c r="Q984" s="213"/>
      <c r="R984" s="213"/>
      <c r="S984" s="213"/>
      <c r="T984" s="213"/>
      <c r="U984" s="213"/>
      <c r="V984" s="213"/>
      <c r="W984" s="213"/>
      <c r="X984" s="213"/>
      <c r="Y984" s="213"/>
      <c r="Z984" s="213"/>
      <c r="AA984" s="213"/>
      <c r="AB984" s="213"/>
      <c r="AC984" s="213"/>
      <c r="AD984" s="213"/>
      <c r="AE984" s="213"/>
      <c r="AF984" s="213"/>
      <c r="AG984" s="213"/>
      <c r="AH984" s="213"/>
      <c r="AI984" s="213"/>
      <c r="AJ984" s="213"/>
      <c r="AK984" s="213"/>
      <c r="AL984" s="213"/>
      <c r="AM984" s="213"/>
      <c r="AN984" s="302"/>
      <c r="AO984" s="303"/>
      <c r="AP984" s="285"/>
      <c r="AQ984" s="258"/>
      <c r="AR984" s="258"/>
    </row>
    <row r="985" spans="10:44" s="48" customFormat="1" ht="12" hidden="1" customHeight="1">
      <c r="J985" s="213"/>
      <c r="K985" s="213"/>
      <c r="L985" s="213"/>
      <c r="M985" s="213"/>
      <c r="N985" s="213"/>
      <c r="O985" s="213"/>
      <c r="P985" s="213"/>
      <c r="Q985" s="213"/>
      <c r="R985" s="213"/>
      <c r="S985" s="213"/>
      <c r="T985" s="213"/>
      <c r="U985" s="213"/>
      <c r="V985" s="213"/>
      <c r="W985" s="213"/>
      <c r="X985" s="213"/>
      <c r="Y985" s="213"/>
      <c r="Z985" s="213"/>
      <c r="AA985" s="213"/>
      <c r="AB985" s="213"/>
      <c r="AC985" s="213"/>
      <c r="AD985" s="213"/>
      <c r="AE985" s="213"/>
      <c r="AF985" s="213"/>
      <c r="AG985" s="213"/>
      <c r="AH985" s="213"/>
      <c r="AI985" s="213"/>
      <c r="AJ985" s="213"/>
      <c r="AK985" s="213"/>
      <c r="AL985" s="213"/>
      <c r="AM985" s="213"/>
      <c r="AN985" s="302"/>
      <c r="AO985" s="303"/>
      <c r="AP985" s="285"/>
      <c r="AQ985" s="258"/>
      <c r="AR985" s="258"/>
    </row>
    <row r="986" spans="10:44" s="48" customFormat="1" ht="12" hidden="1" customHeight="1">
      <c r="J986" s="213"/>
      <c r="K986" s="213"/>
      <c r="L986" s="213"/>
      <c r="M986" s="213"/>
      <c r="N986" s="213"/>
      <c r="O986" s="213"/>
      <c r="P986" s="213"/>
      <c r="Q986" s="213"/>
      <c r="R986" s="213"/>
      <c r="S986" s="213"/>
      <c r="T986" s="213"/>
      <c r="U986" s="213"/>
      <c r="V986" s="213"/>
      <c r="W986" s="213"/>
      <c r="X986" s="213"/>
      <c r="Y986" s="213"/>
      <c r="Z986" s="213"/>
      <c r="AA986" s="213"/>
      <c r="AB986" s="213"/>
      <c r="AC986" s="213"/>
      <c r="AD986" s="213"/>
      <c r="AE986" s="213"/>
      <c r="AF986" s="213"/>
      <c r="AG986" s="213"/>
      <c r="AH986" s="213"/>
      <c r="AI986" s="213"/>
      <c r="AJ986" s="213"/>
      <c r="AK986" s="213"/>
      <c r="AL986" s="213"/>
      <c r="AM986" s="213"/>
      <c r="AN986" s="302"/>
      <c r="AO986" s="303"/>
      <c r="AP986" s="285"/>
      <c r="AQ986" s="258"/>
      <c r="AR986" s="258"/>
    </row>
    <row r="987" spans="10:44" s="48" customFormat="1" ht="12" hidden="1" customHeight="1">
      <c r="J987" s="213"/>
      <c r="K987" s="213"/>
      <c r="L987" s="213"/>
      <c r="M987" s="213"/>
      <c r="N987" s="213"/>
      <c r="O987" s="213"/>
      <c r="P987" s="213"/>
      <c r="Q987" s="213"/>
      <c r="R987" s="213"/>
      <c r="S987" s="213"/>
      <c r="T987" s="213"/>
      <c r="U987" s="213"/>
      <c r="V987" s="213"/>
      <c r="W987" s="213"/>
      <c r="X987" s="213"/>
      <c r="Y987" s="213"/>
      <c r="Z987" s="213"/>
      <c r="AA987" s="213"/>
      <c r="AB987" s="213"/>
      <c r="AC987" s="213"/>
      <c r="AD987" s="213"/>
      <c r="AE987" s="213"/>
      <c r="AF987" s="213"/>
      <c r="AG987" s="213"/>
      <c r="AH987" s="213"/>
      <c r="AI987" s="213"/>
      <c r="AJ987" s="213"/>
      <c r="AK987" s="213"/>
      <c r="AL987" s="213"/>
      <c r="AM987" s="213"/>
      <c r="AN987" s="302"/>
      <c r="AO987" s="303"/>
      <c r="AP987" s="285"/>
      <c r="AQ987" s="258"/>
      <c r="AR987" s="258"/>
    </row>
    <row r="988" spans="10:44" s="48" customFormat="1" ht="12" hidden="1" customHeight="1">
      <c r="J988" s="213"/>
      <c r="K988" s="213"/>
      <c r="L988" s="213"/>
      <c r="M988" s="213"/>
      <c r="N988" s="213"/>
      <c r="O988" s="213"/>
      <c r="P988" s="213"/>
      <c r="Q988" s="213"/>
      <c r="R988" s="213"/>
      <c r="S988" s="213"/>
      <c r="T988" s="213"/>
      <c r="U988" s="213"/>
      <c r="V988" s="213"/>
      <c r="W988" s="213"/>
      <c r="X988" s="213"/>
      <c r="Y988" s="213"/>
      <c r="Z988" s="213"/>
      <c r="AA988" s="213"/>
      <c r="AB988" s="213"/>
      <c r="AC988" s="213"/>
      <c r="AD988" s="213"/>
      <c r="AE988" s="213"/>
      <c r="AF988" s="213"/>
      <c r="AG988" s="213"/>
      <c r="AH988" s="213"/>
      <c r="AI988" s="213"/>
      <c r="AJ988" s="213"/>
      <c r="AK988" s="213"/>
      <c r="AL988" s="213"/>
      <c r="AM988" s="213"/>
      <c r="AN988" s="302"/>
      <c r="AO988" s="303"/>
      <c r="AP988" s="285"/>
      <c r="AQ988" s="258"/>
      <c r="AR988" s="258"/>
    </row>
    <row r="989" spans="10:44" s="48" customFormat="1" ht="12" hidden="1" customHeight="1">
      <c r="J989" s="213"/>
      <c r="K989" s="213"/>
      <c r="L989" s="213"/>
      <c r="M989" s="213"/>
      <c r="N989" s="213"/>
      <c r="O989" s="213"/>
      <c r="P989" s="213"/>
      <c r="Q989" s="213"/>
      <c r="R989" s="213"/>
      <c r="S989" s="213"/>
      <c r="T989" s="213"/>
      <c r="U989" s="213"/>
      <c r="V989" s="213"/>
      <c r="W989" s="213"/>
      <c r="X989" s="213"/>
      <c r="Y989" s="213"/>
      <c r="Z989" s="213"/>
      <c r="AA989" s="213"/>
      <c r="AB989" s="213"/>
      <c r="AC989" s="213"/>
      <c r="AD989" s="213"/>
      <c r="AE989" s="213"/>
      <c r="AF989" s="213"/>
      <c r="AG989" s="213"/>
      <c r="AH989" s="213"/>
      <c r="AI989" s="213"/>
      <c r="AJ989" s="213"/>
      <c r="AK989" s="213"/>
      <c r="AL989" s="213"/>
      <c r="AM989" s="213"/>
      <c r="AN989" s="302"/>
      <c r="AO989" s="303"/>
      <c r="AP989" s="285"/>
      <c r="AQ989" s="258"/>
      <c r="AR989" s="258"/>
    </row>
    <row r="990" spans="10:44" s="48" customFormat="1" ht="12" hidden="1" customHeight="1">
      <c r="J990" s="213"/>
      <c r="K990" s="213"/>
      <c r="L990" s="213"/>
      <c r="M990" s="213"/>
      <c r="N990" s="213"/>
      <c r="O990" s="213"/>
      <c r="P990" s="213"/>
      <c r="Q990" s="213"/>
      <c r="R990" s="213"/>
      <c r="S990" s="213"/>
      <c r="T990" s="213"/>
      <c r="U990" s="213"/>
      <c r="V990" s="213"/>
      <c r="W990" s="213"/>
      <c r="X990" s="213"/>
      <c r="Y990" s="213"/>
      <c r="Z990" s="213"/>
      <c r="AA990" s="213"/>
      <c r="AB990" s="213"/>
      <c r="AC990" s="213"/>
      <c r="AD990" s="213"/>
      <c r="AE990" s="213"/>
      <c r="AF990" s="213"/>
      <c r="AG990" s="213"/>
      <c r="AH990" s="213"/>
      <c r="AI990" s="213"/>
      <c r="AJ990" s="213"/>
      <c r="AK990" s="213"/>
      <c r="AL990" s="213"/>
      <c r="AM990" s="213"/>
      <c r="AN990" s="302"/>
      <c r="AO990" s="303"/>
      <c r="AP990" s="285"/>
      <c r="AQ990" s="258"/>
      <c r="AR990" s="258"/>
    </row>
    <row r="991" spans="10:44" s="48" customFormat="1" ht="12" hidden="1" customHeight="1">
      <c r="J991" s="213"/>
      <c r="K991" s="213"/>
      <c r="L991" s="213"/>
      <c r="M991" s="213"/>
      <c r="N991" s="213"/>
      <c r="O991" s="213"/>
      <c r="P991" s="213"/>
      <c r="Q991" s="213"/>
      <c r="R991" s="213"/>
      <c r="S991" s="213"/>
      <c r="T991" s="213"/>
      <c r="U991" s="213"/>
      <c r="V991" s="213"/>
      <c r="W991" s="213"/>
      <c r="X991" s="213"/>
      <c r="Y991" s="213"/>
      <c r="Z991" s="213"/>
      <c r="AA991" s="213"/>
      <c r="AB991" s="213"/>
      <c r="AC991" s="213"/>
      <c r="AD991" s="213"/>
      <c r="AE991" s="213"/>
      <c r="AF991" s="213"/>
      <c r="AG991" s="213"/>
      <c r="AH991" s="213"/>
      <c r="AI991" s="213"/>
      <c r="AJ991" s="213"/>
      <c r="AK991" s="213"/>
      <c r="AL991" s="213"/>
      <c r="AM991" s="213"/>
      <c r="AN991" s="302"/>
      <c r="AO991" s="303"/>
      <c r="AP991" s="285"/>
      <c r="AQ991" s="258"/>
      <c r="AR991" s="258"/>
    </row>
    <row r="992" spans="10:44" s="48" customFormat="1" ht="12" hidden="1" customHeight="1">
      <c r="J992" s="213"/>
      <c r="K992" s="213"/>
      <c r="L992" s="213"/>
      <c r="M992" s="213"/>
      <c r="N992" s="213"/>
      <c r="O992" s="213"/>
      <c r="P992" s="213"/>
      <c r="Q992" s="213"/>
      <c r="R992" s="213"/>
      <c r="S992" s="213"/>
      <c r="T992" s="213"/>
      <c r="U992" s="213"/>
      <c r="V992" s="213"/>
      <c r="W992" s="213"/>
      <c r="X992" s="213"/>
      <c r="Y992" s="213"/>
      <c r="Z992" s="213"/>
      <c r="AA992" s="213"/>
      <c r="AB992" s="213"/>
      <c r="AC992" s="213"/>
      <c r="AD992" s="213"/>
      <c r="AE992" s="213"/>
      <c r="AF992" s="213"/>
      <c r="AG992" s="213"/>
      <c r="AH992" s="213"/>
      <c r="AI992" s="213"/>
      <c r="AJ992" s="213"/>
      <c r="AK992" s="213"/>
      <c r="AL992" s="213"/>
      <c r="AM992" s="213"/>
      <c r="AN992" s="302"/>
      <c r="AO992" s="303"/>
      <c r="AP992" s="285"/>
      <c r="AQ992" s="258"/>
      <c r="AR992" s="258"/>
    </row>
    <row r="993" spans="10:44" s="48" customFormat="1" ht="12" hidden="1" customHeight="1">
      <c r="J993" s="213"/>
      <c r="K993" s="213"/>
      <c r="L993" s="213"/>
      <c r="M993" s="213"/>
      <c r="N993" s="213"/>
      <c r="O993" s="213"/>
      <c r="P993" s="213"/>
      <c r="Q993" s="213"/>
      <c r="R993" s="213"/>
      <c r="S993" s="213"/>
      <c r="T993" s="213"/>
      <c r="U993" s="213"/>
      <c r="V993" s="213"/>
      <c r="W993" s="213"/>
      <c r="X993" s="213"/>
      <c r="Y993" s="213"/>
      <c r="Z993" s="213"/>
      <c r="AA993" s="213"/>
      <c r="AB993" s="213"/>
      <c r="AC993" s="213"/>
      <c r="AD993" s="213"/>
      <c r="AE993" s="213"/>
      <c r="AF993" s="213"/>
      <c r="AG993" s="213"/>
      <c r="AH993" s="213"/>
      <c r="AI993" s="213"/>
      <c r="AJ993" s="213"/>
      <c r="AK993" s="213"/>
      <c r="AL993" s="213"/>
      <c r="AM993" s="213"/>
      <c r="AN993" s="302"/>
      <c r="AO993" s="303"/>
      <c r="AP993" s="285"/>
      <c r="AQ993" s="258"/>
      <c r="AR993" s="258"/>
    </row>
    <row r="994" spans="10:44" s="48" customFormat="1" ht="12" hidden="1" customHeight="1">
      <c r="J994" s="213"/>
      <c r="K994" s="213"/>
      <c r="L994" s="213"/>
      <c r="M994" s="213"/>
      <c r="N994" s="213"/>
      <c r="O994" s="213"/>
      <c r="P994" s="213"/>
      <c r="Q994" s="213"/>
      <c r="R994" s="213"/>
      <c r="S994" s="213"/>
      <c r="T994" s="213"/>
      <c r="U994" s="213"/>
      <c r="V994" s="213"/>
      <c r="W994" s="213"/>
      <c r="X994" s="213"/>
      <c r="Y994" s="213"/>
      <c r="Z994" s="213"/>
      <c r="AA994" s="213"/>
      <c r="AB994" s="213"/>
      <c r="AC994" s="213"/>
      <c r="AD994" s="213"/>
      <c r="AE994" s="213"/>
      <c r="AF994" s="213"/>
      <c r="AG994" s="213"/>
      <c r="AH994" s="213"/>
      <c r="AI994" s="213"/>
      <c r="AJ994" s="213"/>
      <c r="AK994" s="213"/>
      <c r="AL994" s="213"/>
      <c r="AM994" s="213"/>
      <c r="AN994" s="302"/>
      <c r="AO994" s="303"/>
      <c r="AP994" s="285"/>
      <c r="AQ994" s="258"/>
      <c r="AR994" s="258"/>
    </row>
    <row r="995" spans="10:44" s="48" customFormat="1" ht="12" hidden="1" customHeight="1">
      <c r="J995" s="213"/>
      <c r="K995" s="213"/>
      <c r="L995" s="213"/>
      <c r="M995" s="213"/>
      <c r="N995" s="213"/>
      <c r="O995" s="213"/>
      <c r="P995" s="213"/>
      <c r="Q995" s="213"/>
      <c r="R995" s="213"/>
      <c r="S995" s="213"/>
      <c r="T995" s="213"/>
      <c r="U995" s="213"/>
      <c r="V995" s="213"/>
      <c r="W995" s="213"/>
      <c r="X995" s="213"/>
      <c r="Y995" s="213"/>
      <c r="Z995" s="213"/>
      <c r="AA995" s="213"/>
      <c r="AB995" s="213"/>
      <c r="AC995" s="213"/>
      <c r="AD995" s="213"/>
      <c r="AE995" s="213"/>
      <c r="AF995" s="213"/>
      <c r="AG995" s="213"/>
      <c r="AH995" s="213"/>
      <c r="AI995" s="213"/>
      <c r="AJ995" s="213"/>
      <c r="AK995" s="213"/>
      <c r="AL995" s="213"/>
      <c r="AM995" s="213"/>
      <c r="AN995" s="302"/>
      <c r="AO995" s="303"/>
      <c r="AP995" s="285"/>
      <c r="AQ995" s="258"/>
      <c r="AR995" s="258"/>
    </row>
    <row r="996" spans="10:44" s="48" customFormat="1" ht="12" hidden="1" customHeight="1">
      <c r="J996" s="213"/>
      <c r="K996" s="213"/>
      <c r="L996" s="213"/>
      <c r="M996" s="213"/>
      <c r="N996" s="213"/>
      <c r="O996" s="213"/>
      <c r="P996" s="213"/>
      <c r="Q996" s="213"/>
      <c r="R996" s="213"/>
      <c r="S996" s="213"/>
      <c r="T996" s="213"/>
      <c r="U996" s="213"/>
      <c r="V996" s="213"/>
      <c r="W996" s="213"/>
      <c r="X996" s="213"/>
      <c r="Y996" s="213"/>
      <c r="Z996" s="213"/>
      <c r="AA996" s="213"/>
      <c r="AB996" s="213"/>
      <c r="AC996" s="213"/>
      <c r="AD996" s="213"/>
      <c r="AE996" s="213"/>
      <c r="AF996" s="213"/>
      <c r="AG996" s="213"/>
      <c r="AH996" s="213"/>
      <c r="AI996" s="213"/>
      <c r="AJ996" s="213"/>
      <c r="AK996" s="213"/>
      <c r="AL996" s="213"/>
      <c r="AM996" s="213"/>
      <c r="AN996" s="302"/>
      <c r="AO996" s="303"/>
      <c r="AP996" s="285"/>
      <c r="AQ996" s="258"/>
      <c r="AR996" s="258"/>
    </row>
    <row r="997" spans="10:44" s="48" customFormat="1" ht="12" hidden="1" customHeight="1">
      <c r="J997" s="213"/>
      <c r="K997" s="213"/>
      <c r="L997" s="213"/>
      <c r="M997" s="213"/>
      <c r="N997" s="213"/>
      <c r="O997" s="213"/>
      <c r="P997" s="213"/>
      <c r="Q997" s="213"/>
      <c r="R997" s="213"/>
      <c r="S997" s="213"/>
      <c r="T997" s="213"/>
      <c r="U997" s="213"/>
      <c r="V997" s="213"/>
      <c r="W997" s="213"/>
      <c r="X997" s="213"/>
      <c r="Y997" s="213"/>
      <c r="Z997" s="213"/>
      <c r="AA997" s="213"/>
      <c r="AB997" s="213"/>
      <c r="AC997" s="213"/>
      <c r="AD997" s="213"/>
      <c r="AE997" s="213"/>
      <c r="AF997" s="213"/>
      <c r="AG997" s="213"/>
      <c r="AH997" s="213"/>
      <c r="AI997" s="213"/>
      <c r="AJ997" s="213"/>
      <c r="AK997" s="213"/>
      <c r="AL997" s="213"/>
      <c r="AM997" s="213"/>
      <c r="AN997" s="302"/>
      <c r="AO997" s="303"/>
      <c r="AP997" s="285"/>
      <c r="AQ997" s="258"/>
      <c r="AR997" s="258"/>
    </row>
    <row r="998" spans="10:44" s="48" customFormat="1" ht="12" hidden="1" customHeight="1">
      <c r="J998" s="213"/>
      <c r="K998" s="213"/>
      <c r="L998" s="213"/>
      <c r="M998" s="213"/>
      <c r="N998" s="213"/>
      <c r="O998" s="213"/>
      <c r="P998" s="213"/>
      <c r="Q998" s="213"/>
      <c r="R998" s="213"/>
      <c r="S998" s="213"/>
      <c r="T998" s="213"/>
      <c r="U998" s="213"/>
      <c r="V998" s="213"/>
      <c r="W998" s="213"/>
      <c r="X998" s="213"/>
      <c r="Y998" s="213"/>
      <c r="Z998" s="213"/>
      <c r="AA998" s="213"/>
      <c r="AB998" s="213"/>
      <c r="AC998" s="213"/>
      <c r="AD998" s="213"/>
      <c r="AE998" s="213"/>
      <c r="AF998" s="213"/>
      <c r="AG998" s="213"/>
      <c r="AH998" s="213"/>
      <c r="AI998" s="213"/>
      <c r="AJ998" s="213"/>
      <c r="AK998" s="213"/>
      <c r="AL998" s="213"/>
      <c r="AM998" s="213"/>
      <c r="AN998" s="302"/>
      <c r="AO998" s="303"/>
      <c r="AP998" s="285"/>
      <c r="AQ998" s="258"/>
      <c r="AR998" s="258"/>
    </row>
    <row r="999" spans="10:44" s="48" customFormat="1" ht="12" hidden="1" customHeight="1">
      <c r="J999" s="213"/>
      <c r="K999" s="213"/>
      <c r="L999" s="213"/>
      <c r="M999" s="213"/>
      <c r="N999" s="213"/>
      <c r="O999" s="213"/>
      <c r="P999" s="213"/>
      <c r="Q999" s="213"/>
      <c r="R999" s="213"/>
      <c r="S999" s="213"/>
      <c r="T999" s="213"/>
      <c r="U999" s="213"/>
      <c r="V999" s="213"/>
      <c r="W999" s="213"/>
      <c r="X999" s="213"/>
      <c r="Y999" s="213"/>
      <c r="Z999" s="213"/>
      <c r="AA999" s="213"/>
      <c r="AB999" s="213"/>
      <c r="AC999" s="213"/>
      <c r="AD999" s="213"/>
      <c r="AE999" s="213"/>
      <c r="AF999" s="213"/>
      <c r="AG999" s="213"/>
      <c r="AH999" s="213"/>
      <c r="AI999" s="213"/>
      <c r="AJ999" s="213"/>
      <c r="AK999" s="213"/>
      <c r="AL999" s="213"/>
      <c r="AM999" s="213"/>
      <c r="AN999" s="302"/>
      <c r="AO999" s="303"/>
      <c r="AP999" s="285"/>
      <c r="AQ999" s="258"/>
      <c r="AR999" s="258"/>
    </row>
    <row r="1000" spans="10:44" s="48" customFormat="1" ht="0.75" customHeight="1">
      <c r="J1000" s="213"/>
      <c r="K1000" s="213"/>
      <c r="L1000" s="213"/>
      <c r="M1000" s="213"/>
      <c r="N1000" s="213"/>
      <c r="O1000" s="213"/>
      <c r="P1000" s="213"/>
      <c r="Q1000" s="213"/>
      <c r="R1000" s="213"/>
      <c r="S1000" s="213"/>
      <c r="T1000" s="213"/>
      <c r="U1000" s="213"/>
      <c r="V1000" s="213"/>
      <c r="W1000" s="213"/>
      <c r="X1000" s="213"/>
      <c r="Y1000" s="213"/>
      <c r="Z1000" s="213"/>
      <c r="AA1000" s="213"/>
      <c r="AB1000" s="213"/>
      <c r="AC1000" s="213"/>
      <c r="AD1000" s="213"/>
      <c r="AE1000" s="213"/>
      <c r="AF1000" s="213"/>
      <c r="AG1000" s="213"/>
      <c r="AH1000" s="213"/>
      <c r="AI1000" s="213"/>
      <c r="AJ1000" s="213"/>
      <c r="AK1000" s="213"/>
      <c r="AL1000" s="213"/>
      <c r="AM1000" s="213"/>
      <c r="AN1000" s="283"/>
      <c r="AO1000" s="215"/>
      <c r="AP1000" s="286"/>
      <c r="AQ1000" s="265"/>
      <c r="AR1000" s="265"/>
    </row>
    <row r="1001" spans="10:44" s="48" customFormat="1">
      <c r="J1001" s="213"/>
      <c r="K1001" s="213"/>
      <c r="L1001" s="213"/>
      <c r="M1001" s="213"/>
      <c r="N1001" s="213"/>
      <c r="O1001" s="213"/>
      <c r="P1001" s="213"/>
      <c r="Q1001" s="213"/>
      <c r="R1001" s="213"/>
      <c r="S1001" s="213"/>
      <c r="T1001" s="213"/>
      <c r="U1001" s="213"/>
      <c r="V1001" s="213"/>
      <c r="W1001" s="213"/>
      <c r="X1001" s="213"/>
      <c r="Y1001" s="213"/>
      <c r="Z1001" s="213"/>
      <c r="AA1001" s="213"/>
      <c r="AB1001" s="213"/>
      <c r="AC1001" s="213"/>
      <c r="AD1001" s="213"/>
      <c r="AE1001" s="213"/>
      <c r="AF1001" s="213"/>
      <c r="AG1001" s="213"/>
      <c r="AH1001" s="213"/>
      <c r="AI1001" s="213"/>
      <c r="AJ1001" s="213"/>
      <c r="AK1001" s="213"/>
      <c r="AL1001" s="213"/>
      <c r="AM1001" s="213"/>
      <c r="AN1001" s="199"/>
      <c r="AP1001" s="121"/>
      <c r="AQ1001" s="121"/>
    </row>
    <row r="1002" spans="10:44">
      <c r="AP1002" s="121"/>
      <c r="AQ1002" s="121"/>
    </row>
    <row r="1003" spans="10:44">
      <c r="AP1003" s="121"/>
      <c r="AQ1003" s="121"/>
    </row>
  </sheetData>
  <sheetProtection password="FA9C" sheet="1" objects="1" scenarios="1" formatColumns="0" formatRows="0"/>
  <mergeCells count="4">
    <mergeCell ref="AN9:AP9"/>
    <mergeCell ref="AN11:AN12"/>
    <mergeCell ref="AO11:AO12"/>
    <mergeCell ref="AP11:AP12"/>
  </mergeCells>
  <phoneticPr fontId="8"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codeName="HEAT_CALC_PERIOD1">
    <tabColor rgb="FF00B050"/>
    <outlinePr summaryBelow="0"/>
  </sheetPr>
  <dimension ref="A1:AU1001"/>
  <sheetViews>
    <sheetView showGridLines="0" topLeftCell="AL8" workbookViewId="0"/>
  </sheetViews>
  <sheetFormatPr defaultRowHeight="11.25"/>
  <cols>
    <col min="1" max="9" width="4.5703125" style="47" hidden="1" customWidth="1"/>
    <col min="10" max="10" width="4.5703125" hidden="1" customWidth="1"/>
    <col min="11" max="36" width="4.5703125" style="47" hidden="1" customWidth="1"/>
    <col min="37" max="37" width="2.7109375" style="47"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4" width="0.140625" style="47" customWidth="1"/>
    <col min="45" max="46" width="2.7109375" style="47" customWidth="1"/>
    <col min="47" max="16384" width="9.140625" style="47"/>
  </cols>
  <sheetData>
    <row r="1" spans="1:45" ht="12" hidden="1" customHeight="1">
      <c r="A1" s="48"/>
    </row>
    <row r="2" spans="1:45" ht="12" hidden="1" customHeight="1"/>
    <row r="3" spans="1:45" ht="12" hidden="1" customHeight="1"/>
    <row r="4" spans="1:45" ht="12" hidden="1" customHeight="1"/>
    <row r="5" spans="1:45" ht="12" hidden="1" customHeight="1"/>
    <row r="6" spans="1:45" ht="12" hidden="1" customHeight="1"/>
    <row r="7" spans="1:45" ht="12" hidden="1" customHeight="1"/>
    <row r="8" spans="1:45" s="314" customFormat="1" ht="11.25" customHeight="1">
      <c r="J8" s="313"/>
      <c r="AM8" s="617"/>
      <c r="AN8" s="637">
        <f>IF(TARIFF_SETUP_METHOD_CODE="BY_PSEUDO_YEARS",12,6)</f>
        <v>6</v>
      </c>
      <c r="AO8" s="431" t="str">
        <f>"Необходимо указывать " &amp; IF(TARIFF_SETUP_METHOD_CODE="BY_PSEUDO_YEARS","общегодовые значения","значения по периодам")</f>
        <v>Необходимо указывать значения по периодам</v>
      </c>
      <c r="AP8" s="616" t="s">
        <v>785</v>
      </c>
      <c r="AQ8" s="310"/>
      <c r="AR8" s="310"/>
      <c r="AS8" s="310"/>
    </row>
    <row r="9" spans="1:45"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по муниципальному образованию - " &amp; IF(mo="","Не определено",mo)</f>
        <v>Фактические расходы организаций водоотведения по муниципальному образованию - Село Булава</v>
      </c>
      <c r="AO9" s="917"/>
      <c r="AP9" s="917"/>
      <c r="AQ9" s="201"/>
      <c r="AR9" s="122"/>
      <c r="AS9" s="200"/>
    </row>
    <row r="10" spans="1:45" ht="12" customHeight="1">
      <c r="AM10" s="124"/>
      <c r="AN10" s="430" t="s">
        <v>2489</v>
      </c>
      <c r="AO10" s="221"/>
      <c r="AP10" s="122" t="s">
        <v>786</v>
      </c>
      <c r="AQ10" s="201"/>
      <c r="AR10" s="168" t="s">
        <v>720</v>
      </c>
      <c r="AS10" s="53"/>
    </row>
    <row r="11" spans="1:45" ht="12" customHeight="1">
      <c r="AL11" s="50"/>
      <c r="AM11" s="125"/>
      <c r="AN11" s="802" t="s">
        <v>641</v>
      </c>
      <c r="AO11" s="804" t="s">
        <v>787</v>
      </c>
      <c r="AP11" s="806" t="s">
        <v>778</v>
      </c>
      <c r="AQ11" s="206">
        <v>0</v>
      </c>
      <c r="AR11" s="206"/>
      <c r="AS11" s="220"/>
    </row>
    <row r="12" spans="1:45" ht="48" customHeight="1">
      <c r="AL12" s="50"/>
      <c r="AM12" s="125"/>
      <c r="AN12" s="802"/>
      <c r="AO12" s="804"/>
      <c r="AP12" s="806"/>
      <c r="AQ12" s="207"/>
      <c r="AR12" s="207"/>
      <c r="AS12" s="220"/>
    </row>
    <row r="13" spans="1:45" ht="11.25" customHeight="1">
      <c r="AL13" s="50"/>
      <c r="AM13" s="125"/>
      <c r="AN13" s="232"/>
      <c r="AO13" s="233" t="s">
        <v>788</v>
      </c>
      <c r="AP13" s="251"/>
      <c r="AQ13" s="207"/>
      <c r="AR13" s="207"/>
      <c r="AS13" s="220"/>
    </row>
    <row r="14" spans="1:45" ht="11.25" customHeight="1">
      <c r="AL14" s="50"/>
      <c r="AM14" s="125"/>
      <c r="AN14" s="232"/>
      <c r="AO14" s="490" t="str">
        <f>IF(CALC_IDENTIFIER="","",CALC_IDENTIFIER)</f>
        <v/>
      </c>
      <c r="AP14" s="251"/>
      <c r="AQ14" s="207"/>
      <c r="AR14" s="207"/>
      <c r="AS14" s="220"/>
    </row>
    <row r="15" spans="1:45">
      <c r="AL15" s="50"/>
      <c r="AM15" s="125"/>
      <c r="AN15" s="234" t="s">
        <v>642</v>
      </c>
      <c r="AO15" s="489" t="s">
        <v>789</v>
      </c>
      <c r="AP15" s="257">
        <f t="shared" ref="AP15:AP26" si="0">SUM(AQ15:AR15)</f>
        <v>0</v>
      </c>
      <c r="AQ15" s="258"/>
      <c r="AR15" s="258"/>
      <c r="AS15" s="127"/>
    </row>
    <row r="16" spans="1:45">
      <c r="AL16" s="50"/>
      <c r="AM16" s="125"/>
      <c r="AN16" s="234" t="s">
        <v>790</v>
      </c>
      <c r="AO16" s="224" t="s">
        <v>791</v>
      </c>
      <c r="AP16" s="257">
        <f t="shared" si="0"/>
        <v>0</v>
      </c>
      <c r="AQ16" s="258"/>
      <c r="AR16" s="258"/>
      <c r="AS16" s="127"/>
    </row>
    <row r="17" spans="1:47">
      <c r="AL17" s="50"/>
      <c r="AM17" s="125"/>
      <c r="AN17" s="236" t="s">
        <v>792</v>
      </c>
      <c r="AO17" s="237" t="s">
        <v>793</v>
      </c>
      <c r="AP17" s="257">
        <f t="shared" si="0"/>
        <v>0</v>
      </c>
      <c r="AQ17" s="258"/>
      <c r="AR17" s="258"/>
      <c r="AS17" s="127"/>
    </row>
    <row r="18" spans="1:47" ht="12.75">
      <c r="AL18" s="50"/>
      <c r="AM18" s="125"/>
      <c r="AN18" s="234" t="s">
        <v>794</v>
      </c>
      <c r="AO18" s="238" t="s">
        <v>2567</v>
      </c>
      <c r="AP18" s="257">
        <f>IF(AP19=0,0,AP17*1000/AP19)</f>
        <v>0</v>
      </c>
      <c r="AQ18" s="258"/>
      <c r="AR18" s="258"/>
      <c r="AS18" s="127"/>
    </row>
    <row r="19" spans="1:47" ht="12.75">
      <c r="AL19" s="50"/>
      <c r="AM19" s="125"/>
      <c r="AN19" s="234" t="s">
        <v>61</v>
      </c>
      <c r="AO19" s="238" t="s">
        <v>2568</v>
      </c>
      <c r="AP19" s="257">
        <f t="shared" si="0"/>
        <v>0</v>
      </c>
      <c r="AQ19" s="258"/>
      <c r="AR19" s="258"/>
      <c r="AS19" s="127"/>
    </row>
    <row r="20" spans="1:47" ht="22.5">
      <c r="A20" s="51"/>
      <c r="B20" s="51"/>
      <c r="C20" s="51"/>
      <c r="D20" s="51"/>
      <c r="E20" s="51"/>
      <c r="F20" s="51"/>
      <c r="G20" s="51"/>
      <c r="H20" s="51"/>
      <c r="I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2"/>
      <c r="AM20" s="125"/>
      <c r="AN20" s="236" t="s">
        <v>63</v>
      </c>
      <c r="AO20" s="237" t="s">
        <v>64</v>
      </c>
      <c r="AP20" s="257">
        <f t="shared" si="0"/>
        <v>0</v>
      </c>
      <c r="AQ20" s="258"/>
      <c r="AR20" s="258"/>
      <c r="AS20" s="127"/>
    </row>
    <row r="21" spans="1:47">
      <c r="A21" s="51"/>
      <c r="B21" s="51"/>
      <c r="C21" s="51"/>
      <c r="D21" s="51"/>
      <c r="E21" s="51"/>
      <c r="F21" s="51"/>
      <c r="G21" s="51"/>
      <c r="H21" s="51"/>
      <c r="I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3"/>
      <c r="AM21" s="124"/>
      <c r="AN21" s="234" t="s">
        <v>751</v>
      </c>
      <c r="AO21" s="235" t="s">
        <v>65</v>
      </c>
      <c r="AP21" s="257">
        <f t="shared" si="0"/>
        <v>0</v>
      </c>
      <c r="AQ21" s="258"/>
      <c r="AR21" s="258"/>
      <c r="AS21" s="127"/>
    </row>
    <row r="22" spans="1:47">
      <c r="A22" s="51"/>
      <c r="B22" s="51"/>
      <c r="C22" s="51"/>
      <c r="D22" s="51"/>
      <c r="E22" s="51"/>
      <c r="F22" s="51"/>
      <c r="G22" s="51"/>
      <c r="H22" s="51"/>
      <c r="I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3"/>
      <c r="AM22" s="124"/>
      <c r="AN22" s="234" t="s">
        <v>66</v>
      </c>
      <c r="AO22" s="237" t="s">
        <v>67</v>
      </c>
      <c r="AP22" s="257">
        <f t="shared" si="0"/>
        <v>0</v>
      </c>
      <c r="AQ22" s="258"/>
      <c r="AR22" s="258"/>
      <c r="AS22" s="127"/>
    </row>
    <row r="23" spans="1:47">
      <c r="A23" s="51"/>
      <c r="B23" s="51"/>
      <c r="C23" s="51"/>
      <c r="D23" s="51"/>
      <c r="E23" s="51"/>
      <c r="F23" s="51"/>
      <c r="G23" s="51"/>
      <c r="H23" s="51"/>
      <c r="I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3"/>
      <c r="AM23" s="124"/>
      <c r="AN23" s="234" t="s">
        <v>69</v>
      </c>
      <c r="AO23" s="237" t="s">
        <v>70</v>
      </c>
      <c r="AP23" s="257">
        <f t="shared" si="0"/>
        <v>0</v>
      </c>
      <c r="AQ23" s="258"/>
      <c r="AR23" s="258"/>
      <c r="AS23" s="127"/>
    </row>
    <row r="24" spans="1:47">
      <c r="A24" s="51"/>
      <c r="B24" s="51"/>
      <c r="C24" s="51"/>
      <c r="D24" s="51"/>
      <c r="E24" s="51"/>
      <c r="F24" s="51"/>
      <c r="G24" s="51"/>
      <c r="H24" s="51"/>
      <c r="I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3"/>
      <c r="AM24" s="124"/>
      <c r="AN24" s="234" t="s">
        <v>72</v>
      </c>
      <c r="AO24" s="237" t="s">
        <v>73</v>
      </c>
      <c r="AP24" s="257">
        <f t="shared" si="0"/>
        <v>0</v>
      </c>
      <c r="AQ24" s="258"/>
      <c r="AR24" s="258"/>
      <c r="AS24" s="127"/>
    </row>
    <row r="25" spans="1:47">
      <c r="A25" s="51"/>
      <c r="B25" s="51"/>
      <c r="C25" s="51"/>
      <c r="D25" s="51"/>
      <c r="E25" s="51"/>
      <c r="F25" s="51"/>
      <c r="G25" s="51"/>
      <c r="H25" s="51"/>
      <c r="I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3"/>
      <c r="AM25" s="124"/>
      <c r="AN25" s="234" t="s">
        <v>752</v>
      </c>
      <c r="AO25" s="235" t="s">
        <v>74</v>
      </c>
      <c r="AP25" s="257">
        <f t="shared" si="0"/>
        <v>0</v>
      </c>
      <c r="AQ25" s="258"/>
      <c r="AR25" s="258"/>
      <c r="AS25" s="127"/>
    </row>
    <row r="26" spans="1:47">
      <c r="A26" s="51"/>
      <c r="B26" s="51"/>
      <c r="C26" s="51"/>
      <c r="D26" s="51"/>
      <c r="E26" s="51"/>
      <c r="F26" s="51"/>
      <c r="G26" s="51"/>
      <c r="H26" s="51"/>
      <c r="I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3"/>
      <c r="AM26" s="124"/>
      <c r="AN26" s="236" t="s">
        <v>760</v>
      </c>
      <c r="AO26" s="237" t="s">
        <v>76</v>
      </c>
      <c r="AP26" s="257">
        <f t="shared" si="0"/>
        <v>0</v>
      </c>
      <c r="AQ26" s="258"/>
      <c r="AR26" s="258"/>
      <c r="AS26" s="127"/>
    </row>
    <row r="27" spans="1:47" ht="22.5">
      <c r="A27" s="51"/>
      <c r="B27" s="51"/>
      <c r="C27" s="51"/>
      <c r="D27" s="51"/>
      <c r="E27" s="51"/>
      <c r="F27" s="51"/>
      <c r="G27" s="51"/>
      <c r="H27" s="51"/>
      <c r="I27" s="5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234" t="s">
        <v>753</v>
      </c>
      <c r="AO27" s="233" t="s">
        <v>211</v>
      </c>
      <c r="AP27" s="305">
        <f>SUM(AQ27:AR27)</f>
        <v>0</v>
      </c>
      <c r="AQ27" s="258"/>
      <c r="AR27" s="258"/>
      <c r="AS27" s="202"/>
      <c r="AT27" s="48"/>
      <c r="AU27" s="48"/>
    </row>
    <row r="28" spans="1:47">
      <c r="A28" s="51"/>
      <c r="B28" s="51"/>
      <c r="C28" s="51"/>
      <c r="D28" s="51"/>
      <c r="E28" s="51"/>
      <c r="F28" s="51"/>
      <c r="G28" s="51"/>
      <c r="H28" s="51"/>
      <c r="I28" s="5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451" t="s">
        <v>766</v>
      </c>
      <c r="AO28" s="453" t="s">
        <v>78</v>
      </c>
      <c r="AP28" s="305">
        <f>SUM(AQ28:AR28)</f>
        <v>0</v>
      </c>
      <c r="AQ28" s="258"/>
      <c r="AR28" s="258"/>
      <c r="AS28" s="202"/>
      <c r="AT28" s="48"/>
      <c r="AU28" s="48"/>
    </row>
    <row r="29" spans="1:47">
      <c r="A29" s="51"/>
      <c r="B29" s="51"/>
      <c r="C29" s="51"/>
      <c r="D29" s="51"/>
      <c r="E29" s="51"/>
      <c r="F29" s="51"/>
      <c r="G29" s="51"/>
      <c r="H29" s="51"/>
      <c r="I29" s="5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451" t="s">
        <v>768</v>
      </c>
      <c r="AO29" s="454" t="s">
        <v>212</v>
      </c>
      <c r="AP29" s="305">
        <f>SUM(AQ29:AR29)</f>
        <v>0</v>
      </c>
      <c r="AQ29" s="258"/>
      <c r="AR29" s="258"/>
      <c r="AS29" s="202"/>
      <c r="AT29" s="48"/>
      <c r="AU29" s="48"/>
    </row>
    <row r="30" spans="1:47">
      <c r="A30" s="51"/>
      <c r="B30" s="51"/>
      <c r="C30" s="51"/>
      <c r="D30" s="51"/>
      <c r="E30" s="51"/>
      <c r="F30" s="51"/>
      <c r="G30" s="51"/>
      <c r="H30" s="51"/>
      <c r="I30" s="5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451" t="s">
        <v>132</v>
      </c>
      <c r="AO30" s="455" t="s">
        <v>79</v>
      </c>
      <c r="AP30" s="305">
        <f>SUM(AQ30:AR30)</f>
        <v>0</v>
      </c>
      <c r="AQ30" s="258"/>
      <c r="AR30" s="258"/>
      <c r="AS30" s="202"/>
      <c r="AT30" s="48"/>
      <c r="AU30" s="48"/>
    </row>
    <row r="31" spans="1:47" hidden="1">
      <c r="A31" s="51"/>
      <c r="B31" s="51"/>
      <c r="C31" s="51"/>
      <c r="D31" s="51"/>
      <c r="E31" s="51"/>
      <c r="F31" s="51"/>
      <c r="G31" s="51"/>
      <c r="H31" s="51"/>
      <c r="I31" s="5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451"/>
      <c r="AO31" s="455"/>
      <c r="AP31" s="287"/>
      <c r="AQ31" s="258"/>
      <c r="AR31" s="258"/>
      <c r="AS31" s="202"/>
      <c r="AT31" s="48"/>
      <c r="AU31" s="48"/>
    </row>
    <row r="32" spans="1:47" hidden="1">
      <c r="A32" s="51"/>
      <c r="B32" s="51"/>
      <c r="C32" s="51"/>
      <c r="D32" s="51"/>
      <c r="E32" s="51"/>
      <c r="F32" s="51"/>
      <c r="G32" s="51"/>
      <c r="H32" s="51"/>
      <c r="I32" s="5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451"/>
      <c r="AO32" s="455"/>
      <c r="AP32" s="287"/>
      <c r="AQ32" s="258"/>
      <c r="AR32" s="258"/>
      <c r="AS32" s="202"/>
      <c r="AT32" s="48"/>
      <c r="AU32" s="48"/>
    </row>
    <row r="33" spans="1:47" hidden="1">
      <c r="A33" s="51"/>
      <c r="B33" s="51"/>
      <c r="C33" s="51"/>
      <c r="D33" s="51"/>
      <c r="E33" s="51"/>
      <c r="F33" s="51"/>
      <c r="G33" s="51"/>
      <c r="H33" s="51"/>
      <c r="I33" s="5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451"/>
      <c r="AO33" s="455"/>
      <c r="AP33" s="287"/>
      <c r="AQ33" s="258"/>
      <c r="AR33" s="258"/>
      <c r="AS33" s="202"/>
      <c r="AT33" s="48"/>
      <c r="AU33" s="48"/>
    </row>
    <row r="34" spans="1:47" hidden="1">
      <c r="A34" s="51"/>
      <c r="B34" s="51"/>
      <c r="C34" s="51"/>
      <c r="D34" s="51"/>
      <c r="E34" s="51"/>
      <c r="F34" s="51"/>
      <c r="G34" s="51"/>
      <c r="H34" s="51"/>
      <c r="I34" s="5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451"/>
      <c r="AO34" s="455"/>
      <c r="AP34" s="287"/>
      <c r="AQ34" s="258"/>
      <c r="AR34" s="258"/>
      <c r="AS34" s="202"/>
      <c r="AT34" s="48"/>
      <c r="AU34" s="48"/>
    </row>
    <row r="35" spans="1:47" hidden="1">
      <c r="A35" s="51"/>
      <c r="B35" s="51"/>
      <c r="C35" s="51"/>
      <c r="D35" s="51"/>
      <c r="E35" s="51"/>
      <c r="F35" s="51"/>
      <c r="G35" s="51"/>
      <c r="H35" s="51"/>
      <c r="I35" s="5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451"/>
      <c r="AO35" s="455"/>
      <c r="AP35" s="287"/>
      <c r="AQ35" s="258"/>
      <c r="AR35" s="258"/>
      <c r="AS35" s="202"/>
      <c r="AT35" s="48"/>
      <c r="AU35" s="48"/>
    </row>
    <row r="36" spans="1:47" hidden="1">
      <c r="A36" s="51"/>
      <c r="B36" s="51"/>
      <c r="C36" s="51"/>
      <c r="D36" s="51"/>
      <c r="E36" s="51"/>
      <c r="F36" s="51"/>
      <c r="G36" s="51"/>
      <c r="H36" s="51"/>
      <c r="I36" s="5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451"/>
      <c r="AO36" s="455"/>
      <c r="AP36" s="287"/>
      <c r="AQ36" s="258"/>
      <c r="AR36" s="258"/>
      <c r="AS36" s="202"/>
      <c r="AT36" s="48"/>
      <c r="AU36" s="48"/>
    </row>
    <row r="37" spans="1:47" hidden="1">
      <c r="A37" s="51"/>
      <c r="B37" s="51"/>
      <c r="C37" s="51"/>
      <c r="D37" s="51"/>
      <c r="E37" s="51"/>
      <c r="F37" s="51"/>
      <c r="G37" s="51"/>
      <c r="H37" s="51"/>
      <c r="I37" s="5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451"/>
      <c r="AO37" s="455"/>
      <c r="AP37" s="287"/>
      <c r="AQ37" s="258"/>
      <c r="AR37" s="258"/>
      <c r="AS37" s="202"/>
      <c r="AT37" s="48"/>
      <c r="AU37" s="48"/>
    </row>
    <row r="38" spans="1:47">
      <c r="A38" s="51"/>
      <c r="B38" s="51"/>
      <c r="C38" s="51"/>
      <c r="D38" s="51"/>
      <c r="E38" s="51"/>
      <c r="F38" s="51"/>
      <c r="G38" s="51"/>
      <c r="H38" s="51"/>
      <c r="I38" s="5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451" t="s">
        <v>80</v>
      </c>
      <c r="AO38" s="455" t="s">
        <v>81</v>
      </c>
      <c r="AP38" s="305">
        <f>SUM(AQ38:AR38)</f>
        <v>0</v>
      </c>
      <c r="AQ38" s="258"/>
      <c r="AR38" s="258"/>
      <c r="AS38" s="202"/>
      <c r="AT38" s="48"/>
      <c r="AU38" s="48"/>
    </row>
    <row r="39" spans="1:47" hidden="1">
      <c r="A39" s="51"/>
      <c r="B39" s="51"/>
      <c r="C39" s="51"/>
      <c r="D39" s="51"/>
      <c r="E39" s="51"/>
      <c r="F39" s="51"/>
      <c r="G39" s="51"/>
      <c r="H39" s="51"/>
      <c r="I39" s="5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451"/>
      <c r="AO39" s="455"/>
      <c r="AP39" s="287"/>
      <c r="AQ39" s="258"/>
      <c r="AR39" s="258"/>
      <c r="AS39" s="202"/>
      <c r="AT39" s="48"/>
      <c r="AU39" s="48"/>
    </row>
    <row r="40" spans="1:47" hidden="1">
      <c r="A40" s="51"/>
      <c r="B40" s="51"/>
      <c r="C40" s="51"/>
      <c r="D40" s="51"/>
      <c r="E40" s="51"/>
      <c r="F40" s="51"/>
      <c r="G40" s="51"/>
      <c r="H40" s="51"/>
      <c r="I40" s="5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451"/>
      <c r="AO40" s="455"/>
      <c r="AP40" s="287"/>
      <c r="AQ40" s="258"/>
      <c r="AR40" s="258"/>
      <c r="AS40" s="202"/>
      <c r="AT40" s="48"/>
      <c r="AU40" s="48"/>
    </row>
    <row r="41" spans="1:47" hidden="1">
      <c r="A41" s="51"/>
      <c r="B41" s="51"/>
      <c r="C41" s="51"/>
      <c r="D41" s="51"/>
      <c r="E41" s="51"/>
      <c r="F41" s="51"/>
      <c r="G41" s="51"/>
      <c r="H41" s="51"/>
      <c r="I41" s="5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451"/>
      <c r="AO41" s="455"/>
      <c r="AP41" s="287"/>
      <c r="AQ41" s="258"/>
      <c r="AR41" s="258"/>
      <c r="AS41" s="202"/>
      <c r="AT41" s="48"/>
      <c r="AU41" s="48"/>
    </row>
    <row r="42" spans="1:47" hidden="1">
      <c r="A42" s="51"/>
      <c r="B42" s="51"/>
      <c r="C42" s="51"/>
      <c r="D42" s="51"/>
      <c r="E42" s="51"/>
      <c r="F42" s="51"/>
      <c r="G42" s="51"/>
      <c r="H42" s="51"/>
      <c r="I42" s="5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451"/>
      <c r="AO42" s="455"/>
      <c r="AP42" s="287"/>
      <c r="AQ42" s="258"/>
      <c r="AR42" s="258"/>
      <c r="AS42" s="202"/>
      <c r="AT42" s="48"/>
      <c r="AU42" s="48"/>
    </row>
    <row r="43" spans="1:47" hidden="1">
      <c r="A43" s="51"/>
      <c r="B43" s="51"/>
      <c r="C43" s="51"/>
      <c r="D43" s="51"/>
      <c r="E43" s="51"/>
      <c r="F43" s="51"/>
      <c r="G43" s="51"/>
      <c r="H43" s="51"/>
      <c r="I43" s="5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451"/>
      <c r="AO43" s="455"/>
      <c r="AP43" s="287"/>
      <c r="AQ43" s="258"/>
      <c r="AR43" s="258"/>
      <c r="AS43" s="202"/>
      <c r="AT43" s="48"/>
      <c r="AU43" s="48"/>
    </row>
    <row r="44" spans="1:47" hidden="1">
      <c r="A44" s="51"/>
      <c r="B44" s="51"/>
      <c r="C44" s="51"/>
      <c r="D44" s="51"/>
      <c r="E44" s="51"/>
      <c r="F44" s="51"/>
      <c r="G44" s="51"/>
      <c r="H44" s="51"/>
      <c r="I44" s="5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451"/>
      <c r="AO44" s="455"/>
      <c r="AP44" s="287"/>
      <c r="AQ44" s="258"/>
      <c r="AR44" s="258"/>
      <c r="AS44" s="202"/>
      <c r="AT44" s="48"/>
      <c r="AU44" s="48"/>
    </row>
    <row r="45" spans="1:47" hidden="1">
      <c r="A45" s="51"/>
      <c r="B45" s="51"/>
      <c r="C45" s="51"/>
      <c r="D45" s="51"/>
      <c r="E45" s="51"/>
      <c r="F45" s="51"/>
      <c r="G45" s="51"/>
      <c r="H45" s="51"/>
      <c r="I45" s="5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451"/>
      <c r="AO45" s="455"/>
      <c r="AP45" s="287"/>
      <c r="AQ45" s="258"/>
      <c r="AR45" s="258"/>
      <c r="AS45" s="202"/>
      <c r="AT45" s="48"/>
      <c r="AU45" s="48"/>
    </row>
    <row r="46" spans="1:47">
      <c r="A46" s="51"/>
      <c r="B46" s="51"/>
      <c r="C46" s="51"/>
      <c r="D46" s="51"/>
      <c r="E46" s="51"/>
      <c r="F46" s="51"/>
      <c r="G46" s="51"/>
      <c r="H46" s="51"/>
      <c r="I46" s="5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451" t="s">
        <v>82</v>
      </c>
      <c r="AO46" s="455" t="s">
        <v>83</v>
      </c>
      <c r="AP46" s="305">
        <f t="shared" ref="AP46:AP59" si="1">SUM(AQ46:AR46)</f>
        <v>0</v>
      </c>
      <c r="AQ46" s="258"/>
      <c r="AR46" s="258"/>
      <c r="AS46" s="202"/>
      <c r="AT46" s="48"/>
      <c r="AU46" s="48"/>
    </row>
    <row r="47" spans="1:47">
      <c r="A47" s="51"/>
      <c r="B47" s="51"/>
      <c r="C47" s="51"/>
      <c r="D47" s="51"/>
      <c r="E47" s="51"/>
      <c r="F47" s="51"/>
      <c r="G47" s="51"/>
      <c r="H47" s="51"/>
      <c r="I47" s="5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451" t="s">
        <v>84</v>
      </c>
      <c r="AO47" s="457" t="s">
        <v>85</v>
      </c>
      <c r="AP47" s="305">
        <f t="shared" si="1"/>
        <v>0</v>
      </c>
      <c r="AQ47" s="258"/>
      <c r="AR47" s="258"/>
      <c r="AS47" s="202"/>
      <c r="AT47" s="48"/>
      <c r="AU47" s="48"/>
    </row>
    <row r="48" spans="1:47">
      <c r="A48" s="51"/>
      <c r="B48" s="51"/>
      <c r="C48" s="51"/>
      <c r="D48" s="51"/>
      <c r="E48" s="51"/>
      <c r="F48" s="51"/>
      <c r="G48" s="51"/>
      <c r="H48" s="51"/>
      <c r="I48" s="5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451" t="s">
        <v>86</v>
      </c>
      <c r="AO48" s="457" t="s">
        <v>87</v>
      </c>
      <c r="AP48" s="305">
        <f t="shared" si="1"/>
        <v>0</v>
      </c>
      <c r="AQ48" s="258"/>
      <c r="AR48" s="258"/>
      <c r="AS48" s="202"/>
      <c r="AT48" s="48"/>
      <c r="AU48" s="48"/>
    </row>
    <row r="49" spans="1:47">
      <c r="A49" s="51"/>
      <c r="B49" s="51"/>
      <c r="C49" s="51"/>
      <c r="D49" s="51"/>
      <c r="E49" s="51"/>
      <c r="F49" s="51"/>
      <c r="G49" s="51"/>
      <c r="H49" s="51"/>
      <c r="I49" s="5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451" t="s">
        <v>88</v>
      </c>
      <c r="AO49" s="457" t="s">
        <v>89</v>
      </c>
      <c r="AP49" s="305">
        <f t="shared" si="1"/>
        <v>0</v>
      </c>
      <c r="AQ49" s="258"/>
      <c r="AR49" s="258"/>
      <c r="AS49" s="202"/>
      <c r="AT49" s="48"/>
      <c r="AU49" s="48"/>
    </row>
    <row r="50" spans="1:47">
      <c r="A50" s="51"/>
      <c r="B50" s="51"/>
      <c r="C50" s="51"/>
      <c r="D50" s="51"/>
      <c r="E50" s="51"/>
      <c r="F50" s="51"/>
      <c r="G50" s="51"/>
      <c r="H50" s="51"/>
      <c r="I50" s="5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451" t="s">
        <v>90</v>
      </c>
      <c r="AO50" s="457" t="s">
        <v>91</v>
      </c>
      <c r="AP50" s="305">
        <f t="shared" si="1"/>
        <v>0</v>
      </c>
      <c r="AQ50" s="258"/>
      <c r="AR50" s="258"/>
      <c r="AS50" s="202"/>
      <c r="AT50" s="48"/>
      <c r="AU50" s="48"/>
    </row>
    <row r="51" spans="1:47">
      <c r="A51" s="51"/>
      <c r="B51" s="51"/>
      <c r="C51" s="51"/>
      <c r="D51" s="51"/>
      <c r="E51" s="51"/>
      <c r="F51" s="51"/>
      <c r="G51" s="51"/>
      <c r="H51" s="51"/>
      <c r="I51" s="5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451" t="s">
        <v>92</v>
      </c>
      <c r="AO51" s="457" t="s">
        <v>93</v>
      </c>
      <c r="AP51" s="305">
        <f t="shared" si="1"/>
        <v>0</v>
      </c>
      <c r="AQ51" s="258"/>
      <c r="AR51" s="258"/>
      <c r="AS51" s="202"/>
      <c r="AT51" s="48"/>
      <c r="AU51" s="48"/>
    </row>
    <row r="52" spans="1:47">
      <c r="A52" s="51"/>
      <c r="B52" s="51"/>
      <c r="C52" s="51"/>
      <c r="D52" s="51"/>
      <c r="E52" s="51"/>
      <c r="F52" s="51"/>
      <c r="G52" s="51"/>
      <c r="H52" s="51"/>
      <c r="I52" s="5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451" t="s">
        <v>94</v>
      </c>
      <c r="AO52" s="457" t="s">
        <v>95</v>
      </c>
      <c r="AP52" s="305">
        <f t="shared" si="1"/>
        <v>0</v>
      </c>
      <c r="AQ52" s="258"/>
      <c r="AR52" s="258"/>
      <c r="AS52" s="202"/>
      <c r="AT52" s="48"/>
      <c r="AU52" s="48"/>
    </row>
    <row r="53" spans="1:47">
      <c r="A53" s="51"/>
      <c r="B53" s="51"/>
      <c r="C53" s="51"/>
      <c r="D53" s="51"/>
      <c r="E53" s="51"/>
      <c r="F53" s="51"/>
      <c r="G53" s="51"/>
      <c r="H53" s="51"/>
      <c r="I53" s="5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451" t="s">
        <v>2975</v>
      </c>
      <c r="AO53" s="457" t="s">
        <v>2976</v>
      </c>
      <c r="AP53" s="305">
        <f t="shared" si="1"/>
        <v>0</v>
      </c>
      <c r="AQ53" s="258"/>
      <c r="AR53" s="258"/>
      <c r="AS53" s="202"/>
      <c r="AT53" s="48"/>
      <c r="AU53" s="48"/>
    </row>
    <row r="54" spans="1:47">
      <c r="A54" s="51"/>
      <c r="B54" s="51"/>
      <c r="C54" s="51"/>
      <c r="D54" s="51"/>
      <c r="E54" s="51"/>
      <c r="F54" s="51"/>
      <c r="G54" s="51"/>
      <c r="H54" s="51"/>
      <c r="I54" s="5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451" t="s">
        <v>2977</v>
      </c>
      <c r="AO54" s="457" t="s">
        <v>2978</v>
      </c>
      <c r="AP54" s="305">
        <f t="shared" si="1"/>
        <v>0</v>
      </c>
      <c r="AQ54" s="258"/>
      <c r="AR54" s="258"/>
      <c r="AS54" s="202"/>
      <c r="AT54" s="48"/>
      <c r="AU54" s="48"/>
    </row>
    <row r="55" spans="1:47">
      <c r="A55" s="51"/>
      <c r="B55" s="51"/>
      <c r="C55" s="51"/>
      <c r="D55" s="51"/>
      <c r="E55" s="51"/>
      <c r="F55" s="51"/>
      <c r="G55" s="51"/>
      <c r="H55" s="51"/>
      <c r="I55" s="5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451" t="s">
        <v>2979</v>
      </c>
      <c r="AO55" s="457" t="s">
        <v>2980</v>
      </c>
      <c r="AP55" s="305">
        <f t="shared" si="1"/>
        <v>0</v>
      </c>
      <c r="AQ55" s="258"/>
      <c r="AR55" s="258"/>
      <c r="AS55" s="202"/>
      <c r="AT55" s="48"/>
      <c r="AU55" s="48"/>
    </row>
    <row r="56" spans="1:47">
      <c r="A56" s="51"/>
      <c r="B56" s="51"/>
      <c r="C56" s="51"/>
      <c r="D56" s="51"/>
      <c r="E56" s="51"/>
      <c r="F56" s="51"/>
      <c r="G56" s="51"/>
      <c r="H56" s="51"/>
      <c r="I56" s="5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451" t="s">
        <v>2981</v>
      </c>
      <c r="AO56" s="457" t="s">
        <v>2982</v>
      </c>
      <c r="AP56" s="305">
        <f t="shared" si="1"/>
        <v>0</v>
      </c>
      <c r="AQ56" s="258"/>
      <c r="AR56" s="258"/>
      <c r="AS56" s="202"/>
      <c r="AT56" s="48"/>
      <c r="AU56" s="48"/>
    </row>
    <row r="57" spans="1:47">
      <c r="A57" s="51"/>
      <c r="B57" s="51"/>
      <c r="C57" s="51"/>
      <c r="D57" s="51"/>
      <c r="E57" s="51"/>
      <c r="F57" s="51"/>
      <c r="G57" s="51"/>
      <c r="H57" s="51"/>
      <c r="I57" s="5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451" t="s">
        <v>2983</v>
      </c>
      <c r="AO57" s="224" t="s">
        <v>2984</v>
      </c>
      <c r="AP57" s="305">
        <f t="shared" si="1"/>
        <v>0</v>
      </c>
      <c r="AQ57" s="258"/>
      <c r="AR57" s="258"/>
      <c r="AS57" s="202"/>
      <c r="AT57" s="48"/>
      <c r="AU57" s="48"/>
    </row>
    <row r="58" spans="1:47">
      <c r="A58" s="51"/>
      <c r="B58" s="51"/>
      <c r="C58" s="51"/>
      <c r="D58" s="51"/>
      <c r="E58" s="51"/>
      <c r="F58" s="51"/>
      <c r="G58" s="51"/>
      <c r="H58" s="51"/>
      <c r="I58" s="5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451" t="s">
        <v>2989</v>
      </c>
      <c r="AO58" s="224" t="s">
        <v>2990</v>
      </c>
      <c r="AP58" s="305">
        <f t="shared" si="1"/>
        <v>0</v>
      </c>
      <c r="AQ58" s="258"/>
      <c r="AR58" s="258"/>
      <c r="AS58" s="202"/>
      <c r="AT58" s="48"/>
      <c r="AU58" s="48"/>
    </row>
    <row r="59" spans="1:47">
      <c r="A59" s="51"/>
      <c r="B59" s="51"/>
      <c r="C59" s="51"/>
      <c r="D59" s="51"/>
      <c r="E59" s="51"/>
      <c r="F59" s="51"/>
      <c r="G59" s="51"/>
      <c r="H59" s="51"/>
      <c r="I59" s="5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451" t="s">
        <v>292</v>
      </c>
      <c r="AO59" s="442" t="s">
        <v>291</v>
      </c>
      <c r="AP59" s="305">
        <f t="shared" si="1"/>
        <v>0</v>
      </c>
      <c r="AQ59" s="258"/>
      <c r="AR59" s="258"/>
      <c r="AS59" s="202"/>
      <c r="AT59" s="48"/>
      <c r="AU59" s="48"/>
    </row>
    <row r="60" spans="1:47" hidden="1">
      <c r="A60" s="51"/>
      <c r="B60" s="51"/>
      <c r="C60" s="51"/>
      <c r="D60" s="51"/>
      <c r="E60" s="51"/>
      <c r="F60" s="51"/>
      <c r="G60" s="51"/>
      <c r="H60" s="51"/>
      <c r="I60" s="5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239"/>
      <c r="AO60" s="225"/>
      <c r="AP60" s="287"/>
      <c r="AQ60" s="258"/>
      <c r="AR60" s="258"/>
      <c r="AS60" s="202"/>
      <c r="AT60" s="48"/>
      <c r="AU60" s="48"/>
    </row>
    <row r="61" spans="1:47" hidden="1">
      <c r="A61" s="51"/>
      <c r="B61" s="51"/>
      <c r="C61" s="51"/>
      <c r="D61" s="51"/>
      <c r="E61" s="51"/>
      <c r="F61" s="51"/>
      <c r="G61" s="51"/>
      <c r="H61" s="51"/>
      <c r="I61" s="5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239"/>
      <c r="AO61" s="225"/>
      <c r="AP61" s="287"/>
      <c r="AQ61" s="258"/>
      <c r="AR61" s="258"/>
      <c r="AS61" s="202"/>
      <c r="AT61" s="48"/>
      <c r="AU61" s="48"/>
    </row>
    <row r="62" spans="1:47" hidden="1">
      <c r="A62" s="51"/>
      <c r="B62" s="51"/>
      <c r="C62" s="51"/>
      <c r="D62" s="51"/>
      <c r="E62" s="51"/>
      <c r="F62" s="51"/>
      <c r="G62" s="51"/>
      <c r="H62" s="51"/>
      <c r="I62" s="5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239"/>
      <c r="AO62" s="225"/>
      <c r="AP62" s="287"/>
      <c r="AQ62" s="258"/>
      <c r="AR62" s="258"/>
      <c r="AS62" s="202"/>
      <c r="AT62" s="48"/>
      <c r="AU62" s="48"/>
    </row>
    <row r="63" spans="1:47" hidden="1">
      <c r="A63" s="51"/>
      <c r="B63" s="51"/>
      <c r="C63" s="51"/>
      <c r="D63" s="51"/>
      <c r="E63" s="51"/>
      <c r="F63" s="51"/>
      <c r="G63" s="51"/>
      <c r="H63" s="51"/>
      <c r="I63" s="5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239"/>
      <c r="AO63" s="225"/>
      <c r="AP63" s="287"/>
      <c r="AQ63" s="258"/>
      <c r="AR63" s="258"/>
      <c r="AS63" s="202"/>
      <c r="AT63" s="48"/>
      <c r="AU63" s="48"/>
    </row>
    <row r="64" spans="1:47" hidden="1">
      <c r="A64" s="51"/>
      <c r="B64" s="51"/>
      <c r="C64" s="51"/>
      <c r="D64" s="51"/>
      <c r="E64" s="51"/>
      <c r="F64" s="51"/>
      <c r="G64" s="51"/>
      <c r="H64" s="51"/>
      <c r="I64" s="5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239"/>
      <c r="AO64" s="225"/>
      <c r="AP64" s="287"/>
      <c r="AQ64" s="258"/>
      <c r="AR64" s="258"/>
      <c r="AS64" s="202"/>
      <c r="AT64" s="48"/>
      <c r="AU64" s="48"/>
    </row>
    <row r="65" spans="1:47" hidden="1">
      <c r="A65" s="51"/>
      <c r="B65" s="51"/>
      <c r="C65" s="51"/>
      <c r="D65" s="51"/>
      <c r="E65" s="51"/>
      <c r="F65" s="51"/>
      <c r="G65" s="51"/>
      <c r="H65" s="51"/>
      <c r="I65" s="5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239"/>
      <c r="AO65" s="225"/>
      <c r="AP65" s="287"/>
      <c r="AQ65" s="258"/>
      <c r="AR65" s="258"/>
      <c r="AS65" s="202"/>
      <c r="AT65" s="48"/>
      <c r="AU65" s="48"/>
    </row>
    <row r="66" spans="1:47" hidden="1">
      <c r="A66" s="51"/>
      <c r="B66" s="51"/>
      <c r="C66" s="51"/>
      <c r="D66" s="51"/>
      <c r="E66" s="51"/>
      <c r="F66" s="51"/>
      <c r="G66" s="51"/>
      <c r="H66" s="51"/>
      <c r="I66" s="5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239"/>
      <c r="AO66" s="225"/>
      <c r="AP66" s="287"/>
      <c r="AQ66" s="258"/>
      <c r="AR66" s="258"/>
      <c r="AS66" s="202"/>
      <c r="AT66" s="48"/>
      <c r="AU66" s="48"/>
    </row>
    <row r="67" spans="1:47" hidden="1">
      <c r="A67" s="51"/>
      <c r="B67" s="51"/>
      <c r="C67" s="51"/>
      <c r="D67" s="51"/>
      <c r="E67" s="51"/>
      <c r="F67" s="51"/>
      <c r="G67" s="51"/>
      <c r="H67" s="51"/>
      <c r="I67" s="5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239"/>
      <c r="AO67" s="225"/>
      <c r="AP67" s="287"/>
      <c r="AQ67" s="258"/>
      <c r="AR67" s="258"/>
      <c r="AS67" s="202"/>
      <c r="AT67" s="48"/>
      <c r="AU67" s="48"/>
    </row>
    <row r="68" spans="1:47" hidden="1">
      <c r="A68" s="51"/>
      <c r="B68" s="51"/>
      <c r="C68" s="51"/>
      <c r="D68" s="51"/>
      <c r="E68" s="51"/>
      <c r="F68" s="51"/>
      <c r="G68" s="51"/>
      <c r="H68" s="51"/>
      <c r="I68" s="5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239"/>
      <c r="AO68" s="225"/>
      <c r="AP68" s="287"/>
      <c r="AQ68" s="258"/>
      <c r="AR68" s="258"/>
      <c r="AS68" s="202"/>
      <c r="AT68" s="48"/>
      <c r="AU68" s="48"/>
    </row>
    <row r="69" spans="1:47" hidden="1">
      <c r="A69" s="51"/>
      <c r="B69" s="51"/>
      <c r="C69" s="51"/>
      <c r="D69" s="51"/>
      <c r="E69" s="51"/>
      <c r="F69" s="51"/>
      <c r="G69" s="51"/>
      <c r="H69" s="51"/>
      <c r="I69" s="5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239"/>
      <c r="AO69" s="225"/>
      <c r="AP69" s="287"/>
      <c r="AQ69" s="258"/>
      <c r="AR69" s="258"/>
      <c r="AS69" s="202"/>
      <c r="AT69" s="48"/>
      <c r="AU69" s="48"/>
    </row>
    <row r="70" spans="1:47" hidden="1">
      <c r="A70" s="51"/>
      <c r="B70" s="51"/>
      <c r="C70" s="51"/>
      <c r="D70" s="51"/>
      <c r="E70" s="51"/>
      <c r="F70" s="51"/>
      <c r="G70" s="51"/>
      <c r="H70" s="51"/>
      <c r="I70" s="5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239"/>
      <c r="AO70" s="225"/>
      <c r="AP70" s="287"/>
      <c r="AQ70" s="258"/>
      <c r="AR70" s="258"/>
      <c r="AS70" s="202"/>
      <c r="AT70" s="48"/>
      <c r="AU70" s="48"/>
    </row>
    <row r="71" spans="1:47" hidden="1">
      <c r="A71" s="51"/>
      <c r="B71" s="51"/>
      <c r="C71" s="51"/>
      <c r="D71" s="51"/>
      <c r="E71" s="51"/>
      <c r="F71" s="51"/>
      <c r="G71" s="51"/>
      <c r="H71" s="51"/>
      <c r="I71" s="5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239"/>
      <c r="AO71" s="225"/>
      <c r="AP71" s="287"/>
      <c r="AQ71" s="258"/>
      <c r="AR71" s="258"/>
      <c r="AS71" s="202"/>
      <c r="AT71" s="48"/>
      <c r="AU71" s="48"/>
    </row>
    <row r="72" spans="1:47" hidden="1">
      <c r="A72" s="51"/>
      <c r="B72" s="51"/>
      <c r="C72" s="51"/>
      <c r="D72" s="51"/>
      <c r="E72" s="51"/>
      <c r="F72" s="51"/>
      <c r="G72" s="51"/>
      <c r="H72" s="51"/>
      <c r="I72" s="5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239"/>
      <c r="AO72" s="225"/>
      <c r="AP72" s="287"/>
      <c r="AQ72" s="258"/>
      <c r="AR72" s="258"/>
      <c r="AS72" s="202"/>
      <c r="AT72" s="48"/>
      <c r="AU72" s="48"/>
    </row>
    <row r="73" spans="1:47" hidden="1">
      <c r="A73" s="51"/>
      <c r="B73" s="51"/>
      <c r="C73" s="51"/>
      <c r="D73" s="51"/>
      <c r="E73" s="51"/>
      <c r="F73" s="51"/>
      <c r="G73" s="51"/>
      <c r="H73" s="51"/>
      <c r="I73" s="5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239"/>
      <c r="AO73" s="225"/>
      <c r="AP73" s="287"/>
      <c r="AQ73" s="258"/>
      <c r="AR73" s="258"/>
      <c r="AS73" s="202"/>
      <c r="AT73" s="48"/>
      <c r="AU73" s="48"/>
    </row>
    <row r="74" spans="1:47" hidden="1">
      <c r="A74" s="51"/>
      <c r="B74" s="51"/>
      <c r="C74" s="51"/>
      <c r="D74" s="51"/>
      <c r="E74" s="51"/>
      <c r="F74" s="51"/>
      <c r="G74" s="51"/>
      <c r="H74" s="51"/>
      <c r="I74" s="5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239"/>
      <c r="AO74" s="225"/>
      <c r="AP74" s="287"/>
      <c r="AQ74" s="258"/>
      <c r="AR74" s="258"/>
      <c r="AS74" s="202"/>
      <c r="AT74" s="48"/>
      <c r="AU74" s="48"/>
    </row>
    <row r="75" spans="1:47" hidden="1">
      <c r="A75" s="51"/>
      <c r="B75" s="51"/>
      <c r="C75" s="51"/>
      <c r="D75" s="51"/>
      <c r="E75" s="51"/>
      <c r="F75" s="51"/>
      <c r="G75" s="51"/>
      <c r="H75" s="51"/>
      <c r="I75" s="5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239"/>
      <c r="AO75" s="225"/>
      <c r="AP75" s="287"/>
      <c r="AQ75" s="258"/>
      <c r="AR75" s="258"/>
      <c r="AS75" s="202"/>
      <c r="AT75" s="48"/>
      <c r="AU75" s="48"/>
    </row>
    <row r="76" spans="1:47" hidden="1">
      <c r="A76" s="51"/>
      <c r="B76" s="51"/>
      <c r="C76" s="51"/>
      <c r="D76" s="51"/>
      <c r="E76" s="51"/>
      <c r="F76" s="51"/>
      <c r="G76" s="51"/>
      <c r="H76" s="51"/>
      <c r="I76" s="5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239"/>
      <c r="AO76" s="225"/>
      <c r="AP76" s="287"/>
      <c r="AQ76" s="258"/>
      <c r="AR76" s="258"/>
      <c r="AS76" s="202"/>
      <c r="AT76" s="48"/>
      <c r="AU76" s="48"/>
    </row>
    <row r="77" spans="1:47" hidden="1">
      <c r="A77" s="51"/>
      <c r="B77" s="51"/>
      <c r="C77" s="51"/>
      <c r="D77" s="51"/>
      <c r="E77" s="51"/>
      <c r="F77" s="51"/>
      <c r="G77" s="51"/>
      <c r="H77" s="51"/>
      <c r="I77" s="5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1"/>
      <c r="AN77" s="239"/>
      <c r="AO77" s="225"/>
      <c r="AP77" s="287"/>
      <c r="AQ77" s="258"/>
      <c r="AR77" s="258"/>
      <c r="AS77" s="202"/>
      <c r="AT77" s="48"/>
      <c r="AU77" s="48"/>
    </row>
    <row r="78" spans="1:47" hidden="1">
      <c r="A78" s="51"/>
      <c r="B78" s="51"/>
      <c r="C78" s="51"/>
      <c r="D78" s="51"/>
      <c r="E78" s="51"/>
      <c r="F78" s="51"/>
      <c r="G78" s="51"/>
      <c r="H78" s="51"/>
      <c r="I78" s="5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239"/>
      <c r="AO78" s="225"/>
      <c r="AP78" s="287"/>
      <c r="AQ78" s="258"/>
      <c r="AR78" s="258"/>
      <c r="AS78" s="202"/>
      <c r="AT78" s="48"/>
      <c r="AU78" s="48"/>
    </row>
    <row r="79" spans="1:47" hidden="1">
      <c r="A79" s="51"/>
      <c r="B79" s="51"/>
      <c r="C79" s="51"/>
      <c r="D79" s="51"/>
      <c r="E79" s="51"/>
      <c r="F79" s="51"/>
      <c r="G79" s="51"/>
      <c r="H79" s="51"/>
      <c r="I79" s="5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239"/>
      <c r="AO79" s="225"/>
      <c r="AP79" s="287"/>
      <c r="AQ79" s="258"/>
      <c r="AR79" s="258"/>
      <c r="AS79" s="202"/>
      <c r="AT79" s="48"/>
      <c r="AU79" s="48"/>
    </row>
    <row r="80" spans="1:47" hidden="1">
      <c r="A80" s="51"/>
      <c r="B80" s="51"/>
      <c r="C80" s="51"/>
      <c r="D80" s="51"/>
      <c r="E80" s="51"/>
      <c r="F80" s="51"/>
      <c r="G80" s="51"/>
      <c r="H80" s="51"/>
      <c r="I80" s="5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239"/>
      <c r="AO80" s="225"/>
      <c r="AP80" s="287"/>
      <c r="AQ80" s="258"/>
      <c r="AR80" s="258"/>
      <c r="AS80" s="202"/>
      <c r="AT80" s="48"/>
      <c r="AU80" s="48"/>
    </row>
    <row r="81" spans="1:47" hidden="1">
      <c r="A81" s="51"/>
      <c r="B81" s="51"/>
      <c r="C81" s="51"/>
      <c r="D81" s="51"/>
      <c r="E81" s="51"/>
      <c r="F81" s="51"/>
      <c r="G81" s="51"/>
      <c r="H81" s="51"/>
      <c r="I81" s="5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239"/>
      <c r="AO81" s="225"/>
      <c r="AP81" s="287"/>
      <c r="AQ81" s="258"/>
      <c r="AR81" s="258"/>
      <c r="AS81" s="202"/>
      <c r="AT81" s="48"/>
      <c r="AU81" s="48"/>
    </row>
    <row r="82" spans="1:47" hidden="1">
      <c r="A82" s="51"/>
      <c r="B82" s="51"/>
      <c r="C82" s="51"/>
      <c r="D82" s="51"/>
      <c r="E82" s="51"/>
      <c r="F82" s="51"/>
      <c r="G82" s="51"/>
      <c r="H82" s="51"/>
      <c r="I82" s="5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239"/>
      <c r="AO82" s="225"/>
      <c r="AP82" s="287"/>
      <c r="AQ82" s="258"/>
      <c r="AR82" s="258"/>
      <c r="AS82" s="202"/>
      <c r="AT82" s="48"/>
      <c r="AU82" s="48"/>
    </row>
    <row r="83" spans="1:47" hidden="1">
      <c r="A83" s="51"/>
      <c r="B83" s="51"/>
      <c r="C83" s="51"/>
      <c r="D83" s="51"/>
      <c r="E83" s="51"/>
      <c r="F83" s="51"/>
      <c r="G83" s="51"/>
      <c r="H83" s="51"/>
      <c r="I83" s="5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239"/>
      <c r="AO83" s="225"/>
      <c r="AP83" s="287"/>
      <c r="AQ83" s="258"/>
      <c r="AR83" s="258"/>
      <c r="AS83" s="202"/>
      <c r="AT83" s="48"/>
      <c r="AU83" s="48"/>
    </row>
    <row r="84" spans="1:47" hidden="1">
      <c r="A84" s="51"/>
      <c r="B84" s="51"/>
      <c r="C84" s="51"/>
      <c r="D84" s="51"/>
      <c r="E84" s="51"/>
      <c r="F84" s="51"/>
      <c r="G84" s="51"/>
      <c r="H84" s="51"/>
      <c r="I84" s="5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239"/>
      <c r="AO84" s="225"/>
      <c r="AP84" s="287"/>
      <c r="AQ84" s="258"/>
      <c r="AR84" s="258"/>
      <c r="AS84" s="202"/>
      <c r="AT84" s="48"/>
      <c r="AU84" s="48"/>
    </row>
    <row r="85" spans="1:47" hidden="1">
      <c r="A85" s="51"/>
      <c r="B85" s="51"/>
      <c r="C85" s="51"/>
      <c r="D85" s="51"/>
      <c r="E85" s="51"/>
      <c r="F85" s="51"/>
      <c r="G85" s="51"/>
      <c r="H85" s="51"/>
      <c r="I85" s="5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239"/>
      <c r="AO85" s="225"/>
      <c r="AP85" s="287"/>
      <c r="AQ85" s="258"/>
      <c r="AR85" s="258"/>
      <c r="AS85" s="202"/>
      <c r="AT85" s="48"/>
      <c r="AU85" s="48"/>
    </row>
    <row r="86" spans="1:47" hidden="1">
      <c r="A86" s="51"/>
      <c r="B86" s="51"/>
      <c r="C86" s="51"/>
      <c r="D86" s="51"/>
      <c r="E86" s="51"/>
      <c r="F86" s="51"/>
      <c r="G86" s="51"/>
      <c r="H86" s="51"/>
      <c r="I86" s="5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239"/>
      <c r="AO86" s="225"/>
      <c r="AP86" s="287"/>
      <c r="AQ86" s="258"/>
      <c r="AR86" s="258"/>
      <c r="AS86" s="202"/>
      <c r="AT86" s="48"/>
      <c r="AU86" s="48"/>
    </row>
    <row r="87" spans="1:47" hidden="1">
      <c r="A87" s="51"/>
      <c r="B87" s="51"/>
      <c r="C87" s="51"/>
      <c r="D87" s="51"/>
      <c r="E87" s="51"/>
      <c r="F87" s="51"/>
      <c r="G87" s="51"/>
      <c r="H87" s="51"/>
      <c r="I87" s="5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239"/>
      <c r="AO87" s="225"/>
      <c r="AP87" s="287"/>
      <c r="AQ87" s="258"/>
      <c r="AR87" s="258"/>
      <c r="AS87" s="202"/>
      <c r="AT87" s="48"/>
      <c r="AU87" s="48"/>
    </row>
    <row r="88" spans="1:47" hidden="1">
      <c r="A88" s="51"/>
      <c r="B88" s="51"/>
      <c r="C88" s="51"/>
      <c r="D88" s="51"/>
      <c r="E88" s="51"/>
      <c r="F88" s="51"/>
      <c r="G88" s="51"/>
      <c r="H88" s="51"/>
      <c r="I88" s="5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239"/>
      <c r="AO88" s="225"/>
      <c r="AP88" s="287"/>
      <c r="AQ88" s="258"/>
      <c r="AR88" s="258"/>
      <c r="AS88" s="202"/>
      <c r="AT88" s="48"/>
      <c r="AU88" s="48"/>
    </row>
    <row r="89" spans="1:47" hidden="1">
      <c r="A89" s="51"/>
      <c r="B89" s="51"/>
      <c r="C89" s="51"/>
      <c r="D89" s="51"/>
      <c r="E89" s="51"/>
      <c r="F89" s="51"/>
      <c r="G89" s="51"/>
      <c r="H89" s="51"/>
      <c r="I89" s="5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239"/>
      <c r="AO89" s="225"/>
      <c r="AP89" s="287"/>
      <c r="AQ89" s="258"/>
      <c r="AR89" s="258"/>
      <c r="AS89" s="202"/>
      <c r="AT89" s="48"/>
      <c r="AU89" s="48"/>
    </row>
    <row r="90" spans="1:47" hidden="1">
      <c r="A90" s="51"/>
      <c r="B90" s="51"/>
      <c r="C90" s="51"/>
      <c r="D90" s="51"/>
      <c r="E90" s="51"/>
      <c r="F90" s="51"/>
      <c r="G90" s="51"/>
      <c r="H90" s="51"/>
      <c r="I90" s="5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239"/>
      <c r="AO90" s="225"/>
      <c r="AP90" s="287"/>
      <c r="AQ90" s="258"/>
      <c r="AR90" s="258"/>
      <c r="AS90" s="202"/>
      <c r="AT90" s="48"/>
      <c r="AU90" s="48"/>
    </row>
    <row r="91" spans="1:47" hidden="1">
      <c r="A91" s="51"/>
      <c r="B91" s="51"/>
      <c r="C91" s="51"/>
      <c r="D91" s="51"/>
      <c r="E91" s="51"/>
      <c r="F91" s="51"/>
      <c r="G91" s="51"/>
      <c r="H91" s="51"/>
      <c r="I91" s="5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239"/>
      <c r="AO91" s="225"/>
      <c r="AP91" s="287"/>
      <c r="AQ91" s="258"/>
      <c r="AR91" s="258"/>
      <c r="AS91" s="202"/>
      <c r="AT91" s="48"/>
      <c r="AU91" s="48"/>
    </row>
    <row r="92" spans="1:47" hidden="1">
      <c r="A92" s="51"/>
      <c r="B92" s="51"/>
      <c r="C92" s="51"/>
      <c r="D92" s="51"/>
      <c r="E92" s="51"/>
      <c r="F92" s="51"/>
      <c r="G92" s="51"/>
      <c r="H92" s="51"/>
      <c r="I92" s="5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239"/>
      <c r="AO92" s="225"/>
      <c r="AP92" s="287"/>
      <c r="AQ92" s="258"/>
      <c r="AR92" s="258"/>
      <c r="AS92" s="202"/>
      <c r="AT92" s="48"/>
      <c r="AU92" s="48"/>
    </row>
    <row r="93" spans="1:47" hidden="1">
      <c r="A93" s="51"/>
      <c r="B93" s="51"/>
      <c r="C93" s="51"/>
      <c r="D93" s="51"/>
      <c r="E93" s="51"/>
      <c r="F93" s="51"/>
      <c r="G93" s="51"/>
      <c r="H93" s="51"/>
      <c r="I93" s="5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239"/>
      <c r="AO93" s="225"/>
      <c r="AP93" s="287"/>
      <c r="AQ93" s="258"/>
      <c r="AR93" s="258"/>
      <c r="AS93" s="202"/>
      <c r="AT93" s="48"/>
      <c r="AU93" s="48"/>
    </row>
    <row r="94" spans="1:47" hidden="1">
      <c r="A94" s="51"/>
      <c r="B94" s="51"/>
      <c r="C94" s="51"/>
      <c r="D94" s="51"/>
      <c r="E94" s="51"/>
      <c r="F94" s="51"/>
      <c r="G94" s="51"/>
      <c r="H94" s="51"/>
      <c r="I94" s="5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239"/>
      <c r="AO94" s="225"/>
      <c r="AP94" s="287"/>
      <c r="AQ94" s="258"/>
      <c r="AR94" s="258"/>
      <c r="AS94" s="202"/>
      <c r="AT94" s="48"/>
      <c r="AU94" s="48"/>
    </row>
    <row r="95" spans="1:47" hidden="1">
      <c r="A95" s="51"/>
      <c r="B95" s="51"/>
      <c r="C95" s="51"/>
      <c r="D95" s="51"/>
      <c r="E95" s="51"/>
      <c r="F95" s="51"/>
      <c r="G95" s="51"/>
      <c r="H95" s="51"/>
      <c r="I95" s="5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239"/>
      <c r="AO95" s="225"/>
      <c r="AP95" s="287"/>
      <c r="AQ95" s="258"/>
      <c r="AR95" s="258"/>
      <c r="AS95" s="202"/>
      <c r="AT95" s="48"/>
      <c r="AU95" s="48"/>
    </row>
    <row r="96" spans="1:47" hidden="1">
      <c r="A96" s="51"/>
      <c r="B96" s="51"/>
      <c r="C96" s="51"/>
      <c r="D96" s="51"/>
      <c r="E96" s="51"/>
      <c r="F96" s="51"/>
      <c r="G96" s="51"/>
      <c r="H96" s="51"/>
      <c r="I96" s="5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239"/>
      <c r="AO96" s="225"/>
      <c r="AP96" s="287"/>
      <c r="AQ96" s="258"/>
      <c r="AR96" s="258"/>
      <c r="AS96" s="202"/>
      <c r="AT96" s="48"/>
      <c r="AU96" s="48"/>
    </row>
    <row r="97" spans="1:47" hidden="1">
      <c r="A97" s="51"/>
      <c r="B97" s="51"/>
      <c r="C97" s="51"/>
      <c r="D97" s="51"/>
      <c r="E97" s="51"/>
      <c r="F97" s="51"/>
      <c r="G97" s="51"/>
      <c r="H97" s="51"/>
      <c r="I97" s="5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239"/>
      <c r="AO97" s="225"/>
      <c r="AP97" s="287"/>
      <c r="AQ97" s="258"/>
      <c r="AR97" s="258"/>
      <c r="AS97" s="202"/>
      <c r="AT97" s="48"/>
      <c r="AU97" s="48"/>
    </row>
    <row r="98" spans="1:47" hidden="1">
      <c r="A98" s="51"/>
      <c r="B98" s="51"/>
      <c r="C98" s="51"/>
      <c r="D98" s="51"/>
      <c r="E98" s="51"/>
      <c r="F98" s="51"/>
      <c r="G98" s="51"/>
      <c r="H98" s="51"/>
      <c r="I98" s="5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239"/>
      <c r="AO98" s="225"/>
      <c r="AP98" s="287"/>
      <c r="AQ98" s="258"/>
      <c r="AR98" s="258"/>
      <c r="AS98" s="202"/>
      <c r="AT98" s="48"/>
      <c r="AU98" s="48"/>
    </row>
    <row r="99" spans="1:47" hidden="1">
      <c r="A99" s="51"/>
      <c r="B99" s="51"/>
      <c r="C99" s="51"/>
      <c r="D99" s="51"/>
      <c r="E99" s="51"/>
      <c r="F99" s="51"/>
      <c r="G99" s="51"/>
      <c r="H99" s="51"/>
      <c r="I99" s="5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239"/>
      <c r="AO99" s="225"/>
      <c r="AP99" s="287"/>
      <c r="AQ99" s="258"/>
      <c r="AR99" s="258"/>
      <c r="AS99" s="202"/>
      <c r="AT99" s="48"/>
      <c r="AU99" s="48"/>
    </row>
    <row r="100" spans="1:47" hidden="1">
      <c r="A100" s="51"/>
      <c r="B100" s="51"/>
      <c r="C100" s="51"/>
      <c r="D100" s="51"/>
      <c r="E100" s="51"/>
      <c r="F100" s="51"/>
      <c r="G100" s="51"/>
      <c r="H100" s="51"/>
      <c r="I100" s="5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239"/>
      <c r="AO100" s="225"/>
      <c r="AP100" s="287"/>
      <c r="AQ100" s="258"/>
      <c r="AR100" s="258"/>
      <c r="AS100" s="202"/>
      <c r="AT100" s="48"/>
      <c r="AU100" s="48"/>
    </row>
    <row r="101" spans="1:47" hidden="1">
      <c r="A101" s="51"/>
      <c r="B101" s="51"/>
      <c r="C101" s="51"/>
      <c r="D101" s="51"/>
      <c r="E101" s="51"/>
      <c r="F101" s="51"/>
      <c r="G101" s="51"/>
      <c r="H101" s="51"/>
      <c r="I101" s="5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239"/>
      <c r="AO101" s="225"/>
      <c r="AP101" s="287"/>
      <c r="AQ101" s="258"/>
      <c r="AR101" s="258"/>
      <c r="AS101" s="202"/>
      <c r="AT101" s="48"/>
      <c r="AU101" s="48"/>
    </row>
    <row r="102" spans="1:47" hidden="1">
      <c r="A102" s="51"/>
      <c r="B102" s="51"/>
      <c r="C102" s="51"/>
      <c r="D102" s="51"/>
      <c r="E102" s="51"/>
      <c r="F102" s="51"/>
      <c r="G102" s="51"/>
      <c r="H102" s="51"/>
      <c r="I102" s="5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239"/>
      <c r="AO102" s="225"/>
      <c r="AP102" s="287"/>
      <c r="AQ102" s="258"/>
      <c r="AR102" s="258"/>
      <c r="AS102" s="202"/>
      <c r="AT102" s="48"/>
      <c r="AU102" s="48"/>
    </row>
    <row r="103" spans="1:47" hidden="1">
      <c r="A103" s="51"/>
      <c r="B103" s="51"/>
      <c r="C103" s="51"/>
      <c r="D103" s="51"/>
      <c r="E103" s="51"/>
      <c r="F103" s="51"/>
      <c r="G103" s="51"/>
      <c r="H103" s="51"/>
      <c r="I103" s="5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239"/>
      <c r="AO103" s="225"/>
      <c r="AP103" s="287"/>
      <c r="AQ103" s="258"/>
      <c r="AR103" s="258"/>
      <c r="AS103" s="202"/>
      <c r="AT103" s="48"/>
      <c r="AU103" s="48"/>
    </row>
    <row r="104" spans="1:47" hidden="1">
      <c r="A104" s="51"/>
      <c r="B104" s="51"/>
      <c r="C104" s="51"/>
      <c r="D104" s="51"/>
      <c r="E104" s="51"/>
      <c r="F104" s="51"/>
      <c r="G104" s="51"/>
      <c r="H104" s="51"/>
      <c r="I104" s="5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239"/>
      <c r="AO104" s="225"/>
      <c r="AP104" s="287"/>
      <c r="AQ104" s="258"/>
      <c r="AR104" s="258"/>
      <c r="AS104" s="202"/>
      <c r="AT104" s="48"/>
      <c r="AU104" s="48"/>
    </row>
    <row r="105" spans="1:47" hidden="1">
      <c r="A105" s="51"/>
      <c r="B105" s="51"/>
      <c r="C105" s="51"/>
      <c r="D105" s="51"/>
      <c r="E105" s="51"/>
      <c r="F105" s="51"/>
      <c r="G105" s="51"/>
      <c r="H105" s="51"/>
      <c r="I105" s="5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239"/>
      <c r="AO105" s="225"/>
      <c r="AP105" s="287"/>
      <c r="AQ105" s="258"/>
      <c r="AR105" s="258"/>
      <c r="AS105" s="202"/>
      <c r="AT105" s="48"/>
      <c r="AU105" s="48"/>
    </row>
    <row r="106" spans="1:47" hidden="1">
      <c r="A106" s="51"/>
      <c r="B106" s="51"/>
      <c r="C106" s="51"/>
      <c r="D106" s="51"/>
      <c r="E106" s="51"/>
      <c r="F106" s="51"/>
      <c r="G106" s="51"/>
      <c r="H106" s="51"/>
      <c r="I106" s="5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239"/>
      <c r="AO106" s="225"/>
      <c r="AP106" s="287"/>
      <c r="AQ106" s="258"/>
      <c r="AR106" s="258"/>
      <c r="AS106" s="202"/>
      <c r="AT106" s="48"/>
      <c r="AU106" s="48"/>
    </row>
    <row r="107" spans="1:47" hidden="1">
      <c r="A107" s="51"/>
      <c r="B107" s="51"/>
      <c r="C107" s="51"/>
      <c r="D107" s="51"/>
      <c r="E107" s="51"/>
      <c r="F107" s="51"/>
      <c r="G107" s="51"/>
      <c r="H107" s="51"/>
      <c r="I107" s="5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239"/>
      <c r="AO107" s="225"/>
      <c r="AP107" s="287"/>
      <c r="AQ107" s="258"/>
      <c r="AR107" s="258"/>
      <c r="AS107" s="202"/>
      <c r="AT107" s="48"/>
      <c r="AU107" s="48"/>
    </row>
    <row r="108" spans="1:47" hidden="1">
      <c r="A108" s="51"/>
      <c r="B108" s="51"/>
      <c r="C108" s="51"/>
      <c r="D108" s="51"/>
      <c r="E108" s="51"/>
      <c r="F108" s="51"/>
      <c r="G108" s="51"/>
      <c r="H108" s="51"/>
      <c r="I108" s="5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239"/>
      <c r="AO108" s="225"/>
      <c r="AP108" s="287"/>
      <c r="AQ108" s="258"/>
      <c r="AR108" s="258"/>
      <c r="AS108" s="202"/>
      <c r="AT108" s="48"/>
      <c r="AU108" s="48"/>
    </row>
    <row r="109" spans="1:47" hidden="1">
      <c r="A109" s="51"/>
      <c r="B109" s="51"/>
      <c r="C109" s="51"/>
      <c r="D109" s="51"/>
      <c r="E109" s="51"/>
      <c r="F109" s="51"/>
      <c r="G109" s="51"/>
      <c r="H109" s="51"/>
      <c r="I109" s="5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239"/>
      <c r="AO109" s="225"/>
      <c r="AP109" s="287"/>
      <c r="AQ109" s="258"/>
      <c r="AR109" s="258"/>
      <c r="AS109" s="202"/>
      <c r="AT109" s="48"/>
      <c r="AU109" s="48"/>
    </row>
    <row r="110" spans="1:47" hidden="1">
      <c r="A110" s="51"/>
      <c r="B110" s="51"/>
      <c r="C110" s="51"/>
      <c r="D110" s="51"/>
      <c r="E110" s="51"/>
      <c r="F110" s="51"/>
      <c r="G110" s="51"/>
      <c r="H110" s="51"/>
      <c r="I110" s="5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239"/>
      <c r="AO110" s="225"/>
      <c r="AP110" s="287"/>
      <c r="AQ110" s="258"/>
      <c r="AR110" s="258"/>
      <c r="AS110" s="202"/>
      <c r="AT110" s="48"/>
      <c r="AU110" s="48"/>
    </row>
    <row r="111" spans="1:47" hidden="1">
      <c r="A111" s="51"/>
      <c r="B111" s="51"/>
      <c r="C111" s="51"/>
      <c r="D111" s="51"/>
      <c r="E111" s="51"/>
      <c r="F111" s="51"/>
      <c r="G111" s="51"/>
      <c r="H111" s="51"/>
      <c r="I111" s="5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c r="AG111" s="121"/>
      <c r="AH111" s="121"/>
      <c r="AI111" s="121"/>
      <c r="AJ111" s="121"/>
      <c r="AK111" s="121"/>
      <c r="AL111" s="121"/>
      <c r="AM111" s="121"/>
      <c r="AN111" s="239"/>
      <c r="AO111" s="225"/>
      <c r="AP111" s="287"/>
      <c r="AQ111" s="258"/>
      <c r="AR111" s="258"/>
      <c r="AS111" s="202"/>
      <c r="AT111" s="48"/>
      <c r="AU111" s="48"/>
    </row>
    <row r="112" spans="1:47" hidden="1">
      <c r="A112" s="51"/>
      <c r="B112" s="51"/>
      <c r="C112" s="51"/>
      <c r="D112" s="51"/>
      <c r="E112" s="51"/>
      <c r="F112" s="51"/>
      <c r="G112" s="51"/>
      <c r="H112" s="51"/>
      <c r="I112" s="5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239"/>
      <c r="AO112" s="225"/>
      <c r="AP112" s="287"/>
      <c r="AQ112" s="258"/>
      <c r="AR112" s="258"/>
      <c r="AS112" s="202"/>
      <c r="AT112" s="48"/>
      <c r="AU112" s="48"/>
    </row>
    <row r="113" spans="1:47" hidden="1">
      <c r="A113" s="51"/>
      <c r="B113" s="51"/>
      <c r="C113" s="51"/>
      <c r="D113" s="51"/>
      <c r="E113" s="51"/>
      <c r="F113" s="51"/>
      <c r="G113" s="51"/>
      <c r="H113" s="51"/>
      <c r="I113" s="51"/>
      <c r="J113" s="121"/>
      <c r="K113" s="121"/>
      <c r="L113" s="121"/>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1"/>
      <c r="AK113" s="121"/>
      <c r="AL113" s="121"/>
      <c r="AM113" s="121"/>
      <c r="AN113" s="239"/>
      <c r="AO113" s="225"/>
      <c r="AP113" s="287"/>
      <c r="AQ113" s="258"/>
      <c r="AR113" s="258"/>
      <c r="AS113" s="202"/>
      <c r="AT113" s="48"/>
      <c r="AU113" s="48"/>
    </row>
    <row r="114" spans="1:47" hidden="1">
      <c r="A114" s="51"/>
      <c r="B114" s="51"/>
      <c r="C114" s="51"/>
      <c r="D114" s="51"/>
      <c r="E114" s="51"/>
      <c r="F114" s="51"/>
      <c r="G114" s="51"/>
      <c r="H114" s="51"/>
      <c r="I114" s="5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239"/>
      <c r="AO114" s="225"/>
      <c r="AP114" s="287"/>
      <c r="AQ114" s="258"/>
      <c r="AR114" s="258"/>
      <c r="AS114" s="202"/>
      <c r="AT114" s="48"/>
      <c r="AU114" s="48"/>
    </row>
    <row r="115" spans="1:47" hidden="1">
      <c r="A115" s="51"/>
      <c r="B115" s="51"/>
      <c r="C115" s="51"/>
      <c r="D115" s="51"/>
      <c r="E115" s="51"/>
      <c r="F115" s="51"/>
      <c r="G115" s="51"/>
      <c r="H115" s="51"/>
      <c r="I115" s="51"/>
      <c r="J115" s="121"/>
      <c r="K115" s="121"/>
      <c r="L115" s="121"/>
      <c r="M115" s="121"/>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239"/>
      <c r="AO115" s="225"/>
      <c r="AP115" s="287"/>
      <c r="AQ115" s="258"/>
      <c r="AR115" s="258"/>
      <c r="AS115" s="202"/>
      <c r="AT115" s="48"/>
      <c r="AU115" s="48"/>
    </row>
    <row r="116" spans="1:47" hidden="1">
      <c r="A116" s="51"/>
      <c r="B116" s="51"/>
      <c r="C116" s="51"/>
      <c r="D116" s="51"/>
      <c r="E116" s="51"/>
      <c r="F116" s="51"/>
      <c r="G116" s="51"/>
      <c r="H116" s="51"/>
      <c r="I116" s="5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239"/>
      <c r="AO116" s="225"/>
      <c r="AP116" s="287"/>
      <c r="AQ116" s="258"/>
      <c r="AR116" s="258"/>
      <c r="AS116" s="202"/>
      <c r="AT116" s="48"/>
      <c r="AU116" s="48"/>
    </row>
    <row r="117" spans="1:47" hidden="1">
      <c r="A117" s="51"/>
      <c r="B117" s="51"/>
      <c r="C117" s="51"/>
      <c r="D117" s="51"/>
      <c r="E117" s="51"/>
      <c r="F117" s="51"/>
      <c r="G117" s="51"/>
      <c r="H117" s="51"/>
      <c r="I117" s="51"/>
      <c r="J117" s="121"/>
      <c r="K117" s="121"/>
      <c r="L117" s="121"/>
      <c r="M117" s="121"/>
      <c r="N117" s="121"/>
      <c r="O117" s="121"/>
      <c r="P117" s="121"/>
      <c r="Q117" s="121"/>
      <c r="R117" s="121"/>
      <c r="S117" s="121"/>
      <c r="T117" s="121"/>
      <c r="U117" s="121"/>
      <c r="V117" s="121"/>
      <c r="W117" s="121"/>
      <c r="X117" s="121"/>
      <c r="Y117" s="121"/>
      <c r="Z117" s="121"/>
      <c r="AA117" s="121"/>
      <c r="AB117" s="121"/>
      <c r="AC117" s="121"/>
      <c r="AD117" s="121"/>
      <c r="AE117" s="121"/>
      <c r="AF117" s="121"/>
      <c r="AG117" s="121"/>
      <c r="AH117" s="121"/>
      <c r="AI117" s="121"/>
      <c r="AJ117" s="121"/>
      <c r="AK117" s="121"/>
      <c r="AL117" s="121"/>
      <c r="AM117" s="121"/>
      <c r="AN117" s="239"/>
      <c r="AO117" s="225"/>
      <c r="AP117" s="287"/>
      <c r="AQ117" s="258"/>
      <c r="AR117" s="258"/>
      <c r="AS117" s="202"/>
      <c r="AT117" s="48"/>
      <c r="AU117" s="48"/>
    </row>
    <row r="118" spans="1:47" hidden="1">
      <c r="A118" s="51"/>
      <c r="B118" s="51"/>
      <c r="C118" s="51"/>
      <c r="D118" s="51"/>
      <c r="E118" s="51"/>
      <c r="F118" s="51"/>
      <c r="G118" s="51"/>
      <c r="H118" s="51"/>
      <c r="I118" s="5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239"/>
      <c r="AO118" s="225"/>
      <c r="AP118" s="287"/>
      <c r="AQ118" s="258"/>
      <c r="AR118" s="258"/>
      <c r="AS118" s="202"/>
      <c r="AT118" s="48"/>
      <c r="AU118" s="48"/>
    </row>
    <row r="119" spans="1:47" hidden="1">
      <c r="A119" s="51"/>
      <c r="B119" s="51"/>
      <c r="C119" s="51"/>
      <c r="D119" s="51"/>
      <c r="E119" s="51"/>
      <c r="F119" s="51"/>
      <c r="G119" s="51"/>
      <c r="H119" s="51"/>
      <c r="I119" s="51"/>
      <c r="J119" s="121"/>
      <c r="K119" s="121"/>
      <c r="L119" s="121"/>
      <c r="M119" s="121"/>
      <c r="N119" s="12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21"/>
      <c r="AJ119" s="121"/>
      <c r="AK119" s="121"/>
      <c r="AL119" s="121"/>
      <c r="AM119" s="121"/>
      <c r="AN119" s="239"/>
      <c r="AO119" s="225"/>
      <c r="AP119" s="287"/>
      <c r="AQ119" s="258"/>
      <c r="AR119" s="258"/>
      <c r="AS119" s="202"/>
      <c r="AT119" s="48"/>
      <c r="AU119" s="48"/>
    </row>
    <row r="120" spans="1:47" hidden="1">
      <c r="A120" s="51"/>
      <c r="B120" s="51"/>
      <c r="C120" s="51"/>
      <c r="D120" s="51"/>
      <c r="E120" s="51"/>
      <c r="F120" s="51"/>
      <c r="G120" s="51"/>
      <c r="H120" s="51"/>
      <c r="I120" s="5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239"/>
      <c r="AO120" s="225"/>
      <c r="AP120" s="287"/>
      <c r="AQ120" s="258"/>
      <c r="AR120" s="258"/>
      <c r="AS120" s="202"/>
      <c r="AT120" s="48"/>
      <c r="AU120" s="48"/>
    </row>
    <row r="121" spans="1:47" hidden="1">
      <c r="A121" s="51"/>
      <c r="B121" s="51"/>
      <c r="C121" s="51"/>
      <c r="D121" s="51"/>
      <c r="E121" s="51"/>
      <c r="F121" s="51"/>
      <c r="G121" s="51"/>
      <c r="H121" s="51"/>
      <c r="I121" s="5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239"/>
      <c r="AO121" s="225"/>
      <c r="AP121" s="287"/>
      <c r="AQ121" s="258"/>
      <c r="AR121" s="258"/>
      <c r="AS121" s="202"/>
      <c r="AT121" s="48"/>
      <c r="AU121" s="48"/>
    </row>
    <row r="122" spans="1:47" hidden="1">
      <c r="A122" s="51"/>
      <c r="B122" s="51"/>
      <c r="C122" s="51"/>
      <c r="D122" s="51"/>
      <c r="E122" s="51"/>
      <c r="F122" s="51"/>
      <c r="G122" s="51"/>
      <c r="H122" s="51"/>
      <c r="I122" s="5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239"/>
      <c r="AO122" s="225"/>
      <c r="AP122" s="287"/>
      <c r="AQ122" s="258"/>
      <c r="AR122" s="258"/>
      <c r="AS122" s="202"/>
      <c r="AT122" s="48"/>
      <c r="AU122" s="48"/>
    </row>
    <row r="123" spans="1:47" hidden="1">
      <c r="A123" s="51"/>
      <c r="B123" s="51"/>
      <c r="C123" s="51"/>
      <c r="D123" s="51"/>
      <c r="E123" s="51"/>
      <c r="F123" s="51"/>
      <c r="G123" s="51"/>
      <c r="H123" s="51"/>
      <c r="I123" s="51"/>
      <c r="J123" s="121"/>
      <c r="K123" s="121"/>
      <c r="L123" s="121"/>
      <c r="M123" s="121"/>
      <c r="N123" s="121"/>
      <c r="O123" s="121"/>
      <c r="P123" s="121"/>
      <c r="Q123" s="121"/>
      <c r="R123" s="121"/>
      <c r="S123" s="121"/>
      <c r="T123" s="121"/>
      <c r="U123" s="121"/>
      <c r="V123" s="121"/>
      <c r="W123" s="121"/>
      <c r="X123" s="121"/>
      <c r="Y123" s="121"/>
      <c r="Z123" s="121"/>
      <c r="AA123" s="121"/>
      <c r="AB123" s="121"/>
      <c r="AC123" s="121"/>
      <c r="AD123" s="121"/>
      <c r="AE123" s="121"/>
      <c r="AF123" s="121"/>
      <c r="AG123" s="121"/>
      <c r="AH123" s="121"/>
      <c r="AI123" s="121"/>
      <c r="AJ123" s="121"/>
      <c r="AK123" s="121"/>
      <c r="AL123" s="121"/>
      <c r="AM123" s="121"/>
      <c r="AN123" s="239"/>
      <c r="AO123" s="225"/>
      <c r="AP123" s="287"/>
      <c r="AQ123" s="258"/>
      <c r="AR123" s="258"/>
      <c r="AS123" s="202"/>
      <c r="AT123" s="48"/>
      <c r="AU123" s="48"/>
    </row>
    <row r="124" spans="1:47" hidden="1">
      <c r="A124" s="51"/>
      <c r="B124" s="51"/>
      <c r="C124" s="51"/>
      <c r="D124" s="51"/>
      <c r="E124" s="51"/>
      <c r="F124" s="51"/>
      <c r="G124" s="51"/>
      <c r="H124" s="51"/>
      <c r="I124" s="5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239"/>
      <c r="AO124" s="225"/>
      <c r="AP124" s="287"/>
      <c r="AQ124" s="258"/>
      <c r="AR124" s="258"/>
      <c r="AS124" s="202"/>
      <c r="AT124" s="48"/>
      <c r="AU124" s="48"/>
    </row>
    <row r="125" spans="1:47" hidden="1">
      <c r="A125" s="51"/>
      <c r="B125" s="51"/>
      <c r="C125" s="51"/>
      <c r="D125" s="51"/>
      <c r="E125" s="51"/>
      <c r="F125" s="51"/>
      <c r="G125" s="51"/>
      <c r="H125" s="51"/>
      <c r="I125" s="51"/>
      <c r="J125" s="121"/>
      <c r="K125" s="121"/>
      <c r="L125" s="121"/>
      <c r="M125" s="121"/>
      <c r="N125" s="121"/>
      <c r="O125" s="121"/>
      <c r="P125" s="121"/>
      <c r="Q125" s="121"/>
      <c r="R125" s="121"/>
      <c r="S125" s="121"/>
      <c r="T125" s="121"/>
      <c r="U125" s="121"/>
      <c r="V125" s="121"/>
      <c r="W125" s="121"/>
      <c r="X125" s="121"/>
      <c r="Y125" s="121"/>
      <c r="Z125" s="121"/>
      <c r="AA125" s="121"/>
      <c r="AB125" s="121"/>
      <c r="AC125" s="121"/>
      <c r="AD125" s="121"/>
      <c r="AE125" s="121"/>
      <c r="AF125" s="121"/>
      <c r="AG125" s="121"/>
      <c r="AH125" s="121"/>
      <c r="AI125" s="121"/>
      <c r="AJ125" s="121"/>
      <c r="AK125" s="121"/>
      <c r="AL125" s="121"/>
      <c r="AM125" s="121"/>
      <c r="AN125" s="239"/>
      <c r="AO125" s="225"/>
      <c r="AP125" s="287"/>
      <c r="AQ125" s="258"/>
      <c r="AR125" s="258"/>
      <c r="AS125" s="202"/>
      <c r="AT125" s="48"/>
      <c r="AU125" s="48"/>
    </row>
    <row r="126" spans="1:47" hidden="1">
      <c r="A126" s="51"/>
      <c r="B126" s="51"/>
      <c r="C126" s="51"/>
      <c r="D126" s="51"/>
      <c r="E126" s="51"/>
      <c r="F126" s="51"/>
      <c r="G126" s="51"/>
      <c r="H126" s="51"/>
      <c r="I126" s="51"/>
      <c r="J126" s="121"/>
      <c r="K126" s="121"/>
      <c r="L126" s="121"/>
      <c r="M126" s="121"/>
      <c r="N126" s="121"/>
      <c r="O126" s="121"/>
      <c r="P126" s="121"/>
      <c r="Q126" s="121"/>
      <c r="R126" s="121"/>
      <c r="S126" s="121"/>
      <c r="T126" s="121"/>
      <c r="U126" s="121"/>
      <c r="V126" s="121"/>
      <c r="W126" s="121"/>
      <c r="X126" s="121"/>
      <c r="Y126" s="121"/>
      <c r="Z126" s="121"/>
      <c r="AA126" s="121"/>
      <c r="AB126" s="121"/>
      <c r="AC126" s="121"/>
      <c r="AD126" s="121"/>
      <c r="AE126" s="121"/>
      <c r="AF126" s="121"/>
      <c r="AG126" s="121"/>
      <c r="AH126" s="121"/>
      <c r="AI126" s="121"/>
      <c r="AJ126" s="121"/>
      <c r="AK126" s="121"/>
      <c r="AL126" s="121"/>
      <c r="AM126" s="121"/>
      <c r="AN126" s="239"/>
      <c r="AO126" s="225"/>
      <c r="AP126" s="287"/>
      <c r="AQ126" s="258"/>
      <c r="AR126" s="258"/>
      <c r="AS126" s="202"/>
      <c r="AT126" s="48"/>
      <c r="AU126" s="48"/>
    </row>
    <row r="127" spans="1:47" hidden="1">
      <c r="A127" s="51"/>
      <c r="B127" s="51"/>
      <c r="C127" s="51"/>
      <c r="D127" s="51"/>
      <c r="E127" s="51"/>
      <c r="F127" s="51"/>
      <c r="G127" s="51"/>
      <c r="H127" s="51"/>
      <c r="I127" s="51"/>
      <c r="J127" s="121"/>
      <c r="K127" s="121"/>
      <c r="L127" s="121"/>
      <c r="M127" s="121"/>
      <c r="N127" s="121"/>
      <c r="O127" s="121"/>
      <c r="P127" s="121"/>
      <c r="Q127" s="121"/>
      <c r="R127" s="121"/>
      <c r="S127" s="121"/>
      <c r="T127" s="121"/>
      <c r="U127" s="121"/>
      <c r="V127" s="121"/>
      <c r="W127" s="121"/>
      <c r="X127" s="121"/>
      <c r="Y127" s="121"/>
      <c r="Z127" s="121"/>
      <c r="AA127" s="121"/>
      <c r="AB127" s="121"/>
      <c r="AC127" s="121"/>
      <c r="AD127" s="121"/>
      <c r="AE127" s="121"/>
      <c r="AF127" s="121"/>
      <c r="AG127" s="121"/>
      <c r="AH127" s="121"/>
      <c r="AI127" s="121"/>
      <c r="AJ127" s="121"/>
      <c r="AK127" s="121"/>
      <c r="AL127" s="121"/>
      <c r="AM127" s="121"/>
      <c r="AN127" s="239"/>
      <c r="AO127" s="225"/>
      <c r="AP127" s="287"/>
      <c r="AQ127" s="258"/>
      <c r="AR127" s="258"/>
      <c r="AS127" s="202"/>
      <c r="AT127" s="48"/>
      <c r="AU127" s="48"/>
    </row>
    <row r="128" spans="1:47" hidden="1">
      <c r="A128" s="51"/>
      <c r="B128" s="51"/>
      <c r="C128" s="51"/>
      <c r="D128" s="51"/>
      <c r="E128" s="51"/>
      <c r="F128" s="51"/>
      <c r="G128" s="51"/>
      <c r="H128" s="51"/>
      <c r="I128" s="5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239"/>
      <c r="AO128" s="225"/>
      <c r="AP128" s="287"/>
      <c r="AQ128" s="258"/>
      <c r="AR128" s="258"/>
      <c r="AS128" s="202"/>
      <c r="AT128" s="48"/>
      <c r="AU128" s="48"/>
    </row>
    <row r="129" spans="1:47" hidden="1">
      <c r="A129" s="51"/>
      <c r="B129" s="51"/>
      <c r="C129" s="51"/>
      <c r="D129" s="51"/>
      <c r="E129" s="51"/>
      <c r="F129" s="51"/>
      <c r="G129" s="51"/>
      <c r="H129" s="51"/>
      <c r="I129" s="5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239"/>
      <c r="AO129" s="225"/>
      <c r="AP129" s="287"/>
      <c r="AQ129" s="258"/>
      <c r="AR129" s="258"/>
      <c r="AS129" s="202"/>
      <c r="AT129" s="48"/>
      <c r="AU129" s="48"/>
    </row>
    <row r="130" spans="1:47" hidden="1">
      <c r="A130" s="51"/>
      <c r="B130" s="51"/>
      <c r="C130" s="51"/>
      <c r="D130" s="51"/>
      <c r="E130" s="51"/>
      <c r="F130" s="51"/>
      <c r="G130" s="51"/>
      <c r="H130" s="51"/>
      <c r="I130" s="5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239"/>
      <c r="AO130" s="225"/>
      <c r="AP130" s="287"/>
      <c r="AQ130" s="258"/>
      <c r="AR130" s="258"/>
      <c r="AS130" s="202"/>
      <c r="AT130" s="48"/>
      <c r="AU130" s="48"/>
    </row>
    <row r="131" spans="1:47" hidden="1">
      <c r="A131" s="51"/>
      <c r="B131" s="51"/>
      <c r="C131" s="51"/>
      <c r="D131" s="51"/>
      <c r="E131" s="51"/>
      <c r="F131" s="51"/>
      <c r="G131" s="51"/>
      <c r="H131" s="51"/>
      <c r="I131" s="51"/>
      <c r="J131" s="121"/>
      <c r="K131" s="121"/>
      <c r="L131" s="121"/>
      <c r="M131" s="121"/>
      <c r="N131" s="121"/>
      <c r="O131" s="121"/>
      <c r="P131" s="121"/>
      <c r="Q131" s="121"/>
      <c r="R131" s="121"/>
      <c r="S131" s="121"/>
      <c r="T131" s="121"/>
      <c r="U131" s="121"/>
      <c r="V131" s="121"/>
      <c r="W131" s="121"/>
      <c r="X131" s="121"/>
      <c r="Y131" s="121"/>
      <c r="Z131" s="121"/>
      <c r="AA131" s="121"/>
      <c r="AB131" s="121"/>
      <c r="AC131" s="121"/>
      <c r="AD131" s="121"/>
      <c r="AE131" s="121"/>
      <c r="AF131" s="121"/>
      <c r="AG131" s="121"/>
      <c r="AH131" s="121"/>
      <c r="AI131" s="121"/>
      <c r="AJ131" s="121"/>
      <c r="AK131" s="121"/>
      <c r="AL131" s="121"/>
      <c r="AM131" s="121"/>
      <c r="AN131" s="239"/>
      <c r="AO131" s="225"/>
      <c r="AP131" s="287"/>
      <c r="AQ131" s="258"/>
      <c r="AR131" s="258"/>
      <c r="AS131" s="202"/>
      <c r="AT131" s="48"/>
      <c r="AU131" s="48"/>
    </row>
    <row r="132" spans="1:47" hidden="1">
      <c r="A132" s="51"/>
      <c r="B132" s="51"/>
      <c r="C132" s="51"/>
      <c r="D132" s="51"/>
      <c r="E132" s="51"/>
      <c r="F132" s="51"/>
      <c r="G132" s="51"/>
      <c r="H132" s="51"/>
      <c r="I132" s="5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239"/>
      <c r="AO132" s="225"/>
      <c r="AP132" s="287"/>
      <c r="AQ132" s="258"/>
      <c r="AR132" s="258"/>
      <c r="AS132" s="202"/>
      <c r="AT132" s="48"/>
      <c r="AU132" s="48"/>
    </row>
    <row r="133" spans="1:47" hidden="1">
      <c r="A133" s="51"/>
      <c r="B133" s="51"/>
      <c r="C133" s="51"/>
      <c r="D133" s="51"/>
      <c r="E133" s="51"/>
      <c r="F133" s="51"/>
      <c r="G133" s="51"/>
      <c r="H133" s="51"/>
      <c r="I133" s="5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1"/>
      <c r="AN133" s="239"/>
      <c r="AO133" s="225"/>
      <c r="AP133" s="287"/>
      <c r="AQ133" s="258"/>
      <c r="AR133" s="258"/>
      <c r="AS133" s="202"/>
      <c r="AT133" s="48"/>
      <c r="AU133" s="48"/>
    </row>
    <row r="134" spans="1:47" hidden="1">
      <c r="A134" s="51"/>
      <c r="B134" s="51"/>
      <c r="C134" s="51"/>
      <c r="D134" s="51"/>
      <c r="E134" s="51"/>
      <c r="F134" s="51"/>
      <c r="G134" s="51"/>
      <c r="H134" s="51"/>
      <c r="I134" s="5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239"/>
      <c r="AO134" s="225"/>
      <c r="AP134" s="287"/>
      <c r="AQ134" s="258"/>
      <c r="AR134" s="258"/>
      <c r="AS134" s="202"/>
      <c r="AT134" s="48"/>
      <c r="AU134" s="48"/>
    </row>
    <row r="135" spans="1:47" hidden="1">
      <c r="A135" s="51"/>
      <c r="B135" s="51"/>
      <c r="C135" s="51"/>
      <c r="D135" s="51"/>
      <c r="E135" s="51"/>
      <c r="F135" s="51"/>
      <c r="G135" s="51"/>
      <c r="H135" s="51"/>
      <c r="I135" s="51"/>
      <c r="J135" s="121"/>
      <c r="K135" s="121"/>
      <c r="L135" s="121"/>
      <c r="M135" s="121"/>
      <c r="N135" s="121"/>
      <c r="O135" s="121"/>
      <c r="P135" s="121"/>
      <c r="Q135" s="121"/>
      <c r="R135" s="121"/>
      <c r="S135" s="121"/>
      <c r="T135" s="121"/>
      <c r="U135" s="121"/>
      <c r="V135" s="121"/>
      <c r="W135" s="121"/>
      <c r="X135" s="121"/>
      <c r="Y135" s="121"/>
      <c r="Z135" s="121"/>
      <c r="AA135" s="121"/>
      <c r="AB135" s="121"/>
      <c r="AC135" s="121"/>
      <c r="AD135" s="121"/>
      <c r="AE135" s="121"/>
      <c r="AF135" s="121"/>
      <c r="AG135" s="121"/>
      <c r="AH135" s="121"/>
      <c r="AI135" s="121"/>
      <c r="AJ135" s="121"/>
      <c r="AK135" s="121"/>
      <c r="AL135" s="121"/>
      <c r="AM135" s="121"/>
      <c r="AN135" s="239"/>
      <c r="AO135" s="225"/>
      <c r="AP135" s="287"/>
      <c r="AQ135" s="258"/>
      <c r="AR135" s="258"/>
      <c r="AS135" s="202"/>
      <c r="AT135" s="48"/>
      <c r="AU135" s="48"/>
    </row>
    <row r="136" spans="1:47" s="121" customFormat="1" hidden="1">
      <c r="AN136" s="239"/>
      <c r="AO136" s="225"/>
      <c r="AP136" s="287"/>
      <c r="AQ136" s="258"/>
      <c r="AR136" s="258"/>
      <c r="AS136" s="202"/>
      <c r="AT136" s="213"/>
      <c r="AU136" s="213"/>
    </row>
    <row r="137" spans="1:47" s="121" customFormat="1" hidden="1">
      <c r="AN137" s="239"/>
      <c r="AO137" s="225"/>
      <c r="AP137" s="287"/>
      <c r="AQ137" s="258"/>
      <c r="AR137" s="258"/>
      <c r="AS137" s="202"/>
      <c r="AT137" s="213"/>
      <c r="AU137" s="213"/>
    </row>
    <row r="138" spans="1:47" s="121" customFormat="1" hidden="1">
      <c r="AN138" s="239"/>
      <c r="AO138" s="225"/>
      <c r="AP138" s="287"/>
      <c r="AQ138" s="258"/>
      <c r="AR138" s="258"/>
      <c r="AS138" s="202"/>
      <c r="AT138" s="213"/>
      <c r="AU138" s="213"/>
    </row>
    <row r="139" spans="1:47" s="121" customFormat="1" hidden="1">
      <c r="AN139" s="239"/>
      <c r="AO139" s="225"/>
      <c r="AP139" s="287"/>
      <c r="AQ139" s="258"/>
      <c r="AR139" s="258"/>
      <c r="AS139" s="202"/>
      <c r="AT139" s="213"/>
      <c r="AU139" s="213"/>
    </row>
    <row r="140" spans="1:47" hidden="1">
      <c r="A140" s="51"/>
      <c r="B140" s="51"/>
      <c r="C140" s="51"/>
      <c r="D140" s="51"/>
      <c r="E140" s="51"/>
      <c r="F140" s="51"/>
      <c r="G140" s="51"/>
      <c r="H140" s="51"/>
      <c r="I140" s="5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239"/>
      <c r="AO140" s="225"/>
      <c r="AP140" s="287"/>
      <c r="AQ140" s="258"/>
      <c r="AR140" s="258"/>
      <c r="AS140" s="202"/>
      <c r="AT140" s="48"/>
      <c r="AU140" s="48"/>
    </row>
    <row r="141" spans="1:47" hidden="1">
      <c r="A141" s="51"/>
      <c r="B141" s="51"/>
      <c r="C141" s="51"/>
      <c r="D141" s="51"/>
      <c r="E141" s="51"/>
      <c r="F141" s="51"/>
      <c r="G141" s="51"/>
      <c r="H141" s="51"/>
      <c r="I141" s="5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239"/>
      <c r="AO141" s="225"/>
      <c r="AP141" s="287"/>
      <c r="AQ141" s="258"/>
      <c r="AR141" s="258"/>
      <c r="AS141" s="202"/>
      <c r="AT141" s="48"/>
      <c r="AU141" s="48"/>
    </row>
    <row r="142" spans="1:47" s="121" customFormat="1" hidden="1">
      <c r="AN142" s="239"/>
      <c r="AO142" s="225"/>
      <c r="AP142" s="287"/>
      <c r="AQ142" s="258"/>
      <c r="AR142" s="258"/>
      <c r="AS142" s="202"/>
      <c r="AT142" s="213"/>
      <c r="AU142" s="213"/>
    </row>
    <row r="143" spans="1:47" s="121" customFormat="1" hidden="1">
      <c r="AN143" s="239"/>
      <c r="AO143" s="225"/>
      <c r="AP143" s="287"/>
      <c r="AQ143" s="258"/>
      <c r="AR143" s="258"/>
      <c r="AS143" s="202"/>
      <c r="AT143" s="213"/>
      <c r="AU143" s="213"/>
    </row>
    <row r="144" spans="1:47" s="121" customFormat="1" hidden="1">
      <c r="AN144" s="239"/>
      <c r="AO144" s="225"/>
      <c r="AP144" s="287"/>
      <c r="AQ144" s="258"/>
      <c r="AR144" s="258"/>
      <c r="AS144" s="202"/>
      <c r="AT144" s="213"/>
      <c r="AU144" s="213"/>
    </row>
    <row r="145" spans="1:47" s="121" customFormat="1" hidden="1">
      <c r="AN145" s="239"/>
      <c r="AO145" s="225"/>
      <c r="AP145" s="287"/>
      <c r="AQ145" s="258"/>
      <c r="AR145" s="258"/>
      <c r="AS145" s="202"/>
      <c r="AT145" s="213"/>
      <c r="AU145" s="213"/>
    </row>
    <row r="146" spans="1:47" s="121" customFormat="1" hidden="1">
      <c r="AN146" s="239"/>
      <c r="AO146" s="225"/>
      <c r="AP146" s="287"/>
      <c r="AQ146" s="258"/>
      <c r="AR146" s="258"/>
      <c r="AS146" s="202"/>
      <c r="AT146" s="213"/>
      <c r="AU146" s="213"/>
    </row>
    <row r="147" spans="1:47" s="121" customFormat="1" hidden="1">
      <c r="AN147" s="239"/>
      <c r="AO147" s="225"/>
      <c r="AP147" s="287"/>
      <c r="AQ147" s="258"/>
      <c r="AR147" s="258"/>
      <c r="AS147" s="202"/>
      <c r="AT147" s="213"/>
      <c r="AU147" s="213"/>
    </row>
    <row r="148" spans="1:47" hidden="1">
      <c r="A148" s="51"/>
      <c r="B148" s="51"/>
      <c r="C148" s="51"/>
      <c r="D148" s="51"/>
      <c r="E148" s="51"/>
      <c r="F148" s="51"/>
      <c r="G148" s="51"/>
      <c r="H148" s="51"/>
      <c r="I148" s="5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239"/>
      <c r="AO148" s="225"/>
      <c r="AP148" s="287"/>
      <c r="AQ148" s="258"/>
      <c r="AR148" s="258"/>
      <c r="AS148" s="202"/>
      <c r="AT148" s="48"/>
      <c r="AU148" s="48"/>
    </row>
    <row r="149" spans="1:47" s="121" customFormat="1" hidden="1">
      <c r="AN149" s="239"/>
      <c r="AO149" s="225"/>
      <c r="AP149" s="287"/>
      <c r="AQ149" s="258"/>
      <c r="AR149" s="258"/>
      <c r="AS149" s="202"/>
      <c r="AT149" s="213"/>
      <c r="AU149" s="213"/>
    </row>
    <row r="150" spans="1:47" s="121" customFormat="1" hidden="1">
      <c r="AN150" s="239"/>
      <c r="AO150" s="225"/>
      <c r="AP150" s="287"/>
      <c r="AQ150" s="258"/>
      <c r="AR150" s="258"/>
      <c r="AS150" s="202"/>
      <c r="AT150" s="213"/>
      <c r="AU150" s="213"/>
    </row>
    <row r="151" spans="1:47" s="121" customFormat="1" hidden="1">
      <c r="AN151" s="239"/>
      <c r="AO151" s="225"/>
      <c r="AP151" s="287"/>
      <c r="AQ151" s="258"/>
      <c r="AR151" s="258"/>
      <c r="AS151" s="202"/>
      <c r="AT151" s="213"/>
      <c r="AU151" s="213"/>
    </row>
    <row r="152" spans="1:47" s="121" customFormat="1" hidden="1">
      <c r="AN152" s="239"/>
      <c r="AO152" s="225"/>
      <c r="AP152" s="287"/>
      <c r="AQ152" s="258"/>
      <c r="AR152" s="258"/>
      <c r="AS152" s="202"/>
      <c r="AT152" s="213"/>
      <c r="AU152" s="213"/>
    </row>
    <row r="153" spans="1:47" s="121" customFormat="1" hidden="1">
      <c r="AN153" s="239"/>
      <c r="AO153" s="225"/>
      <c r="AP153" s="287"/>
      <c r="AQ153" s="258"/>
      <c r="AR153" s="258"/>
      <c r="AS153" s="202"/>
      <c r="AT153" s="213"/>
      <c r="AU153" s="213"/>
    </row>
    <row r="154" spans="1:47" s="121" customFormat="1" hidden="1">
      <c r="AN154" s="239"/>
      <c r="AO154" s="225"/>
      <c r="AP154" s="287"/>
      <c r="AQ154" s="258"/>
      <c r="AR154" s="258"/>
      <c r="AS154" s="202"/>
      <c r="AT154" s="213"/>
      <c r="AU154" s="213"/>
    </row>
    <row r="155" spans="1:47" hidden="1">
      <c r="A155" s="51"/>
      <c r="B155" s="51"/>
      <c r="C155" s="51"/>
      <c r="D155" s="51"/>
      <c r="E155" s="51"/>
      <c r="F155" s="51"/>
      <c r="G155" s="51"/>
      <c r="H155" s="51"/>
      <c r="I155" s="5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239"/>
      <c r="AO155" s="225"/>
      <c r="AP155" s="287"/>
      <c r="AQ155" s="258"/>
      <c r="AR155" s="258"/>
      <c r="AS155" s="202"/>
      <c r="AT155" s="48"/>
      <c r="AU155" s="48"/>
    </row>
    <row r="156" spans="1:47" hidden="1">
      <c r="A156" s="51"/>
      <c r="B156" s="51"/>
      <c r="C156" s="51"/>
      <c r="D156" s="51"/>
      <c r="E156" s="51"/>
      <c r="F156" s="51"/>
      <c r="G156" s="51"/>
      <c r="H156" s="51"/>
      <c r="I156" s="5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239"/>
      <c r="AO156" s="225"/>
      <c r="AP156" s="287"/>
      <c r="AQ156" s="258"/>
      <c r="AR156" s="258"/>
      <c r="AS156" s="202"/>
      <c r="AT156" s="48"/>
      <c r="AU156" s="48"/>
    </row>
    <row r="157" spans="1:47" s="121" customFormat="1" hidden="1">
      <c r="AN157" s="239"/>
      <c r="AO157" s="225"/>
      <c r="AP157" s="287"/>
      <c r="AQ157" s="258"/>
      <c r="AR157" s="258"/>
      <c r="AS157" s="202"/>
      <c r="AT157" s="213"/>
      <c r="AU157" s="213"/>
    </row>
    <row r="158" spans="1:47" s="121" customFormat="1" hidden="1">
      <c r="AN158" s="239"/>
      <c r="AO158" s="225"/>
      <c r="AP158" s="287"/>
      <c r="AQ158" s="258"/>
      <c r="AR158" s="258"/>
      <c r="AS158" s="202"/>
      <c r="AT158" s="213"/>
      <c r="AU158" s="213"/>
    </row>
    <row r="159" spans="1:47" s="121" customFormat="1" hidden="1">
      <c r="AN159" s="239"/>
      <c r="AO159" s="225"/>
      <c r="AP159" s="287"/>
      <c r="AQ159" s="258"/>
      <c r="AR159" s="258"/>
      <c r="AS159" s="202"/>
      <c r="AT159" s="213"/>
      <c r="AU159" s="213"/>
    </row>
    <row r="160" spans="1:47" s="121" customFormat="1" hidden="1">
      <c r="AN160" s="239"/>
      <c r="AO160" s="225"/>
      <c r="AP160" s="287"/>
      <c r="AQ160" s="258"/>
      <c r="AR160" s="258"/>
      <c r="AS160" s="202"/>
      <c r="AT160" s="213"/>
      <c r="AU160" s="213"/>
    </row>
    <row r="161" spans="1:47" hidden="1">
      <c r="A161" s="51"/>
      <c r="B161" s="51"/>
      <c r="C161" s="51"/>
      <c r="D161" s="51"/>
      <c r="E161" s="51"/>
      <c r="F161" s="51"/>
      <c r="G161" s="51"/>
      <c r="H161" s="51"/>
      <c r="I161" s="5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239"/>
      <c r="AO161" s="225"/>
      <c r="AP161" s="287"/>
      <c r="AQ161" s="258"/>
      <c r="AR161" s="258"/>
      <c r="AS161" s="202"/>
      <c r="AT161" s="48"/>
      <c r="AU161" s="48"/>
    </row>
    <row r="162" spans="1:47" s="121" customFormat="1" hidden="1">
      <c r="AN162" s="239"/>
      <c r="AO162" s="225"/>
      <c r="AP162" s="287"/>
      <c r="AQ162" s="258"/>
      <c r="AR162" s="258"/>
      <c r="AS162" s="202"/>
      <c r="AT162" s="213"/>
      <c r="AU162" s="213"/>
    </row>
    <row r="163" spans="1:47" s="121" customFormat="1" hidden="1">
      <c r="AN163" s="239"/>
      <c r="AO163" s="225"/>
      <c r="AP163" s="287"/>
      <c r="AQ163" s="258"/>
      <c r="AR163" s="258"/>
      <c r="AS163" s="202"/>
      <c r="AT163" s="213"/>
      <c r="AU163" s="213"/>
    </row>
    <row r="164" spans="1:47" s="121" customFormat="1" hidden="1">
      <c r="AN164" s="239"/>
      <c r="AO164" s="225"/>
      <c r="AP164" s="287"/>
      <c r="AQ164" s="258"/>
      <c r="AR164" s="258"/>
      <c r="AS164" s="202"/>
      <c r="AT164" s="213"/>
      <c r="AU164" s="213"/>
    </row>
    <row r="165" spans="1:47" s="121" customFormat="1" hidden="1">
      <c r="AN165" s="239"/>
      <c r="AO165" s="225"/>
      <c r="AP165" s="287"/>
      <c r="AQ165" s="258"/>
      <c r="AR165" s="258"/>
      <c r="AS165" s="202"/>
      <c r="AT165" s="213"/>
      <c r="AU165" s="213"/>
    </row>
    <row r="166" spans="1:47" hidden="1">
      <c r="A166" s="51"/>
      <c r="B166" s="51"/>
      <c r="C166" s="51"/>
      <c r="D166" s="51"/>
      <c r="E166" s="51"/>
      <c r="F166" s="51"/>
      <c r="G166" s="51"/>
      <c r="H166" s="51"/>
      <c r="I166" s="5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239"/>
      <c r="AO166" s="225"/>
      <c r="AP166" s="287"/>
      <c r="AQ166" s="258"/>
      <c r="AR166" s="258"/>
      <c r="AS166" s="202"/>
      <c r="AT166" s="48"/>
      <c r="AU166" s="48"/>
    </row>
    <row r="167" spans="1:47" s="121" customFormat="1" hidden="1">
      <c r="AN167" s="239"/>
      <c r="AO167" s="225"/>
      <c r="AP167" s="287"/>
      <c r="AQ167" s="258"/>
      <c r="AR167" s="258"/>
      <c r="AS167" s="202"/>
      <c r="AT167" s="213"/>
      <c r="AU167" s="213"/>
    </row>
    <row r="168" spans="1:47" s="121" customFormat="1" hidden="1">
      <c r="AN168" s="239"/>
      <c r="AO168" s="225"/>
      <c r="AP168" s="287"/>
      <c r="AQ168" s="258"/>
      <c r="AR168" s="258"/>
      <c r="AS168" s="202"/>
      <c r="AT168" s="213"/>
      <c r="AU168" s="213"/>
    </row>
    <row r="169" spans="1:47" s="121" customFormat="1" hidden="1">
      <c r="AN169" s="239"/>
      <c r="AO169" s="225"/>
      <c r="AP169" s="287"/>
      <c r="AQ169" s="258"/>
      <c r="AR169" s="258"/>
      <c r="AS169" s="202"/>
      <c r="AT169" s="213"/>
      <c r="AU169" s="213"/>
    </row>
    <row r="170" spans="1:47" s="121" customFormat="1" hidden="1">
      <c r="AN170" s="239"/>
      <c r="AO170" s="225"/>
      <c r="AP170" s="287"/>
      <c r="AQ170" s="258"/>
      <c r="AR170" s="258"/>
      <c r="AS170" s="202"/>
      <c r="AT170" s="213"/>
      <c r="AU170" s="213"/>
    </row>
    <row r="171" spans="1:47" hidden="1">
      <c r="A171" s="51"/>
      <c r="B171" s="51"/>
      <c r="C171" s="51"/>
      <c r="D171" s="51"/>
      <c r="E171" s="51"/>
      <c r="F171" s="51"/>
      <c r="G171" s="51"/>
      <c r="H171" s="51"/>
      <c r="I171" s="5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239"/>
      <c r="AO171" s="225"/>
      <c r="AP171" s="287"/>
      <c r="AQ171" s="258"/>
      <c r="AR171" s="258"/>
      <c r="AS171" s="202"/>
      <c r="AT171" s="48"/>
      <c r="AU171" s="48"/>
    </row>
    <row r="172" spans="1:47" s="121" customFormat="1" hidden="1">
      <c r="AN172" s="239"/>
      <c r="AO172" s="225"/>
      <c r="AP172" s="287"/>
      <c r="AQ172" s="258"/>
      <c r="AR172" s="258"/>
      <c r="AS172" s="202"/>
      <c r="AT172" s="213"/>
      <c r="AU172" s="213"/>
    </row>
    <row r="173" spans="1:47" s="121" customFormat="1" hidden="1">
      <c r="AN173" s="239"/>
      <c r="AO173" s="225"/>
      <c r="AP173" s="287"/>
      <c r="AQ173" s="258"/>
      <c r="AR173" s="258"/>
      <c r="AS173" s="202"/>
      <c r="AT173" s="213"/>
      <c r="AU173" s="213"/>
    </row>
    <row r="174" spans="1:47" s="121" customFormat="1" hidden="1">
      <c r="AN174" s="239"/>
      <c r="AO174" s="225"/>
      <c r="AP174" s="287"/>
      <c r="AQ174" s="258"/>
      <c r="AR174" s="258"/>
      <c r="AS174" s="202"/>
      <c r="AT174" s="213"/>
      <c r="AU174" s="213"/>
    </row>
    <row r="175" spans="1:47" s="121" customFormat="1" hidden="1">
      <c r="AN175" s="239"/>
      <c r="AO175" s="225"/>
      <c r="AP175" s="287"/>
      <c r="AQ175" s="258"/>
      <c r="AR175" s="258"/>
      <c r="AS175" s="202"/>
      <c r="AT175" s="213"/>
      <c r="AU175" s="213"/>
    </row>
    <row r="176" spans="1:47" hidden="1">
      <c r="A176" s="51"/>
      <c r="B176" s="51"/>
      <c r="C176" s="51"/>
      <c r="D176" s="51"/>
      <c r="E176" s="51"/>
      <c r="F176" s="51"/>
      <c r="G176" s="51"/>
      <c r="H176" s="51"/>
      <c r="I176" s="5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239"/>
      <c r="AO176" s="225"/>
      <c r="AP176" s="287"/>
      <c r="AQ176" s="258"/>
      <c r="AR176" s="258"/>
      <c r="AS176" s="202"/>
      <c r="AT176" s="48"/>
      <c r="AU176" s="48"/>
    </row>
    <row r="177" spans="1:47" s="121" customFormat="1" hidden="1">
      <c r="AN177" s="239"/>
      <c r="AO177" s="225"/>
      <c r="AP177" s="287"/>
      <c r="AQ177" s="258"/>
      <c r="AR177" s="258"/>
      <c r="AS177" s="202"/>
      <c r="AT177" s="213"/>
      <c r="AU177" s="213"/>
    </row>
    <row r="178" spans="1:47" s="121" customFormat="1" hidden="1">
      <c r="AN178" s="239"/>
      <c r="AO178" s="225"/>
      <c r="AP178" s="287"/>
      <c r="AQ178" s="258"/>
      <c r="AR178" s="258"/>
      <c r="AS178" s="202"/>
      <c r="AT178" s="213"/>
      <c r="AU178" s="213"/>
    </row>
    <row r="179" spans="1:47" s="121" customFormat="1" hidden="1">
      <c r="AN179" s="239"/>
      <c r="AO179" s="225"/>
      <c r="AP179" s="287"/>
      <c r="AQ179" s="258"/>
      <c r="AR179" s="258"/>
      <c r="AS179" s="202"/>
      <c r="AT179" s="213"/>
      <c r="AU179" s="213"/>
    </row>
    <row r="180" spans="1:47" s="121" customFormat="1" hidden="1">
      <c r="AN180" s="239"/>
      <c r="AO180" s="225"/>
      <c r="AP180" s="287"/>
      <c r="AQ180" s="258"/>
      <c r="AR180" s="258"/>
      <c r="AS180" s="202"/>
      <c r="AT180" s="213"/>
      <c r="AU180" s="213"/>
    </row>
    <row r="181" spans="1:47" hidden="1">
      <c r="A181" s="51"/>
      <c r="B181" s="51"/>
      <c r="C181" s="51"/>
      <c r="D181" s="51"/>
      <c r="E181" s="51"/>
      <c r="F181" s="51"/>
      <c r="G181" s="51"/>
      <c r="H181" s="51"/>
      <c r="I181" s="5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239"/>
      <c r="AO181" s="225"/>
      <c r="AP181" s="287"/>
      <c r="AQ181" s="258"/>
      <c r="AR181" s="258"/>
      <c r="AS181" s="202"/>
      <c r="AT181" s="48"/>
      <c r="AU181" s="48"/>
    </row>
    <row r="182" spans="1:47" s="121" customFormat="1" hidden="1">
      <c r="AN182" s="239"/>
      <c r="AO182" s="225"/>
      <c r="AP182" s="287"/>
      <c r="AQ182" s="258"/>
      <c r="AR182" s="258"/>
      <c r="AS182" s="202"/>
      <c r="AT182" s="213"/>
      <c r="AU182" s="213"/>
    </row>
    <row r="183" spans="1:47" s="121" customFormat="1" hidden="1">
      <c r="AN183" s="239"/>
      <c r="AO183" s="225"/>
      <c r="AP183" s="287"/>
      <c r="AQ183" s="258"/>
      <c r="AR183" s="258"/>
      <c r="AS183" s="202"/>
      <c r="AT183" s="213"/>
      <c r="AU183" s="213"/>
    </row>
    <row r="184" spans="1:47" s="121" customFormat="1" hidden="1">
      <c r="AN184" s="239"/>
      <c r="AO184" s="225"/>
      <c r="AP184" s="287"/>
      <c r="AQ184" s="258"/>
      <c r="AR184" s="258"/>
      <c r="AS184" s="202"/>
      <c r="AT184" s="213"/>
      <c r="AU184" s="213"/>
    </row>
    <row r="185" spans="1:47" s="121" customFormat="1" hidden="1">
      <c r="AN185" s="239"/>
      <c r="AO185" s="225"/>
      <c r="AP185" s="287"/>
      <c r="AQ185" s="258"/>
      <c r="AR185" s="258"/>
      <c r="AS185" s="202"/>
      <c r="AT185" s="213"/>
      <c r="AU185" s="213"/>
    </row>
    <row r="186" spans="1:47" hidden="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239"/>
      <c r="AO186" s="225"/>
      <c r="AP186" s="287"/>
      <c r="AQ186" s="258"/>
      <c r="AR186" s="258"/>
      <c r="AS186" s="202"/>
      <c r="AT186" s="48"/>
      <c r="AU186" s="48"/>
    </row>
    <row r="187" spans="1:47" s="121" customFormat="1" hidden="1">
      <c r="AN187" s="239"/>
      <c r="AO187" s="225"/>
      <c r="AP187" s="287"/>
      <c r="AQ187" s="258"/>
      <c r="AR187" s="258"/>
      <c r="AS187" s="202"/>
      <c r="AT187" s="213"/>
      <c r="AU187" s="213"/>
    </row>
    <row r="188" spans="1:47" s="121" customFormat="1" hidden="1">
      <c r="AN188" s="239"/>
      <c r="AO188" s="225"/>
      <c r="AP188" s="287"/>
      <c r="AQ188" s="258"/>
      <c r="AR188" s="258"/>
      <c r="AS188" s="202"/>
      <c r="AT188" s="213"/>
      <c r="AU188" s="213"/>
    </row>
    <row r="189" spans="1:47" s="121" customFormat="1" hidden="1">
      <c r="AN189" s="239"/>
      <c r="AO189" s="225"/>
      <c r="AP189" s="287"/>
      <c r="AQ189" s="258"/>
      <c r="AR189" s="258"/>
      <c r="AS189" s="202"/>
      <c r="AT189" s="213"/>
      <c r="AU189" s="213"/>
    </row>
    <row r="190" spans="1:47" s="121" customFormat="1" hidden="1" collapsed="1">
      <c r="AN190" s="239"/>
      <c r="AO190" s="225"/>
      <c r="AP190" s="287"/>
      <c r="AQ190" s="258"/>
      <c r="AR190" s="258"/>
      <c r="AS190" s="202"/>
      <c r="AT190" s="213"/>
      <c r="AU190" s="213"/>
    </row>
    <row r="191" spans="1:47" hidden="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239"/>
      <c r="AO191" s="225"/>
      <c r="AP191" s="287"/>
      <c r="AQ191" s="258"/>
      <c r="AR191" s="258"/>
      <c r="AS191" s="202"/>
      <c r="AT191" s="48"/>
      <c r="AU191" s="48"/>
    </row>
    <row r="192" spans="1:47" s="121" customFormat="1" hidden="1">
      <c r="AN192" s="239"/>
      <c r="AO192" s="225"/>
      <c r="AP192" s="287"/>
      <c r="AQ192" s="258"/>
      <c r="AR192" s="258"/>
      <c r="AS192" s="202"/>
      <c r="AT192" s="213"/>
      <c r="AU192" s="213"/>
    </row>
    <row r="193" spans="1:47" s="121" customFormat="1" hidden="1">
      <c r="AN193" s="239"/>
      <c r="AO193" s="225"/>
      <c r="AP193" s="287"/>
      <c r="AQ193" s="258"/>
      <c r="AR193" s="258"/>
      <c r="AS193" s="202"/>
      <c r="AT193" s="213"/>
      <c r="AU193" s="213"/>
    </row>
    <row r="194" spans="1:47" s="121" customFormat="1" hidden="1">
      <c r="AN194" s="239"/>
      <c r="AO194" s="225"/>
      <c r="AP194" s="287"/>
      <c r="AQ194" s="258"/>
      <c r="AR194" s="258"/>
      <c r="AS194" s="202"/>
      <c r="AT194" s="213"/>
      <c r="AU194" s="213"/>
    </row>
    <row r="195" spans="1:47" s="121" customFormat="1" hidden="1">
      <c r="AN195" s="239"/>
      <c r="AO195" s="225"/>
      <c r="AP195" s="287"/>
      <c r="AQ195" s="258"/>
      <c r="AR195" s="258"/>
      <c r="AS195" s="202"/>
      <c r="AT195" s="213"/>
      <c r="AU195" s="213"/>
    </row>
    <row r="196" spans="1:47" hidden="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239"/>
      <c r="AO196" s="225"/>
      <c r="AP196" s="287"/>
      <c r="AQ196" s="258"/>
      <c r="AR196" s="258"/>
      <c r="AS196" s="202"/>
      <c r="AT196" s="48"/>
      <c r="AU196" s="48"/>
    </row>
    <row r="197" spans="1:47" s="121" customFormat="1" hidden="1">
      <c r="AN197" s="239"/>
      <c r="AO197" s="225"/>
      <c r="AP197" s="287"/>
      <c r="AQ197" s="258"/>
      <c r="AR197" s="258"/>
      <c r="AS197" s="202"/>
      <c r="AT197" s="213"/>
      <c r="AU197" s="213"/>
    </row>
    <row r="198" spans="1:47" s="121" customFormat="1" hidden="1" collapsed="1">
      <c r="AN198" s="239"/>
      <c r="AO198" s="225"/>
      <c r="AP198" s="287"/>
      <c r="AQ198" s="258"/>
      <c r="AR198" s="258"/>
      <c r="AS198" s="202"/>
      <c r="AT198" s="213"/>
      <c r="AU198" s="213"/>
    </row>
    <row r="199" spans="1:47" s="121" customFormat="1" hidden="1">
      <c r="AN199" s="239"/>
      <c r="AO199" s="225"/>
      <c r="AP199" s="287"/>
      <c r="AQ199" s="258"/>
      <c r="AR199" s="258"/>
      <c r="AS199" s="202"/>
      <c r="AT199" s="213"/>
      <c r="AU199" s="213"/>
    </row>
    <row r="200" spans="1:47" s="121" customFormat="1" hidden="1">
      <c r="AN200" s="239"/>
      <c r="AO200" s="225"/>
      <c r="AP200" s="287"/>
      <c r="AQ200" s="258"/>
      <c r="AR200" s="258"/>
      <c r="AS200" s="202"/>
      <c r="AT200" s="213"/>
      <c r="AU200" s="213"/>
    </row>
    <row r="201" spans="1:47" hidden="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239"/>
      <c r="AO201" s="225"/>
      <c r="AP201" s="287"/>
      <c r="AQ201" s="258"/>
      <c r="AR201" s="258"/>
      <c r="AS201" s="202"/>
      <c r="AT201" s="48"/>
      <c r="AU201" s="48"/>
    </row>
    <row r="202" spans="1:47" s="121" customFormat="1" hidden="1" collapsed="1">
      <c r="AN202" s="239"/>
      <c r="AO202" s="225"/>
      <c r="AP202" s="287"/>
      <c r="AQ202" s="258"/>
      <c r="AR202" s="258"/>
      <c r="AS202" s="202"/>
      <c r="AT202" s="213"/>
      <c r="AU202" s="213"/>
    </row>
    <row r="203" spans="1:47" s="121" customFormat="1" hidden="1">
      <c r="AN203" s="239"/>
      <c r="AO203" s="225"/>
      <c r="AP203" s="287"/>
      <c r="AQ203" s="258"/>
      <c r="AR203" s="258"/>
      <c r="AS203" s="202"/>
      <c r="AT203" s="213"/>
      <c r="AU203" s="213"/>
    </row>
    <row r="204" spans="1:47" s="121" customFormat="1" hidden="1">
      <c r="AN204" s="239"/>
      <c r="AO204" s="225"/>
      <c r="AP204" s="287"/>
      <c r="AQ204" s="258"/>
      <c r="AR204" s="258"/>
      <c r="AS204" s="202"/>
      <c r="AT204" s="213"/>
      <c r="AU204" s="213"/>
    </row>
    <row r="205" spans="1:47" s="121" customFormat="1" hidden="1">
      <c r="AN205" s="239"/>
      <c r="AO205" s="225"/>
      <c r="AP205" s="287"/>
      <c r="AQ205" s="258"/>
      <c r="AR205" s="258"/>
      <c r="AS205" s="202"/>
      <c r="AT205" s="213"/>
      <c r="AU205" s="213"/>
    </row>
    <row r="206" spans="1:47" hidden="1" collapsed="1">
      <c r="A206" s="51"/>
      <c r="B206" s="51"/>
      <c r="C206" s="51"/>
      <c r="D206" s="51"/>
      <c r="E206" s="51"/>
      <c r="F206" s="51"/>
      <c r="G206" s="51"/>
      <c r="H206" s="51"/>
      <c r="I206" s="5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239"/>
      <c r="AO206" s="225"/>
      <c r="AP206" s="287"/>
      <c r="AQ206" s="258"/>
      <c r="AR206" s="258"/>
      <c r="AS206" s="202"/>
      <c r="AT206" s="48"/>
      <c r="AU206" s="48"/>
    </row>
    <row r="207" spans="1:47" hidden="1">
      <c r="A207" s="51"/>
      <c r="B207" s="51"/>
      <c r="C207" s="51"/>
      <c r="D207" s="51"/>
      <c r="E207" s="51"/>
      <c r="F207" s="51"/>
      <c r="G207" s="51"/>
      <c r="H207" s="51"/>
      <c r="I207" s="5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239"/>
      <c r="AO207" s="225"/>
      <c r="AP207" s="287"/>
      <c r="AQ207" s="258"/>
      <c r="AR207" s="258"/>
      <c r="AS207" s="202"/>
      <c r="AT207" s="48"/>
      <c r="AU207" s="48"/>
    </row>
    <row r="208" spans="1:47" hidden="1">
      <c r="A208" s="51"/>
      <c r="B208" s="51"/>
      <c r="C208" s="51"/>
      <c r="D208" s="51"/>
      <c r="E208" s="51"/>
      <c r="F208" s="51"/>
      <c r="G208" s="51"/>
      <c r="H208" s="51"/>
      <c r="I208" s="5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239"/>
      <c r="AO208" s="225"/>
      <c r="AP208" s="287"/>
      <c r="AQ208" s="258"/>
      <c r="AR208" s="258"/>
      <c r="AS208" s="202"/>
      <c r="AT208" s="48"/>
      <c r="AU208" s="48"/>
    </row>
    <row r="209" spans="40:47" s="121" customFormat="1" hidden="1">
      <c r="AN209" s="239"/>
      <c r="AO209" s="225"/>
      <c r="AP209" s="287"/>
      <c r="AQ209" s="258"/>
      <c r="AR209" s="258"/>
      <c r="AS209" s="202"/>
      <c r="AT209" s="213"/>
      <c r="AU209" s="213"/>
    </row>
    <row r="210" spans="40:47" s="121" customFormat="1" hidden="1">
      <c r="AN210" s="239"/>
      <c r="AO210" s="225"/>
      <c r="AP210" s="287"/>
      <c r="AQ210" s="258"/>
      <c r="AR210" s="258"/>
      <c r="AS210" s="202"/>
      <c r="AT210" s="213"/>
      <c r="AU210" s="213"/>
    </row>
    <row r="211" spans="40:47" s="121" customFormat="1" hidden="1">
      <c r="AN211" s="239"/>
      <c r="AO211" s="225"/>
      <c r="AP211" s="287"/>
      <c r="AQ211" s="258"/>
      <c r="AR211" s="258"/>
      <c r="AS211" s="202"/>
      <c r="AT211" s="213"/>
      <c r="AU211" s="213"/>
    </row>
    <row r="212" spans="40:47" s="121" customFormat="1" hidden="1">
      <c r="AN212" s="239"/>
      <c r="AO212" s="225"/>
      <c r="AP212" s="287"/>
      <c r="AQ212" s="258"/>
      <c r="AR212" s="258"/>
      <c r="AS212" s="202"/>
      <c r="AT212" s="213"/>
      <c r="AU212" s="213"/>
    </row>
    <row r="213" spans="40:47" s="121" customFormat="1" hidden="1">
      <c r="AN213" s="239"/>
      <c r="AO213" s="225"/>
      <c r="AP213" s="287"/>
      <c r="AQ213" s="258"/>
      <c r="AR213" s="258"/>
      <c r="AS213" s="202"/>
      <c r="AT213" s="213"/>
      <c r="AU213" s="213"/>
    </row>
    <row r="214" spans="40:47" s="121" customFormat="1" hidden="1">
      <c r="AN214" s="239"/>
      <c r="AO214" s="225"/>
      <c r="AP214" s="287"/>
      <c r="AQ214" s="258"/>
      <c r="AR214" s="258"/>
      <c r="AS214" s="202"/>
      <c r="AT214" s="213"/>
      <c r="AU214" s="213"/>
    </row>
    <row r="215" spans="40:47" s="121" customFormat="1" hidden="1">
      <c r="AN215" s="239"/>
      <c r="AO215" s="225"/>
      <c r="AP215" s="287"/>
      <c r="AQ215" s="258"/>
      <c r="AR215" s="258"/>
      <c r="AS215" s="202"/>
      <c r="AT215" s="213"/>
      <c r="AU215" s="213"/>
    </row>
    <row r="216" spans="40:47" s="121" customFormat="1" hidden="1">
      <c r="AN216" s="239"/>
      <c r="AO216" s="225"/>
      <c r="AP216" s="287"/>
      <c r="AQ216" s="258"/>
      <c r="AR216" s="258"/>
      <c r="AS216" s="202"/>
      <c r="AT216" s="213"/>
      <c r="AU216" s="213"/>
    </row>
    <row r="217" spans="40:47" s="121" customFormat="1" hidden="1">
      <c r="AN217" s="239"/>
      <c r="AO217" s="225"/>
      <c r="AP217" s="287"/>
      <c r="AQ217" s="258"/>
      <c r="AR217" s="258"/>
      <c r="AS217" s="202"/>
      <c r="AT217" s="213"/>
      <c r="AU217" s="213"/>
    </row>
    <row r="218" spans="40:47" s="121" customFormat="1" hidden="1">
      <c r="AN218" s="239"/>
      <c r="AO218" s="225"/>
      <c r="AP218" s="287"/>
      <c r="AQ218" s="258"/>
      <c r="AR218" s="258"/>
      <c r="AS218" s="202"/>
      <c r="AT218" s="213"/>
      <c r="AU218" s="213"/>
    </row>
    <row r="219" spans="40:47" s="121" customFormat="1" hidden="1">
      <c r="AN219" s="239"/>
      <c r="AO219" s="225"/>
      <c r="AP219" s="287"/>
      <c r="AQ219" s="258"/>
      <c r="AR219" s="258"/>
      <c r="AS219" s="202"/>
      <c r="AT219" s="213"/>
      <c r="AU219" s="213"/>
    </row>
    <row r="220" spans="40:47" s="121" customFormat="1" hidden="1">
      <c r="AN220" s="239"/>
      <c r="AO220" s="225"/>
      <c r="AP220" s="287"/>
      <c r="AQ220" s="258"/>
      <c r="AR220" s="258"/>
      <c r="AS220" s="202"/>
      <c r="AT220" s="213"/>
      <c r="AU220" s="213"/>
    </row>
    <row r="221" spans="40:47" s="121" customFormat="1" hidden="1">
      <c r="AN221" s="239"/>
      <c r="AO221" s="225"/>
      <c r="AP221" s="287"/>
      <c r="AQ221" s="258"/>
      <c r="AR221" s="258"/>
      <c r="AS221" s="202"/>
      <c r="AT221" s="213"/>
      <c r="AU221" s="213"/>
    </row>
    <row r="222" spans="40:47" s="121" customFormat="1" hidden="1">
      <c r="AN222" s="239"/>
      <c r="AO222" s="225"/>
      <c r="AP222" s="287"/>
      <c r="AQ222" s="258"/>
      <c r="AR222" s="258"/>
      <c r="AS222" s="202"/>
      <c r="AT222" s="213"/>
      <c r="AU222" s="213"/>
    </row>
    <row r="223" spans="40:47" s="121" customFormat="1" hidden="1">
      <c r="AN223" s="239"/>
      <c r="AO223" s="225"/>
      <c r="AP223" s="287"/>
      <c r="AQ223" s="258"/>
      <c r="AR223" s="258"/>
      <c r="AS223" s="202"/>
      <c r="AT223" s="213"/>
      <c r="AU223" s="213"/>
    </row>
    <row r="224" spans="40:47" s="121" customFormat="1" hidden="1">
      <c r="AN224" s="239"/>
      <c r="AO224" s="225"/>
      <c r="AP224" s="287"/>
      <c r="AQ224" s="258"/>
      <c r="AR224" s="258"/>
      <c r="AS224" s="202"/>
      <c r="AT224" s="213"/>
      <c r="AU224" s="213"/>
    </row>
    <row r="225" spans="40:47" s="121" customFormat="1" hidden="1">
      <c r="AN225" s="239"/>
      <c r="AO225" s="225"/>
      <c r="AP225" s="287"/>
      <c r="AQ225" s="258"/>
      <c r="AR225" s="258"/>
      <c r="AS225" s="202"/>
      <c r="AT225" s="213"/>
      <c r="AU225" s="213"/>
    </row>
    <row r="226" spans="40:47" s="121" customFormat="1" hidden="1">
      <c r="AN226" s="239"/>
      <c r="AO226" s="225"/>
      <c r="AP226" s="287"/>
      <c r="AQ226" s="258"/>
      <c r="AR226" s="258"/>
      <c r="AS226" s="202"/>
      <c r="AT226" s="213"/>
      <c r="AU226" s="213"/>
    </row>
    <row r="227" spans="40:47" s="121" customFormat="1" hidden="1">
      <c r="AN227" s="239"/>
      <c r="AO227" s="225"/>
      <c r="AP227" s="260"/>
      <c r="AQ227" s="258"/>
      <c r="AR227" s="258"/>
      <c r="AS227" s="202"/>
      <c r="AT227" s="213"/>
      <c r="AU227" s="213"/>
    </row>
    <row r="228" spans="40:47" s="121" customFormat="1" hidden="1">
      <c r="AN228" s="239"/>
      <c r="AO228" s="225"/>
      <c r="AP228" s="260"/>
      <c r="AQ228" s="258"/>
      <c r="AR228" s="258"/>
      <c r="AS228" s="202"/>
      <c r="AT228" s="213"/>
      <c r="AU228" s="213"/>
    </row>
    <row r="229" spans="40:47" s="121" customFormat="1" hidden="1">
      <c r="AN229" s="239"/>
      <c r="AO229" s="225"/>
      <c r="AP229" s="260"/>
      <c r="AQ229" s="258"/>
      <c r="AR229" s="258"/>
      <c r="AS229" s="202"/>
      <c r="AT229" s="213"/>
      <c r="AU229" s="213"/>
    </row>
    <row r="230" spans="40:47" s="121" customFormat="1" hidden="1">
      <c r="AN230" s="239"/>
      <c r="AO230" s="225"/>
      <c r="AP230" s="260"/>
      <c r="AQ230" s="258"/>
      <c r="AR230" s="258"/>
      <c r="AS230" s="202"/>
      <c r="AT230" s="213"/>
      <c r="AU230" s="213"/>
    </row>
    <row r="231" spans="40:47" s="121" customFormat="1" hidden="1">
      <c r="AN231" s="239"/>
      <c r="AO231" s="225"/>
      <c r="AP231" s="260"/>
      <c r="AQ231" s="258"/>
      <c r="AR231" s="258"/>
      <c r="AS231" s="202"/>
      <c r="AT231" s="213"/>
      <c r="AU231" s="213"/>
    </row>
    <row r="232" spans="40:47" s="121" customFormat="1" hidden="1">
      <c r="AN232" s="239"/>
      <c r="AO232" s="225"/>
      <c r="AP232" s="260"/>
      <c r="AQ232" s="258"/>
      <c r="AR232" s="258"/>
      <c r="AS232" s="202"/>
      <c r="AT232" s="213"/>
      <c r="AU232" s="213"/>
    </row>
    <row r="233" spans="40:47" s="121" customFormat="1" hidden="1">
      <c r="AN233" s="239"/>
      <c r="AO233" s="225"/>
      <c r="AP233" s="260"/>
      <c r="AQ233" s="258"/>
      <c r="AR233" s="258"/>
      <c r="AS233" s="202"/>
      <c r="AT233" s="213"/>
      <c r="AU233" s="213"/>
    </row>
    <row r="234" spans="40:47" s="121" customFormat="1" hidden="1">
      <c r="AN234" s="239"/>
      <c r="AO234" s="225"/>
      <c r="AP234" s="260"/>
      <c r="AQ234" s="258"/>
      <c r="AR234" s="258"/>
      <c r="AS234" s="202"/>
      <c r="AT234" s="213"/>
      <c r="AU234" s="213"/>
    </row>
    <row r="235" spans="40:47" s="121" customFormat="1" hidden="1">
      <c r="AN235" s="239"/>
      <c r="AO235" s="225"/>
      <c r="AP235" s="260"/>
      <c r="AQ235" s="258"/>
      <c r="AR235" s="258"/>
      <c r="AS235" s="202"/>
      <c r="AT235" s="213"/>
      <c r="AU235" s="213"/>
    </row>
    <row r="236" spans="40:47" s="121" customFormat="1" hidden="1">
      <c r="AN236" s="239"/>
      <c r="AO236" s="225"/>
      <c r="AP236" s="260"/>
      <c r="AQ236" s="258"/>
      <c r="AR236" s="258"/>
      <c r="AS236" s="202"/>
      <c r="AT236" s="213"/>
      <c r="AU236" s="213"/>
    </row>
    <row r="237" spans="40:47" s="121" customFormat="1" hidden="1">
      <c r="AN237" s="239"/>
      <c r="AO237" s="225"/>
      <c r="AP237" s="260"/>
      <c r="AQ237" s="258"/>
      <c r="AR237" s="258"/>
      <c r="AS237" s="202"/>
      <c r="AT237" s="213"/>
      <c r="AU237" s="213"/>
    </row>
    <row r="238" spans="40:47" s="121" customFormat="1" hidden="1">
      <c r="AN238" s="239"/>
      <c r="AO238" s="225"/>
      <c r="AP238" s="260"/>
      <c r="AQ238" s="258"/>
      <c r="AR238" s="258"/>
      <c r="AS238" s="202"/>
      <c r="AT238" s="213"/>
      <c r="AU238" s="213"/>
    </row>
    <row r="239" spans="40:47" s="121" customFormat="1" hidden="1">
      <c r="AN239" s="239"/>
      <c r="AO239" s="225"/>
      <c r="AP239" s="260"/>
      <c r="AQ239" s="258"/>
      <c r="AR239" s="258"/>
      <c r="AS239" s="202"/>
      <c r="AT239" s="213"/>
      <c r="AU239" s="213"/>
    </row>
    <row r="240" spans="40:47" s="121" customFormat="1" hidden="1">
      <c r="AN240" s="239"/>
      <c r="AO240" s="225"/>
      <c r="AP240" s="260"/>
      <c r="AQ240" s="258"/>
      <c r="AR240" s="258"/>
      <c r="AS240" s="202"/>
      <c r="AT240" s="213"/>
      <c r="AU240" s="213"/>
    </row>
    <row r="241" spans="40:47" s="121" customFormat="1" hidden="1">
      <c r="AN241" s="239"/>
      <c r="AO241" s="225"/>
      <c r="AP241" s="260"/>
      <c r="AQ241" s="258"/>
      <c r="AR241" s="258"/>
      <c r="AS241" s="202"/>
      <c r="AT241" s="213"/>
      <c r="AU241" s="213"/>
    </row>
    <row r="242" spans="40:47" s="121" customFormat="1" hidden="1">
      <c r="AN242" s="239"/>
      <c r="AO242" s="225"/>
      <c r="AP242" s="260"/>
      <c r="AQ242" s="258"/>
      <c r="AR242" s="258"/>
      <c r="AS242" s="202"/>
      <c r="AT242" s="213"/>
      <c r="AU242" s="213"/>
    </row>
    <row r="243" spans="40:47" s="121" customFormat="1" hidden="1">
      <c r="AN243" s="239"/>
      <c r="AO243" s="225"/>
      <c r="AP243" s="260"/>
      <c r="AQ243" s="258"/>
      <c r="AR243" s="258"/>
      <c r="AS243" s="202"/>
      <c r="AT243" s="213"/>
      <c r="AU243" s="213"/>
    </row>
    <row r="244" spans="40:47" s="121" customFormat="1" hidden="1">
      <c r="AN244" s="239"/>
      <c r="AO244" s="225"/>
      <c r="AP244" s="260"/>
      <c r="AQ244" s="258"/>
      <c r="AR244" s="258"/>
      <c r="AS244" s="202"/>
      <c r="AT244" s="213"/>
      <c r="AU244" s="213"/>
    </row>
    <row r="245" spans="40:47" s="121" customFormat="1" hidden="1">
      <c r="AN245" s="239"/>
      <c r="AO245" s="225"/>
      <c r="AP245" s="260"/>
      <c r="AQ245" s="258"/>
      <c r="AR245" s="258"/>
      <c r="AS245" s="202"/>
      <c r="AT245" s="213"/>
      <c r="AU245" s="213"/>
    </row>
    <row r="246" spans="40:47" s="121" customFormat="1" hidden="1">
      <c r="AN246" s="239"/>
      <c r="AO246" s="225"/>
      <c r="AP246" s="260"/>
      <c r="AQ246" s="258"/>
      <c r="AR246" s="258"/>
      <c r="AS246" s="202"/>
      <c r="AT246" s="213"/>
      <c r="AU246" s="213"/>
    </row>
    <row r="247" spans="40:47" s="121" customFormat="1" hidden="1">
      <c r="AN247" s="239"/>
      <c r="AO247" s="225"/>
      <c r="AP247" s="260"/>
      <c r="AQ247" s="258"/>
      <c r="AR247" s="258"/>
      <c r="AS247" s="202"/>
      <c r="AT247" s="213"/>
      <c r="AU247" s="213"/>
    </row>
    <row r="248" spans="40:47" s="121" customFormat="1" hidden="1">
      <c r="AN248" s="239"/>
      <c r="AO248" s="225"/>
      <c r="AP248" s="260"/>
      <c r="AQ248" s="258"/>
      <c r="AR248" s="258"/>
      <c r="AS248" s="202"/>
      <c r="AT248" s="213"/>
      <c r="AU248" s="213"/>
    </row>
    <row r="249" spans="40:47" s="121" customFormat="1" hidden="1">
      <c r="AN249" s="239"/>
      <c r="AO249" s="225"/>
      <c r="AP249" s="260"/>
      <c r="AQ249" s="258"/>
      <c r="AR249" s="258"/>
      <c r="AS249" s="202"/>
      <c r="AT249" s="213"/>
      <c r="AU249" s="213"/>
    </row>
    <row r="250" spans="40:47" s="121" customFormat="1" hidden="1">
      <c r="AN250" s="239"/>
      <c r="AO250" s="225"/>
      <c r="AP250" s="260"/>
      <c r="AQ250" s="258"/>
      <c r="AR250" s="258"/>
      <c r="AS250" s="202"/>
      <c r="AT250" s="213"/>
      <c r="AU250" s="213"/>
    </row>
    <row r="251" spans="40:47" s="121" customFormat="1" hidden="1">
      <c r="AN251" s="239"/>
      <c r="AO251" s="225"/>
      <c r="AP251" s="260"/>
      <c r="AQ251" s="258"/>
      <c r="AR251" s="258"/>
      <c r="AS251" s="202"/>
      <c r="AT251" s="213"/>
      <c r="AU251" s="213"/>
    </row>
    <row r="252" spans="40:47" s="121" customFormat="1" hidden="1">
      <c r="AN252" s="239"/>
      <c r="AO252" s="225"/>
      <c r="AP252" s="260"/>
      <c r="AQ252" s="258"/>
      <c r="AR252" s="258"/>
      <c r="AS252" s="202"/>
      <c r="AT252" s="213"/>
      <c r="AU252" s="213"/>
    </row>
    <row r="253" spans="40:47" s="121" customFormat="1" hidden="1">
      <c r="AN253" s="239"/>
      <c r="AO253" s="225"/>
      <c r="AP253" s="260"/>
      <c r="AQ253" s="258"/>
      <c r="AR253" s="258"/>
      <c r="AS253" s="202"/>
      <c r="AT253" s="213"/>
      <c r="AU253" s="213"/>
    </row>
    <row r="254" spans="40:47" s="121" customFormat="1" hidden="1">
      <c r="AN254" s="239"/>
      <c r="AO254" s="225"/>
      <c r="AP254" s="260"/>
      <c r="AQ254" s="258"/>
      <c r="AR254" s="258"/>
      <c r="AS254" s="202"/>
      <c r="AT254" s="213"/>
      <c r="AU254" s="213"/>
    </row>
    <row r="255" spans="40:47" s="121" customFormat="1" hidden="1">
      <c r="AN255" s="239"/>
      <c r="AO255" s="225"/>
      <c r="AP255" s="260"/>
      <c r="AQ255" s="258"/>
      <c r="AR255" s="258"/>
      <c r="AS255" s="202"/>
      <c r="AT255" s="213"/>
      <c r="AU255" s="213"/>
    </row>
    <row r="256" spans="40:47" s="121" customFormat="1" hidden="1">
      <c r="AN256" s="239"/>
      <c r="AO256" s="225"/>
      <c r="AP256" s="260"/>
      <c r="AQ256" s="258"/>
      <c r="AR256" s="258"/>
      <c r="AS256" s="202"/>
      <c r="AT256" s="213"/>
      <c r="AU256" s="213"/>
    </row>
    <row r="257" spans="40:47" s="121" customFormat="1" hidden="1">
      <c r="AN257" s="239"/>
      <c r="AO257" s="225"/>
      <c r="AP257" s="260"/>
      <c r="AQ257" s="258"/>
      <c r="AR257" s="258"/>
      <c r="AS257" s="202"/>
      <c r="AT257" s="213"/>
      <c r="AU257" s="213"/>
    </row>
    <row r="258" spans="40:47" s="121" customFormat="1" hidden="1">
      <c r="AN258" s="239"/>
      <c r="AO258" s="225"/>
      <c r="AP258" s="260"/>
      <c r="AQ258" s="258"/>
      <c r="AR258" s="258"/>
      <c r="AS258" s="202"/>
      <c r="AT258" s="213"/>
      <c r="AU258" s="213"/>
    </row>
    <row r="259" spans="40:47" s="121" customFormat="1" hidden="1">
      <c r="AN259" s="239"/>
      <c r="AO259" s="225"/>
      <c r="AP259" s="260"/>
      <c r="AQ259" s="258"/>
      <c r="AR259" s="258"/>
      <c r="AS259" s="202"/>
      <c r="AT259" s="213"/>
      <c r="AU259" s="213"/>
    </row>
    <row r="260" spans="40:47" s="121" customFormat="1" hidden="1">
      <c r="AN260" s="239"/>
      <c r="AO260" s="225"/>
      <c r="AP260" s="260"/>
      <c r="AQ260" s="258"/>
      <c r="AR260" s="258"/>
      <c r="AS260" s="202"/>
      <c r="AT260" s="213"/>
      <c r="AU260" s="213"/>
    </row>
    <row r="261" spans="40:47" s="121" customFormat="1" hidden="1">
      <c r="AN261" s="239"/>
      <c r="AO261" s="225"/>
      <c r="AP261" s="260"/>
      <c r="AQ261" s="258"/>
      <c r="AR261" s="258"/>
      <c r="AS261" s="202"/>
      <c r="AT261" s="213"/>
      <c r="AU261" s="213"/>
    </row>
    <row r="262" spans="40:47" s="121" customFormat="1" hidden="1">
      <c r="AN262" s="239"/>
      <c r="AO262" s="225"/>
      <c r="AP262" s="260"/>
      <c r="AQ262" s="258"/>
      <c r="AR262" s="258"/>
      <c r="AS262" s="202"/>
      <c r="AT262" s="213"/>
      <c r="AU262" s="213"/>
    </row>
    <row r="263" spans="40:47" s="121" customFormat="1" hidden="1">
      <c r="AN263" s="239"/>
      <c r="AO263" s="225"/>
      <c r="AP263" s="260"/>
      <c r="AQ263" s="258"/>
      <c r="AR263" s="258"/>
      <c r="AS263" s="202"/>
      <c r="AT263" s="213"/>
      <c r="AU263" s="213"/>
    </row>
    <row r="264" spans="40:47" s="121" customFormat="1" hidden="1">
      <c r="AN264" s="239"/>
      <c r="AO264" s="225"/>
      <c r="AP264" s="260"/>
      <c r="AQ264" s="258"/>
      <c r="AR264" s="258"/>
      <c r="AS264" s="202"/>
      <c r="AT264" s="213"/>
      <c r="AU264" s="213"/>
    </row>
    <row r="265" spans="40:47" s="121" customFormat="1" hidden="1">
      <c r="AN265" s="239"/>
      <c r="AO265" s="225"/>
      <c r="AP265" s="260"/>
      <c r="AQ265" s="258"/>
      <c r="AR265" s="258"/>
      <c r="AS265" s="202"/>
      <c r="AT265" s="213"/>
      <c r="AU265" s="213"/>
    </row>
    <row r="266" spans="40:47" s="121" customFormat="1" hidden="1">
      <c r="AN266" s="239"/>
      <c r="AO266" s="225"/>
      <c r="AP266" s="260"/>
      <c r="AQ266" s="258"/>
      <c r="AR266" s="258"/>
      <c r="AS266" s="202"/>
      <c r="AT266" s="213"/>
      <c r="AU266" s="213"/>
    </row>
    <row r="267" spans="40:47" s="121" customFormat="1" hidden="1">
      <c r="AN267" s="239"/>
      <c r="AO267" s="225"/>
      <c r="AP267" s="260"/>
      <c r="AQ267" s="258"/>
      <c r="AR267" s="258"/>
      <c r="AS267" s="202"/>
      <c r="AT267" s="213"/>
      <c r="AU267" s="213"/>
    </row>
    <row r="268" spans="40:47" s="121" customFormat="1" hidden="1">
      <c r="AN268" s="239"/>
      <c r="AO268" s="225"/>
      <c r="AP268" s="260"/>
      <c r="AQ268" s="258"/>
      <c r="AR268" s="258"/>
      <c r="AS268" s="202"/>
      <c r="AT268" s="213"/>
      <c r="AU268" s="213"/>
    </row>
    <row r="269" spans="40:47" s="121" customFormat="1" hidden="1">
      <c r="AN269" s="239"/>
      <c r="AO269" s="225"/>
      <c r="AP269" s="260"/>
      <c r="AQ269" s="258"/>
      <c r="AR269" s="258"/>
      <c r="AS269" s="202"/>
      <c r="AT269" s="213"/>
      <c r="AU269" s="213"/>
    </row>
    <row r="270" spans="40:47" s="121" customFormat="1" hidden="1">
      <c r="AN270" s="239"/>
      <c r="AO270" s="225"/>
      <c r="AP270" s="260"/>
      <c r="AQ270" s="258"/>
      <c r="AR270" s="258"/>
      <c r="AS270" s="202"/>
      <c r="AT270" s="213"/>
      <c r="AU270" s="213"/>
    </row>
    <row r="271" spans="40:47" s="121" customFormat="1" hidden="1">
      <c r="AN271" s="239"/>
      <c r="AO271" s="225"/>
      <c r="AP271" s="260"/>
      <c r="AQ271" s="258"/>
      <c r="AR271" s="258"/>
      <c r="AS271" s="202"/>
      <c r="AT271" s="213"/>
      <c r="AU271" s="213"/>
    </row>
    <row r="272" spans="40:47" s="121" customFormat="1" hidden="1">
      <c r="AN272" s="239"/>
      <c r="AO272" s="225"/>
      <c r="AP272" s="260"/>
      <c r="AQ272" s="258"/>
      <c r="AR272" s="258"/>
      <c r="AS272" s="202"/>
      <c r="AT272" s="213"/>
      <c r="AU272" s="213"/>
    </row>
    <row r="273" spans="40:47" s="121" customFormat="1" hidden="1">
      <c r="AN273" s="239"/>
      <c r="AO273" s="225"/>
      <c r="AP273" s="260"/>
      <c r="AQ273" s="258"/>
      <c r="AR273" s="258"/>
      <c r="AS273" s="202"/>
      <c r="AT273" s="213"/>
      <c r="AU273" s="213"/>
    </row>
    <row r="274" spans="40:47" s="121" customFormat="1" hidden="1">
      <c r="AN274" s="239"/>
      <c r="AO274" s="225"/>
      <c r="AP274" s="260"/>
      <c r="AQ274" s="258"/>
      <c r="AR274" s="258"/>
      <c r="AS274" s="202"/>
      <c r="AT274" s="213"/>
      <c r="AU274" s="213"/>
    </row>
    <row r="275" spans="40:47" s="121" customFormat="1" hidden="1">
      <c r="AN275" s="239"/>
      <c r="AO275" s="225"/>
      <c r="AP275" s="260"/>
      <c r="AQ275" s="258"/>
      <c r="AR275" s="258"/>
      <c r="AS275" s="202"/>
      <c r="AT275" s="213"/>
      <c r="AU275" s="213"/>
    </row>
    <row r="276" spans="40:47" s="121" customFormat="1" hidden="1">
      <c r="AN276" s="239"/>
      <c r="AO276" s="225"/>
      <c r="AP276" s="260"/>
      <c r="AQ276" s="258"/>
      <c r="AR276" s="258"/>
      <c r="AS276" s="202"/>
      <c r="AT276" s="213"/>
      <c r="AU276" s="213"/>
    </row>
    <row r="277" spans="40:47" s="121" customFormat="1" hidden="1">
      <c r="AN277" s="239"/>
      <c r="AO277" s="225"/>
      <c r="AP277" s="260"/>
      <c r="AQ277" s="258"/>
      <c r="AR277" s="258"/>
      <c r="AS277" s="202"/>
      <c r="AT277" s="213"/>
      <c r="AU277" s="213"/>
    </row>
    <row r="278" spans="40:47" s="121" customFormat="1" hidden="1">
      <c r="AN278" s="239"/>
      <c r="AO278" s="225"/>
      <c r="AP278" s="260"/>
      <c r="AQ278" s="258"/>
      <c r="AR278" s="258"/>
      <c r="AS278" s="202"/>
      <c r="AT278" s="213"/>
      <c r="AU278" s="213"/>
    </row>
    <row r="279" spans="40:47" s="121" customFormat="1" hidden="1">
      <c r="AN279" s="239"/>
      <c r="AO279" s="225"/>
      <c r="AP279" s="260"/>
      <c r="AQ279" s="258"/>
      <c r="AR279" s="258"/>
      <c r="AS279" s="202"/>
      <c r="AT279" s="213"/>
      <c r="AU279" s="213"/>
    </row>
    <row r="280" spans="40:47" s="121" customFormat="1" hidden="1">
      <c r="AN280" s="239"/>
      <c r="AO280" s="225"/>
      <c r="AP280" s="260"/>
      <c r="AQ280" s="258"/>
      <c r="AR280" s="258"/>
      <c r="AS280" s="202"/>
      <c r="AT280" s="213"/>
      <c r="AU280" s="213"/>
    </row>
    <row r="281" spans="40:47" s="121" customFormat="1" hidden="1">
      <c r="AN281" s="239"/>
      <c r="AO281" s="225"/>
      <c r="AP281" s="260"/>
      <c r="AQ281" s="258"/>
      <c r="AR281" s="258"/>
      <c r="AS281" s="202"/>
      <c r="AT281" s="213"/>
      <c r="AU281" s="213"/>
    </row>
    <row r="282" spans="40:47" s="121" customFormat="1" hidden="1">
      <c r="AN282" s="239"/>
      <c r="AO282" s="225"/>
      <c r="AP282" s="260"/>
      <c r="AQ282" s="258"/>
      <c r="AR282" s="258"/>
      <c r="AS282" s="202"/>
      <c r="AT282" s="213"/>
      <c r="AU282" s="213"/>
    </row>
    <row r="283" spans="40:47" s="121" customFormat="1" hidden="1">
      <c r="AN283" s="239"/>
      <c r="AO283" s="225"/>
      <c r="AP283" s="260"/>
      <c r="AQ283" s="258"/>
      <c r="AR283" s="258"/>
      <c r="AS283" s="202"/>
      <c r="AT283" s="213"/>
      <c r="AU283" s="213"/>
    </row>
    <row r="284" spans="40:47" s="121" customFormat="1" hidden="1">
      <c r="AN284" s="239"/>
      <c r="AO284" s="225"/>
      <c r="AP284" s="260"/>
      <c r="AQ284" s="258"/>
      <c r="AR284" s="258"/>
      <c r="AS284" s="202"/>
      <c r="AT284" s="213"/>
      <c r="AU284" s="213"/>
    </row>
    <row r="285" spans="40:47" s="121" customFormat="1" hidden="1">
      <c r="AN285" s="239"/>
      <c r="AO285" s="225"/>
      <c r="AP285" s="260"/>
      <c r="AQ285" s="258"/>
      <c r="AR285" s="258"/>
      <c r="AS285" s="202"/>
      <c r="AT285" s="213"/>
      <c r="AU285" s="213"/>
    </row>
    <row r="286" spans="40:47" s="121" customFormat="1" hidden="1">
      <c r="AN286" s="239"/>
      <c r="AO286" s="225"/>
      <c r="AP286" s="260"/>
      <c r="AQ286" s="258"/>
      <c r="AR286" s="258"/>
      <c r="AS286" s="202"/>
      <c r="AT286" s="213"/>
      <c r="AU286" s="213"/>
    </row>
    <row r="287" spans="40:47" s="121" customFormat="1" hidden="1">
      <c r="AN287" s="239"/>
      <c r="AO287" s="225"/>
      <c r="AP287" s="260"/>
      <c r="AQ287" s="258"/>
      <c r="AR287" s="258"/>
      <c r="AS287" s="202"/>
      <c r="AT287" s="213"/>
      <c r="AU287" s="213"/>
    </row>
    <row r="288" spans="40:47" s="121" customFormat="1" hidden="1">
      <c r="AN288" s="239"/>
      <c r="AO288" s="225"/>
      <c r="AP288" s="260"/>
      <c r="AQ288" s="258"/>
      <c r="AR288" s="258"/>
      <c r="AS288" s="202"/>
      <c r="AT288" s="213"/>
      <c r="AU288" s="213"/>
    </row>
    <row r="289" spans="40:47" s="121" customFormat="1" hidden="1">
      <c r="AN289" s="239"/>
      <c r="AO289" s="225"/>
      <c r="AP289" s="260"/>
      <c r="AQ289" s="258"/>
      <c r="AR289" s="258"/>
      <c r="AS289" s="202"/>
      <c r="AT289" s="213"/>
      <c r="AU289" s="213"/>
    </row>
    <row r="290" spans="40:47" s="121" customFormat="1" hidden="1">
      <c r="AN290" s="239"/>
      <c r="AO290" s="225"/>
      <c r="AP290" s="260"/>
      <c r="AQ290" s="258"/>
      <c r="AR290" s="258"/>
      <c r="AS290" s="202"/>
      <c r="AT290" s="213"/>
      <c r="AU290" s="213"/>
    </row>
    <row r="291" spans="40:47" s="121" customFormat="1" hidden="1">
      <c r="AN291" s="239"/>
      <c r="AO291" s="225"/>
      <c r="AP291" s="260"/>
      <c r="AQ291" s="258"/>
      <c r="AR291" s="258"/>
      <c r="AS291" s="202"/>
      <c r="AT291" s="213"/>
      <c r="AU291" s="213"/>
    </row>
    <row r="292" spans="40:47" s="121" customFormat="1" hidden="1">
      <c r="AN292" s="239"/>
      <c r="AO292" s="225"/>
      <c r="AP292" s="260"/>
      <c r="AQ292" s="258"/>
      <c r="AR292" s="258"/>
      <c r="AS292" s="202"/>
      <c r="AT292" s="213"/>
      <c r="AU292" s="213"/>
    </row>
    <row r="293" spans="40:47" s="121" customFormat="1" hidden="1">
      <c r="AN293" s="239"/>
      <c r="AO293" s="225"/>
      <c r="AP293" s="260"/>
      <c r="AQ293" s="258"/>
      <c r="AR293" s="258"/>
      <c r="AS293" s="202"/>
      <c r="AT293" s="213"/>
      <c r="AU293" s="213"/>
    </row>
    <row r="294" spans="40:47" s="121" customFormat="1" hidden="1">
      <c r="AN294" s="239"/>
      <c r="AO294" s="225"/>
      <c r="AP294" s="260"/>
      <c r="AQ294" s="258"/>
      <c r="AR294" s="258"/>
      <c r="AS294" s="202"/>
      <c r="AT294" s="213"/>
      <c r="AU294" s="213"/>
    </row>
    <row r="295" spans="40:47" s="121" customFormat="1" hidden="1">
      <c r="AN295" s="239"/>
      <c r="AO295" s="225"/>
      <c r="AP295" s="260"/>
      <c r="AQ295" s="258"/>
      <c r="AR295" s="258"/>
      <c r="AS295" s="202"/>
      <c r="AT295" s="213"/>
      <c r="AU295" s="213"/>
    </row>
    <row r="296" spans="40:47" s="121" customFormat="1" hidden="1">
      <c r="AN296" s="239"/>
      <c r="AO296" s="225"/>
      <c r="AP296" s="260"/>
      <c r="AQ296" s="258"/>
      <c r="AR296" s="258"/>
      <c r="AS296" s="202"/>
      <c r="AT296" s="213"/>
      <c r="AU296" s="213"/>
    </row>
    <row r="297" spans="40:47" s="121" customFormat="1" hidden="1">
      <c r="AN297" s="239"/>
      <c r="AO297" s="225"/>
      <c r="AP297" s="260"/>
      <c r="AQ297" s="258"/>
      <c r="AR297" s="258"/>
      <c r="AS297" s="202"/>
      <c r="AT297" s="213"/>
      <c r="AU297" s="213"/>
    </row>
    <row r="298" spans="40:47" s="121" customFormat="1" hidden="1">
      <c r="AN298" s="239"/>
      <c r="AO298" s="225"/>
      <c r="AP298" s="260"/>
      <c r="AQ298" s="258"/>
      <c r="AR298" s="258"/>
      <c r="AS298" s="202"/>
      <c r="AT298" s="213"/>
      <c r="AU298" s="213"/>
    </row>
    <row r="299" spans="40:47" s="121" customFormat="1" hidden="1">
      <c r="AN299" s="239"/>
      <c r="AO299" s="225"/>
      <c r="AP299" s="260"/>
      <c r="AQ299" s="258"/>
      <c r="AR299" s="258"/>
      <c r="AS299" s="202"/>
      <c r="AT299" s="213"/>
      <c r="AU299" s="213"/>
    </row>
    <row r="300" spans="40:47" s="121" customFormat="1" hidden="1">
      <c r="AN300" s="239"/>
      <c r="AO300" s="225"/>
      <c r="AP300" s="260"/>
      <c r="AQ300" s="258"/>
      <c r="AR300" s="258"/>
      <c r="AS300" s="202"/>
      <c r="AT300" s="213"/>
      <c r="AU300" s="213"/>
    </row>
    <row r="301" spans="40:47" s="121" customFormat="1" hidden="1">
      <c r="AN301" s="239"/>
      <c r="AO301" s="225"/>
      <c r="AP301" s="260"/>
      <c r="AQ301" s="258"/>
      <c r="AR301" s="258"/>
      <c r="AS301" s="202"/>
      <c r="AT301" s="213"/>
      <c r="AU301" s="213"/>
    </row>
    <row r="302" spans="40:47" s="121" customFormat="1" hidden="1">
      <c r="AN302" s="239"/>
      <c r="AO302" s="225"/>
      <c r="AP302" s="260"/>
      <c r="AQ302" s="258"/>
      <c r="AR302" s="258"/>
      <c r="AS302" s="202"/>
      <c r="AT302" s="213"/>
      <c r="AU302" s="213"/>
    </row>
    <row r="303" spans="40:47" s="121" customFormat="1" hidden="1">
      <c r="AN303" s="239"/>
      <c r="AO303" s="225"/>
      <c r="AP303" s="260"/>
      <c r="AQ303" s="258"/>
      <c r="AR303" s="258"/>
      <c r="AS303" s="202"/>
      <c r="AT303" s="213"/>
      <c r="AU303" s="213"/>
    </row>
    <row r="304" spans="40:47" s="121" customFormat="1" hidden="1">
      <c r="AN304" s="239"/>
      <c r="AO304" s="225"/>
      <c r="AP304" s="260"/>
      <c r="AQ304" s="258"/>
      <c r="AR304" s="258"/>
      <c r="AS304" s="202"/>
      <c r="AT304" s="213"/>
      <c r="AU304" s="213"/>
    </row>
    <row r="305" spans="40:47" s="121" customFormat="1" hidden="1">
      <c r="AN305" s="239"/>
      <c r="AO305" s="225"/>
      <c r="AP305" s="260"/>
      <c r="AQ305" s="258"/>
      <c r="AR305" s="258"/>
      <c r="AS305" s="202"/>
      <c r="AT305" s="213"/>
      <c r="AU305" s="213"/>
    </row>
    <row r="306" spans="40:47" s="121" customFormat="1" hidden="1">
      <c r="AN306" s="239"/>
      <c r="AO306" s="225"/>
      <c r="AP306" s="260"/>
      <c r="AQ306" s="258"/>
      <c r="AR306" s="258"/>
      <c r="AS306" s="202"/>
      <c r="AT306" s="213"/>
      <c r="AU306" s="213"/>
    </row>
    <row r="307" spans="40:47" s="121" customFormat="1" hidden="1">
      <c r="AN307" s="239"/>
      <c r="AO307" s="225"/>
      <c r="AP307" s="260"/>
      <c r="AQ307" s="258"/>
      <c r="AR307" s="258"/>
      <c r="AS307" s="202"/>
      <c r="AT307" s="213"/>
      <c r="AU307" s="213"/>
    </row>
    <row r="308" spans="40:47" s="121" customFormat="1" hidden="1">
      <c r="AN308" s="239"/>
      <c r="AO308" s="225"/>
      <c r="AP308" s="260"/>
      <c r="AQ308" s="258"/>
      <c r="AR308" s="258"/>
      <c r="AS308" s="202"/>
      <c r="AT308" s="213"/>
      <c r="AU308" s="213"/>
    </row>
    <row r="309" spans="40:47" s="121" customFormat="1" hidden="1">
      <c r="AN309" s="239"/>
      <c r="AO309" s="225"/>
      <c r="AP309" s="260"/>
      <c r="AQ309" s="258"/>
      <c r="AR309" s="258"/>
      <c r="AS309" s="202"/>
      <c r="AT309" s="213"/>
      <c r="AU309" s="213"/>
    </row>
    <row r="310" spans="40:47" s="121" customFormat="1" hidden="1">
      <c r="AN310" s="239"/>
      <c r="AO310" s="225"/>
      <c r="AP310" s="260"/>
      <c r="AQ310" s="258"/>
      <c r="AR310" s="258"/>
      <c r="AS310" s="202"/>
      <c r="AT310" s="213"/>
      <c r="AU310" s="213"/>
    </row>
    <row r="311" spans="40:47" s="121" customFormat="1" hidden="1">
      <c r="AN311" s="239"/>
      <c r="AO311" s="225"/>
      <c r="AP311" s="260"/>
      <c r="AQ311" s="258"/>
      <c r="AR311" s="258"/>
      <c r="AS311" s="202"/>
      <c r="AT311" s="213"/>
      <c r="AU311" s="213"/>
    </row>
    <row r="312" spans="40:47" s="121" customFormat="1" hidden="1">
      <c r="AN312" s="239"/>
      <c r="AO312" s="225"/>
      <c r="AP312" s="260"/>
      <c r="AQ312" s="258"/>
      <c r="AR312" s="258"/>
      <c r="AS312" s="202"/>
      <c r="AT312" s="213"/>
      <c r="AU312" s="213"/>
    </row>
    <row r="313" spans="40:47" s="121" customFormat="1" hidden="1">
      <c r="AN313" s="239"/>
      <c r="AO313" s="225"/>
      <c r="AP313" s="260"/>
      <c r="AQ313" s="258"/>
      <c r="AR313" s="258"/>
      <c r="AS313" s="202"/>
      <c r="AT313" s="213"/>
      <c r="AU313" s="213"/>
    </row>
    <row r="314" spans="40:47" s="121" customFormat="1" hidden="1">
      <c r="AN314" s="239"/>
      <c r="AO314" s="225"/>
      <c r="AP314" s="260"/>
      <c r="AQ314" s="258"/>
      <c r="AR314" s="258"/>
      <c r="AS314" s="202"/>
      <c r="AT314" s="213"/>
      <c r="AU314" s="213"/>
    </row>
    <row r="315" spans="40:47" s="121" customFormat="1" hidden="1">
      <c r="AN315" s="239"/>
      <c r="AO315" s="225"/>
      <c r="AP315" s="260"/>
      <c r="AQ315" s="258"/>
      <c r="AR315" s="258"/>
      <c r="AS315" s="202"/>
      <c r="AT315" s="213"/>
      <c r="AU315" s="213"/>
    </row>
    <row r="316" spans="40:47" s="121" customFormat="1" hidden="1">
      <c r="AN316" s="239"/>
      <c r="AO316" s="225"/>
      <c r="AP316" s="260"/>
      <c r="AQ316" s="258"/>
      <c r="AR316" s="258"/>
      <c r="AS316" s="202"/>
      <c r="AT316" s="213"/>
      <c r="AU316" s="213"/>
    </row>
    <row r="317" spans="40:47" s="121" customFormat="1" hidden="1">
      <c r="AN317" s="239"/>
      <c r="AO317" s="225"/>
      <c r="AP317" s="260"/>
      <c r="AQ317" s="258"/>
      <c r="AR317" s="258"/>
      <c r="AS317" s="202"/>
      <c r="AT317" s="213"/>
      <c r="AU317" s="213"/>
    </row>
    <row r="318" spans="40:47" s="121" customFormat="1" hidden="1">
      <c r="AN318" s="239"/>
      <c r="AO318" s="225"/>
      <c r="AP318" s="260"/>
      <c r="AQ318" s="258"/>
      <c r="AR318" s="258"/>
      <c r="AS318" s="202"/>
      <c r="AT318" s="213"/>
      <c r="AU318" s="213"/>
    </row>
    <row r="319" spans="40:47" s="121" customFormat="1" hidden="1">
      <c r="AN319" s="239"/>
      <c r="AO319" s="225"/>
      <c r="AP319" s="260"/>
      <c r="AQ319" s="258"/>
      <c r="AR319" s="258"/>
      <c r="AS319" s="202"/>
      <c r="AT319" s="213"/>
      <c r="AU319" s="213"/>
    </row>
    <row r="320" spans="40:47" s="121" customFormat="1" hidden="1">
      <c r="AN320" s="239"/>
      <c r="AO320" s="225"/>
      <c r="AP320" s="260"/>
      <c r="AQ320" s="258"/>
      <c r="AR320" s="258"/>
      <c r="AS320" s="202"/>
      <c r="AT320" s="213"/>
      <c r="AU320" s="213"/>
    </row>
    <row r="321" spans="40:47" s="121" customFormat="1" hidden="1">
      <c r="AN321" s="239"/>
      <c r="AO321" s="225"/>
      <c r="AP321" s="260"/>
      <c r="AQ321" s="258"/>
      <c r="AR321" s="258"/>
      <c r="AS321" s="202"/>
      <c r="AT321" s="213"/>
      <c r="AU321" s="213"/>
    </row>
    <row r="322" spans="40:47" s="121" customFormat="1" hidden="1">
      <c r="AN322" s="239"/>
      <c r="AO322" s="225"/>
      <c r="AP322" s="260"/>
      <c r="AQ322" s="258"/>
      <c r="AR322" s="258"/>
      <c r="AS322" s="202"/>
      <c r="AT322" s="213"/>
      <c r="AU322" s="213"/>
    </row>
    <row r="323" spans="40:47" s="121" customFormat="1" hidden="1">
      <c r="AN323" s="239"/>
      <c r="AO323" s="225"/>
      <c r="AP323" s="260"/>
      <c r="AQ323" s="258"/>
      <c r="AR323" s="258"/>
      <c r="AS323" s="202"/>
      <c r="AT323" s="213"/>
      <c r="AU323" s="213"/>
    </row>
    <row r="324" spans="40:47" s="121" customFormat="1" hidden="1">
      <c r="AN324" s="239"/>
      <c r="AO324" s="225"/>
      <c r="AP324" s="260"/>
      <c r="AQ324" s="258"/>
      <c r="AR324" s="258"/>
      <c r="AS324" s="202"/>
      <c r="AT324" s="213"/>
      <c r="AU324" s="213"/>
    </row>
    <row r="325" spans="40:47" s="121" customFormat="1" hidden="1">
      <c r="AN325" s="239"/>
      <c r="AO325" s="225"/>
      <c r="AP325" s="260"/>
      <c r="AQ325" s="258"/>
      <c r="AR325" s="258"/>
      <c r="AS325" s="202"/>
      <c r="AT325" s="213"/>
      <c r="AU325" s="213"/>
    </row>
    <row r="326" spans="40:47" s="121" customFormat="1" hidden="1">
      <c r="AN326" s="239"/>
      <c r="AO326" s="225"/>
      <c r="AP326" s="260"/>
      <c r="AQ326" s="258"/>
      <c r="AR326" s="258"/>
      <c r="AS326" s="202"/>
      <c r="AT326" s="213"/>
      <c r="AU326" s="213"/>
    </row>
    <row r="327" spans="40:47" s="121" customFormat="1" hidden="1">
      <c r="AN327" s="239"/>
      <c r="AO327" s="225"/>
      <c r="AP327" s="260"/>
      <c r="AQ327" s="258"/>
      <c r="AR327" s="258"/>
      <c r="AS327" s="202"/>
      <c r="AT327" s="213"/>
      <c r="AU327" s="213"/>
    </row>
    <row r="328" spans="40:47" s="121" customFormat="1" hidden="1">
      <c r="AN328" s="239"/>
      <c r="AO328" s="225"/>
      <c r="AP328" s="260"/>
      <c r="AQ328" s="258"/>
      <c r="AR328" s="258"/>
      <c r="AS328" s="202"/>
      <c r="AT328" s="213"/>
      <c r="AU328" s="213"/>
    </row>
    <row r="329" spans="40:47" s="121" customFormat="1" hidden="1">
      <c r="AN329" s="239"/>
      <c r="AO329" s="225"/>
      <c r="AP329" s="260"/>
      <c r="AQ329" s="258"/>
      <c r="AR329" s="258"/>
      <c r="AS329" s="202"/>
      <c r="AT329" s="213"/>
      <c r="AU329" s="213"/>
    </row>
    <row r="330" spans="40:47" s="121" customFormat="1" hidden="1">
      <c r="AN330" s="239"/>
      <c r="AO330" s="225"/>
      <c r="AP330" s="260"/>
      <c r="AQ330" s="258"/>
      <c r="AR330" s="258"/>
      <c r="AS330" s="202"/>
      <c r="AT330" s="213"/>
      <c r="AU330" s="213"/>
    </row>
    <row r="331" spans="40:47" s="121" customFormat="1" hidden="1">
      <c r="AN331" s="239"/>
      <c r="AO331" s="225"/>
      <c r="AP331" s="260"/>
      <c r="AQ331" s="258"/>
      <c r="AR331" s="258"/>
      <c r="AS331" s="202"/>
      <c r="AT331" s="213"/>
      <c r="AU331" s="213"/>
    </row>
    <row r="332" spans="40:47" s="121" customFormat="1" hidden="1">
      <c r="AN332" s="239"/>
      <c r="AO332" s="225"/>
      <c r="AP332" s="260"/>
      <c r="AQ332" s="258"/>
      <c r="AR332" s="258"/>
      <c r="AS332" s="202"/>
      <c r="AT332" s="213"/>
      <c r="AU332" s="213"/>
    </row>
    <row r="333" spans="40:47" s="121" customFormat="1" hidden="1">
      <c r="AN333" s="239"/>
      <c r="AO333" s="225"/>
      <c r="AP333" s="260"/>
      <c r="AQ333" s="258"/>
      <c r="AR333" s="258"/>
      <c r="AS333" s="202"/>
      <c r="AT333" s="213"/>
      <c r="AU333" s="213"/>
    </row>
    <row r="334" spans="40:47" s="121" customFormat="1" hidden="1">
      <c r="AN334" s="239"/>
      <c r="AO334" s="225"/>
      <c r="AP334" s="260"/>
      <c r="AQ334" s="258"/>
      <c r="AR334" s="258"/>
      <c r="AS334" s="202"/>
      <c r="AT334" s="213"/>
      <c r="AU334" s="213"/>
    </row>
    <row r="335" spans="40:47" s="121" customFormat="1" hidden="1">
      <c r="AN335" s="239"/>
      <c r="AO335" s="225"/>
      <c r="AP335" s="260"/>
      <c r="AQ335" s="258"/>
      <c r="AR335" s="258"/>
      <c r="AS335" s="202"/>
      <c r="AT335" s="213"/>
      <c r="AU335" s="213"/>
    </row>
    <row r="336" spans="40:47" s="121" customFormat="1" hidden="1">
      <c r="AN336" s="239"/>
      <c r="AO336" s="225"/>
      <c r="AP336" s="260"/>
      <c r="AQ336" s="258"/>
      <c r="AR336" s="258"/>
      <c r="AS336" s="202"/>
      <c r="AT336" s="213"/>
      <c r="AU336" s="213"/>
    </row>
    <row r="337" spans="40:47" s="121" customFormat="1" hidden="1">
      <c r="AN337" s="239"/>
      <c r="AO337" s="225"/>
      <c r="AP337" s="260"/>
      <c r="AQ337" s="258"/>
      <c r="AR337" s="258"/>
      <c r="AS337" s="202"/>
      <c r="AT337" s="213"/>
      <c r="AU337" s="213"/>
    </row>
    <row r="338" spans="40:47" s="121" customFormat="1" hidden="1">
      <c r="AN338" s="239"/>
      <c r="AO338" s="225"/>
      <c r="AP338" s="260"/>
      <c r="AQ338" s="258"/>
      <c r="AR338" s="258"/>
      <c r="AS338" s="202"/>
      <c r="AT338" s="213"/>
      <c r="AU338" s="213"/>
    </row>
    <row r="339" spans="40:47" s="121" customFormat="1" hidden="1">
      <c r="AN339" s="239"/>
      <c r="AO339" s="225"/>
      <c r="AP339" s="260"/>
      <c r="AQ339" s="258"/>
      <c r="AR339" s="258"/>
      <c r="AS339" s="202"/>
      <c r="AT339" s="213"/>
      <c r="AU339" s="213"/>
    </row>
    <row r="340" spans="40:47" s="121" customFormat="1" hidden="1">
      <c r="AN340" s="239"/>
      <c r="AO340" s="225"/>
      <c r="AP340" s="260"/>
      <c r="AQ340" s="258"/>
      <c r="AR340" s="258"/>
      <c r="AS340" s="202"/>
      <c r="AT340" s="213"/>
      <c r="AU340" s="213"/>
    </row>
    <row r="341" spans="40:47" s="121" customFormat="1" hidden="1">
      <c r="AN341" s="239"/>
      <c r="AO341" s="225"/>
      <c r="AP341" s="260"/>
      <c r="AQ341" s="258"/>
      <c r="AR341" s="258"/>
      <c r="AS341" s="202"/>
      <c r="AT341" s="213"/>
      <c r="AU341" s="213"/>
    </row>
    <row r="342" spans="40:47" s="121" customFormat="1" hidden="1">
      <c r="AN342" s="239"/>
      <c r="AO342" s="225"/>
      <c r="AP342" s="260"/>
      <c r="AQ342" s="258"/>
      <c r="AR342" s="258"/>
      <c r="AS342" s="202"/>
      <c r="AT342" s="213"/>
      <c r="AU342" s="213"/>
    </row>
    <row r="343" spans="40:47" s="121" customFormat="1" hidden="1">
      <c r="AN343" s="239"/>
      <c r="AO343" s="225"/>
      <c r="AP343" s="260"/>
      <c r="AQ343" s="258"/>
      <c r="AR343" s="258"/>
      <c r="AS343" s="202"/>
      <c r="AT343" s="213"/>
      <c r="AU343" s="213"/>
    </row>
    <row r="344" spans="40:47" s="121" customFormat="1" hidden="1">
      <c r="AN344" s="239"/>
      <c r="AO344" s="225"/>
      <c r="AP344" s="260"/>
      <c r="AQ344" s="258"/>
      <c r="AR344" s="258"/>
      <c r="AS344" s="202"/>
      <c r="AT344" s="213"/>
      <c r="AU344" s="213"/>
    </row>
    <row r="345" spans="40:47" s="121" customFormat="1" hidden="1">
      <c r="AN345" s="239"/>
      <c r="AO345" s="225"/>
      <c r="AP345" s="260"/>
      <c r="AQ345" s="258"/>
      <c r="AR345" s="258"/>
      <c r="AS345" s="202"/>
      <c r="AT345" s="213"/>
      <c r="AU345" s="213"/>
    </row>
    <row r="346" spans="40:47" s="121" customFormat="1" hidden="1">
      <c r="AN346" s="239"/>
      <c r="AO346" s="225"/>
      <c r="AP346" s="260"/>
      <c r="AQ346" s="258"/>
      <c r="AR346" s="258"/>
      <c r="AS346" s="202"/>
      <c r="AT346" s="213"/>
      <c r="AU346" s="213"/>
    </row>
    <row r="347" spans="40:47" s="121" customFormat="1" hidden="1">
      <c r="AN347" s="239"/>
      <c r="AO347" s="225"/>
      <c r="AP347" s="260"/>
      <c r="AQ347" s="258"/>
      <c r="AR347" s="258"/>
      <c r="AS347" s="202"/>
      <c r="AT347" s="213"/>
      <c r="AU347" s="213"/>
    </row>
    <row r="348" spans="40:47" s="121" customFormat="1" hidden="1">
      <c r="AN348" s="239"/>
      <c r="AO348" s="225"/>
      <c r="AP348" s="260"/>
      <c r="AQ348" s="258"/>
      <c r="AR348" s="258"/>
      <c r="AS348" s="202"/>
      <c r="AT348" s="213"/>
      <c r="AU348" s="213"/>
    </row>
    <row r="349" spans="40:47" s="121" customFormat="1" hidden="1">
      <c r="AN349" s="239"/>
      <c r="AO349" s="225"/>
      <c r="AP349" s="260"/>
      <c r="AQ349" s="258"/>
      <c r="AR349" s="258"/>
      <c r="AS349" s="202"/>
      <c r="AT349" s="213"/>
      <c r="AU349" s="213"/>
    </row>
    <row r="350" spans="40:47" s="121" customFormat="1" hidden="1">
      <c r="AN350" s="239"/>
      <c r="AO350" s="225"/>
      <c r="AP350" s="260"/>
      <c r="AQ350" s="258"/>
      <c r="AR350" s="258"/>
      <c r="AS350" s="202"/>
      <c r="AT350" s="213"/>
      <c r="AU350" s="213"/>
    </row>
    <row r="351" spans="40:47" s="121" customFormat="1" hidden="1">
      <c r="AN351" s="239"/>
      <c r="AO351" s="225"/>
      <c r="AP351" s="260"/>
      <c r="AQ351" s="258"/>
      <c r="AR351" s="258"/>
      <c r="AS351" s="202"/>
      <c r="AT351" s="213"/>
      <c r="AU351" s="213"/>
    </row>
    <row r="352" spans="40:47" s="121" customFormat="1" hidden="1">
      <c r="AN352" s="239"/>
      <c r="AO352" s="225"/>
      <c r="AP352" s="260"/>
      <c r="AQ352" s="258"/>
      <c r="AR352" s="258"/>
      <c r="AS352" s="202"/>
      <c r="AT352" s="213"/>
      <c r="AU352" s="213"/>
    </row>
    <row r="353" spans="40:47" s="121" customFormat="1" hidden="1">
      <c r="AN353" s="239"/>
      <c r="AO353" s="225"/>
      <c r="AP353" s="260"/>
      <c r="AQ353" s="258"/>
      <c r="AR353" s="258"/>
      <c r="AS353" s="202"/>
      <c r="AT353" s="213"/>
      <c r="AU353" s="213"/>
    </row>
    <row r="354" spans="40:47" s="121" customFormat="1" hidden="1">
      <c r="AN354" s="239"/>
      <c r="AO354" s="225"/>
      <c r="AP354" s="260"/>
      <c r="AQ354" s="258"/>
      <c r="AR354" s="258"/>
      <c r="AS354" s="202"/>
      <c r="AT354" s="213"/>
      <c r="AU354" s="213"/>
    </row>
    <row r="355" spans="40:47" s="121" customFormat="1" hidden="1">
      <c r="AN355" s="239"/>
      <c r="AO355" s="225"/>
      <c r="AP355" s="260"/>
      <c r="AQ355" s="258"/>
      <c r="AR355" s="258"/>
      <c r="AS355" s="202"/>
      <c r="AT355" s="213"/>
      <c r="AU355" s="213"/>
    </row>
    <row r="356" spans="40:47" s="121" customFormat="1" hidden="1">
      <c r="AN356" s="239"/>
      <c r="AO356" s="225"/>
      <c r="AP356" s="260"/>
      <c r="AQ356" s="258"/>
      <c r="AR356" s="258"/>
      <c r="AS356" s="202"/>
      <c r="AT356" s="213"/>
      <c r="AU356" s="213"/>
    </row>
    <row r="357" spans="40:47" s="121" customFormat="1" hidden="1">
      <c r="AN357" s="239"/>
      <c r="AO357" s="225"/>
      <c r="AP357" s="260"/>
      <c r="AQ357" s="258"/>
      <c r="AR357" s="258"/>
      <c r="AS357" s="202"/>
      <c r="AT357" s="213"/>
      <c r="AU357" s="213"/>
    </row>
    <row r="358" spans="40:47" s="121" customFormat="1" hidden="1">
      <c r="AN358" s="239"/>
      <c r="AO358" s="225"/>
      <c r="AP358" s="260"/>
      <c r="AQ358" s="258"/>
      <c r="AR358" s="258"/>
      <c r="AS358" s="202"/>
      <c r="AT358" s="213"/>
      <c r="AU358" s="213"/>
    </row>
    <row r="359" spans="40:47" s="121" customFormat="1" hidden="1">
      <c r="AN359" s="239"/>
      <c r="AO359" s="225"/>
      <c r="AP359" s="260"/>
      <c r="AQ359" s="258"/>
      <c r="AR359" s="258"/>
      <c r="AS359" s="202"/>
      <c r="AT359" s="213"/>
      <c r="AU359" s="213"/>
    </row>
    <row r="360" spans="40:47" s="121" customFormat="1" hidden="1">
      <c r="AN360" s="239"/>
      <c r="AO360" s="225"/>
      <c r="AP360" s="260"/>
      <c r="AQ360" s="258"/>
      <c r="AR360" s="258"/>
      <c r="AS360" s="202"/>
      <c r="AT360" s="213"/>
      <c r="AU360" s="213"/>
    </row>
    <row r="361" spans="40:47" s="121" customFormat="1" hidden="1">
      <c r="AN361" s="239"/>
      <c r="AO361" s="225"/>
      <c r="AP361" s="260"/>
      <c r="AQ361" s="258"/>
      <c r="AR361" s="258"/>
      <c r="AS361" s="202"/>
      <c r="AT361" s="213"/>
      <c r="AU361" s="213"/>
    </row>
    <row r="362" spans="40:47" s="121" customFormat="1" hidden="1">
      <c r="AN362" s="239"/>
      <c r="AO362" s="225"/>
      <c r="AP362" s="260"/>
      <c r="AQ362" s="258"/>
      <c r="AR362" s="258"/>
      <c r="AS362" s="202"/>
      <c r="AT362" s="213"/>
      <c r="AU362" s="213"/>
    </row>
    <row r="363" spans="40:47" s="121" customFormat="1" hidden="1">
      <c r="AN363" s="239"/>
      <c r="AO363" s="225"/>
      <c r="AP363" s="260"/>
      <c r="AQ363" s="258"/>
      <c r="AR363" s="258"/>
      <c r="AS363" s="202"/>
      <c r="AT363" s="213"/>
      <c r="AU363" s="213"/>
    </row>
    <row r="364" spans="40:47" s="121" customFormat="1" hidden="1">
      <c r="AN364" s="239"/>
      <c r="AO364" s="225"/>
      <c r="AP364" s="260"/>
      <c r="AQ364" s="258"/>
      <c r="AR364" s="258"/>
      <c r="AS364" s="202"/>
      <c r="AT364" s="213"/>
      <c r="AU364" s="213"/>
    </row>
    <row r="365" spans="40:47" s="121" customFormat="1" hidden="1">
      <c r="AN365" s="239"/>
      <c r="AO365" s="225"/>
      <c r="AP365" s="260"/>
      <c r="AQ365" s="258"/>
      <c r="AR365" s="258"/>
      <c r="AS365" s="202"/>
      <c r="AT365" s="213"/>
      <c r="AU365" s="213"/>
    </row>
    <row r="366" spans="40:47" s="121" customFormat="1" hidden="1">
      <c r="AN366" s="239"/>
      <c r="AO366" s="225"/>
      <c r="AP366" s="260"/>
      <c r="AQ366" s="258"/>
      <c r="AR366" s="258"/>
      <c r="AS366" s="202"/>
      <c r="AT366" s="213"/>
      <c r="AU366" s="213"/>
    </row>
    <row r="367" spans="40:47" s="121" customFormat="1" hidden="1">
      <c r="AN367" s="239"/>
      <c r="AO367" s="225"/>
      <c r="AP367" s="260"/>
      <c r="AQ367" s="258"/>
      <c r="AR367" s="258"/>
      <c r="AS367" s="202"/>
      <c r="AT367" s="213"/>
      <c r="AU367" s="213"/>
    </row>
    <row r="368" spans="40:47" s="121" customFormat="1" hidden="1">
      <c r="AN368" s="239"/>
      <c r="AO368" s="225"/>
      <c r="AP368" s="260"/>
      <c r="AQ368" s="258"/>
      <c r="AR368" s="258"/>
      <c r="AS368" s="202"/>
      <c r="AT368" s="213"/>
      <c r="AU368" s="213"/>
    </row>
    <row r="369" spans="40:47" s="121" customFormat="1" hidden="1">
      <c r="AN369" s="239"/>
      <c r="AO369" s="225"/>
      <c r="AP369" s="260"/>
      <c r="AQ369" s="258"/>
      <c r="AR369" s="258"/>
      <c r="AS369" s="202"/>
      <c r="AT369" s="213"/>
      <c r="AU369" s="213"/>
    </row>
    <row r="370" spans="40:47" s="121" customFormat="1" hidden="1">
      <c r="AN370" s="239"/>
      <c r="AO370" s="225"/>
      <c r="AP370" s="260"/>
      <c r="AQ370" s="258"/>
      <c r="AR370" s="258"/>
      <c r="AS370" s="202"/>
      <c r="AT370" s="213"/>
      <c r="AU370" s="213"/>
    </row>
    <row r="371" spans="40:47" s="121" customFormat="1" hidden="1">
      <c r="AN371" s="239"/>
      <c r="AO371" s="225"/>
      <c r="AP371" s="260"/>
      <c r="AQ371" s="258"/>
      <c r="AR371" s="258"/>
      <c r="AS371" s="202"/>
      <c r="AT371" s="213"/>
      <c r="AU371" s="213"/>
    </row>
    <row r="372" spans="40:47" s="121" customFormat="1" hidden="1">
      <c r="AN372" s="239"/>
      <c r="AO372" s="225"/>
      <c r="AP372" s="260"/>
      <c r="AQ372" s="258"/>
      <c r="AR372" s="258"/>
      <c r="AS372" s="202"/>
      <c r="AT372" s="213"/>
      <c r="AU372" s="213"/>
    </row>
    <row r="373" spans="40:47" s="121" customFormat="1" hidden="1">
      <c r="AN373" s="239"/>
      <c r="AO373" s="225"/>
      <c r="AP373" s="260"/>
      <c r="AQ373" s="258"/>
      <c r="AR373" s="258"/>
      <c r="AS373" s="202"/>
      <c r="AT373" s="213"/>
      <c r="AU373" s="213"/>
    </row>
    <row r="374" spans="40:47" s="121" customFormat="1" hidden="1">
      <c r="AN374" s="239"/>
      <c r="AO374" s="225"/>
      <c r="AP374" s="260"/>
      <c r="AQ374" s="258"/>
      <c r="AR374" s="258"/>
      <c r="AS374" s="202"/>
      <c r="AT374" s="213"/>
      <c r="AU374" s="213"/>
    </row>
    <row r="375" spans="40:47" s="121" customFormat="1" hidden="1">
      <c r="AN375" s="239"/>
      <c r="AO375" s="225"/>
      <c r="AP375" s="260"/>
      <c r="AQ375" s="258"/>
      <c r="AR375" s="258"/>
      <c r="AS375" s="202"/>
      <c r="AT375" s="213"/>
      <c r="AU375" s="213"/>
    </row>
    <row r="376" spans="40:47" s="121" customFormat="1" hidden="1">
      <c r="AN376" s="239"/>
      <c r="AO376" s="225"/>
      <c r="AP376" s="260"/>
      <c r="AQ376" s="258"/>
      <c r="AR376" s="258"/>
      <c r="AS376" s="202"/>
      <c r="AT376" s="213"/>
      <c r="AU376" s="213"/>
    </row>
    <row r="377" spans="40:47" s="121" customFormat="1" hidden="1">
      <c r="AN377" s="239"/>
      <c r="AO377" s="225"/>
      <c r="AP377" s="260"/>
      <c r="AQ377" s="258"/>
      <c r="AR377" s="258"/>
      <c r="AS377" s="202"/>
      <c r="AT377" s="213"/>
      <c r="AU377" s="213"/>
    </row>
    <row r="378" spans="40:47" s="121" customFormat="1" hidden="1">
      <c r="AN378" s="239"/>
      <c r="AO378" s="225"/>
      <c r="AP378" s="260"/>
      <c r="AQ378" s="258"/>
      <c r="AR378" s="258"/>
      <c r="AS378" s="202"/>
      <c r="AT378" s="213"/>
      <c r="AU378" s="213"/>
    </row>
    <row r="379" spans="40:47" s="121" customFormat="1" hidden="1">
      <c r="AN379" s="239"/>
      <c r="AO379" s="225"/>
      <c r="AP379" s="260"/>
      <c r="AQ379" s="258"/>
      <c r="AR379" s="258"/>
      <c r="AS379" s="202"/>
      <c r="AT379" s="213"/>
      <c r="AU379" s="213"/>
    </row>
    <row r="380" spans="40:47" s="121" customFormat="1" hidden="1">
      <c r="AN380" s="239"/>
      <c r="AO380" s="225"/>
      <c r="AP380" s="260"/>
      <c r="AQ380" s="258"/>
      <c r="AR380" s="258"/>
      <c r="AS380" s="202"/>
      <c r="AT380" s="213"/>
      <c r="AU380" s="213"/>
    </row>
    <row r="381" spans="40:47" s="121" customFormat="1" hidden="1">
      <c r="AN381" s="239"/>
      <c r="AO381" s="225"/>
      <c r="AP381" s="260"/>
      <c r="AQ381" s="258"/>
      <c r="AR381" s="258"/>
      <c r="AS381" s="202"/>
      <c r="AT381" s="213"/>
      <c r="AU381" s="213"/>
    </row>
    <row r="382" spans="40:47" s="121" customFormat="1" hidden="1">
      <c r="AN382" s="239"/>
      <c r="AO382" s="225"/>
      <c r="AP382" s="260"/>
      <c r="AQ382" s="258"/>
      <c r="AR382" s="258"/>
      <c r="AS382" s="202"/>
      <c r="AT382" s="213"/>
      <c r="AU382" s="213"/>
    </row>
    <row r="383" spans="40:47" s="121" customFormat="1" hidden="1">
      <c r="AN383" s="239"/>
      <c r="AO383" s="225"/>
      <c r="AP383" s="260"/>
      <c r="AQ383" s="258"/>
      <c r="AR383" s="258"/>
      <c r="AS383" s="202"/>
      <c r="AT383" s="213"/>
      <c r="AU383" s="213"/>
    </row>
    <row r="384" spans="40:47" s="121" customFormat="1" hidden="1">
      <c r="AN384" s="239"/>
      <c r="AO384" s="225"/>
      <c r="AP384" s="260"/>
      <c r="AQ384" s="258"/>
      <c r="AR384" s="258"/>
      <c r="AS384" s="202"/>
      <c r="AT384" s="213"/>
      <c r="AU384" s="213"/>
    </row>
    <row r="385" spans="40:47" s="121" customFormat="1" hidden="1">
      <c r="AN385" s="239"/>
      <c r="AO385" s="225"/>
      <c r="AP385" s="260"/>
      <c r="AQ385" s="258"/>
      <c r="AR385" s="258"/>
      <c r="AS385" s="202"/>
      <c r="AT385" s="213"/>
      <c r="AU385" s="213"/>
    </row>
    <row r="386" spans="40:47" s="121" customFormat="1" hidden="1">
      <c r="AN386" s="239"/>
      <c r="AO386" s="225"/>
      <c r="AP386" s="260"/>
      <c r="AQ386" s="258"/>
      <c r="AR386" s="258"/>
      <c r="AS386" s="202"/>
      <c r="AT386" s="213"/>
      <c r="AU386" s="213"/>
    </row>
    <row r="387" spans="40:47" s="121" customFormat="1" hidden="1">
      <c r="AN387" s="239"/>
      <c r="AO387" s="225"/>
      <c r="AP387" s="260"/>
      <c r="AQ387" s="258"/>
      <c r="AR387" s="258"/>
      <c r="AS387" s="202"/>
      <c r="AT387" s="213"/>
      <c r="AU387" s="213"/>
    </row>
    <row r="388" spans="40:47" s="121" customFormat="1" hidden="1">
      <c r="AN388" s="239"/>
      <c r="AO388" s="225"/>
      <c r="AP388" s="260"/>
      <c r="AQ388" s="258"/>
      <c r="AR388" s="258"/>
      <c r="AS388" s="202"/>
      <c r="AT388" s="213"/>
      <c r="AU388" s="213"/>
    </row>
    <row r="389" spans="40:47" s="121" customFormat="1" hidden="1">
      <c r="AN389" s="239"/>
      <c r="AO389" s="225"/>
      <c r="AP389" s="260"/>
      <c r="AQ389" s="258"/>
      <c r="AR389" s="258"/>
      <c r="AS389" s="202"/>
      <c r="AT389" s="213"/>
      <c r="AU389" s="213"/>
    </row>
    <row r="390" spans="40:47" s="121" customFormat="1" hidden="1">
      <c r="AN390" s="239"/>
      <c r="AO390" s="225"/>
      <c r="AP390" s="260"/>
      <c r="AQ390" s="258"/>
      <c r="AR390" s="258"/>
      <c r="AS390" s="202"/>
      <c r="AT390" s="213"/>
      <c r="AU390" s="213"/>
    </row>
    <row r="391" spans="40:47" s="121" customFormat="1" hidden="1">
      <c r="AN391" s="239"/>
      <c r="AO391" s="225"/>
      <c r="AP391" s="260"/>
      <c r="AQ391" s="258"/>
      <c r="AR391" s="258"/>
      <c r="AS391" s="202"/>
      <c r="AT391" s="213"/>
      <c r="AU391" s="213"/>
    </row>
    <row r="392" spans="40:47" s="121" customFormat="1" hidden="1">
      <c r="AN392" s="239"/>
      <c r="AO392" s="225"/>
      <c r="AP392" s="260"/>
      <c r="AQ392" s="258"/>
      <c r="AR392" s="258"/>
      <c r="AS392" s="202"/>
      <c r="AT392" s="213"/>
      <c r="AU392" s="213"/>
    </row>
    <row r="393" spans="40:47" s="121" customFormat="1" hidden="1">
      <c r="AN393" s="239"/>
      <c r="AO393" s="225"/>
      <c r="AP393" s="260"/>
      <c r="AQ393" s="258"/>
      <c r="AR393" s="258"/>
      <c r="AS393" s="202"/>
      <c r="AT393" s="213"/>
      <c r="AU393" s="213"/>
    </row>
    <row r="394" spans="40:47" s="121" customFormat="1" hidden="1">
      <c r="AN394" s="239"/>
      <c r="AO394" s="225"/>
      <c r="AP394" s="260"/>
      <c r="AQ394" s="258"/>
      <c r="AR394" s="258"/>
      <c r="AS394" s="202"/>
      <c r="AT394" s="213"/>
      <c r="AU394" s="213"/>
    </row>
    <row r="395" spans="40:47" s="121" customFormat="1" hidden="1">
      <c r="AN395" s="239"/>
      <c r="AO395" s="225"/>
      <c r="AP395" s="260"/>
      <c r="AQ395" s="258"/>
      <c r="AR395" s="258"/>
      <c r="AS395" s="202"/>
      <c r="AT395" s="213"/>
      <c r="AU395" s="213"/>
    </row>
    <row r="396" spans="40:47" s="121" customFormat="1" hidden="1">
      <c r="AN396" s="239"/>
      <c r="AO396" s="225"/>
      <c r="AP396" s="260"/>
      <c r="AQ396" s="258"/>
      <c r="AR396" s="258"/>
      <c r="AS396" s="202"/>
      <c r="AT396" s="213"/>
      <c r="AU396" s="213"/>
    </row>
    <row r="397" spans="40:47" s="121" customFormat="1" hidden="1">
      <c r="AN397" s="239"/>
      <c r="AO397" s="225"/>
      <c r="AP397" s="260"/>
      <c r="AQ397" s="258"/>
      <c r="AR397" s="258"/>
      <c r="AS397" s="202"/>
      <c r="AT397" s="213"/>
      <c r="AU397" s="213"/>
    </row>
    <row r="398" spans="40:47" s="121" customFormat="1" hidden="1">
      <c r="AN398" s="239"/>
      <c r="AO398" s="225"/>
      <c r="AP398" s="260"/>
      <c r="AQ398" s="258"/>
      <c r="AR398" s="258"/>
      <c r="AS398" s="202"/>
      <c r="AT398" s="213"/>
      <c r="AU398" s="213"/>
    </row>
    <row r="399" spans="40:47" s="121" customFormat="1" hidden="1">
      <c r="AN399" s="239"/>
      <c r="AO399" s="225"/>
      <c r="AP399" s="260"/>
      <c r="AQ399" s="258"/>
      <c r="AR399" s="258"/>
      <c r="AS399" s="202"/>
      <c r="AT399" s="213"/>
      <c r="AU399" s="213"/>
    </row>
    <row r="400" spans="40:47" s="121" customFormat="1" hidden="1">
      <c r="AN400" s="239"/>
      <c r="AO400" s="225"/>
      <c r="AP400" s="260"/>
      <c r="AQ400" s="258"/>
      <c r="AR400" s="258"/>
      <c r="AS400" s="202"/>
      <c r="AT400" s="213"/>
      <c r="AU400" s="213"/>
    </row>
    <row r="401" spans="40:47" s="121" customFormat="1" hidden="1">
      <c r="AN401" s="239"/>
      <c r="AO401" s="225"/>
      <c r="AP401" s="260"/>
      <c r="AQ401" s="258"/>
      <c r="AR401" s="258"/>
      <c r="AS401" s="202"/>
      <c r="AT401" s="213"/>
      <c r="AU401" s="213"/>
    </row>
    <row r="402" spans="40:47" s="121" customFormat="1" hidden="1">
      <c r="AN402" s="239"/>
      <c r="AO402" s="225"/>
      <c r="AP402" s="260"/>
      <c r="AQ402" s="258"/>
      <c r="AR402" s="258"/>
      <c r="AS402" s="202"/>
      <c r="AT402" s="213"/>
      <c r="AU402" s="213"/>
    </row>
    <row r="403" spans="40:47" s="121" customFormat="1" hidden="1">
      <c r="AN403" s="239"/>
      <c r="AO403" s="225"/>
      <c r="AP403" s="260"/>
      <c r="AQ403" s="258"/>
      <c r="AR403" s="258"/>
      <c r="AS403" s="202"/>
      <c r="AT403" s="213"/>
      <c r="AU403" s="213"/>
    </row>
    <row r="404" spans="40:47" s="121" customFormat="1" hidden="1">
      <c r="AN404" s="239"/>
      <c r="AO404" s="225"/>
      <c r="AP404" s="260"/>
      <c r="AQ404" s="258"/>
      <c r="AR404" s="258"/>
      <c r="AS404" s="202"/>
      <c r="AT404" s="213"/>
      <c r="AU404" s="213"/>
    </row>
    <row r="405" spans="40:47" s="121" customFormat="1" hidden="1">
      <c r="AN405" s="239"/>
      <c r="AO405" s="225"/>
      <c r="AP405" s="260"/>
      <c r="AQ405" s="258"/>
      <c r="AR405" s="258"/>
      <c r="AS405" s="202"/>
      <c r="AT405" s="213"/>
      <c r="AU405" s="213"/>
    </row>
    <row r="406" spans="40:47" s="121" customFormat="1" hidden="1">
      <c r="AN406" s="239"/>
      <c r="AO406" s="225"/>
      <c r="AP406" s="260"/>
      <c r="AQ406" s="258"/>
      <c r="AR406" s="258"/>
      <c r="AS406" s="202"/>
      <c r="AT406" s="213"/>
      <c r="AU406" s="213"/>
    </row>
    <row r="407" spans="40:47" s="121" customFormat="1" hidden="1">
      <c r="AN407" s="239"/>
      <c r="AO407" s="225"/>
      <c r="AP407" s="260"/>
      <c r="AQ407" s="258"/>
      <c r="AR407" s="258"/>
      <c r="AS407" s="202"/>
      <c r="AT407" s="213"/>
      <c r="AU407" s="213"/>
    </row>
    <row r="408" spans="40:47" s="121" customFormat="1" hidden="1">
      <c r="AN408" s="239"/>
      <c r="AO408" s="225"/>
      <c r="AP408" s="260"/>
      <c r="AQ408" s="258"/>
      <c r="AR408" s="258"/>
      <c r="AS408" s="202"/>
      <c r="AT408" s="213"/>
      <c r="AU408" s="213"/>
    </row>
    <row r="409" spans="40:47" s="121" customFormat="1" hidden="1">
      <c r="AN409" s="239"/>
      <c r="AO409" s="225"/>
      <c r="AP409" s="260"/>
      <c r="AQ409" s="258"/>
      <c r="AR409" s="258"/>
      <c r="AS409" s="202"/>
      <c r="AT409" s="213"/>
      <c r="AU409" s="213"/>
    </row>
    <row r="410" spans="40:47" s="121" customFormat="1" hidden="1">
      <c r="AN410" s="239"/>
      <c r="AO410" s="225"/>
      <c r="AP410" s="260"/>
      <c r="AQ410" s="258"/>
      <c r="AR410" s="258"/>
      <c r="AS410" s="202"/>
      <c r="AT410" s="213"/>
      <c r="AU410" s="213"/>
    </row>
    <row r="411" spans="40:47" s="121" customFormat="1" hidden="1">
      <c r="AN411" s="239"/>
      <c r="AO411" s="225"/>
      <c r="AP411" s="260"/>
      <c r="AQ411" s="258"/>
      <c r="AR411" s="258"/>
      <c r="AS411" s="202"/>
      <c r="AT411" s="213"/>
      <c r="AU411" s="213"/>
    </row>
    <row r="412" spans="40:47" s="121" customFormat="1" hidden="1">
      <c r="AN412" s="239"/>
      <c r="AO412" s="225"/>
      <c r="AP412" s="260"/>
      <c r="AQ412" s="258"/>
      <c r="AR412" s="258"/>
      <c r="AS412" s="202"/>
      <c r="AT412" s="213"/>
      <c r="AU412" s="213"/>
    </row>
    <row r="413" spans="40:47" s="121" customFormat="1" hidden="1">
      <c r="AN413" s="239"/>
      <c r="AO413" s="225"/>
      <c r="AP413" s="260"/>
      <c r="AQ413" s="258"/>
      <c r="AR413" s="258"/>
      <c r="AS413" s="202"/>
      <c r="AT413" s="213"/>
      <c r="AU413" s="213"/>
    </row>
    <row r="414" spans="40:47" s="121" customFormat="1" hidden="1">
      <c r="AN414" s="239"/>
      <c r="AO414" s="225"/>
      <c r="AP414" s="260"/>
      <c r="AQ414" s="258"/>
      <c r="AR414" s="258"/>
      <c r="AS414" s="202"/>
      <c r="AT414" s="213"/>
      <c r="AU414" s="213"/>
    </row>
    <row r="415" spans="40:47" s="121" customFormat="1" hidden="1">
      <c r="AN415" s="239"/>
      <c r="AO415" s="225"/>
      <c r="AP415" s="260"/>
      <c r="AQ415" s="258"/>
      <c r="AR415" s="258"/>
      <c r="AS415" s="202"/>
      <c r="AT415" s="213"/>
      <c r="AU415" s="213"/>
    </row>
    <row r="416" spans="40:47" s="121" customFormat="1" hidden="1">
      <c r="AN416" s="239"/>
      <c r="AO416" s="225"/>
      <c r="AP416" s="260"/>
      <c r="AQ416" s="258"/>
      <c r="AR416" s="258"/>
      <c r="AS416" s="202"/>
      <c r="AT416" s="213"/>
      <c r="AU416" s="213"/>
    </row>
    <row r="417" spans="40:47" s="121" customFormat="1" hidden="1">
      <c r="AN417" s="239"/>
      <c r="AO417" s="225"/>
      <c r="AP417" s="260"/>
      <c r="AQ417" s="258"/>
      <c r="AR417" s="258"/>
      <c r="AS417" s="202"/>
      <c r="AT417" s="213"/>
      <c r="AU417" s="213"/>
    </row>
    <row r="418" spans="40:47" s="121" customFormat="1" hidden="1">
      <c r="AN418" s="239"/>
      <c r="AO418" s="225"/>
      <c r="AP418" s="260"/>
      <c r="AQ418" s="258"/>
      <c r="AR418" s="258"/>
      <c r="AS418" s="202"/>
      <c r="AT418" s="213"/>
      <c r="AU418" s="213"/>
    </row>
    <row r="419" spans="40:47" s="121" customFormat="1" hidden="1">
      <c r="AN419" s="239"/>
      <c r="AO419" s="225"/>
      <c r="AP419" s="260"/>
      <c r="AQ419" s="258"/>
      <c r="AR419" s="258"/>
      <c r="AS419" s="202"/>
      <c r="AT419" s="213"/>
      <c r="AU419" s="213"/>
    </row>
    <row r="420" spans="40:47" s="121" customFormat="1" hidden="1">
      <c r="AN420" s="239"/>
      <c r="AO420" s="225"/>
      <c r="AP420" s="260"/>
      <c r="AQ420" s="258"/>
      <c r="AR420" s="258"/>
      <c r="AS420" s="202"/>
      <c r="AT420" s="213"/>
      <c r="AU420" s="213"/>
    </row>
    <row r="421" spans="40:47" s="121" customFormat="1" hidden="1">
      <c r="AN421" s="239"/>
      <c r="AO421" s="225"/>
      <c r="AP421" s="260"/>
      <c r="AQ421" s="258"/>
      <c r="AR421" s="258"/>
      <c r="AS421" s="202"/>
      <c r="AT421" s="213"/>
      <c r="AU421" s="213"/>
    </row>
    <row r="422" spans="40:47" s="121" customFormat="1" hidden="1">
      <c r="AN422" s="239"/>
      <c r="AO422" s="225"/>
      <c r="AP422" s="260"/>
      <c r="AQ422" s="258"/>
      <c r="AR422" s="258"/>
      <c r="AS422" s="202"/>
      <c r="AT422" s="213"/>
      <c r="AU422" s="213"/>
    </row>
    <row r="423" spans="40:47" s="121" customFormat="1" hidden="1">
      <c r="AN423" s="239"/>
      <c r="AO423" s="225"/>
      <c r="AP423" s="260"/>
      <c r="AQ423" s="258"/>
      <c r="AR423" s="258"/>
      <c r="AS423" s="202"/>
      <c r="AT423" s="213"/>
      <c r="AU423" s="213"/>
    </row>
    <row r="424" spans="40:47" s="121" customFormat="1" hidden="1">
      <c r="AN424" s="239"/>
      <c r="AO424" s="225"/>
      <c r="AP424" s="260"/>
      <c r="AQ424" s="258"/>
      <c r="AR424" s="258"/>
      <c r="AS424" s="202"/>
      <c r="AT424" s="213"/>
      <c r="AU424" s="213"/>
    </row>
    <row r="425" spans="40:47" s="121" customFormat="1" hidden="1">
      <c r="AN425" s="239"/>
      <c r="AO425" s="225"/>
      <c r="AP425" s="260"/>
      <c r="AQ425" s="258"/>
      <c r="AR425" s="258"/>
      <c r="AS425" s="202"/>
      <c r="AT425" s="213"/>
      <c r="AU425" s="213"/>
    </row>
    <row r="426" spans="40:47" s="121" customFormat="1" hidden="1">
      <c r="AN426" s="239"/>
      <c r="AO426" s="225"/>
      <c r="AP426" s="260"/>
      <c r="AQ426" s="258"/>
      <c r="AR426" s="258"/>
      <c r="AS426" s="202"/>
      <c r="AT426" s="213"/>
      <c r="AU426" s="213"/>
    </row>
    <row r="427" spans="40:47" s="121" customFormat="1" hidden="1">
      <c r="AN427" s="239"/>
      <c r="AO427" s="225"/>
      <c r="AP427" s="260"/>
      <c r="AQ427" s="258"/>
      <c r="AR427" s="258"/>
      <c r="AS427" s="202"/>
      <c r="AT427" s="213"/>
      <c r="AU427" s="213"/>
    </row>
    <row r="428" spans="40:47" s="121" customFormat="1" hidden="1">
      <c r="AN428" s="239"/>
      <c r="AO428" s="225"/>
      <c r="AP428" s="260"/>
      <c r="AQ428" s="258"/>
      <c r="AR428" s="258"/>
      <c r="AS428" s="202"/>
      <c r="AT428" s="213"/>
      <c r="AU428" s="213"/>
    </row>
    <row r="429" spans="40:47" s="121" customFormat="1" hidden="1">
      <c r="AN429" s="239"/>
      <c r="AO429" s="225"/>
      <c r="AP429" s="260"/>
      <c r="AQ429" s="258"/>
      <c r="AR429" s="258"/>
      <c r="AS429" s="202"/>
      <c r="AT429" s="213"/>
      <c r="AU429" s="213"/>
    </row>
    <row r="430" spans="40:47" s="121" customFormat="1" hidden="1">
      <c r="AN430" s="239"/>
      <c r="AO430" s="225"/>
      <c r="AP430" s="260"/>
      <c r="AQ430" s="258"/>
      <c r="AR430" s="258"/>
      <c r="AS430" s="202"/>
      <c r="AT430" s="213"/>
      <c r="AU430" s="213"/>
    </row>
    <row r="431" spans="40:47" s="121" customFormat="1" hidden="1">
      <c r="AN431" s="239"/>
      <c r="AO431" s="225"/>
      <c r="AP431" s="260"/>
      <c r="AQ431" s="258"/>
      <c r="AR431" s="258"/>
      <c r="AS431" s="202"/>
      <c r="AT431" s="213"/>
      <c r="AU431" s="213"/>
    </row>
    <row r="432" spans="40:47" s="121" customFormat="1" hidden="1">
      <c r="AN432" s="239"/>
      <c r="AO432" s="225"/>
      <c r="AP432" s="260"/>
      <c r="AQ432" s="258"/>
      <c r="AR432" s="258"/>
      <c r="AS432" s="202"/>
      <c r="AT432" s="213"/>
      <c r="AU432" s="213"/>
    </row>
    <row r="433" spans="40:47" s="121" customFormat="1" hidden="1">
      <c r="AN433" s="239"/>
      <c r="AO433" s="225"/>
      <c r="AP433" s="260"/>
      <c r="AQ433" s="258"/>
      <c r="AR433" s="258"/>
      <c r="AS433" s="202"/>
      <c r="AT433" s="213"/>
      <c r="AU433" s="213"/>
    </row>
    <row r="434" spans="40:47" s="121" customFormat="1" hidden="1">
      <c r="AN434" s="239"/>
      <c r="AO434" s="225"/>
      <c r="AP434" s="260"/>
      <c r="AQ434" s="258"/>
      <c r="AR434" s="258"/>
      <c r="AS434" s="202"/>
      <c r="AT434" s="213"/>
      <c r="AU434" s="213"/>
    </row>
    <row r="435" spans="40:47" s="121" customFormat="1" hidden="1">
      <c r="AN435" s="239"/>
      <c r="AO435" s="225"/>
      <c r="AP435" s="260"/>
      <c r="AQ435" s="258"/>
      <c r="AR435" s="258"/>
      <c r="AS435" s="202"/>
      <c r="AT435" s="213"/>
      <c r="AU435" s="213"/>
    </row>
    <row r="436" spans="40:47" s="121" customFormat="1" hidden="1">
      <c r="AN436" s="239"/>
      <c r="AO436" s="225"/>
      <c r="AP436" s="260"/>
      <c r="AQ436" s="258"/>
      <c r="AR436" s="258"/>
      <c r="AS436" s="202"/>
      <c r="AT436" s="213"/>
      <c r="AU436" s="213"/>
    </row>
    <row r="437" spans="40:47" s="121" customFormat="1" hidden="1">
      <c r="AN437" s="239"/>
      <c r="AO437" s="225"/>
      <c r="AP437" s="260"/>
      <c r="AQ437" s="258"/>
      <c r="AR437" s="258"/>
      <c r="AS437" s="202"/>
      <c r="AT437" s="213"/>
      <c r="AU437" s="213"/>
    </row>
    <row r="438" spans="40:47" s="121" customFormat="1" hidden="1">
      <c r="AN438" s="239"/>
      <c r="AO438" s="225"/>
      <c r="AP438" s="260"/>
      <c r="AQ438" s="258"/>
      <c r="AR438" s="258"/>
      <c r="AS438" s="202"/>
      <c r="AT438" s="213"/>
      <c r="AU438" s="213"/>
    </row>
    <row r="439" spans="40:47" s="121" customFormat="1" hidden="1">
      <c r="AN439" s="239"/>
      <c r="AO439" s="225"/>
      <c r="AP439" s="260"/>
      <c r="AQ439" s="258"/>
      <c r="AR439" s="258"/>
      <c r="AS439" s="202"/>
      <c r="AT439" s="213"/>
      <c r="AU439" s="213"/>
    </row>
    <row r="440" spans="40:47" s="121" customFormat="1" hidden="1">
      <c r="AN440" s="239"/>
      <c r="AO440" s="225"/>
      <c r="AP440" s="260"/>
      <c r="AQ440" s="258"/>
      <c r="AR440" s="258"/>
      <c r="AS440" s="202"/>
      <c r="AT440" s="213"/>
      <c r="AU440" s="213"/>
    </row>
    <row r="441" spans="40:47" s="121" customFormat="1" hidden="1">
      <c r="AN441" s="239"/>
      <c r="AO441" s="225"/>
      <c r="AP441" s="260"/>
      <c r="AQ441" s="258"/>
      <c r="AR441" s="258"/>
      <c r="AS441" s="202"/>
      <c r="AT441" s="213"/>
      <c r="AU441" s="213"/>
    </row>
    <row r="442" spans="40:47" s="121" customFormat="1" hidden="1">
      <c r="AN442" s="239"/>
      <c r="AO442" s="225"/>
      <c r="AP442" s="260"/>
      <c r="AQ442" s="258"/>
      <c r="AR442" s="258"/>
      <c r="AS442" s="202"/>
      <c r="AT442" s="213"/>
      <c r="AU442" s="213"/>
    </row>
    <row r="443" spans="40:47" s="121" customFormat="1" hidden="1">
      <c r="AN443" s="239"/>
      <c r="AO443" s="225"/>
      <c r="AP443" s="260"/>
      <c r="AQ443" s="258"/>
      <c r="AR443" s="258"/>
      <c r="AS443" s="202"/>
      <c r="AT443" s="213"/>
      <c r="AU443" s="213"/>
    </row>
    <row r="444" spans="40:47" s="121" customFormat="1" hidden="1">
      <c r="AN444" s="239"/>
      <c r="AO444" s="225"/>
      <c r="AP444" s="260"/>
      <c r="AQ444" s="258"/>
      <c r="AR444" s="258"/>
      <c r="AS444" s="202"/>
      <c r="AT444" s="213"/>
      <c r="AU444" s="213"/>
    </row>
    <row r="445" spans="40:47" s="121" customFormat="1" hidden="1">
      <c r="AN445" s="239"/>
      <c r="AO445" s="225"/>
      <c r="AP445" s="260"/>
      <c r="AQ445" s="258"/>
      <c r="AR445" s="258"/>
      <c r="AS445" s="202"/>
      <c r="AT445" s="213"/>
      <c r="AU445" s="213"/>
    </row>
    <row r="446" spans="40:47" s="121" customFormat="1" hidden="1">
      <c r="AN446" s="239"/>
      <c r="AO446" s="225"/>
      <c r="AP446" s="260"/>
      <c r="AQ446" s="258"/>
      <c r="AR446" s="258"/>
      <c r="AS446" s="202"/>
      <c r="AT446" s="213"/>
      <c r="AU446" s="213"/>
    </row>
    <row r="447" spans="40:47" s="121" customFormat="1" hidden="1">
      <c r="AN447" s="239"/>
      <c r="AO447" s="225"/>
      <c r="AP447" s="260"/>
      <c r="AQ447" s="258"/>
      <c r="AR447" s="258"/>
      <c r="AS447" s="202"/>
      <c r="AT447" s="213"/>
      <c r="AU447" s="213"/>
    </row>
    <row r="448" spans="40:47" s="121" customFormat="1" hidden="1">
      <c r="AN448" s="239"/>
      <c r="AO448" s="225"/>
      <c r="AP448" s="260"/>
      <c r="AQ448" s="258"/>
      <c r="AR448" s="258"/>
      <c r="AS448" s="202"/>
      <c r="AT448" s="213"/>
      <c r="AU448" s="213"/>
    </row>
    <row r="449" spans="40:47" s="121" customFormat="1" hidden="1">
      <c r="AN449" s="239"/>
      <c r="AO449" s="225"/>
      <c r="AP449" s="260"/>
      <c r="AQ449" s="258"/>
      <c r="AR449" s="258"/>
      <c r="AS449" s="202"/>
      <c r="AT449" s="213"/>
      <c r="AU449" s="213"/>
    </row>
    <row r="450" spans="40:47" s="121" customFormat="1" hidden="1">
      <c r="AN450" s="239"/>
      <c r="AO450" s="225"/>
      <c r="AP450" s="260"/>
      <c r="AQ450" s="258"/>
      <c r="AR450" s="258"/>
      <c r="AS450" s="202"/>
      <c r="AT450" s="213"/>
      <c r="AU450" s="213"/>
    </row>
    <row r="451" spans="40:47" s="121" customFormat="1" hidden="1">
      <c r="AN451" s="239"/>
      <c r="AO451" s="225"/>
      <c r="AP451" s="260"/>
      <c r="AQ451" s="258"/>
      <c r="AR451" s="258"/>
      <c r="AS451" s="202"/>
      <c r="AT451" s="213"/>
      <c r="AU451" s="213"/>
    </row>
    <row r="452" spans="40:47" s="121" customFormat="1" hidden="1">
      <c r="AN452" s="239"/>
      <c r="AO452" s="225"/>
      <c r="AP452" s="260"/>
      <c r="AQ452" s="258"/>
      <c r="AR452" s="258"/>
      <c r="AS452" s="202"/>
      <c r="AT452" s="213"/>
      <c r="AU452" s="213"/>
    </row>
    <row r="453" spans="40:47" s="121" customFormat="1" hidden="1">
      <c r="AN453" s="239"/>
      <c r="AO453" s="225"/>
      <c r="AP453" s="260"/>
      <c r="AQ453" s="258"/>
      <c r="AR453" s="258"/>
      <c r="AS453" s="202"/>
      <c r="AT453" s="213"/>
      <c r="AU453" s="213"/>
    </row>
    <row r="454" spans="40:47" s="121" customFormat="1" hidden="1">
      <c r="AN454" s="239"/>
      <c r="AO454" s="225"/>
      <c r="AP454" s="260"/>
      <c r="AQ454" s="258"/>
      <c r="AR454" s="258"/>
      <c r="AS454" s="202"/>
      <c r="AT454" s="213"/>
      <c r="AU454" s="213"/>
    </row>
    <row r="455" spans="40:47" s="121" customFormat="1" hidden="1">
      <c r="AN455" s="239"/>
      <c r="AO455" s="225"/>
      <c r="AP455" s="260"/>
      <c r="AQ455" s="258"/>
      <c r="AR455" s="258"/>
      <c r="AS455" s="202"/>
      <c r="AT455" s="213"/>
      <c r="AU455" s="213"/>
    </row>
    <row r="456" spans="40:47" s="121" customFormat="1" hidden="1">
      <c r="AN456" s="239"/>
      <c r="AO456" s="225"/>
      <c r="AP456" s="260"/>
      <c r="AQ456" s="258"/>
      <c r="AR456" s="258"/>
      <c r="AS456" s="202"/>
      <c r="AT456" s="213"/>
      <c r="AU456" s="213"/>
    </row>
    <row r="457" spans="40:47" s="121" customFormat="1" hidden="1">
      <c r="AN457" s="239"/>
      <c r="AO457" s="225"/>
      <c r="AP457" s="260"/>
      <c r="AQ457" s="258"/>
      <c r="AR457" s="258"/>
      <c r="AS457" s="202"/>
      <c r="AT457" s="213"/>
      <c r="AU457" s="213"/>
    </row>
    <row r="458" spans="40:47" s="121" customFormat="1" hidden="1">
      <c r="AN458" s="239"/>
      <c r="AO458" s="225"/>
      <c r="AP458" s="260"/>
      <c r="AQ458" s="258"/>
      <c r="AR458" s="258"/>
      <c r="AS458" s="202"/>
      <c r="AT458" s="213"/>
      <c r="AU458" s="213"/>
    </row>
    <row r="459" spans="40:47" s="121" customFormat="1" hidden="1">
      <c r="AN459" s="239"/>
      <c r="AO459" s="225"/>
      <c r="AP459" s="260"/>
      <c r="AQ459" s="258"/>
      <c r="AR459" s="258"/>
      <c r="AS459" s="202"/>
      <c r="AT459" s="213"/>
      <c r="AU459" s="213"/>
    </row>
    <row r="460" spans="40:47" s="121" customFormat="1" hidden="1">
      <c r="AN460" s="239"/>
      <c r="AO460" s="225"/>
      <c r="AP460" s="260"/>
      <c r="AQ460" s="258"/>
      <c r="AR460" s="258"/>
      <c r="AS460" s="202"/>
      <c r="AT460" s="213"/>
      <c r="AU460" s="213"/>
    </row>
    <row r="461" spans="40:47" s="121" customFormat="1" hidden="1">
      <c r="AN461" s="239"/>
      <c r="AO461" s="225"/>
      <c r="AP461" s="260"/>
      <c r="AQ461" s="258"/>
      <c r="AR461" s="258"/>
      <c r="AS461" s="202"/>
      <c r="AT461" s="213"/>
      <c r="AU461" s="213"/>
    </row>
    <row r="462" spans="40:47" s="121" customFormat="1" hidden="1">
      <c r="AN462" s="239"/>
      <c r="AO462" s="225"/>
      <c r="AP462" s="260"/>
      <c r="AQ462" s="258"/>
      <c r="AR462" s="258"/>
      <c r="AS462" s="202"/>
      <c r="AT462" s="213"/>
      <c r="AU462" s="213"/>
    </row>
    <row r="463" spans="40:47" s="121" customFormat="1" hidden="1">
      <c r="AN463" s="239"/>
      <c r="AO463" s="225"/>
      <c r="AP463" s="260"/>
      <c r="AQ463" s="258"/>
      <c r="AR463" s="258"/>
      <c r="AS463" s="202"/>
      <c r="AT463" s="213"/>
      <c r="AU463" s="213"/>
    </row>
    <row r="464" spans="40:47" s="121" customFormat="1" hidden="1">
      <c r="AN464" s="239"/>
      <c r="AO464" s="225"/>
      <c r="AP464" s="260"/>
      <c r="AQ464" s="258"/>
      <c r="AR464" s="258"/>
      <c r="AS464" s="202"/>
      <c r="AT464" s="213"/>
      <c r="AU464" s="213"/>
    </row>
    <row r="465" spans="40:47" s="121" customFormat="1" hidden="1">
      <c r="AN465" s="239"/>
      <c r="AO465" s="225"/>
      <c r="AP465" s="260"/>
      <c r="AQ465" s="258"/>
      <c r="AR465" s="258"/>
      <c r="AS465" s="202"/>
      <c r="AT465" s="213"/>
      <c r="AU465" s="213"/>
    </row>
    <row r="466" spans="40:47" s="121" customFormat="1" hidden="1">
      <c r="AN466" s="239"/>
      <c r="AO466" s="225"/>
      <c r="AP466" s="260"/>
      <c r="AQ466" s="258"/>
      <c r="AR466" s="258"/>
      <c r="AS466" s="202"/>
      <c r="AT466" s="213"/>
      <c r="AU466" s="213"/>
    </row>
    <row r="467" spans="40:47" s="121" customFormat="1" hidden="1">
      <c r="AN467" s="239"/>
      <c r="AO467" s="225"/>
      <c r="AP467" s="260"/>
      <c r="AQ467" s="258"/>
      <c r="AR467" s="258"/>
      <c r="AS467" s="202"/>
      <c r="AT467" s="213"/>
      <c r="AU467" s="213"/>
    </row>
    <row r="468" spans="40:47" s="121" customFormat="1" hidden="1">
      <c r="AN468" s="239"/>
      <c r="AO468" s="225"/>
      <c r="AP468" s="260"/>
      <c r="AQ468" s="258"/>
      <c r="AR468" s="258"/>
      <c r="AS468" s="202"/>
      <c r="AT468" s="213"/>
      <c r="AU468" s="213"/>
    </row>
    <row r="469" spans="40:47" s="121" customFormat="1" hidden="1">
      <c r="AN469" s="239"/>
      <c r="AO469" s="225"/>
      <c r="AP469" s="260"/>
      <c r="AQ469" s="258"/>
      <c r="AR469" s="258"/>
      <c r="AS469" s="202"/>
      <c r="AT469" s="213"/>
      <c r="AU469" s="213"/>
    </row>
    <row r="470" spans="40:47" s="121" customFormat="1" hidden="1">
      <c r="AN470" s="239"/>
      <c r="AO470" s="225"/>
      <c r="AP470" s="260"/>
      <c r="AQ470" s="258"/>
      <c r="AR470" s="258"/>
      <c r="AS470" s="202"/>
      <c r="AT470" s="213"/>
      <c r="AU470" s="213"/>
    </row>
    <row r="471" spans="40:47" s="121" customFormat="1" hidden="1">
      <c r="AN471" s="239"/>
      <c r="AO471" s="225"/>
      <c r="AP471" s="260"/>
      <c r="AQ471" s="258"/>
      <c r="AR471" s="258"/>
      <c r="AS471" s="202"/>
      <c r="AT471" s="213"/>
      <c r="AU471" s="213"/>
    </row>
    <row r="472" spans="40:47" s="121" customFormat="1" hidden="1">
      <c r="AN472" s="239"/>
      <c r="AO472" s="225"/>
      <c r="AP472" s="260"/>
      <c r="AQ472" s="258"/>
      <c r="AR472" s="258"/>
      <c r="AS472" s="202"/>
      <c r="AT472" s="213"/>
      <c r="AU472" s="213"/>
    </row>
    <row r="473" spans="40:47" s="121" customFormat="1" hidden="1">
      <c r="AN473" s="239"/>
      <c r="AO473" s="225"/>
      <c r="AP473" s="260"/>
      <c r="AQ473" s="258"/>
      <c r="AR473" s="258"/>
      <c r="AS473" s="202"/>
      <c r="AT473" s="213"/>
      <c r="AU473" s="213"/>
    </row>
    <row r="474" spans="40:47" s="121" customFormat="1" hidden="1">
      <c r="AN474" s="239"/>
      <c r="AO474" s="225"/>
      <c r="AP474" s="260"/>
      <c r="AQ474" s="258"/>
      <c r="AR474" s="258"/>
      <c r="AS474" s="202"/>
      <c r="AT474" s="213"/>
      <c r="AU474" s="213"/>
    </row>
    <row r="475" spans="40:47" s="121" customFormat="1" hidden="1">
      <c r="AN475" s="239"/>
      <c r="AO475" s="225"/>
      <c r="AP475" s="260"/>
      <c r="AQ475" s="258"/>
      <c r="AR475" s="258"/>
      <c r="AS475" s="202"/>
      <c r="AT475" s="213"/>
      <c r="AU475" s="213"/>
    </row>
    <row r="476" spans="40:47" s="121" customFormat="1" hidden="1">
      <c r="AN476" s="239"/>
      <c r="AO476" s="225"/>
      <c r="AP476" s="260"/>
      <c r="AQ476" s="258"/>
      <c r="AR476" s="258"/>
      <c r="AS476" s="202"/>
      <c r="AT476" s="213"/>
      <c r="AU476" s="213"/>
    </row>
    <row r="477" spans="40:47" s="121" customFormat="1" hidden="1">
      <c r="AN477" s="239"/>
      <c r="AO477" s="225"/>
      <c r="AP477" s="260"/>
      <c r="AQ477" s="258"/>
      <c r="AR477" s="258"/>
      <c r="AS477" s="202"/>
      <c r="AT477" s="213"/>
      <c r="AU477" s="213"/>
    </row>
    <row r="478" spans="40:47" s="121" customFormat="1" hidden="1">
      <c r="AN478" s="239"/>
      <c r="AO478" s="225"/>
      <c r="AP478" s="260"/>
      <c r="AQ478" s="258"/>
      <c r="AR478" s="258"/>
      <c r="AS478" s="202"/>
      <c r="AT478" s="213"/>
      <c r="AU478" s="213"/>
    </row>
    <row r="479" spans="40:47" s="121" customFormat="1" hidden="1">
      <c r="AN479" s="239"/>
      <c r="AO479" s="225"/>
      <c r="AP479" s="260"/>
      <c r="AQ479" s="258"/>
      <c r="AR479" s="258"/>
      <c r="AS479" s="202"/>
      <c r="AT479" s="213"/>
      <c r="AU479" s="213"/>
    </row>
    <row r="480" spans="40:47" s="121" customFormat="1" hidden="1">
      <c r="AN480" s="239"/>
      <c r="AO480" s="225"/>
      <c r="AP480" s="260"/>
      <c r="AQ480" s="258"/>
      <c r="AR480" s="258"/>
      <c r="AS480" s="202"/>
      <c r="AT480" s="213"/>
      <c r="AU480" s="213"/>
    </row>
    <row r="481" spans="40:47" s="121" customFormat="1" hidden="1">
      <c r="AN481" s="239"/>
      <c r="AO481" s="225"/>
      <c r="AP481" s="260"/>
      <c r="AQ481" s="258"/>
      <c r="AR481" s="258"/>
      <c r="AS481" s="202"/>
      <c r="AT481" s="213"/>
      <c r="AU481" s="213"/>
    </row>
    <row r="482" spans="40:47" s="121" customFormat="1" hidden="1">
      <c r="AN482" s="239"/>
      <c r="AO482" s="225"/>
      <c r="AP482" s="260"/>
      <c r="AQ482" s="258"/>
      <c r="AR482" s="258"/>
      <c r="AS482" s="202"/>
      <c r="AT482" s="213"/>
      <c r="AU482" s="213"/>
    </row>
    <row r="483" spans="40:47" s="121" customFormat="1" hidden="1">
      <c r="AN483" s="239"/>
      <c r="AO483" s="225"/>
      <c r="AP483" s="260"/>
      <c r="AQ483" s="258"/>
      <c r="AR483" s="258"/>
      <c r="AS483" s="202"/>
      <c r="AT483" s="213"/>
      <c r="AU483" s="213"/>
    </row>
    <row r="484" spans="40:47" s="121" customFormat="1" hidden="1">
      <c r="AN484" s="239"/>
      <c r="AO484" s="225"/>
      <c r="AP484" s="260"/>
      <c r="AQ484" s="258"/>
      <c r="AR484" s="258"/>
      <c r="AS484" s="202"/>
      <c r="AT484" s="213"/>
      <c r="AU484" s="213"/>
    </row>
    <row r="485" spans="40:47" s="121" customFormat="1" hidden="1">
      <c r="AN485" s="239"/>
      <c r="AO485" s="225"/>
      <c r="AP485" s="260"/>
      <c r="AQ485" s="258"/>
      <c r="AR485" s="258"/>
      <c r="AS485" s="202"/>
      <c r="AT485" s="213"/>
      <c r="AU485" s="213"/>
    </row>
    <row r="486" spans="40:47" s="121" customFormat="1" hidden="1">
      <c r="AN486" s="239"/>
      <c r="AO486" s="225"/>
      <c r="AP486" s="260"/>
      <c r="AQ486" s="258"/>
      <c r="AR486" s="258"/>
      <c r="AS486" s="202"/>
      <c r="AT486" s="213"/>
      <c r="AU486" s="213"/>
    </row>
    <row r="487" spans="40:47" s="121" customFormat="1" hidden="1">
      <c r="AN487" s="239"/>
      <c r="AO487" s="225"/>
      <c r="AP487" s="260"/>
      <c r="AQ487" s="258"/>
      <c r="AR487" s="258"/>
      <c r="AS487" s="202"/>
      <c r="AT487" s="213"/>
      <c r="AU487" s="213"/>
    </row>
    <row r="488" spans="40:47" s="121" customFormat="1" hidden="1">
      <c r="AN488" s="239"/>
      <c r="AO488" s="225"/>
      <c r="AP488" s="260"/>
      <c r="AQ488" s="258"/>
      <c r="AR488" s="258"/>
      <c r="AS488" s="202"/>
      <c r="AT488" s="213"/>
      <c r="AU488" s="213"/>
    </row>
    <row r="489" spans="40:47" s="121" customFormat="1" hidden="1">
      <c r="AN489" s="239"/>
      <c r="AO489" s="225"/>
      <c r="AP489" s="260"/>
      <c r="AQ489" s="258"/>
      <c r="AR489" s="258"/>
      <c r="AS489" s="202"/>
      <c r="AT489" s="213"/>
      <c r="AU489" s="213"/>
    </row>
    <row r="490" spans="40:47" s="121" customFormat="1" hidden="1">
      <c r="AN490" s="239"/>
      <c r="AO490" s="225"/>
      <c r="AP490" s="260"/>
      <c r="AQ490" s="258"/>
      <c r="AR490" s="258"/>
      <c r="AS490" s="202"/>
      <c r="AT490" s="213"/>
      <c r="AU490" s="213"/>
    </row>
    <row r="491" spans="40:47" s="121" customFormat="1" hidden="1">
      <c r="AN491" s="239"/>
      <c r="AO491" s="225"/>
      <c r="AP491" s="260"/>
      <c r="AQ491" s="258"/>
      <c r="AR491" s="258"/>
      <c r="AS491" s="202"/>
      <c r="AT491" s="213"/>
      <c r="AU491" s="213"/>
    </row>
    <row r="492" spans="40:47" s="121" customFormat="1" hidden="1">
      <c r="AN492" s="239"/>
      <c r="AO492" s="225"/>
      <c r="AP492" s="260"/>
      <c r="AQ492" s="258"/>
      <c r="AR492" s="258"/>
      <c r="AS492" s="202"/>
      <c r="AT492" s="213"/>
      <c r="AU492" s="213"/>
    </row>
    <row r="493" spans="40:47" s="121" customFormat="1" hidden="1">
      <c r="AN493" s="239"/>
      <c r="AO493" s="225"/>
      <c r="AP493" s="260"/>
      <c r="AQ493" s="258"/>
      <c r="AR493" s="258"/>
      <c r="AS493" s="202"/>
      <c r="AT493" s="213"/>
      <c r="AU493" s="213"/>
    </row>
    <row r="494" spans="40:47" s="121" customFormat="1" hidden="1">
      <c r="AN494" s="239"/>
      <c r="AO494" s="225"/>
      <c r="AP494" s="260"/>
      <c r="AQ494" s="258"/>
      <c r="AR494" s="258"/>
      <c r="AS494" s="202"/>
      <c r="AT494" s="213"/>
      <c r="AU494" s="213"/>
    </row>
    <row r="495" spans="40:47" s="121" customFormat="1" hidden="1">
      <c r="AN495" s="239"/>
      <c r="AO495" s="225"/>
      <c r="AP495" s="260"/>
      <c r="AQ495" s="258"/>
      <c r="AR495" s="258"/>
      <c r="AS495" s="202"/>
      <c r="AT495" s="213"/>
      <c r="AU495" s="213"/>
    </row>
    <row r="496" spans="40:47" s="121" customFormat="1" hidden="1">
      <c r="AN496" s="239"/>
      <c r="AO496" s="225"/>
      <c r="AP496" s="260"/>
      <c r="AQ496" s="258"/>
      <c r="AR496" s="258"/>
      <c r="AS496" s="202"/>
      <c r="AT496" s="213"/>
      <c r="AU496" s="213"/>
    </row>
    <row r="497" spans="40:47" s="121" customFormat="1" hidden="1">
      <c r="AN497" s="239"/>
      <c r="AO497" s="225"/>
      <c r="AP497" s="260"/>
      <c r="AQ497" s="258"/>
      <c r="AR497" s="258"/>
      <c r="AS497" s="202"/>
      <c r="AT497" s="213"/>
      <c r="AU497" s="213"/>
    </row>
    <row r="498" spans="40:47" s="121" customFormat="1" hidden="1">
      <c r="AN498" s="239"/>
      <c r="AO498" s="225"/>
      <c r="AP498" s="260"/>
      <c r="AQ498" s="258"/>
      <c r="AR498" s="258"/>
      <c r="AS498" s="202"/>
      <c r="AT498" s="213"/>
      <c r="AU498" s="213"/>
    </row>
    <row r="499" spans="40:47" s="121" customFormat="1" hidden="1">
      <c r="AN499" s="239"/>
      <c r="AO499" s="225"/>
      <c r="AP499" s="260"/>
      <c r="AQ499" s="258"/>
      <c r="AR499" s="258"/>
      <c r="AS499" s="202"/>
      <c r="AT499" s="213"/>
      <c r="AU499" s="213"/>
    </row>
    <row r="500" spans="40:47" s="121" customFormat="1" hidden="1">
      <c r="AN500" s="239"/>
      <c r="AO500" s="225"/>
      <c r="AP500" s="260"/>
      <c r="AQ500" s="258"/>
      <c r="AR500" s="258"/>
      <c r="AS500" s="202"/>
      <c r="AT500" s="213"/>
      <c r="AU500" s="213"/>
    </row>
    <row r="501" spans="40:47" s="121" customFormat="1" hidden="1">
      <c r="AN501" s="239"/>
      <c r="AO501" s="225"/>
      <c r="AP501" s="260"/>
      <c r="AQ501" s="258"/>
      <c r="AR501" s="258"/>
      <c r="AS501" s="202"/>
      <c r="AT501" s="213"/>
      <c r="AU501" s="213"/>
    </row>
    <row r="502" spans="40:47" s="121" customFormat="1" hidden="1">
      <c r="AN502" s="239"/>
      <c r="AO502" s="225"/>
      <c r="AP502" s="260"/>
      <c r="AQ502" s="258"/>
      <c r="AR502" s="258"/>
      <c r="AS502" s="202"/>
      <c r="AT502" s="213"/>
      <c r="AU502" s="213"/>
    </row>
    <row r="503" spans="40:47" s="121" customFormat="1" hidden="1">
      <c r="AN503" s="239"/>
      <c r="AO503" s="225"/>
      <c r="AP503" s="260"/>
      <c r="AQ503" s="258"/>
      <c r="AR503" s="258"/>
      <c r="AS503" s="202"/>
      <c r="AT503" s="213"/>
      <c r="AU503" s="213"/>
    </row>
    <row r="504" spans="40:47" s="121" customFormat="1" hidden="1">
      <c r="AN504" s="239"/>
      <c r="AO504" s="225"/>
      <c r="AP504" s="260"/>
      <c r="AQ504" s="258"/>
      <c r="AR504" s="258"/>
      <c r="AS504" s="202"/>
      <c r="AT504" s="213"/>
      <c r="AU504" s="213"/>
    </row>
    <row r="505" spans="40:47" s="121" customFormat="1" hidden="1">
      <c r="AN505" s="239"/>
      <c r="AO505" s="225"/>
      <c r="AP505" s="260"/>
      <c r="AQ505" s="258"/>
      <c r="AR505" s="258"/>
      <c r="AS505" s="202"/>
      <c r="AT505" s="213"/>
      <c r="AU505" s="213"/>
    </row>
    <row r="506" spans="40:47" s="121" customFormat="1" hidden="1">
      <c r="AN506" s="239"/>
      <c r="AO506" s="225"/>
      <c r="AP506" s="260"/>
      <c r="AQ506" s="258"/>
      <c r="AR506" s="258"/>
      <c r="AS506" s="202"/>
      <c r="AT506" s="213"/>
      <c r="AU506" s="213"/>
    </row>
    <row r="507" spans="40:47" s="121" customFormat="1" hidden="1">
      <c r="AN507" s="239"/>
      <c r="AO507" s="225"/>
      <c r="AP507" s="260"/>
      <c r="AQ507" s="258"/>
      <c r="AR507" s="258"/>
      <c r="AS507" s="202"/>
      <c r="AT507" s="213"/>
      <c r="AU507" s="213"/>
    </row>
    <row r="508" spans="40:47" s="121" customFormat="1" hidden="1">
      <c r="AN508" s="239"/>
      <c r="AO508" s="225"/>
      <c r="AP508" s="260"/>
      <c r="AQ508" s="258"/>
      <c r="AR508" s="258"/>
      <c r="AS508" s="202"/>
      <c r="AT508" s="213"/>
      <c r="AU508" s="213"/>
    </row>
    <row r="509" spans="40:47" s="121" customFormat="1" hidden="1">
      <c r="AN509" s="239"/>
      <c r="AO509" s="225"/>
      <c r="AP509" s="260"/>
      <c r="AQ509" s="258"/>
      <c r="AR509" s="258"/>
      <c r="AS509" s="202"/>
      <c r="AT509" s="213"/>
      <c r="AU509" s="213"/>
    </row>
    <row r="510" spans="40:47" s="121" customFormat="1" hidden="1">
      <c r="AN510" s="239"/>
      <c r="AO510" s="225"/>
      <c r="AP510" s="260"/>
      <c r="AQ510" s="258"/>
      <c r="AR510" s="258"/>
      <c r="AS510" s="202"/>
      <c r="AT510" s="213"/>
      <c r="AU510" s="213"/>
    </row>
    <row r="511" spans="40:47" s="121" customFormat="1" hidden="1">
      <c r="AN511" s="239"/>
      <c r="AO511" s="225"/>
      <c r="AP511" s="260"/>
      <c r="AQ511" s="258"/>
      <c r="AR511" s="258"/>
      <c r="AS511" s="202"/>
      <c r="AT511" s="213"/>
      <c r="AU511" s="213"/>
    </row>
    <row r="512" spans="40:47" s="121" customFormat="1" hidden="1">
      <c r="AN512" s="239"/>
      <c r="AO512" s="225"/>
      <c r="AP512" s="260"/>
      <c r="AQ512" s="258"/>
      <c r="AR512" s="258"/>
      <c r="AS512" s="202"/>
      <c r="AT512" s="213"/>
      <c r="AU512" s="213"/>
    </row>
    <row r="513" spans="40:47" s="121" customFormat="1" hidden="1">
      <c r="AN513" s="239"/>
      <c r="AO513" s="225"/>
      <c r="AP513" s="260"/>
      <c r="AQ513" s="258"/>
      <c r="AR513" s="258"/>
      <c r="AS513" s="202"/>
      <c r="AT513" s="213"/>
      <c r="AU513" s="213"/>
    </row>
    <row r="514" spans="40:47" s="121" customFormat="1" hidden="1">
      <c r="AN514" s="239"/>
      <c r="AO514" s="225"/>
      <c r="AP514" s="260"/>
      <c r="AQ514" s="258"/>
      <c r="AR514" s="258"/>
      <c r="AS514" s="202"/>
      <c r="AT514" s="213"/>
      <c r="AU514" s="213"/>
    </row>
    <row r="515" spans="40:47" s="121" customFormat="1" hidden="1">
      <c r="AN515" s="239"/>
      <c r="AO515" s="225"/>
      <c r="AP515" s="260"/>
      <c r="AQ515" s="258"/>
      <c r="AR515" s="258"/>
      <c r="AS515" s="202"/>
      <c r="AT515" s="213"/>
      <c r="AU515" s="213"/>
    </row>
    <row r="516" spans="40:47" s="121" customFormat="1" hidden="1">
      <c r="AN516" s="239"/>
      <c r="AO516" s="225"/>
      <c r="AP516" s="260"/>
      <c r="AQ516" s="258"/>
      <c r="AR516" s="258"/>
      <c r="AS516" s="202"/>
      <c r="AT516" s="213"/>
      <c r="AU516" s="213"/>
    </row>
    <row r="517" spans="40:47" s="121" customFormat="1" hidden="1">
      <c r="AN517" s="239"/>
      <c r="AO517" s="225"/>
      <c r="AP517" s="260"/>
      <c r="AQ517" s="258"/>
      <c r="AR517" s="258"/>
      <c r="AS517" s="202"/>
      <c r="AT517" s="213"/>
      <c r="AU517" s="213"/>
    </row>
    <row r="518" spans="40:47" s="121" customFormat="1" hidden="1">
      <c r="AN518" s="239"/>
      <c r="AO518" s="225"/>
      <c r="AP518" s="260"/>
      <c r="AQ518" s="258"/>
      <c r="AR518" s="258"/>
      <c r="AS518" s="202"/>
      <c r="AT518" s="213"/>
      <c r="AU518" s="213"/>
    </row>
    <row r="519" spans="40:47" s="121" customFormat="1" hidden="1">
      <c r="AN519" s="239"/>
      <c r="AO519" s="225"/>
      <c r="AP519" s="260"/>
      <c r="AQ519" s="258"/>
      <c r="AR519" s="258"/>
      <c r="AS519" s="202"/>
      <c r="AT519" s="213"/>
      <c r="AU519" s="213"/>
    </row>
    <row r="520" spans="40:47" s="121" customFormat="1" hidden="1">
      <c r="AN520" s="239"/>
      <c r="AO520" s="225"/>
      <c r="AP520" s="260"/>
      <c r="AQ520" s="258"/>
      <c r="AR520" s="258"/>
      <c r="AS520" s="202"/>
      <c r="AT520" s="213"/>
      <c r="AU520" s="213"/>
    </row>
    <row r="521" spans="40:47" s="121" customFormat="1" hidden="1">
      <c r="AN521" s="239"/>
      <c r="AO521" s="225"/>
      <c r="AP521" s="260"/>
      <c r="AQ521" s="258"/>
      <c r="AR521" s="258"/>
      <c r="AS521" s="202"/>
      <c r="AT521" s="213"/>
      <c r="AU521" s="213"/>
    </row>
    <row r="522" spans="40:47" s="121" customFormat="1" hidden="1">
      <c r="AN522" s="239"/>
      <c r="AO522" s="225"/>
      <c r="AP522" s="260"/>
      <c r="AQ522" s="258"/>
      <c r="AR522" s="258"/>
      <c r="AS522" s="202"/>
      <c r="AT522" s="213"/>
      <c r="AU522" s="213"/>
    </row>
    <row r="523" spans="40:47" s="121" customFormat="1" hidden="1">
      <c r="AN523" s="239"/>
      <c r="AO523" s="225"/>
      <c r="AP523" s="260"/>
      <c r="AQ523" s="258"/>
      <c r="AR523" s="258"/>
      <c r="AS523" s="202"/>
      <c r="AT523" s="213"/>
      <c r="AU523" s="213"/>
    </row>
    <row r="524" spans="40:47" s="121" customFormat="1" hidden="1">
      <c r="AN524" s="239"/>
      <c r="AO524" s="225"/>
      <c r="AP524" s="260"/>
      <c r="AQ524" s="258"/>
      <c r="AR524" s="258"/>
      <c r="AS524" s="202"/>
      <c r="AT524" s="213"/>
      <c r="AU524" s="213"/>
    </row>
    <row r="525" spans="40:47" s="121" customFormat="1" hidden="1">
      <c r="AN525" s="239"/>
      <c r="AO525" s="225"/>
      <c r="AP525" s="260"/>
      <c r="AQ525" s="258"/>
      <c r="AR525" s="258"/>
      <c r="AS525" s="202"/>
      <c r="AT525" s="213"/>
      <c r="AU525" s="213"/>
    </row>
    <row r="526" spans="40:47" s="121" customFormat="1" hidden="1">
      <c r="AN526" s="239"/>
      <c r="AO526" s="225"/>
      <c r="AP526" s="260"/>
      <c r="AQ526" s="258"/>
      <c r="AR526" s="258"/>
      <c r="AS526" s="202"/>
      <c r="AT526" s="213"/>
      <c r="AU526" s="213"/>
    </row>
    <row r="527" spans="40:47" s="121" customFormat="1" hidden="1">
      <c r="AN527" s="239"/>
      <c r="AO527" s="225"/>
      <c r="AP527" s="260"/>
      <c r="AQ527" s="258"/>
      <c r="AR527" s="258"/>
      <c r="AS527" s="202"/>
      <c r="AT527" s="213"/>
      <c r="AU527" s="213"/>
    </row>
    <row r="528" spans="40:47" s="121" customFormat="1" hidden="1">
      <c r="AN528" s="239"/>
      <c r="AO528" s="225"/>
      <c r="AP528" s="260"/>
      <c r="AQ528" s="258"/>
      <c r="AR528" s="258"/>
      <c r="AS528" s="202"/>
      <c r="AT528" s="213"/>
      <c r="AU528" s="213"/>
    </row>
    <row r="529" spans="40:47" s="121" customFormat="1" hidden="1">
      <c r="AN529" s="239"/>
      <c r="AO529" s="225"/>
      <c r="AP529" s="260"/>
      <c r="AQ529" s="258"/>
      <c r="AR529" s="258"/>
      <c r="AS529" s="202"/>
      <c r="AT529" s="213"/>
      <c r="AU529" s="213"/>
    </row>
    <row r="530" spans="40:47" s="121" customFormat="1" hidden="1">
      <c r="AN530" s="239"/>
      <c r="AO530" s="225"/>
      <c r="AP530" s="260"/>
      <c r="AQ530" s="258"/>
      <c r="AR530" s="258"/>
      <c r="AS530" s="202"/>
      <c r="AT530" s="213"/>
      <c r="AU530" s="213"/>
    </row>
    <row r="531" spans="40:47" s="121" customFormat="1" hidden="1">
      <c r="AN531" s="239"/>
      <c r="AO531" s="225"/>
      <c r="AP531" s="260"/>
      <c r="AQ531" s="258"/>
      <c r="AR531" s="258"/>
      <c r="AS531" s="202"/>
      <c r="AT531" s="213"/>
      <c r="AU531" s="213"/>
    </row>
    <row r="532" spans="40:47" s="121" customFormat="1" hidden="1">
      <c r="AN532" s="239"/>
      <c r="AO532" s="225"/>
      <c r="AP532" s="260"/>
      <c r="AQ532" s="258"/>
      <c r="AR532" s="258"/>
      <c r="AS532" s="202"/>
      <c r="AT532" s="213"/>
      <c r="AU532" s="213"/>
    </row>
    <row r="533" spans="40:47" s="121" customFormat="1" hidden="1">
      <c r="AN533" s="239"/>
      <c r="AO533" s="225"/>
      <c r="AP533" s="260"/>
      <c r="AQ533" s="258"/>
      <c r="AR533" s="258"/>
      <c r="AS533" s="202"/>
      <c r="AT533" s="213"/>
      <c r="AU533" s="213"/>
    </row>
    <row r="534" spans="40:47" s="121" customFormat="1" hidden="1">
      <c r="AN534" s="239"/>
      <c r="AO534" s="225"/>
      <c r="AP534" s="260"/>
      <c r="AQ534" s="258"/>
      <c r="AR534" s="258"/>
      <c r="AS534" s="202"/>
      <c r="AT534" s="213"/>
      <c r="AU534" s="213"/>
    </row>
    <row r="535" spans="40:47" s="121" customFormat="1" hidden="1">
      <c r="AN535" s="239"/>
      <c r="AO535" s="225"/>
      <c r="AP535" s="260"/>
      <c r="AQ535" s="258"/>
      <c r="AR535" s="258"/>
      <c r="AS535" s="202"/>
      <c r="AT535" s="213"/>
      <c r="AU535" s="213"/>
    </row>
    <row r="536" spans="40:47" s="121" customFormat="1" hidden="1">
      <c r="AN536" s="239"/>
      <c r="AO536" s="225"/>
      <c r="AP536" s="260"/>
      <c r="AQ536" s="258"/>
      <c r="AR536" s="258"/>
      <c r="AS536" s="202"/>
      <c r="AT536" s="213"/>
      <c r="AU536" s="213"/>
    </row>
    <row r="537" spans="40:47" s="121" customFormat="1" hidden="1">
      <c r="AN537" s="239"/>
      <c r="AO537" s="225"/>
      <c r="AP537" s="260"/>
      <c r="AQ537" s="258"/>
      <c r="AR537" s="258"/>
      <c r="AS537" s="202"/>
      <c r="AT537" s="213"/>
      <c r="AU537" s="213"/>
    </row>
    <row r="538" spans="40:47" s="121" customFormat="1" hidden="1">
      <c r="AN538" s="239"/>
      <c r="AO538" s="225"/>
      <c r="AP538" s="260"/>
      <c r="AQ538" s="258"/>
      <c r="AR538" s="258"/>
      <c r="AS538" s="202"/>
      <c r="AT538" s="213"/>
      <c r="AU538" s="213"/>
    </row>
    <row r="539" spans="40:47" s="121" customFormat="1" hidden="1">
      <c r="AN539" s="239"/>
      <c r="AO539" s="225"/>
      <c r="AP539" s="260"/>
      <c r="AQ539" s="258"/>
      <c r="AR539" s="258"/>
      <c r="AS539" s="202"/>
      <c r="AT539" s="213"/>
      <c r="AU539" s="213"/>
    </row>
    <row r="540" spans="40:47" s="121" customFormat="1" hidden="1">
      <c r="AN540" s="239"/>
      <c r="AO540" s="225"/>
      <c r="AP540" s="260"/>
      <c r="AQ540" s="258"/>
      <c r="AR540" s="258"/>
      <c r="AS540" s="202"/>
      <c r="AT540" s="213"/>
      <c r="AU540" s="213"/>
    </row>
    <row r="541" spans="40:47" s="121" customFormat="1" hidden="1">
      <c r="AN541" s="239"/>
      <c r="AO541" s="225"/>
      <c r="AP541" s="260"/>
      <c r="AQ541" s="258"/>
      <c r="AR541" s="258"/>
      <c r="AS541" s="202"/>
      <c r="AT541" s="213"/>
      <c r="AU541" s="213"/>
    </row>
    <row r="542" spans="40:47" s="121" customFormat="1" hidden="1">
      <c r="AN542" s="239"/>
      <c r="AO542" s="225"/>
      <c r="AP542" s="260"/>
      <c r="AQ542" s="258"/>
      <c r="AR542" s="258"/>
      <c r="AS542" s="202"/>
      <c r="AT542" s="213"/>
      <c r="AU542" s="213"/>
    </row>
    <row r="543" spans="40:47" s="121" customFormat="1" hidden="1">
      <c r="AN543" s="239"/>
      <c r="AO543" s="225"/>
      <c r="AP543" s="260"/>
      <c r="AQ543" s="258"/>
      <c r="AR543" s="258"/>
      <c r="AS543" s="202"/>
      <c r="AT543" s="213"/>
      <c r="AU543" s="213"/>
    </row>
    <row r="544" spans="40:47" s="121" customFormat="1" hidden="1">
      <c r="AN544" s="239"/>
      <c r="AO544" s="225"/>
      <c r="AP544" s="260"/>
      <c r="AQ544" s="258"/>
      <c r="AR544" s="258"/>
      <c r="AS544" s="202"/>
      <c r="AT544" s="213"/>
      <c r="AU544" s="213"/>
    </row>
    <row r="545" spans="40:47" s="121" customFormat="1" hidden="1">
      <c r="AN545" s="239"/>
      <c r="AO545" s="225"/>
      <c r="AP545" s="260"/>
      <c r="AQ545" s="258"/>
      <c r="AR545" s="258"/>
      <c r="AS545" s="202"/>
      <c r="AT545" s="213"/>
      <c r="AU545" s="213"/>
    </row>
    <row r="546" spans="40:47" s="121" customFormat="1" hidden="1">
      <c r="AN546" s="239"/>
      <c r="AO546" s="225"/>
      <c r="AP546" s="260"/>
      <c r="AQ546" s="258"/>
      <c r="AR546" s="258"/>
      <c r="AS546" s="202"/>
      <c r="AT546" s="213"/>
      <c r="AU546" s="213"/>
    </row>
    <row r="547" spans="40:47" s="121" customFormat="1" hidden="1">
      <c r="AN547" s="239"/>
      <c r="AO547" s="225"/>
      <c r="AP547" s="260"/>
      <c r="AQ547" s="258"/>
      <c r="AR547" s="258"/>
      <c r="AS547" s="202"/>
      <c r="AT547" s="213"/>
      <c r="AU547" s="213"/>
    </row>
    <row r="548" spans="40:47" s="121" customFormat="1" hidden="1">
      <c r="AN548" s="239"/>
      <c r="AO548" s="225"/>
      <c r="AP548" s="260"/>
      <c r="AQ548" s="258"/>
      <c r="AR548" s="258"/>
      <c r="AS548" s="202"/>
      <c r="AT548" s="213"/>
      <c r="AU548" s="213"/>
    </row>
    <row r="549" spans="40:47" s="121" customFormat="1" hidden="1">
      <c r="AN549" s="239"/>
      <c r="AO549" s="225"/>
      <c r="AP549" s="260"/>
      <c r="AQ549" s="258"/>
      <c r="AR549" s="258"/>
      <c r="AS549" s="202"/>
      <c r="AT549" s="213"/>
      <c r="AU549" s="213"/>
    </row>
    <row r="550" spans="40:47" s="121" customFormat="1" hidden="1">
      <c r="AN550" s="239"/>
      <c r="AO550" s="225"/>
      <c r="AP550" s="260"/>
      <c r="AQ550" s="258"/>
      <c r="AR550" s="258"/>
      <c r="AS550" s="202"/>
      <c r="AT550" s="213"/>
      <c r="AU550" s="213"/>
    </row>
    <row r="551" spans="40:47" s="121" customFormat="1" hidden="1">
      <c r="AN551" s="239"/>
      <c r="AO551" s="225"/>
      <c r="AP551" s="260"/>
      <c r="AQ551" s="258"/>
      <c r="AR551" s="258"/>
      <c r="AS551" s="202"/>
      <c r="AT551" s="213"/>
      <c r="AU551" s="213"/>
    </row>
    <row r="552" spans="40:47" s="121" customFormat="1" hidden="1">
      <c r="AN552" s="239"/>
      <c r="AO552" s="225"/>
      <c r="AP552" s="260"/>
      <c r="AQ552" s="258"/>
      <c r="AR552" s="258"/>
      <c r="AS552" s="202"/>
      <c r="AT552" s="213"/>
      <c r="AU552" s="213"/>
    </row>
    <row r="553" spans="40:47" s="121" customFormat="1" hidden="1">
      <c r="AN553" s="239"/>
      <c r="AO553" s="225"/>
      <c r="AP553" s="260"/>
      <c r="AQ553" s="258"/>
      <c r="AR553" s="258"/>
      <c r="AS553" s="202"/>
      <c r="AT553" s="213"/>
      <c r="AU553" s="213"/>
    </row>
    <row r="554" spans="40:47" s="121" customFormat="1" hidden="1">
      <c r="AN554" s="239"/>
      <c r="AO554" s="225"/>
      <c r="AP554" s="260"/>
      <c r="AQ554" s="258"/>
      <c r="AR554" s="258"/>
      <c r="AS554" s="202"/>
      <c r="AT554" s="213"/>
      <c r="AU554" s="213"/>
    </row>
    <row r="555" spans="40:47" s="121" customFormat="1" hidden="1">
      <c r="AN555" s="239"/>
      <c r="AO555" s="225"/>
      <c r="AP555" s="260"/>
      <c r="AQ555" s="258"/>
      <c r="AR555" s="258"/>
      <c r="AS555" s="202"/>
      <c r="AT555" s="213"/>
      <c r="AU555" s="213"/>
    </row>
    <row r="556" spans="40:47" s="121" customFormat="1" hidden="1">
      <c r="AN556" s="239"/>
      <c r="AO556" s="225"/>
      <c r="AP556" s="260"/>
      <c r="AQ556" s="258"/>
      <c r="AR556" s="258"/>
      <c r="AS556" s="202"/>
      <c r="AT556" s="213"/>
      <c r="AU556" s="213"/>
    </row>
    <row r="557" spans="40:47" s="121" customFormat="1" hidden="1">
      <c r="AN557" s="239"/>
      <c r="AO557" s="225"/>
      <c r="AP557" s="260"/>
      <c r="AQ557" s="258"/>
      <c r="AR557" s="258"/>
      <c r="AS557" s="202"/>
      <c r="AT557" s="213"/>
      <c r="AU557" s="213"/>
    </row>
    <row r="558" spans="40:47" s="121" customFormat="1" hidden="1">
      <c r="AN558" s="239"/>
      <c r="AO558" s="225"/>
      <c r="AP558" s="260"/>
      <c r="AQ558" s="258"/>
      <c r="AR558" s="258"/>
      <c r="AS558" s="202"/>
      <c r="AT558" s="213"/>
      <c r="AU558" s="213"/>
    </row>
    <row r="559" spans="40:47" s="121" customFormat="1" hidden="1">
      <c r="AN559" s="239"/>
      <c r="AO559" s="225"/>
      <c r="AP559" s="260"/>
      <c r="AQ559" s="258"/>
      <c r="AR559" s="258"/>
      <c r="AS559" s="202"/>
      <c r="AT559" s="213"/>
      <c r="AU559" s="213"/>
    </row>
    <row r="560" spans="40:47" s="121" customFormat="1" hidden="1">
      <c r="AN560" s="239"/>
      <c r="AO560" s="225"/>
      <c r="AP560" s="260"/>
      <c r="AQ560" s="258"/>
      <c r="AR560" s="258"/>
      <c r="AS560" s="202"/>
      <c r="AT560" s="213"/>
      <c r="AU560" s="213"/>
    </row>
    <row r="561" spans="40:47" s="121" customFormat="1" hidden="1">
      <c r="AN561" s="239"/>
      <c r="AO561" s="225"/>
      <c r="AP561" s="260"/>
      <c r="AQ561" s="258"/>
      <c r="AR561" s="258"/>
      <c r="AS561" s="202"/>
      <c r="AT561" s="213"/>
      <c r="AU561" s="213"/>
    </row>
    <row r="562" spans="40:47" s="121" customFormat="1" hidden="1">
      <c r="AN562" s="239"/>
      <c r="AO562" s="225"/>
      <c r="AP562" s="260"/>
      <c r="AQ562" s="258"/>
      <c r="AR562" s="258"/>
      <c r="AS562" s="202"/>
      <c r="AT562" s="213"/>
      <c r="AU562" s="213"/>
    </row>
    <row r="563" spans="40:47" s="121" customFormat="1" hidden="1">
      <c r="AN563" s="239"/>
      <c r="AO563" s="225"/>
      <c r="AP563" s="260"/>
      <c r="AQ563" s="258"/>
      <c r="AR563" s="258"/>
      <c r="AS563" s="202"/>
      <c r="AT563" s="213"/>
      <c r="AU563" s="213"/>
    </row>
    <row r="564" spans="40:47" s="121" customFormat="1" hidden="1">
      <c r="AN564" s="239"/>
      <c r="AO564" s="225"/>
      <c r="AP564" s="260"/>
      <c r="AQ564" s="258"/>
      <c r="AR564" s="258"/>
      <c r="AS564" s="202"/>
      <c r="AT564" s="213"/>
      <c r="AU564" s="213"/>
    </row>
    <row r="565" spans="40:47" s="121" customFormat="1" hidden="1">
      <c r="AN565" s="239"/>
      <c r="AO565" s="225"/>
      <c r="AP565" s="260"/>
      <c r="AQ565" s="258"/>
      <c r="AR565" s="258"/>
      <c r="AS565" s="202"/>
      <c r="AT565" s="213"/>
      <c r="AU565" s="213"/>
    </row>
    <row r="566" spans="40:47" s="121" customFormat="1" hidden="1">
      <c r="AN566" s="239"/>
      <c r="AO566" s="225"/>
      <c r="AP566" s="260"/>
      <c r="AQ566" s="258"/>
      <c r="AR566" s="258"/>
      <c r="AS566" s="202"/>
      <c r="AT566" s="213"/>
      <c r="AU566" s="213"/>
    </row>
    <row r="567" spans="40:47" s="121" customFormat="1" hidden="1">
      <c r="AN567" s="239"/>
      <c r="AO567" s="225"/>
      <c r="AP567" s="260"/>
      <c r="AQ567" s="258"/>
      <c r="AR567" s="258"/>
      <c r="AS567" s="202"/>
      <c r="AT567" s="213"/>
      <c r="AU567" s="213"/>
    </row>
    <row r="568" spans="40:47" s="121" customFormat="1" hidden="1">
      <c r="AN568" s="239"/>
      <c r="AO568" s="225"/>
      <c r="AP568" s="260"/>
      <c r="AQ568" s="258"/>
      <c r="AR568" s="258"/>
      <c r="AS568" s="202"/>
      <c r="AT568" s="213"/>
      <c r="AU568" s="213"/>
    </row>
    <row r="569" spans="40:47" s="121" customFormat="1" hidden="1">
      <c r="AN569" s="239"/>
      <c r="AO569" s="225"/>
      <c r="AP569" s="260"/>
      <c r="AQ569" s="258"/>
      <c r="AR569" s="258"/>
      <c r="AS569" s="202"/>
      <c r="AT569" s="213"/>
      <c r="AU569" s="213"/>
    </row>
    <row r="570" spans="40:47" s="121" customFormat="1" hidden="1">
      <c r="AN570" s="239"/>
      <c r="AO570" s="225"/>
      <c r="AP570" s="260"/>
      <c r="AQ570" s="258"/>
      <c r="AR570" s="258"/>
      <c r="AS570" s="202"/>
      <c r="AT570" s="213"/>
      <c r="AU570" s="213"/>
    </row>
    <row r="571" spans="40:47" s="121" customFormat="1" hidden="1">
      <c r="AN571" s="239"/>
      <c r="AO571" s="225"/>
      <c r="AP571" s="260"/>
      <c r="AQ571" s="258"/>
      <c r="AR571" s="258"/>
      <c r="AS571" s="202"/>
      <c r="AT571" s="213"/>
      <c r="AU571" s="213"/>
    </row>
    <row r="572" spans="40:47" s="121" customFormat="1" hidden="1">
      <c r="AN572" s="239"/>
      <c r="AO572" s="225"/>
      <c r="AP572" s="260"/>
      <c r="AQ572" s="258"/>
      <c r="AR572" s="258"/>
      <c r="AS572" s="202"/>
      <c r="AT572" s="213"/>
      <c r="AU572" s="213"/>
    </row>
    <row r="573" spans="40:47" s="121" customFormat="1" hidden="1">
      <c r="AN573" s="239"/>
      <c r="AO573" s="225"/>
      <c r="AP573" s="260"/>
      <c r="AQ573" s="258"/>
      <c r="AR573" s="258"/>
      <c r="AS573" s="202"/>
      <c r="AT573" s="213"/>
      <c r="AU573" s="213"/>
    </row>
    <row r="574" spans="40:47" s="121" customFormat="1" hidden="1">
      <c r="AN574" s="239"/>
      <c r="AO574" s="225"/>
      <c r="AP574" s="260"/>
      <c r="AQ574" s="258"/>
      <c r="AR574" s="258"/>
      <c r="AS574" s="202"/>
      <c r="AT574" s="213"/>
      <c r="AU574" s="213"/>
    </row>
    <row r="575" spans="40:47" s="121" customFormat="1" hidden="1">
      <c r="AN575" s="239"/>
      <c r="AO575" s="225"/>
      <c r="AP575" s="260"/>
      <c r="AQ575" s="258"/>
      <c r="AR575" s="258"/>
      <c r="AS575" s="202"/>
      <c r="AT575" s="213"/>
      <c r="AU575" s="213"/>
    </row>
    <row r="576" spans="40:47" s="121" customFormat="1" hidden="1">
      <c r="AN576" s="239"/>
      <c r="AO576" s="225"/>
      <c r="AP576" s="260"/>
      <c r="AQ576" s="258"/>
      <c r="AR576" s="258"/>
      <c r="AS576" s="202"/>
      <c r="AT576" s="213"/>
      <c r="AU576" s="213"/>
    </row>
    <row r="577" spans="40:47" s="121" customFormat="1" hidden="1">
      <c r="AN577" s="239"/>
      <c r="AO577" s="225"/>
      <c r="AP577" s="260"/>
      <c r="AQ577" s="258"/>
      <c r="AR577" s="258"/>
      <c r="AS577" s="202"/>
      <c r="AT577" s="213"/>
      <c r="AU577" s="213"/>
    </row>
    <row r="578" spans="40:47" s="121" customFormat="1" hidden="1">
      <c r="AN578" s="239"/>
      <c r="AO578" s="225"/>
      <c r="AP578" s="260"/>
      <c r="AQ578" s="258"/>
      <c r="AR578" s="258"/>
      <c r="AS578" s="202"/>
      <c r="AT578" s="213"/>
      <c r="AU578" s="213"/>
    </row>
    <row r="579" spans="40:47" s="121" customFormat="1" hidden="1">
      <c r="AN579" s="239"/>
      <c r="AO579" s="225"/>
      <c r="AP579" s="260"/>
      <c r="AQ579" s="258"/>
      <c r="AR579" s="258"/>
      <c r="AS579" s="202"/>
      <c r="AT579" s="213"/>
      <c r="AU579" s="213"/>
    </row>
    <row r="580" spans="40:47" s="121" customFormat="1" hidden="1">
      <c r="AN580" s="239"/>
      <c r="AO580" s="225"/>
      <c r="AP580" s="260"/>
      <c r="AQ580" s="258"/>
      <c r="AR580" s="258"/>
      <c r="AS580" s="202"/>
      <c r="AT580" s="213"/>
      <c r="AU580" s="213"/>
    </row>
    <row r="581" spans="40:47" s="121" customFormat="1" hidden="1">
      <c r="AN581" s="239"/>
      <c r="AO581" s="225"/>
      <c r="AP581" s="260"/>
      <c r="AQ581" s="258"/>
      <c r="AR581" s="258"/>
      <c r="AS581" s="202"/>
      <c r="AT581" s="213"/>
      <c r="AU581" s="213"/>
    </row>
    <row r="582" spans="40:47" s="121" customFormat="1" hidden="1">
      <c r="AN582" s="239"/>
      <c r="AO582" s="225"/>
      <c r="AP582" s="260"/>
      <c r="AQ582" s="258"/>
      <c r="AR582" s="258"/>
      <c r="AS582" s="202"/>
      <c r="AT582" s="213"/>
      <c r="AU582" s="213"/>
    </row>
    <row r="583" spans="40:47" s="121" customFormat="1" hidden="1">
      <c r="AN583" s="239"/>
      <c r="AO583" s="225"/>
      <c r="AP583" s="260"/>
      <c r="AQ583" s="258"/>
      <c r="AR583" s="258"/>
      <c r="AS583" s="202"/>
      <c r="AT583" s="213"/>
      <c r="AU583" s="213"/>
    </row>
    <row r="584" spans="40:47" s="121" customFormat="1" hidden="1">
      <c r="AN584" s="239"/>
      <c r="AO584" s="225"/>
      <c r="AP584" s="260"/>
      <c r="AQ584" s="258"/>
      <c r="AR584" s="258"/>
      <c r="AS584" s="202"/>
      <c r="AT584" s="213"/>
      <c r="AU584" s="213"/>
    </row>
    <row r="585" spans="40:47" s="121" customFormat="1" hidden="1">
      <c r="AN585" s="239"/>
      <c r="AO585" s="225"/>
      <c r="AP585" s="260"/>
      <c r="AQ585" s="258"/>
      <c r="AR585" s="258"/>
      <c r="AS585" s="202"/>
      <c r="AT585" s="213"/>
      <c r="AU585" s="213"/>
    </row>
    <row r="586" spans="40:47" s="121" customFormat="1" hidden="1">
      <c r="AN586" s="239"/>
      <c r="AO586" s="225"/>
      <c r="AP586" s="260"/>
      <c r="AQ586" s="258"/>
      <c r="AR586" s="258"/>
      <c r="AS586" s="202"/>
      <c r="AT586" s="213"/>
      <c r="AU586" s="213"/>
    </row>
    <row r="587" spans="40:47" s="121" customFormat="1" hidden="1">
      <c r="AN587" s="239"/>
      <c r="AO587" s="225"/>
      <c r="AP587" s="260"/>
      <c r="AQ587" s="258"/>
      <c r="AR587" s="258"/>
      <c r="AS587" s="202"/>
      <c r="AT587" s="213"/>
      <c r="AU587" s="213"/>
    </row>
    <row r="588" spans="40:47" s="121" customFormat="1" hidden="1">
      <c r="AN588" s="239"/>
      <c r="AO588" s="225"/>
      <c r="AP588" s="260"/>
      <c r="AQ588" s="258"/>
      <c r="AR588" s="258"/>
      <c r="AS588" s="202"/>
      <c r="AT588" s="213"/>
      <c r="AU588" s="213"/>
    </row>
    <row r="589" spans="40:47" s="121" customFormat="1" hidden="1">
      <c r="AN589" s="239"/>
      <c r="AO589" s="225"/>
      <c r="AP589" s="260"/>
      <c r="AQ589" s="258"/>
      <c r="AR589" s="258"/>
      <c r="AS589" s="202"/>
      <c r="AT589" s="213"/>
      <c r="AU589" s="213"/>
    </row>
    <row r="590" spans="40:47" s="121" customFormat="1" hidden="1">
      <c r="AN590" s="239"/>
      <c r="AO590" s="225"/>
      <c r="AP590" s="260"/>
      <c r="AQ590" s="258"/>
      <c r="AR590" s="258"/>
      <c r="AS590" s="202"/>
      <c r="AT590" s="213"/>
      <c r="AU590" s="213"/>
    </row>
    <row r="591" spans="40:47" s="121" customFormat="1" hidden="1">
      <c r="AN591" s="239"/>
      <c r="AO591" s="225"/>
      <c r="AP591" s="260"/>
      <c r="AQ591" s="258"/>
      <c r="AR591" s="258"/>
      <c r="AS591" s="202"/>
      <c r="AT591" s="213"/>
      <c r="AU591" s="213"/>
    </row>
    <row r="592" spans="40:47" s="121" customFormat="1" hidden="1">
      <c r="AN592" s="239"/>
      <c r="AO592" s="225"/>
      <c r="AP592" s="260"/>
      <c r="AQ592" s="258"/>
      <c r="AR592" s="258"/>
      <c r="AS592" s="202"/>
      <c r="AT592" s="213"/>
      <c r="AU592" s="213"/>
    </row>
    <row r="593" spans="40:47" s="121" customFormat="1" hidden="1">
      <c r="AN593" s="239"/>
      <c r="AO593" s="225"/>
      <c r="AP593" s="260"/>
      <c r="AQ593" s="258"/>
      <c r="AR593" s="258"/>
      <c r="AS593" s="202"/>
      <c r="AT593" s="213"/>
      <c r="AU593" s="213"/>
    </row>
    <row r="594" spans="40:47" s="121" customFormat="1" hidden="1">
      <c r="AN594" s="239"/>
      <c r="AO594" s="225"/>
      <c r="AP594" s="260"/>
      <c r="AQ594" s="258"/>
      <c r="AR594" s="258"/>
      <c r="AS594" s="202"/>
      <c r="AT594" s="213"/>
      <c r="AU594" s="213"/>
    </row>
    <row r="595" spans="40:47" s="121" customFormat="1" hidden="1">
      <c r="AN595" s="239"/>
      <c r="AO595" s="225"/>
      <c r="AP595" s="260"/>
      <c r="AQ595" s="258"/>
      <c r="AR595" s="258"/>
      <c r="AS595" s="202"/>
      <c r="AT595" s="213"/>
      <c r="AU595" s="213"/>
    </row>
    <row r="596" spans="40:47" s="121" customFormat="1" hidden="1">
      <c r="AN596" s="239"/>
      <c r="AO596" s="225"/>
      <c r="AP596" s="260"/>
      <c r="AQ596" s="258"/>
      <c r="AR596" s="258"/>
      <c r="AS596" s="202"/>
      <c r="AT596" s="213"/>
      <c r="AU596" s="213"/>
    </row>
    <row r="597" spans="40:47" s="121" customFormat="1" hidden="1">
      <c r="AN597" s="239"/>
      <c r="AO597" s="225"/>
      <c r="AP597" s="260"/>
      <c r="AQ597" s="258"/>
      <c r="AR597" s="258"/>
      <c r="AS597" s="202"/>
      <c r="AT597" s="213"/>
      <c r="AU597" s="213"/>
    </row>
    <row r="598" spans="40:47" s="121" customFormat="1" hidden="1">
      <c r="AN598" s="239"/>
      <c r="AO598" s="225"/>
      <c r="AP598" s="260"/>
      <c r="AQ598" s="258"/>
      <c r="AR598" s="258"/>
      <c r="AS598" s="202"/>
      <c r="AT598" s="213"/>
      <c r="AU598" s="213"/>
    </row>
    <row r="599" spans="40:47" s="121" customFormat="1" hidden="1">
      <c r="AN599" s="239"/>
      <c r="AO599" s="225"/>
      <c r="AP599" s="260"/>
      <c r="AQ599" s="258"/>
      <c r="AR599" s="258"/>
      <c r="AS599" s="202"/>
      <c r="AT599" s="213"/>
      <c r="AU599" s="213"/>
    </row>
    <row r="600" spans="40:47" s="121" customFormat="1" hidden="1">
      <c r="AN600" s="239"/>
      <c r="AO600" s="225"/>
      <c r="AP600" s="260"/>
      <c r="AQ600" s="258"/>
      <c r="AR600" s="258"/>
      <c r="AS600" s="202"/>
      <c r="AT600" s="213"/>
      <c r="AU600" s="213"/>
    </row>
    <row r="601" spans="40:47" s="121" customFormat="1" hidden="1">
      <c r="AN601" s="239"/>
      <c r="AO601" s="225"/>
      <c r="AP601" s="260"/>
      <c r="AQ601" s="258"/>
      <c r="AR601" s="258"/>
      <c r="AS601" s="202"/>
      <c r="AT601" s="213"/>
      <c r="AU601" s="213"/>
    </row>
    <row r="602" spans="40:47" s="121" customFormat="1" hidden="1">
      <c r="AN602" s="239"/>
      <c r="AO602" s="225"/>
      <c r="AP602" s="260"/>
      <c r="AQ602" s="258"/>
      <c r="AR602" s="258"/>
      <c r="AS602" s="202"/>
      <c r="AT602" s="213"/>
      <c r="AU602" s="213"/>
    </row>
    <row r="603" spans="40:47" s="121" customFormat="1" hidden="1">
      <c r="AN603" s="239"/>
      <c r="AO603" s="225"/>
      <c r="AP603" s="260"/>
      <c r="AQ603" s="258"/>
      <c r="AR603" s="258"/>
      <c r="AS603" s="202"/>
      <c r="AT603" s="213"/>
      <c r="AU603" s="213"/>
    </row>
    <row r="604" spans="40:47" s="121" customFormat="1" hidden="1">
      <c r="AN604" s="239"/>
      <c r="AO604" s="225"/>
      <c r="AP604" s="260"/>
      <c r="AQ604" s="258"/>
      <c r="AR604" s="258"/>
      <c r="AS604" s="202"/>
      <c r="AT604" s="213"/>
      <c r="AU604" s="213"/>
    </row>
    <row r="605" spans="40:47" s="121" customFormat="1" hidden="1">
      <c r="AN605" s="239"/>
      <c r="AO605" s="225"/>
      <c r="AP605" s="260"/>
      <c r="AQ605" s="258"/>
      <c r="AR605" s="258"/>
      <c r="AS605" s="202"/>
      <c r="AT605" s="213"/>
      <c r="AU605" s="213"/>
    </row>
    <row r="606" spans="40:47" s="121" customFormat="1" hidden="1">
      <c r="AN606" s="239"/>
      <c r="AO606" s="225"/>
      <c r="AP606" s="260"/>
      <c r="AQ606" s="258"/>
      <c r="AR606" s="258"/>
      <c r="AS606" s="202"/>
      <c r="AT606" s="213"/>
      <c r="AU606" s="213"/>
    </row>
    <row r="607" spans="40:47" s="121" customFormat="1" hidden="1">
      <c r="AN607" s="239"/>
      <c r="AO607" s="225"/>
      <c r="AP607" s="260"/>
      <c r="AQ607" s="258"/>
      <c r="AR607" s="258"/>
      <c r="AS607" s="202"/>
      <c r="AT607" s="213"/>
      <c r="AU607" s="213"/>
    </row>
    <row r="608" spans="40:47" s="121" customFormat="1" hidden="1">
      <c r="AN608" s="239"/>
      <c r="AO608" s="225"/>
      <c r="AP608" s="260"/>
      <c r="AQ608" s="258"/>
      <c r="AR608" s="258"/>
      <c r="AS608" s="202"/>
      <c r="AT608" s="213"/>
      <c r="AU608" s="213"/>
    </row>
    <row r="609" spans="40:47" s="121" customFormat="1" hidden="1">
      <c r="AN609" s="239"/>
      <c r="AO609" s="225"/>
      <c r="AP609" s="260"/>
      <c r="AQ609" s="258"/>
      <c r="AR609" s="258"/>
      <c r="AS609" s="202"/>
      <c r="AT609" s="213"/>
      <c r="AU609" s="213"/>
    </row>
    <row r="610" spans="40:47" s="121" customFormat="1" hidden="1">
      <c r="AN610" s="239"/>
      <c r="AO610" s="225"/>
      <c r="AP610" s="260"/>
      <c r="AQ610" s="258"/>
      <c r="AR610" s="258"/>
      <c r="AS610" s="202"/>
      <c r="AT610" s="213"/>
      <c r="AU610" s="213"/>
    </row>
    <row r="611" spans="40:47" s="121" customFormat="1" hidden="1">
      <c r="AN611" s="239"/>
      <c r="AO611" s="225"/>
      <c r="AP611" s="260"/>
      <c r="AQ611" s="258"/>
      <c r="AR611" s="258"/>
      <c r="AS611" s="202"/>
      <c r="AT611" s="213"/>
      <c r="AU611" s="213"/>
    </row>
    <row r="612" spans="40:47" s="121" customFormat="1" hidden="1">
      <c r="AN612" s="239"/>
      <c r="AO612" s="225"/>
      <c r="AP612" s="260"/>
      <c r="AQ612" s="258"/>
      <c r="AR612" s="258"/>
      <c r="AS612" s="202"/>
      <c r="AT612" s="213"/>
      <c r="AU612" s="213"/>
    </row>
    <row r="613" spans="40:47" s="121" customFormat="1" hidden="1">
      <c r="AN613" s="239"/>
      <c r="AO613" s="225"/>
      <c r="AP613" s="260"/>
      <c r="AQ613" s="258"/>
      <c r="AR613" s="258"/>
      <c r="AS613" s="202"/>
      <c r="AT613" s="213"/>
      <c r="AU613" s="213"/>
    </row>
    <row r="614" spans="40:47" s="121" customFormat="1" hidden="1">
      <c r="AN614" s="239"/>
      <c r="AO614" s="225"/>
      <c r="AP614" s="260"/>
      <c r="AQ614" s="258"/>
      <c r="AR614" s="258"/>
      <c r="AS614" s="202"/>
      <c r="AT614" s="213"/>
      <c r="AU614" s="213"/>
    </row>
    <row r="615" spans="40:47" s="121" customFormat="1" hidden="1">
      <c r="AN615" s="239"/>
      <c r="AO615" s="225"/>
      <c r="AP615" s="260"/>
      <c r="AQ615" s="258"/>
      <c r="AR615" s="258"/>
      <c r="AS615" s="202"/>
      <c r="AT615" s="213"/>
      <c r="AU615" s="213"/>
    </row>
    <row r="616" spans="40:47" s="121" customFormat="1" hidden="1">
      <c r="AN616" s="239"/>
      <c r="AO616" s="225"/>
      <c r="AP616" s="260"/>
      <c r="AQ616" s="258"/>
      <c r="AR616" s="258"/>
      <c r="AS616" s="202"/>
      <c r="AT616" s="213"/>
      <c r="AU616" s="213"/>
    </row>
    <row r="617" spans="40:47" s="121" customFormat="1" hidden="1">
      <c r="AN617" s="239"/>
      <c r="AO617" s="225"/>
      <c r="AP617" s="260"/>
      <c r="AQ617" s="258"/>
      <c r="AR617" s="258"/>
      <c r="AS617" s="202"/>
      <c r="AT617" s="213"/>
      <c r="AU617" s="213"/>
    </row>
    <row r="618" spans="40:47" s="121" customFormat="1" hidden="1">
      <c r="AN618" s="239"/>
      <c r="AO618" s="225"/>
      <c r="AP618" s="260"/>
      <c r="AQ618" s="258"/>
      <c r="AR618" s="258"/>
      <c r="AS618" s="202"/>
      <c r="AT618" s="213"/>
      <c r="AU618" s="213"/>
    </row>
    <row r="619" spans="40:47" s="121" customFormat="1" hidden="1">
      <c r="AN619" s="239"/>
      <c r="AO619" s="225"/>
      <c r="AP619" s="260"/>
      <c r="AQ619" s="258"/>
      <c r="AR619" s="258"/>
      <c r="AS619" s="202"/>
      <c r="AT619" s="213"/>
      <c r="AU619" s="213"/>
    </row>
    <row r="620" spans="40:47" s="121" customFormat="1" hidden="1">
      <c r="AN620" s="239"/>
      <c r="AO620" s="225"/>
      <c r="AP620" s="260"/>
      <c r="AQ620" s="258"/>
      <c r="AR620" s="258"/>
      <c r="AS620" s="202"/>
      <c r="AT620" s="213"/>
      <c r="AU620" s="213"/>
    </row>
    <row r="621" spans="40:47" s="121" customFormat="1" hidden="1">
      <c r="AN621" s="239"/>
      <c r="AO621" s="225"/>
      <c r="AP621" s="260"/>
      <c r="AQ621" s="258"/>
      <c r="AR621" s="258"/>
      <c r="AS621" s="202"/>
      <c r="AT621" s="213"/>
      <c r="AU621" s="213"/>
    </row>
    <row r="622" spans="40:47" s="121" customFormat="1" hidden="1">
      <c r="AN622" s="239"/>
      <c r="AO622" s="225"/>
      <c r="AP622" s="260"/>
      <c r="AQ622" s="258"/>
      <c r="AR622" s="258"/>
      <c r="AS622" s="202"/>
      <c r="AT622" s="213"/>
      <c r="AU622" s="213"/>
    </row>
    <row r="623" spans="40:47" s="121" customFormat="1" hidden="1">
      <c r="AN623" s="239"/>
      <c r="AO623" s="225"/>
      <c r="AP623" s="260"/>
      <c r="AQ623" s="258"/>
      <c r="AR623" s="258"/>
      <c r="AS623" s="202"/>
      <c r="AT623" s="213"/>
      <c r="AU623" s="213"/>
    </row>
    <row r="624" spans="40:47" s="121" customFormat="1" hidden="1">
      <c r="AN624" s="239"/>
      <c r="AO624" s="225"/>
      <c r="AP624" s="260"/>
      <c r="AQ624" s="258"/>
      <c r="AR624" s="258"/>
      <c r="AS624" s="202"/>
      <c r="AT624" s="213"/>
      <c r="AU624" s="213"/>
    </row>
    <row r="625" spans="40:47" s="121" customFormat="1" hidden="1">
      <c r="AN625" s="239"/>
      <c r="AO625" s="225"/>
      <c r="AP625" s="260"/>
      <c r="AQ625" s="258"/>
      <c r="AR625" s="258"/>
      <c r="AS625" s="202"/>
      <c r="AT625" s="213"/>
      <c r="AU625" s="213"/>
    </row>
    <row r="626" spans="40:47" s="121" customFormat="1" hidden="1">
      <c r="AN626" s="239"/>
      <c r="AO626" s="225"/>
      <c r="AP626" s="260"/>
      <c r="AQ626" s="258"/>
      <c r="AR626" s="258"/>
      <c r="AS626" s="202"/>
      <c r="AT626" s="213"/>
      <c r="AU626" s="213"/>
    </row>
    <row r="627" spans="40:47" s="121" customFormat="1" hidden="1">
      <c r="AN627" s="239"/>
      <c r="AO627" s="225"/>
      <c r="AP627" s="260"/>
      <c r="AQ627" s="258"/>
      <c r="AR627" s="258"/>
      <c r="AS627" s="202"/>
      <c r="AT627" s="213"/>
      <c r="AU627" s="213"/>
    </row>
    <row r="628" spans="40:47" s="121" customFormat="1" hidden="1">
      <c r="AN628" s="239"/>
      <c r="AO628" s="225"/>
      <c r="AP628" s="260"/>
      <c r="AQ628" s="258"/>
      <c r="AR628" s="258"/>
      <c r="AS628" s="202"/>
      <c r="AT628" s="213"/>
      <c r="AU628" s="213"/>
    </row>
    <row r="629" spans="40:47" s="121" customFormat="1" hidden="1">
      <c r="AN629" s="239"/>
      <c r="AO629" s="225"/>
      <c r="AP629" s="260"/>
      <c r="AQ629" s="258"/>
      <c r="AR629" s="258"/>
      <c r="AS629" s="202"/>
      <c r="AT629" s="213"/>
      <c r="AU629" s="213"/>
    </row>
    <row r="630" spans="40:47" s="121" customFormat="1" hidden="1">
      <c r="AN630" s="239"/>
      <c r="AO630" s="225"/>
      <c r="AP630" s="260"/>
      <c r="AQ630" s="258"/>
      <c r="AR630" s="258"/>
      <c r="AS630" s="202"/>
      <c r="AT630" s="213"/>
      <c r="AU630" s="213"/>
    </row>
    <row r="631" spans="40:47" s="121" customFormat="1" hidden="1">
      <c r="AN631" s="239"/>
      <c r="AO631" s="225"/>
      <c r="AP631" s="260"/>
      <c r="AQ631" s="258"/>
      <c r="AR631" s="258"/>
      <c r="AS631" s="202"/>
      <c r="AT631" s="213"/>
      <c r="AU631" s="213"/>
    </row>
    <row r="632" spans="40:47" s="121" customFormat="1" hidden="1">
      <c r="AN632" s="239"/>
      <c r="AO632" s="225"/>
      <c r="AP632" s="260"/>
      <c r="AQ632" s="258"/>
      <c r="AR632" s="258"/>
      <c r="AS632" s="202"/>
      <c r="AT632" s="213"/>
      <c r="AU632" s="213"/>
    </row>
    <row r="633" spans="40:47" s="121" customFormat="1" hidden="1">
      <c r="AN633" s="239"/>
      <c r="AO633" s="225"/>
      <c r="AP633" s="260"/>
      <c r="AQ633" s="258"/>
      <c r="AR633" s="258"/>
      <c r="AS633" s="202"/>
      <c r="AT633" s="213"/>
      <c r="AU633" s="213"/>
    </row>
    <row r="634" spans="40:47" s="121" customFormat="1" hidden="1">
      <c r="AN634" s="239"/>
      <c r="AO634" s="225"/>
      <c r="AP634" s="260"/>
      <c r="AQ634" s="258"/>
      <c r="AR634" s="258"/>
      <c r="AS634" s="202"/>
      <c r="AT634" s="213"/>
      <c r="AU634" s="213"/>
    </row>
    <row r="635" spans="40:47" s="121" customFormat="1" hidden="1">
      <c r="AN635" s="239"/>
      <c r="AO635" s="225"/>
      <c r="AP635" s="260"/>
      <c r="AQ635" s="258"/>
      <c r="AR635" s="258"/>
      <c r="AS635" s="202"/>
      <c r="AT635" s="213"/>
      <c r="AU635" s="213"/>
    </row>
    <row r="636" spans="40:47" s="121" customFormat="1" hidden="1">
      <c r="AN636" s="239"/>
      <c r="AO636" s="225"/>
      <c r="AP636" s="260"/>
      <c r="AQ636" s="258"/>
      <c r="AR636" s="258"/>
      <c r="AS636" s="202"/>
      <c r="AT636" s="213"/>
      <c r="AU636" s="213"/>
    </row>
    <row r="637" spans="40:47" s="121" customFormat="1" hidden="1">
      <c r="AN637" s="239"/>
      <c r="AO637" s="225"/>
      <c r="AP637" s="260"/>
      <c r="AQ637" s="258"/>
      <c r="AR637" s="258"/>
      <c r="AS637" s="202"/>
      <c r="AT637" s="213"/>
      <c r="AU637" s="213"/>
    </row>
    <row r="638" spans="40:47" s="121" customFormat="1" hidden="1">
      <c r="AN638" s="239"/>
      <c r="AO638" s="225"/>
      <c r="AP638" s="260"/>
      <c r="AQ638" s="258"/>
      <c r="AR638" s="258"/>
      <c r="AS638" s="202"/>
      <c r="AT638" s="213"/>
      <c r="AU638" s="213"/>
    </row>
    <row r="639" spans="40:47" s="121" customFormat="1" hidden="1">
      <c r="AN639" s="239"/>
      <c r="AO639" s="225"/>
      <c r="AP639" s="260"/>
      <c r="AQ639" s="258"/>
      <c r="AR639" s="258"/>
      <c r="AS639" s="202"/>
      <c r="AT639" s="213"/>
      <c r="AU639" s="213"/>
    </row>
    <row r="640" spans="40:47" s="121" customFormat="1" hidden="1">
      <c r="AN640" s="239"/>
      <c r="AO640" s="225"/>
      <c r="AP640" s="260"/>
      <c r="AQ640" s="258"/>
      <c r="AR640" s="258"/>
      <c r="AS640" s="202"/>
      <c r="AT640" s="213"/>
      <c r="AU640" s="213"/>
    </row>
    <row r="641" spans="40:47" s="121" customFormat="1" hidden="1">
      <c r="AN641" s="239"/>
      <c r="AO641" s="225"/>
      <c r="AP641" s="260"/>
      <c r="AQ641" s="258"/>
      <c r="AR641" s="258"/>
      <c r="AS641" s="202"/>
      <c r="AT641" s="213"/>
      <c r="AU641" s="213"/>
    </row>
    <row r="642" spans="40:47" s="121" customFormat="1" hidden="1">
      <c r="AN642" s="239"/>
      <c r="AO642" s="225"/>
      <c r="AP642" s="260"/>
      <c r="AQ642" s="258"/>
      <c r="AR642" s="258"/>
      <c r="AS642" s="202"/>
      <c r="AT642" s="213"/>
      <c r="AU642" s="213"/>
    </row>
    <row r="643" spans="40:47" s="121" customFormat="1" hidden="1">
      <c r="AN643" s="239"/>
      <c r="AO643" s="225"/>
      <c r="AP643" s="260"/>
      <c r="AQ643" s="258"/>
      <c r="AR643" s="258"/>
      <c r="AS643" s="202"/>
      <c r="AT643" s="213"/>
      <c r="AU643" s="213"/>
    </row>
    <row r="644" spans="40:47" s="121" customFormat="1" hidden="1">
      <c r="AN644" s="239"/>
      <c r="AO644" s="225"/>
      <c r="AP644" s="260"/>
      <c r="AQ644" s="258"/>
      <c r="AR644" s="258"/>
      <c r="AS644" s="202"/>
      <c r="AT644" s="213"/>
      <c r="AU644" s="213"/>
    </row>
    <row r="645" spans="40:47" s="121" customFormat="1" hidden="1">
      <c r="AN645" s="239"/>
      <c r="AO645" s="225"/>
      <c r="AP645" s="260"/>
      <c r="AQ645" s="258"/>
      <c r="AR645" s="258"/>
      <c r="AS645" s="202"/>
      <c r="AT645" s="213"/>
      <c r="AU645" s="213"/>
    </row>
    <row r="646" spans="40:47" s="121" customFormat="1" hidden="1">
      <c r="AN646" s="239"/>
      <c r="AO646" s="225"/>
      <c r="AP646" s="260"/>
      <c r="AQ646" s="258"/>
      <c r="AR646" s="258"/>
      <c r="AS646" s="202"/>
      <c r="AT646" s="213"/>
      <c r="AU646" s="213"/>
    </row>
    <row r="647" spans="40:47" s="121" customFormat="1" hidden="1">
      <c r="AN647" s="239"/>
      <c r="AO647" s="225"/>
      <c r="AP647" s="260"/>
      <c r="AQ647" s="258"/>
      <c r="AR647" s="258"/>
      <c r="AS647" s="202"/>
      <c r="AT647" s="213"/>
      <c r="AU647" s="213"/>
    </row>
    <row r="648" spans="40:47" s="121" customFormat="1" hidden="1">
      <c r="AN648" s="239"/>
      <c r="AO648" s="225"/>
      <c r="AP648" s="260"/>
      <c r="AQ648" s="258"/>
      <c r="AR648" s="258"/>
      <c r="AS648" s="202"/>
      <c r="AT648" s="213"/>
      <c r="AU648" s="213"/>
    </row>
    <row r="649" spans="40:47" s="121" customFormat="1" hidden="1">
      <c r="AN649" s="239"/>
      <c r="AO649" s="225"/>
      <c r="AP649" s="260"/>
      <c r="AQ649" s="258"/>
      <c r="AR649" s="258"/>
      <c r="AS649" s="202"/>
      <c r="AT649" s="213"/>
      <c r="AU649" s="213"/>
    </row>
    <row r="650" spans="40:47" s="121" customFormat="1" hidden="1">
      <c r="AN650" s="239"/>
      <c r="AO650" s="225"/>
      <c r="AP650" s="260"/>
      <c r="AQ650" s="258"/>
      <c r="AR650" s="258"/>
      <c r="AS650" s="202"/>
      <c r="AT650" s="213"/>
      <c r="AU650" s="213"/>
    </row>
    <row r="651" spans="40:47" s="121" customFormat="1" hidden="1">
      <c r="AN651" s="239"/>
      <c r="AO651" s="225"/>
      <c r="AP651" s="260"/>
      <c r="AQ651" s="258"/>
      <c r="AR651" s="258"/>
      <c r="AS651" s="202"/>
      <c r="AT651" s="213"/>
      <c r="AU651" s="213"/>
    </row>
    <row r="652" spans="40:47" s="121" customFormat="1" hidden="1">
      <c r="AN652" s="239"/>
      <c r="AO652" s="225"/>
      <c r="AP652" s="260"/>
      <c r="AQ652" s="258"/>
      <c r="AR652" s="258"/>
      <c r="AS652" s="202"/>
      <c r="AT652" s="213"/>
      <c r="AU652" s="213"/>
    </row>
    <row r="653" spans="40:47" s="121" customFormat="1" hidden="1">
      <c r="AN653" s="239"/>
      <c r="AO653" s="225"/>
      <c r="AP653" s="260"/>
      <c r="AQ653" s="258"/>
      <c r="AR653" s="258"/>
      <c r="AS653" s="202"/>
      <c r="AT653" s="213"/>
      <c r="AU653" s="213"/>
    </row>
    <row r="654" spans="40:47" s="121" customFormat="1" hidden="1">
      <c r="AN654" s="239"/>
      <c r="AO654" s="225"/>
      <c r="AP654" s="260"/>
      <c r="AQ654" s="258"/>
      <c r="AR654" s="258"/>
      <c r="AS654" s="202"/>
      <c r="AT654" s="213"/>
      <c r="AU654" s="213"/>
    </row>
    <row r="655" spans="40:47" s="121" customFormat="1" hidden="1">
      <c r="AN655" s="239"/>
      <c r="AO655" s="225"/>
      <c r="AP655" s="260"/>
      <c r="AQ655" s="258"/>
      <c r="AR655" s="258"/>
      <c r="AS655" s="202"/>
      <c r="AT655" s="213"/>
      <c r="AU655" s="213"/>
    </row>
    <row r="656" spans="40:47" s="121" customFormat="1" hidden="1">
      <c r="AN656" s="239"/>
      <c r="AO656" s="225"/>
      <c r="AP656" s="260"/>
      <c r="AQ656" s="258"/>
      <c r="AR656" s="258"/>
      <c r="AS656" s="202"/>
      <c r="AT656" s="213"/>
      <c r="AU656" s="213"/>
    </row>
    <row r="657" spans="40:47" s="121" customFormat="1" hidden="1">
      <c r="AN657" s="239"/>
      <c r="AO657" s="225"/>
      <c r="AP657" s="260"/>
      <c r="AQ657" s="258"/>
      <c r="AR657" s="258"/>
      <c r="AS657" s="202"/>
      <c r="AT657" s="213"/>
      <c r="AU657" s="213"/>
    </row>
    <row r="658" spans="40:47" s="121" customFormat="1" hidden="1">
      <c r="AN658" s="239"/>
      <c r="AO658" s="225"/>
      <c r="AP658" s="260"/>
      <c r="AQ658" s="258"/>
      <c r="AR658" s="258"/>
      <c r="AS658" s="202"/>
      <c r="AT658" s="213"/>
      <c r="AU658" s="213"/>
    </row>
    <row r="659" spans="40:47" s="121" customFormat="1" hidden="1">
      <c r="AN659" s="239"/>
      <c r="AO659" s="225"/>
      <c r="AP659" s="260"/>
      <c r="AQ659" s="258"/>
      <c r="AR659" s="258"/>
      <c r="AS659" s="202"/>
      <c r="AT659" s="213"/>
      <c r="AU659" s="213"/>
    </row>
    <row r="660" spans="40:47" s="121" customFormat="1" hidden="1">
      <c r="AN660" s="239"/>
      <c r="AO660" s="225"/>
      <c r="AP660" s="260"/>
      <c r="AQ660" s="258"/>
      <c r="AR660" s="258"/>
      <c r="AS660" s="202"/>
      <c r="AT660" s="213"/>
      <c r="AU660" s="213"/>
    </row>
    <row r="661" spans="40:47" s="121" customFormat="1" hidden="1">
      <c r="AN661" s="239"/>
      <c r="AO661" s="225"/>
      <c r="AP661" s="260"/>
      <c r="AQ661" s="258"/>
      <c r="AR661" s="258"/>
      <c r="AS661" s="202"/>
      <c r="AT661" s="213"/>
      <c r="AU661" s="213"/>
    </row>
    <row r="662" spans="40:47" s="121" customFormat="1" hidden="1">
      <c r="AN662" s="239"/>
      <c r="AO662" s="225"/>
      <c r="AP662" s="260"/>
      <c r="AQ662" s="258"/>
      <c r="AR662" s="258"/>
      <c r="AS662" s="202"/>
      <c r="AT662" s="213"/>
      <c r="AU662" s="213"/>
    </row>
    <row r="663" spans="40:47" s="121" customFormat="1" hidden="1">
      <c r="AN663" s="239"/>
      <c r="AO663" s="225"/>
      <c r="AP663" s="260"/>
      <c r="AQ663" s="258"/>
      <c r="AR663" s="258"/>
      <c r="AS663" s="202"/>
      <c r="AT663" s="213"/>
      <c r="AU663" s="213"/>
    </row>
    <row r="664" spans="40:47" s="121" customFormat="1" hidden="1">
      <c r="AN664" s="239"/>
      <c r="AO664" s="225"/>
      <c r="AP664" s="260"/>
      <c r="AQ664" s="258"/>
      <c r="AR664" s="258"/>
      <c r="AS664" s="202"/>
      <c r="AT664" s="213"/>
      <c r="AU664" s="213"/>
    </row>
    <row r="665" spans="40:47" s="121" customFormat="1" hidden="1">
      <c r="AN665" s="239"/>
      <c r="AO665" s="225"/>
      <c r="AP665" s="260"/>
      <c r="AQ665" s="258"/>
      <c r="AR665" s="258"/>
      <c r="AS665" s="202"/>
      <c r="AT665" s="213"/>
      <c r="AU665" s="213"/>
    </row>
    <row r="666" spans="40:47" s="121" customFormat="1" hidden="1">
      <c r="AN666" s="239"/>
      <c r="AO666" s="225"/>
      <c r="AP666" s="260"/>
      <c r="AQ666" s="258"/>
      <c r="AR666" s="258"/>
      <c r="AS666" s="202"/>
      <c r="AT666" s="213"/>
      <c r="AU666" s="213"/>
    </row>
    <row r="667" spans="40:47" s="121" customFormat="1" hidden="1">
      <c r="AN667" s="239"/>
      <c r="AO667" s="225"/>
      <c r="AP667" s="260"/>
      <c r="AQ667" s="258"/>
      <c r="AR667" s="258"/>
      <c r="AS667" s="202"/>
      <c r="AT667" s="213"/>
      <c r="AU667" s="213"/>
    </row>
    <row r="668" spans="40:47" s="121" customFormat="1" hidden="1">
      <c r="AN668" s="239"/>
      <c r="AO668" s="225"/>
      <c r="AP668" s="260"/>
      <c r="AQ668" s="258"/>
      <c r="AR668" s="258"/>
      <c r="AS668" s="202"/>
      <c r="AT668" s="213"/>
      <c r="AU668" s="213"/>
    </row>
    <row r="669" spans="40:47" s="121" customFormat="1" hidden="1">
      <c r="AN669" s="239"/>
      <c r="AO669" s="225"/>
      <c r="AP669" s="260"/>
      <c r="AQ669" s="258"/>
      <c r="AR669" s="258"/>
      <c r="AS669" s="202"/>
      <c r="AT669" s="213"/>
      <c r="AU669" s="213"/>
    </row>
    <row r="670" spans="40:47" s="121" customFormat="1" hidden="1">
      <c r="AN670" s="239"/>
      <c r="AO670" s="225"/>
      <c r="AP670" s="260"/>
      <c r="AQ670" s="258"/>
      <c r="AR670" s="258"/>
      <c r="AS670" s="202"/>
      <c r="AT670" s="213"/>
      <c r="AU670" s="213"/>
    </row>
    <row r="671" spans="40:47" s="121" customFormat="1" hidden="1">
      <c r="AN671" s="239"/>
      <c r="AO671" s="225"/>
      <c r="AP671" s="260"/>
      <c r="AQ671" s="258"/>
      <c r="AR671" s="258"/>
      <c r="AS671" s="202"/>
      <c r="AT671" s="213"/>
      <c r="AU671" s="213"/>
    </row>
    <row r="672" spans="40:47" s="121" customFormat="1" hidden="1">
      <c r="AN672" s="239"/>
      <c r="AO672" s="225"/>
      <c r="AP672" s="260"/>
      <c r="AQ672" s="258"/>
      <c r="AR672" s="258"/>
      <c r="AS672" s="202"/>
      <c r="AT672" s="213"/>
      <c r="AU672" s="213"/>
    </row>
    <row r="673" spans="40:47" s="121" customFormat="1" hidden="1">
      <c r="AN673" s="239"/>
      <c r="AO673" s="225"/>
      <c r="AP673" s="260"/>
      <c r="AQ673" s="258"/>
      <c r="AR673" s="258"/>
      <c r="AS673" s="202"/>
      <c r="AT673" s="213"/>
      <c r="AU673" s="213"/>
    </row>
    <row r="674" spans="40:47" s="121" customFormat="1" hidden="1">
      <c r="AN674" s="239"/>
      <c r="AO674" s="225"/>
      <c r="AP674" s="260"/>
      <c r="AQ674" s="258"/>
      <c r="AR674" s="258"/>
      <c r="AS674" s="202"/>
      <c r="AT674" s="213"/>
      <c r="AU674" s="213"/>
    </row>
    <row r="675" spans="40:47" s="121" customFormat="1" hidden="1">
      <c r="AN675" s="239"/>
      <c r="AO675" s="225"/>
      <c r="AP675" s="260"/>
      <c r="AQ675" s="258"/>
      <c r="AR675" s="258"/>
      <c r="AS675" s="202"/>
      <c r="AT675" s="213"/>
      <c r="AU675" s="213"/>
    </row>
    <row r="676" spans="40:47" s="121" customFormat="1" hidden="1">
      <c r="AN676" s="239"/>
      <c r="AO676" s="225"/>
      <c r="AP676" s="260"/>
      <c r="AQ676" s="258"/>
      <c r="AR676" s="258"/>
      <c r="AS676" s="202"/>
      <c r="AT676" s="213"/>
      <c r="AU676" s="213"/>
    </row>
    <row r="677" spans="40:47" s="121" customFormat="1" hidden="1">
      <c r="AN677" s="239"/>
      <c r="AO677" s="225"/>
      <c r="AP677" s="260"/>
      <c r="AQ677" s="258"/>
      <c r="AR677" s="258"/>
      <c r="AS677" s="202"/>
      <c r="AT677" s="213"/>
      <c r="AU677" s="213"/>
    </row>
    <row r="678" spans="40:47" s="121" customFormat="1" hidden="1">
      <c r="AN678" s="239"/>
      <c r="AO678" s="225"/>
      <c r="AP678" s="260"/>
      <c r="AQ678" s="258"/>
      <c r="AR678" s="258"/>
      <c r="AS678" s="202"/>
      <c r="AT678" s="213"/>
      <c r="AU678" s="213"/>
    </row>
    <row r="679" spans="40:47" s="121" customFormat="1" hidden="1">
      <c r="AN679" s="239"/>
      <c r="AO679" s="225"/>
      <c r="AP679" s="260"/>
      <c r="AQ679" s="258"/>
      <c r="AR679" s="258"/>
      <c r="AS679" s="202"/>
      <c r="AT679" s="213"/>
      <c r="AU679" s="213"/>
    </row>
    <row r="680" spans="40:47" s="121" customFormat="1" hidden="1">
      <c r="AN680" s="239"/>
      <c r="AO680" s="225"/>
      <c r="AP680" s="260"/>
      <c r="AQ680" s="258"/>
      <c r="AR680" s="258"/>
      <c r="AS680" s="202"/>
      <c r="AT680" s="213"/>
      <c r="AU680" s="213"/>
    </row>
    <row r="681" spans="40:47" s="121" customFormat="1" hidden="1">
      <c r="AN681" s="239"/>
      <c r="AO681" s="225"/>
      <c r="AP681" s="260"/>
      <c r="AQ681" s="258"/>
      <c r="AR681" s="258"/>
      <c r="AS681" s="202"/>
      <c r="AT681" s="213"/>
      <c r="AU681" s="213"/>
    </row>
    <row r="682" spans="40:47" s="121" customFormat="1" hidden="1">
      <c r="AN682" s="239"/>
      <c r="AO682" s="225"/>
      <c r="AP682" s="260"/>
      <c r="AQ682" s="258"/>
      <c r="AR682" s="258"/>
      <c r="AS682" s="202"/>
      <c r="AT682" s="213"/>
      <c r="AU682" s="213"/>
    </row>
    <row r="683" spans="40:47" s="121" customFormat="1" hidden="1">
      <c r="AN683" s="239"/>
      <c r="AO683" s="225"/>
      <c r="AP683" s="260"/>
      <c r="AQ683" s="258"/>
      <c r="AR683" s="258"/>
      <c r="AS683" s="202"/>
      <c r="AT683" s="213"/>
      <c r="AU683" s="213"/>
    </row>
    <row r="684" spans="40:47" s="121" customFormat="1" hidden="1">
      <c r="AN684" s="239"/>
      <c r="AO684" s="225"/>
      <c r="AP684" s="260"/>
      <c r="AQ684" s="258"/>
      <c r="AR684" s="258"/>
      <c r="AS684" s="202"/>
      <c r="AT684" s="213"/>
      <c r="AU684" s="213"/>
    </row>
    <row r="685" spans="40:47" s="121" customFormat="1" hidden="1">
      <c r="AN685" s="239"/>
      <c r="AO685" s="225"/>
      <c r="AP685" s="260"/>
      <c r="AQ685" s="258"/>
      <c r="AR685" s="258"/>
      <c r="AS685" s="202"/>
      <c r="AT685" s="213"/>
      <c r="AU685" s="213"/>
    </row>
    <row r="686" spans="40:47" s="121" customFormat="1" hidden="1">
      <c r="AN686" s="239"/>
      <c r="AO686" s="225"/>
      <c r="AP686" s="260"/>
      <c r="AQ686" s="258"/>
      <c r="AR686" s="258"/>
      <c r="AS686" s="202"/>
      <c r="AT686" s="213"/>
      <c r="AU686" s="213"/>
    </row>
    <row r="687" spans="40:47" s="121" customFormat="1" hidden="1">
      <c r="AN687" s="239"/>
      <c r="AO687" s="225"/>
      <c r="AP687" s="260"/>
      <c r="AQ687" s="258"/>
      <c r="AR687" s="258"/>
      <c r="AS687" s="202"/>
      <c r="AT687" s="213"/>
      <c r="AU687" s="213"/>
    </row>
    <row r="688" spans="40:47" s="121" customFormat="1" hidden="1">
      <c r="AN688" s="239"/>
      <c r="AO688" s="225"/>
      <c r="AP688" s="260"/>
      <c r="AQ688" s="258"/>
      <c r="AR688" s="258"/>
      <c r="AS688" s="202"/>
      <c r="AT688" s="213"/>
      <c r="AU688" s="213"/>
    </row>
    <row r="689" spans="40:47" s="121" customFormat="1" hidden="1">
      <c r="AN689" s="239"/>
      <c r="AO689" s="225"/>
      <c r="AP689" s="260"/>
      <c r="AQ689" s="258"/>
      <c r="AR689" s="258"/>
      <c r="AS689" s="202"/>
      <c r="AT689" s="213"/>
      <c r="AU689" s="213"/>
    </row>
    <row r="690" spans="40:47" s="121" customFormat="1" hidden="1">
      <c r="AN690" s="239"/>
      <c r="AO690" s="225"/>
      <c r="AP690" s="260"/>
      <c r="AQ690" s="258"/>
      <c r="AR690" s="258"/>
      <c r="AS690" s="202"/>
      <c r="AT690" s="213"/>
      <c r="AU690" s="213"/>
    </row>
    <row r="691" spans="40:47" s="121" customFormat="1" hidden="1">
      <c r="AN691" s="239"/>
      <c r="AO691" s="225"/>
      <c r="AP691" s="260"/>
      <c r="AQ691" s="258"/>
      <c r="AR691" s="258"/>
      <c r="AS691" s="202"/>
      <c r="AT691" s="213"/>
      <c r="AU691" s="213"/>
    </row>
    <row r="692" spans="40:47" s="121" customFormat="1" hidden="1">
      <c r="AN692" s="239"/>
      <c r="AO692" s="225"/>
      <c r="AP692" s="260"/>
      <c r="AQ692" s="258"/>
      <c r="AR692" s="258"/>
      <c r="AS692" s="202"/>
      <c r="AT692" s="213"/>
      <c r="AU692" s="213"/>
    </row>
    <row r="693" spans="40:47" s="121" customFormat="1" hidden="1">
      <c r="AN693" s="239"/>
      <c r="AO693" s="225"/>
      <c r="AP693" s="260"/>
      <c r="AQ693" s="258"/>
      <c r="AR693" s="258"/>
      <c r="AS693" s="202"/>
      <c r="AT693" s="213"/>
      <c r="AU693" s="213"/>
    </row>
    <row r="694" spans="40:47" s="121" customFormat="1" hidden="1">
      <c r="AN694" s="239"/>
      <c r="AO694" s="225"/>
      <c r="AP694" s="260"/>
      <c r="AQ694" s="258"/>
      <c r="AR694" s="258"/>
      <c r="AS694" s="202"/>
      <c r="AT694" s="213"/>
      <c r="AU694" s="213"/>
    </row>
    <row r="695" spans="40:47" s="121" customFormat="1" hidden="1">
      <c r="AN695" s="239"/>
      <c r="AO695" s="225"/>
      <c r="AP695" s="260"/>
      <c r="AQ695" s="258"/>
      <c r="AR695" s="258"/>
      <c r="AS695" s="202"/>
      <c r="AT695" s="213"/>
      <c r="AU695" s="213"/>
    </row>
    <row r="696" spans="40:47" s="121" customFormat="1" hidden="1">
      <c r="AN696" s="239"/>
      <c r="AO696" s="225"/>
      <c r="AP696" s="260"/>
      <c r="AQ696" s="258"/>
      <c r="AR696" s="258"/>
      <c r="AS696" s="202"/>
      <c r="AT696" s="213"/>
      <c r="AU696" s="213"/>
    </row>
    <row r="697" spans="40:47" s="121" customFormat="1" hidden="1">
      <c r="AN697" s="239"/>
      <c r="AO697" s="225"/>
      <c r="AP697" s="260"/>
      <c r="AQ697" s="258"/>
      <c r="AR697" s="258"/>
      <c r="AS697" s="202"/>
      <c r="AT697" s="213"/>
      <c r="AU697" s="213"/>
    </row>
    <row r="698" spans="40:47" s="121" customFormat="1" hidden="1">
      <c r="AN698" s="239"/>
      <c r="AO698" s="225"/>
      <c r="AP698" s="260"/>
      <c r="AQ698" s="258"/>
      <c r="AR698" s="258"/>
      <c r="AS698" s="202"/>
      <c r="AT698" s="213"/>
      <c r="AU698" s="213"/>
    </row>
    <row r="699" spans="40:47" s="121" customFormat="1" hidden="1">
      <c r="AN699" s="239"/>
      <c r="AO699" s="225"/>
      <c r="AP699" s="260"/>
      <c r="AQ699" s="258"/>
      <c r="AR699" s="258"/>
      <c r="AS699" s="202"/>
      <c r="AT699" s="213"/>
      <c r="AU699" s="213"/>
    </row>
    <row r="700" spans="40:47" s="121" customFormat="1">
      <c r="AN700" s="236" t="s">
        <v>2985</v>
      </c>
      <c r="AO700" s="225" t="s">
        <v>2972</v>
      </c>
      <c r="AP700" s="257">
        <f>SUM(AQ700:AR700)</f>
        <v>0</v>
      </c>
      <c r="AQ700" s="258"/>
      <c r="AR700" s="258"/>
      <c r="AS700" s="202"/>
      <c r="AT700" s="213"/>
      <c r="AU700" s="213"/>
    </row>
    <row r="701" spans="40:47" s="121" customFormat="1">
      <c r="AN701" s="236" t="s">
        <v>2987</v>
      </c>
      <c r="AO701" s="225" t="s">
        <v>2988</v>
      </c>
      <c r="AP701" s="257">
        <f>SUM(AQ701:AR701)</f>
        <v>0</v>
      </c>
      <c r="AQ701" s="258"/>
      <c r="AR701" s="258"/>
      <c r="AS701" s="202"/>
      <c r="AT701" s="213"/>
      <c r="AU701" s="213"/>
    </row>
    <row r="702" spans="40:47" s="121" customFormat="1" hidden="1" collapsed="1">
      <c r="AN702" s="239"/>
      <c r="AO702" s="226"/>
      <c r="AP702" s="260"/>
      <c r="AQ702" s="258"/>
      <c r="AR702" s="258"/>
      <c r="AS702" s="202"/>
      <c r="AT702" s="213"/>
      <c r="AU702" s="213"/>
    </row>
    <row r="703" spans="40:47" s="121" customFormat="1" hidden="1">
      <c r="AN703" s="239"/>
      <c r="AO703" s="227"/>
      <c r="AP703" s="260"/>
      <c r="AQ703" s="258"/>
      <c r="AR703" s="258"/>
      <c r="AS703" s="202"/>
      <c r="AT703" s="213"/>
      <c r="AU703" s="213"/>
    </row>
    <row r="704" spans="40:47" s="121" customFormat="1" hidden="1">
      <c r="AN704" s="239"/>
      <c r="AO704" s="227"/>
      <c r="AP704" s="260"/>
      <c r="AQ704" s="258"/>
      <c r="AR704" s="258"/>
      <c r="AS704" s="202"/>
      <c r="AT704" s="213"/>
      <c r="AU704" s="213"/>
    </row>
    <row r="705" spans="40:47" s="121" customFormat="1" hidden="1">
      <c r="AN705" s="239"/>
      <c r="AO705" s="226"/>
      <c r="AP705" s="260"/>
      <c r="AQ705" s="258"/>
      <c r="AR705" s="258"/>
      <c r="AS705" s="202"/>
      <c r="AT705" s="213"/>
      <c r="AU705" s="213"/>
    </row>
    <row r="706" spans="40:47" s="121" customFormat="1" hidden="1" collapsed="1">
      <c r="AN706" s="239"/>
      <c r="AO706" s="227"/>
      <c r="AP706" s="260"/>
      <c r="AQ706" s="258"/>
      <c r="AR706" s="258"/>
      <c r="AS706" s="202"/>
      <c r="AT706" s="213"/>
      <c r="AU706" s="213"/>
    </row>
    <row r="707" spans="40:47" s="121" customFormat="1" hidden="1">
      <c r="AN707" s="239"/>
      <c r="AO707" s="227"/>
      <c r="AP707" s="260"/>
      <c r="AQ707" s="258"/>
      <c r="AR707" s="258"/>
      <c r="AS707" s="202"/>
      <c r="AT707" s="213"/>
      <c r="AU707" s="213"/>
    </row>
    <row r="708" spans="40:47" s="121" customFormat="1" hidden="1">
      <c r="AN708" s="239"/>
      <c r="AO708" s="226"/>
      <c r="AP708" s="260"/>
      <c r="AQ708" s="258"/>
      <c r="AR708" s="258"/>
      <c r="AS708" s="202"/>
      <c r="AT708" s="213"/>
      <c r="AU708" s="213"/>
    </row>
    <row r="709" spans="40:47" s="121" customFormat="1" hidden="1">
      <c r="AN709" s="239"/>
      <c r="AO709" s="225"/>
      <c r="AP709" s="260"/>
      <c r="AQ709" s="258"/>
      <c r="AR709" s="258"/>
      <c r="AS709" s="202"/>
      <c r="AT709" s="213"/>
      <c r="AU709" s="213"/>
    </row>
    <row r="710" spans="40:47" s="121" customFormat="1" hidden="1" collapsed="1">
      <c r="AN710" s="239"/>
      <c r="AO710" s="225"/>
      <c r="AP710" s="260"/>
      <c r="AQ710" s="258"/>
      <c r="AR710" s="258"/>
      <c r="AS710" s="202"/>
      <c r="AT710" s="213"/>
      <c r="AU710" s="213"/>
    </row>
    <row r="711" spans="40:47" s="121" customFormat="1" hidden="1">
      <c r="AN711" s="239"/>
      <c r="AO711" s="225"/>
      <c r="AP711" s="260"/>
      <c r="AQ711" s="258"/>
      <c r="AR711" s="258"/>
      <c r="AS711" s="202"/>
      <c r="AT711" s="213"/>
      <c r="AU711" s="213"/>
    </row>
    <row r="712" spans="40:47" s="121" customFormat="1" hidden="1">
      <c r="AN712" s="239"/>
      <c r="AO712" s="225"/>
      <c r="AP712" s="260"/>
      <c r="AQ712" s="258"/>
      <c r="AR712" s="258"/>
      <c r="AS712" s="202"/>
      <c r="AT712" s="213"/>
      <c r="AU712" s="213"/>
    </row>
    <row r="713" spans="40:47" s="121" customFormat="1" hidden="1">
      <c r="AN713" s="239"/>
      <c r="AO713" s="225"/>
      <c r="AP713" s="260"/>
      <c r="AQ713" s="258"/>
      <c r="AR713" s="258"/>
      <c r="AS713" s="202"/>
      <c r="AT713" s="213"/>
      <c r="AU713" s="213"/>
    </row>
    <row r="714" spans="40:47" s="121" customFormat="1" hidden="1">
      <c r="AN714" s="239"/>
      <c r="AO714" s="225"/>
      <c r="AP714" s="260"/>
      <c r="AQ714" s="258"/>
      <c r="AR714" s="258"/>
      <c r="AS714" s="202"/>
      <c r="AT714" s="213"/>
      <c r="AU714" s="213"/>
    </row>
    <row r="715" spans="40:47" s="121" customFormat="1" hidden="1">
      <c r="AN715" s="239"/>
      <c r="AO715" s="225"/>
      <c r="AP715" s="260"/>
      <c r="AQ715" s="258"/>
      <c r="AR715" s="258"/>
      <c r="AS715" s="202"/>
      <c r="AT715" s="213"/>
      <c r="AU715" s="213"/>
    </row>
    <row r="716" spans="40:47" s="121" customFormat="1" hidden="1">
      <c r="AN716" s="239"/>
      <c r="AO716" s="225"/>
      <c r="AP716" s="260"/>
      <c r="AQ716" s="258"/>
      <c r="AR716" s="258"/>
      <c r="AS716" s="202"/>
      <c r="AT716" s="213"/>
      <c r="AU716" s="213"/>
    </row>
    <row r="717" spans="40:47" s="121" customFormat="1" hidden="1">
      <c r="AN717" s="239"/>
      <c r="AO717" s="225"/>
      <c r="AP717" s="260"/>
      <c r="AQ717" s="258"/>
      <c r="AR717" s="258"/>
      <c r="AS717" s="202"/>
      <c r="AT717" s="213"/>
      <c r="AU717" s="213"/>
    </row>
    <row r="718" spans="40:47" s="121" customFormat="1" hidden="1">
      <c r="AN718" s="239"/>
      <c r="AO718" s="225"/>
      <c r="AP718" s="260"/>
      <c r="AQ718" s="258"/>
      <c r="AR718" s="258"/>
      <c r="AS718" s="202"/>
      <c r="AT718" s="213"/>
      <c r="AU718" s="213"/>
    </row>
    <row r="719" spans="40:47" s="121" customFormat="1" hidden="1">
      <c r="AN719" s="239"/>
      <c r="AO719" s="225"/>
      <c r="AP719" s="260"/>
      <c r="AQ719" s="258"/>
      <c r="AR719" s="258"/>
      <c r="AS719" s="202"/>
      <c r="AT719" s="213"/>
      <c r="AU719" s="213"/>
    </row>
    <row r="720" spans="40:47" s="121" customFormat="1" hidden="1">
      <c r="AN720" s="239"/>
      <c r="AO720" s="225"/>
      <c r="AP720" s="260"/>
      <c r="AQ720" s="258"/>
      <c r="AR720" s="258"/>
      <c r="AS720" s="202"/>
      <c r="AT720" s="213"/>
      <c r="AU720" s="213"/>
    </row>
    <row r="721" spans="1:47" s="121" customFormat="1" hidden="1">
      <c r="AN721" s="239"/>
      <c r="AO721" s="225"/>
      <c r="AP721" s="260"/>
      <c r="AQ721" s="258"/>
      <c r="AR721" s="258"/>
      <c r="AS721" s="202"/>
      <c r="AT721" s="213"/>
      <c r="AU721" s="213"/>
    </row>
    <row r="722" spans="1:47" s="121" customFormat="1" hidden="1">
      <c r="AN722" s="239"/>
      <c r="AO722" s="225"/>
      <c r="AP722" s="260"/>
      <c r="AQ722" s="258"/>
      <c r="AR722" s="258"/>
      <c r="AS722" s="202"/>
      <c r="AT722" s="213"/>
      <c r="AU722" s="213"/>
    </row>
    <row r="723" spans="1:47" s="121" customFormat="1" hidden="1">
      <c r="AN723" s="239"/>
      <c r="AO723" s="225"/>
      <c r="AP723" s="260"/>
      <c r="AQ723" s="258"/>
      <c r="AR723" s="258"/>
      <c r="AS723" s="202"/>
      <c r="AT723" s="213"/>
      <c r="AU723" s="213"/>
    </row>
    <row r="724" spans="1:47" s="121" customFormat="1" hidden="1">
      <c r="AN724" s="239"/>
      <c r="AO724" s="225"/>
      <c r="AP724" s="260"/>
      <c r="AQ724" s="258"/>
      <c r="AR724" s="258"/>
      <c r="AS724" s="202"/>
      <c r="AT724" s="213"/>
      <c r="AU724" s="213"/>
    </row>
    <row r="725" spans="1:47" s="121" customFormat="1" hidden="1">
      <c r="AN725" s="239"/>
      <c r="AO725" s="225"/>
      <c r="AP725" s="260"/>
      <c r="AQ725" s="258"/>
      <c r="AR725" s="258"/>
      <c r="AS725" s="202"/>
      <c r="AT725" s="213"/>
      <c r="AU725" s="213"/>
    </row>
    <row r="726" spans="1:47" s="121" customFormat="1" hidden="1">
      <c r="AN726" s="239"/>
      <c r="AO726" s="225"/>
      <c r="AP726" s="260"/>
      <c r="AQ726" s="258"/>
      <c r="AR726" s="258"/>
      <c r="AS726" s="202"/>
      <c r="AT726" s="213"/>
      <c r="AU726" s="213"/>
    </row>
    <row r="727" spans="1:47">
      <c r="A727" s="51"/>
      <c r="B727" s="51"/>
      <c r="C727" s="51"/>
      <c r="D727" s="51"/>
      <c r="E727" s="51"/>
      <c r="F727" s="51"/>
      <c r="G727" s="51"/>
      <c r="H727" s="51"/>
      <c r="I727" s="51"/>
      <c r="J727" s="121"/>
      <c r="K727" s="121"/>
      <c r="L727" s="121"/>
      <c r="M727" s="121"/>
      <c r="N727" s="121"/>
      <c r="O727" s="121"/>
      <c r="P727" s="121"/>
      <c r="Q727" s="121"/>
      <c r="R727" s="121"/>
      <c r="S727" s="121"/>
      <c r="T727" s="121"/>
      <c r="U727" s="121"/>
      <c r="V727" s="121"/>
      <c r="W727" s="121"/>
      <c r="X727" s="121"/>
      <c r="Y727" s="121"/>
      <c r="Z727" s="121"/>
      <c r="AA727" s="121"/>
      <c r="AB727" s="121"/>
      <c r="AC727" s="121"/>
      <c r="AD727" s="121"/>
      <c r="AE727" s="121"/>
      <c r="AF727" s="121"/>
      <c r="AG727" s="121"/>
      <c r="AH727" s="121"/>
      <c r="AI727" s="121"/>
      <c r="AJ727" s="121"/>
      <c r="AK727" s="121"/>
      <c r="AL727" s="121"/>
      <c r="AM727" s="121"/>
      <c r="AN727" s="234" t="s">
        <v>769</v>
      </c>
      <c r="AO727" s="235" t="s">
        <v>2991</v>
      </c>
      <c r="AP727" s="257">
        <f>SUM(AQ727:AR727)</f>
        <v>0</v>
      </c>
      <c r="AQ727" s="258"/>
      <c r="AR727" s="258"/>
      <c r="AS727" s="202"/>
      <c r="AT727" s="48"/>
      <c r="AU727" s="48"/>
    </row>
    <row r="728" spans="1:47">
      <c r="A728" s="51"/>
      <c r="B728" s="51"/>
      <c r="C728" s="51"/>
      <c r="D728" s="51"/>
      <c r="E728" s="51"/>
      <c r="F728" s="51"/>
      <c r="G728" s="51"/>
      <c r="H728" s="51"/>
      <c r="I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3"/>
      <c r="AM728" s="124"/>
      <c r="AN728" s="234" t="s">
        <v>770</v>
      </c>
      <c r="AO728" s="442" t="s">
        <v>2992</v>
      </c>
      <c r="AP728" s="257">
        <f t="shared" ref="AP728:AP745" si="2">SUM(AQ728:AR728)</f>
        <v>0</v>
      </c>
      <c r="AQ728" s="258"/>
      <c r="AR728" s="258"/>
      <c r="AS728" s="127"/>
    </row>
    <row r="729" spans="1:47">
      <c r="A729" s="51"/>
      <c r="B729" s="51"/>
      <c r="C729" s="51"/>
      <c r="D729" s="51"/>
      <c r="E729" s="51"/>
      <c r="F729" s="51"/>
      <c r="G729" s="51"/>
      <c r="H729" s="51"/>
      <c r="I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3"/>
      <c r="AM729" s="124"/>
      <c r="AN729" s="236" t="s">
        <v>2993</v>
      </c>
      <c r="AO729" s="225" t="s">
        <v>2994</v>
      </c>
      <c r="AP729" s="257">
        <f t="shared" si="2"/>
        <v>0</v>
      </c>
      <c r="AQ729" s="258"/>
      <c r="AR729" s="258"/>
      <c r="AS729" s="127"/>
    </row>
    <row r="730" spans="1:47">
      <c r="A730" s="51"/>
      <c r="B730" s="51"/>
      <c r="C730" s="51"/>
      <c r="D730" s="51"/>
      <c r="E730" s="51"/>
      <c r="F730" s="51"/>
      <c r="G730" s="51"/>
      <c r="H730" s="51"/>
      <c r="I730" s="51"/>
      <c r="J730" s="121"/>
      <c r="K730" s="121"/>
      <c r="L730" s="121"/>
      <c r="M730" s="121"/>
      <c r="N730" s="121"/>
      <c r="O730" s="121"/>
      <c r="P730" s="121"/>
      <c r="Q730" s="121"/>
      <c r="R730" s="121"/>
      <c r="S730" s="121"/>
      <c r="T730" s="121"/>
      <c r="U730" s="121"/>
      <c r="V730" s="121"/>
      <c r="W730" s="121"/>
      <c r="X730" s="121"/>
      <c r="Y730" s="121"/>
      <c r="Z730" s="121"/>
      <c r="AA730" s="121"/>
      <c r="AB730" s="121"/>
      <c r="AC730" s="121"/>
      <c r="AD730" s="121"/>
      <c r="AE730" s="121"/>
      <c r="AF730" s="121"/>
      <c r="AG730" s="121"/>
      <c r="AH730" s="121"/>
      <c r="AI730" s="121"/>
      <c r="AJ730" s="121"/>
      <c r="AK730" s="121"/>
      <c r="AL730" s="121"/>
      <c r="AM730" s="121"/>
      <c r="AN730" s="236" t="s">
        <v>2995</v>
      </c>
      <c r="AO730" s="482" t="s">
        <v>2791</v>
      </c>
      <c r="AP730" s="257">
        <f t="shared" si="2"/>
        <v>0</v>
      </c>
      <c r="AQ730" s="258"/>
      <c r="AR730" s="258"/>
      <c r="AS730" s="202"/>
      <c r="AT730" s="48"/>
      <c r="AU730" s="48"/>
    </row>
    <row r="731" spans="1:47" hidden="1">
      <c r="A731" s="51"/>
      <c r="B731" s="51"/>
      <c r="C731" s="51"/>
      <c r="D731" s="51"/>
      <c r="E731" s="51"/>
      <c r="F731" s="51"/>
      <c r="G731" s="51"/>
      <c r="H731" s="51"/>
      <c r="I731" s="51"/>
      <c r="J731" s="121"/>
      <c r="K731" s="121"/>
      <c r="L731" s="121"/>
      <c r="M731" s="121"/>
      <c r="N731" s="121"/>
      <c r="O731" s="121"/>
      <c r="P731" s="121"/>
      <c r="Q731" s="121"/>
      <c r="R731" s="121"/>
      <c r="S731" s="121"/>
      <c r="T731" s="121"/>
      <c r="U731" s="121"/>
      <c r="V731" s="121"/>
      <c r="W731" s="121"/>
      <c r="X731" s="121"/>
      <c r="Y731" s="121"/>
      <c r="Z731" s="121"/>
      <c r="AA731" s="121"/>
      <c r="AB731" s="121"/>
      <c r="AC731" s="121"/>
      <c r="AD731" s="121"/>
      <c r="AE731" s="121"/>
      <c r="AF731" s="121"/>
      <c r="AG731" s="121"/>
      <c r="AH731" s="121"/>
      <c r="AI731" s="121"/>
      <c r="AJ731" s="121"/>
      <c r="AK731" s="121"/>
      <c r="AL731" s="121"/>
      <c r="AM731" s="121"/>
      <c r="AN731" s="594" t="str">
        <f>IF(TEMPLATE_CLAIM="P","5.1.1.1.1","")</f>
        <v/>
      </c>
      <c r="AO731" s="593" t="str">
        <f>IF(TEMPLATE_CLAIM="P","от станций с мощностью производства &gt;= 25 МВт","")</f>
        <v/>
      </c>
      <c r="AP731" s="257">
        <f t="shared" si="2"/>
        <v>0</v>
      </c>
      <c r="AQ731" s="258"/>
      <c r="AR731" s="258"/>
      <c r="AS731" s="202"/>
      <c r="AT731" s="48"/>
      <c r="AU731" s="48"/>
    </row>
    <row r="732" spans="1:47" hidden="1">
      <c r="A732" s="51"/>
      <c r="B732" s="51"/>
      <c r="C732" s="51"/>
      <c r="D732" s="51"/>
      <c r="E732" s="51"/>
      <c r="F732" s="51"/>
      <c r="G732" s="51"/>
      <c r="H732" s="51"/>
      <c r="I732" s="51"/>
      <c r="J732" s="121"/>
      <c r="K732" s="121"/>
      <c r="L732" s="121"/>
      <c r="M732" s="121"/>
      <c r="N732" s="121"/>
      <c r="O732" s="121"/>
      <c r="P732" s="121"/>
      <c r="Q732" s="121"/>
      <c r="R732" s="121"/>
      <c r="S732" s="121"/>
      <c r="T732" s="121"/>
      <c r="U732" s="121"/>
      <c r="V732" s="121"/>
      <c r="W732" s="121"/>
      <c r="X732" s="121"/>
      <c r="Y732" s="121"/>
      <c r="Z732" s="121"/>
      <c r="AA732" s="121"/>
      <c r="AB732" s="121"/>
      <c r="AC732" s="121"/>
      <c r="AD732" s="121"/>
      <c r="AE732" s="121"/>
      <c r="AF732" s="121"/>
      <c r="AG732" s="121"/>
      <c r="AH732" s="121"/>
      <c r="AI732" s="121"/>
      <c r="AJ732" s="121"/>
      <c r="AK732" s="121"/>
      <c r="AL732" s="121"/>
      <c r="AM732" s="121"/>
      <c r="AN732" s="594" t="str">
        <f>IF(TEMPLATE_CLAIM="P","5.1.1.1.2","")</f>
        <v/>
      </c>
      <c r="AO732" s="593" t="str">
        <f>IF(TEMPLATE_CLAIM="P","от станций с мощностью производства &lt; 25 МВт","")</f>
        <v/>
      </c>
      <c r="AP732" s="257">
        <f t="shared" si="2"/>
        <v>0</v>
      </c>
      <c r="AQ732" s="258"/>
      <c r="AR732" s="258"/>
      <c r="AS732" s="202"/>
      <c r="AT732" s="48"/>
      <c r="AU732" s="48"/>
    </row>
    <row r="733" spans="1:47" ht="0.75" hidden="1" customHeight="1">
      <c r="A733" s="51"/>
      <c r="B733" s="51"/>
      <c r="C733" s="51"/>
      <c r="D733" s="51"/>
      <c r="E733" s="51"/>
      <c r="F733" s="51"/>
      <c r="G733" s="51"/>
      <c r="H733" s="51"/>
      <c r="I733" s="51"/>
      <c r="J733" s="121"/>
      <c r="K733" s="121"/>
      <c r="L733" s="121"/>
      <c r="M733" s="121"/>
      <c r="N733" s="121"/>
      <c r="O733" s="121"/>
      <c r="P733" s="121"/>
      <c r="Q733" s="121"/>
      <c r="R733" s="121"/>
      <c r="S733" s="121"/>
      <c r="T733" s="121"/>
      <c r="U733" s="121"/>
      <c r="V733" s="121"/>
      <c r="W733" s="121"/>
      <c r="X733" s="121"/>
      <c r="Y733" s="121"/>
      <c r="Z733" s="121"/>
      <c r="AA733" s="121"/>
      <c r="AB733" s="121"/>
      <c r="AC733" s="121"/>
      <c r="AD733" s="121"/>
      <c r="AE733" s="121"/>
      <c r="AF733" s="121"/>
      <c r="AG733" s="121"/>
      <c r="AH733" s="121"/>
      <c r="AI733" s="121"/>
      <c r="AJ733" s="121"/>
      <c r="AK733" s="121"/>
      <c r="AL733" s="121"/>
      <c r="AM733" s="121"/>
      <c r="AN733" s="236"/>
      <c r="AO733" s="243"/>
      <c r="AP733" s="260"/>
      <c r="AQ733" s="258"/>
      <c r="AR733" s="258"/>
      <c r="AS733" s="202"/>
      <c r="AT733" s="48"/>
      <c r="AU733" s="48"/>
    </row>
    <row r="734" spans="1:47">
      <c r="A734" s="51"/>
      <c r="B734" s="51"/>
      <c r="C734" s="51"/>
      <c r="D734" s="51"/>
      <c r="E734" s="51"/>
      <c r="F734" s="51"/>
      <c r="G734" s="51"/>
      <c r="H734" s="51"/>
      <c r="I734" s="51"/>
      <c r="J734" s="121"/>
      <c r="K734" s="121"/>
      <c r="L734" s="121"/>
      <c r="M734" s="121"/>
      <c r="N734" s="121"/>
      <c r="O734" s="121"/>
      <c r="P734" s="121"/>
      <c r="Q734" s="121"/>
      <c r="R734" s="121"/>
      <c r="S734" s="121"/>
      <c r="T734" s="121"/>
      <c r="U734" s="121"/>
      <c r="V734" s="121"/>
      <c r="W734" s="121"/>
      <c r="X734" s="121"/>
      <c r="Y734" s="121"/>
      <c r="Z734" s="121"/>
      <c r="AA734" s="121"/>
      <c r="AB734" s="121"/>
      <c r="AC734" s="121"/>
      <c r="AD734" s="121"/>
      <c r="AE734" s="121"/>
      <c r="AF734" s="121"/>
      <c r="AG734" s="121"/>
      <c r="AH734" s="121"/>
      <c r="AI734" s="121"/>
      <c r="AJ734" s="121"/>
      <c r="AK734" s="121"/>
      <c r="AL734" s="121"/>
      <c r="AM734" s="121"/>
      <c r="AN734" s="236" t="s">
        <v>2998</v>
      </c>
      <c r="AO734" s="482" t="s">
        <v>755</v>
      </c>
      <c r="AP734" s="257">
        <f t="shared" si="2"/>
        <v>0</v>
      </c>
      <c r="AQ734" s="258"/>
      <c r="AR734" s="258"/>
      <c r="AS734" s="202"/>
      <c r="AT734" s="48"/>
      <c r="AU734" s="48"/>
    </row>
    <row r="735" spans="1:47" hidden="1">
      <c r="A735" s="51"/>
      <c r="B735" s="51"/>
      <c r="C735" s="51"/>
      <c r="D735" s="51"/>
      <c r="E735" s="51"/>
      <c r="F735" s="51"/>
      <c r="G735" s="51"/>
      <c r="H735" s="51"/>
      <c r="I735" s="51"/>
      <c r="J735" s="121"/>
      <c r="K735" s="121"/>
      <c r="L735" s="121"/>
      <c r="M735" s="121"/>
      <c r="N735" s="121"/>
      <c r="O735" s="121"/>
      <c r="P735" s="121"/>
      <c r="Q735" s="121"/>
      <c r="R735" s="121"/>
      <c r="S735" s="121"/>
      <c r="T735" s="121"/>
      <c r="U735" s="121"/>
      <c r="V735" s="121"/>
      <c r="W735" s="121"/>
      <c r="X735" s="121"/>
      <c r="Y735" s="121"/>
      <c r="Z735" s="121"/>
      <c r="AA735" s="121"/>
      <c r="AB735" s="121"/>
      <c r="AC735" s="121"/>
      <c r="AD735" s="121"/>
      <c r="AE735" s="121"/>
      <c r="AF735" s="121"/>
      <c r="AG735" s="121"/>
      <c r="AH735" s="121"/>
      <c r="AI735" s="121"/>
      <c r="AJ735" s="121"/>
      <c r="AK735" s="121"/>
      <c r="AL735" s="121"/>
      <c r="AM735" s="121"/>
      <c r="AN735" s="594" t="str">
        <f>IF(TEMPLATE_CLAIM="P","5.1.1.2.1","")</f>
        <v/>
      </c>
      <c r="AO735" s="593" t="str">
        <f>IF(TEMPLATE_CLAIM="P","от станций с мощностью производства &gt;= 25 МВт","")</f>
        <v/>
      </c>
      <c r="AP735" s="257">
        <f t="shared" si="2"/>
        <v>0</v>
      </c>
      <c r="AQ735" s="258"/>
      <c r="AR735" s="258"/>
      <c r="AS735" s="202"/>
      <c r="AT735" s="48"/>
      <c r="AU735" s="48"/>
    </row>
    <row r="736" spans="1:47" hidden="1">
      <c r="A736" s="51"/>
      <c r="B736" s="51"/>
      <c r="C736" s="51"/>
      <c r="D736" s="51"/>
      <c r="E736" s="51"/>
      <c r="F736" s="51"/>
      <c r="G736" s="51"/>
      <c r="H736" s="51"/>
      <c r="I736" s="51"/>
      <c r="J736" s="121"/>
      <c r="K736" s="121"/>
      <c r="L736" s="121"/>
      <c r="M736" s="121"/>
      <c r="N736" s="121"/>
      <c r="O736" s="121"/>
      <c r="P736" s="121"/>
      <c r="Q736" s="121"/>
      <c r="R736" s="121"/>
      <c r="S736" s="121"/>
      <c r="T736" s="121"/>
      <c r="U736" s="121"/>
      <c r="V736" s="121"/>
      <c r="W736" s="121"/>
      <c r="X736" s="121"/>
      <c r="Y736" s="121"/>
      <c r="Z736" s="121"/>
      <c r="AA736" s="121"/>
      <c r="AB736" s="121"/>
      <c r="AC736" s="121"/>
      <c r="AD736" s="121"/>
      <c r="AE736" s="121"/>
      <c r="AF736" s="121"/>
      <c r="AG736" s="121"/>
      <c r="AH736" s="121"/>
      <c r="AI736" s="121"/>
      <c r="AJ736" s="121"/>
      <c r="AK736" s="121"/>
      <c r="AL736" s="121"/>
      <c r="AM736" s="121"/>
      <c r="AN736" s="594" t="str">
        <f>IF(TEMPLATE_CLAIM="P","5.1.1.2.2","")</f>
        <v/>
      </c>
      <c r="AO736" s="593" t="str">
        <f>IF(TEMPLATE_CLAIM="P","от станций с мощностью производства &lt; 25 МВт","")</f>
        <v/>
      </c>
      <c r="AP736" s="257">
        <f t="shared" si="2"/>
        <v>0</v>
      </c>
      <c r="AQ736" s="258"/>
      <c r="AR736" s="258"/>
      <c r="AS736" s="202"/>
      <c r="AT736" s="48"/>
      <c r="AU736" s="48"/>
    </row>
    <row r="737" spans="1:47" ht="0.75" hidden="1" customHeight="1">
      <c r="A737" s="51"/>
      <c r="B737" s="51"/>
      <c r="C737" s="51"/>
      <c r="D737" s="51"/>
      <c r="E737" s="51"/>
      <c r="F737" s="51"/>
      <c r="G737" s="51"/>
      <c r="H737" s="51"/>
      <c r="I737" s="51"/>
      <c r="J737" s="121"/>
      <c r="K737" s="121"/>
      <c r="L737" s="121"/>
      <c r="M737" s="121"/>
      <c r="N737" s="121"/>
      <c r="O737" s="121"/>
      <c r="P737" s="121"/>
      <c r="Q737" s="121"/>
      <c r="R737" s="121"/>
      <c r="S737" s="121"/>
      <c r="T737" s="121"/>
      <c r="U737" s="121"/>
      <c r="V737" s="121"/>
      <c r="W737" s="121"/>
      <c r="X737" s="121"/>
      <c r="Y737" s="121"/>
      <c r="Z737" s="121"/>
      <c r="AA737" s="121"/>
      <c r="AB737" s="121"/>
      <c r="AC737" s="121"/>
      <c r="AD737" s="121"/>
      <c r="AE737" s="121"/>
      <c r="AF737" s="121"/>
      <c r="AG737" s="121"/>
      <c r="AH737" s="121"/>
      <c r="AI737" s="121"/>
      <c r="AJ737" s="121"/>
      <c r="AK737" s="121"/>
      <c r="AL737" s="121"/>
      <c r="AM737" s="121"/>
      <c r="AN737" s="436"/>
      <c r="AO737" s="243"/>
      <c r="AP737" s="260"/>
      <c r="AQ737" s="258"/>
      <c r="AR737" s="258"/>
      <c r="AS737" s="202"/>
      <c r="AT737" s="48"/>
      <c r="AU737" s="48"/>
    </row>
    <row r="738" spans="1:47">
      <c r="A738" s="51"/>
      <c r="B738" s="51"/>
      <c r="C738" s="51"/>
      <c r="D738" s="51"/>
      <c r="E738" s="51"/>
      <c r="F738" s="51"/>
      <c r="G738" s="51"/>
      <c r="H738" s="51"/>
      <c r="I738" s="51"/>
      <c r="J738" s="121"/>
      <c r="K738" s="121"/>
      <c r="L738" s="121"/>
      <c r="M738" s="121"/>
      <c r="N738" s="121"/>
      <c r="O738" s="121"/>
      <c r="P738" s="121"/>
      <c r="Q738" s="121"/>
      <c r="R738" s="121"/>
      <c r="S738" s="121"/>
      <c r="T738" s="121"/>
      <c r="U738" s="121"/>
      <c r="V738" s="121"/>
      <c r="W738" s="121"/>
      <c r="X738" s="121"/>
      <c r="Y738" s="121"/>
      <c r="Z738" s="121"/>
      <c r="AA738" s="121"/>
      <c r="AB738" s="121"/>
      <c r="AC738" s="121"/>
      <c r="AD738" s="121"/>
      <c r="AE738" s="121"/>
      <c r="AF738" s="121"/>
      <c r="AG738" s="121"/>
      <c r="AH738" s="121"/>
      <c r="AI738" s="121"/>
      <c r="AJ738" s="121"/>
      <c r="AK738" s="121"/>
      <c r="AL738" s="121"/>
      <c r="AM738" s="121"/>
      <c r="AN738" s="236" t="s">
        <v>2999</v>
      </c>
      <c r="AO738" s="482" t="s">
        <v>2792</v>
      </c>
      <c r="AP738" s="257">
        <f t="shared" si="2"/>
        <v>0</v>
      </c>
      <c r="AQ738" s="258"/>
      <c r="AR738" s="258"/>
      <c r="AS738" s="202"/>
      <c r="AT738" s="48"/>
      <c r="AU738" s="48"/>
    </row>
    <row r="739" spans="1:47" hidden="1">
      <c r="A739" s="51"/>
      <c r="B739" s="51"/>
      <c r="C739" s="51"/>
      <c r="D739" s="51"/>
      <c r="E739" s="51"/>
      <c r="F739" s="51"/>
      <c r="G739" s="51"/>
      <c r="H739" s="51"/>
      <c r="I739" s="51"/>
      <c r="J739" s="121"/>
      <c r="K739" s="121"/>
      <c r="L739" s="121"/>
      <c r="M739" s="121"/>
      <c r="N739" s="121"/>
      <c r="O739" s="121"/>
      <c r="P739" s="121"/>
      <c r="Q739" s="121"/>
      <c r="R739" s="121"/>
      <c r="S739" s="121"/>
      <c r="T739" s="121"/>
      <c r="U739" s="121"/>
      <c r="V739" s="121"/>
      <c r="W739" s="121"/>
      <c r="X739" s="121"/>
      <c r="Y739" s="121"/>
      <c r="Z739" s="121"/>
      <c r="AA739" s="121"/>
      <c r="AB739" s="121"/>
      <c r="AC739" s="121"/>
      <c r="AD739" s="121"/>
      <c r="AE739" s="121"/>
      <c r="AF739" s="121"/>
      <c r="AG739" s="121"/>
      <c r="AH739" s="121"/>
      <c r="AI739" s="121"/>
      <c r="AJ739" s="121"/>
      <c r="AK739" s="121"/>
      <c r="AL739" s="121"/>
      <c r="AM739" s="121"/>
      <c r="AN739" s="594" t="str">
        <f>IF(TEMPLATE_CLAIM="P","5.1.1.3.1","")</f>
        <v/>
      </c>
      <c r="AO739" s="593" t="str">
        <f>IF(TEMPLATE_CLAIM="P","от станций с мощностью производства &gt;= 25 МВт","")</f>
        <v/>
      </c>
      <c r="AP739" s="257">
        <f t="shared" si="2"/>
        <v>0</v>
      </c>
      <c r="AQ739" s="258"/>
      <c r="AR739" s="258"/>
      <c r="AS739" s="202"/>
      <c r="AT739" s="48"/>
      <c r="AU739" s="48"/>
    </row>
    <row r="740" spans="1:47" hidden="1">
      <c r="A740" s="51"/>
      <c r="B740" s="51"/>
      <c r="C740" s="51"/>
      <c r="D740" s="51"/>
      <c r="E740" s="51"/>
      <c r="F740" s="51"/>
      <c r="G740" s="51"/>
      <c r="H740" s="51"/>
      <c r="I740" s="51"/>
      <c r="J740" s="121"/>
      <c r="K740" s="121"/>
      <c r="L740" s="121"/>
      <c r="M740" s="121"/>
      <c r="N740" s="121"/>
      <c r="O740" s="121"/>
      <c r="P740" s="121"/>
      <c r="Q740" s="121"/>
      <c r="R740" s="121"/>
      <c r="S740" s="121"/>
      <c r="T740" s="121"/>
      <c r="U740" s="121"/>
      <c r="V740" s="121"/>
      <c r="W740" s="121"/>
      <c r="X740" s="121"/>
      <c r="Y740" s="121"/>
      <c r="Z740" s="121"/>
      <c r="AA740" s="121"/>
      <c r="AB740" s="121"/>
      <c r="AC740" s="121"/>
      <c r="AD740" s="121"/>
      <c r="AE740" s="121"/>
      <c r="AF740" s="121"/>
      <c r="AG740" s="121"/>
      <c r="AH740" s="121"/>
      <c r="AI740" s="121"/>
      <c r="AJ740" s="121"/>
      <c r="AK740" s="121"/>
      <c r="AL740" s="121"/>
      <c r="AM740" s="121"/>
      <c r="AN740" s="594" t="str">
        <f>IF(TEMPLATE_CLAIM="P","5.1.1.3.2","")</f>
        <v/>
      </c>
      <c r="AO740" s="593" t="str">
        <f>IF(TEMPLATE_CLAIM="P","от станций с мощностью производства &lt; 25 МВт","")</f>
        <v/>
      </c>
      <c r="AP740" s="257">
        <f t="shared" si="2"/>
        <v>0</v>
      </c>
      <c r="AQ740" s="258"/>
      <c r="AR740" s="258"/>
      <c r="AS740" s="202"/>
      <c r="AT740" s="48"/>
      <c r="AU740" s="48"/>
    </row>
    <row r="741" spans="1:47" hidden="1">
      <c r="A741" s="51"/>
      <c r="B741" s="51"/>
      <c r="C741" s="51"/>
      <c r="D741" s="51"/>
      <c r="E741" s="51"/>
      <c r="F741" s="51"/>
      <c r="G741" s="51"/>
      <c r="H741" s="51"/>
      <c r="I741" s="51"/>
      <c r="J741" s="121"/>
      <c r="K741" s="121"/>
      <c r="L741" s="121"/>
      <c r="M741" s="121"/>
      <c r="N741" s="121"/>
      <c r="O741" s="121"/>
      <c r="P741" s="121"/>
      <c r="Q741" s="121"/>
      <c r="R741" s="121"/>
      <c r="S741" s="121"/>
      <c r="T741" s="121"/>
      <c r="U741" s="121"/>
      <c r="V741" s="121"/>
      <c r="W741" s="121"/>
      <c r="X741" s="121"/>
      <c r="Y741" s="121"/>
      <c r="Z741" s="121"/>
      <c r="AA741" s="121"/>
      <c r="AB741" s="121"/>
      <c r="AC741" s="121"/>
      <c r="AD741" s="121"/>
      <c r="AE741" s="121"/>
      <c r="AF741" s="121"/>
      <c r="AG741" s="121"/>
      <c r="AH741" s="121"/>
      <c r="AI741" s="121"/>
      <c r="AJ741" s="121"/>
      <c r="AK741" s="121"/>
      <c r="AL741" s="121"/>
      <c r="AM741" s="121"/>
      <c r="AN741" s="594" t="str">
        <f>IF(TEMPLATE_CLAIM="P","5.1.1.3.3","")</f>
        <v/>
      </c>
      <c r="AO741" s="593" t="str">
        <f>IF(TEMPLATE_CLAIM="P","от котельных (некомбинированная выработка)","")</f>
        <v/>
      </c>
      <c r="AP741" s="257">
        <f t="shared" si="2"/>
        <v>0</v>
      </c>
      <c r="AQ741" s="258"/>
      <c r="AR741" s="258"/>
      <c r="AS741" s="202"/>
      <c r="AT741" s="48"/>
      <c r="AU741" s="48"/>
    </row>
    <row r="742" spans="1:47">
      <c r="A742" s="51"/>
      <c r="B742" s="51"/>
      <c r="C742" s="51"/>
      <c r="D742" s="51"/>
      <c r="E742" s="51"/>
      <c r="F742" s="51"/>
      <c r="G742" s="51"/>
      <c r="H742" s="51"/>
      <c r="I742" s="51"/>
      <c r="J742" s="121"/>
      <c r="K742" s="121"/>
      <c r="L742" s="121"/>
      <c r="M742" s="121"/>
      <c r="N742" s="121"/>
      <c r="O742" s="121"/>
      <c r="P742" s="121"/>
      <c r="Q742" s="121"/>
      <c r="R742" s="121"/>
      <c r="S742" s="121"/>
      <c r="T742" s="121"/>
      <c r="U742" s="121"/>
      <c r="V742" s="121"/>
      <c r="W742" s="121"/>
      <c r="X742" s="121"/>
      <c r="Y742" s="121"/>
      <c r="Z742" s="121"/>
      <c r="AA742" s="121"/>
      <c r="AB742" s="121"/>
      <c r="AC742" s="121"/>
      <c r="AD742" s="121"/>
      <c r="AE742" s="121"/>
      <c r="AF742" s="121"/>
      <c r="AG742" s="121"/>
      <c r="AH742" s="121"/>
      <c r="AI742" s="121"/>
      <c r="AJ742" s="121"/>
      <c r="AK742" s="121"/>
      <c r="AL742" s="121"/>
      <c r="AM742" s="121"/>
      <c r="AN742" s="236" t="s">
        <v>3002</v>
      </c>
      <c r="AO742" s="482" t="s">
        <v>756</v>
      </c>
      <c r="AP742" s="257">
        <f t="shared" si="2"/>
        <v>0</v>
      </c>
      <c r="AQ742" s="258"/>
      <c r="AR742" s="258"/>
      <c r="AS742" s="202"/>
      <c r="AT742" s="48"/>
      <c r="AU742" s="48"/>
    </row>
    <row r="743" spans="1:47" hidden="1">
      <c r="A743" s="51"/>
      <c r="B743" s="51"/>
      <c r="C743" s="51"/>
      <c r="D743" s="51"/>
      <c r="E743" s="51"/>
      <c r="F743" s="51"/>
      <c r="G743" s="51"/>
      <c r="H743" s="51"/>
      <c r="I743" s="51"/>
      <c r="J743" s="121"/>
      <c r="K743" s="121"/>
      <c r="L743" s="121"/>
      <c r="M743" s="121"/>
      <c r="N743" s="121"/>
      <c r="O743" s="121"/>
      <c r="P743" s="121"/>
      <c r="Q743" s="121"/>
      <c r="R743" s="121"/>
      <c r="S743" s="121"/>
      <c r="T743" s="121"/>
      <c r="U743" s="121"/>
      <c r="V743" s="121"/>
      <c r="W743" s="121"/>
      <c r="X743" s="121"/>
      <c r="Y743" s="121"/>
      <c r="Z743" s="121"/>
      <c r="AA743" s="121"/>
      <c r="AB743" s="121"/>
      <c r="AC743" s="121"/>
      <c r="AD743" s="121"/>
      <c r="AE743" s="121"/>
      <c r="AF743" s="121"/>
      <c r="AG743" s="121"/>
      <c r="AH743" s="121"/>
      <c r="AI743" s="121"/>
      <c r="AJ743" s="121"/>
      <c r="AK743" s="121"/>
      <c r="AL743" s="121"/>
      <c r="AM743" s="121"/>
      <c r="AN743" s="594" t="str">
        <f>IF(TEMPLATE_CLAIM="P","5.1.1.4.1","")</f>
        <v/>
      </c>
      <c r="AO743" s="593" t="str">
        <f>IF(TEMPLATE_CLAIM="P","от станций с мощностью производства &gt;= 25 МВт","")</f>
        <v/>
      </c>
      <c r="AP743" s="257">
        <f t="shared" si="2"/>
        <v>0</v>
      </c>
      <c r="AQ743" s="258"/>
      <c r="AR743" s="258"/>
      <c r="AS743" s="202"/>
      <c r="AT743" s="48"/>
      <c r="AU743" s="48"/>
    </row>
    <row r="744" spans="1:47" hidden="1">
      <c r="A744" s="51"/>
      <c r="B744" s="51"/>
      <c r="C744" s="51"/>
      <c r="D744" s="51"/>
      <c r="E744" s="51"/>
      <c r="F744" s="51"/>
      <c r="G744" s="51"/>
      <c r="H744" s="51"/>
      <c r="I744" s="51"/>
      <c r="J744" s="121"/>
      <c r="K744" s="121"/>
      <c r="L744" s="121"/>
      <c r="M744" s="121"/>
      <c r="N744" s="121"/>
      <c r="O744" s="121"/>
      <c r="P744" s="121"/>
      <c r="Q744" s="121"/>
      <c r="R744" s="121"/>
      <c r="S744" s="121"/>
      <c r="T744" s="121"/>
      <c r="U744" s="121"/>
      <c r="V744" s="121"/>
      <c r="W744" s="121"/>
      <c r="X744" s="121"/>
      <c r="Y744" s="121"/>
      <c r="Z744" s="121"/>
      <c r="AA744" s="121"/>
      <c r="AB744" s="121"/>
      <c r="AC744" s="121"/>
      <c r="AD744" s="121"/>
      <c r="AE744" s="121"/>
      <c r="AF744" s="121"/>
      <c r="AG744" s="121"/>
      <c r="AH744" s="121"/>
      <c r="AI744" s="121"/>
      <c r="AJ744" s="121"/>
      <c r="AK744" s="121"/>
      <c r="AL744" s="121"/>
      <c r="AM744" s="121"/>
      <c r="AN744" s="594" t="str">
        <f>IF(TEMPLATE_CLAIM="P","5.1.1.4.2","")</f>
        <v/>
      </c>
      <c r="AO744" s="593" t="str">
        <f>IF(TEMPLATE_CLAIM="P","от станций с мощностью производства &lt; 25 МВт","")</f>
        <v/>
      </c>
      <c r="AP744" s="257">
        <f t="shared" si="2"/>
        <v>0</v>
      </c>
      <c r="AQ744" s="258"/>
      <c r="AR744" s="258"/>
      <c r="AS744" s="202"/>
      <c r="AT744" s="48"/>
      <c r="AU744" s="48"/>
    </row>
    <row r="745" spans="1:47" hidden="1">
      <c r="A745" s="51"/>
      <c r="B745" s="51"/>
      <c r="C745" s="51"/>
      <c r="D745" s="51"/>
      <c r="E745" s="51"/>
      <c r="F745" s="51"/>
      <c r="G745" s="51"/>
      <c r="H745" s="51"/>
      <c r="I745" s="51"/>
      <c r="J745" s="121"/>
      <c r="K745" s="121"/>
      <c r="L745" s="121"/>
      <c r="M745" s="121"/>
      <c r="N745" s="121"/>
      <c r="O745" s="121"/>
      <c r="P745" s="121"/>
      <c r="Q745" s="121"/>
      <c r="R745" s="121"/>
      <c r="S745" s="121"/>
      <c r="T745" s="121"/>
      <c r="U745" s="121"/>
      <c r="V745" s="121"/>
      <c r="W745" s="121"/>
      <c r="X745" s="121"/>
      <c r="Y745" s="121"/>
      <c r="Z745" s="121"/>
      <c r="AA745" s="121"/>
      <c r="AB745" s="121"/>
      <c r="AC745" s="121"/>
      <c r="AD745" s="121"/>
      <c r="AE745" s="121"/>
      <c r="AF745" s="121"/>
      <c r="AG745" s="121"/>
      <c r="AH745" s="121"/>
      <c r="AI745" s="121"/>
      <c r="AJ745" s="121"/>
      <c r="AK745" s="121"/>
      <c r="AL745" s="121"/>
      <c r="AM745" s="121"/>
      <c r="AN745" s="594" t="str">
        <f>IF(TEMPLATE_CLAIM="P","5.1.1.4.3","")</f>
        <v/>
      </c>
      <c r="AO745" s="593" t="str">
        <f>IF(TEMPLATE_CLAIM="P","от котельных (некомбинированная выработка)","")</f>
        <v/>
      </c>
      <c r="AP745" s="257">
        <f t="shared" si="2"/>
        <v>0</v>
      </c>
      <c r="AQ745" s="258"/>
      <c r="AR745" s="258"/>
      <c r="AS745" s="202"/>
      <c r="AT745" s="48"/>
      <c r="AU745" s="48"/>
    </row>
    <row r="746" spans="1:47">
      <c r="A746" s="51"/>
      <c r="B746" s="51"/>
      <c r="C746" s="51"/>
      <c r="D746" s="51"/>
      <c r="E746" s="51"/>
      <c r="F746" s="51"/>
      <c r="G746" s="51"/>
      <c r="H746" s="51"/>
      <c r="I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3"/>
      <c r="AM746" s="124"/>
      <c r="AN746" s="234" t="s">
        <v>3003</v>
      </c>
      <c r="AO746" s="225" t="s">
        <v>3004</v>
      </c>
      <c r="AP746" s="257">
        <f>SUM(AQ746:AR746)</f>
        <v>0</v>
      </c>
      <c r="AQ746" s="258"/>
      <c r="AR746" s="258"/>
      <c r="AS746" s="127"/>
    </row>
    <row r="747" spans="1:47" ht="22.5">
      <c r="A747" s="51"/>
      <c r="B747" s="51"/>
      <c r="C747" s="51"/>
      <c r="D747" s="51"/>
      <c r="E747" s="51"/>
      <c r="F747" s="51"/>
      <c r="G747" s="51"/>
      <c r="H747" s="51"/>
      <c r="I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3"/>
      <c r="AM747" s="124"/>
      <c r="AN747" s="234" t="s">
        <v>3006</v>
      </c>
      <c r="AO747" s="225" t="s">
        <v>3007</v>
      </c>
      <c r="AP747" s="257">
        <f>SUM(AQ747:AR747)</f>
        <v>0</v>
      </c>
      <c r="AQ747" s="258"/>
      <c r="AR747" s="258"/>
      <c r="AS747" s="127"/>
    </row>
    <row r="748" spans="1:47">
      <c r="A748" s="51"/>
      <c r="B748" s="51"/>
      <c r="C748" s="51"/>
      <c r="D748" s="51"/>
      <c r="E748" s="51"/>
      <c r="F748" s="51"/>
      <c r="G748" s="51"/>
      <c r="H748" s="51"/>
      <c r="I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3"/>
      <c r="AM748" s="124"/>
      <c r="AN748" s="236" t="s">
        <v>3008</v>
      </c>
      <c r="AO748" s="242" t="s">
        <v>2972</v>
      </c>
      <c r="AP748" s="257">
        <f>SUM(AQ748:AR748)</f>
        <v>0</v>
      </c>
      <c r="AQ748" s="258"/>
      <c r="AR748" s="258"/>
      <c r="AS748" s="127"/>
    </row>
    <row r="749" spans="1:47">
      <c r="A749" s="51"/>
      <c r="B749" s="51"/>
      <c r="C749" s="51"/>
      <c r="D749" s="51"/>
      <c r="E749" s="51"/>
      <c r="F749" s="51"/>
      <c r="G749" s="51"/>
      <c r="H749" s="51"/>
      <c r="I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3"/>
      <c r="AM749" s="124"/>
      <c r="AN749" s="236" t="s">
        <v>3009</v>
      </c>
      <c r="AO749" s="242" t="s">
        <v>2988</v>
      </c>
      <c r="AP749" s="257">
        <f>SUM(AQ749:AR749)</f>
        <v>0</v>
      </c>
      <c r="AQ749" s="258"/>
      <c r="AR749" s="258"/>
      <c r="AS749" s="127"/>
    </row>
    <row r="750" spans="1:47">
      <c r="A750" s="51"/>
      <c r="B750" s="51"/>
      <c r="C750" s="51"/>
      <c r="D750" s="51"/>
      <c r="E750" s="51"/>
      <c r="F750" s="51"/>
      <c r="G750" s="51"/>
      <c r="H750" s="51"/>
      <c r="I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3"/>
      <c r="AM750" s="124"/>
      <c r="AN750" s="236" t="s">
        <v>3010</v>
      </c>
      <c r="AO750" s="242" t="s">
        <v>3011</v>
      </c>
      <c r="AP750" s="257">
        <f>SUM(AQ750:AR750)</f>
        <v>0</v>
      </c>
      <c r="AQ750" s="258"/>
      <c r="AR750" s="258"/>
      <c r="AS750" s="127"/>
    </row>
    <row r="751" spans="1:47">
      <c r="A751" s="51"/>
      <c r="B751" s="51"/>
      <c r="C751" s="51"/>
      <c r="D751" s="51"/>
      <c r="E751" s="51"/>
      <c r="F751" s="51"/>
      <c r="G751" s="51"/>
      <c r="H751" s="51"/>
      <c r="I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3"/>
      <c r="AM751" s="124"/>
      <c r="AN751" s="236" t="s">
        <v>3012</v>
      </c>
      <c r="AO751" s="244" t="s">
        <v>2968</v>
      </c>
      <c r="AP751" s="257">
        <f>IF(AP752=0,0,AP750/AP752)</f>
        <v>0</v>
      </c>
      <c r="AQ751" s="258"/>
      <c r="AR751" s="258"/>
      <c r="AS751" s="127"/>
    </row>
    <row r="752" spans="1:47">
      <c r="A752" s="51"/>
      <c r="B752" s="51"/>
      <c r="C752" s="51"/>
      <c r="D752" s="51"/>
      <c r="E752" s="51"/>
      <c r="F752" s="51"/>
      <c r="G752" s="51"/>
      <c r="H752" s="51"/>
      <c r="I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3"/>
      <c r="AM752" s="124"/>
      <c r="AN752" s="236" t="s">
        <v>3013</v>
      </c>
      <c r="AO752" s="244" t="s">
        <v>2972</v>
      </c>
      <c r="AP752" s="257">
        <f>SUM(AQ752:AR752)</f>
        <v>0</v>
      </c>
      <c r="AQ752" s="258"/>
      <c r="AR752" s="258"/>
      <c r="AS752" s="127"/>
    </row>
    <row r="753" spans="1:45">
      <c r="A753" s="51"/>
      <c r="B753" s="51"/>
      <c r="C753" s="51"/>
      <c r="D753" s="51"/>
      <c r="E753" s="51"/>
      <c r="F753" s="51"/>
      <c r="G753" s="51"/>
      <c r="H753" s="51"/>
      <c r="I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3"/>
      <c r="AM753" s="124"/>
      <c r="AN753" s="236" t="s">
        <v>3014</v>
      </c>
      <c r="AO753" s="245" t="s">
        <v>3015</v>
      </c>
      <c r="AP753" s="257">
        <f>SUM(AQ753:AR753)</f>
        <v>0</v>
      </c>
      <c r="AQ753" s="258"/>
      <c r="AR753" s="258"/>
      <c r="AS753" s="127"/>
    </row>
    <row r="754" spans="1:45">
      <c r="AL754" s="50"/>
      <c r="AM754" s="124"/>
      <c r="AN754" s="236" t="s">
        <v>3016</v>
      </c>
      <c r="AO754" s="244" t="s">
        <v>2970</v>
      </c>
      <c r="AP754" s="257">
        <f>IF(AP755=0,0,AP753/AP755)</f>
        <v>0</v>
      </c>
      <c r="AQ754" s="258"/>
      <c r="AR754" s="258"/>
      <c r="AS754" s="127"/>
    </row>
    <row r="755" spans="1:45">
      <c r="AL755" s="50"/>
      <c r="AM755" s="124"/>
      <c r="AN755" s="236" t="s">
        <v>3017</v>
      </c>
      <c r="AO755" s="244" t="s">
        <v>3018</v>
      </c>
      <c r="AP755" s="257">
        <f>SUM(AQ755:AR755)</f>
        <v>0</v>
      </c>
      <c r="AQ755" s="258"/>
      <c r="AR755" s="258"/>
      <c r="AS755" s="127"/>
    </row>
    <row r="756" spans="1:45">
      <c r="AL756" s="50"/>
      <c r="AM756" s="124"/>
      <c r="AN756" s="236" t="s">
        <v>3019</v>
      </c>
      <c r="AO756" s="242" t="s">
        <v>3020</v>
      </c>
      <c r="AP756" s="257">
        <f>SUM(AQ756:AR756)</f>
        <v>0</v>
      </c>
      <c r="AQ756" s="258"/>
      <c r="AR756" s="258"/>
      <c r="AS756" s="127"/>
    </row>
    <row r="757" spans="1:45">
      <c r="AL757" s="50"/>
      <c r="AM757" s="125"/>
      <c r="AN757" s="236" t="s">
        <v>3021</v>
      </c>
      <c r="AO757" s="244" t="s">
        <v>2968</v>
      </c>
      <c r="AP757" s="257">
        <f>IF(AP758=0,0,AP756/AP758)</f>
        <v>0</v>
      </c>
      <c r="AQ757" s="258"/>
      <c r="AR757" s="258"/>
      <c r="AS757" s="127"/>
    </row>
    <row r="758" spans="1:45">
      <c r="AL758" s="50"/>
      <c r="AM758" s="125"/>
      <c r="AN758" s="236" t="s">
        <v>3022</v>
      </c>
      <c r="AO758" s="244" t="s">
        <v>2972</v>
      </c>
      <c r="AP758" s="257">
        <f>SUM(AQ758:AR758)</f>
        <v>0</v>
      </c>
      <c r="AQ758" s="258"/>
      <c r="AR758" s="258"/>
      <c r="AS758" s="127"/>
    </row>
    <row r="759" spans="1:45">
      <c r="AL759" s="50"/>
      <c r="AM759" s="125"/>
      <c r="AN759" s="236" t="s">
        <v>3023</v>
      </c>
      <c r="AO759" s="245" t="s">
        <v>3024</v>
      </c>
      <c r="AP759" s="257">
        <f>SUM(AQ759:AR759)</f>
        <v>0</v>
      </c>
      <c r="AQ759" s="258"/>
      <c r="AR759" s="258"/>
      <c r="AS759" s="127"/>
    </row>
    <row r="760" spans="1:45">
      <c r="AL760" s="50"/>
      <c r="AM760" s="125"/>
      <c r="AN760" s="236" t="s">
        <v>3025</v>
      </c>
      <c r="AO760" s="244" t="s">
        <v>2970</v>
      </c>
      <c r="AP760" s="257">
        <f>IF(AP761=0,0,AP759/AP761)</f>
        <v>0</v>
      </c>
      <c r="AQ760" s="258"/>
      <c r="AR760" s="258"/>
      <c r="AS760" s="127"/>
    </row>
    <row r="761" spans="1:45">
      <c r="AL761" s="50"/>
      <c r="AM761" s="125"/>
      <c r="AN761" s="236" t="s">
        <v>3026</v>
      </c>
      <c r="AO761" s="244" t="s">
        <v>3018</v>
      </c>
      <c r="AP761" s="257">
        <f>SUM(AQ761:AR761)</f>
        <v>0</v>
      </c>
      <c r="AQ761" s="258"/>
      <c r="AR761" s="258"/>
      <c r="AS761" s="127"/>
    </row>
    <row r="762" spans="1:45">
      <c r="AL762" s="50"/>
      <c r="AM762" s="125"/>
      <c r="AN762" s="236" t="s">
        <v>3027</v>
      </c>
      <c r="AO762" s="242" t="s">
        <v>3028</v>
      </c>
      <c r="AP762" s="257">
        <f>SUM(AQ762:AR762)</f>
        <v>0</v>
      </c>
      <c r="AQ762" s="258"/>
      <c r="AR762" s="258"/>
      <c r="AS762" s="127"/>
    </row>
    <row r="763" spans="1:45">
      <c r="AL763" s="50"/>
      <c r="AM763" s="125"/>
      <c r="AN763" s="236" t="s">
        <v>3029</v>
      </c>
      <c r="AO763" s="244" t="s">
        <v>2968</v>
      </c>
      <c r="AP763" s="257">
        <f>IF(AP764=0,0,AP762/AP764)</f>
        <v>0</v>
      </c>
      <c r="AQ763" s="258"/>
      <c r="AR763" s="258"/>
      <c r="AS763" s="127"/>
    </row>
    <row r="764" spans="1:45">
      <c r="AL764" s="50"/>
      <c r="AM764" s="125"/>
      <c r="AN764" s="236" t="s">
        <v>3030</v>
      </c>
      <c r="AO764" s="244" t="s">
        <v>2972</v>
      </c>
      <c r="AP764" s="257">
        <f>SUM(AQ764:AR764)</f>
        <v>0</v>
      </c>
      <c r="AQ764" s="258"/>
      <c r="AR764" s="258"/>
      <c r="AS764" s="127"/>
    </row>
    <row r="765" spans="1:45">
      <c r="AL765" s="50"/>
      <c r="AM765" s="125"/>
      <c r="AN765" s="236" t="s">
        <v>3031</v>
      </c>
      <c r="AO765" s="245" t="s">
        <v>3032</v>
      </c>
      <c r="AP765" s="257">
        <f>SUM(AQ765:AR765)</f>
        <v>0</v>
      </c>
      <c r="AQ765" s="258"/>
      <c r="AR765" s="258"/>
      <c r="AS765" s="127"/>
    </row>
    <row r="766" spans="1:45">
      <c r="AL766" s="53"/>
      <c r="AM766" s="126"/>
      <c r="AN766" s="236" t="s">
        <v>3033</v>
      </c>
      <c r="AO766" s="244" t="s">
        <v>2970</v>
      </c>
      <c r="AP766" s="257">
        <f>IF(AP767=0,0,AP765/AP767)</f>
        <v>0</v>
      </c>
      <c r="AQ766" s="258"/>
      <c r="AR766" s="258"/>
      <c r="AS766" s="127"/>
    </row>
    <row r="767" spans="1:45">
      <c r="AL767" s="53"/>
      <c r="AM767" s="126"/>
      <c r="AN767" s="236" t="s">
        <v>3034</v>
      </c>
      <c r="AO767" s="244" t="s">
        <v>3018</v>
      </c>
      <c r="AP767" s="257">
        <f>SUM(AQ767:AR767)</f>
        <v>0</v>
      </c>
      <c r="AQ767" s="258"/>
      <c r="AR767" s="258"/>
      <c r="AS767" s="127"/>
    </row>
    <row r="768" spans="1:45">
      <c r="AL768" s="53"/>
      <c r="AM768" s="126"/>
      <c r="AN768" s="236" t="s">
        <v>3035</v>
      </c>
      <c r="AO768" s="242" t="s">
        <v>3036</v>
      </c>
      <c r="AP768" s="257">
        <f>SUM(AQ768:AR768)</f>
        <v>0</v>
      </c>
      <c r="AQ768" s="258"/>
      <c r="AR768" s="258"/>
      <c r="AS768" s="127"/>
    </row>
    <row r="769" spans="38:45">
      <c r="AL769" s="53"/>
      <c r="AM769" s="126"/>
      <c r="AN769" s="236" t="s">
        <v>3037</v>
      </c>
      <c r="AO769" s="244" t="s">
        <v>2968</v>
      </c>
      <c r="AP769" s="257">
        <f>IF(AP770=0,0,AP768/AP770)</f>
        <v>0</v>
      </c>
      <c r="AQ769" s="258"/>
      <c r="AR769" s="258"/>
      <c r="AS769" s="127"/>
    </row>
    <row r="770" spans="38:45">
      <c r="AL770" s="53"/>
      <c r="AM770" s="126"/>
      <c r="AN770" s="236" t="s">
        <v>3038</v>
      </c>
      <c r="AO770" s="244" t="s">
        <v>2972</v>
      </c>
      <c r="AP770" s="257">
        <f>SUM(AQ770:AR770)</f>
        <v>0</v>
      </c>
      <c r="AQ770" s="258"/>
      <c r="AR770" s="258"/>
      <c r="AS770" s="127"/>
    </row>
    <row r="771" spans="38:45">
      <c r="AL771" s="53"/>
      <c r="AM771" s="126"/>
      <c r="AN771" s="236" t="s">
        <v>3039</v>
      </c>
      <c r="AO771" s="245" t="s">
        <v>3040</v>
      </c>
      <c r="AP771" s="257">
        <f>SUM(AQ771:AR771)</f>
        <v>0</v>
      </c>
      <c r="AQ771" s="258"/>
      <c r="AR771" s="258"/>
      <c r="AS771" s="127"/>
    </row>
    <row r="772" spans="38:45">
      <c r="AL772" s="53"/>
      <c r="AM772" s="126"/>
      <c r="AN772" s="236" t="s">
        <v>3041</v>
      </c>
      <c r="AO772" s="244" t="s">
        <v>2970</v>
      </c>
      <c r="AP772" s="257">
        <f>IF(AP773=0,0,AP771/AP773)</f>
        <v>0</v>
      </c>
      <c r="AQ772" s="258"/>
      <c r="AR772" s="258"/>
      <c r="AS772" s="127"/>
    </row>
    <row r="773" spans="38:45">
      <c r="AL773" s="53"/>
      <c r="AM773" s="126"/>
      <c r="AN773" s="236" t="s">
        <v>3042</v>
      </c>
      <c r="AO773" s="244" t="s">
        <v>3018</v>
      </c>
      <c r="AP773" s="257">
        <f t="shared" ref="AP773:AP779" si="3">SUM(AQ773:AR773)</f>
        <v>0</v>
      </c>
      <c r="AQ773" s="258"/>
      <c r="AR773" s="258"/>
      <c r="AS773" s="127"/>
    </row>
    <row r="774" spans="38:45">
      <c r="AL774" s="50"/>
      <c r="AM774" s="126"/>
      <c r="AN774" s="436" t="s">
        <v>771</v>
      </c>
      <c r="AO774" s="591" t="s">
        <v>3043</v>
      </c>
      <c r="AP774" s="257">
        <f t="shared" si="3"/>
        <v>0</v>
      </c>
      <c r="AQ774" s="258"/>
      <c r="AR774" s="258"/>
      <c r="AS774" s="127"/>
    </row>
    <row r="775" spans="38:45">
      <c r="AL775" s="50"/>
      <c r="AM775" s="126"/>
      <c r="AN775" s="436" t="s">
        <v>772</v>
      </c>
      <c r="AO775" s="592" t="s">
        <v>3044</v>
      </c>
      <c r="AP775" s="257">
        <f t="shared" si="3"/>
        <v>0</v>
      </c>
      <c r="AQ775" s="258"/>
      <c r="AR775" s="258"/>
      <c r="AS775" s="127"/>
    </row>
    <row r="776" spans="38:45">
      <c r="AL776" s="50"/>
      <c r="AM776" s="126"/>
      <c r="AN776" s="236" t="s">
        <v>773</v>
      </c>
      <c r="AO776" s="248" t="s">
        <v>3045</v>
      </c>
      <c r="AP776" s="257">
        <f t="shared" si="3"/>
        <v>0</v>
      </c>
      <c r="AQ776" s="258"/>
      <c r="AR776" s="258"/>
      <c r="AS776" s="127"/>
    </row>
    <row r="777" spans="38:45">
      <c r="AL777" s="50"/>
      <c r="AM777" s="126"/>
      <c r="AN777" s="236" t="s">
        <v>3046</v>
      </c>
      <c r="AO777" s="242" t="s">
        <v>2972</v>
      </c>
      <c r="AP777" s="257">
        <f t="shared" si="3"/>
        <v>0</v>
      </c>
      <c r="AQ777" s="258"/>
      <c r="AR777" s="258"/>
      <c r="AS777" s="127"/>
    </row>
    <row r="778" spans="38:45">
      <c r="AL778" s="50"/>
      <c r="AM778" s="126"/>
      <c r="AN778" s="236" t="s">
        <v>3047</v>
      </c>
      <c r="AO778" s="242" t="s">
        <v>2988</v>
      </c>
      <c r="AP778" s="257">
        <f t="shared" si="3"/>
        <v>0</v>
      </c>
      <c r="AQ778" s="258"/>
      <c r="AR778" s="258"/>
      <c r="AS778" s="127"/>
    </row>
    <row r="779" spans="38:45">
      <c r="AL779" s="50"/>
      <c r="AM779" s="126"/>
      <c r="AN779" s="236" t="s">
        <v>3048</v>
      </c>
      <c r="AO779" s="242" t="s">
        <v>3011</v>
      </c>
      <c r="AP779" s="257">
        <f t="shared" si="3"/>
        <v>0</v>
      </c>
      <c r="AQ779" s="258"/>
      <c r="AR779" s="258"/>
      <c r="AS779" s="127"/>
    </row>
    <row r="780" spans="38:45">
      <c r="AL780" s="50"/>
      <c r="AM780" s="126"/>
      <c r="AN780" s="236" t="s">
        <v>3049</v>
      </c>
      <c r="AO780" s="244" t="s">
        <v>2968</v>
      </c>
      <c r="AP780" s="257">
        <f>IF(AP781=0,0,AP779/AP781)</f>
        <v>0</v>
      </c>
      <c r="AQ780" s="258"/>
      <c r="AR780" s="258"/>
      <c r="AS780" s="127"/>
    </row>
    <row r="781" spans="38:45">
      <c r="AL781" s="50"/>
      <c r="AM781" s="126"/>
      <c r="AN781" s="236" t="s">
        <v>3050</v>
      </c>
      <c r="AO781" s="244" t="s">
        <v>2972</v>
      </c>
      <c r="AP781" s="257">
        <f>SUM(AQ781:AR781)</f>
        <v>0</v>
      </c>
      <c r="AQ781" s="258"/>
      <c r="AR781" s="258"/>
      <c r="AS781" s="127"/>
    </row>
    <row r="782" spans="38:45">
      <c r="AL782" s="50"/>
      <c r="AM782" s="126"/>
      <c r="AN782" s="236" t="s">
        <v>3051</v>
      </c>
      <c r="AO782" s="245" t="s">
        <v>3015</v>
      </c>
      <c r="AP782" s="257">
        <f>SUM(AQ782:AR782)</f>
        <v>0</v>
      </c>
      <c r="AQ782" s="258"/>
      <c r="AR782" s="258"/>
      <c r="AS782" s="127"/>
    </row>
    <row r="783" spans="38:45">
      <c r="AL783" s="50"/>
      <c r="AM783" s="126"/>
      <c r="AN783" s="236" t="s">
        <v>3052</v>
      </c>
      <c r="AO783" s="244" t="s">
        <v>2970</v>
      </c>
      <c r="AP783" s="257">
        <f>IF(AP784=0,0,AP782/AP784)</f>
        <v>0</v>
      </c>
      <c r="AQ783" s="258"/>
      <c r="AR783" s="258"/>
      <c r="AS783" s="127"/>
    </row>
    <row r="784" spans="38:45">
      <c r="AL784" s="50"/>
      <c r="AM784" s="126"/>
      <c r="AN784" s="236" t="s">
        <v>3053</v>
      </c>
      <c r="AO784" s="244" t="s">
        <v>3018</v>
      </c>
      <c r="AP784" s="257">
        <f>SUM(AQ784:AR784)</f>
        <v>0</v>
      </c>
      <c r="AQ784" s="258"/>
      <c r="AR784" s="258"/>
      <c r="AS784" s="127"/>
    </row>
    <row r="785" spans="38:45">
      <c r="AL785" s="50"/>
      <c r="AM785" s="126"/>
      <c r="AN785" s="236" t="s">
        <v>3054</v>
      </c>
      <c r="AO785" s="242" t="s">
        <v>3020</v>
      </c>
      <c r="AP785" s="257">
        <f>SUM(AQ785:AR785)</f>
        <v>0</v>
      </c>
      <c r="AQ785" s="258"/>
      <c r="AR785" s="258"/>
      <c r="AS785" s="127"/>
    </row>
    <row r="786" spans="38:45">
      <c r="AL786" s="50"/>
      <c r="AM786" s="126"/>
      <c r="AN786" s="236" t="s">
        <v>3055</v>
      </c>
      <c r="AO786" s="244" t="s">
        <v>2968</v>
      </c>
      <c r="AP786" s="257">
        <f>IF(AP787=0,0,AP785/AP787)</f>
        <v>0</v>
      </c>
      <c r="AQ786" s="258"/>
      <c r="AR786" s="258"/>
      <c r="AS786" s="127"/>
    </row>
    <row r="787" spans="38:45">
      <c r="AL787" s="50"/>
      <c r="AM787" s="126"/>
      <c r="AN787" s="236" t="s">
        <v>3056</v>
      </c>
      <c r="AO787" s="244" t="s">
        <v>2972</v>
      </c>
      <c r="AP787" s="257">
        <f>SUM(AQ787:AR787)</f>
        <v>0</v>
      </c>
      <c r="AQ787" s="258"/>
      <c r="AR787" s="258"/>
      <c r="AS787" s="127"/>
    </row>
    <row r="788" spans="38:45">
      <c r="AL788" s="50"/>
      <c r="AM788" s="126"/>
      <c r="AN788" s="236" t="s">
        <v>3057</v>
      </c>
      <c r="AO788" s="245" t="s">
        <v>3024</v>
      </c>
      <c r="AP788" s="257">
        <f>SUM(AQ788:AR788)</f>
        <v>0</v>
      </c>
      <c r="AQ788" s="258"/>
      <c r="AR788" s="258"/>
      <c r="AS788" s="127"/>
    </row>
    <row r="789" spans="38:45">
      <c r="AL789" s="50"/>
      <c r="AM789" s="126"/>
      <c r="AN789" s="236" t="s">
        <v>3058</v>
      </c>
      <c r="AO789" s="244" t="s">
        <v>2970</v>
      </c>
      <c r="AP789" s="257">
        <f>IF(AP790=0,0,AP788/AP790)</f>
        <v>0</v>
      </c>
      <c r="AQ789" s="258"/>
      <c r="AR789" s="258"/>
      <c r="AS789" s="127"/>
    </row>
    <row r="790" spans="38:45">
      <c r="AL790" s="50"/>
      <c r="AM790" s="126"/>
      <c r="AN790" s="236" t="s">
        <v>3059</v>
      </c>
      <c r="AO790" s="244" t="s">
        <v>3018</v>
      </c>
      <c r="AP790" s="257">
        <f>SUM(AQ790:AR790)</f>
        <v>0</v>
      </c>
      <c r="AQ790" s="258"/>
      <c r="AR790" s="258"/>
      <c r="AS790" s="127"/>
    </row>
    <row r="791" spans="38:45">
      <c r="AL791" s="50"/>
      <c r="AM791" s="126"/>
      <c r="AN791" s="236" t="s">
        <v>3060</v>
      </c>
      <c r="AO791" s="242" t="s">
        <v>3028</v>
      </c>
      <c r="AP791" s="257">
        <f>SUM(AQ791:AR791)</f>
        <v>0</v>
      </c>
      <c r="AQ791" s="258"/>
      <c r="AR791" s="258"/>
      <c r="AS791" s="127"/>
    </row>
    <row r="792" spans="38:45">
      <c r="AL792" s="50"/>
      <c r="AM792" s="126"/>
      <c r="AN792" s="236" t="s">
        <v>3061</v>
      </c>
      <c r="AO792" s="244" t="s">
        <v>2968</v>
      </c>
      <c r="AP792" s="257">
        <f>IF(AP793=0,0,AP791/AP793)</f>
        <v>0</v>
      </c>
      <c r="AQ792" s="258"/>
      <c r="AR792" s="258"/>
      <c r="AS792" s="127"/>
    </row>
    <row r="793" spans="38:45">
      <c r="AL793" s="50"/>
      <c r="AM793" s="126"/>
      <c r="AN793" s="236" t="s">
        <v>3062</v>
      </c>
      <c r="AO793" s="244" t="s">
        <v>2972</v>
      </c>
      <c r="AP793" s="257">
        <f>SUM(AQ793:AR793)</f>
        <v>0</v>
      </c>
      <c r="AQ793" s="258"/>
      <c r="AR793" s="258"/>
      <c r="AS793" s="127"/>
    </row>
    <row r="794" spans="38:45">
      <c r="AL794" s="50"/>
      <c r="AM794" s="126"/>
      <c r="AN794" s="236" t="s">
        <v>3063</v>
      </c>
      <c r="AO794" s="245" t="s">
        <v>3032</v>
      </c>
      <c r="AP794" s="257">
        <f>SUM(AQ794:AR794)</f>
        <v>0</v>
      </c>
      <c r="AQ794" s="258"/>
      <c r="AR794" s="258"/>
      <c r="AS794" s="127"/>
    </row>
    <row r="795" spans="38:45">
      <c r="AL795" s="50"/>
      <c r="AM795" s="126"/>
      <c r="AN795" s="236" t="s">
        <v>3064</v>
      </c>
      <c r="AO795" s="244" t="s">
        <v>2970</v>
      </c>
      <c r="AP795" s="257">
        <f>IF(AP796=0,0,AP794/AP796)</f>
        <v>0</v>
      </c>
      <c r="AQ795" s="258"/>
      <c r="AR795" s="258"/>
      <c r="AS795" s="127"/>
    </row>
    <row r="796" spans="38:45">
      <c r="AL796" s="50"/>
      <c r="AM796" s="126"/>
      <c r="AN796" s="236" t="s">
        <v>3065</v>
      </c>
      <c r="AO796" s="244" t="s">
        <v>3018</v>
      </c>
      <c r="AP796" s="257">
        <f>SUM(AQ796:AR796)</f>
        <v>0</v>
      </c>
      <c r="AQ796" s="258"/>
      <c r="AR796" s="258"/>
      <c r="AS796" s="127"/>
    </row>
    <row r="797" spans="38:45">
      <c r="AL797" s="50"/>
      <c r="AM797" s="126"/>
      <c r="AN797" s="236" t="s">
        <v>3066</v>
      </c>
      <c r="AO797" s="242" t="s">
        <v>3036</v>
      </c>
      <c r="AP797" s="257">
        <f>SUM(AQ797:AR797)</f>
        <v>0</v>
      </c>
      <c r="AQ797" s="258"/>
      <c r="AR797" s="258"/>
      <c r="AS797" s="127"/>
    </row>
    <row r="798" spans="38:45">
      <c r="AL798" s="50"/>
      <c r="AM798" s="126"/>
      <c r="AN798" s="236" t="s">
        <v>3067</v>
      </c>
      <c r="AO798" s="244" t="s">
        <v>2968</v>
      </c>
      <c r="AP798" s="257">
        <f>IF(AP799=0,0,AP797/AP799)</f>
        <v>0</v>
      </c>
      <c r="AQ798" s="258"/>
      <c r="AR798" s="258"/>
      <c r="AS798" s="127"/>
    </row>
    <row r="799" spans="38:45">
      <c r="AL799" s="50"/>
      <c r="AM799" s="126"/>
      <c r="AN799" s="236" t="s">
        <v>3068</v>
      </c>
      <c r="AO799" s="244" t="s">
        <v>2972</v>
      </c>
      <c r="AP799" s="257">
        <f>SUM(AQ799:AR799)</f>
        <v>0</v>
      </c>
      <c r="AQ799" s="258"/>
      <c r="AR799" s="258"/>
      <c r="AS799" s="127"/>
    </row>
    <row r="800" spans="38:45">
      <c r="AL800" s="50"/>
      <c r="AM800" s="126"/>
      <c r="AN800" s="236" t="s">
        <v>3069</v>
      </c>
      <c r="AO800" s="245" t="s">
        <v>3040</v>
      </c>
      <c r="AP800" s="257">
        <f>SUM(AQ800:AR800)</f>
        <v>0</v>
      </c>
      <c r="AQ800" s="258"/>
      <c r="AR800" s="258"/>
      <c r="AS800" s="127"/>
    </row>
    <row r="801" spans="38:45">
      <c r="AL801" s="50"/>
      <c r="AM801" s="126"/>
      <c r="AN801" s="236" t="s">
        <v>3070</v>
      </c>
      <c r="AO801" s="244" t="s">
        <v>2970</v>
      </c>
      <c r="AP801" s="257">
        <f>IF(AP802=0,0,AP800/AP802)</f>
        <v>0</v>
      </c>
      <c r="AQ801" s="258"/>
      <c r="AR801" s="258"/>
      <c r="AS801" s="127"/>
    </row>
    <row r="802" spans="38:45">
      <c r="AL802" s="50"/>
      <c r="AM802" s="126"/>
      <c r="AN802" s="236" t="s">
        <v>3071</v>
      </c>
      <c r="AO802" s="244" t="s">
        <v>3018</v>
      </c>
      <c r="AP802" s="257">
        <f>SUM(AQ802:AR802)</f>
        <v>0</v>
      </c>
      <c r="AQ802" s="258"/>
      <c r="AR802" s="258"/>
      <c r="AS802" s="127"/>
    </row>
    <row r="803" spans="38:45" ht="11.25" customHeight="1">
      <c r="AL803" s="50"/>
      <c r="AM803" s="126"/>
      <c r="AN803" s="234" t="s">
        <v>3072</v>
      </c>
      <c r="AO803" s="235" t="s">
        <v>799</v>
      </c>
      <c r="AP803" s="257">
        <f>SUM(AQ803:AR803)</f>
        <v>0</v>
      </c>
      <c r="AQ803" s="258"/>
      <c r="AR803" s="258"/>
      <c r="AS803" s="127"/>
    </row>
    <row r="804" spans="38:45" ht="22.5">
      <c r="AL804" s="50"/>
      <c r="AM804" s="126"/>
      <c r="AN804" s="279" t="s">
        <v>2793</v>
      </c>
      <c r="AO804" s="488" t="s">
        <v>2782</v>
      </c>
      <c r="AP804" s="257">
        <f>IF(AP805&lt;&gt;0,(1000*AP803/AP805)/$AN$8,0)</f>
        <v>0</v>
      </c>
      <c r="AQ804" s="258"/>
      <c r="AR804" s="258"/>
      <c r="AS804" s="127"/>
    </row>
    <row r="805" spans="38:45">
      <c r="AL805" s="50"/>
      <c r="AM805" s="126"/>
      <c r="AN805" s="279" t="s">
        <v>2794</v>
      </c>
      <c r="AO805" s="488" t="s">
        <v>2783</v>
      </c>
      <c r="AP805" s="257">
        <f>SUM(AQ805:AR805)</f>
        <v>0</v>
      </c>
      <c r="AQ805" s="258"/>
      <c r="AR805" s="258"/>
      <c r="AS805" s="127"/>
    </row>
    <row r="806" spans="38:45" ht="22.5">
      <c r="AL806" s="50"/>
      <c r="AM806" s="126"/>
      <c r="AN806" s="279" t="s">
        <v>204</v>
      </c>
      <c r="AO806" s="488" t="s">
        <v>120</v>
      </c>
      <c r="AP806" s="263"/>
      <c r="AQ806" s="258"/>
      <c r="AR806" s="258"/>
      <c r="AS806" s="127"/>
    </row>
    <row r="807" spans="38:45">
      <c r="AL807" s="50"/>
      <c r="AM807" s="126"/>
      <c r="AN807" s="236" t="s">
        <v>75</v>
      </c>
      <c r="AO807" s="224" t="s">
        <v>1832</v>
      </c>
      <c r="AP807" s="257">
        <f>SUM(AQ807:AR807)</f>
        <v>0</v>
      </c>
      <c r="AQ807" s="258"/>
      <c r="AR807" s="258"/>
      <c r="AS807" s="127"/>
    </row>
    <row r="808" spans="38:45" ht="22.5">
      <c r="AL808" s="50"/>
      <c r="AM808" s="126"/>
      <c r="AN808" s="236" t="s">
        <v>1833</v>
      </c>
      <c r="AO808" s="225" t="s">
        <v>1834</v>
      </c>
      <c r="AP808" s="257">
        <f>IF(AP809&lt;&gt;0,(1000*AP807/AP809)/$AN$8,0)</f>
        <v>0</v>
      </c>
      <c r="AQ808" s="258"/>
      <c r="AR808" s="258"/>
      <c r="AS808" s="127"/>
    </row>
    <row r="809" spans="38:45" ht="22.5">
      <c r="AL809" s="50"/>
      <c r="AM809" s="126"/>
      <c r="AN809" s="236" t="s">
        <v>1835</v>
      </c>
      <c r="AO809" s="225" t="s">
        <v>1836</v>
      </c>
      <c r="AP809" s="257">
        <f>SUM(AQ809:AR809)</f>
        <v>0</v>
      </c>
      <c r="AQ809" s="258"/>
      <c r="AR809" s="258"/>
      <c r="AS809" s="127"/>
    </row>
    <row r="810" spans="38:45">
      <c r="AL810" s="50"/>
      <c r="AM810" s="126"/>
      <c r="AN810" s="236" t="s">
        <v>208</v>
      </c>
      <c r="AO810" s="488" t="s">
        <v>119</v>
      </c>
      <c r="AP810" s="263"/>
      <c r="AQ810" s="258"/>
      <c r="AR810" s="258"/>
      <c r="AS810" s="127"/>
    </row>
    <row r="811" spans="38:45">
      <c r="AL811" s="50"/>
      <c r="AM811" s="126"/>
      <c r="AN811" s="236" t="s">
        <v>209</v>
      </c>
      <c r="AO811" s="488" t="s">
        <v>121</v>
      </c>
      <c r="AP811" s="263"/>
      <c r="AQ811" s="258"/>
      <c r="AR811" s="258"/>
      <c r="AS811" s="127"/>
    </row>
    <row r="812" spans="38:45">
      <c r="AL812" s="50"/>
      <c r="AM812" s="126"/>
      <c r="AN812" s="236" t="s">
        <v>210</v>
      </c>
      <c r="AO812" s="488" t="s">
        <v>122</v>
      </c>
      <c r="AP812" s="263"/>
      <c r="AQ812" s="258"/>
      <c r="AR812" s="258"/>
      <c r="AS812" s="127"/>
    </row>
    <row r="813" spans="38:45">
      <c r="AL813" s="50"/>
      <c r="AM813" s="126"/>
      <c r="AN813" s="236" t="s">
        <v>62</v>
      </c>
      <c r="AO813" s="224" t="s">
        <v>1838</v>
      </c>
      <c r="AP813" s="257">
        <f>SUM(AQ813:AR813)</f>
        <v>0</v>
      </c>
      <c r="AQ813" s="258"/>
      <c r="AR813" s="258"/>
      <c r="AS813" s="127"/>
    </row>
    <row r="814" spans="38:45">
      <c r="AL814" s="50"/>
      <c r="AM814" s="126"/>
      <c r="AN814" s="236" t="s">
        <v>1837</v>
      </c>
      <c r="AO814" s="228" t="s">
        <v>1839</v>
      </c>
      <c r="AP814" s="257">
        <f>IF(AP815&lt;&gt;0,(1000*AP813/AP815)/$AN$8,0)</f>
        <v>0</v>
      </c>
      <c r="AQ814" s="258"/>
      <c r="AR814" s="258"/>
      <c r="AS814" s="127"/>
    </row>
    <row r="815" spans="38:45" ht="22.5">
      <c r="AL815" s="50"/>
      <c r="AM815" s="126"/>
      <c r="AN815" s="236" t="s">
        <v>1840</v>
      </c>
      <c r="AO815" s="228" t="s">
        <v>1841</v>
      </c>
      <c r="AP815" s="257">
        <f>SUM(AQ815:AR815)</f>
        <v>0</v>
      </c>
      <c r="AQ815" s="258"/>
      <c r="AR815" s="258"/>
      <c r="AS815" s="127"/>
    </row>
    <row r="816" spans="38:45">
      <c r="AL816" s="50"/>
      <c r="AM816" s="126"/>
      <c r="AN816" s="236" t="s">
        <v>205</v>
      </c>
      <c r="AO816" s="488" t="s">
        <v>119</v>
      </c>
      <c r="AP816" s="263"/>
      <c r="AQ816" s="258"/>
      <c r="AR816" s="258"/>
      <c r="AS816" s="127"/>
    </row>
    <row r="817" spans="38:45">
      <c r="AL817" s="50"/>
      <c r="AM817" s="126"/>
      <c r="AN817" s="236" t="s">
        <v>206</v>
      </c>
      <c r="AO817" s="488" t="s">
        <v>121</v>
      </c>
      <c r="AP817" s="263"/>
      <c r="AQ817" s="258"/>
      <c r="AR817" s="258"/>
      <c r="AS817" s="127"/>
    </row>
    <row r="818" spans="38:45">
      <c r="AL818" s="50"/>
      <c r="AM818" s="126"/>
      <c r="AN818" s="236" t="s">
        <v>207</v>
      </c>
      <c r="AO818" s="488" t="s">
        <v>122</v>
      </c>
      <c r="AP818" s="263"/>
      <c r="AQ818" s="258"/>
      <c r="AR818" s="258"/>
      <c r="AS818" s="127"/>
    </row>
    <row r="819" spans="38:45">
      <c r="AL819" s="50"/>
      <c r="AM819" s="126"/>
      <c r="AN819" s="236" t="s">
        <v>68</v>
      </c>
      <c r="AO819" s="224" t="s">
        <v>1843</v>
      </c>
      <c r="AP819" s="257">
        <f>SUM(AQ819:AR819)</f>
        <v>0</v>
      </c>
      <c r="AQ819" s="258"/>
      <c r="AR819" s="258"/>
      <c r="AS819" s="127"/>
    </row>
    <row r="820" spans="38:45">
      <c r="AL820" s="50"/>
      <c r="AM820" s="126"/>
      <c r="AN820" s="236" t="s">
        <v>71</v>
      </c>
      <c r="AO820" s="228" t="s">
        <v>1844</v>
      </c>
      <c r="AP820" s="257">
        <f>IF(AP821&lt;&gt;0,(1000*AP819/AP821)/$AN$8,0)</f>
        <v>0</v>
      </c>
      <c r="AQ820" s="258"/>
      <c r="AR820" s="258"/>
      <c r="AS820" s="127"/>
    </row>
    <row r="821" spans="38:45" ht="22.5">
      <c r="AL821" s="50"/>
      <c r="AM821" s="126"/>
      <c r="AN821" s="236" t="s">
        <v>1845</v>
      </c>
      <c r="AO821" s="228" t="s">
        <v>1846</v>
      </c>
      <c r="AP821" s="257">
        <f>SUM(AQ821:AR821)</f>
        <v>0</v>
      </c>
      <c r="AQ821" s="258"/>
      <c r="AR821" s="258"/>
      <c r="AS821" s="127"/>
    </row>
    <row r="822" spans="38:45">
      <c r="AL822" s="50"/>
      <c r="AM822" s="126"/>
      <c r="AN822" s="236" t="s">
        <v>1848</v>
      </c>
      <c r="AO822" s="224" t="s">
        <v>1849</v>
      </c>
      <c r="AP822" s="257">
        <f>SUM(AQ822:AR822)</f>
        <v>0</v>
      </c>
      <c r="AQ822" s="258"/>
      <c r="AR822" s="258"/>
      <c r="AS822" s="127"/>
    </row>
    <row r="823" spans="38:45">
      <c r="AL823" s="50"/>
      <c r="AM823" s="126"/>
      <c r="AN823" s="236" t="s">
        <v>1850</v>
      </c>
      <c r="AO823" s="228" t="s">
        <v>1851</v>
      </c>
      <c r="AP823" s="257">
        <f>IF(AP824&lt;&gt;0,(1000*AP822/AP824)/$AN$8,0)</f>
        <v>0</v>
      </c>
      <c r="AQ823" s="258"/>
      <c r="AR823" s="258"/>
      <c r="AS823" s="127"/>
    </row>
    <row r="824" spans="38:45" ht="22.5">
      <c r="AL824" s="50"/>
      <c r="AM824" s="126"/>
      <c r="AN824" s="236" t="s">
        <v>1852</v>
      </c>
      <c r="AO824" s="225" t="s">
        <v>1853</v>
      </c>
      <c r="AP824" s="257">
        <f>SUM(AQ824:AR824)</f>
        <v>0</v>
      </c>
      <c r="AQ824" s="258"/>
      <c r="AR824" s="258"/>
      <c r="AS824" s="127"/>
    </row>
    <row r="825" spans="38:45" ht="22.5">
      <c r="AL825" s="50"/>
      <c r="AM825" s="126"/>
      <c r="AN825" s="236" t="s">
        <v>1855</v>
      </c>
      <c r="AO825" s="224" t="s">
        <v>1856</v>
      </c>
      <c r="AP825" s="257">
        <f>SUM(AQ825:AR825)</f>
        <v>0</v>
      </c>
      <c r="AQ825" s="258"/>
      <c r="AR825" s="258"/>
      <c r="AS825" s="127"/>
    </row>
    <row r="826" spans="38:45" ht="22.5">
      <c r="AL826" s="50"/>
      <c r="AM826" s="126"/>
      <c r="AN826" s="236" t="s">
        <v>1857</v>
      </c>
      <c r="AO826" s="228" t="s">
        <v>2307</v>
      </c>
      <c r="AP826" s="257">
        <f>IF(AP827&lt;&gt;0,(1000*AP825/AP827)/$AN$8,0)</f>
        <v>0</v>
      </c>
      <c r="AQ826" s="258"/>
      <c r="AR826" s="258"/>
      <c r="AS826" s="127"/>
    </row>
    <row r="827" spans="38:45" ht="22.5">
      <c r="AL827" s="50"/>
      <c r="AM827" s="126"/>
      <c r="AN827" s="236" t="s">
        <v>1859</v>
      </c>
      <c r="AO827" s="225" t="s">
        <v>1860</v>
      </c>
      <c r="AP827" s="257">
        <f t="shared" ref="AP827:AP844" si="4">SUM(AQ827:AR827)</f>
        <v>0</v>
      </c>
      <c r="AQ827" s="258"/>
      <c r="AR827" s="258"/>
      <c r="AS827" s="127"/>
    </row>
    <row r="828" spans="38:45">
      <c r="AL828" s="50"/>
      <c r="AM828" s="126"/>
      <c r="AN828" s="234" t="s">
        <v>2412</v>
      </c>
      <c r="AO828" s="235" t="s">
        <v>2413</v>
      </c>
      <c r="AP828" s="257">
        <f t="shared" si="4"/>
        <v>0</v>
      </c>
      <c r="AQ828" s="258"/>
      <c r="AR828" s="258"/>
      <c r="AS828" s="127"/>
    </row>
    <row r="829" spans="38:45" ht="22.5">
      <c r="AL829" s="50"/>
      <c r="AM829" s="126"/>
      <c r="AN829" s="236" t="s">
        <v>2414</v>
      </c>
      <c r="AO829" s="224" t="s">
        <v>2415</v>
      </c>
      <c r="AP829" s="257">
        <f t="shared" si="4"/>
        <v>0</v>
      </c>
      <c r="AQ829" s="258"/>
      <c r="AR829" s="258"/>
      <c r="AS829" s="127"/>
    </row>
    <row r="830" spans="38:45" ht="22.5">
      <c r="AL830" s="50"/>
      <c r="AM830" s="126"/>
      <c r="AN830" s="236" t="s">
        <v>2416</v>
      </c>
      <c r="AO830" s="224" t="s">
        <v>2417</v>
      </c>
      <c r="AP830" s="257">
        <f t="shared" si="4"/>
        <v>0</v>
      </c>
      <c r="AQ830" s="258"/>
      <c r="AR830" s="258"/>
      <c r="AS830" s="127"/>
    </row>
    <row r="831" spans="38:45" ht="22.5">
      <c r="AL831" s="50"/>
      <c r="AM831" s="126"/>
      <c r="AN831" s="236" t="s">
        <v>2419</v>
      </c>
      <c r="AO831" s="224" t="s">
        <v>2420</v>
      </c>
      <c r="AP831" s="257">
        <f t="shared" si="4"/>
        <v>0</v>
      </c>
      <c r="AQ831" s="258"/>
      <c r="AR831" s="258"/>
      <c r="AS831" s="127"/>
    </row>
    <row r="832" spans="38:45">
      <c r="AL832" s="50"/>
      <c r="AM832" s="126"/>
      <c r="AN832" s="236" t="s">
        <v>2422</v>
      </c>
      <c r="AO832" s="224" t="s">
        <v>2423</v>
      </c>
      <c r="AP832" s="257">
        <f t="shared" si="4"/>
        <v>0</v>
      </c>
      <c r="AQ832" s="258"/>
      <c r="AR832" s="258"/>
      <c r="AS832" s="127"/>
    </row>
    <row r="833" spans="38:45">
      <c r="AL833" s="50"/>
      <c r="AM833" s="126"/>
      <c r="AN833" s="236" t="s">
        <v>2425</v>
      </c>
      <c r="AO833" s="224" t="s">
        <v>2426</v>
      </c>
      <c r="AP833" s="257">
        <f t="shared" si="4"/>
        <v>0</v>
      </c>
      <c r="AQ833" s="258"/>
      <c r="AR833" s="258"/>
      <c r="AS833" s="127"/>
    </row>
    <row r="834" spans="38:45" ht="22.5">
      <c r="AL834" s="50"/>
      <c r="AM834" s="126"/>
      <c r="AN834" s="236" t="s">
        <v>2427</v>
      </c>
      <c r="AO834" s="235" t="s">
        <v>2428</v>
      </c>
      <c r="AP834" s="257">
        <f t="shared" si="4"/>
        <v>0</v>
      </c>
      <c r="AQ834" s="258"/>
      <c r="AR834" s="258"/>
      <c r="AS834" s="127"/>
    </row>
    <row r="835" spans="38:45" ht="33.75">
      <c r="AL835" s="50"/>
      <c r="AM835" s="126"/>
      <c r="AN835" s="234" t="s">
        <v>2429</v>
      </c>
      <c r="AO835" s="224" t="s">
        <v>2430</v>
      </c>
      <c r="AP835" s="257">
        <f t="shared" si="4"/>
        <v>0</v>
      </c>
      <c r="AQ835" s="258"/>
      <c r="AR835" s="258"/>
      <c r="AS835" s="127"/>
    </row>
    <row r="836" spans="38:45">
      <c r="AL836" s="50"/>
      <c r="AM836" s="126"/>
      <c r="AN836" s="234" t="s">
        <v>2431</v>
      </c>
      <c r="AO836" s="235" t="s">
        <v>2432</v>
      </c>
      <c r="AP836" s="257">
        <f t="shared" si="4"/>
        <v>0</v>
      </c>
      <c r="AQ836" s="258"/>
      <c r="AR836" s="258"/>
      <c r="AS836" s="127"/>
    </row>
    <row r="837" spans="38:45" ht="22.5">
      <c r="AL837" s="50"/>
      <c r="AM837" s="126"/>
      <c r="AN837" s="236" t="s">
        <v>1842</v>
      </c>
      <c r="AO837" s="224" t="s">
        <v>2433</v>
      </c>
      <c r="AP837" s="257">
        <f t="shared" si="4"/>
        <v>0</v>
      </c>
      <c r="AQ837" s="258"/>
      <c r="AR837" s="258"/>
      <c r="AS837" s="127"/>
    </row>
    <row r="838" spans="38:45">
      <c r="AL838" s="50"/>
      <c r="AM838" s="126"/>
      <c r="AN838" s="236" t="s">
        <v>2418</v>
      </c>
      <c r="AO838" s="224" t="s">
        <v>2434</v>
      </c>
      <c r="AP838" s="257">
        <f t="shared" si="4"/>
        <v>0</v>
      </c>
      <c r="AQ838" s="258"/>
      <c r="AR838" s="258"/>
      <c r="AS838" s="127"/>
    </row>
    <row r="839" spans="38:45">
      <c r="AL839" s="50"/>
      <c r="AM839" s="126"/>
      <c r="AN839" s="236" t="s">
        <v>2435</v>
      </c>
      <c r="AO839" s="224" t="s">
        <v>2436</v>
      </c>
      <c r="AP839" s="257">
        <f t="shared" si="4"/>
        <v>0</v>
      </c>
      <c r="AQ839" s="258"/>
      <c r="AR839" s="258"/>
      <c r="AS839" s="127"/>
    </row>
    <row r="840" spans="38:45" ht="22.5">
      <c r="AL840" s="50"/>
      <c r="AM840" s="126"/>
      <c r="AN840" s="236" t="s">
        <v>2437</v>
      </c>
      <c r="AO840" s="224" t="s">
        <v>2438</v>
      </c>
      <c r="AP840" s="257">
        <f t="shared" si="4"/>
        <v>0</v>
      </c>
      <c r="AQ840" s="258"/>
      <c r="AR840" s="258"/>
      <c r="AS840" s="127"/>
    </row>
    <row r="841" spans="38:45">
      <c r="AL841" s="50"/>
      <c r="AM841" s="126"/>
      <c r="AN841" s="236" t="s">
        <v>2439</v>
      </c>
      <c r="AO841" s="224" t="s">
        <v>2440</v>
      </c>
      <c r="AP841" s="257">
        <f t="shared" si="4"/>
        <v>0</v>
      </c>
      <c r="AQ841" s="258"/>
      <c r="AR841" s="258"/>
      <c r="AS841" s="127"/>
    </row>
    <row r="842" spans="38:45">
      <c r="AL842" s="50"/>
      <c r="AM842" s="126"/>
      <c r="AN842" s="236" t="s">
        <v>2441</v>
      </c>
      <c r="AO842" s="224" t="s">
        <v>2442</v>
      </c>
      <c r="AP842" s="257">
        <f t="shared" si="4"/>
        <v>0</v>
      </c>
      <c r="AQ842" s="258"/>
      <c r="AR842" s="258"/>
      <c r="AS842" s="127"/>
    </row>
    <row r="843" spans="38:45">
      <c r="AL843" s="50"/>
      <c r="AM843" s="126"/>
      <c r="AN843" s="236" t="s">
        <v>2443</v>
      </c>
      <c r="AO843" s="224" t="s">
        <v>2444</v>
      </c>
      <c r="AP843" s="257">
        <f t="shared" si="4"/>
        <v>0</v>
      </c>
      <c r="AQ843" s="258"/>
      <c r="AR843" s="258"/>
      <c r="AS843" s="127"/>
    </row>
    <row r="844" spans="38:45">
      <c r="AL844" s="50"/>
      <c r="AM844" s="126"/>
      <c r="AN844" s="236" t="s">
        <v>842</v>
      </c>
      <c r="AO844" s="224" t="s">
        <v>843</v>
      </c>
      <c r="AP844" s="257">
        <f t="shared" si="4"/>
        <v>0</v>
      </c>
      <c r="AQ844" s="258"/>
      <c r="AR844" s="258"/>
      <c r="AS844" s="127"/>
    </row>
    <row r="845" spans="38:45" ht="0.75" customHeight="1">
      <c r="AL845" s="50"/>
      <c r="AM845" s="126"/>
      <c r="AN845" s="223"/>
      <c r="AO845" s="728"/>
      <c r="AP845" s="260"/>
      <c r="AQ845" s="258"/>
      <c r="AR845" s="258"/>
      <c r="AS845" s="127"/>
    </row>
    <row r="846" spans="38:45" ht="0.75" customHeight="1">
      <c r="AL846" s="50"/>
      <c r="AM846" s="126"/>
      <c r="AN846" s="223"/>
      <c r="AO846" s="728"/>
      <c r="AP846" s="260"/>
      <c r="AQ846" s="258"/>
      <c r="AR846" s="258"/>
      <c r="AS846" s="127"/>
    </row>
    <row r="847" spans="38:45" ht="0.75" customHeight="1">
      <c r="AL847" s="50"/>
      <c r="AM847" s="126"/>
      <c r="AN847" s="223"/>
      <c r="AO847" s="728"/>
      <c r="AP847" s="260"/>
      <c r="AQ847" s="258"/>
      <c r="AR847" s="258"/>
      <c r="AS847" s="127"/>
    </row>
    <row r="848" spans="38:45" ht="0.75" customHeight="1">
      <c r="AL848" s="50"/>
      <c r="AM848" s="126"/>
      <c r="AN848" s="223"/>
      <c r="AO848" s="728"/>
      <c r="AP848" s="260"/>
      <c r="AQ848" s="258"/>
      <c r="AR848" s="258"/>
      <c r="AS848" s="127"/>
    </row>
    <row r="849" spans="38:45" ht="0.75" customHeight="1">
      <c r="AL849" s="50"/>
      <c r="AM849" s="126"/>
      <c r="AN849" s="223"/>
      <c r="AO849" s="728"/>
      <c r="AP849" s="260"/>
      <c r="AQ849" s="258"/>
      <c r="AR849" s="258"/>
      <c r="AS849" s="127"/>
    </row>
    <row r="850" spans="38:45" ht="0.75" customHeight="1">
      <c r="AL850" s="50"/>
      <c r="AM850" s="126"/>
      <c r="AN850" s="223"/>
      <c r="AO850" s="728"/>
      <c r="AP850" s="260"/>
      <c r="AQ850" s="258"/>
      <c r="AR850" s="258"/>
      <c r="AS850" s="127"/>
    </row>
    <row r="851" spans="38:45" hidden="1">
      <c r="AL851" s="50"/>
      <c r="AM851" s="126"/>
      <c r="AN851" s="236"/>
      <c r="AO851" s="224"/>
      <c r="AP851" s="260"/>
      <c r="AQ851" s="258"/>
      <c r="AR851" s="258"/>
      <c r="AS851" s="127"/>
    </row>
    <row r="852" spans="38:45" hidden="1">
      <c r="AL852" s="50"/>
      <c r="AM852" s="126"/>
      <c r="AN852" s="236"/>
      <c r="AO852" s="224"/>
      <c r="AP852" s="260"/>
      <c r="AQ852" s="258"/>
      <c r="AR852" s="258"/>
      <c r="AS852" s="127"/>
    </row>
    <row r="853" spans="38:45">
      <c r="AL853" s="50"/>
      <c r="AM853" s="126"/>
      <c r="AN853" s="236" t="s">
        <v>844</v>
      </c>
      <c r="AO853" s="235" t="s">
        <v>853</v>
      </c>
      <c r="AP853" s="257">
        <f>SUM(AQ853:AR853)</f>
        <v>0</v>
      </c>
      <c r="AQ853" s="258"/>
      <c r="AR853" s="258"/>
      <c r="AS853" s="127"/>
    </row>
    <row r="854" spans="38:45">
      <c r="AL854" s="50"/>
      <c r="AM854" s="126"/>
      <c r="AN854" s="234" t="s">
        <v>854</v>
      </c>
      <c r="AO854" s="205" t="s">
        <v>76</v>
      </c>
      <c r="AP854" s="257">
        <f>SUM(AQ854:AR854)</f>
        <v>0</v>
      </c>
      <c r="AQ854" s="258"/>
      <c r="AR854" s="258"/>
      <c r="AS854" s="127"/>
    </row>
    <row r="855" spans="38:45" ht="0.75" customHeight="1">
      <c r="AL855" s="50"/>
      <c r="AM855" s="126"/>
      <c r="AN855" s="236"/>
      <c r="AO855" s="235"/>
      <c r="AP855" s="260"/>
      <c r="AQ855" s="258"/>
      <c r="AR855" s="258"/>
      <c r="AS855" s="127"/>
    </row>
    <row r="856" spans="38:45" ht="0.75" customHeight="1">
      <c r="AL856" s="50"/>
      <c r="AM856" s="126"/>
      <c r="AN856" s="236"/>
      <c r="AO856" s="205"/>
      <c r="AP856" s="260"/>
      <c r="AQ856" s="258"/>
      <c r="AR856" s="258"/>
      <c r="AS856" s="127"/>
    </row>
    <row r="857" spans="38:45" ht="0.75" customHeight="1">
      <c r="AL857" s="50"/>
      <c r="AM857" s="126"/>
      <c r="AN857" s="236"/>
      <c r="AO857" s="205"/>
      <c r="AP857" s="260"/>
      <c r="AQ857" s="258"/>
      <c r="AR857" s="258"/>
      <c r="AS857" s="127"/>
    </row>
    <row r="858" spans="38:45" ht="0.75" customHeight="1">
      <c r="AL858" s="50"/>
      <c r="AM858" s="126"/>
      <c r="AN858" s="236"/>
      <c r="AO858" s="205"/>
      <c r="AP858" s="260"/>
      <c r="AQ858" s="258"/>
      <c r="AR858" s="258"/>
      <c r="AS858" s="127"/>
    </row>
    <row r="859" spans="38:45" ht="0.75" customHeight="1">
      <c r="AL859" s="50"/>
      <c r="AM859" s="126"/>
      <c r="AN859" s="236"/>
      <c r="AO859" s="205"/>
      <c r="AP859" s="260"/>
      <c r="AQ859" s="258"/>
      <c r="AR859" s="258"/>
      <c r="AS859" s="127"/>
    </row>
    <row r="860" spans="38:45" ht="0.75" customHeight="1">
      <c r="AL860" s="50"/>
      <c r="AM860" s="126"/>
      <c r="AN860" s="236"/>
      <c r="AO860" s="205"/>
      <c r="AP860" s="260"/>
      <c r="AQ860" s="258"/>
      <c r="AR860" s="258"/>
      <c r="AS860" s="127"/>
    </row>
    <row r="861" spans="38:45" ht="0.75" customHeight="1">
      <c r="AL861" s="50"/>
      <c r="AM861" s="126"/>
      <c r="AN861" s="236"/>
      <c r="AO861" s="229"/>
      <c r="AP861" s="260"/>
      <c r="AQ861" s="258"/>
      <c r="AR861" s="258"/>
      <c r="AS861" s="127"/>
    </row>
    <row r="862" spans="38:45" ht="0.75" customHeight="1">
      <c r="AL862" s="50"/>
      <c r="AM862" s="126"/>
      <c r="AN862" s="236"/>
      <c r="AO862" s="229"/>
      <c r="AP862" s="260"/>
      <c r="AQ862" s="258"/>
      <c r="AR862" s="258"/>
      <c r="AS862" s="127"/>
    </row>
    <row r="863" spans="38:45" ht="0.75" customHeight="1">
      <c r="AL863" s="53"/>
      <c r="AM863" s="126"/>
      <c r="AN863" s="236"/>
      <c r="AO863" s="229"/>
      <c r="AP863" s="260"/>
      <c r="AQ863" s="258"/>
      <c r="AR863" s="258"/>
      <c r="AS863" s="127"/>
    </row>
    <row r="864" spans="38:45" ht="0.75" customHeight="1">
      <c r="AL864" s="53"/>
      <c r="AM864" s="126"/>
      <c r="AN864" s="234"/>
      <c r="AO864" s="249"/>
      <c r="AP864" s="260"/>
      <c r="AQ864" s="258"/>
      <c r="AR864" s="258"/>
      <c r="AS864" s="127"/>
    </row>
    <row r="865" spans="38:45" ht="0.75" customHeight="1">
      <c r="AL865" s="53"/>
      <c r="AM865" s="126"/>
      <c r="AN865" s="236"/>
      <c r="AO865" s="205"/>
      <c r="AP865" s="260"/>
      <c r="AQ865" s="258"/>
      <c r="AR865" s="258"/>
      <c r="AS865" s="127"/>
    </row>
    <row r="866" spans="38:45" ht="0.75" customHeight="1">
      <c r="AL866" s="53"/>
      <c r="AM866" s="126"/>
      <c r="AN866" s="236"/>
      <c r="AO866" s="205"/>
      <c r="AP866" s="260"/>
      <c r="AQ866" s="258"/>
      <c r="AR866" s="258"/>
      <c r="AS866" s="127"/>
    </row>
    <row r="867" spans="38:45" ht="0.75" customHeight="1">
      <c r="AL867" s="53"/>
      <c r="AM867" s="126"/>
      <c r="AN867" s="236"/>
      <c r="AO867" s="250"/>
      <c r="AP867" s="260"/>
      <c r="AQ867" s="258"/>
      <c r="AR867" s="258"/>
      <c r="AS867" s="127"/>
    </row>
    <row r="868" spans="38:45" ht="0.75" customHeight="1">
      <c r="AL868" s="53"/>
      <c r="AM868" s="126"/>
      <c r="AN868" s="236"/>
      <c r="AO868" s="250"/>
      <c r="AP868" s="260"/>
      <c r="AQ868" s="258"/>
      <c r="AR868" s="258"/>
      <c r="AS868" s="127"/>
    </row>
    <row r="869" spans="38:45" ht="0.75" customHeight="1">
      <c r="AL869" s="53"/>
      <c r="AM869" s="126"/>
      <c r="AN869" s="236"/>
      <c r="AO869" s="250"/>
      <c r="AP869" s="260"/>
      <c r="AQ869" s="258"/>
      <c r="AR869" s="258"/>
      <c r="AS869" s="127"/>
    </row>
    <row r="870" spans="38:45" ht="0.75" customHeight="1">
      <c r="AL870" s="53"/>
      <c r="AM870" s="126"/>
      <c r="AN870" s="236"/>
      <c r="AO870" s="205"/>
      <c r="AP870" s="260"/>
      <c r="AQ870" s="258"/>
      <c r="AR870" s="258"/>
      <c r="AS870" s="127"/>
    </row>
    <row r="871" spans="38:45" ht="0.75" customHeight="1">
      <c r="AL871" s="50"/>
      <c r="AM871" s="126"/>
      <c r="AN871" s="236"/>
      <c r="AO871" s="250"/>
      <c r="AP871" s="260"/>
      <c r="AQ871" s="258"/>
      <c r="AR871" s="258"/>
      <c r="AS871" s="127"/>
    </row>
    <row r="872" spans="38:45" ht="0.75" customHeight="1">
      <c r="AL872" s="50" t="s">
        <v>2482</v>
      </c>
      <c r="AM872" s="126"/>
      <c r="AN872" s="236"/>
      <c r="AO872" s="325"/>
      <c r="AP872" s="260"/>
      <c r="AQ872" s="258"/>
      <c r="AR872" s="258"/>
      <c r="AS872" s="127"/>
    </row>
    <row r="873" spans="38:45" ht="0.75" customHeight="1">
      <c r="AL873" s="50"/>
      <c r="AM873" s="126"/>
      <c r="AN873" s="236"/>
      <c r="AO873" s="483"/>
      <c r="AP873" s="260"/>
      <c r="AQ873" s="258"/>
      <c r="AR873" s="258"/>
      <c r="AS873" s="127"/>
    </row>
    <row r="874" spans="38:45" ht="0.75" customHeight="1">
      <c r="AL874" s="50"/>
      <c r="AM874" s="126"/>
      <c r="AN874" s="236"/>
      <c r="AO874" s="235"/>
      <c r="AP874" s="260"/>
      <c r="AQ874" s="258"/>
      <c r="AR874" s="258"/>
      <c r="AS874" s="127"/>
    </row>
    <row r="875" spans="38:45" ht="0.75" customHeight="1">
      <c r="AL875" s="53"/>
      <c r="AM875" s="126"/>
      <c r="AN875" s="436"/>
      <c r="AO875" s="500"/>
      <c r="AP875" s="260"/>
      <c r="AQ875" s="258"/>
      <c r="AR875" s="258"/>
      <c r="AS875" s="127"/>
    </row>
    <row r="876" spans="38:45" ht="0.75" customHeight="1">
      <c r="AL876" s="53"/>
      <c r="AM876" s="126"/>
      <c r="AN876" s="236"/>
      <c r="AO876" s="235"/>
      <c r="AP876" s="260"/>
      <c r="AQ876" s="258"/>
      <c r="AR876" s="258"/>
      <c r="AS876" s="127"/>
    </row>
    <row r="877" spans="38:45" ht="0.75" customHeight="1">
      <c r="AL877" s="53"/>
      <c r="AM877" s="126"/>
      <c r="AN877" s="236"/>
      <c r="AO877" s="230"/>
      <c r="AP877" s="260"/>
      <c r="AQ877" s="258"/>
      <c r="AR877" s="258"/>
      <c r="AS877" s="127"/>
    </row>
    <row r="878" spans="38:45" ht="0.75" customHeight="1">
      <c r="AL878" s="53"/>
      <c r="AM878" s="126"/>
      <c r="AN878" s="236"/>
      <c r="AO878" s="230"/>
      <c r="AP878" s="260"/>
      <c r="AQ878" s="258"/>
      <c r="AR878" s="258"/>
      <c r="AS878" s="127"/>
    </row>
    <row r="879" spans="38:45" ht="0.75" customHeight="1">
      <c r="AL879" s="53"/>
      <c r="AM879" s="126"/>
      <c r="AN879" s="236"/>
      <c r="AO879" s="230"/>
      <c r="AP879" s="260"/>
      <c r="AQ879" s="258"/>
      <c r="AR879" s="258"/>
      <c r="AS879" s="127"/>
    </row>
    <row r="880" spans="38:45" ht="0.75" customHeight="1">
      <c r="AL880" s="53"/>
      <c r="AM880" s="126"/>
      <c r="AN880" s="239"/>
      <c r="AO880" s="231"/>
      <c r="AP880" s="260"/>
      <c r="AQ880" s="258"/>
      <c r="AR880" s="258"/>
      <c r="AS880" s="127"/>
    </row>
    <row r="881" spans="38:45" ht="0.75" customHeight="1">
      <c r="AL881" s="53"/>
      <c r="AM881" s="126"/>
      <c r="AN881" s="239"/>
      <c r="AO881" s="499"/>
      <c r="AP881" s="260"/>
      <c r="AQ881" s="258"/>
      <c r="AR881" s="258"/>
      <c r="AS881" s="127"/>
    </row>
    <row r="882" spans="38:45" ht="0.75" customHeight="1">
      <c r="AL882" s="53"/>
      <c r="AM882" s="126"/>
      <c r="AN882" s="236"/>
      <c r="AO882" s="230"/>
      <c r="AP882" s="260"/>
      <c r="AQ882" s="258"/>
      <c r="AR882" s="258"/>
      <c r="AS882" s="127"/>
    </row>
    <row r="883" spans="38:45" ht="0.75" customHeight="1">
      <c r="AL883" s="53"/>
      <c r="AM883" s="126"/>
      <c r="AN883" s="239"/>
      <c r="AO883" s="231"/>
      <c r="AP883" s="260"/>
      <c r="AQ883" s="258"/>
      <c r="AR883" s="258"/>
      <c r="AS883" s="127"/>
    </row>
    <row r="884" spans="38:45" ht="0.75" customHeight="1">
      <c r="AL884" s="53"/>
      <c r="AM884" s="126"/>
      <c r="AN884" s="239"/>
      <c r="AO884" s="231"/>
      <c r="AP884" s="260"/>
      <c r="AQ884" s="258"/>
      <c r="AR884" s="258"/>
      <c r="AS884" s="127"/>
    </row>
    <row r="885" spans="38:45" ht="0.75" customHeight="1">
      <c r="AL885" s="53"/>
      <c r="AM885" s="126"/>
      <c r="AN885" s="236"/>
      <c r="AO885" s="230"/>
      <c r="AP885" s="260"/>
      <c r="AQ885" s="258"/>
      <c r="AR885" s="258"/>
      <c r="AS885" s="127"/>
    </row>
    <row r="886" spans="38:45" ht="0.75" customHeight="1">
      <c r="AL886" s="53"/>
      <c r="AM886" s="126"/>
      <c r="AN886" s="239"/>
      <c r="AO886" s="231"/>
      <c r="AP886" s="260"/>
      <c r="AQ886" s="258"/>
      <c r="AR886" s="258"/>
      <c r="AS886" s="127"/>
    </row>
    <row r="887" spans="38:45" ht="0.75" customHeight="1">
      <c r="AL887" s="53"/>
      <c r="AM887" s="126"/>
      <c r="AN887" s="239"/>
      <c r="AO887" s="231"/>
      <c r="AP887" s="260"/>
      <c r="AQ887" s="258"/>
      <c r="AR887" s="258"/>
      <c r="AS887" s="127"/>
    </row>
    <row r="888" spans="38:45" ht="0.75" customHeight="1">
      <c r="AL888" s="53"/>
      <c r="AM888" s="126"/>
      <c r="AN888" s="236"/>
      <c r="AO888" s="230"/>
      <c r="AP888" s="260"/>
      <c r="AQ888" s="258"/>
      <c r="AR888" s="258"/>
      <c r="AS888" s="127"/>
    </row>
    <row r="889" spans="38:45" ht="0.75" customHeight="1">
      <c r="AL889" s="53"/>
      <c r="AM889" s="126"/>
      <c r="AN889" s="239"/>
      <c r="AO889" s="231"/>
      <c r="AP889" s="260"/>
      <c r="AQ889" s="258"/>
      <c r="AR889" s="258"/>
      <c r="AS889" s="127"/>
    </row>
    <row r="890" spans="38:45" ht="0.75" customHeight="1">
      <c r="AL890" s="53"/>
      <c r="AM890" s="126"/>
      <c r="AN890" s="239"/>
      <c r="AO890" s="231"/>
      <c r="AP890" s="260"/>
      <c r="AQ890" s="258"/>
      <c r="AR890" s="258"/>
      <c r="AS890" s="127"/>
    </row>
    <row r="891" spans="38:45" hidden="1">
      <c r="AL891" s="53"/>
      <c r="AM891" s="126"/>
      <c r="AN891" s="236"/>
      <c r="AO891" s="205"/>
      <c r="AP891" s="264"/>
      <c r="AQ891" s="258"/>
      <c r="AR891" s="258"/>
      <c r="AS891" s="127"/>
    </row>
    <row r="892" spans="38:45" hidden="1">
      <c r="AL892" s="53"/>
      <c r="AM892" s="126"/>
      <c r="AN892" s="236"/>
      <c r="AO892" s="231"/>
      <c r="AP892" s="260"/>
      <c r="AQ892" s="258"/>
      <c r="AR892" s="258"/>
      <c r="AS892" s="127"/>
    </row>
    <row r="893" spans="38:45" hidden="1">
      <c r="AL893" s="53"/>
      <c r="AM893" s="126"/>
      <c r="AN893" s="236"/>
      <c r="AO893" s="231"/>
      <c r="AP893" s="260"/>
      <c r="AQ893" s="258"/>
      <c r="AR893" s="258"/>
      <c r="AS893" s="127"/>
    </row>
    <row r="894" spans="38:45" hidden="1">
      <c r="AL894" s="53"/>
      <c r="AM894" s="126"/>
      <c r="AN894" s="236"/>
      <c r="AO894" s="231"/>
      <c r="AP894" s="260"/>
      <c r="AQ894" s="258"/>
      <c r="AR894" s="258"/>
      <c r="AS894" s="127"/>
    </row>
    <row r="895" spans="38:45" hidden="1">
      <c r="AL895" s="53"/>
      <c r="AM895" s="126"/>
      <c r="AN895" s="236"/>
      <c r="AO895" s="231"/>
      <c r="AP895" s="260"/>
      <c r="AQ895" s="258"/>
      <c r="AR895" s="258"/>
      <c r="AS895" s="127"/>
    </row>
    <row r="896" spans="38:45" hidden="1">
      <c r="AL896" s="53"/>
      <c r="AM896" s="126"/>
      <c r="AN896" s="236"/>
      <c r="AO896" s="231"/>
      <c r="AP896" s="260"/>
      <c r="AQ896" s="258"/>
      <c r="AR896" s="258"/>
      <c r="AS896" s="127"/>
    </row>
    <row r="897" spans="10:45" hidden="1">
      <c r="AL897" s="53"/>
      <c r="AM897" s="126"/>
      <c r="AN897" s="236"/>
      <c r="AO897" s="231"/>
      <c r="AP897" s="260"/>
      <c r="AQ897" s="258"/>
      <c r="AR897" s="258"/>
      <c r="AS897" s="127"/>
    </row>
    <row r="898" spans="10:45" hidden="1">
      <c r="AL898" s="53"/>
      <c r="AM898" s="126"/>
      <c r="AN898" s="236"/>
      <c r="AO898" s="231"/>
      <c r="AP898" s="260"/>
      <c r="AQ898" s="258"/>
      <c r="AR898" s="258"/>
      <c r="AS898" s="127"/>
    </row>
    <row r="899" spans="10:45" s="48" customFormat="1" hidden="1">
      <c r="J899" s="213"/>
      <c r="K899" s="213"/>
      <c r="L899" s="213"/>
      <c r="M899" s="213"/>
      <c r="N899" s="213"/>
      <c r="O899" s="213"/>
      <c r="P899" s="213"/>
      <c r="Q899" s="213"/>
      <c r="R899" s="213"/>
      <c r="S899" s="213"/>
      <c r="T899" s="213"/>
      <c r="U899" s="213"/>
      <c r="V899" s="213"/>
      <c r="W899" s="213"/>
      <c r="X899" s="213"/>
      <c r="Y899" s="213"/>
      <c r="Z899" s="213"/>
      <c r="AA899" s="213"/>
      <c r="AB899" s="213"/>
      <c r="AC899" s="213"/>
      <c r="AD899" s="213"/>
      <c r="AE899" s="213"/>
      <c r="AF899" s="213"/>
      <c r="AG899" s="213"/>
      <c r="AH899" s="213"/>
      <c r="AI899" s="213"/>
      <c r="AJ899" s="213"/>
      <c r="AK899" s="213"/>
      <c r="AL899" s="213"/>
      <c r="AM899" s="213"/>
      <c r="AN899" s="283"/>
      <c r="AO899" s="284"/>
      <c r="AP899" s="285"/>
      <c r="AQ899" s="258"/>
      <c r="AR899" s="258"/>
    </row>
    <row r="900" spans="10:45" s="48" customFormat="1" hidden="1">
      <c r="J900" s="213"/>
      <c r="K900" s="213"/>
      <c r="L900" s="213"/>
      <c r="M900" s="213"/>
      <c r="N900" s="213"/>
      <c r="O900" s="213"/>
      <c r="P900" s="213"/>
      <c r="Q900" s="213"/>
      <c r="R900" s="213"/>
      <c r="S900" s="213"/>
      <c r="T900" s="213"/>
      <c r="U900" s="213"/>
      <c r="V900" s="213"/>
      <c r="W900" s="213"/>
      <c r="X900" s="213"/>
      <c r="Y900" s="213"/>
      <c r="Z900" s="213"/>
      <c r="AA900" s="213"/>
      <c r="AB900" s="213"/>
      <c r="AC900" s="213"/>
      <c r="AD900" s="213"/>
      <c r="AE900" s="213"/>
      <c r="AF900" s="213"/>
      <c r="AG900" s="213"/>
      <c r="AH900" s="213"/>
      <c r="AI900" s="213"/>
      <c r="AJ900" s="213"/>
      <c r="AK900" s="213"/>
      <c r="AL900" s="213"/>
      <c r="AM900" s="213"/>
      <c r="AN900" s="283"/>
      <c r="AO900" s="284"/>
      <c r="AP900" s="285"/>
      <c r="AQ900" s="258"/>
      <c r="AR900" s="258"/>
    </row>
    <row r="901" spans="10:45" s="48" customFormat="1" hidden="1">
      <c r="J901" s="213"/>
      <c r="K901" s="213"/>
      <c r="L901" s="213"/>
      <c r="M901" s="213"/>
      <c r="N901" s="213"/>
      <c r="O901" s="213"/>
      <c r="P901" s="213"/>
      <c r="Q901" s="213"/>
      <c r="R901" s="213"/>
      <c r="S901" s="213"/>
      <c r="T901" s="213"/>
      <c r="U901" s="213"/>
      <c r="V901" s="213"/>
      <c r="W901" s="213"/>
      <c r="X901" s="213"/>
      <c r="Y901" s="213"/>
      <c r="Z901" s="213"/>
      <c r="AA901" s="213"/>
      <c r="AB901" s="213"/>
      <c r="AC901" s="213"/>
      <c r="AD901" s="213"/>
      <c r="AE901" s="213"/>
      <c r="AF901" s="213"/>
      <c r="AG901" s="213"/>
      <c r="AH901" s="213"/>
      <c r="AI901" s="213"/>
      <c r="AJ901" s="213"/>
      <c r="AK901" s="213"/>
      <c r="AL901" s="213"/>
      <c r="AM901" s="213"/>
      <c r="AN901" s="283"/>
      <c r="AO901" s="284"/>
      <c r="AP901" s="285"/>
      <c r="AQ901" s="258"/>
      <c r="AR901" s="258"/>
    </row>
    <row r="902" spans="10:45" s="48" customFormat="1" hidden="1">
      <c r="J902" s="213"/>
      <c r="K902" s="213"/>
      <c r="L902" s="213"/>
      <c r="M902" s="213"/>
      <c r="N902" s="213"/>
      <c r="O902" s="213"/>
      <c r="P902" s="213"/>
      <c r="Q902" s="213"/>
      <c r="R902" s="213"/>
      <c r="S902" s="213"/>
      <c r="T902" s="213"/>
      <c r="U902" s="213"/>
      <c r="V902" s="213"/>
      <c r="W902" s="213"/>
      <c r="X902" s="213"/>
      <c r="Y902" s="213"/>
      <c r="Z902" s="213"/>
      <c r="AA902" s="213"/>
      <c r="AB902" s="213"/>
      <c r="AC902" s="213"/>
      <c r="AD902" s="213"/>
      <c r="AE902" s="213"/>
      <c r="AF902" s="213"/>
      <c r="AG902" s="213"/>
      <c r="AH902" s="213"/>
      <c r="AI902" s="213"/>
      <c r="AJ902" s="213"/>
      <c r="AK902" s="213"/>
      <c r="AL902" s="213"/>
      <c r="AM902" s="213"/>
      <c r="AN902" s="283"/>
      <c r="AO902" s="284"/>
      <c r="AP902" s="285"/>
      <c r="AQ902" s="258"/>
      <c r="AR902" s="258"/>
    </row>
    <row r="903" spans="10:45" s="48" customFormat="1" hidden="1">
      <c r="J903" s="213"/>
      <c r="K903" s="213"/>
      <c r="L903" s="213"/>
      <c r="M903" s="213"/>
      <c r="N903" s="213"/>
      <c r="O903" s="213"/>
      <c r="P903" s="213"/>
      <c r="Q903" s="213"/>
      <c r="R903" s="213"/>
      <c r="S903" s="213"/>
      <c r="T903" s="213"/>
      <c r="U903" s="213"/>
      <c r="V903" s="213"/>
      <c r="W903" s="213"/>
      <c r="X903" s="213"/>
      <c r="Y903" s="213"/>
      <c r="Z903" s="213"/>
      <c r="AA903" s="213"/>
      <c r="AB903" s="213"/>
      <c r="AC903" s="213"/>
      <c r="AD903" s="213"/>
      <c r="AE903" s="213"/>
      <c r="AF903" s="213"/>
      <c r="AG903" s="213"/>
      <c r="AH903" s="213"/>
      <c r="AI903" s="213"/>
      <c r="AJ903" s="213"/>
      <c r="AK903" s="213"/>
      <c r="AL903" s="213"/>
      <c r="AM903" s="213"/>
      <c r="AN903" s="283"/>
      <c r="AO903" s="284"/>
      <c r="AP903" s="285"/>
      <c r="AQ903" s="258"/>
      <c r="AR903" s="258"/>
    </row>
    <row r="904" spans="10:45" s="48" customFormat="1" hidden="1">
      <c r="J904" s="213"/>
      <c r="K904" s="213"/>
      <c r="L904" s="213"/>
      <c r="M904" s="213"/>
      <c r="N904" s="213"/>
      <c r="O904" s="213"/>
      <c r="P904" s="213"/>
      <c r="Q904" s="213"/>
      <c r="R904" s="213"/>
      <c r="S904" s="213"/>
      <c r="T904" s="213"/>
      <c r="U904" s="213"/>
      <c r="V904" s="213"/>
      <c r="W904" s="213"/>
      <c r="X904" s="213"/>
      <c r="Y904" s="213"/>
      <c r="Z904" s="213"/>
      <c r="AA904" s="213"/>
      <c r="AB904" s="213"/>
      <c r="AC904" s="213"/>
      <c r="AD904" s="213"/>
      <c r="AE904" s="213"/>
      <c r="AF904" s="213"/>
      <c r="AG904" s="213"/>
      <c r="AH904" s="213"/>
      <c r="AI904" s="213"/>
      <c r="AJ904" s="213"/>
      <c r="AK904" s="213"/>
      <c r="AL904" s="213"/>
      <c r="AM904" s="213"/>
      <c r="AN904" s="283"/>
      <c r="AO904" s="284"/>
      <c r="AP904" s="285"/>
      <c r="AQ904" s="258"/>
      <c r="AR904" s="258"/>
    </row>
    <row r="905" spans="10:45" s="48" customFormat="1" hidden="1">
      <c r="J905" s="213"/>
      <c r="K905" s="213"/>
      <c r="L905" s="213"/>
      <c r="M905" s="213"/>
      <c r="N905" s="213"/>
      <c r="O905" s="213"/>
      <c r="P905" s="213"/>
      <c r="Q905" s="213"/>
      <c r="R905" s="213"/>
      <c r="S905" s="213"/>
      <c r="T905" s="213"/>
      <c r="U905" s="213"/>
      <c r="V905" s="213"/>
      <c r="W905" s="213"/>
      <c r="X905" s="213"/>
      <c r="Y905" s="213"/>
      <c r="Z905" s="213"/>
      <c r="AA905" s="213"/>
      <c r="AB905" s="213"/>
      <c r="AC905" s="213"/>
      <c r="AD905" s="213"/>
      <c r="AE905" s="213"/>
      <c r="AF905" s="213"/>
      <c r="AG905" s="213"/>
      <c r="AH905" s="213"/>
      <c r="AI905" s="213"/>
      <c r="AJ905" s="213"/>
      <c r="AK905" s="213"/>
      <c r="AL905" s="213"/>
      <c r="AM905" s="213"/>
      <c r="AN905" s="283"/>
      <c r="AO905" s="284"/>
      <c r="AP905" s="285"/>
      <c r="AQ905" s="258"/>
      <c r="AR905" s="258"/>
    </row>
    <row r="906" spans="10:45" s="48" customFormat="1" hidden="1">
      <c r="J906" s="213"/>
      <c r="K906" s="213"/>
      <c r="L906" s="213"/>
      <c r="M906" s="213"/>
      <c r="N906" s="213"/>
      <c r="O906" s="213"/>
      <c r="P906" s="213"/>
      <c r="Q906" s="213"/>
      <c r="R906" s="213"/>
      <c r="S906" s="213"/>
      <c r="T906" s="213"/>
      <c r="U906" s="213"/>
      <c r="V906" s="213"/>
      <c r="W906" s="213"/>
      <c r="X906" s="213"/>
      <c r="Y906" s="213"/>
      <c r="Z906" s="213"/>
      <c r="AA906" s="213"/>
      <c r="AB906" s="213"/>
      <c r="AC906" s="213"/>
      <c r="AD906" s="213"/>
      <c r="AE906" s="213"/>
      <c r="AF906" s="213"/>
      <c r="AG906" s="213"/>
      <c r="AH906" s="213"/>
      <c r="AI906" s="213"/>
      <c r="AJ906" s="213"/>
      <c r="AK906" s="213"/>
      <c r="AL906" s="213"/>
      <c r="AM906" s="213"/>
      <c r="AN906" s="283"/>
      <c r="AO906" s="284"/>
      <c r="AP906" s="285"/>
      <c r="AQ906" s="258"/>
      <c r="AR906" s="258"/>
    </row>
    <row r="907" spans="10:45" s="48" customFormat="1" hidden="1">
      <c r="J907" s="213"/>
      <c r="K907" s="213"/>
      <c r="L907" s="213"/>
      <c r="M907" s="213"/>
      <c r="N907" s="213"/>
      <c r="O907" s="213"/>
      <c r="P907" s="213"/>
      <c r="Q907" s="213"/>
      <c r="R907" s="213"/>
      <c r="S907" s="213"/>
      <c r="T907" s="213"/>
      <c r="U907" s="213"/>
      <c r="V907" s="213"/>
      <c r="W907" s="213"/>
      <c r="X907" s="213"/>
      <c r="Y907" s="213"/>
      <c r="Z907" s="213"/>
      <c r="AA907" s="213"/>
      <c r="AB907" s="213"/>
      <c r="AC907" s="213"/>
      <c r="AD907" s="213"/>
      <c r="AE907" s="213"/>
      <c r="AF907" s="213"/>
      <c r="AG907" s="213"/>
      <c r="AH907" s="213"/>
      <c r="AI907" s="213"/>
      <c r="AJ907" s="213"/>
      <c r="AK907" s="213"/>
      <c r="AL907" s="213"/>
      <c r="AM907" s="213"/>
      <c r="AN907" s="283"/>
      <c r="AO907" s="284"/>
      <c r="AP907" s="285"/>
      <c r="AQ907" s="258"/>
      <c r="AR907" s="258"/>
    </row>
    <row r="908" spans="10:45" s="48" customFormat="1" hidden="1">
      <c r="J908" s="213"/>
      <c r="K908" s="213"/>
      <c r="L908" s="213"/>
      <c r="M908" s="213"/>
      <c r="N908" s="213"/>
      <c r="O908" s="213"/>
      <c r="P908" s="213"/>
      <c r="Q908" s="213"/>
      <c r="R908" s="213"/>
      <c r="S908" s="213"/>
      <c r="T908" s="213"/>
      <c r="U908" s="213"/>
      <c r="V908" s="213"/>
      <c r="W908" s="213"/>
      <c r="X908" s="213"/>
      <c r="Y908" s="213"/>
      <c r="Z908" s="213"/>
      <c r="AA908" s="213"/>
      <c r="AB908" s="213"/>
      <c r="AC908" s="213"/>
      <c r="AD908" s="213"/>
      <c r="AE908" s="213"/>
      <c r="AF908" s="213"/>
      <c r="AG908" s="213"/>
      <c r="AH908" s="213"/>
      <c r="AI908" s="213"/>
      <c r="AJ908" s="213"/>
      <c r="AK908" s="213"/>
      <c r="AL908" s="213"/>
      <c r="AM908" s="213"/>
      <c r="AN908" s="283"/>
      <c r="AO908" s="284"/>
      <c r="AP908" s="285"/>
      <c r="AQ908" s="258"/>
      <c r="AR908" s="258"/>
    </row>
    <row r="909" spans="10:45" s="48" customFormat="1" hidden="1">
      <c r="J909" s="213"/>
      <c r="K909" s="213"/>
      <c r="L909" s="213"/>
      <c r="M909" s="213"/>
      <c r="N909" s="213"/>
      <c r="O909" s="213"/>
      <c r="P909" s="213"/>
      <c r="Q909" s="213"/>
      <c r="R909" s="213"/>
      <c r="S909" s="213"/>
      <c r="T909" s="213"/>
      <c r="U909" s="213"/>
      <c r="V909" s="213"/>
      <c r="W909" s="213"/>
      <c r="X909" s="213"/>
      <c r="Y909" s="213"/>
      <c r="Z909" s="213"/>
      <c r="AA909" s="213"/>
      <c r="AB909" s="213"/>
      <c r="AC909" s="213"/>
      <c r="AD909" s="213"/>
      <c r="AE909" s="213"/>
      <c r="AF909" s="213"/>
      <c r="AG909" s="213"/>
      <c r="AH909" s="213"/>
      <c r="AI909" s="213"/>
      <c r="AJ909" s="213"/>
      <c r="AK909" s="213"/>
      <c r="AL909" s="213"/>
      <c r="AM909" s="213"/>
      <c r="AN909" s="283"/>
      <c r="AO909" s="284"/>
      <c r="AP909" s="285"/>
      <c r="AQ909" s="258"/>
      <c r="AR909" s="258"/>
    </row>
    <row r="910" spans="10:45" s="48" customFormat="1" hidden="1">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83"/>
      <c r="AO910" s="284"/>
      <c r="AP910" s="285"/>
      <c r="AQ910" s="258"/>
      <c r="AR910" s="258"/>
    </row>
    <row r="911" spans="10:45" s="48" customFormat="1" hidden="1">
      <c r="J911" s="213"/>
      <c r="K911" s="213"/>
      <c r="L911" s="213"/>
      <c r="M911" s="213"/>
      <c r="N911" s="213"/>
      <c r="O911" s="213"/>
      <c r="P911" s="213"/>
      <c r="Q911" s="213"/>
      <c r="R911" s="213"/>
      <c r="S911" s="213"/>
      <c r="T911" s="213"/>
      <c r="U911" s="213"/>
      <c r="V911" s="213"/>
      <c r="W911" s="213"/>
      <c r="X911" s="213"/>
      <c r="Y911" s="213"/>
      <c r="Z911" s="213"/>
      <c r="AA911" s="213"/>
      <c r="AB911" s="213"/>
      <c r="AC911" s="213"/>
      <c r="AD911" s="213"/>
      <c r="AE911" s="213"/>
      <c r="AF911" s="213"/>
      <c r="AG911" s="213"/>
      <c r="AH911" s="213"/>
      <c r="AI911" s="213"/>
      <c r="AJ911" s="213"/>
      <c r="AK911" s="213"/>
      <c r="AL911" s="213"/>
      <c r="AM911" s="213"/>
      <c r="AN911" s="283"/>
      <c r="AO911" s="284"/>
      <c r="AP911" s="285"/>
      <c r="AQ911" s="258"/>
      <c r="AR911" s="258"/>
    </row>
    <row r="912" spans="10:45" s="48" customFormat="1" hidden="1">
      <c r="J912" s="213"/>
      <c r="K912" s="213"/>
      <c r="L912" s="213"/>
      <c r="M912" s="213"/>
      <c r="N912" s="213"/>
      <c r="O912" s="213"/>
      <c r="P912" s="213"/>
      <c r="Q912" s="213"/>
      <c r="R912" s="213"/>
      <c r="S912" s="213"/>
      <c r="T912" s="213"/>
      <c r="U912" s="213"/>
      <c r="V912" s="213"/>
      <c r="W912" s="213"/>
      <c r="X912" s="213"/>
      <c r="Y912" s="213"/>
      <c r="Z912" s="213"/>
      <c r="AA912" s="213"/>
      <c r="AB912" s="213"/>
      <c r="AC912" s="213"/>
      <c r="AD912" s="213"/>
      <c r="AE912" s="213"/>
      <c r="AF912" s="213"/>
      <c r="AG912" s="213"/>
      <c r="AH912" s="213"/>
      <c r="AI912" s="213"/>
      <c r="AJ912" s="213"/>
      <c r="AK912" s="213"/>
      <c r="AL912" s="213"/>
      <c r="AM912" s="213"/>
      <c r="AN912" s="283"/>
      <c r="AO912" s="284"/>
      <c r="AP912" s="285"/>
      <c r="AQ912" s="258"/>
      <c r="AR912" s="258"/>
    </row>
    <row r="913" spans="10:44" s="48" customFormat="1" hidden="1">
      <c r="J913" s="213"/>
      <c r="K913" s="213"/>
      <c r="L913" s="213"/>
      <c r="M913" s="213"/>
      <c r="N913" s="213"/>
      <c r="O913" s="213"/>
      <c r="P913" s="213"/>
      <c r="Q913" s="213"/>
      <c r="R913" s="213"/>
      <c r="S913" s="213"/>
      <c r="T913" s="213"/>
      <c r="U913" s="213"/>
      <c r="V913" s="213"/>
      <c r="W913" s="213"/>
      <c r="X913" s="213"/>
      <c r="Y913" s="213"/>
      <c r="Z913" s="213"/>
      <c r="AA913" s="213"/>
      <c r="AB913" s="213"/>
      <c r="AC913" s="213"/>
      <c r="AD913" s="213"/>
      <c r="AE913" s="213"/>
      <c r="AF913" s="213"/>
      <c r="AG913" s="213"/>
      <c r="AH913" s="213"/>
      <c r="AI913" s="213"/>
      <c r="AJ913" s="213"/>
      <c r="AK913" s="213"/>
      <c r="AL913" s="213"/>
      <c r="AM913" s="213"/>
      <c r="AN913" s="283"/>
      <c r="AO913" s="284"/>
      <c r="AP913" s="285"/>
      <c r="AQ913" s="258"/>
      <c r="AR913" s="258"/>
    </row>
    <row r="914" spans="10:44" s="48" customFormat="1" hidden="1">
      <c r="J914" s="213"/>
      <c r="K914" s="213"/>
      <c r="L914" s="213"/>
      <c r="M914" s="213"/>
      <c r="N914" s="213"/>
      <c r="O914" s="213"/>
      <c r="P914" s="213"/>
      <c r="Q914" s="213"/>
      <c r="R914" s="213"/>
      <c r="S914" s="213"/>
      <c r="T914" s="213"/>
      <c r="U914" s="213"/>
      <c r="V914" s="213"/>
      <c r="W914" s="213"/>
      <c r="X914" s="213"/>
      <c r="Y914" s="213"/>
      <c r="Z914" s="213"/>
      <c r="AA914" s="213"/>
      <c r="AB914" s="213"/>
      <c r="AC914" s="213"/>
      <c r="AD914" s="213"/>
      <c r="AE914" s="213"/>
      <c r="AF914" s="213"/>
      <c r="AG914" s="213"/>
      <c r="AH914" s="213"/>
      <c r="AI914" s="213"/>
      <c r="AJ914" s="213"/>
      <c r="AK914" s="213"/>
      <c r="AL914" s="213"/>
      <c r="AM914" s="213"/>
      <c r="AN914" s="283"/>
      <c r="AO914" s="284"/>
      <c r="AP914" s="285"/>
      <c r="AQ914" s="258"/>
      <c r="AR914" s="258"/>
    </row>
    <row r="915" spans="10:44" s="48" customFormat="1" hidden="1">
      <c r="J915" s="213"/>
      <c r="K915" s="213"/>
      <c r="L915" s="213"/>
      <c r="M915" s="213"/>
      <c r="N915" s="213"/>
      <c r="O915" s="213"/>
      <c r="P915" s="213"/>
      <c r="Q915" s="213"/>
      <c r="R915" s="213"/>
      <c r="S915" s="213"/>
      <c r="T915" s="213"/>
      <c r="U915" s="213"/>
      <c r="V915" s="213"/>
      <c r="W915" s="213"/>
      <c r="X915" s="213"/>
      <c r="Y915" s="213"/>
      <c r="Z915" s="213"/>
      <c r="AA915" s="213"/>
      <c r="AB915" s="213"/>
      <c r="AC915" s="213"/>
      <c r="AD915" s="213"/>
      <c r="AE915" s="213"/>
      <c r="AF915" s="213"/>
      <c r="AG915" s="213"/>
      <c r="AH915" s="213"/>
      <c r="AI915" s="213"/>
      <c r="AJ915" s="213"/>
      <c r="AK915" s="213"/>
      <c r="AL915" s="213"/>
      <c r="AM915" s="213"/>
      <c r="AN915" s="283"/>
      <c r="AO915" s="284"/>
      <c r="AP915" s="285"/>
      <c r="AQ915" s="258"/>
      <c r="AR915" s="258"/>
    </row>
    <row r="916" spans="10:44" s="48" customFormat="1" hidden="1">
      <c r="J916" s="213"/>
      <c r="K916" s="213"/>
      <c r="L916" s="213"/>
      <c r="M916" s="213"/>
      <c r="N916" s="213"/>
      <c r="O916" s="213"/>
      <c r="P916" s="213"/>
      <c r="Q916" s="213"/>
      <c r="R916" s="213"/>
      <c r="S916" s="213"/>
      <c r="T916" s="213"/>
      <c r="U916" s="213"/>
      <c r="V916" s="213"/>
      <c r="W916" s="213"/>
      <c r="X916" s="213"/>
      <c r="Y916" s="213"/>
      <c r="Z916" s="213"/>
      <c r="AA916" s="213"/>
      <c r="AB916" s="213"/>
      <c r="AC916" s="213"/>
      <c r="AD916" s="213"/>
      <c r="AE916" s="213"/>
      <c r="AF916" s="213"/>
      <c r="AG916" s="213"/>
      <c r="AH916" s="213"/>
      <c r="AI916" s="213"/>
      <c r="AJ916" s="213"/>
      <c r="AK916" s="213"/>
      <c r="AL916" s="213"/>
      <c r="AM916" s="213"/>
      <c r="AN916" s="283"/>
      <c r="AO916" s="284"/>
      <c r="AP916" s="285"/>
      <c r="AQ916" s="258"/>
      <c r="AR916" s="258"/>
    </row>
    <row r="917" spans="10:44" s="48" customFormat="1" hidden="1">
      <c r="J917" s="213"/>
      <c r="K917" s="213"/>
      <c r="L917" s="213"/>
      <c r="M917" s="213"/>
      <c r="N917" s="213"/>
      <c r="O917" s="213"/>
      <c r="P917" s="213"/>
      <c r="Q917" s="213"/>
      <c r="R917" s="213"/>
      <c r="S917" s="213"/>
      <c r="T917" s="213"/>
      <c r="U917" s="213"/>
      <c r="V917" s="213"/>
      <c r="W917" s="213"/>
      <c r="X917" s="213"/>
      <c r="Y917" s="213"/>
      <c r="Z917" s="213"/>
      <c r="AA917" s="213"/>
      <c r="AB917" s="213"/>
      <c r="AC917" s="213"/>
      <c r="AD917" s="213"/>
      <c r="AE917" s="213"/>
      <c r="AF917" s="213"/>
      <c r="AG917" s="213"/>
      <c r="AH917" s="213"/>
      <c r="AI917" s="213"/>
      <c r="AJ917" s="213"/>
      <c r="AK917" s="213"/>
      <c r="AL917" s="213"/>
      <c r="AM917" s="213"/>
      <c r="AN917" s="283"/>
      <c r="AO917" s="284"/>
      <c r="AP917" s="285"/>
      <c r="AQ917" s="258"/>
      <c r="AR917" s="258"/>
    </row>
    <row r="918" spans="10:44" s="48" customFormat="1" ht="12" hidden="1" customHeight="1">
      <c r="J918" s="213"/>
      <c r="K918" s="213"/>
      <c r="L918" s="213"/>
      <c r="M918" s="213"/>
      <c r="N918" s="213"/>
      <c r="O918" s="213"/>
      <c r="P918" s="213"/>
      <c r="Q918" s="213"/>
      <c r="R918" s="213"/>
      <c r="S918" s="213"/>
      <c r="T918" s="213"/>
      <c r="U918" s="213"/>
      <c r="V918" s="213"/>
      <c r="W918" s="213"/>
      <c r="X918" s="213"/>
      <c r="Y918" s="213"/>
      <c r="Z918" s="213"/>
      <c r="AA918" s="213"/>
      <c r="AB918" s="213"/>
      <c r="AC918" s="213"/>
      <c r="AD918" s="213"/>
      <c r="AE918" s="213"/>
      <c r="AF918" s="213"/>
      <c r="AG918" s="213"/>
      <c r="AH918" s="213"/>
      <c r="AI918" s="213"/>
      <c r="AJ918" s="213"/>
      <c r="AK918" s="213"/>
      <c r="AL918" s="213"/>
      <c r="AM918" s="213"/>
      <c r="AN918" s="283"/>
      <c r="AO918" s="284"/>
      <c r="AP918" s="285"/>
      <c r="AQ918" s="258"/>
      <c r="AR918" s="258"/>
    </row>
    <row r="919" spans="10:44" s="48" customFormat="1" ht="12" hidden="1" customHeight="1">
      <c r="J919" s="213"/>
      <c r="K919" s="213"/>
      <c r="L919" s="213"/>
      <c r="M919" s="213"/>
      <c r="N919" s="213"/>
      <c r="O919" s="213"/>
      <c r="P919" s="213"/>
      <c r="Q919" s="213"/>
      <c r="R919" s="213"/>
      <c r="S919" s="213"/>
      <c r="T919" s="213"/>
      <c r="U919" s="213"/>
      <c r="V919" s="213"/>
      <c r="W919" s="213"/>
      <c r="X919" s="213"/>
      <c r="Y919" s="213"/>
      <c r="Z919" s="213"/>
      <c r="AA919" s="213"/>
      <c r="AB919" s="213"/>
      <c r="AC919" s="213"/>
      <c r="AD919" s="213"/>
      <c r="AE919" s="213"/>
      <c r="AF919" s="213"/>
      <c r="AG919" s="213"/>
      <c r="AH919" s="213"/>
      <c r="AI919" s="213"/>
      <c r="AJ919" s="213"/>
      <c r="AK919" s="213"/>
      <c r="AL919" s="213"/>
      <c r="AM919" s="213"/>
      <c r="AN919" s="283"/>
      <c r="AO919" s="284"/>
      <c r="AP919" s="285"/>
      <c r="AQ919" s="258"/>
      <c r="AR919" s="258"/>
    </row>
    <row r="920" spans="10:44" s="48" customFormat="1" ht="12" hidden="1" customHeight="1">
      <c r="J920" s="213"/>
      <c r="K920" s="213"/>
      <c r="L920" s="213"/>
      <c r="M920" s="213"/>
      <c r="N920" s="213"/>
      <c r="O920" s="213"/>
      <c r="P920" s="213"/>
      <c r="Q920" s="213"/>
      <c r="R920" s="213"/>
      <c r="S920" s="213"/>
      <c r="T920" s="213"/>
      <c r="U920" s="213"/>
      <c r="V920" s="213"/>
      <c r="W920" s="213"/>
      <c r="X920" s="213"/>
      <c r="Y920" s="213"/>
      <c r="Z920" s="213"/>
      <c r="AA920" s="213"/>
      <c r="AB920" s="213"/>
      <c r="AC920" s="213"/>
      <c r="AD920" s="213"/>
      <c r="AE920" s="213"/>
      <c r="AF920" s="213"/>
      <c r="AG920" s="213"/>
      <c r="AH920" s="213"/>
      <c r="AI920" s="213"/>
      <c r="AJ920" s="213"/>
      <c r="AK920" s="213"/>
      <c r="AL920" s="213"/>
      <c r="AM920" s="213"/>
      <c r="AN920" s="283"/>
      <c r="AO920" s="284"/>
      <c r="AP920" s="285"/>
      <c r="AQ920" s="258"/>
      <c r="AR920" s="258"/>
    </row>
    <row r="921" spans="10:44" s="48" customFormat="1" ht="12" hidden="1" customHeight="1">
      <c r="J921" s="213"/>
      <c r="K921" s="213"/>
      <c r="L921" s="213"/>
      <c r="M921" s="213"/>
      <c r="N921" s="213"/>
      <c r="O921" s="213"/>
      <c r="P921" s="213"/>
      <c r="Q921" s="213"/>
      <c r="R921" s="213"/>
      <c r="S921" s="213"/>
      <c r="T921" s="213"/>
      <c r="U921" s="213"/>
      <c r="V921" s="213"/>
      <c r="W921" s="213"/>
      <c r="X921" s="213"/>
      <c r="Y921" s="213"/>
      <c r="Z921" s="213"/>
      <c r="AA921" s="213"/>
      <c r="AB921" s="213"/>
      <c r="AC921" s="213"/>
      <c r="AD921" s="213"/>
      <c r="AE921" s="213"/>
      <c r="AF921" s="213"/>
      <c r="AG921" s="213"/>
      <c r="AH921" s="213"/>
      <c r="AI921" s="213"/>
      <c r="AJ921" s="213"/>
      <c r="AK921" s="213"/>
      <c r="AL921" s="213"/>
      <c r="AM921" s="213"/>
      <c r="AN921" s="283"/>
      <c r="AO921" s="284"/>
      <c r="AP921" s="285"/>
      <c r="AQ921" s="258"/>
      <c r="AR921" s="258"/>
    </row>
    <row r="922" spans="10:44" s="48" customFormat="1" ht="12" hidden="1" customHeight="1">
      <c r="J922" s="213"/>
      <c r="K922" s="213"/>
      <c r="L922" s="213"/>
      <c r="M922" s="213"/>
      <c r="N922" s="213"/>
      <c r="O922" s="213"/>
      <c r="P922" s="213"/>
      <c r="Q922" s="213"/>
      <c r="R922" s="213"/>
      <c r="S922" s="213"/>
      <c r="T922" s="213"/>
      <c r="U922" s="213"/>
      <c r="V922" s="213"/>
      <c r="W922" s="213"/>
      <c r="X922" s="213"/>
      <c r="Y922" s="213"/>
      <c r="Z922" s="213"/>
      <c r="AA922" s="213"/>
      <c r="AB922" s="213"/>
      <c r="AC922" s="213"/>
      <c r="AD922" s="213"/>
      <c r="AE922" s="213"/>
      <c r="AF922" s="213"/>
      <c r="AG922" s="213"/>
      <c r="AH922" s="213"/>
      <c r="AI922" s="213"/>
      <c r="AJ922" s="213"/>
      <c r="AK922" s="213"/>
      <c r="AL922" s="213"/>
      <c r="AM922" s="213"/>
      <c r="AN922" s="283"/>
      <c r="AO922" s="284"/>
      <c r="AP922" s="285"/>
      <c r="AQ922" s="258"/>
      <c r="AR922" s="258"/>
    </row>
    <row r="923" spans="10:44" s="48" customFormat="1" ht="12" hidden="1" customHeight="1">
      <c r="J923" s="213"/>
      <c r="K923" s="213"/>
      <c r="L923" s="213"/>
      <c r="M923" s="213"/>
      <c r="N923" s="213"/>
      <c r="O923" s="213"/>
      <c r="P923" s="213"/>
      <c r="Q923" s="213"/>
      <c r="R923" s="213"/>
      <c r="S923" s="213"/>
      <c r="T923" s="213"/>
      <c r="U923" s="213"/>
      <c r="V923" s="213"/>
      <c r="W923" s="213"/>
      <c r="X923" s="213"/>
      <c r="Y923" s="213"/>
      <c r="Z923" s="213"/>
      <c r="AA923" s="213"/>
      <c r="AB923" s="213"/>
      <c r="AC923" s="213"/>
      <c r="AD923" s="213"/>
      <c r="AE923" s="213"/>
      <c r="AF923" s="213"/>
      <c r="AG923" s="213"/>
      <c r="AH923" s="213"/>
      <c r="AI923" s="213"/>
      <c r="AJ923" s="213"/>
      <c r="AK923" s="213"/>
      <c r="AL923" s="213"/>
      <c r="AM923" s="213"/>
      <c r="AN923" s="283"/>
      <c r="AO923" s="284"/>
      <c r="AP923" s="285"/>
      <c r="AQ923" s="258"/>
      <c r="AR923" s="258"/>
    </row>
    <row r="924" spans="10:44" s="48" customFormat="1" ht="12" hidden="1" customHeight="1">
      <c r="J924" s="213"/>
      <c r="K924" s="213"/>
      <c r="L924" s="213"/>
      <c r="M924" s="213"/>
      <c r="N924" s="213"/>
      <c r="O924" s="213"/>
      <c r="P924" s="213"/>
      <c r="Q924" s="213"/>
      <c r="R924" s="213"/>
      <c r="S924" s="213"/>
      <c r="T924" s="213"/>
      <c r="U924" s="213"/>
      <c r="V924" s="213"/>
      <c r="W924" s="213"/>
      <c r="X924" s="213"/>
      <c r="Y924" s="213"/>
      <c r="Z924" s="213"/>
      <c r="AA924" s="213"/>
      <c r="AB924" s="213"/>
      <c r="AC924" s="213"/>
      <c r="AD924" s="213"/>
      <c r="AE924" s="213"/>
      <c r="AF924" s="213"/>
      <c r="AG924" s="213"/>
      <c r="AH924" s="213"/>
      <c r="AI924" s="213"/>
      <c r="AJ924" s="213"/>
      <c r="AK924" s="213"/>
      <c r="AL924" s="213"/>
      <c r="AM924" s="213"/>
      <c r="AN924" s="283"/>
      <c r="AO924" s="284"/>
      <c r="AP924" s="285"/>
      <c r="AQ924" s="258"/>
      <c r="AR924" s="258"/>
    </row>
    <row r="925" spans="10:44" s="48" customFormat="1" ht="12" hidden="1" customHeight="1">
      <c r="J925" s="213"/>
      <c r="K925" s="213"/>
      <c r="L925" s="213"/>
      <c r="M925" s="213"/>
      <c r="N925" s="213"/>
      <c r="O925" s="213"/>
      <c r="P925" s="213"/>
      <c r="Q925" s="213"/>
      <c r="R925" s="213"/>
      <c r="S925" s="213"/>
      <c r="T925" s="213"/>
      <c r="U925" s="213"/>
      <c r="V925" s="213"/>
      <c r="W925" s="213"/>
      <c r="X925" s="213"/>
      <c r="Y925" s="213"/>
      <c r="Z925" s="213"/>
      <c r="AA925" s="213"/>
      <c r="AB925" s="213"/>
      <c r="AC925" s="213"/>
      <c r="AD925" s="213"/>
      <c r="AE925" s="213"/>
      <c r="AF925" s="213"/>
      <c r="AG925" s="213"/>
      <c r="AH925" s="213"/>
      <c r="AI925" s="213"/>
      <c r="AJ925" s="213"/>
      <c r="AK925" s="213"/>
      <c r="AL925" s="213"/>
      <c r="AM925" s="213"/>
      <c r="AN925" s="283"/>
      <c r="AO925" s="284"/>
      <c r="AP925" s="285"/>
      <c r="AQ925" s="258"/>
      <c r="AR925" s="258"/>
    </row>
    <row r="926" spans="10:44" s="48" customFormat="1" ht="12" hidden="1" customHeight="1">
      <c r="J926" s="213"/>
      <c r="K926" s="213"/>
      <c r="L926" s="213"/>
      <c r="M926" s="213"/>
      <c r="N926" s="213"/>
      <c r="O926" s="213"/>
      <c r="P926" s="213"/>
      <c r="Q926" s="213"/>
      <c r="R926" s="213"/>
      <c r="S926" s="213"/>
      <c r="T926" s="213"/>
      <c r="U926" s="213"/>
      <c r="V926" s="213"/>
      <c r="W926" s="213"/>
      <c r="X926" s="213"/>
      <c r="Y926" s="213"/>
      <c r="Z926" s="213"/>
      <c r="AA926" s="213"/>
      <c r="AB926" s="213"/>
      <c r="AC926" s="213"/>
      <c r="AD926" s="213"/>
      <c r="AE926" s="213"/>
      <c r="AF926" s="213"/>
      <c r="AG926" s="213"/>
      <c r="AH926" s="213"/>
      <c r="AI926" s="213"/>
      <c r="AJ926" s="213"/>
      <c r="AK926" s="213"/>
      <c r="AL926" s="213"/>
      <c r="AM926" s="213"/>
      <c r="AN926" s="302"/>
      <c r="AO926" s="303"/>
      <c r="AP926" s="285"/>
      <c r="AQ926" s="258"/>
      <c r="AR926" s="258"/>
    </row>
    <row r="927" spans="10:44" s="48" customFormat="1" ht="12" hidden="1" customHeight="1">
      <c r="J927" s="213"/>
      <c r="K927" s="213"/>
      <c r="L927" s="213"/>
      <c r="M927" s="213"/>
      <c r="N927" s="213"/>
      <c r="O927" s="213"/>
      <c r="P927" s="213"/>
      <c r="Q927" s="213"/>
      <c r="R927" s="213"/>
      <c r="S927" s="213"/>
      <c r="T927" s="213"/>
      <c r="U927" s="213"/>
      <c r="V927" s="213"/>
      <c r="W927" s="213"/>
      <c r="X927" s="213"/>
      <c r="Y927" s="213"/>
      <c r="Z927" s="213"/>
      <c r="AA927" s="213"/>
      <c r="AB927" s="213"/>
      <c r="AC927" s="213"/>
      <c r="AD927" s="213"/>
      <c r="AE927" s="213"/>
      <c r="AF927" s="213"/>
      <c r="AG927" s="213"/>
      <c r="AH927" s="213"/>
      <c r="AI927" s="213"/>
      <c r="AJ927" s="213"/>
      <c r="AK927" s="213"/>
      <c r="AL927" s="213"/>
      <c r="AM927" s="213"/>
      <c r="AN927" s="302"/>
      <c r="AO927" s="303"/>
      <c r="AP927" s="285"/>
      <c r="AQ927" s="258"/>
      <c r="AR927" s="258"/>
    </row>
    <row r="928" spans="10:44" s="48" customFormat="1" ht="12" hidden="1" customHeight="1">
      <c r="J928" s="213"/>
      <c r="K928" s="213"/>
      <c r="L928" s="213"/>
      <c r="M928" s="213"/>
      <c r="N928" s="213"/>
      <c r="O928" s="213"/>
      <c r="P928" s="213"/>
      <c r="Q928" s="213"/>
      <c r="R928" s="213"/>
      <c r="S928" s="213"/>
      <c r="T928" s="213"/>
      <c r="U928" s="213"/>
      <c r="V928" s="213"/>
      <c r="W928" s="213"/>
      <c r="X928" s="213"/>
      <c r="Y928" s="213"/>
      <c r="Z928" s="213"/>
      <c r="AA928" s="213"/>
      <c r="AB928" s="213"/>
      <c r="AC928" s="213"/>
      <c r="AD928" s="213"/>
      <c r="AE928" s="213"/>
      <c r="AF928" s="213"/>
      <c r="AG928" s="213"/>
      <c r="AH928" s="213"/>
      <c r="AI928" s="213"/>
      <c r="AJ928" s="213"/>
      <c r="AK928" s="213"/>
      <c r="AL928" s="213"/>
      <c r="AM928" s="213"/>
      <c r="AN928" s="302"/>
      <c r="AO928" s="303"/>
      <c r="AP928" s="285"/>
      <c r="AQ928" s="258"/>
      <c r="AR928" s="258"/>
    </row>
    <row r="929" spans="10:44" s="48" customFormat="1" ht="12" hidden="1" customHeight="1">
      <c r="J929" s="213"/>
      <c r="K929" s="213"/>
      <c r="L929" s="213"/>
      <c r="M929" s="213"/>
      <c r="N929" s="213"/>
      <c r="O929" s="213"/>
      <c r="P929" s="213"/>
      <c r="Q929" s="213"/>
      <c r="R929" s="213"/>
      <c r="S929" s="213"/>
      <c r="T929" s="213"/>
      <c r="U929" s="213"/>
      <c r="V929" s="213"/>
      <c r="W929" s="213"/>
      <c r="X929" s="213"/>
      <c r="Y929" s="213"/>
      <c r="Z929" s="213"/>
      <c r="AA929" s="213"/>
      <c r="AB929" s="213"/>
      <c r="AC929" s="213"/>
      <c r="AD929" s="213"/>
      <c r="AE929" s="213"/>
      <c r="AF929" s="213"/>
      <c r="AG929" s="213"/>
      <c r="AH929" s="213"/>
      <c r="AI929" s="213"/>
      <c r="AJ929" s="213"/>
      <c r="AK929" s="213"/>
      <c r="AL929" s="213"/>
      <c r="AM929" s="213"/>
      <c r="AN929" s="302"/>
      <c r="AO929" s="303"/>
      <c r="AP929" s="285"/>
      <c r="AQ929" s="258"/>
      <c r="AR929" s="258"/>
    </row>
    <row r="930" spans="10:44" s="48" customFormat="1" ht="12" hidden="1" customHeight="1">
      <c r="J930" s="213"/>
      <c r="K930" s="213"/>
      <c r="L930" s="213"/>
      <c r="M930" s="213"/>
      <c r="N930" s="213"/>
      <c r="O930" s="213"/>
      <c r="P930" s="213"/>
      <c r="Q930" s="213"/>
      <c r="R930" s="213"/>
      <c r="S930" s="213"/>
      <c r="T930" s="213"/>
      <c r="U930" s="213"/>
      <c r="V930" s="213"/>
      <c r="W930" s="213"/>
      <c r="X930" s="213"/>
      <c r="Y930" s="213"/>
      <c r="Z930" s="213"/>
      <c r="AA930" s="213"/>
      <c r="AB930" s="213"/>
      <c r="AC930" s="213"/>
      <c r="AD930" s="213"/>
      <c r="AE930" s="213"/>
      <c r="AF930" s="213"/>
      <c r="AG930" s="213"/>
      <c r="AH930" s="213"/>
      <c r="AI930" s="213"/>
      <c r="AJ930" s="213"/>
      <c r="AK930" s="213"/>
      <c r="AL930" s="213"/>
      <c r="AM930" s="213"/>
      <c r="AN930" s="302"/>
      <c r="AO930" s="303"/>
      <c r="AP930" s="285"/>
      <c r="AQ930" s="258"/>
      <c r="AR930" s="258"/>
    </row>
    <row r="931" spans="10:44" s="48" customFormat="1" ht="12" hidden="1" customHeight="1">
      <c r="J931" s="213"/>
      <c r="K931" s="213"/>
      <c r="L931" s="213"/>
      <c r="M931" s="213"/>
      <c r="N931" s="213"/>
      <c r="O931" s="213"/>
      <c r="P931" s="213"/>
      <c r="Q931" s="213"/>
      <c r="R931" s="213"/>
      <c r="S931" s="213"/>
      <c r="T931" s="213"/>
      <c r="U931" s="213"/>
      <c r="V931" s="213"/>
      <c r="W931" s="213"/>
      <c r="X931" s="213"/>
      <c r="Y931" s="213"/>
      <c r="Z931" s="213"/>
      <c r="AA931" s="213"/>
      <c r="AB931" s="213"/>
      <c r="AC931" s="213"/>
      <c r="AD931" s="213"/>
      <c r="AE931" s="213"/>
      <c r="AF931" s="213"/>
      <c r="AG931" s="213"/>
      <c r="AH931" s="213"/>
      <c r="AI931" s="213"/>
      <c r="AJ931" s="213"/>
      <c r="AK931" s="213"/>
      <c r="AL931" s="213"/>
      <c r="AM931" s="213"/>
      <c r="AN931" s="302"/>
      <c r="AO931" s="303"/>
      <c r="AP931" s="285"/>
      <c r="AQ931" s="258"/>
      <c r="AR931" s="258"/>
    </row>
    <row r="932" spans="10:44" s="48" customFormat="1" ht="12" hidden="1" customHeight="1">
      <c r="J932" s="213"/>
      <c r="K932" s="213"/>
      <c r="L932" s="213"/>
      <c r="M932" s="213"/>
      <c r="N932" s="213"/>
      <c r="O932" s="213"/>
      <c r="P932" s="213"/>
      <c r="Q932" s="213"/>
      <c r="R932" s="213"/>
      <c r="S932" s="213"/>
      <c r="T932" s="213"/>
      <c r="U932" s="213"/>
      <c r="V932" s="213"/>
      <c r="W932" s="213"/>
      <c r="X932" s="213"/>
      <c r="Y932" s="213"/>
      <c r="Z932" s="213"/>
      <c r="AA932" s="213"/>
      <c r="AB932" s="213"/>
      <c r="AC932" s="213"/>
      <c r="AD932" s="213"/>
      <c r="AE932" s="213"/>
      <c r="AF932" s="213"/>
      <c r="AG932" s="213"/>
      <c r="AH932" s="213"/>
      <c r="AI932" s="213"/>
      <c r="AJ932" s="213"/>
      <c r="AK932" s="213"/>
      <c r="AL932" s="213"/>
      <c r="AM932" s="213"/>
      <c r="AN932" s="302"/>
      <c r="AO932" s="303"/>
      <c r="AP932" s="285"/>
      <c r="AQ932" s="258"/>
      <c r="AR932" s="258"/>
    </row>
    <row r="933" spans="10:44" s="48" customFormat="1" ht="12" hidden="1" customHeight="1">
      <c r="J933" s="213"/>
      <c r="K933" s="213"/>
      <c r="L933" s="213"/>
      <c r="M933" s="213"/>
      <c r="N933" s="213"/>
      <c r="O933" s="213"/>
      <c r="P933" s="213"/>
      <c r="Q933" s="213"/>
      <c r="R933" s="213"/>
      <c r="S933" s="213"/>
      <c r="T933" s="213"/>
      <c r="U933" s="213"/>
      <c r="V933" s="213"/>
      <c r="W933" s="213"/>
      <c r="X933" s="213"/>
      <c r="Y933" s="213"/>
      <c r="Z933" s="213"/>
      <c r="AA933" s="213"/>
      <c r="AB933" s="213"/>
      <c r="AC933" s="213"/>
      <c r="AD933" s="213"/>
      <c r="AE933" s="213"/>
      <c r="AF933" s="213"/>
      <c r="AG933" s="213"/>
      <c r="AH933" s="213"/>
      <c r="AI933" s="213"/>
      <c r="AJ933" s="213"/>
      <c r="AK933" s="213"/>
      <c r="AL933" s="213"/>
      <c r="AM933" s="213"/>
      <c r="AN933" s="302"/>
      <c r="AO933" s="303"/>
      <c r="AP933" s="285"/>
      <c r="AQ933" s="258"/>
      <c r="AR933" s="258"/>
    </row>
    <row r="934" spans="10:44" s="48" customFormat="1" ht="12" hidden="1" customHeight="1">
      <c r="J934" s="213"/>
      <c r="K934" s="213"/>
      <c r="L934" s="213"/>
      <c r="M934" s="213"/>
      <c r="N934" s="213"/>
      <c r="O934" s="213"/>
      <c r="P934" s="213"/>
      <c r="Q934" s="213"/>
      <c r="R934" s="213"/>
      <c r="S934" s="213"/>
      <c r="T934" s="213"/>
      <c r="U934" s="213"/>
      <c r="V934" s="213"/>
      <c r="W934" s="213"/>
      <c r="X934" s="213"/>
      <c r="Y934" s="213"/>
      <c r="Z934" s="213"/>
      <c r="AA934" s="213"/>
      <c r="AB934" s="213"/>
      <c r="AC934" s="213"/>
      <c r="AD934" s="213"/>
      <c r="AE934" s="213"/>
      <c r="AF934" s="213"/>
      <c r="AG934" s="213"/>
      <c r="AH934" s="213"/>
      <c r="AI934" s="213"/>
      <c r="AJ934" s="213"/>
      <c r="AK934" s="213"/>
      <c r="AL934" s="213"/>
      <c r="AM934" s="213"/>
      <c r="AN934" s="302"/>
      <c r="AO934" s="303"/>
      <c r="AP934" s="285"/>
      <c r="AQ934" s="258"/>
      <c r="AR934" s="258"/>
    </row>
    <row r="935" spans="10:44" s="48" customFormat="1" ht="12" hidden="1" customHeight="1">
      <c r="J935" s="213"/>
      <c r="K935" s="213"/>
      <c r="L935" s="213"/>
      <c r="M935" s="213"/>
      <c r="N935" s="213"/>
      <c r="O935" s="213"/>
      <c r="P935" s="213"/>
      <c r="Q935" s="213"/>
      <c r="R935" s="213"/>
      <c r="S935" s="213"/>
      <c r="T935" s="213"/>
      <c r="U935" s="213"/>
      <c r="V935" s="213"/>
      <c r="W935" s="213"/>
      <c r="X935" s="213"/>
      <c r="Y935" s="213"/>
      <c r="Z935" s="213"/>
      <c r="AA935" s="213"/>
      <c r="AB935" s="213"/>
      <c r="AC935" s="213"/>
      <c r="AD935" s="213"/>
      <c r="AE935" s="213"/>
      <c r="AF935" s="213"/>
      <c r="AG935" s="213"/>
      <c r="AH935" s="213"/>
      <c r="AI935" s="213"/>
      <c r="AJ935" s="213"/>
      <c r="AK935" s="213"/>
      <c r="AL935" s="213"/>
      <c r="AM935" s="213"/>
      <c r="AN935" s="302"/>
      <c r="AO935" s="303"/>
      <c r="AP935" s="285"/>
      <c r="AQ935" s="258"/>
      <c r="AR935" s="258"/>
    </row>
    <row r="936" spans="10:44" s="48" customFormat="1" ht="12" hidden="1" customHeight="1">
      <c r="J936" s="213"/>
      <c r="K936" s="213"/>
      <c r="L936" s="213"/>
      <c r="M936" s="213"/>
      <c r="N936" s="213"/>
      <c r="O936" s="213"/>
      <c r="P936" s="213"/>
      <c r="Q936" s="213"/>
      <c r="R936" s="213"/>
      <c r="S936" s="213"/>
      <c r="T936" s="213"/>
      <c r="U936" s="213"/>
      <c r="V936" s="213"/>
      <c r="W936" s="213"/>
      <c r="X936" s="213"/>
      <c r="Y936" s="213"/>
      <c r="Z936" s="213"/>
      <c r="AA936" s="213"/>
      <c r="AB936" s="213"/>
      <c r="AC936" s="213"/>
      <c r="AD936" s="213"/>
      <c r="AE936" s="213"/>
      <c r="AF936" s="213"/>
      <c r="AG936" s="213"/>
      <c r="AH936" s="213"/>
      <c r="AI936" s="213"/>
      <c r="AJ936" s="213"/>
      <c r="AK936" s="213"/>
      <c r="AL936" s="213"/>
      <c r="AM936" s="213"/>
      <c r="AN936" s="302"/>
      <c r="AO936" s="303"/>
      <c r="AP936" s="285"/>
      <c r="AQ936" s="258"/>
      <c r="AR936" s="258"/>
    </row>
    <row r="937" spans="10:44" s="48" customFormat="1" ht="12" hidden="1" customHeight="1">
      <c r="J937" s="213"/>
      <c r="K937" s="213"/>
      <c r="L937" s="213"/>
      <c r="M937" s="213"/>
      <c r="N937" s="213"/>
      <c r="O937" s="213"/>
      <c r="P937" s="213"/>
      <c r="Q937" s="213"/>
      <c r="R937" s="213"/>
      <c r="S937" s="213"/>
      <c r="T937" s="213"/>
      <c r="U937" s="213"/>
      <c r="V937" s="213"/>
      <c r="W937" s="213"/>
      <c r="X937" s="213"/>
      <c r="Y937" s="213"/>
      <c r="Z937" s="213"/>
      <c r="AA937" s="213"/>
      <c r="AB937" s="213"/>
      <c r="AC937" s="213"/>
      <c r="AD937" s="213"/>
      <c r="AE937" s="213"/>
      <c r="AF937" s="213"/>
      <c r="AG937" s="213"/>
      <c r="AH937" s="213"/>
      <c r="AI937" s="213"/>
      <c r="AJ937" s="213"/>
      <c r="AK937" s="213"/>
      <c r="AL937" s="213"/>
      <c r="AM937" s="213"/>
      <c r="AN937" s="302"/>
      <c r="AO937" s="303"/>
      <c r="AP937" s="285"/>
      <c r="AQ937" s="258"/>
      <c r="AR937" s="258"/>
    </row>
    <row r="938" spans="10:44" s="48" customFormat="1" ht="12" hidden="1" customHeight="1">
      <c r="J938" s="213"/>
      <c r="K938" s="213"/>
      <c r="L938" s="213"/>
      <c r="M938" s="213"/>
      <c r="N938" s="213"/>
      <c r="O938" s="213"/>
      <c r="P938" s="213"/>
      <c r="Q938" s="213"/>
      <c r="R938" s="213"/>
      <c r="S938" s="213"/>
      <c r="T938" s="213"/>
      <c r="U938" s="213"/>
      <c r="V938" s="213"/>
      <c r="W938" s="213"/>
      <c r="X938" s="213"/>
      <c r="Y938" s="213"/>
      <c r="Z938" s="213"/>
      <c r="AA938" s="213"/>
      <c r="AB938" s="213"/>
      <c r="AC938" s="213"/>
      <c r="AD938" s="213"/>
      <c r="AE938" s="213"/>
      <c r="AF938" s="213"/>
      <c r="AG938" s="213"/>
      <c r="AH938" s="213"/>
      <c r="AI938" s="213"/>
      <c r="AJ938" s="213"/>
      <c r="AK938" s="213"/>
      <c r="AL938" s="213"/>
      <c r="AM938" s="213"/>
      <c r="AN938" s="302"/>
      <c r="AO938" s="303"/>
      <c r="AP938" s="285"/>
      <c r="AQ938" s="258"/>
      <c r="AR938" s="258"/>
    </row>
    <row r="939" spans="10:44" s="48" customFormat="1" ht="12" hidden="1" customHeight="1">
      <c r="J939" s="213"/>
      <c r="K939" s="213"/>
      <c r="L939" s="213"/>
      <c r="M939" s="213"/>
      <c r="N939" s="213"/>
      <c r="O939" s="213"/>
      <c r="P939" s="213"/>
      <c r="Q939" s="213"/>
      <c r="R939" s="213"/>
      <c r="S939" s="213"/>
      <c r="T939" s="213"/>
      <c r="U939" s="213"/>
      <c r="V939" s="213"/>
      <c r="W939" s="213"/>
      <c r="X939" s="213"/>
      <c r="Y939" s="213"/>
      <c r="Z939" s="213"/>
      <c r="AA939" s="213"/>
      <c r="AB939" s="213"/>
      <c r="AC939" s="213"/>
      <c r="AD939" s="213"/>
      <c r="AE939" s="213"/>
      <c r="AF939" s="213"/>
      <c r="AG939" s="213"/>
      <c r="AH939" s="213"/>
      <c r="AI939" s="213"/>
      <c r="AJ939" s="213"/>
      <c r="AK939" s="213"/>
      <c r="AL939" s="213"/>
      <c r="AM939" s="213"/>
      <c r="AN939" s="302"/>
      <c r="AO939" s="303"/>
      <c r="AP939" s="285"/>
      <c r="AQ939" s="258"/>
      <c r="AR939" s="258"/>
    </row>
    <row r="940" spans="10:44" s="48" customFormat="1" ht="12" hidden="1" customHeight="1">
      <c r="J940" s="213"/>
      <c r="K940" s="213"/>
      <c r="L940" s="213"/>
      <c r="M940" s="213"/>
      <c r="N940" s="213"/>
      <c r="O940" s="213"/>
      <c r="P940" s="213"/>
      <c r="Q940" s="213"/>
      <c r="R940" s="213"/>
      <c r="S940" s="213"/>
      <c r="T940" s="213"/>
      <c r="U940" s="213"/>
      <c r="V940" s="213"/>
      <c r="W940" s="213"/>
      <c r="X940" s="213"/>
      <c r="Y940" s="213"/>
      <c r="Z940" s="213"/>
      <c r="AA940" s="213"/>
      <c r="AB940" s="213"/>
      <c r="AC940" s="213"/>
      <c r="AD940" s="213"/>
      <c r="AE940" s="213"/>
      <c r="AF940" s="213"/>
      <c r="AG940" s="213"/>
      <c r="AH940" s="213"/>
      <c r="AI940" s="213"/>
      <c r="AJ940" s="213"/>
      <c r="AK940" s="213"/>
      <c r="AL940" s="213"/>
      <c r="AM940" s="213"/>
      <c r="AN940" s="302"/>
      <c r="AO940" s="303"/>
      <c r="AP940" s="285"/>
      <c r="AQ940" s="258"/>
      <c r="AR940" s="258"/>
    </row>
    <row r="941" spans="10:44" s="48" customFormat="1" ht="12" hidden="1" customHeight="1">
      <c r="J941" s="213"/>
      <c r="K941" s="213"/>
      <c r="L941" s="213"/>
      <c r="M941" s="213"/>
      <c r="N941" s="213"/>
      <c r="O941" s="213"/>
      <c r="P941" s="213"/>
      <c r="Q941" s="213"/>
      <c r="R941" s="213"/>
      <c r="S941" s="213"/>
      <c r="T941" s="213"/>
      <c r="U941" s="213"/>
      <c r="V941" s="213"/>
      <c r="W941" s="213"/>
      <c r="X941" s="213"/>
      <c r="Y941" s="213"/>
      <c r="Z941" s="213"/>
      <c r="AA941" s="213"/>
      <c r="AB941" s="213"/>
      <c r="AC941" s="213"/>
      <c r="AD941" s="213"/>
      <c r="AE941" s="213"/>
      <c r="AF941" s="213"/>
      <c r="AG941" s="213"/>
      <c r="AH941" s="213"/>
      <c r="AI941" s="213"/>
      <c r="AJ941" s="213"/>
      <c r="AK941" s="213"/>
      <c r="AL941" s="213"/>
      <c r="AM941" s="213"/>
      <c r="AN941" s="302"/>
      <c r="AO941" s="303"/>
      <c r="AP941" s="285"/>
      <c r="AQ941" s="258"/>
      <c r="AR941" s="258"/>
    </row>
    <row r="942" spans="10:44" s="48" customFormat="1" ht="12" hidden="1" customHeight="1">
      <c r="J942" s="213"/>
      <c r="K942" s="213"/>
      <c r="L942" s="213"/>
      <c r="M942" s="213"/>
      <c r="N942" s="213"/>
      <c r="O942" s="213"/>
      <c r="P942" s="213"/>
      <c r="Q942" s="213"/>
      <c r="R942" s="213"/>
      <c r="S942" s="213"/>
      <c r="T942" s="213"/>
      <c r="U942" s="213"/>
      <c r="V942" s="213"/>
      <c r="W942" s="213"/>
      <c r="X942" s="213"/>
      <c r="Y942" s="213"/>
      <c r="Z942" s="213"/>
      <c r="AA942" s="213"/>
      <c r="AB942" s="213"/>
      <c r="AC942" s="213"/>
      <c r="AD942" s="213"/>
      <c r="AE942" s="213"/>
      <c r="AF942" s="213"/>
      <c r="AG942" s="213"/>
      <c r="AH942" s="213"/>
      <c r="AI942" s="213"/>
      <c r="AJ942" s="213"/>
      <c r="AK942" s="213"/>
      <c r="AL942" s="213"/>
      <c r="AM942" s="213"/>
      <c r="AN942" s="302"/>
      <c r="AO942" s="303"/>
      <c r="AP942" s="285"/>
      <c r="AQ942" s="258"/>
      <c r="AR942" s="258"/>
    </row>
    <row r="943" spans="10:44" s="48" customFormat="1" ht="12" hidden="1" customHeight="1">
      <c r="J943" s="213"/>
      <c r="K943" s="213"/>
      <c r="L943" s="213"/>
      <c r="M943" s="213"/>
      <c r="N943" s="213"/>
      <c r="O943" s="213"/>
      <c r="P943" s="213"/>
      <c r="Q943" s="213"/>
      <c r="R943" s="213"/>
      <c r="S943" s="213"/>
      <c r="T943" s="213"/>
      <c r="U943" s="213"/>
      <c r="V943" s="213"/>
      <c r="W943" s="213"/>
      <c r="X943" s="213"/>
      <c r="Y943" s="213"/>
      <c r="Z943" s="213"/>
      <c r="AA943" s="213"/>
      <c r="AB943" s="213"/>
      <c r="AC943" s="213"/>
      <c r="AD943" s="213"/>
      <c r="AE943" s="213"/>
      <c r="AF943" s="213"/>
      <c r="AG943" s="213"/>
      <c r="AH943" s="213"/>
      <c r="AI943" s="213"/>
      <c r="AJ943" s="213"/>
      <c r="AK943" s="213"/>
      <c r="AL943" s="213"/>
      <c r="AM943" s="213"/>
      <c r="AN943" s="302"/>
      <c r="AO943" s="303"/>
      <c r="AP943" s="285"/>
      <c r="AQ943" s="258"/>
      <c r="AR943" s="258"/>
    </row>
    <row r="944" spans="10:44" s="48" customFormat="1" ht="12" hidden="1" customHeight="1">
      <c r="J944" s="213"/>
      <c r="K944" s="213"/>
      <c r="L944" s="213"/>
      <c r="M944" s="213"/>
      <c r="N944" s="213"/>
      <c r="O944" s="213"/>
      <c r="P944" s="213"/>
      <c r="Q944" s="213"/>
      <c r="R944" s="213"/>
      <c r="S944" s="213"/>
      <c r="T944" s="213"/>
      <c r="U944" s="213"/>
      <c r="V944" s="213"/>
      <c r="W944" s="213"/>
      <c r="X944" s="213"/>
      <c r="Y944" s="213"/>
      <c r="Z944" s="213"/>
      <c r="AA944" s="213"/>
      <c r="AB944" s="213"/>
      <c r="AC944" s="213"/>
      <c r="AD944" s="213"/>
      <c r="AE944" s="213"/>
      <c r="AF944" s="213"/>
      <c r="AG944" s="213"/>
      <c r="AH944" s="213"/>
      <c r="AI944" s="213"/>
      <c r="AJ944" s="213"/>
      <c r="AK944" s="213"/>
      <c r="AL944" s="213"/>
      <c r="AM944" s="213"/>
      <c r="AN944" s="302"/>
      <c r="AO944" s="303"/>
      <c r="AP944" s="285"/>
      <c r="AQ944" s="258"/>
      <c r="AR944" s="258"/>
    </row>
    <row r="945" spans="10:44" s="48" customFormat="1" ht="12" hidden="1" customHeight="1">
      <c r="J945" s="213"/>
      <c r="K945" s="213"/>
      <c r="L945" s="213"/>
      <c r="M945" s="213"/>
      <c r="N945" s="213"/>
      <c r="O945" s="213"/>
      <c r="P945" s="213"/>
      <c r="Q945" s="213"/>
      <c r="R945" s="213"/>
      <c r="S945" s="213"/>
      <c r="T945" s="213"/>
      <c r="U945" s="213"/>
      <c r="V945" s="213"/>
      <c r="W945" s="213"/>
      <c r="X945" s="213"/>
      <c r="Y945" s="213"/>
      <c r="Z945" s="213"/>
      <c r="AA945" s="213"/>
      <c r="AB945" s="213"/>
      <c r="AC945" s="213"/>
      <c r="AD945" s="213"/>
      <c r="AE945" s="213"/>
      <c r="AF945" s="213"/>
      <c r="AG945" s="213"/>
      <c r="AH945" s="213"/>
      <c r="AI945" s="213"/>
      <c r="AJ945" s="213"/>
      <c r="AK945" s="213"/>
      <c r="AL945" s="213"/>
      <c r="AM945" s="213"/>
      <c r="AN945" s="302"/>
      <c r="AO945" s="303"/>
      <c r="AP945" s="285"/>
      <c r="AQ945" s="258"/>
      <c r="AR945" s="258"/>
    </row>
    <row r="946" spans="10:44" s="48" customFormat="1" ht="12" hidden="1" customHeight="1">
      <c r="J946" s="213"/>
      <c r="K946" s="213"/>
      <c r="L946" s="213"/>
      <c r="M946" s="213"/>
      <c r="N946" s="213"/>
      <c r="O946" s="213"/>
      <c r="P946" s="213"/>
      <c r="Q946" s="213"/>
      <c r="R946" s="213"/>
      <c r="S946" s="213"/>
      <c r="T946" s="213"/>
      <c r="U946" s="213"/>
      <c r="V946" s="213"/>
      <c r="W946" s="213"/>
      <c r="X946" s="213"/>
      <c r="Y946" s="213"/>
      <c r="Z946" s="213"/>
      <c r="AA946" s="213"/>
      <c r="AB946" s="213"/>
      <c r="AC946" s="213"/>
      <c r="AD946" s="213"/>
      <c r="AE946" s="213"/>
      <c r="AF946" s="213"/>
      <c r="AG946" s="213"/>
      <c r="AH946" s="213"/>
      <c r="AI946" s="213"/>
      <c r="AJ946" s="213"/>
      <c r="AK946" s="213"/>
      <c r="AL946" s="213"/>
      <c r="AM946" s="213"/>
      <c r="AN946" s="302"/>
      <c r="AO946" s="303"/>
      <c r="AP946" s="285"/>
      <c r="AQ946" s="258"/>
      <c r="AR946" s="258"/>
    </row>
    <row r="947" spans="10:44" s="48" customFormat="1" ht="12" hidden="1" customHeight="1">
      <c r="J947" s="213"/>
      <c r="K947" s="213"/>
      <c r="L947" s="213"/>
      <c r="M947" s="213"/>
      <c r="N947" s="213"/>
      <c r="O947" s="213"/>
      <c r="P947" s="213"/>
      <c r="Q947" s="213"/>
      <c r="R947" s="213"/>
      <c r="S947" s="213"/>
      <c r="T947" s="213"/>
      <c r="U947" s="213"/>
      <c r="V947" s="213"/>
      <c r="W947" s="213"/>
      <c r="X947" s="213"/>
      <c r="Y947" s="213"/>
      <c r="Z947" s="213"/>
      <c r="AA947" s="213"/>
      <c r="AB947" s="213"/>
      <c r="AC947" s="213"/>
      <c r="AD947" s="213"/>
      <c r="AE947" s="213"/>
      <c r="AF947" s="213"/>
      <c r="AG947" s="213"/>
      <c r="AH947" s="213"/>
      <c r="AI947" s="213"/>
      <c r="AJ947" s="213"/>
      <c r="AK947" s="213"/>
      <c r="AL947" s="213"/>
      <c r="AM947" s="213"/>
      <c r="AN947" s="302"/>
      <c r="AO947" s="303"/>
      <c r="AP947" s="285"/>
      <c r="AQ947" s="258"/>
      <c r="AR947" s="258"/>
    </row>
    <row r="948" spans="10:44" s="48" customFormat="1" ht="12" hidden="1" customHeight="1">
      <c r="J948" s="213"/>
      <c r="K948" s="213"/>
      <c r="L948" s="213"/>
      <c r="M948" s="213"/>
      <c r="N948" s="213"/>
      <c r="O948" s="213"/>
      <c r="P948" s="213"/>
      <c r="Q948" s="213"/>
      <c r="R948" s="213"/>
      <c r="S948" s="213"/>
      <c r="T948" s="213"/>
      <c r="U948" s="213"/>
      <c r="V948" s="213"/>
      <c r="W948" s="213"/>
      <c r="X948" s="213"/>
      <c r="Y948" s="213"/>
      <c r="Z948" s="213"/>
      <c r="AA948" s="213"/>
      <c r="AB948" s="213"/>
      <c r="AC948" s="213"/>
      <c r="AD948" s="213"/>
      <c r="AE948" s="213"/>
      <c r="AF948" s="213"/>
      <c r="AG948" s="213"/>
      <c r="AH948" s="213"/>
      <c r="AI948" s="213"/>
      <c r="AJ948" s="213"/>
      <c r="AK948" s="213"/>
      <c r="AL948" s="213"/>
      <c r="AM948" s="213"/>
      <c r="AN948" s="302"/>
      <c r="AO948" s="303"/>
      <c r="AP948" s="285"/>
      <c r="AQ948" s="258"/>
      <c r="AR948" s="258"/>
    </row>
    <row r="949" spans="10:44" s="48" customFormat="1" ht="12" hidden="1" customHeight="1">
      <c r="J949" s="213"/>
      <c r="K949" s="213"/>
      <c r="L949" s="213"/>
      <c r="M949" s="213"/>
      <c r="N949" s="213"/>
      <c r="O949" s="213"/>
      <c r="P949" s="213"/>
      <c r="Q949" s="213"/>
      <c r="R949" s="213"/>
      <c r="S949" s="213"/>
      <c r="T949" s="213"/>
      <c r="U949" s="213"/>
      <c r="V949" s="213"/>
      <c r="W949" s="213"/>
      <c r="X949" s="213"/>
      <c r="Y949" s="213"/>
      <c r="Z949" s="213"/>
      <c r="AA949" s="213"/>
      <c r="AB949" s="213"/>
      <c r="AC949" s="213"/>
      <c r="AD949" s="213"/>
      <c r="AE949" s="213"/>
      <c r="AF949" s="213"/>
      <c r="AG949" s="213"/>
      <c r="AH949" s="213"/>
      <c r="AI949" s="213"/>
      <c r="AJ949" s="213"/>
      <c r="AK949" s="213"/>
      <c r="AL949" s="213"/>
      <c r="AM949" s="213"/>
      <c r="AN949" s="302"/>
      <c r="AO949" s="303"/>
      <c r="AP949" s="285"/>
      <c r="AQ949" s="258"/>
      <c r="AR949" s="258"/>
    </row>
    <row r="950" spans="10:44" s="48" customFormat="1" ht="12" hidden="1" customHeight="1">
      <c r="J950" s="213"/>
      <c r="K950" s="213"/>
      <c r="L950" s="213"/>
      <c r="M950" s="213"/>
      <c r="N950" s="213"/>
      <c r="O950" s="213"/>
      <c r="P950" s="213"/>
      <c r="Q950" s="213"/>
      <c r="R950" s="213"/>
      <c r="S950" s="213"/>
      <c r="T950" s="213"/>
      <c r="U950" s="213"/>
      <c r="V950" s="213"/>
      <c r="W950" s="213"/>
      <c r="X950" s="213"/>
      <c r="Y950" s="213"/>
      <c r="Z950" s="213"/>
      <c r="AA950" s="213"/>
      <c r="AB950" s="213"/>
      <c r="AC950" s="213"/>
      <c r="AD950" s="213"/>
      <c r="AE950" s="213"/>
      <c r="AF950" s="213"/>
      <c r="AG950" s="213"/>
      <c r="AH950" s="213"/>
      <c r="AI950" s="213"/>
      <c r="AJ950" s="213"/>
      <c r="AK950" s="213"/>
      <c r="AL950" s="213"/>
      <c r="AM950" s="213"/>
      <c r="AN950" s="302"/>
      <c r="AO950" s="303"/>
      <c r="AP950" s="285"/>
      <c r="AQ950" s="258"/>
      <c r="AR950" s="258"/>
    </row>
    <row r="951" spans="10:44" s="48" customFormat="1" ht="12" hidden="1" customHeight="1">
      <c r="J951" s="213"/>
      <c r="K951" s="213"/>
      <c r="L951" s="213"/>
      <c r="M951" s="213"/>
      <c r="N951" s="213"/>
      <c r="O951" s="213"/>
      <c r="P951" s="213"/>
      <c r="Q951" s="213"/>
      <c r="R951" s="213"/>
      <c r="S951" s="213"/>
      <c r="T951" s="213"/>
      <c r="U951" s="213"/>
      <c r="V951" s="213"/>
      <c r="W951" s="213"/>
      <c r="X951" s="213"/>
      <c r="Y951" s="213"/>
      <c r="Z951" s="213"/>
      <c r="AA951" s="213"/>
      <c r="AB951" s="213"/>
      <c r="AC951" s="213"/>
      <c r="AD951" s="213"/>
      <c r="AE951" s="213"/>
      <c r="AF951" s="213"/>
      <c r="AG951" s="213"/>
      <c r="AH951" s="213"/>
      <c r="AI951" s="213"/>
      <c r="AJ951" s="213"/>
      <c r="AK951" s="213"/>
      <c r="AL951" s="213"/>
      <c r="AM951" s="213"/>
      <c r="AN951" s="302"/>
      <c r="AO951" s="303"/>
      <c r="AP951" s="285"/>
      <c r="AQ951" s="258"/>
      <c r="AR951" s="258"/>
    </row>
    <row r="952" spans="10:44" s="48" customFormat="1" ht="12" hidden="1" customHeight="1">
      <c r="J952" s="213"/>
      <c r="K952" s="213"/>
      <c r="L952" s="213"/>
      <c r="M952" s="213"/>
      <c r="N952" s="213"/>
      <c r="O952" s="213"/>
      <c r="P952" s="213"/>
      <c r="Q952" s="213"/>
      <c r="R952" s="213"/>
      <c r="S952" s="213"/>
      <c r="T952" s="213"/>
      <c r="U952" s="213"/>
      <c r="V952" s="213"/>
      <c r="W952" s="213"/>
      <c r="X952" s="213"/>
      <c r="Y952" s="213"/>
      <c r="Z952" s="213"/>
      <c r="AA952" s="213"/>
      <c r="AB952" s="213"/>
      <c r="AC952" s="213"/>
      <c r="AD952" s="213"/>
      <c r="AE952" s="213"/>
      <c r="AF952" s="213"/>
      <c r="AG952" s="213"/>
      <c r="AH952" s="213"/>
      <c r="AI952" s="213"/>
      <c r="AJ952" s="213"/>
      <c r="AK952" s="213"/>
      <c r="AL952" s="213"/>
      <c r="AM952" s="213"/>
      <c r="AN952" s="302"/>
      <c r="AO952" s="303"/>
      <c r="AP952" s="285"/>
      <c r="AQ952" s="258"/>
      <c r="AR952" s="258"/>
    </row>
    <row r="953" spans="10:44" s="48" customFormat="1" ht="12" hidden="1" customHeight="1">
      <c r="J953" s="213"/>
      <c r="K953" s="213"/>
      <c r="L953" s="213"/>
      <c r="M953" s="213"/>
      <c r="N953" s="213"/>
      <c r="O953" s="213"/>
      <c r="P953" s="213"/>
      <c r="Q953" s="213"/>
      <c r="R953" s="213"/>
      <c r="S953" s="213"/>
      <c r="T953" s="213"/>
      <c r="U953" s="213"/>
      <c r="V953" s="213"/>
      <c r="W953" s="213"/>
      <c r="X953" s="213"/>
      <c r="Y953" s="213"/>
      <c r="Z953" s="213"/>
      <c r="AA953" s="213"/>
      <c r="AB953" s="213"/>
      <c r="AC953" s="213"/>
      <c r="AD953" s="213"/>
      <c r="AE953" s="213"/>
      <c r="AF953" s="213"/>
      <c r="AG953" s="213"/>
      <c r="AH953" s="213"/>
      <c r="AI953" s="213"/>
      <c r="AJ953" s="213"/>
      <c r="AK953" s="213"/>
      <c r="AL953" s="213"/>
      <c r="AM953" s="213"/>
      <c r="AN953" s="302"/>
      <c r="AO953" s="303"/>
      <c r="AP953" s="285"/>
      <c r="AQ953" s="258"/>
      <c r="AR953" s="258"/>
    </row>
    <row r="954" spans="10:44" s="48" customFormat="1" ht="12" hidden="1" customHeight="1">
      <c r="J954" s="213"/>
      <c r="K954" s="213"/>
      <c r="L954" s="213"/>
      <c r="M954" s="213"/>
      <c r="N954" s="213"/>
      <c r="O954" s="213"/>
      <c r="P954" s="213"/>
      <c r="Q954" s="213"/>
      <c r="R954" s="213"/>
      <c r="S954" s="213"/>
      <c r="T954" s="213"/>
      <c r="U954" s="213"/>
      <c r="V954" s="213"/>
      <c r="W954" s="213"/>
      <c r="X954" s="213"/>
      <c r="Y954" s="213"/>
      <c r="Z954" s="213"/>
      <c r="AA954" s="213"/>
      <c r="AB954" s="213"/>
      <c r="AC954" s="213"/>
      <c r="AD954" s="213"/>
      <c r="AE954" s="213"/>
      <c r="AF954" s="213"/>
      <c r="AG954" s="213"/>
      <c r="AH954" s="213"/>
      <c r="AI954" s="213"/>
      <c r="AJ954" s="213"/>
      <c r="AK954" s="213"/>
      <c r="AL954" s="213"/>
      <c r="AM954" s="213"/>
      <c r="AN954" s="302"/>
      <c r="AO954" s="303"/>
      <c r="AP954" s="285"/>
      <c r="AQ954" s="258"/>
      <c r="AR954" s="258"/>
    </row>
    <row r="955" spans="10:44" s="48" customFormat="1" ht="12" hidden="1" customHeight="1">
      <c r="J955" s="213"/>
      <c r="K955" s="213"/>
      <c r="L955" s="213"/>
      <c r="M955" s="213"/>
      <c r="N955" s="213"/>
      <c r="O955" s="213"/>
      <c r="P955" s="213"/>
      <c r="Q955" s="213"/>
      <c r="R955" s="213"/>
      <c r="S955" s="213"/>
      <c r="T955" s="213"/>
      <c r="U955" s="213"/>
      <c r="V955" s="213"/>
      <c r="W955" s="213"/>
      <c r="X955" s="213"/>
      <c r="Y955" s="213"/>
      <c r="Z955" s="213"/>
      <c r="AA955" s="213"/>
      <c r="AB955" s="213"/>
      <c r="AC955" s="213"/>
      <c r="AD955" s="213"/>
      <c r="AE955" s="213"/>
      <c r="AF955" s="213"/>
      <c r="AG955" s="213"/>
      <c r="AH955" s="213"/>
      <c r="AI955" s="213"/>
      <c r="AJ955" s="213"/>
      <c r="AK955" s="213"/>
      <c r="AL955" s="213"/>
      <c r="AM955" s="213"/>
      <c r="AN955" s="302"/>
      <c r="AO955" s="303"/>
      <c r="AP955" s="285"/>
      <c r="AQ955" s="258"/>
      <c r="AR955" s="258"/>
    </row>
    <row r="956" spans="10:44" s="48" customFormat="1" ht="12" hidden="1" customHeight="1">
      <c r="J956" s="213"/>
      <c r="K956" s="213"/>
      <c r="L956" s="213"/>
      <c r="M956" s="213"/>
      <c r="N956" s="213"/>
      <c r="O956" s="213"/>
      <c r="P956" s="213"/>
      <c r="Q956" s="213"/>
      <c r="R956" s="213"/>
      <c r="S956" s="213"/>
      <c r="T956" s="213"/>
      <c r="U956" s="213"/>
      <c r="V956" s="213"/>
      <c r="W956" s="213"/>
      <c r="X956" s="213"/>
      <c r="Y956" s="213"/>
      <c r="Z956" s="213"/>
      <c r="AA956" s="213"/>
      <c r="AB956" s="213"/>
      <c r="AC956" s="213"/>
      <c r="AD956" s="213"/>
      <c r="AE956" s="213"/>
      <c r="AF956" s="213"/>
      <c r="AG956" s="213"/>
      <c r="AH956" s="213"/>
      <c r="AI956" s="213"/>
      <c r="AJ956" s="213"/>
      <c r="AK956" s="213"/>
      <c r="AL956" s="213"/>
      <c r="AM956" s="213"/>
      <c r="AN956" s="302"/>
      <c r="AO956" s="303"/>
      <c r="AP956" s="285"/>
      <c r="AQ956" s="258"/>
      <c r="AR956" s="258"/>
    </row>
    <row r="957" spans="10:44" s="48" customFormat="1" ht="12" hidden="1" customHeight="1">
      <c r="J957" s="213"/>
      <c r="K957" s="213"/>
      <c r="L957" s="213"/>
      <c r="M957" s="213"/>
      <c r="N957" s="213"/>
      <c r="O957" s="213"/>
      <c r="P957" s="213"/>
      <c r="Q957" s="213"/>
      <c r="R957" s="213"/>
      <c r="S957" s="213"/>
      <c r="T957" s="213"/>
      <c r="U957" s="213"/>
      <c r="V957" s="213"/>
      <c r="W957" s="213"/>
      <c r="X957" s="213"/>
      <c r="Y957" s="213"/>
      <c r="Z957" s="213"/>
      <c r="AA957" s="213"/>
      <c r="AB957" s="213"/>
      <c r="AC957" s="213"/>
      <c r="AD957" s="213"/>
      <c r="AE957" s="213"/>
      <c r="AF957" s="213"/>
      <c r="AG957" s="213"/>
      <c r="AH957" s="213"/>
      <c r="AI957" s="213"/>
      <c r="AJ957" s="213"/>
      <c r="AK957" s="213"/>
      <c r="AL957" s="213"/>
      <c r="AM957" s="213"/>
      <c r="AN957" s="302"/>
      <c r="AO957" s="303"/>
      <c r="AP957" s="285"/>
      <c r="AQ957" s="258"/>
      <c r="AR957" s="258"/>
    </row>
    <row r="958" spans="10:44" s="48" customFormat="1" ht="12" hidden="1" customHeight="1">
      <c r="J958" s="213"/>
      <c r="K958" s="213"/>
      <c r="L958" s="213"/>
      <c r="M958" s="213"/>
      <c r="N958" s="213"/>
      <c r="O958" s="213"/>
      <c r="P958" s="213"/>
      <c r="Q958" s="213"/>
      <c r="R958" s="213"/>
      <c r="S958" s="213"/>
      <c r="T958" s="213"/>
      <c r="U958" s="213"/>
      <c r="V958" s="213"/>
      <c r="W958" s="213"/>
      <c r="X958" s="213"/>
      <c r="Y958" s="213"/>
      <c r="Z958" s="213"/>
      <c r="AA958" s="213"/>
      <c r="AB958" s="213"/>
      <c r="AC958" s="213"/>
      <c r="AD958" s="213"/>
      <c r="AE958" s="213"/>
      <c r="AF958" s="213"/>
      <c r="AG958" s="213"/>
      <c r="AH958" s="213"/>
      <c r="AI958" s="213"/>
      <c r="AJ958" s="213"/>
      <c r="AK958" s="213"/>
      <c r="AL958" s="213"/>
      <c r="AM958" s="213"/>
      <c r="AN958" s="302"/>
      <c r="AO958" s="303"/>
      <c r="AP958" s="285"/>
      <c r="AQ958" s="258"/>
      <c r="AR958" s="258"/>
    </row>
    <row r="959" spans="10:44" s="48" customFormat="1" ht="12" hidden="1" customHeight="1">
      <c r="J959" s="213"/>
      <c r="K959" s="213"/>
      <c r="L959" s="213"/>
      <c r="M959" s="213"/>
      <c r="N959" s="213"/>
      <c r="O959" s="213"/>
      <c r="P959" s="213"/>
      <c r="Q959" s="213"/>
      <c r="R959" s="213"/>
      <c r="S959" s="213"/>
      <c r="T959" s="213"/>
      <c r="U959" s="213"/>
      <c r="V959" s="213"/>
      <c r="W959" s="213"/>
      <c r="X959" s="213"/>
      <c r="Y959" s="213"/>
      <c r="Z959" s="213"/>
      <c r="AA959" s="213"/>
      <c r="AB959" s="213"/>
      <c r="AC959" s="213"/>
      <c r="AD959" s="213"/>
      <c r="AE959" s="213"/>
      <c r="AF959" s="213"/>
      <c r="AG959" s="213"/>
      <c r="AH959" s="213"/>
      <c r="AI959" s="213"/>
      <c r="AJ959" s="213"/>
      <c r="AK959" s="213"/>
      <c r="AL959" s="213"/>
      <c r="AM959" s="213"/>
      <c r="AN959" s="302"/>
      <c r="AO959" s="303"/>
      <c r="AP959" s="285"/>
      <c r="AQ959" s="258"/>
      <c r="AR959" s="258"/>
    </row>
    <row r="960" spans="10:44" s="48" customFormat="1" ht="12" hidden="1" customHeight="1">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302"/>
      <c r="AO960" s="303"/>
      <c r="AP960" s="285"/>
      <c r="AQ960" s="258"/>
      <c r="AR960" s="258"/>
    </row>
    <row r="961" spans="10:44" s="48" customFormat="1" ht="12" hidden="1" customHeight="1">
      <c r="J961" s="213"/>
      <c r="K961" s="213"/>
      <c r="L961" s="213"/>
      <c r="M961" s="213"/>
      <c r="N961" s="213"/>
      <c r="O961" s="213"/>
      <c r="P961" s="213"/>
      <c r="Q961" s="213"/>
      <c r="R961" s="213"/>
      <c r="S961" s="213"/>
      <c r="T961" s="213"/>
      <c r="U961" s="213"/>
      <c r="V961" s="213"/>
      <c r="W961" s="213"/>
      <c r="X961" s="213"/>
      <c r="Y961" s="213"/>
      <c r="Z961" s="213"/>
      <c r="AA961" s="213"/>
      <c r="AB961" s="213"/>
      <c r="AC961" s="213"/>
      <c r="AD961" s="213"/>
      <c r="AE961" s="213"/>
      <c r="AF961" s="213"/>
      <c r="AG961" s="213"/>
      <c r="AH961" s="213"/>
      <c r="AI961" s="213"/>
      <c r="AJ961" s="213"/>
      <c r="AK961" s="213"/>
      <c r="AL961" s="213"/>
      <c r="AM961" s="213"/>
      <c r="AN961" s="302"/>
      <c r="AO961" s="303"/>
      <c r="AP961" s="285"/>
      <c r="AQ961" s="258"/>
      <c r="AR961" s="258"/>
    </row>
    <row r="962" spans="10:44" s="48" customFormat="1" ht="12" hidden="1" customHeight="1">
      <c r="J962" s="213"/>
      <c r="K962" s="213"/>
      <c r="L962" s="213"/>
      <c r="M962" s="213"/>
      <c r="N962" s="213"/>
      <c r="O962" s="213"/>
      <c r="P962" s="213"/>
      <c r="Q962" s="213"/>
      <c r="R962" s="213"/>
      <c r="S962" s="213"/>
      <c r="T962" s="213"/>
      <c r="U962" s="213"/>
      <c r="V962" s="213"/>
      <c r="W962" s="213"/>
      <c r="X962" s="213"/>
      <c r="Y962" s="213"/>
      <c r="Z962" s="213"/>
      <c r="AA962" s="213"/>
      <c r="AB962" s="213"/>
      <c r="AC962" s="213"/>
      <c r="AD962" s="213"/>
      <c r="AE962" s="213"/>
      <c r="AF962" s="213"/>
      <c r="AG962" s="213"/>
      <c r="AH962" s="213"/>
      <c r="AI962" s="213"/>
      <c r="AJ962" s="213"/>
      <c r="AK962" s="213"/>
      <c r="AL962" s="213"/>
      <c r="AM962" s="213"/>
      <c r="AN962" s="302"/>
      <c r="AO962" s="303"/>
      <c r="AP962" s="285"/>
      <c r="AQ962" s="258"/>
      <c r="AR962" s="258"/>
    </row>
    <row r="963" spans="10:44" s="48" customFormat="1" ht="12" hidden="1" customHeight="1">
      <c r="J963" s="213"/>
      <c r="K963" s="213"/>
      <c r="L963" s="213"/>
      <c r="M963" s="213"/>
      <c r="N963" s="213"/>
      <c r="O963" s="213"/>
      <c r="P963" s="213"/>
      <c r="Q963" s="213"/>
      <c r="R963" s="213"/>
      <c r="S963" s="213"/>
      <c r="T963" s="213"/>
      <c r="U963" s="213"/>
      <c r="V963" s="213"/>
      <c r="W963" s="213"/>
      <c r="X963" s="213"/>
      <c r="Y963" s="213"/>
      <c r="Z963" s="213"/>
      <c r="AA963" s="213"/>
      <c r="AB963" s="213"/>
      <c r="AC963" s="213"/>
      <c r="AD963" s="213"/>
      <c r="AE963" s="213"/>
      <c r="AF963" s="213"/>
      <c r="AG963" s="213"/>
      <c r="AH963" s="213"/>
      <c r="AI963" s="213"/>
      <c r="AJ963" s="213"/>
      <c r="AK963" s="213"/>
      <c r="AL963" s="213"/>
      <c r="AM963" s="213"/>
      <c r="AN963" s="302"/>
      <c r="AO963" s="303"/>
      <c r="AP963" s="285"/>
      <c r="AQ963" s="258"/>
      <c r="AR963" s="258"/>
    </row>
    <row r="964" spans="10:44" s="48" customFormat="1" ht="12" hidden="1" customHeight="1">
      <c r="J964" s="213"/>
      <c r="K964" s="213"/>
      <c r="L964" s="213"/>
      <c r="M964" s="213"/>
      <c r="N964" s="213"/>
      <c r="O964" s="213"/>
      <c r="P964" s="213"/>
      <c r="Q964" s="213"/>
      <c r="R964" s="213"/>
      <c r="S964" s="213"/>
      <c r="T964" s="213"/>
      <c r="U964" s="213"/>
      <c r="V964" s="213"/>
      <c r="W964" s="213"/>
      <c r="X964" s="213"/>
      <c r="Y964" s="213"/>
      <c r="Z964" s="213"/>
      <c r="AA964" s="213"/>
      <c r="AB964" s="213"/>
      <c r="AC964" s="213"/>
      <c r="AD964" s="213"/>
      <c r="AE964" s="213"/>
      <c r="AF964" s="213"/>
      <c r="AG964" s="213"/>
      <c r="AH964" s="213"/>
      <c r="AI964" s="213"/>
      <c r="AJ964" s="213"/>
      <c r="AK964" s="213"/>
      <c r="AL964" s="213"/>
      <c r="AM964" s="213"/>
      <c r="AN964" s="302"/>
      <c r="AO964" s="303"/>
      <c r="AP964" s="285"/>
      <c r="AQ964" s="258"/>
      <c r="AR964" s="258"/>
    </row>
    <row r="965" spans="10:44" s="48" customFormat="1" ht="12" hidden="1" customHeight="1">
      <c r="J965" s="213"/>
      <c r="K965" s="213"/>
      <c r="L965" s="213"/>
      <c r="M965" s="213"/>
      <c r="N965" s="213"/>
      <c r="O965" s="213"/>
      <c r="P965" s="213"/>
      <c r="Q965" s="213"/>
      <c r="R965" s="213"/>
      <c r="S965" s="213"/>
      <c r="T965" s="213"/>
      <c r="U965" s="213"/>
      <c r="V965" s="213"/>
      <c r="W965" s="213"/>
      <c r="X965" s="213"/>
      <c r="Y965" s="213"/>
      <c r="Z965" s="213"/>
      <c r="AA965" s="213"/>
      <c r="AB965" s="213"/>
      <c r="AC965" s="213"/>
      <c r="AD965" s="213"/>
      <c r="AE965" s="213"/>
      <c r="AF965" s="213"/>
      <c r="AG965" s="213"/>
      <c r="AH965" s="213"/>
      <c r="AI965" s="213"/>
      <c r="AJ965" s="213"/>
      <c r="AK965" s="213"/>
      <c r="AL965" s="213"/>
      <c r="AM965" s="213"/>
      <c r="AN965" s="302"/>
      <c r="AO965" s="303"/>
      <c r="AP965" s="285"/>
      <c r="AQ965" s="258"/>
      <c r="AR965" s="258"/>
    </row>
    <row r="966" spans="10:44" s="48" customFormat="1" ht="12" hidden="1" customHeight="1">
      <c r="J966" s="213"/>
      <c r="K966" s="213"/>
      <c r="L966" s="213"/>
      <c r="M966" s="213"/>
      <c r="N966" s="213"/>
      <c r="O966" s="213"/>
      <c r="P966" s="213"/>
      <c r="Q966" s="213"/>
      <c r="R966" s="213"/>
      <c r="S966" s="213"/>
      <c r="T966" s="213"/>
      <c r="U966" s="213"/>
      <c r="V966" s="213"/>
      <c r="W966" s="213"/>
      <c r="X966" s="213"/>
      <c r="Y966" s="213"/>
      <c r="Z966" s="213"/>
      <c r="AA966" s="213"/>
      <c r="AB966" s="213"/>
      <c r="AC966" s="213"/>
      <c r="AD966" s="213"/>
      <c r="AE966" s="213"/>
      <c r="AF966" s="213"/>
      <c r="AG966" s="213"/>
      <c r="AH966" s="213"/>
      <c r="AI966" s="213"/>
      <c r="AJ966" s="213"/>
      <c r="AK966" s="213"/>
      <c r="AL966" s="213"/>
      <c r="AM966" s="213"/>
      <c r="AN966" s="302"/>
      <c r="AO966" s="303"/>
      <c r="AP966" s="285"/>
      <c r="AQ966" s="258"/>
      <c r="AR966" s="258"/>
    </row>
    <row r="967" spans="10:44" s="48" customFormat="1" ht="12" hidden="1" customHeight="1">
      <c r="J967" s="213"/>
      <c r="K967" s="213"/>
      <c r="L967" s="213"/>
      <c r="M967" s="213"/>
      <c r="N967" s="213"/>
      <c r="O967" s="213"/>
      <c r="P967" s="213"/>
      <c r="Q967" s="213"/>
      <c r="R967" s="213"/>
      <c r="S967" s="213"/>
      <c r="T967" s="213"/>
      <c r="U967" s="213"/>
      <c r="V967" s="213"/>
      <c r="W967" s="213"/>
      <c r="X967" s="213"/>
      <c r="Y967" s="213"/>
      <c r="Z967" s="213"/>
      <c r="AA967" s="213"/>
      <c r="AB967" s="213"/>
      <c r="AC967" s="213"/>
      <c r="AD967" s="213"/>
      <c r="AE967" s="213"/>
      <c r="AF967" s="213"/>
      <c r="AG967" s="213"/>
      <c r="AH967" s="213"/>
      <c r="AI967" s="213"/>
      <c r="AJ967" s="213"/>
      <c r="AK967" s="213"/>
      <c r="AL967" s="213"/>
      <c r="AM967" s="213"/>
      <c r="AN967" s="302"/>
      <c r="AO967" s="303"/>
      <c r="AP967" s="285"/>
      <c r="AQ967" s="258"/>
      <c r="AR967" s="258"/>
    </row>
    <row r="968" spans="10:44" s="48" customFormat="1" ht="12" hidden="1" customHeight="1">
      <c r="J968" s="213"/>
      <c r="K968" s="213"/>
      <c r="L968" s="213"/>
      <c r="M968" s="213"/>
      <c r="N968" s="213"/>
      <c r="O968" s="213"/>
      <c r="P968" s="213"/>
      <c r="Q968" s="213"/>
      <c r="R968" s="213"/>
      <c r="S968" s="213"/>
      <c r="T968" s="213"/>
      <c r="U968" s="213"/>
      <c r="V968" s="213"/>
      <c r="W968" s="213"/>
      <c r="X968" s="213"/>
      <c r="Y968" s="213"/>
      <c r="Z968" s="213"/>
      <c r="AA968" s="213"/>
      <c r="AB968" s="213"/>
      <c r="AC968" s="213"/>
      <c r="AD968" s="213"/>
      <c r="AE968" s="213"/>
      <c r="AF968" s="213"/>
      <c r="AG968" s="213"/>
      <c r="AH968" s="213"/>
      <c r="AI968" s="213"/>
      <c r="AJ968" s="213"/>
      <c r="AK968" s="213"/>
      <c r="AL968" s="213"/>
      <c r="AM968" s="213"/>
      <c r="AN968" s="302"/>
      <c r="AO968" s="303"/>
      <c r="AP968" s="285"/>
      <c r="AQ968" s="258"/>
      <c r="AR968" s="258"/>
    </row>
    <row r="969" spans="10:44" s="48" customFormat="1" ht="12" hidden="1" customHeight="1">
      <c r="J969" s="213"/>
      <c r="K969" s="213"/>
      <c r="L969" s="213"/>
      <c r="M969" s="213"/>
      <c r="N969" s="213"/>
      <c r="O969" s="213"/>
      <c r="P969" s="213"/>
      <c r="Q969" s="213"/>
      <c r="R969" s="213"/>
      <c r="S969" s="213"/>
      <c r="T969" s="213"/>
      <c r="U969" s="213"/>
      <c r="V969" s="213"/>
      <c r="W969" s="213"/>
      <c r="X969" s="213"/>
      <c r="Y969" s="213"/>
      <c r="Z969" s="213"/>
      <c r="AA969" s="213"/>
      <c r="AB969" s="213"/>
      <c r="AC969" s="213"/>
      <c r="AD969" s="213"/>
      <c r="AE969" s="213"/>
      <c r="AF969" s="213"/>
      <c r="AG969" s="213"/>
      <c r="AH969" s="213"/>
      <c r="AI969" s="213"/>
      <c r="AJ969" s="213"/>
      <c r="AK969" s="213"/>
      <c r="AL969" s="213"/>
      <c r="AM969" s="213"/>
      <c r="AN969" s="302"/>
      <c r="AO969" s="303"/>
      <c r="AP969" s="285"/>
      <c r="AQ969" s="258"/>
      <c r="AR969" s="258"/>
    </row>
    <row r="970" spans="10:44" s="48" customFormat="1" ht="12" hidden="1" customHeight="1">
      <c r="J970" s="213"/>
      <c r="K970" s="213"/>
      <c r="L970" s="213"/>
      <c r="M970" s="213"/>
      <c r="N970" s="213"/>
      <c r="O970" s="213"/>
      <c r="P970" s="213"/>
      <c r="Q970" s="213"/>
      <c r="R970" s="213"/>
      <c r="S970" s="213"/>
      <c r="T970" s="213"/>
      <c r="U970" s="213"/>
      <c r="V970" s="213"/>
      <c r="W970" s="213"/>
      <c r="X970" s="213"/>
      <c r="Y970" s="213"/>
      <c r="Z970" s="213"/>
      <c r="AA970" s="213"/>
      <c r="AB970" s="213"/>
      <c r="AC970" s="213"/>
      <c r="AD970" s="213"/>
      <c r="AE970" s="213"/>
      <c r="AF970" s="213"/>
      <c r="AG970" s="213"/>
      <c r="AH970" s="213"/>
      <c r="AI970" s="213"/>
      <c r="AJ970" s="213"/>
      <c r="AK970" s="213"/>
      <c r="AL970" s="213"/>
      <c r="AM970" s="213"/>
      <c r="AN970" s="302"/>
      <c r="AO970" s="303"/>
      <c r="AP970" s="285"/>
      <c r="AQ970" s="258"/>
      <c r="AR970" s="258"/>
    </row>
    <row r="971" spans="10:44" s="48" customFormat="1" ht="12" hidden="1" customHeight="1">
      <c r="J971" s="213"/>
      <c r="K971" s="213"/>
      <c r="L971" s="213"/>
      <c r="M971" s="213"/>
      <c r="N971" s="213"/>
      <c r="O971" s="213"/>
      <c r="P971" s="213"/>
      <c r="Q971" s="213"/>
      <c r="R971" s="213"/>
      <c r="S971" s="213"/>
      <c r="T971" s="213"/>
      <c r="U971" s="213"/>
      <c r="V971" s="213"/>
      <c r="W971" s="213"/>
      <c r="X971" s="213"/>
      <c r="Y971" s="213"/>
      <c r="Z971" s="213"/>
      <c r="AA971" s="213"/>
      <c r="AB971" s="213"/>
      <c r="AC971" s="213"/>
      <c r="AD971" s="213"/>
      <c r="AE971" s="213"/>
      <c r="AF971" s="213"/>
      <c r="AG971" s="213"/>
      <c r="AH971" s="213"/>
      <c r="AI971" s="213"/>
      <c r="AJ971" s="213"/>
      <c r="AK971" s="213"/>
      <c r="AL971" s="213"/>
      <c r="AM971" s="213"/>
      <c r="AN971" s="302"/>
      <c r="AO971" s="303"/>
      <c r="AP971" s="285"/>
      <c r="AQ971" s="258"/>
      <c r="AR971" s="258"/>
    </row>
    <row r="972" spans="10:44" s="48" customFormat="1" ht="12" hidden="1" customHeight="1">
      <c r="J972" s="213"/>
      <c r="K972" s="213"/>
      <c r="L972" s="213"/>
      <c r="M972" s="213"/>
      <c r="N972" s="213"/>
      <c r="O972" s="213"/>
      <c r="P972" s="213"/>
      <c r="Q972" s="213"/>
      <c r="R972" s="213"/>
      <c r="S972" s="213"/>
      <c r="T972" s="213"/>
      <c r="U972" s="213"/>
      <c r="V972" s="213"/>
      <c r="W972" s="213"/>
      <c r="X972" s="213"/>
      <c r="Y972" s="213"/>
      <c r="Z972" s="213"/>
      <c r="AA972" s="213"/>
      <c r="AB972" s="213"/>
      <c r="AC972" s="213"/>
      <c r="AD972" s="213"/>
      <c r="AE972" s="213"/>
      <c r="AF972" s="213"/>
      <c r="AG972" s="213"/>
      <c r="AH972" s="213"/>
      <c r="AI972" s="213"/>
      <c r="AJ972" s="213"/>
      <c r="AK972" s="213"/>
      <c r="AL972" s="213"/>
      <c r="AM972" s="213"/>
      <c r="AN972" s="302"/>
      <c r="AO972" s="303"/>
      <c r="AP972" s="285"/>
      <c r="AQ972" s="258"/>
      <c r="AR972" s="258"/>
    </row>
    <row r="973" spans="10:44" s="48" customFormat="1" ht="12" hidden="1" customHeight="1">
      <c r="J973" s="213"/>
      <c r="K973" s="213"/>
      <c r="L973" s="213"/>
      <c r="M973" s="213"/>
      <c r="N973" s="213"/>
      <c r="O973" s="213"/>
      <c r="P973" s="213"/>
      <c r="Q973" s="213"/>
      <c r="R973" s="213"/>
      <c r="S973" s="213"/>
      <c r="T973" s="213"/>
      <c r="U973" s="213"/>
      <c r="V973" s="213"/>
      <c r="W973" s="213"/>
      <c r="X973" s="213"/>
      <c r="Y973" s="213"/>
      <c r="Z973" s="213"/>
      <c r="AA973" s="213"/>
      <c r="AB973" s="213"/>
      <c r="AC973" s="213"/>
      <c r="AD973" s="213"/>
      <c r="AE973" s="213"/>
      <c r="AF973" s="213"/>
      <c r="AG973" s="213"/>
      <c r="AH973" s="213"/>
      <c r="AI973" s="213"/>
      <c r="AJ973" s="213"/>
      <c r="AK973" s="213"/>
      <c r="AL973" s="213"/>
      <c r="AM973" s="213"/>
      <c r="AN973" s="302"/>
      <c r="AO973" s="303"/>
      <c r="AP973" s="285"/>
      <c r="AQ973" s="258"/>
      <c r="AR973" s="258"/>
    </row>
    <row r="974" spans="10:44" s="48" customFormat="1" ht="12" hidden="1" customHeight="1">
      <c r="J974" s="213"/>
      <c r="K974" s="213"/>
      <c r="L974" s="213"/>
      <c r="M974" s="213"/>
      <c r="N974" s="213"/>
      <c r="O974" s="213"/>
      <c r="P974" s="213"/>
      <c r="Q974" s="213"/>
      <c r="R974" s="213"/>
      <c r="S974" s="213"/>
      <c r="T974" s="213"/>
      <c r="U974" s="213"/>
      <c r="V974" s="213"/>
      <c r="W974" s="213"/>
      <c r="X974" s="213"/>
      <c r="Y974" s="213"/>
      <c r="Z974" s="213"/>
      <c r="AA974" s="213"/>
      <c r="AB974" s="213"/>
      <c r="AC974" s="213"/>
      <c r="AD974" s="213"/>
      <c r="AE974" s="213"/>
      <c r="AF974" s="213"/>
      <c r="AG974" s="213"/>
      <c r="AH974" s="213"/>
      <c r="AI974" s="213"/>
      <c r="AJ974" s="213"/>
      <c r="AK974" s="213"/>
      <c r="AL974" s="213"/>
      <c r="AM974" s="213"/>
      <c r="AN974" s="302"/>
      <c r="AO974" s="303"/>
      <c r="AP974" s="285"/>
      <c r="AQ974" s="258"/>
      <c r="AR974" s="258"/>
    </row>
    <row r="975" spans="10:44" s="48" customFormat="1" ht="12" hidden="1" customHeight="1">
      <c r="J975" s="213"/>
      <c r="K975" s="213"/>
      <c r="L975" s="213"/>
      <c r="M975" s="213"/>
      <c r="N975" s="213"/>
      <c r="O975" s="213"/>
      <c r="P975" s="213"/>
      <c r="Q975" s="213"/>
      <c r="R975" s="213"/>
      <c r="S975" s="213"/>
      <c r="T975" s="213"/>
      <c r="U975" s="213"/>
      <c r="V975" s="213"/>
      <c r="W975" s="213"/>
      <c r="X975" s="213"/>
      <c r="Y975" s="213"/>
      <c r="Z975" s="213"/>
      <c r="AA975" s="213"/>
      <c r="AB975" s="213"/>
      <c r="AC975" s="213"/>
      <c r="AD975" s="213"/>
      <c r="AE975" s="213"/>
      <c r="AF975" s="213"/>
      <c r="AG975" s="213"/>
      <c r="AH975" s="213"/>
      <c r="AI975" s="213"/>
      <c r="AJ975" s="213"/>
      <c r="AK975" s="213"/>
      <c r="AL975" s="213"/>
      <c r="AM975" s="213"/>
      <c r="AN975" s="302"/>
      <c r="AO975" s="303"/>
      <c r="AP975" s="285"/>
      <c r="AQ975" s="258"/>
      <c r="AR975" s="258"/>
    </row>
    <row r="976" spans="10:44" s="48" customFormat="1" ht="12" hidden="1" customHeight="1">
      <c r="J976" s="213"/>
      <c r="K976" s="213"/>
      <c r="L976" s="213"/>
      <c r="M976" s="213"/>
      <c r="N976" s="213"/>
      <c r="O976" s="213"/>
      <c r="P976" s="213"/>
      <c r="Q976" s="213"/>
      <c r="R976" s="213"/>
      <c r="S976" s="213"/>
      <c r="T976" s="213"/>
      <c r="U976" s="213"/>
      <c r="V976" s="213"/>
      <c r="W976" s="213"/>
      <c r="X976" s="213"/>
      <c r="Y976" s="213"/>
      <c r="Z976" s="213"/>
      <c r="AA976" s="213"/>
      <c r="AB976" s="213"/>
      <c r="AC976" s="213"/>
      <c r="AD976" s="213"/>
      <c r="AE976" s="213"/>
      <c r="AF976" s="213"/>
      <c r="AG976" s="213"/>
      <c r="AH976" s="213"/>
      <c r="AI976" s="213"/>
      <c r="AJ976" s="213"/>
      <c r="AK976" s="213"/>
      <c r="AL976" s="213"/>
      <c r="AM976" s="213"/>
      <c r="AN976" s="302"/>
      <c r="AO976" s="303"/>
      <c r="AP976" s="285"/>
      <c r="AQ976" s="258"/>
      <c r="AR976" s="258"/>
    </row>
    <row r="977" spans="10:44" s="48" customFormat="1" ht="12" hidden="1" customHeight="1">
      <c r="J977" s="213"/>
      <c r="K977" s="213"/>
      <c r="L977" s="213"/>
      <c r="M977" s="213"/>
      <c r="N977" s="213"/>
      <c r="O977" s="213"/>
      <c r="P977" s="213"/>
      <c r="Q977" s="213"/>
      <c r="R977" s="213"/>
      <c r="S977" s="213"/>
      <c r="T977" s="213"/>
      <c r="U977" s="213"/>
      <c r="V977" s="213"/>
      <c r="W977" s="213"/>
      <c r="X977" s="213"/>
      <c r="Y977" s="213"/>
      <c r="Z977" s="213"/>
      <c r="AA977" s="213"/>
      <c r="AB977" s="213"/>
      <c r="AC977" s="213"/>
      <c r="AD977" s="213"/>
      <c r="AE977" s="213"/>
      <c r="AF977" s="213"/>
      <c r="AG977" s="213"/>
      <c r="AH977" s="213"/>
      <c r="AI977" s="213"/>
      <c r="AJ977" s="213"/>
      <c r="AK977" s="213"/>
      <c r="AL977" s="213"/>
      <c r="AM977" s="213"/>
      <c r="AN977" s="302"/>
      <c r="AO977" s="303"/>
      <c r="AP977" s="285"/>
      <c r="AQ977" s="258"/>
      <c r="AR977" s="258"/>
    </row>
    <row r="978" spans="10:44" s="48" customFormat="1" ht="12" hidden="1" customHeight="1">
      <c r="J978" s="213"/>
      <c r="K978" s="213"/>
      <c r="L978" s="213"/>
      <c r="M978" s="213"/>
      <c r="N978" s="213"/>
      <c r="O978" s="213"/>
      <c r="P978" s="213"/>
      <c r="Q978" s="213"/>
      <c r="R978" s="213"/>
      <c r="S978" s="213"/>
      <c r="T978" s="213"/>
      <c r="U978" s="213"/>
      <c r="V978" s="213"/>
      <c r="W978" s="213"/>
      <c r="X978" s="213"/>
      <c r="Y978" s="213"/>
      <c r="Z978" s="213"/>
      <c r="AA978" s="213"/>
      <c r="AB978" s="213"/>
      <c r="AC978" s="213"/>
      <c r="AD978" s="213"/>
      <c r="AE978" s="213"/>
      <c r="AF978" s="213"/>
      <c r="AG978" s="213"/>
      <c r="AH978" s="213"/>
      <c r="AI978" s="213"/>
      <c r="AJ978" s="213"/>
      <c r="AK978" s="213"/>
      <c r="AL978" s="213"/>
      <c r="AM978" s="213"/>
      <c r="AN978" s="302"/>
      <c r="AO978" s="303"/>
      <c r="AP978" s="285"/>
      <c r="AQ978" s="258"/>
      <c r="AR978" s="258"/>
    </row>
    <row r="979" spans="10:44" s="48" customFormat="1" ht="12" hidden="1" customHeight="1">
      <c r="J979" s="213"/>
      <c r="K979" s="213"/>
      <c r="L979" s="213"/>
      <c r="M979" s="213"/>
      <c r="N979" s="213"/>
      <c r="O979" s="213"/>
      <c r="P979" s="213"/>
      <c r="Q979" s="213"/>
      <c r="R979" s="213"/>
      <c r="S979" s="213"/>
      <c r="T979" s="213"/>
      <c r="U979" s="213"/>
      <c r="V979" s="213"/>
      <c r="W979" s="213"/>
      <c r="X979" s="213"/>
      <c r="Y979" s="213"/>
      <c r="Z979" s="213"/>
      <c r="AA979" s="213"/>
      <c r="AB979" s="213"/>
      <c r="AC979" s="213"/>
      <c r="AD979" s="213"/>
      <c r="AE979" s="213"/>
      <c r="AF979" s="213"/>
      <c r="AG979" s="213"/>
      <c r="AH979" s="213"/>
      <c r="AI979" s="213"/>
      <c r="AJ979" s="213"/>
      <c r="AK979" s="213"/>
      <c r="AL979" s="213"/>
      <c r="AM979" s="213"/>
      <c r="AN979" s="302"/>
      <c r="AO979" s="303"/>
      <c r="AP979" s="285"/>
      <c r="AQ979" s="258"/>
      <c r="AR979" s="258"/>
    </row>
    <row r="980" spans="10:44" s="48" customFormat="1" ht="12" hidden="1" customHeight="1">
      <c r="J980" s="213"/>
      <c r="K980" s="213"/>
      <c r="L980" s="213"/>
      <c r="M980" s="213"/>
      <c r="N980" s="213"/>
      <c r="O980" s="213"/>
      <c r="P980" s="213"/>
      <c r="Q980" s="213"/>
      <c r="R980" s="213"/>
      <c r="S980" s="213"/>
      <c r="T980" s="213"/>
      <c r="U980" s="213"/>
      <c r="V980" s="213"/>
      <c r="W980" s="213"/>
      <c r="X980" s="213"/>
      <c r="Y980" s="213"/>
      <c r="Z980" s="213"/>
      <c r="AA980" s="213"/>
      <c r="AB980" s="213"/>
      <c r="AC980" s="213"/>
      <c r="AD980" s="213"/>
      <c r="AE980" s="213"/>
      <c r="AF980" s="213"/>
      <c r="AG980" s="213"/>
      <c r="AH980" s="213"/>
      <c r="AI980" s="213"/>
      <c r="AJ980" s="213"/>
      <c r="AK980" s="213"/>
      <c r="AL980" s="213"/>
      <c r="AM980" s="213"/>
      <c r="AN980" s="302"/>
      <c r="AO980" s="303"/>
      <c r="AP980" s="285"/>
      <c r="AQ980" s="258"/>
      <c r="AR980" s="258"/>
    </row>
    <row r="981" spans="10:44" s="48" customFormat="1" ht="12" hidden="1" customHeight="1">
      <c r="J981" s="213"/>
      <c r="K981" s="213"/>
      <c r="L981" s="213"/>
      <c r="M981" s="213"/>
      <c r="N981" s="213"/>
      <c r="O981" s="213"/>
      <c r="P981" s="213"/>
      <c r="Q981" s="213"/>
      <c r="R981" s="213"/>
      <c r="S981" s="213"/>
      <c r="T981" s="213"/>
      <c r="U981" s="213"/>
      <c r="V981" s="213"/>
      <c r="W981" s="213"/>
      <c r="X981" s="213"/>
      <c r="Y981" s="213"/>
      <c r="Z981" s="213"/>
      <c r="AA981" s="213"/>
      <c r="AB981" s="213"/>
      <c r="AC981" s="213"/>
      <c r="AD981" s="213"/>
      <c r="AE981" s="213"/>
      <c r="AF981" s="213"/>
      <c r="AG981" s="213"/>
      <c r="AH981" s="213"/>
      <c r="AI981" s="213"/>
      <c r="AJ981" s="213"/>
      <c r="AK981" s="213"/>
      <c r="AL981" s="213"/>
      <c r="AM981" s="213"/>
      <c r="AN981" s="302"/>
      <c r="AO981" s="303"/>
      <c r="AP981" s="285"/>
      <c r="AQ981" s="258"/>
      <c r="AR981" s="258"/>
    </row>
    <row r="982" spans="10:44" s="48" customFormat="1" ht="12" hidden="1" customHeight="1">
      <c r="J982" s="213"/>
      <c r="K982" s="213"/>
      <c r="L982" s="213"/>
      <c r="M982" s="213"/>
      <c r="N982" s="213"/>
      <c r="O982" s="213"/>
      <c r="P982" s="213"/>
      <c r="Q982" s="213"/>
      <c r="R982" s="213"/>
      <c r="S982" s="213"/>
      <c r="T982" s="213"/>
      <c r="U982" s="213"/>
      <c r="V982" s="213"/>
      <c r="W982" s="213"/>
      <c r="X982" s="213"/>
      <c r="Y982" s="213"/>
      <c r="Z982" s="213"/>
      <c r="AA982" s="213"/>
      <c r="AB982" s="213"/>
      <c r="AC982" s="213"/>
      <c r="AD982" s="213"/>
      <c r="AE982" s="213"/>
      <c r="AF982" s="213"/>
      <c r="AG982" s="213"/>
      <c r="AH982" s="213"/>
      <c r="AI982" s="213"/>
      <c r="AJ982" s="213"/>
      <c r="AK982" s="213"/>
      <c r="AL982" s="213"/>
      <c r="AM982" s="213"/>
      <c r="AN982" s="302"/>
      <c r="AO982" s="303"/>
      <c r="AP982" s="285"/>
      <c r="AQ982" s="258"/>
      <c r="AR982" s="258"/>
    </row>
    <row r="983" spans="10:44" s="48" customFormat="1" ht="12" hidden="1" customHeight="1">
      <c r="J983" s="213"/>
      <c r="K983" s="213"/>
      <c r="L983" s="213"/>
      <c r="M983" s="213"/>
      <c r="N983" s="213"/>
      <c r="O983" s="213"/>
      <c r="P983" s="213"/>
      <c r="Q983" s="213"/>
      <c r="R983" s="213"/>
      <c r="S983" s="213"/>
      <c r="T983" s="213"/>
      <c r="U983" s="213"/>
      <c r="V983" s="213"/>
      <c r="W983" s="213"/>
      <c r="X983" s="213"/>
      <c r="Y983" s="213"/>
      <c r="Z983" s="213"/>
      <c r="AA983" s="213"/>
      <c r="AB983" s="213"/>
      <c r="AC983" s="213"/>
      <c r="AD983" s="213"/>
      <c r="AE983" s="213"/>
      <c r="AF983" s="213"/>
      <c r="AG983" s="213"/>
      <c r="AH983" s="213"/>
      <c r="AI983" s="213"/>
      <c r="AJ983" s="213"/>
      <c r="AK983" s="213"/>
      <c r="AL983" s="213"/>
      <c r="AM983" s="213"/>
      <c r="AN983" s="302"/>
      <c r="AO983" s="303"/>
      <c r="AP983" s="285"/>
      <c r="AQ983" s="258"/>
      <c r="AR983" s="258"/>
    </row>
    <row r="984" spans="10:44" s="48" customFormat="1" ht="12" hidden="1" customHeight="1">
      <c r="J984" s="213"/>
      <c r="K984" s="213"/>
      <c r="L984" s="213"/>
      <c r="M984" s="213"/>
      <c r="N984" s="213"/>
      <c r="O984" s="213"/>
      <c r="P984" s="213"/>
      <c r="Q984" s="213"/>
      <c r="R984" s="213"/>
      <c r="S984" s="213"/>
      <c r="T984" s="213"/>
      <c r="U984" s="213"/>
      <c r="V984" s="213"/>
      <c r="W984" s="213"/>
      <c r="X984" s="213"/>
      <c r="Y984" s="213"/>
      <c r="Z984" s="213"/>
      <c r="AA984" s="213"/>
      <c r="AB984" s="213"/>
      <c r="AC984" s="213"/>
      <c r="AD984" s="213"/>
      <c r="AE984" s="213"/>
      <c r="AF984" s="213"/>
      <c r="AG984" s="213"/>
      <c r="AH984" s="213"/>
      <c r="AI984" s="213"/>
      <c r="AJ984" s="213"/>
      <c r="AK984" s="213"/>
      <c r="AL984" s="213"/>
      <c r="AM984" s="213"/>
      <c r="AN984" s="302"/>
      <c r="AO984" s="303"/>
      <c r="AP984" s="285"/>
      <c r="AQ984" s="258"/>
      <c r="AR984" s="258"/>
    </row>
    <row r="985" spans="10:44" s="48" customFormat="1" ht="12" hidden="1" customHeight="1">
      <c r="J985" s="213"/>
      <c r="K985" s="213"/>
      <c r="L985" s="213"/>
      <c r="M985" s="213"/>
      <c r="N985" s="213"/>
      <c r="O985" s="213"/>
      <c r="P985" s="213"/>
      <c r="Q985" s="213"/>
      <c r="R985" s="213"/>
      <c r="S985" s="213"/>
      <c r="T985" s="213"/>
      <c r="U985" s="213"/>
      <c r="V985" s="213"/>
      <c r="W985" s="213"/>
      <c r="X985" s="213"/>
      <c r="Y985" s="213"/>
      <c r="Z985" s="213"/>
      <c r="AA985" s="213"/>
      <c r="AB985" s="213"/>
      <c r="AC985" s="213"/>
      <c r="AD985" s="213"/>
      <c r="AE985" s="213"/>
      <c r="AF985" s="213"/>
      <c r="AG985" s="213"/>
      <c r="AH985" s="213"/>
      <c r="AI985" s="213"/>
      <c r="AJ985" s="213"/>
      <c r="AK985" s="213"/>
      <c r="AL985" s="213"/>
      <c r="AM985" s="213"/>
      <c r="AN985" s="302"/>
      <c r="AO985" s="303"/>
      <c r="AP985" s="285"/>
      <c r="AQ985" s="258"/>
      <c r="AR985" s="258"/>
    </row>
    <row r="986" spans="10:44" s="48" customFormat="1" ht="12" hidden="1" customHeight="1">
      <c r="J986" s="213"/>
      <c r="K986" s="213"/>
      <c r="L986" s="213"/>
      <c r="M986" s="213"/>
      <c r="N986" s="213"/>
      <c r="O986" s="213"/>
      <c r="P986" s="213"/>
      <c r="Q986" s="213"/>
      <c r="R986" s="213"/>
      <c r="S986" s="213"/>
      <c r="T986" s="213"/>
      <c r="U986" s="213"/>
      <c r="V986" s="213"/>
      <c r="W986" s="213"/>
      <c r="X986" s="213"/>
      <c r="Y986" s="213"/>
      <c r="Z986" s="213"/>
      <c r="AA986" s="213"/>
      <c r="AB986" s="213"/>
      <c r="AC986" s="213"/>
      <c r="AD986" s="213"/>
      <c r="AE986" s="213"/>
      <c r="AF986" s="213"/>
      <c r="AG986" s="213"/>
      <c r="AH986" s="213"/>
      <c r="AI986" s="213"/>
      <c r="AJ986" s="213"/>
      <c r="AK986" s="213"/>
      <c r="AL986" s="213"/>
      <c r="AM986" s="213"/>
      <c r="AN986" s="302"/>
      <c r="AO986" s="303"/>
      <c r="AP986" s="285"/>
      <c r="AQ986" s="258"/>
      <c r="AR986" s="258"/>
    </row>
    <row r="987" spans="10:44" s="48" customFormat="1" ht="12" hidden="1" customHeight="1">
      <c r="J987" s="213"/>
      <c r="K987" s="213"/>
      <c r="L987" s="213"/>
      <c r="M987" s="213"/>
      <c r="N987" s="213"/>
      <c r="O987" s="213"/>
      <c r="P987" s="213"/>
      <c r="Q987" s="213"/>
      <c r="R987" s="213"/>
      <c r="S987" s="213"/>
      <c r="T987" s="213"/>
      <c r="U987" s="213"/>
      <c r="V987" s="213"/>
      <c r="W987" s="213"/>
      <c r="X987" s="213"/>
      <c r="Y987" s="213"/>
      <c r="Z987" s="213"/>
      <c r="AA987" s="213"/>
      <c r="AB987" s="213"/>
      <c r="AC987" s="213"/>
      <c r="AD987" s="213"/>
      <c r="AE987" s="213"/>
      <c r="AF987" s="213"/>
      <c r="AG987" s="213"/>
      <c r="AH987" s="213"/>
      <c r="AI987" s="213"/>
      <c r="AJ987" s="213"/>
      <c r="AK987" s="213"/>
      <c r="AL987" s="213"/>
      <c r="AM987" s="213"/>
      <c r="AN987" s="302"/>
      <c r="AO987" s="303"/>
      <c r="AP987" s="285"/>
      <c r="AQ987" s="258"/>
      <c r="AR987" s="258"/>
    </row>
    <row r="988" spans="10:44" s="48" customFormat="1" ht="12" hidden="1" customHeight="1">
      <c r="J988" s="213"/>
      <c r="K988" s="213"/>
      <c r="L988" s="213"/>
      <c r="M988" s="213"/>
      <c r="N988" s="213"/>
      <c r="O988" s="213"/>
      <c r="P988" s="213"/>
      <c r="Q988" s="213"/>
      <c r="R988" s="213"/>
      <c r="S988" s="213"/>
      <c r="T988" s="213"/>
      <c r="U988" s="213"/>
      <c r="V988" s="213"/>
      <c r="W988" s="213"/>
      <c r="X988" s="213"/>
      <c r="Y988" s="213"/>
      <c r="Z988" s="213"/>
      <c r="AA988" s="213"/>
      <c r="AB988" s="213"/>
      <c r="AC988" s="213"/>
      <c r="AD988" s="213"/>
      <c r="AE988" s="213"/>
      <c r="AF988" s="213"/>
      <c r="AG988" s="213"/>
      <c r="AH988" s="213"/>
      <c r="AI988" s="213"/>
      <c r="AJ988" s="213"/>
      <c r="AK988" s="213"/>
      <c r="AL988" s="213"/>
      <c r="AM988" s="213"/>
      <c r="AN988" s="302"/>
      <c r="AO988" s="303"/>
      <c r="AP988" s="285"/>
      <c r="AQ988" s="258"/>
      <c r="AR988" s="258"/>
    </row>
    <row r="989" spans="10:44" s="48" customFormat="1" ht="12" hidden="1" customHeight="1">
      <c r="J989" s="213"/>
      <c r="K989" s="213"/>
      <c r="L989" s="213"/>
      <c r="M989" s="213"/>
      <c r="N989" s="213"/>
      <c r="O989" s="213"/>
      <c r="P989" s="213"/>
      <c r="Q989" s="213"/>
      <c r="R989" s="213"/>
      <c r="S989" s="213"/>
      <c r="T989" s="213"/>
      <c r="U989" s="213"/>
      <c r="V989" s="213"/>
      <c r="W989" s="213"/>
      <c r="X989" s="213"/>
      <c r="Y989" s="213"/>
      <c r="Z989" s="213"/>
      <c r="AA989" s="213"/>
      <c r="AB989" s="213"/>
      <c r="AC989" s="213"/>
      <c r="AD989" s="213"/>
      <c r="AE989" s="213"/>
      <c r="AF989" s="213"/>
      <c r="AG989" s="213"/>
      <c r="AH989" s="213"/>
      <c r="AI989" s="213"/>
      <c r="AJ989" s="213"/>
      <c r="AK989" s="213"/>
      <c r="AL989" s="213"/>
      <c r="AM989" s="213"/>
      <c r="AN989" s="302"/>
      <c r="AO989" s="303"/>
      <c r="AP989" s="285"/>
      <c r="AQ989" s="258"/>
      <c r="AR989" s="258"/>
    </row>
    <row r="990" spans="10:44" s="48" customFormat="1" ht="12" hidden="1" customHeight="1">
      <c r="J990" s="213"/>
      <c r="K990" s="213"/>
      <c r="L990" s="213"/>
      <c r="M990" s="213"/>
      <c r="N990" s="213"/>
      <c r="O990" s="213"/>
      <c r="P990" s="213"/>
      <c r="Q990" s="213"/>
      <c r="R990" s="213"/>
      <c r="S990" s="213"/>
      <c r="T990" s="213"/>
      <c r="U990" s="213"/>
      <c r="V990" s="213"/>
      <c r="W990" s="213"/>
      <c r="X990" s="213"/>
      <c r="Y990" s="213"/>
      <c r="Z990" s="213"/>
      <c r="AA990" s="213"/>
      <c r="AB990" s="213"/>
      <c r="AC990" s="213"/>
      <c r="AD990" s="213"/>
      <c r="AE990" s="213"/>
      <c r="AF990" s="213"/>
      <c r="AG990" s="213"/>
      <c r="AH990" s="213"/>
      <c r="AI990" s="213"/>
      <c r="AJ990" s="213"/>
      <c r="AK990" s="213"/>
      <c r="AL990" s="213"/>
      <c r="AM990" s="213"/>
      <c r="AN990" s="302"/>
      <c r="AO990" s="303"/>
      <c r="AP990" s="285"/>
      <c r="AQ990" s="258"/>
      <c r="AR990" s="258"/>
    </row>
    <row r="991" spans="10:44" s="48" customFormat="1" ht="12" hidden="1" customHeight="1">
      <c r="J991" s="213"/>
      <c r="K991" s="213"/>
      <c r="L991" s="213"/>
      <c r="M991" s="213"/>
      <c r="N991" s="213"/>
      <c r="O991" s="213"/>
      <c r="P991" s="213"/>
      <c r="Q991" s="213"/>
      <c r="R991" s="213"/>
      <c r="S991" s="213"/>
      <c r="T991" s="213"/>
      <c r="U991" s="213"/>
      <c r="V991" s="213"/>
      <c r="W991" s="213"/>
      <c r="X991" s="213"/>
      <c r="Y991" s="213"/>
      <c r="Z991" s="213"/>
      <c r="AA991" s="213"/>
      <c r="AB991" s="213"/>
      <c r="AC991" s="213"/>
      <c r="AD991" s="213"/>
      <c r="AE991" s="213"/>
      <c r="AF991" s="213"/>
      <c r="AG991" s="213"/>
      <c r="AH991" s="213"/>
      <c r="AI991" s="213"/>
      <c r="AJ991" s="213"/>
      <c r="AK991" s="213"/>
      <c r="AL991" s="213"/>
      <c r="AM991" s="213"/>
      <c r="AN991" s="302"/>
      <c r="AO991" s="303"/>
      <c r="AP991" s="285"/>
      <c r="AQ991" s="258"/>
      <c r="AR991" s="258"/>
    </row>
    <row r="992" spans="10:44" s="48" customFormat="1" ht="12" hidden="1" customHeight="1">
      <c r="J992" s="213"/>
      <c r="K992" s="213"/>
      <c r="L992" s="213"/>
      <c r="M992" s="213"/>
      <c r="N992" s="213"/>
      <c r="O992" s="213"/>
      <c r="P992" s="213"/>
      <c r="Q992" s="213"/>
      <c r="R992" s="213"/>
      <c r="S992" s="213"/>
      <c r="T992" s="213"/>
      <c r="U992" s="213"/>
      <c r="V992" s="213"/>
      <c r="W992" s="213"/>
      <c r="X992" s="213"/>
      <c r="Y992" s="213"/>
      <c r="Z992" s="213"/>
      <c r="AA992" s="213"/>
      <c r="AB992" s="213"/>
      <c r="AC992" s="213"/>
      <c r="AD992" s="213"/>
      <c r="AE992" s="213"/>
      <c r="AF992" s="213"/>
      <c r="AG992" s="213"/>
      <c r="AH992" s="213"/>
      <c r="AI992" s="213"/>
      <c r="AJ992" s="213"/>
      <c r="AK992" s="213"/>
      <c r="AL992" s="213"/>
      <c r="AM992" s="213"/>
      <c r="AN992" s="302"/>
      <c r="AO992" s="303"/>
      <c r="AP992" s="285"/>
      <c r="AQ992" s="258"/>
      <c r="AR992" s="258"/>
    </row>
    <row r="993" spans="10:44" s="48" customFormat="1" ht="12" hidden="1" customHeight="1">
      <c r="J993" s="213"/>
      <c r="K993" s="213"/>
      <c r="L993" s="213"/>
      <c r="M993" s="213"/>
      <c r="N993" s="213"/>
      <c r="O993" s="213"/>
      <c r="P993" s="213"/>
      <c r="Q993" s="213"/>
      <c r="R993" s="213"/>
      <c r="S993" s="213"/>
      <c r="T993" s="213"/>
      <c r="U993" s="213"/>
      <c r="V993" s="213"/>
      <c r="W993" s="213"/>
      <c r="X993" s="213"/>
      <c r="Y993" s="213"/>
      <c r="Z993" s="213"/>
      <c r="AA993" s="213"/>
      <c r="AB993" s="213"/>
      <c r="AC993" s="213"/>
      <c r="AD993" s="213"/>
      <c r="AE993" s="213"/>
      <c r="AF993" s="213"/>
      <c r="AG993" s="213"/>
      <c r="AH993" s="213"/>
      <c r="AI993" s="213"/>
      <c r="AJ993" s="213"/>
      <c r="AK993" s="213"/>
      <c r="AL993" s="213"/>
      <c r="AM993" s="213"/>
      <c r="AN993" s="302"/>
      <c r="AO993" s="303"/>
      <c r="AP993" s="285"/>
      <c r="AQ993" s="258"/>
      <c r="AR993" s="258"/>
    </row>
    <row r="994" spans="10:44" s="48" customFormat="1" ht="12" hidden="1" customHeight="1">
      <c r="J994" s="213"/>
      <c r="K994" s="213"/>
      <c r="L994" s="213"/>
      <c r="M994" s="213"/>
      <c r="N994" s="213"/>
      <c r="O994" s="213"/>
      <c r="P994" s="213"/>
      <c r="Q994" s="213"/>
      <c r="R994" s="213"/>
      <c r="S994" s="213"/>
      <c r="T994" s="213"/>
      <c r="U994" s="213"/>
      <c r="V994" s="213"/>
      <c r="W994" s="213"/>
      <c r="X994" s="213"/>
      <c r="Y994" s="213"/>
      <c r="Z994" s="213"/>
      <c r="AA994" s="213"/>
      <c r="AB994" s="213"/>
      <c r="AC994" s="213"/>
      <c r="AD994" s="213"/>
      <c r="AE994" s="213"/>
      <c r="AF994" s="213"/>
      <c r="AG994" s="213"/>
      <c r="AH994" s="213"/>
      <c r="AI994" s="213"/>
      <c r="AJ994" s="213"/>
      <c r="AK994" s="213"/>
      <c r="AL994" s="213"/>
      <c r="AM994" s="213"/>
      <c r="AN994" s="302"/>
      <c r="AO994" s="303"/>
      <c r="AP994" s="285"/>
      <c r="AQ994" s="258"/>
      <c r="AR994" s="258"/>
    </row>
    <row r="995" spans="10:44" s="48" customFormat="1" ht="12" hidden="1" customHeight="1">
      <c r="J995" s="213"/>
      <c r="K995" s="213"/>
      <c r="L995" s="213"/>
      <c r="M995" s="213"/>
      <c r="N995" s="213"/>
      <c r="O995" s="213"/>
      <c r="P995" s="213"/>
      <c r="Q995" s="213"/>
      <c r="R995" s="213"/>
      <c r="S995" s="213"/>
      <c r="T995" s="213"/>
      <c r="U995" s="213"/>
      <c r="V995" s="213"/>
      <c r="W995" s="213"/>
      <c r="X995" s="213"/>
      <c r="Y995" s="213"/>
      <c r="Z995" s="213"/>
      <c r="AA995" s="213"/>
      <c r="AB995" s="213"/>
      <c r="AC995" s="213"/>
      <c r="AD995" s="213"/>
      <c r="AE995" s="213"/>
      <c r="AF995" s="213"/>
      <c r="AG995" s="213"/>
      <c r="AH995" s="213"/>
      <c r="AI995" s="213"/>
      <c r="AJ995" s="213"/>
      <c r="AK995" s="213"/>
      <c r="AL995" s="213"/>
      <c r="AM995" s="213"/>
      <c r="AN995" s="302"/>
      <c r="AO995" s="303"/>
      <c r="AP995" s="285"/>
      <c r="AQ995" s="258"/>
      <c r="AR995" s="258"/>
    </row>
    <row r="996" spans="10:44" s="48" customFormat="1" ht="12" hidden="1" customHeight="1">
      <c r="J996" s="213"/>
      <c r="K996" s="213"/>
      <c r="L996" s="213"/>
      <c r="M996" s="213"/>
      <c r="N996" s="213"/>
      <c r="O996" s="213"/>
      <c r="P996" s="213"/>
      <c r="Q996" s="213"/>
      <c r="R996" s="213"/>
      <c r="S996" s="213"/>
      <c r="T996" s="213"/>
      <c r="U996" s="213"/>
      <c r="V996" s="213"/>
      <c r="W996" s="213"/>
      <c r="X996" s="213"/>
      <c r="Y996" s="213"/>
      <c r="Z996" s="213"/>
      <c r="AA996" s="213"/>
      <c r="AB996" s="213"/>
      <c r="AC996" s="213"/>
      <c r="AD996" s="213"/>
      <c r="AE996" s="213"/>
      <c r="AF996" s="213"/>
      <c r="AG996" s="213"/>
      <c r="AH996" s="213"/>
      <c r="AI996" s="213"/>
      <c r="AJ996" s="213"/>
      <c r="AK996" s="213"/>
      <c r="AL996" s="213"/>
      <c r="AM996" s="213"/>
      <c r="AN996" s="302"/>
      <c r="AO996" s="303"/>
      <c r="AP996" s="285"/>
      <c r="AQ996" s="258"/>
      <c r="AR996" s="258"/>
    </row>
    <row r="997" spans="10:44" s="48" customFormat="1" ht="12" hidden="1" customHeight="1">
      <c r="J997" s="213"/>
      <c r="K997" s="213"/>
      <c r="L997" s="213"/>
      <c r="M997" s="213"/>
      <c r="N997" s="213"/>
      <c r="O997" s="213"/>
      <c r="P997" s="213"/>
      <c r="Q997" s="213"/>
      <c r="R997" s="213"/>
      <c r="S997" s="213"/>
      <c r="T997" s="213"/>
      <c r="U997" s="213"/>
      <c r="V997" s="213"/>
      <c r="W997" s="213"/>
      <c r="X997" s="213"/>
      <c r="Y997" s="213"/>
      <c r="Z997" s="213"/>
      <c r="AA997" s="213"/>
      <c r="AB997" s="213"/>
      <c r="AC997" s="213"/>
      <c r="AD997" s="213"/>
      <c r="AE997" s="213"/>
      <c r="AF997" s="213"/>
      <c r="AG997" s="213"/>
      <c r="AH997" s="213"/>
      <c r="AI997" s="213"/>
      <c r="AJ997" s="213"/>
      <c r="AK997" s="213"/>
      <c r="AL997" s="213"/>
      <c r="AM997" s="213"/>
      <c r="AN997" s="302"/>
      <c r="AO997" s="303"/>
      <c r="AP997" s="285"/>
      <c r="AQ997" s="258"/>
      <c r="AR997" s="258"/>
    </row>
    <row r="998" spans="10:44" s="48" customFormat="1" ht="12" hidden="1" customHeight="1">
      <c r="J998" s="213"/>
      <c r="K998" s="213"/>
      <c r="L998" s="213"/>
      <c r="M998" s="213"/>
      <c r="N998" s="213"/>
      <c r="O998" s="213"/>
      <c r="P998" s="213"/>
      <c r="Q998" s="213"/>
      <c r="R998" s="213"/>
      <c r="S998" s="213"/>
      <c r="T998" s="213"/>
      <c r="U998" s="213"/>
      <c r="V998" s="213"/>
      <c r="W998" s="213"/>
      <c r="X998" s="213"/>
      <c r="Y998" s="213"/>
      <c r="Z998" s="213"/>
      <c r="AA998" s="213"/>
      <c r="AB998" s="213"/>
      <c r="AC998" s="213"/>
      <c r="AD998" s="213"/>
      <c r="AE998" s="213"/>
      <c r="AF998" s="213"/>
      <c r="AG998" s="213"/>
      <c r="AH998" s="213"/>
      <c r="AI998" s="213"/>
      <c r="AJ998" s="213"/>
      <c r="AK998" s="213"/>
      <c r="AL998" s="213"/>
      <c r="AM998" s="213"/>
      <c r="AN998" s="302"/>
      <c r="AO998" s="303"/>
      <c r="AP998" s="285"/>
      <c r="AQ998" s="258"/>
      <c r="AR998" s="258"/>
    </row>
    <row r="999" spans="10:44" s="48" customFormat="1" ht="12" hidden="1" customHeight="1">
      <c r="J999" s="213"/>
      <c r="K999" s="213"/>
      <c r="L999" s="213"/>
      <c r="M999" s="213"/>
      <c r="N999" s="213"/>
      <c r="O999" s="213"/>
      <c r="P999" s="213"/>
      <c r="Q999" s="213"/>
      <c r="R999" s="213"/>
      <c r="S999" s="213"/>
      <c r="T999" s="213"/>
      <c r="U999" s="213"/>
      <c r="V999" s="213"/>
      <c r="W999" s="213"/>
      <c r="X999" s="213"/>
      <c r="Y999" s="213"/>
      <c r="Z999" s="213"/>
      <c r="AA999" s="213"/>
      <c r="AB999" s="213"/>
      <c r="AC999" s="213"/>
      <c r="AD999" s="213"/>
      <c r="AE999" s="213"/>
      <c r="AF999" s="213"/>
      <c r="AG999" s="213"/>
      <c r="AH999" s="213"/>
      <c r="AI999" s="213"/>
      <c r="AJ999" s="213"/>
      <c r="AK999" s="213"/>
      <c r="AL999" s="213"/>
      <c r="AM999" s="213"/>
      <c r="AN999" s="302"/>
      <c r="AO999" s="303"/>
      <c r="AP999" s="285"/>
      <c r="AQ999" s="258"/>
      <c r="AR999" s="258"/>
    </row>
    <row r="1000" spans="10:44" s="48" customFormat="1" ht="0.75" customHeight="1">
      <c r="J1000" s="213"/>
      <c r="K1000" s="213"/>
      <c r="L1000" s="213"/>
      <c r="M1000" s="213"/>
      <c r="N1000" s="213"/>
      <c r="O1000" s="213"/>
      <c r="P1000" s="213"/>
      <c r="Q1000" s="213"/>
      <c r="R1000" s="213"/>
      <c r="S1000" s="213"/>
      <c r="T1000" s="213"/>
      <c r="U1000" s="213"/>
      <c r="V1000" s="213"/>
      <c r="W1000" s="213"/>
      <c r="X1000" s="213"/>
      <c r="Y1000" s="213"/>
      <c r="Z1000" s="213"/>
      <c r="AA1000" s="213"/>
      <c r="AB1000" s="213"/>
      <c r="AC1000" s="213"/>
      <c r="AD1000" s="213"/>
      <c r="AE1000" s="213"/>
      <c r="AF1000" s="213"/>
      <c r="AG1000" s="213"/>
      <c r="AH1000" s="213"/>
      <c r="AI1000" s="213"/>
      <c r="AJ1000" s="213"/>
      <c r="AK1000" s="213"/>
      <c r="AL1000" s="213"/>
      <c r="AM1000" s="213"/>
      <c r="AN1000" s="283"/>
      <c r="AO1000" s="215"/>
      <c r="AP1000" s="286"/>
      <c r="AQ1000" s="265"/>
      <c r="AR1000" s="265"/>
    </row>
    <row r="1001" spans="10:44" s="48" customFormat="1">
      <c r="J1001" s="213"/>
      <c r="K1001" s="213"/>
      <c r="L1001" s="213"/>
      <c r="M1001" s="213"/>
      <c r="N1001" s="213"/>
      <c r="O1001" s="213"/>
      <c r="P1001" s="213"/>
      <c r="Q1001" s="213"/>
      <c r="R1001" s="213"/>
      <c r="S1001" s="213"/>
      <c r="T1001" s="213"/>
      <c r="U1001" s="213"/>
      <c r="V1001" s="213"/>
      <c r="W1001" s="213"/>
      <c r="X1001" s="213"/>
      <c r="Y1001" s="213"/>
      <c r="Z1001" s="213"/>
      <c r="AA1001" s="213"/>
      <c r="AB1001" s="213"/>
      <c r="AC1001" s="213"/>
      <c r="AD1001" s="213"/>
      <c r="AE1001" s="213"/>
      <c r="AF1001" s="213"/>
      <c r="AG1001" s="213"/>
      <c r="AH1001" s="213"/>
      <c r="AI1001" s="213"/>
      <c r="AJ1001" s="213"/>
      <c r="AK1001" s="213"/>
      <c r="AL1001" s="213"/>
      <c r="AM1001" s="213"/>
      <c r="AN1001" s="199"/>
      <c r="AP1001" s="121"/>
      <c r="AQ1001" s="121"/>
    </row>
  </sheetData>
  <sheetProtection password="FA9C" sheet="1" objects="1" scenarios="1" formatColumns="0" formatRows="0"/>
  <mergeCells count="4">
    <mergeCell ref="AN9:AP9"/>
    <mergeCell ref="AN11:AN12"/>
    <mergeCell ref="AO11:AO12"/>
    <mergeCell ref="AP11:AP12"/>
  </mergeCells>
  <phoneticPr fontId="8"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sheetPr codeName="HEAT_CALC_PERIOD2">
    <tabColor rgb="FF00B050"/>
    <outlinePr summaryBelow="0"/>
  </sheetPr>
  <dimension ref="A1:AU1000"/>
  <sheetViews>
    <sheetView showGridLines="0" topLeftCell="AL8" workbookViewId="0"/>
  </sheetViews>
  <sheetFormatPr defaultRowHeight="11.25"/>
  <cols>
    <col min="1" max="9" width="4.5703125" style="47" hidden="1" customWidth="1"/>
    <col min="10" max="10" width="4.5703125" hidden="1" customWidth="1"/>
    <col min="11" max="36" width="4.5703125" style="47" hidden="1" customWidth="1"/>
    <col min="37" max="37" width="2.7109375" style="47"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4" width="0.140625" style="47" customWidth="1"/>
    <col min="45" max="46" width="2.7109375" style="47" customWidth="1"/>
    <col min="47" max="16384" width="9.140625" style="47"/>
  </cols>
  <sheetData>
    <row r="1" spans="10:45" hidden="1"/>
    <row r="2" spans="10:45" hidden="1"/>
    <row r="3" spans="10:45" hidden="1"/>
    <row r="4" spans="10:45" hidden="1"/>
    <row r="5" spans="10:45" hidden="1"/>
    <row r="6" spans="10:45" hidden="1"/>
    <row r="7" spans="10:45" hidden="1"/>
    <row r="8" spans="10:45" s="314" customFormat="1">
      <c r="J8" s="313"/>
      <c r="AM8" s="617"/>
      <c r="AN8" s="637">
        <f>IF(TARIFF_SETUP_METHOD_CODE="BY_PSEUDO_YEARS",12,IF(TEMPLATE_CLAIM="P",6,2))</f>
        <v>2</v>
      </c>
      <c r="AO8" s="431" t="str">
        <f>"Необходимо указывать " &amp; IF(TARIFF_SETUP_METHOD_CODE="BY_PSEUDO_YEARS","общегодовые значения","значения по периодам")</f>
        <v>Необходимо указывать значения по периодам</v>
      </c>
      <c r="AP8" s="616" t="s">
        <v>2497</v>
      </c>
      <c r="AQ8" s="310"/>
      <c r="AR8" s="310"/>
      <c r="AS8" s="310"/>
    </row>
    <row r="9" spans="10:45"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по муниципальному образованию - " &amp; IF(mo="","Не определено",mo)</f>
        <v>Фактические расходы организаций водоотведения по муниципальному образованию - Село Булава</v>
      </c>
      <c r="AO9" s="917"/>
      <c r="AP9" s="917"/>
      <c r="AQ9" s="201"/>
      <c r="AR9" s="122"/>
      <c r="AS9" s="200"/>
    </row>
    <row r="10" spans="10:45" ht="12" customHeight="1">
      <c r="AM10" s="124"/>
      <c r="AN10" s="491" t="str">
        <f>IF(TEMPLATE_CLAIM="P","01.07 - 31.12","01.07 - 31.08")</f>
        <v>01.07 - 31.08</v>
      </c>
      <c r="AO10" s="221"/>
      <c r="AP10" s="122" t="s">
        <v>786</v>
      </c>
      <c r="AQ10" s="201"/>
      <c r="AR10" s="168" t="s">
        <v>720</v>
      </c>
      <c r="AS10" s="53"/>
    </row>
    <row r="11" spans="10:45">
      <c r="AL11" s="50"/>
      <c r="AM11" s="125"/>
      <c r="AN11" s="802" t="s">
        <v>641</v>
      </c>
      <c r="AO11" s="804" t="s">
        <v>787</v>
      </c>
      <c r="AP11" s="806" t="s">
        <v>778</v>
      </c>
      <c r="AQ11" s="206">
        <v>0</v>
      </c>
      <c r="AR11" s="206"/>
      <c r="AS11" s="220"/>
    </row>
    <row r="12" spans="10:45" ht="48" customHeight="1">
      <c r="AL12" s="50"/>
      <c r="AM12" s="125"/>
      <c r="AN12" s="802"/>
      <c r="AO12" s="804"/>
      <c r="AP12" s="806"/>
      <c r="AQ12" s="207"/>
      <c r="AR12" s="207"/>
      <c r="AS12" s="220"/>
    </row>
    <row r="13" spans="10:45" ht="11.25" customHeight="1">
      <c r="AL13" s="50"/>
      <c r="AM13" s="125"/>
      <c r="AN13" s="232"/>
      <c r="AO13" s="233" t="s">
        <v>788</v>
      </c>
      <c r="AP13" s="251"/>
      <c r="AQ13" s="207"/>
      <c r="AR13" s="207"/>
      <c r="AS13" s="220"/>
    </row>
    <row r="14" spans="10:45" ht="11.25" customHeight="1">
      <c r="AL14" s="50"/>
      <c r="AM14" s="125"/>
      <c r="AN14" s="232"/>
      <c r="AO14" s="490" t="str">
        <f>IF(CALC_IDENTIFIER="","",CALC_IDENTIFIER)</f>
        <v/>
      </c>
      <c r="AP14" s="251"/>
      <c r="AQ14" s="207"/>
      <c r="AR14" s="207"/>
      <c r="AS14" s="220"/>
    </row>
    <row r="15" spans="10:45">
      <c r="AL15" s="50"/>
      <c r="AM15" s="125"/>
      <c r="AN15" s="234" t="s">
        <v>642</v>
      </c>
      <c r="AO15" s="489" t="s">
        <v>789</v>
      </c>
      <c r="AP15" s="257">
        <f t="shared" ref="AP15:AP26" si="0">SUM(AQ15:AR15)</f>
        <v>0</v>
      </c>
      <c r="AQ15" s="258"/>
      <c r="AR15" s="258"/>
      <c r="AS15" s="127"/>
    </row>
    <row r="16" spans="10:45">
      <c r="AL16" s="50"/>
      <c r="AM16" s="125"/>
      <c r="AN16" s="234" t="s">
        <v>790</v>
      </c>
      <c r="AO16" s="224" t="s">
        <v>791</v>
      </c>
      <c r="AP16" s="257">
        <f t="shared" si="0"/>
        <v>0</v>
      </c>
      <c r="AQ16" s="258"/>
      <c r="AR16" s="258"/>
      <c r="AS16" s="127"/>
    </row>
    <row r="17" spans="1:47">
      <c r="AL17" s="50"/>
      <c r="AM17" s="125"/>
      <c r="AN17" s="236" t="s">
        <v>792</v>
      </c>
      <c r="AO17" s="237" t="s">
        <v>793</v>
      </c>
      <c r="AP17" s="257">
        <f t="shared" si="0"/>
        <v>0</v>
      </c>
      <c r="AQ17" s="258"/>
      <c r="AR17" s="258"/>
      <c r="AS17" s="127"/>
    </row>
    <row r="18" spans="1:47" ht="12.75">
      <c r="AL18" s="50"/>
      <c r="AM18" s="125"/>
      <c r="AN18" s="234" t="s">
        <v>794</v>
      </c>
      <c r="AO18" s="238" t="s">
        <v>2567</v>
      </c>
      <c r="AP18" s="257">
        <f>IF(AP19=0,0,AP17*1000/AP19)</f>
        <v>0</v>
      </c>
      <c r="AQ18" s="258"/>
      <c r="AR18" s="258"/>
      <c r="AS18" s="127"/>
    </row>
    <row r="19" spans="1:47" ht="12.75">
      <c r="AL19" s="50"/>
      <c r="AM19" s="125"/>
      <c r="AN19" s="234" t="s">
        <v>61</v>
      </c>
      <c r="AO19" s="238" t="s">
        <v>2568</v>
      </c>
      <c r="AP19" s="257">
        <f t="shared" si="0"/>
        <v>0</v>
      </c>
      <c r="AQ19" s="258"/>
      <c r="AR19" s="258"/>
      <c r="AS19" s="127"/>
    </row>
    <row r="20" spans="1:47" ht="22.5">
      <c r="A20" s="51"/>
      <c r="B20" s="51"/>
      <c r="C20" s="51"/>
      <c r="D20" s="51"/>
      <c r="E20" s="51"/>
      <c r="F20" s="51"/>
      <c r="G20" s="51"/>
      <c r="H20" s="51"/>
      <c r="I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2"/>
      <c r="AM20" s="125"/>
      <c r="AN20" s="236" t="s">
        <v>63</v>
      </c>
      <c r="AO20" s="237" t="s">
        <v>64</v>
      </c>
      <c r="AP20" s="257">
        <f t="shared" si="0"/>
        <v>0</v>
      </c>
      <c r="AQ20" s="258"/>
      <c r="AR20" s="258"/>
      <c r="AS20" s="127"/>
    </row>
    <row r="21" spans="1:47">
      <c r="A21" s="51"/>
      <c r="B21" s="51"/>
      <c r="C21" s="51"/>
      <c r="D21" s="51"/>
      <c r="E21" s="51"/>
      <c r="F21" s="51"/>
      <c r="G21" s="51"/>
      <c r="H21" s="51"/>
      <c r="I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3"/>
      <c r="AM21" s="124"/>
      <c r="AN21" s="234" t="s">
        <v>751</v>
      </c>
      <c r="AO21" s="235" t="s">
        <v>65</v>
      </c>
      <c r="AP21" s="257">
        <f t="shared" si="0"/>
        <v>0</v>
      </c>
      <c r="AQ21" s="258"/>
      <c r="AR21" s="258"/>
      <c r="AS21" s="127"/>
    </row>
    <row r="22" spans="1:47">
      <c r="A22" s="51"/>
      <c r="B22" s="51"/>
      <c r="C22" s="51"/>
      <c r="D22" s="51"/>
      <c r="E22" s="51"/>
      <c r="F22" s="51"/>
      <c r="G22" s="51"/>
      <c r="H22" s="51"/>
      <c r="I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3"/>
      <c r="AM22" s="124"/>
      <c r="AN22" s="234" t="s">
        <v>66</v>
      </c>
      <c r="AO22" s="237" t="s">
        <v>67</v>
      </c>
      <c r="AP22" s="257">
        <f t="shared" si="0"/>
        <v>0</v>
      </c>
      <c r="AQ22" s="258"/>
      <c r="AR22" s="258"/>
      <c r="AS22" s="127"/>
    </row>
    <row r="23" spans="1:47">
      <c r="A23" s="51"/>
      <c r="B23" s="51"/>
      <c r="C23" s="51"/>
      <c r="D23" s="51"/>
      <c r="E23" s="51"/>
      <c r="F23" s="51"/>
      <c r="G23" s="51"/>
      <c r="H23" s="51"/>
      <c r="I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3"/>
      <c r="AM23" s="124"/>
      <c r="AN23" s="234" t="s">
        <v>69</v>
      </c>
      <c r="AO23" s="237" t="s">
        <v>70</v>
      </c>
      <c r="AP23" s="257">
        <f t="shared" si="0"/>
        <v>0</v>
      </c>
      <c r="AQ23" s="258"/>
      <c r="AR23" s="258"/>
      <c r="AS23" s="127"/>
    </row>
    <row r="24" spans="1:47">
      <c r="A24" s="51"/>
      <c r="B24" s="51"/>
      <c r="C24" s="51"/>
      <c r="D24" s="51"/>
      <c r="E24" s="51"/>
      <c r="F24" s="51"/>
      <c r="G24" s="51"/>
      <c r="H24" s="51"/>
      <c r="I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3"/>
      <c r="AM24" s="124"/>
      <c r="AN24" s="234" t="s">
        <v>72</v>
      </c>
      <c r="AO24" s="237" t="s">
        <v>73</v>
      </c>
      <c r="AP24" s="257">
        <f t="shared" si="0"/>
        <v>0</v>
      </c>
      <c r="AQ24" s="258"/>
      <c r="AR24" s="258"/>
      <c r="AS24" s="127"/>
    </row>
    <row r="25" spans="1:47">
      <c r="A25" s="51"/>
      <c r="B25" s="51"/>
      <c r="C25" s="51"/>
      <c r="D25" s="51"/>
      <c r="E25" s="51"/>
      <c r="F25" s="51"/>
      <c r="G25" s="51"/>
      <c r="H25" s="51"/>
      <c r="I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3"/>
      <c r="AM25" s="124"/>
      <c r="AN25" s="234" t="s">
        <v>752</v>
      </c>
      <c r="AO25" s="235" t="s">
        <v>74</v>
      </c>
      <c r="AP25" s="257">
        <f t="shared" si="0"/>
        <v>0</v>
      </c>
      <c r="AQ25" s="258"/>
      <c r="AR25" s="258"/>
      <c r="AS25" s="127"/>
    </row>
    <row r="26" spans="1:47">
      <c r="A26" s="51"/>
      <c r="B26" s="51"/>
      <c r="C26" s="51"/>
      <c r="D26" s="51"/>
      <c r="E26" s="51"/>
      <c r="F26" s="51"/>
      <c r="G26" s="51"/>
      <c r="H26" s="51"/>
      <c r="I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3"/>
      <c r="AM26" s="124"/>
      <c r="AN26" s="236" t="s">
        <v>760</v>
      </c>
      <c r="AO26" s="237" t="s">
        <v>76</v>
      </c>
      <c r="AP26" s="257">
        <f t="shared" si="0"/>
        <v>0</v>
      </c>
      <c r="AQ26" s="258"/>
      <c r="AR26" s="258"/>
      <c r="AS26" s="127"/>
    </row>
    <row r="27" spans="1:47" ht="22.5">
      <c r="A27" s="51"/>
      <c r="B27" s="51"/>
      <c r="C27" s="51"/>
      <c r="D27" s="51"/>
      <c r="E27" s="51"/>
      <c r="F27" s="51"/>
      <c r="G27" s="51"/>
      <c r="H27" s="51"/>
      <c r="I27" s="5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234" t="s">
        <v>753</v>
      </c>
      <c r="AO27" s="233" t="s">
        <v>211</v>
      </c>
      <c r="AP27" s="305">
        <f>SUM(AQ27:AR27)</f>
        <v>0</v>
      </c>
      <c r="AQ27" s="258"/>
      <c r="AR27" s="258"/>
      <c r="AS27" s="202"/>
      <c r="AT27" s="48"/>
      <c r="AU27" s="48"/>
    </row>
    <row r="28" spans="1:47">
      <c r="A28" s="51"/>
      <c r="B28" s="51"/>
      <c r="C28" s="51"/>
      <c r="D28" s="51"/>
      <c r="E28" s="51"/>
      <c r="F28" s="51"/>
      <c r="G28" s="51"/>
      <c r="H28" s="51"/>
      <c r="I28" s="5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451" t="s">
        <v>766</v>
      </c>
      <c r="AO28" s="453" t="s">
        <v>78</v>
      </c>
      <c r="AP28" s="305">
        <f>SUM(AQ28:AR28)</f>
        <v>0</v>
      </c>
      <c r="AQ28" s="258"/>
      <c r="AR28" s="258"/>
      <c r="AS28" s="202"/>
      <c r="AT28" s="48"/>
      <c r="AU28" s="48"/>
    </row>
    <row r="29" spans="1:47">
      <c r="A29" s="51"/>
      <c r="B29" s="51"/>
      <c r="C29" s="51"/>
      <c r="D29" s="51"/>
      <c r="E29" s="51"/>
      <c r="F29" s="51"/>
      <c r="G29" s="51"/>
      <c r="H29" s="51"/>
      <c r="I29" s="5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451" t="s">
        <v>768</v>
      </c>
      <c r="AO29" s="454" t="s">
        <v>212</v>
      </c>
      <c r="AP29" s="305">
        <f>SUM(AQ29:AR29)</f>
        <v>0</v>
      </c>
      <c r="AQ29" s="258"/>
      <c r="AR29" s="258"/>
      <c r="AS29" s="202"/>
      <c r="AT29" s="48"/>
      <c r="AU29" s="48"/>
    </row>
    <row r="30" spans="1:47">
      <c r="A30" s="51"/>
      <c r="B30" s="51"/>
      <c r="C30" s="51"/>
      <c r="D30" s="51"/>
      <c r="E30" s="51"/>
      <c r="F30" s="51"/>
      <c r="G30" s="51"/>
      <c r="H30" s="51"/>
      <c r="I30" s="5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451" t="s">
        <v>132</v>
      </c>
      <c r="AO30" s="455" t="s">
        <v>79</v>
      </c>
      <c r="AP30" s="305">
        <f>SUM(AQ30:AR30)</f>
        <v>0</v>
      </c>
      <c r="AQ30" s="258"/>
      <c r="AR30" s="258"/>
      <c r="AS30" s="202"/>
      <c r="AT30" s="48"/>
      <c r="AU30" s="48"/>
    </row>
    <row r="31" spans="1:47" hidden="1">
      <c r="A31" s="51"/>
      <c r="B31" s="51"/>
      <c r="C31" s="51"/>
      <c r="D31" s="51"/>
      <c r="E31" s="51"/>
      <c r="F31" s="51"/>
      <c r="G31" s="51"/>
      <c r="H31" s="51"/>
      <c r="I31" s="5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451"/>
      <c r="AO31" s="455"/>
      <c r="AP31" s="287"/>
      <c r="AQ31" s="258"/>
      <c r="AR31" s="258"/>
      <c r="AS31" s="202"/>
      <c r="AT31" s="48"/>
      <c r="AU31" s="48"/>
    </row>
    <row r="32" spans="1:47" hidden="1">
      <c r="A32" s="51"/>
      <c r="B32" s="51"/>
      <c r="C32" s="51"/>
      <c r="D32" s="51"/>
      <c r="E32" s="51"/>
      <c r="F32" s="51"/>
      <c r="G32" s="51"/>
      <c r="H32" s="51"/>
      <c r="I32" s="5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451"/>
      <c r="AO32" s="455"/>
      <c r="AP32" s="287"/>
      <c r="AQ32" s="258"/>
      <c r="AR32" s="258"/>
      <c r="AS32" s="202"/>
      <c r="AT32" s="48"/>
      <c r="AU32" s="48"/>
    </row>
    <row r="33" spans="1:47" hidden="1">
      <c r="A33" s="51"/>
      <c r="B33" s="51"/>
      <c r="C33" s="51"/>
      <c r="D33" s="51"/>
      <c r="E33" s="51"/>
      <c r="F33" s="51"/>
      <c r="G33" s="51"/>
      <c r="H33" s="51"/>
      <c r="I33" s="5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451"/>
      <c r="AO33" s="455"/>
      <c r="AP33" s="287"/>
      <c r="AQ33" s="258"/>
      <c r="AR33" s="258"/>
      <c r="AS33" s="202"/>
      <c r="AT33" s="48"/>
      <c r="AU33" s="48"/>
    </row>
    <row r="34" spans="1:47" hidden="1">
      <c r="A34" s="51"/>
      <c r="B34" s="51"/>
      <c r="C34" s="51"/>
      <c r="D34" s="51"/>
      <c r="E34" s="51"/>
      <c r="F34" s="51"/>
      <c r="G34" s="51"/>
      <c r="H34" s="51"/>
      <c r="I34" s="5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451"/>
      <c r="AO34" s="455"/>
      <c r="AP34" s="287"/>
      <c r="AQ34" s="258"/>
      <c r="AR34" s="258"/>
      <c r="AS34" s="202"/>
      <c r="AT34" s="48"/>
      <c r="AU34" s="48"/>
    </row>
    <row r="35" spans="1:47" hidden="1">
      <c r="A35" s="51"/>
      <c r="B35" s="51"/>
      <c r="C35" s="51"/>
      <c r="D35" s="51"/>
      <c r="E35" s="51"/>
      <c r="F35" s="51"/>
      <c r="G35" s="51"/>
      <c r="H35" s="51"/>
      <c r="I35" s="5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451"/>
      <c r="AO35" s="455"/>
      <c r="AP35" s="287"/>
      <c r="AQ35" s="258"/>
      <c r="AR35" s="258"/>
      <c r="AS35" s="202"/>
      <c r="AT35" s="48"/>
      <c r="AU35" s="48"/>
    </row>
    <row r="36" spans="1:47" hidden="1">
      <c r="A36" s="51"/>
      <c r="B36" s="51"/>
      <c r="C36" s="51"/>
      <c r="D36" s="51"/>
      <c r="E36" s="51"/>
      <c r="F36" s="51"/>
      <c r="G36" s="51"/>
      <c r="H36" s="51"/>
      <c r="I36" s="5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451"/>
      <c r="AO36" s="455"/>
      <c r="AP36" s="287"/>
      <c r="AQ36" s="258"/>
      <c r="AR36" s="258"/>
      <c r="AS36" s="202"/>
      <c r="AT36" s="48"/>
      <c r="AU36" s="48"/>
    </row>
    <row r="37" spans="1:47" hidden="1">
      <c r="A37" s="51"/>
      <c r="B37" s="51"/>
      <c r="C37" s="51"/>
      <c r="D37" s="51"/>
      <c r="E37" s="51"/>
      <c r="F37" s="51"/>
      <c r="G37" s="51"/>
      <c r="H37" s="51"/>
      <c r="I37" s="5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451"/>
      <c r="AO37" s="455"/>
      <c r="AP37" s="287"/>
      <c r="AQ37" s="258"/>
      <c r="AR37" s="258"/>
      <c r="AS37" s="202"/>
      <c r="AT37" s="48"/>
      <c r="AU37" s="48"/>
    </row>
    <row r="38" spans="1:47">
      <c r="A38" s="51"/>
      <c r="B38" s="51"/>
      <c r="C38" s="51"/>
      <c r="D38" s="51"/>
      <c r="E38" s="51"/>
      <c r="F38" s="51"/>
      <c r="G38" s="51"/>
      <c r="H38" s="51"/>
      <c r="I38" s="5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451" t="s">
        <v>80</v>
      </c>
      <c r="AO38" s="455" t="s">
        <v>81</v>
      </c>
      <c r="AP38" s="305">
        <f>SUM(AQ38:AR38)</f>
        <v>0</v>
      </c>
      <c r="AQ38" s="258"/>
      <c r="AR38" s="258"/>
      <c r="AS38" s="202"/>
      <c r="AT38" s="48"/>
      <c r="AU38" s="48"/>
    </row>
    <row r="39" spans="1:47" hidden="1">
      <c r="A39" s="51"/>
      <c r="B39" s="51"/>
      <c r="C39" s="51"/>
      <c r="D39" s="51"/>
      <c r="E39" s="51"/>
      <c r="F39" s="51"/>
      <c r="G39" s="51"/>
      <c r="H39" s="51"/>
      <c r="I39" s="5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451"/>
      <c r="AO39" s="455"/>
      <c r="AP39" s="287"/>
      <c r="AQ39" s="258"/>
      <c r="AR39" s="258"/>
      <c r="AS39" s="202"/>
      <c r="AT39" s="48"/>
      <c r="AU39" s="48"/>
    </row>
    <row r="40" spans="1:47" hidden="1">
      <c r="A40" s="51"/>
      <c r="B40" s="51"/>
      <c r="C40" s="51"/>
      <c r="D40" s="51"/>
      <c r="E40" s="51"/>
      <c r="F40" s="51"/>
      <c r="G40" s="51"/>
      <c r="H40" s="51"/>
      <c r="I40" s="5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451"/>
      <c r="AO40" s="455"/>
      <c r="AP40" s="287"/>
      <c r="AQ40" s="258"/>
      <c r="AR40" s="258"/>
      <c r="AS40" s="202"/>
      <c r="AT40" s="48"/>
      <c r="AU40" s="48"/>
    </row>
    <row r="41" spans="1:47" hidden="1">
      <c r="A41" s="51"/>
      <c r="B41" s="51"/>
      <c r="C41" s="51"/>
      <c r="D41" s="51"/>
      <c r="E41" s="51"/>
      <c r="F41" s="51"/>
      <c r="G41" s="51"/>
      <c r="H41" s="51"/>
      <c r="I41" s="5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451"/>
      <c r="AO41" s="455"/>
      <c r="AP41" s="287"/>
      <c r="AQ41" s="258"/>
      <c r="AR41" s="258"/>
      <c r="AS41" s="202"/>
      <c r="AT41" s="48"/>
      <c r="AU41" s="48"/>
    </row>
    <row r="42" spans="1:47" hidden="1">
      <c r="A42" s="51"/>
      <c r="B42" s="51"/>
      <c r="C42" s="51"/>
      <c r="D42" s="51"/>
      <c r="E42" s="51"/>
      <c r="F42" s="51"/>
      <c r="G42" s="51"/>
      <c r="H42" s="51"/>
      <c r="I42" s="5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451"/>
      <c r="AO42" s="455"/>
      <c r="AP42" s="287"/>
      <c r="AQ42" s="258"/>
      <c r="AR42" s="258"/>
      <c r="AS42" s="202"/>
      <c r="AT42" s="48"/>
      <c r="AU42" s="48"/>
    </row>
    <row r="43" spans="1:47" hidden="1">
      <c r="A43" s="51"/>
      <c r="B43" s="51"/>
      <c r="C43" s="51"/>
      <c r="D43" s="51"/>
      <c r="E43" s="51"/>
      <c r="F43" s="51"/>
      <c r="G43" s="51"/>
      <c r="H43" s="51"/>
      <c r="I43" s="5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451"/>
      <c r="AO43" s="455"/>
      <c r="AP43" s="287"/>
      <c r="AQ43" s="258"/>
      <c r="AR43" s="258"/>
      <c r="AS43" s="202"/>
      <c r="AT43" s="48"/>
      <c r="AU43" s="48"/>
    </row>
    <row r="44" spans="1:47" hidden="1">
      <c r="A44" s="51"/>
      <c r="B44" s="51"/>
      <c r="C44" s="51"/>
      <c r="D44" s="51"/>
      <c r="E44" s="51"/>
      <c r="F44" s="51"/>
      <c r="G44" s="51"/>
      <c r="H44" s="51"/>
      <c r="I44" s="5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451"/>
      <c r="AO44" s="455"/>
      <c r="AP44" s="287"/>
      <c r="AQ44" s="258"/>
      <c r="AR44" s="258"/>
      <c r="AS44" s="202"/>
      <c r="AT44" s="48"/>
      <c r="AU44" s="48"/>
    </row>
    <row r="45" spans="1:47" hidden="1">
      <c r="A45" s="51"/>
      <c r="B45" s="51"/>
      <c r="C45" s="51"/>
      <c r="D45" s="51"/>
      <c r="E45" s="51"/>
      <c r="F45" s="51"/>
      <c r="G45" s="51"/>
      <c r="H45" s="51"/>
      <c r="I45" s="5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451"/>
      <c r="AO45" s="455"/>
      <c r="AP45" s="287"/>
      <c r="AQ45" s="258"/>
      <c r="AR45" s="258"/>
      <c r="AS45" s="202"/>
      <c r="AT45" s="48"/>
      <c r="AU45" s="48"/>
    </row>
    <row r="46" spans="1:47">
      <c r="A46" s="51"/>
      <c r="B46" s="51"/>
      <c r="C46" s="51"/>
      <c r="D46" s="51"/>
      <c r="E46" s="51"/>
      <c r="F46" s="51"/>
      <c r="G46" s="51"/>
      <c r="H46" s="51"/>
      <c r="I46" s="5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451" t="s">
        <v>82</v>
      </c>
      <c r="AO46" s="455" t="s">
        <v>83</v>
      </c>
      <c r="AP46" s="305">
        <f t="shared" ref="AP46:AP59" si="1">SUM(AQ46:AR46)</f>
        <v>0</v>
      </c>
      <c r="AQ46" s="258"/>
      <c r="AR46" s="258"/>
      <c r="AS46" s="202"/>
      <c r="AT46" s="48"/>
      <c r="AU46" s="48"/>
    </row>
    <row r="47" spans="1:47">
      <c r="A47" s="51"/>
      <c r="B47" s="51"/>
      <c r="C47" s="51"/>
      <c r="D47" s="51"/>
      <c r="E47" s="51"/>
      <c r="F47" s="51"/>
      <c r="G47" s="51"/>
      <c r="H47" s="51"/>
      <c r="I47" s="5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451" t="s">
        <v>84</v>
      </c>
      <c r="AO47" s="457" t="s">
        <v>85</v>
      </c>
      <c r="AP47" s="305">
        <f t="shared" si="1"/>
        <v>0</v>
      </c>
      <c r="AQ47" s="258"/>
      <c r="AR47" s="258"/>
      <c r="AS47" s="202"/>
      <c r="AT47" s="48"/>
      <c r="AU47" s="48"/>
    </row>
    <row r="48" spans="1:47">
      <c r="A48" s="51"/>
      <c r="B48" s="51"/>
      <c r="C48" s="51"/>
      <c r="D48" s="51"/>
      <c r="E48" s="51"/>
      <c r="F48" s="51"/>
      <c r="G48" s="51"/>
      <c r="H48" s="51"/>
      <c r="I48" s="5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451" t="s">
        <v>86</v>
      </c>
      <c r="AO48" s="457" t="s">
        <v>87</v>
      </c>
      <c r="AP48" s="305">
        <f t="shared" si="1"/>
        <v>0</v>
      </c>
      <c r="AQ48" s="258"/>
      <c r="AR48" s="258"/>
      <c r="AS48" s="202"/>
      <c r="AT48" s="48"/>
      <c r="AU48" s="48"/>
    </row>
    <row r="49" spans="1:47">
      <c r="A49" s="51"/>
      <c r="B49" s="51"/>
      <c r="C49" s="51"/>
      <c r="D49" s="51"/>
      <c r="E49" s="51"/>
      <c r="F49" s="51"/>
      <c r="G49" s="51"/>
      <c r="H49" s="51"/>
      <c r="I49" s="5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451" t="s">
        <v>88</v>
      </c>
      <c r="AO49" s="457" t="s">
        <v>89</v>
      </c>
      <c r="AP49" s="305">
        <f t="shared" si="1"/>
        <v>0</v>
      </c>
      <c r="AQ49" s="258"/>
      <c r="AR49" s="258"/>
      <c r="AS49" s="202"/>
      <c r="AT49" s="48"/>
      <c r="AU49" s="48"/>
    </row>
    <row r="50" spans="1:47">
      <c r="A50" s="51"/>
      <c r="B50" s="51"/>
      <c r="C50" s="51"/>
      <c r="D50" s="51"/>
      <c r="E50" s="51"/>
      <c r="F50" s="51"/>
      <c r="G50" s="51"/>
      <c r="H50" s="51"/>
      <c r="I50" s="5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451" t="s">
        <v>90</v>
      </c>
      <c r="AO50" s="457" t="s">
        <v>91</v>
      </c>
      <c r="AP50" s="305">
        <f t="shared" si="1"/>
        <v>0</v>
      </c>
      <c r="AQ50" s="258"/>
      <c r="AR50" s="258"/>
      <c r="AS50" s="202"/>
      <c r="AT50" s="48"/>
      <c r="AU50" s="48"/>
    </row>
    <row r="51" spans="1:47">
      <c r="A51" s="51"/>
      <c r="B51" s="51"/>
      <c r="C51" s="51"/>
      <c r="D51" s="51"/>
      <c r="E51" s="51"/>
      <c r="F51" s="51"/>
      <c r="G51" s="51"/>
      <c r="H51" s="51"/>
      <c r="I51" s="5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451" t="s">
        <v>92</v>
      </c>
      <c r="AO51" s="457" t="s">
        <v>93</v>
      </c>
      <c r="AP51" s="305">
        <f t="shared" si="1"/>
        <v>0</v>
      </c>
      <c r="AQ51" s="258"/>
      <c r="AR51" s="258"/>
      <c r="AS51" s="202"/>
      <c r="AT51" s="48"/>
      <c r="AU51" s="48"/>
    </row>
    <row r="52" spans="1:47">
      <c r="A52" s="51"/>
      <c r="B52" s="51"/>
      <c r="C52" s="51"/>
      <c r="D52" s="51"/>
      <c r="E52" s="51"/>
      <c r="F52" s="51"/>
      <c r="G52" s="51"/>
      <c r="H52" s="51"/>
      <c r="I52" s="5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451" t="s">
        <v>94</v>
      </c>
      <c r="AO52" s="457" t="s">
        <v>95</v>
      </c>
      <c r="AP52" s="305">
        <f t="shared" si="1"/>
        <v>0</v>
      </c>
      <c r="AQ52" s="258"/>
      <c r="AR52" s="258"/>
      <c r="AS52" s="202"/>
      <c r="AT52" s="48"/>
      <c r="AU52" s="48"/>
    </row>
    <row r="53" spans="1:47">
      <c r="A53" s="51"/>
      <c r="B53" s="51"/>
      <c r="C53" s="51"/>
      <c r="D53" s="51"/>
      <c r="E53" s="51"/>
      <c r="F53" s="51"/>
      <c r="G53" s="51"/>
      <c r="H53" s="51"/>
      <c r="I53" s="5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451" t="s">
        <v>2975</v>
      </c>
      <c r="AO53" s="457" t="s">
        <v>2976</v>
      </c>
      <c r="AP53" s="305">
        <f t="shared" si="1"/>
        <v>0</v>
      </c>
      <c r="AQ53" s="258"/>
      <c r="AR53" s="258"/>
      <c r="AS53" s="202"/>
      <c r="AT53" s="48"/>
      <c r="AU53" s="48"/>
    </row>
    <row r="54" spans="1:47">
      <c r="A54" s="51"/>
      <c r="B54" s="51"/>
      <c r="C54" s="51"/>
      <c r="D54" s="51"/>
      <c r="E54" s="51"/>
      <c r="F54" s="51"/>
      <c r="G54" s="51"/>
      <c r="H54" s="51"/>
      <c r="I54" s="5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451" t="s">
        <v>2977</v>
      </c>
      <c r="AO54" s="457" t="s">
        <v>2978</v>
      </c>
      <c r="AP54" s="305">
        <f t="shared" si="1"/>
        <v>0</v>
      </c>
      <c r="AQ54" s="258"/>
      <c r="AR54" s="258"/>
      <c r="AS54" s="202"/>
      <c r="AT54" s="48"/>
      <c r="AU54" s="48"/>
    </row>
    <row r="55" spans="1:47">
      <c r="A55" s="51"/>
      <c r="B55" s="51"/>
      <c r="C55" s="51"/>
      <c r="D55" s="51"/>
      <c r="E55" s="51"/>
      <c r="F55" s="51"/>
      <c r="G55" s="51"/>
      <c r="H55" s="51"/>
      <c r="I55" s="5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451" t="s">
        <v>2979</v>
      </c>
      <c r="AO55" s="457" t="s">
        <v>2980</v>
      </c>
      <c r="AP55" s="305">
        <f t="shared" si="1"/>
        <v>0</v>
      </c>
      <c r="AQ55" s="258"/>
      <c r="AR55" s="258"/>
      <c r="AS55" s="202"/>
      <c r="AT55" s="48"/>
      <c r="AU55" s="48"/>
    </row>
    <row r="56" spans="1:47">
      <c r="A56" s="51"/>
      <c r="B56" s="51"/>
      <c r="C56" s="51"/>
      <c r="D56" s="51"/>
      <c r="E56" s="51"/>
      <c r="F56" s="51"/>
      <c r="G56" s="51"/>
      <c r="H56" s="51"/>
      <c r="I56" s="5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451" t="s">
        <v>2981</v>
      </c>
      <c r="AO56" s="457" t="s">
        <v>2982</v>
      </c>
      <c r="AP56" s="305">
        <f t="shared" si="1"/>
        <v>0</v>
      </c>
      <c r="AQ56" s="258"/>
      <c r="AR56" s="258"/>
      <c r="AS56" s="202"/>
      <c r="AT56" s="48"/>
      <c r="AU56" s="48"/>
    </row>
    <row r="57" spans="1:47">
      <c r="A57" s="51"/>
      <c r="B57" s="51"/>
      <c r="C57" s="51"/>
      <c r="D57" s="51"/>
      <c r="E57" s="51"/>
      <c r="F57" s="51"/>
      <c r="G57" s="51"/>
      <c r="H57" s="51"/>
      <c r="I57" s="5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451" t="s">
        <v>2983</v>
      </c>
      <c r="AO57" s="224" t="s">
        <v>2984</v>
      </c>
      <c r="AP57" s="305">
        <f t="shared" si="1"/>
        <v>0</v>
      </c>
      <c r="AQ57" s="258"/>
      <c r="AR57" s="258"/>
      <c r="AS57" s="202"/>
      <c r="AT57" s="48"/>
      <c r="AU57" s="48"/>
    </row>
    <row r="58" spans="1:47">
      <c r="A58" s="51"/>
      <c r="B58" s="51"/>
      <c r="C58" s="51"/>
      <c r="D58" s="51"/>
      <c r="E58" s="51"/>
      <c r="F58" s="51"/>
      <c r="G58" s="51"/>
      <c r="H58" s="51"/>
      <c r="I58" s="5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451" t="s">
        <v>2989</v>
      </c>
      <c r="AO58" s="224" t="s">
        <v>2990</v>
      </c>
      <c r="AP58" s="305">
        <f t="shared" si="1"/>
        <v>0</v>
      </c>
      <c r="AQ58" s="258"/>
      <c r="AR58" s="258"/>
      <c r="AS58" s="202"/>
      <c r="AT58" s="48"/>
      <c r="AU58" s="48"/>
    </row>
    <row r="59" spans="1:47">
      <c r="A59" s="51"/>
      <c r="B59" s="51"/>
      <c r="C59" s="51"/>
      <c r="D59" s="51"/>
      <c r="E59" s="51"/>
      <c r="F59" s="51"/>
      <c r="G59" s="51"/>
      <c r="H59" s="51"/>
      <c r="I59" s="5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451" t="s">
        <v>292</v>
      </c>
      <c r="AO59" s="442" t="s">
        <v>291</v>
      </c>
      <c r="AP59" s="305">
        <f t="shared" si="1"/>
        <v>0</v>
      </c>
      <c r="AQ59" s="258"/>
      <c r="AR59" s="258"/>
      <c r="AS59" s="202"/>
      <c r="AT59" s="48"/>
      <c r="AU59" s="48"/>
    </row>
    <row r="60" spans="1:47" hidden="1">
      <c r="A60" s="51"/>
      <c r="B60" s="51"/>
      <c r="C60" s="51"/>
      <c r="D60" s="51"/>
      <c r="E60" s="51"/>
      <c r="F60" s="51"/>
      <c r="G60" s="51"/>
      <c r="H60" s="51"/>
      <c r="I60" s="5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239"/>
      <c r="AO60" s="225"/>
      <c r="AP60" s="287"/>
      <c r="AQ60" s="258"/>
      <c r="AR60" s="258"/>
      <c r="AS60" s="202"/>
      <c r="AT60" s="48"/>
      <c r="AU60" s="48"/>
    </row>
    <row r="61" spans="1:47" hidden="1">
      <c r="A61" s="51"/>
      <c r="B61" s="51"/>
      <c r="C61" s="51"/>
      <c r="D61" s="51"/>
      <c r="E61" s="51"/>
      <c r="F61" s="51"/>
      <c r="G61" s="51"/>
      <c r="H61" s="51"/>
      <c r="I61" s="5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239"/>
      <c r="AO61" s="225"/>
      <c r="AP61" s="287"/>
      <c r="AQ61" s="258"/>
      <c r="AR61" s="258"/>
      <c r="AS61" s="202"/>
      <c r="AT61" s="48"/>
      <c r="AU61" s="48"/>
    </row>
    <row r="62" spans="1:47" hidden="1">
      <c r="A62" s="51"/>
      <c r="B62" s="51"/>
      <c r="C62" s="51"/>
      <c r="D62" s="51"/>
      <c r="E62" s="51"/>
      <c r="F62" s="51"/>
      <c r="G62" s="51"/>
      <c r="H62" s="51"/>
      <c r="I62" s="5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239"/>
      <c r="AO62" s="225"/>
      <c r="AP62" s="287"/>
      <c r="AQ62" s="258"/>
      <c r="AR62" s="258"/>
      <c r="AS62" s="202"/>
      <c r="AT62" s="48"/>
      <c r="AU62" s="48"/>
    </row>
    <row r="63" spans="1:47" hidden="1">
      <c r="A63" s="51"/>
      <c r="B63" s="51"/>
      <c r="C63" s="51"/>
      <c r="D63" s="51"/>
      <c r="E63" s="51"/>
      <c r="F63" s="51"/>
      <c r="G63" s="51"/>
      <c r="H63" s="51"/>
      <c r="I63" s="5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239"/>
      <c r="AO63" s="225"/>
      <c r="AP63" s="287"/>
      <c r="AQ63" s="258"/>
      <c r="AR63" s="258"/>
      <c r="AS63" s="202"/>
      <c r="AT63" s="48"/>
      <c r="AU63" s="48"/>
    </row>
    <row r="64" spans="1:47" hidden="1">
      <c r="A64" s="51"/>
      <c r="B64" s="51"/>
      <c r="C64" s="51"/>
      <c r="D64" s="51"/>
      <c r="E64" s="51"/>
      <c r="F64" s="51"/>
      <c r="G64" s="51"/>
      <c r="H64" s="51"/>
      <c r="I64" s="5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239"/>
      <c r="AO64" s="225"/>
      <c r="AP64" s="287"/>
      <c r="AQ64" s="258"/>
      <c r="AR64" s="258"/>
      <c r="AS64" s="202"/>
      <c r="AT64" s="48"/>
      <c r="AU64" s="48"/>
    </row>
    <row r="65" spans="1:47" hidden="1">
      <c r="A65" s="51"/>
      <c r="B65" s="51"/>
      <c r="C65" s="51"/>
      <c r="D65" s="51"/>
      <c r="E65" s="51"/>
      <c r="F65" s="51"/>
      <c r="G65" s="51"/>
      <c r="H65" s="51"/>
      <c r="I65" s="5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239"/>
      <c r="AO65" s="225"/>
      <c r="AP65" s="287"/>
      <c r="AQ65" s="258"/>
      <c r="AR65" s="258"/>
      <c r="AS65" s="202"/>
      <c r="AT65" s="48"/>
      <c r="AU65" s="48"/>
    </row>
    <row r="66" spans="1:47" hidden="1">
      <c r="A66" s="51"/>
      <c r="B66" s="51"/>
      <c r="C66" s="51"/>
      <c r="D66" s="51"/>
      <c r="E66" s="51"/>
      <c r="F66" s="51"/>
      <c r="G66" s="51"/>
      <c r="H66" s="51"/>
      <c r="I66" s="5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239"/>
      <c r="AO66" s="225"/>
      <c r="AP66" s="287"/>
      <c r="AQ66" s="258"/>
      <c r="AR66" s="258"/>
      <c r="AS66" s="202"/>
      <c r="AT66" s="48"/>
      <c r="AU66" s="48"/>
    </row>
    <row r="67" spans="1:47" hidden="1">
      <c r="A67" s="51"/>
      <c r="B67" s="51"/>
      <c r="C67" s="51"/>
      <c r="D67" s="51"/>
      <c r="E67" s="51"/>
      <c r="F67" s="51"/>
      <c r="G67" s="51"/>
      <c r="H67" s="51"/>
      <c r="I67" s="5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239"/>
      <c r="AO67" s="225"/>
      <c r="AP67" s="287"/>
      <c r="AQ67" s="258"/>
      <c r="AR67" s="258"/>
      <c r="AS67" s="202"/>
      <c r="AT67" s="48"/>
      <c r="AU67" s="48"/>
    </row>
    <row r="68" spans="1:47" hidden="1">
      <c r="A68" s="51"/>
      <c r="B68" s="51"/>
      <c r="C68" s="51"/>
      <c r="D68" s="51"/>
      <c r="E68" s="51"/>
      <c r="F68" s="51"/>
      <c r="G68" s="51"/>
      <c r="H68" s="51"/>
      <c r="I68" s="5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239"/>
      <c r="AO68" s="225"/>
      <c r="AP68" s="287"/>
      <c r="AQ68" s="258"/>
      <c r="AR68" s="258"/>
      <c r="AS68" s="202"/>
      <c r="AT68" s="48"/>
      <c r="AU68" s="48"/>
    </row>
    <row r="69" spans="1:47" hidden="1">
      <c r="A69" s="51"/>
      <c r="B69" s="51"/>
      <c r="C69" s="51"/>
      <c r="D69" s="51"/>
      <c r="E69" s="51"/>
      <c r="F69" s="51"/>
      <c r="G69" s="51"/>
      <c r="H69" s="51"/>
      <c r="I69" s="5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239"/>
      <c r="AO69" s="225"/>
      <c r="AP69" s="287"/>
      <c r="AQ69" s="258"/>
      <c r="AR69" s="258"/>
      <c r="AS69" s="202"/>
      <c r="AT69" s="48"/>
      <c r="AU69" s="48"/>
    </row>
    <row r="70" spans="1:47" hidden="1">
      <c r="A70" s="51"/>
      <c r="B70" s="51"/>
      <c r="C70" s="51"/>
      <c r="D70" s="51"/>
      <c r="E70" s="51"/>
      <c r="F70" s="51"/>
      <c r="G70" s="51"/>
      <c r="H70" s="51"/>
      <c r="I70" s="5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239"/>
      <c r="AO70" s="225"/>
      <c r="AP70" s="287"/>
      <c r="AQ70" s="258"/>
      <c r="AR70" s="258"/>
      <c r="AS70" s="202"/>
      <c r="AT70" s="48"/>
      <c r="AU70" s="48"/>
    </row>
    <row r="71" spans="1:47" hidden="1">
      <c r="A71" s="51"/>
      <c r="B71" s="51"/>
      <c r="C71" s="51"/>
      <c r="D71" s="51"/>
      <c r="E71" s="51"/>
      <c r="F71" s="51"/>
      <c r="G71" s="51"/>
      <c r="H71" s="51"/>
      <c r="I71" s="5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239"/>
      <c r="AO71" s="225"/>
      <c r="AP71" s="287"/>
      <c r="AQ71" s="258"/>
      <c r="AR71" s="258"/>
      <c r="AS71" s="202"/>
      <c r="AT71" s="48"/>
      <c r="AU71" s="48"/>
    </row>
    <row r="72" spans="1:47" hidden="1">
      <c r="A72" s="51"/>
      <c r="B72" s="51"/>
      <c r="C72" s="51"/>
      <c r="D72" s="51"/>
      <c r="E72" s="51"/>
      <c r="F72" s="51"/>
      <c r="G72" s="51"/>
      <c r="H72" s="51"/>
      <c r="I72" s="5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239"/>
      <c r="AO72" s="225"/>
      <c r="AP72" s="287"/>
      <c r="AQ72" s="258"/>
      <c r="AR72" s="258"/>
      <c r="AS72" s="202"/>
      <c r="AT72" s="48"/>
      <c r="AU72" s="48"/>
    </row>
    <row r="73" spans="1:47" hidden="1">
      <c r="A73" s="51"/>
      <c r="B73" s="51"/>
      <c r="C73" s="51"/>
      <c r="D73" s="51"/>
      <c r="E73" s="51"/>
      <c r="F73" s="51"/>
      <c r="G73" s="51"/>
      <c r="H73" s="51"/>
      <c r="I73" s="5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239"/>
      <c r="AO73" s="225"/>
      <c r="AP73" s="287"/>
      <c r="AQ73" s="258"/>
      <c r="AR73" s="258"/>
      <c r="AS73" s="202"/>
      <c r="AT73" s="48"/>
      <c r="AU73" s="48"/>
    </row>
    <row r="74" spans="1:47" hidden="1">
      <c r="A74" s="51"/>
      <c r="B74" s="51"/>
      <c r="C74" s="51"/>
      <c r="D74" s="51"/>
      <c r="E74" s="51"/>
      <c r="F74" s="51"/>
      <c r="G74" s="51"/>
      <c r="H74" s="51"/>
      <c r="I74" s="5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239"/>
      <c r="AO74" s="225"/>
      <c r="AP74" s="287"/>
      <c r="AQ74" s="258"/>
      <c r="AR74" s="258"/>
      <c r="AS74" s="202"/>
      <c r="AT74" s="48"/>
      <c r="AU74" s="48"/>
    </row>
    <row r="75" spans="1:47" hidden="1">
      <c r="A75" s="51"/>
      <c r="B75" s="51"/>
      <c r="C75" s="51"/>
      <c r="D75" s="51"/>
      <c r="E75" s="51"/>
      <c r="F75" s="51"/>
      <c r="G75" s="51"/>
      <c r="H75" s="51"/>
      <c r="I75" s="5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239"/>
      <c r="AO75" s="225"/>
      <c r="AP75" s="287"/>
      <c r="AQ75" s="258"/>
      <c r="AR75" s="258"/>
      <c r="AS75" s="202"/>
      <c r="AT75" s="48"/>
      <c r="AU75" s="48"/>
    </row>
    <row r="76" spans="1:47" hidden="1">
      <c r="A76" s="51"/>
      <c r="B76" s="51"/>
      <c r="C76" s="51"/>
      <c r="D76" s="51"/>
      <c r="E76" s="51"/>
      <c r="F76" s="51"/>
      <c r="G76" s="51"/>
      <c r="H76" s="51"/>
      <c r="I76" s="5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239"/>
      <c r="AO76" s="225"/>
      <c r="AP76" s="287"/>
      <c r="AQ76" s="258"/>
      <c r="AR76" s="258"/>
      <c r="AS76" s="202"/>
      <c r="AT76" s="48"/>
      <c r="AU76" s="48"/>
    </row>
    <row r="77" spans="1:47" hidden="1">
      <c r="A77" s="51"/>
      <c r="B77" s="51"/>
      <c r="C77" s="51"/>
      <c r="D77" s="51"/>
      <c r="E77" s="51"/>
      <c r="F77" s="51"/>
      <c r="G77" s="51"/>
      <c r="H77" s="51"/>
      <c r="I77" s="5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1"/>
      <c r="AN77" s="239"/>
      <c r="AO77" s="225"/>
      <c r="AP77" s="287"/>
      <c r="AQ77" s="258"/>
      <c r="AR77" s="258"/>
      <c r="AS77" s="202"/>
      <c r="AT77" s="48"/>
      <c r="AU77" s="48"/>
    </row>
    <row r="78" spans="1:47" hidden="1">
      <c r="A78" s="51"/>
      <c r="B78" s="51"/>
      <c r="C78" s="51"/>
      <c r="D78" s="51"/>
      <c r="E78" s="51"/>
      <c r="F78" s="51"/>
      <c r="G78" s="51"/>
      <c r="H78" s="51"/>
      <c r="I78" s="5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239"/>
      <c r="AO78" s="225"/>
      <c r="AP78" s="287"/>
      <c r="AQ78" s="258"/>
      <c r="AR78" s="258"/>
      <c r="AS78" s="202"/>
      <c r="AT78" s="48"/>
      <c r="AU78" s="48"/>
    </row>
    <row r="79" spans="1:47" hidden="1">
      <c r="A79" s="51"/>
      <c r="B79" s="51"/>
      <c r="C79" s="51"/>
      <c r="D79" s="51"/>
      <c r="E79" s="51"/>
      <c r="F79" s="51"/>
      <c r="G79" s="51"/>
      <c r="H79" s="51"/>
      <c r="I79" s="5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239"/>
      <c r="AO79" s="225"/>
      <c r="AP79" s="287"/>
      <c r="AQ79" s="258"/>
      <c r="AR79" s="258"/>
      <c r="AS79" s="202"/>
      <c r="AT79" s="48"/>
      <c r="AU79" s="48"/>
    </row>
    <row r="80" spans="1:47" hidden="1">
      <c r="A80" s="51"/>
      <c r="B80" s="51"/>
      <c r="C80" s="51"/>
      <c r="D80" s="51"/>
      <c r="E80" s="51"/>
      <c r="F80" s="51"/>
      <c r="G80" s="51"/>
      <c r="H80" s="51"/>
      <c r="I80" s="5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239"/>
      <c r="AO80" s="225"/>
      <c r="AP80" s="287"/>
      <c r="AQ80" s="258"/>
      <c r="AR80" s="258"/>
      <c r="AS80" s="202"/>
      <c r="AT80" s="48"/>
      <c r="AU80" s="48"/>
    </row>
    <row r="81" spans="1:47" hidden="1">
      <c r="A81" s="51"/>
      <c r="B81" s="51"/>
      <c r="C81" s="51"/>
      <c r="D81" s="51"/>
      <c r="E81" s="51"/>
      <c r="F81" s="51"/>
      <c r="G81" s="51"/>
      <c r="H81" s="51"/>
      <c r="I81" s="5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239"/>
      <c r="AO81" s="225"/>
      <c r="AP81" s="287"/>
      <c r="AQ81" s="258"/>
      <c r="AR81" s="258"/>
      <c r="AS81" s="202"/>
      <c r="AT81" s="48"/>
      <c r="AU81" s="48"/>
    </row>
    <row r="82" spans="1:47" hidden="1">
      <c r="A82" s="51"/>
      <c r="B82" s="51"/>
      <c r="C82" s="51"/>
      <c r="D82" s="51"/>
      <c r="E82" s="51"/>
      <c r="F82" s="51"/>
      <c r="G82" s="51"/>
      <c r="H82" s="51"/>
      <c r="I82" s="5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239"/>
      <c r="AO82" s="225"/>
      <c r="AP82" s="287"/>
      <c r="AQ82" s="258"/>
      <c r="AR82" s="258"/>
      <c r="AS82" s="202"/>
      <c r="AT82" s="48"/>
      <c r="AU82" s="48"/>
    </row>
    <row r="83" spans="1:47" hidden="1">
      <c r="A83" s="51"/>
      <c r="B83" s="51"/>
      <c r="C83" s="51"/>
      <c r="D83" s="51"/>
      <c r="E83" s="51"/>
      <c r="F83" s="51"/>
      <c r="G83" s="51"/>
      <c r="H83" s="51"/>
      <c r="I83" s="5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239"/>
      <c r="AO83" s="225"/>
      <c r="AP83" s="287"/>
      <c r="AQ83" s="258"/>
      <c r="AR83" s="258"/>
      <c r="AS83" s="202"/>
      <c r="AT83" s="48"/>
      <c r="AU83" s="48"/>
    </row>
    <row r="84" spans="1:47" hidden="1">
      <c r="A84" s="51"/>
      <c r="B84" s="51"/>
      <c r="C84" s="51"/>
      <c r="D84" s="51"/>
      <c r="E84" s="51"/>
      <c r="F84" s="51"/>
      <c r="G84" s="51"/>
      <c r="H84" s="51"/>
      <c r="I84" s="5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239"/>
      <c r="AO84" s="225"/>
      <c r="AP84" s="287"/>
      <c r="AQ84" s="258"/>
      <c r="AR84" s="258"/>
      <c r="AS84" s="202"/>
      <c r="AT84" s="48"/>
      <c r="AU84" s="48"/>
    </row>
    <row r="85" spans="1:47" hidden="1">
      <c r="A85" s="51"/>
      <c r="B85" s="51"/>
      <c r="C85" s="51"/>
      <c r="D85" s="51"/>
      <c r="E85" s="51"/>
      <c r="F85" s="51"/>
      <c r="G85" s="51"/>
      <c r="H85" s="51"/>
      <c r="I85" s="5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239"/>
      <c r="AO85" s="225"/>
      <c r="AP85" s="287"/>
      <c r="AQ85" s="258"/>
      <c r="AR85" s="258"/>
      <c r="AS85" s="202"/>
      <c r="AT85" s="48"/>
      <c r="AU85" s="48"/>
    </row>
    <row r="86" spans="1:47" hidden="1">
      <c r="A86" s="51"/>
      <c r="B86" s="51"/>
      <c r="C86" s="51"/>
      <c r="D86" s="51"/>
      <c r="E86" s="51"/>
      <c r="F86" s="51"/>
      <c r="G86" s="51"/>
      <c r="H86" s="51"/>
      <c r="I86" s="5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239"/>
      <c r="AO86" s="225"/>
      <c r="AP86" s="287"/>
      <c r="AQ86" s="258"/>
      <c r="AR86" s="258"/>
      <c r="AS86" s="202"/>
      <c r="AT86" s="48"/>
      <c r="AU86" s="48"/>
    </row>
    <row r="87" spans="1:47" hidden="1">
      <c r="A87" s="51"/>
      <c r="B87" s="51"/>
      <c r="C87" s="51"/>
      <c r="D87" s="51"/>
      <c r="E87" s="51"/>
      <c r="F87" s="51"/>
      <c r="G87" s="51"/>
      <c r="H87" s="51"/>
      <c r="I87" s="5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239"/>
      <c r="AO87" s="225"/>
      <c r="AP87" s="287"/>
      <c r="AQ87" s="258"/>
      <c r="AR87" s="258"/>
      <c r="AS87" s="202"/>
      <c r="AT87" s="48"/>
      <c r="AU87" s="48"/>
    </row>
    <row r="88" spans="1:47" hidden="1">
      <c r="A88" s="51"/>
      <c r="B88" s="51"/>
      <c r="C88" s="51"/>
      <c r="D88" s="51"/>
      <c r="E88" s="51"/>
      <c r="F88" s="51"/>
      <c r="G88" s="51"/>
      <c r="H88" s="51"/>
      <c r="I88" s="5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239"/>
      <c r="AO88" s="225"/>
      <c r="AP88" s="287"/>
      <c r="AQ88" s="258"/>
      <c r="AR88" s="258"/>
      <c r="AS88" s="202"/>
      <c r="AT88" s="48"/>
      <c r="AU88" s="48"/>
    </row>
    <row r="89" spans="1:47" hidden="1">
      <c r="A89" s="51"/>
      <c r="B89" s="51"/>
      <c r="C89" s="51"/>
      <c r="D89" s="51"/>
      <c r="E89" s="51"/>
      <c r="F89" s="51"/>
      <c r="G89" s="51"/>
      <c r="H89" s="51"/>
      <c r="I89" s="5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239"/>
      <c r="AO89" s="225"/>
      <c r="AP89" s="287"/>
      <c r="AQ89" s="258"/>
      <c r="AR89" s="258"/>
      <c r="AS89" s="202"/>
      <c r="AT89" s="48"/>
      <c r="AU89" s="48"/>
    </row>
    <row r="90" spans="1:47" hidden="1">
      <c r="A90" s="51"/>
      <c r="B90" s="51"/>
      <c r="C90" s="51"/>
      <c r="D90" s="51"/>
      <c r="E90" s="51"/>
      <c r="F90" s="51"/>
      <c r="G90" s="51"/>
      <c r="H90" s="51"/>
      <c r="I90" s="5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239"/>
      <c r="AO90" s="225"/>
      <c r="AP90" s="287"/>
      <c r="AQ90" s="258"/>
      <c r="AR90" s="258"/>
      <c r="AS90" s="202"/>
      <c r="AT90" s="48"/>
      <c r="AU90" s="48"/>
    </row>
    <row r="91" spans="1:47" hidden="1">
      <c r="A91" s="51"/>
      <c r="B91" s="51"/>
      <c r="C91" s="51"/>
      <c r="D91" s="51"/>
      <c r="E91" s="51"/>
      <c r="F91" s="51"/>
      <c r="G91" s="51"/>
      <c r="H91" s="51"/>
      <c r="I91" s="5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239"/>
      <c r="AO91" s="225"/>
      <c r="AP91" s="287"/>
      <c r="AQ91" s="258"/>
      <c r="AR91" s="258"/>
      <c r="AS91" s="202"/>
      <c r="AT91" s="48"/>
      <c r="AU91" s="48"/>
    </row>
    <row r="92" spans="1:47" hidden="1">
      <c r="A92" s="51"/>
      <c r="B92" s="51"/>
      <c r="C92" s="51"/>
      <c r="D92" s="51"/>
      <c r="E92" s="51"/>
      <c r="F92" s="51"/>
      <c r="G92" s="51"/>
      <c r="H92" s="51"/>
      <c r="I92" s="5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239"/>
      <c r="AO92" s="225"/>
      <c r="AP92" s="287"/>
      <c r="AQ92" s="258"/>
      <c r="AR92" s="258"/>
      <c r="AS92" s="202"/>
      <c r="AT92" s="48"/>
      <c r="AU92" s="48"/>
    </row>
    <row r="93" spans="1:47" hidden="1">
      <c r="A93" s="51"/>
      <c r="B93" s="51"/>
      <c r="C93" s="51"/>
      <c r="D93" s="51"/>
      <c r="E93" s="51"/>
      <c r="F93" s="51"/>
      <c r="G93" s="51"/>
      <c r="H93" s="51"/>
      <c r="I93" s="5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239"/>
      <c r="AO93" s="225"/>
      <c r="AP93" s="287"/>
      <c r="AQ93" s="258"/>
      <c r="AR93" s="258"/>
      <c r="AS93" s="202"/>
      <c r="AT93" s="48"/>
      <c r="AU93" s="48"/>
    </row>
    <row r="94" spans="1:47" hidden="1">
      <c r="A94" s="51"/>
      <c r="B94" s="51"/>
      <c r="C94" s="51"/>
      <c r="D94" s="51"/>
      <c r="E94" s="51"/>
      <c r="F94" s="51"/>
      <c r="G94" s="51"/>
      <c r="H94" s="51"/>
      <c r="I94" s="5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239"/>
      <c r="AO94" s="225"/>
      <c r="AP94" s="287"/>
      <c r="AQ94" s="258"/>
      <c r="AR94" s="258"/>
      <c r="AS94" s="202"/>
      <c r="AT94" s="48"/>
      <c r="AU94" s="48"/>
    </row>
    <row r="95" spans="1:47" hidden="1">
      <c r="A95" s="51"/>
      <c r="B95" s="51"/>
      <c r="C95" s="51"/>
      <c r="D95" s="51"/>
      <c r="E95" s="51"/>
      <c r="F95" s="51"/>
      <c r="G95" s="51"/>
      <c r="H95" s="51"/>
      <c r="I95" s="5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239"/>
      <c r="AO95" s="225"/>
      <c r="AP95" s="287"/>
      <c r="AQ95" s="258"/>
      <c r="AR95" s="258"/>
      <c r="AS95" s="202"/>
      <c r="AT95" s="48"/>
      <c r="AU95" s="48"/>
    </row>
    <row r="96" spans="1:47" hidden="1">
      <c r="A96" s="51"/>
      <c r="B96" s="51"/>
      <c r="C96" s="51"/>
      <c r="D96" s="51"/>
      <c r="E96" s="51"/>
      <c r="F96" s="51"/>
      <c r="G96" s="51"/>
      <c r="H96" s="51"/>
      <c r="I96" s="5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239"/>
      <c r="AO96" s="225"/>
      <c r="AP96" s="287"/>
      <c r="AQ96" s="258"/>
      <c r="AR96" s="258"/>
      <c r="AS96" s="202"/>
      <c r="AT96" s="48"/>
      <c r="AU96" s="48"/>
    </row>
    <row r="97" spans="1:47" hidden="1">
      <c r="A97" s="51"/>
      <c r="B97" s="51"/>
      <c r="C97" s="51"/>
      <c r="D97" s="51"/>
      <c r="E97" s="51"/>
      <c r="F97" s="51"/>
      <c r="G97" s="51"/>
      <c r="H97" s="51"/>
      <c r="I97" s="5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239"/>
      <c r="AO97" s="225"/>
      <c r="AP97" s="287"/>
      <c r="AQ97" s="258"/>
      <c r="AR97" s="258"/>
      <c r="AS97" s="202"/>
      <c r="AT97" s="48"/>
      <c r="AU97" s="48"/>
    </row>
    <row r="98" spans="1:47" hidden="1">
      <c r="A98" s="51"/>
      <c r="B98" s="51"/>
      <c r="C98" s="51"/>
      <c r="D98" s="51"/>
      <c r="E98" s="51"/>
      <c r="F98" s="51"/>
      <c r="G98" s="51"/>
      <c r="H98" s="51"/>
      <c r="I98" s="5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239"/>
      <c r="AO98" s="225"/>
      <c r="AP98" s="287"/>
      <c r="AQ98" s="258"/>
      <c r="AR98" s="258"/>
      <c r="AS98" s="202"/>
      <c r="AT98" s="48"/>
      <c r="AU98" s="48"/>
    </row>
    <row r="99" spans="1:47" hidden="1">
      <c r="A99" s="51"/>
      <c r="B99" s="51"/>
      <c r="C99" s="51"/>
      <c r="D99" s="51"/>
      <c r="E99" s="51"/>
      <c r="F99" s="51"/>
      <c r="G99" s="51"/>
      <c r="H99" s="51"/>
      <c r="I99" s="5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239"/>
      <c r="AO99" s="225"/>
      <c r="AP99" s="287"/>
      <c r="AQ99" s="258"/>
      <c r="AR99" s="258"/>
      <c r="AS99" s="202"/>
      <c r="AT99" s="48"/>
      <c r="AU99" s="48"/>
    </row>
    <row r="100" spans="1:47" hidden="1">
      <c r="A100" s="51"/>
      <c r="B100" s="51"/>
      <c r="C100" s="51"/>
      <c r="D100" s="51"/>
      <c r="E100" s="51"/>
      <c r="F100" s="51"/>
      <c r="G100" s="51"/>
      <c r="H100" s="51"/>
      <c r="I100" s="5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239"/>
      <c r="AO100" s="225"/>
      <c r="AP100" s="287"/>
      <c r="AQ100" s="258"/>
      <c r="AR100" s="258"/>
      <c r="AS100" s="202"/>
      <c r="AT100" s="48"/>
      <c r="AU100" s="48"/>
    </row>
    <row r="101" spans="1:47" hidden="1">
      <c r="A101" s="51"/>
      <c r="B101" s="51"/>
      <c r="C101" s="51"/>
      <c r="D101" s="51"/>
      <c r="E101" s="51"/>
      <c r="F101" s="51"/>
      <c r="G101" s="51"/>
      <c r="H101" s="51"/>
      <c r="I101" s="5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239"/>
      <c r="AO101" s="225"/>
      <c r="AP101" s="287"/>
      <c r="AQ101" s="258"/>
      <c r="AR101" s="258"/>
      <c r="AS101" s="202"/>
      <c r="AT101" s="48"/>
      <c r="AU101" s="48"/>
    </row>
    <row r="102" spans="1:47" hidden="1">
      <c r="A102" s="51"/>
      <c r="B102" s="51"/>
      <c r="C102" s="51"/>
      <c r="D102" s="51"/>
      <c r="E102" s="51"/>
      <c r="F102" s="51"/>
      <c r="G102" s="51"/>
      <c r="H102" s="51"/>
      <c r="I102" s="5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239"/>
      <c r="AO102" s="225"/>
      <c r="AP102" s="287"/>
      <c r="AQ102" s="258"/>
      <c r="AR102" s="258"/>
      <c r="AS102" s="202"/>
      <c r="AT102" s="48"/>
      <c r="AU102" s="48"/>
    </row>
    <row r="103" spans="1:47" hidden="1">
      <c r="A103" s="51"/>
      <c r="B103" s="51"/>
      <c r="C103" s="51"/>
      <c r="D103" s="51"/>
      <c r="E103" s="51"/>
      <c r="F103" s="51"/>
      <c r="G103" s="51"/>
      <c r="H103" s="51"/>
      <c r="I103" s="5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239"/>
      <c r="AO103" s="225"/>
      <c r="AP103" s="287"/>
      <c r="AQ103" s="258"/>
      <c r="AR103" s="258"/>
      <c r="AS103" s="202"/>
      <c r="AT103" s="48"/>
      <c r="AU103" s="48"/>
    </row>
    <row r="104" spans="1:47" hidden="1">
      <c r="A104" s="51"/>
      <c r="B104" s="51"/>
      <c r="C104" s="51"/>
      <c r="D104" s="51"/>
      <c r="E104" s="51"/>
      <c r="F104" s="51"/>
      <c r="G104" s="51"/>
      <c r="H104" s="51"/>
      <c r="I104" s="5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239"/>
      <c r="AO104" s="225"/>
      <c r="AP104" s="287"/>
      <c r="AQ104" s="258"/>
      <c r="AR104" s="258"/>
      <c r="AS104" s="202"/>
      <c r="AT104" s="48"/>
      <c r="AU104" s="48"/>
    </row>
    <row r="105" spans="1:47" hidden="1">
      <c r="A105" s="51"/>
      <c r="B105" s="51"/>
      <c r="C105" s="51"/>
      <c r="D105" s="51"/>
      <c r="E105" s="51"/>
      <c r="F105" s="51"/>
      <c r="G105" s="51"/>
      <c r="H105" s="51"/>
      <c r="I105" s="5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239"/>
      <c r="AO105" s="225"/>
      <c r="AP105" s="287"/>
      <c r="AQ105" s="258"/>
      <c r="AR105" s="258"/>
      <c r="AS105" s="202"/>
      <c r="AT105" s="48"/>
      <c r="AU105" s="48"/>
    </row>
    <row r="106" spans="1:47" hidden="1">
      <c r="A106" s="51"/>
      <c r="B106" s="51"/>
      <c r="C106" s="51"/>
      <c r="D106" s="51"/>
      <c r="E106" s="51"/>
      <c r="F106" s="51"/>
      <c r="G106" s="51"/>
      <c r="H106" s="51"/>
      <c r="I106" s="5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239"/>
      <c r="AO106" s="225"/>
      <c r="AP106" s="287"/>
      <c r="AQ106" s="258"/>
      <c r="AR106" s="258"/>
      <c r="AS106" s="202"/>
      <c r="AT106" s="48"/>
      <c r="AU106" s="48"/>
    </row>
    <row r="107" spans="1:47" hidden="1">
      <c r="A107" s="51"/>
      <c r="B107" s="51"/>
      <c r="C107" s="51"/>
      <c r="D107" s="51"/>
      <c r="E107" s="51"/>
      <c r="F107" s="51"/>
      <c r="G107" s="51"/>
      <c r="H107" s="51"/>
      <c r="I107" s="5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239"/>
      <c r="AO107" s="225"/>
      <c r="AP107" s="287"/>
      <c r="AQ107" s="258"/>
      <c r="AR107" s="258"/>
      <c r="AS107" s="202"/>
      <c r="AT107" s="48"/>
      <c r="AU107" s="48"/>
    </row>
    <row r="108" spans="1:47" hidden="1">
      <c r="A108" s="51"/>
      <c r="B108" s="51"/>
      <c r="C108" s="51"/>
      <c r="D108" s="51"/>
      <c r="E108" s="51"/>
      <c r="F108" s="51"/>
      <c r="G108" s="51"/>
      <c r="H108" s="51"/>
      <c r="I108" s="5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239"/>
      <c r="AO108" s="225"/>
      <c r="AP108" s="287"/>
      <c r="AQ108" s="258"/>
      <c r="AR108" s="258"/>
      <c r="AS108" s="202"/>
      <c r="AT108" s="48"/>
      <c r="AU108" s="48"/>
    </row>
    <row r="109" spans="1:47" hidden="1">
      <c r="A109" s="51"/>
      <c r="B109" s="51"/>
      <c r="C109" s="51"/>
      <c r="D109" s="51"/>
      <c r="E109" s="51"/>
      <c r="F109" s="51"/>
      <c r="G109" s="51"/>
      <c r="H109" s="51"/>
      <c r="I109" s="5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239"/>
      <c r="AO109" s="225"/>
      <c r="AP109" s="287"/>
      <c r="AQ109" s="258"/>
      <c r="AR109" s="258"/>
      <c r="AS109" s="202"/>
      <c r="AT109" s="48"/>
      <c r="AU109" s="48"/>
    </row>
    <row r="110" spans="1:47" hidden="1">
      <c r="A110" s="51"/>
      <c r="B110" s="51"/>
      <c r="C110" s="51"/>
      <c r="D110" s="51"/>
      <c r="E110" s="51"/>
      <c r="F110" s="51"/>
      <c r="G110" s="51"/>
      <c r="H110" s="51"/>
      <c r="I110" s="5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239"/>
      <c r="AO110" s="225"/>
      <c r="AP110" s="287"/>
      <c r="AQ110" s="258"/>
      <c r="AR110" s="258"/>
      <c r="AS110" s="202"/>
      <c r="AT110" s="48"/>
      <c r="AU110" s="48"/>
    </row>
    <row r="111" spans="1:47" hidden="1">
      <c r="A111" s="51"/>
      <c r="B111" s="51"/>
      <c r="C111" s="51"/>
      <c r="D111" s="51"/>
      <c r="E111" s="51"/>
      <c r="F111" s="51"/>
      <c r="G111" s="51"/>
      <c r="H111" s="51"/>
      <c r="I111" s="5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c r="AG111" s="121"/>
      <c r="AH111" s="121"/>
      <c r="AI111" s="121"/>
      <c r="AJ111" s="121"/>
      <c r="AK111" s="121"/>
      <c r="AL111" s="121"/>
      <c r="AM111" s="121"/>
      <c r="AN111" s="239"/>
      <c r="AO111" s="225"/>
      <c r="AP111" s="287"/>
      <c r="AQ111" s="258"/>
      <c r="AR111" s="258"/>
      <c r="AS111" s="202"/>
      <c r="AT111" s="48"/>
      <c r="AU111" s="48"/>
    </row>
    <row r="112" spans="1:47" hidden="1">
      <c r="A112" s="51"/>
      <c r="B112" s="51"/>
      <c r="C112" s="51"/>
      <c r="D112" s="51"/>
      <c r="E112" s="51"/>
      <c r="F112" s="51"/>
      <c r="G112" s="51"/>
      <c r="H112" s="51"/>
      <c r="I112" s="5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239"/>
      <c r="AO112" s="225"/>
      <c r="AP112" s="287"/>
      <c r="AQ112" s="258"/>
      <c r="AR112" s="258"/>
      <c r="AS112" s="202"/>
      <c r="AT112" s="48"/>
      <c r="AU112" s="48"/>
    </row>
    <row r="113" spans="1:47" hidden="1">
      <c r="A113" s="51"/>
      <c r="B113" s="51"/>
      <c r="C113" s="51"/>
      <c r="D113" s="51"/>
      <c r="E113" s="51"/>
      <c r="F113" s="51"/>
      <c r="G113" s="51"/>
      <c r="H113" s="51"/>
      <c r="I113" s="51"/>
      <c r="J113" s="121"/>
      <c r="K113" s="121"/>
      <c r="L113" s="121"/>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1"/>
      <c r="AK113" s="121"/>
      <c r="AL113" s="121"/>
      <c r="AM113" s="121"/>
      <c r="AN113" s="239"/>
      <c r="AO113" s="225"/>
      <c r="AP113" s="287"/>
      <c r="AQ113" s="258"/>
      <c r="AR113" s="258"/>
      <c r="AS113" s="202"/>
      <c r="AT113" s="48"/>
      <c r="AU113" s="48"/>
    </row>
    <row r="114" spans="1:47" hidden="1">
      <c r="A114" s="51"/>
      <c r="B114" s="51"/>
      <c r="C114" s="51"/>
      <c r="D114" s="51"/>
      <c r="E114" s="51"/>
      <c r="F114" s="51"/>
      <c r="G114" s="51"/>
      <c r="H114" s="51"/>
      <c r="I114" s="5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239"/>
      <c r="AO114" s="225"/>
      <c r="AP114" s="287"/>
      <c r="AQ114" s="258"/>
      <c r="AR114" s="258"/>
      <c r="AS114" s="202"/>
      <c r="AT114" s="48"/>
      <c r="AU114" s="48"/>
    </row>
    <row r="115" spans="1:47" hidden="1">
      <c r="A115" s="51"/>
      <c r="B115" s="51"/>
      <c r="C115" s="51"/>
      <c r="D115" s="51"/>
      <c r="E115" s="51"/>
      <c r="F115" s="51"/>
      <c r="G115" s="51"/>
      <c r="H115" s="51"/>
      <c r="I115" s="51"/>
      <c r="J115" s="121"/>
      <c r="K115" s="121"/>
      <c r="L115" s="121"/>
      <c r="M115" s="121"/>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239"/>
      <c r="AO115" s="225"/>
      <c r="AP115" s="287"/>
      <c r="AQ115" s="258"/>
      <c r="AR115" s="258"/>
      <c r="AS115" s="202"/>
      <c r="AT115" s="48"/>
      <c r="AU115" s="48"/>
    </row>
    <row r="116" spans="1:47" hidden="1">
      <c r="A116" s="51"/>
      <c r="B116" s="51"/>
      <c r="C116" s="51"/>
      <c r="D116" s="51"/>
      <c r="E116" s="51"/>
      <c r="F116" s="51"/>
      <c r="G116" s="51"/>
      <c r="H116" s="51"/>
      <c r="I116" s="5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239"/>
      <c r="AO116" s="225"/>
      <c r="AP116" s="287"/>
      <c r="AQ116" s="258"/>
      <c r="AR116" s="258"/>
      <c r="AS116" s="202"/>
      <c r="AT116" s="48"/>
      <c r="AU116" s="48"/>
    </row>
    <row r="117" spans="1:47" hidden="1">
      <c r="A117" s="51"/>
      <c r="B117" s="51"/>
      <c r="C117" s="51"/>
      <c r="D117" s="51"/>
      <c r="E117" s="51"/>
      <c r="F117" s="51"/>
      <c r="G117" s="51"/>
      <c r="H117" s="51"/>
      <c r="I117" s="51"/>
      <c r="J117" s="121"/>
      <c r="K117" s="121"/>
      <c r="L117" s="121"/>
      <c r="M117" s="121"/>
      <c r="N117" s="121"/>
      <c r="O117" s="121"/>
      <c r="P117" s="121"/>
      <c r="Q117" s="121"/>
      <c r="R117" s="121"/>
      <c r="S117" s="121"/>
      <c r="T117" s="121"/>
      <c r="U117" s="121"/>
      <c r="V117" s="121"/>
      <c r="W117" s="121"/>
      <c r="X117" s="121"/>
      <c r="Y117" s="121"/>
      <c r="Z117" s="121"/>
      <c r="AA117" s="121"/>
      <c r="AB117" s="121"/>
      <c r="AC117" s="121"/>
      <c r="AD117" s="121"/>
      <c r="AE117" s="121"/>
      <c r="AF117" s="121"/>
      <c r="AG117" s="121"/>
      <c r="AH117" s="121"/>
      <c r="AI117" s="121"/>
      <c r="AJ117" s="121"/>
      <c r="AK117" s="121"/>
      <c r="AL117" s="121"/>
      <c r="AM117" s="121"/>
      <c r="AN117" s="239"/>
      <c r="AO117" s="225"/>
      <c r="AP117" s="287"/>
      <c r="AQ117" s="258"/>
      <c r="AR117" s="258"/>
      <c r="AS117" s="202"/>
      <c r="AT117" s="48"/>
      <c r="AU117" s="48"/>
    </row>
    <row r="118" spans="1:47" hidden="1">
      <c r="A118" s="51"/>
      <c r="B118" s="51"/>
      <c r="C118" s="51"/>
      <c r="D118" s="51"/>
      <c r="E118" s="51"/>
      <c r="F118" s="51"/>
      <c r="G118" s="51"/>
      <c r="H118" s="51"/>
      <c r="I118" s="5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239"/>
      <c r="AO118" s="225"/>
      <c r="AP118" s="287"/>
      <c r="AQ118" s="258"/>
      <c r="AR118" s="258"/>
      <c r="AS118" s="202"/>
      <c r="AT118" s="48"/>
      <c r="AU118" s="48"/>
    </row>
    <row r="119" spans="1:47" hidden="1">
      <c r="A119" s="51"/>
      <c r="B119" s="51"/>
      <c r="C119" s="51"/>
      <c r="D119" s="51"/>
      <c r="E119" s="51"/>
      <c r="F119" s="51"/>
      <c r="G119" s="51"/>
      <c r="H119" s="51"/>
      <c r="I119" s="51"/>
      <c r="J119" s="121"/>
      <c r="K119" s="121"/>
      <c r="L119" s="121"/>
      <c r="M119" s="121"/>
      <c r="N119" s="12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21"/>
      <c r="AJ119" s="121"/>
      <c r="AK119" s="121"/>
      <c r="AL119" s="121"/>
      <c r="AM119" s="121"/>
      <c r="AN119" s="239"/>
      <c r="AO119" s="225"/>
      <c r="AP119" s="287"/>
      <c r="AQ119" s="258"/>
      <c r="AR119" s="258"/>
      <c r="AS119" s="202"/>
      <c r="AT119" s="48"/>
      <c r="AU119" s="48"/>
    </row>
    <row r="120" spans="1:47" hidden="1">
      <c r="A120" s="51"/>
      <c r="B120" s="51"/>
      <c r="C120" s="51"/>
      <c r="D120" s="51"/>
      <c r="E120" s="51"/>
      <c r="F120" s="51"/>
      <c r="G120" s="51"/>
      <c r="H120" s="51"/>
      <c r="I120" s="5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239"/>
      <c r="AO120" s="225"/>
      <c r="AP120" s="287"/>
      <c r="AQ120" s="258"/>
      <c r="AR120" s="258"/>
      <c r="AS120" s="202"/>
      <c r="AT120" s="48"/>
      <c r="AU120" s="48"/>
    </row>
    <row r="121" spans="1:47" hidden="1">
      <c r="A121" s="51"/>
      <c r="B121" s="51"/>
      <c r="C121" s="51"/>
      <c r="D121" s="51"/>
      <c r="E121" s="51"/>
      <c r="F121" s="51"/>
      <c r="G121" s="51"/>
      <c r="H121" s="51"/>
      <c r="I121" s="5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239"/>
      <c r="AO121" s="225"/>
      <c r="AP121" s="287"/>
      <c r="AQ121" s="258"/>
      <c r="AR121" s="258"/>
      <c r="AS121" s="202"/>
      <c r="AT121" s="48"/>
      <c r="AU121" s="48"/>
    </row>
    <row r="122" spans="1:47" hidden="1">
      <c r="A122" s="51"/>
      <c r="B122" s="51"/>
      <c r="C122" s="51"/>
      <c r="D122" s="51"/>
      <c r="E122" s="51"/>
      <c r="F122" s="51"/>
      <c r="G122" s="51"/>
      <c r="H122" s="51"/>
      <c r="I122" s="5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239"/>
      <c r="AO122" s="225"/>
      <c r="AP122" s="287"/>
      <c r="AQ122" s="258"/>
      <c r="AR122" s="258"/>
      <c r="AS122" s="202"/>
      <c r="AT122" s="48"/>
      <c r="AU122" s="48"/>
    </row>
    <row r="123" spans="1:47" hidden="1">
      <c r="A123" s="51"/>
      <c r="B123" s="51"/>
      <c r="C123" s="51"/>
      <c r="D123" s="51"/>
      <c r="E123" s="51"/>
      <c r="F123" s="51"/>
      <c r="G123" s="51"/>
      <c r="H123" s="51"/>
      <c r="I123" s="51"/>
      <c r="J123" s="121"/>
      <c r="K123" s="121"/>
      <c r="L123" s="121"/>
      <c r="M123" s="121"/>
      <c r="N123" s="121"/>
      <c r="O123" s="121"/>
      <c r="P123" s="121"/>
      <c r="Q123" s="121"/>
      <c r="R123" s="121"/>
      <c r="S123" s="121"/>
      <c r="T123" s="121"/>
      <c r="U123" s="121"/>
      <c r="V123" s="121"/>
      <c r="W123" s="121"/>
      <c r="X123" s="121"/>
      <c r="Y123" s="121"/>
      <c r="Z123" s="121"/>
      <c r="AA123" s="121"/>
      <c r="AB123" s="121"/>
      <c r="AC123" s="121"/>
      <c r="AD123" s="121"/>
      <c r="AE123" s="121"/>
      <c r="AF123" s="121"/>
      <c r="AG123" s="121"/>
      <c r="AH123" s="121"/>
      <c r="AI123" s="121"/>
      <c r="AJ123" s="121"/>
      <c r="AK123" s="121"/>
      <c r="AL123" s="121"/>
      <c r="AM123" s="121"/>
      <c r="AN123" s="239"/>
      <c r="AO123" s="225"/>
      <c r="AP123" s="287"/>
      <c r="AQ123" s="258"/>
      <c r="AR123" s="258"/>
      <c r="AS123" s="202"/>
      <c r="AT123" s="48"/>
      <c r="AU123" s="48"/>
    </row>
    <row r="124" spans="1:47" hidden="1">
      <c r="A124" s="51"/>
      <c r="B124" s="51"/>
      <c r="C124" s="51"/>
      <c r="D124" s="51"/>
      <c r="E124" s="51"/>
      <c r="F124" s="51"/>
      <c r="G124" s="51"/>
      <c r="H124" s="51"/>
      <c r="I124" s="5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239"/>
      <c r="AO124" s="225"/>
      <c r="AP124" s="287"/>
      <c r="AQ124" s="258"/>
      <c r="AR124" s="258"/>
      <c r="AS124" s="202"/>
      <c r="AT124" s="48"/>
      <c r="AU124" s="48"/>
    </row>
    <row r="125" spans="1:47" hidden="1">
      <c r="A125" s="51"/>
      <c r="B125" s="51"/>
      <c r="C125" s="51"/>
      <c r="D125" s="51"/>
      <c r="E125" s="51"/>
      <c r="F125" s="51"/>
      <c r="G125" s="51"/>
      <c r="H125" s="51"/>
      <c r="I125" s="51"/>
      <c r="J125" s="121"/>
      <c r="K125" s="121"/>
      <c r="L125" s="121"/>
      <c r="M125" s="121"/>
      <c r="N125" s="121"/>
      <c r="O125" s="121"/>
      <c r="P125" s="121"/>
      <c r="Q125" s="121"/>
      <c r="R125" s="121"/>
      <c r="S125" s="121"/>
      <c r="T125" s="121"/>
      <c r="U125" s="121"/>
      <c r="V125" s="121"/>
      <c r="W125" s="121"/>
      <c r="X125" s="121"/>
      <c r="Y125" s="121"/>
      <c r="Z125" s="121"/>
      <c r="AA125" s="121"/>
      <c r="AB125" s="121"/>
      <c r="AC125" s="121"/>
      <c r="AD125" s="121"/>
      <c r="AE125" s="121"/>
      <c r="AF125" s="121"/>
      <c r="AG125" s="121"/>
      <c r="AH125" s="121"/>
      <c r="AI125" s="121"/>
      <c r="AJ125" s="121"/>
      <c r="AK125" s="121"/>
      <c r="AL125" s="121"/>
      <c r="AM125" s="121"/>
      <c r="AN125" s="239"/>
      <c r="AO125" s="225"/>
      <c r="AP125" s="287"/>
      <c r="AQ125" s="258"/>
      <c r="AR125" s="258"/>
      <c r="AS125" s="202"/>
      <c r="AT125" s="48"/>
      <c r="AU125" s="48"/>
    </row>
    <row r="126" spans="1:47" hidden="1">
      <c r="A126" s="51"/>
      <c r="B126" s="51"/>
      <c r="C126" s="51"/>
      <c r="D126" s="51"/>
      <c r="E126" s="51"/>
      <c r="F126" s="51"/>
      <c r="G126" s="51"/>
      <c r="H126" s="51"/>
      <c r="I126" s="51"/>
      <c r="J126" s="121"/>
      <c r="K126" s="121"/>
      <c r="L126" s="121"/>
      <c r="M126" s="121"/>
      <c r="N126" s="121"/>
      <c r="O126" s="121"/>
      <c r="P126" s="121"/>
      <c r="Q126" s="121"/>
      <c r="R126" s="121"/>
      <c r="S126" s="121"/>
      <c r="T126" s="121"/>
      <c r="U126" s="121"/>
      <c r="V126" s="121"/>
      <c r="W126" s="121"/>
      <c r="X126" s="121"/>
      <c r="Y126" s="121"/>
      <c r="Z126" s="121"/>
      <c r="AA126" s="121"/>
      <c r="AB126" s="121"/>
      <c r="AC126" s="121"/>
      <c r="AD126" s="121"/>
      <c r="AE126" s="121"/>
      <c r="AF126" s="121"/>
      <c r="AG126" s="121"/>
      <c r="AH126" s="121"/>
      <c r="AI126" s="121"/>
      <c r="AJ126" s="121"/>
      <c r="AK126" s="121"/>
      <c r="AL126" s="121"/>
      <c r="AM126" s="121"/>
      <c r="AN126" s="239"/>
      <c r="AO126" s="225"/>
      <c r="AP126" s="287"/>
      <c r="AQ126" s="258"/>
      <c r="AR126" s="258"/>
      <c r="AS126" s="202"/>
      <c r="AT126" s="48"/>
      <c r="AU126" s="48"/>
    </row>
    <row r="127" spans="1:47" hidden="1">
      <c r="A127" s="51"/>
      <c r="B127" s="51"/>
      <c r="C127" s="51"/>
      <c r="D127" s="51"/>
      <c r="E127" s="51"/>
      <c r="F127" s="51"/>
      <c r="G127" s="51"/>
      <c r="H127" s="51"/>
      <c r="I127" s="51"/>
      <c r="J127" s="121"/>
      <c r="K127" s="121"/>
      <c r="L127" s="121"/>
      <c r="M127" s="121"/>
      <c r="N127" s="121"/>
      <c r="O127" s="121"/>
      <c r="P127" s="121"/>
      <c r="Q127" s="121"/>
      <c r="R127" s="121"/>
      <c r="S127" s="121"/>
      <c r="T127" s="121"/>
      <c r="U127" s="121"/>
      <c r="V127" s="121"/>
      <c r="W127" s="121"/>
      <c r="X127" s="121"/>
      <c r="Y127" s="121"/>
      <c r="Z127" s="121"/>
      <c r="AA127" s="121"/>
      <c r="AB127" s="121"/>
      <c r="AC127" s="121"/>
      <c r="AD127" s="121"/>
      <c r="AE127" s="121"/>
      <c r="AF127" s="121"/>
      <c r="AG127" s="121"/>
      <c r="AH127" s="121"/>
      <c r="AI127" s="121"/>
      <c r="AJ127" s="121"/>
      <c r="AK127" s="121"/>
      <c r="AL127" s="121"/>
      <c r="AM127" s="121"/>
      <c r="AN127" s="239"/>
      <c r="AO127" s="225"/>
      <c r="AP127" s="287"/>
      <c r="AQ127" s="258"/>
      <c r="AR127" s="258"/>
      <c r="AS127" s="202"/>
      <c r="AT127" s="48"/>
      <c r="AU127" s="48"/>
    </row>
    <row r="128" spans="1:47" hidden="1">
      <c r="A128" s="51"/>
      <c r="B128" s="51"/>
      <c r="C128" s="51"/>
      <c r="D128" s="51"/>
      <c r="E128" s="51"/>
      <c r="F128" s="51"/>
      <c r="G128" s="51"/>
      <c r="H128" s="51"/>
      <c r="I128" s="5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239"/>
      <c r="AO128" s="225"/>
      <c r="AP128" s="287"/>
      <c r="AQ128" s="258"/>
      <c r="AR128" s="258"/>
      <c r="AS128" s="202"/>
      <c r="AT128" s="48"/>
      <c r="AU128" s="48"/>
    </row>
    <row r="129" spans="1:47" hidden="1">
      <c r="A129" s="51"/>
      <c r="B129" s="51"/>
      <c r="C129" s="51"/>
      <c r="D129" s="51"/>
      <c r="E129" s="51"/>
      <c r="F129" s="51"/>
      <c r="G129" s="51"/>
      <c r="H129" s="51"/>
      <c r="I129" s="5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239"/>
      <c r="AO129" s="225"/>
      <c r="AP129" s="287"/>
      <c r="AQ129" s="258"/>
      <c r="AR129" s="258"/>
      <c r="AS129" s="202"/>
      <c r="AT129" s="48"/>
      <c r="AU129" s="48"/>
    </row>
    <row r="130" spans="1:47" hidden="1">
      <c r="A130" s="51"/>
      <c r="B130" s="51"/>
      <c r="C130" s="51"/>
      <c r="D130" s="51"/>
      <c r="E130" s="51"/>
      <c r="F130" s="51"/>
      <c r="G130" s="51"/>
      <c r="H130" s="51"/>
      <c r="I130" s="5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239"/>
      <c r="AO130" s="225"/>
      <c r="AP130" s="287"/>
      <c r="AQ130" s="258"/>
      <c r="AR130" s="258"/>
      <c r="AS130" s="202"/>
      <c r="AT130" s="48"/>
      <c r="AU130" s="48"/>
    </row>
    <row r="131" spans="1:47" hidden="1">
      <c r="A131" s="51"/>
      <c r="B131" s="51"/>
      <c r="C131" s="51"/>
      <c r="D131" s="51"/>
      <c r="E131" s="51"/>
      <c r="F131" s="51"/>
      <c r="G131" s="51"/>
      <c r="H131" s="51"/>
      <c r="I131" s="51"/>
      <c r="J131" s="121"/>
      <c r="K131" s="121"/>
      <c r="L131" s="121"/>
      <c r="M131" s="121"/>
      <c r="N131" s="121"/>
      <c r="O131" s="121"/>
      <c r="P131" s="121"/>
      <c r="Q131" s="121"/>
      <c r="R131" s="121"/>
      <c r="S131" s="121"/>
      <c r="T131" s="121"/>
      <c r="U131" s="121"/>
      <c r="V131" s="121"/>
      <c r="W131" s="121"/>
      <c r="X131" s="121"/>
      <c r="Y131" s="121"/>
      <c r="Z131" s="121"/>
      <c r="AA131" s="121"/>
      <c r="AB131" s="121"/>
      <c r="AC131" s="121"/>
      <c r="AD131" s="121"/>
      <c r="AE131" s="121"/>
      <c r="AF131" s="121"/>
      <c r="AG131" s="121"/>
      <c r="AH131" s="121"/>
      <c r="AI131" s="121"/>
      <c r="AJ131" s="121"/>
      <c r="AK131" s="121"/>
      <c r="AL131" s="121"/>
      <c r="AM131" s="121"/>
      <c r="AN131" s="239"/>
      <c r="AO131" s="225"/>
      <c r="AP131" s="287"/>
      <c r="AQ131" s="258"/>
      <c r="AR131" s="258"/>
      <c r="AS131" s="202"/>
      <c r="AT131" s="48"/>
      <c r="AU131" s="48"/>
    </row>
    <row r="132" spans="1:47" hidden="1">
      <c r="A132" s="51"/>
      <c r="B132" s="51"/>
      <c r="C132" s="51"/>
      <c r="D132" s="51"/>
      <c r="E132" s="51"/>
      <c r="F132" s="51"/>
      <c r="G132" s="51"/>
      <c r="H132" s="51"/>
      <c r="I132" s="5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239"/>
      <c r="AO132" s="225"/>
      <c r="AP132" s="287"/>
      <c r="AQ132" s="258"/>
      <c r="AR132" s="258"/>
      <c r="AS132" s="202"/>
      <c r="AT132" s="48"/>
      <c r="AU132" s="48"/>
    </row>
    <row r="133" spans="1:47" hidden="1">
      <c r="A133" s="51"/>
      <c r="B133" s="51"/>
      <c r="C133" s="51"/>
      <c r="D133" s="51"/>
      <c r="E133" s="51"/>
      <c r="F133" s="51"/>
      <c r="G133" s="51"/>
      <c r="H133" s="51"/>
      <c r="I133" s="5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1"/>
      <c r="AN133" s="239"/>
      <c r="AO133" s="225"/>
      <c r="AP133" s="287"/>
      <c r="AQ133" s="258"/>
      <c r="AR133" s="258"/>
      <c r="AS133" s="202"/>
      <c r="AT133" s="48"/>
      <c r="AU133" s="48"/>
    </row>
    <row r="134" spans="1:47" hidden="1">
      <c r="A134" s="51"/>
      <c r="B134" s="51"/>
      <c r="C134" s="51"/>
      <c r="D134" s="51"/>
      <c r="E134" s="51"/>
      <c r="F134" s="51"/>
      <c r="G134" s="51"/>
      <c r="H134" s="51"/>
      <c r="I134" s="5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239"/>
      <c r="AO134" s="225"/>
      <c r="AP134" s="287"/>
      <c r="AQ134" s="258"/>
      <c r="AR134" s="258"/>
      <c r="AS134" s="202"/>
      <c r="AT134" s="48"/>
      <c r="AU134" s="48"/>
    </row>
    <row r="135" spans="1:47" hidden="1">
      <c r="A135" s="51"/>
      <c r="B135" s="51"/>
      <c r="C135" s="51"/>
      <c r="D135" s="51"/>
      <c r="E135" s="51"/>
      <c r="F135" s="51"/>
      <c r="G135" s="51"/>
      <c r="H135" s="51"/>
      <c r="I135" s="51"/>
      <c r="J135" s="121"/>
      <c r="K135" s="121"/>
      <c r="L135" s="121"/>
      <c r="M135" s="121"/>
      <c r="N135" s="121"/>
      <c r="O135" s="121"/>
      <c r="P135" s="121"/>
      <c r="Q135" s="121"/>
      <c r="R135" s="121"/>
      <c r="S135" s="121"/>
      <c r="T135" s="121"/>
      <c r="U135" s="121"/>
      <c r="V135" s="121"/>
      <c r="W135" s="121"/>
      <c r="X135" s="121"/>
      <c r="Y135" s="121"/>
      <c r="Z135" s="121"/>
      <c r="AA135" s="121"/>
      <c r="AB135" s="121"/>
      <c r="AC135" s="121"/>
      <c r="AD135" s="121"/>
      <c r="AE135" s="121"/>
      <c r="AF135" s="121"/>
      <c r="AG135" s="121"/>
      <c r="AH135" s="121"/>
      <c r="AI135" s="121"/>
      <c r="AJ135" s="121"/>
      <c r="AK135" s="121"/>
      <c r="AL135" s="121"/>
      <c r="AM135" s="121"/>
      <c r="AN135" s="239"/>
      <c r="AO135" s="225"/>
      <c r="AP135" s="287"/>
      <c r="AQ135" s="258"/>
      <c r="AR135" s="258"/>
      <c r="AS135" s="202"/>
      <c r="AT135" s="48"/>
      <c r="AU135" s="48"/>
    </row>
    <row r="136" spans="1:47" s="121" customFormat="1" hidden="1">
      <c r="AN136" s="239"/>
      <c r="AO136" s="225"/>
      <c r="AP136" s="287"/>
      <c r="AQ136" s="258"/>
      <c r="AR136" s="258"/>
      <c r="AS136" s="202"/>
      <c r="AT136" s="213"/>
      <c r="AU136" s="213"/>
    </row>
    <row r="137" spans="1:47" s="121" customFormat="1" hidden="1">
      <c r="AN137" s="239"/>
      <c r="AO137" s="225"/>
      <c r="AP137" s="287"/>
      <c r="AQ137" s="258"/>
      <c r="AR137" s="258"/>
      <c r="AS137" s="202"/>
      <c r="AT137" s="213"/>
      <c r="AU137" s="213"/>
    </row>
    <row r="138" spans="1:47" s="121" customFormat="1" hidden="1">
      <c r="AN138" s="239"/>
      <c r="AO138" s="225"/>
      <c r="AP138" s="287"/>
      <c r="AQ138" s="258"/>
      <c r="AR138" s="258"/>
      <c r="AS138" s="202"/>
      <c r="AT138" s="213"/>
      <c r="AU138" s="213"/>
    </row>
    <row r="139" spans="1:47" s="121" customFormat="1" hidden="1">
      <c r="AN139" s="239"/>
      <c r="AO139" s="225"/>
      <c r="AP139" s="287"/>
      <c r="AQ139" s="258"/>
      <c r="AR139" s="258"/>
      <c r="AS139" s="202"/>
      <c r="AT139" s="213"/>
      <c r="AU139" s="213"/>
    </row>
    <row r="140" spans="1:47" hidden="1">
      <c r="A140" s="51"/>
      <c r="B140" s="51"/>
      <c r="C140" s="51"/>
      <c r="D140" s="51"/>
      <c r="E140" s="51"/>
      <c r="F140" s="51"/>
      <c r="G140" s="51"/>
      <c r="H140" s="51"/>
      <c r="I140" s="5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239"/>
      <c r="AO140" s="225"/>
      <c r="AP140" s="287"/>
      <c r="AQ140" s="258"/>
      <c r="AR140" s="258"/>
      <c r="AS140" s="202"/>
      <c r="AT140" s="48"/>
      <c r="AU140" s="48"/>
    </row>
    <row r="141" spans="1:47" hidden="1">
      <c r="A141" s="51"/>
      <c r="B141" s="51"/>
      <c r="C141" s="51"/>
      <c r="D141" s="51"/>
      <c r="E141" s="51"/>
      <c r="F141" s="51"/>
      <c r="G141" s="51"/>
      <c r="H141" s="51"/>
      <c r="I141" s="5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239"/>
      <c r="AO141" s="225"/>
      <c r="AP141" s="287"/>
      <c r="AQ141" s="258"/>
      <c r="AR141" s="258"/>
      <c r="AS141" s="202"/>
      <c r="AT141" s="48"/>
      <c r="AU141" s="48"/>
    </row>
    <row r="142" spans="1:47" s="121" customFormat="1" hidden="1">
      <c r="AN142" s="239"/>
      <c r="AO142" s="225"/>
      <c r="AP142" s="287"/>
      <c r="AQ142" s="258"/>
      <c r="AR142" s="258"/>
      <c r="AS142" s="202"/>
      <c r="AT142" s="213"/>
      <c r="AU142" s="213"/>
    </row>
    <row r="143" spans="1:47" s="121" customFormat="1" hidden="1">
      <c r="AN143" s="239"/>
      <c r="AO143" s="225"/>
      <c r="AP143" s="287"/>
      <c r="AQ143" s="258"/>
      <c r="AR143" s="258"/>
      <c r="AS143" s="202"/>
      <c r="AT143" s="213"/>
      <c r="AU143" s="213"/>
    </row>
    <row r="144" spans="1:47" s="121" customFormat="1" hidden="1">
      <c r="AN144" s="239"/>
      <c r="AO144" s="225"/>
      <c r="AP144" s="287"/>
      <c r="AQ144" s="258"/>
      <c r="AR144" s="258"/>
      <c r="AS144" s="202"/>
      <c r="AT144" s="213"/>
      <c r="AU144" s="213"/>
    </row>
    <row r="145" spans="1:47" s="121" customFormat="1" hidden="1">
      <c r="AN145" s="239"/>
      <c r="AO145" s="225"/>
      <c r="AP145" s="287"/>
      <c r="AQ145" s="258"/>
      <c r="AR145" s="258"/>
      <c r="AS145" s="202"/>
      <c r="AT145" s="213"/>
      <c r="AU145" s="213"/>
    </row>
    <row r="146" spans="1:47" s="121" customFormat="1" hidden="1">
      <c r="AN146" s="239"/>
      <c r="AO146" s="225"/>
      <c r="AP146" s="287"/>
      <c r="AQ146" s="258"/>
      <c r="AR146" s="258"/>
      <c r="AS146" s="202"/>
      <c r="AT146" s="213"/>
      <c r="AU146" s="213"/>
    </row>
    <row r="147" spans="1:47" s="121" customFormat="1" hidden="1">
      <c r="AN147" s="239"/>
      <c r="AO147" s="225"/>
      <c r="AP147" s="287"/>
      <c r="AQ147" s="258"/>
      <c r="AR147" s="258"/>
      <c r="AS147" s="202"/>
      <c r="AT147" s="213"/>
      <c r="AU147" s="213"/>
    </row>
    <row r="148" spans="1:47" hidden="1">
      <c r="A148" s="51"/>
      <c r="B148" s="51"/>
      <c r="C148" s="51"/>
      <c r="D148" s="51"/>
      <c r="E148" s="51"/>
      <c r="F148" s="51"/>
      <c r="G148" s="51"/>
      <c r="H148" s="51"/>
      <c r="I148" s="5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239"/>
      <c r="AO148" s="225"/>
      <c r="AP148" s="287"/>
      <c r="AQ148" s="258"/>
      <c r="AR148" s="258"/>
      <c r="AS148" s="202"/>
      <c r="AT148" s="48"/>
      <c r="AU148" s="48"/>
    </row>
    <row r="149" spans="1:47" s="121" customFormat="1" hidden="1">
      <c r="AN149" s="239"/>
      <c r="AO149" s="225"/>
      <c r="AP149" s="287"/>
      <c r="AQ149" s="258"/>
      <c r="AR149" s="258"/>
      <c r="AS149" s="202"/>
      <c r="AT149" s="213"/>
      <c r="AU149" s="213"/>
    </row>
    <row r="150" spans="1:47" s="121" customFormat="1" hidden="1">
      <c r="AN150" s="239"/>
      <c r="AO150" s="225"/>
      <c r="AP150" s="287"/>
      <c r="AQ150" s="258"/>
      <c r="AR150" s="258"/>
      <c r="AS150" s="202"/>
      <c r="AT150" s="213"/>
      <c r="AU150" s="213"/>
    </row>
    <row r="151" spans="1:47" s="121" customFormat="1" hidden="1">
      <c r="AN151" s="239"/>
      <c r="AO151" s="225"/>
      <c r="AP151" s="287"/>
      <c r="AQ151" s="258"/>
      <c r="AR151" s="258"/>
      <c r="AS151" s="202"/>
      <c r="AT151" s="213"/>
      <c r="AU151" s="213"/>
    </row>
    <row r="152" spans="1:47" s="121" customFormat="1" hidden="1">
      <c r="AN152" s="239"/>
      <c r="AO152" s="225"/>
      <c r="AP152" s="287"/>
      <c r="AQ152" s="258"/>
      <c r="AR152" s="258"/>
      <c r="AS152" s="202"/>
      <c r="AT152" s="213"/>
      <c r="AU152" s="213"/>
    </row>
    <row r="153" spans="1:47" s="121" customFormat="1" hidden="1">
      <c r="AN153" s="239"/>
      <c r="AO153" s="225"/>
      <c r="AP153" s="287"/>
      <c r="AQ153" s="258"/>
      <c r="AR153" s="258"/>
      <c r="AS153" s="202"/>
      <c r="AT153" s="213"/>
      <c r="AU153" s="213"/>
    </row>
    <row r="154" spans="1:47" s="121" customFormat="1" hidden="1">
      <c r="AN154" s="239"/>
      <c r="AO154" s="225"/>
      <c r="AP154" s="287"/>
      <c r="AQ154" s="258"/>
      <c r="AR154" s="258"/>
      <c r="AS154" s="202"/>
      <c r="AT154" s="213"/>
      <c r="AU154" s="213"/>
    </row>
    <row r="155" spans="1:47" hidden="1">
      <c r="A155" s="51"/>
      <c r="B155" s="51"/>
      <c r="C155" s="51"/>
      <c r="D155" s="51"/>
      <c r="E155" s="51"/>
      <c r="F155" s="51"/>
      <c r="G155" s="51"/>
      <c r="H155" s="51"/>
      <c r="I155" s="5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239"/>
      <c r="AO155" s="225"/>
      <c r="AP155" s="287"/>
      <c r="AQ155" s="258"/>
      <c r="AR155" s="258"/>
      <c r="AS155" s="202"/>
      <c r="AT155" s="48"/>
      <c r="AU155" s="48"/>
    </row>
    <row r="156" spans="1:47" hidden="1">
      <c r="A156" s="51"/>
      <c r="B156" s="51"/>
      <c r="C156" s="51"/>
      <c r="D156" s="51"/>
      <c r="E156" s="51"/>
      <c r="F156" s="51"/>
      <c r="G156" s="51"/>
      <c r="H156" s="51"/>
      <c r="I156" s="5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239"/>
      <c r="AO156" s="225"/>
      <c r="AP156" s="287"/>
      <c r="AQ156" s="258"/>
      <c r="AR156" s="258"/>
      <c r="AS156" s="202"/>
      <c r="AT156" s="48"/>
      <c r="AU156" s="48"/>
    </row>
    <row r="157" spans="1:47" s="121" customFormat="1" hidden="1">
      <c r="AN157" s="239"/>
      <c r="AO157" s="225"/>
      <c r="AP157" s="287"/>
      <c r="AQ157" s="258"/>
      <c r="AR157" s="258"/>
      <c r="AS157" s="202"/>
      <c r="AT157" s="213"/>
      <c r="AU157" s="213"/>
    </row>
    <row r="158" spans="1:47" s="121" customFormat="1" hidden="1">
      <c r="AN158" s="239"/>
      <c r="AO158" s="225"/>
      <c r="AP158" s="287"/>
      <c r="AQ158" s="258"/>
      <c r="AR158" s="258"/>
      <c r="AS158" s="202"/>
      <c r="AT158" s="213"/>
      <c r="AU158" s="213"/>
    </row>
    <row r="159" spans="1:47" s="121" customFormat="1" hidden="1">
      <c r="AN159" s="239"/>
      <c r="AO159" s="225"/>
      <c r="AP159" s="287"/>
      <c r="AQ159" s="258"/>
      <c r="AR159" s="258"/>
      <c r="AS159" s="202"/>
      <c r="AT159" s="213"/>
      <c r="AU159" s="213"/>
    </row>
    <row r="160" spans="1:47" s="121" customFormat="1" hidden="1">
      <c r="AN160" s="239"/>
      <c r="AO160" s="225"/>
      <c r="AP160" s="287"/>
      <c r="AQ160" s="258"/>
      <c r="AR160" s="258"/>
      <c r="AS160" s="202"/>
      <c r="AT160" s="213"/>
      <c r="AU160" s="213"/>
    </row>
    <row r="161" spans="1:47" hidden="1">
      <c r="A161" s="51"/>
      <c r="B161" s="51"/>
      <c r="C161" s="51"/>
      <c r="D161" s="51"/>
      <c r="E161" s="51"/>
      <c r="F161" s="51"/>
      <c r="G161" s="51"/>
      <c r="H161" s="51"/>
      <c r="I161" s="5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239"/>
      <c r="AO161" s="225"/>
      <c r="AP161" s="287"/>
      <c r="AQ161" s="258"/>
      <c r="AR161" s="258"/>
      <c r="AS161" s="202"/>
      <c r="AT161" s="48"/>
      <c r="AU161" s="48"/>
    </row>
    <row r="162" spans="1:47" s="121" customFormat="1" hidden="1">
      <c r="AN162" s="239"/>
      <c r="AO162" s="225"/>
      <c r="AP162" s="287"/>
      <c r="AQ162" s="258"/>
      <c r="AR162" s="258"/>
      <c r="AS162" s="202"/>
      <c r="AT162" s="213"/>
      <c r="AU162" s="213"/>
    </row>
    <row r="163" spans="1:47" s="121" customFormat="1" hidden="1">
      <c r="AN163" s="239"/>
      <c r="AO163" s="225"/>
      <c r="AP163" s="287"/>
      <c r="AQ163" s="258"/>
      <c r="AR163" s="258"/>
      <c r="AS163" s="202"/>
      <c r="AT163" s="213"/>
      <c r="AU163" s="213"/>
    </row>
    <row r="164" spans="1:47" s="121" customFormat="1" hidden="1">
      <c r="AN164" s="239"/>
      <c r="AO164" s="225"/>
      <c r="AP164" s="287"/>
      <c r="AQ164" s="258"/>
      <c r="AR164" s="258"/>
      <c r="AS164" s="202"/>
      <c r="AT164" s="213"/>
      <c r="AU164" s="213"/>
    </row>
    <row r="165" spans="1:47" s="121" customFormat="1" hidden="1">
      <c r="AN165" s="239"/>
      <c r="AO165" s="225"/>
      <c r="AP165" s="287"/>
      <c r="AQ165" s="258"/>
      <c r="AR165" s="258"/>
      <c r="AS165" s="202"/>
      <c r="AT165" s="213"/>
      <c r="AU165" s="213"/>
    </row>
    <row r="166" spans="1:47" hidden="1">
      <c r="A166" s="51"/>
      <c r="B166" s="51"/>
      <c r="C166" s="51"/>
      <c r="D166" s="51"/>
      <c r="E166" s="51"/>
      <c r="F166" s="51"/>
      <c r="G166" s="51"/>
      <c r="H166" s="51"/>
      <c r="I166" s="5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239"/>
      <c r="AO166" s="225"/>
      <c r="AP166" s="287"/>
      <c r="AQ166" s="258"/>
      <c r="AR166" s="258"/>
      <c r="AS166" s="202"/>
      <c r="AT166" s="48"/>
      <c r="AU166" s="48"/>
    </row>
    <row r="167" spans="1:47" s="121" customFormat="1" hidden="1">
      <c r="AN167" s="239"/>
      <c r="AO167" s="225"/>
      <c r="AP167" s="287"/>
      <c r="AQ167" s="258"/>
      <c r="AR167" s="258"/>
      <c r="AS167" s="202"/>
      <c r="AT167" s="213"/>
      <c r="AU167" s="213"/>
    </row>
    <row r="168" spans="1:47" s="121" customFormat="1" hidden="1">
      <c r="AN168" s="239"/>
      <c r="AO168" s="225"/>
      <c r="AP168" s="287"/>
      <c r="AQ168" s="258"/>
      <c r="AR168" s="258"/>
      <c r="AS168" s="202"/>
      <c r="AT168" s="213"/>
      <c r="AU168" s="213"/>
    </row>
    <row r="169" spans="1:47" s="121" customFormat="1" hidden="1">
      <c r="AN169" s="239"/>
      <c r="AO169" s="225"/>
      <c r="AP169" s="287"/>
      <c r="AQ169" s="258"/>
      <c r="AR169" s="258"/>
      <c r="AS169" s="202"/>
      <c r="AT169" s="213"/>
      <c r="AU169" s="213"/>
    </row>
    <row r="170" spans="1:47" s="121" customFormat="1" hidden="1">
      <c r="AN170" s="239"/>
      <c r="AO170" s="225"/>
      <c r="AP170" s="287"/>
      <c r="AQ170" s="258"/>
      <c r="AR170" s="258"/>
      <c r="AS170" s="202"/>
      <c r="AT170" s="213"/>
      <c r="AU170" s="213"/>
    </row>
    <row r="171" spans="1:47" hidden="1">
      <c r="A171" s="51"/>
      <c r="B171" s="51"/>
      <c r="C171" s="51"/>
      <c r="D171" s="51"/>
      <c r="E171" s="51"/>
      <c r="F171" s="51"/>
      <c r="G171" s="51"/>
      <c r="H171" s="51"/>
      <c r="I171" s="5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239"/>
      <c r="AO171" s="225"/>
      <c r="AP171" s="287"/>
      <c r="AQ171" s="258"/>
      <c r="AR171" s="258"/>
      <c r="AS171" s="202"/>
      <c r="AT171" s="48"/>
      <c r="AU171" s="48"/>
    </row>
    <row r="172" spans="1:47" s="121" customFormat="1" hidden="1">
      <c r="AN172" s="239"/>
      <c r="AO172" s="225"/>
      <c r="AP172" s="287"/>
      <c r="AQ172" s="258"/>
      <c r="AR172" s="258"/>
      <c r="AS172" s="202"/>
      <c r="AT172" s="213"/>
      <c r="AU172" s="213"/>
    </row>
    <row r="173" spans="1:47" s="121" customFormat="1" hidden="1">
      <c r="AN173" s="239"/>
      <c r="AO173" s="225"/>
      <c r="AP173" s="287"/>
      <c r="AQ173" s="258"/>
      <c r="AR173" s="258"/>
      <c r="AS173" s="202"/>
      <c r="AT173" s="213"/>
      <c r="AU173" s="213"/>
    </row>
    <row r="174" spans="1:47" s="121" customFormat="1" hidden="1">
      <c r="AN174" s="239"/>
      <c r="AO174" s="225"/>
      <c r="AP174" s="287"/>
      <c r="AQ174" s="258"/>
      <c r="AR174" s="258"/>
      <c r="AS174" s="202"/>
      <c r="AT174" s="213"/>
      <c r="AU174" s="213"/>
    </row>
    <row r="175" spans="1:47" s="121" customFormat="1" hidden="1">
      <c r="AN175" s="239"/>
      <c r="AO175" s="225"/>
      <c r="AP175" s="287"/>
      <c r="AQ175" s="258"/>
      <c r="AR175" s="258"/>
      <c r="AS175" s="202"/>
      <c r="AT175" s="213"/>
      <c r="AU175" s="213"/>
    </row>
    <row r="176" spans="1:47" hidden="1">
      <c r="A176" s="51"/>
      <c r="B176" s="51"/>
      <c r="C176" s="51"/>
      <c r="D176" s="51"/>
      <c r="E176" s="51"/>
      <c r="F176" s="51"/>
      <c r="G176" s="51"/>
      <c r="H176" s="51"/>
      <c r="I176" s="5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239"/>
      <c r="AO176" s="225"/>
      <c r="AP176" s="287"/>
      <c r="AQ176" s="258"/>
      <c r="AR176" s="258"/>
      <c r="AS176" s="202"/>
      <c r="AT176" s="48"/>
      <c r="AU176" s="48"/>
    </row>
    <row r="177" spans="1:47" s="121" customFormat="1" hidden="1">
      <c r="AN177" s="239"/>
      <c r="AO177" s="225"/>
      <c r="AP177" s="287"/>
      <c r="AQ177" s="258"/>
      <c r="AR177" s="258"/>
      <c r="AS177" s="202"/>
      <c r="AT177" s="213"/>
      <c r="AU177" s="213"/>
    </row>
    <row r="178" spans="1:47" s="121" customFormat="1" hidden="1">
      <c r="AN178" s="239"/>
      <c r="AO178" s="225"/>
      <c r="AP178" s="287"/>
      <c r="AQ178" s="258"/>
      <c r="AR178" s="258"/>
      <c r="AS178" s="202"/>
      <c r="AT178" s="213"/>
      <c r="AU178" s="213"/>
    </row>
    <row r="179" spans="1:47" s="121" customFormat="1" hidden="1">
      <c r="AN179" s="239"/>
      <c r="AO179" s="225"/>
      <c r="AP179" s="287"/>
      <c r="AQ179" s="258"/>
      <c r="AR179" s="258"/>
      <c r="AS179" s="202"/>
      <c r="AT179" s="213"/>
      <c r="AU179" s="213"/>
    </row>
    <row r="180" spans="1:47" s="121" customFormat="1" hidden="1">
      <c r="AN180" s="239"/>
      <c r="AO180" s="225"/>
      <c r="AP180" s="287"/>
      <c r="AQ180" s="258"/>
      <c r="AR180" s="258"/>
      <c r="AS180" s="202"/>
      <c r="AT180" s="213"/>
      <c r="AU180" s="213"/>
    </row>
    <row r="181" spans="1:47" hidden="1">
      <c r="A181" s="51"/>
      <c r="B181" s="51"/>
      <c r="C181" s="51"/>
      <c r="D181" s="51"/>
      <c r="E181" s="51"/>
      <c r="F181" s="51"/>
      <c r="G181" s="51"/>
      <c r="H181" s="51"/>
      <c r="I181" s="5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239"/>
      <c r="AO181" s="225"/>
      <c r="AP181" s="287"/>
      <c r="AQ181" s="258"/>
      <c r="AR181" s="258"/>
      <c r="AS181" s="202"/>
      <c r="AT181" s="48"/>
      <c r="AU181" s="48"/>
    </row>
    <row r="182" spans="1:47" s="121" customFormat="1" hidden="1">
      <c r="AN182" s="239"/>
      <c r="AO182" s="225"/>
      <c r="AP182" s="287"/>
      <c r="AQ182" s="258"/>
      <c r="AR182" s="258"/>
      <c r="AS182" s="202"/>
      <c r="AT182" s="213"/>
      <c r="AU182" s="213"/>
    </row>
    <row r="183" spans="1:47" s="121" customFormat="1" hidden="1">
      <c r="AN183" s="239"/>
      <c r="AO183" s="225"/>
      <c r="AP183" s="287"/>
      <c r="AQ183" s="258"/>
      <c r="AR183" s="258"/>
      <c r="AS183" s="202"/>
      <c r="AT183" s="213"/>
      <c r="AU183" s="213"/>
    </row>
    <row r="184" spans="1:47" s="121" customFormat="1" hidden="1">
      <c r="AN184" s="239"/>
      <c r="AO184" s="225"/>
      <c r="AP184" s="287"/>
      <c r="AQ184" s="258"/>
      <c r="AR184" s="258"/>
      <c r="AS184" s="202"/>
      <c r="AT184" s="213"/>
      <c r="AU184" s="213"/>
    </row>
    <row r="185" spans="1:47" s="121" customFormat="1" hidden="1">
      <c r="AN185" s="239"/>
      <c r="AO185" s="225"/>
      <c r="AP185" s="287"/>
      <c r="AQ185" s="258"/>
      <c r="AR185" s="258"/>
      <c r="AS185" s="202"/>
      <c r="AT185" s="213"/>
      <c r="AU185" s="213"/>
    </row>
    <row r="186" spans="1:47" hidden="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239"/>
      <c r="AO186" s="225"/>
      <c r="AP186" s="287"/>
      <c r="AQ186" s="258"/>
      <c r="AR186" s="258"/>
      <c r="AS186" s="202"/>
      <c r="AT186" s="48"/>
      <c r="AU186" s="48"/>
    </row>
    <row r="187" spans="1:47" s="121" customFormat="1" hidden="1">
      <c r="AN187" s="239"/>
      <c r="AO187" s="225"/>
      <c r="AP187" s="287"/>
      <c r="AQ187" s="258"/>
      <c r="AR187" s="258"/>
      <c r="AS187" s="202"/>
      <c r="AT187" s="213"/>
      <c r="AU187" s="213"/>
    </row>
    <row r="188" spans="1:47" s="121" customFormat="1" hidden="1">
      <c r="AN188" s="239"/>
      <c r="AO188" s="225"/>
      <c r="AP188" s="287"/>
      <c r="AQ188" s="258"/>
      <c r="AR188" s="258"/>
      <c r="AS188" s="202"/>
      <c r="AT188" s="213"/>
      <c r="AU188" s="213"/>
    </row>
    <row r="189" spans="1:47" s="121" customFormat="1" hidden="1">
      <c r="AN189" s="239"/>
      <c r="AO189" s="225"/>
      <c r="AP189" s="287"/>
      <c r="AQ189" s="258"/>
      <c r="AR189" s="258"/>
      <c r="AS189" s="202"/>
      <c r="AT189" s="213"/>
      <c r="AU189" s="213"/>
    </row>
    <row r="190" spans="1:47" s="121" customFormat="1" hidden="1" collapsed="1">
      <c r="AN190" s="239"/>
      <c r="AO190" s="225"/>
      <c r="AP190" s="287"/>
      <c r="AQ190" s="258"/>
      <c r="AR190" s="258"/>
      <c r="AS190" s="202"/>
      <c r="AT190" s="213"/>
      <c r="AU190" s="213"/>
    </row>
    <row r="191" spans="1:47" hidden="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239"/>
      <c r="AO191" s="225"/>
      <c r="AP191" s="287"/>
      <c r="AQ191" s="258"/>
      <c r="AR191" s="258"/>
      <c r="AS191" s="202"/>
      <c r="AT191" s="48"/>
      <c r="AU191" s="48"/>
    </row>
    <row r="192" spans="1:47" s="121" customFormat="1" hidden="1">
      <c r="AN192" s="239"/>
      <c r="AO192" s="225"/>
      <c r="AP192" s="287"/>
      <c r="AQ192" s="258"/>
      <c r="AR192" s="258"/>
      <c r="AS192" s="202"/>
      <c r="AT192" s="213"/>
      <c r="AU192" s="213"/>
    </row>
    <row r="193" spans="1:47" s="121" customFormat="1" hidden="1">
      <c r="AN193" s="239"/>
      <c r="AO193" s="225"/>
      <c r="AP193" s="287"/>
      <c r="AQ193" s="258"/>
      <c r="AR193" s="258"/>
      <c r="AS193" s="202"/>
      <c r="AT193" s="213"/>
      <c r="AU193" s="213"/>
    </row>
    <row r="194" spans="1:47" s="121" customFormat="1" hidden="1">
      <c r="AN194" s="239"/>
      <c r="AO194" s="225"/>
      <c r="AP194" s="287"/>
      <c r="AQ194" s="258"/>
      <c r="AR194" s="258"/>
      <c r="AS194" s="202"/>
      <c r="AT194" s="213"/>
      <c r="AU194" s="213"/>
    </row>
    <row r="195" spans="1:47" s="121" customFormat="1" hidden="1">
      <c r="AN195" s="239"/>
      <c r="AO195" s="225"/>
      <c r="AP195" s="287"/>
      <c r="AQ195" s="258"/>
      <c r="AR195" s="258"/>
      <c r="AS195" s="202"/>
      <c r="AT195" s="213"/>
      <c r="AU195" s="213"/>
    </row>
    <row r="196" spans="1:47" hidden="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239"/>
      <c r="AO196" s="225"/>
      <c r="AP196" s="287"/>
      <c r="AQ196" s="258"/>
      <c r="AR196" s="258"/>
      <c r="AS196" s="202"/>
      <c r="AT196" s="48"/>
      <c r="AU196" s="48"/>
    </row>
    <row r="197" spans="1:47" s="121" customFormat="1" hidden="1">
      <c r="AN197" s="239"/>
      <c r="AO197" s="225"/>
      <c r="AP197" s="287"/>
      <c r="AQ197" s="258"/>
      <c r="AR197" s="258"/>
      <c r="AS197" s="202"/>
      <c r="AT197" s="213"/>
      <c r="AU197" s="213"/>
    </row>
    <row r="198" spans="1:47" s="121" customFormat="1" hidden="1" collapsed="1">
      <c r="AN198" s="239"/>
      <c r="AO198" s="225"/>
      <c r="AP198" s="287"/>
      <c r="AQ198" s="258"/>
      <c r="AR198" s="258"/>
      <c r="AS198" s="202"/>
      <c r="AT198" s="213"/>
      <c r="AU198" s="213"/>
    </row>
    <row r="199" spans="1:47" s="121" customFormat="1" hidden="1">
      <c r="AN199" s="239"/>
      <c r="AO199" s="225"/>
      <c r="AP199" s="287"/>
      <c r="AQ199" s="258"/>
      <c r="AR199" s="258"/>
      <c r="AS199" s="202"/>
      <c r="AT199" s="213"/>
      <c r="AU199" s="213"/>
    </row>
    <row r="200" spans="1:47" s="121" customFormat="1" hidden="1">
      <c r="AN200" s="239"/>
      <c r="AO200" s="225"/>
      <c r="AP200" s="287"/>
      <c r="AQ200" s="258"/>
      <c r="AR200" s="258"/>
      <c r="AS200" s="202"/>
      <c r="AT200" s="213"/>
      <c r="AU200" s="213"/>
    </row>
    <row r="201" spans="1:47" hidden="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239"/>
      <c r="AO201" s="225"/>
      <c r="AP201" s="287"/>
      <c r="AQ201" s="258"/>
      <c r="AR201" s="258"/>
      <c r="AS201" s="202"/>
      <c r="AT201" s="48"/>
      <c r="AU201" s="48"/>
    </row>
    <row r="202" spans="1:47" s="121" customFormat="1" hidden="1" collapsed="1">
      <c r="AN202" s="239"/>
      <c r="AO202" s="225"/>
      <c r="AP202" s="287"/>
      <c r="AQ202" s="258"/>
      <c r="AR202" s="258"/>
      <c r="AS202" s="202"/>
      <c r="AT202" s="213"/>
      <c r="AU202" s="213"/>
    </row>
    <row r="203" spans="1:47" s="121" customFormat="1" hidden="1">
      <c r="AN203" s="239"/>
      <c r="AO203" s="225"/>
      <c r="AP203" s="287"/>
      <c r="AQ203" s="258"/>
      <c r="AR203" s="258"/>
      <c r="AS203" s="202"/>
      <c r="AT203" s="213"/>
      <c r="AU203" s="213"/>
    </row>
    <row r="204" spans="1:47" s="121" customFormat="1" hidden="1">
      <c r="AN204" s="239"/>
      <c r="AO204" s="225"/>
      <c r="AP204" s="287"/>
      <c r="AQ204" s="258"/>
      <c r="AR204" s="258"/>
      <c r="AS204" s="202"/>
      <c r="AT204" s="213"/>
      <c r="AU204" s="213"/>
    </row>
    <row r="205" spans="1:47" s="121" customFormat="1" hidden="1">
      <c r="AN205" s="239"/>
      <c r="AO205" s="225"/>
      <c r="AP205" s="287"/>
      <c r="AQ205" s="258"/>
      <c r="AR205" s="258"/>
      <c r="AS205" s="202"/>
      <c r="AT205" s="213"/>
      <c r="AU205" s="213"/>
    </row>
    <row r="206" spans="1:47" hidden="1" collapsed="1">
      <c r="A206" s="51"/>
      <c r="B206" s="51"/>
      <c r="C206" s="51"/>
      <c r="D206" s="51"/>
      <c r="E206" s="51"/>
      <c r="F206" s="51"/>
      <c r="G206" s="51"/>
      <c r="H206" s="51"/>
      <c r="I206" s="5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239"/>
      <c r="AO206" s="225"/>
      <c r="AP206" s="287"/>
      <c r="AQ206" s="258"/>
      <c r="AR206" s="258"/>
      <c r="AS206" s="202"/>
      <c r="AT206" s="48"/>
      <c r="AU206" s="48"/>
    </row>
    <row r="207" spans="1:47" hidden="1">
      <c r="A207" s="51"/>
      <c r="B207" s="51"/>
      <c r="C207" s="51"/>
      <c r="D207" s="51"/>
      <c r="E207" s="51"/>
      <c r="F207" s="51"/>
      <c r="G207" s="51"/>
      <c r="H207" s="51"/>
      <c r="I207" s="5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239"/>
      <c r="AO207" s="225"/>
      <c r="AP207" s="287"/>
      <c r="AQ207" s="258"/>
      <c r="AR207" s="258"/>
      <c r="AS207" s="202"/>
      <c r="AT207" s="48"/>
      <c r="AU207" s="48"/>
    </row>
    <row r="208" spans="1:47" hidden="1">
      <c r="A208" s="51"/>
      <c r="B208" s="51"/>
      <c r="C208" s="51"/>
      <c r="D208" s="51"/>
      <c r="E208" s="51"/>
      <c r="F208" s="51"/>
      <c r="G208" s="51"/>
      <c r="H208" s="51"/>
      <c r="I208" s="5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239"/>
      <c r="AO208" s="225"/>
      <c r="AP208" s="287"/>
      <c r="AQ208" s="258"/>
      <c r="AR208" s="258"/>
      <c r="AS208" s="202"/>
      <c r="AT208" s="48"/>
      <c r="AU208" s="48"/>
    </row>
    <row r="209" spans="40:47" s="121" customFormat="1" hidden="1">
      <c r="AN209" s="239"/>
      <c r="AO209" s="225"/>
      <c r="AP209" s="287"/>
      <c r="AQ209" s="258"/>
      <c r="AR209" s="258"/>
      <c r="AS209" s="202"/>
      <c r="AT209" s="213"/>
      <c r="AU209" s="213"/>
    </row>
    <row r="210" spans="40:47" s="121" customFormat="1" hidden="1">
      <c r="AN210" s="239"/>
      <c r="AO210" s="225"/>
      <c r="AP210" s="287"/>
      <c r="AQ210" s="258"/>
      <c r="AR210" s="258"/>
      <c r="AS210" s="202"/>
      <c r="AT210" s="213"/>
      <c r="AU210" s="213"/>
    </row>
    <row r="211" spans="40:47" s="121" customFormat="1" hidden="1">
      <c r="AN211" s="239"/>
      <c r="AO211" s="225"/>
      <c r="AP211" s="287"/>
      <c r="AQ211" s="258"/>
      <c r="AR211" s="258"/>
      <c r="AS211" s="202"/>
      <c r="AT211" s="213"/>
      <c r="AU211" s="213"/>
    </row>
    <row r="212" spans="40:47" s="121" customFormat="1" hidden="1">
      <c r="AN212" s="239"/>
      <c r="AO212" s="225"/>
      <c r="AP212" s="287"/>
      <c r="AQ212" s="258"/>
      <c r="AR212" s="258"/>
      <c r="AS212" s="202"/>
      <c r="AT212" s="213"/>
      <c r="AU212" s="213"/>
    </row>
    <row r="213" spans="40:47" s="121" customFormat="1" hidden="1">
      <c r="AN213" s="239"/>
      <c r="AO213" s="225"/>
      <c r="AP213" s="287"/>
      <c r="AQ213" s="258"/>
      <c r="AR213" s="258"/>
      <c r="AS213" s="202"/>
      <c r="AT213" s="213"/>
      <c r="AU213" s="213"/>
    </row>
    <row r="214" spans="40:47" s="121" customFormat="1" hidden="1">
      <c r="AN214" s="239"/>
      <c r="AO214" s="225"/>
      <c r="AP214" s="287"/>
      <c r="AQ214" s="258"/>
      <c r="AR214" s="258"/>
      <c r="AS214" s="202"/>
      <c r="AT214" s="213"/>
      <c r="AU214" s="213"/>
    </row>
    <row r="215" spans="40:47" s="121" customFormat="1" hidden="1">
      <c r="AN215" s="239"/>
      <c r="AO215" s="225"/>
      <c r="AP215" s="287"/>
      <c r="AQ215" s="258"/>
      <c r="AR215" s="258"/>
      <c r="AS215" s="202"/>
      <c r="AT215" s="213"/>
      <c r="AU215" s="213"/>
    </row>
    <row r="216" spans="40:47" s="121" customFormat="1" hidden="1">
      <c r="AN216" s="239"/>
      <c r="AO216" s="225"/>
      <c r="AP216" s="287"/>
      <c r="AQ216" s="258"/>
      <c r="AR216" s="258"/>
      <c r="AS216" s="202"/>
      <c r="AT216" s="213"/>
      <c r="AU216" s="213"/>
    </row>
    <row r="217" spans="40:47" s="121" customFormat="1" hidden="1">
      <c r="AN217" s="239"/>
      <c r="AO217" s="225"/>
      <c r="AP217" s="287"/>
      <c r="AQ217" s="258"/>
      <c r="AR217" s="258"/>
      <c r="AS217" s="202"/>
      <c r="AT217" s="213"/>
      <c r="AU217" s="213"/>
    </row>
    <row r="218" spans="40:47" s="121" customFormat="1" hidden="1">
      <c r="AN218" s="239"/>
      <c r="AO218" s="225"/>
      <c r="AP218" s="287"/>
      <c r="AQ218" s="258"/>
      <c r="AR218" s="258"/>
      <c r="AS218" s="202"/>
      <c r="AT218" s="213"/>
      <c r="AU218" s="213"/>
    </row>
    <row r="219" spans="40:47" s="121" customFormat="1" hidden="1">
      <c r="AN219" s="239"/>
      <c r="AO219" s="225"/>
      <c r="AP219" s="287"/>
      <c r="AQ219" s="258"/>
      <c r="AR219" s="258"/>
      <c r="AS219" s="202"/>
      <c r="AT219" s="213"/>
      <c r="AU219" s="213"/>
    </row>
    <row r="220" spans="40:47" s="121" customFormat="1" hidden="1">
      <c r="AN220" s="239"/>
      <c r="AO220" s="225"/>
      <c r="AP220" s="287"/>
      <c r="AQ220" s="258"/>
      <c r="AR220" s="258"/>
      <c r="AS220" s="202"/>
      <c r="AT220" s="213"/>
      <c r="AU220" s="213"/>
    </row>
    <row r="221" spans="40:47" s="121" customFormat="1" hidden="1">
      <c r="AN221" s="239"/>
      <c r="AO221" s="225"/>
      <c r="AP221" s="287"/>
      <c r="AQ221" s="258"/>
      <c r="AR221" s="258"/>
      <c r="AS221" s="202"/>
      <c r="AT221" s="213"/>
      <c r="AU221" s="213"/>
    </row>
    <row r="222" spans="40:47" s="121" customFormat="1" hidden="1">
      <c r="AN222" s="239"/>
      <c r="AO222" s="225"/>
      <c r="AP222" s="287"/>
      <c r="AQ222" s="258"/>
      <c r="AR222" s="258"/>
      <c r="AS222" s="202"/>
      <c r="AT222" s="213"/>
      <c r="AU222" s="213"/>
    </row>
    <row r="223" spans="40:47" s="121" customFormat="1" hidden="1">
      <c r="AN223" s="239"/>
      <c r="AO223" s="225"/>
      <c r="AP223" s="287"/>
      <c r="AQ223" s="258"/>
      <c r="AR223" s="258"/>
      <c r="AS223" s="202"/>
      <c r="AT223" s="213"/>
      <c r="AU223" s="213"/>
    </row>
    <row r="224" spans="40:47" s="121" customFormat="1" hidden="1">
      <c r="AN224" s="239"/>
      <c r="AO224" s="225"/>
      <c r="AP224" s="287"/>
      <c r="AQ224" s="258"/>
      <c r="AR224" s="258"/>
      <c r="AS224" s="202"/>
      <c r="AT224" s="213"/>
      <c r="AU224" s="213"/>
    </row>
    <row r="225" spans="40:47" s="121" customFormat="1" hidden="1">
      <c r="AN225" s="239"/>
      <c r="AO225" s="225"/>
      <c r="AP225" s="287"/>
      <c r="AQ225" s="258"/>
      <c r="AR225" s="258"/>
      <c r="AS225" s="202"/>
      <c r="AT225" s="213"/>
      <c r="AU225" s="213"/>
    </row>
    <row r="226" spans="40:47" s="121" customFormat="1" hidden="1">
      <c r="AN226" s="239"/>
      <c r="AO226" s="225"/>
      <c r="AP226" s="287"/>
      <c r="AQ226" s="258"/>
      <c r="AR226" s="258"/>
      <c r="AS226" s="202"/>
      <c r="AT226" s="213"/>
      <c r="AU226" s="213"/>
    </row>
    <row r="227" spans="40:47" s="121" customFormat="1" hidden="1">
      <c r="AN227" s="239"/>
      <c r="AO227" s="225"/>
      <c r="AP227" s="260"/>
      <c r="AQ227" s="258"/>
      <c r="AR227" s="258"/>
      <c r="AS227" s="202"/>
      <c r="AT227" s="213"/>
      <c r="AU227" s="213"/>
    </row>
    <row r="228" spans="40:47" s="121" customFormat="1" hidden="1">
      <c r="AN228" s="239"/>
      <c r="AO228" s="225"/>
      <c r="AP228" s="260"/>
      <c r="AQ228" s="258"/>
      <c r="AR228" s="258"/>
      <c r="AS228" s="202"/>
      <c r="AT228" s="213"/>
      <c r="AU228" s="213"/>
    </row>
    <row r="229" spans="40:47" s="121" customFormat="1" hidden="1">
      <c r="AN229" s="239"/>
      <c r="AO229" s="225"/>
      <c r="AP229" s="260"/>
      <c r="AQ229" s="258"/>
      <c r="AR229" s="258"/>
      <c r="AS229" s="202"/>
      <c r="AT229" s="213"/>
      <c r="AU229" s="213"/>
    </row>
    <row r="230" spans="40:47" s="121" customFormat="1" hidden="1">
      <c r="AN230" s="239"/>
      <c r="AO230" s="225"/>
      <c r="AP230" s="260"/>
      <c r="AQ230" s="258"/>
      <c r="AR230" s="258"/>
      <c r="AS230" s="202"/>
      <c r="AT230" s="213"/>
      <c r="AU230" s="213"/>
    </row>
    <row r="231" spans="40:47" s="121" customFormat="1" hidden="1">
      <c r="AN231" s="239"/>
      <c r="AO231" s="225"/>
      <c r="AP231" s="260"/>
      <c r="AQ231" s="258"/>
      <c r="AR231" s="258"/>
      <c r="AS231" s="202"/>
      <c r="AT231" s="213"/>
      <c r="AU231" s="213"/>
    </row>
    <row r="232" spans="40:47" s="121" customFormat="1" hidden="1">
      <c r="AN232" s="239"/>
      <c r="AO232" s="225"/>
      <c r="AP232" s="260"/>
      <c r="AQ232" s="258"/>
      <c r="AR232" s="258"/>
      <c r="AS232" s="202"/>
      <c r="AT232" s="213"/>
      <c r="AU232" s="213"/>
    </row>
    <row r="233" spans="40:47" s="121" customFormat="1" hidden="1">
      <c r="AN233" s="239"/>
      <c r="AO233" s="225"/>
      <c r="AP233" s="260"/>
      <c r="AQ233" s="258"/>
      <c r="AR233" s="258"/>
      <c r="AS233" s="202"/>
      <c r="AT233" s="213"/>
      <c r="AU233" s="213"/>
    </row>
    <row r="234" spans="40:47" s="121" customFormat="1" hidden="1">
      <c r="AN234" s="239"/>
      <c r="AO234" s="225"/>
      <c r="AP234" s="260"/>
      <c r="AQ234" s="258"/>
      <c r="AR234" s="258"/>
      <c r="AS234" s="202"/>
      <c r="AT234" s="213"/>
      <c r="AU234" s="213"/>
    </row>
    <row r="235" spans="40:47" s="121" customFormat="1" hidden="1">
      <c r="AN235" s="239"/>
      <c r="AO235" s="225"/>
      <c r="AP235" s="260"/>
      <c r="AQ235" s="258"/>
      <c r="AR235" s="258"/>
      <c r="AS235" s="202"/>
      <c r="AT235" s="213"/>
      <c r="AU235" s="213"/>
    </row>
    <row r="236" spans="40:47" s="121" customFormat="1" hidden="1">
      <c r="AN236" s="239"/>
      <c r="AO236" s="225"/>
      <c r="AP236" s="260"/>
      <c r="AQ236" s="258"/>
      <c r="AR236" s="258"/>
      <c r="AS236" s="202"/>
      <c r="AT236" s="213"/>
      <c r="AU236" s="213"/>
    </row>
    <row r="237" spans="40:47" s="121" customFormat="1" hidden="1">
      <c r="AN237" s="239"/>
      <c r="AO237" s="225"/>
      <c r="AP237" s="260"/>
      <c r="AQ237" s="258"/>
      <c r="AR237" s="258"/>
      <c r="AS237" s="202"/>
      <c r="AT237" s="213"/>
      <c r="AU237" s="213"/>
    </row>
    <row r="238" spans="40:47" s="121" customFormat="1" hidden="1">
      <c r="AN238" s="239"/>
      <c r="AO238" s="225"/>
      <c r="AP238" s="260"/>
      <c r="AQ238" s="258"/>
      <c r="AR238" s="258"/>
      <c r="AS238" s="202"/>
      <c r="AT238" s="213"/>
      <c r="AU238" s="213"/>
    </row>
    <row r="239" spans="40:47" s="121" customFormat="1" hidden="1">
      <c r="AN239" s="239"/>
      <c r="AO239" s="225"/>
      <c r="AP239" s="260"/>
      <c r="AQ239" s="258"/>
      <c r="AR239" s="258"/>
      <c r="AS239" s="202"/>
      <c r="AT239" s="213"/>
      <c r="AU239" s="213"/>
    </row>
    <row r="240" spans="40:47" s="121" customFormat="1" hidden="1">
      <c r="AN240" s="239"/>
      <c r="AO240" s="225"/>
      <c r="AP240" s="260"/>
      <c r="AQ240" s="258"/>
      <c r="AR240" s="258"/>
      <c r="AS240" s="202"/>
      <c r="AT240" s="213"/>
      <c r="AU240" s="213"/>
    </row>
    <row r="241" spans="40:47" s="121" customFormat="1" hidden="1">
      <c r="AN241" s="239"/>
      <c r="AO241" s="225"/>
      <c r="AP241" s="260"/>
      <c r="AQ241" s="258"/>
      <c r="AR241" s="258"/>
      <c r="AS241" s="202"/>
      <c r="AT241" s="213"/>
      <c r="AU241" s="213"/>
    </row>
    <row r="242" spans="40:47" s="121" customFormat="1" hidden="1">
      <c r="AN242" s="239"/>
      <c r="AO242" s="225"/>
      <c r="AP242" s="260"/>
      <c r="AQ242" s="258"/>
      <c r="AR242" s="258"/>
      <c r="AS242" s="202"/>
      <c r="AT242" s="213"/>
      <c r="AU242" s="213"/>
    </row>
    <row r="243" spans="40:47" s="121" customFormat="1" hidden="1">
      <c r="AN243" s="239"/>
      <c r="AO243" s="225"/>
      <c r="AP243" s="260"/>
      <c r="AQ243" s="258"/>
      <c r="AR243" s="258"/>
      <c r="AS243" s="202"/>
      <c r="AT243" s="213"/>
      <c r="AU243" s="213"/>
    </row>
    <row r="244" spans="40:47" s="121" customFormat="1" hidden="1">
      <c r="AN244" s="239"/>
      <c r="AO244" s="225"/>
      <c r="AP244" s="260"/>
      <c r="AQ244" s="258"/>
      <c r="AR244" s="258"/>
      <c r="AS244" s="202"/>
      <c r="AT244" s="213"/>
      <c r="AU244" s="213"/>
    </row>
    <row r="245" spans="40:47" s="121" customFormat="1" hidden="1">
      <c r="AN245" s="239"/>
      <c r="AO245" s="225"/>
      <c r="AP245" s="260"/>
      <c r="AQ245" s="258"/>
      <c r="AR245" s="258"/>
      <c r="AS245" s="202"/>
      <c r="AT245" s="213"/>
      <c r="AU245" s="213"/>
    </row>
    <row r="246" spans="40:47" s="121" customFormat="1" hidden="1">
      <c r="AN246" s="239"/>
      <c r="AO246" s="225"/>
      <c r="AP246" s="260"/>
      <c r="AQ246" s="258"/>
      <c r="AR246" s="258"/>
      <c r="AS246" s="202"/>
      <c r="AT246" s="213"/>
      <c r="AU246" s="213"/>
    </row>
    <row r="247" spans="40:47" s="121" customFormat="1" hidden="1">
      <c r="AN247" s="239"/>
      <c r="AO247" s="225"/>
      <c r="AP247" s="260"/>
      <c r="AQ247" s="258"/>
      <c r="AR247" s="258"/>
      <c r="AS247" s="202"/>
      <c r="AT247" s="213"/>
      <c r="AU247" s="213"/>
    </row>
    <row r="248" spans="40:47" s="121" customFormat="1" hidden="1">
      <c r="AN248" s="239"/>
      <c r="AO248" s="225"/>
      <c r="AP248" s="260"/>
      <c r="AQ248" s="258"/>
      <c r="AR248" s="258"/>
      <c r="AS248" s="202"/>
      <c r="AT248" s="213"/>
      <c r="AU248" s="213"/>
    </row>
    <row r="249" spans="40:47" s="121" customFormat="1" hidden="1">
      <c r="AN249" s="239"/>
      <c r="AO249" s="225"/>
      <c r="AP249" s="260"/>
      <c r="AQ249" s="258"/>
      <c r="AR249" s="258"/>
      <c r="AS249" s="202"/>
      <c r="AT249" s="213"/>
      <c r="AU249" s="213"/>
    </row>
    <row r="250" spans="40:47" s="121" customFormat="1" hidden="1">
      <c r="AN250" s="239"/>
      <c r="AO250" s="225"/>
      <c r="AP250" s="260"/>
      <c r="AQ250" s="258"/>
      <c r="AR250" s="258"/>
      <c r="AS250" s="202"/>
      <c r="AT250" s="213"/>
      <c r="AU250" s="213"/>
    </row>
    <row r="251" spans="40:47" s="121" customFormat="1" hidden="1">
      <c r="AN251" s="239"/>
      <c r="AO251" s="225"/>
      <c r="AP251" s="260"/>
      <c r="AQ251" s="258"/>
      <c r="AR251" s="258"/>
      <c r="AS251" s="202"/>
      <c r="AT251" s="213"/>
      <c r="AU251" s="213"/>
    </row>
    <row r="252" spans="40:47" s="121" customFormat="1" hidden="1">
      <c r="AN252" s="239"/>
      <c r="AO252" s="225"/>
      <c r="AP252" s="260"/>
      <c r="AQ252" s="258"/>
      <c r="AR252" s="258"/>
      <c r="AS252" s="202"/>
      <c r="AT252" s="213"/>
      <c r="AU252" s="213"/>
    </row>
    <row r="253" spans="40:47" s="121" customFormat="1" hidden="1">
      <c r="AN253" s="239"/>
      <c r="AO253" s="225"/>
      <c r="AP253" s="260"/>
      <c r="AQ253" s="258"/>
      <c r="AR253" s="258"/>
      <c r="AS253" s="202"/>
      <c r="AT253" s="213"/>
      <c r="AU253" s="213"/>
    </row>
    <row r="254" spans="40:47" s="121" customFormat="1" hidden="1">
      <c r="AN254" s="239"/>
      <c r="AO254" s="225"/>
      <c r="AP254" s="260"/>
      <c r="AQ254" s="258"/>
      <c r="AR254" s="258"/>
      <c r="AS254" s="202"/>
      <c r="AT254" s="213"/>
      <c r="AU254" s="213"/>
    </row>
    <row r="255" spans="40:47" s="121" customFormat="1" hidden="1">
      <c r="AN255" s="239"/>
      <c r="AO255" s="225"/>
      <c r="AP255" s="260"/>
      <c r="AQ255" s="258"/>
      <c r="AR255" s="258"/>
      <c r="AS255" s="202"/>
      <c r="AT255" s="213"/>
      <c r="AU255" s="213"/>
    </row>
    <row r="256" spans="40:47" s="121" customFormat="1" hidden="1">
      <c r="AN256" s="239"/>
      <c r="AO256" s="225"/>
      <c r="AP256" s="260"/>
      <c r="AQ256" s="258"/>
      <c r="AR256" s="258"/>
      <c r="AS256" s="202"/>
      <c r="AT256" s="213"/>
      <c r="AU256" s="213"/>
    </row>
    <row r="257" spans="40:47" s="121" customFormat="1" hidden="1">
      <c r="AN257" s="239"/>
      <c r="AO257" s="225"/>
      <c r="AP257" s="260"/>
      <c r="AQ257" s="258"/>
      <c r="AR257" s="258"/>
      <c r="AS257" s="202"/>
      <c r="AT257" s="213"/>
      <c r="AU257" s="213"/>
    </row>
    <row r="258" spans="40:47" s="121" customFormat="1" hidden="1">
      <c r="AN258" s="239"/>
      <c r="AO258" s="225"/>
      <c r="AP258" s="260"/>
      <c r="AQ258" s="258"/>
      <c r="AR258" s="258"/>
      <c r="AS258" s="202"/>
      <c r="AT258" s="213"/>
      <c r="AU258" s="213"/>
    </row>
    <row r="259" spans="40:47" s="121" customFormat="1" hidden="1">
      <c r="AN259" s="239"/>
      <c r="AO259" s="225"/>
      <c r="AP259" s="260"/>
      <c r="AQ259" s="258"/>
      <c r="AR259" s="258"/>
      <c r="AS259" s="202"/>
      <c r="AT259" s="213"/>
      <c r="AU259" s="213"/>
    </row>
    <row r="260" spans="40:47" s="121" customFormat="1" hidden="1">
      <c r="AN260" s="239"/>
      <c r="AO260" s="225"/>
      <c r="AP260" s="260"/>
      <c r="AQ260" s="258"/>
      <c r="AR260" s="258"/>
      <c r="AS260" s="202"/>
      <c r="AT260" s="213"/>
      <c r="AU260" s="213"/>
    </row>
    <row r="261" spans="40:47" s="121" customFormat="1" hidden="1">
      <c r="AN261" s="239"/>
      <c r="AO261" s="225"/>
      <c r="AP261" s="260"/>
      <c r="AQ261" s="258"/>
      <c r="AR261" s="258"/>
      <c r="AS261" s="202"/>
      <c r="AT261" s="213"/>
      <c r="AU261" s="213"/>
    </row>
    <row r="262" spans="40:47" s="121" customFormat="1" hidden="1">
      <c r="AN262" s="239"/>
      <c r="AO262" s="225"/>
      <c r="AP262" s="260"/>
      <c r="AQ262" s="258"/>
      <c r="AR262" s="258"/>
      <c r="AS262" s="202"/>
      <c r="AT262" s="213"/>
      <c r="AU262" s="213"/>
    </row>
    <row r="263" spans="40:47" s="121" customFormat="1" hidden="1">
      <c r="AN263" s="239"/>
      <c r="AO263" s="225"/>
      <c r="AP263" s="260"/>
      <c r="AQ263" s="258"/>
      <c r="AR263" s="258"/>
      <c r="AS263" s="202"/>
      <c r="AT263" s="213"/>
      <c r="AU263" s="213"/>
    </row>
    <row r="264" spans="40:47" s="121" customFormat="1" hidden="1">
      <c r="AN264" s="239"/>
      <c r="AO264" s="225"/>
      <c r="AP264" s="260"/>
      <c r="AQ264" s="258"/>
      <c r="AR264" s="258"/>
      <c r="AS264" s="202"/>
      <c r="AT264" s="213"/>
      <c r="AU264" s="213"/>
    </row>
    <row r="265" spans="40:47" s="121" customFormat="1" hidden="1">
      <c r="AN265" s="239"/>
      <c r="AO265" s="225"/>
      <c r="AP265" s="260"/>
      <c r="AQ265" s="258"/>
      <c r="AR265" s="258"/>
      <c r="AS265" s="202"/>
      <c r="AT265" s="213"/>
      <c r="AU265" s="213"/>
    </row>
    <row r="266" spans="40:47" s="121" customFormat="1" hidden="1">
      <c r="AN266" s="239"/>
      <c r="AO266" s="225"/>
      <c r="AP266" s="260"/>
      <c r="AQ266" s="258"/>
      <c r="AR266" s="258"/>
      <c r="AS266" s="202"/>
      <c r="AT266" s="213"/>
      <c r="AU266" s="213"/>
    </row>
    <row r="267" spans="40:47" s="121" customFormat="1" hidden="1">
      <c r="AN267" s="239"/>
      <c r="AO267" s="225"/>
      <c r="AP267" s="260"/>
      <c r="AQ267" s="258"/>
      <c r="AR267" s="258"/>
      <c r="AS267" s="202"/>
      <c r="AT267" s="213"/>
      <c r="AU267" s="213"/>
    </row>
    <row r="268" spans="40:47" s="121" customFormat="1" hidden="1">
      <c r="AN268" s="239"/>
      <c r="AO268" s="225"/>
      <c r="AP268" s="260"/>
      <c r="AQ268" s="258"/>
      <c r="AR268" s="258"/>
      <c r="AS268" s="202"/>
      <c r="AT268" s="213"/>
      <c r="AU268" s="213"/>
    </row>
    <row r="269" spans="40:47" s="121" customFormat="1" hidden="1">
      <c r="AN269" s="239"/>
      <c r="AO269" s="225"/>
      <c r="AP269" s="260"/>
      <c r="AQ269" s="258"/>
      <c r="AR269" s="258"/>
      <c r="AS269" s="202"/>
      <c r="AT269" s="213"/>
      <c r="AU269" s="213"/>
    </row>
    <row r="270" spans="40:47" s="121" customFormat="1" hidden="1">
      <c r="AN270" s="239"/>
      <c r="AO270" s="225"/>
      <c r="AP270" s="260"/>
      <c r="AQ270" s="258"/>
      <c r="AR270" s="258"/>
      <c r="AS270" s="202"/>
      <c r="AT270" s="213"/>
      <c r="AU270" s="213"/>
    </row>
    <row r="271" spans="40:47" s="121" customFormat="1" hidden="1">
      <c r="AN271" s="239"/>
      <c r="AO271" s="225"/>
      <c r="AP271" s="260"/>
      <c r="AQ271" s="258"/>
      <c r="AR271" s="258"/>
      <c r="AS271" s="202"/>
      <c r="AT271" s="213"/>
      <c r="AU271" s="213"/>
    </row>
    <row r="272" spans="40:47" s="121" customFormat="1" hidden="1">
      <c r="AN272" s="239"/>
      <c r="AO272" s="225"/>
      <c r="AP272" s="260"/>
      <c r="AQ272" s="258"/>
      <c r="AR272" s="258"/>
      <c r="AS272" s="202"/>
      <c r="AT272" s="213"/>
      <c r="AU272" s="213"/>
    </row>
    <row r="273" spans="40:47" s="121" customFormat="1" hidden="1">
      <c r="AN273" s="239"/>
      <c r="AO273" s="225"/>
      <c r="AP273" s="260"/>
      <c r="AQ273" s="258"/>
      <c r="AR273" s="258"/>
      <c r="AS273" s="202"/>
      <c r="AT273" s="213"/>
      <c r="AU273" s="213"/>
    </row>
    <row r="274" spans="40:47" s="121" customFormat="1" hidden="1">
      <c r="AN274" s="239"/>
      <c r="AO274" s="225"/>
      <c r="AP274" s="260"/>
      <c r="AQ274" s="258"/>
      <c r="AR274" s="258"/>
      <c r="AS274" s="202"/>
      <c r="AT274" s="213"/>
      <c r="AU274" s="213"/>
    </row>
    <row r="275" spans="40:47" s="121" customFormat="1" hidden="1">
      <c r="AN275" s="239"/>
      <c r="AO275" s="225"/>
      <c r="AP275" s="260"/>
      <c r="AQ275" s="258"/>
      <c r="AR275" s="258"/>
      <c r="AS275" s="202"/>
      <c r="AT275" s="213"/>
      <c r="AU275" s="213"/>
    </row>
    <row r="276" spans="40:47" s="121" customFormat="1" hidden="1">
      <c r="AN276" s="239"/>
      <c r="AO276" s="225"/>
      <c r="AP276" s="260"/>
      <c r="AQ276" s="258"/>
      <c r="AR276" s="258"/>
      <c r="AS276" s="202"/>
      <c r="AT276" s="213"/>
      <c r="AU276" s="213"/>
    </row>
    <row r="277" spans="40:47" s="121" customFormat="1" hidden="1">
      <c r="AN277" s="239"/>
      <c r="AO277" s="225"/>
      <c r="AP277" s="260"/>
      <c r="AQ277" s="258"/>
      <c r="AR277" s="258"/>
      <c r="AS277" s="202"/>
      <c r="AT277" s="213"/>
      <c r="AU277" s="213"/>
    </row>
    <row r="278" spans="40:47" s="121" customFormat="1" hidden="1">
      <c r="AN278" s="239"/>
      <c r="AO278" s="225"/>
      <c r="AP278" s="260"/>
      <c r="AQ278" s="258"/>
      <c r="AR278" s="258"/>
      <c r="AS278" s="202"/>
      <c r="AT278" s="213"/>
      <c r="AU278" s="213"/>
    </row>
    <row r="279" spans="40:47" s="121" customFormat="1" hidden="1">
      <c r="AN279" s="239"/>
      <c r="AO279" s="225"/>
      <c r="AP279" s="260"/>
      <c r="AQ279" s="258"/>
      <c r="AR279" s="258"/>
      <c r="AS279" s="202"/>
      <c r="AT279" s="213"/>
      <c r="AU279" s="213"/>
    </row>
    <row r="280" spans="40:47" s="121" customFormat="1" hidden="1">
      <c r="AN280" s="239"/>
      <c r="AO280" s="225"/>
      <c r="AP280" s="260"/>
      <c r="AQ280" s="258"/>
      <c r="AR280" s="258"/>
      <c r="AS280" s="202"/>
      <c r="AT280" s="213"/>
      <c r="AU280" s="213"/>
    </row>
    <row r="281" spans="40:47" s="121" customFormat="1" hidden="1">
      <c r="AN281" s="239"/>
      <c r="AO281" s="225"/>
      <c r="AP281" s="260"/>
      <c r="AQ281" s="258"/>
      <c r="AR281" s="258"/>
      <c r="AS281" s="202"/>
      <c r="AT281" s="213"/>
      <c r="AU281" s="213"/>
    </row>
    <row r="282" spans="40:47" s="121" customFormat="1" hidden="1">
      <c r="AN282" s="239"/>
      <c r="AO282" s="225"/>
      <c r="AP282" s="260"/>
      <c r="AQ282" s="258"/>
      <c r="AR282" s="258"/>
      <c r="AS282" s="202"/>
      <c r="AT282" s="213"/>
      <c r="AU282" s="213"/>
    </row>
    <row r="283" spans="40:47" s="121" customFormat="1" hidden="1">
      <c r="AN283" s="239"/>
      <c r="AO283" s="225"/>
      <c r="AP283" s="260"/>
      <c r="AQ283" s="258"/>
      <c r="AR283" s="258"/>
      <c r="AS283" s="202"/>
      <c r="AT283" s="213"/>
      <c r="AU283" s="213"/>
    </row>
    <row r="284" spans="40:47" s="121" customFormat="1" hidden="1">
      <c r="AN284" s="239"/>
      <c r="AO284" s="225"/>
      <c r="AP284" s="260"/>
      <c r="AQ284" s="258"/>
      <c r="AR284" s="258"/>
      <c r="AS284" s="202"/>
      <c r="AT284" s="213"/>
      <c r="AU284" s="213"/>
    </row>
    <row r="285" spans="40:47" s="121" customFormat="1" hidden="1">
      <c r="AN285" s="239"/>
      <c r="AO285" s="225"/>
      <c r="AP285" s="260"/>
      <c r="AQ285" s="258"/>
      <c r="AR285" s="258"/>
      <c r="AS285" s="202"/>
      <c r="AT285" s="213"/>
      <c r="AU285" s="213"/>
    </row>
    <row r="286" spans="40:47" s="121" customFormat="1" hidden="1">
      <c r="AN286" s="239"/>
      <c r="AO286" s="225"/>
      <c r="AP286" s="260"/>
      <c r="AQ286" s="258"/>
      <c r="AR286" s="258"/>
      <c r="AS286" s="202"/>
      <c r="AT286" s="213"/>
      <c r="AU286" s="213"/>
    </row>
    <row r="287" spans="40:47" s="121" customFormat="1" hidden="1">
      <c r="AN287" s="239"/>
      <c r="AO287" s="225"/>
      <c r="AP287" s="260"/>
      <c r="AQ287" s="258"/>
      <c r="AR287" s="258"/>
      <c r="AS287" s="202"/>
      <c r="AT287" s="213"/>
      <c r="AU287" s="213"/>
    </row>
    <row r="288" spans="40:47" s="121" customFormat="1" hidden="1">
      <c r="AN288" s="239"/>
      <c r="AO288" s="225"/>
      <c r="AP288" s="260"/>
      <c r="AQ288" s="258"/>
      <c r="AR288" s="258"/>
      <c r="AS288" s="202"/>
      <c r="AT288" s="213"/>
      <c r="AU288" s="213"/>
    </row>
    <row r="289" spans="40:47" s="121" customFormat="1" hidden="1">
      <c r="AN289" s="239"/>
      <c r="AO289" s="225"/>
      <c r="AP289" s="260"/>
      <c r="AQ289" s="258"/>
      <c r="AR289" s="258"/>
      <c r="AS289" s="202"/>
      <c r="AT289" s="213"/>
      <c r="AU289" s="213"/>
    </row>
    <row r="290" spans="40:47" s="121" customFormat="1" hidden="1">
      <c r="AN290" s="239"/>
      <c r="AO290" s="225"/>
      <c r="AP290" s="260"/>
      <c r="AQ290" s="258"/>
      <c r="AR290" s="258"/>
      <c r="AS290" s="202"/>
      <c r="AT290" s="213"/>
      <c r="AU290" s="213"/>
    </row>
    <row r="291" spans="40:47" s="121" customFormat="1" hidden="1">
      <c r="AN291" s="239"/>
      <c r="AO291" s="225"/>
      <c r="AP291" s="260"/>
      <c r="AQ291" s="258"/>
      <c r="AR291" s="258"/>
      <c r="AS291" s="202"/>
      <c r="AT291" s="213"/>
      <c r="AU291" s="213"/>
    </row>
    <row r="292" spans="40:47" s="121" customFormat="1" hidden="1">
      <c r="AN292" s="239"/>
      <c r="AO292" s="225"/>
      <c r="AP292" s="260"/>
      <c r="AQ292" s="258"/>
      <c r="AR292" s="258"/>
      <c r="AS292" s="202"/>
      <c r="AT292" s="213"/>
      <c r="AU292" s="213"/>
    </row>
    <row r="293" spans="40:47" s="121" customFormat="1" hidden="1">
      <c r="AN293" s="239"/>
      <c r="AO293" s="225"/>
      <c r="AP293" s="260"/>
      <c r="AQ293" s="258"/>
      <c r="AR293" s="258"/>
      <c r="AS293" s="202"/>
      <c r="AT293" s="213"/>
      <c r="AU293" s="213"/>
    </row>
    <row r="294" spans="40:47" s="121" customFormat="1" hidden="1">
      <c r="AN294" s="239"/>
      <c r="AO294" s="225"/>
      <c r="AP294" s="260"/>
      <c r="AQ294" s="258"/>
      <c r="AR294" s="258"/>
      <c r="AS294" s="202"/>
      <c r="AT294" s="213"/>
      <c r="AU294" s="213"/>
    </row>
    <row r="295" spans="40:47" s="121" customFormat="1" hidden="1">
      <c r="AN295" s="239"/>
      <c r="AO295" s="225"/>
      <c r="AP295" s="260"/>
      <c r="AQ295" s="258"/>
      <c r="AR295" s="258"/>
      <c r="AS295" s="202"/>
      <c r="AT295" s="213"/>
      <c r="AU295" s="213"/>
    </row>
    <row r="296" spans="40:47" s="121" customFormat="1" hidden="1">
      <c r="AN296" s="239"/>
      <c r="AO296" s="225"/>
      <c r="AP296" s="260"/>
      <c r="AQ296" s="258"/>
      <c r="AR296" s="258"/>
      <c r="AS296" s="202"/>
      <c r="AT296" s="213"/>
      <c r="AU296" s="213"/>
    </row>
    <row r="297" spans="40:47" s="121" customFormat="1" hidden="1">
      <c r="AN297" s="239"/>
      <c r="AO297" s="225"/>
      <c r="AP297" s="260"/>
      <c r="AQ297" s="258"/>
      <c r="AR297" s="258"/>
      <c r="AS297" s="202"/>
      <c r="AT297" s="213"/>
      <c r="AU297" s="213"/>
    </row>
    <row r="298" spans="40:47" s="121" customFormat="1" hidden="1">
      <c r="AN298" s="239"/>
      <c r="AO298" s="225"/>
      <c r="AP298" s="260"/>
      <c r="AQ298" s="258"/>
      <c r="AR298" s="258"/>
      <c r="AS298" s="202"/>
      <c r="AT298" s="213"/>
      <c r="AU298" s="213"/>
    </row>
    <row r="299" spans="40:47" s="121" customFormat="1" hidden="1">
      <c r="AN299" s="239"/>
      <c r="AO299" s="225"/>
      <c r="AP299" s="260"/>
      <c r="AQ299" s="258"/>
      <c r="AR299" s="258"/>
      <c r="AS299" s="202"/>
      <c r="AT299" s="213"/>
      <c r="AU299" s="213"/>
    </row>
    <row r="300" spans="40:47" s="121" customFormat="1" hidden="1">
      <c r="AN300" s="239"/>
      <c r="AO300" s="225"/>
      <c r="AP300" s="260"/>
      <c r="AQ300" s="258"/>
      <c r="AR300" s="258"/>
      <c r="AS300" s="202"/>
      <c r="AT300" s="213"/>
      <c r="AU300" s="213"/>
    </row>
    <row r="301" spans="40:47" s="121" customFormat="1" hidden="1">
      <c r="AN301" s="239"/>
      <c r="AO301" s="225"/>
      <c r="AP301" s="260"/>
      <c r="AQ301" s="258"/>
      <c r="AR301" s="258"/>
      <c r="AS301" s="202"/>
      <c r="AT301" s="213"/>
      <c r="AU301" s="213"/>
    </row>
    <row r="302" spans="40:47" s="121" customFormat="1" hidden="1">
      <c r="AN302" s="239"/>
      <c r="AO302" s="225"/>
      <c r="AP302" s="260"/>
      <c r="AQ302" s="258"/>
      <c r="AR302" s="258"/>
      <c r="AS302" s="202"/>
      <c r="AT302" s="213"/>
      <c r="AU302" s="213"/>
    </row>
    <row r="303" spans="40:47" s="121" customFormat="1" hidden="1">
      <c r="AN303" s="239"/>
      <c r="AO303" s="225"/>
      <c r="AP303" s="260"/>
      <c r="AQ303" s="258"/>
      <c r="AR303" s="258"/>
      <c r="AS303" s="202"/>
      <c r="AT303" s="213"/>
      <c r="AU303" s="213"/>
    </row>
    <row r="304" spans="40:47" s="121" customFormat="1" hidden="1">
      <c r="AN304" s="239"/>
      <c r="AO304" s="225"/>
      <c r="AP304" s="260"/>
      <c r="AQ304" s="258"/>
      <c r="AR304" s="258"/>
      <c r="AS304" s="202"/>
      <c r="AT304" s="213"/>
      <c r="AU304" s="213"/>
    </row>
    <row r="305" spans="40:47" s="121" customFormat="1" hidden="1">
      <c r="AN305" s="239"/>
      <c r="AO305" s="225"/>
      <c r="AP305" s="260"/>
      <c r="AQ305" s="258"/>
      <c r="AR305" s="258"/>
      <c r="AS305" s="202"/>
      <c r="AT305" s="213"/>
      <c r="AU305" s="213"/>
    </row>
    <row r="306" spans="40:47" s="121" customFormat="1" hidden="1">
      <c r="AN306" s="239"/>
      <c r="AO306" s="225"/>
      <c r="AP306" s="260"/>
      <c r="AQ306" s="258"/>
      <c r="AR306" s="258"/>
      <c r="AS306" s="202"/>
      <c r="AT306" s="213"/>
      <c r="AU306" s="213"/>
    </row>
    <row r="307" spans="40:47" s="121" customFormat="1" hidden="1">
      <c r="AN307" s="239"/>
      <c r="AO307" s="225"/>
      <c r="AP307" s="260"/>
      <c r="AQ307" s="258"/>
      <c r="AR307" s="258"/>
      <c r="AS307" s="202"/>
      <c r="AT307" s="213"/>
      <c r="AU307" s="213"/>
    </row>
    <row r="308" spans="40:47" s="121" customFormat="1" hidden="1">
      <c r="AN308" s="239"/>
      <c r="AO308" s="225"/>
      <c r="AP308" s="260"/>
      <c r="AQ308" s="258"/>
      <c r="AR308" s="258"/>
      <c r="AS308" s="202"/>
      <c r="AT308" s="213"/>
      <c r="AU308" s="213"/>
    </row>
    <row r="309" spans="40:47" s="121" customFormat="1" hidden="1">
      <c r="AN309" s="239"/>
      <c r="AO309" s="225"/>
      <c r="AP309" s="260"/>
      <c r="AQ309" s="258"/>
      <c r="AR309" s="258"/>
      <c r="AS309" s="202"/>
      <c r="AT309" s="213"/>
      <c r="AU309" s="213"/>
    </row>
    <row r="310" spans="40:47" s="121" customFormat="1" hidden="1">
      <c r="AN310" s="239"/>
      <c r="AO310" s="225"/>
      <c r="AP310" s="260"/>
      <c r="AQ310" s="258"/>
      <c r="AR310" s="258"/>
      <c r="AS310" s="202"/>
      <c r="AT310" s="213"/>
      <c r="AU310" s="213"/>
    </row>
    <row r="311" spans="40:47" s="121" customFormat="1" hidden="1">
      <c r="AN311" s="239"/>
      <c r="AO311" s="225"/>
      <c r="AP311" s="260"/>
      <c r="AQ311" s="258"/>
      <c r="AR311" s="258"/>
      <c r="AS311" s="202"/>
      <c r="AT311" s="213"/>
      <c r="AU311" s="213"/>
    </row>
    <row r="312" spans="40:47" s="121" customFormat="1" hidden="1">
      <c r="AN312" s="239"/>
      <c r="AO312" s="225"/>
      <c r="AP312" s="260"/>
      <c r="AQ312" s="258"/>
      <c r="AR312" s="258"/>
      <c r="AS312" s="202"/>
      <c r="AT312" s="213"/>
      <c r="AU312" s="213"/>
    </row>
    <row r="313" spans="40:47" s="121" customFormat="1" hidden="1">
      <c r="AN313" s="239"/>
      <c r="AO313" s="225"/>
      <c r="AP313" s="260"/>
      <c r="AQ313" s="258"/>
      <c r="AR313" s="258"/>
      <c r="AS313" s="202"/>
      <c r="AT313" s="213"/>
      <c r="AU313" s="213"/>
    </row>
    <row r="314" spans="40:47" s="121" customFormat="1" hidden="1">
      <c r="AN314" s="239"/>
      <c r="AO314" s="225"/>
      <c r="AP314" s="260"/>
      <c r="AQ314" s="258"/>
      <c r="AR314" s="258"/>
      <c r="AS314" s="202"/>
      <c r="AT314" s="213"/>
      <c r="AU314" s="213"/>
    </row>
    <row r="315" spans="40:47" s="121" customFormat="1" hidden="1">
      <c r="AN315" s="239"/>
      <c r="AO315" s="225"/>
      <c r="AP315" s="260"/>
      <c r="AQ315" s="258"/>
      <c r="AR315" s="258"/>
      <c r="AS315" s="202"/>
      <c r="AT315" s="213"/>
      <c r="AU315" s="213"/>
    </row>
    <row r="316" spans="40:47" s="121" customFormat="1" hidden="1">
      <c r="AN316" s="239"/>
      <c r="AO316" s="225"/>
      <c r="AP316" s="260"/>
      <c r="AQ316" s="258"/>
      <c r="AR316" s="258"/>
      <c r="AS316" s="202"/>
      <c r="AT316" s="213"/>
      <c r="AU316" s="213"/>
    </row>
    <row r="317" spans="40:47" s="121" customFormat="1" hidden="1">
      <c r="AN317" s="239"/>
      <c r="AO317" s="225"/>
      <c r="AP317" s="260"/>
      <c r="AQ317" s="258"/>
      <c r="AR317" s="258"/>
      <c r="AS317" s="202"/>
      <c r="AT317" s="213"/>
      <c r="AU317" s="213"/>
    </row>
    <row r="318" spans="40:47" s="121" customFormat="1" hidden="1">
      <c r="AN318" s="239"/>
      <c r="AO318" s="225"/>
      <c r="AP318" s="260"/>
      <c r="AQ318" s="258"/>
      <c r="AR318" s="258"/>
      <c r="AS318" s="202"/>
      <c r="AT318" s="213"/>
      <c r="AU318" s="213"/>
    </row>
    <row r="319" spans="40:47" s="121" customFormat="1" hidden="1">
      <c r="AN319" s="239"/>
      <c r="AO319" s="225"/>
      <c r="AP319" s="260"/>
      <c r="AQ319" s="258"/>
      <c r="AR319" s="258"/>
      <c r="AS319" s="202"/>
      <c r="AT319" s="213"/>
      <c r="AU319" s="213"/>
    </row>
    <row r="320" spans="40:47" s="121" customFormat="1" hidden="1">
      <c r="AN320" s="239"/>
      <c r="AO320" s="225"/>
      <c r="AP320" s="260"/>
      <c r="AQ320" s="258"/>
      <c r="AR320" s="258"/>
      <c r="AS320" s="202"/>
      <c r="AT320" s="213"/>
      <c r="AU320" s="213"/>
    </row>
    <row r="321" spans="40:47" s="121" customFormat="1" hidden="1">
      <c r="AN321" s="239"/>
      <c r="AO321" s="225"/>
      <c r="AP321" s="260"/>
      <c r="AQ321" s="258"/>
      <c r="AR321" s="258"/>
      <c r="AS321" s="202"/>
      <c r="AT321" s="213"/>
      <c r="AU321" s="213"/>
    </row>
    <row r="322" spans="40:47" s="121" customFormat="1" hidden="1">
      <c r="AN322" s="239"/>
      <c r="AO322" s="225"/>
      <c r="AP322" s="260"/>
      <c r="AQ322" s="258"/>
      <c r="AR322" s="258"/>
      <c r="AS322" s="202"/>
      <c r="AT322" s="213"/>
      <c r="AU322" s="213"/>
    </row>
    <row r="323" spans="40:47" s="121" customFormat="1" hidden="1">
      <c r="AN323" s="239"/>
      <c r="AO323" s="225"/>
      <c r="AP323" s="260"/>
      <c r="AQ323" s="258"/>
      <c r="AR323" s="258"/>
      <c r="AS323" s="202"/>
      <c r="AT323" s="213"/>
      <c r="AU323" s="213"/>
    </row>
    <row r="324" spans="40:47" s="121" customFormat="1" hidden="1">
      <c r="AN324" s="239"/>
      <c r="AO324" s="225"/>
      <c r="AP324" s="260"/>
      <c r="AQ324" s="258"/>
      <c r="AR324" s="258"/>
      <c r="AS324" s="202"/>
      <c r="AT324" s="213"/>
      <c r="AU324" s="213"/>
    </row>
    <row r="325" spans="40:47" s="121" customFormat="1" hidden="1">
      <c r="AN325" s="239"/>
      <c r="AO325" s="225"/>
      <c r="AP325" s="260"/>
      <c r="AQ325" s="258"/>
      <c r="AR325" s="258"/>
      <c r="AS325" s="202"/>
      <c r="AT325" s="213"/>
      <c r="AU325" s="213"/>
    </row>
    <row r="326" spans="40:47" s="121" customFormat="1" hidden="1">
      <c r="AN326" s="239"/>
      <c r="AO326" s="225"/>
      <c r="AP326" s="260"/>
      <c r="AQ326" s="258"/>
      <c r="AR326" s="258"/>
      <c r="AS326" s="202"/>
      <c r="AT326" s="213"/>
      <c r="AU326" s="213"/>
    </row>
    <row r="327" spans="40:47" s="121" customFormat="1" hidden="1">
      <c r="AN327" s="239"/>
      <c r="AO327" s="225"/>
      <c r="AP327" s="260"/>
      <c r="AQ327" s="258"/>
      <c r="AR327" s="258"/>
      <c r="AS327" s="202"/>
      <c r="AT327" s="213"/>
      <c r="AU327" s="213"/>
    </row>
    <row r="328" spans="40:47" s="121" customFormat="1" hidden="1">
      <c r="AN328" s="239"/>
      <c r="AO328" s="225"/>
      <c r="AP328" s="260"/>
      <c r="AQ328" s="258"/>
      <c r="AR328" s="258"/>
      <c r="AS328" s="202"/>
      <c r="AT328" s="213"/>
      <c r="AU328" s="213"/>
    </row>
    <row r="329" spans="40:47" s="121" customFormat="1" hidden="1">
      <c r="AN329" s="239"/>
      <c r="AO329" s="225"/>
      <c r="AP329" s="260"/>
      <c r="AQ329" s="258"/>
      <c r="AR329" s="258"/>
      <c r="AS329" s="202"/>
      <c r="AT329" s="213"/>
      <c r="AU329" s="213"/>
    </row>
    <row r="330" spans="40:47" s="121" customFormat="1" hidden="1">
      <c r="AN330" s="239"/>
      <c r="AO330" s="225"/>
      <c r="AP330" s="260"/>
      <c r="AQ330" s="258"/>
      <c r="AR330" s="258"/>
      <c r="AS330" s="202"/>
      <c r="AT330" s="213"/>
      <c r="AU330" s="213"/>
    </row>
    <row r="331" spans="40:47" s="121" customFormat="1" hidden="1">
      <c r="AN331" s="239"/>
      <c r="AO331" s="225"/>
      <c r="AP331" s="260"/>
      <c r="AQ331" s="258"/>
      <c r="AR331" s="258"/>
      <c r="AS331" s="202"/>
      <c r="AT331" s="213"/>
      <c r="AU331" s="213"/>
    </row>
    <row r="332" spans="40:47" s="121" customFormat="1" hidden="1">
      <c r="AN332" s="239"/>
      <c r="AO332" s="225"/>
      <c r="AP332" s="260"/>
      <c r="AQ332" s="258"/>
      <c r="AR332" s="258"/>
      <c r="AS332" s="202"/>
      <c r="AT332" s="213"/>
      <c r="AU332" s="213"/>
    </row>
    <row r="333" spans="40:47" s="121" customFormat="1" hidden="1">
      <c r="AN333" s="239"/>
      <c r="AO333" s="225"/>
      <c r="AP333" s="260"/>
      <c r="AQ333" s="258"/>
      <c r="AR333" s="258"/>
      <c r="AS333" s="202"/>
      <c r="AT333" s="213"/>
      <c r="AU333" s="213"/>
    </row>
    <row r="334" spans="40:47" s="121" customFormat="1" hidden="1">
      <c r="AN334" s="239"/>
      <c r="AO334" s="225"/>
      <c r="AP334" s="260"/>
      <c r="AQ334" s="258"/>
      <c r="AR334" s="258"/>
      <c r="AS334" s="202"/>
      <c r="AT334" s="213"/>
      <c r="AU334" s="213"/>
    </row>
    <row r="335" spans="40:47" s="121" customFormat="1" hidden="1">
      <c r="AN335" s="239"/>
      <c r="AO335" s="225"/>
      <c r="AP335" s="260"/>
      <c r="AQ335" s="258"/>
      <c r="AR335" s="258"/>
      <c r="AS335" s="202"/>
      <c r="AT335" s="213"/>
      <c r="AU335" s="213"/>
    </row>
    <row r="336" spans="40:47" s="121" customFormat="1" hidden="1">
      <c r="AN336" s="239"/>
      <c r="AO336" s="225"/>
      <c r="AP336" s="260"/>
      <c r="AQ336" s="258"/>
      <c r="AR336" s="258"/>
      <c r="AS336" s="202"/>
      <c r="AT336" s="213"/>
      <c r="AU336" s="213"/>
    </row>
    <row r="337" spans="40:47" s="121" customFormat="1" hidden="1">
      <c r="AN337" s="239"/>
      <c r="AO337" s="225"/>
      <c r="AP337" s="260"/>
      <c r="AQ337" s="258"/>
      <c r="AR337" s="258"/>
      <c r="AS337" s="202"/>
      <c r="AT337" s="213"/>
      <c r="AU337" s="213"/>
    </row>
    <row r="338" spans="40:47" s="121" customFormat="1" hidden="1">
      <c r="AN338" s="239"/>
      <c r="AO338" s="225"/>
      <c r="AP338" s="260"/>
      <c r="AQ338" s="258"/>
      <c r="AR338" s="258"/>
      <c r="AS338" s="202"/>
      <c r="AT338" s="213"/>
      <c r="AU338" s="213"/>
    </row>
    <row r="339" spans="40:47" s="121" customFormat="1" hidden="1">
      <c r="AN339" s="239"/>
      <c r="AO339" s="225"/>
      <c r="AP339" s="260"/>
      <c r="AQ339" s="258"/>
      <c r="AR339" s="258"/>
      <c r="AS339" s="202"/>
      <c r="AT339" s="213"/>
      <c r="AU339" s="213"/>
    </row>
    <row r="340" spans="40:47" s="121" customFormat="1" hidden="1">
      <c r="AN340" s="239"/>
      <c r="AO340" s="225"/>
      <c r="AP340" s="260"/>
      <c r="AQ340" s="258"/>
      <c r="AR340" s="258"/>
      <c r="AS340" s="202"/>
      <c r="AT340" s="213"/>
      <c r="AU340" s="213"/>
    </row>
    <row r="341" spans="40:47" s="121" customFormat="1" hidden="1">
      <c r="AN341" s="239"/>
      <c r="AO341" s="225"/>
      <c r="AP341" s="260"/>
      <c r="AQ341" s="258"/>
      <c r="AR341" s="258"/>
      <c r="AS341" s="202"/>
      <c r="AT341" s="213"/>
      <c r="AU341" s="213"/>
    </row>
    <row r="342" spans="40:47" s="121" customFormat="1" hidden="1">
      <c r="AN342" s="239"/>
      <c r="AO342" s="225"/>
      <c r="AP342" s="260"/>
      <c r="AQ342" s="258"/>
      <c r="AR342" s="258"/>
      <c r="AS342" s="202"/>
      <c r="AT342" s="213"/>
      <c r="AU342" s="213"/>
    </row>
    <row r="343" spans="40:47" s="121" customFormat="1" hidden="1">
      <c r="AN343" s="239"/>
      <c r="AO343" s="225"/>
      <c r="AP343" s="260"/>
      <c r="AQ343" s="258"/>
      <c r="AR343" s="258"/>
      <c r="AS343" s="202"/>
      <c r="AT343" s="213"/>
      <c r="AU343" s="213"/>
    </row>
    <row r="344" spans="40:47" s="121" customFormat="1" hidden="1">
      <c r="AN344" s="239"/>
      <c r="AO344" s="225"/>
      <c r="AP344" s="260"/>
      <c r="AQ344" s="258"/>
      <c r="AR344" s="258"/>
      <c r="AS344" s="202"/>
      <c r="AT344" s="213"/>
      <c r="AU344" s="213"/>
    </row>
    <row r="345" spans="40:47" s="121" customFormat="1" hidden="1">
      <c r="AN345" s="239"/>
      <c r="AO345" s="225"/>
      <c r="AP345" s="260"/>
      <c r="AQ345" s="258"/>
      <c r="AR345" s="258"/>
      <c r="AS345" s="202"/>
      <c r="AT345" s="213"/>
      <c r="AU345" s="213"/>
    </row>
    <row r="346" spans="40:47" s="121" customFormat="1" hidden="1">
      <c r="AN346" s="239"/>
      <c r="AO346" s="225"/>
      <c r="AP346" s="260"/>
      <c r="AQ346" s="258"/>
      <c r="AR346" s="258"/>
      <c r="AS346" s="202"/>
      <c r="AT346" s="213"/>
      <c r="AU346" s="213"/>
    </row>
    <row r="347" spans="40:47" s="121" customFormat="1" hidden="1">
      <c r="AN347" s="239"/>
      <c r="AO347" s="225"/>
      <c r="AP347" s="260"/>
      <c r="AQ347" s="258"/>
      <c r="AR347" s="258"/>
      <c r="AS347" s="202"/>
      <c r="AT347" s="213"/>
      <c r="AU347" s="213"/>
    </row>
    <row r="348" spans="40:47" s="121" customFormat="1" hidden="1">
      <c r="AN348" s="239"/>
      <c r="AO348" s="225"/>
      <c r="AP348" s="260"/>
      <c r="AQ348" s="258"/>
      <c r="AR348" s="258"/>
      <c r="AS348" s="202"/>
      <c r="AT348" s="213"/>
      <c r="AU348" s="213"/>
    </row>
    <row r="349" spans="40:47" s="121" customFormat="1" hidden="1">
      <c r="AN349" s="239"/>
      <c r="AO349" s="225"/>
      <c r="AP349" s="260"/>
      <c r="AQ349" s="258"/>
      <c r="AR349" s="258"/>
      <c r="AS349" s="202"/>
      <c r="AT349" s="213"/>
      <c r="AU349" s="213"/>
    </row>
    <row r="350" spans="40:47" s="121" customFormat="1" hidden="1">
      <c r="AN350" s="239"/>
      <c r="AO350" s="225"/>
      <c r="AP350" s="260"/>
      <c r="AQ350" s="258"/>
      <c r="AR350" s="258"/>
      <c r="AS350" s="202"/>
      <c r="AT350" s="213"/>
      <c r="AU350" s="213"/>
    </row>
    <row r="351" spans="40:47" s="121" customFormat="1" hidden="1">
      <c r="AN351" s="239"/>
      <c r="AO351" s="225"/>
      <c r="AP351" s="260"/>
      <c r="AQ351" s="258"/>
      <c r="AR351" s="258"/>
      <c r="AS351" s="202"/>
      <c r="AT351" s="213"/>
      <c r="AU351" s="213"/>
    </row>
    <row r="352" spans="40:47" s="121" customFormat="1" hidden="1">
      <c r="AN352" s="239"/>
      <c r="AO352" s="225"/>
      <c r="AP352" s="260"/>
      <c r="AQ352" s="258"/>
      <c r="AR352" s="258"/>
      <c r="AS352" s="202"/>
      <c r="AT352" s="213"/>
      <c r="AU352" s="213"/>
    </row>
    <row r="353" spans="40:47" s="121" customFormat="1" hidden="1">
      <c r="AN353" s="239"/>
      <c r="AO353" s="225"/>
      <c r="AP353" s="260"/>
      <c r="AQ353" s="258"/>
      <c r="AR353" s="258"/>
      <c r="AS353" s="202"/>
      <c r="AT353" s="213"/>
      <c r="AU353" s="213"/>
    </row>
    <row r="354" spans="40:47" s="121" customFormat="1" hidden="1">
      <c r="AN354" s="239"/>
      <c r="AO354" s="225"/>
      <c r="AP354" s="260"/>
      <c r="AQ354" s="258"/>
      <c r="AR354" s="258"/>
      <c r="AS354" s="202"/>
      <c r="AT354" s="213"/>
      <c r="AU354" s="213"/>
    </row>
    <row r="355" spans="40:47" s="121" customFormat="1" hidden="1">
      <c r="AN355" s="239"/>
      <c r="AO355" s="225"/>
      <c r="AP355" s="260"/>
      <c r="AQ355" s="258"/>
      <c r="AR355" s="258"/>
      <c r="AS355" s="202"/>
      <c r="AT355" s="213"/>
      <c r="AU355" s="213"/>
    </row>
    <row r="356" spans="40:47" s="121" customFormat="1" hidden="1">
      <c r="AN356" s="239"/>
      <c r="AO356" s="225"/>
      <c r="AP356" s="260"/>
      <c r="AQ356" s="258"/>
      <c r="AR356" s="258"/>
      <c r="AS356" s="202"/>
      <c r="AT356" s="213"/>
      <c r="AU356" s="213"/>
    </row>
    <row r="357" spans="40:47" s="121" customFormat="1" hidden="1">
      <c r="AN357" s="239"/>
      <c r="AO357" s="225"/>
      <c r="AP357" s="260"/>
      <c r="AQ357" s="258"/>
      <c r="AR357" s="258"/>
      <c r="AS357" s="202"/>
      <c r="AT357" s="213"/>
      <c r="AU357" s="213"/>
    </row>
    <row r="358" spans="40:47" s="121" customFormat="1" hidden="1">
      <c r="AN358" s="239"/>
      <c r="AO358" s="225"/>
      <c r="AP358" s="260"/>
      <c r="AQ358" s="258"/>
      <c r="AR358" s="258"/>
      <c r="AS358" s="202"/>
      <c r="AT358" s="213"/>
      <c r="AU358" s="213"/>
    </row>
    <row r="359" spans="40:47" s="121" customFormat="1" hidden="1">
      <c r="AN359" s="239"/>
      <c r="AO359" s="225"/>
      <c r="AP359" s="260"/>
      <c r="AQ359" s="258"/>
      <c r="AR359" s="258"/>
      <c r="AS359" s="202"/>
      <c r="AT359" s="213"/>
      <c r="AU359" s="213"/>
    </row>
    <row r="360" spans="40:47" s="121" customFormat="1" hidden="1">
      <c r="AN360" s="239"/>
      <c r="AO360" s="225"/>
      <c r="AP360" s="260"/>
      <c r="AQ360" s="258"/>
      <c r="AR360" s="258"/>
      <c r="AS360" s="202"/>
      <c r="AT360" s="213"/>
      <c r="AU360" s="213"/>
    </row>
    <row r="361" spans="40:47" s="121" customFormat="1" hidden="1">
      <c r="AN361" s="239"/>
      <c r="AO361" s="225"/>
      <c r="AP361" s="260"/>
      <c r="AQ361" s="258"/>
      <c r="AR361" s="258"/>
      <c r="AS361" s="202"/>
      <c r="AT361" s="213"/>
      <c r="AU361" s="213"/>
    </row>
    <row r="362" spans="40:47" s="121" customFormat="1" hidden="1">
      <c r="AN362" s="239"/>
      <c r="AO362" s="225"/>
      <c r="AP362" s="260"/>
      <c r="AQ362" s="258"/>
      <c r="AR362" s="258"/>
      <c r="AS362" s="202"/>
      <c r="AT362" s="213"/>
      <c r="AU362" s="213"/>
    </row>
    <row r="363" spans="40:47" s="121" customFormat="1" hidden="1">
      <c r="AN363" s="239"/>
      <c r="AO363" s="225"/>
      <c r="AP363" s="260"/>
      <c r="AQ363" s="258"/>
      <c r="AR363" s="258"/>
      <c r="AS363" s="202"/>
      <c r="AT363" s="213"/>
      <c r="AU363" s="213"/>
    </row>
    <row r="364" spans="40:47" s="121" customFormat="1" hidden="1">
      <c r="AN364" s="239"/>
      <c r="AO364" s="225"/>
      <c r="AP364" s="260"/>
      <c r="AQ364" s="258"/>
      <c r="AR364" s="258"/>
      <c r="AS364" s="202"/>
      <c r="AT364" s="213"/>
      <c r="AU364" s="213"/>
    </row>
    <row r="365" spans="40:47" s="121" customFormat="1" hidden="1">
      <c r="AN365" s="239"/>
      <c r="AO365" s="225"/>
      <c r="AP365" s="260"/>
      <c r="AQ365" s="258"/>
      <c r="AR365" s="258"/>
      <c r="AS365" s="202"/>
      <c r="AT365" s="213"/>
      <c r="AU365" s="213"/>
    </row>
    <row r="366" spans="40:47" s="121" customFormat="1" hidden="1">
      <c r="AN366" s="239"/>
      <c r="AO366" s="225"/>
      <c r="AP366" s="260"/>
      <c r="AQ366" s="258"/>
      <c r="AR366" s="258"/>
      <c r="AS366" s="202"/>
      <c r="AT366" s="213"/>
      <c r="AU366" s="213"/>
    </row>
    <row r="367" spans="40:47" s="121" customFormat="1" hidden="1">
      <c r="AN367" s="239"/>
      <c r="AO367" s="225"/>
      <c r="AP367" s="260"/>
      <c r="AQ367" s="258"/>
      <c r="AR367" s="258"/>
      <c r="AS367" s="202"/>
      <c r="AT367" s="213"/>
      <c r="AU367" s="213"/>
    </row>
    <row r="368" spans="40:47" s="121" customFormat="1" hidden="1">
      <c r="AN368" s="239"/>
      <c r="AO368" s="225"/>
      <c r="AP368" s="260"/>
      <c r="AQ368" s="258"/>
      <c r="AR368" s="258"/>
      <c r="AS368" s="202"/>
      <c r="AT368" s="213"/>
      <c r="AU368" s="213"/>
    </row>
    <row r="369" spans="40:47" s="121" customFormat="1" hidden="1">
      <c r="AN369" s="239"/>
      <c r="AO369" s="225"/>
      <c r="AP369" s="260"/>
      <c r="AQ369" s="258"/>
      <c r="AR369" s="258"/>
      <c r="AS369" s="202"/>
      <c r="AT369" s="213"/>
      <c r="AU369" s="213"/>
    </row>
    <row r="370" spans="40:47" s="121" customFormat="1" hidden="1">
      <c r="AN370" s="239"/>
      <c r="AO370" s="225"/>
      <c r="AP370" s="260"/>
      <c r="AQ370" s="258"/>
      <c r="AR370" s="258"/>
      <c r="AS370" s="202"/>
      <c r="AT370" s="213"/>
      <c r="AU370" s="213"/>
    </row>
    <row r="371" spans="40:47" s="121" customFormat="1" hidden="1">
      <c r="AN371" s="239"/>
      <c r="AO371" s="225"/>
      <c r="AP371" s="260"/>
      <c r="AQ371" s="258"/>
      <c r="AR371" s="258"/>
      <c r="AS371" s="202"/>
      <c r="AT371" s="213"/>
      <c r="AU371" s="213"/>
    </row>
    <row r="372" spans="40:47" s="121" customFormat="1" hidden="1">
      <c r="AN372" s="239"/>
      <c r="AO372" s="225"/>
      <c r="AP372" s="260"/>
      <c r="AQ372" s="258"/>
      <c r="AR372" s="258"/>
      <c r="AS372" s="202"/>
      <c r="AT372" s="213"/>
      <c r="AU372" s="213"/>
    </row>
    <row r="373" spans="40:47" s="121" customFormat="1" hidden="1">
      <c r="AN373" s="239"/>
      <c r="AO373" s="225"/>
      <c r="AP373" s="260"/>
      <c r="AQ373" s="258"/>
      <c r="AR373" s="258"/>
      <c r="AS373" s="202"/>
      <c r="AT373" s="213"/>
      <c r="AU373" s="213"/>
    </row>
    <row r="374" spans="40:47" s="121" customFormat="1" hidden="1">
      <c r="AN374" s="239"/>
      <c r="AO374" s="225"/>
      <c r="AP374" s="260"/>
      <c r="AQ374" s="258"/>
      <c r="AR374" s="258"/>
      <c r="AS374" s="202"/>
      <c r="AT374" s="213"/>
      <c r="AU374" s="213"/>
    </row>
    <row r="375" spans="40:47" s="121" customFormat="1" hidden="1">
      <c r="AN375" s="239"/>
      <c r="AO375" s="225"/>
      <c r="AP375" s="260"/>
      <c r="AQ375" s="258"/>
      <c r="AR375" s="258"/>
      <c r="AS375" s="202"/>
      <c r="AT375" s="213"/>
      <c r="AU375" s="213"/>
    </row>
    <row r="376" spans="40:47" s="121" customFormat="1" hidden="1">
      <c r="AN376" s="239"/>
      <c r="AO376" s="225"/>
      <c r="AP376" s="260"/>
      <c r="AQ376" s="258"/>
      <c r="AR376" s="258"/>
      <c r="AS376" s="202"/>
      <c r="AT376" s="213"/>
      <c r="AU376" s="213"/>
    </row>
    <row r="377" spans="40:47" s="121" customFormat="1" hidden="1">
      <c r="AN377" s="239"/>
      <c r="AO377" s="225"/>
      <c r="AP377" s="260"/>
      <c r="AQ377" s="258"/>
      <c r="AR377" s="258"/>
      <c r="AS377" s="202"/>
      <c r="AT377" s="213"/>
      <c r="AU377" s="213"/>
    </row>
    <row r="378" spans="40:47" s="121" customFormat="1" hidden="1">
      <c r="AN378" s="239"/>
      <c r="AO378" s="225"/>
      <c r="AP378" s="260"/>
      <c r="AQ378" s="258"/>
      <c r="AR378" s="258"/>
      <c r="AS378" s="202"/>
      <c r="AT378" s="213"/>
      <c r="AU378" s="213"/>
    </row>
    <row r="379" spans="40:47" s="121" customFormat="1" hidden="1">
      <c r="AN379" s="239"/>
      <c r="AO379" s="225"/>
      <c r="AP379" s="260"/>
      <c r="AQ379" s="258"/>
      <c r="AR379" s="258"/>
      <c r="AS379" s="202"/>
      <c r="AT379" s="213"/>
      <c r="AU379" s="213"/>
    </row>
    <row r="380" spans="40:47" s="121" customFormat="1" hidden="1">
      <c r="AN380" s="239"/>
      <c r="AO380" s="225"/>
      <c r="AP380" s="260"/>
      <c r="AQ380" s="258"/>
      <c r="AR380" s="258"/>
      <c r="AS380" s="202"/>
      <c r="AT380" s="213"/>
      <c r="AU380" s="213"/>
    </row>
    <row r="381" spans="40:47" s="121" customFormat="1" hidden="1">
      <c r="AN381" s="239"/>
      <c r="AO381" s="225"/>
      <c r="AP381" s="260"/>
      <c r="AQ381" s="258"/>
      <c r="AR381" s="258"/>
      <c r="AS381" s="202"/>
      <c r="AT381" s="213"/>
      <c r="AU381" s="213"/>
    </row>
    <row r="382" spans="40:47" s="121" customFormat="1" hidden="1">
      <c r="AN382" s="239"/>
      <c r="AO382" s="225"/>
      <c r="AP382" s="260"/>
      <c r="AQ382" s="258"/>
      <c r="AR382" s="258"/>
      <c r="AS382" s="202"/>
      <c r="AT382" s="213"/>
      <c r="AU382" s="213"/>
    </row>
    <row r="383" spans="40:47" s="121" customFormat="1" hidden="1">
      <c r="AN383" s="239"/>
      <c r="AO383" s="225"/>
      <c r="AP383" s="260"/>
      <c r="AQ383" s="258"/>
      <c r="AR383" s="258"/>
      <c r="AS383" s="202"/>
      <c r="AT383" s="213"/>
      <c r="AU383" s="213"/>
    </row>
    <row r="384" spans="40:47" s="121" customFormat="1" hidden="1">
      <c r="AN384" s="239"/>
      <c r="AO384" s="225"/>
      <c r="AP384" s="260"/>
      <c r="AQ384" s="258"/>
      <c r="AR384" s="258"/>
      <c r="AS384" s="202"/>
      <c r="AT384" s="213"/>
      <c r="AU384" s="213"/>
    </row>
    <row r="385" spans="40:47" s="121" customFormat="1" hidden="1">
      <c r="AN385" s="239"/>
      <c r="AO385" s="225"/>
      <c r="AP385" s="260"/>
      <c r="AQ385" s="258"/>
      <c r="AR385" s="258"/>
      <c r="AS385" s="202"/>
      <c r="AT385" s="213"/>
      <c r="AU385" s="213"/>
    </row>
    <row r="386" spans="40:47" s="121" customFormat="1" hidden="1">
      <c r="AN386" s="239"/>
      <c r="AO386" s="225"/>
      <c r="AP386" s="260"/>
      <c r="AQ386" s="258"/>
      <c r="AR386" s="258"/>
      <c r="AS386" s="202"/>
      <c r="AT386" s="213"/>
      <c r="AU386" s="213"/>
    </row>
    <row r="387" spans="40:47" s="121" customFormat="1" hidden="1">
      <c r="AN387" s="239"/>
      <c r="AO387" s="225"/>
      <c r="AP387" s="260"/>
      <c r="AQ387" s="258"/>
      <c r="AR387" s="258"/>
      <c r="AS387" s="202"/>
      <c r="AT387" s="213"/>
      <c r="AU387" s="213"/>
    </row>
    <row r="388" spans="40:47" s="121" customFormat="1" hidden="1">
      <c r="AN388" s="239"/>
      <c r="AO388" s="225"/>
      <c r="AP388" s="260"/>
      <c r="AQ388" s="258"/>
      <c r="AR388" s="258"/>
      <c r="AS388" s="202"/>
      <c r="AT388" s="213"/>
      <c r="AU388" s="213"/>
    </row>
    <row r="389" spans="40:47" s="121" customFormat="1" hidden="1">
      <c r="AN389" s="239"/>
      <c r="AO389" s="225"/>
      <c r="AP389" s="260"/>
      <c r="AQ389" s="258"/>
      <c r="AR389" s="258"/>
      <c r="AS389" s="202"/>
      <c r="AT389" s="213"/>
      <c r="AU389" s="213"/>
    </row>
    <row r="390" spans="40:47" s="121" customFormat="1" hidden="1">
      <c r="AN390" s="239"/>
      <c r="AO390" s="225"/>
      <c r="AP390" s="260"/>
      <c r="AQ390" s="258"/>
      <c r="AR390" s="258"/>
      <c r="AS390" s="202"/>
      <c r="AT390" s="213"/>
      <c r="AU390" s="213"/>
    </row>
    <row r="391" spans="40:47" s="121" customFormat="1" hidden="1">
      <c r="AN391" s="239"/>
      <c r="AO391" s="225"/>
      <c r="AP391" s="260"/>
      <c r="AQ391" s="258"/>
      <c r="AR391" s="258"/>
      <c r="AS391" s="202"/>
      <c r="AT391" s="213"/>
      <c r="AU391" s="213"/>
    </row>
    <row r="392" spans="40:47" s="121" customFormat="1" hidden="1">
      <c r="AN392" s="239"/>
      <c r="AO392" s="225"/>
      <c r="AP392" s="260"/>
      <c r="AQ392" s="258"/>
      <c r="AR392" s="258"/>
      <c r="AS392" s="202"/>
      <c r="AT392" s="213"/>
      <c r="AU392" s="213"/>
    </row>
    <row r="393" spans="40:47" s="121" customFormat="1" hidden="1">
      <c r="AN393" s="239"/>
      <c r="AO393" s="225"/>
      <c r="AP393" s="260"/>
      <c r="AQ393" s="258"/>
      <c r="AR393" s="258"/>
      <c r="AS393" s="202"/>
      <c r="AT393" s="213"/>
      <c r="AU393" s="213"/>
    </row>
    <row r="394" spans="40:47" s="121" customFormat="1" hidden="1">
      <c r="AN394" s="239"/>
      <c r="AO394" s="225"/>
      <c r="AP394" s="260"/>
      <c r="AQ394" s="258"/>
      <c r="AR394" s="258"/>
      <c r="AS394" s="202"/>
      <c r="AT394" s="213"/>
      <c r="AU394" s="213"/>
    </row>
    <row r="395" spans="40:47" s="121" customFormat="1" hidden="1">
      <c r="AN395" s="239"/>
      <c r="AO395" s="225"/>
      <c r="AP395" s="260"/>
      <c r="AQ395" s="258"/>
      <c r="AR395" s="258"/>
      <c r="AS395" s="202"/>
      <c r="AT395" s="213"/>
      <c r="AU395" s="213"/>
    </row>
    <row r="396" spans="40:47" s="121" customFormat="1" hidden="1">
      <c r="AN396" s="239"/>
      <c r="AO396" s="225"/>
      <c r="AP396" s="260"/>
      <c r="AQ396" s="258"/>
      <c r="AR396" s="258"/>
      <c r="AS396" s="202"/>
      <c r="AT396" s="213"/>
      <c r="AU396" s="213"/>
    </row>
    <row r="397" spans="40:47" s="121" customFormat="1" hidden="1">
      <c r="AN397" s="239"/>
      <c r="AO397" s="225"/>
      <c r="AP397" s="260"/>
      <c r="AQ397" s="258"/>
      <c r="AR397" s="258"/>
      <c r="AS397" s="202"/>
      <c r="AT397" s="213"/>
      <c r="AU397" s="213"/>
    </row>
    <row r="398" spans="40:47" s="121" customFormat="1" hidden="1">
      <c r="AN398" s="239"/>
      <c r="AO398" s="225"/>
      <c r="AP398" s="260"/>
      <c r="AQ398" s="258"/>
      <c r="AR398" s="258"/>
      <c r="AS398" s="202"/>
      <c r="AT398" s="213"/>
      <c r="AU398" s="213"/>
    </row>
    <row r="399" spans="40:47" s="121" customFormat="1" hidden="1">
      <c r="AN399" s="239"/>
      <c r="AO399" s="225"/>
      <c r="AP399" s="260"/>
      <c r="AQ399" s="258"/>
      <c r="AR399" s="258"/>
      <c r="AS399" s="202"/>
      <c r="AT399" s="213"/>
      <c r="AU399" s="213"/>
    </row>
    <row r="400" spans="40:47" s="121" customFormat="1" hidden="1">
      <c r="AN400" s="239"/>
      <c r="AO400" s="225"/>
      <c r="AP400" s="260"/>
      <c r="AQ400" s="258"/>
      <c r="AR400" s="258"/>
      <c r="AS400" s="202"/>
      <c r="AT400" s="213"/>
      <c r="AU400" s="213"/>
    </row>
    <row r="401" spans="40:47" s="121" customFormat="1" hidden="1">
      <c r="AN401" s="239"/>
      <c r="AO401" s="225"/>
      <c r="AP401" s="260"/>
      <c r="AQ401" s="258"/>
      <c r="AR401" s="258"/>
      <c r="AS401" s="202"/>
      <c r="AT401" s="213"/>
      <c r="AU401" s="213"/>
    </row>
    <row r="402" spans="40:47" s="121" customFormat="1" hidden="1">
      <c r="AN402" s="239"/>
      <c r="AO402" s="225"/>
      <c r="AP402" s="260"/>
      <c r="AQ402" s="258"/>
      <c r="AR402" s="258"/>
      <c r="AS402" s="202"/>
      <c r="AT402" s="213"/>
      <c r="AU402" s="213"/>
    </row>
    <row r="403" spans="40:47" s="121" customFormat="1" hidden="1">
      <c r="AN403" s="239"/>
      <c r="AO403" s="225"/>
      <c r="AP403" s="260"/>
      <c r="AQ403" s="258"/>
      <c r="AR403" s="258"/>
      <c r="AS403" s="202"/>
      <c r="AT403" s="213"/>
      <c r="AU403" s="213"/>
    </row>
    <row r="404" spans="40:47" s="121" customFormat="1" hidden="1">
      <c r="AN404" s="239"/>
      <c r="AO404" s="225"/>
      <c r="AP404" s="260"/>
      <c r="AQ404" s="258"/>
      <c r="AR404" s="258"/>
      <c r="AS404" s="202"/>
      <c r="AT404" s="213"/>
      <c r="AU404" s="213"/>
    </row>
    <row r="405" spans="40:47" s="121" customFormat="1" hidden="1">
      <c r="AN405" s="239"/>
      <c r="AO405" s="225"/>
      <c r="AP405" s="260"/>
      <c r="AQ405" s="258"/>
      <c r="AR405" s="258"/>
      <c r="AS405" s="202"/>
      <c r="AT405" s="213"/>
      <c r="AU405" s="213"/>
    </row>
    <row r="406" spans="40:47" s="121" customFormat="1" hidden="1">
      <c r="AN406" s="239"/>
      <c r="AO406" s="225"/>
      <c r="AP406" s="260"/>
      <c r="AQ406" s="258"/>
      <c r="AR406" s="258"/>
      <c r="AS406" s="202"/>
      <c r="AT406" s="213"/>
      <c r="AU406" s="213"/>
    </row>
    <row r="407" spans="40:47" s="121" customFormat="1" hidden="1">
      <c r="AN407" s="239"/>
      <c r="AO407" s="225"/>
      <c r="AP407" s="260"/>
      <c r="AQ407" s="258"/>
      <c r="AR407" s="258"/>
      <c r="AS407" s="202"/>
      <c r="AT407" s="213"/>
      <c r="AU407" s="213"/>
    </row>
    <row r="408" spans="40:47" s="121" customFormat="1" hidden="1">
      <c r="AN408" s="239"/>
      <c r="AO408" s="225"/>
      <c r="AP408" s="260"/>
      <c r="AQ408" s="258"/>
      <c r="AR408" s="258"/>
      <c r="AS408" s="202"/>
      <c r="AT408" s="213"/>
      <c r="AU408" s="213"/>
    </row>
    <row r="409" spans="40:47" s="121" customFormat="1" hidden="1">
      <c r="AN409" s="239"/>
      <c r="AO409" s="225"/>
      <c r="AP409" s="260"/>
      <c r="AQ409" s="258"/>
      <c r="AR409" s="258"/>
      <c r="AS409" s="202"/>
      <c r="AT409" s="213"/>
      <c r="AU409" s="213"/>
    </row>
    <row r="410" spans="40:47" s="121" customFormat="1" hidden="1">
      <c r="AN410" s="239"/>
      <c r="AO410" s="225"/>
      <c r="AP410" s="260"/>
      <c r="AQ410" s="258"/>
      <c r="AR410" s="258"/>
      <c r="AS410" s="202"/>
      <c r="AT410" s="213"/>
      <c r="AU410" s="213"/>
    </row>
    <row r="411" spans="40:47" s="121" customFormat="1" hidden="1">
      <c r="AN411" s="239"/>
      <c r="AO411" s="225"/>
      <c r="AP411" s="260"/>
      <c r="AQ411" s="258"/>
      <c r="AR411" s="258"/>
      <c r="AS411" s="202"/>
      <c r="AT411" s="213"/>
      <c r="AU411" s="213"/>
    </row>
    <row r="412" spans="40:47" s="121" customFormat="1" hidden="1">
      <c r="AN412" s="239"/>
      <c r="AO412" s="225"/>
      <c r="AP412" s="260"/>
      <c r="AQ412" s="258"/>
      <c r="AR412" s="258"/>
      <c r="AS412" s="202"/>
      <c r="AT412" s="213"/>
      <c r="AU412" s="213"/>
    </row>
    <row r="413" spans="40:47" s="121" customFormat="1" hidden="1">
      <c r="AN413" s="239"/>
      <c r="AO413" s="225"/>
      <c r="AP413" s="260"/>
      <c r="AQ413" s="258"/>
      <c r="AR413" s="258"/>
      <c r="AS413" s="202"/>
      <c r="AT413" s="213"/>
      <c r="AU413" s="213"/>
    </row>
    <row r="414" spans="40:47" s="121" customFormat="1" hidden="1">
      <c r="AN414" s="239"/>
      <c r="AO414" s="225"/>
      <c r="AP414" s="260"/>
      <c r="AQ414" s="258"/>
      <c r="AR414" s="258"/>
      <c r="AS414" s="202"/>
      <c r="AT414" s="213"/>
      <c r="AU414" s="213"/>
    </row>
    <row r="415" spans="40:47" s="121" customFormat="1" hidden="1">
      <c r="AN415" s="239"/>
      <c r="AO415" s="225"/>
      <c r="AP415" s="260"/>
      <c r="AQ415" s="258"/>
      <c r="AR415" s="258"/>
      <c r="AS415" s="202"/>
      <c r="AT415" s="213"/>
      <c r="AU415" s="213"/>
    </row>
    <row r="416" spans="40:47" s="121" customFormat="1" hidden="1">
      <c r="AN416" s="239"/>
      <c r="AO416" s="225"/>
      <c r="AP416" s="260"/>
      <c r="AQ416" s="258"/>
      <c r="AR416" s="258"/>
      <c r="AS416" s="202"/>
      <c r="AT416" s="213"/>
      <c r="AU416" s="213"/>
    </row>
    <row r="417" spans="40:47" s="121" customFormat="1" hidden="1">
      <c r="AN417" s="239"/>
      <c r="AO417" s="225"/>
      <c r="AP417" s="260"/>
      <c r="AQ417" s="258"/>
      <c r="AR417" s="258"/>
      <c r="AS417" s="202"/>
      <c r="AT417" s="213"/>
      <c r="AU417" s="213"/>
    </row>
    <row r="418" spans="40:47" s="121" customFormat="1" hidden="1">
      <c r="AN418" s="239"/>
      <c r="AO418" s="225"/>
      <c r="AP418" s="260"/>
      <c r="AQ418" s="258"/>
      <c r="AR418" s="258"/>
      <c r="AS418" s="202"/>
      <c r="AT418" s="213"/>
      <c r="AU418" s="213"/>
    </row>
    <row r="419" spans="40:47" s="121" customFormat="1" hidden="1">
      <c r="AN419" s="239"/>
      <c r="AO419" s="225"/>
      <c r="AP419" s="260"/>
      <c r="AQ419" s="258"/>
      <c r="AR419" s="258"/>
      <c r="AS419" s="202"/>
      <c r="AT419" s="213"/>
      <c r="AU419" s="213"/>
    </row>
    <row r="420" spans="40:47" s="121" customFormat="1" hidden="1">
      <c r="AN420" s="239"/>
      <c r="AO420" s="225"/>
      <c r="AP420" s="260"/>
      <c r="AQ420" s="258"/>
      <c r="AR420" s="258"/>
      <c r="AS420" s="202"/>
      <c r="AT420" s="213"/>
      <c r="AU420" s="213"/>
    </row>
    <row r="421" spans="40:47" s="121" customFormat="1" hidden="1">
      <c r="AN421" s="239"/>
      <c r="AO421" s="225"/>
      <c r="AP421" s="260"/>
      <c r="AQ421" s="258"/>
      <c r="AR421" s="258"/>
      <c r="AS421" s="202"/>
      <c r="AT421" s="213"/>
      <c r="AU421" s="213"/>
    </row>
    <row r="422" spans="40:47" s="121" customFormat="1" hidden="1">
      <c r="AN422" s="239"/>
      <c r="AO422" s="225"/>
      <c r="AP422" s="260"/>
      <c r="AQ422" s="258"/>
      <c r="AR422" s="258"/>
      <c r="AS422" s="202"/>
      <c r="AT422" s="213"/>
      <c r="AU422" s="213"/>
    </row>
    <row r="423" spans="40:47" s="121" customFormat="1" hidden="1">
      <c r="AN423" s="239"/>
      <c r="AO423" s="225"/>
      <c r="AP423" s="260"/>
      <c r="AQ423" s="258"/>
      <c r="AR423" s="258"/>
      <c r="AS423" s="202"/>
      <c r="AT423" s="213"/>
      <c r="AU423" s="213"/>
    </row>
    <row r="424" spans="40:47" s="121" customFormat="1" hidden="1">
      <c r="AN424" s="239"/>
      <c r="AO424" s="225"/>
      <c r="AP424" s="260"/>
      <c r="AQ424" s="258"/>
      <c r="AR424" s="258"/>
      <c r="AS424" s="202"/>
      <c r="AT424" s="213"/>
      <c r="AU424" s="213"/>
    </row>
    <row r="425" spans="40:47" s="121" customFormat="1" hidden="1">
      <c r="AN425" s="239"/>
      <c r="AO425" s="225"/>
      <c r="AP425" s="260"/>
      <c r="AQ425" s="258"/>
      <c r="AR425" s="258"/>
      <c r="AS425" s="202"/>
      <c r="AT425" s="213"/>
      <c r="AU425" s="213"/>
    </row>
    <row r="426" spans="40:47" s="121" customFormat="1" hidden="1">
      <c r="AN426" s="239"/>
      <c r="AO426" s="225"/>
      <c r="AP426" s="260"/>
      <c r="AQ426" s="258"/>
      <c r="AR426" s="258"/>
      <c r="AS426" s="202"/>
      <c r="AT426" s="213"/>
      <c r="AU426" s="213"/>
    </row>
    <row r="427" spans="40:47" s="121" customFormat="1" hidden="1">
      <c r="AN427" s="239"/>
      <c r="AO427" s="225"/>
      <c r="AP427" s="260"/>
      <c r="AQ427" s="258"/>
      <c r="AR427" s="258"/>
      <c r="AS427" s="202"/>
      <c r="AT427" s="213"/>
      <c r="AU427" s="213"/>
    </row>
    <row r="428" spans="40:47" s="121" customFormat="1" hidden="1">
      <c r="AN428" s="239"/>
      <c r="AO428" s="225"/>
      <c r="AP428" s="260"/>
      <c r="AQ428" s="258"/>
      <c r="AR428" s="258"/>
      <c r="AS428" s="202"/>
      <c r="AT428" s="213"/>
      <c r="AU428" s="213"/>
    </row>
    <row r="429" spans="40:47" s="121" customFormat="1" hidden="1">
      <c r="AN429" s="239"/>
      <c r="AO429" s="225"/>
      <c r="AP429" s="260"/>
      <c r="AQ429" s="258"/>
      <c r="AR429" s="258"/>
      <c r="AS429" s="202"/>
      <c r="AT429" s="213"/>
      <c r="AU429" s="213"/>
    </row>
    <row r="430" spans="40:47" s="121" customFormat="1" hidden="1">
      <c r="AN430" s="239"/>
      <c r="AO430" s="225"/>
      <c r="AP430" s="260"/>
      <c r="AQ430" s="258"/>
      <c r="AR430" s="258"/>
      <c r="AS430" s="202"/>
      <c r="AT430" s="213"/>
      <c r="AU430" s="213"/>
    </row>
    <row r="431" spans="40:47" s="121" customFormat="1" hidden="1">
      <c r="AN431" s="239"/>
      <c r="AO431" s="225"/>
      <c r="AP431" s="260"/>
      <c r="AQ431" s="258"/>
      <c r="AR431" s="258"/>
      <c r="AS431" s="202"/>
      <c r="AT431" s="213"/>
      <c r="AU431" s="213"/>
    </row>
    <row r="432" spans="40:47" s="121" customFormat="1" hidden="1">
      <c r="AN432" s="239"/>
      <c r="AO432" s="225"/>
      <c r="AP432" s="260"/>
      <c r="AQ432" s="258"/>
      <c r="AR432" s="258"/>
      <c r="AS432" s="202"/>
      <c r="AT432" s="213"/>
      <c r="AU432" s="213"/>
    </row>
    <row r="433" spans="40:47" s="121" customFormat="1" hidden="1">
      <c r="AN433" s="239"/>
      <c r="AO433" s="225"/>
      <c r="AP433" s="260"/>
      <c r="AQ433" s="258"/>
      <c r="AR433" s="258"/>
      <c r="AS433" s="202"/>
      <c r="AT433" s="213"/>
      <c r="AU433" s="213"/>
    </row>
    <row r="434" spans="40:47" s="121" customFormat="1" hidden="1">
      <c r="AN434" s="239"/>
      <c r="AO434" s="225"/>
      <c r="AP434" s="260"/>
      <c r="AQ434" s="258"/>
      <c r="AR434" s="258"/>
      <c r="AS434" s="202"/>
      <c r="AT434" s="213"/>
      <c r="AU434" s="213"/>
    </row>
    <row r="435" spans="40:47" s="121" customFormat="1" hidden="1">
      <c r="AN435" s="239"/>
      <c r="AO435" s="225"/>
      <c r="AP435" s="260"/>
      <c r="AQ435" s="258"/>
      <c r="AR435" s="258"/>
      <c r="AS435" s="202"/>
      <c r="AT435" s="213"/>
      <c r="AU435" s="213"/>
    </row>
    <row r="436" spans="40:47" s="121" customFormat="1" hidden="1">
      <c r="AN436" s="239"/>
      <c r="AO436" s="225"/>
      <c r="AP436" s="260"/>
      <c r="AQ436" s="258"/>
      <c r="AR436" s="258"/>
      <c r="AS436" s="202"/>
      <c r="AT436" s="213"/>
      <c r="AU436" s="213"/>
    </row>
    <row r="437" spans="40:47" s="121" customFormat="1" hidden="1">
      <c r="AN437" s="239"/>
      <c r="AO437" s="225"/>
      <c r="AP437" s="260"/>
      <c r="AQ437" s="258"/>
      <c r="AR437" s="258"/>
      <c r="AS437" s="202"/>
      <c r="AT437" s="213"/>
      <c r="AU437" s="213"/>
    </row>
    <row r="438" spans="40:47" s="121" customFormat="1" hidden="1">
      <c r="AN438" s="239"/>
      <c r="AO438" s="225"/>
      <c r="AP438" s="260"/>
      <c r="AQ438" s="258"/>
      <c r="AR438" s="258"/>
      <c r="AS438" s="202"/>
      <c r="AT438" s="213"/>
      <c r="AU438" s="213"/>
    </row>
    <row r="439" spans="40:47" s="121" customFormat="1" hidden="1">
      <c r="AN439" s="239"/>
      <c r="AO439" s="225"/>
      <c r="AP439" s="260"/>
      <c r="AQ439" s="258"/>
      <c r="AR439" s="258"/>
      <c r="AS439" s="202"/>
      <c r="AT439" s="213"/>
      <c r="AU439" s="213"/>
    </row>
    <row r="440" spans="40:47" s="121" customFormat="1" hidden="1">
      <c r="AN440" s="239"/>
      <c r="AO440" s="225"/>
      <c r="AP440" s="260"/>
      <c r="AQ440" s="258"/>
      <c r="AR440" s="258"/>
      <c r="AS440" s="202"/>
      <c r="AT440" s="213"/>
      <c r="AU440" s="213"/>
    </row>
    <row r="441" spans="40:47" s="121" customFormat="1" hidden="1">
      <c r="AN441" s="239"/>
      <c r="AO441" s="225"/>
      <c r="AP441" s="260"/>
      <c r="AQ441" s="258"/>
      <c r="AR441" s="258"/>
      <c r="AS441" s="202"/>
      <c r="AT441" s="213"/>
      <c r="AU441" s="213"/>
    </row>
    <row r="442" spans="40:47" s="121" customFormat="1" hidden="1">
      <c r="AN442" s="239"/>
      <c r="AO442" s="225"/>
      <c r="AP442" s="260"/>
      <c r="AQ442" s="258"/>
      <c r="AR442" s="258"/>
      <c r="AS442" s="202"/>
      <c r="AT442" s="213"/>
      <c r="AU442" s="213"/>
    </row>
    <row r="443" spans="40:47" s="121" customFormat="1" hidden="1">
      <c r="AN443" s="239"/>
      <c r="AO443" s="225"/>
      <c r="AP443" s="260"/>
      <c r="AQ443" s="258"/>
      <c r="AR443" s="258"/>
      <c r="AS443" s="202"/>
      <c r="AT443" s="213"/>
      <c r="AU443" s="213"/>
    </row>
    <row r="444" spans="40:47" s="121" customFormat="1" hidden="1">
      <c r="AN444" s="239"/>
      <c r="AO444" s="225"/>
      <c r="AP444" s="260"/>
      <c r="AQ444" s="258"/>
      <c r="AR444" s="258"/>
      <c r="AS444" s="202"/>
      <c r="AT444" s="213"/>
      <c r="AU444" s="213"/>
    </row>
    <row r="445" spans="40:47" s="121" customFormat="1" hidden="1">
      <c r="AN445" s="239"/>
      <c r="AO445" s="225"/>
      <c r="AP445" s="260"/>
      <c r="AQ445" s="258"/>
      <c r="AR445" s="258"/>
      <c r="AS445" s="202"/>
      <c r="AT445" s="213"/>
      <c r="AU445" s="213"/>
    </row>
    <row r="446" spans="40:47" s="121" customFormat="1" hidden="1">
      <c r="AN446" s="239"/>
      <c r="AO446" s="225"/>
      <c r="AP446" s="260"/>
      <c r="AQ446" s="258"/>
      <c r="AR446" s="258"/>
      <c r="AS446" s="202"/>
      <c r="AT446" s="213"/>
      <c r="AU446" s="213"/>
    </row>
    <row r="447" spans="40:47" s="121" customFormat="1" hidden="1">
      <c r="AN447" s="239"/>
      <c r="AO447" s="225"/>
      <c r="AP447" s="260"/>
      <c r="AQ447" s="258"/>
      <c r="AR447" s="258"/>
      <c r="AS447" s="202"/>
      <c r="AT447" s="213"/>
      <c r="AU447" s="213"/>
    </row>
    <row r="448" spans="40:47" s="121" customFormat="1" hidden="1">
      <c r="AN448" s="239"/>
      <c r="AO448" s="225"/>
      <c r="AP448" s="260"/>
      <c r="AQ448" s="258"/>
      <c r="AR448" s="258"/>
      <c r="AS448" s="202"/>
      <c r="AT448" s="213"/>
      <c r="AU448" s="213"/>
    </row>
    <row r="449" spans="40:47" s="121" customFormat="1" hidden="1">
      <c r="AN449" s="239"/>
      <c r="AO449" s="225"/>
      <c r="AP449" s="260"/>
      <c r="AQ449" s="258"/>
      <c r="AR449" s="258"/>
      <c r="AS449" s="202"/>
      <c r="AT449" s="213"/>
      <c r="AU449" s="213"/>
    </row>
    <row r="450" spans="40:47" s="121" customFormat="1" hidden="1">
      <c r="AN450" s="239"/>
      <c r="AO450" s="225"/>
      <c r="AP450" s="260"/>
      <c r="AQ450" s="258"/>
      <c r="AR450" s="258"/>
      <c r="AS450" s="202"/>
      <c r="AT450" s="213"/>
      <c r="AU450" s="213"/>
    </row>
    <row r="451" spans="40:47" s="121" customFormat="1" hidden="1">
      <c r="AN451" s="239"/>
      <c r="AO451" s="225"/>
      <c r="AP451" s="260"/>
      <c r="AQ451" s="258"/>
      <c r="AR451" s="258"/>
      <c r="AS451" s="202"/>
      <c r="AT451" s="213"/>
      <c r="AU451" s="213"/>
    </row>
    <row r="452" spans="40:47" s="121" customFormat="1" hidden="1">
      <c r="AN452" s="239"/>
      <c r="AO452" s="225"/>
      <c r="AP452" s="260"/>
      <c r="AQ452" s="258"/>
      <c r="AR452" s="258"/>
      <c r="AS452" s="202"/>
      <c r="AT452" s="213"/>
      <c r="AU452" s="213"/>
    </row>
    <row r="453" spans="40:47" s="121" customFormat="1" hidden="1">
      <c r="AN453" s="239"/>
      <c r="AO453" s="225"/>
      <c r="AP453" s="260"/>
      <c r="AQ453" s="258"/>
      <c r="AR453" s="258"/>
      <c r="AS453" s="202"/>
      <c r="AT453" s="213"/>
      <c r="AU453" s="213"/>
    </row>
    <row r="454" spans="40:47" s="121" customFormat="1" hidden="1">
      <c r="AN454" s="239"/>
      <c r="AO454" s="225"/>
      <c r="AP454" s="260"/>
      <c r="AQ454" s="258"/>
      <c r="AR454" s="258"/>
      <c r="AS454" s="202"/>
      <c r="AT454" s="213"/>
      <c r="AU454" s="213"/>
    </row>
    <row r="455" spans="40:47" s="121" customFormat="1" hidden="1">
      <c r="AN455" s="239"/>
      <c r="AO455" s="225"/>
      <c r="AP455" s="260"/>
      <c r="AQ455" s="258"/>
      <c r="AR455" s="258"/>
      <c r="AS455" s="202"/>
      <c r="AT455" s="213"/>
      <c r="AU455" s="213"/>
    </row>
    <row r="456" spans="40:47" s="121" customFormat="1" hidden="1">
      <c r="AN456" s="239"/>
      <c r="AO456" s="225"/>
      <c r="AP456" s="260"/>
      <c r="AQ456" s="258"/>
      <c r="AR456" s="258"/>
      <c r="AS456" s="202"/>
      <c r="AT456" s="213"/>
      <c r="AU456" s="213"/>
    </row>
    <row r="457" spans="40:47" s="121" customFormat="1" hidden="1">
      <c r="AN457" s="239"/>
      <c r="AO457" s="225"/>
      <c r="AP457" s="260"/>
      <c r="AQ457" s="258"/>
      <c r="AR457" s="258"/>
      <c r="AS457" s="202"/>
      <c r="AT457" s="213"/>
      <c r="AU457" s="213"/>
    </row>
    <row r="458" spans="40:47" s="121" customFormat="1" hidden="1">
      <c r="AN458" s="239"/>
      <c r="AO458" s="225"/>
      <c r="AP458" s="260"/>
      <c r="AQ458" s="258"/>
      <c r="AR458" s="258"/>
      <c r="AS458" s="202"/>
      <c r="AT458" s="213"/>
      <c r="AU458" s="213"/>
    </row>
    <row r="459" spans="40:47" s="121" customFormat="1" hidden="1">
      <c r="AN459" s="239"/>
      <c r="AO459" s="225"/>
      <c r="AP459" s="260"/>
      <c r="AQ459" s="258"/>
      <c r="AR459" s="258"/>
      <c r="AS459" s="202"/>
      <c r="AT459" s="213"/>
      <c r="AU459" s="213"/>
    </row>
    <row r="460" spans="40:47" s="121" customFormat="1" hidden="1">
      <c r="AN460" s="239"/>
      <c r="AO460" s="225"/>
      <c r="AP460" s="260"/>
      <c r="AQ460" s="258"/>
      <c r="AR460" s="258"/>
      <c r="AS460" s="202"/>
      <c r="AT460" s="213"/>
      <c r="AU460" s="213"/>
    </row>
    <row r="461" spans="40:47" s="121" customFormat="1" hidden="1">
      <c r="AN461" s="239"/>
      <c r="AO461" s="225"/>
      <c r="AP461" s="260"/>
      <c r="AQ461" s="258"/>
      <c r="AR461" s="258"/>
      <c r="AS461" s="202"/>
      <c r="AT461" s="213"/>
      <c r="AU461" s="213"/>
    </row>
    <row r="462" spans="40:47" s="121" customFormat="1" hidden="1">
      <c r="AN462" s="239"/>
      <c r="AO462" s="225"/>
      <c r="AP462" s="260"/>
      <c r="AQ462" s="258"/>
      <c r="AR462" s="258"/>
      <c r="AS462" s="202"/>
      <c r="AT462" s="213"/>
      <c r="AU462" s="213"/>
    </row>
    <row r="463" spans="40:47" s="121" customFormat="1" hidden="1">
      <c r="AN463" s="239"/>
      <c r="AO463" s="225"/>
      <c r="AP463" s="260"/>
      <c r="AQ463" s="258"/>
      <c r="AR463" s="258"/>
      <c r="AS463" s="202"/>
      <c r="AT463" s="213"/>
      <c r="AU463" s="213"/>
    </row>
    <row r="464" spans="40:47" s="121" customFormat="1" hidden="1">
      <c r="AN464" s="239"/>
      <c r="AO464" s="225"/>
      <c r="AP464" s="260"/>
      <c r="AQ464" s="258"/>
      <c r="AR464" s="258"/>
      <c r="AS464" s="202"/>
      <c r="AT464" s="213"/>
      <c r="AU464" s="213"/>
    </row>
    <row r="465" spans="40:47" s="121" customFormat="1" hidden="1">
      <c r="AN465" s="239"/>
      <c r="AO465" s="225"/>
      <c r="AP465" s="260"/>
      <c r="AQ465" s="258"/>
      <c r="AR465" s="258"/>
      <c r="AS465" s="202"/>
      <c r="AT465" s="213"/>
      <c r="AU465" s="213"/>
    </row>
    <row r="466" spans="40:47" s="121" customFormat="1" hidden="1">
      <c r="AN466" s="239"/>
      <c r="AO466" s="225"/>
      <c r="AP466" s="260"/>
      <c r="AQ466" s="258"/>
      <c r="AR466" s="258"/>
      <c r="AS466" s="202"/>
      <c r="AT466" s="213"/>
      <c r="AU466" s="213"/>
    </row>
    <row r="467" spans="40:47" s="121" customFormat="1" hidden="1">
      <c r="AN467" s="239"/>
      <c r="AO467" s="225"/>
      <c r="AP467" s="260"/>
      <c r="AQ467" s="258"/>
      <c r="AR467" s="258"/>
      <c r="AS467" s="202"/>
      <c r="AT467" s="213"/>
      <c r="AU467" s="213"/>
    </row>
    <row r="468" spans="40:47" s="121" customFormat="1" hidden="1">
      <c r="AN468" s="239"/>
      <c r="AO468" s="225"/>
      <c r="AP468" s="260"/>
      <c r="AQ468" s="258"/>
      <c r="AR468" s="258"/>
      <c r="AS468" s="202"/>
      <c r="AT468" s="213"/>
      <c r="AU468" s="213"/>
    </row>
    <row r="469" spans="40:47" s="121" customFormat="1" hidden="1">
      <c r="AN469" s="239"/>
      <c r="AO469" s="225"/>
      <c r="AP469" s="260"/>
      <c r="AQ469" s="258"/>
      <c r="AR469" s="258"/>
      <c r="AS469" s="202"/>
      <c r="AT469" s="213"/>
      <c r="AU469" s="213"/>
    </row>
    <row r="470" spans="40:47" s="121" customFormat="1" hidden="1">
      <c r="AN470" s="239"/>
      <c r="AO470" s="225"/>
      <c r="AP470" s="260"/>
      <c r="AQ470" s="258"/>
      <c r="AR470" s="258"/>
      <c r="AS470" s="202"/>
      <c r="AT470" s="213"/>
      <c r="AU470" s="213"/>
    </row>
    <row r="471" spans="40:47" s="121" customFormat="1" hidden="1">
      <c r="AN471" s="239"/>
      <c r="AO471" s="225"/>
      <c r="AP471" s="260"/>
      <c r="AQ471" s="258"/>
      <c r="AR471" s="258"/>
      <c r="AS471" s="202"/>
      <c r="AT471" s="213"/>
      <c r="AU471" s="213"/>
    </row>
    <row r="472" spans="40:47" s="121" customFormat="1" hidden="1">
      <c r="AN472" s="239"/>
      <c r="AO472" s="225"/>
      <c r="AP472" s="260"/>
      <c r="AQ472" s="258"/>
      <c r="AR472" s="258"/>
      <c r="AS472" s="202"/>
      <c r="AT472" s="213"/>
      <c r="AU472" s="213"/>
    </row>
    <row r="473" spans="40:47" s="121" customFormat="1" hidden="1">
      <c r="AN473" s="239"/>
      <c r="AO473" s="225"/>
      <c r="AP473" s="260"/>
      <c r="AQ473" s="258"/>
      <c r="AR473" s="258"/>
      <c r="AS473" s="202"/>
      <c r="AT473" s="213"/>
      <c r="AU473" s="213"/>
    </row>
    <row r="474" spans="40:47" s="121" customFormat="1" hidden="1">
      <c r="AN474" s="239"/>
      <c r="AO474" s="225"/>
      <c r="AP474" s="260"/>
      <c r="AQ474" s="258"/>
      <c r="AR474" s="258"/>
      <c r="AS474" s="202"/>
      <c r="AT474" s="213"/>
      <c r="AU474" s="213"/>
    </row>
    <row r="475" spans="40:47" s="121" customFormat="1" hidden="1">
      <c r="AN475" s="239"/>
      <c r="AO475" s="225"/>
      <c r="AP475" s="260"/>
      <c r="AQ475" s="258"/>
      <c r="AR475" s="258"/>
      <c r="AS475" s="202"/>
      <c r="AT475" s="213"/>
      <c r="AU475" s="213"/>
    </row>
    <row r="476" spans="40:47" s="121" customFormat="1" hidden="1">
      <c r="AN476" s="239"/>
      <c r="AO476" s="225"/>
      <c r="AP476" s="260"/>
      <c r="AQ476" s="258"/>
      <c r="AR476" s="258"/>
      <c r="AS476" s="202"/>
      <c r="AT476" s="213"/>
      <c r="AU476" s="213"/>
    </row>
    <row r="477" spans="40:47" s="121" customFormat="1" hidden="1">
      <c r="AN477" s="239"/>
      <c r="AO477" s="225"/>
      <c r="AP477" s="260"/>
      <c r="AQ477" s="258"/>
      <c r="AR477" s="258"/>
      <c r="AS477" s="202"/>
      <c r="AT477" s="213"/>
      <c r="AU477" s="213"/>
    </row>
    <row r="478" spans="40:47" s="121" customFormat="1" hidden="1">
      <c r="AN478" s="239"/>
      <c r="AO478" s="225"/>
      <c r="AP478" s="260"/>
      <c r="AQ478" s="258"/>
      <c r="AR478" s="258"/>
      <c r="AS478" s="202"/>
      <c r="AT478" s="213"/>
      <c r="AU478" s="213"/>
    </row>
    <row r="479" spans="40:47" s="121" customFormat="1" hidden="1">
      <c r="AN479" s="239"/>
      <c r="AO479" s="225"/>
      <c r="AP479" s="260"/>
      <c r="AQ479" s="258"/>
      <c r="AR479" s="258"/>
      <c r="AS479" s="202"/>
      <c r="AT479" s="213"/>
      <c r="AU479" s="213"/>
    </row>
    <row r="480" spans="40:47" s="121" customFormat="1" hidden="1">
      <c r="AN480" s="239"/>
      <c r="AO480" s="225"/>
      <c r="AP480" s="260"/>
      <c r="AQ480" s="258"/>
      <c r="AR480" s="258"/>
      <c r="AS480" s="202"/>
      <c r="AT480" s="213"/>
      <c r="AU480" s="213"/>
    </row>
    <row r="481" spans="40:47" s="121" customFormat="1" hidden="1">
      <c r="AN481" s="239"/>
      <c r="AO481" s="225"/>
      <c r="AP481" s="260"/>
      <c r="AQ481" s="258"/>
      <c r="AR481" s="258"/>
      <c r="AS481" s="202"/>
      <c r="AT481" s="213"/>
      <c r="AU481" s="213"/>
    </row>
    <row r="482" spans="40:47" s="121" customFormat="1" hidden="1">
      <c r="AN482" s="239"/>
      <c r="AO482" s="225"/>
      <c r="AP482" s="260"/>
      <c r="AQ482" s="258"/>
      <c r="AR482" s="258"/>
      <c r="AS482" s="202"/>
      <c r="AT482" s="213"/>
      <c r="AU482" s="213"/>
    </row>
    <row r="483" spans="40:47" s="121" customFormat="1" hidden="1">
      <c r="AN483" s="239"/>
      <c r="AO483" s="225"/>
      <c r="AP483" s="260"/>
      <c r="AQ483" s="258"/>
      <c r="AR483" s="258"/>
      <c r="AS483" s="202"/>
      <c r="AT483" s="213"/>
      <c r="AU483" s="213"/>
    </row>
    <row r="484" spans="40:47" s="121" customFormat="1" hidden="1">
      <c r="AN484" s="239"/>
      <c r="AO484" s="225"/>
      <c r="AP484" s="260"/>
      <c r="AQ484" s="258"/>
      <c r="AR484" s="258"/>
      <c r="AS484" s="202"/>
      <c r="AT484" s="213"/>
      <c r="AU484" s="213"/>
    </row>
    <row r="485" spans="40:47" s="121" customFormat="1" hidden="1">
      <c r="AN485" s="239"/>
      <c r="AO485" s="225"/>
      <c r="AP485" s="260"/>
      <c r="AQ485" s="258"/>
      <c r="AR485" s="258"/>
      <c r="AS485" s="202"/>
      <c r="AT485" s="213"/>
      <c r="AU485" s="213"/>
    </row>
    <row r="486" spans="40:47" s="121" customFormat="1" hidden="1">
      <c r="AN486" s="239"/>
      <c r="AO486" s="225"/>
      <c r="AP486" s="260"/>
      <c r="AQ486" s="258"/>
      <c r="AR486" s="258"/>
      <c r="AS486" s="202"/>
      <c r="AT486" s="213"/>
      <c r="AU486" s="213"/>
    </row>
    <row r="487" spans="40:47" s="121" customFormat="1" hidden="1">
      <c r="AN487" s="239"/>
      <c r="AO487" s="225"/>
      <c r="AP487" s="260"/>
      <c r="AQ487" s="258"/>
      <c r="AR487" s="258"/>
      <c r="AS487" s="202"/>
      <c r="AT487" s="213"/>
      <c r="AU487" s="213"/>
    </row>
    <row r="488" spans="40:47" s="121" customFormat="1" hidden="1">
      <c r="AN488" s="239"/>
      <c r="AO488" s="225"/>
      <c r="AP488" s="260"/>
      <c r="AQ488" s="258"/>
      <c r="AR488" s="258"/>
      <c r="AS488" s="202"/>
      <c r="AT488" s="213"/>
      <c r="AU488" s="213"/>
    </row>
    <row r="489" spans="40:47" s="121" customFormat="1" hidden="1">
      <c r="AN489" s="239"/>
      <c r="AO489" s="225"/>
      <c r="AP489" s="260"/>
      <c r="AQ489" s="258"/>
      <c r="AR489" s="258"/>
      <c r="AS489" s="202"/>
      <c r="AT489" s="213"/>
      <c r="AU489" s="213"/>
    </row>
    <row r="490" spans="40:47" s="121" customFormat="1" hidden="1">
      <c r="AN490" s="239"/>
      <c r="AO490" s="225"/>
      <c r="AP490" s="260"/>
      <c r="AQ490" s="258"/>
      <c r="AR490" s="258"/>
      <c r="AS490" s="202"/>
      <c r="AT490" s="213"/>
      <c r="AU490" s="213"/>
    </row>
    <row r="491" spans="40:47" s="121" customFormat="1" hidden="1">
      <c r="AN491" s="239"/>
      <c r="AO491" s="225"/>
      <c r="AP491" s="260"/>
      <c r="AQ491" s="258"/>
      <c r="AR491" s="258"/>
      <c r="AS491" s="202"/>
      <c r="AT491" s="213"/>
      <c r="AU491" s="213"/>
    </row>
    <row r="492" spans="40:47" s="121" customFormat="1" hidden="1">
      <c r="AN492" s="239"/>
      <c r="AO492" s="225"/>
      <c r="AP492" s="260"/>
      <c r="AQ492" s="258"/>
      <c r="AR492" s="258"/>
      <c r="AS492" s="202"/>
      <c r="AT492" s="213"/>
      <c r="AU492" s="213"/>
    </row>
    <row r="493" spans="40:47" s="121" customFormat="1" hidden="1">
      <c r="AN493" s="239"/>
      <c r="AO493" s="225"/>
      <c r="AP493" s="260"/>
      <c r="AQ493" s="258"/>
      <c r="AR493" s="258"/>
      <c r="AS493" s="202"/>
      <c r="AT493" s="213"/>
      <c r="AU493" s="213"/>
    </row>
    <row r="494" spans="40:47" s="121" customFormat="1" hidden="1">
      <c r="AN494" s="239"/>
      <c r="AO494" s="225"/>
      <c r="AP494" s="260"/>
      <c r="AQ494" s="258"/>
      <c r="AR494" s="258"/>
      <c r="AS494" s="202"/>
      <c r="AT494" s="213"/>
      <c r="AU494" s="213"/>
    </row>
    <row r="495" spans="40:47" s="121" customFormat="1" hidden="1">
      <c r="AN495" s="239"/>
      <c r="AO495" s="225"/>
      <c r="AP495" s="260"/>
      <c r="AQ495" s="258"/>
      <c r="AR495" s="258"/>
      <c r="AS495" s="202"/>
      <c r="AT495" s="213"/>
      <c r="AU495" s="213"/>
    </row>
    <row r="496" spans="40:47" s="121" customFormat="1" hidden="1">
      <c r="AN496" s="239"/>
      <c r="AO496" s="225"/>
      <c r="AP496" s="260"/>
      <c r="AQ496" s="258"/>
      <c r="AR496" s="258"/>
      <c r="AS496" s="202"/>
      <c r="AT496" s="213"/>
      <c r="AU496" s="213"/>
    </row>
    <row r="497" spans="40:47" s="121" customFormat="1" hidden="1">
      <c r="AN497" s="239"/>
      <c r="AO497" s="225"/>
      <c r="AP497" s="260"/>
      <c r="AQ497" s="258"/>
      <c r="AR497" s="258"/>
      <c r="AS497" s="202"/>
      <c r="AT497" s="213"/>
      <c r="AU497" s="213"/>
    </row>
    <row r="498" spans="40:47" s="121" customFormat="1" hidden="1">
      <c r="AN498" s="239"/>
      <c r="AO498" s="225"/>
      <c r="AP498" s="260"/>
      <c r="AQ498" s="258"/>
      <c r="AR498" s="258"/>
      <c r="AS498" s="202"/>
      <c r="AT498" s="213"/>
      <c r="AU498" s="213"/>
    </row>
    <row r="499" spans="40:47" s="121" customFormat="1" hidden="1">
      <c r="AN499" s="239"/>
      <c r="AO499" s="225"/>
      <c r="AP499" s="260"/>
      <c r="AQ499" s="258"/>
      <c r="AR499" s="258"/>
      <c r="AS499" s="202"/>
      <c r="AT499" s="213"/>
      <c r="AU499" s="213"/>
    </row>
    <row r="500" spans="40:47" s="121" customFormat="1" hidden="1">
      <c r="AN500" s="239"/>
      <c r="AO500" s="225"/>
      <c r="AP500" s="260"/>
      <c r="AQ500" s="258"/>
      <c r="AR500" s="258"/>
      <c r="AS500" s="202"/>
      <c r="AT500" s="213"/>
      <c r="AU500" s="213"/>
    </row>
    <row r="501" spans="40:47" s="121" customFormat="1" hidden="1">
      <c r="AN501" s="239"/>
      <c r="AO501" s="225"/>
      <c r="AP501" s="260"/>
      <c r="AQ501" s="258"/>
      <c r="AR501" s="258"/>
      <c r="AS501" s="202"/>
      <c r="AT501" s="213"/>
      <c r="AU501" s="213"/>
    </row>
    <row r="502" spans="40:47" s="121" customFormat="1" hidden="1">
      <c r="AN502" s="239"/>
      <c r="AO502" s="225"/>
      <c r="AP502" s="260"/>
      <c r="AQ502" s="258"/>
      <c r="AR502" s="258"/>
      <c r="AS502" s="202"/>
      <c r="AT502" s="213"/>
      <c r="AU502" s="213"/>
    </row>
    <row r="503" spans="40:47" s="121" customFormat="1" hidden="1">
      <c r="AN503" s="239"/>
      <c r="AO503" s="225"/>
      <c r="AP503" s="260"/>
      <c r="AQ503" s="258"/>
      <c r="AR503" s="258"/>
      <c r="AS503" s="202"/>
      <c r="AT503" s="213"/>
      <c r="AU503" s="213"/>
    </row>
    <row r="504" spans="40:47" s="121" customFormat="1" hidden="1">
      <c r="AN504" s="239"/>
      <c r="AO504" s="225"/>
      <c r="AP504" s="260"/>
      <c r="AQ504" s="258"/>
      <c r="AR504" s="258"/>
      <c r="AS504" s="202"/>
      <c r="AT504" s="213"/>
      <c r="AU504" s="213"/>
    </row>
    <row r="505" spans="40:47" s="121" customFormat="1" hidden="1">
      <c r="AN505" s="239"/>
      <c r="AO505" s="225"/>
      <c r="AP505" s="260"/>
      <c r="AQ505" s="258"/>
      <c r="AR505" s="258"/>
      <c r="AS505" s="202"/>
      <c r="AT505" s="213"/>
      <c r="AU505" s="213"/>
    </row>
    <row r="506" spans="40:47" s="121" customFormat="1" hidden="1">
      <c r="AN506" s="239"/>
      <c r="AO506" s="225"/>
      <c r="AP506" s="260"/>
      <c r="AQ506" s="258"/>
      <c r="AR506" s="258"/>
      <c r="AS506" s="202"/>
      <c r="AT506" s="213"/>
      <c r="AU506" s="213"/>
    </row>
    <row r="507" spans="40:47" s="121" customFormat="1" hidden="1">
      <c r="AN507" s="239"/>
      <c r="AO507" s="225"/>
      <c r="AP507" s="260"/>
      <c r="AQ507" s="258"/>
      <c r="AR507" s="258"/>
      <c r="AS507" s="202"/>
      <c r="AT507" s="213"/>
      <c r="AU507" s="213"/>
    </row>
    <row r="508" spans="40:47" s="121" customFormat="1" hidden="1">
      <c r="AN508" s="239"/>
      <c r="AO508" s="225"/>
      <c r="AP508" s="260"/>
      <c r="AQ508" s="258"/>
      <c r="AR508" s="258"/>
      <c r="AS508" s="202"/>
      <c r="AT508" s="213"/>
      <c r="AU508" s="213"/>
    </row>
    <row r="509" spans="40:47" s="121" customFormat="1" hidden="1">
      <c r="AN509" s="239"/>
      <c r="AO509" s="225"/>
      <c r="AP509" s="260"/>
      <c r="AQ509" s="258"/>
      <c r="AR509" s="258"/>
      <c r="AS509" s="202"/>
      <c r="AT509" s="213"/>
      <c r="AU509" s="213"/>
    </row>
    <row r="510" spans="40:47" s="121" customFormat="1" hidden="1">
      <c r="AN510" s="239"/>
      <c r="AO510" s="225"/>
      <c r="AP510" s="260"/>
      <c r="AQ510" s="258"/>
      <c r="AR510" s="258"/>
      <c r="AS510" s="202"/>
      <c r="AT510" s="213"/>
      <c r="AU510" s="213"/>
    </row>
    <row r="511" spans="40:47" s="121" customFormat="1" hidden="1">
      <c r="AN511" s="239"/>
      <c r="AO511" s="225"/>
      <c r="AP511" s="260"/>
      <c r="AQ511" s="258"/>
      <c r="AR511" s="258"/>
      <c r="AS511" s="202"/>
      <c r="AT511" s="213"/>
      <c r="AU511" s="213"/>
    </row>
    <row r="512" spans="40:47" s="121" customFormat="1" hidden="1">
      <c r="AN512" s="239"/>
      <c r="AO512" s="225"/>
      <c r="AP512" s="260"/>
      <c r="AQ512" s="258"/>
      <c r="AR512" s="258"/>
      <c r="AS512" s="202"/>
      <c r="AT512" s="213"/>
      <c r="AU512" s="213"/>
    </row>
    <row r="513" spans="40:47" s="121" customFormat="1" hidden="1">
      <c r="AN513" s="239"/>
      <c r="AO513" s="225"/>
      <c r="AP513" s="260"/>
      <c r="AQ513" s="258"/>
      <c r="AR513" s="258"/>
      <c r="AS513" s="202"/>
      <c r="AT513" s="213"/>
      <c r="AU513" s="213"/>
    </row>
    <row r="514" spans="40:47" s="121" customFormat="1" hidden="1">
      <c r="AN514" s="239"/>
      <c r="AO514" s="225"/>
      <c r="AP514" s="260"/>
      <c r="AQ514" s="258"/>
      <c r="AR514" s="258"/>
      <c r="AS514" s="202"/>
      <c r="AT514" s="213"/>
      <c r="AU514" s="213"/>
    </row>
    <row r="515" spans="40:47" s="121" customFormat="1" hidden="1">
      <c r="AN515" s="239"/>
      <c r="AO515" s="225"/>
      <c r="AP515" s="260"/>
      <c r="AQ515" s="258"/>
      <c r="AR515" s="258"/>
      <c r="AS515" s="202"/>
      <c r="AT515" s="213"/>
      <c r="AU515" s="213"/>
    </row>
    <row r="516" spans="40:47" s="121" customFormat="1" hidden="1">
      <c r="AN516" s="239"/>
      <c r="AO516" s="225"/>
      <c r="AP516" s="260"/>
      <c r="AQ516" s="258"/>
      <c r="AR516" s="258"/>
      <c r="AS516" s="202"/>
      <c r="AT516" s="213"/>
      <c r="AU516" s="213"/>
    </row>
    <row r="517" spans="40:47" s="121" customFormat="1" hidden="1">
      <c r="AN517" s="239"/>
      <c r="AO517" s="225"/>
      <c r="AP517" s="260"/>
      <c r="AQ517" s="258"/>
      <c r="AR517" s="258"/>
      <c r="AS517" s="202"/>
      <c r="AT517" s="213"/>
      <c r="AU517" s="213"/>
    </row>
    <row r="518" spans="40:47" s="121" customFormat="1" hidden="1">
      <c r="AN518" s="239"/>
      <c r="AO518" s="225"/>
      <c r="AP518" s="260"/>
      <c r="AQ518" s="258"/>
      <c r="AR518" s="258"/>
      <c r="AS518" s="202"/>
      <c r="AT518" s="213"/>
      <c r="AU518" s="213"/>
    </row>
    <row r="519" spans="40:47" s="121" customFormat="1" hidden="1">
      <c r="AN519" s="239"/>
      <c r="AO519" s="225"/>
      <c r="AP519" s="260"/>
      <c r="AQ519" s="258"/>
      <c r="AR519" s="258"/>
      <c r="AS519" s="202"/>
      <c r="AT519" s="213"/>
      <c r="AU519" s="213"/>
    </row>
    <row r="520" spans="40:47" s="121" customFormat="1" hidden="1">
      <c r="AN520" s="239"/>
      <c r="AO520" s="225"/>
      <c r="AP520" s="260"/>
      <c r="AQ520" s="258"/>
      <c r="AR520" s="258"/>
      <c r="AS520" s="202"/>
      <c r="AT520" s="213"/>
      <c r="AU520" s="213"/>
    </row>
    <row r="521" spans="40:47" s="121" customFormat="1" hidden="1">
      <c r="AN521" s="239"/>
      <c r="AO521" s="225"/>
      <c r="AP521" s="260"/>
      <c r="AQ521" s="258"/>
      <c r="AR521" s="258"/>
      <c r="AS521" s="202"/>
      <c r="AT521" s="213"/>
      <c r="AU521" s="213"/>
    </row>
    <row r="522" spans="40:47" s="121" customFormat="1" hidden="1">
      <c r="AN522" s="239"/>
      <c r="AO522" s="225"/>
      <c r="AP522" s="260"/>
      <c r="AQ522" s="258"/>
      <c r="AR522" s="258"/>
      <c r="AS522" s="202"/>
      <c r="AT522" s="213"/>
      <c r="AU522" s="213"/>
    </row>
    <row r="523" spans="40:47" s="121" customFormat="1" hidden="1">
      <c r="AN523" s="239"/>
      <c r="AO523" s="225"/>
      <c r="AP523" s="260"/>
      <c r="AQ523" s="258"/>
      <c r="AR523" s="258"/>
      <c r="AS523" s="202"/>
      <c r="AT523" s="213"/>
      <c r="AU523" s="213"/>
    </row>
    <row r="524" spans="40:47" s="121" customFormat="1" hidden="1">
      <c r="AN524" s="239"/>
      <c r="AO524" s="225"/>
      <c r="AP524" s="260"/>
      <c r="AQ524" s="258"/>
      <c r="AR524" s="258"/>
      <c r="AS524" s="202"/>
      <c r="AT524" s="213"/>
      <c r="AU524" s="213"/>
    </row>
    <row r="525" spans="40:47" s="121" customFormat="1" hidden="1">
      <c r="AN525" s="239"/>
      <c r="AO525" s="225"/>
      <c r="AP525" s="260"/>
      <c r="AQ525" s="258"/>
      <c r="AR525" s="258"/>
      <c r="AS525" s="202"/>
      <c r="AT525" s="213"/>
      <c r="AU525" s="213"/>
    </row>
    <row r="526" spans="40:47" s="121" customFormat="1" hidden="1">
      <c r="AN526" s="239"/>
      <c r="AO526" s="225"/>
      <c r="AP526" s="260"/>
      <c r="AQ526" s="258"/>
      <c r="AR526" s="258"/>
      <c r="AS526" s="202"/>
      <c r="AT526" s="213"/>
      <c r="AU526" s="213"/>
    </row>
    <row r="527" spans="40:47" s="121" customFormat="1" hidden="1">
      <c r="AN527" s="239"/>
      <c r="AO527" s="225"/>
      <c r="AP527" s="260"/>
      <c r="AQ527" s="258"/>
      <c r="AR527" s="258"/>
      <c r="AS527" s="202"/>
      <c r="AT527" s="213"/>
      <c r="AU527" s="213"/>
    </row>
    <row r="528" spans="40:47" s="121" customFormat="1" hidden="1">
      <c r="AN528" s="239"/>
      <c r="AO528" s="225"/>
      <c r="AP528" s="260"/>
      <c r="AQ528" s="258"/>
      <c r="AR528" s="258"/>
      <c r="AS528" s="202"/>
      <c r="AT528" s="213"/>
      <c r="AU528" s="213"/>
    </row>
    <row r="529" spans="40:47" s="121" customFormat="1" hidden="1">
      <c r="AN529" s="239"/>
      <c r="AO529" s="225"/>
      <c r="AP529" s="260"/>
      <c r="AQ529" s="258"/>
      <c r="AR529" s="258"/>
      <c r="AS529" s="202"/>
      <c r="AT529" s="213"/>
      <c r="AU529" s="213"/>
    </row>
    <row r="530" spans="40:47" s="121" customFormat="1" hidden="1">
      <c r="AN530" s="239"/>
      <c r="AO530" s="225"/>
      <c r="AP530" s="260"/>
      <c r="AQ530" s="258"/>
      <c r="AR530" s="258"/>
      <c r="AS530" s="202"/>
      <c r="AT530" s="213"/>
      <c r="AU530" s="213"/>
    </row>
    <row r="531" spans="40:47" s="121" customFormat="1" hidden="1">
      <c r="AN531" s="239"/>
      <c r="AO531" s="225"/>
      <c r="AP531" s="260"/>
      <c r="AQ531" s="258"/>
      <c r="AR531" s="258"/>
      <c r="AS531" s="202"/>
      <c r="AT531" s="213"/>
      <c r="AU531" s="213"/>
    </row>
    <row r="532" spans="40:47" s="121" customFormat="1" hidden="1">
      <c r="AN532" s="239"/>
      <c r="AO532" s="225"/>
      <c r="AP532" s="260"/>
      <c r="AQ532" s="258"/>
      <c r="AR532" s="258"/>
      <c r="AS532" s="202"/>
      <c r="AT532" s="213"/>
      <c r="AU532" s="213"/>
    </row>
    <row r="533" spans="40:47" s="121" customFormat="1" hidden="1">
      <c r="AN533" s="239"/>
      <c r="AO533" s="225"/>
      <c r="AP533" s="260"/>
      <c r="AQ533" s="258"/>
      <c r="AR533" s="258"/>
      <c r="AS533" s="202"/>
      <c r="AT533" s="213"/>
      <c r="AU533" s="213"/>
    </row>
    <row r="534" spans="40:47" s="121" customFormat="1" hidden="1">
      <c r="AN534" s="239"/>
      <c r="AO534" s="225"/>
      <c r="AP534" s="260"/>
      <c r="AQ534" s="258"/>
      <c r="AR534" s="258"/>
      <c r="AS534" s="202"/>
      <c r="AT534" s="213"/>
      <c r="AU534" s="213"/>
    </row>
    <row r="535" spans="40:47" s="121" customFormat="1" hidden="1">
      <c r="AN535" s="239"/>
      <c r="AO535" s="225"/>
      <c r="AP535" s="260"/>
      <c r="AQ535" s="258"/>
      <c r="AR535" s="258"/>
      <c r="AS535" s="202"/>
      <c r="AT535" s="213"/>
      <c r="AU535" s="213"/>
    </row>
    <row r="536" spans="40:47" s="121" customFormat="1" hidden="1">
      <c r="AN536" s="239"/>
      <c r="AO536" s="225"/>
      <c r="AP536" s="260"/>
      <c r="AQ536" s="258"/>
      <c r="AR536" s="258"/>
      <c r="AS536" s="202"/>
      <c r="AT536" s="213"/>
      <c r="AU536" s="213"/>
    </row>
    <row r="537" spans="40:47" s="121" customFormat="1" hidden="1">
      <c r="AN537" s="239"/>
      <c r="AO537" s="225"/>
      <c r="AP537" s="260"/>
      <c r="AQ537" s="258"/>
      <c r="AR537" s="258"/>
      <c r="AS537" s="202"/>
      <c r="AT537" s="213"/>
      <c r="AU537" s="213"/>
    </row>
    <row r="538" spans="40:47" s="121" customFormat="1" hidden="1">
      <c r="AN538" s="239"/>
      <c r="AO538" s="225"/>
      <c r="AP538" s="260"/>
      <c r="AQ538" s="258"/>
      <c r="AR538" s="258"/>
      <c r="AS538" s="202"/>
      <c r="AT538" s="213"/>
      <c r="AU538" s="213"/>
    </row>
    <row r="539" spans="40:47" s="121" customFormat="1" hidden="1">
      <c r="AN539" s="239"/>
      <c r="AO539" s="225"/>
      <c r="AP539" s="260"/>
      <c r="AQ539" s="258"/>
      <c r="AR539" s="258"/>
      <c r="AS539" s="202"/>
      <c r="AT539" s="213"/>
      <c r="AU539" s="213"/>
    </row>
    <row r="540" spans="40:47" s="121" customFormat="1" hidden="1">
      <c r="AN540" s="239"/>
      <c r="AO540" s="225"/>
      <c r="AP540" s="260"/>
      <c r="AQ540" s="258"/>
      <c r="AR540" s="258"/>
      <c r="AS540" s="202"/>
      <c r="AT540" s="213"/>
      <c r="AU540" s="213"/>
    </row>
    <row r="541" spans="40:47" s="121" customFormat="1" hidden="1">
      <c r="AN541" s="239"/>
      <c r="AO541" s="225"/>
      <c r="AP541" s="260"/>
      <c r="AQ541" s="258"/>
      <c r="AR541" s="258"/>
      <c r="AS541" s="202"/>
      <c r="AT541" s="213"/>
      <c r="AU541" s="213"/>
    </row>
    <row r="542" spans="40:47" s="121" customFormat="1" hidden="1">
      <c r="AN542" s="239"/>
      <c r="AO542" s="225"/>
      <c r="AP542" s="260"/>
      <c r="AQ542" s="258"/>
      <c r="AR542" s="258"/>
      <c r="AS542" s="202"/>
      <c r="AT542" s="213"/>
      <c r="AU542" s="213"/>
    </row>
    <row r="543" spans="40:47" s="121" customFormat="1" hidden="1">
      <c r="AN543" s="239"/>
      <c r="AO543" s="225"/>
      <c r="AP543" s="260"/>
      <c r="AQ543" s="258"/>
      <c r="AR543" s="258"/>
      <c r="AS543" s="202"/>
      <c r="AT543" s="213"/>
      <c r="AU543" s="213"/>
    </row>
    <row r="544" spans="40:47" s="121" customFormat="1" hidden="1">
      <c r="AN544" s="239"/>
      <c r="AO544" s="225"/>
      <c r="AP544" s="260"/>
      <c r="AQ544" s="258"/>
      <c r="AR544" s="258"/>
      <c r="AS544" s="202"/>
      <c r="AT544" s="213"/>
      <c r="AU544" s="213"/>
    </row>
    <row r="545" spans="40:47" s="121" customFormat="1" hidden="1">
      <c r="AN545" s="239"/>
      <c r="AO545" s="225"/>
      <c r="AP545" s="260"/>
      <c r="AQ545" s="258"/>
      <c r="AR545" s="258"/>
      <c r="AS545" s="202"/>
      <c r="AT545" s="213"/>
      <c r="AU545" s="213"/>
    </row>
    <row r="546" spans="40:47" s="121" customFormat="1" hidden="1">
      <c r="AN546" s="239"/>
      <c r="AO546" s="225"/>
      <c r="AP546" s="260"/>
      <c r="AQ546" s="258"/>
      <c r="AR546" s="258"/>
      <c r="AS546" s="202"/>
      <c r="AT546" s="213"/>
      <c r="AU546" s="213"/>
    </row>
    <row r="547" spans="40:47" s="121" customFormat="1" hidden="1">
      <c r="AN547" s="239"/>
      <c r="AO547" s="225"/>
      <c r="AP547" s="260"/>
      <c r="AQ547" s="258"/>
      <c r="AR547" s="258"/>
      <c r="AS547" s="202"/>
      <c r="AT547" s="213"/>
      <c r="AU547" s="213"/>
    </row>
    <row r="548" spans="40:47" s="121" customFormat="1" hidden="1">
      <c r="AN548" s="239"/>
      <c r="AO548" s="225"/>
      <c r="AP548" s="260"/>
      <c r="AQ548" s="258"/>
      <c r="AR548" s="258"/>
      <c r="AS548" s="202"/>
      <c r="AT548" s="213"/>
      <c r="AU548" s="213"/>
    </row>
    <row r="549" spans="40:47" s="121" customFormat="1" hidden="1">
      <c r="AN549" s="239"/>
      <c r="AO549" s="225"/>
      <c r="AP549" s="260"/>
      <c r="AQ549" s="258"/>
      <c r="AR549" s="258"/>
      <c r="AS549" s="202"/>
      <c r="AT549" s="213"/>
      <c r="AU549" s="213"/>
    </row>
    <row r="550" spans="40:47" s="121" customFormat="1" hidden="1">
      <c r="AN550" s="239"/>
      <c r="AO550" s="225"/>
      <c r="AP550" s="260"/>
      <c r="AQ550" s="258"/>
      <c r="AR550" s="258"/>
      <c r="AS550" s="202"/>
      <c r="AT550" s="213"/>
      <c r="AU550" s="213"/>
    </row>
    <row r="551" spans="40:47" s="121" customFormat="1" hidden="1">
      <c r="AN551" s="239"/>
      <c r="AO551" s="225"/>
      <c r="AP551" s="260"/>
      <c r="AQ551" s="258"/>
      <c r="AR551" s="258"/>
      <c r="AS551" s="202"/>
      <c r="AT551" s="213"/>
      <c r="AU551" s="213"/>
    </row>
    <row r="552" spans="40:47" s="121" customFormat="1" hidden="1">
      <c r="AN552" s="239"/>
      <c r="AO552" s="225"/>
      <c r="AP552" s="260"/>
      <c r="AQ552" s="258"/>
      <c r="AR552" s="258"/>
      <c r="AS552" s="202"/>
      <c r="AT552" s="213"/>
      <c r="AU552" s="213"/>
    </row>
    <row r="553" spans="40:47" s="121" customFormat="1" hidden="1">
      <c r="AN553" s="239"/>
      <c r="AO553" s="225"/>
      <c r="AP553" s="260"/>
      <c r="AQ553" s="258"/>
      <c r="AR553" s="258"/>
      <c r="AS553" s="202"/>
      <c r="AT553" s="213"/>
      <c r="AU553" s="213"/>
    </row>
    <row r="554" spans="40:47" s="121" customFormat="1" hidden="1">
      <c r="AN554" s="239"/>
      <c r="AO554" s="225"/>
      <c r="AP554" s="260"/>
      <c r="AQ554" s="258"/>
      <c r="AR554" s="258"/>
      <c r="AS554" s="202"/>
      <c r="AT554" s="213"/>
      <c r="AU554" s="213"/>
    </row>
    <row r="555" spans="40:47" s="121" customFormat="1" hidden="1">
      <c r="AN555" s="239"/>
      <c r="AO555" s="225"/>
      <c r="AP555" s="260"/>
      <c r="AQ555" s="258"/>
      <c r="AR555" s="258"/>
      <c r="AS555" s="202"/>
      <c r="AT555" s="213"/>
      <c r="AU555" s="213"/>
    </row>
    <row r="556" spans="40:47" s="121" customFormat="1" hidden="1">
      <c r="AN556" s="239"/>
      <c r="AO556" s="225"/>
      <c r="AP556" s="260"/>
      <c r="AQ556" s="258"/>
      <c r="AR556" s="258"/>
      <c r="AS556" s="202"/>
      <c r="AT556" s="213"/>
      <c r="AU556" s="213"/>
    </row>
    <row r="557" spans="40:47" s="121" customFormat="1" hidden="1">
      <c r="AN557" s="239"/>
      <c r="AO557" s="225"/>
      <c r="AP557" s="260"/>
      <c r="AQ557" s="258"/>
      <c r="AR557" s="258"/>
      <c r="AS557" s="202"/>
      <c r="AT557" s="213"/>
      <c r="AU557" s="213"/>
    </row>
    <row r="558" spans="40:47" s="121" customFormat="1" hidden="1">
      <c r="AN558" s="239"/>
      <c r="AO558" s="225"/>
      <c r="AP558" s="260"/>
      <c r="AQ558" s="258"/>
      <c r="AR558" s="258"/>
      <c r="AS558" s="202"/>
      <c r="AT558" s="213"/>
      <c r="AU558" s="213"/>
    </row>
    <row r="559" spans="40:47" s="121" customFormat="1" hidden="1">
      <c r="AN559" s="239"/>
      <c r="AO559" s="225"/>
      <c r="AP559" s="260"/>
      <c r="AQ559" s="258"/>
      <c r="AR559" s="258"/>
      <c r="AS559" s="202"/>
      <c r="AT559" s="213"/>
      <c r="AU559" s="213"/>
    </row>
    <row r="560" spans="40:47" s="121" customFormat="1" hidden="1">
      <c r="AN560" s="239"/>
      <c r="AO560" s="225"/>
      <c r="AP560" s="260"/>
      <c r="AQ560" s="258"/>
      <c r="AR560" s="258"/>
      <c r="AS560" s="202"/>
      <c r="AT560" s="213"/>
      <c r="AU560" s="213"/>
    </row>
    <row r="561" spans="40:47" s="121" customFormat="1" hidden="1">
      <c r="AN561" s="239"/>
      <c r="AO561" s="225"/>
      <c r="AP561" s="260"/>
      <c r="AQ561" s="258"/>
      <c r="AR561" s="258"/>
      <c r="AS561" s="202"/>
      <c r="AT561" s="213"/>
      <c r="AU561" s="213"/>
    </row>
    <row r="562" spans="40:47" s="121" customFormat="1" hidden="1">
      <c r="AN562" s="239"/>
      <c r="AO562" s="225"/>
      <c r="AP562" s="260"/>
      <c r="AQ562" s="258"/>
      <c r="AR562" s="258"/>
      <c r="AS562" s="202"/>
      <c r="AT562" s="213"/>
      <c r="AU562" s="213"/>
    </row>
    <row r="563" spans="40:47" s="121" customFormat="1" hidden="1">
      <c r="AN563" s="239"/>
      <c r="AO563" s="225"/>
      <c r="AP563" s="260"/>
      <c r="AQ563" s="258"/>
      <c r="AR563" s="258"/>
      <c r="AS563" s="202"/>
      <c r="AT563" s="213"/>
      <c r="AU563" s="213"/>
    </row>
    <row r="564" spans="40:47" s="121" customFormat="1" hidden="1">
      <c r="AN564" s="239"/>
      <c r="AO564" s="225"/>
      <c r="AP564" s="260"/>
      <c r="AQ564" s="258"/>
      <c r="AR564" s="258"/>
      <c r="AS564" s="202"/>
      <c r="AT564" s="213"/>
      <c r="AU564" s="213"/>
    </row>
    <row r="565" spans="40:47" s="121" customFormat="1" hidden="1">
      <c r="AN565" s="239"/>
      <c r="AO565" s="225"/>
      <c r="AP565" s="260"/>
      <c r="AQ565" s="258"/>
      <c r="AR565" s="258"/>
      <c r="AS565" s="202"/>
      <c r="AT565" s="213"/>
      <c r="AU565" s="213"/>
    </row>
    <row r="566" spans="40:47" s="121" customFormat="1" hidden="1">
      <c r="AN566" s="239"/>
      <c r="AO566" s="225"/>
      <c r="AP566" s="260"/>
      <c r="AQ566" s="258"/>
      <c r="AR566" s="258"/>
      <c r="AS566" s="202"/>
      <c r="AT566" s="213"/>
      <c r="AU566" s="213"/>
    </row>
    <row r="567" spans="40:47" s="121" customFormat="1" hidden="1">
      <c r="AN567" s="239"/>
      <c r="AO567" s="225"/>
      <c r="AP567" s="260"/>
      <c r="AQ567" s="258"/>
      <c r="AR567" s="258"/>
      <c r="AS567" s="202"/>
      <c r="AT567" s="213"/>
      <c r="AU567" s="213"/>
    </row>
    <row r="568" spans="40:47" s="121" customFormat="1" hidden="1">
      <c r="AN568" s="239"/>
      <c r="AO568" s="225"/>
      <c r="AP568" s="260"/>
      <c r="AQ568" s="258"/>
      <c r="AR568" s="258"/>
      <c r="AS568" s="202"/>
      <c r="AT568" s="213"/>
      <c r="AU568" s="213"/>
    </row>
    <row r="569" spans="40:47" s="121" customFormat="1" hidden="1">
      <c r="AN569" s="239"/>
      <c r="AO569" s="225"/>
      <c r="AP569" s="260"/>
      <c r="AQ569" s="258"/>
      <c r="AR569" s="258"/>
      <c r="AS569" s="202"/>
      <c r="AT569" s="213"/>
      <c r="AU569" s="213"/>
    </row>
    <row r="570" spans="40:47" s="121" customFormat="1" hidden="1">
      <c r="AN570" s="239"/>
      <c r="AO570" s="225"/>
      <c r="AP570" s="260"/>
      <c r="AQ570" s="258"/>
      <c r="AR570" s="258"/>
      <c r="AS570" s="202"/>
      <c r="AT570" s="213"/>
      <c r="AU570" s="213"/>
    </row>
    <row r="571" spans="40:47" s="121" customFormat="1" hidden="1">
      <c r="AN571" s="239"/>
      <c r="AO571" s="225"/>
      <c r="AP571" s="260"/>
      <c r="AQ571" s="258"/>
      <c r="AR571" s="258"/>
      <c r="AS571" s="202"/>
      <c r="AT571" s="213"/>
      <c r="AU571" s="213"/>
    </row>
    <row r="572" spans="40:47" s="121" customFormat="1" hidden="1">
      <c r="AN572" s="239"/>
      <c r="AO572" s="225"/>
      <c r="AP572" s="260"/>
      <c r="AQ572" s="258"/>
      <c r="AR572" s="258"/>
      <c r="AS572" s="202"/>
      <c r="AT572" s="213"/>
      <c r="AU572" s="213"/>
    </row>
    <row r="573" spans="40:47" s="121" customFormat="1" hidden="1">
      <c r="AN573" s="239"/>
      <c r="AO573" s="225"/>
      <c r="AP573" s="260"/>
      <c r="AQ573" s="258"/>
      <c r="AR573" s="258"/>
      <c r="AS573" s="202"/>
      <c r="AT573" s="213"/>
      <c r="AU573" s="213"/>
    </row>
    <row r="574" spans="40:47" s="121" customFormat="1" hidden="1">
      <c r="AN574" s="239"/>
      <c r="AO574" s="225"/>
      <c r="AP574" s="260"/>
      <c r="AQ574" s="258"/>
      <c r="AR574" s="258"/>
      <c r="AS574" s="202"/>
      <c r="AT574" s="213"/>
      <c r="AU574" s="213"/>
    </row>
    <row r="575" spans="40:47" s="121" customFormat="1" hidden="1">
      <c r="AN575" s="239"/>
      <c r="AO575" s="225"/>
      <c r="AP575" s="260"/>
      <c r="AQ575" s="258"/>
      <c r="AR575" s="258"/>
      <c r="AS575" s="202"/>
      <c r="AT575" s="213"/>
      <c r="AU575" s="213"/>
    </row>
    <row r="576" spans="40:47" s="121" customFormat="1" hidden="1">
      <c r="AN576" s="239"/>
      <c r="AO576" s="225"/>
      <c r="AP576" s="260"/>
      <c r="AQ576" s="258"/>
      <c r="AR576" s="258"/>
      <c r="AS576" s="202"/>
      <c r="AT576" s="213"/>
      <c r="AU576" s="213"/>
    </row>
    <row r="577" spans="40:47" s="121" customFormat="1" hidden="1">
      <c r="AN577" s="239"/>
      <c r="AO577" s="225"/>
      <c r="AP577" s="260"/>
      <c r="AQ577" s="258"/>
      <c r="AR577" s="258"/>
      <c r="AS577" s="202"/>
      <c r="AT577" s="213"/>
      <c r="AU577" s="213"/>
    </row>
    <row r="578" spans="40:47" s="121" customFormat="1" hidden="1">
      <c r="AN578" s="239"/>
      <c r="AO578" s="225"/>
      <c r="AP578" s="260"/>
      <c r="AQ578" s="258"/>
      <c r="AR578" s="258"/>
      <c r="AS578" s="202"/>
      <c r="AT578" s="213"/>
      <c r="AU578" s="213"/>
    </row>
    <row r="579" spans="40:47" s="121" customFormat="1" hidden="1">
      <c r="AN579" s="239"/>
      <c r="AO579" s="225"/>
      <c r="AP579" s="260"/>
      <c r="AQ579" s="258"/>
      <c r="AR579" s="258"/>
      <c r="AS579" s="202"/>
      <c r="AT579" s="213"/>
      <c r="AU579" s="213"/>
    </row>
    <row r="580" spans="40:47" s="121" customFormat="1" hidden="1">
      <c r="AN580" s="239"/>
      <c r="AO580" s="225"/>
      <c r="AP580" s="260"/>
      <c r="AQ580" s="258"/>
      <c r="AR580" s="258"/>
      <c r="AS580" s="202"/>
      <c r="AT580" s="213"/>
      <c r="AU580" s="213"/>
    </row>
    <row r="581" spans="40:47" s="121" customFormat="1" hidden="1">
      <c r="AN581" s="239"/>
      <c r="AO581" s="225"/>
      <c r="AP581" s="260"/>
      <c r="AQ581" s="258"/>
      <c r="AR581" s="258"/>
      <c r="AS581" s="202"/>
      <c r="AT581" s="213"/>
      <c r="AU581" s="213"/>
    </row>
    <row r="582" spans="40:47" s="121" customFormat="1" hidden="1">
      <c r="AN582" s="239"/>
      <c r="AO582" s="225"/>
      <c r="AP582" s="260"/>
      <c r="AQ582" s="258"/>
      <c r="AR582" s="258"/>
      <c r="AS582" s="202"/>
      <c r="AT582" s="213"/>
      <c r="AU582" s="213"/>
    </row>
    <row r="583" spans="40:47" s="121" customFormat="1" hidden="1">
      <c r="AN583" s="239"/>
      <c r="AO583" s="225"/>
      <c r="AP583" s="260"/>
      <c r="AQ583" s="258"/>
      <c r="AR583" s="258"/>
      <c r="AS583" s="202"/>
      <c r="AT583" s="213"/>
      <c r="AU583" s="213"/>
    </row>
    <row r="584" spans="40:47" s="121" customFormat="1" hidden="1">
      <c r="AN584" s="239"/>
      <c r="AO584" s="225"/>
      <c r="AP584" s="260"/>
      <c r="AQ584" s="258"/>
      <c r="AR584" s="258"/>
      <c r="AS584" s="202"/>
      <c r="AT584" s="213"/>
      <c r="AU584" s="213"/>
    </row>
    <row r="585" spans="40:47" s="121" customFormat="1" hidden="1">
      <c r="AN585" s="239"/>
      <c r="AO585" s="225"/>
      <c r="AP585" s="260"/>
      <c r="AQ585" s="258"/>
      <c r="AR585" s="258"/>
      <c r="AS585" s="202"/>
      <c r="AT585" s="213"/>
      <c r="AU585" s="213"/>
    </row>
    <row r="586" spans="40:47" s="121" customFormat="1" hidden="1">
      <c r="AN586" s="239"/>
      <c r="AO586" s="225"/>
      <c r="AP586" s="260"/>
      <c r="AQ586" s="258"/>
      <c r="AR586" s="258"/>
      <c r="AS586" s="202"/>
      <c r="AT586" s="213"/>
      <c r="AU586" s="213"/>
    </row>
    <row r="587" spans="40:47" s="121" customFormat="1" hidden="1">
      <c r="AN587" s="239"/>
      <c r="AO587" s="225"/>
      <c r="AP587" s="260"/>
      <c r="AQ587" s="258"/>
      <c r="AR587" s="258"/>
      <c r="AS587" s="202"/>
      <c r="AT587" s="213"/>
      <c r="AU587" s="213"/>
    </row>
    <row r="588" spans="40:47" s="121" customFormat="1" hidden="1">
      <c r="AN588" s="239"/>
      <c r="AO588" s="225"/>
      <c r="AP588" s="260"/>
      <c r="AQ588" s="258"/>
      <c r="AR588" s="258"/>
      <c r="AS588" s="202"/>
      <c r="AT588" s="213"/>
      <c r="AU588" s="213"/>
    </row>
    <row r="589" spans="40:47" s="121" customFormat="1" hidden="1">
      <c r="AN589" s="239"/>
      <c r="AO589" s="225"/>
      <c r="AP589" s="260"/>
      <c r="AQ589" s="258"/>
      <c r="AR589" s="258"/>
      <c r="AS589" s="202"/>
      <c r="AT589" s="213"/>
      <c r="AU589" s="213"/>
    </row>
    <row r="590" spans="40:47" s="121" customFormat="1" hidden="1">
      <c r="AN590" s="239"/>
      <c r="AO590" s="225"/>
      <c r="AP590" s="260"/>
      <c r="AQ590" s="258"/>
      <c r="AR590" s="258"/>
      <c r="AS590" s="202"/>
      <c r="AT590" s="213"/>
      <c r="AU590" s="213"/>
    </row>
    <row r="591" spans="40:47" s="121" customFormat="1" hidden="1">
      <c r="AN591" s="239"/>
      <c r="AO591" s="225"/>
      <c r="AP591" s="260"/>
      <c r="AQ591" s="258"/>
      <c r="AR591" s="258"/>
      <c r="AS591" s="202"/>
      <c r="AT591" s="213"/>
      <c r="AU591" s="213"/>
    </row>
    <row r="592" spans="40:47" s="121" customFormat="1" hidden="1">
      <c r="AN592" s="239"/>
      <c r="AO592" s="225"/>
      <c r="AP592" s="260"/>
      <c r="AQ592" s="258"/>
      <c r="AR592" s="258"/>
      <c r="AS592" s="202"/>
      <c r="AT592" s="213"/>
      <c r="AU592" s="213"/>
    </row>
    <row r="593" spans="40:47" s="121" customFormat="1" hidden="1">
      <c r="AN593" s="239"/>
      <c r="AO593" s="225"/>
      <c r="AP593" s="260"/>
      <c r="AQ593" s="258"/>
      <c r="AR593" s="258"/>
      <c r="AS593" s="202"/>
      <c r="AT593" s="213"/>
      <c r="AU593" s="213"/>
    </row>
    <row r="594" spans="40:47" s="121" customFormat="1" hidden="1">
      <c r="AN594" s="239"/>
      <c r="AO594" s="225"/>
      <c r="AP594" s="260"/>
      <c r="AQ594" s="258"/>
      <c r="AR594" s="258"/>
      <c r="AS594" s="202"/>
      <c r="AT594" s="213"/>
      <c r="AU594" s="213"/>
    </row>
    <row r="595" spans="40:47" s="121" customFormat="1" hidden="1">
      <c r="AN595" s="239"/>
      <c r="AO595" s="225"/>
      <c r="AP595" s="260"/>
      <c r="AQ595" s="258"/>
      <c r="AR595" s="258"/>
      <c r="AS595" s="202"/>
      <c r="AT595" s="213"/>
      <c r="AU595" s="213"/>
    </row>
    <row r="596" spans="40:47" s="121" customFormat="1" hidden="1">
      <c r="AN596" s="239"/>
      <c r="AO596" s="225"/>
      <c r="AP596" s="260"/>
      <c r="AQ596" s="258"/>
      <c r="AR596" s="258"/>
      <c r="AS596" s="202"/>
      <c r="AT596" s="213"/>
      <c r="AU596" s="213"/>
    </row>
    <row r="597" spans="40:47" s="121" customFormat="1" hidden="1">
      <c r="AN597" s="239"/>
      <c r="AO597" s="225"/>
      <c r="AP597" s="260"/>
      <c r="AQ597" s="258"/>
      <c r="AR597" s="258"/>
      <c r="AS597" s="202"/>
      <c r="AT597" s="213"/>
      <c r="AU597" s="213"/>
    </row>
    <row r="598" spans="40:47" s="121" customFormat="1" hidden="1">
      <c r="AN598" s="239"/>
      <c r="AO598" s="225"/>
      <c r="AP598" s="260"/>
      <c r="AQ598" s="258"/>
      <c r="AR598" s="258"/>
      <c r="AS598" s="202"/>
      <c r="AT598" s="213"/>
      <c r="AU598" s="213"/>
    </row>
    <row r="599" spans="40:47" s="121" customFormat="1" hidden="1">
      <c r="AN599" s="239"/>
      <c r="AO599" s="225"/>
      <c r="AP599" s="260"/>
      <c r="AQ599" s="258"/>
      <c r="AR599" s="258"/>
      <c r="AS599" s="202"/>
      <c r="AT599" s="213"/>
      <c r="AU599" s="213"/>
    </row>
    <row r="600" spans="40:47" s="121" customFormat="1" hidden="1">
      <c r="AN600" s="239"/>
      <c r="AO600" s="225"/>
      <c r="AP600" s="260"/>
      <c r="AQ600" s="258"/>
      <c r="AR600" s="258"/>
      <c r="AS600" s="202"/>
      <c r="AT600" s="213"/>
      <c r="AU600" s="213"/>
    </row>
    <row r="601" spans="40:47" s="121" customFormat="1" hidden="1">
      <c r="AN601" s="239"/>
      <c r="AO601" s="225"/>
      <c r="AP601" s="260"/>
      <c r="AQ601" s="258"/>
      <c r="AR601" s="258"/>
      <c r="AS601" s="202"/>
      <c r="AT601" s="213"/>
      <c r="AU601" s="213"/>
    </row>
    <row r="602" spans="40:47" s="121" customFormat="1" hidden="1">
      <c r="AN602" s="239"/>
      <c r="AO602" s="225"/>
      <c r="AP602" s="260"/>
      <c r="AQ602" s="258"/>
      <c r="AR602" s="258"/>
      <c r="AS602" s="202"/>
      <c r="AT602" s="213"/>
      <c r="AU602" s="213"/>
    </row>
    <row r="603" spans="40:47" s="121" customFormat="1" hidden="1">
      <c r="AN603" s="239"/>
      <c r="AO603" s="225"/>
      <c r="AP603" s="260"/>
      <c r="AQ603" s="258"/>
      <c r="AR603" s="258"/>
      <c r="AS603" s="202"/>
      <c r="AT603" s="213"/>
      <c r="AU603" s="213"/>
    </row>
    <row r="604" spans="40:47" s="121" customFormat="1" hidden="1">
      <c r="AN604" s="239"/>
      <c r="AO604" s="225"/>
      <c r="AP604" s="260"/>
      <c r="AQ604" s="258"/>
      <c r="AR604" s="258"/>
      <c r="AS604" s="202"/>
      <c r="AT604" s="213"/>
      <c r="AU604" s="213"/>
    </row>
    <row r="605" spans="40:47" s="121" customFormat="1" hidden="1">
      <c r="AN605" s="239"/>
      <c r="AO605" s="225"/>
      <c r="AP605" s="260"/>
      <c r="AQ605" s="258"/>
      <c r="AR605" s="258"/>
      <c r="AS605" s="202"/>
      <c r="AT605" s="213"/>
      <c r="AU605" s="213"/>
    </row>
    <row r="606" spans="40:47" s="121" customFormat="1" hidden="1">
      <c r="AN606" s="239"/>
      <c r="AO606" s="225"/>
      <c r="AP606" s="260"/>
      <c r="AQ606" s="258"/>
      <c r="AR606" s="258"/>
      <c r="AS606" s="202"/>
      <c r="AT606" s="213"/>
      <c r="AU606" s="213"/>
    </row>
    <row r="607" spans="40:47" s="121" customFormat="1" hidden="1">
      <c r="AN607" s="239"/>
      <c r="AO607" s="225"/>
      <c r="AP607" s="260"/>
      <c r="AQ607" s="258"/>
      <c r="AR607" s="258"/>
      <c r="AS607" s="202"/>
      <c r="AT607" s="213"/>
      <c r="AU607" s="213"/>
    </row>
    <row r="608" spans="40:47" s="121" customFormat="1" hidden="1">
      <c r="AN608" s="239"/>
      <c r="AO608" s="225"/>
      <c r="AP608" s="260"/>
      <c r="AQ608" s="258"/>
      <c r="AR608" s="258"/>
      <c r="AS608" s="202"/>
      <c r="AT608" s="213"/>
      <c r="AU608" s="213"/>
    </row>
    <row r="609" spans="40:47" s="121" customFormat="1" hidden="1">
      <c r="AN609" s="239"/>
      <c r="AO609" s="225"/>
      <c r="AP609" s="260"/>
      <c r="AQ609" s="258"/>
      <c r="AR609" s="258"/>
      <c r="AS609" s="202"/>
      <c r="AT609" s="213"/>
      <c r="AU609" s="213"/>
    </row>
    <row r="610" spans="40:47" s="121" customFormat="1" hidden="1">
      <c r="AN610" s="239"/>
      <c r="AO610" s="225"/>
      <c r="AP610" s="260"/>
      <c r="AQ610" s="258"/>
      <c r="AR610" s="258"/>
      <c r="AS610" s="202"/>
      <c r="AT610" s="213"/>
      <c r="AU610" s="213"/>
    </row>
    <row r="611" spans="40:47" s="121" customFormat="1" hidden="1">
      <c r="AN611" s="239"/>
      <c r="AO611" s="225"/>
      <c r="AP611" s="260"/>
      <c r="AQ611" s="258"/>
      <c r="AR611" s="258"/>
      <c r="AS611" s="202"/>
      <c r="AT611" s="213"/>
      <c r="AU611" s="213"/>
    </row>
    <row r="612" spans="40:47" s="121" customFormat="1" hidden="1">
      <c r="AN612" s="239"/>
      <c r="AO612" s="225"/>
      <c r="AP612" s="260"/>
      <c r="AQ612" s="258"/>
      <c r="AR612" s="258"/>
      <c r="AS612" s="202"/>
      <c r="AT612" s="213"/>
      <c r="AU612" s="213"/>
    </row>
    <row r="613" spans="40:47" s="121" customFormat="1" hidden="1">
      <c r="AN613" s="239"/>
      <c r="AO613" s="225"/>
      <c r="AP613" s="260"/>
      <c r="AQ613" s="258"/>
      <c r="AR613" s="258"/>
      <c r="AS613" s="202"/>
      <c r="AT613" s="213"/>
      <c r="AU613" s="213"/>
    </row>
    <row r="614" spans="40:47" s="121" customFormat="1" hidden="1">
      <c r="AN614" s="239"/>
      <c r="AO614" s="225"/>
      <c r="AP614" s="260"/>
      <c r="AQ614" s="258"/>
      <c r="AR614" s="258"/>
      <c r="AS614" s="202"/>
      <c r="AT614" s="213"/>
      <c r="AU614" s="213"/>
    </row>
    <row r="615" spans="40:47" s="121" customFormat="1" hidden="1">
      <c r="AN615" s="239"/>
      <c r="AO615" s="225"/>
      <c r="AP615" s="260"/>
      <c r="AQ615" s="258"/>
      <c r="AR615" s="258"/>
      <c r="AS615" s="202"/>
      <c r="AT615" s="213"/>
      <c r="AU615" s="213"/>
    </row>
    <row r="616" spans="40:47" s="121" customFormat="1" hidden="1">
      <c r="AN616" s="239"/>
      <c r="AO616" s="225"/>
      <c r="AP616" s="260"/>
      <c r="AQ616" s="258"/>
      <c r="AR616" s="258"/>
      <c r="AS616" s="202"/>
      <c r="AT616" s="213"/>
      <c r="AU616" s="213"/>
    </row>
    <row r="617" spans="40:47" s="121" customFormat="1" hidden="1">
      <c r="AN617" s="239"/>
      <c r="AO617" s="225"/>
      <c r="AP617" s="260"/>
      <c r="AQ617" s="258"/>
      <c r="AR617" s="258"/>
      <c r="AS617" s="202"/>
      <c r="AT617" s="213"/>
      <c r="AU617" s="213"/>
    </row>
    <row r="618" spans="40:47" s="121" customFormat="1" hidden="1">
      <c r="AN618" s="239"/>
      <c r="AO618" s="225"/>
      <c r="AP618" s="260"/>
      <c r="AQ618" s="258"/>
      <c r="AR618" s="258"/>
      <c r="AS618" s="202"/>
      <c r="AT618" s="213"/>
      <c r="AU618" s="213"/>
    </row>
    <row r="619" spans="40:47" s="121" customFormat="1" hidden="1">
      <c r="AN619" s="239"/>
      <c r="AO619" s="225"/>
      <c r="AP619" s="260"/>
      <c r="AQ619" s="258"/>
      <c r="AR619" s="258"/>
      <c r="AS619" s="202"/>
      <c r="AT619" s="213"/>
      <c r="AU619" s="213"/>
    </row>
    <row r="620" spans="40:47" s="121" customFormat="1" hidden="1">
      <c r="AN620" s="239"/>
      <c r="AO620" s="225"/>
      <c r="AP620" s="260"/>
      <c r="AQ620" s="258"/>
      <c r="AR620" s="258"/>
      <c r="AS620" s="202"/>
      <c r="AT620" s="213"/>
      <c r="AU620" s="213"/>
    </row>
    <row r="621" spans="40:47" s="121" customFormat="1" hidden="1">
      <c r="AN621" s="239"/>
      <c r="AO621" s="225"/>
      <c r="AP621" s="260"/>
      <c r="AQ621" s="258"/>
      <c r="AR621" s="258"/>
      <c r="AS621" s="202"/>
      <c r="AT621" s="213"/>
      <c r="AU621" s="213"/>
    </row>
    <row r="622" spans="40:47" s="121" customFormat="1" hidden="1">
      <c r="AN622" s="239"/>
      <c r="AO622" s="225"/>
      <c r="AP622" s="260"/>
      <c r="AQ622" s="258"/>
      <c r="AR622" s="258"/>
      <c r="AS622" s="202"/>
      <c r="AT622" s="213"/>
      <c r="AU622" s="213"/>
    </row>
    <row r="623" spans="40:47" s="121" customFormat="1" hidden="1">
      <c r="AN623" s="239"/>
      <c r="AO623" s="225"/>
      <c r="AP623" s="260"/>
      <c r="AQ623" s="258"/>
      <c r="AR623" s="258"/>
      <c r="AS623" s="202"/>
      <c r="AT623" s="213"/>
      <c r="AU623" s="213"/>
    </row>
    <row r="624" spans="40:47" s="121" customFormat="1" hidden="1">
      <c r="AN624" s="239"/>
      <c r="AO624" s="225"/>
      <c r="AP624" s="260"/>
      <c r="AQ624" s="258"/>
      <c r="AR624" s="258"/>
      <c r="AS624" s="202"/>
      <c r="AT624" s="213"/>
      <c r="AU624" s="213"/>
    </row>
    <row r="625" spans="40:47" s="121" customFormat="1" hidden="1">
      <c r="AN625" s="239"/>
      <c r="AO625" s="225"/>
      <c r="AP625" s="260"/>
      <c r="AQ625" s="258"/>
      <c r="AR625" s="258"/>
      <c r="AS625" s="202"/>
      <c r="AT625" s="213"/>
      <c r="AU625" s="213"/>
    </row>
    <row r="626" spans="40:47" s="121" customFormat="1" hidden="1">
      <c r="AN626" s="239"/>
      <c r="AO626" s="225"/>
      <c r="AP626" s="260"/>
      <c r="AQ626" s="258"/>
      <c r="AR626" s="258"/>
      <c r="AS626" s="202"/>
      <c r="AT626" s="213"/>
      <c r="AU626" s="213"/>
    </row>
    <row r="627" spans="40:47" s="121" customFormat="1" hidden="1">
      <c r="AN627" s="239"/>
      <c r="AO627" s="225"/>
      <c r="AP627" s="260"/>
      <c r="AQ627" s="258"/>
      <c r="AR627" s="258"/>
      <c r="AS627" s="202"/>
      <c r="AT627" s="213"/>
      <c r="AU627" s="213"/>
    </row>
    <row r="628" spans="40:47" s="121" customFormat="1" hidden="1">
      <c r="AN628" s="239"/>
      <c r="AO628" s="225"/>
      <c r="AP628" s="260"/>
      <c r="AQ628" s="258"/>
      <c r="AR628" s="258"/>
      <c r="AS628" s="202"/>
      <c r="AT628" s="213"/>
      <c r="AU628" s="213"/>
    </row>
    <row r="629" spans="40:47" s="121" customFormat="1" hidden="1">
      <c r="AN629" s="239"/>
      <c r="AO629" s="225"/>
      <c r="AP629" s="260"/>
      <c r="AQ629" s="258"/>
      <c r="AR629" s="258"/>
      <c r="AS629" s="202"/>
      <c r="AT629" s="213"/>
      <c r="AU629" s="213"/>
    </row>
    <row r="630" spans="40:47" s="121" customFormat="1" hidden="1">
      <c r="AN630" s="239"/>
      <c r="AO630" s="225"/>
      <c r="AP630" s="260"/>
      <c r="AQ630" s="258"/>
      <c r="AR630" s="258"/>
      <c r="AS630" s="202"/>
      <c r="AT630" s="213"/>
      <c r="AU630" s="213"/>
    </row>
    <row r="631" spans="40:47" s="121" customFormat="1" hidden="1">
      <c r="AN631" s="239"/>
      <c r="AO631" s="225"/>
      <c r="AP631" s="260"/>
      <c r="AQ631" s="258"/>
      <c r="AR631" s="258"/>
      <c r="AS631" s="202"/>
      <c r="AT631" s="213"/>
      <c r="AU631" s="213"/>
    </row>
    <row r="632" spans="40:47" s="121" customFormat="1" hidden="1">
      <c r="AN632" s="239"/>
      <c r="AO632" s="225"/>
      <c r="AP632" s="260"/>
      <c r="AQ632" s="258"/>
      <c r="AR632" s="258"/>
      <c r="AS632" s="202"/>
      <c r="AT632" s="213"/>
      <c r="AU632" s="213"/>
    </row>
    <row r="633" spans="40:47" s="121" customFormat="1" hidden="1">
      <c r="AN633" s="239"/>
      <c r="AO633" s="225"/>
      <c r="AP633" s="260"/>
      <c r="AQ633" s="258"/>
      <c r="AR633" s="258"/>
      <c r="AS633" s="202"/>
      <c r="AT633" s="213"/>
      <c r="AU633" s="213"/>
    </row>
    <row r="634" spans="40:47" s="121" customFormat="1" hidden="1">
      <c r="AN634" s="239"/>
      <c r="AO634" s="225"/>
      <c r="AP634" s="260"/>
      <c r="AQ634" s="258"/>
      <c r="AR634" s="258"/>
      <c r="AS634" s="202"/>
      <c r="AT634" s="213"/>
      <c r="AU634" s="213"/>
    </row>
    <row r="635" spans="40:47" s="121" customFormat="1" hidden="1">
      <c r="AN635" s="239"/>
      <c r="AO635" s="225"/>
      <c r="AP635" s="260"/>
      <c r="AQ635" s="258"/>
      <c r="AR635" s="258"/>
      <c r="AS635" s="202"/>
      <c r="AT635" s="213"/>
      <c r="AU635" s="213"/>
    </row>
    <row r="636" spans="40:47" s="121" customFormat="1" hidden="1">
      <c r="AN636" s="239"/>
      <c r="AO636" s="225"/>
      <c r="AP636" s="260"/>
      <c r="AQ636" s="258"/>
      <c r="AR636" s="258"/>
      <c r="AS636" s="202"/>
      <c r="AT636" s="213"/>
      <c r="AU636" s="213"/>
    </row>
    <row r="637" spans="40:47" s="121" customFormat="1" hidden="1">
      <c r="AN637" s="239"/>
      <c r="AO637" s="225"/>
      <c r="AP637" s="260"/>
      <c r="AQ637" s="258"/>
      <c r="AR637" s="258"/>
      <c r="AS637" s="202"/>
      <c r="AT637" s="213"/>
      <c r="AU637" s="213"/>
    </row>
    <row r="638" spans="40:47" s="121" customFormat="1" hidden="1">
      <c r="AN638" s="239"/>
      <c r="AO638" s="225"/>
      <c r="AP638" s="260"/>
      <c r="AQ638" s="258"/>
      <c r="AR638" s="258"/>
      <c r="AS638" s="202"/>
      <c r="AT638" s="213"/>
      <c r="AU638" s="213"/>
    </row>
    <row r="639" spans="40:47" s="121" customFormat="1" hidden="1">
      <c r="AN639" s="239"/>
      <c r="AO639" s="225"/>
      <c r="AP639" s="260"/>
      <c r="AQ639" s="258"/>
      <c r="AR639" s="258"/>
      <c r="AS639" s="202"/>
      <c r="AT639" s="213"/>
      <c r="AU639" s="213"/>
    </row>
    <row r="640" spans="40:47" s="121" customFormat="1" hidden="1">
      <c r="AN640" s="239"/>
      <c r="AO640" s="225"/>
      <c r="AP640" s="260"/>
      <c r="AQ640" s="258"/>
      <c r="AR640" s="258"/>
      <c r="AS640" s="202"/>
      <c r="AT640" s="213"/>
      <c r="AU640" s="213"/>
    </row>
    <row r="641" spans="40:47" s="121" customFormat="1" hidden="1">
      <c r="AN641" s="239"/>
      <c r="AO641" s="225"/>
      <c r="AP641" s="260"/>
      <c r="AQ641" s="258"/>
      <c r="AR641" s="258"/>
      <c r="AS641" s="202"/>
      <c r="AT641" s="213"/>
      <c r="AU641" s="213"/>
    </row>
    <row r="642" spans="40:47" s="121" customFormat="1" hidden="1">
      <c r="AN642" s="239"/>
      <c r="AO642" s="225"/>
      <c r="AP642" s="260"/>
      <c r="AQ642" s="258"/>
      <c r="AR642" s="258"/>
      <c r="AS642" s="202"/>
      <c r="AT642" s="213"/>
      <c r="AU642" s="213"/>
    </row>
    <row r="643" spans="40:47" s="121" customFormat="1" hidden="1">
      <c r="AN643" s="239"/>
      <c r="AO643" s="225"/>
      <c r="AP643" s="260"/>
      <c r="AQ643" s="258"/>
      <c r="AR643" s="258"/>
      <c r="AS643" s="202"/>
      <c r="AT643" s="213"/>
      <c r="AU643" s="213"/>
    </row>
    <row r="644" spans="40:47" s="121" customFormat="1" hidden="1">
      <c r="AN644" s="239"/>
      <c r="AO644" s="225"/>
      <c r="AP644" s="260"/>
      <c r="AQ644" s="258"/>
      <c r="AR644" s="258"/>
      <c r="AS644" s="202"/>
      <c r="AT644" s="213"/>
      <c r="AU644" s="213"/>
    </row>
    <row r="645" spans="40:47" s="121" customFormat="1" hidden="1">
      <c r="AN645" s="239"/>
      <c r="AO645" s="225"/>
      <c r="AP645" s="260"/>
      <c r="AQ645" s="258"/>
      <c r="AR645" s="258"/>
      <c r="AS645" s="202"/>
      <c r="AT645" s="213"/>
      <c r="AU645" s="213"/>
    </row>
    <row r="646" spans="40:47" s="121" customFormat="1" hidden="1">
      <c r="AN646" s="239"/>
      <c r="AO646" s="225"/>
      <c r="AP646" s="260"/>
      <c r="AQ646" s="258"/>
      <c r="AR646" s="258"/>
      <c r="AS646" s="202"/>
      <c r="AT646" s="213"/>
      <c r="AU646" s="213"/>
    </row>
    <row r="647" spans="40:47" s="121" customFormat="1" hidden="1">
      <c r="AN647" s="239"/>
      <c r="AO647" s="225"/>
      <c r="AP647" s="260"/>
      <c r="AQ647" s="258"/>
      <c r="AR647" s="258"/>
      <c r="AS647" s="202"/>
      <c r="AT647" s="213"/>
      <c r="AU647" s="213"/>
    </row>
    <row r="648" spans="40:47" s="121" customFormat="1" hidden="1">
      <c r="AN648" s="239"/>
      <c r="AO648" s="225"/>
      <c r="AP648" s="260"/>
      <c r="AQ648" s="258"/>
      <c r="AR648" s="258"/>
      <c r="AS648" s="202"/>
      <c r="AT648" s="213"/>
      <c r="AU648" s="213"/>
    </row>
    <row r="649" spans="40:47" s="121" customFormat="1" hidden="1">
      <c r="AN649" s="239"/>
      <c r="AO649" s="225"/>
      <c r="AP649" s="260"/>
      <c r="AQ649" s="258"/>
      <c r="AR649" s="258"/>
      <c r="AS649" s="202"/>
      <c r="AT649" s="213"/>
      <c r="AU649" s="213"/>
    </row>
    <row r="650" spans="40:47" s="121" customFormat="1" hidden="1">
      <c r="AN650" s="239"/>
      <c r="AO650" s="225"/>
      <c r="AP650" s="260"/>
      <c r="AQ650" s="258"/>
      <c r="AR650" s="258"/>
      <c r="AS650" s="202"/>
      <c r="AT650" s="213"/>
      <c r="AU650" s="213"/>
    </row>
    <row r="651" spans="40:47" s="121" customFormat="1" hidden="1">
      <c r="AN651" s="239"/>
      <c r="AO651" s="225"/>
      <c r="AP651" s="260"/>
      <c r="AQ651" s="258"/>
      <c r="AR651" s="258"/>
      <c r="AS651" s="202"/>
      <c r="AT651" s="213"/>
      <c r="AU651" s="213"/>
    </row>
    <row r="652" spans="40:47" s="121" customFormat="1" hidden="1">
      <c r="AN652" s="239"/>
      <c r="AO652" s="225"/>
      <c r="AP652" s="260"/>
      <c r="AQ652" s="258"/>
      <c r="AR652" s="258"/>
      <c r="AS652" s="202"/>
      <c r="AT652" s="213"/>
      <c r="AU652" s="213"/>
    </row>
    <row r="653" spans="40:47" s="121" customFormat="1" hidden="1">
      <c r="AN653" s="239"/>
      <c r="AO653" s="225"/>
      <c r="AP653" s="260"/>
      <c r="AQ653" s="258"/>
      <c r="AR653" s="258"/>
      <c r="AS653" s="202"/>
      <c r="AT653" s="213"/>
      <c r="AU653" s="213"/>
    </row>
    <row r="654" spans="40:47" s="121" customFormat="1" hidden="1">
      <c r="AN654" s="239"/>
      <c r="AO654" s="225"/>
      <c r="AP654" s="260"/>
      <c r="AQ654" s="258"/>
      <c r="AR654" s="258"/>
      <c r="AS654" s="202"/>
      <c r="AT654" s="213"/>
      <c r="AU654" s="213"/>
    </row>
    <row r="655" spans="40:47" s="121" customFormat="1" hidden="1">
      <c r="AN655" s="239"/>
      <c r="AO655" s="225"/>
      <c r="AP655" s="260"/>
      <c r="AQ655" s="258"/>
      <c r="AR655" s="258"/>
      <c r="AS655" s="202"/>
      <c r="AT655" s="213"/>
      <c r="AU655" s="213"/>
    </row>
    <row r="656" spans="40:47" s="121" customFormat="1" hidden="1">
      <c r="AN656" s="239"/>
      <c r="AO656" s="225"/>
      <c r="AP656" s="260"/>
      <c r="AQ656" s="258"/>
      <c r="AR656" s="258"/>
      <c r="AS656" s="202"/>
      <c r="AT656" s="213"/>
      <c r="AU656" s="213"/>
    </row>
    <row r="657" spans="40:47" s="121" customFormat="1" hidden="1">
      <c r="AN657" s="239"/>
      <c r="AO657" s="225"/>
      <c r="AP657" s="260"/>
      <c r="AQ657" s="258"/>
      <c r="AR657" s="258"/>
      <c r="AS657" s="202"/>
      <c r="AT657" s="213"/>
      <c r="AU657" s="213"/>
    </row>
    <row r="658" spans="40:47" s="121" customFormat="1" hidden="1">
      <c r="AN658" s="239"/>
      <c r="AO658" s="225"/>
      <c r="AP658" s="260"/>
      <c r="AQ658" s="258"/>
      <c r="AR658" s="258"/>
      <c r="AS658" s="202"/>
      <c r="AT658" s="213"/>
      <c r="AU658" s="213"/>
    </row>
    <row r="659" spans="40:47" s="121" customFormat="1" hidden="1">
      <c r="AN659" s="239"/>
      <c r="AO659" s="225"/>
      <c r="AP659" s="260"/>
      <c r="AQ659" s="258"/>
      <c r="AR659" s="258"/>
      <c r="AS659" s="202"/>
      <c r="AT659" s="213"/>
      <c r="AU659" s="213"/>
    </row>
    <row r="660" spans="40:47" s="121" customFormat="1" hidden="1">
      <c r="AN660" s="239"/>
      <c r="AO660" s="225"/>
      <c r="AP660" s="260"/>
      <c r="AQ660" s="258"/>
      <c r="AR660" s="258"/>
      <c r="AS660" s="202"/>
      <c r="AT660" s="213"/>
      <c r="AU660" s="213"/>
    </row>
    <row r="661" spans="40:47" s="121" customFormat="1" hidden="1">
      <c r="AN661" s="239"/>
      <c r="AO661" s="225"/>
      <c r="AP661" s="260"/>
      <c r="AQ661" s="258"/>
      <c r="AR661" s="258"/>
      <c r="AS661" s="202"/>
      <c r="AT661" s="213"/>
      <c r="AU661" s="213"/>
    </row>
    <row r="662" spans="40:47" s="121" customFormat="1" hidden="1">
      <c r="AN662" s="239"/>
      <c r="AO662" s="225"/>
      <c r="AP662" s="260"/>
      <c r="AQ662" s="258"/>
      <c r="AR662" s="258"/>
      <c r="AS662" s="202"/>
      <c r="AT662" s="213"/>
      <c r="AU662" s="213"/>
    </row>
    <row r="663" spans="40:47" s="121" customFormat="1" hidden="1">
      <c r="AN663" s="239"/>
      <c r="AO663" s="225"/>
      <c r="AP663" s="260"/>
      <c r="AQ663" s="258"/>
      <c r="AR663" s="258"/>
      <c r="AS663" s="202"/>
      <c r="AT663" s="213"/>
      <c r="AU663" s="213"/>
    </row>
    <row r="664" spans="40:47" s="121" customFormat="1" hidden="1">
      <c r="AN664" s="239"/>
      <c r="AO664" s="225"/>
      <c r="AP664" s="260"/>
      <c r="AQ664" s="258"/>
      <c r="AR664" s="258"/>
      <c r="AS664" s="202"/>
      <c r="AT664" s="213"/>
      <c r="AU664" s="213"/>
    </row>
    <row r="665" spans="40:47" s="121" customFormat="1" hidden="1">
      <c r="AN665" s="239"/>
      <c r="AO665" s="225"/>
      <c r="AP665" s="260"/>
      <c r="AQ665" s="258"/>
      <c r="AR665" s="258"/>
      <c r="AS665" s="202"/>
      <c r="AT665" s="213"/>
      <c r="AU665" s="213"/>
    </row>
    <row r="666" spans="40:47" s="121" customFormat="1" hidden="1">
      <c r="AN666" s="239"/>
      <c r="AO666" s="225"/>
      <c r="AP666" s="260"/>
      <c r="AQ666" s="258"/>
      <c r="AR666" s="258"/>
      <c r="AS666" s="202"/>
      <c r="AT666" s="213"/>
      <c r="AU666" s="213"/>
    </row>
    <row r="667" spans="40:47" s="121" customFormat="1" hidden="1">
      <c r="AN667" s="239"/>
      <c r="AO667" s="225"/>
      <c r="AP667" s="260"/>
      <c r="AQ667" s="258"/>
      <c r="AR667" s="258"/>
      <c r="AS667" s="202"/>
      <c r="AT667" s="213"/>
      <c r="AU667" s="213"/>
    </row>
    <row r="668" spans="40:47" s="121" customFormat="1" hidden="1">
      <c r="AN668" s="239"/>
      <c r="AO668" s="225"/>
      <c r="AP668" s="260"/>
      <c r="AQ668" s="258"/>
      <c r="AR668" s="258"/>
      <c r="AS668" s="202"/>
      <c r="AT668" s="213"/>
      <c r="AU668" s="213"/>
    </row>
    <row r="669" spans="40:47" s="121" customFormat="1" hidden="1">
      <c r="AN669" s="239"/>
      <c r="AO669" s="225"/>
      <c r="AP669" s="260"/>
      <c r="AQ669" s="258"/>
      <c r="AR669" s="258"/>
      <c r="AS669" s="202"/>
      <c r="AT669" s="213"/>
      <c r="AU669" s="213"/>
    </row>
    <row r="670" spans="40:47" s="121" customFormat="1" hidden="1">
      <c r="AN670" s="239"/>
      <c r="AO670" s="225"/>
      <c r="AP670" s="260"/>
      <c r="AQ670" s="258"/>
      <c r="AR670" s="258"/>
      <c r="AS670" s="202"/>
      <c r="AT670" s="213"/>
      <c r="AU670" s="213"/>
    </row>
    <row r="671" spans="40:47" s="121" customFormat="1" hidden="1">
      <c r="AN671" s="239"/>
      <c r="AO671" s="225"/>
      <c r="AP671" s="260"/>
      <c r="AQ671" s="258"/>
      <c r="AR671" s="258"/>
      <c r="AS671" s="202"/>
      <c r="AT671" s="213"/>
      <c r="AU671" s="213"/>
    </row>
    <row r="672" spans="40:47" s="121" customFormat="1" hidden="1">
      <c r="AN672" s="239"/>
      <c r="AO672" s="225"/>
      <c r="AP672" s="260"/>
      <c r="AQ672" s="258"/>
      <c r="AR672" s="258"/>
      <c r="AS672" s="202"/>
      <c r="AT672" s="213"/>
      <c r="AU672" s="213"/>
    </row>
    <row r="673" spans="40:47" s="121" customFormat="1" hidden="1">
      <c r="AN673" s="239"/>
      <c r="AO673" s="225"/>
      <c r="AP673" s="260"/>
      <c r="AQ673" s="258"/>
      <c r="AR673" s="258"/>
      <c r="AS673" s="202"/>
      <c r="AT673" s="213"/>
      <c r="AU673" s="213"/>
    </row>
    <row r="674" spans="40:47" s="121" customFormat="1" hidden="1">
      <c r="AN674" s="239"/>
      <c r="AO674" s="225"/>
      <c r="AP674" s="260"/>
      <c r="AQ674" s="258"/>
      <c r="AR674" s="258"/>
      <c r="AS674" s="202"/>
      <c r="AT674" s="213"/>
      <c r="AU674" s="213"/>
    </row>
    <row r="675" spans="40:47" s="121" customFormat="1" hidden="1">
      <c r="AN675" s="239"/>
      <c r="AO675" s="225"/>
      <c r="AP675" s="260"/>
      <c r="AQ675" s="258"/>
      <c r="AR675" s="258"/>
      <c r="AS675" s="202"/>
      <c r="AT675" s="213"/>
      <c r="AU675" s="213"/>
    </row>
    <row r="676" spans="40:47" s="121" customFormat="1" hidden="1">
      <c r="AN676" s="239"/>
      <c r="AO676" s="225"/>
      <c r="AP676" s="260"/>
      <c r="AQ676" s="258"/>
      <c r="AR676" s="258"/>
      <c r="AS676" s="202"/>
      <c r="AT676" s="213"/>
      <c r="AU676" s="213"/>
    </row>
    <row r="677" spans="40:47" s="121" customFormat="1" hidden="1">
      <c r="AN677" s="239"/>
      <c r="AO677" s="225"/>
      <c r="AP677" s="260"/>
      <c r="AQ677" s="258"/>
      <c r="AR677" s="258"/>
      <c r="AS677" s="202"/>
      <c r="AT677" s="213"/>
      <c r="AU677" s="213"/>
    </row>
    <row r="678" spans="40:47" s="121" customFormat="1" hidden="1">
      <c r="AN678" s="239"/>
      <c r="AO678" s="225"/>
      <c r="AP678" s="260"/>
      <c r="AQ678" s="258"/>
      <c r="AR678" s="258"/>
      <c r="AS678" s="202"/>
      <c r="AT678" s="213"/>
      <c r="AU678" s="213"/>
    </row>
    <row r="679" spans="40:47" s="121" customFormat="1" hidden="1">
      <c r="AN679" s="239"/>
      <c r="AO679" s="225"/>
      <c r="AP679" s="260"/>
      <c r="AQ679" s="258"/>
      <c r="AR679" s="258"/>
      <c r="AS679" s="202"/>
      <c r="AT679" s="213"/>
      <c r="AU679" s="213"/>
    </row>
    <row r="680" spans="40:47" s="121" customFormat="1" hidden="1">
      <c r="AN680" s="239"/>
      <c r="AO680" s="225"/>
      <c r="AP680" s="260"/>
      <c r="AQ680" s="258"/>
      <c r="AR680" s="258"/>
      <c r="AS680" s="202"/>
      <c r="AT680" s="213"/>
      <c r="AU680" s="213"/>
    </row>
    <row r="681" spans="40:47" s="121" customFormat="1" hidden="1">
      <c r="AN681" s="239"/>
      <c r="AO681" s="225"/>
      <c r="AP681" s="260"/>
      <c r="AQ681" s="258"/>
      <c r="AR681" s="258"/>
      <c r="AS681" s="202"/>
      <c r="AT681" s="213"/>
      <c r="AU681" s="213"/>
    </row>
    <row r="682" spans="40:47" s="121" customFormat="1" hidden="1">
      <c r="AN682" s="239"/>
      <c r="AO682" s="225"/>
      <c r="AP682" s="260"/>
      <c r="AQ682" s="258"/>
      <c r="AR682" s="258"/>
      <c r="AS682" s="202"/>
      <c r="AT682" s="213"/>
      <c r="AU682" s="213"/>
    </row>
    <row r="683" spans="40:47" s="121" customFormat="1" hidden="1">
      <c r="AN683" s="239"/>
      <c r="AO683" s="225"/>
      <c r="AP683" s="260"/>
      <c r="AQ683" s="258"/>
      <c r="AR683" s="258"/>
      <c r="AS683" s="202"/>
      <c r="AT683" s="213"/>
      <c r="AU683" s="213"/>
    </row>
    <row r="684" spans="40:47" s="121" customFormat="1" hidden="1">
      <c r="AN684" s="239"/>
      <c r="AO684" s="225"/>
      <c r="AP684" s="260"/>
      <c r="AQ684" s="258"/>
      <c r="AR684" s="258"/>
      <c r="AS684" s="202"/>
      <c r="AT684" s="213"/>
      <c r="AU684" s="213"/>
    </row>
    <row r="685" spans="40:47" s="121" customFormat="1" hidden="1">
      <c r="AN685" s="239"/>
      <c r="AO685" s="225"/>
      <c r="AP685" s="260"/>
      <c r="AQ685" s="258"/>
      <c r="AR685" s="258"/>
      <c r="AS685" s="202"/>
      <c r="AT685" s="213"/>
      <c r="AU685" s="213"/>
    </row>
    <row r="686" spans="40:47" s="121" customFormat="1" hidden="1">
      <c r="AN686" s="239"/>
      <c r="AO686" s="225"/>
      <c r="AP686" s="260"/>
      <c r="AQ686" s="258"/>
      <c r="AR686" s="258"/>
      <c r="AS686" s="202"/>
      <c r="AT686" s="213"/>
      <c r="AU686" s="213"/>
    </row>
    <row r="687" spans="40:47" s="121" customFormat="1" hidden="1">
      <c r="AN687" s="239"/>
      <c r="AO687" s="225"/>
      <c r="AP687" s="260"/>
      <c r="AQ687" s="258"/>
      <c r="AR687" s="258"/>
      <c r="AS687" s="202"/>
      <c r="AT687" s="213"/>
      <c r="AU687" s="213"/>
    </row>
    <row r="688" spans="40:47" s="121" customFormat="1" hidden="1">
      <c r="AN688" s="239"/>
      <c r="AO688" s="225"/>
      <c r="AP688" s="260"/>
      <c r="AQ688" s="258"/>
      <c r="AR688" s="258"/>
      <c r="AS688" s="202"/>
      <c r="AT688" s="213"/>
      <c r="AU688" s="213"/>
    </row>
    <row r="689" spans="40:47" s="121" customFormat="1" hidden="1">
      <c r="AN689" s="239"/>
      <c r="AO689" s="225"/>
      <c r="AP689" s="260"/>
      <c r="AQ689" s="258"/>
      <c r="AR689" s="258"/>
      <c r="AS689" s="202"/>
      <c r="AT689" s="213"/>
      <c r="AU689" s="213"/>
    </row>
    <row r="690" spans="40:47" s="121" customFormat="1" hidden="1">
      <c r="AN690" s="239"/>
      <c r="AO690" s="225"/>
      <c r="AP690" s="260"/>
      <c r="AQ690" s="258"/>
      <c r="AR690" s="258"/>
      <c r="AS690" s="202"/>
      <c r="AT690" s="213"/>
      <c r="AU690" s="213"/>
    </row>
    <row r="691" spans="40:47" s="121" customFormat="1" hidden="1">
      <c r="AN691" s="239"/>
      <c r="AO691" s="225"/>
      <c r="AP691" s="260"/>
      <c r="AQ691" s="258"/>
      <c r="AR691" s="258"/>
      <c r="AS691" s="202"/>
      <c r="AT691" s="213"/>
      <c r="AU691" s="213"/>
    </row>
    <row r="692" spans="40:47" s="121" customFormat="1" hidden="1">
      <c r="AN692" s="239"/>
      <c r="AO692" s="225"/>
      <c r="AP692" s="260"/>
      <c r="AQ692" s="258"/>
      <c r="AR692" s="258"/>
      <c r="AS692" s="202"/>
      <c r="AT692" s="213"/>
      <c r="AU692" s="213"/>
    </row>
    <row r="693" spans="40:47" s="121" customFormat="1" hidden="1">
      <c r="AN693" s="239"/>
      <c r="AO693" s="225"/>
      <c r="AP693" s="260"/>
      <c r="AQ693" s="258"/>
      <c r="AR693" s="258"/>
      <c r="AS693" s="202"/>
      <c r="AT693" s="213"/>
      <c r="AU693" s="213"/>
    </row>
    <row r="694" spans="40:47" s="121" customFormat="1" hidden="1">
      <c r="AN694" s="239"/>
      <c r="AO694" s="225"/>
      <c r="AP694" s="260"/>
      <c r="AQ694" s="258"/>
      <c r="AR694" s="258"/>
      <c r="AS694" s="202"/>
      <c r="AT694" s="213"/>
      <c r="AU694" s="213"/>
    </row>
    <row r="695" spans="40:47" s="121" customFormat="1" hidden="1">
      <c r="AN695" s="239"/>
      <c r="AO695" s="225"/>
      <c r="AP695" s="260"/>
      <c r="AQ695" s="258"/>
      <c r="AR695" s="258"/>
      <c r="AS695" s="202"/>
      <c r="AT695" s="213"/>
      <c r="AU695" s="213"/>
    </row>
    <row r="696" spans="40:47" s="121" customFormat="1" hidden="1">
      <c r="AN696" s="239"/>
      <c r="AO696" s="225"/>
      <c r="AP696" s="260"/>
      <c r="AQ696" s="258"/>
      <c r="AR696" s="258"/>
      <c r="AS696" s="202"/>
      <c r="AT696" s="213"/>
      <c r="AU696" s="213"/>
    </row>
    <row r="697" spans="40:47" s="121" customFormat="1" hidden="1">
      <c r="AN697" s="239"/>
      <c r="AO697" s="225"/>
      <c r="AP697" s="260"/>
      <c r="AQ697" s="258"/>
      <c r="AR697" s="258"/>
      <c r="AS697" s="202"/>
      <c r="AT697" s="213"/>
      <c r="AU697" s="213"/>
    </row>
    <row r="698" spans="40:47" s="121" customFormat="1" hidden="1">
      <c r="AN698" s="239"/>
      <c r="AO698" s="225"/>
      <c r="AP698" s="260"/>
      <c r="AQ698" s="258"/>
      <c r="AR698" s="258"/>
      <c r="AS698" s="202"/>
      <c r="AT698" s="213"/>
      <c r="AU698" s="213"/>
    </row>
    <row r="699" spans="40:47" s="121" customFormat="1" hidden="1">
      <c r="AN699" s="239"/>
      <c r="AO699" s="225"/>
      <c r="AP699" s="260"/>
      <c r="AQ699" s="258"/>
      <c r="AR699" s="258"/>
      <c r="AS699" s="202"/>
      <c r="AT699" s="213"/>
      <c r="AU699" s="213"/>
    </row>
    <row r="700" spans="40:47" s="121" customFormat="1">
      <c r="AN700" s="236" t="s">
        <v>2985</v>
      </c>
      <c r="AO700" s="225" t="s">
        <v>2972</v>
      </c>
      <c r="AP700" s="257">
        <f>SUM(AQ700:AR700)</f>
        <v>0</v>
      </c>
      <c r="AQ700" s="258"/>
      <c r="AR700" s="258"/>
      <c r="AS700" s="202"/>
      <c r="AT700" s="213"/>
      <c r="AU700" s="213"/>
    </row>
    <row r="701" spans="40:47" s="121" customFormat="1">
      <c r="AN701" s="236" t="s">
        <v>2987</v>
      </c>
      <c r="AO701" s="225" t="s">
        <v>2988</v>
      </c>
      <c r="AP701" s="257">
        <f>SUM(AQ701:AR701)</f>
        <v>0</v>
      </c>
      <c r="AQ701" s="258"/>
      <c r="AR701" s="258"/>
      <c r="AS701" s="202"/>
      <c r="AT701" s="213"/>
      <c r="AU701" s="213"/>
    </row>
    <row r="702" spans="40:47" s="121" customFormat="1" hidden="1" collapsed="1">
      <c r="AN702" s="239"/>
      <c r="AO702" s="226"/>
      <c r="AP702" s="260"/>
      <c r="AQ702" s="258"/>
      <c r="AR702" s="258"/>
      <c r="AS702" s="202"/>
      <c r="AT702" s="213"/>
      <c r="AU702" s="213"/>
    </row>
    <row r="703" spans="40:47" s="121" customFormat="1" hidden="1">
      <c r="AN703" s="239"/>
      <c r="AO703" s="227"/>
      <c r="AP703" s="260"/>
      <c r="AQ703" s="258"/>
      <c r="AR703" s="258"/>
      <c r="AS703" s="202"/>
      <c r="AT703" s="213"/>
      <c r="AU703" s="213"/>
    </row>
    <row r="704" spans="40:47" s="121" customFormat="1" hidden="1">
      <c r="AN704" s="239"/>
      <c r="AO704" s="227"/>
      <c r="AP704" s="260"/>
      <c r="AQ704" s="258"/>
      <c r="AR704" s="258"/>
      <c r="AS704" s="202"/>
      <c r="AT704" s="213"/>
      <c r="AU704" s="213"/>
    </row>
    <row r="705" spans="40:47" s="121" customFormat="1" hidden="1">
      <c r="AN705" s="239"/>
      <c r="AO705" s="226"/>
      <c r="AP705" s="260"/>
      <c r="AQ705" s="258"/>
      <c r="AR705" s="258"/>
      <c r="AS705" s="202"/>
      <c r="AT705" s="213"/>
      <c r="AU705" s="213"/>
    </row>
    <row r="706" spans="40:47" s="121" customFormat="1" hidden="1" collapsed="1">
      <c r="AN706" s="239"/>
      <c r="AO706" s="227"/>
      <c r="AP706" s="260"/>
      <c r="AQ706" s="258"/>
      <c r="AR706" s="258"/>
      <c r="AS706" s="202"/>
      <c r="AT706" s="213"/>
      <c r="AU706" s="213"/>
    </row>
    <row r="707" spans="40:47" s="121" customFormat="1" hidden="1">
      <c r="AN707" s="239"/>
      <c r="AO707" s="227"/>
      <c r="AP707" s="260"/>
      <c r="AQ707" s="258"/>
      <c r="AR707" s="258"/>
      <c r="AS707" s="202"/>
      <c r="AT707" s="213"/>
      <c r="AU707" s="213"/>
    </row>
    <row r="708" spans="40:47" s="121" customFormat="1" hidden="1">
      <c r="AN708" s="239"/>
      <c r="AO708" s="226"/>
      <c r="AP708" s="260"/>
      <c r="AQ708" s="258"/>
      <c r="AR708" s="258"/>
      <c r="AS708" s="202"/>
      <c r="AT708" s="213"/>
      <c r="AU708" s="213"/>
    </row>
    <row r="709" spans="40:47" s="121" customFormat="1" hidden="1">
      <c r="AN709" s="239"/>
      <c r="AO709" s="225"/>
      <c r="AP709" s="260"/>
      <c r="AQ709" s="258"/>
      <c r="AR709" s="258"/>
      <c r="AS709" s="202"/>
      <c r="AT709" s="213"/>
      <c r="AU709" s="213"/>
    </row>
    <row r="710" spans="40:47" s="121" customFormat="1" hidden="1" collapsed="1">
      <c r="AN710" s="239"/>
      <c r="AO710" s="225"/>
      <c r="AP710" s="260"/>
      <c r="AQ710" s="258"/>
      <c r="AR710" s="258"/>
      <c r="AS710" s="202"/>
      <c r="AT710" s="213"/>
      <c r="AU710" s="213"/>
    </row>
    <row r="711" spans="40:47" s="121" customFormat="1" hidden="1">
      <c r="AN711" s="239"/>
      <c r="AO711" s="225"/>
      <c r="AP711" s="260"/>
      <c r="AQ711" s="258"/>
      <c r="AR711" s="258"/>
      <c r="AS711" s="202"/>
      <c r="AT711" s="213"/>
      <c r="AU711" s="213"/>
    </row>
    <row r="712" spans="40:47" s="121" customFormat="1" hidden="1">
      <c r="AN712" s="239"/>
      <c r="AO712" s="225"/>
      <c r="AP712" s="260"/>
      <c r="AQ712" s="258"/>
      <c r="AR712" s="258"/>
      <c r="AS712" s="202"/>
      <c r="AT712" s="213"/>
      <c r="AU712" s="213"/>
    </row>
    <row r="713" spans="40:47" s="121" customFormat="1" hidden="1">
      <c r="AN713" s="239"/>
      <c r="AO713" s="225"/>
      <c r="AP713" s="260"/>
      <c r="AQ713" s="258"/>
      <c r="AR713" s="258"/>
      <c r="AS713" s="202"/>
      <c r="AT713" s="213"/>
      <c r="AU713" s="213"/>
    </row>
    <row r="714" spans="40:47" s="121" customFormat="1" hidden="1">
      <c r="AN714" s="239"/>
      <c r="AO714" s="225"/>
      <c r="AP714" s="260"/>
      <c r="AQ714" s="258"/>
      <c r="AR714" s="258"/>
      <c r="AS714" s="202"/>
      <c r="AT714" s="213"/>
      <c r="AU714" s="213"/>
    </row>
    <row r="715" spans="40:47" s="121" customFormat="1" hidden="1">
      <c r="AN715" s="239"/>
      <c r="AO715" s="225"/>
      <c r="AP715" s="260"/>
      <c r="AQ715" s="258"/>
      <c r="AR715" s="258"/>
      <c r="AS715" s="202"/>
      <c r="AT715" s="213"/>
      <c r="AU715" s="213"/>
    </row>
    <row r="716" spans="40:47" s="121" customFormat="1" hidden="1">
      <c r="AN716" s="239"/>
      <c r="AO716" s="225"/>
      <c r="AP716" s="260"/>
      <c r="AQ716" s="258"/>
      <c r="AR716" s="258"/>
      <c r="AS716" s="202"/>
      <c r="AT716" s="213"/>
      <c r="AU716" s="213"/>
    </row>
    <row r="717" spans="40:47" s="121" customFormat="1" hidden="1">
      <c r="AN717" s="239"/>
      <c r="AO717" s="225"/>
      <c r="AP717" s="260"/>
      <c r="AQ717" s="258"/>
      <c r="AR717" s="258"/>
      <c r="AS717" s="202"/>
      <c r="AT717" s="213"/>
      <c r="AU717" s="213"/>
    </row>
    <row r="718" spans="40:47" s="121" customFormat="1" hidden="1">
      <c r="AN718" s="239"/>
      <c r="AO718" s="225"/>
      <c r="AP718" s="260"/>
      <c r="AQ718" s="258"/>
      <c r="AR718" s="258"/>
      <c r="AS718" s="202"/>
      <c r="AT718" s="213"/>
      <c r="AU718" s="213"/>
    </row>
    <row r="719" spans="40:47" s="121" customFormat="1" hidden="1">
      <c r="AN719" s="239"/>
      <c r="AO719" s="225"/>
      <c r="AP719" s="260"/>
      <c r="AQ719" s="258"/>
      <c r="AR719" s="258"/>
      <c r="AS719" s="202"/>
      <c r="AT719" s="213"/>
      <c r="AU719" s="213"/>
    </row>
    <row r="720" spans="40:47" s="121" customFormat="1" hidden="1">
      <c r="AN720" s="239"/>
      <c r="AO720" s="225"/>
      <c r="AP720" s="260"/>
      <c r="AQ720" s="258"/>
      <c r="AR720" s="258"/>
      <c r="AS720" s="202"/>
      <c r="AT720" s="213"/>
      <c r="AU720" s="213"/>
    </row>
    <row r="721" spans="1:47" s="121" customFormat="1" hidden="1">
      <c r="AN721" s="239"/>
      <c r="AO721" s="225"/>
      <c r="AP721" s="260"/>
      <c r="AQ721" s="258"/>
      <c r="AR721" s="258"/>
      <c r="AS721" s="202"/>
      <c r="AT721" s="213"/>
      <c r="AU721" s="213"/>
    </row>
    <row r="722" spans="1:47" s="121" customFormat="1" hidden="1">
      <c r="AN722" s="239"/>
      <c r="AO722" s="225"/>
      <c r="AP722" s="260"/>
      <c r="AQ722" s="258"/>
      <c r="AR722" s="258"/>
      <c r="AS722" s="202"/>
      <c r="AT722" s="213"/>
      <c r="AU722" s="213"/>
    </row>
    <row r="723" spans="1:47" s="121" customFormat="1" hidden="1">
      <c r="AN723" s="239"/>
      <c r="AO723" s="225"/>
      <c r="AP723" s="260"/>
      <c r="AQ723" s="258"/>
      <c r="AR723" s="258"/>
      <c r="AS723" s="202"/>
      <c r="AT723" s="213"/>
      <c r="AU723" s="213"/>
    </row>
    <row r="724" spans="1:47" s="121" customFormat="1" hidden="1">
      <c r="AN724" s="239"/>
      <c r="AO724" s="225"/>
      <c r="AP724" s="260"/>
      <c r="AQ724" s="258"/>
      <c r="AR724" s="258"/>
      <c r="AS724" s="202"/>
      <c r="AT724" s="213"/>
      <c r="AU724" s="213"/>
    </row>
    <row r="725" spans="1:47" s="121" customFormat="1" hidden="1">
      <c r="AN725" s="239"/>
      <c r="AO725" s="225"/>
      <c r="AP725" s="260"/>
      <c r="AQ725" s="258"/>
      <c r="AR725" s="258"/>
      <c r="AS725" s="202"/>
      <c r="AT725" s="213"/>
      <c r="AU725" s="213"/>
    </row>
    <row r="726" spans="1:47" s="121" customFormat="1" hidden="1">
      <c r="AN726" s="239"/>
      <c r="AO726" s="225"/>
      <c r="AP726" s="260"/>
      <c r="AQ726" s="258"/>
      <c r="AR726" s="258"/>
      <c r="AS726" s="202"/>
      <c r="AT726" s="213"/>
      <c r="AU726" s="213"/>
    </row>
    <row r="727" spans="1:47">
      <c r="A727" s="51"/>
      <c r="B727" s="51"/>
      <c r="C727" s="51"/>
      <c r="D727" s="51"/>
      <c r="E727" s="51"/>
      <c r="F727" s="51"/>
      <c r="G727" s="51"/>
      <c r="H727" s="51"/>
      <c r="I727" s="51"/>
      <c r="J727" s="121"/>
      <c r="K727" s="121"/>
      <c r="L727" s="121"/>
      <c r="M727" s="121"/>
      <c r="N727" s="121"/>
      <c r="O727" s="121"/>
      <c r="P727" s="121"/>
      <c r="Q727" s="121"/>
      <c r="R727" s="121"/>
      <c r="S727" s="121"/>
      <c r="T727" s="121"/>
      <c r="U727" s="121"/>
      <c r="V727" s="121"/>
      <c r="W727" s="121"/>
      <c r="X727" s="121"/>
      <c r="Y727" s="121"/>
      <c r="Z727" s="121"/>
      <c r="AA727" s="121"/>
      <c r="AB727" s="121"/>
      <c r="AC727" s="121"/>
      <c r="AD727" s="121"/>
      <c r="AE727" s="121"/>
      <c r="AF727" s="121"/>
      <c r="AG727" s="121"/>
      <c r="AH727" s="121"/>
      <c r="AI727" s="121"/>
      <c r="AJ727" s="121"/>
      <c r="AK727" s="121"/>
      <c r="AL727" s="121"/>
      <c r="AM727" s="121"/>
      <c r="AN727" s="234" t="s">
        <v>769</v>
      </c>
      <c r="AO727" s="235" t="s">
        <v>2991</v>
      </c>
      <c r="AP727" s="257">
        <f>SUM(AQ727:AR727)</f>
        <v>0</v>
      </c>
      <c r="AQ727" s="258"/>
      <c r="AR727" s="258"/>
      <c r="AS727" s="202"/>
      <c r="AT727" s="48"/>
      <c r="AU727" s="48"/>
    </row>
    <row r="728" spans="1:47">
      <c r="A728" s="51"/>
      <c r="B728" s="51"/>
      <c r="C728" s="51"/>
      <c r="D728" s="51"/>
      <c r="E728" s="51"/>
      <c r="F728" s="51"/>
      <c r="G728" s="51"/>
      <c r="H728" s="51"/>
      <c r="I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3"/>
      <c r="AM728" s="124"/>
      <c r="AN728" s="234" t="s">
        <v>770</v>
      </c>
      <c r="AO728" s="442" t="s">
        <v>2992</v>
      </c>
      <c r="AP728" s="257">
        <f t="shared" ref="AP728:AP745" si="2">SUM(AQ728:AR728)</f>
        <v>0</v>
      </c>
      <c r="AQ728" s="258"/>
      <c r="AR728" s="258"/>
      <c r="AS728" s="127"/>
    </row>
    <row r="729" spans="1:47">
      <c r="A729" s="51"/>
      <c r="B729" s="51"/>
      <c r="C729" s="51"/>
      <c r="D729" s="51"/>
      <c r="E729" s="51"/>
      <c r="F729" s="51"/>
      <c r="G729" s="51"/>
      <c r="H729" s="51"/>
      <c r="I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3"/>
      <c r="AM729" s="124"/>
      <c r="AN729" s="236" t="s">
        <v>2993</v>
      </c>
      <c r="AO729" s="225" t="s">
        <v>2994</v>
      </c>
      <c r="AP729" s="257">
        <f t="shared" si="2"/>
        <v>0</v>
      </c>
      <c r="AQ729" s="258"/>
      <c r="AR729" s="258"/>
      <c r="AS729" s="127"/>
    </row>
    <row r="730" spans="1:47">
      <c r="A730" s="51"/>
      <c r="B730" s="51"/>
      <c r="C730" s="51"/>
      <c r="D730" s="51"/>
      <c r="E730" s="51"/>
      <c r="F730" s="51"/>
      <c r="G730" s="51"/>
      <c r="H730" s="51"/>
      <c r="I730" s="51"/>
      <c r="J730" s="121"/>
      <c r="K730" s="121"/>
      <c r="L730" s="121"/>
      <c r="M730" s="121"/>
      <c r="N730" s="121"/>
      <c r="O730" s="121"/>
      <c r="P730" s="121"/>
      <c r="Q730" s="121"/>
      <c r="R730" s="121"/>
      <c r="S730" s="121"/>
      <c r="T730" s="121"/>
      <c r="U730" s="121"/>
      <c r="V730" s="121"/>
      <c r="W730" s="121"/>
      <c r="X730" s="121"/>
      <c r="Y730" s="121"/>
      <c r="Z730" s="121"/>
      <c r="AA730" s="121"/>
      <c r="AB730" s="121"/>
      <c r="AC730" s="121"/>
      <c r="AD730" s="121"/>
      <c r="AE730" s="121"/>
      <c r="AF730" s="121"/>
      <c r="AG730" s="121"/>
      <c r="AH730" s="121"/>
      <c r="AI730" s="121"/>
      <c r="AJ730" s="121"/>
      <c r="AK730" s="121"/>
      <c r="AL730" s="121"/>
      <c r="AM730" s="121"/>
      <c r="AN730" s="236" t="s">
        <v>2995</v>
      </c>
      <c r="AO730" s="482" t="s">
        <v>2791</v>
      </c>
      <c r="AP730" s="257">
        <f t="shared" si="2"/>
        <v>0</v>
      </c>
      <c r="AQ730" s="258"/>
      <c r="AR730" s="258"/>
      <c r="AS730" s="202"/>
      <c r="AT730" s="48"/>
      <c r="AU730" s="48"/>
    </row>
    <row r="731" spans="1:47" hidden="1">
      <c r="A731" s="51"/>
      <c r="B731" s="51"/>
      <c r="C731" s="51"/>
      <c r="D731" s="51"/>
      <c r="E731" s="51"/>
      <c r="F731" s="51"/>
      <c r="G731" s="51"/>
      <c r="H731" s="51"/>
      <c r="I731" s="51"/>
      <c r="J731" s="121"/>
      <c r="K731" s="121"/>
      <c r="L731" s="121"/>
      <c r="M731" s="121"/>
      <c r="N731" s="121"/>
      <c r="O731" s="121"/>
      <c r="P731" s="121"/>
      <c r="Q731" s="121"/>
      <c r="R731" s="121"/>
      <c r="S731" s="121"/>
      <c r="T731" s="121"/>
      <c r="U731" s="121"/>
      <c r="V731" s="121"/>
      <c r="W731" s="121"/>
      <c r="X731" s="121"/>
      <c r="Y731" s="121"/>
      <c r="Z731" s="121"/>
      <c r="AA731" s="121"/>
      <c r="AB731" s="121"/>
      <c r="AC731" s="121"/>
      <c r="AD731" s="121"/>
      <c r="AE731" s="121"/>
      <c r="AF731" s="121"/>
      <c r="AG731" s="121"/>
      <c r="AH731" s="121"/>
      <c r="AI731" s="121"/>
      <c r="AJ731" s="121"/>
      <c r="AK731" s="121"/>
      <c r="AL731" s="121"/>
      <c r="AM731" s="121"/>
      <c r="AN731" s="594" t="str">
        <f>IF(TEMPLATE_CLAIM="P","5.1.1.1.1","")</f>
        <v/>
      </c>
      <c r="AO731" s="593" t="str">
        <f>IF(TEMPLATE_CLAIM="P","от станций с мощностью производства &gt;= 25 МВт","")</f>
        <v/>
      </c>
      <c r="AP731" s="257">
        <f t="shared" si="2"/>
        <v>0</v>
      </c>
      <c r="AQ731" s="258"/>
      <c r="AR731" s="258"/>
      <c r="AS731" s="202"/>
      <c r="AT731" s="48"/>
      <c r="AU731" s="48"/>
    </row>
    <row r="732" spans="1:47" hidden="1">
      <c r="A732" s="51"/>
      <c r="B732" s="51"/>
      <c r="C732" s="51"/>
      <c r="D732" s="51"/>
      <c r="E732" s="51"/>
      <c r="F732" s="51"/>
      <c r="G732" s="51"/>
      <c r="H732" s="51"/>
      <c r="I732" s="51"/>
      <c r="J732" s="121"/>
      <c r="K732" s="121"/>
      <c r="L732" s="121"/>
      <c r="M732" s="121"/>
      <c r="N732" s="121"/>
      <c r="O732" s="121"/>
      <c r="P732" s="121"/>
      <c r="Q732" s="121"/>
      <c r="R732" s="121"/>
      <c r="S732" s="121"/>
      <c r="T732" s="121"/>
      <c r="U732" s="121"/>
      <c r="V732" s="121"/>
      <c r="W732" s="121"/>
      <c r="X732" s="121"/>
      <c r="Y732" s="121"/>
      <c r="Z732" s="121"/>
      <c r="AA732" s="121"/>
      <c r="AB732" s="121"/>
      <c r="AC732" s="121"/>
      <c r="AD732" s="121"/>
      <c r="AE732" s="121"/>
      <c r="AF732" s="121"/>
      <c r="AG732" s="121"/>
      <c r="AH732" s="121"/>
      <c r="AI732" s="121"/>
      <c r="AJ732" s="121"/>
      <c r="AK732" s="121"/>
      <c r="AL732" s="121"/>
      <c r="AM732" s="121"/>
      <c r="AN732" s="594" t="str">
        <f>IF(TEMPLATE_CLAIM="P","5.1.1.1.2","")</f>
        <v/>
      </c>
      <c r="AO732" s="593" t="str">
        <f>IF(TEMPLATE_CLAIM="P","от станций с мощностью производства &lt; 25 МВт","")</f>
        <v/>
      </c>
      <c r="AP732" s="257">
        <f t="shared" si="2"/>
        <v>0</v>
      </c>
      <c r="AQ732" s="258"/>
      <c r="AR732" s="258"/>
      <c r="AS732" s="202"/>
      <c r="AT732" s="48"/>
      <c r="AU732" s="48"/>
    </row>
    <row r="733" spans="1:47" ht="0.75" hidden="1" customHeight="1">
      <c r="A733" s="51"/>
      <c r="B733" s="51"/>
      <c r="C733" s="51"/>
      <c r="D733" s="51"/>
      <c r="E733" s="51"/>
      <c r="F733" s="51"/>
      <c r="G733" s="51"/>
      <c r="H733" s="51"/>
      <c r="I733" s="51"/>
      <c r="J733" s="121"/>
      <c r="K733" s="121"/>
      <c r="L733" s="121"/>
      <c r="M733" s="121"/>
      <c r="N733" s="121"/>
      <c r="O733" s="121"/>
      <c r="P733" s="121"/>
      <c r="Q733" s="121"/>
      <c r="R733" s="121"/>
      <c r="S733" s="121"/>
      <c r="T733" s="121"/>
      <c r="U733" s="121"/>
      <c r="V733" s="121"/>
      <c r="W733" s="121"/>
      <c r="X733" s="121"/>
      <c r="Y733" s="121"/>
      <c r="Z733" s="121"/>
      <c r="AA733" s="121"/>
      <c r="AB733" s="121"/>
      <c r="AC733" s="121"/>
      <c r="AD733" s="121"/>
      <c r="AE733" s="121"/>
      <c r="AF733" s="121"/>
      <c r="AG733" s="121"/>
      <c r="AH733" s="121"/>
      <c r="AI733" s="121"/>
      <c r="AJ733" s="121"/>
      <c r="AK733" s="121"/>
      <c r="AL733" s="121"/>
      <c r="AM733" s="121"/>
      <c r="AN733" s="236"/>
      <c r="AO733" s="243"/>
      <c r="AP733" s="260"/>
      <c r="AQ733" s="258"/>
      <c r="AR733" s="258"/>
      <c r="AS733" s="202"/>
      <c r="AT733" s="48"/>
      <c r="AU733" s="48"/>
    </row>
    <row r="734" spans="1:47">
      <c r="A734" s="51"/>
      <c r="B734" s="51"/>
      <c r="C734" s="51"/>
      <c r="D734" s="51"/>
      <c r="E734" s="51"/>
      <c r="F734" s="51"/>
      <c r="G734" s="51"/>
      <c r="H734" s="51"/>
      <c r="I734" s="51"/>
      <c r="J734" s="121"/>
      <c r="K734" s="121"/>
      <c r="L734" s="121"/>
      <c r="M734" s="121"/>
      <c r="N734" s="121"/>
      <c r="O734" s="121"/>
      <c r="P734" s="121"/>
      <c r="Q734" s="121"/>
      <c r="R734" s="121"/>
      <c r="S734" s="121"/>
      <c r="T734" s="121"/>
      <c r="U734" s="121"/>
      <c r="V734" s="121"/>
      <c r="W734" s="121"/>
      <c r="X734" s="121"/>
      <c r="Y734" s="121"/>
      <c r="Z734" s="121"/>
      <c r="AA734" s="121"/>
      <c r="AB734" s="121"/>
      <c r="AC734" s="121"/>
      <c r="AD734" s="121"/>
      <c r="AE734" s="121"/>
      <c r="AF734" s="121"/>
      <c r="AG734" s="121"/>
      <c r="AH734" s="121"/>
      <c r="AI734" s="121"/>
      <c r="AJ734" s="121"/>
      <c r="AK734" s="121"/>
      <c r="AL734" s="121"/>
      <c r="AM734" s="121"/>
      <c r="AN734" s="236" t="s">
        <v>2998</v>
      </c>
      <c r="AO734" s="482" t="s">
        <v>755</v>
      </c>
      <c r="AP734" s="257">
        <f t="shared" si="2"/>
        <v>0</v>
      </c>
      <c r="AQ734" s="258"/>
      <c r="AR734" s="258"/>
      <c r="AS734" s="202"/>
      <c r="AT734" s="48"/>
      <c r="AU734" s="48"/>
    </row>
    <row r="735" spans="1:47" hidden="1">
      <c r="A735" s="51"/>
      <c r="B735" s="51"/>
      <c r="C735" s="51"/>
      <c r="D735" s="51"/>
      <c r="E735" s="51"/>
      <c r="F735" s="51"/>
      <c r="G735" s="51"/>
      <c r="H735" s="51"/>
      <c r="I735" s="51"/>
      <c r="J735" s="121"/>
      <c r="K735" s="121"/>
      <c r="L735" s="121"/>
      <c r="M735" s="121"/>
      <c r="N735" s="121"/>
      <c r="O735" s="121"/>
      <c r="P735" s="121"/>
      <c r="Q735" s="121"/>
      <c r="R735" s="121"/>
      <c r="S735" s="121"/>
      <c r="T735" s="121"/>
      <c r="U735" s="121"/>
      <c r="V735" s="121"/>
      <c r="W735" s="121"/>
      <c r="X735" s="121"/>
      <c r="Y735" s="121"/>
      <c r="Z735" s="121"/>
      <c r="AA735" s="121"/>
      <c r="AB735" s="121"/>
      <c r="AC735" s="121"/>
      <c r="AD735" s="121"/>
      <c r="AE735" s="121"/>
      <c r="AF735" s="121"/>
      <c r="AG735" s="121"/>
      <c r="AH735" s="121"/>
      <c r="AI735" s="121"/>
      <c r="AJ735" s="121"/>
      <c r="AK735" s="121"/>
      <c r="AL735" s="121"/>
      <c r="AM735" s="121"/>
      <c r="AN735" s="594" t="str">
        <f>IF(TEMPLATE_CLAIM="P","5.1.1.2.1","")</f>
        <v/>
      </c>
      <c r="AO735" s="593" t="str">
        <f>IF(TEMPLATE_CLAIM="P","от станций с мощностью производства &gt;= 25 МВт","")</f>
        <v/>
      </c>
      <c r="AP735" s="257">
        <f t="shared" si="2"/>
        <v>0</v>
      </c>
      <c r="AQ735" s="258"/>
      <c r="AR735" s="258"/>
      <c r="AS735" s="202"/>
      <c r="AT735" s="48"/>
      <c r="AU735" s="48"/>
    </row>
    <row r="736" spans="1:47" hidden="1">
      <c r="A736" s="51"/>
      <c r="B736" s="51"/>
      <c r="C736" s="51"/>
      <c r="D736" s="51"/>
      <c r="E736" s="51"/>
      <c r="F736" s="51"/>
      <c r="G736" s="51"/>
      <c r="H736" s="51"/>
      <c r="I736" s="51"/>
      <c r="J736" s="121"/>
      <c r="K736" s="121"/>
      <c r="L736" s="121"/>
      <c r="M736" s="121"/>
      <c r="N736" s="121"/>
      <c r="O736" s="121"/>
      <c r="P736" s="121"/>
      <c r="Q736" s="121"/>
      <c r="R736" s="121"/>
      <c r="S736" s="121"/>
      <c r="T736" s="121"/>
      <c r="U736" s="121"/>
      <c r="V736" s="121"/>
      <c r="W736" s="121"/>
      <c r="X736" s="121"/>
      <c r="Y736" s="121"/>
      <c r="Z736" s="121"/>
      <c r="AA736" s="121"/>
      <c r="AB736" s="121"/>
      <c r="AC736" s="121"/>
      <c r="AD736" s="121"/>
      <c r="AE736" s="121"/>
      <c r="AF736" s="121"/>
      <c r="AG736" s="121"/>
      <c r="AH736" s="121"/>
      <c r="AI736" s="121"/>
      <c r="AJ736" s="121"/>
      <c r="AK736" s="121"/>
      <c r="AL736" s="121"/>
      <c r="AM736" s="121"/>
      <c r="AN736" s="594" t="str">
        <f>IF(TEMPLATE_CLAIM="P","5.1.1.2.2","")</f>
        <v/>
      </c>
      <c r="AO736" s="593" t="str">
        <f>IF(TEMPLATE_CLAIM="P","от станций с мощностью производства &lt; 25 МВт","")</f>
        <v/>
      </c>
      <c r="AP736" s="257">
        <f t="shared" si="2"/>
        <v>0</v>
      </c>
      <c r="AQ736" s="258"/>
      <c r="AR736" s="258"/>
      <c r="AS736" s="202"/>
      <c r="AT736" s="48"/>
      <c r="AU736" s="48"/>
    </row>
    <row r="737" spans="1:47" ht="0.75" hidden="1" customHeight="1">
      <c r="A737" s="51"/>
      <c r="B737" s="51"/>
      <c r="C737" s="51"/>
      <c r="D737" s="51"/>
      <c r="E737" s="51"/>
      <c r="F737" s="51"/>
      <c r="G737" s="51"/>
      <c r="H737" s="51"/>
      <c r="I737" s="51"/>
      <c r="J737" s="121"/>
      <c r="K737" s="121"/>
      <c r="L737" s="121"/>
      <c r="M737" s="121"/>
      <c r="N737" s="121"/>
      <c r="O737" s="121"/>
      <c r="P737" s="121"/>
      <c r="Q737" s="121"/>
      <c r="R737" s="121"/>
      <c r="S737" s="121"/>
      <c r="T737" s="121"/>
      <c r="U737" s="121"/>
      <c r="V737" s="121"/>
      <c r="W737" s="121"/>
      <c r="X737" s="121"/>
      <c r="Y737" s="121"/>
      <c r="Z737" s="121"/>
      <c r="AA737" s="121"/>
      <c r="AB737" s="121"/>
      <c r="AC737" s="121"/>
      <c r="AD737" s="121"/>
      <c r="AE737" s="121"/>
      <c r="AF737" s="121"/>
      <c r="AG737" s="121"/>
      <c r="AH737" s="121"/>
      <c r="AI737" s="121"/>
      <c r="AJ737" s="121"/>
      <c r="AK737" s="121"/>
      <c r="AL737" s="121"/>
      <c r="AM737" s="121"/>
      <c r="AN737" s="436"/>
      <c r="AO737" s="243"/>
      <c r="AP737" s="260"/>
      <c r="AQ737" s="258"/>
      <c r="AR737" s="258"/>
      <c r="AS737" s="202"/>
      <c r="AT737" s="48"/>
      <c r="AU737" s="48"/>
    </row>
    <row r="738" spans="1:47">
      <c r="A738" s="51"/>
      <c r="B738" s="51"/>
      <c r="C738" s="51"/>
      <c r="D738" s="51"/>
      <c r="E738" s="51"/>
      <c r="F738" s="51"/>
      <c r="G738" s="51"/>
      <c r="H738" s="51"/>
      <c r="I738" s="51"/>
      <c r="J738" s="121"/>
      <c r="K738" s="121"/>
      <c r="L738" s="121"/>
      <c r="M738" s="121"/>
      <c r="N738" s="121"/>
      <c r="O738" s="121"/>
      <c r="P738" s="121"/>
      <c r="Q738" s="121"/>
      <c r="R738" s="121"/>
      <c r="S738" s="121"/>
      <c r="T738" s="121"/>
      <c r="U738" s="121"/>
      <c r="V738" s="121"/>
      <c r="W738" s="121"/>
      <c r="X738" s="121"/>
      <c r="Y738" s="121"/>
      <c r="Z738" s="121"/>
      <c r="AA738" s="121"/>
      <c r="AB738" s="121"/>
      <c r="AC738" s="121"/>
      <c r="AD738" s="121"/>
      <c r="AE738" s="121"/>
      <c r="AF738" s="121"/>
      <c r="AG738" s="121"/>
      <c r="AH738" s="121"/>
      <c r="AI738" s="121"/>
      <c r="AJ738" s="121"/>
      <c r="AK738" s="121"/>
      <c r="AL738" s="121"/>
      <c r="AM738" s="121"/>
      <c r="AN738" s="236" t="s">
        <v>2999</v>
      </c>
      <c r="AO738" s="482" t="s">
        <v>2792</v>
      </c>
      <c r="AP738" s="257">
        <f t="shared" si="2"/>
        <v>0</v>
      </c>
      <c r="AQ738" s="258"/>
      <c r="AR738" s="258"/>
      <c r="AS738" s="202"/>
      <c r="AT738" s="48"/>
      <c r="AU738" s="48"/>
    </row>
    <row r="739" spans="1:47" hidden="1">
      <c r="A739" s="51"/>
      <c r="B739" s="51"/>
      <c r="C739" s="51"/>
      <c r="D739" s="51"/>
      <c r="E739" s="51"/>
      <c r="F739" s="51"/>
      <c r="G739" s="51"/>
      <c r="H739" s="51"/>
      <c r="I739" s="51"/>
      <c r="J739" s="121"/>
      <c r="K739" s="121"/>
      <c r="L739" s="121"/>
      <c r="M739" s="121"/>
      <c r="N739" s="121"/>
      <c r="O739" s="121"/>
      <c r="P739" s="121"/>
      <c r="Q739" s="121"/>
      <c r="R739" s="121"/>
      <c r="S739" s="121"/>
      <c r="T739" s="121"/>
      <c r="U739" s="121"/>
      <c r="V739" s="121"/>
      <c r="W739" s="121"/>
      <c r="X739" s="121"/>
      <c r="Y739" s="121"/>
      <c r="Z739" s="121"/>
      <c r="AA739" s="121"/>
      <c r="AB739" s="121"/>
      <c r="AC739" s="121"/>
      <c r="AD739" s="121"/>
      <c r="AE739" s="121"/>
      <c r="AF739" s="121"/>
      <c r="AG739" s="121"/>
      <c r="AH739" s="121"/>
      <c r="AI739" s="121"/>
      <c r="AJ739" s="121"/>
      <c r="AK739" s="121"/>
      <c r="AL739" s="121"/>
      <c r="AM739" s="121"/>
      <c r="AN739" s="594" t="str">
        <f>IF(TEMPLATE_CLAIM="P","5.1.1.3.1","")</f>
        <v/>
      </c>
      <c r="AO739" s="593" t="str">
        <f>IF(TEMPLATE_CLAIM="P","от станций с мощностью производства &gt;= 25 МВт","")</f>
        <v/>
      </c>
      <c r="AP739" s="257">
        <f t="shared" si="2"/>
        <v>0</v>
      </c>
      <c r="AQ739" s="258"/>
      <c r="AR739" s="258"/>
      <c r="AS739" s="202"/>
      <c r="AT739" s="48"/>
      <c r="AU739" s="48"/>
    </row>
    <row r="740" spans="1:47" hidden="1">
      <c r="A740" s="51"/>
      <c r="B740" s="51"/>
      <c r="C740" s="51"/>
      <c r="D740" s="51"/>
      <c r="E740" s="51"/>
      <c r="F740" s="51"/>
      <c r="G740" s="51"/>
      <c r="H740" s="51"/>
      <c r="I740" s="51"/>
      <c r="J740" s="121"/>
      <c r="K740" s="121"/>
      <c r="L740" s="121"/>
      <c r="M740" s="121"/>
      <c r="N740" s="121"/>
      <c r="O740" s="121"/>
      <c r="P740" s="121"/>
      <c r="Q740" s="121"/>
      <c r="R740" s="121"/>
      <c r="S740" s="121"/>
      <c r="T740" s="121"/>
      <c r="U740" s="121"/>
      <c r="V740" s="121"/>
      <c r="W740" s="121"/>
      <c r="X740" s="121"/>
      <c r="Y740" s="121"/>
      <c r="Z740" s="121"/>
      <c r="AA740" s="121"/>
      <c r="AB740" s="121"/>
      <c r="AC740" s="121"/>
      <c r="AD740" s="121"/>
      <c r="AE740" s="121"/>
      <c r="AF740" s="121"/>
      <c r="AG740" s="121"/>
      <c r="AH740" s="121"/>
      <c r="AI740" s="121"/>
      <c r="AJ740" s="121"/>
      <c r="AK740" s="121"/>
      <c r="AL740" s="121"/>
      <c r="AM740" s="121"/>
      <c r="AN740" s="594" t="str">
        <f>IF(TEMPLATE_CLAIM="P","5.1.1.3.2","")</f>
        <v/>
      </c>
      <c r="AO740" s="593" t="str">
        <f>IF(TEMPLATE_CLAIM="P","от станций с мощностью производства &lt; 25 МВт","")</f>
        <v/>
      </c>
      <c r="AP740" s="257">
        <f t="shared" si="2"/>
        <v>0</v>
      </c>
      <c r="AQ740" s="258"/>
      <c r="AR740" s="258"/>
      <c r="AS740" s="202"/>
      <c r="AT740" s="48"/>
      <c r="AU740" s="48"/>
    </row>
    <row r="741" spans="1:47" hidden="1">
      <c r="A741" s="51"/>
      <c r="B741" s="51"/>
      <c r="C741" s="51"/>
      <c r="D741" s="51"/>
      <c r="E741" s="51"/>
      <c r="F741" s="51"/>
      <c r="G741" s="51"/>
      <c r="H741" s="51"/>
      <c r="I741" s="51"/>
      <c r="J741" s="121"/>
      <c r="K741" s="121"/>
      <c r="L741" s="121"/>
      <c r="M741" s="121"/>
      <c r="N741" s="121"/>
      <c r="O741" s="121"/>
      <c r="P741" s="121"/>
      <c r="Q741" s="121"/>
      <c r="R741" s="121"/>
      <c r="S741" s="121"/>
      <c r="T741" s="121"/>
      <c r="U741" s="121"/>
      <c r="V741" s="121"/>
      <c r="W741" s="121"/>
      <c r="X741" s="121"/>
      <c r="Y741" s="121"/>
      <c r="Z741" s="121"/>
      <c r="AA741" s="121"/>
      <c r="AB741" s="121"/>
      <c r="AC741" s="121"/>
      <c r="AD741" s="121"/>
      <c r="AE741" s="121"/>
      <c r="AF741" s="121"/>
      <c r="AG741" s="121"/>
      <c r="AH741" s="121"/>
      <c r="AI741" s="121"/>
      <c r="AJ741" s="121"/>
      <c r="AK741" s="121"/>
      <c r="AL741" s="121"/>
      <c r="AM741" s="121"/>
      <c r="AN741" s="594" t="str">
        <f>IF(TEMPLATE_CLAIM="P","5.1.1.3.3","")</f>
        <v/>
      </c>
      <c r="AO741" s="593" t="str">
        <f>IF(TEMPLATE_CLAIM="P","от котельных (некомбинированная выработка)","")</f>
        <v/>
      </c>
      <c r="AP741" s="257">
        <f t="shared" si="2"/>
        <v>0</v>
      </c>
      <c r="AQ741" s="258"/>
      <c r="AR741" s="258"/>
      <c r="AS741" s="202"/>
      <c r="AT741" s="48"/>
      <c r="AU741" s="48"/>
    </row>
    <row r="742" spans="1:47">
      <c r="A742" s="51"/>
      <c r="B742" s="51"/>
      <c r="C742" s="51"/>
      <c r="D742" s="51"/>
      <c r="E742" s="51"/>
      <c r="F742" s="51"/>
      <c r="G742" s="51"/>
      <c r="H742" s="51"/>
      <c r="I742" s="51"/>
      <c r="J742" s="121"/>
      <c r="K742" s="121"/>
      <c r="L742" s="121"/>
      <c r="M742" s="121"/>
      <c r="N742" s="121"/>
      <c r="O742" s="121"/>
      <c r="P742" s="121"/>
      <c r="Q742" s="121"/>
      <c r="R742" s="121"/>
      <c r="S742" s="121"/>
      <c r="T742" s="121"/>
      <c r="U742" s="121"/>
      <c r="V742" s="121"/>
      <c r="W742" s="121"/>
      <c r="X742" s="121"/>
      <c r="Y742" s="121"/>
      <c r="Z742" s="121"/>
      <c r="AA742" s="121"/>
      <c r="AB742" s="121"/>
      <c r="AC742" s="121"/>
      <c r="AD742" s="121"/>
      <c r="AE742" s="121"/>
      <c r="AF742" s="121"/>
      <c r="AG742" s="121"/>
      <c r="AH742" s="121"/>
      <c r="AI742" s="121"/>
      <c r="AJ742" s="121"/>
      <c r="AK742" s="121"/>
      <c r="AL742" s="121"/>
      <c r="AM742" s="121"/>
      <c r="AN742" s="236" t="s">
        <v>3002</v>
      </c>
      <c r="AO742" s="482" t="s">
        <v>756</v>
      </c>
      <c r="AP742" s="257">
        <f t="shared" si="2"/>
        <v>0</v>
      </c>
      <c r="AQ742" s="258"/>
      <c r="AR742" s="258"/>
      <c r="AS742" s="202"/>
      <c r="AT742" s="48"/>
      <c r="AU742" s="48"/>
    </row>
    <row r="743" spans="1:47" hidden="1">
      <c r="A743" s="51"/>
      <c r="B743" s="51"/>
      <c r="C743" s="51"/>
      <c r="D743" s="51"/>
      <c r="E743" s="51"/>
      <c r="F743" s="51"/>
      <c r="G743" s="51"/>
      <c r="H743" s="51"/>
      <c r="I743" s="51"/>
      <c r="J743" s="121"/>
      <c r="K743" s="121"/>
      <c r="L743" s="121"/>
      <c r="M743" s="121"/>
      <c r="N743" s="121"/>
      <c r="O743" s="121"/>
      <c r="P743" s="121"/>
      <c r="Q743" s="121"/>
      <c r="R743" s="121"/>
      <c r="S743" s="121"/>
      <c r="T743" s="121"/>
      <c r="U743" s="121"/>
      <c r="V743" s="121"/>
      <c r="W743" s="121"/>
      <c r="X743" s="121"/>
      <c r="Y743" s="121"/>
      <c r="Z743" s="121"/>
      <c r="AA743" s="121"/>
      <c r="AB743" s="121"/>
      <c r="AC743" s="121"/>
      <c r="AD743" s="121"/>
      <c r="AE743" s="121"/>
      <c r="AF743" s="121"/>
      <c r="AG743" s="121"/>
      <c r="AH743" s="121"/>
      <c r="AI743" s="121"/>
      <c r="AJ743" s="121"/>
      <c r="AK743" s="121"/>
      <c r="AL743" s="121"/>
      <c r="AM743" s="121"/>
      <c r="AN743" s="594" t="str">
        <f>IF(TEMPLATE_CLAIM="P","5.1.1.4.1","")</f>
        <v/>
      </c>
      <c r="AO743" s="593" t="str">
        <f>IF(TEMPLATE_CLAIM="P","от станций с мощностью производства &gt;= 25 МВт","")</f>
        <v/>
      </c>
      <c r="AP743" s="257">
        <f t="shared" si="2"/>
        <v>0</v>
      </c>
      <c r="AQ743" s="258"/>
      <c r="AR743" s="258"/>
      <c r="AS743" s="202"/>
      <c r="AT743" s="48"/>
      <c r="AU743" s="48"/>
    </row>
    <row r="744" spans="1:47" hidden="1">
      <c r="A744" s="51"/>
      <c r="B744" s="51"/>
      <c r="C744" s="51"/>
      <c r="D744" s="51"/>
      <c r="E744" s="51"/>
      <c r="F744" s="51"/>
      <c r="G744" s="51"/>
      <c r="H744" s="51"/>
      <c r="I744" s="51"/>
      <c r="J744" s="121"/>
      <c r="K744" s="121"/>
      <c r="L744" s="121"/>
      <c r="M744" s="121"/>
      <c r="N744" s="121"/>
      <c r="O744" s="121"/>
      <c r="P744" s="121"/>
      <c r="Q744" s="121"/>
      <c r="R744" s="121"/>
      <c r="S744" s="121"/>
      <c r="T744" s="121"/>
      <c r="U744" s="121"/>
      <c r="V744" s="121"/>
      <c r="W744" s="121"/>
      <c r="X744" s="121"/>
      <c r="Y744" s="121"/>
      <c r="Z744" s="121"/>
      <c r="AA744" s="121"/>
      <c r="AB744" s="121"/>
      <c r="AC744" s="121"/>
      <c r="AD744" s="121"/>
      <c r="AE744" s="121"/>
      <c r="AF744" s="121"/>
      <c r="AG744" s="121"/>
      <c r="AH744" s="121"/>
      <c r="AI744" s="121"/>
      <c r="AJ744" s="121"/>
      <c r="AK744" s="121"/>
      <c r="AL744" s="121"/>
      <c r="AM744" s="121"/>
      <c r="AN744" s="594" t="str">
        <f>IF(TEMPLATE_CLAIM="P","5.1.1.4.2","")</f>
        <v/>
      </c>
      <c r="AO744" s="593" t="str">
        <f>IF(TEMPLATE_CLAIM="P","от станций с мощностью производства &lt; 25 МВт","")</f>
        <v/>
      </c>
      <c r="AP744" s="257">
        <f t="shared" si="2"/>
        <v>0</v>
      </c>
      <c r="AQ744" s="258"/>
      <c r="AR744" s="258"/>
      <c r="AS744" s="202"/>
      <c r="AT744" s="48"/>
      <c r="AU744" s="48"/>
    </row>
    <row r="745" spans="1:47" hidden="1">
      <c r="A745" s="51"/>
      <c r="B745" s="51"/>
      <c r="C745" s="51"/>
      <c r="D745" s="51"/>
      <c r="E745" s="51"/>
      <c r="F745" s="51"/>
      <c r="G745" s="51"/>
      <c r="H745" s="51"/>
      <c r="I745" s="51"/>
      <c r="J745" s="121"/>
      <c r="K745" s="121"/>
      <c r="L745" s="121"/>
      <c r="M745" s="121"/>
      <c r="N745" s="121"/>
      <c r="O745" s="121"/>
      <c r="P745" s="121"/>
      <c r="Q745" s="121"/>
      <c r="R745" s="121"/>
      <c r="S745" s="121"/>
      <c r="T745" s="121"/>
      <c r="U745" s="121"/>
      <c r="V745" s="121"/>
      <c r="W745" s="121"/>
      <c r="X745" s="121"/>
      <c r="Y745" s="121"/>
      <c r="Z745" s="121"/>
      <c r="AA745" s="121"/>
      <c r="AB745" s="121"/>
      <c r="AC745" s="121"/>
      <c r="AD745" s="121"/>
      <c r="AE745" s="121"/>
      <c r="AF745" s="121"/>
      <c r="AG745" s="121"/>
      <c r="AH745" s="121"/>
      <c r="AI745" s="121"/>
      <c r="AJ745" s="121"/>
      <c r="AK745" s="121"/>
      <c r="AL745" s="121"/>
      <c r="AM745" s="121"/>
      <c r="AN745" s="594" t="str">
        <f>IF(TEMPLATE_CLAIM="P","5.1.1.4.3","")</f>
        <v/>
      </c>
      <c r="AO745" s="593" t="str">
        <f>IF(TEMPLATE_CLAIM="P","от котельных (некомбинированная выработка)","")</f>
        <v/>
      </c>
      <c r="AP745" s="257">
        <f t="shared" si="2"/>
        <v>0</v>
      </c>
      <c r="AQ745" s="258"/>
      <c r="AR745" s="258"/>
      <c r="AS745" s="202"/>
      <c r="AT745" s="48"/>
      <c r="AU745" s="48"/>
    </row>
    <row r="746" spans="1:47">
      <c r="A746" s="51"/>
      <c r="B746" s="51"/>
      <c r="C746" s="51"/>
      <c r="D746" s="51"/>
      <c r="E746" s="51"/>
      <c r="F746" s="51"/>
      <c r="G746" s="51"/>
      <c r="H746" s="51"/>
      <c r="I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3"/>
      <c r="AM746" s="124"/>
      <c r="AN746" s="234" t="s">
        <v>3003</v>
      </c>
      <c r="AO746" s="225" t="s">
        <v>3004</v>
      </c>
      <c r="AP746" s="257">
        <f>SUM(AQ746:AR746)</f>
        <v>0</v>
      </c>
      <c r="AQ746" s="258"/>
      <c r="AR746" s="258"/>
      <c r="AS746" s="127"/>
    </row>
    <row r="747" spans="1:47" ht="22.5">
      <c r="A747" s="51"/>
      <c r="B747" s="51"/>
      <c r="C747" s="51"/>
      <c r="D747" s="51"/>
      <c r="E747" s="51"/>
      <c r="F747" s="51"/>
      <c r="G747" s="51"/>
      <c r="H747" s="51"/>
      <c r="I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3"/>
      <c r="AM747" s="124"/>
      <c r="AN747" s="234" t="s">
        <v>3006</v>
      </c>
      <c r="AO747" s="225" t="s">
        <v>3007</v>
      </c>
      <c r="AP747" s="257">
        <f>SUM(AQ747:AR747)</f>
        <v>0</v>
      </c>
      <c r="AQ747" s="258"/>
      <c r="AR747" s="258"/>
      <c r="AS747" s="127"/>
    </row>
    <row r="748" spans="1:47">
      <c r="A748" s="51"/>
      <c r="B748" s="51"/>
      <c r="C748" s="51"/>
      <c r="D748" s="51"/>
      <c r="E748" s="51"/>
      <c r="F748" s="51"/>
      <c r="G748" s="51"/>
      <c r="H748" s="51"/>
      <c r="I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3"/>
      <c r="AM748" s="124"/>
      <c r="AN748" s="236" t="s">
        <v>3008</v>
      </c>
      <c r="AO748" s="242" t="s">
        <v>2972</v>
      </c>
      <c r="AP748" s="257">
        <f>SUM(AQ748:AR748)</f>
        <v>0</v>
      </c>
      <c r="AQ748" s="258"/>
      <c r="AR748" s="258"/>
      <c r="AS748" s="127"/>
    </row>
    <row r="749" spans="1:47">
      <c r="A749" s="51"/>
      <c r="B749" s="51"/>
      <c r="C749" s="51"/>
      <c r="D749" s="51"/>
      <c r="E749" s="51"/>
      <c r="F749" s="51"/>
      <c r="G749" s="51"/>
      <c r="H749" s="51"/>
      <c r="I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3"/>
      <c r="AM749" s="124"/>
      <c r="AN749" s="236" t="s">
        <v>3009</v>
      </c>
      <c r="AO749" s="242" t="s">
        <v>2988</v>
      </c>
      <c r="AP749" s="257">
        <f>SUM(AQ749:AR749)</f>
        <v>0</v>
      </c>
      <c r="AQ749" s="258"/>
      <c r="AR749" s="258"/>
      <c r="AS749" s="127"/>
    </row>
    <row r="750" spans="1:47">
      <c r="A750" s="51"/>
      <c r="B750" s="51"/>
      <c r="C750" s="51"/>
      <c r="D750" s="51"/>
      <c r="E750" s="51"/>
      <c r="F750" s="51"/>
      <c r="G750" s="51"/>
      <c r="H750" s="51"/>
      <c r="I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3"/>
      <c r="AM750" s="124"/>
      <c r="AN750" s="236" t="s">
        <v>3010</v>
      </c>
      <c r="AO750" s="242" t="s">
        <v>3011</v>
      </c>
      <c r="AP750" s="257">
        <f>SUM(AQ750:AR750)</f>
        <v>0</v>
      </c>
      <c r="AQ750" s="258"/>
      <c r="AR750" s="258"/>
      <c r="AS750" s="127"/>
    </row>
    <row r="751" spans="1:47">
      <c r="A751" s="51"/>
      <c r="B751" s="51"/>
      <c r="C751" s="51"/>
      <c r="D751" s="51"/>
      <c r="E751" s="51"/>
      <c r="F751" s="51"/>
      <c r="G751" s="51"/>
      <c r="H751" s="51"/>
      <c r="I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3"/>
      <c r="AM751" s="124"/>
      <c r="AN751" s="236" t="s">
        <v>3012</v>
      </c>
      <c r="AO751" s="244" t="s">
        <v>2968</v>
      </c>
      <c r="AP751" s="257">
        <f>IF(AP752=0,0,AP750/AP752)</f>
        <v>0</v>
      </c>
      <c r="AQ751" s="258"/>
      <c r="AR751" s="258"/>
      <c r="AS751" s="127"/>
    </row>
    <row r="752" spans="1:47">
      <c r="A752" s="51"/>
      <c r="B752" s="51"/>
      <c r="C752" s="51"/>
      <c r="D752" s="51"/>
      <c r="E752" s="51"/>
      <c r="F752" s="51"/>
      <c r="G752" s="51"/>
      <c r="H752" s="51"/>
      <c r="I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3"/>
      <c r="AM752" s="124"/>
      <c r="AN752" s="236" t="s">
        <v>3013</v>
      </c>
      <c r="AO752" s="244" t="s">
        <v>2972</v>
      </c>
      <c r="AP752" s="257">
        <f>SUM(AQ752:AR752)</f>
        <v>0</v>
      </c>
      <c r="AQ752" s="258"/>
      <c r="AR752" s="258"/>
      <c r="AS752" s="127"/>
    </row>
    <row r="753" spans="1:45">
      <c r="A753" s="51"/>
      <c r="B753" s="51"/>
      <c r="C753" s="51"/>
      <c r="D753" s="51"/>
      <c r="E753" s="51"/>
      <c r="F753" s="51"/>
      <c r="G753" s="51"/>
      <c r="H753" s="51"/>
      <c r="I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3"/>
      <c r="AM753" s="124"/>
      <c r="AN753" s="236" t="s">
        <v>3014</v>
      </c>
      <c r="AO753" s="245" t="s">
        <v>3015</v>
      </c>
      <c r="AP753" s="257">
        <f>SUM(AQ753:AR753)</f>
        <v>0</v>
      </c>
      <c r="AQ753" s="258"/>
      <c r="AR753" s="258"/>
      <c r="AS753" s="127"/>
    </row>
    <row r="754" spans="1:45">
      <c r="AL754" s="50"/>
      <c r="AM754" s="124"/>
      <c r="AN754" s="236" t="s">
        <v>3016</v>
      </c>
      <c r="AO754" s="244" t="s">
        <v>2970</v>
      </c>
      <c r="AP754" s="257">
        <f>IF(AP755=0,0,AP753/AP755)</f>
        <v>0</v>
      </c>
      <c r="AQ754" s="258"/>
      <c r="AR754" s="258"/>
      <c r="AS754" s="127"/>
    </row>
    <row r="755" spans="1:45">
      <c r="AL755" s="50"/>
      <c r="AM755" s="124"/>
      <c r="AN755" s="236" t="s">
        <v>3017</v>
      </c>
      <c r="AO755" s="244" t="s">
        <v>3018</v>
      </c>
      <c r="AP755" s="257">
        <f>SUM(AQ755:AR755)</f>
        <v>0</v>
      </c>
      <c r="AQ755" s="258"/>
      <c r="AR755" s="258"/>
      <c r="AS755" s="127"/>
    </row>
    <row r="756" spans="1:45">
      <c r="AL756" s="50"/>
      <c r="AM756" s="124"/>
      <c r="AN756" s="236" t="s">
        <v>3019</v>
      </c>
      <c r="AO756" s="242" t="s">
        <v>3020</v>
      </c>
      <c r="AP756" s="257">
        <f>SUM(AQ756:AR756)</f>
        <v>0</v>
      </c>
      <c r="AQ756" s="258"/>
      <c r="AR756" s="258"/>
      <c r="AS756" s="127"/>
    </row>
    <row r="757" spans="1:45">
      <c r="AL757" s="50"/>
      <c r="AM757" s="125"/>
      <c r="AN757" s="236" t="s">
        <v>3021</v>
      </c>
      <c r="AO757" s="244" t="s">
        <v>2968</v>
      </c>
      <c r="AP757" s="257">
        <f>IF(AP758=0,0,AP756/AP758)</f>
        <v>0</v>
      </c>
      <c r="AQ757" s="258"/>
      <c r="AR757" s="258"/>
      <c r="AS757" s="127"/>
    </row>
    <row r="758" spans="1:45">
      <c r="AL758" s="50"/>
      <c r="AM758" s="125"/>
      <c r="AN758" s="236" t="s">
        <v>3022</v>
      </c>
      <c r="AO758" s="244" t="s">
        <v>2972</v>
      </c>
      <c r="AP758" s="257">
        <f>SUM(AQ758:AR758)</f>
        <v>0</v>
      </c>
      <c r="AQ758" s="258"/>
      <c r="AR758" s="258"/>
      <c r="AS758" s="127"/>
    </row>
    <row r="759" spans="1:45">
      <c r="AL759" s="50"/>
      <c r="AM759" s="125"/>
      <c r="AN759" s="236" t="s">
        <v>3023</v>
      </c>
      <c r="AO759" s="245" t="s">
        <v>3024</v>
      </c>
      <c r="AP759" s="257">
        <f>SUM(AQ759:AR759)</f>
        <v>0</v>
      </c>
      <c r="AQ759" s="258"/>
      <c r="AR759" s="258"/>
      <c r="AS759" s="127"/>
    </row>
    <row r="760" spans="1:45">
      <c r="AL760" s="50"/>
      <c r="AM760" s="125"/>
      <c r="AN760" s="236" t="s">
        <v>3025</v>
      </c>
      <c r="AO760" s="244" t="s">
        <v>2970</v>
      </c>
      <c r="AP760" s="257">
        <f>IF(AP761=0,0,AP759/AP761)</f>
        <v>0</v>
      </c>
      <c r="AQ760" s="258"/>
      <c r="AR760" s="258"/>
      <c r="AS760" s="127"/>
    </row>
    <row r="761" spans="1:45">
      <c r="AL761" s="50"/>
      <c r="AM761" s="125"/>
      <c r="AN761" s="236" t="s">
        <v>3026</v>
      </c>
      <c r="AO761" s="244" t="s">
        <v>3018</v>
      </c>
      <c r="AP761" s="257">
        <f>SUM(AQ761:AR761)</f>
        <v>0</v>
      </c>
      <c r="AQ761" s="258"/>
      <c r="AR761" s="258"/>
      <c r="AS761" s="127"/>
    </row>
    <row r="762" spans="1:45">
      <c r="AL762" s="50"/>
      <c r="AM762" s="125"/>
      <c r="AN762" s="236" t="s">
        <v>3027</v>
      </c>
      <c r="AO762" s="242" t="s">
        <v>3028</v>
      </c>
      <c r="AP762" s="257">
        <f>SUM(AQ762:AR762)</f>
        <v>0</v>
      </c>
      <c r="AQ762" s="258"/>
      <c r="AR762" s="258"/>
      <c r="AS762" s="127"/>
    </row>
    <row r="763" spans="1:45">
      <c r="AL763" s="50"/>
      <c r="AM763" s="125"/>
      <c r="AN763" s="236" t="s">
        <v>3029</v>
      </c>
      <c r="AO763" s="244" t="s">
        <v>2968</v>
      </c>
      <c r="AP763" s="257">
        <f>IF(AP764=0,0,AP762/AP764)</f>
        <v>0</v>
      </c>
      <c r="AQ763" s="258"/>
      <c r="AR763" s="258"/>
      <c r="AS763" s="127"/>
    </row>
    <row r="764" spans="1:45">
      <c r="AL764" s="50"/>
      <c r="AM764" s="125"/>
      <c r="AN764" s="236" t="s">
        <v>3030</v>
      </c>
      <c r="AO764" s="244" t="s">
        <v>2972</v>
      </c>
      <c r="AP764" s="257">
        <f>SUM(AQ764:AR764)</f>
        <v>0</v>
      </c>
      <c r="AQ764" s="258"/>
      <c r="AR764" s="258"/>
      <c r="AS764" s="127"/>
    </row>
    <row r="765" spans="1:45">
      <c r="AL765" s="50"/>
      <c r="AM765" s="125"/>
      <c r="AN765" s="236" t="s">
        <v>3031</v>
      </c>
      <c r="AO765" s="245" t="s">
        <v>3032</v>
      </c>
      <c r="AP765" s="257">
        <f>SUM(AQ765:AR765)</f>
        <v>0</v>
      </c>
      <c r="AQ765" s="258"/>
      <c r="AR765" s="258"/>
      <c r="AS765" s="127"/>
    </row>
    <row r="766" spans="1:45">
      <c r="AL766" s="53"/>
      <c r="AM766" s="126"/>
      <c r="AN766" s="236" t="s">
        <v>3033</v>
      </c>
      <c r="AO766" s="244" t="s">
        <v>2970</v>
      </c>
      <c r="AP766" s="257">
        <f>IF(AP767=0,0,AP765/AP767)</f>
        <v>0</v>
      </c>
      <c r="AQ766" s="258"/>
      <c r="AR766" s="258"/>
      <c r="AS766" s="127"/>
    </row>
    <row r="767" spans="1:45">
      <c r="AL767" s="53"/>
      <c r="AM767" s="126"/>
      <c r="AN767" s="236" t="s">
        <v>3034</v>
      </c>
      <c r="AO767" s="244" t="s">
        <v>3018</v>
      </c>
      <c r="AP767" s="257">
        <f>SUM(AQ767:AR767)</f>
        <v>0</v>
      </c>
      <c r="AQ767" s="258"/>
      <c r="AR767" s="258"/>
      <c r="AS767" s="127"/>
    </row>
    <row r="768" spans="1:45">
      <c r="AL768" s="53"/>
      <c r="AM768" s="126"/>
      <c r="AN768" s="236" t="s">
        <v>3035</v>
      </c>
      <c r="AO768" s="242" t="s">
        <v>3036</v>
      </c>
      <c r="AP768" s="257">
        <f>SUM(AQ768:AR768)</f>
        <v>0</v>
      </c>
      <c r="AQ768" s="258"/>
      <c r="AR768" s="258"/>
      <c r="AS768" s="127"/>
    </row>
    <row r="769" spans="38:45">
      <c r="AL769" s="53"/>
      <c r="AM769" s="126"/>
      <c r="AN769" s="236" t="s">
        <v>3037</v>
      </c>
      <c r="AO769" s="244" t="s">
        <v>2968</v>
      </c>
      <c r="AP769" s="257">
        <f>IF(AP770=0,0,AP768/AP770)</f>
        <v>0</v>
      </c>
      <c r="AQ769" s="258"/>
      <c r="AR769" s="258"/>
      <c r="AS769" s="127"/>
    </row>
    <row r="770" spans="38:45">
      <c r="AL770" s="53"/>
      <c r="AM770" s="126"/>
      <c r="AN770" s="236" t="s">
        <v>3038</v>
      </c>
      <c r="AO770" s="244" t="s">
        <v>2972</v>
      </c>
      <c r="AP770" s="257">
        <f>SUM(AQ770:AR770)</f>
        <v>0</v>
      </c>
      <c r="AQ770" s="258"/>
      <c r="AR770" s="258"/>
      <c r="AS770" s="127"/>
    </row>
    <row r="771" spans="38:45">
      <c r="AL771" s="53"/>
      <c r="AM771" s="126"/>
      <c r="AN771" s="236" t="s">
        <v>3039</v>
      </c>
      <c r="AO771" s="245" t="s">
        <v>3040</v>
      </c>
      <c r="AP771" s="257">
        <f>SUM(AQ771:AR771)</f>
        <v>0</v>
      </c>
      <c r="AQ771" s="258"/>
      <c r="AR771" s="258"/>
      <c r="AS771" s="127"/>
    </row>
    <row r="772" spans="38:45">
      <c r="AL772" s="53"/>
      <c r="AM772" s="126"/>
      <c r="AN772" s="236" t="s">
        <v>3041</v>
      </c>
      <c r="AO772" s="244" t="s">
        <v>2970</v>
      </c>
      <c r="AP772" s="257">
        <f>IF(AP773=0,0,AP771/AP773)</f>
        <v>0</v>
      </c>
      <c r="AQ772" s="258"/>
      <c r="AR772" s="258"/>
      <c r="AS772" s="127"/>
    </row>
    <row r="773" spans="38:45">
      <c r="AL773" s="53"/>
      <c r="AM773" s="126"/>
      <c r="AN773" s="236" t="s">
        <v>3042</v>
      </c>
      <c r="AO773" s="244" t="s">
        <v>3018</v>
      </c>
      <c r="AP773" s="257">
        <f t="shared" ref="AP773:AP779" si="3">SUM(AQ773:AR773)</f>
        <v>0</v>
      </c>
      <c r="AQ773" s="258"/>
      <c r="AR773" s="258"/>
      <c r="AS773" s="127"/>
    </row>
    <row r="774" spans="38:45">
      <c r="AL774" s="50"/>
      <c r="AM774" s="126"/>
      <c r="AN774" s="436" t="s">
        <v>771</v>
      </c>
      <c r="AO774" s="591" t="s">
        <v>3043</v>
      </c>
      <c r="AP774" s="257">
        <f t="shared" si="3"/>
        <v>0</v>
      </c>
      <c r="AQ774" s="258"/>
      <c r="AR774" s="258"/>
      <c r="AS774" s="127"/>
    </row>
    <row r="775" spans="38:45">
      <c r="AL775" s="50"/>
      <c r="AM775" s="126"/>
      <c r="AN775" s="436" t="s">
        <v>772</v>
      </c>
      <c r="AO775" s="592" t="s">
        <v>3044</v>
      </c>
      <c r="AP775" s="257">
        <f t="shared" si="3"/>
        <v>0</v>
      </c>
      <c r="AQ775" s="258"/>
      <c r="AR775" s="258"/>
      <c r="AS775" s="127"/>
    </row>
    <row r="776" spans="38:45">
      <c r="AL776" s="50"/>
      <c r="AM776" s="126"/>
      <c r="AN776" s="236" t="s">
        <v>773</v>
      </c>
      <c r="AO776" s="248" t="s">
        <v>3045</v>
      </c>
      <c r="AP776" s="257">
        <f t="shared" si="3"/>
        <v>0</v>
      </c>
      <c r="AQ776" s="258"/>
      <c r="AR776" s="258"/>
      <c r="AS776" s="127"/>
    </row>
    <row r="777" spans="38:45">
      <c r="AL777" s="50"/>
      <c r="AM777" s="126"/>
      <c r="AN777" s="236" t="s">
        <v>3046</v>
      </c>
      <c r="AO777" s="242" t="s">
        <v>2972</v>
      </c>
      <c r="AP777" s="257">
        <f t="shared" si="3"/>
        <v>0</v>
      </c>
      <c r="AQ777" s="258"/>
      <c r="AR777" s="258"/>
      <c r="AS777" s="127"/>
    </row>
    <row r="778" spans="38:45">
      <c r="AL778" s="50"/>
      <c r="AM778" s="126"/>
      <c r="AN778" s="236" t="s">
        <v>3047</v>
      </c>
      <c r="AO778" s="242" t="s">
        <v>2988</v>
      </c>
      <c r="AP778" s="257">
        <f t="shared" si="3"/>
        <v>0</v>
      </c>
      <c r="AQ778" s="258"/>
      <c r="AR778" s="258"/>
      <c r="AS778" s="127"/>
    </row>
    <row r="779" spans="38:45">
      <c r="AL779" s="50"/>
      <c r="AM779" s="126"/>
      <c r="AN779" s="236" t="s">
        <v>3048</v>
      </c>
      <c r="AO779" s="242" t="s">
        <v>3011</v>
      </c>
      <c r="AP779" s="257">
        <f t="shared" si="3"/>
        <v>0</v>
      </c>
      <c r="AQ779" s="258"/>
      <c r="AR779" s="258"/>
      <c r="AS779" s="127"/>
    </row>
    <row r="780" spans="38:45">
      <c r="AL780" s="50"/>
      <c r="AM780" s="126"/>
      <c r="AN780" s="236" t="s">
        <v>3049</v>
      </c>
      <c r="AO780" s="244" t="s">
        <v>2968</v>
      </c>
      <c r="AP780" s="257">
        <f>IF(AP781=0,0,AP779/AP781)</f>
        <v>0</v>
      </c>
      <c r="AQ780" s="258"/>
      <c r="AR780" s="258"/>
      <c r="AS780" s="127"/>
    </row>
    <row r="781" spans="38:45">
      <c r="AL781" s="50"/>
      <c r="AM781" s="126"/>
      <c r="AN781" s="236" t="s">
        <v>3050</v>
      </c>
      <c r="AO781" s="244" t="s">
        <v>2972</v>
      </c>
      <c r="AP781" s="257">
        <f>SUM(AQ781:AR781)</f>
        <v>0</v>
      </c>
      <c r="AQ781" s="258"/>
      <c r="AR781" s="258"/>
      <c r="AS781" s="127"/>
    </row>
    <row r="782" spans="38:45">
      <c r="AL782" s="50"/>
      <c r="AM782" s="126"/>
      <c r="AN782" s="236" t="s">
        <v>3051</v>
      </c>
      <c r="AO782" s="245" t="s">
        <v>3015</v>
      </c>
      <c r="AP782" s="257">
        <f>SUM(AQ782:AR782)</f>
        <v>0</v>
      </c>
      <c r="AQ782" s="258"/>
      <c r="AR782" s="258"/>
      <c r="AS782" s="127"/>
    </row>
    <row r="783" spans="38:45">
      <c r="AL783" s="50"/>
      <c r="AM783" s="126"/>
      <c r="AN783" s="236" t="s">
        <v>3052</v>
      </c>
      <c r="AO783" s="244" t="s">
        <v>2970</v>
      </c>
      <c r="AP783" s="257">
        <f>IF(AP784=0,0,AP782/AP784)</f>
        <v>0</v>
      </c>
      <c r="AQ783" s="258"/>
      <c r="AR783" s="258"/>
      <c r="AS783" s="127"/>
    </row>
    <row r="784" spans="38:45">
      <c r="AL784" s="50"/>
      <c r="AM784" s="126"/>
      <c r="AN784" s="236" t="s">
        <v>3053</v>
      </c>
      <c r="AO784" s="244" t="s">
        <v>3018</v>
      </c>
      <c r="AP784" s="257">
        <f>SUM(AQ784:AR784)</f>
        <v>0</v>
      </c>
      <c r="AQ784" s="258"/>
      <c r="AR784" s="258"/>
      <c r="AS784" s="127"/>
    </row>
    <row r="785" spans="38:45">
      <c r="AL785" s="50"/>
      <c r="AM785" s="126"/>
      <c r="AN785" s="236" t="s">
        <v>3054</v>
      </c>
      <c r="AO785" s="242" t="s">
        <v>3020</v>
      </c>
      <c r="AP785" s="257">
        <f>SUM(AQ785:AR785)</f>
        <v>0</v>
      </c>
      <c r="AQ785" s="258"/>
      <c r="AR785" s="258"/>
      <c r="AS785" s="127"/>
    </row>
    <row r="786" spans="38:45">
      <c r="AL786" s="50"/>
      <c r="AM786" s="126"/>
      <c r="AN786" s="236" t="s">
        <v>3055</v>
      </c>
      <c r="AO786" s="244" t="s">
        <v>2968</v>
      </c>
      <c r="AP786" s="257">
        <f>IF(AP787=0,0,AP785/AP787)</f>
        <v>0</v>
      </c>
      <c r="AQ786" s="258"/>
      <c r="AR786" s="258"/>
      <c r="AS786" s="127"/>
    </row>
    <row r="787" spans="38:45">
      <c r="AL787" s="50"/>
      <c r="AM787" s="126"/>
      <c r="AN787" s="236" t="s">
        <v>3056</v>
      </c>
      <c r="AO787" s="244" t="s">
        <v>2972</v>
      </c>
      <c r="AP787" s="257">
        <f>SUM(AQ787:AR787)</f>
        <v>0</v>
      </c>
      <c r="AQ787" s="258"/>
      <c r="AR787" s="258"/>
      <c r="AS787" s="127"/>
    </row>
    <row r="788" spans="38:45">
      <c r="AL788" s="50"/>
      <c r="AM788" s="126"/>
      <c r="AN788" s="236" t="s">
        <v>3057</v>
      </c>
      <c r="AO788" s="245" t="s">
        <v>3024</v>
      </c>
      <c r="AP788" s="257">
        <f>SUM(AQ788:AR788)</f>
        <v>0</v>
      </c>
      <c r="AQ788" s="258"/>
      <c r="AR788" s="258"/>
      <c r="AS788" s="127"/>
    </row>
    <row r="789" spans="38:45">
      <c r="AL789" s="50"/>
      <c r="AM789" s="126"/>
      <c r="AN789" s="236" t="s">
        <v>3058</v>
      </c>
      <c r="AO789" s="244" t="s">
        <v>2970</v>
      </c>
      <c r="AP789" s="257">
        <f>IF(AP790=0,0,AP788/AP790)</f>
        <v>0</v>
      </c>
      <c r="AQ789" s="258"/>
      <c r="AR789" s="258"/>
      <c r="AS789" s="127"/>
    </row>
    <row r="790" spans="38:45">
      <c r="AL790" s="50"/>
      <c r="AM790" s="126"/>
      <c r="AN790" s="236" t="s">
        <v>3059</v>
      </c>
      <c r="AO790" s="244" t="s">
        <v>3018</v>
      </c>
      <c r="AP790" s="257">
        <f>SUM(AQ790:AR790)</f>
        <v>0</v>
      </c>
      <c r="AQ790" s="258"/>
      <c r="AR790" s="258"/>
      <c r="AS790" s="127"/>
    </row>
    <row r="791" spans="38:45">
      <c r="AL791" s="50"/>
      <c r="AM791" s="126"/>
      <c r="AN791" s="236" t="s">
        <v>3060</v>
      </c>
      <c r="AO791" s="242" t="s">
        <v>3028</v>
      </c>
      <c r="AP791" s="257">
        <f>SUM(AQ791:AR791)</f>
        <v>0</v>
      </c>
      <c r="AQ791" s="258"/>
      <c r="AR791" s="258"/>
      <c r="AS791" s="127"/>
    </row>
    <row r="792" spans="38:45">
      <c r="AL792" s="50"/>
      <c r="AM792" s="126"/>
      <c r="AN792" s="236" t="s">
        <v>3061</v>
      </c>
      <c r="AO792" s="244" t="s">
        <v>2968</v>
      </c>
      <c r="AP792" s="257">
        <f>IF(AP793=0,0,AP791/AP793)</f>
        <v>0</v>
      </c>
      <c r="AQ792" s="258"/>
      <c r="AR792" s="258"/>
      <c r="AS792" s="127"/>
    </row>
    <row r="793" spans="38:45">
      <c r="AL793" s="50"/>
      <c r="AM793" s="126"/>
      <c r="AN793" s="236" t="s">
        <v>3062</v>
      </c>
      <c r="AO793" s="244" t="s">
        <v>2972</v>
      </c>
      <c r="AP793" s="257">
        <f>SUM(AQ793:AR793)</f>
        <v>0</v>
      </c>
      <c r="AQ793" s="258"/>
      <c r="AR793" s="258"/>
      <c r="AS793" s="127"/>
    </row>
    <row r="794" spans="38:45">
      <c r="AL794" s="50"/>
      <c r="AM794" s="126"/>
      <c r="AN794" s="236" t="s">
        <v>3063</v>
      </c>
      <c r="AO794" s="245" t="s">
        <v>3032</v>
      </c>
      <c r="AP794" s="257">
        <f>SUM(AQ794:AR794)</f>
        <v>0</v>
      </c>
      <c r="AQ794" s="258"/>
      <c r="AR794" s="258"/>
      <c r="AS794" s="127"/>
    </row>
    <row r="795" spans="38:45">
      <c r="AL795" s="50"/>
      <c r="AM795" s="126"/>
      <c r="AN795" s="236" t="s">
        <v>3064</v>
      </c>
      <c r="AO795" s="244" t="s">
        <v>2970</v>
      </c>
      <c r="AP795" s="257">
        <f>IF(AP796=0,0,AP794/AP796)</f>
        <v>0</v>
      </c>
      <c r="AQ795" s="258"/>
      <c r="AR795" s="258"/>
      <c r="AS795" s="127"/>
    </row>
    <row r="796" spans="38:45">
      <c r="AL796" s="50"/>
      <c r="AM796" s="126"/>
      <c r="AN796" s="236" t="s">
        <v>3065</v>
      </c>
      <c r="AO796" s="244" t="s">
        <v>3018</v>
      </c>
      <c r="AP796" s="257">
        <f>SUM(AQ796:AR796)</f>
        <v>0</v>
      </c>
      <c r="AQ796" s="258"/>
      <c r="AR796" s="258"/>
      <c r="AS796" s="127"/>
    </row>
    <row r="797" spans="38:45">
      <c r="AL797" s="50"/>
      <c r="AM797" s="126"/>
      <c r="AN797" s="236" t="s">
        <v>3066</v>
      </c>
      <c r="AO797" s="242" t="s">
        <v>3036</v>
      </c>
      <c r="AP797" s="257">
        <f>SUM(AQ797:AR797)</f>
        <v>0</v>
      </c>
      <c r="AQ797" s="258"/>
      <c r="AR797" s="258"/>
      <c r="AS797" s="127"/>
    </row>
    <row r="798" spans="38:45">
      <c r="AL798" s="50"/>
      <c r="AM798" s="126"/>
      <c r="AN798" s="236" t="s">
        <v>3067</v>
      </c>
      <c r="AO798" s="244" t="s">
        <v>2968</v>
      </c>
      <c r="AP798" s="257">
        <f>IF(AP799=0,0,AP797/AP799)</f>
        <v>0</v>
      </c>
      <c r="AQ798" s="258"/>
      <c r="AR798" s="258"/>
      <c r="AS798" s="127"/>
    </row>
    <row r="799" spans="38:45">
      <c r="AL799" s="50"/>
      <c r="AM799" s="126"/>
      <c r="AN799" s="236" t="s">
        <v>3068</v>
      </c>
      <c r="AO799" s="244" t="s">
        <v>2972</v>
      </c>
      <c r="AP799" s="257">
        <f>SUM(AQ799:AR799)</f>
        <v>0</v>
      </c>
      <c r="AQ799" s="258"/>
      <c r="AR799" s="258"/>
      <c r="AS799" s="127"/>
    </row>
    <row r="800" spans="38:45">
      <c r="AL800" s="50"/>
      <c r="AM800" s="126"/>
      <c r="AN800" s="236" t="s">
        <v>3069</v>
      </c>
      <c r="AO800" s="245" t="s">
        <v>3040</v>
      </c>
      <c r="AP800" s="257">
        <f>SUM(AQ800:AR800)</f>
        <v>0</v>
      </c>
      <c r="AQ800" s="258"/>
      <c r="AR800" s="258"/>
      <c r="AS800" s="127"/>
    </row>
    <row r="801" spans="38:45">
      <c r="AL801" s="50"/>
      <c r="AM801" s="126"/>
      <c r="AN801" s="236" t="s">
        <v>3070</v>
      </c>
      <c r="AO801" s="244" t="s">
        <v>2970</v>
      </c>
      <c r="AP801" s="257">
        <f>IF(AP802=0,0,AP800/AP802)</f>
        <v>0</v>
      </c>
      <c r="AQ801" s="258"/>
      <c r="AR801" s="258"/>
      <c r="AS801" s="127"/>
    </row>
    <row r="802" spans="38:45">
      <c r="AL802" s="50"/>
      <c r="AM802" s="126"/>
      <c r="AN802" s="236" t="s">
        <v>3071</v>
      </c>
      <c r="AO802" s="244" t="s">
        <v>3018</v>
      </c>
      <c r="AP802" s="257">
        <f>SUM(AQ802:AR802)</f>
        <v>0</v>
      </c>
      <c r="AQ802" s="258"/>
      <c r="AR802" s="258"/>
      <c r="AS802" s="127"/>
    </row>
    <row r="803" spans="38:45" ht="11.25" customHeight="1">
      <c r="AL803" s="50"/>
      <c r="AM803" s="126"/>
      <c r="AN803" s="234" t="s">
        <v>3072</v>
      </c>
      <c r="AO803" s="235" t="s">
        <v>799</v>
      </c>
      <c r="AP803" s="257">
        <f>SUM(AQ803:AR803)</f>
        <v>0</v>
      </c>
      <c r="AQ803" s="258"/>
      <c r="AR803" s="258"/>
      <c r="AS803" s="127"/>
    </row>
    <row r="804" spans="38:45" ht="22.5">
      <c r="AL804" s="50"/>
      <c r="AM804" s="126"/>
      <c r="AN804" s="279" t="s">
        <v>2793</v>
      </c>
      <c r="AO804" s="488" t="s">
        <v>2782</v>
      </c>
      <c r="AP804" s="257">
        <f>IF(AP805&lt;&gt;0,(1000*AP803/AP805)/$AN$8,0)</f>
        <v>0</v>
      </c>
      <c r="AQ804" s="258"/>
      <c r="AR804" s="258"/>
      <c r="AS804" s="127"/>
    </row>
    <row r="805" spans="38:45">
      <c r="AL805" s="50"/>
      <c r="AM805" s="126"/>
      <c r="AN805" s="279" t="s">
        <v>2794</v>
      </c>
      <c r="AO805" s="488" t="s">
        <v>2783</v>
      </c>
      <c r="AP805" s="257">
        <f>SUM(AQ805:AR805)</f>
        <v>0</v>
      </c>
      <c r="AQ805" s="258"/>
      <c r="AR805" s="258"/>
      <c r="AS805" s="127"/>
    </row>
    <row r="806" spans="38:45" ht="22.5">
      <c r="AL806" s="50"/>
      <c r="AM806" s="126"/>
      <c r="AN806" s="279" t="s">
        <v>204</v>
      </c>
      <c r="AO806" s="488" t="s">
        <v>120</v>
      </c>
      <c r="AP806" s="263"/>
      <c r="AQ806" s="258"/>
      <c r="AR806" s="258"/>
      <c r="AS806" s="127"/>
    </row>
    <row r="807" spans="38:45">
      <c r="AL807" s="50"/>
      <c r="AM807" s="126"/>
      <c r="AN807" s="236" t="s">
        <v>75</v>
      </c>
      <c r="AO807" s="224" t="s">
        <v>1832</v>
      </c>
      <c r="AP807" s="257">
        <f>SUM(AQ807:AR807)</f>
        <v>0</v>
      </c>
      <c r="AQ807" s="258"/>
      <c r="AR807" s="258"/>
      <c r="AS807" s="127"/>
    </row>
    <row r="808" spans="38:45" ht="22.5">
      <c r="AL808" s="50"/>
      <c r="AM808" s="126"/>
      <c r="AN808" s="236" t="s">
        <v>1833</v>
      </c>
      <c r="AO808" s="225" t="s">
        <v>1834</v>
      </c>
      <c r="AP808" s="257">
        <f>IF(AP809&lt;&gt;0,(1000*AP807/AP809)/$AN$8,0)</f>
        <v>0</v>
      </c>
      <c r="AQ808" s="258"/>
      <c r="AR808" s="258"/>
      <c r="AS808" s="127"/>
    </row>
    <row r="809" spans="38:45" ht="22.5">
      <c r="AL809" s="50"/>
      <c r="AM809" s="126"/>
      <c r="AN809" s="236" t="s">
        <v>1835</v>
      </c>
      <c r="AO809" s="225" t="s">
        <v>1836</v>
      </c>
      <c r="AP809" s="257">
        <f>SUM(AQ809:AR809)</f>
        <v>0</v>
      </c>
      <c r="AQ809" s="258"/>
      <c r="AR809" s="258"/>
      <c r="AS809" s="127"/>
    </row>
    <row r="810" spans="38:45">
      <c r="AL810" s="50"/>
      <c r="AM810" s="126"/>
      <c r="AN810" s="236" t="s">
        <v>208</v>
      </c>
      <c r="AO810" s="488" t="s">
        <v>119</v>
      </c>
      <c r="AP810" s="263"/>
      <c r="AQ810" s="258"/>
      <c r="AR810" s="258"/>
      <c r="AS810" s="127"/>
    </row>
    <row r="811" spans="38:45">
      <c r="AL811" s="50"/>
      <c r="AM811" s="126"/>
      <c r="AN811" s="236" t="s">
        <v>209</v>
      </c>
      <c r="AO811" s="488" t="s">
        <v>121</v>
      </c>
      <c r="AP811" s="263"/>
      <c r="AQ811" s="258"/>
      <c r="AR811" s="258"/>
      <c r="AS811" s="127"/>
    </row>
    <row r="812" spans="38:45">
      <c r="AL812" s="50"/>
      <c r="AM812" s="126"/>
      <c r="AN812" s="236" t="s">
        <v>210</v>
      </c>
      <c r="AO812" s="488" t="s">
        <v>122</v>
      </c>
      <c r="AP812" s="263"/>
      <c r="AQ812" s="258"/>
      <c r="AR812" s="258"/>
      <c r="AS812" s="127"/>
    </row>
    <row r="813" spans="38:45">
      <c r="AL813" s="50"/>
      <c r="AM813" s="126"/>
      <c r="AN813" s="236" t="s">
        <v>62</v>
      </c>
      <c r="AO813" s="224" t="s">
        <v>1838</v>
      </c>
      <c r="AP813" s="257">
        <f>SUM(AQ813:AR813)</f>
        <v>0</v>
      </c>
      <c r="AQ813" s="258"/>
      <c r="AR813" s="258"/>
      <c r="AS813" s="127"/>
    </row>
    <row r="814" spans="38:45">
      <c r="AL814" s="50"/>
      <c r="AM814" s="126"/>
      <c r="AN814" s="236" t="s">
        <v>1837</v>
      </c>
      <c r="AO814" s="228" t="s">
        <v>1839</v>
      </c>
      <c r="AP814" s="257">
        <f>IF(AP815&lt;&gt;0,(1000*AP813/AP815)/$AN$8,0)</f>
        <v>0</v>
      </c>
      <c r="AQ814" s="258"/>
      <c r="AR814" s="258"/>
      <c r="AS814" s="127"/>
    </row>
    <row r="815" spans="38:45" ht="22.5">
      <c r="AL815" s="50"/>
      <c r="AM815" s="126"/>
      <c r="AN815" s="236" t="s">
        <v>1840</v>
      </c>
      <c r="AO815" s="228" t="s">
        <v>1841</v>
      </c>
      <c r="AP815" s="257">
        <f>SUM(AQ815:AR815)</f>
        <v>0</v>
      </c>
      <c r="AQ815" s="258"/>
      <c r="AR815" s="258"/>
      <c r="AS815" s="127"/>
    </row>
    <row r="816" spans="38:45">
      <c r="AL816" s="50"/>
      <c r="AM816" s="126"/>
      <c r="AN816" s="236" t="s">
        <v>205</v>
      </c>
      <c r="AO816" s="488" t="s">
        <v>119</v>
      </c>
      <c r="AP816" s="263"/>
      <c r="AQ816" s="258"/>
      <c r="AR816" s="258"/>
      <c r="AS816" s="127"/>
    </row>
    <row r="817" spans="38:45">
      <c r="AL817" s="50"/>
      <c r="AM817" s="126"/>
      <c r="AN817" s="236" t="s">
        <v>206</v>
      </c>
      <c r="AO817" s="488" t="s">
        <v>121</v>
      </c>
      <c r="AP817" s="263"/>
      <c r="AQ817" s="258"/>
      <c r="AR817" s="258"/>
      <c r="AS817" s="127"/>
    </row>
    <row r="818" spans="38:45">
      <c r="AL818" s="50"/>
      <c r="AM818" s="126"/>
      <c r="AN818" s="236" t="s">
        <v>207</v>
      </c>
      <c r="AO818" s="488" t="s">
        <v>122</v>
      </c>
      <c r="AP818" s="263"/>
      <c r="AQ818" s="258"/>
      <c r="AR818" s="258"/>
      <c r="AS818" s="127"/>
    </row>
    <row r="819" spans="38:45">
      <c r="AL819" s="50"/>
      <c r="AM819" s="126"/>
      <c r="AN819" s="236" t="s">
        <v>68</v>
      </c>
      <c r="AO819" s="224" t="s">
        <v>1843</v>
      </c>
      <c r="AP819" s="257">
        <f>SUM(AQ819:AR819)</f>
        <v>0</v>
      </c>
      <c r="AQ819" s="258"/>
      <c r="AR819" s="258"/>
      <c r="AS819" s="127"/>
    </row>
    <row r="820" spans="38:45">
      <c r="AL820" s="50"/>
      <c r="AM820" s="126"/>
      <c r="AN820" s="236" t="s">
        <v>71</v>
      </c>
      <c r="AO820" s="228" t="s">
        <v>1844</v>
      </c>
      <c r="AP820" s="257">
        <f>IF(AP821&lt;&gt;0,(1000*AP819/AP821)/$AN$8,0)</f>
        <v>0</v>
      </c>
      <c r="AQ820" s="258"/>
      <c r="AR820" s="258"/>
      <c r="AS820" s="127"/>
    </row>
    <row r="821" spans="38:45" ht="22.5">
      <c r="AL821" s="50"/>
      <c r="AM821" s="126"/>
      <c r="AN821" s="236" t="s">
        <v>1845</v>
      </c>
      <c r="AO821" s="228" t="s">
        <v>1846</v>
      </c>
      <c r="AP821" s="257">
        <f>SUM(AQ821:AR821)</f>
        <v>0</v>
      </c>
      <c r="AQ821" s="258"/>
      <c r="AR821" s="258"/>
      <c r="AS821" s="127"/>
    </row>
    <row r="822" spans="38:45">
      <c r="AL822" s="50"/>
      <c r="AM822" s="126"/>
      <c r="AN822" s="236" t="s">
        <v>1848</v>
      </c>
      <c r="AO822" s="224" t="s">
        <v>1849</v>
      </c>
      <c r="AP822" s="257">
        <f>SUM(AQ822:AR822)</f>
        <v>0</v>
      </c>
      <c r="AQ822" s="258"/>
      <c r="AR822" s="258"/>
      <c r="AS822" s="127"/>
    </row>
    <row r="823" spans="38:45">
      <c r="AL823" s="50"/>
      <c r="AM823" s="126"/>
      <c r="AN823" s="236" t="s">
        <v>1850</v>
      </c>
      <c r="AO823" s="228" t="s">
        <v>1851</v>
      </c>
      <c r="AP823" s="257">
        <f>IF(AP824&lt;&gt;0,(1000*AP822/AP824)/$AN$8,0)</f>
        <v>0</v>
      </c>
      <c r="AQ823" s="258"/>
      <c r="AR823" s="258"/>
      <c r="AS823" s="127"/>
    </row>
    <row r="824" spans="38:45" ht="22.5">
      <c r="AL824" s="50"/>
      <c r="AM824" s="126"/>
      <c r="AN824" s="236" t="s">
        <v>1852</v>
      </c>
      <c r="AO824" s="225" t="s">
        <v>1853</v>
      </c>
      <c r="AP824" s="257">
        <f>SUM(AQ824:AR824)</f>
        <v>0</v>
      </c>
      <c r="AQ824" s="258"/>
      <c r="AR824" s="258"/>
      <c r="AS824" s="127"/>
    </row>
    <row r="825" spans="38:45" ht="22.5">
      <c r="AL825" s="50"/>
      <c r="AM825" s="126"/>
      <c r="AN825" s="236" t="s">
        <v>1855</v>
      </c>
      <c r="AO825" s="224" t="s">
        <v>1856</v>
      </c>
      <c r="AP825" s="257">
        <f>SUM(AQ825:AR825)</f>
        <v>0</v>
      </c>
      <c r="AQ825" s="258"/>
      <c r="AR825" s="258"/>
      <c r="AS825" s="127"/>
    </row>
    <row r="826" spans="38:45" ht="22.5">
      <c r="AL826" s="50"/>
      <c r="AM826" s="126"/>
      <c r="AN826" s="236" t="s">
        <v>1857</v>
      </c>
      <c r="AO826" s="228" t="s">
        <v>2307</v>
      </c>
      <c r="AP826" s="257">
        <f>IF(AP827&lt;&gt;0,(1000*AP825/AP827)/$AN$8,0)</f>
        <v>0</v>
      </c>
      <c r="AQ826" s="258"/>
      <c r="AR826" s="258"/>
      <c r="AS826" s="127"/>
    </row>
    <row r="827" spans="38:45" ht="22.5">
      <c r="AL827" s="50"/>
      <c r="AM827" s="126"/>
      <c r="AN827" s="236" t="s">
        <v>1859</v>
      </c>
      <c r="AO827" s="225" t="s">
        <v>1860</v>
      </c>
      <c r="AP827" s="257">
        <f t="shared" ref="AP827:AP844" si="4">SUM(AQ827:AR827)</f>
        <v>0</v>
      </c>
      <c r="AQ827" s="258"/>
      <c r="AR827" s="258"/>
      <c r="AS827" s="127"/>
    </row>
    <row r="828" spans="38:45">
      <c r="AL828" s="50"/>
      <c r="AM828" s="126"/>
      <c r="AN828" s="234" t="s">
        <v>2412</v>
      </c>
      <c r="AO828" s="235" t="s">
        <v>2413</v>
      </c>
      <c r="AP828" s="257">
        <f t="shared" si="4"/>
        <v>0</v>
      </c>
      <c r="AQ828" s="258"/>
      <c r="AR828" s="258"/>
      <c r="AS828" s="127"/>
    </row>
    <row r="829" spans="38:45" ht="22.5">
      <c r="AL829" s="50"/>
      <c r="AM829" s="126"/>
      <c r="AN829" s="236" t="s">
        <v>2414</v>
      </c>
      <c r="AO829" s="224" t="s">
        <v>2415</v>
      </c>
      <c r="AP829" s="257">
        <f t="shared" si="4"/>
        <v>0</v>
      </c>
      <c r="AQ829" s="258"/>
      <c r="AR829" s="258"/>
      <c r="AS829" s="127"/>
    </row>
    <row r="830" spans="38:45" ht="22.5">
      <c r="AL830" s="50"/>
      <c r="AM830" s="126"/>
      <c r="AN830" s="236" t="s">
        <v>2416</v>
      </c>
      <c r="AO830" s="224" t="s">
        <v>2417</v>
      </c>
      <c r="AP830" s="257">
        <f t="shared" si="4"/>
        <v>0</v>
      </c>
      <c r="AQ830" s="258"/>
      <c r="AR830" s="258"/>
      <c r="AS830" s="127"/>
    </row>
    <row r="831" spans="38:45" ht="22.5">
      <c r="AL831" s="50"/>
      <c r="AM831" s="126"/>
      <c r="AN831" s="236" t="s">
        <v>2419</v>
      </c>
      <c r="AO831" s="224" t="s">
        <v>2420</v>
      </c>
      <c r="AP831" s="257">
        <f t="shared" si="4"/>
        <v>0</v>
      </c>
      <c r="AQ831" s="258"/>
      <c r="AR831" s="258"/>
      <c r="AS831" s="127"/>
    </row>
    <row r="832" spans="38:45">
      <c r="AL832" s="50"/>
      <c r="AM832" s="126"/>
      <c r="AN832" s="236" t="s">
        <v>2422</v>
      </c>
      <c r="AO832" s="224" t="s">
        <v>2423</v>
      </c>
      <c r="AP832" s="257">
        <f t="shared" si="4"/>
        <v>0</v>
      </c>
      <c r="AQ832" s="258"/>
      <c r="AR832" s="258"/>
      <c r="AS832" s="127"/>
    </row>
    <row r="833" spans="38:45">
      <c r="AL833" s="50"/>
      <c r="AM833" s="126"/>
      <c r="AN833" s="236" t="s">
        <v>2425</v>
      </c>
      <c r="AO833" s="224" t="s">
        <v>2426</v>
      </c>
      <c r="AP833" s="257">
        <f t="shared" si="4"/>
        <v>0</v>
      </c>
      <c r="AQ833" s="258"/>
      <c r="AR833" s="258"/>
      <c r="AS833" s="127"/>
    </row>
    <row r="834" spans="38:45" ht="22.5">
      <c r="AL834" s="50"/>
      <c r="AM834" s="126"/>
      <c r="AN834" s="236" t="s">
        <v>2427</v>
      </c>
      <c r="AO834" s="235" t="s">
        <v>2428</v>
      </c>
      <c r="AP834" s="257">
        <f t="shared" si="4"/>
        <v>0</v>
      </c>
      <c r="AQ834" s="258"/>
      <c r="AR834" s="258"/>
      <c r="AS834" s="127"/>
    </row>
    <row r="835" spans="38:45" ht="33.75">
      <c r="AL835" s="50"/>
      <c r="AM835" s="126"/>
      <c r="AN835" s="234" t="s">
        <v>2429</v>
      </c>
      <c r="AO835" s="224" t="s">
        <v>2430</v>
      </c>
      <c r="AP835" s="257">
        <f t="shared" si="4"/>
        <v>0</v>
      </c>
      <c r="AQ835" s="258"/>
      <c r="AR835" s="258"/>
      <c r="AS835" s="127"/>
    </row>
    <row r="836" spans="38:45">
      <c r="AL836" s="50"/>
      <c r="AM836" s="126"/>
      <c r="AN836" s="234" t="s">
        <v>2431</v>
      </c>
      <c r="AO836" s="235" t="s">
        <v>2432</v>
      </c>
      <c r="AP836" s="257">
        <f t="shared" si="4"/>
        <v>0</v>
      </c>
      <c r="AQ836" s="258"/>
      <c r="AR836" s="258"/>
      <c r="AS836" s="127"/>
    </row>
    <row r="837" spans="38:45" ht="22.5">
      <c r="AL837" s="50"/>
      <c r="AM837" s="126"/>
      <c r="AN837" s="236" t="s">
        <v>1842</v>
      </c>
      <c r="AO837" s="224" t="s">
        <v>2433</v>
      </c>
      <c r="AP837" s="257">
        <f t="shared" si="4"/>
        <v>0</v>
      </c>
      <c r="AQ837" s="258"/>
      <c r="AR837" s="258"/>
      <c r="AS837" s="127"/>
    </row>
    <row r="838" spans="38:45">
      <c r="AL838" s="50"/>
      <c r="AM838" s="126"/>
      <c r="AN838" s="236" t="s">
        <v>2418</v>
      </c>
      <c r="AO838" s="224" t="s">
        <v>2434</v>
      </c>
      <c r="AP838" s="257">
        <f t="shared" si="4"/>
        <v>0</v>
      </c>
      <c r="AQ838" s="258"/>
      <c r="AR838" s="258"/>
      <c r="AS838" s="127"/>
    </row>
    <row r="839" spans="38:45">
      <c r="AL839" s="50"/>
      <c r="AM839" s="126"/>
      <c r="AN839" s="236" t="s">
        <v>2435</v>
      </c>
      <c r="AO839" s="224" t="s">
        <v>2436</v>
      </c>
      <c r="AP839" s="257">
        <f t="shared" si="4"/>
        <v>0</v>
      </c>
      <c r="AQ839" s="258"/>
      <c r="AR839" s="258"/>
      <c r="AS839" s="127"/>
    </row>
    <row r="840" spans="38:45" ht="22.5">
      <c r="AL840" s="50"/>
      <c r="AM840" s="126"/>
      <c r="AN840" s="236" t="s">
        <v>2437</v>
      </c>
      <c r="AO840" s="224" t="s">
        <v>2438</v>
      </c>
      <c r="AP840" s="257">
        <f t="shared" si="4"/>
        <v>0</v>
      </c>
      <c r="AQ840" s="258"/>
      <c r="AR840" s="258"/>
      <c r="AS840" s="127"/>
    </row>
    <row r="841" spans="38:45">
      <c r="AL841" s="50"/>
      <c r="AM841" s="126"/>
      <c r="AN841" s="236" t="s">
        <v>2439</v>
      </c>
      <c r="AO841" s="224" t="s">
        <v>2440</v>
      </c>
      <c r="AP841" s="257">
        <f t="shared" si="4"/>
        <v>0</v>
      </c>
      <c r="AQ841" s="258"/>
      <c r="AR841" s="258"/>
      <c r="AS841" s="127"/>
    </row>
    <row r="842" spans="38:45">
      <c r="AL842" s="50"/>
      <c r="AM842" s="126"/>
      <c r="AN842" s="236" t="s">
        <v>2441</v>
      </c>
      <c r="AO842" s="224" t="s">
        <v>2442</v>
      </c>
      <c r="AP842" s="257">
        <f t="shared" si="4"/>
        <v>0</v>
      </c>
      <c r="AQ842" s="258"/>
      <c r="AR842" s="258"/>
      <c r="AS842" s="127"/>
    </row>
    <row r="843" spans="38:45">
      <c r="AL843" s="50"/>
      <c r="AM843" s="126"/>
      <c r="AN843" s="236" t="s">
        <v>2443</v>
      </c>
      <c r="AO843" s="224" t="s">
        <v>2444</v>
      </c>
      <c r="AP843" s="257">
        <f t="shared" si="4"/>
        <v>0</v>
      </c>
      <c r="AQ843" s="258"/>
      <c r="AR843" s="258"/>
      <c r="AS843" s="127"/>
    </row>
    <row r="844" spans="38:45">
      <c r="AL844" s="50"/>
      <c r="AM844" s="126"/>
      <c r="AN844" s="236" t="s">
        <v>842</v>
      </c>
      <c r="AO844" s="224" t="s">
        <v>843</v>
      </c>
      <c r="AP844" s="257">
        <f t="shared" si="4"/>
        <v>0</v>
      </c>
      <c r="AQ844" s="258"/>
      <c r="AR844" s="258"/>
      <c r="AS844" s="127"/>
    </row>
    <row r="845" spans="38:45" ht="0.75" customHeight="1">
      <c r="AL845" s="50"/>
      <c r="AM845" s="126"/>
      <c r="AN845" s="223"/>
      <c r="AO845" s="728"/>
      <c r="AP845" s="260"/>
      <c r="AQ845" s="258"/>
      <c r="AR845" s="258"/>
      <c r="AS845" s="127"/>
    </row>
    <row r="846" spans="38:45" ht="0.75" customHeight="1">
      <c r="AL846" s="50"/>
      <c r="AM846" s="126"/>
      <c r="AN846" s="223"/>
      <c r="AO846" s="728"/>
      <c r="AP846" s="260"/>
      <c r="AQ846" s="258"/>
      <c r="AR846" s="258"/>
      <c r="AS846" s="127"/>
    </row>
    <row r="847" spans="38:45" ht="0.75" customHeight="1">
      <c r="AL847" s="50"/>
      <c r="AM847" s="126"/>
      <c r="AN847" s="223"/>
      <c r="AO847" s="728"/>
      <c r="AP847" s="260"/>
      <c r="AQ847" s="258"/>
      <c r="AR847" s="258"/>
      <c r="AS847" s="127"/>
    </row>
    <row r="848" spans="38:45" ht="0.75" customHeight="1">
      <c r="AL848" s="50"/>
      <c r="AM848" s="126"/>
      <c r="AN848" s="223"/>
      <c r="AO848" s="728"/>
      <c r="AP848" s="260"/>
      <c r="AQ848" s="258"/>
      <c r="AR848" s="258"/>
      <c r="AS848" s="127"/>
    </row>
    <row r="849" spans="38:45" ht="0.75" customHeight="1">
      <c r="AL849" s="50"/>
      <c r="AM849" s="126"/>
      <c r="AN849" s="223"/>
      <c r="AO849" s="728"/>
      <c r="AP849" s="260"/>
      <c r="AQ849" s="258"/>
      <c r="AR849" s="258"/>
      <c r="AS849" s="127"/>
    </row>
    <row r="850" spans="38:45" ht="0.75" customHeight="1">
      <c r="AL850" s="50"/>
      <c r="AM850" s="126"/>
      <c r="AN850" s="223"/>
      <c r="AO850" s="728"/>
      <c r="AP850" s="260"/>
      <c r="AQ850" s="258"/>
      <c r="AR850" s="258"/>
      <c r="AS850" s="127"/>
    </row>
    <row r="851" spans="38:45" hidden="1">
      <c r="AL851" s="50"/>
      <c r="AM851" s="126"/>
      <c r="AN851" s="236"/>
      <c r="AO851" s="224"/>
      <c r="AP851" s="260"/>
      <c r="AQ851" s="258"/>
      <c r="AR851" s="258"/>
      <c r="AS851" s="127"/>
    </row>
    <row r="852" spans="38:45" hidden="1">
      <c r="AL852" s="50"/>
      <c r="AM852" s="126"/>
      <c r="AN852" s="236"/>
      <c r="AO852" s="224"/>
      <c r="AP852" s="260"/>
      <c r="AQ852" s="258"/>
      <c r="AR852" s="258"/>
      <c r="AS852" s="127"/>
    </row>
    <row r="853" spans="38:45">
      <c r="AL853" s="50"/>
      <c r="AM853" s="126"/>
      <c r="AN853" s="236" t="s">
        <v>844</v>
      </c>
      <c r="AO853" s="235" t="s">
        <v>853</v>
      </c>
      <c r="AP853" s="257">
        <f>SUM(AQ853:AR853)</f>
        <v>0</v>
      </c>
      <c r="AQ853" s="258"/>
      <c r="AR853" s="258"/>
      <c r="AS853" s="127"/>
    </row>
    <row r="854" spans="38:45">
      <c r="AL854" s="50"/>
      <c r="AM854" s="126"/>
      <c r="AN854" s="234" t="s">
        <v>854</v>
      </c>
      <c r="AO854" s="205" t="s">
        <v>76</v>
      </c>
      <c r="AP854" s="257">
        <f>SUM(AQ854:AR854)</f>
        <v>0</v>
      </c>
      <c r="AQ854" s="258"/>
      <c r="AR854" s="258"/>
      <c r="AS854" s="127"/>
    </row>
    <row r="855" spans="38:45" ht="0.75" customHeight="1">
      <c r="AL855" s="50"/>
      <c r="AM855" s="126"/>
      <c r="AN855" s="236"/>
      <c r="AO855" s="235"/>
      <c r="AP855" s="260"/>
      <c r="AQ855" s="258"/>
      <c r="AR855" s="258"/>
      <c r="AS855" s="127"/>
    </row>
    <row r="856" spans="38:45" ht="0.75" customHeight="1">
      <c r="AL856" s="50"/>
      <c r="AM856" s="126"/>
      <c r="AN856" s="236"/>
      <c r="AO856" s="205"/>
      <c r="AP856" s="260"/>
      <c r="AQ856" s="258"/>
      <c r="AR856" s="258"/>
      <c r="AS856" s="127"/>
    </row>
    <row r="857" spans="38:45" ht="0.75" customHeight="1">
      <c r="AL857" s="50"/>
      <c r="AM857" s="126"/>
      <c r="AN857" s="236"/>
      <c r="AO857" s="205"/>
      <c r="AP857" s="260"/>
      <c r="AQ857" s="258"/>
      <c r="AR857" s="258"/>
      <c r="AS857" s="127"/>
    </row>
    <row r="858" spans="38:45" ht="0.75" customHeight="1">
      <c r="AL858" s="50"/>
      <c r="AM858" s="126"/>
      <c r="AN858" s="236"/>
      <c r="AO858" s="205"/>
      <c r="AP858" s="260"/>
      <c r="AQ858" s="258"/>
      <c r="AR858" s="258"/>
      <c r="AS858" s="127"/>
    </row>
    <row r="859" spans="38:45" ht="0.75" customHeight="1">
      <c r="AL859" s="50"/>
      <c r="AM859" s="126"/>
      <c r="AN859" s="236"/>
      <c r="AO859" s="205"/>
      <c r="AP859" s="260"/>
      <c r="AQ859" s="258"/>
      <c r="AR859" s="258"/>
      <c r="AS859" s="127"/>
    </row>
    <row r="860" spans="38:45" ht="0.75" customHeight="1">
      <c r="AL860" s="50"/>
      <c r="AM860" s="126"/>
      <c r="AN860" s="236"/>
      <c r="AO860" s="205"/>
      <c r="AP860" s="260"/>
      <c r="AQ860" s="258"/>
      <c r="AR860" s="258"/>
      <c r="AS860" s="127"/>
    </row>
    <row r="861" spans="38:45" ht="0.75" customHeight="1">
      <c r="AL861" s="50"/>
      <c r="AM861" s="126"/>
      <c r="AN861" s="236"/>
      <c r="AO861" s="229"/>
      <c r="AP861" s="260"/>
      <c r="AQ861" s="258"/>
      <c r="AR861" s="258"/>
      <c r="AS861" s="127"/>
    </row>
    <row r="862" spans="38:45" ht="0.75" customHeight="1">
      <c r="AL862" s="50"/>
      <c r="AM862" s="126"/>
      <c r="AN862" s="236"/>
      <c r="AO862" s="229"/>
      <c r="AP862" s="260"/>
      <c r="AQ862" s="258"/>
      <c r="AR862" s="258"/>
      <c r="AS862" s="127"/>
    </row>
    <row r="863" spans="38:45" ht="0.75" customHeight="1">
      <c r="AL863" s="53"/>
      <c r="AM863" s="126"/>
      <c r="AN863" s="236"/>
      <c r="AO863" s="229"/>
      <c r="AP863" s="260"/>
      <c r="AQ863" s="258"/>
      <c r="AR863" s="258"/>
      <c r="AS863" s="127"/>
    </row>
    <row r="864" spans="38:45" ht="0.75" customHeight="1">
      <c r="AL864" s="53"/>
      <c r="AM864" s="126"/>
      <c r="AN864" s="234"/>
      <c r="AO864" s="249"/>
      <c r="AP864" s="260"/>
      <c r="AQ864" s="258"/>
      <c r="AR864" s="258"/>
      <c r="AS864" s="127"/>
    </row>
    <row r="865" spans="38:45" ht="0.75" customHeight="1">
      <c r="AL865" s="53"/>
      <c r="AM865" s="126"/>
      <c r="AN865" s="236"/>
      <c r="AO865" s="205"/>
      <c r="AP865" s="260"/>
      <c r="AQ865" s="258"/>
      <c r="AR865" s="258"/>
      <c r="AS865" s="127"/>
    </row>
    <row r="866" spans="38:45" ht="0.75" customHeight="1">
      <c r="AL866" s="53"/>
      <c r="AM866" s="126"/>
      <c r="AN866" s="236"/>
      <c r="AO866" s="205"/>
      <c r="AP866" s="260"/>
      <c r="AQ866" s="258"/>
      <c r="AR866" s="258"/>
      <c r="AS866" s="127"/>
    </row>
    <row r="867" spans="38:45" ht="0.75" customHeight="1">
      <c r="AL867" s="53"/>
      <c r="AM867" s="126"/>
      <c r="AN867" s="236"/>
      <c r="AO867" s="250"/>
      <c r="AP867" s="260"/>
      <c r="AQ867" s="258"/>
      <c r="AR867" s="258"/>
      <c r="AS867" s="127"/>
    </row>
    <row r="868" spans="38:45" ht="0.75" customHeight="1">
      <c r="AL868" s="53"/>
      <c r="AM868" s="126"/>
      <c r="AN868" s="236"/>
      <c r="AO868" s="250"/>
      <c r="AP868" s="260"/>
      <c r="AQ868" s="258"/>
      <c r="AR868" s="258"/>
      <c r="AS868" s="127"/>
    </row>
    <row r="869" spans="38:45" ht="0.75" customHeight="1">
      <c r="AL869" s="53"/>
      <c r="AM869" s="126"/>
      <c r="AN869" s="236"/>
      <c r="AO869" s="250"/>
      <c r="AP869" s="260"/>
      <c r="AQ869" s="258"/>
      <c r="AR869" s="258"/>
      <c r="AS869" s="127"/>
    </row>
    <row r="870" spans="38:45" ht="0.75" customHeight="1">
      <c r="AL870" s="53"/>
      <c r="AM870" s="126"/>
      <c r="AN870" s="236"/>
      <c r="AO870" s="205"/>
      <c r="AP870" s="260"/>
      <c r="AQ870" s="258"/>
      <c r="AR870" s="258"/>
      <c r="AS870" s="127"/>
    </row>
    <row r="871" spans="38:45" ht="0.75" customHeight="1">
      <c r="AL871" s="50"/>
      <c r="AM871" s="126"/>
      <c r="AN871" s="236"/>
      <c r="AO871" s="250"/>
      <c r="AP871" s="260"/>
      <c r="AQ871" s="258"/>
      <c r="AR871" s="258"/>
      <c r="AS871" s="127"/>
    </row>
    <row r="872" spans="38:45" ht="0.75" customHeight="1">
      <c r="AL872" s="50" t="s">
        <v>2482</v>
      </c>
      <c r="AM872" s="126"/>
      <c r="AN872" s="236"/>
      <c r="AO872" s="325"/>
      <c r="AP872" s="260"/>
      <c r="AQ872" s="258"/>
      <c r="AR872" s="258"/>
      <c r="AS872" s="127"/>
    </row>
    <row r="873" spans="38:45" ht="0.75" customHeight="1">
      <c r="AL873" s="50"/>
      <c r="AM873" s="126"/>
      <c r="AN873" s="236"/>
      <c r="AO873" s="483"/>
      <c r="AP873" s="260"/>
      <c r="AQ873" s="258"/>
      <c r="AR873" s="258"/>
      <c r="AS873" s="127"/>
    </row>
    <row r="874" spans="38:45" ht="0.75" customHeight="1">
      <c r="AL874" s="50"/>
      <c r="AM874" s="126"/>
      <c r="AN874" s="236"/>
      <c r="AO874" s="235"/>
      <c r="AP874" s="260"/>
      <c r="AQ874" s="258"/>
      <c r="AR874" s="258"/>
      <c r="AS874" s="127"/>
    </row>
    <row r="875" spans="38:45" ht="0.75" customHeight="1">
      <c r="AL875" s="53"/>
      <c r="AM875" s="126"/>
      <c r="AN875" s="436"/>
      <c r="AO875" s="500"/>
      <c r="AP875" s="260"/>
      <c r="AQ875" s="258"/>
      <c r="AR875" s="258"/>
      <c r="AS875" s="127"/>
    </row>
    <row r="876" spans="38:45" ht="0.75" customHeight="1">
      <c r="AL876" s="53"/>
      <c r="AM876" s="126"/>
      <c r="AN876" s="236"/>
      <c r="AO876" s="235"/>
      <c r="AP876" s="260"/>
      <c r="AQ876" s="258"/>
      <c r="AR876" s="258"/>
      <c r="AS876" s="127"/>
    </row>
    <row r="877" spans="38:45" ht="0.75" customHeight="1">
      <c r="AL877" s="53"/>
      <c r="AM877" s="126"/>
      <c r="AN877" s="236"/>
      <c r="AO877" s="230"/>
      <c r="AP877" s="260"/>
      <c r="AQ877" s="258"/>
      <c r="AR877" s="258"/>
      <c r="AS877" s="127"/>
    </row>
    <row r="878" spans="38:45" ht="0.75" customHeight="1">
      <c r="AL878" s="53"/>
      <c r="AM878" s="126"/>
      <c r="AN878" s="236"/>
      <c r="AO878" s="230"/>
      <c r="AP878" s="260"/>
      <c r="AQ878" s="258"/>
      <c r="AR878" s="258"/>
      <c r="AS878" s="127"/>
    </row>
    <row r="879" spans="38:45" ht="0.75" customHeight="1">
      <c r="AL879" s="53"/>
      <c r="AM879" s="126"/>
      <c r="AN879" s="236"/>
      <c r="AO879" s="230"/>
      <c r="AP879" s="260"/>
      <c r="AQ879" s="258"/>
      <c r="AR879" s="258"/>
      <c r="AS879" s="127"/>
    </row>
    <row r="880" spans="38:45" ht="0.75" customHeight="1">
      <c r="AL880" s="53"/>
      <c r="AM880" s="126"/>
      <c r="AN880" s="239"/>
      <c r="AO880" s="231"/>
      <c r="AP880" s="260"/>
      <c r="AQ880" s="258"/>
      <c r="AR880" s="258"/>
      <c r="AS880" s="127"/>
    </row>
    <row r="881" spans="38:45" ht="0.75" customHeight="1">
      <c r="AL881" s="53"/>
      <c r="AM881" s="126"/>
      <c r="AN881" s="239"/>
      <c r="AO881" s="499"/>
      <c r="AP881" s="260"/>
      <c r="AQ881" s="258"/>
      <c r="AR881" s="258"/>
      <c r="AS881" s="127"/>
    </row>
    <row r="882" spans="38:45" ht="0.75" customHeight="1">
      <c r="AL882" s="53"/>
      <c r="AM882" s="126"/>
      <c r="AN882" s="236"/>
      <c r="AO882" s="230"/>
      <c r="AP882" s="260"/>
      <c r="AQ882" s="258"/>
      <c r="AR882" s="258"/>
      <c r="AS882" s="127"/>
    </row>
    <row r="883" spans="38:45" ht="0.75" customHeight="1">
      <c r="AL883" s="53"/>
      <c r="AM883" s="126"/>
      <c r="AN883" s="239"/>
      <c r="AO883" s="231"/>
      <c r="AP883" s="260"/>
      <c r="AQ883" s="258"/>
      <c r="AR883" s="258"/>
      <c r="AS883" s="127"/>
    </row>
    <row r="884" spans="38:45" ht="0.75" customHeight="1">
      <c r="AL884" s="53"/>
      <c r="AM884" s="126"/>
      <c r="AN884" s="239"/>
      <c r="AO884" s="231"/>
      <c r="AP884" s="260"/>
      <c r="AQ884" s="258"/>
      <c r="AR884" s="258"/>
      <c r="AS884" s="127"/>
    </row>
    <row r="885" spans="38:45" ht="0.75" customHeight="1">
      <c r="AL885" s="53"/>
      <c r="AM885" s="126"/>
      <c r="AN885" s="236"/>
      <c r="AO885" s="230"/>
      <c r="AP885" s="260"/>
      <c r="AQ885" s="258"/>
      <c r="AR885" s="258"/>
      <c r="AS885" s="127"/>
    </row>
    <row r="886" spans="38:45" ht="0.75" customHeight="1">
      <c r="AL886" s="53"/>
      <c r="AM886" s="126"/>
      <c r="AN886" s="239"/>
      <c r="AO886" s="231"/>
      <c r="AP886" s="260"/>
      <c r="AQ886" s="258"/>
      <c r="AR886" s="258"/>
      <c r="AS886" s="127"/>
    </row>
    <row r="887" spans="38:45" ht="0.75" customHeight="1">
      <c r="AL887" s="53"/>
      <c r="AM887" s="126"/>
      <c r="AN887" s="239"/>
      <c r="AO887" s="231"/>
      <c r="AP887" s="260"/>
      <c r="AQ887" s="258"/>
      <c r="AR887" s="258"/>
      <c r="AS887" s="127"/>
    </row>
    <row r="888" spans="38:45" ht="0.75" customHeight="1">
      <c r="AL888" s="53"/>
      <c r="AM888" s="126"/>
      <c r="AN888" s="236"/>
      <c r="AO888" s="230"/>
      <c r="AP888" s="260"/>
      <c r="AQ888" s="258"/>
      <c r="AR888" s="258"/>
      <c r="AS888" s="127"/>
    </row>
    <row r="889" spans="38:45" ht="0.75" customHeight="1">
      <c r="AL889" s="53"/>
      <c r="AM889" s="126"/>
      <c r="AN889" s="239"/>
      <c r="AO889" s="231"/>
      <c r="AP889" s="260"/>
      <c r="AQ889" s="258"/>
      <c r="AR889" s="258"/>
      <c r="AS889" s="127"/>
    </row>
    <row r="890" spans="38:45" ht="0.75" customHeight="1">
      <c r="AL890" s="53"/>
      <c r="AM890" s="126"/>
      <c r="AN890" s="239"/>
      <c r="AO890" s="231"/>
      <c r="AP890" s="260"/>
      <c r="AQ890" s="258"/>
      <c r="AR890" s="258"/>
      <c r="AS890" s="127"/>
    </row>
    <row r="891" spans="38:45" hidden="1">
      <c r="AL891" s="53"/>
      <c r="AM891" s="126"/>
      <c r="AN891" s="236"/>
      <c r="AO891" s="205"/>
      <c r="AP891" s="264"/>
      <c r="AQ891" s="258"/>
      <c r="AR891" s="258"/>
      <c r="AS891" s="127"/>
    </row>
    <row r="892" spans="38:45" hidden="1">
      <c r="AL892" s="53"/>
      <c r="AM892" s="126"/>
      <c r="AN892" s="236"/>
      <c r="AO892" s="231"/>
      <c r="AP892" s="260"/>
      <c r="AQ892" s="258"/>
      <c r="AR892" s="258"/>
      <c r="AS892" s="127"/>
    </row>
    <row r="893" spans="38:45" hidden="1">
      <c r="AL893" s="53"/>
      <c r="AM893" s="126"/>
      <c r="AN893" s="236"/>
      <c r="AO893" s="231"/>
      <c r="AP893" s="260"/>
      <c r="AQ893" s="258"/>
      <c r="AR893" s="258"/>
      <c r="AS893" s="127"/>
    </row>
    <row r="894" spans="38:45" hidden="1">
      <c r="AL894" s="53"/>
      <c r="AM894" s="126"/>
      <c r="AN894" s="236"/>
      <c r="AO894" s="231"/>
      <c r="AP894" s="260"/>
      <c r="AQ894" s="258"/>
      <c r="AR894" s="258"/>
      <c r="AS894" s="127"/>
    </row>
    <row r="895" spans="38:45" hidden="1">
      <c r="AL895" s="53"/>
      <c r="AM895" s="126"/>
      <c r="AN895" s="236"/>
      <c r="AO895" s="231"/>
      <c r="AP895" s="260"/>
      <c r="AQ895" s="258"/>
      <c r="AR895" s="258"/>
      <c r="AS895" s="127"/>
    </row>
    <row r="896" spans="38:45" hidden="1">
      <c r="AL896" s="53"/>
      <c r="AM896" s="126"/>
      <c r="AN896" s="236"/>
      <c r="AO896" s="231"/>
      <c r="AP896" s="260"/>
      <c r="AQ896" s="258"/>
      <c r="AR896" s="258"/>
      <c r="AS896" s="127"/>
    </row>
    <row r="897" spans="10:45" hidden="1">
      <c r="AL897" s="53"/>
      <c r="AM897" s="126"/>
      <c r="AN897" s="236"/>
      <c r="AO897" s="231"/>
      <c r="AP897" s="260"/>
      <c r="AQ897" s="258"/>
      <c r="AR897" s="258"/>
      <c r="AS897" s="127"/>
    </row>
    <row r="898" spans="10:45" hidden="1">
      <c r="AL898" s="53"/>
      <c r="AM898" s="126"/>
      <c r="AN898" s="236"/>
      <c r="AO898" s="231"/>
      <c r="AP898" s="260"/>
      <c r="AQ898" s="258"/>
      <c r="AR898" s="258"/>
      <c r="AS898" s="127"/>
    </row>
    <row r="899" spans="10:45" s="48" customFormat="1" hidden="1">
      <c r="J899" s="213"/>
      <c r="K899" s="213"/>
      <c r="L899" s="213"/>
      <c r="M899" s="213"/>
      <c r="N899" s="213"/>
      <c r="O899" s="213"/>
      <c r="P899" s="213"/>
      <c r="Q899" s="213"/>
      <c r="R899" s="213"/>
      <c r="S899" s="213"/>
      <c r="T899" s="213"/>
      <c r="U899" s="213"/>
      <c r="V899" s="213"/>
      <c r="W899" s="213"/>
      <c r="X899" s="213"/>
      <c r="Y899" s="213"/>
      <c r="Z899" s="213"/>
      <c r="AA899" s="213"/>
      <c r="AB899" s="213"/>
      <c r="AC899" s="213"/>
      <c r="AD899" s="213"/>
      <c r="AE899" s="213"/>
      <c r="AF899" s="213"/>
      <c r="AG899" s="213"/>
      <c r="AH899" s="213"/>
      <c r="AI899" s="213"/>
      <c r="AJ899" s="213"/>
      <c r="AK899" s="213"/>
      <c r="AL899" s="213"/>
      <c r="AM899" s="213"/>
      <c r="AN899" s="283"/>
      <c r="AO899" s="284"/>
      <c r="AP899" s="285"/>
      <c r="AQ899" s="258"/>
      <c r="AR899" s="258"/>
    </row>
    <row r="900" spans="10:45" s="48" customFormat="1" hidden="1">
      <c r="J900" s="213"/>
      <c r="K900" s="213"/>
      <c r="L900" s="213"/>
      <c r="M900" s="213"/>
      <c r="N900" s="213"/>
      <c r="O900" s="213"/>
      <c r="P900" s="213"/>
      <c r="Q900" s="213"/>
      <c r="R900" s="213"/>
      <c r="S900" s="213"/>
      <c r="T900" s="213"/>
      <c r="U900" s="213"/>
      <c r="V900" s="213"/>
      <c r="W900" s="213"/>
      <c r="X900" s="213"/>
      <c r="Y900" s="213"/>
      <c r="Z900" s="213"/>
      <c r="AA900" s="213"/>
      <c r="AB900" s="213"/>
      <c r="AC900" s="213"/>
      <c r="AD900" s="213"/>
      <c r="AE900" s="213"/>
      <c r="AF900" s="213"/>
      <c r="AG900" s="213"/>
      <c r="AH900" s="213"/>
      <c r="AI900" s="213"/>
      <c r="AJ900" s="213"/>
      <c r="AK900" s="213"/>
      <c r="AL900" s="213"/>
      <c r="AM900" s="213"/>
      <c r="AN900" s="283"/>
      <c r="AO900" s="284"/>
      <c r="AP900" s="285"/>
      <c r="AQ900" s="258"/>
      <c r="AR900" s="258"/>
    </row>
    <row r="901" spans="10:45" s="48" customFormat="1" hidden="1">
      <c r="J901" s="213"/>
      <c r="K901" s="213"/>
      <c r="L901" s="213"/>
      <c r="M901" s="213"/>
      <c r="N901" s="213"/>
      <c r="O901" s="213"/>
      <c r="P901" s="213"/>
      <c r="Q901" s="213"/>
      <c r="R901" s="213"/>
      <c r="S901" s="213"/>
      <c r="T901" s="213"/>
      <c r="U901" s="213"/>
      <c r="V901" s="213"/>
      <c r="W901" s="213"/>
      <c r="X901" s="213"/>
      <c r="Y901" s="213"/>
      <c r="Z901" s="213"/>
      <c r="AA901" s="213"/>
      <c r="AB901" s="213"/>
      <c r="AC901" s="213"/>
      <c r="AD901" s="213"/>
      <c r="AE901" s="213"/>
      <c r="AF901" s="213"/>
      <c r="AG901" s="213"/>
      <c r="AH901" s="213"/>
      <c r="AI901" s="213"/>
      <c r="AJ901" s="213"/>
      <c r="AK901" s="213"/>
      <c r="AL901" s="213"/>
      <c r="AM901" s="213"/>
      <c r="AN901" s="283"/>
      <c r="AO901" s="284"/>
      <c r="AP901" s="285"/>
      <c r="AQ901" s="258"/>
      <c r="AR901" s="258"/>
    </row>
    <row r="902" spans="10:45" s="48" customFormat="1" hidden="1">
      <c r="J902" s="213"/>
      <c r="K902" s="213"/>
      <c r="L902" s="213"/>
      <c r="M902" s="213"/>
      <c r="N902" s="213"/>
      <c r="O902" s="213"/>
      <c r="P902" s="213"/>
      <c r="Q902" s="213"/>
      <c r="R902" s="213"/>
      <c r="S902" s="213"/>
      <c r="T902" s="213"/>
      <c r="U902" s="213"/>
      <c r="V902" s="213"/>
      <c r="W902" s="213"/>
      <c r="X902" s="213"/>
      <c r="Y902" s="213"/>
      <c r="Z902" s="213"/>
      <c r="AA902" s="213"/>
      <c r="AB902" s="213"/>
      <c r="AC902" s="213"/>
      <c r="AD902" s="213"/>
      <c r="AE902" s="213"/>
      <c r="AF902" s="213"/>
      <c r="AG902" s="213"/>
      <c r="AH902" s="213"/>
      <c r="AI902" s="213"/>
      <c r="AJ902" s="213"/>
      <c r="AK902" s="213"/>
      <c r="AL902" s="213"/>
      <c r="AM902" s="213"/>
      <c r="AN902" s="283"/>
      <c r="AO902" s="284"/>
      <c r="AP902" s="285"/>
      <c r="AQ902" s="258"/>
      <c r="AR902" s="258"/>
    </row>
    <row r="903" spans="10:45" s="48" customFormat="1" hidden="1">
      <c r="J903" s="213"/>
      <c r="K903" s="213"/>
      <c r="L903" s="213"/>
      <c r="M903" s="213"/>
      <c r="N903" s="213"/>
      <c r="O903" s="213"/>
      <c r="P903" s="213"/>
      <c r="Q903" s="213"/>
      <c r="R903" s="213"/>
      <c r="S903" s="213"/>
      <c r="T903" s="213"/>
      <c r="U903" s="213"/>
      <c r="V903" s="213"/>
      <c r="W903" s="213"/>
      <c r="X903" s="213"/>
      <c r="Y903" s="213"/>
      <c r="Z903" s="213"/>
      <c r="AA903" s="213"/>
      <c r="AB903" s="213"/>
      <c r="AC903" s="213"/>
      <c r="AD903" s="213"/>
      <c r="AE903" s="213"/>
      <c r="AF903" s="213"/>
      <c r="AG903" s="213"/>
      <c r="AH903" s="213"/>
      <c r="AI903" s="213"/>
      <c r="AJ903" s="213"/>
      <c r="AK903" s="213"/>
      <c r="AL903" s="213"/>
      <c r="AM903" s="213"/>
      <c r="AN903" s="283"/>
      <c r="AO903" s="284"/>
      <c r="AP903" s="285"/>
      <c r="AQ903" s="258"/>
      <c r="AR903" s="258"/>
    </row>
    <row r="904" spans="10:45" s="48" customFormat="1" hidden="1">
      <c r="J904" s="213"/>
      <c r="K904" s="213"/>
      <c r="L904" s="213"/>
      <c r="M904" s="213"/>
      <c r="N904" s="213"/>
      <c r="O904" s="213"/>
      <c r="P904" s="213"/>
      <c r="Q904" s="213"/>
      <c r="R904" s="213"/>
      <c r="S904" s="213"/>
      <c r="T904" s="213"/>
      <c r="U904" s="213"/>
      <c r="V904" s="213"/>
      <c r="W904" s="213"/>
      <c r="X904" s="213"/>
      <c r="Y904" s="213"/>
      <c r="Z904" s="213"/>
      <c r="AA904" s="213"/>
      <c r="AB904" s="213"/>
      <c r="AC904" s="213"/>
      <c r="AD904" s="213"/>
      <c r="AE904" s="213"/>
      <c r="AF904" s="213"/>
      <c r="AG904" s="213"/>
      <c r="AH904" s="213"/>
      <c r="AI904" s="213"/>
      <c r="AJ904" s="213"/>
      <c r="AK904" s="213"/>
      <c r="AL904" s="213"/>
      <c r="AM904" s="213"/>
      <c r="AN904" s="283"/>
      <c r="AO904" s="284"/>
      <c r="AP904" s="285"/>
      <c r="AQ904" s="258"/>
      <c r="AR904" s="258"/>
    </row>
    <row r="905" spans="10:45" s="48" customFormat="1" hidden="1">
      <c r="J905" s="213"/>
      <c r="K905" s="213"/>
      <c r="L905" s="213"/>
      <c r="M905" s="213"/>
      <c r="N905" s="213"/>
      <c r="O905" s="213"/>
      <c r="P905" s="213"/>
      <c r="Q905" s="213"/>
      <c r="R905" s="213"/>
      <c r="S905" s="213"/>
      <c r="T905" s="213"/>
      <c r="U905" s="213"/>
      <c r="V905" s="213"/>
      <c r="W905" s="213"/>
      <c r="X905" s="213"/>
      <c r="Y905" s="213"/>
      <c r="Z905" s="213"/>
      <c r="AA905" s="213"/>
      <c r="AB905" s="213"/>
      <c r="AC905" s="213"/>
      <c r="AD905" s="213"/>
      <c r="AE905" s="213"/>
      <c r="AF905" s="213"/>
      <c r="AG905" s="213"/>
      <c r="AH905" s="213"/>
      <c r="AI905" s="213"/>
      <c r="AJ905" s="213"/>
      <c r="AK905" s="213"/>
      <c r="AL905" s="213"/>
      <c r="AM905" s="213"/>
      <c r="AN905" s="283"/>
      <c r="AO905" s="284"/>
      <c r="AP905" s="285"/>
      <c r="AQ905" s="258"/>
      <c r="AR905" s="258"/>
    </row>
    <row r="906" spans="10:45" s="48" customFormat="1" hidden="1">
      <c r="J906" s="213"/>
      <c r="K906" s="213"/>
      <c r="L906" s="213"/>
      <c r="M906" s="213"/>
      <c r="N906" s="213"/>
      <c r="O906" s="213"/>
      <c r="P906" s="213"/>
      <c r="Q906" s="213"/>
      <c r="R906" s="213"/>
      <c r="S906" s="213"/>
      <c r="T906" s="213"/>
      <c r="U906" s="213"/>
      <c r="V906" s="213"/>
      <c r="W906" s="213"/>
      <c r="X906" s="213"/>
      <c r="Y906" s="213"/>
      <c r="Z906" s="213"/>
      <c r="AA906" s="213"/>
      <c r="AB906" s="213"/>
      <c r="AC906" s="213"/>
      <c r="AD906" s="213"/>
      <c r="AE906" s="213"/>
      <c r="AF906" s="213"/>
      <c r="AG906" s="213"/>
      <c r="AH906" s="213"/>
      <c r="AI906" s="213"/>
      <c r="AJ906" s="213"/>
      <c r="AK906" s="213"/>
      <c r="AL906" s="213"/>
      <c r="AM906" s="213"/>
      <c r="AN906" s="283"/>
      <c r="AO906" s="284"/>
      <c r="AP906" s="285"/>
      <c r="AQ906" s="258"/>
      <c r="AR906" s="258"/>
    </row>
    <row r="907" spans="10:45" s="48" customFormat="1" hidden="1">
      <c r="J907" s="213"/>
      <c r="K907" s="213"/>
      <c r="L907" s="213"/>
      <c r="M907" s="213"/>
      <c r="N907" s="213"/>
      <c r="O907" s="213"/>
      <c r="P907" s="213"/>
      <c r="Q907" s="213"/>
      <c r="R907" s="213"/>
      <c r="S907" s="213"/>
      <c r="T907" s="213"/>
      <c r="U907" s="213"/>
      <c r="V907" s="213"/>
      <c r="W907" s="213"/>
      <c r="X907" s="213"/>
      <c r="Y907" s="213"/>
      <c r="Z907" s="213"/>
      <c r="AA907" s="213"/>
      <c r="AB907" s="213"/>
      <c r="AC907" s="213"/>
      <c r="AD907" s="213"/>
      <c r="AE907" s="213"/>
      <c r="AF907" s="213"/>
      <c r="AG907" s="213"/>
      <c r="AH907" s="213"/>
      <c r="AI907" s="213"/>
      <c r="AJ907" s="213"/>
      <c r="AK907" s="213"/>
      <c r="AL907" s="213"/>
      <c r="AM907" s="213"/>
      <c r="AN907" s="283"/>
      <c r="AO907" s="284"/>
      <c r="AP907" s="285"/>
      <c r="AQ907" s="258"/>
      <c r="AR907" s="258"/>
    </row>
    <row r="908" spans="10:45" s="48" customFormat="1" hidden="1">
      <c r="J908" s="213"/>
      <c r="K908" s="213"/>
      <c r="L908" s="213"/>
      <c r="M908" s="213"/>
      <c r="N908" s="213"/>
      <c r="O908" s="213"/>
      <c r="P908" s="213"/>
      <c r="Q908" s="213"/>
      <c r="R908" s="213"/>
      <c r="S908" s="213"/>
      <c r="T908" s="213"/>
      <c r="U908" s="213"/>
      <c r="V908" s="213"/>
      <c r="W908" s="213"/>
      <c r="X908" s="213"/>
      <c r="Y908" s="213"/>
      <c r="Z908" s="213"/>
      <c r="AA908" s="213"/>
      <c r="AB908" s="213"/>
      <c r="AC908" s="213"/>
      <c r="AD908" s="213"/>
      <c r="AE908" s="213"/>
      <c r="AF908" s="213"/>
      <c r="AG908" s="213"/>
      <c r="AH908" s="213"/>
      <c r="AI908" s="213"/>
      <c r="AJ908" s="213"/>
      <c r="AK908" s="213"/>
      <c r="AL908" s="213"/>
      <c r="AM908" s="213"/>
      <c r="AN908" s="283"/>
      <c r="AO908" s="284"/>
      <c r="AP908" s="285"/>
      <c r="AQ908" s="258"/>
      <c r="AR908" s="258"/>
    </row>
    <row r="909" spans="10:45" s="48" customFormat="1" hidden="1">
      <c r="J909" s="213"/>
      <c r="K909" s="213"/>
      <c r="L909" s="213"/>
      <c r="M909" s="213"/>
      <c r="N909" s="213"/>
      <c r="O909" s="213"/>
      <c r="P909" s="213"/>
      <c r="Q909" s="213"/>
      <c r="R909" s="213"/>
      <c r="S909" s="213"/>
      <c r="T909" s="213"/>
      <c r="U909" s="213"/>
      <c r="V909" s="213"/>
      <c r="W909" s="213"/>
      <c r="X909" s="213"/>
      <c r="Y909" s="213"/>
      <c r="Z909" s="213"/>
      <c r="AA909" s="213"/>
      <c r="AB909" s="213"/>
      <c r="AC909" s="213"/>
      <c r="AD909" s="213"/>
      <c r="AE909" s="213"/>
      <c r="AF909" s="213"/>
      <c r="AG909" s="213"/>
      <c r="AH909" s="213"/>
      <c r="AI909" s="213"/>
      <c r="AJ909" s="213"/>
      <c r="AK909" s="213"/>
      <c r="AL909" s="213"/>
      <c r="AM909" s="213"/>
      <c r="AN909" s="283"/>
      <c r="AO909" s="284"/>
      <c r="AP909" s="285"/>
      <c r="AQ909" s="258"/>
      <c r="AR909" s="258"/>
    </row>
    <row r="910" spans="10:45" s="48" customFormat="1" hidden="1">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83"/>
      <c r="AO910" s="284"/>
      <c r="AP910" s="285"/>
      <c r="AQ910" s="258"/>
      <c r="AR910" s="258"/>
    </row>
    <row r="911" spans="10:45" s="48" customFormat="1" hidden="1">
      <c r="J911" s="213"/>
      <c r="K911" s="213"/>
      <c r="L911" s="213"/>
      <c r="M911" s="213"/>
      <c r="N911" s="213"/>
      <c r="O911" s="213"/>
      <c r="P911" s="213"/>
      <c r="Q911" s="213"/>
      <c r="R911" s="213"/>
      <c r="S911" s="213"/>
      <c r="T911" s="213"/>
      <c r="U911" s="213"/>
      <c r="V911" s="213"/>
      <c r="W911" s="213"/>
      <c r="X911" s="213"/>
      <c r="Y911" s="213"/>
      <c r="Z911" s="213"/>
      <c r="AA911" s="213"/>
      <c r="AB911" s="213"/>
      <c r="AC911" s="213"/>
      <c r="AD911" s="213"/>
      <c r="AE911" s="213"/>
      <c r="AF911" s="213"/>
      <c r="AG911" s="213"/>
      <c r="AH911" s="213"/>
      <c r="AI911" s="213"/>
      <c r="AJ911" s="213"/>
      <c r="AK911" s="213"/>
      <c r="AL911" s="213"/>
      <c r="AM911" s="213"/>
      <c r="AN911" s="283"/>
      <c r="AO911" s="284"/>
      <c r="AP911" s="285"/>
      <c r="AQ911" s="258"/>
      <c r="AR911" s="258"/>
    </row>
    <row r="912" spans="10:45" s="48" customFormat="1" hidden="1">
      <c r="J912" s="213"/>
      <c r="K912" s="213"/>
      <c r="L912" s="213"/>
      <c r="M912" s="213"/>
      <c r="N912" s="213"/>
      <c r="O912" s="213"/>
      <c r="P912" s="213"/>
      <c r="Q912" s="213"/>
      <c r="R912" s="213"/>
      <c r="S912" s="213"/>
      <c r="T912" s="213"/>
      <c r="U912" s="213"/>
      <c r="V912" s="213"/>
      <c r="W912" s="213"/>
      <c r="X912" s="213"/>
      <c r="Y912" s="213"/>
      <c r="Z912" s="213"/>
      <c r="AA912" s="213"/>
      <c r="AB912" s="213"/>
      <c r="AC912" s="213"/>
      <c r="AD912" s="213"/>
      <c r="AE912" s="213"/>
      <c r="AF912" s="213"/>
      <c r="AG912" s="213"/>
      <c r="AH912" s="213"/>
      <c r="AI912" s="213"/>
      <c r="AJ912" s="213"/>
      <c r="AK912" s="213"/>
      <c r="AL912" s="213"/>
      <c r="AM912" s="213"/>
      <c r="AN912" s="283"/>
      <c r="AO912" s="284"/>
      <c r="AP912" s="285"/>
      <c r="AQ912" s="258"/>
      <c r="AR912" s="258"/>
    </row>
    <row r="913" spans="10:44" s="48" customFormat="1" hidden="1">
      <c r="J913" s="213"/>
      <c r="K913" s="213"/>
      <c r="L913" s="213"/>
      <c r="M913" s="213"/>
      <c r="N913" s="213"/>
      <c r="O913" s="213"/>
      <c r="P913" s="213"/>
      <c r="Q913" s="213"/>
      <c r="R913" s="213"/>
      <c r="S913" s="213"/>
      <c r="T913" s="213"/>
      <c r="U913" s="213"/>
      <c r="V913" s="213"/>
      <c r="W913" s="213"/>
      <c r="X913" s="213"/>
      <c r="Y913" s="213"/>
      <c r="Z913" s="213"/>
      <c r="AA913" s="213"/>
      <c r="AB913" s="213"/>
      <c r="AC913" s="213"/>
      <c r="AD913" s="213"/>
      <c r="AE913" s="213"/>
      <c r="AF913" s="213"/>
      <c r="AG913" s="213"/>
      <c r="AH913" s="213"/>
      <c r="AI913" s="213"/>
      <c r="AJ913" s="213"/>
      <c r="AK913" s="213"/>
      <c r="AL913" s="213"/>
      <c r="AM913" s="213"/>
      <c r="AN913" s="283"/>
      <c r="AO913" s="284"/>
      <c r="AP913" s="285"/>
      <c r="AQ913" s="258"/>
      <c r="AR913" s="258"/>
    </row>
    <row r="914" spans="10:44" s="48" customFormat="1" hidden="1">
      <c r="J914" s="213"/>
      <c r="K914" s="213"/>
      <c r="L914" s="213"/>
      <c r="M914" s="213"/>
      <c r="N914" s="213"/>
      <c r="O914" s="213"/>
      <c r="P914" s="213"/>
      <c r="Q914" s="213"/>
      <c r="R914" s="213"/>
      <c r="S914" s="213"/>
      <c r="T914" s="213"/>
      <c r="U914" s="213"/>
      <c r="V914" s="213"/>
      <c r="W914" s="213"/>
      <c r="X914" s="213"/>
      <c r="Y914" s="213"/>
      <c r="Z914" s="213"/>
      <c r="AA914" s="213"/>
      <c r="AB914" s="213"/>
      <c r="AC914" s="213"/>
      <c r="AD914" s="213"/>
      <c r="AE914" s="213"/>
      <c r="AF914" s="213"/>
      <c r="AG914" s="213"/>
      <c r="AH914" s="213"/>
      <c r="AI914" s="213"/>
      <c r="AJ914" s="213"/>
      <c r="AK914" s="213"/>
      <c r="AL914" s="213"/>
      <c r="AM914" s="213"/>
      <c r="AN914" s="283"/>
      <c r="AO914" s="284"/>
      <c r="AP914" s="285"/>
      <c r="AQ914" s="258"/>
      <c r="AR914" s="258"/>
    </row>
    <row r="915" spans="10:44" s="48" customFormat="1" hidden="1">
      <c r="J915" s="213"/>
      <c r="K915" s="213"/>
      <c r="L915" s="213"/>
      <c r="M915" s="213"/>
      <c r="N915" s="213"/>
      <c r="O915" s="213"/>
      <c r="P915" s="213"/>
      <c r="Q915" s="213"/>
      <c r="R915" s="213"/>
      <c r="S915" s="213"/>
      <c r="T915" s="213"/>
      <c r="U915" s="213"/>
      <c r="V915" s="213"/>
      <c r="W915" s="213"/>
      <c r="X915" s="213"/>
      <c r="Y915" s="213"/>
      <c r="Z915" s="213"/>
      <c r="AA915" s="213"/>
      <c r="AB915" s="213"/>
      <c r="AC915" s="213"/>
      <c r="AD915" s="213"/>
      <c r="AE915" s="213"/>
      <c r="AF915" s="213"/>
      <c r="AG915" s="213"/>
      <c r="AH915" s="213"/>
      <c r="AI915" s="213"/>
      <c r="AJ915" s="213"/>
      <c r="AK915" s="213"/>
      <c r="AL915" s="213"/>
      <c r="AM915" s="213"/>
      <c r="AN915" s="283"/>
      <c r="AO915" s="284"/>
      <c r="AP915" s="285"/>
      <c r="AQ915" s="258"/>
      <c r="AR915" s="258"/>
    </row>
    <row r="916" spans="10:44" s="48" customFormat="1" hidden="1">
      <c r="J916" s="213"/>
      <c r="K916" s="213"/>
      <c r="L916" s="213"/>
      <c r="M916" s="213"/>
      <c r="N916" s="213"/>
      <c r="O916" s="213"/>
      <c r="P916" s="213"/>
      <c r="Q916" s="213"/>
      <c r="R916" s="213"/>
      <c r="S916" s="213"/>
      <c r="T916" s="213"/>
      <c r="U916" s="213"/>
      <c r="V916" s="213"/>
      <c r="W916" s="213"/>
      <c r="X916" s="213"/>
      <c r="Y916" s="213"/>
      <c r="Z916" s="213"/>
      <c r="AA916" s="213"/>
      <c r="AB916" s="213"/>
      <c r="AC916" s="213"/>
      <c r="AD916" s="213"/>
      <c r="AE916" s="213"/>
      <c r="AF916" s="213"/>
      <c r="AG916" s="213"/>
      <c r="AH916" s="213"/>
      <c r="AI916" s="213"/>
      <c r="AJ916" s="213"/>
      <c r="AK916" s="213"/>
      <c r="AL916" s="213"/>
      <c r="AM916" s="213"/>
      <c r="AN916" s="283"/>
      <c r="AO916" s="284"/>
      <c r="AP916" s="285"/>
      <c r="AQ916" s="258"/>
      <c r="AR916" s="258"/>
    </row>
    <row r="917" spans="10:44" s="48" customFormat="1" hidden="1">
      <c r="J917" s="213"/>
      <c r="K917" s="213"/>
      <c r="L917" s="213"/>
      <c r="M917" s="213"/>
      <c r="N917" s="213"/>
      <c r="O917" s="213"/>
      <c r="P917" s="213"/>
      <c r="Q917" s="213"/>
      <c r="R917" s="213"/>
      <c r="S917" s="213"/>
      <c r="T917" s="213"/>
      <c r="U917" s="213"/>
      <c r="V917" s="213"/>
      <c r="W917" s="213"/>
      <c r="X917" s="213"/>
      <c r="Y917" s="213"/>
      <c r="Z917" s="213"/>
      <c r="AA917" s="213"/>
      <c r="AB917" s="213"/>
      <c r="AC917" s="213"/>
      <c r="AD917" s="213"/>
      <c r="AE917" s="213"/>
      <c r="AF917" s="213"/>
      <c r="AG917" s="213"/>
      <c r="AH917" s="213"/>
      <c r="AI917" s="213"/>
      <c r="AJ917" s="213"/>
      <c r="AK917" s="213"/>
      <c r="AL917" s="213"/>
      <c r="AM917" s="213"/>
      <c r="AN917" s="283"/>
      <c r="AO917" s="284"/>
      <c r="AP917" s="285"/>
      <c r="AQ917" s="258"/>
      <c r="AR917" s="258"/>
    </row>
    <row r="918" spans="10:44" s="48" customFormat="1" ht="12" hidden="1" customHeight="1">
      <c r="J918" s="213"/>
      <c r="K918" s="213"/>
      <c r="L918" s="213"/>
      <c r="M918" s="213"/>
      <c r="N918" s="213"/>
      <c r="O918" s="213"/>
      <c r="P918" s="213"/>
      <c r="Q918" s="213"/>
      <c r="R918" s="213"/>
      <c r="S918" s="213"/>
      <c r="T918" s="213"/>
      <c r="U918" s="213"/>
      <c r="V918" s="213"/>
      <c r="W918" s="213"/>
      <c r="X918" s="213"/>
      <c r="Y918" s="213"/>
      <c r="Z918" s="213"/>
      <c r="AA918" s="213"/>
      <c r="AB918" s="213"/>
      <c r="AC918" s="213"/>
      <c r="AD918" s="213"/>
      <c r="AE918" s="213"/>
      <c r="AF918" s="213"/>
      <c r="AG918" s="213"/>
      <c r="AH918" s="213"/>
      <c r="AI918" s="213"/>
      <c r="AJ918" s="213"/>
      <c r="AK918" s="213"/>
      <c r="AL918" s="213"/>
      <c r="AM918" s="213"/>
      <c r="AN918" s="283"/>
      <c r="AO918" s="284"/>
      <c r="AP918" s="285"/>
      <c r="AQ918" s="258"/>
      <c r="AR918" s="258"/>
    </row>
    <row r="919" spans="10:44" s="48" customFormat="1" ht="12" hidden="1" customHeight="1">
      <c r="J919" s="213"/>
      <c r="K919" s="213"/>
      <c r="L919" s="213"/>
      <c r="M919" s="213"/>
      <c r="N919" s="213"/>
      <c r="O919" s="213"/>
      <c r="P919" s="213"/>
      <c r="Q919" s="213"/>
      <c r="R919" s="213"/>
      <c r="S919" s="213"/>
      <c r="T919" s="213"/>
      <c r="U919" s="213"/>
      <c r="V919" s="213"/>
      <c r="W919" s="213"/>
      <c r="X919" s="213"/>
      <c r="Y919" s="213"/>
      <c r="Z919" s="213"/>
      <c r="AA919" s="213"/>
      <c r="AB919" s="213"/>
      <c r="AC919" s="213"/>
      <c r="AD919" s="213"/>
      <c r="AE919" s="213"/>
      <c r="AF919" s="213"/>
      <c r="AG919" s="213"/>
      <c r="AH919" s="213"/>
      <c r="AI919" s="213"/>
      <c r="AJ919" s="213"/>
      <c r="AK919" s="213"/>
      <c r="AL919" s="213"/>
      <c r="AM919" s="213"/>
      <c r="AN919" s="283"/>
      <c r="AO919" s="284"/>
      <c r="AP919" s="285"/>
      <c r="AQ919" s="258"/>
      <c r="AR919" s="258"/>
    </row>
    <row r="920" spans="10:44" s="48" customFormat="1" ht="12" hidden="1" customHeight="1">
      <c r="J920" s="213"/>
      <c r="K920" s="213"/>
      <c r="L920" s="213"/>
      <c r="M920" s="213"/>
      <c r="N920" s="213"/>
      <c r="O920" s="213"/>
      <c r="P920" s="213"/>
      <c r="Q920" s="213"/>
      <c r="R920" s="213"/>
      <c r="S920" s="213"/>
      <c r="T920" s="213"/>
      <c r="U920" s="213"/>
      <c r="V920" s="213"/>
      <c r="W920" s="213"/>
      <c r="X920" s="213"/>
      <c r="Y920" s="213"/>
      <c r="Z920" s="213"/>
      <c r="AA920" s="213"/>
      <c r="AB920" s="213"/>
      <c r="AC920" s="213"/>
      <c r="AD920" s="213"/>
      <c r="AE920" s="213"/>
      <c r="AF920" s="213"/>
      <c r="AG920" s="213"/>
      <c r="AH920" s="213"/>
      <c r="AI920" s="213"/>
      <c r="AJ920" s="213"/>
      <c r="AK920" s="213"/>
      <c r="AL920" s="213"/>
      <c r="AM920" s="213"/>
      <c r="AN920" s="283"/>
      <c r="AO920" s="284"/>
      <c r="AP920" s="285"/>
      <c r="AQ920" s="258"/>
      <c r="AR920" s="258"/>
    </row>
    <row r="921" spans="10:44" s="48" customFormat="1" ht="12" hidden="1" customHeight="1">
      <c r="J921" s="213"/>
      <c r="K921" s="213"/>
      <c r="L921" s="213"/>
      <c r="M921" s="213"/>
      <c r="N921" s="213"/>
      <c r="O921" s="213"/>
      <c r="P921" s="213"/>
      <c r="Q921" s="213"/>
      <c r="R921" s="213"/>
      <c r="S921" s="213"/>
      <c r="T921" s="213"/>
      <c r="U921" s="213"/>
      <c r="V921" s="213"/>
      <c r="W921" s="213"/>
      <c r="X921" s="213"/>
      <c r="Y921" s="213"/>
      <c r="Z921" s="213"/>
      <c r="AA921" s="213"/>
      <c r="AB921" s="213"/>
      <c r="AC921" s="213"/>
      <c r="AD921" s="213"/>
      <c r="AE921" s="213"/>
      <c r="AF921" s="213"/>
      <c r="AG921" s="213"/>
      <c r="AH921" s="213"/>
      <c r="AI921" s="213"/>
      <c r="AJ921" s="213"/>
      <c r="AK921" s="213"/>
      <c r="AL921" s="213"/>
      <c r="AM921" s="213"/>
      <c r="AN921" s="283"/>
      <c r="AO921" s="284"/>
      <c r="AP921" s="285"/>
      <c r="AQ921" s="258"/>
      <c r="AR921" s="258"/>
    </row>
    <row r="922" spans="10:44" s="48" customFormat="1" ht="12" hidden="1" customHeight="1">
      <c r="J922" s="213"/>
      <c r="K922" s="213"/>
      <c r="L922" s="213"/>
      <c r="M922" s="213"/>
      <c r="N922" s="213"/>
      <c r="O922" s="213"/>
      <c r="P922" s="213"/>
      <c r="Q922" s="213"/>
      <c r="R922" s="213"/>
      <c r="S922" s="213"/>
      <c r="T922" s="213"/>
      <c r="U922" s="213"/>
      <c r="V922" s="213"/>
      <c r="W922" s="213"/>
      <c r="X922" s="213"/>
      <c r="Y922" s="213"/>
      <c r="Z922" s="213"/>
      <c r="AA922" s="213"/>
      <c r="AB922" s="213"/>
      <c r="AC922" s="213"/>
      <c r="AD922" s="213"/>
      <c r="AE922" s="213"/>
      <c r="AF922" s="213"/>
      <c r="AG922" s="213"/>
      <c r="AH922" s="213"/>
      <c r="AI922" s="213"/>
      <c r="AJ922" s="213"/>
      <c r="AK922" s="213"/>
      <c r="AL922" s="213"/>
      <c r="AM922" s="213"/>
      <c r="AN922" s="283"/>
      <c r="AO922" s="284"/>
      <c r="AP922" s="285"/>
      <c r="AQ922" s="258"/>
      <c r="AR922" s="258"/>
    </row>
    <row r="923" spans="10:44" s="48" customFormat="1" ht="12" hidden="1" customHeight="1">
      <c r="J923" s="213"/>
      <c r="K923" s="213"/>
      <c r="L923" s="213"/>
      <c r="M923" s="213"/>
      <c r="N923" s="213"/>
      <c r="O923" s="213"/>
      <c r="P923" s="213"/>
      <c r="Q923" s="213"/>
      <c r="R923" s="213"/>
      <c r="S923" s="213"/>
      <c r="T923" s="213"/>
      <c r="U923" s="213"/>
      <c r="V923" s="213"/>
      <c r="W923" s="213"/>
      <c r="X923" s="213"/>
      <c r="Y923" s="213"/>
      <c r="Z923" s="213"/>
      <c r="AA923" s="213"/>
      <c r="AB923" s="213"/>
      <c r="AC923" s="213"/>
      <c r="AD923" s="213"/>
      <c r="AE923" s="213"/>
      <c r="AF923" s="213"/>
      <c r="AG923" s="213"/>
      <c r="AH923" s="213"/>
      <c r="AI923" s="213"/>
      <c r="AJ923" s="213"/>
      <c r="AK923" s="213"/>
      <c r="AL923" s="213"/>
      <c r="AM923" s="213"/>
      <c r="AN923" s="283"/>
      <c r="AO923" s="284"/>
      <c r="AP923" s="285"/>
      <c r="AQ923" s="258"/>
      <c r="AR923" s="258"/>
    </row>
    <row r="924" spans="10:44" s="48" customFormat="1" ht="12" hidden="1" customHeight="1">
      <c r="J924" s="213"/>
      <c r="K924" s="213"/>
      <c r="L924" s="213"/>
      <c r="M924" s="213"/>
      <c r="N924" s="213"/>
      <c r="O924" s="213"/>
      <c r="P924" s="213"/>
      <c r="Q924" s="213"/>
      <c r="R924" s="213"/>
      <c r="S924" s="213"/>
      <c r="T924" s="213"/>
      <c r="U924" s="213"/>
      <c r="V924" s="213"/>
      <c r="W924" s="213"/>
      <c r="X924" s="213"/>
      <c r="Y924" s="213"/>
      <c r="Z924" s="213"/>
      <c r="AA924" s="213"/>
      <c r="AB924" s="213"/>
      <c r="AC924" s="213"/>
      <c r="AD924" s="213"/>
      <c r="AE924" s="213"/>
      <c r="AF924" s="213"/>
      <c r="AG924" s="213"/>
      <c r="AH924" s="213"/>
      <c r="AI924" s="213"/>
      <c r="AJ924" s="213"/>
      <c r="AK924" s="213"/>
      <c r="AL924" s="213"/>
      <c r="AM924" s="213"/>
      <c r="AN924" s="283"/>
      <c r="AO924" s="284"/>
      <c r="AP924" s="285"/>
      <c r="AQ924" s="258"/>
      <c r="AR924" s="258"/>
    </row>
    <row r="925" spans="10:44" s="48" customFormat="1" ht="12" hidden="1" customHeight="1">
      <c r="J925" s="213"/>
      <c r="K925" s="213"/>
      <c r="L925" s="213"/>
      <c r="M925" s="213"/>
      <c r="N925" s="213"/>
      <c r="O925" s="213"/>
      <c r="P925" s="213"/>
      <c r="Q925" s="213"/>
      <c r="R925" s="213"/>
      <c r="S925" s="213"/>
      <c r="T925" s="213"/>
      <c r="U925" s="213"/>
      <c r="V925" s="213"/>
      <c r="W925" s="213"/>
      <c r="X925" s="213"/>
      <c r="Y925" s="213"/>
      <c r="Z925" s="213"/>
      <c r="AA925" s="213"/>
      <c r="AB925" s="213"/>
      <c r="AC925" s="213"/>
      <c r="AD925" s="213"/>
      <c r="AE925" s="213"/>
      <c r="AF925" s="213"/>
      <c r="AG925" s="213"/>
      <c r="AH925" s="213"/>
      <c r="AI925" s="213"/>
      <c r="AJ925" s="213"/>
      <c r="AK925" s="213"/>
      <c r="AL925" s="213"/>
      <c r="AM925" s="213"/>
      <c r="AN925" s="283"/>
      <c r="AO925" s="284"/>
      <c r="AP925" s="285"/>
      <c r="AQ925" s="258"/>
      <c r="AR925" s="258"/>
    </row>
    <row r="926" spans="10:44" s="48" customFormat="1" ht="12" hidden="1" customHeight="1">
      <c r="J926" s="213"/>
      <c r="K926" s="213"/>
      <c r="L926" s="213"/>
      <c r="M926" s="213"/>
      <c r="N926" s="213"/>
      <c r="O926" s="213"/>
      <c r="P926" s="213"/>
      <c r="Q926" s="213"/>
      <c r="R926" s="213"/>
      <c r="S926" s="213"/>
      <c r="T926" s="213"/>
      <c r="U926" s="213"/>
      <c r="V926" s="213"/>
      <c r="W926" s="213"/>
      <c r="X926" s="213"/>
      <c r="Y926" s="213"/>
      <c r="Z926" s="213"/>
      <c r="AA926" s="213"/>
      <c r="AB926" s="213"/>
      <c r="AC926" s="213"/>
      <c r="AD926" s="213"/>
      <c r="AE926" s="213"/>
      <c r="AF926" s="213"/>
      <c r="AG926" s="213"/>
      <c r="AH926" s="213"/>
      <c r="AI926" s="213"/>
      <c r="AJ926" s="213"/>
      <c r="AK926" s="213"/>
      <c r="AL926" s="213"/>
      <c r="AM926" s="213"/>
      <c r="AN926" s="302"/>
      <c r="AO926" s="303"/>
      <c r="AP926" s="285"/>
      <c r="AQ926" s="258"/>
      <c r="AR926" s="258"/>
    </row>
    <row r="927" spans="10:44" s="48" customFormat="1" ht="12" hidden="1" customHeight="1">
      <c r="J927" s="213"/>
      <c r="K927" s="213"/>
      <c r="L927" s="213"/>
      <c r="M927" s="213"/>
      <c r="N927" s="213"/>
      <c r="O927" s="213"/>
      <c r="P927" s="213"/>
      <c r="Q927" s="213"/>
      <c r="R927" s="213"/>
      <c r="S927" s="213"/>
      <c r="T927" s="213"/>
      <c r="U927" s="213"/>
      <c r="V927" s="213"/>
      <c r="W927" s="213"/>
      <c r="X927" s="213"/>
      <c r="Y927" s="213"/>
      <c r="Z927" s="213"/>
      <c r="AA927" s="213"/>
      <c r="AB927" s="213"/>
      <c r="AC927" s="213"/>
      <c r="AD927" s="213"/>
      <c r="AE927" s="213"/>
      <c r="AF927" s="213"/>
      <c r="AG927" s="213"/>
      <c r="AH927" s="213"/>
      <c r="AI927" s="213"/>
      <c r="AJ927" s="213"/>
      <c r="AK927" s="213"/>
      <c r="AL927" s="213"/>
      <c r="AM927" s="213"/>
      <c r="AN927" s="302"/>
      <c r="AO927" s="303"/>
      <c r="AP927" s="285"/>
      <c r="AQ927" s="258"/>
      <c r="AR927" s="258"/>
    </row>
    <row r="928" spans="10:44" s="48" customFormat="1" ht="12" hidden="1" customHeight="1">
      <c r="J928" s="213"/>
      <c r="K928" s="213"/>
      <c r="L928" s="213"/>
      <c r="M928" s="213"/>
      <c r="N928" s="213"/>
      <c r="O928" s="213"/>
      <c r="P928" s="213"/>
      <c r="Q928" s="213"/>
      <c r="R928" s="213"/>
      <c r="S928" s="213"/>
      <c r="T928" s="213"/>
      <c r="U928" s="213"/>
      <c r="V928" s="213"/>
      <c r="W928" s="213"/>
      <c r="X928" s="213"/>
      <c r="Y928" s="213"/>
      <c r="Z928" s="213"/>
      <c r="AA928" s="213"/>
      <c r="AB928" s="213"/>
      <c r="AC928" s="213"/>
      <c r="AD928" s="213"/>
      <c r="AE928" s="213"/>
      <c r="AF928" s="213"/>
      <c r="AG928" s="213"/>
      <c r="AH928" s="213"/>
      <c r="AI928" s="213"/>
      <c r="AJ928" s="213"/>
      <c r="AK928" s="213"/>
      <c r="AL928" s="213"/>
      <c r="AM928" s="213"/>
      <c r="AN928" s="302"/>
      <c r="AO928" s="303"/>
      <c r="AP928" s="285"/>
      <c r="AQ928" s="258"/>
      <c r="AR928" s="258"/>
    </row>
    <row r="929" spans="10:44" s="48" customFormat="1" ht="12" hidden="1" customHeight="1">
      <c r="J929" s="213"/>
      <c r="K929" s="213"/>
      <c r="L929" s="213"/>
      <c r="M929" s="213"/>
      <c r="N929" s="213"/>
      <c r="O929" s="213"/>
      <c r="P929" s="213"/>
      <c r="Q929" s="213"/>
      <c r="R929" s="213"/>
      <c r="S929" s="213"/>
      <c r="T929" s="213"/>
      <c r="U929" s="213"/>
      <c r="V929" s="213"/>
      <c r="W929" s="213"/>
      <c r="X929" s="213"/>
      <c r="Y929" s="213"/>
      <c r="Z929" s="213"/>
      <c r="AA929" s="213"/>
      <c r="AB929" s="213"/>
      <c r="AC929" s="213"/>
      <c r="AD929" s="213"/>
      <c r="AE929" s="213"/>
      <c r="AF929" s="213"/>
      <c r="AG929" s="213"/>
      <c r="AH929" s="213"/>
      <c r="AI929" s="213"/>
      <c r="AJ929" s="213"/>
      <c r="AK929" s="213"/>
      <c r="AL929" s="213"/>
      <c r="AM929" s="213"/>
      <c r="AN929" s="302"/>
      <c r="AO929" s="303"/>
      <c r="AP929" s="285"/>
      <c r="AQ929" s="258"/>
      <c r="AR929" s="258"/>
    </row>
    <row r="930" spans="10:44" s="48" customFormat="1" ht="12" hidden="1" customHeight="1">
      <c r="J930" s="213"/>
      <c r="K930" s="213"/>
      <c r="L930" s="213"/>
      <c r="M930" s="213"/>
      <c r="N930" s="213"/>
      <c r="O930" s="213"/>
      <c r="P930" s="213"/>
      <c r="Q930" s="213"/>
      <c r="R930" s="213"/>
      <c r="S930" s="213"/>
      <c r="T930" s="213"/>
      <c r="U930" s="213"/>
      <c r="V930" s="213"/>
      <c r="W930" s="213"/>
      <c r="X930" s="213"/>
      <c r="Y930" s="213"/>
      <c r="Z930" s="213"/>
      <c r="AA930" s="213"/>
      <c r="AB930" s="213"/>
      <c r="AC930" s="213"/>
      <c r="AD930" s="213"/>
      <c r="AE930" s="213"/>
      <c r="AF930" s="213"/>
      <c r="AG930" s="213"/>
      <c r="AH930" s="213"/>
      <c r="AI930" s="213"/>
      <c r="AJ930" s="213"/>
      <c r="AK930" s="213"/>
      <c r="AL930" s="213"/>
      <c r="AM930" s="213"/>
      <c r="AN930" s="302"/>
      <c r="AO930" s="303"/>
      <c r="AP930" s="285"/>
      <c r="AQ930" s="258"/>
      <c r="AR930" s="258"/>
    </row>
    <row r="931" spans="10:44" s="48" customFormat="1" ht="12" hidden="1" customHeight="1">
      <c r="J931" s="213"/>
      <c r="K931" s="213"/>
      <c r="L931" s="213"/>
      <c r="M931" s="213"/>
      <c r="N931" s="213"/>
      <c r="O931" s="213"/>
      <c r="P931" s="213"/>
      <c r="Q931" s="213"/>
      <c r="R931" s="213"/>
      <c r="S931" s="213"/>
      <c r="T931" s="213"/>
      <c r="U931" s="213"/>
      <c r="V931" s="213"/>
      <c r="W931" s="213"/>
      <c r="X931" s="213"/>
      <c r="Y931" s="213"/>
      <c r="Z931" s="213"/>
      <c r="AA931" s="213"/>
      <c r="AB931" s="213"/>
      <c r="AC931" s="213"/>
      <c r="AD931" s="213"/>
      <c r="AE931" s="213"/>
      <c r="AF931" s="213"/>
      <c r="AG931" s="213"/>
      <c r="AH931" s="213"/>
      <c r="AI931" s="213"/>
      <c r="AJ931" s="213"/>
      <c r="AK931" s="213"/>
      <c r="AL931" s="213"/>
      <c r="AM931" s="213"/>
      <c r="AN931" s="302"/>
      <c r="AO931" s="303"/>
      <c r="AP931" s="285"/>
      <c r="AQ931" s="258"/>
      <c r="AR931" s="258"/>
    </row>
    <row r="932" spans="10:44" s="48" customFormat="1" ht="12" hidden="1" customHeight="1">
      <c r="J932" s="213"/>
      <c r="K932" s="213"/>
      <c r="L932" s="213"/>
      <c r="M932" s="213"/>
      <c r="N932" s="213"/>
      <c r="O932" s="213"/>
      <c r="P932" s="213"/>
      <c r="Q932" s="213"/>
      <c r="R932" s="213"/>
      <c r="S932" s="213"/>
      <c r="T932" s="213"/>
      <c r="U932" s="213"/>
      <c r="V932" s="213"/>
      <c r="W932" s="213"/>
      <c r="X932" s="213"/>
      <c r="Y932" s="213"/>
      <c r="Z932" s="213"/>
      <c r="AA932" s="213"/>
      <c r="AB932" s="213"/>
      <c r="AC932" s="213"/>
      <c r="AD932" s="213"/>
      <c r="AE932" s="213"/>
      <c r="AF932" s="213"/>
      <c r="AG932" s="213"/>
      <c r="AH932" s="213"/>
      <c r="AI932" s="213"/>
      <c r="AJ932" s="213"/>
      <c r="AK932" s="213"/>
      <c r="AL932" s="213"/>
      <c r="AM932" s="213"/>
      <c r="AN932" s="302"/>
      <c r="AO932" s="303"/>
      <c r="AP932" s="285"/>
      <c r="AQ932" s="258"/>
      <c r="AR932" s="258"/>
    </row>
    <row r="933" spans="10:44" s="48" customFormat="1" ht="12" hidden="1" customHeight="1">
      <c r="J933" s="213"/>
      <c r="K933" s="213"/>
      <c r="L933" s="213"/>
      <c r="M933" s="213"/>
      <c r="N933" s="213"/>
      <c r="O933" s="213"/>
      <c r="P933" s="213"/>
      <c r="Q933" s="213"/>
      <c r="R933" s="213"/>
      <c r="S933" s="213"/>
      <c r="T933" s="213"/>
      <c r="U933" s="213"/>
      <c r="V933" s="213"/>
      <c r="W933" s="213"/>
      <c r="X933" s="213"/>
      <c r="Y933" s="213"/>
      <c r="Z933" s="213"/>
      <c r="AA933" s="213"/>
      <c r="AB933" s="213"/>
      <c r="AC933" s="213"/>
      <c r="AD933" s="213"/>
      <c r="AE933" s="213"/>
      <c r="AF933" s="213"/>
      <c r="AG933" s="213"/>
      <c r="AH933" s="213"/>
      <c r="AI933" s="213"/>
      <c r="AJ933" s="213"/>
      <c r="AK933" s="213"/>
      <c r="AL933" s="213"/>
      <c r="AM933" s="213"/>
      <c r="AN933" s="302"/>
      <c r="AO933" s="303"/>
      <c r="AP933" s="285"/>
      <c r="AQ933" s="258"/>
      <c r="AR933" s="258"/>
    </row>
    <row r="934" spans="10:44" s="48" customFormat="1" ht="12" hidden="1" customHeight="1">
      <c r="J934" s="213"/>
      <c r="K934" s="213"/>
      <c r="L934" s="213"/>
      <c r="M934" s="213"/>
      <c r="N934" s="213"/>
      <c r="O934" s="213"/>
      <c r="P934" s="213"/>
      <c r="Q934" s="213"/>
      <c r="R934" s="213"/>
      <c r="S934" s="213"/>
      <c r="T934" s="213"/>
      <c r="U934" s="213"/>
      <c r="V934" s="213"/>
      <c r="W934" s="213"/>
      <c r="X934" s="213"/>
      <c r="Y934" s="213"/>
      <c r="Z934" s="213"/>
      <c r="AA934" s="213"/>
      <c r="AB934" s="213"/>
      <c r="AC934" s="213"/>
      <c r="AD934" s="213"/>
      <c r="AE934" s="213"/>
      <c r="AF934" s="213"/>
      <c r="AG934" s="213"/>
      <c r="AH934" s="213"/>
      <c r="AI934" s="213"/>
      <c r="AJ934" s="213"/>
      <c r="AK934" s="213"/>
      <c r="AL934" s="213"/>
      <c r="AM934" s="213"/>
      <c r="AN934" s="302"/>
      <c r="AO934" s="303"/>
      <c r="AP934" s="285"/>
      <c r="AQ934" s="258"/>
      <c r="AR934" s="258"/>
    </row>
    <row r="935" spans="10:44" s="48" customFormat="1" ht="12" hidden="1" customHeight="1">
      <c r="J935" s="213"/>
      <c r="K935" s="213"/>
      <c r="L935" s="213"/>
      <c r="M935" s="213"/>
      <c r="N935" s="213"/>
      <c r="O935" s="213"/>
      <c r="P935" s="213"/>
      <c r="Q935" s="213"/>
      <c r="R935" s="213"/>
      <c r="S935" s="213"/>
      <c r="T935" s="213"/>
      <c r="U935" s="213"/>
      <c r="V935" s="213"/>
      <c r="W935" s="213"/>
      <c r="X935" s="213"/>
      <c r="Y935" s="213"/>
      <c r="Z935" s="213"/>
      <c r="AA935" s="213"/>
      <c r="AB935" s="213"/>
      <c r="AC935" s="213"/>
      <c r="AD935" s="213"/>
      <c r="AE935" s="213"/>
      <c r="AF935" s="213"/>
      <c r="AG935" s="213"/>
      <c r="AH935" s="213"/>
      <c r="AI935" s="213"/>
      <c r="AJ935" s="213"/>
      <c r="AK935" s="213"/>
      <c r="AL935" s="213"/>
      <c r="AM935" s="213"/>
      <c r="AN935" s="302"/>
      <c r="AO935" s="303"/>
      <c r="AP935" s="285"/>
      <c r="AQ935" s="258"/>
      <c r="AR935" s="258"/>
    </row>
    <row r="936" spans="10:44" s="48" customFormat="1" ht="12" hidden="1" customHeight="1">
      <c r="J936" s="213"/>
      <c r="K936" s="213"/>
      <c r="L936" s="213"/>
      <c r="M936" s="213"/>
      <c r="N936" s="213"/>
      <c r="O936" s="213"/>
      <c r="P936" s="213"/>
      <c r="Q936" s="213"/>
      <c r="R936" s="213"/>
      <c r="S936" s="213"/>
      <c r="T936" s="213"/>
      <c r="U936" s="213"/>
      <c r="V936" s="213"/>
      <c r="W936" s="213"/>
      <c r="X936" s="213"/>
      <c r="Y936" s="213"/>
      <c r="Z936" s="213"/>
      <c r="AA936" s="213"/>
      <c r="AB936" s="213"/>
      <c r="AC936" s="213"/>
      <c r="AD936" s="213"/>
      <c r="AE936" s="213"/>
      <c r="AF936" s="213"/>
      <c r="AG936" s="213"/>
      <c r="AH936" s="213"/>
      <c r="AI936" s="213"/>
      <c r="AJ936" s="213"/>
      <c r="AK936" s="213"/>
      <c r="AL936" s="213"/>
      <c r="AM936" s="213"/>
      <c r="AN936" s="302"/>
      <c r="AO936" s="303"/>
      <c r="AP936" s="285"/>
      <c r="AQ936" s="258"/>
      <c r="AR936" s="258"/>
    </row>
    <row r="937" spans="10:44" s="48" customFormat="1" ht="12" hidden="1" customHeight="1">
      <c r="J937" s="213"/>
      <c r="K937" s="213"/>
      <c r="L937" s="213"/>
      <c r="M937" s="213"/>
      <c r="N937" s="213"/>
      <c r="O937" s="213"/>
      <c r="P937" s="213"/>
      <c r="Q937" s="213"/>
      <c r="R937" s="213"/>
      <c r="S937" s="213"/>
      <c r="T937" s="213"/>
      <c r="U937" s="213"/>
      <c r="V937" s="213"/>
      <c r="W937" s="213"/>
      <c r="X937" s="213"/>
      <c r="Y937" s="213"/>
      <c r="Z937" s="213"/>
      <c r="AA937" s="213"/>
      <c r="AB937" s="213"/>
      <c r="AC937" s="213"/>
      <c r="AD937" s="213"/>
      <c r="AE937" s="213"/>
      <c r="AF937" s="213"/>
      <c r="AG937" s="213"/>
      <c r="AH937" s="213"/>
      <c r="AI937" s="213"/>
      <c r="AJ937" s="213"/>
      <c r="AK937" s="213"/>
      <c r="AL937" s="213"/>
      <c r="AM937" s="213"/>
      <c r="AN937" s="302"/>
      <c r="AO937" s="303"/>
      <c r="AP937" s="285"/>
      <c r="AQ937" s="258"/>
      <c r="AR937" s="258"/>
    </row>
    <row r="938" spans="10:44" s="48" customFormat="1" ht="12" hidden="1" customHeight="1">
      <c r="J938" s="213"/>
      <c r="K938" s="213"/>
      <c r="L938" s="213"/>
      <c r="M938" s="213"/>
      <c r="N938" s="213"/>
      <c r="O938" s="213"/>
      <c r="P938" s="213"/>
      <c r="Q938" s="213"/>
      <c r="R938" s="213"/>
      <c r="S938" s="213"/>
      <c r="T938" s="213"/>
      <c r="U938" s="213"/>
      <c r="V938" s="213"/>
      <c r="W938" s="213"/>
      <c r="X938" s="213"/>
      <c r="Y938" s="213"/>
      <c r="Z938" s="213"/>
      <c r="AA938" s="213"/>
      <c r="AB938" s="213"/>
      <c r="AC938" s="213"/>
      <c r="AD938" s="213"/>
      <c r="AE938" s="213"/>
      <c r="AF938" s="213"/>
      <c r="AG938" s="213"/>
      <c r="AH938" s="213"/>
      <c r="AI938" s="213"/>
      <c r="AJ938" s="213"/>
      <c r="AK938" s="213"/>
      <c r="AL938" s="213"/>
      <c r="AM938" s="213"/>
      <c r="AN938" s="302"/>
      <c r="AO938" s="303"/>
      <c r="AP938" s="285"/>
      <c r="AQ938" s="258"/>
      <c r="AR938" s="258"/>
    </row>
    <row r="939" spans="10:44" s="48" customFormat="1" ht="12" hidden="1" customHeight="1">
      <c r="J939" s="213"/>
      <c r="K939" s="213"/>
      <c r="L939" s="213"/>
      <c r="M939" s="213"/>
      <c r="N939" s="213"/>
      <c r="O939" s="213"/>
      <c r="P939" s="213"/>
      <c r="Q939" s="213"/>
      <c r="R939" s="213"/>
      <c r="S939" s="213"/>
      <c r="T939" s="213"/>
      <c r="U939" s="213"/>
      <c r="V939" s="213"/>
      <c r="W939" s="213"/>
      <c r="X939" s="213"/>
      <c r="Y939" s="213"/>
      <c r="Z939" s="213"/>
      <c r="AA939" s="213"/>
      <c r="AB939" s="213"/>
      <c r="AC939" s="213"/>
      <c r="AD939" s="213"/>
      <c r="AE939" s="213"/>
      <c r="AF939" s="213"/>
      <c r="AG939" s="213"/>
      <c r="AH939" s="213"/>
      <c r="AI939" s="213"/>
      <c r="AJ939" s="213"/>
      <c r="AK939" s="213"/>
      <c r="AL939" s="213"/>
      <c r="AM939" s="213"/>
      <c r="AN939" s="302"/>
      <c r="AO939" s="303"/>
      <c r="AP939" s="285"/>
      <c r="AQ939" s="258"/>
      <c r="AR939" s="258"/>
    </row>
    <row r="940" spans="10:44" s="48" customFormat="1" ht="12" hidden="1" customHeight="1">
      <c r="J940" s="213"/>
      <c r="K940" s="213"/>
      <c r="L940" s="213"/>
      <c r="M940" s="213"/>
      <c r="N940" s="213"/>
      <c r="O940" s="213"/>
      <c r="P940" s="213"/>
      <c r="Q940" s="213"/>
      <c r="R940" s="213"/>
      <c r="S940" s="213"/>
      <c r="T940" s="213"/>
      <c r="U940" s="213"/>
      <c r="V940" s="213"/>
      <c r="W940" s="213"/>
      <c r="X940" s="213"/>
      <c r="Y940" s="213"/>
      <c r="Z940" s="213"/>
      <c r="AA940" s="213"/>
      <c r="AB940" s="213"/>
      <c r="AC940" s="213"/>
      <c r="AD940" s="213"/>
      <c r="AE940" s="213"/>
      <c r="AF940" s="213"/>
      <c r="AG940" s="213"/>
      <c r="AH940" s="213"/>
      <c r="AI940" s="213"/>
      <c r="AJ940" s="213"/>
      <c r="AK940" s="213"/>
      <c r="AL940" s="213"/>
      <c r="AM940" s="213"/>
      <c r="AN940" s="302"/>
      <c r="AO940" s="303"/>
      <c r="AP940" s="285"/>
      <c r="AQ940" s="258"/>
      <c r="AR940" s="258"/>
    </row>
    <row r="941" spans="10:44" s="48" customFormat="1" ht="12" hidden="1" customHeight="1">
      <c r="J941" s="213"/>
      <c r="K941" s="213"/>
      <c r="L941" s="213"/>
      <c r="M941" s="213"/>
      <c r="N941" s="213"/>
      <c r="O941" s="213"/>
      <c r="P941" s="213"/>
      <c r="Q941" s="213"/>
      <c r="R941" s="213"/>
      <c r="S941" s="213"/>
      <c r="T941" s="213"/>
      <c r="U941" s="213"/>
      <c r="V941" s="213"/>
      <c r="W941" s="213"/>
      <c r="X941" s="213"/>
      <c r="Y941" s="213"/>
      <c r="Z941" s="213"/>
      <c r="AA941" s="213"/>
      <c r="AB941" s="213"/>
      <c r="AC941" s="213"/>
      <c r="AD941" s="213"/>
      <c r="AE941" s="213"/>
      <c r="AF941" s="213"/>
      <c r="AG941" s="213"/>
      <c r="AH941" s="213"/>
      <c r="AI941" s="213"/>
      <c r="AJ941" s="213"/>
      <c r="AK941" s="213"/>
      <c r="AL941" s="213"/>
      <c r="AM941" s="213"/>
      <c r="AN941" s="302"/>
      <c r="AO941" s="303"/>
      <c r="AP941" s="285"/>
      <c r="AQ941" s="258"/>
      <c r="AR941" s="258"/>
    </row>
    <row r="942" spans="10:44" s="48" customFormat="1" ht="12" hidden="1" customHeight="1">
      <c r="J942" s="213"/>
      <c r="K942" s="213"/>
      <c r="L942" s="213"/>
      <c r="M942" s="213"/>
      <c r="N942" s="213"/>
      <c r="O942" s="213"/>
      <c r="P942" s="213"/>
      <c r="Q942" s="213"/>
      <c r="R942" s="213"/>
      <c r="S942" s="213"/>
      <c r="T942" s="213"/>
      <c r="U942" s="213"/>
      <c r="V942" s="213"/>
      <c r="W942" s="213"/>
      <c r="X942" s="213"/>
      <c r="Y942" s="213"/>
      <c r="Z942" s="213"/>
      <c r="AA942" s="213"/>
      <c r="AB942" s="213"/>
      <c r="AC942" s="213"/>
      <c r="AD942" s="213"/>
      <c r="AE942" s="213"/>
      <c r="AF942" s="213"/>
      <c r="AG942" s="213"/>
      <c r="AH942" s="213"/>
      <c r="AI942" s="213"/>
      <c r="AJ942" s="213"/>
      <c r="AK942" s="213"/>
      <c r="AL942" s="213"/>
      <c r="AM942" s="213"/>
      <c r="AN942" s="302"/>
      <c r="AO942" s="303"/>
      <c r="AP942" s="285"/>
      <c r="AQ942" s="258"/>
      <c r="AR942" s="258"/>
    </row>
    <row r="943" spans="10:44" s="48" customFormat="1" ht="12" hidden="1" customHeight="1">
      <c r="J943" s="213"/>
      <c r="K943" s="213"/>
      <c r="L943" s="213"/>
      <c r="M943" s="213"/>
      <c r="N943" s="213"/>
      <c r="O943" s="213"/>
      <c r="P943" s="213"/>
      <c r="Q943" s="213"/>
      <c r="R943" s="213"/>
      <c r="S943" s="213"/>
      <c r="T943" s="213"/>
      <c r="U943" s="213"/>
      <c r="V943" s="213"/>
      <c r="W943" s="213"/>
      <c r="X943" s="213"/>
      <c r="Y943" s="213"/>
      <c r="Z943" s="213"/>
      <c r="AA943" s="213"/>
      <c r="AB943" s="213"/>
      <c r="AC943" s="213"/>
      <c r="AD943" s="213"/>
      <c r="AE943" s="213"/>
      <c r="AF943" s="213"/>
      <c r="AG943" s="213"/>
      <c r="AH943" s="213"/>
      <c r="AI943" s="213"/>
      <c r="AJ943" s="213"/>
      <c r="AK943" s="213"/>
      <c r="AL943" s="213"/>
      <c r="AM943" s="213"/>
      <c r="AN943" s="302"/>
      <c r="AO943" s="303"/>
      <c r="AP943" s="285"/>
      <c r="AQ943" s="258"/>
      <c r="AR943" s="258"/>
    </row>
    <row r="944" spans="10:44" s="48" customFormat="1" ht="12" hidden="1" customHeight="1">
      <c r="J944" s="213"/>
      <c r="K944" s="213"/>
      <c r="L944" s="213"/>
      <c r="M944" s="213"/>
      <c r="N944" s="213"/>
      <c r="O944" s="213"/>
      <c r="P944" s="213"/>
      <c r="Q944" s="213"/>
      <c r="R944" s="213"/>
      <c r="S944" s="213"/>
      <c r="T944" s="213"/>
      <c r="U944" s="213"/>
      <c r="V944" s="213"/>
      <c r="W944" s="213"/>
      <c r="X944" s="213"/>
      <c r="Y944" s="213"/>
      <c r="Z944" s="213"/>
      <c r="AA944" s="213"/>
      <c r="AB944" s="213"/>
      <c r="AC944" s="213"/>
      <c r="AD944" s="213"/>
      <c r="AE944" s="213"/>
      <c r="AF944" s="213"/>
      <c r="AG944" s="213"/>
      <c r="AH944" s="213"/>
      <c r="AI944" s="213"/>
      <c r="AJ944" s="213"/>
      <c r="AK944" s="213"/>
      <c r="AL944" s="213"/>
      <c r="AM944" s="213"/>
      <c r="AN944" s="302"/>
      <c r="AO944" s="303"/>
      <c r="AP944" s="285"/>
      <c r="AQ944" s="258"/>
      <c r="AR944" s="258"/>
    </row>
    <row r="945" spans="10:44" s="48" customFormat="1" ht="12" hidden="1" customHeight="1">
      <c r="J945" s="213"/>
      <c r="K945" s="213"/>
      <c r="L945" s="213"/>
      <c r="M945" s="213"/>
      <c r="N945" s="213"/>
      <c r="O945" s="213"/>
      <c r="P945" s="213"/>
      <c r="Q945" s="213"/>
      <c r="R945" s="213"/>
      <c r="S945" s="213"/>
      <c r="T945" s="213"/>
      <c r="U945" s="213"/>
      <c r="V945" s="213"/>
      <c r="W945" s="213"/>
      <c r="X945" s="213"/>
      <c r="Y945" s="213"/>
      <c r="Z945" s="213"/>
      <c r="AA945" s="213"/>
      <c r="AB945" s="213"/>
      <c r="AC945" s="213"/>
      <c r="AD945" s="213"/>
      <c r="AE945" s="213"/>
      <c r="AF945" s="213"/>
      <c r="AG945" s="213"/>
      <c r="AH945" s="213"/>
      <c r="AI945" s="213"/>
      <c r="AJ945" s="213"/>
      <c r="AK945" s="213"/>
      <c r="AL945" s="213"/>
      <c r="AM945" s="213"/>
      <c r="AN945" s="302"/>
      <c r="AO945" s="303"/>
      <c r="AP945" s="285"/>
      <c r="AQ945" s="258"/>
      <c r="AR945" s="258"/>
    </row>
    <row r="946" spans="10:44" s="48" customFormat="1" ht="12" hidden="1" customHeight="1">
      <c r="J946" s="213"/>
      <c r="K946" s="213"/>
      <c r="L946" s="213"/>
      <c r="M946" s="213"/>
      <c r="N946" s="213"/>
      <c r="O946" s="213"/>
      <c r="P946" s="213"/>
      <c r="Q946" s="213"/>
      <c r="R946" s="213"/>
      <c r="S946" s="213"/>
      <c r="T946" s="213"/>
      <c r="U946" s="213"/>
      <c r="V946" s="213"/>
      <c r="W946" s="213"/>
      <c r="X946" s="213"/>
      <c r="Y946" s="213"/>
      <c r="Z946" s="213"/>
      <c r="AA946" s="213"/>
      <c r="AB946" s="213"/>
      <c r="AC946" s="213"/>
      <c r="AD946" s="213"/>
      <c r="AE946" s="213"/>
      <c r="AF946" s="213"/>
      <c r="AG946" s="213"/>
      <c r="AH946" s="213"/>
      <c r="AI946" s="213"/>
      <c r="AJ946" s="213"/>
      <c r="AK946" s="213"/>
      <c r="AL946" s="213"/>
      <c r="AM946" s="213"/>
      <c r="AN946" s="302"/>
      <c r="AO946" s="303"/>
      <c r="AP946" s="285"/>
      <c r="AQ946" s="258"/>
      <c r="AR946" s="258"/>
    </row>
    <row r="947" spans="10:44" s="48" customFormat="1" ht="12" hidden="1" customHeight="1">
      <c r="J947" s="213"/>
      <c r="K947" s="213"/>
      <c r="L947" s="213"/>
      <c r="M947" s="213"/>
      <c r="N947" s="213"/>
      <c r="O947" s="213"/>
      <c r="P947" s="213"/>
      <c r="Q947" s="213"/>
      <c r="R947" s="213"/>
      <c r="S947" s="213"/>
      <c r="T947" s="213"/>
      <c r="U947" s="213"/>
      <c r="V947" s="213"/>
      <c r="W947" s="213"/>
      <c r="X947" s="213"/>
      <c r="Y947" s="213"/>
      <c r="Z947" s="213"/>
      <c r="AA947" s="213"/>
      <c r="AB947" s="213"/>
      <c r="AC947" s="213"/>
      <c r="AD947" s="213"/>
      <c r="AE947" s="213"/>
      <c r="AF947" s="213"/>
      <c r="AG947" s="213"/>
      <c r="AH947" s="213"/>
      <c r="AI947" s="213"/>
      <c r="AJ947" s="213"/>
      <c r="AK947" s="213"/>
      <c r="AL947" s="213"/>
      <c r="AM947" s="213"/>
      <c r="AN947" s="302"/>
      <c r="AO947" s="303"/>
      <c r="AP947" s="285"/>
      <c r="AQ947" s="258"/>
      <c r="AR947" s="258"/>
    </row>
    <row r="948" spans="10:44" s="48" customFormat="1" ht="12" hidden="1" customHeight="1">
      <c r="J948" s="213"/>
      <c r="K948" s="213"/>
      <c r="L948" s="213"/>
      <c r="M948" s="213"/>
      <c r="N948" s="213"/>
      <c r="O948" s="213"/>
      <c r="P948" s="213"/>
      <c r="Q948" s="213"/>
      <c r="R948" s="213"/>
      <c r="S948" s="213"/>
      <c r="T948" s="213"/>
      <c r="U948" s="213"/>
      <c r="V948" s="213"/>
      <c r="W948" s="213"/>
      <c r="X948" s="213"/>
      <c r="Y948" s="213"/>
      <c r="Z948" s="213"/>
      <c r="AA948" s="213"/>
      <c r="AB948" s="213"/>
      <c r="AC948" s="213"/>
      <c r="AD948" s="213"/>
      <c r="AE948" s="213"/>
      <c r="AF948" s="213"/>
      <c r="AG948" s="213"/>
      <c r="AH948" s="213"/>
      <c r="AI948" s="213"/>
      <c r="AJ948" s="213"/>
      <c r="AK948" s="213"/>
      <c r="AL948" s="213"/>
      <c r="AM948" s="213"/>
      <c r="AN948" s="302"/>
      <c r="AO948" s="303"/>
      <c r="AP948" s="285"/>
      <c r="AQ948" s="258"/>
      <c r="AR948" s="258"/>
    </row>
    <row r="949" spans="10:44" s="48" customFormat="1" ht="12" hidden="1" customHeight="1">
      <c r="J949" s="213"/>
      <c r="K949" s="213"/>
      <c r="L949" s="213"/>
      <c r="M949" s="213"/>
      <c r="N949" s="213"/>
      <c r="O949" s="213"/>
      <c r="P949" s="213"/>
      <c r="Q949" s="213"/>
      <c r="R949" s="213"/>
      <c r="S949" s="213"/>
      <c r="T949" s="213"/>
      <c r="U949" s="213"/>
      <c r="V949" s="213"/>
      <c r="W949" s="213"/>
      <c r="X949" s="213"/>
      <c r="Y949" s="213"/>
      <c r="Z949" s="213"/>
      <c r="AA949" s="213"/>
      <c r="AB949" s="213"/>
      <c r="AC949" s="213"/>
      <c r="AD949" s="213"/>
      <c r="AE949" s="213"/>
      <c r="AF949" s="213"/>
      <c r="AG949" s="213"/>
      <c r="AH949" s="213"/>
      <c r="AI949" s="213"/>
      <c r="AJ949" s="213"/>
      <c r="AK949" s="213"/>
      <c r="AL949" s="213"/>
      <c r="AM949" s="213"/>
      <c r="AN949" s="302"/>
      <c r="AO949" s="303"/>
      <c r="AP949" s="285"/>
      <c r="AQ949" s="258"/>
      <c r="AR949" s="258"/>
    </row>
    <row r="950" spans="10:44" s="48" customFormat="1" ht="12" hidden="1" customHeight="1">
      <c r="J950" s="213"/>
      <c r="K950" s="213"/>
      <c r="L950" s="213"/>
      <c r="M950" s="213"/>
      <c r="N950" s="213"/>
      <c r="O950" s="213"/>
      <c r="P950" s="213"/>
      <c r="Q950" s="213"/>
      <c r="R950" s="213"/>
      <c r="S950" s="213"/>
      <c r="T950" s="213"/>
      <c r="U950" s="213"/>
      <c r="V950" s="213"/>
      <c r="W950" s="213"/>
      <c r="X950" s="213"/>
      <c r="Y950" s="213"/>
      <c r="Z950" s="213"/>
      <c r="AA950" s="213"/>
      <c r="AB950" s="213"/>
      <c r="AC950" s="213"/>
      <c r="AD950" s="213"/>
      <c r="AE950" s="213"/>
      <c r="AF950" s="213"/>
      <c r="AG950" s="213"/>
      <c r="AH950" s="213"/>
      <c r="AI950" s="213"/>
      <c r="AJ950" s="213"/>
      <c r="AK950" s="213"/>
      <c r="AL950" s="213"/>
      <c r="AM950" s="213"/>
      <c r="AN950" s="302"/>
      <c r="AO950" s="303"/>
      <c r="AP950" s="285"/>
      <c r="AQ950" s="258"/>
      <c r="AR950" s="258"/>
    </row>
    <row r="951" spans="10:44" s="48" customFormat="1" ht="12" hidden="1" customHeight="1">
      <c r="J951" s="213"/>
      <c r="K951" s="213"/>
      <c r="L951" s="213"/>
      <c r="M951" s="213"/>
      <c r="N951" s="213"/>
      <c r="O951" s="213"/>
      <c r="P951" s="213"/>
      <c r="Q951" s="213"/>
      <c r="R951" s="213"/>
      <c r="S951" s="213"/>
      <c r="T951" s="213"/>
      <c r="U951" s="213"/>
      <c r="V951" s="213"/>
      <c r="W951" s="213"/>
      <c r="X951" s="213"/>
      <c r="Y951" s="213"/>
      <c r="Z951" s="213"/>
      <c r="AA951" s="213"/>
      <c r="AB951" s="213"/>
      <c r="AC951" s="213"/>
      <c r="AD951" s="213"/>
      <c r="AE951" s="213"/>
      <c r="AF951" s="213"/>
      <c r="AG951" s="213"/>
      <c r="AH951" s="213"/>
      <c r="AI951" s="213"/>
      <c r="AJ951" s="213"/>
      <c r="AK951" s="213"/>
      <c r="AL951" s="213"/>
      <c r="AM951" s="213"/>
      <c r="AN951" s="302"/>
      <c r="AO951" s="303"/>
      <c r="AP951" s="285"/>
      <c r="AQ951" s="258"/>
      <c r="AR951" s="258"/>
    </row>
    <row r="952" spans="10:44" s="48" customFormat="1" ht="12" hidden="1" customHeight="1">
      <c r="J952" s="213"/>
      <c r="K952" s="213"/>
      <c r="L952" s="213"/>
      <c r="M952" s="213"/>
      <c r="N952" s="213"/>
      <c r="O952" s="213"/>
      <c r="P952" s="213"/>
      <c r="Q952" s="213"/>
      <c r="R952" s="213"/>
      <c r="S952" s="213"/>
      <c r="T952" s="213"/>
      <c r="U952" s="213"/>
      <c r="V952" s="213"/>
      <c r="W952" s="213"/>
      <c r="X952" s="213"/>
      <c r="Y952" s="213"/>
      <c r="Z952" s="213"/>
      <c r="AA952" s="213"/>
      <c r="AB952" s="213"/>
      <c r="AC952" s="213"/>
      <c r="AD952" s="213"/>
      <c r="AE952" s="213"/>
      <c r="AF952" s="213"/>
      <c r="AG952" s="213"/>
      <c r="AH952" s="213"/>
      <c r="AI952" s="213"/>
      <c r="AJ952" s="213"/>
      <c r="AK952" s="213"/>
      <c r="AL952" s="213"/>
      <c r="AM952" s="213"/>
      <c r="AN952" s="302"/>
      <c r="AO952" s="303"/>
      <c r="AP952" s="285"/>
      <c r="AQ952" s="258"/>
      <c r="AR952" s="258"/>
    </row>
    <row r="953" spans="10:44" s="48" customFormat="1" ht="12" hidden="1" customHeight="1">
      <c r="J953" s="213"/>
      <c r="K953" s="213"/>
      <c r="L953" s="213"/>
      <c r="M953" s="213"/>
      <c r="N953" s="213"/>
      <c r="O953" s="213"/>
      <c r="P953" s="213"/>
      <c r="Q953" s="213"/>
      <c r="R953" s="213"/>
      <c r="S953" s="213"/>
      <c r="T953" s="213"/>
      <c r="U953" s="213"/>
      <c r="V953" s="213"/>
      <c r="W953" s="213"/>
      <c r="X953" s="213"/>
      <c r="Y953" s="213"/>
      <c r="Z953" s="213"/>
      <c r="AA953" s="213"/>
      <c r="AB953" s="213"/>
      <c r="AC953" s="213"/>
      <c r="AD953" s="213"/>
      <c r="AE953" s="213"/>
      <c r="AF953" s="213"/>
      <c r="AG953" s="213"/>
      <c r="AH953" s="213"/>
      <c r="AI953" s="213"/>
      <c r="AJ953" s="213"/>
      <c r="AK953" s="213"/>
      <c r="AL953" s="213"/>
      <c r="AM953" s="213"/>
      <c r="AN953" s="302"/>
      <c r="AO953" s="303"/>
      <c r="AP953" s="285"/>
      <c r="AQ953" s="258"/>
      <c r="AR953" s="258"/>
    </row>
    <row r="954" spans="10:44" s="48" customFormat="1" ht="12" hidden="1" customHeight="1">
      <c r="J954" s="213"/>
      <c r="K954" s="213"/>
      <c r="L954" s="213"/>
      <c r="M954" s="213"/>
      <c r="N954" s="213"/>
      <c r="O954" s="213"/>
      <c r="P954" s="213"/>
      <c r="Q954" s="213"/>
      <c r="R954" s="213"/>
      <c r="S954" s="213"/>
      <c r="T954" s="213"/>
      <c r="U954" s="213"/>
      <c r="V954" s="213"/>
      <c r="W954" s="213"/>
      <c r="X954" s="213"/>
      <c r="Y954" s="213"/>
      <c r="Z954" s="213"/>
      <c r="AA954" s="213"/>
      <c r="AB954" s="213"/>
      <c r="AC954" s="213"/>
      <c r="AD954" s="213"/>
      <c r="AE954" s="213"/>
      <c r="AF954" s="213"/>
      <c r="AG954" s="213"/>
      <c r="AH954" s="213"/>
      <c r="AI954" s="213"/>
      <c r="AJ954" s="213"/>
      <c r="AK954" s="213"/>
      <c r="AL954" s="213"/>
      <c r="AM954" s="213"/>
      <c r="AN954" s="302"/>
      <c r="AO954" s="303"/>
      <c r="AP954" s="285"/>
      <c r="AQ954" s="258"/>
      <c r="AR954" s="258"/>
    </row>
    <row r="955" spans="10:44" s="48" customFormat="1" ht="12" hidden="1" customHeight="1">
      <c r="J955" s="213"/>
      <c r="K955" s="213"/>
      <c r="L955" s="213"/>
      <c r="M955" s="213"/>
      <c r="N955" s="213"/>
      <c r="O955" s="213"/>
      <c r="P955" s="213"/>
      <c r="Q955" s="213"/>
      <c r="R955" s="213"/>
      <c r="S955" s="213"/>
      <c r="T955" s="213"/>
      <c r="U955" s="213"/>
      <c r="V955" s="213"/>
      <c r="W955" s="213"/>
      <c r="X955" s="213"/>
      <c r="Y955" s="213"/>
      <c r="Z955" s="213"/>
      <c r="AA955" s="213"/>
      <c r="AB955" s="213"/>
      <c r="AC955" s="213"/>
      <c r="AD955" s="213"/>
      <c r="AE955" s="213"/>
      <c r="AF955" s="213"/>
      <c r="AG955" s="213"/>
      <c r="AH955" s="213"/>
      <c r="AI955" s="213"/>
      <c r="AJ955" s="213"/>
      <c r="AK955" s="213"/>
      <c r="AL955" s="213"/>
      <c r="AM955" s="213"/>
      <c r="AN955" s="302"/>
      <c r="AO955" s="303"/>
      <c r="AP955" s="285"/>
      <c r="AQ955" s="258"/>
      <c r="AR955" s="258"/>
    </row>
    <row r="956" spans="10:44" s="48" customFormat="1" ht="12" hidden="1" customHeight="1">
      <c r="J956" s="213"/>
      <c r="K956" s="213"/>
      <c r="L956" s="213"/>
      <c r="M956" s="213"/>
      <c r="N956" s="213"/>
      <c r="O956" s="213"/>
      <c r="P956" s="213"/>
      <c r="Q956" s="213"/>
      <c r="R956" s="213"/>
      <c r="S956" s="213"/>
      <c r="T956" s="213"/>
      <c r="U956" s="213"/>
      <c r="V956" s="213"/>
      <c r="W956" s="213"/>
      <c r="X956" s="213"/>
      <c r="Y956" s="213"/>
      <c r="Z956" s="213"/>
      <c r="AA956" s="213"/>
      <c r="AB956" s="213"/>
      <c r="AC956" s="213"/>
      <c r="AD956" s="213"/>
      <c r="AE956" s="213"/>
      <c r="AF956" s="213"/>
      <c r="AG956" s="213"/>
      <c r="AH956" s="213"/>
      <c r="AI956" s="213"/>
      <c r="AJ956" s="213"/>
      <c r="AK956" s="213"/>
      <c r="AL956" s="213"/>
      <c r="AM956" s="213"/>
      <c r="AN956" s="302"/>
      <c r="AO956" s="303"/>
      <c r="AP956" s="285"/>
      <c r="AQ956" s="258"/>
      <c r="AR956" s="258"/>
    </row>
    <row r="957" spans="10:44" s="48" customFormat="1" ht="12" hidden="1" customHeight="1">
      <c r="J957" s="213"/>
      <c r="K957" s="213"/>
      <c r="L957" s="213"/>
      <c r="M957" s="213"/>
      <c r="N957" s="213"/>
      <c r="O957" s="213"/>
      <c r="P957" s="213"/>
      <c r="Q957" s="213"/>
      <c r="R957" s="213"/>
      <c r="S957" s="213"/>
      <c r="T957" s="213"/>
      <c r="U957" s="213"/>
      <c r="V957" s="213"/>
      <c r="W957" s="213"/>
      <c r="X957" s="213"/>
      <c r="Y957" s="213"/>
      <c r="Z957" s="213"/>
      <c r="AA957" s="213"/>
      <c r="AB957" s="213"/>
      <c r="AC957" s="213"/>
      <c r="AD957" s="213"/>
      <c r="AE957" s="213"/>
      <c r="AF957" s="213"/>
      <c r="AG957" s="213"/>
      <c r="AH957" s="213"/>
      <c r="AI957" s="213"/>
      <c r="AJ957" s="213"/>
      <c r="AK957" s="213"/>
      <c r="AL957" s="213"/>
      <c r="AM957" s="213"/>
      <c r="AN957" s="302"/>
      <c r="AO957" s="303"/>
      <c r="AP957" s="285"/>
      <c r="AQ957" s="258"/>
      <c r="AR957" s="258"/>
    </row>
    <row r="958" spans="10:44" s="48" customFormat="1" ht="12" hidden="1" customHeight="1">
      <c r="J958" s="213"/>
      <c r="K958" s="213"/>
      <c r="L958" s="213"/>
      <c r="M958" s="213"/>
      <c r="N958" s="213"/>
      <c r="O958" s="213"/>
      <c r="P958" s="213"/>
      <c r="Q958" s="213"/>
      <c r="R958" s="213"/>
      <c r="S958" s="213"/>
      <c r="T958" s="213"/>
      <c r="U958" s="213"/>
      <c r="V958" s="213"/>
      <c r="W958" s="213"/>
      <c r="X958" s="213"/>
      <c r="Y958" s="213"/>
      <c r="Z958" s="213"/>
      <c r="AA958" s="213"/>
      <c r="AB958" s="213"/>
      <c r="AC958" s="213"/>
      <c r="AD958" s="213"/>
      <c r="AE958" s="213"/>
      <c r="AF958" s="213"/>
      <c r="AG958" s="213"/>
      <c r="AH958" s="213"/>
      <c r="AI958" s="213"/>
      <c r="AJ958" s="213"/>
      <c r="AK958" s="213"/>
      <c r="AL958" s="213"/>
      <c r="AM958" s="213"/>
      <c r="AN958" s="302"/>
      <c r="AO958" s="303"/>
      <c r="AP958" s="285"/>
      <c r="AQ958" s="258"/>
      <c r="AR958" s="258"/>
    </row>
    <row r="959" spans="10:44" s="48" customFormat="1" ht="12" hidden="1" customHeight="1">
      <c r="J959" s="213"/>
      <c r="K959" s="213"/>
      <c r="L959" s="213"/>
      <c r="M959" s="213"/>
      <c r="N959" s="213"/>
      <c r="O959" s="213"/>
      <c r="P959" s="213"/>
      <c r="Q959" s="213"/>
      <c r="R959" s="213"/>
      <c r="S959" s="213"/>
      <c r="T959" s="213"/>
      <c r="U959" s="213"/>
      <c r="V959" s="213"/>
      <c r="W959" s="213"/>
      <c r="X959" s="213"/>
      <c r="Y959" s="213"/>
      <c r="Z959" s="213"/>
      <c r="AA959" s="213"/>
      <c r="AB959" s="213"/>
      <c r="AC959" s="213"/>
      <c r="AD959" s="213"/>
      <c r="AE959" s="213"/>
      <c r="AF959" s="213"/>
      <c r="AG959" s="213"/>
      <c r="AH959" s="213"/>
      <c r="AI959" s="213"/>
      <c r="AJ959" s="213"/>
      <c r="AK959" s="213"/>
      <c r="AL959" s="213"/>
      <c r="AM959" s="213"/>
      <c r="AN959" s="302"/>
      <c r="AO959" s="303"/>
      <c r="AP959" s="285"/>
      <c r="AQ959" s="258"/>
      <c r="AR959" s="258"/>
    </row>
    <row r="960" spans="10:44" s="48" customFormat="1" ht="12" hidden="1" customHeight="1">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302"/>
      <c r="AO960" s="303"/>
      <c r="AP960" s="285"/>
      <c r="AQ960" s="258"/>
      <c r="AR960" s="258"/>
    </row>
    <row r="961" spans="10:44" s="48" customFormat="1" ht="12" hidden="1" customHeight="1">
      <c r="J961" s="213"/>
      <c r="K961" s="213"/>
      <c r="L961" s="213"/>
      <c r="M961" s="213"/>
      <c r="N961" s="213"/>
      <c r="O961" s="213"/>
      <c r="P961" s="213"/>
      <c r="Q961" s="213"/>
      <c r="R961" s="213"/>
      <c r="S961" s="213"/>
      <c r="T961" s="213"/>
      <c r="U961" s="213"/>
      <c r="V961" s="213"/>
      <c r="W961" s="213"/>
      <c r="X961" s="213"/>
      <c r="Y961" s="213"/>
      <c r="Z961" s="213"/>
      <c r="AA961" s="213"/>
      <c r="AB961" s="213"/>
      <c r="AC961" s="213"/>
      <c r="AD961" s="213"/>
      <c r="AE961" s="213"/>
      <c r="AF961" s="213"/>
      <c r="AG961" s="213"/>
      <c r="AH961" s="213"/>
      <c r="AI961" s="213"/>
      <c r="AJ961" s="213"/>
      <c r="AK961" s="213"/>
      <c r="AL961" s="213"/>
      <c r="AM961" s="213"/>
      <c r="AN961" s="302"/>
      <c r="AO961" s="303"/>
      <c r="AP961" s="285"/>
      <c r="AQ961" s="258"/>
      <c r="AR961" s="258"/>
    </row>
    <row r="962" spans="10:44" s="48" customFormat="1" ht="12" hidden="1" customHeight="1">
      <c r="J962" s="213"/>
      <c r="K962" s="213"/>
      <c r="L962" s="213"/>
      <c r="M962" s="213"/>
      <c r="N962" s="213"/>
      <c r="O962" s="213"/>
      <c r="P962" s="213"/>
      <c r="Q962" s="213"/>
      <c r="R962" s="213"/>
      <c r="S962" s="213"/>
      <c r="T962" s="213"/>
      <c r="U962" s="213"/>
      <c r="V962" s="213"/>
      <c r="W962" s="213"/>
      <c r="X962" s="213"/>
      <c r="Y962" s="213"/>
      <c r="Z962" s="213"/>
      <c r="AA962" s="213"/>
      <c r="AB962" s="213"/>
      <c r="AC962" s="213"/>
      <c r="AD962" s="213"/>
      <c r="AE962" s="213"/>
      <c r="AF962" s="213"/>
      <c r="AG962" s="213"/>
      <c r="AH962" s="213"/>
      <c r="AI962" s="213"/>
      <c r="AJ962" s="213"/>
      <c r="AK962" s="213"/>
      <c r="AL962" s="213"/>
      <c r="AM962" s="213"/>
      <c r="AN962" s="302"/>
      <c r="AO962" s="303"/>
      <c r="AP962" s="285"/>
      <c r="AQ962" s="258"/>
      <c r="AR962" s="258"/>
    </row>
    <row r="963" spans="10:44" s="48" customFormat="1" ht="12" hidden="1" customHeight="1">
      <c r="J963" s="213"/>
      <c r="K963" s="213"/>
      <c r="L963" s="213"/>
      <c r="M963" s="213"/>
      <c r="N963" s="213"/>
      <c r="O963" s="213"/>
      <c r="P963" s="213"/>
      <c r="Q963" s="213"/>
      <c r="R963" s="213"/>
      <c r="S963" s="213"/>
      <c r="T963" s="213"/>
      <c r="U963" s="213"/>
      <c r="V963" s="213"/>
      <c r="W963" s="213"/>
      <c r="X963" s="213"/>
      <c r="Y963" s="213"/>
      <c r="Z963" s="213"/>
      <c r="AA963" s="213"/>
      <c r="AB963" s="213"/>
      <c r="AC963" s="213"/>
      <c r="AD963" s="213"/>
      <c r="AE963" s="213"/>
      <c r="AF963" s="213"/>
      <c r="AG963" s="213"/>
      <c r="AH963" s="213"/>
      <c r="AI963" s="213"/>
      <c r="AJ963" s="213"/>
      <c r="AK963" s="213"/>
      <c r="AL963" s="213"/>
      <c r="AM963" s="213"/>
      <c r="AN963" s="302"/>
      <c r="AO963" s="303"/>
      <c r="AP963" s="285"/>
      <c r="AQ963" s="258"/>
      <c r="AR963" s="258"/>
    </row>
    <row r="964" spans="10:44" s="48" customFormat="1" ht="12" hidden="1" customHeight="1">
      <c r="J964" s="213"/>
      <c r="K964" s="213"/>
      <c r="L964" s="213"/>
      <c r="M964" s="213"/>
      <c r="N964" s="213"/>
      <c r="O964" s="213"/>
      <c r="P964" s="213"/>
      <c r="Q964" s="213"/>
      <c r="R964" s="213"/>
      <c r="S964" s="213"/>
      <c r="T964" s="213"/>
      <c r="U964" s="213"/>
      <c r="V964" s="213"/>
      <c r="W964" s="213"/>
      <c r="X964" s="213"/>
      <c r="Y964" s="213"/>
      <c r="Z964" s="213"/>
      <c r="AA964" s="213"/>
      <c r="AB964" s="213"/>
      <c r="AC964" s="213"/>
      <c r="AD964" s="213"/>
      <c r="AE964" s="213"/>
      <c r="AF964" s="213"/>
      <c r="AG964" s="213"/>
      <c r="AH964" s="213"/>
      <c r="AI964" s="213"/>
      <c r="AJ964" s="213"/>
      <c r="AK964" s="213"/>
      <c r="AL964" s="213"/>
      <c r="AM964" s="213"/>
      <c r="AN964" s="302"/>
      <c r="AO964" s="303"/>
      <c r="AP964" s="285"/>
      <c r="AQ964" s="258"/>
      <c r="AR964" s="258"/>
    </row>
    <row r="965" spans="10:44" s="48" customFormat="1" ht="12" hidden="1" customHeight="1">
      <c r="J965" s="213"/>
      <c r="K965" s="213"/>
      <c r="L965" s="213"/>
      <c r="M965" s="213"/>
      <c r="N965" s="213"/>
      <c r="O965" s="213"/>
      <c r="P965" s="213"/>
      <c r="Q965" s="213"/>
      <c r="R965" s="213"/>
      <c r="S965" s="213"/>
      <c r="T965" s="213"/>
      <c r="U965" s="213"/>
      <c r="V965" s="213"/>
      <c r="W965" s="213"/>
      <c r="X965" s="213"/>
      <c r="Y965" s="213"/>
      <c r="Z965" s="213"/>
      <c r="AA965" s="213"/>
      <c r="AB965" s="213"/>
      <c r="AC965" s="213"/>
      <c r="AD965" s="213"/>
      <c r="AE965" s="213"/>
      <c r="AF965" s="213"/>
      <c r="AG965" s="213"/>
      <c r="AH965" s="213"/>
      <c r="AI965" s="213"/>
      <c r="AJ965" s="213"/>
      <c r="AK965" s="213"/>
      <c r="AL965" s="213"/>
      <c r="AM965" s="213"/>
      <c r="AN965" s="302"/>
      <c r="AO965" s="303"/>
      <c r="AP965" s="285"/>
      <c r="AQ965" s="258"/>
      <c r="AR965" s="258"/>
    </row>
    <row r="966" spans="10:44" s="48" customFormat="1" ht="12" hidden="1" customHeight="1">
      <c r="J966" s="213"/>
      <c r="K966" s="213"/>
      <c r="L966" s="213"/>
      <c r="M966" s="213"/>
      <c r="N966" s="213"/>
      <c r="O966" s="213"/>
      <c r="P966" s="213"/>
      <c r="Q966" s="213"/>
      <c r="R966" s="213"/>
      <c r="S966" s="213"/>
      <c r="T966" s="213"/>
      <c r="U966" s="213"/>
      <c r="V966" s="213"/>
      <c r="W966" s="213"/>
      <c r="X966" s="213"/>
      <c r="Y966" s="213"/>
      <c r="Z966" s="213"/>
      <c r="AA966" s="213"/>
      <c r="AB966" s="213"/>
      <c r="AC966" s="213"/>
      <c r="AD966" s="213"/>
      <c r="AE966" s="213"/>
      <c r="AF966" s="213"/>
      <c r="AG966" s="213"/>
      <c r="AH966" s="213"/>
      <c r="AI966" s="213"/>
      <c r="AJ966" s="213"/>
      <c r="AK966" s="213"/>
      <c r="AL966" s="213"/>
      <c r="AM966" s="213"/>
      <c r="AN966" s="302"/>
      <c r="AO966" s="303"/>
      <c r="AP966" s="285"/>
      <c r="AQ966" s="258"/>
      <c r="AR966" s="258"/>
    </row>
    <row r="967" spans="10:44" s="48" customFormat="1" ht="12" hidden="1" customHeight="1">
      <c r="J967" s="213"/>
      <c r="K967" s="213"/>
      <c r="L967" s="213"/>
      <c r="M967" s="213"/>
      <c r="N967" s="213"/>
      <c r="O967" s="213"/>
      <c r="P967" s="213"/>
      <c r="Q967" s="213"/>
      <c r="R967" s="213"/>
      <c r="S967" s="213"/>
      <c r="T967" s="213"/>
      <c r="U967" s="213"/>
      <c r="V967" s="213"/>
      <c r="W967" s="213"/>
      <c r="X967" s="213"/>
      <c r="Y967" s="213"/>
      <c r="Z967" s="213"/>
      <c r="AA967" s="213"/>
      <c r="AB967" s="213"/>
      <c r="AC967" s="213"/>
      <c r="AD967" s="213"/>
      <c r="AE967" s="213"/>
      <c r="AF967" s="213"/>
      <c r="AG967" s="213"/>
      <c r="AH967" s="213"/>
      <c r="AI967" s="213"/>
      <c r="AJ967" s="213"/>
      <c r="AK967" s="213"/>
      <c r="AL967" s="213"/>
      <c r="AM967" s="213"/>
      <c r="AN967" s="302"/>
      <c r="AO967" s="303"/>
      <c r="AP967" s="285"/>
      <c r="AQ967" s="258"/>
      <c r="AR967" s="258"/>
    </row>
    <row r="968" spans="10:44" s="48" customFormat="1" ht="12" hidden="1" customHeight="1">
      <c r="J968" s="213"/>
      <c r="K968" s="213"/>
      <c r="L968" s="213"/>
      <c r="M968" s="213"/>
      <c r="N968" s="213"/>
      <c r="O968" s="213"/>
      <c r="P968" s="213"/>
      <c r="Q968" s="213"/>
      <c r="R968" s="213"/>
      <c r="S968" s="213"/>
      <c r="T968" s="213"/>
      <c r="U968" s="213"/>
      <c r="V968" s="213"/>
      <c r="W968" s="213"/>
      <c r="X968" s="213"/>
      <c r="Y968" s="213"/>
      <c r="Z968" s="213"/>
      <c r="AA968" s="213"/>
      <c r="AB968" s="213"/>
      <c r="AC968" s="213"/>
      <c r="AD968" s="213"/>
      <c r="AE968" s="213"/>
      <c r="AF968" s="213"/>
      <c r="AG968" s="213"/>
      <c r="AH968" s="213"/>
      <c r="AI968" s="213"/>
      <c r="AJ968" s="213"/>
      <c r="AK968" s="213"/>
      <c r="AL968" s="213"/>
      <c r="AM968" s="213"/>
      <c r="AN968" s="302"/>
      <c r="AO968" s="303"/>
      <c r="AP968" s="285"/>
      <c r="AQ968" s="258"/>
      <c r="AR968" s="258"/>
    </row>
    <row r="969" spans="10:44" s="48" customFormat="1" ht="12" hidden="1" customHeight="1">
      <c r="J969" s="213"/>
      <c r="K969" s="213"/>
      <c r="L969" s="213"/>
      <c r="M969" s="213"/>
      <c r="N969" s="213"/>
      <c r="O969" s="213"/>
      <c r="P969" s="213"/>
      <c r="Q969" s="213"/>
      <c r="R969" s="213"/>
      <c r="S969" s="213"/>
      <c r="T969" s="213"/>
      <c r="U969" s="213"/>
      <c r="V969" s="213"/>
      <c r="W969" s="213"/>
      <c r="X969" s="213"/>
      <c r="Y969" s="213"/>
      <c r="Z969" s="213"/>
      <c r="AA969" s="213"/>
      <c r="AB969" s="213"/>
      <c r="AC969" s="213"/>
      <c r="AD969" s="213"/>
      <c r="AE969" s="213"/>
      <c r="AF969" s="213"/>
      <c r="AG969" s="213"/>
      <c r="AH969" s="213"/>
      <c r="AI969" s="213"/>
      <c r="AJ969" s="213"/>
      <c r="AK969" s="213"/>
      <c r="AL969" s="213"/>
      <c r="AM969" s="213"/>
      <c r="AN969" s="302"/>
      <c r="AO969" s="303"/>
      <c r="AP969" s="285"/>
      <c r="AQ969" s="258"/>
      <c r="AR969" s="258"/>
    </row>
    <row r="970" spans="10:44" s="48" customFormat="1" ht="12" hidden="1" customHeight="1">
      <c r="J970" s="213"/>
      <c r="K970" s="213"/>
      <c r="L970" s="213"/>
      <c r="M970" s="213"/>
      <c r="N970" s="213"/>
      <c r="O970" s="213"/>
      <c r="P970" s="213"/>
      <c r="Q970" s="213"/>
      <c r="R970" s="213"/>
      <c r="S970" s="213"/>
      <c r="T970" s="213"/>
      <c r="U970" s="213"/>
      <c r="V970" s="213"/>
      <c r="W970" s="213"/>
      <c r="X970" s="213"/>
      <c r="Y970" s="213"/>
      <c r="Z970" s="213"/>
      <c r="AA970" s="213"/>
      <c r="AB970" s="213"/>
      <c r="AC970" s="213"/>
      <c r="AD970" s="213"/>
      <c r="AE970" s="213"/>
      <c r="AF970" s="213"/>
      <c r="AG970" s="213"/>
      <c r="AH970" s="213"/>
      <c r="AI970" s="213"/>
      <c r="AJ970" s="213"/>
      <c r="AK970" s="213"/>
      <c r="AL970" s="213"/>
      <c r="AM970" s="213"/>
      <c r="AN970" s="302"/>
      <c r="AO970" s="303"/>
      <c r="AP970" s="285"/>
      <c r="AQ970" s="258"/>
      <c r="AR970" s="258"/>
    </row>
    <row r="971" spans="10:44" s="48" customFormat="1" ht="12" hidden="1" customHeight="1">
      <c r="J971" s="213"/>
      <c r="K971" s="213"/>
      <c r="L971" s="213"/>
      <c r="M971" s="213"/>
      <c r="N971" s="213"/>
      <c r="O971" s="213"/>
      <c r="P971" s="213"/>
      <c r="Q971" s="213"/>
      <c r="R971" s="213"/>
      <c r="S971" s="213"/>
      <c r="T971" s="213"/>
      <c r="U971" s="213"/>
      <c r="V971" s="213"/>
      <c r="W971" s="213"/>
      <c r="X971" s="213"/>
      <c r="Y971" s="213"/>
      <c r="Z971" s="213"/>
      <c r="AA971" s="213"/>
      <c r="AB971" s="213"/>
      <c r="AC971" s="213"/>
      <c r="AD971" s="213"/>
      <c r="AE971" s="213"/>
      <c r="AF971" s="213"/>
      <c r="AG971" s="213"/>
      <c r="AH971" s="213"/>
      <c r="AI971" s="213"/>
      <c r="AJ971" s="213"/>
      <c r="AK971" s="213"/>
      <c r="AL971" s="213"/>
      <c r="AM971" s="213"/>
      <c r="AN971" s="302"/>
      <c r="AO971" s="303"/>
      <c r="AP971" s="285"/>
      <c r="AQ971" s="258"/>
      <c r="AR971" s="258"/>
    </row>
    <row r="972" spans="10:44" s="48" customFormat="1" ht="12" hidden="1" customHeight="1">
      <c r="J972" s="213"/>
      <c r="K972" s="213"/>
      <c r="L972" s="213"/>
      <c r="M972" s="213"/>
      <c r="N972" s="213"/>
      <c r="O972" s="213"/>
      <c r="P972" s="213"/>
      <c r="Q972" s="213"/>
      <c r="R972" s="213"/>
      <c r="S972" s="213"/>
      <c r="T972" s="213"/>
      <c r="U972" s="213"/>
      <c r="V972" s="213"/>
      <c r="W972" s="213"/>
      <c r="X972" s="213"/>
      <c r="Y972" s="213"/>
      <c r="Z972" s="213"/>
      <c r="AA972" s="213"/>
      <c r="AB972" s="213"/>
      <c r="AC972" s="213"/>
      <c r="AD972" s="213"/>
      <c r="AE972" s="213"/>
      <c r="AF972" s="213"/>
      <c r="AG972" s="213"/>
      <c r="AH972" s="213"/>
      <c r="AI972" s="213"/>
      <c r="AJ972" s="213"/>
      <c r="AK972" s="213"/>
      <c r="AL972" s="213"/>
      <c r="AM972" s="213"/>
      <c r="AN972" s="302"/>
      <c r="AO972" s="303"/>
      <c r="AP972" s="285"/>
      <c r="AQ972" s="258"/>
      <c r="AR972" s="258"/>
    </row>
    <row r="973" spans="10:44" s="48" customFormat="1" ht="12" hidden="1" customHeight="1">
      <c r="J973" s="213"/>
      <c r="K973" s="213"/>
      <c r="L973" s="213"/>
      <c r="M973" s="213"/>
      <c r="N973" s="213"/>
      <c r="O973" s="213"/>
      <c r="P973" s="213"/>
      <c r="Q973" s="213"/>
      <c r="R973" s="213"/>
      <c r="S973" s="213"/>
      <c r="T973" s="213"/>
      <c r="U973" s="213"/>
      <c r="V973" s="213"/>
      <c r="W973" s="213"/>
      <c r="X973" s="213"/>
      <c r="Y973" s="213"/>
      <c r="Z973" s="213"/>
      <c r="AA973" s="213"/>
      <c r="AB973" s="213"/>
      <c r="AC973" s="213"/>
      <c r="AD973" s="213"/>
      <c r="AE973" s="213"/>
      <c r="AF973" s="213"/>
      <c r="AG973" s="213"/>
      <c r="AH973" s="213"/>
      <c r="AI973" s="213"/>
      <c r="AJ973" s="213"/>
      <c r="AK973" s="213"/>
      <c r="AL973" s="213"/>
      <c r="AM973" s="213"/>
      <c r="AN973" s="302"/>
      <c r="AO973" s="303"/>
      <c r="AP973" s="285"/>
      <c r="AQ973" s="258"/>
      <c r="AR973" s="258"/>
    </row>
    <row r="974" spans="10:44" s="48" customFormat="1" ht="12" hidden="1" customHeight="1">
      <c r="J974" s="213"/>
      <c r="K974" s="213"/>
      <c r="L974" s="213"/>
      <c r="M974" s="213"/>
      <c r="N974" s="213"/>
      <c r="O974" s="213"/>
      <c r="P974" s="213"/>
      <c r="Q974" s="213"/>
      <c r="R974" s="213"/>
      <c r="S974" s="213"/>
      <c r="T974" s="213"/>
      <c r="U974" s="213"/>
      <c r="V974" s="213"/>
      <c r="W974" s="213"/>
      <c r="X974" s="213"/>
      <c r="Y974" s="213"/>
      <c r="Z974" s="213"/>
      <c r="AA974" s="213"/>
      <c r="AB974" s="213"/>
      <c r="AC974" s="213"/>
      <c r="AD974" s="213"/>
      <c r="AE974" s="213"/>
      <c r="AF974" s="213"/>
      <c r="AG974" s="213"/>
      <c r="AH974" s="213"/>
      <c r="AI974" s="213"/>
      <c r="AJ974" s="213"/>
      <c r="AK974" s="213"/>
      <c r="AL974" s="213"/>
      <c r="AM974" s="213"/>
      <c r="AN974" s="302"/>
      <c r="AO974" s="303"/>
      <c r="AP974" s="285"/>
      <c r="AQ974" s="258"/>
      <c r="AR974" s="258"/>
    </row>
    <row r="975" spans="10:44" s="48" customFormat="1" ht="12" hidden="1" customHeight="1">
      <c r="J975" s="213"/>
      <c r="K975" s="213"/>
      <c r="L975" s="213"/>
      <c r="M975" s="213"/>
      <c r="N975" s="213"/>
      <c r="O975" s="213"/>
      <c r="P975" s="213"/>
      <c r="Q975" s="213"/>
      <c r="R975" s="213"/>
      <c r="S975" s="213"/>
      <c r="T975" s="213"/>
      <c r="U975" s="213"/>
      <c r="V975" s="213"/>
      <c r="W975" s="213"/>
      <c r="X975" s="213"/>
      <c r="Y975" s="213"/>
      <c r="Z975" s="213"/>
      <c r="AA975" s="213"/>
      <c r="AB975" s="213"/>
      <c r="AC975" s="213"/>
      <c r="AD975" s="213"/>
      <c r="AE975" s="213"/>
      <c r="AF975" s="213"/>
      <c r="AG975" s="213"/>
      <c r="AH975" s="213"/>
      <c r="AI975" s="213"/>
      <c r="AJ975" s="213"/>
      <c r="AK975" s="213"/>
      <c r="AL975" s="213"/>
      <c r="AM975" s="213"/>
      <c r="AN975" s="302"/>
      <c r="AO975" s="303"/>
      <c r="AP975" s="285"/>
      <c r="AQ975" s="258"/>
      <c r="AR975" s="258"/>
    </row>
    <row r="976" spans="10:44" s="48" customFormat="1" ht="12" hidden="1" customHeight="1">
      <c r="J976" s="213"/>
      <c r="K976" s="213"/>
      <c r="L976" s="213"/>
      <c r="M976" s="213"/>
      <c r="N976" s="213"/>
      <c r="O976" s="213"/>
      <c r="P976" s="213"/>
      <c r="Q976" s="213"/>
      <c r="R976" s="213"/>
      <c r="S976" s="213"/>
      <c r="T976" s="213"/>
      <c r="U976" s="213"/>
      <c r="V976" s="213"/>
      <c r="W976" s="213"/>
      <c r="X976" s="213"/>
      <c r="Y976" s="213"/>
      <c r="Z976" s="213"/>
      <c r="AA976" s="213"/>
      <c r="AB976" s="213"/>
      <c r="AC976" s="213"/>
      <c r="AD976" s="213"/>
      <c r="AE976" s="213"/>
      <c r="AF976" s="213"/>
      <c r="AG976" s="213"/>
      <c r="AH976" s="213"/>
      <c r="AI976" s="213"/>
      <c r="AJ976" s="213"/>
      <c r="AK976" s="213"/>
      <c r="AL976" s="213"/>
      <c r="AM976" s="213"/>
      <c r="AN976" s="302"/>
      <c r="AO976" s="303"/>
      <c r="AP976" s="285"/>
      <c r="AQ976" s="258"/>
      <c r="AR976" s="258"/>
    </row>
    <row r="977" spans="10:44" s="48" customFormat="1" ht="12" hidden="1" customHeight="1">
      <c r="J977" s="213"/>
      <c r="K977" s="213"/>
      <c r="L977" s="213"/>
      <c r="M977" s="213"/>
      <c r="N977" s="213"/>
      <c r="O977" s="213"/>
      <c r="P977" s="213"/>
      <c r="Q977" s="213"/>
      <c r="R977" s="213"/>
      <c r="S977" s="213"/>
      <c r="T977" s="213"/>
      <c r="U977" s="213"/>
      <c r="V977" s="213"/>
      <c r="W977" s="213"/>
      <c r="X977" s="213"/>
      <c r="Y977" s="213"/>
      <c r="Z977" s="213"/>
      <c r="AA977" s="213"/>
      <c r="AB977" s="213"/>
      <c r="AC977" s="213"/>
      <c r="AD977" s="213"/>
      <c r="AE977" s="213"/>
      <c r="AF977" s="213"/>
      <c r="AG977" s="213"/>
      <c r="AH977" s="213"/>
      <c r="AI977" s="213"/>
      <c r="AJ977" s="213"/>
      <c r="AK977" s="213"/>
      <c r="AL977" s="213"/>
      <c r="AM977" s="213"/>
      <c r="AN977" s="302"/>
      <c r="AO977" s="303"/>
      <c r="AP977" s="285"/>
      <c r="AQ977" s="258"/>
      <c r="AR977" s="258"/>
    </row>
    <row r="978" spans="10:44" s="48" customFormat="1" ht="12" hidden="1" customHeight="1">
      <c r="J978" s="213"/>
      <c r="K978" s="213"/>
      <c r="L978" s="213"/>
      <c r="M978" s="213"/>
      <c r="N978" s="213"/>
      <c r="O978" s="213"/>
      <c r="P978" s="213"/>
      <c r="Q978" s="213"/>
      <c r="R978" s="213"/>
      <c r="S978" s="213"/>
      <c r="T978" s="213"/>
      <c r="U978" s="213"/>
      <c r="V978" s="213"/>
      <c r="W978" s="213"/>
      <c r="X978" s="213"/>
      <c r="Y978" s="213"/>
      <c r="Z978" s="213"/>
      <c r="AA978" s="213"/>
      <c r="AB978" s="213"/>
      <c r="AC978" s="213"/>
      <c r="AD978" s="213"/>
      <c r="AE978" s="213"/>
      <c r="AF978" s="213"/>
      <c r="AG978" s="213"/>
      <c r="AH978" s="213"/>
      <c r="AI978" s="213"/>
      <c r="AJ978" s="213"/>
      <c r="AK978" s="213"/>
      <c r="AL978" s="213"/>
      <c r="AM978" s="213"/>
      <c r="AN978" s="302"/>
      <c r="AO978" s="303"/>
      <c r="AP978" s="285"/>
      <c r="AQ978" s="258"/>
      <c r="AR978" s="258"/>
    </row>
    <row r="979" spans="10:44" s="48" customFormat="1" ht="12" hidden="1" customHeight="1">
      <c r="J979" s="213"/>
      <c r="K979" s="213"/>
      <c r="L979" s="213"/>
      <c r="M979" s="213"/>
      <c r="N979" s="213"/>
      <c r="O979" s="213"/>
      <c r="P979" s="213"/>
      <c r="Q979" s="213"/>
      <c r="R979" s="213"/>
      <c r="S979" s="213"/>
      <c r="T979" s="213"/>
      <c r="U979" s="213"/>
      <c r="V979" s="213"/>
      <c r="W979" s="213"/>
      <c r="X979" s="213"/>
      <c r="Y979" s="213"/>
      <c r="Z979" s="213"/>
      <c r="AA979" s="213"/>
      <c r="AB979" s="213"/>
      <c r="AC979" s="213"/>
      <c r="AD979" s="213"/>
      <c r="AE979" s="213"/>
      <c r="AF979" s="213"/>
      <c r="AG979" s="213"/>
      <c r="AH979" s="213"/>
      <c r="AI979" s="213"/>
      <c r="AJ979" s="213"/>
      <c r="AK979" s="213"/>
      <c r="AL979" s="213"/>
      <c r="AM979" s="213"/>
      <c r="AN979" s="302"/>
      <c r="AO979" s="303"/>
      <c r="AP979" s="285"/>
      <c r="AQ979" s="258"/>
      <c r="AR979" s="258"/>
    </row>
    <row r="980" spans="10:44" s="48" customFormat="1" ht="12" hidden="1" customHeight="1">
      <c r="J980" s="213"/>
      <c r="K980" s="213"/>
      <c r="L980" s="213"/>
      <c r="M980" s="213"/>
      <c r="N980" s="213"/>
      <c r="O980" s="213"/>
      <c r="P980" s="213"/>
      <c r="Q980" s="213"/>
      <c r="R980" s="213"/>
      <c r="S980" s="213"/>
      <c r="T980" s="213"/>
      <c r="U980" s="213"/>
      <c r="V980" s="213"/>
      <c r="W980" s="213"/>
      <c r="X980" s="213"/>
      <c r="Y980" s="213"/>
      <c r="Z980" s="213"/>
      <c r="AA980" s="213"/>
      <c r="AB980" s="213"/>
      <c r="AC980" s="213"/>
      <c r="AD980" s="213"/>
      <c r="AE980" s="213"/>
      <c r="AF980" s="213"/>
      <c r="AG980" s="213"/>
      <c r="AH980" s="213"/>
      <c r="AI980" s="213"/>
      <c r="AJ980" s="213"/>
      <c r="AK980" s="213"/>
      <c r="AL980" s="213"/>
      <c r="AM980" s="213"/>
      <c r="AN980" s="302"/>
      <c r="AO980" s="303"/>
      <c r="AP980" s="285"/>
      <c r="AQ980" s="258"/>
      <c r="AR980" s="258"/>
    </row>
    <row r="981" spans="10:44" s="48" customFormat="1" ht="12" hidden="1" customHeight="1">
      <c r="J981" s="213"/>
      <c r="K981" s="213"/>
      <c r="L981" s="213"/>
      <c r="M981" s="213"/>
      <c r="N981" s="213"/>
      <c r="O981" s="213"/>
      <c r="P981" s="213"/>
      <c r="Q981" s="213"/>
      <c r="R981" s="213"/>
      <c r="S981" s="213"/>
      <c r="T981" s="213"/>
      <c r="U981" s="213"/>
      <c r="V981" s="213"/>
      <c r="W981" s="213"/>
      <c r="X981" s="213"/>
      <c r="Y981" s="213"/>
      <c r="Z981" s="213"/>
      <c r="AA981" s="213"/>
      <c r="AB981" s="213"/>
      <c r="AC981" s="213"/>
      <c r="AD981" s="213"/>
      <c r="AE981" s="213"/>
      <c r="AF981" s="213"/>
      <c r="AG981" s="213"/>
      <c r="AH981" s="213"/>
      <c r="AI981" s="213"/>
      <c r="AJ981" s="213"/>
      <c r="AK981" s="213"/>
      <c r="AL981" s="213"/>
      <c r="AM981" s="213"/>
      <c r="AN981" s="302"/>
      <c r="AO981" s="303"/>
      <c r="AP981" s="285"/>
      <c r="AQ981" s="258"/>
      <c r="AR981" s="258"/>
    </row>
    <row r="982" spans="10:44" s="48" customFormat="1" ht="12" hidden="1" customHeight="1">
      <c r="J982" s="213"/>
      <c r="K982" s="213"/>
      <c r="L982" s="213"/>
      <c r="M982" s="213"/>
      <c r="N982" s="213"/>
      <c r="O982" s="213"/>
      <c r="P982" s="213"/>
      <c r="Q982" s="213"/>
      <c r="R982" s="213"/>
      <c r="S982" s="213"/>
      <c r="T982" s="213"/>
      <c r="U982" s="213"/>
      <c r="V982" s="213"/>
      <c r="W982" s="213"/>
      <c r="X982" s="213"/>
      <c r="Y982" s="213"/>
      <c r="Z982" s="213"/>
      <c r="AA982" s="213"/>
      <c r="AB982" s="213"/>
      <c r="AC982" s="213"/>
      <c r="AD982" s="213"/>
      <c r="AE982" s="213"/>
      <c r="AF982" s="213"/>
      <c r="AG982" s="213"/>
      <c r="AH982" s="213"/>
      <c r="AI982" s="213"/>
      <c r="AJ982" s="213"/>
      <c r="AK982" s="213"/>
      <c r="AL982" s="213"/>
      <c r="AM982" s="213"/>
      <c r="AN982" s="302"/>
      <c r="AO982" s="303"/>
      <c r="AP982" s="285"/>
      <c r="AQ982" s="258"/>
      <c r="AR982" s="258"/>
    </row>
    <row r="983" spans="10:44" s="48" customFormat="1" ht="12" hidden="1" customHeight="1">
      <c r="J983" s="213"/>
      <c r="K983" s="213"/>
      <c r="L983" s="213"/>
      <c r="M983" s="213"/>
      <c r="N983" s="213"/>
      <c r="O983" s="213"/>
      <c r="P983" s="213"/>
      <c r="Q983" s="213"/>
      <c r="R983" s="213"/>
      <c r="S983" s="213"/>
      <c r="T983" s="213"/>
      <c r="U983" s="213"/>
      <c r="V983" s="213"/>
      <c r="W983" s="213"/>
      <c r="X983" s="213"/>
      <c r="Y983" s="213"/>
      <c r="Z983" s="213"/>
      <c r="AA983" s="213"/>
      <c r="AB983" s="213"/>
      <c r="AC983" s="213"/>
      <c r="AD983" s="213"/>
      <c r="AE983" s="213"/>
      <c r="AF983" s="213"/>
      <c r="AG983" s="213"/>
      <c r="AH983" s="213"/>
      <c r="AI983" s="213"/>
      <c r="AJ983" s="213"/>
      <c r="AK983" s="213"/>
      <c r="AL983" s="213"/>
      <c r="AM983" s="213"/>
      <c r="AN983" s="302"/>
      <c r="AO983" s="303"/>
      <c r="AP983" s="285"/>
      <c r="AQ983" s="258"/>
      <c r="AR983" s="258"/>
    </row>
    <row r="984" spans="10:44" s="48" customFormat="1" ht="12" hidden="1" customHeight="1">
      <c r="J984" s="213"/>
      <c r="K984" s="213"/>
      <c r="L984" s="213"/>
      <c r="M984" s="213"/>
      <c r="N984" s="213"/>
      <c r="O984" s="213"/>
      <c r="P984" s="213"/>
      <c r="Q984" s="213"/>
      <c r="R984" s="213"/>
      <c r="S984" s="213"/>
      <c r="T984" s="213"/>
      <c r="U984" s="213"/>
      <c r="V984" s="213"/>
      <c r="W984" s="213"/>
      <c r="X984" s="213"/>
      <c r="Y984" s="213"/>
      <c r="Z984" s="213"/>
      <c r="AA984" s="213"/>
      <c r="AB984" s="213"/>
      <c r="AC984" s="213"/>
      <c r="AD984" s="213"/>
      <c r="AE984" s="213"/>
      <c r="AF984" s="213"/>
      <c r="AG984" s="213"/>
      <c r="AH984" s="213"/>
      <c r="AI984" s="213"/>
      <c r="AJ984" s="213"/>
      <c r="AK984" s="213"/>
      <c r="AL984" s="213"/>
      <c r="AM984" s="213"/>
      <c r="AN984" s="302"/>
      <c r="AO984" s="303"/>
      <c r="AP984" s="285"/>
      <c r="AQ984" s="258"/>
      <c r="AR984" s="258"/>
    </row>
    <row r="985" spans="10:44" s="48" customFormat="1" ht="12" hidden="1" customHeight="1">
      <c r="J985" s="213"/>
      <c r="K985" s="213"/>
      <c r="L985" s="213"/>
      <c r="M985" s="213"/>
      <c r="N985" s="213"/>
      <c r="O985" s="213"/>
      <c r="P985" s="213"/>
      <c r="Q985" s="213"/>
      <c r="R985" s="213"/>
      <c r="S985" s="213"/>
      <c r="T985" s="213"/>
      <c r="U985" s="213"/>
      <c r="V985" s="213"/>
      <c r="W985" s="213"/>
      <c r="X985" s="213"/>
      <c r="Y985" s="213"/>
      <c r="Z985" s="213"/>
      <c r="AA985" s="213"/>
      <c r="AB985" s="213"/>
      <c r="AC985" s="213"/>
      <c r="AD985" s="213"/>
      <c r="AE985" s="213"/>
      <c r="AF985" s="213"/>
      <c r="AG985" s="213"/>
      <c r="AH985" s="213"/>
      <c r="AI985" s="213"/>
      <c r="AJ985" s="213"/>
      <c r="AK985" s="213"/>
      <c r="AL985" s="213"/>
      <c r="AM985" s="213"/>
      <c r="AN985" s="302"/>
      <c r="AO985" s="303"/>
      <c r="AP985" s="285"/>
      <c r="AQ985" s="258"/>
      <c r="AR985" s="258"/>
    </row>
    <row r="986" spans="10:44" s="48" customFormat="1" ht="12" hidden="1" customHeight="1">
      <c r="J986" s="213"/>
      <c r="K986" s="213"/>
      <c r="L986" s="213"/>
      <c r="M986" s="213"/>
      <c r="N986" s="213"/>
      <c r="O986" s="213"/>
      <c r="P986" s="213"/>
      <c r="Q986" s="213"/>
      <c r="R986" s="213"/>
      <c r="S986" s="213"/>
      <c r="T986" s="213"/>
      <c r="U986" s="213"/>
      <c r="V986" s="213"/>
      <c r="W986" s="213"/>
      <c r="X986" s="213"/>
      <c r="Y986" s="213"/>
      <c r="Z986" s="213"/>
      <c r="AA986" s="213"/>
      <c r="AB986" s="213"/>
      <c r="AC986" s="213"/>
      <c r="AD986" s="213"/>
      <c r="AE986" s="213"/>
      <c r="AF986" s="213"/>
      <c r="AG986" s="213"/>
      <c r="AH986" s="213"/>
      <c r="AI986" s="213"/>
      <c r="AJ986" s="213"/>
      <c r="AK986" s="213"/>
      <c r="AL986" s="213"/>
      <c r="AM986" s="213"/>
      <c r="AN986" s="302"/>
      <c r="AO986" s="303"/>
      <c r="AP986" s="285"/>
      <c r="AQ986" s="258"/>
      <c r="AR986" s="258"/>
    </row>
    <row r="987" spans="10:44" s="48" customFormat="1" ht="12" hidden="1" customHeight="1">
      <c r="J987" s="213"/>
      <c r="K987" s="213"/>
      <c r="L987" s="213"/>
      <c r="M987" s="213"/>
      <c r="N987" s="213"/>
      <c r="O987" s="213"/>
      <c r="P987" s="213"/>
      <c r="Q987" s="213"/>
      <c r="R987" s="213"/>
      <c r="S987" s="213"/>
      <c r="T987" s="213"/>
      <c r="U987" s="213"/>
      <c r="V987" s="213"/>
      <c r="W987" s="213"/>
      <c r="X987" s="213"/>
      <c r="Y987" s="213"/>
      <c r="Z987" s="213"/>
      <c r="AA987" s="213"/>
      <c r="AB987" s="213"/>
      <c r="AC987" s="213"/>
      <c r="AD987" s="213"/>
      <c r="AE987" s="213"/>
      <c r="AF987" s="213"/>
      <c r="AG987" s="213"/>
      <c r="AH987" s="213"/>
      <c r="AI987" s="213"/>
      <c r="AJ987" s="213"/>
      <c r="AK987" s="213"/>
      <c r="AL987" s="213"/>
      <c r="AM987" s="213"/>
      <c r="AN987" s="302"/>
      <c r="AO987" s="303"/>
      <c r="AP987" s="285"/>
      <c r="AQ987" s="258"/>
      <c r="AR987" s="258"/>
    </row>
    <row r="988" spans="10:44" s="48" customFormat="1" ht="12" hidden="1" customHeight="1">
      <c r="J988" s="213"/>
      <c r="K988" s="213"/>
      <c r="L988" s="213"/>
      <c r="M988" s="213"/>
      <c r="N988" s="213"/>
      <c r="O988" s="213"/>
      <c r="P988" s="213"/>
      <c r="Q988" s="213"/>
      <c r="R988" s="213"/>
      <c r="S988" s="213"/>
      <c r="T988" s="213"/>
      <c r="U988" s="213"/>
      <c r="V988" s="213"/>
      <c r="W988" s="213"/>
      <c r="X988" s="213"/>
      <c r="Y988" s="213"/>
      <c r="Z988" s="213"/>
      <c r="AA988" s="213"/>
      <c r="AB988" s="213"/>
      <c r="AC988" s="213"/>
      <c r="AD988" s="213"/>
      <c r="AE988" s="213"/>
      <c r="AF988" s="213"/>
      <c r="AG988" s="213"/>
      <c r="AH988" s="213"/>
      <c r="AI988" s="213"/>
      <c r="AJ988" s="213"/>
      <c r="AK988" s="213"/>
      <c r="AL988" s="213"/>
      <c r="AM988" s="213"/>
      <c r="AN988" s="302"/>
      <c r="AO988" s="303"/>
      <c r="AP988" s="285"/>
      <c r="AQ988" s="258"/>
      <c r="AR988" s="258"/>
    </row>
    <row r="989" spans="10:44" s="48" customFormat="1" ht="12" hidden="1" customHeight="1">
      <c r="J989" s="213"/>
      <c r="K989" s="213"/>
      <c r="L989" s="213"/>
      <c r="M989" s="213"/>
      <c r="N989" s="213"/>
      <c r="O989" s="213"/>
      <c r="P989" s="213"/>
      <c r="Q989" s="213"/>
      <c r="R989" s="213"/>
      <c r="S989" s="213"/>
      <c r="T989" s="213"/>
      <c r="U989" s="213"/>
      <c r="V989" s="213"/>
      <c r="W989" s="213"/>
      <c r="X989" s="213"/>
      <c r="Y989" s="213"/>
      <c r="Z989" s="213"/>
      <c r="AA989" s="213"/>
      <c r="AB989" s="213"/>
      <c r="AC989" s="213"/>
      <c r="AD989" s="213"/>
      <c r="AE989" s="213"/>
      <c r="AF989" s="213"/>
      <c r="AG989" s="213"/>
      <c r="AH989" s="213"/>
      <c r="AI989" s="213"/>
      <c r="AJ989" s="213"/>
      <c r="AK989" s="213"/>
      <c r="AL989" s="213"/>
      <c r="AM989" s="213"/>
      <c r="AN989" s="302"/>
      <c r="AO989" s="303"/>
      <c r="AP989" s="285"/>
      <c r="AQ989" s="258"/>
      <c r="AR989" s="258"/>
    </row>
    <row r="990" spans="10:44" s="48" customFormat="1" ht="12" hidden="1" customHeight="1">
      <c r="J990" s="213"/>
      <c r="K990" s="213"/>
      <c r="L990" s="213"/>
      <c r="M990" s="213"/>
      <c r="N990" s="213"/>
      <c r="O990" s="213"/>
      <c r="P990" s="213"/>
      <c r="Q990" s="213"/>
      <c r="R990" s="213"/>
      <c r="S990" s="213"/>
      <c r="T990" s="213"/>
      <c r="U990" s="213"/>
      <c r="V990" s="213"/>
      <c r="W990" s="213"/>
      <c r="X990" s="213"/>
      <c r="Y990" s="213"/>
      <c r="Z990" s="213"/>
      <c r="AA990" s="213"/>
      <c r="AB990" s="213"/>
      <c r="AC990" s="213"/>
      <c r="AD990" s="213"/>
      <c r="AE990" s="213"/>
      <c r="AF990" s="213"/>
      <c r="AG990" s="213"/>
      <c r="AH990" s="213"/>
      <c r="AI990" s="213"/>
      <c r="AJ990" s="213"/>
      <c r="AK990" s="213"/>
      <c r="AL990" s="213"/>
      <c r="AM990" s="213"/>
      <c r="AN990" s="302"/>
      <c r="AO990" s="303"/>
      <c r="AP990" s="285"/>
      <c r="AQ990" s="258"/>
      <c r="AR990" s="258"/>
    </row>
    <row r="991" spans="10:44" s="48" customFormat="1" ht="12" hidden="1" customHeight="1">
      <c r="J991" s="213"/>
      <c r="K991" s="213"/>
      <c r="L991" s="213"/>
      <c r="M991" s="213"/>
      <c r="N991" s="213"/>
      <c r="O991" s="213"/>
      <c r="P991" s="213"/>
      <c r="Q991" s="213"/>
      <c r="R991" s="213"/>
      <c r="S991" s="213"/>
      <c r="T991" s="213"/>
      <c r="U991" s="213"/>
      <c r="V991" s="213"/>
      <c r="W991" s="213"/>
      <c r="X991" s="213"/>
      <c r="Y991" s="213"/>
      <c r="Z991" s="213"/>
      <c r="AA991" s="213"/>
      <c r="AB991" s="213"/>
      <c r="AC991" s="213"/>
      <c r="AD991" s="213"/>
      <c r="AE991" s="213"/>
      <c r="AF991" s="213"/>
      <c r="AG991" s="213"/>
      <c r="AH991" s="213"/>
      <c r="AI991" s="213"/>
      <c r="AJ991" s="213"/>
      <c r="AK991" s="213"/>
      <c r="AL991" s="213"/>
      <c r="AM991" s="213"/>
      <c r="AN991" s="302"/>
      <c r="AO991" s="303"/>
      <c r="AP991" s="285"/>
      <c r="AQ991" s="258"/>
      <c r="AR991" s="258"/>
    </row>
    <row r="992" spans="10:44" s="48" customFormat="1" ht="12" hidden="1" customHeight="1">
      <c r="J992" s="213"/>
      <c r="K992" s="213"/>
      <c r="L992" s="213"/>
      <c r="M992" s="213"/>
      <c r="N992" s="213"/>
      <c r="O992" s="213"/>
      <c r="P992" s="213"/>
      <c r="Q992" s="213"/>
      <c r="R992" s="213"/>
      <c r="S992" s="213"/>
      <c r="T992" s="213"/>
      <c r="U992" s="213"/>
      <c r="V992" s="213"/>
      <c r="W992" s="213"/>
      <c r="X992" s="213"/>
      <c r="Y992" s="213"/>
      <c r="Z992" s="213"/>
      <c r="AA992" s="213"/>
      <c r="AB992" s="213"/>
      <c r="AC992" s="213"/>
      <c r="AD992" s="213"/>
      <c r="AE992" s="213"/>
      <c r="AF992" s="213"/>
      <c r="AG992" s="213"/>
      <c r="AH992" s="213"/>
      <c r="AI992" s="213"/>
      <c r="AJ992" s="213"/>
      <c r="AK992" s="213"/>
      <c r="AL992" s="213"/>
      <c r="AM992" s="213"/>
      <c r="AN992" s="302"/>
      <c r="AO992" s="303"/>
      <c r="AP992" s="285"/>
      <c r="AQ992" s="258"/>
      <c r="AR992" s="258"/>
    </row>
    <row r="993" spans="10:44" s="48" customFormat="1" ht="12" hidden="1" customHeight="1">
      <c r="J993" s="213"/>
      <c r="K993" s="213"/>
      <c r="L993" s="213"/>
      <c r="M993" s="213"/>
      <c r="N993" s="213"/>
      <c r="O993" s="213"/>
      <c r="P993" s="213"/>
      <c r="Q993" s="213"/>
      <c r="R993" s="213"/>
      <c r="S993" s="213"/>
      <c r="T993" s="213"/>
      <c r="U993" s="213"/>
      <c r="V993" s="213"/>
      <c r="W993" s="213"/>
      <c r="X993" s="213"/>
      <c r="Y993" s="213"/>
      <c r="Z993" s="213"/>
      <c r="AA993" s="213"/>
      <c r="AB993" s="213"/>
      <c r="AC993" s="213"/>
      <c r="AD993" s="213"/>
      <c r="AE993" s="213"/>
      <c r="AF993" s="213"/>
      <c r="AG993" s="213"/>
      <c r="AH993" s="213"/>
      <c r="AI993" s="213"/>
      <c r="AJ993" s="213"/>
      <c r="AK993" s="213"/>
      <c r="AL993" s="213"/>
      <c r="AM993" s="213"/>
      <c r="AN993" s="302"/>
      <c r="AO993" s="303"/>
      <c r="AP993" s="285"/>
      <c r="AQ993" s="258"/>
      <c r="AR993" s="258"/>
    </row>
    <row r="994" spans="10:44" s="48" customFormat="1" ht="12" hidden="1" customHeight="1">
      <c r="J994" s="213"/>
      <c r="K994" s="213"/>
      <c r="L994" s="213"/>
      <c r="M994" s="213"/>
      <c r="N994" s="213"/>
      <c r="O994" s="213"/>
      <c r="P994" s="213"/>
      <c r="Q994" s="213"/>
      <c r="R994" s="213"/>
      <c r="S994" s="213"/>
      <c r="T994" s="213"/>
      <c r="U994" s="213"/>
      <c r="V994" s="213"/>
      <c r="W994" s="213"/>
      <c r="X994" s="213"/>
      <c r="Y994" s="213"/>
      <c r="Z994" s="213"/>
      <c r="AA994" s="213"/>
      <c r="AB994" s="213"/>
      <c r="AC994" s="213"/>
      <c r="AD994" s="213"/>
      <c r="AE994" s="213"/>
      <c r="AF994" s="213"/>
      <c r="AG994" s="213"/>
      <c r="AH994" s="213"/>
      <c r="AI994" s="213"/>
      <c r="AJ994" s="213"/>
      <c r="AK994" s="213"/>
      <c r="AL994" s="213"/>
      <c r="AM994" s="213"/>
      <c r="AN994" s="302"/>
      <c r="AO994" s="303"/>
      <c r="AP994" s="285"/>
      <c r="AQ994" s="258"/>
      <c r="AR994" s="258"/>
    </row>
    <row r="995" spans="10:44" s="48" customFormat="1" ht="12" hidden="1" customHeight="1">
      <c r="J995" s="213"/>
      <c r="K995" s="213"/>
      <c r="L995" s="213"/>
      <c r="M995" s="213"/>
      <c r="N995" s="213"/>
      <c r="O995" s="213"/>
      <c r="P995" s="213"/>
      <c r="Q995" s="213"/>
      <c r="R995" s="213"/>
      <c r="S995" s="213"/>
      <c r="T995" s="213"/>
      <c r="U995" s="213"/>
      <c r="V995" s="213"/>
      <c r="W995" s="213"/>
      <c r="X995" s="213"/>
      <c r="Y995" s="213"/>
      <c r="Z995" s="213"/>
      <c r="AA995" s="213"/>
      <c r="AB995" s="213"/>
      <c r="AC995" s="213"/>
      <c r="AD995" s="213"/>
      <c r="AE995" s="213"/>
      <c r="AF995" s="213"/>
      <c r="AG995" s="213"/>
      <c r="AH995" s="213"/>
      <c r="AI995" s="213"/>
      <c r="AJ995" s="213"/>
      <c r="AK995" s="213"/>
      <c r="AL995" s="213"/>
      <c r="AM995" s="213"/>
      <c r="AN995" s="302"/>
      <c r="AO995" s="303"/>
      <c r="AP995" s="285"/>
      <c r="AQ995" s="258"/>
      <c r="AR995" s="258"/>
    </row>
    <row r="996" spans="10:44" s="48" customFormat="1" ht="12" hidden="1" customHeight="1">
      <c r="J996" s="213"/>
      <c r="K996" s="213"/>
      <c r="L996" s="213"/>
      <c r="M996" s="213"/>
      <c r="N996" s="213"/>
      <c r="O996" s="213"/>
      <c r="P996" s="213"/>
      <c r="Q996" s="213"/>
      <c r="R996" s="213"/>
      <c r="S996" s="213"/>
      <c r="T996" s="213"/>
      <c r="U996" s="213"/>
      <c r="V996" s="213"/>
      <c r="W996" s="213"/>
      <c r="X996" s="213"/>
      <c r="Y996" s="213"/>
      <c r="Z996" s="213"/>
      <c r="AA996" s="213"/>
      <c r="AB996" s="213"/>
      <c r="AC996" s="213"/>
      <c r="AD996" s="213"/>
      <c r="AE996" s="213"/>
      <c r="AF996" s="213"/>
      <c r="AG996" s="213"/>
      <c r="AH996" s="213"/>
      <c r="AI996" s="213"/>
      <c r="AJ996" s="213"/>
      <c r="AK996" s="213"/>
      <c r="AL996" s="213"/>
      <c r="AM996" s="213"/>
      <c r="AN996" s="302"/>
      <c r="AO996" s="303"/>
      <c r="AP996" s="285"/>
      <c r="AQ996" s="258"/>
      <c r="AR996" s="258"/>
    </row>
    <row r="997" spans="10:44" s="48" customFormat="1" ht="12" hidden="1" customHeight="1">
      <c r="J997" s="213"/>
      <c r="K997" s="213"/>
      <c r="L997" s="213"/>
      <c r="M997" s="213"/>
      <c r="N997" s="213"/>
      <c r="O997" s="213"/>
      <c r="P997" s="213"/>
      <c r="Q997" s="213"/>
      <c r="R997" s="213"/>
      <c r="S997" s="213"/>
      <c r="T997" s="213"/>
      <c r="U997" s="213"/>
      <c r="V997" s="213"/>
      <c r="W997" s="213"/>
      <c r="X997" s="213"/>
      <c r="Y997" s="213"/>
      <c r="Z997" s="213"/>
      <c r="AA997" s="213"/>
      <c r="AB997" s="213"/>
      <c r="AC997" s="213"/>
      <c r="AD997" s="213"/>
      <c r="AE997" s="213"/>
      <c r="AF997" s="213"/>
      <c r="AG997" s="213"/>
      <c r="AH997" s="213"/>
      <c r="AI997" s="213"/>
      <c r="AJ997" s="213"/>
      <c r="AK997" s="213"/>
      <c r="AL997" s="213"/>
      <c r="AM997" s="213"/>
      <c r="AN997" s="302"/>
      <c r="AO997" s="303"/>
      <c r="AP997" s="285"/>
      <c r="AQ997" s="258"/>
      <c r="AR997" s="258"/>
    </row>
    <row r="998" spans="10:44" s="48" customFormat="1" ht="12" hidden="1" customHeight="1">
      <c r="J998" s="213"/>
      <c r="K998" s="213"/>
      <c r="L998" s="213"/>
      <c r="M998" s="213"/>
      <c r="N998" s="213"/>
      <c r="O998" s="213"/>
      <c r="P998" s="213"/>
      <c r="Q998" s="213"/>
      <c r="R998" s="213"/>
      <c r="S998" s="213"/>
      <c r="T998" s="213"/>
      <c r="U998" s="213"/>
      <c r="V998" s="213"/>
      <c r="W998" s="213"/>
      <c r="X998" s="213"/>
      <c r="Y998" s="213"/>
      <c r="Z998" s="213"/>
      <c r="AA998" s="213"/>
      <c r="AB998" s="213"/>
      <c r="AC998" s="213"/>
      <c r="AD998" s="213"/>
      <c r="AE998" s="213"/>
      <c r="AF998" s="213"/>
      <c r="AG998" s="213"/>
      <c r="AH998" s="213"/>
      <c r="AI998" s="213"/>
      <c r="AJ998" s="213"/>
      <c r="AK998" s="213"/>
      <c r="AL998" s="213"/>
      <c r="AM998" s="213"/>
      <c r="AN998" s="302"/>
      <c r="AO998" s="303"/>
      <c r="AP998" s="285"/>
      <c r="AQ998" s="258"/>
      <c r="AR998" s="258"/>
    </row>
    <row r="999" spans="10:44" s="48" customFormat="1" ht="12" hidden="1" customHeight="1">
      <c r="J999" s="213"/>
      <c r="K999" s="213"/>
      <c r="L999" s="213"/>
      <c r="M999" s="213"/>
      <c r="N999" s="213"/>
      <c r="O999" s="213"/>
      <c r="P999" s="213"/>
      <c r="Q999" s="213"/>
      <c r="R999" s="213"/>
      <c r="S999" s="213"/>
      <c r="T999" s="213"/>
      <c r="U999" s="213"/>
      <c r="V999" s="213"/>
      <c r="W999" s="213"/>
      <c r="X999" s="213"/>
      <c r="Y999" s="213"/>
      <c r="Z999" s="213"/>
      <c r="AA999" s="213"/>
      <c r="AB999" s="213"/>
      <c r="AC999" s="213"/>
      <c r="AD999" s="213"/>
      <c r="AE999" s="213"/>
      <c r="AF999" s="213"/>
      <c r="AG999" s="213"/>
      <c r="AH999" s="213"/>
      <c r="AI999" s="213"/>
      <c r="AJ999" s="213"/>
      <c r="AK999" s="213"/>
      <c r="AL999" s="213"/>
      <c r="AM999" s="213"/>
      <c r="AN999" s="302"/>
      <c r="AO999" s="303"/>
      <c r="AP999" s="285"/>
      <c r="AQ999" s="258"/>
      <c r="AR999" s="258"/>
    </row>
    <row r="1000" spans="10:44" s="48" customFormat="1" ht="0.75" customHeight="1">
      <c r="J1000" s="213"/>
      <c r="K1000" s="213"/>
      <c r="L1000" s="213"/>
      <c r="M1000" s="213"/>
      <c r="N1000" s="213"/>
      <c r="O1000" s="213"/>
      <c r="P1000" s="213"/>
      <c r="Q1000" s="213"/>
      <c r="R1000" s="213"/>
      <c r="S1000" s="213"/>
      <c r="T1000" s="213"/>
      <c r="U1000" s="213"/>
      <c r="V1000" s="213"/>
      <c r="W1000" s="213"/>
      <c r="X1000" s="213"/>
      <c r="Y1000" s="213"/>
      <c r="Z1000" s="213"/>
      <c r="AA1000" s="213"/>
      <c r="AB1000" s="213"/>
      <c r="AC1000" s="213"/>
      <c r="AD1000" s="213"/>
      <c r="AE1000" s="213"/>
      <c r="AF1000" s="213"/>
      <c r="AG1000" s="213"/>
      <c r="AH1000" s="213"/>
      <c r="AI1000" s="213"/>
      <c r="AJ1000" s="213"/>
      <c r="AK1000" s="213"/>
      <c r="AL1000" s="213"/>
      <c r="AM1000" s="213"/>
      <c r="AN1000" s="283"/>
      <c r="AO1000" s="215"/>
      <c r="AP1000" s="286"/>
      <c r="AQ1000" s="265"/>
      <c r="AR1000" s="265"/>
    </row>
  </sheetData>
  <sheetProtection password="FA9C" sheet="1" objects="1" scenarios="1" formatColumns="0" formatRows="0"/>
  <mergeCells count="4">
    <mergeCell ref="AN9:AP9"/>
    <mergeCell ref="AN11:AN12"/>
    <mergeCell ref="AO11:AO12"/>
    <mergeCell ref="AP11:AP12"/>
  </mergeCells>
  <phoneticPr fontId="8"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sheetPr codeName="HEAT_CALC_PERIOD3">
    <tabColor rgb="FF00B050"/>
    <outlinePr summaryBelow="0"/>
  </sheetPr>
  <dimension ref="A1:AU1000"/>
  <sheetViews>
    <sheetView showGridLines="0" topLeftCell="AL8" workbookViewId="0"/>
  </sheetViews>
  <sheetFormatPr defaultRowHeight="11.25"/>
  <cols>
    <col min="1" max="9" width="4.5703125" style="47" hidden="1" customWidth="1"/>
    <col min="10" max="10" width="4.5703125" hidden="1" customWidth="1"/>
    <col min="11" max="36" width="4.5703125" style="47" hidden="1" customWidth="1"/>
    <col min="37" max="37" width="2.7109375" style="47"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4" width="0.140625" style="47" customWidth="1"/>
    <col min="45" max="46" width="2.7109375" style="47" customWidth="1"/>
    <col min="47" max="16384" width="9.140625" style="47"/>
  </cols>
  <sheetData>
    <row r="1" spans="10:45" hidden="1"/>
    <row r="2" spans="10:45" hidden="1"/>
    <row r="3" spans="10:45" hidden="1"/>
    <row r="4" spans="10:45" hidden="1"/>
    <row r="5" spans="10:45" hidden="1"/>
    <row r="6" spans="10:45" hidden="1"/>
    <row r="7" spans="10:45" hidden="1"/>
    <row r="8" spans="10:45" s="314" customFormat="1">
      <c r="J8" s="313"/>
      <c r="AM8" s="617"/>
      <c r="AN8" s="637">
        <f>IF(TARIFF_SETUP_METHOD_CODE="BY_PSEUDO_YEARS",12,4)</f>
        <v>4</v>
      </c>
      <c r="AO8" s="431" t="str">
        <f>"Необходимо указывать " &amp; IF(TARIFF_SETUP_METHOD_CODE="BY_PSEUDO_YEARS","общегодовые значения","значения по периодам")</f>
        <v>Необходимо указывать значения по периодам</v>
      </c>
      <c r="AP8" s="616" t="s">
        <v>2498</v>
      </c>
      <c r="AQ8" s="310"/>
      <c r="AR8" s="310"/>
      <c r="AS8" s="310"/>
    </row>
    <row r="9" spans="10:45"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по муниципальному образованию - " &amp; IF(mo="","Не определено",mo)</f>
        <v>Фактические расходы организаций водоотведения по муниципальному образованию - Село Булава</v>
      </c>
      <c r="AO9" s="917"/>
      <c r="AP9" s="917"/>
      <c r="AQ9" s="201"/>
      <c r="AR9" s="122"/>
      <c r="AS9" s="200"/>
    </row>
    <row r="10" spans="10:45" ht="12" customHeight="1">
      <c r="AM10" s="124"/>
      <c r="AN10" s="430" t="s">
        <v>2499</v>
      </c>
      <c r="AO10" s="221"/>
      <c r="AP10" s="122" t="s">
        <v>786</v>
      </c>
      <c r="AQ10" s="201"/>
      <c r="AR10" s="168" t="s">
        <v>720</v>
      </c>
      <c r="AS10" s="53"/>
    </row>
    <row r="11" spans="10:45">
      <c r="AL11" s="50"/>
      <c r="AM11" s="125"/>
      <c r="AN11" s="802" t="s">
        <v>641</v>
      </c>
      <c r="AO11" s="804" t="s">
        <v>787</v>
      </c>
      <c r="AP11" s="806" t="s">
        <v>778</v>
      </c>
      <c r="AQ11" s="206">
        <v>0</v>
      </c>
      <c r="AR11" s="206"/>
      <c r="AS11" s="220"/>
    </row>
    <row r="12" spans="10:45" ht="48" customHeight="1">
      <c r="AL12" s="50"/>
      <c r="AM12" s="125"/>
      <c r="AN12" s="802"/>
      <c r="AO12" s="804"/>
      <c r="AP12" s="806"/>
      <c r="AQ12" s="207"/>
      <c r="AR12" s="207"/>
      <c r="AS12" s="220"/>
    </row>
    <row r="13" spans="10:45" ht="11.25" customHeight="1">
      <c r="AL13" s="50"/>
      <c r="AM13" s="125"/>
      <c r="AN13" s="232"/>
      <c r="AO13" s="233" t="s">
        <v>788</v>
      </c>
      <c r="AP13" s="251"/>
      <c r="AQ13" s="207"/>
      <c r="AR13" s="207"/>
      <c r="AS13" s="220"/>
    </row>
    <row r="14" spans="10:45" ht="11.25" customHeight="1">
      <c r="AL14" s="50"/>
      <c r="AM14" s="125"/>
      <c r="AN14" s="232"/>
      <c r="AO14" s="490" t="str">
        <f>IF(CALC_IDENTIFIER="","",CALC_IDENTIFIER)</f>
        <v/>
      </c>
      <c r="AP14" s="251"/>
      <c r="AQ14" s="207"/>
      <c r="AR14" s="207"/>
      <c r="AS14" s="220"/>
    </row>
    <row r="15" spans="10:45">
      <c r="AL15" s="50"/>
      <c r="AM15" s="125"/>
      <c r="AN15" s="234" t="s">
        <v>642</v>
      </c>
      <c r="AO15" s="489" t="s">
        <v>789</v>
      </c>
      <c r="AP15" s="257">
        <f t="shared" ref="AP15:AP26" si="0">SUM(AQ15:AR15)</f>
        <v>0</v>
      </c>
      <c r="AQ15" s="258"/>
      <c r="AR15" s="258"/>
      <c r="AS15" s="127"/>
    </row>
    <row r="16" spans="10:45">
      <c r="AL16" s="50"/>
      <c r="AM16" s="125"/>
      <c r="AN16" s="234" t="s">
        <v>790</v>
      </c>
      <c r="AO16" s="224" t="s">
        <v>791</v>
      </c>
      <c r="AP16" s="257">
        <f t="shared" si="0"/>
        <v>0</v>
      </c>
      <c r="AQ16" s="258"/>
      <c r="AR16" s="258"/>
      <c r="AS16" s="127"/>
    </row>
    <row r="17" spans="1:47">
      <c r="AL17" s="50"/>
      <c r="AM17" s="125"/>
      <c r="AN17" s="236" t="s">
        <v>792</v>
      </c>
      <c r="AO17" s="237" t="s">
        <v>793</v>
      </c>
      <c r="AP17" s="257">
        <f t="shared" si="0"/>
        <v>0</v>
      </c>
      <c r="AQ17" s="258"/>
      <c r="AR17" s="258"/>
      <c r="AS17" s="127"/>
    </row>
    <row r="18" spans="1:47" ht="12.75">
      <c r="AL18" s="50"/>
      <c r="AM18" s="125"/>
      <c r="AN18" s="234" t="s">
        <v>794</v>
      </c>
      <c r="AO18" s="238" t="s">
        <v>2567</v>
      </c>
      <c r="AP18" s="257">
        <f>IF(AP19=0,0,AP17*1000/AP19)</f>
        <v>0</v>
      </c>
      <c r="AQ18" s="258"/>
      <c r="AR18" s="258"/>
      <c r="AS18" s="127"/>
    </row>
    <row r="19" spans="1:47" ht="12.75">
      <c r="AL19" s="50"/>
      <c r="AM19" s="125"/>
      <c r="AN19" s="234" t="s">
        <v>61</v>
      </c>
      <c r="AO19" s="238" t="s">
        <v>2568</v>
      </c>
      <c r="AP19" s="257">
        <f t="shared" si="0"/>
        <v>0</v>
      </c>
      <c r="AQ19" s="258"/>
      <c r="AR19" s="258"/>
      <c r="AS19" s="127"/>
    </row>
    <row r="20" spans="1:47" ht="22.5">
      <c r="A20" s="51"/>
      <c r="B20" s="51"/>
      <c r="C20" s="51"/>
      <c r="D20" s="51"/>
      <c r="E20" s="51"/>
      <c r="F20" s="51"/>
      <c r="G20" s="51"/>
      <c r="H20" s="51"/>
      <c r="I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2"/>
      <c r="AM20" s="125"/>
      <c r="AN20" s="236" t="s">
        <v>63</v>
      </c>
      <c r="AO20" s="237" t="s">
        <v>64</v>
      </c>
      <c r="AP20" s="257">
        <f t="shared" si="0"/>
        <v>0</v>
      </c>
      <c r="AQ20" s="258"/>
      <c r="AR20" s="258"/>
      <c r="AS20" s="127"/>
    </row>
    <row r="21" spans="1:47">
      <c r="A21" s="51"/>
      <c r="B21" s="51"/>
      <c r="C21" s="51"/>
      <c r="D21" s="51"/>
      <c r="E21" s="51"/>
      <c r="F21" s="51"/>
      <c r="G21" s="51"/>
      <c r="H21" s="51"/>
      <c r="I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3"/>
      <c r="AM21" s="124"/>
      <c r="AN21" s="234" t="s">
        <v>751</v>
      </c>
      <c r="AO21" s="235" t="s">
        <v>65</v>
      </c>
      <c r="AP21" s="257">
        <f t="shared" si="0"/>
        <v>0</v>
      </c>
      <c r="AQ21" s="258"/>
      <c r="AR21" s="258"/>
      <c r="AS21" s="127"/>
    </row>
    <row r="22" spans="1:47">
      <c r="A22" s="51"/>
      <c r="B22" s="51"/>
      <c r="C22" s="51"/>
      <c r="D22" s="51"/>
      <c r="E22" s="51"/>
      <c r="F22" s="51"/>
      <c r="G22" s="51"/>
      <c r="H22" s="51"/>
      <c r="I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3"/>
      <c r="AM22" s="124"/>
      <c r="AN22" s="234" t="s">
        <v>66</v>
      </c>
      <c r="AO22" s="237" t="s">
        <v>67</v>
      </c>
      <c r="AP22" s="257">
        <f t="shared" si="0"/>
        <v>0</v>
      </c>
      <c r="AQ22" s="258"/>
      <c r="AR22" s="258"/>
      <c r="AS22" s="127"/>
    </row>
    <row r="23" spans="1:47">
      <c r="A23" s="51"/>
      <c r="B23" s="51"/>
      <c r="C23" s="51"/>
      <c r="D23" s="51"/>
      <c r="E23" s="51"/>
      <c r="F23" s="51"/>
      <c r="G23" s="51"/>
      <c r="H23" s="51"/>
      <c r="I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3"/>
      <c r="AM23" s="124"/>
      <c r="AN23" s="234" t="s">
        <v>69</v>
      </c>
      <c r="AO23" s="237" t="s">
        <v>70</v>
      </c>
      <c r="AP23" s="257">
        <f t="shared" si="0"/>
        <v>0</v>
      </c>
      <c r="AQ23" s="258"/>
      <c r="AR23" s="258"/>
      <c r="AS23" s="127"/>
    </row>
    <row r="24" spans="1:47">
      <c r="A24" s="51"/>
      <c r="B24" s="51"/>
      <c r="C24" s="51"/>
      <c r="D24" s="51"/>
      <c r="E24" s="51"/>
      <c r="F24" s="51"/>
      <c r="G24" s="51"/>
      <c r="H24" s="51"/>
      <c r="I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3"/>
      <c r="AM24" s="124"/>
      <c r="AN24" s="234" t="s">
        <v>72</v>
      </c>
      <c r="AO24" s="237" t="s">
        <v>73</v>
      </c>
      <c r="AP24" s="257">
        <f t="shared" si="0"/>
        <v>0</v>
      </c>
      <c r="AQ24" s="258"/>
      <c r="AR24" s="258"/>
      <c r="AS24" s="127"/>
    </row>
    <row r="25" spans="1:47">
      <c r="A25" s="51"/>
      <c r="B25" s="51"/>
      <c r="C25" s="51"/>
      <c r="D25" s="51"/>
      <c r="E25" s="51"/>
      <c r="F25" s="51"/>
      <c r="G25" s="51"/>
      <c r="H25" s="51"/>
      <c r="I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3"/>
      <c r="AM25" s="124"/>
      <c r="AN25" s="234" t="s">
        <v>752</v>
      </c>
      <c r="AO25" s="235" t="s">
        <v>74</v>
      </c>
      <c r="AP25" s="257">
        <f t="shared" si="0"/>
        <v>0</v>
      </c>
      <c r="AQ25" s="258"/>
      <c r="AR25" s="258"/>
      <c r="AS25" s="127"/>
    </row>
    <row r="26" spans="1:47">
      <c r="A26" s="51"/>
      <c r="B26" s="51"/>
      <c r="C26" s="51"/>
      <c r="D26" s="51"/>
      <c r="E26" s="51"/>
      <c r="F26" s="51"/>
      <c r="G26" s="51"/>
      <c r="H26" s="51"/>
      <c r="I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3"/>
      <c r="AM26" s="124"/>
      <c r="AN26" s="236" t="s">
        <v>760</v>
      </c>
      <c r="AO26" s="237" t="s">
        <v>76</v>
      </c>
      <c r="AP26" s="257">
        <f t="shared" si="0"/>
        <v>0</v>
      </c>
      <c r="AQ26" s="258"/>
      <c r="AR26" s="258"/>
      <c r="AS26" s="127"/>
    </row>
    <row r="27" spans="1:47" ht="22.5">
      <c r="A27" s="51"/>
      <c r="B27" s="51"/>
      <c r="C27" s="51"/>
      <c r="D27" s="51"/>
      <c r="E27" s="51"/>
      <c r="F27" s="51"/>
      <c r="G27" s="51"/>
      <c r="H27" s="51"/>
      <c r="I27" s="5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234" t="s">
        <v>753</v>
      </c>
      <c r="AO27" s="233" t="s">
        <v>211</v>
      </c>
      <c r="AP27" s="305">
        <f>SUM(AQ27:AR27)</f>
        <v>0</v>
      </c>
      <c r="AQ27" s="258"/>
      <c r="AR27" s="258"/>
      <c r="AS27" s="202"/>
      <c r="AT27" s="48"/>
      <c r="AU27" s="48"/>
    </row>
    <row r="28" spans="1:47">
      <c r="A28" s="51"/>
      <c r="B28" s="51"/>
      <c r="C28" s="51"/>
      <c r="D28" s="51"/>
      <c r="E28" s="51"/>
      <c r="F28" s="51"/>
      <c r="G28" s="51"/>
      <c r="H28" s="51"/>
      <c r="I28" s="5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451" t="s">
        <v>766</v>
      </c>
      <c r="AO28" s="453" t="s">
        <v>78</v>
      </c>
      <c r="AP28" s="305">
        <f>SUM(AQ28:AR28)</f>
        <v>0</v>
      </c>
      <c r="AQ28" s="258"/>
      <c r="AR28" s="258"/>
      <c r="AS28" s="202"/>
      <c r="AT28" s="48"/>
      <c r="AU28" s="48"/>
    </row>
    <row r="29" spans="1:47">
      <c r="A29" s="51"/>
      <c r="B29" s="51"/>
      <c r="C29" s="51"/>
      <c r="D29" s="51"/>
      <c r="E29" s="51"/>
      <c r="F29" s="51"/>
      <c r="G29" s="51"/>
      <c r="H29" s="51"/>
      <c r="I29" s="5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451" t="s">
        <v>768</v>
      </c>
      <c r="AO29" s="454" t="s">
        <v>212</v>
      </c>
      <c r="AP29" s="305">
        <f>SUM(AQ29:AR29)</f>
        <v>0</v>
      </c>
      <c r="AQ29" s="258"/>
      <c r="AR29" s="258"/>
      <c r="AS29" s="202"/>
      <c r="AT29" s="48"/>
      <c r="AU29" s="48"/>
    </row>
    <row r="30" spans="1:47">
      <c r="A30" s="51"/>
      <c r="B30" s="51"/>
      <c r="C30" s="51"/>
      <c r="D30" s="51"/>
      <c r="E30" s="51"/>
      <c r="F30" s="51"/>
      <c r="G30" s="51"/>
      <c r="H30" s="51"/>
      <c r="I30" s="5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451" t="s">
        <v>132</v>
      </c>
      <c r="AO30" s="455" t="s">
        <v>79</v>
      </c>
      <c r="AP30" s="305">
        <f>SUM(AQ30:AR30)</f>
        <v>0</v>
      </c>
      <c r="AQ30" s="258"/>
      <c r="AR30" s="258"/>
      <c r="AS30" s="202"/>
      <c r="AT30" s="48"/>
      <c r="AU30" s="48"/>
    </row>
    <row r="31" spans="1:47" hidden="1">
      <c r="A31" s="51"/>
      <c r="B31" s="51"/>
      <c r="C31" s="51"/>
      <c r="D31" s="51"/>
      <c r="E31" s="51"/>
      <c r="F31" s="51"/>
      <c r="G31" s="51"/>
      <c r="H31" s="51"/>
      <c r="I31" s="5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451"/>
      <c r="AO31" s="455"/>
      <c r="AP31" s="287"/>
      <c r="AQ31" s="258"/>
      <c r="AR31" s="258"/>
      <c r="AS31" s="202"/>
      <c r="AT31" s="48"/>
      <c r="AU31" s="48"/>
    </row>
    <row r="32" spans="1:47" hidden="1">
      <c r="A32" s="51"/>
      <c r="B32" s="51"/>
      <c r="C32" s="51"/>
      <c r="D32" s="51"/>
      <c r="E32" s="51"/>
      <c r="F32" s="51"/>
      <c r="G32" s="51"/>
      <c r="H32" s="51"/>
      <c r="I32" s="5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451"/>
      <c r="AO32" s="455"/>
      <c r="AP32" s="287"/>
      <c r="AQ32" s="258"/>
      <c r="AR32" s="258"/>
      <c r="AS32" s="202"/>
      <c r="AT32" s="48"/>
      <c r="AU32" s="48"/>
    </row>
    <row r="33" spans="1:47" hidden="1">
      <c r="A33" s="51"/>
      <c r="B33" s="51"/>
      <c r="C33" s="51"/>
      <c r="D33" s="51"/>
      <c r="E33" s="51"/>
      <c r="F33" s="51"/>
      <c r="G33" s="51"/>
      <c r="H33" s="51"/>
      <c r="I33" s="5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451"/>
      <c r="AO33" s="455"/>
      <c r="AP33" s="287"/>
      <c r="AQ33" s="258"/>
      <c r="AR33" s="258"/>
      <c r="AS33" s="202"/>
      <c r="AT33" s="48"/>
      <c r="AU33" s="48"/>
    </row>
    <row r="34" spans="1:47" hidden="1">
      <c r="A34" s="51"/>
      <c r="B34" s="51"/>
      <c r="C34" s="51"/>
      <c r="D34" s="51"/>
      <c r="E34" s="51"/>
      <c r="F34" s="51"/>
      <c r="G34" s="51"/>
      <c r="H34" s="51"/>
      <c r="I34" s="5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451"/>
      <c r="AO34" s="455"/>
      <c r="AP34" s="287"/>
      <c r="AQ34" s="258"/>
      <c r="AR34" s="258"/>
      <c r="AS34" s="202"/>
      <c r="AT34" s="48"/>
      <c r="AU34" s="48"/>
    </row>
    <row r="35" spans="1:47" hidden="1">
      <c r="A35" s="51"/>
      <c r="B35" s="51"/>
      <c r="C35" s="51"/>
      <c r="D35" s="51"/>
      <c r="E35" s="51"/>
      <c r="F35" s="51"/>
      <c r="G35" s="51"/>
      <c r="H35" s="51"/>
      <c r="I35" s="5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451"/>
      <c r="AO35" s="455"/>
      <c r="AP35" s="287"/>
      <c r="AQ35" s="258"/>
      <c r="AR35" s="258"/>
      <c r="AS35" s="202"/>
      <c r="AT35" s="48"/>
      <c r="AU35" s="48"/>
    </row>
    <row r="36" spans="1:47" hidden="1">
      <c r="A36" s="51"/>
      <c r="B36" s="51"/>
      <c r="C36" s="51"/>
      <c r="D36" s="51"/>
      <c r="E36" s="51"/>
      <c r="F36" s="51"/>
      <c r="G36" s="51"/>
      <c r="H36" s="51"/>
      <c r="I36" s="5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451"/>
      <c r="AO36" s="455"/>
      <c r="AP36" s="287"/>
      <c r="AQ36" s="258"/>
      <c r="AR36" s="258"/>
      <c r="AS36" s="202"/>
      <c r="AT36" s="48"/>
      <c r="AU36" s="48"/>
    </row>
    <row r="37" spans="1:47" hidden="1">
      <c r="A37" s="51"/>
      <c r="B37" s="51"/>
      <c r="C37" s="51"/>
      <c r="D37" s="51"/>
      <c r="E37" s="51"/>
      <c r="F37" s="51"/>
      <c r="G37" s="51"/>
      <c r="H37" s="51"/>
      <c r="I37" s="5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451"/>
      <c r="AO37" s="455"/>
      <c r="AP37" s="287"/>
      <c r="AQ37" s="258"/>
      <c r="AR37" s="258"/>
      <c r="AS37" s="202"/>
      <c r="AT37" s="48"/>
      <c r="AU37" s="48"/>
    </row>
    <row r="38" spans="1:47">
      <c r="A38" s="51"/>
      <c r="B38" s="51"/>
      <c r="C38" s="51"/>
      <c r="D38" s="51"/>
      <c r="E38" s="51"/>
      <c r="F38" s="51"/>
      <c r="G38" s="51"/>
      <c r="H38" s="51"/>
      <c r="I38" s="5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451" t="s">
        <v>80</v>
      </c>
      <c r="AO38" s="455" t="s">
        <v>81</v>
      </c>
      <c r="AP38" s="305">
        <f>SUM(AQ38:AR38)</f>
        <v>0</v>
      </c>
      <c r="AQ38" s="258"/>
      <c r="AR38" s="258"/>
      <c r="AS38" s="202"/>
      <c r="AT38" s="48"/>
      <c r="AU38" s="48"/>
    </row>
    <row r="39" spans="1:47" hidden="1">
      <c r="A39" s="51"/>
      <c r="B39" s="51"/>
      <c r="C39" s="51"/>
      <c r="D39" s="51"/>
      <c r="E39" s="51"/>
      <c r="F39" s="51"/>
      <c r="G39" s="51"/>
      <c r="H39" s="51"/>
      <c r="I39" s="5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451"/>
      <c r="AO39" s="455"/>
      <c r="AP39" s="287"/>
      <c r="AQ39" s="258"/>
      <c r="AR39" s="258"/>
      <c r="AS39" s="202"/>
      <c r="AT39" s="48"/>
      <c r="AU39" s="48"/>
    </row>
    <row r="40" spans="1:47" hidden="1">
      <c r="A40" s="51"/>
      <c r="B40" s="51"/>
      <c r="C40" s="51"/>
      <c r="D40" s="51"/>
      <c r="E40" s="51"/>
      <c r="F40" s="51"/>
      <c r="G40" s="51"/>
      <c r="H40" s="51"/>
      <c r="I40" s="5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451"/>
      <c r="AO40" s="455"/>
      <c r="AP40" s="287"/>
      <c r="AQ40" s="258"/>
      <c r="AR40" s="258"/>
      <c r="AS40" s="202"/>
      <c r="AT40" s="48"/>
      <c r="AU40" s="48"/>
    </row>
    <row r="41" spans="1:47" hidden="1">
      <c r="A41" s="51"/>
      <c r="B41" s="51"/>
      <c r="C41" s="51"/>
      <c r="D41" s="51"/>
      <c r="E41" s="51"/>
      <c r="F41" s="51"/>
      <c r="G41" s="51"/>
      <c r="H41" s="51"/>
      <c r="I41" s="5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451"/>
      <c r="AO41" s="455"/>
      <c r="AP41" s="287"/>
      <c r="AQ41" s="258"/>
      <c r="AR41" s="258"/>
      <c r="AS41" s="202"/>
      <c r="AT41" s="48"/>
      <c r="AU41" s="48"/>
    </row>
    <row r="42" spans="1:47" hidden="1">
      <c r="A42" s="51"/>
      <c r="B42" s="51"/>
      <c r="C42" s="51"/>
      <c r="D42" s="51"/>
      <c r="E42" s="51"/>
      <c r="F42" s="51"/>
      <c r="G42" s="51"/>
      <c r="H42" s="51"/>
      <c r="I42" s="5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451"/>
      <c r="AO42" s="455"/>
      <c r="AP42" s="287"/>
      <c r="AQ42" s="258"/>
      <c r="AR42" s="258"/>
      <c r="AS42" s="202"/>
      <c r="AT42" s="48"/>
      <c r="AU42" s="48"/>
    </row>
    <row r="43" spans="1:47" hidden="1">
      <c r="A43" s="51"/>
      <c r="B43" s="51"/>
      <c r="C43" s="51"/>
      <c r="D43" s="51"/>
      <c r="E43" s="51"/>
      <c r="F43" s="51"/>
      <c r="G43" s="51"/>
      <c r="H43" s="51"/>
      <c r="I43" s="5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451"/>
      <c r="AO43" s="455"/>
      <c r="AP43" s="287"/>
      <c r="AQ43" s="258"/>
      <c r="AR43" s="258"/>
      <c r="AS43" s="202"/>
      <c r="AT43" s="48"/>
      <c r="AU43" s="48"/>
    </row>
    <row r="44" spans="1:47" hidden="1">
      <c r="A44" s="51"/>
      <c r="B44" s="51"/>
      <c r="C44" s="51"/>
      <c r="D44" s="51"/>
      <c r="E44" s="51"/>
      <c r="F44" s="51"/>
      <c r="G44" s="51"/>
      <c r="H44" s="51"/>
      <c r="I44" s="5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451"/>
      <c r="AO44" s="455"/>
      <c r="AP44" s="287"/>
      <c r="AQ44" s="258"/>
      <c r="AR44" s="258"/>
      <c r="AS44" s="202"/>
      <c r="AT44" s="48"/>
      <c r="AU44" s="48"/>
    </row>
    <row r="45" spans="1:47" hidden="1">
      <c r="A45" s="51"/>
      <c r="B45" s="51"/>
      <c r="C45" s="51"/>
      <c r="D45" s="51"/>
      <c r="E45" s="51"/>
      <c r="F45" s="51"/>
      <c r="G45" s="51"/>
      <c r="H45" s="51"/>
      <c r="I45" s="5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451"/>
      <c r="AO45" s="455"/>
      <c r="AP45" s="287"/>
      <c r="AQ45" s="258"/>
      <c r="AR45" s="258"/>
      <c r="AS45" s="202"/>
      <c r="AT45" s="48"/>
      <c r="AU45" s="48"/>
    </row>
    <row r="46" spans="1:47">
      <c r="A46" s="51"/>
      <c r="B46" s="51"/>
      <c r="C46" s="51"/>
      <c r="D46" s="51"/>
      <c r="E46" s="51"/>
      <c r="F46" s="51"/>
      <c r="G46" s="51"/>
      <c r="H46" s="51"/>
      <c r="I46" s="5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451" t="s">
        <v>82</v>
      </c>
      <c r="AO46" s="455" t="s">
        <v>83</v>
      </c>
      <c r="AP46" s="305">
        <f t="shared" ref="AP46:AP59" si="1">SUM(AQ46:AR46)</f>
        <v>0</v>
      </c>
      <c r="AQ46" s="258"/>
      <c r="AR46" s="258"/>
      <c r="AS46" s="202"/>
      <c r="AT46" s="48"/>
      <c r="AU46" s="48"/>
    </row>
    <row r="47" spans="1:47">
      <c r="A47" s="51"/>
      <c r="B47" s="51"/>
      <c r="C47" s="51"/>
      <c r="D47" s="51"/>
      <c r="E47" s="51"/>
      <c r="F47" s="51"/>
      <c r="G47" s="51"/>
      <c r="H47" s="51"/>
      <c r="I47" s="5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451" t="s">
        <v>84</v>
      </c>
      <c r="AO47" s="457" t="s">
        <v>85</v>
      </c>
      <c r="AP47" s="305">
        <f t="shared" si="1"/>
        <v>0</v>
      </c>
      <c r="AQ47" s="258"/>
      <c r="AR47" s="258"/>
      <c r="AS47" s="202"/>
      <c r="AT47" s="48"/>
      <c r="AU47" s="48"/>
    </row>
    <row r="48" spans="1:47">
      <c r="A48" s="51"/>
      <c r="B48" s="51"/>
      <c r="C48" s="51"/>
      <c r="D48" s="51"/>
      <c r="E48" s="51"/>
      <c r="F48" s="51"/>
      <c r="G48" s="51"/>
      <c r="H48" s="51"/>
      <c r="I48" s="5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451" t="s">
        <v>86</v>
      </c>
      <c r="AO48" s="457" t="s">
        <v>87</v>
      </c>
      <c r="AP48" s="305">
        <f t="shared" si="1"/>
        <v>0</v>
      </c>
      <c r="AQ48" s="258"/>
      <c r="AR48" s="258"/>
      <c r="AS48" s="202"/>
      <c r="AT48" s="48"/>
      <c r="AU48" s="48"/>
    </row>
    <row r="49" spans="1:47">
      <c r="A49" s="51"/>
      <c r="B49" s="51"/>
      <c r="C49" s="51"/>
      <c r="D49" s="51"/>
      <c r="E49" s="51"/>
      <c r="F49" s="51"/>
      <c r="G49" s="51"/>
      <c r="H49" s="51"/>
      <c r="I49" s="5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451" t="s">
        <v>88</v>
      </c>
      <c r="AO49" s="457" t="s">
        <v>89</v>
      </c>
      <c r="AP49" s="305">
        <f t="shared" si="1"/>
        <v>0</v>
      </c>
      <c r="AQ49" s="258"/>
      <c r="AR49" s="258"/>
      <c r="AS49" s="202"/>
      <c r="AT49" s="48"/>
      <c r="AU49" s="48"/>
    </row>
    <row r="50" spans="1:47">
      <c r="A50" s="51"/>
      <c r="B50" s="51"/>
      <c r="C50" s="51"/>
      <c r="D50" s="51"/>
      <c r="E50" s="51"/>
      <c r="F50" s="51"/>
      <c r="G50" s="51"/>
      <c r="H50" s="51"/>
      <c r="I50" s="5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451" t="s">
        <v>90</v>
      </c>
      <c r="AO50" s="457" t="s">
        <v>91</v>
      </c>
      <c r="AP50" s="305">
        <f t="shared" si="1"/>
        <v>0</v>
      </c>
      <c r="AQ50" s="258"/>
      <c r="AR50" s="258"/>
      <c r="AS50" s="202"/>
      <c r="AT50" s="48"/>
      <c r="AU50" s="48"/>
    </row>
    <row r="51" spans="1:47">
      <c r="A51" s="51"/>
      <c r="B51" s="51"/>
      <c r="C51" s="51"/>
      <c r="D51" s="51"/>
      <c r="E51" s="51"/>
      <c r="F51" s="51"/>
      <c r="G51" s="51"/>
      <c r="H51" s="51"/>
      <c r="I51" s="5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451" t="s">
        <v>92</v>
      </c>
      <c r="AO51" s="457" t="s">
        <v>93</v>
      </c>
      <c r="AP51" s="305">
        <f t="shared" si="1"/>
        <v>0</v>
      </c>
      <c r="AQ51" s="258"/>
      <c r="AR51" s="258"/>
      <c r="AS51" s="202"/>
      <c r="AT51" s="48"/>
      <c r="AU51" s="48"/>
    </row>
    <row r="52" spans="1:47">
      <c r="A52" s="51"/>
      <c r="B52" s="51"/>
      <c r="C52" s="51"/>
      <c r="D52" s="51"/>
      <c r="E52" s="51"/>
      <c r="F52" s="51"/>
      <c r="G52" s="51"/>
      <c r="H52" s="51"/>
      <c r="I52" s="5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451" t="s">
        <v>94</v>
      </c>
      <c r="AO52" s="457" t="s">
        <v>95</v>
      </c>
      <c r="AP52" s="305">
        <f t="shared" si="1"/>
        <v>0</v>
      </c>
      <c r="AQ52" s="258"/>
      <c r="AR52" s="258"/>
      <c r="AS52" s="202"/>
      <c r="AT52" s="48"/>
      <c r="AU52" s="48"/>
    </row>
    <row r="53" spans="1:47">
      <c r="A53" s="51"/>
      <c r="B53" s="51"/>
      <c r="C53" s="51"/>
      <c r="D53" s="51"/>
      <c r="E53" s="51"/>
      <c r="F53" s="51"/>
      <c r="G53" s="51"/>
      <c r="H53" s="51"/>
      <c r="I53" s="5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451" t="s">
        <v>2975</v>
      </c>
      <c r="AO53" s="457" t="s">
        <v>2976</v>
      </c>
      <c r="AP53" s="305">
        <f t="shared" si="1"/>
        <v>0</v>
      </c>
      <c r="AQ53" s="258"/>
      <c r="AR53" s="258"/>
      <c r="AS53" s="202"/>
      <c r="AT53" s="48"/>
      <c r="AU53" s="48"/>
    </row>
    <row r="54" spans="1:47">
      <c r="A54" s="51"/>
      <c r="B54" s="51"/>
      <c r="C54" s="51"/>
      <c r="D54" s="51"/>
      <c r="E54" s="51"/>
      <c r="F54" s="51"/>
      <c r="G54" s="51"/>
      <c r="H54" s="51"/>
      <c r="I54" s="5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451" t="s">
        <v>2977</v>
      </c>
      <c r="AO54" s="457" t="s">
        <v>2978</v>
      </c>
      <c r="AP54" s="305">
        <f t="shared" si="1"/>
        <v>0</v>
      </c>
      <c r="AQ54" s="258"/>
      <c r="AR54" s="258"/>
      <c r="AS54" s="202"/>
      <c r="AT54" s="48"/>
      <c r="AU54" s="48"/>
    </row>
    <row r="55" spans="1:47">
      <c r="A55" s="51"/>
      <c r="B55" s="51"/>
      <c r="C55" s="51"/>
      <c r="D55" s="51"/>
      <c r="E55" s="51"/>
      <c r="F55" s="51"/>
      <c r="G55" s="51"/>
      <c r="H55" s="51"/>
      <c r="I55" s="5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451" t="s">
        <v>2979</v>
      </c>
      <c r="AO55" s="457" t="s">
        <v>2980</v>
      </c>
      <c r="AP55" s="305">
        <f t="shared" si="1"/>
        <v>0</v>
      </c>
      <c r="AQ55" s="258"/>
      <c r="AR55" s="258"/>
      <c r="AS55" s="202"/>
      <c r="AT55" s="48"/>
      <c r="AU55" s="48"/>
    </row>
    <row r="56" spans="1:47">
      <c r="A56" s="51"/>
      <c r="B56" s="51"/>
      <c r="C56" s="51"/>
      <c r="D56" s="51"/>
      <c r="E56" s="51"/>
      <c r="F56" s="51"/>
      <c r="G56" s="51"/>
      <c r="H56" s="51"/>
      <c r="I56" s="5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451" t="s">
        <v>2981</v>
      </c>
      <c r="AO56" s="457" t="s">
        <v>2982</v>
      </c>
      <c r="AP56" s="305">
        <f t="shared" si="1"/>
        <v>0</v>
      </c>
      <c r="AQ56" s="258"/>
      <c r="AR56" s="258"/>
      <c r="AS56" s="202"/>
      <c r="AT56" s="48"/>
      <c r="AU56" s="48"/>
    </row>
    <row r="57" spans="1:47">
      <c r="A57" s="51"/>
      <c r="B57" s="51"/>
      <c r="C57" s="51"/>
      <c r="D57" s="51"/>
      <c r="E57" s="51"/>
      <c r="F57" s="51"/>
      <c r="G57" s="51"/>
      <c r="H57" s="51"/>
      <c r="I57" s="5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451" t="s">
        <v>2983</v>
      </c>
      <c r="AO57" s="224" t="s">
        <v>2984</v>
      </c>
      <c r="AP57" s="305">
        <f t="shared" si="1"/>
        <v>0</v>
      </c>
      <c r="AQ57" s="258"/>
      <c r="AR57" s="258"/>
      <c r="AS57" s="202"/>
      <c r="AT57" s="48"/>
      <c r="AU57" s="48"/>
    </row>
    <row r="58" spans="1:47">
      <c r="A58" s="51"/>
      <c r="B58" s="51"/>
      <c r="C58" s="51"/>
      <c r="D58" s="51"/>
      <c r="E58" s="51"/>
      <c r="F58" s="51"/>
      <c r="G58" s="51"/>
      <c r="H58" s="51"/>
      <c r="I58" s="5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451" t="s">
        <v>2989</v>
      </c>
      <c r="AO58" s="224" t="s">
        <v>2990</v>
      </c>
      <c r="AP58" s="305">
        <f t="shared" si="1"/>
        <v>0</v>
      </c>
      <c r="AQ58" s="258"/>
      <c r="AR58" s="258"/>
      <c r="AS58" s="202"/>
      <c r="AT58" s="48"/>
      <c r="AU58" s="48"/>
    </row>
    <row r="59" spans="1:47">
      <c r="A59" s="51"/>
      <c r="B59" s="51"/>
      <c r="C59" s="51"/>
      <c r="D59" s="51"/>
      <c r="E59" s="51"/>
      <c r="F59" s="51"/>
      <c r="G59" s="51"/>
      <c r="H59" s="51"/>
      <c r="I59" s="5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451" t="s">
        <v>292</v>
      </c>
      <c r="AO59" s="442" t="s">
        <v>291</v>
      </c>
      <c r="AP59" s="305">
        <f t="shared" si="1"/>
        <v>0</v>
      </c>
      <c r="AQ59" s="258"/>
      <c r="AR59" s="258"/>
      <c r="AS59" s="202"/>
      <c r="AT59" s="48"/>
      <c r="AU59" s="48"/>
    </row>
    <row r="60" spans="1:47" hidden="1">
      <c r="A60" s="51"/>
      <c r="B60" s="51"/>
      <c r="C60" s="51"/>
      <c r="D60" s="51"/>
      <c r="E60" s="51"/>
      <c r="F60" s="51"/>
      <c r="G60" s="51"/>
      <c r="H60" s="51"/>
      <c r="I60" s="5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239"/>
      <c r="AO60" s="225"/>
      <c r="AP60" s="287"/>
      <c r="AQ60" s="258"/>
      <c r="AR60" s="258"/>
      <c r="AS60" s="202"/>
      <c r="AT60" s="48"/>
      <c r="AU60" s="48"/>
    </row>
    <row r="61" spans="1:47" hidden="1">
      <c r="A61" s="51"/>
      <c r="B61" s="51"/>
      <c r="C61" s="51"/>
      <c r="D61" s="51"/>
      <c r="E61" s="51"/>
      <c r="F61" s="51"/>
      <c r="G61" s="51"/>
      <c r="H61" s="51"/>
      <c r="I61" s="5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239"/>
      <c r="AO61" s="225"/>
      <c r="AP61" s="287"/>
      <c r="AQ61" s="258"/>
      <c r="AR61" s="258"/>
      <c r="AS61" s="202"/>
      <c r="AT61" s="48"/>
      <c r="AU61" s="48"/>
    </row>
    <row r="62" spans="1:47" hidden="1">
      <c r="A62" s="51"/>
      <c r="B62" s="51"/>
      <c r="C62" s="51"/>
      <c r="D62" s="51"/>
      <c r="E62" s="51"/>
      <c r="F62" s="51"/>
      <c r="G62" s="51"/>
      <c r="H62" s="51"/>
      <c r="I62" s="5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239"/>
      <c r="AO62" s="225"/>
      <c r="AP62" s="287"/>
      <c r="AQ62" s="258"/>
      <c r="AR62" s="258"/>
      <c r="AS62" s="202"/>
      <c r="AT62" s="48"/>
      <c r="AU62" s="48"/>
    </row>
    <row r="63" spans="1:47" hidden="1">
      <c r="A63" s="51"/>
      <c r="B63" s="51"/>
      <c r="C63" s="51"/>
      <c r="D63" s="51"/>
      <c r="E63" s="51"/>
      <c r="F63" s="51"/>
      <c r="G63" s="51"/>
      <c r="H63" s="51"/>
      <c r="I63" s="5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239"/>
      <c r="AO63" s="225"/>
      <c r="AP63" s="287"/>
      <c r="AQ63" s="258"/>
      <c r="AR63" s="258"/>
      <c r="AS63" s="202"/>
      <c r="AT63" s="48"/>
      <c r="AU63" s="48"/>
    </row>
    <row r="64" spans="1:47" hidden="1">
      <c r="A64" s="51"/>
      <c r="B64" s="51"/>
      <c r="C64" s="51"/>
      <c r="D64" s="51"/>
      <c r="E64" s="51"/>
      <c r="F64" s="51"/>
      <c r="G64" s="51"/>
      <c r="H64" s="51"/>
      <c r="I64" s="5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239"/>
      <c r="AO64" s="225"/>
      <c r="AP64" s="287"/>
      <c r="AQ64" s="258"/>
      <c r="AR64" s="258"/>
      <c r="AS64" s="202"/>
      <c r="AT64" s="48"/>
      <c r="AU64" s="48"/>
    </row>
    <row r="65" spans="1:47" hidden="1">
      <c r="A65" s="51"/>
      <c r="B65" s="51"/>
      <c r="C65" s="51"/>
      <c r="D65" s="51"/>
      <c r="E65" s="51"/>
      <c r="F65" s="51"/>
      <c r="G65" s="51"/>
      <c r="H65" s="51"/>
      <c r="I65" s="5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239"/>
      <c r="AO65" s="225"/>
      <c r="AP65" s="287"/>
      <c r="AQ65" s="258"/>
      <c r="AR65" s="258"/>
      <c r="AS65" s="202"/>
      <c r="AT65" s="48"/>
      <c r="AU65" s="48"/>
    </row>
    <row r="66" spans="1:47" hidden="1">
      <c r="A66" s="51"/>
      <c r="B66" s="51"/>
      <c r="C66" s="51"/>
      <c r="D66" s="51"/>
      <c r="E66" s="51"/>
      <c r="F66" s="51"/>
      <c r="G66" s="51"/>
      <c r="H66" s="51"/>
      <c r="I66" s="5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239"/>
      <c r="AO66" s="225"/>
      <c r="AP66" s="287"/>
      <c r="AQ66" s="258"/>
      <c r="AR66" s="258"/>
      <c r="AS66" s="202"/>
      <c r="AT66" s="48"/>
      <c r="AU66" s="48"/>
    </row>
    <row r="67" spans="1:47" hidden="1">
      <c r="A67" s="51"/>
      <c r="B67" s="51"/>
      <c r="C67" s="51"/>
      <c r="D67" s="51"/>
      <c r="E67" s="51"/>
      <c r="F67" s="51"/>
      <c r="G67" s="51"/>
      <c r="H67" s="51"/>
      <c r="I67" s="5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239"/>
      <c r="AO67" s="225"/>
      <c r="AP67" s="287"/>
      <c r="AQ67" s="258"/>
      <c r="AR67" s="258"/>
      <c r="AS67" s="202"/>
      <c r="AT67" s="48"/>
      <c r="AU67" s="48"/>
    </row>
    <row r="68" spans="1:47" hidden="1">
      <c r="A68" s="51"/>
      <c r="B68" s="51"/>
      <c r="C68" s="51"/>
      <c r="D68" s="51"/>
      <c r="E68" s="51"/>
      <c r="F68" s="51"/>
      <c r="G68" s="51"/>
      <c r="H68" s="51"/>
      <c r="I68" s="5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239"/>
      <c r="AO68" s="225"/>
      <c r="AP68" s="287"/>
      <c r="AQ68" s="258"/>
      <c r="AR68" s="258"/>
      <c r="AS68" s="202"/>
      <c r="AT68" s="48"/>
      <c r="AU68" s="48"/>
    </row>
    <row r="69" spans="1:47" hidden="1">
      <c r="A69" s="51"/>
      <c r="B69" s="51"/>
      <c r="C69" s="51"/>
      <c r="D69" s="51"/>
      <c r="E69" s="51"/>
      <c r="F69" s="51"/>
      <c r="G69" s="51"/>
      <c r="H69" s="51"/>
      <c r="I69" s="5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239"/>
      <c r="AO69" s="225"/>
      <c r="AP69" s="287"/>
      <c r="AQ69" s="258"/>
      <c r="AR69" s="258"/>
      <c r="AS69" s="202"/>
      <c r="AT69" s="48"/>
      <c r="AU69" s="48"/>
    </row>
    <row r="70" spans="1:47" hidden="1">
      <c r="A70" s="51"/>
      <c r="B70" s="51"/>
      <c r="C70" s="51"/>
      <c r="D70" s="51"/>
      <c r="E70" s="51"/>
      <c r="F70" s="51"/>
      <c r="G70" s="51"/>
      <c r="H70" s="51"/>
      <c r="I70" s="5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239"/>
      <c r="AO70" s="225"/>
      <c r="AP70" s="287"/>
      <c r="AQ70" s="258"/>
      <c r="AR70" s="258"/>
      <c r="AS70" s="202"/>
      <c r="AT70" s="48"/>
      <c r="AU70" s="48"/>
    </row>
    <row r="71" spans="1:47" hidden="1">
      <c r="A71" s="51"/>
      <c r="B71" s="51"/>
      <c r="C71" s="51"/>
      <c r="D71" s="51"/>
      <c r="E71" s="51"/>
      <c r="F71" s="51"/>
      <c r="G71" s="51"/>
      <c r="H71" s="51"/>
      <c r="I71" s="5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239"/>
      <c r="AO71" s="225"/>
      <c r="AP71" s="287"/>
      <c r="AQ71" s="258"/>
      <c r="AR71" s="258"/>
      <c r="AS71" s="202"/>
      <c r="AT71" s="48"/>
      <c r="AU71" s="48"/>
    </row>
    <row r="72" spans="1:47" hidden="1">
      <c r="A72" s="51"/>
      <c r="B72" s="51"/>
      <c r="C72" s="51"/>
      <c r="D72" s="51"/>
      <c r="E72" s="51"/>
      <c r="F72" s="51"/>
      <c r="G72" s="51"/>
      <c r="H72" s="51"/>
      <c r="I72" s="5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239"/>
      <c r="AO72" s="225"/>
      <c r="AP72" s="287"/>
      <c r="AQ72" s="258"/>
      <c r="AR72" s="258"/>
      <c r="AS72" s="202"/>
      <c r="AT72" s="48"/>
      <c r="AU72" s="48"/>
    </row>
    <row r="73" spans="1:47" hidden="1">
      <c r="A73" s="51"/>
      <c r="B73" s="51"/>
      <c r="C73" s="51"/>
      <c r="D73" s="51"/>
      <c r="E73" s="51"/>
      <c r="F73" s="51"/>
      <c r="G73" s="51"/>
      <c r="H73" s="51"/>
      <c r="I73" s="5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239"/>
      <c r="AO73" s="225"/>
      <c r="AP73" s="287"/>
      <c r="AQ73" s="258"/>
      <c r="AR73" s="258"/>
      <c r="AS73" s="202"/>
      <c r="AT73" s="48"/>
      <c r="AU73" s="48"/>
    </row>
    <row r="74" spans="1:47" hidden="1">
      <c r="A74" s="51"/>
      <c r="B74" s="51"/>
      <c r="C74" s="51"/>
      <c r="D74" s="51"/>
      <c r="E74" s="51"/>
      <c r="F74" s="51"/>
      <c r="G74" s="51"/>
      <c r="H74" s="51"/>
      <c r="I74" s="5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239"/>
      <c r="AO74" s="225"/>
      <c r="AP74" s="287"/>
      <c r="AQ74" s="258"/>
      <c r="AR74" s="258"/>
      <c r="AS74" s="202"/>
      <c r="AT74" s="48"/>
      <c r="AU74" s="48"/>
    </row>
    <row r="75" spans="1:47" hidden="1">
      <c r="A75" s="51"/>
      <c r="B75" s="51"/>
      <c r="C75" s="51"/>
      <c r="D75" s="51"/>
      <c r="E75" s="51"/>
      <c r="F75" s="51"/>
      <c r="G75" s="51"/>
      <c r="H75" s="51"/>
      <c r="I75" s="5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239"/>
      <c r="AO75" s="225"/>
      <c r="AP75" s="287"/>
      <c r="AQ75" s="258"/>
      <c r="AR75" s="258"/>
      <c r="AS75" s="202"/>
      <c r="AT75" s="48"/>
      <c r="AU75" s="48"/>
    </row>
    <row r="76" spans="1:47" hidden="1">
      <c r="A76" s="51"/>
      <c r="B76" s="51"/>
      <c r="C76" s="51"/>
      <c r="D76" s="51"/>
      <c r="E76" s="51"/>
      <c r="F76" s="51"/>
      <c r="G76" s="51"/>
      <c r="H76" s="51"/>
      <c r="I76" s="5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239"/>
      <c r="AO76" s="225"/>
      <c r="AP76" s="287"/>
      <c r="AQ76" s="258"/>
      <c r="AR76" s="258"/>
      <c r="AS76" s="202"/>
      <c r="AT76" s="48"/>
      <c r="AU76" s="48"/>
    </row>
    <row r="77" spans="1:47" hidden="1">
      <c r="A77" s="51"/>
      <c r="B77" s="51"/>
      <c r="C77" s="51"/>
      <c r="D77" s="51"/>
      <c r="E77" s="51"/>
      <c r="F77" s="51"/>
      <c r="G77" s="51"/>
      <c r="H77" s="51"/>
      <c r="I77" s="5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1"/>
      <c r="AN77" s="239"/>
      <c r="AO77" s="225"/>
      <c r="AP77" s="287"/>
      <c r="AQ77" s="258"/>
      <c r="AR77" s="258"/>
      <c r="AS77" s="202"/>
      <c r="AT77" s="48"/>
      <c r="AU77" s="48"/>
    </row>
    <row r="78" spans="1:47" hidden="1">
      <c r="A78" s="51"/>
      <c r="B78" s="51"/>
      <c r="C78" s="51"/>
      <c r="D78" s="51"/>
      <c r="E78" s="51"/>
      <c r="F78" s="51"/>
      <c r="G78" s="51"/>
      <c r="H78" s="51"/>
      <c r="I78" s="5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239"/>
      <c r="AO78" s="225"/>
      <c r="AP78" s="287"/>
      <c r="AQ78" s="258"/>
      <c r="AR78" s="258"/>
      <c r="AS78" s="202"/>
      <c r="AT78" s="48"/>
      <c r="AU78" s="48"/>
    </row>
    <row r="79" spans="1:47" hidden="1">
      <c r="A79" s="51"/>
      <c r="B79" s="51"/>
      <c r="C79" s="51"/>
      <c r="D79" s="51"/>
      <c r="E79" s="51"/>
      <c r="F79" s="51"/>
      <c r="G79" s="51"/>
      <c r="H79" s="51"/>
      <c r="I79" s="5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239"/>
      <c r="AO79" s="225"/>
      <c r="AP79" s="287"/>
      <c r="AQ79" s="258"/>
      <c r="AR79" s="258"/>
      <c r="AS79" s="202"/>
      <c r="AT79" s="48"/>
      <c r="AU79" s="48"/>
    </row>
    <row r="80" spans="1:47" hidden="1">
      <c r="A80" s="51"/>
      <c r="B80" s="51"/>
      <c r="C80" s="51"/>
      <c r="D80" s="51"/>
      <c r="E80" s="51"/>
      <c r="F80" s="51"/>
      <c r="G80" s="51"/>
      <c r="H80" s="51"/>
      <c r="I80" s="5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239"/>
      <c r="AO80" s="225"/>
      <c r="AP80" s="287"/>
      <c r="AQ80" s="258"/>
      <c r="AR80" s="258"/>
      <c r="AS80" s="202"/>
      <c r="AT80" s="48"/>
      <c r="AU80" s="48"/>
    </row>
    <row r="81" spans="1:47" hidden="1">
      <c r="A81" s="51"/>
      <c r="B81" s="51"/>
      <c r="C81" s="51"/>
      <c r="D81" s="51"/>
      <c r="E81" s="51"/>
      <c r="F81" s="51"/>
      <c r="G81" s="51"/>
      <c r="H81" s="51"/>
      <c r="I81" s="5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239"/>
      <c r="AO81" s="225"/>
      <c r="AP81" s="287"/>
      <c r="AQ81" s="258"/>
      <c r="AR81" s="258"/>
      <c r="AS81" s="202"/>
      <c r="AT81" s="48"/>
      <c r="AU81" s="48"/>
    </row>
    <row r="82" spans="1:47" hidden="1">
      <c r="A82" s="51"/>
      <c r="B82" s="51"/>
      <c r="C82" s="51"/>
      <c r="D82" s="51"/>
      <c r="E82" s="51"/>
      <c r="F82" s="51"/>
      <c r="G82" s="51"/>
      <c r="H82" s="51"/>
      <c r="I82" s="5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239"/>
      <c r="AO82" s="225"/>
      <c r="AP82" s="287"/>
      <c r="AQ82" s="258"/>
      <c r="AR82" s="258"/>
      <c r="AS82" s="202"/>
      <c r="AT82" s="48"/>
      <c r="AU82" s="48"/>
    </row>
    <row r="83" spans="1:47" hidden="1">
      <c r="A83" s="51"/>
      <c r="B83" s="51"/>
      <c r="C83" s="51"/>
      <c r="D83" s="51"/>
      <c r="E83" s="51"/>
      <c r="F83" s="51"/>
      <c r="G83" s="51"/>
      <c r="H83" s="51"/>
      <c r="I83" s="5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239"/>
      <c r="AO83" s="225"/>
      <c r="AP83" s="287"/>
      <c r="AQ83" s="258"/>
      <c r="AR83" s="258"/>
      <c r="AS83" s="202"/>
      <c r="AT83" s="48"/>
      <c r="AU83" s="48"/>
    </row>
    <row r="84" spans="1:47" hidden="1">
      <c r="A84" s="51"/>
      <c r="B84" s="51"/>
      <c r="C84" s="51"/>
      <c r="D84" s="51"/>
      <c r="E84" s="51"/>
      <c r="F84" s="51"/>
      <c r="G84" s="51"/>
      <c r="H84" s="51"/>
      <c r="I84" s="5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239"/>
      <c r="AO84" s="225"/>
      <c r="AP84" s="287"/>
      <c r="AQ84" s="258"/>
      <c r="AR84" s="258"/>
      <c r="AS84" s="202"/>
      <c r="AT84" s="48"/>
      <c r="AU84" s="48"/>
    </row>
    <row r="85" spans="1:47" hidden="1">
      <c r="A85" s="51"/>
      <c r="B85" s="51"/>
      <c r="C85" s="51"/>
      <c r="D85" s="51"/>
      <c r="E85" s="51"/>
      <c r="F85" s="51"/>
      <c r="G85" s="51"/>
      <c r="H85" s="51"/>
      <c r="I85" s="5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239"/>
      <c r="AO85" s="225"/>
      <c r="AP85" s="287"/>
      <c r="AQ85" s="258"/>
      <c r="AR85" s="258"/>
      <c r="AS85" s="202"/>
      <c r="AT85" s="48"/>
      <c r="AU85" s="48"/>
    </row>
    <row r="86" spans="1:47" hidden="1">
      <c r="A86" s="51"/>
      <c r="B86" s="51"/>
      <c r="C86" s="51"/>
      <c r="D86" s="51"/>
      <c r="E86" s="51"/>
      <c r="F86" s="51"/>
      <c r="G86" s="51"/>
      <c r="H86" s="51"/>
      <c r="I86" s="5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239"/>
      <c r="AO86" s="225"/>
      <c r="AP86" s="287"/>
      <c r="AQ86" s="258"/>
      <c r="AR86" s="258"/>
      <c r="AS86" s="202"/>
      <c r="AT86" s="48"/>
      <c r="AU86" s="48"/>
    </row>
    <row r="87" spans="1:47" hidden="1">
      <c r="A87" s="51"/>
      <c r="B87" s="51"/>
      <c r="C87" s="51"/>
      <c r="D87" s="51"/>
      <c r="E87" s="51"/>
      <c r="F87" s="51"/>
      <c r="G87" s="51"/>
      <c r="H87" s="51"/>
      <c r="I87" s="5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239"/>
      <c r="AO87" s="225"/>
      <c r="AP87" s="287"/>
      <c r="AQ87" s="258"/>
      <c r="AR87" s="258"/>
      <c r="AS87" s="202"/>
      <c r="AT87" s="48"/>
      <c r="AU87" s="48"/>
    </row>
    <row r="88" spans="1:47" hidden="1">
      <c r="A88" s="51"/>
      <c r="B88" s="51"/>
      <c r="C88" s="51"/>
      <c r="D88" s="51"/>
      <c r="E88" s="51"/>
      <c r="F88" s="51"/>
      <c r="G88" s="51"/>
      <c r="H88" s="51"/>
      <c r="I88" s="5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239"/>
      <c r="AO88" s="225"/>
      <c r="AP88" s="287"/>
      <c r="AQ88" s="258"/>
      <c r="AR88" s="258"/>
      <c r="AS88" s="202"/>
      <c r="AT88" s="48"/>
      <c r="AU88" s="48"/>
    </row>
    <row r="89" spans="1:47" hidden="1">
      <c r="A89" s="51"/>
      <c r="B89" s="51"/>
      <c r="C89" s="51"/>
      <c r="D89" s="51"/>
      <c r="E89" s="51"/>
      <c r="F89" s="51"/>
      <c r="G89" s="51"/>
      <c r="H89" s="51"/>
      <c r="I89" s="5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239"/>
      <c r="AO89" s="225"/>
      <c r="AP89" s="287"/>
      <c r="AQ89" s="258"/>
      <c r="AR89" s="258"/>
      <c r="AS89" s="202"/>
      <c r="AT89" s="48"/>
      <c r="AU89" s="48"/>
    </row>
    <row r="90" spans="1:47" hidden="1">
      <c r="A90" s="51"/>
      <c r="B90" s="51"/>
      <c r="C90" s="51"/>
      <c r="D90" s="51"/>
      <c r="E90" s="51"/>
      <c r="F90" s="51"/>
      <c r="G90" s="51"/>
      <c r="H90" s="51"/>
      <c r="I90" s="5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239"/>
      <c r="AO90" s="225"/>
      <c r="AP90" s="287"/>
      <c r="AQ90" s="258"/>
      <c r="AR90" s="258"/>
      <c r="AS90" s="202"/>
      <c r="AT90" s="48"/>
      <c r="AU90" s="48"/>
    </row>
    <row r="91" spans="1:47" hidden="1">
      <c r="A91" s="51"/>
      <c r="B91" s="51"/>
      <c r="C91" s="51"/>
      <c r="D91" s="51"/>
      <c r="E91" s="51"/>
      <c r="F91" s="51"/>
      <c r="G91" s="51"/>
      <c r="H91" s="51"/>
      <c r="I91" s="5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239"/>
      <c r="AO91" s="225"/>
      <c r="AP91" s="287"/>
      <c r="AQ91" s="258"/>
      <c r="AR91" s="258"/>
      <c r="AS91" s="202"/>
      <c r="AT91" s="48"/>
      <c r="AU91" s="48"/>
    </row>
    <row r="92" spans="1:47" hidden="1">
      <c r="A92" s="51"/>
      <c r="B92" s="51"/>
      <c r="C92" s="51"/>
      <c r="D92" s="51"/>
      <c r="E92" s="51"/>
      <c r="F92" s="51"/>
      <c r="G92" s="51"/>
      <c r="H92" s="51"/>
      <c r="I92" s="5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239"/>
      <c r="AO92" s="225"/>
      <c r="AP92" s="287"/>
      <c r="AQ92" s="258"/>
      <c r="AR92" s="258"/>
      <c r="AS92" s="202"/>
      <c r="AT92" s="48"/>
      <c r="AU92" s="48"/>
    </row>
    <row r="93" spans="1:47" hidden="1">
      <c r="A93" s="51"/>
      <c r="B93" s="51"/>
      <c r="C93" s="51"/>
      <c r="D93" s="51"/>
      <c r="E93" s="51"/>
      <c r="F93" s="51"/>
      <c r="G93" s="51"/>
      <c r="H93" s="51"/>
      <c r="I93" s="5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239"/>
      <c r="AO93" s="225"/>
      <c r="AP93" s="287"/>
      <c r="AQ93" s="258"/>
      <c r="AR93" s="258"/>
      <c r="AS93" s="202"/>
      <c r="AT93" s="48"/>
      <c r="AU93" s="48"/>
    </row>
    <row r="94" spans="1:47" hidden="1">
      <c r="A94" s="51"/>
      <c r="B94" s="51"/>
      <c r="C94" s="51"/>
      <c r="D94" s="51"/>
      <c r="E94" s="51"/>
      <c r="F94" s="51"/>
      <c r="G94" s="51"/>
      <c r="H94" s="51"/>
      <c r="I94" s="5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239"/>
      <c r="AO94" s="225"/>
      <c r="AP94" s="287"/>
      <c r="AQ94" s="258"/>
      <c r="AR94" s="258"/>
      <c r="AS94" s="202"/>
      <c r="AT94" s="48"/>
      <c r="AU94" s="48"/>
    </row>
    <row r="95" spans="1:47" hidden="1">
      <c r="A95" s="51"/>
      <c r="B95" s="51"/>
      <c r="C95" s="51"/>
      <c r="D95" s="51"/>
      <c r="E95" s="51"/>
      <c r="F95" s="51"/>
      <c r="G95" s="51"/>
      <c r="H95" s="51"/>
      <c r="I95" s="5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239"/>
      <c r="AO95" s="225"/>
      <c r="AP95" s="287"/>
      <c r="AQ95" s="258"/>
      <c r="AR95" s="258"/>
      <c r="AS95" s="202"/>
      <c r="AT95" s="48"/>
      <c r="AU95" s="48"/>
    </row>
    <row r="96" spans="1:47" hidden="1">
      <c r="A96" s="51"/>
      <c r="B96" s="51"/>
      <c r="C96" s="51"/>
      <c r="D96" s="51"/>
      <c r="E96" s="51"/>
      <c r="F96" s="51"/>
      <c r="G96" s="51"/>
      <c r="H96" s="51"/>
      <c r="I96" s="5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239"/>
      <c r="AO96" s="225"/>
      <c r="AP96" s="287"/>
      <c r="AQ96" s="258"/>
      <c r="AR96" s="258"/>
      <c r="AS96" s="202"/>
      <c r="AT96" s="48"/>
      <c r="AU96" s="48"/>
    </row>
    <row r="97" spans="1:47" hidden="1">
      <c r="A97" s="51"/>
      <c r="B97" s="51"/>
      <c r="C97" s="51"/>
      <c r="D97" s="51"/>
      <c r="E97" s="51"/>
      <c r="F97" s="51"/>
      <c r="G97" s="51"/>
      <c r="H97" s="51"/>
      <c r="I97" s="5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239"/>
      <c r="AO97" s="225"/>
      <c r="AP97" s="287"/>
      <c r="AQ97" s="258"/>
      <c r="AR97" s="258"/>
      <c r="AS97" s="202"/>
      <c r="AT97" s="48"/>
      <c r="AU97" s="48"/>
    </row>
    <row r="98" spans="1:47" hidden="1">
      <c r="A98" s="51"/>
      <c r="B98" s="51"/>
      <c r="C98" s="51"/>
      <c r="D98" s="51"/>
      <c r="E98" s="51"/>
      <c r="F98" s="51"/>
      <c r="G98" s="51"/>
      <c r="H98" s="51"/>
      <c r="I98" s="5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239"/>
      <c r="AO98" s="225"/>
      <c r="AP98" s="287"/>
      <c r="AQ98" s="258"/>
      <c r="AR98" s="258"/>
      <c r="AS98" s="202"/>
      <c r="AT98" s="48"/>
      <c r="AU98" s="48"/>
    </row>
    <row r="99" spans="1:47" hidden="1">
      <c r="A99" s="51"/>
      <c r="B99" s="51"/>
      <c r="C99" s="51"/>
      <c r="D99" s="51"/>
      <c r="E99" s="51"/>
      <c r="F99" s="51"/>
      <c r="G99" s="51"/>
      <c r="H99" s="51"/>
      <c r="I99" s="5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239"/>
      <c r="AO99" s="225"/>
      <c r="AP99" s="287"/>
      <c r="AQ99" s="258"/>
      <c r="AR99" s="258"/>
      <c r="AS99" s="202"/>
      <c r="AT99" s="48"/>
      <c r="AU99" s="48"/>
    </row>
    <row r="100" spans="1:47" hidden="1">
      <c r="A100" s="51"/>
      <c r="B100" s="51"/>
      <c r="C100" s="51"/>
      <c r="D100" s="51"/>
      <c r="E100" s="51"/>
      <c r="F100" s="51"/>
      <c r="G100" s="51"/>
      <c r="H100" s="51"/>
      <c r="I100" s="5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239"/>
      <c r="AO100" s="225"/>
      <c r="AP100" s="287"/>
      <c r="AQ100" s="258"/>
      <c r="AR100" s="258"/>
      <c r="AS100" s="202"/>
      <c r="AT100" s="48"/>
      <c r="AU100" s="48"/>
    </row>
    <row r="101" spans="1:47" hidden="1">
      <c r="A101" s="51"/>
      <c r="B101" s="51"/>
      <c r="C101" s="51"/>
      <c r="D101" s="51"/>
      <c r="E101" s="51"/>
      <c r="F101" s="51"/>
      <c r="G101" s="51"/>
      <c r="H101" s="51"/>
      <c r="I101" s="5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239"/>
      <c r="AO101" s="225"/>
      <c r="AP101" s="287"/>
      <c r="AQ101" s="258"/>
      <c r="AR101" s="258"/>
      <c r="AS101" s="202"/>
      <c r="AT101" s="48"/>
      <c r="AU101" s="48"/>
    </row>
    <row r="102" spans="1:47" hidden="1">
      <c r="A102" s="51"/>
      <c r="B102" s="51"/>
      <c r="C102" s="51"/>
      <c r="D102" s="51"/>
      <c r="E102" s="51"/>
      <c r="F102" s="51"/>
      <c r="G102" s="51"/>
      <c r="H102" s="51"/>
      <c r="I102" s="5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239"/>
      <c r="AO102" s="225"/>
      <c r="AP102" s="287"/>
      <c r="AQ102" s="258"/>
      <c r="AR102" s="258"/>
      <c r="AS102" s="202"/>
      <c r="AT102" s="48"/>
      <c r="AU102" s="48"/>
    </row>
    <row r="103" spans="1:47" hidden="1">
      <c r="A103" s="51"/>
      <c r="B103" s="51"/>
      <c r="C103" s="51"/>
      <c r="D103" s="51"/>
      <c r="E103" s="51"/>
      <c r="F103" s="51"/>
      <c r="G103" s="51"/>
      <c r="H103" s="51"/>
      <c r="I103" s="5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239"/>
      <c r="AO103" s="225"/>
      <c r="AP103" s="287"/>
      <c r="AQ103" s="258"/>
      <c r="AR103" s="258"/>
      <c r="AS103" s="202"/>
      <c r="AT103" s="48"/>
      <c r="AU103" s="48"/>
    </row>
    <row r="104" spans="1:47" hidden="1">
      <c r="A104" s="51"/>
      <c r="B104" s="51"/>
      <c r="C104" s="51"/>
      <c r="D104" s="51"/>
      <c r="E104" s="51"/>
      <c r="F104" s="51"/>
      <c r="G104" s="51"/>
      <c r="H104" s="51"/>
      <c r="I104" s="5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239"/>
      <c r="AO104" s="225"/>
      <c r="AP104" s="287"/>
      <c r="AQ104" s="258"/>
      <c r="AR104" s="258"/>
      <c r="AS104" s="202"/>
      <c r="AT104" s="48"/>
      <c r="AU104" s="48"/>
    </row>
    <row r="105" spans="1:47" hidden="1">
      <c r="A105" s="51"/>
      <c r="B105" s="51"/>
      <c r="C105" s="51"/>
      <c r="D105" s="51"/>
      <c r="E105" s="51"/>
      <c r="F105" s="51"/>
      <c r="G105" s="51"/>
      <c r="H105" s="51"/>
      <c r="I105" s="5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239"/>
      <c r="AO105" s="225"/>
      <c r="AP105" s="287"/>
      <c r="AQ105" s="258"/>
      <c r="AR105" s="258"/>
      <c r="AS105" s="202"/>
      <c r="AT105" s="48"/>
      <c r="AU105" s="48"/>
    </row>
    <row r="106" spans="1:47" hidden="1">
      <c r="A106" s="51"/>
      <c r="B106" s="51"/>
      <c r="C106" s="51"/>
      <c r="D106" s="51"/>
      <c r="E106" s="51"/>
      <c r="F106" s="51"/>
      <c r="G106" s="51"/>
      <c r="H106" s="51"/>
      <c r="I106" s="5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239"/>
      <c r="AO106" s="225"/>
      <c r="AP106" s="287"/>
      <c r="AQ106" s="258"/>
      <c r="AR106" s="258"/>
      <c r="AS106" s="202"/>
      <c r="AT106" s="48"/>
      <c r="AU106" s="48"/>
    </row>
    <row r="107" spans="1:47" hidden="1">
      <c r="A107" s="51"/>
      <c r="B107" s="51"/>
      <c r="C107" s="51"/>
      <c r="D107" s="51"/>
      <c r="E107" s="51"/>
      <c r="F107" s="51"/>
      <c r="G107" s="51"/>
      <c r="H107" s="51"/>
      <c r="I107" s="5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239"/>
      <c r="AO107" s="225"/>
      <c r="AP107" s="287"/>
      <c r="AQ107" s="258"/>
      <c r="AR107" s="258"/>
      <c r="AS107" s="202"/>
      <c r="AT107" s="48"/>
      <c r="AU107" s="48"/>
    </row>
    <row r="108" spans="1:47" hidden="1">
      <c r="A108" s="51"/>
      <c r="B108" s="51"/>
      <c r="C108" s="51"/>
      <c r="D108" s="51"/>
      <c r="E108" s="51"/>
      <c r="F108" s="51"/>
      <c r="G108" s="51"/>
      <c r="H108" s="51"/>
      <c r="I108" s="5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239"/>
      <c r="AO108" s="225"/>
      <c r="AP108" s="287"/>
      <c r="AQ108" s="258"/>
      <c r="AR108" s="258"/>
      <c r="AS108" s="202"/>
      <c r="AT108" s="48"/>
      <c r="AU108" s="48"/>
    </row>
    <row r="109" spans="1:47" hidden="1">
      <c r="A109" s="51"/>
      <c r="B109" s="51"/>
      <c r="C109" s="51"/>
      <c r="D109" s="51"/>
      <c r="E109" s="51"/>
      <c r="F109" s="51"/>
      <c r="G109" s="51"/>
      <c r="H109" s="51"/>
      <c r="I109" s="5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239"/>
      <c r="AO109" s="225"/>
      <c r="AP109" s="287"/>
      <c r="AQ109" s="258"/>
      <c r="AR109" s="258"/>
      <c r="AS109" s="202"/>
      <c r="AT109" s="48"/>
      <c r="AU109" s="48"/>
    </row>
    <row r="110" spans="1:47" hidden="1">
      <c r="A110" s="51"/>
      <c r="B110" s="51"/>
      <c r="C110" s="51"/>
      <c r="D110" s="51"/>
      <c r="E110" s="51"/>
      <c r="F110" s="51"/>
      <c r="G110" s="51"/>
      <c r="H110" s="51"/>
      <c r="I110" s="5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239"/>
      <c r="AO110" s="225"/>
      <c r="AP110" s="287"/>
      <c r="AQ110" s="258"/>
      <c r="AR110" s="258"/>
      <c r="AS110" s="202"/>
      <c r="AT110" s="48"/>
      <c r="AU110" s="48"/>
    </row>
    <row r="111" spans="1:47" hidden="1">
      <c r="A111" s="51"/>
      <c r="B111" s="51"/>
      <c r="C111" s="51"/>
      <c r="D111" s="51"/>
      <c r="E111" s="51"/>
      <c r="F111" s="51"/>
      <c r="G111" s="51"/>
      <c r="H111" s="51"/>
      <c r="I111" s="5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c r="AG111" s="121"/>
      <c r="AH111" s="121"/>
      <c r="AI111" s="121"/>
      <c r="AJ111" s="121"/>
      <c r="AK111" s="121"/>
      <c r="AL111" s="121"/>
      <c r="AM111" s="121"/>
      <c r="AN111" s="239"/>
      <c r="AO111" s="225"/>
      <c r="AP111" s="287"/>
      <c r="AQ111" s="258"/>
      <c r="AR111" s="258"/>
      <c r="AS111" s="202"/>
      <c r="AT111" s="48"/>
      <c r="AU111" s="48"/>
    </row>
    <row r="112" spans="1:47" hidden="1">
      <c r="A112" s="51"/>
      <c r="B112" s="51"/>
      <c r="C112" s="51"/>
      <c r="D112" s="51"/>
      <c r="E112" s="51"/>
      <c r="F112" s="51"/>
      <c r="G112" s="51"/>
      <c r="H112" s="51"/>
      <c r="I112" s="5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239"/>
      <c r="AO112" s="225"/>
      <c r="AP112" s="287"/>
      <c r="AQ112" s="258"/>
      <c r="AR112" s="258"/>
      <c r="AS112" s="202"/>
      <c r="AT112" s="48"/>
      <c r="AU112" s="48"/>
    </row>
    <row r="113" spans="1:47" hidden="1">
      <c r="A113" s="51"/>
      <c r="B113" s="51"/>
      <c r="C113" s="51"/>
      <c r="D113" s="51"/>
      <c r="E113" s="51"/>
      <c r="F113" s="51"/>
      <c r="G113" s="51"/>
      <c r="H113" s="51"/>
      <c r="I113" s="51"/>
      <c r="J113" s="121"/>
      <c r="K113" s="121"/>
      <c r="L113" s="121"/>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1"/>
      <c r="AK113" s="121"/>
      <c r="AL113" s="121"/>
      <c r="AM113" s="121"/>
      <c r="AN113" s="239"/>
      <c r="AO113" s="225"/>
      <c r="AP113" s="287"/>
      <c r="AQ113" s="258"/>
      <c r="AR113" s="258"/>
      <c r="AS113" s="202"/>
      <c r="AT113" s="48"/>
      <c r="AU113" s="48"/>
    </row>
    <row r="114" spans="1:47" hidden="1">
      <c r="A114" s="51"/>
      <c r="B114" s="51"/>
      <c r="C114" s="51"/>
      <c r="D114" s="51"/>
      <c r="E114" s="51"/>
      <c r="F114" s="51"/>
      <c r="G114" s="51"/>
      <c r="H114" s="51"/>
      <c r="I114" s="5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239"/>
      <c r="AO114" s="225"/>
      <c r="AP114" s="287"/>
      <c r="AQ114" s="258"/>
      <c r="AR114" s="258"/>
      <c r="AS114" s="202"/>
      <c r="AT114" s="48"/>
      <c r="AU114" s="48"/>
    </row>
    <row r="115" spans="1:47" hidden="1">
      <c r="A115" s="51"/>
      <c r="B115" s="51"/>
      <c r="C115" s="51"/>
      <c r="D115" s="51"/>
      <c r="E115" s="51"/>
      <c r="F115" s="51"/>
      <c r="G115" s="51"/>
      <c r="H115" s="51"/>
      <c r="I115" s="51"/>
      <c r="J115" s="121"/>
      <c r="K115" s="121"/>
      <c r="L115" s="121"/>
      <c r="M115" s="121"/>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239"/>
      <c r="AO115" s="225"/>
      <c r="AP115" s="287"/>
      <c r="AQ115" s="258"/>
      <c r="AR115" s="258"/>
      <c r="AS115" s="202"/>
      <c r="AT115" s="48"/>
      <c r="AU115" s="48"/>
    </row>
    <row r="116" spans="1:47" hidden="1">
      <c r="A116" s="51"/>
      <c r="B116" s="51"/>
      <c r="C116" s="51"/>
      <c r="D116" s="51"/>
      <c r="E116" s="51"/>
      <c r="F116" s="51"/>
      <c r="G116" s="51"/>
      <c r="H116" s="51"/>
      <c r="I116" s="5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239"/>
      <c r="AO116" s="225"/>
      <c r="AP116" s="287"/>
      <c r="AQ116" s="258"/>
      <c r="AR116" s="258"/>
      <c r="AS116" s="202"/>
      <c r="AT116" s="48"/>
      <c r="AU116" s="48"/>
    </row>
    <row r="117" spans="1:47" hidden="1">
      <c r="A117" s="51"/>
      <c r="B117" s="51"/>
      <c r="C117" s="51"/>
      <c r="D117" s="51"/>
      <c r="E117" s="51"/>
      <c r="F117" s="51"/>
      <c r="G117" s="51"/>
      <c r="H117" s="51"/>
      <c r="I117" s="51"/>
      <c r="J117" s="121"/>
      <c r="K117" s="121"/>
      <c r="L117" s="121"/>
      <c r="M117" s="121"/>
      <c r="N117" s="121"/>
      <c r="O117" s="121"/>
      <c r="P117" s="121"/>
      <c r="Q117" s="121"/>
      <c r="R117" s="121"/>
      <c r="S117" s="121"/>
      <c r="T117" s="121"/>
      <c r="U117" s="121"/>
      <c r="V117" s="121"/>
      <c r="W117" s="121"/>
      <c r="X117" s="121"/>
      <c r="Y117" s="121"/>
      <c r="Z117" s="121"/>
      <c r="AA117" s="121"/>
      <c r="AB117" s="121"/>
      <c r="AC117" s="121"/>
      <c r="AD117" s="121"/>
      <c r="AE117" s="121"/>
      <c r="AF117" s="121"/>
      <c r="AG117" s="121"/>
      <c r="AH117" s="121"/>
      <c r="AI117" s="121"/>
      <c r="AJ117" s="121"/>
      <c r="AK117" s="121"/>
      <c r="AL117" s="121"/>
      <c r="AM117" s="121"/>
      <c r="AN117" s="239"/>
      <c r="AO117" s="225"/>
      <c r="AP117" s="287"/>
      <c r="AQ117" s="258"/>
      <c r="AR117" s="258"/>
      <c r="AS117" s="202"/>
      <c r="AT117" s="48"/>
      <c r="AU117" s="48"/>
    </row>
    <row r="118" spans="1:47" hidden="1">
      <c r="A118" s="51"/>
      <c r="B118" s="51"/>
      <c r="C118" s="51"/>
      <c r="D118" s="51"/>
      <c r="E118" s="51"/>
      <c r="F118" s="51"/>
      <c r="G118" s="51"/>
      <c r="H118" s="51"/>
      <c r="I118" s="5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239"/>
      <c r="AO118" s="225"/>
      <c r="AP118" s="287"/>
      <c r="AQ118" s="258"/>
      <c r="AR118" s="258"/>
      <c r="AS118" s="202"/>
      <c r="AT118" s="48"/>
      <c r="AU118" s="48"/>
    </row>
    <row r="119" spans="1:47" hidden="1">
      <c r="A119" s="51"/>
      <c r="B119" s="51"/>
      <c r="C119" s="51"/>
      <c r="D119" s="51"/>
      <c r="E119" s="51"/>
      <c r="F119" s="51"/>
      <c r="G119" s="51"/>
      <c r="H119" s="51"/>
      <c r="I119" s="51"/>
      <c r="J119" s="121"/>
      <c r="K119" s="121"/>
      <c r="L119" s="121"/>
      <c r="M119" s="121"/>
      <c r="N119" s="12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21"/>
      <c r="AJ119" s="121"/>
      <c r="AK119" s="121"/>
      <c r="AL119" s="121"/>
      <c r="AM119" s="121"/>
      <c r="AN119" s="239"/>
      <c r="AO119" s="225"/>
      <c r="AP119" s="287"/>
      <c r="AQ119" s="258"/>
      <c r="AR119" s="258"/>
      <c r="AS119" s="202"/>
      <c r="AT119" s="48"/>
      <c r="AU119" s="48"/>
    </row>
    <row r="120" spans="1:47" hidden="1">
      <c r="A120" s="51"/>
      <c r="B120" s="51"/>
      <c r="C120" s="51"/>
      <c r="D120" s="51"/>
      <c r="E120" s="51"/>
      <c r="F120" s="51"/>
      <c r="G120" s="51"/>
      <c r="H120" s="51"/>
      <c r="I120" s="5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239"/>
      <c r="AO120" s="225"/>
      <c r="AP120" s="287"/>
      <c r="AQ120" s="258"/>
      <c r="AR120" s="258"/>
      <c r="AS120" s="202"/>
      <c r="AT120" s="48"/>
      <c r="AU120" s="48"/>
    </row>
    <row r="121" spans="1:47" hidden="1">
      <c r="A121" s="51"/>
      <c r="B121" s="51"/>
      <c r="C121" s="51"/>
      <c r="D121" s="51"/>
      <c r="E121" s="51"/>
      <c r="F121" s="51"/>
      <c r="G121" s="51"/>
      <c r="H121" s="51"/>
      <c r="I121" s="5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239"/>
      <c r="AO121" s="225"/>
      <c r="AP121" s="287"/>
      <c r="AQ121" s="258"/>
      <c r="AR121" s="258"/>
      <c r="AS121" s="202"/>
      <c r="AT121" s="48"/>
      <c r="AU121" s="48"/>
    </row>
    <row r="122" spans="1:47" hidden="1">
      <c r="A122" s="51"/>
      <c r="B122" s="51"/>
      <c r="C122" s="51"/>
      <c r="D122" s="51"/>
      <c r="E122" s="51"/>
      <c r="F122" s="51"/>
      <c r="G122" s="51"/>
      <c r="H122" s="51"/>
      <c r="I122" s="5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239"/>
      <c r="AO122" s="225"/>
      <c r="AP122" s="287"/>
      <c r="AQ122" s="258"/>
      <c r="AR122" s="258"/>
      <c r="AS122" s="202"/>
      <c r="AT122" s="48"/>
      <c r="AU122" s="48"/>
    </row>
    <row r="123" spans="1:47" hidden="1">
      <c r="A123" s="51"/>
      <c r="B123" s="51"/>
      <c r="C123" s="51"/>
      <c r="D123" s="51"/>
      <c r="E123" s="51"/>
      <c r="F123" s="51"/>
      <c r="G123" s="51"/>
      <c r="H123" s="51"/>
      <c r="I123" s="51"/>
      <c r="J123" s="121"/>
      <c r="K123" s="121"/>
      <c r="L123" s="121"/>
      <c r="M123" s="121"/>
      <c r="N123" s="121"/>
      <c r="O123" s="121"/>
      <c r="P123" s="121"/>
      <c r="Q123" s="121"/>
      <c r="R123" s="121"/>
      <c r="S123" s="121"/>
      <c r="T123" s="121"/>
      <c r="U123" s="121"/>
      <c r="V123" s="121"/>
      <c r="W123" s="121"/>
      <c r="X123" s="121"/>
      <c r="Y123" s="121"/>
      <c r="Z123" s="121"/>
      <c r="AA123" s="121"/>
      <c r="AB123" s="121"/>
      <c r="AC123" s="121"/>
      <c r="AD123" s="121"/>
      <c r="AE123" s="121"/>
      <c r="AF123" s="121"/>
      <c r="AG123" s="121"/>
      <c r="AH123" s="121"/>
      <c r="AI123" s="121"/>
      <c r="AJ123" s="121"/>
      <c r="AK123" s="121"/>
      <c r="AL123" s="121"/>
      <c r="AM123" s="121"/>
      <c r="AN123" s="239"/>
      <c r="AO123" s="225"/>
      <c r="AP123" s="287"/>
      <c r="AQ123" s="258"/>
      <c r="AR123" s="258"/>
      <c r="AS123" s="202"/>
      <c r="AT123" s="48"/>
      <c r="AU123" s="48"/>
    </row>
    <row r="124" spans="1:47" hidden="1">
      <c r="A124" s="51"/>
      <c r="B124" s="51"/>
      <c r="C124" s="51"/>
      <c r="D124" s="51"/>
      <c r="E124" s="51"/>
      <c r="F124" s="51"/>
      <c r="G124" s="51"/>
      <c r="H124" s="51"/>
      <c r="I124" s="5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239"/>
      <c r="AO124" s="225"/>
      <c r="AP124" s="287"/>
      <c r="AQ124" s="258"/>
      <c r="AR124" s="258"/>
      <c r="AS124" s="202"/>
      <c r="AT124" s="48"/>
      <c r="AU124" s="48"/>
    </row>
    <row r="125" spans="1:47" hidden="1">
      <c r="A125" s="51"/>
      <c r="B125" s="51"/>
      <c r="C125" s="51"/>
      <c r="D125" s="51"/>
      <c r="E125" s="51"/>
      <c r="F125" s="51"/>
      <c r="G125" s="51"/>
      <c r="H125" s="51"/>
      <c r="I125" s="51"/>
      <c r="J125" s="121"/>
      <c r="K125" s="121"/>
      <c r="L125" s="121"/>
      <c r="M125" s="121"/>
      <c r="N125" s="121"/>
      <c r="O125" s="121"/>
      <c r="P125" s="121"/>
      <c r="Q125" s="121"/>
      <c r="R125" s="121"/>
      <c r="S125" s="121"/>
      <c r="T125" s="121"/>
      <c r="U125" s="121"/>
      <c r="V125" s="121"/>
      <c r="W125" s="121"/>
      <c r="X125" s="121"/>
      <c r="Y125" s="121"/>
      <c r="Z125" s="121"/>
      <c r="AA125" s="121"/>
      <c r="AB125" s="121"/>
      <c r="AC125" s="121"/>
      <c r="AD125" s="121"/>
      <c r="AE125" s="121"/>
      <c r="AF125" s="121"/>
      <c r="AG125" s="121"/>
      <c r="AH125" s="121"/>
      <c r="AI125" s="121"/>
      <c r="AJ125" s="121"/>
      <c r="AK125" s="121"/>
      <c r="AL125" s="121"/>
      <c r="AM125" s="121"/>
      <c r="AN125" s="239"/>
      <c r="AO125" s="225"/>
      <c r="AP125" s="287"/>
      <c r="AQ125" s="258"/>
      <c r="AR125" s="258"/>
      <c r="AS125" s="202"/>
      <c r="AT125" s="48"/>
      <c r="AU125" s="48"/>
    </row>
    <row r="126" spans="1:47" hidden="1">
      <c r="A126" s="51"/>
      <c r="B126" s="51"/>
      <c r="C126" s="51"/>
      <c r="D126" s="51"/>
      <c r="E126" s="51"/>
      <c r="F126" s="51"/>
      <c r="G126" s="51"/>
      <c r="H126" s="51"/>
      <c r="I126" s="51"/>
      <c r="J126" s="121"/>
      <c r="K126" s="121"/>
      <c r="L126" s="121"/>
      <c r="M126" s="121"/>
      <c r="N126" s="121"/>
      <c r="O126" s="121"/>
      <c r="P126" s="121"/>
      <c r="Q126" s="121"/>
      <c r="R126" s="121"/>
      <c r="S126" s="121"/>
      <c r="T126" s="121"/>
      <c r="U126" s="121"/>
      <c r="V126" s="121"/>
      <c r="W126" s="121"/>
      <c r="X126" s="121"/>
      <c r="Y126" s="121"/>
      <c r="Z126" s="121"/>
      <c r="AA126" s="121"/>
      <c r="AB126" s="121"/>
      <c r="AC126" s="121"/>
      <c r="AD126" s="121"/>
      <c r="AE126" s="121"/>
      <c r="AF126" s="121"/>
      <c r="AG126" s="121"/>
      <c r="AH126" s="121"/>
      <c r="AI126" s="121"/>
      <c r="AJ126" s="121"/>
      <c r="AK126" s="121"/>
      <c r="AL126" s="121"/>
      <c r="AM126" s="121"/>
      <c r="AN126" s="239"/>
      <c r="AO126" s="225"/>
      <c r="AP126" s="287"/>
      <c r="AQ126" s="258"/>
      <c r="AR126" s="258"/>
      <c r="AS126" s="202"/>
      <c r="AT126" s="48"/>
      <c r="AU126" s="48"/>
    </row>
    <row r="127" spans="1:47" hidden="1">
      <c r="A127" s="51"/>
      <c r="B127" s="51"/>
      <c r="C127" s="51"/>
      <c r="D127" s="51"/>
      <c r="E127" s="51"/>
      <c r="F127" s="51"/>
      <c r="G127" s="51"/>
      <c r="H127" s="51"/>
      <c r="I127" s="51"/>
      <c r="J127" s="121"/>
      <c r="K127" s="121"/>
      <c r="L127" s="121"/>
      <c r="M127" s="121"/>
      <c r="N127" s="121"/>
      <c r="O127" s="121"/>
      <c r="P127" s="121"/>
      <c r="Q127" s="121"/>
      <c r="R127" s="121"/>
      <c r="S127" s="121"/>
      <c r="T127" s="121"/>
      <c r="U127" s="121"/>
      <c r="V127" s="121"/>
      <c r="W127" s="121"/>
      <c r="X127" s="121"/>
      <c r="Y127" s="121"/>
      <c r="Z127" s="121"/>
      <c r="AA127" s="121"/>
      <c r="AB127" s="121"/>
      <c r="AC127" s="121"/>
      <c r="AD127" s="121"/>
      <c r="AE127" s="121"/>
      <c r="AF127" s="121"/>
      <c r="AG127" s="121"/>
      <c r="AH127" s="121"/>
      <c r="AI127" s="121"/>
      <c r="AJ127" s="121"/>
      <c r="AK127" s="121"/>
      <c r="AL127" s="121"/>
      <c r="AM127" s="121"/>
      <c r="AN127" s="239"/>
      <c r="AO127" s="225"/>
      <c r="AP127" s="287"/>
      <c r="AQ127" s="258"/>
      <c r="AR127" s="258"/>
      <c r="AS127" s="202"/>
      <c r="AT127" s="48"/>
      <c r="AU127" s="48"/>
    </row>
    <row r="128" spans="1:47" hidden="1">
      <c r="A128" s="51"/>
      <c r="B128" s="51"/>
      <c r="C128" s="51"/>
      <c r="D128" s="51"/>
      <c r="E128" s="51"/>
      <c r="F128" s="51"/>
      <c r="G128" s="51"/>
      <c r="H128" s="51"/>
      <c r="I128" s="5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239"/>
      <c r="AO128" s="225"/>
      <c r="AP128" s="287"/>
      <c r="AQ128" s="258"/>
      <c r="AR128" s="258"/>
      <c r="AS128" s="202"/>
      <c r="AT128" s="48"/>
      <c r="AU128" s="48"/>
    </row>
    <row r="129" spans="1:47" hidden="1">
      <c r="A129" s="51"/>
      <c r="B129" s="51"/>
      <c r="C129" s="51"/>
      <c r="D129" s="51"/>
      <c r="E129" s="51"/>
      <c r="F129" s="51"/>
      <c r="G129" s="51"/>
      <c r="H129" s="51"/>
      <c r="I129" s="5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239"/>
      <c r="AO129" s="225"/>
      <c r="AP129" s="287"/>
      <c r="AQ129" s="258"/>
      <c r="AR129" s="258"/>
      <c r="AS129" s="202"/>
      <c r="AT129" s="48"/>
      <c r="AU129" s="48"/>
    </row>
    <row r="130" spans="1:47" hidden="1">
      <c r="A130" s="51"/>
      <c r="B130" s="51"/>
      <c r="C130" s="51"/>
      <c r="D130" s="51"/>
      <c r="E130" s="51"/>
      <c r="F130" s="51"/>
      <c r="G130" s="51"/>
      <c r="H130" s="51"/>
      <c r="I130" s="5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239"/>
      <c r="AO130" s="225"/>
      <c r="AP130" s="287"/>
      <c r="AQ130" s="258"/>
      <c r="AR130" s="258"/>
      <c r="AS130" s="202"/>
      <c r="AT130" s="48"/>
      <c r="AU130" s="48"/>
    </row>
    <row r="131" spans="1:47" hidden="1">
      <c r="A131" s="51"/>
      <c r="B131" s="51"/>
      <c r="C131" s="51"/>
      <c r="D131" s="51"/>
      <c r="E131" s="51"/>
      <c r="F131" s="51"/>
      <c r="G131" s="51"/>
      <c r="H131" s="51"/>
      <c r="I131" s="51"/>
      <c r="J131" s="121"/>
      <c r="K131" s="121"/>
      <c r="L131" s="121"/>
      <c r="M131" s="121"/>
      <c r="N131" s="121"/>
      <c r="O131" s="121"/>
      <c r="P131" s="121"/>
      <c r="Q131" s="121"/>
      <c r="R131" s="121"/>
      <c r="S131" s="121"/>
      <c r="T131" s="121"/>
      <c r="U131" s="121"/>
      <c r="V131" s="121"/>
      <c r="W131" s="121"/>
      <c r="X131" s="121"/>
      <c r="Y131" s="121"/>
      <c r="Z131" s="121"/>
      <c r="AA131" s="121"/>
      <c r="AB131" s="121"/>
      <c r="AC131" s="121"/>
      <c r="AD131" s="121"/>
      <c r="AE131" s="121"/>
      <c r="AF131" s="121"/>
      <c r="AG131" s="121"/>
      <c r="AH131" s="121"/>
      <c r="AI131" s="121"/>
      <c r="AJ131" s="121"/>
      <c r="AK131" s="121"/>
      <c r="AL131" s="121"/>
      <c r="AM131" s="121"/>
      <c r="AN131" s="239"/>
      <c r="AO131" s="225"/>
      <c r="AP131" s="287"/>
      <c r="AQ131" s="258"/>
      <c r="AR131" s="258"/>
      <c r="AS131" s="202"/>
      <c r="AT131" s="48"/>
      <c r="AU131" s="48"/>
    </row>
    <row r="132" spans="1:47" hidden="1">
      <c r="A132" s="51"/>
      <c r="B132" s="51"/>
      <c r="C132" s="51"/>
      <c r="D132" s="51"/>
      <c r="E132" s="51"/>
      <c r="F132" s="51"/>
      <c r="G132" s="51"/>
      <c r="H132" s="51"/>
      <c r="I132" s="5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239"/>
      <c r="AO132" s="225"/>
      <c r="AP132" s="287"/>
      <c r="AQ132" s="258"/>
      <c r="AR132" s="258"/>
      <c r="AS132" s="202"/>
      <c r="AT132" s="48"/>
      <c r="AU132" s="48"/>
    </row>
    <row r="133" spans="1:47" hidden="1">
      <c r="A133" s="51"/>
      <c r="B133" s="51"/>
      <c r="C133" s="51"/>
      <c r="D133" s="51"/>
      <c r="E133" s="51"/>
      <c r="F133" s="51"/>
      <c r="G133" s="51"/>
      <c r="H133" s="51"/>
      <c r="I133" s="5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1"/>
      <c r="AN133" s="239"/>
      <c r="AO133" s="225"/>
      <c r="AP133" s="287"/>
      <c r="AQ133" s="258"/>
      <c r="AR133" s="258"/>
      <c r="AS133" s="202"/>
      <c r="AT133" s="48"/>
      <c r="AU133" s="48"/>
    </row>
    <row r="134" spans="1:47" hidden="1">
      <c r="A134" s="51"/>
      <c r="B134" s="51"/>
      <c r="C134" s="51"/>
      <c r="D134" s="51"/>
      <c r="E134" s="51"/>
      <c r="F134" s="51"/>
      <c r="G134" s="51"/>
      <c r="H134" s="51"/>
      <c r="I134" s="5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239"/>
      <c r="AO134" s="225"/>
      <c r="AP134" s="287"/>
      <c r="AQ134" s="258"/>
      <c r="AR134" s="258"/>
      <c r="AS134" s="202"/>
      <c r="AT134" s="48"/>
      <c r="AU134" s="48"/>
    </row>
    <row r="135" spans="1:47" hidden="1">
      <c r="A135" s="51"/>
      <c r="B135" s="51"/>
      <c r="C135" s="51"/>
      <c r="D135" s="51"/>
      <c r="E135" s="51"/>
      <c r="F135" s="51"/>
      <c r="G135" s="51"/>
      <c r="H135" s="51"/>
      <c r="I135" s="51"/>
      <c r="J135" s="121"/>
      <c r="K135" s="121"/>
      <c r="L135" s="121"/>
      <c r="M135" s="121"/>
      <c r="N135" s="121"/>
      <c r="O135" s="121"/>
      <c r="P135" s="121"/>
      <c r="Q135" s="121"/>
      <c r="R135" s="121"/>
      <c r="S135" s="121"/>
      <c r="T135" s="121"/>
      <c r="U135" s="121"/>
      <c r="V135" s="121"/>
      <c r="W135" s="121"/>
      <c r="X135" s="121"/>
      <c r="Y135" s="121"/>
      <c r="Z135" s="121"/>
      <c r="AA135" s="121"/>
      <c r="AB135" s="121"/>
      <c r="AC135" s="121"/>
      <c r="AD135" s="121"/>
      <c r="AE135" s="121"/>
      <c r="AF135" s="121"/>
      <c r="AG135" s="121"/>
      <c r="AH135" s="121"/>
      <c r="AI135" s="121"/>
      <c r="AJ135" s="121"/>
      <c r="AK135" s="121"/>
      <c r="AL135" s="121"/>
      <c r="AM135" s="121"/>
      <c r="AN135" s="239"/>
      <c r="AO135" s="225"/>
      <c r="AP135" s="287"/>
      <c r="AQ135" s="258"/>
      <c r="AR135" s="258"/>
      <c r="AS135" s="202"/>
      <c r="AT135" s="48"/>
      <c r="AU135" s="48"/>
    </row>
    <row r="136" spans="1:47" s="121" customFormat="1" hidden="1">
      <c r="AN136" s="239"/>
      <c r="AO136" s="225"/>
      <c r="AP136" s="287"/>
      <c r="AQ136" s="258"/>
      <c r="AR136" s="258"/>
      <c r="AS136" s="202"/>
      <c r="AT136" s="213"/>
      <c r="AU136" s="213"/>
    </row>
    <row r="137" spans="1:47" s="121" customFormat="1" hidden="1">
      <c r="AN137" s="239"/>
      <c r="AO137" s="225"/>
      <c r="AP137" s="287"/>
      <c r="AQ137" s="258"/>
      <c r="AR137" s="258"/>
      <c r="AS137" s="202"/>
      <c r="AT137" s="213"/>
      <c r="AU137" s="213"/>
    </row>
    <row r="138" spans="1:47" s="121" customFormat="1" hidden="1">
      <c r="AN138" s="239"/>
      <c r="AO138" s="225"/>
      <c r="AP138" s="287"/>
      <c r="AQ138" s="258"/>
      <c r="AR138" s="258"/>
      <c r="AS138" s="202"/>
      <c r="AT138" s="213"/>
      <c r="AU138" s="213"/>
    </row>
    <row r="139" spans="1:47" s="121" customFormat="1" hidden="1">
      <c r="AN139" s="239"/>
      <c r="AO139" s="225"/>
      <c r="AP139" s="287"/>
      <c r="AQ139" s="258"/>
      <c r="AR139" s="258"/>
      <c r="AS139" s="202"/>
      <c r="AT139" s="213"/>
      <c r="AU139" s="213"/>
    </row>
    <row r="140" spans="1:47" hidden="1">
      <c r="A140" s="51"/>
      <c r="B140" s="51"/>
      <c r="C140" s="51"/>
      <c r="D140" s="51"/>
      <c r="E140" s="51"/>
      <c r="F140" s="51"/>
      <c r="G140" s="51"/>
      <c r="H140" s="51"/>
      <c r="I140" s="5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239"/>
      <c r="AO140" s="225"/>
      <c r="AP140" s="287"/>
      <c r="AQ140" s="258"/>
      <c r="AR140" s="258"/>
      <c r="AS140" s="202"/>
      <c r="AT140" s="48"/>
      <c r="AU140" s="48"/>
    </row>
    <row r="141" spans="1:47" hidden="1">
      <c r="A141" s="51"/>
      <c r="B141" s="51"/>
      <c r="C141" s="51"/>
      <c r="D141" s="51"/>
      <c r="E141" s="51"/>
      <c r="F141" s="51"/>
      <c r="G141" s="51"/>
      <c r="H141" s="51"/>
      <c r="I141" s="5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239"/>
      <c r="AO141" s="225"/>
      <c r="AP141" s="287"/>
      <c r="AQ141" s="258"/>
      <c r="AR141" s="258"/>
      <c r="AS141" s="202"/>
      <c r="AT141" s="48"/>
      <c r="AU141" s="48"/>
    </row>
    <row r="142" spans="1:47" s="121" customFormat="1" hidden="1">
      <c r="AN142" s="239"/>
      <c r="AO142" s="225"/>
      <c r="AP142" s="287"/>
      <c r="AQ142" s="258"/>
      <c r="AR142" s="258"/>
      <c r="AS142" s="202"/>
      <c r="AT142" s="213"/>
      <c r="AU142" s="213"/>
    </row>
    <row r="143" spans="1:47" s="121" customFormat="1" hidden="1">
      <c r="AN143" s="239"/>
      <c r="AO143" s="225"/>
      <c r="AP143" s="287"/>
      <c r="AQ143" s="258"/>
      <c r="AR143" s="258"/>
      <c r="AS143" s="202"/>
      <c r="AT143" s="213"/>
      <c r="AU143" s="213"/>
    </row>
    <row r="144" spans="1:47" s="121" customFormat="1" hidden="1">
      <c r="AN144" s="239"/>
      <c r="AO144" s="225"/>
      <c r="AP144" s="287"/>
      <c r="AQ144" s="258"/>
      <c r="AR144" s="258"/>
      <c r="AS144" s="202"/>
      <c r="AT144" s="213"/>
      <c r="AU144" s="213"/>
    </row>
    <row r="145" spans="1:47" s="121" customFormat="1" hidden="1">
      <c r="AN145" s="239"/>
      <c r="AO145" s="225"/>
      <c r="AP145" s="287"/>
      <c r="AQ145" s="258"/>
      <c r="AR145" s="258"/>
      <c r="AS145" s="202"/>
      <c r="AT145" s="213"/>
      <c r="AU145" s="213"/>
    </row>
    <row r="146" spans="1:47" s="121" customFormat="1" hidden="1">
      <c r="AN146" s="239"/>
      <c r="AO146" s="225"/>
      <c r="AP146" s="287"/>
      <c r="AQ146" s="258"/>
      <c r="AR146" s="258"/>
      <c r="AS146" s="202"/>
      <c r="AT146" s="213"/>
      <c r="AU146" s="213"/>
    </row>
    <row r="147" spans="1:47" s="121" customFormat="1" hidden="1">
      <c r="AN147" s="239"/>
      <c r="AO147" s="225"/>
      <c r="AP147" s="287"/>
      <c r="AQ147" s="258"/>
      <c r="AR147" s="258"/>
      <c r="AS147" s="202"/>
      <c r="AT147" s="213"/>
      <c r="AU147" s="213"/>
    </row>
    <row r="148" spans="1:47" hidden="1">
      <c r="A148" s="51"/>
      <c r="B148" s="51"/>
      <c r="C148" s="51"/>
      <c r="D148" s="51"/>
      <c r="E148" s="51"/>
      <c r="F148" s="51"/>
      <c r="G148" s="51"/>
      <c r="H148" s="51"/>
      <c r="I148" s="5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239"/>
      <c r="AO148" s="225"/>
      <c r="AP148" s="287"/>
      <c r="AQ148" s="258"/>
      <c r="AR148" s="258"/>
      <c r="AS148" s="202"/>
      <c r="AT148" s="48"/>
      <c r="AU148" s="48"/>
    </row>
    <row r="149" spans="1:47" s="121" customFormat="1" hidden="1">
      <c r="AN149" s="239"/>
      <c r="AO149" s="225"/>
      <c r="AP149" s="287"/>
      <c r="AQ149" s="258"/>
      <c r="AR149" s="258"/>
      <c r="AS149" s="202"/>
      <c r="AT149" s="213"/>
      <c r="AU149" s="213"/>
    </row>
    <row r="150" spans="1:47" s="121" customFormat="1" hidden="1">
      <c r="AN150" s="239"/>
      <c r="AO150" s="225"/>
      <c r="AP150" s="287"/>
      <c r="AQ150" s="258"/>
      <c r="AR150" s="258"/>
      <c r="AS150" s="202"/>
      <c r="AT150" s="213"/>
      <c r="AU150" s="213"/>
    </row>
    <row r="151" spans="1:47" s="121" customFormat="1" hidden="1">
      <c r="AN151" s="239"/>
      <c r="AO151" s="225"/>
      <c r="AP151" s="287"/>
      <c r="AQ151" s="258"/>
      <c r="AR151" s="258"/>
      <c r="AS151" s="202"/>
      <c r="AT151" s="213"/>
      <c r="AU151" s="213"/>
    </row>
    <row r="152" spans="1:47" s="121" customFormat="1" hidden="1">
      <c r="AN152" s="239"/>
      <c r="AO152" s="225"/>
      <c r="AP152" s="287"/>
      <c r="AQ152" s="258"/>
      <c r="AR152" s="258"/>
      <c r="AS152" s="202"/>
      <c r="AT152" s="213"/>
      <c r="AU152" s="213"/>
    </row>
    <row r="153" spans="1:47" s="121" customFormat="1" hidden="1">
      <c r="AN153" s="239"/>
      <c r="AO153" s="225"/>
      <c r="AP153" s="287"/>
      <c r="AQ153" s="258"/>
      <c r="AR153" s="258"/>
      <c r="AS153" s="202"/>
      <c r="AT153" s="213"/>
      <c r="AU153" s="213"/>
    </row>
    <row r="154" spans="1:47" s="121" customFormat="1" hidden="1">
      <c r="AN154" s="239"/>
      <c r="AO154" s="225"/>
      <c r="AP154" s="287"/>
      <c r="AQ154" s="258"/>
      <c r="AR154" s="258"/>
      <c r="AS154" s="202"/>
      <c r="AT154" s="213"/>
      <c r="AU154" s="213"/>
    </row>
    <row r="155" spans="1:47" hidden="1">
      <c r="A155" s="51"/>
      <c r="B155" s="51"/>
      <c r="C155" s="51"/>
      <c r="D155" s="51"/>
      <c r="E155" s="51"/>
      <c r="F155" s="51"/>
      <c r="G155" s="51"/>
      <c r="H155" s="51"/>
      <c r="I155" s="5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239"/>
      <c r="AO155" s="225"/>
      <c r="AP155" s="287"/>
      <c r="AQ155" s="258"/>
      <c r="AR155" s="258"/>
      <c r="AS155" s="202"/>
      <c r="AT155" s="48"/>
      <c r="AU155" s="48"/>
    </row>
    <row r="156" spans="1:47" hidden="1">
      <c r="A156" s="51"/>
      <c r="B156" s="51"/>
      <c r="C156" s="51"/>
      <c r="D156" s="51"/>
      <c r="E156" s="51"/>
      <c r="F156" s="51"/>
      <c r="G156" s="51"/>
      <c r="H156" s="51"/>
      <c r="I156" s="5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239"/>
      <c r="AO156" s="225"/>
      <c r="AP156" s="287"/>
      <c r="AQ156" s="258"/>
      <c r="AR156" s="258"/>
      <c r="AS156" s="202"/>
      <c r="AT156" s="48"/>
      <c r="AU156" s="48"/>
    </row>
    <row r="157" spans="1:47" s="121" customFormat="1" hidden="1">
      <c r="AN157" s="239"/>
      <c r="AO157" s="225"/>
      <c r="AP157" s="287"/>
      <c r="AQ157" s="258"/>
      <c r="AR157" s="258"/>
      <c r="AS157" s="202"/>
      <c r="AT157" s="213"/>
      <c r="AU157" s="213"/>
    </row>
    <row r="158" spans="1:47" s="121" customFormat="1" hidden="1">
      <c r="AN158" s="239"/>
      <c r="AO158" s="225"/>
      <c r="AP158" s="287"/>
      <c r="AQ158" s="258"/>
      <c r="AR158" s="258"/>
      <c r="AS158" s="202"/>
      <c r="AT158" s="213"/>
      <c r="AU158" s="213"/>
    </row>
    <row r="159" spans="1:47" s="121" customFormat="1" hidden="1">
      <c r="AN159" s="239"/>
      <c r="AO159" s="225"/>
      <c r="AP159" s="287"/>
      <c r="AQ159" s="258"/>
      <c r="AR159" s="258"/>
      <c r="AS159" s="202"/>
      <c r="AT159" s="213"/>
      <c r="AU159" s="213"/>
    </row>
    <row r="160" spans="1:47" s="121" customFormat="1" hidden="1">
      <c r="AN160" s="239"/>
      <c r="AO160" s="225"/>
      <c r="AP160" s="287"/>
      <c r="AQ160" s="258"/>
      <c r="AR160" s="258"/>
      <c r="AS160" s="202"/>
      <c r="AT160" s="213"/>
      <c r="AU160" s="213"/>
    </row>
    <row r="161" spans="1:47" hidden="1">
      <c r="A161" s="51"/>
      <c r="B161" s="51"/>
      <c r="C161" s="51"/>
      <c r="D161" s="51"/>
      <c r="E161" s="51"/>
      <c r="F161" s="51"/>
      <c r="G161" s="51"/>
      <c r="H161" s="51"/>
      <c r="I161" s="5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239"/>
      <c r="AO161" s="225"/>
      <c r="AP161" s="287"/>
      <c r="AQ161" s="258"/>
      <c r="AR161" s="258"/>
      <c r="AS161" s="202"/>
      <c r="AT161" s="48"/>
      <c r="AU161" s="48"/>
    </row>
    <row r="162" spans="1:47" s="121" customFormat="1" hidden="1">
      <c r="AN162" s="239"/>
      <c r="AO162" s="225"/>
      <c r="AP162" s="287"/>
      <c r="AQ162" s="258"/>
      <c r="AR162" s="258"/>
      <c r="AS162" s="202"/>
      <c r="AT162" s="213"/>
      <c r="AU162" s="213"/>
    </row>
    <row r="163" spans="1:47" s="121" customFormat="1" hidden="1">
      <c r="AN163" s="239"/>
      <c r="AO163" s="225"/>
      <c r="AP163" s="287"/>
      <c r="AQ163" s="258"/>
      <c r="AR163" s="258"/>
      <c r="AS163" s="202"/>
      <c r="AT163" s="213"/>
      <c r="AU163" s="213"/>
    </row>
    <row r="164" spans="1:47" s="121" customFormat="1" hidden="1">
      <c r="AN164" s="239"/>
      <c r="AO164" s="225"/>
      <c r="AP164" s="287"/>
      <c r="AQ164" s="258"/>
      <c r="AR164" s="258"/>
      <c r="AS164" s="202"/>
      <c r="AT164" s="213"/>
      <c r="AU164" s="213"/>
    </row>
    <row r="165" spans="1:47" s="121" customFormat="1" hidden="1">
      <c r="AN165" s="239"/>
      <c r="AO165" s="225"/>
      <c r="AP165" s="287"/>
      <c r="AQ165" s="258"/>
      <c r="AR165" s="258"/>
      <c r="AS165" s="202"/>
      <c r="AT165" s="213"/>
      <c r="AU165" s="213"/>
    </row>
    <row r="166" spans="1:47" hidden="1">
      <c r="A166" s="51"/>
      <c r="B166" s="51"/>
      <c r="C166" s="51"/>
      <c r="D166" s="51"/>
      <c r="E166" s="51"/>
      <c r="F166" s="51"/>
      <c r="G166" s="51"/>
      <c r="H166" s="51"/>
      <c r="I166" s="5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239"/>
      <c r="AO166" s="225"/>
      <c r="AP166" s="287"/>
      <c r="AQ166" s="258"/>
      <c r="AR166" s="258"/>
      <c r="AS166" s="202"/>
      <c r="AT166" s="48"/>
      <c r="AU166" s="48"/>
    </row>
    <row r="167" spans="1:47" s="121" customFormat="1" hidden="1">
      <c r="AN167" s="239"/>
      <c r="AO167" s="225"/>
      <c r="AP167" s="287"/>
      <c r="AQ167" s="258"/>
      <c r="AR167" s="258"/>
      <c r="AS167" s="202"/>
      <c r="AT167" s="213"/>
      <c r="AU167" s="213"/>
    </row>
    <row r="168" spans="1:47" s="121" customFormat="1" hidden="1">
      <c r="AN168" s="239"/>
      <c r="AO168" s="225"/>
      <c r="AP168" s="287"/>
      <c r="AQ168" s="258"/>
      <c r="AR168" s="258"/>
      <c r="AS168" s="202"/>
      <c r="AT168" s="213"/>
      <c r="AU168" s="213"/>
    </row>
    <row r="169" spans="1:47" s="121" customFormat="1" hidden="1">
      <c r="AN169" s="239"/>
      <c r="AO169" s="225"/>
      <c r="AP169" s="287"/>
      <c r="AQ169" s="258"/>
      <c r="AR169" s="258"/>
      <c r="AS169" s="202"/>
      <c r="AT169" s="213"/>
      <c r="AU169" s="213"/>
    </row>
    <row r="170" spans="1:47" s="121" customFormat="1" hidden="1">
      <c r="AN170" s="239"/>
      <c r="AO170" s="225"/>
      <c r="AP170" s="287"/>
      <c r="AQ170" s="258"/>
      <c r="AR170" s="258"/>
      <c r="AS170" s="202"/>
      <c r="AT170" s="213"/>
      <c r="AU170" s="213"/>
    </row>
    <row r="171" spans="1:47" hidden="1">
      <c r="A171" s="51"/>
      <c r="B171" s="51"/>
      <c r="C171" s="51"/>
      <c r="D171" s="51"/>
      <c r="E171" s="51"/>
      <c r="F171" s="51"/>
      <c r="G171" s="51"/>
      <c r="H171" s="51"/>
      <c r="I171" s="5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239"/>
      <c r="AO171" s="225"/>
      <c r="AP171" s="287"/>
      <c r="AQ171" s="258"/>
      <c r="AR171" s="258"/>
      <c r="AS171" s="202"/>
      <c r="AT171" s="48"/>
      <c r="AU171" s="48"/>
    </row>
    <row r="172" spans="1:47" s="121" customFormat="1" hidden="1">
      <c r="AN172" s="239"/>
      <c r="AO172" s="225"/>
      <c r="AP172" s="287"/>
      <c r="AQ172" s="258"/>
      <c r="AR172" s="258"/>
      <c r="AS172" s="202"/>
      <c r="AT172" s="213"/>
      <c r="AU172" s="213"/>
    </row>
    <row r="173" spans="1:47" s="121" customFormat="1" hidden="1">
      <c r="AN173" s="239"/>
      <c r="AO173" s="225"/>
      <c r="AP173" s="287"/>
      <c r="AQ173" s="258"/>
      <c r="AR173" s="258"/>
      <c r="AS173" s="202"/>
      <c r="AT173" s="213"/>
      <c r="AU173" s="213"/>
    </row>
    <row r="174" spans="1:47" s="121" customFormat="1" hidden="1">
      <c r="AN174" s="239"/>
      <c r="AO174" s="225"/>
      <c r="AP174" s="287"/>
      <c r="AQ174" s="258"/>
      <c r="AR174" s="258"/>
      <c r="AS174" s="202"/>
      <c r="AT174" s="213"/>
      <c r="AU174" s="213"/>
    </row>
    <row r="175" spans="1:47" s="121" customFormat="1" hidden="1">
      <c r="AN175" s="239"/>
      <c r="AO175" s="225"/>
      <c r="AP175" s="287"/>
      <c r="AQ175" s="258"/>
      <c r="AR175" s="258"/>
      <c r="AS175" s="202"/>
      <c r="AT175" s="213"/>
      <c r="AU175" s="213"/>
    </row>
    <row r="176" spans="1:47" hidden="1">
      <c r="A176" s="51"/>
      <c r="B176" s="51"/>
      <c r="C176" s="51"/>
      <c r="D176" s="51"/>
      <c r="E176" s="51"/>
      <c r="F176" s="51"/>
      <c r="G176" s="51"/>
      <c r="H176" s="51"/>
      <c r="I176" s="5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239"/>
      <c r="AO176" s="225"/>
      <c r="AP176" s="287"/>
      <c r="AQ176" s="258"/>
      <c r="AR176" s="258"/>
      <c r="AS176" s="202"/>
      <c r="AT176" s="48"/>
      <c r="AU176" s="48"/>
    </row>
    <row r="177" spans="1:47" s="121" customFormat="1" hidden="1">
      <c r="AN177" s="239"/>
      <c r="AO177" s="225"/>
      <c r="AP177" s="287"/>
      <c r="AQ177" s="258"/>
      <c r="AR177" s="258"/>
      <c r="AS177" s="202"/>
      <c r="AT177" s="213"/>
      <c r="AU177" s="213"/>
    </row>
    <row r="178" spans="1:47" s="121" customFormat="1" hidden="1">
      <c r="AN178" s="239"/>
      <c r="AO178" s="225"/>
      <c r="AP178" s="287"/>
      <c r="AQ178" s="258"/>
      <c r="AR178" s="258"/>
      <c r="AS178" s="202"/>
      <c r="AT178" s="213"/>
      <c r="AU178" s="213"/>
    </row>
    <row r="179" spans="1:47" s="121" customFormat="1" hidden="1">
      <c r="AN179" s="239"/>
      <c r="AO179" s="225"/>
      <c r="AP179" s="287"/>
      <c r="AQ179" s="258"/>
      <c r="AR179" s="258"/>
      <c r="AS179" s="202"/>
      <c r="AT179" s="213"/>
      <c r="AU179" s="213"/>
    </row>
    <row r="180" spans="1:47" s="121" customFormat="1" hidden="1">
      <c r="AN180" s="239"/>
      <c r="AO180" s="225"/>
      <c r="AP180" s="287"/>
      <c r="AQ180" s="258"/>
      <c r="AR180" s="258"/>
      <c r="AS180" s="202"/>
      <c r="AT180" s="213"/>
      <c r="AU180" s="213"/>
    </row>
    <row r="181" spans="1:47" hidden="1">
      <c r="A181" s="51"/>
      <c r="B181" s="51"/>
      <c r="C181" s="51"/>
      <c r="D181" s="51"/>
      <c r="E181" s="51"/>
      <c r="F181" s="51"/>
      <c r="G181" s="51"/>
      <c r="H181" s="51"/>
      <c r="I181" s="5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239"/>
      <c r="AO181" s="225"/>
      <c r="AP181" s="287"/>
      <c r="AQ181" s="258"/>
      <c r="AR181" s="258"/>
      <c r="AS181" s="202"/>
      <c r="AT181" s="48"/>
      <c r="AU181" s="48"/>
    </row>
    <row r="182" spans="1:47" s="121" customFormat="1" hidden="1">
      <c r="AN182" s="239"/>
      <c r="AO182" s="225"/>
      <c r="AP182" s="287"/>
      <c r="AQ182" s="258"/>
      <c r="AR182" s="258"/>
      <c r="AS182" s="202"/>
      <c r="AT182" s="213"/>
      <c r="AU182" s="213"/>
    </row>
    <row r="183" spans="1:47" s="121" customFormat="1" hidden="1">
      <c r="AN183" s="239"/>
      <c r="AO183" s="225"/>
      <c r="AP183" s="287"/>
      <c r="AQ183" s="258"/>
      <c r="AR183" s="258"/>
      <c r="AS183" s="202"/>
      <c r="AT183" s="213"/>
      <c r="AU183" s="213"/>
    </row>
    <row r="184" spans="1:47" s="121" customFormat="1" hidden="1">
      <c r="AN184" s="239"/>
      <c r="AO184" s="225"/>
      <c r="AP184" s="287"/>
      <c r="AQ184" s="258"/>
      <c r="AR184" s="258"/>
      <c r="AS184" s="202"/>
      <c r="AT184" s="213"/>
      <c r="AU184" s="213"/>
    </row>
    <row r="185" spans="1:47" s="121" customFormat="1" hidden="1">
      <c r="AN185" s="239"/>
      <c r="AO185" s="225"/>
      <c r="AP185" s="287"/>
      <c r="AQ185" s="258"/>
      <c r="AR185" s="258"/>
      <c r="AS185" s="202"/>
      <c r="AT185" s="213"/>
      <c r="AU185" s="213"/>
    </row>
    <row r="186" spans="1:47" hidden="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239"/>
      <c r="AO186" s="225"/>
      <c r="AP186" s="287"/>
      <c r="AQ186" s="258"/>
      <c r="AR186" s="258"/>
      <c r="AS186" s="202"/>
      <c r="AT186" s="48"/>
      <c r="AU186" s="48"/>
    </row>
    <row r="187" spans="1:47" s="121" customFormat="1" hidden="1">
      <c r="AN187" s="239"/>
      <c r="AO187" s="225"/>
      <c r="AP187" s="287"/>
      <c r="AQ187" s="258"/>
      <c r="AR187" s="258"/>
      <c r="AS187" s="202"/>
      <c r="AT187" s="213"/>
      <c r="AU187" s="213"/>
    </row>
    <row r="188" spans="1:47" s="121" customFormat="1" hidden="1">
      <c r="AN188" s="239"/>
      <c r="AO188" s="225"/>
      <c r="AP188" s="287"/>
      <c r="AQ188" s="258"/>
      <c r="AR188" s="258"/>
      <c r="AS188" s="202"/>
      <c r="AT188" s="213"/>
      <c r="AU188" s="213"/>
    </row>
    <row r="189" spans="1:47" s="121" customFormat="1" hidden="1">
      <c r="AN189" s="239"/>
      <c r="AO189" s="225"/>
      <c r="AP189" s="287"/>
      <c r="AQ189" s="258"/>
      <c r="AR189" s="258"/>
      <c r="AS189" s="202"/>
      <c r="AT189" s="213"/>
      <c r="AU189" s="213"/>
    </row>
    <row r="190" spans="1:47" s="121" customFormat="1" hidden="1" collapsed="1">
      <c r="AN190" s="239"/>
      <c r="AO190" s="225"/>
      <c r="AP190" s="287"/>
      <c r="AQ190" s="258"/>
      <c r="AR190" s="258"/>
      <c r="AS190" s="202"/>
      <c r="AT190" s="213"/>
      <c r="AU190" s="213"/>
    </row>
    <row r="191" spans="1:47" hidden="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239"/>
      <c r="AO191" s="225"/>
      <c r="AP191" s="287"/>
      <c r="AQ191" s="258"/>
      <c r="AR191" s="258"/>
      <c r="AS191" s="202"/>
      <c r="AT191" s="48"/>
      <c r="AU191" s="48"/>
    </row>
    <row r="192" spans="1:47" s="121" customFormat="1" hidden="1">
      <c r="AN192" s="239"/>
      <c r="AO192" s="225"/>
      <c r="AP192" s="287"/>
      <c r="AQ192" s="258"/>
      <c r="AR192" s="258"/>
      <c r="AS192" s="202"/>
      <c r="AT192" s="213"/>
      <c r="AU192" s="213"/>
    </row>
    <row r="193" spans="1:47" s="121" customFormat="1" hidden="1">
      <c r="AN193" s="239"/>
      <c r="AO193" s="225"/>
      <c r="AP193" s="287"/>
      <c r="AQ193" s="258"/>
      <c r="AR193" s="258"/>
      <c r="AS193" s="202"/>
      <c r="AT193" s="213"/>
      <c r="AU193" s="213"/>
    </row>
    <row r="194" spans="1:47" s="121" customFormat="1" hidden="1">
      <c r="AN194" s="239"/>
      <c r="AO194" s="225"/>
      <c r="AP194" s="287"/>
      <c r="AQ194" s="258"/>
      <c r="AR194" s="258"/>
      <c r="AS194" s="202"/>
      <c r="AT194" s="213"/>
      <c r="AU194" s="213"/>
    </row>
    <row r="195" spans="1:47" s="121" customFormat="1" hidden="1">
      <c r="AN195" s="239"/>
      <c r="AO195" s="225"/>
      <c r="AP195" s="287"/>
      <c r="AQ195" s="258"/>
      <c r="AR195" s="258"/>
      <c r="AS195" s="202"/>
      <c r="AT195" s="213"/>
      <c r="AU195" s="213"/>
    </row>
    <row r="196" spans="1:47" hidden="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239"/>
      <c r="AO196" s="225"/>
      <c r="AP196" s="287"/>
      <c r="AQ196" s="258"/>
      <c r="AR196" s="258"/>
      <c r="AS196" s="202"/>
      <c r="AT196" s="48"/>
      <c r="AU196" s="48"/>
    </row>
    <row r="197" spans="1:47" s="121" customFormat="1" hidden="1">
      <c r="AN197" s="239"/>
      <c r="AO197" s="225"/>
      <c r="AP197" s="287"/>
      <c r="AQ197" s="258"/>
      <c r="AR197" s="258"/>
      <c r="AS197" s="202"/>
      <c r="AT197" s="213"/>
      <c r="AU197" s="213"/>
    </row>
    <row r="198" spans="1:47" s="121" customFormat="1" hidden="1" collapsed="1">
      <c r="AN198" s="239"/>
      <c r="AO198" s="225"/>
      <c r="AP198" s="287"/>
      <c r="AQ198" s="258"/>
      <c r="AR198" s="258"/>
      <c r="AS198" s="202"/>
      <c r="AT198" s="213"/>
      <c r="AU198" s="213"/>
    </row>
    <row r="199" spans="1:47" s="121" customFormat="1" hidden="1">
      <c r="AN199" s="239"/>
      <c r="AO199" s="225"/>
      <c r="AP199" s="287"/>
      <c r="AQ199" s="258"/>
      <c r="AR199" s="258"/>
      <c r="AS199" s="202"/>
      <c r="AT199" s="213"/>
      <c r="AU199" s="213"/>
    </row>
    <row r="200" spans="1:47" s="121" customFormat="1" hidden="1">
      <c r="AN200" s="239"/>
      <c r="AO200" s="225"/>
      <c r="AP200" s="287"/>
      <c r="AQ200" s="258"/>
      <c r="AR200" s="258"/>
      <c r="AS200" s="202"/>
      <c r="AT200" s="213"/>
      <c r="AU200" s="213"/>
    </row>
    <row r="201" spans="1:47" hidden="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239"/>
      <c r="AO201" s="225"/>
      <c r="AP201" s="287"/>
      <c r="AQ201" s="258"/>
      <c r="AR201" s="258"/>
      <c r="AS201" s="202"/>
      <c r="AT201" s="48"/>
      <c r="AU201" s="48"/>
    </row>
    <row r="202" spans="1:47" s="121" customFormat="1" hidden="1" collapsed="1">
      <c r="AN202" s="239"/>
      <c r="AO202" s="225"/>
      <c r="AP202" s="287"/>
      <c r="AQ202" s="258"/>
      <c r="AR202" s="258"/>
      <c r="AS202" s="202"/>
      <c r="AT202" s="213"/>
      <c r="AU202" s="213"/>
    </row>
    <row r="203" spans="1:47" s="121" customFormat="1" hidden="1">
      <c r="AN203" s="239"/>
      <c r="AO203" s="225"/>
      <c r="AP203" s="287"/>
      <c r="AQ203" s="258"/>
      <c r="AR203" s="258"/>
      <c r="AS203" s="202"/>
      <c r="AT203" s="213"/>
      <c r="AU203" s="213"/>
    </row>
    <row r="204" spans="1:47" s="121" customFormat="1" hidden="1">
      <c r="AN204" s="239"/>
      <c r="AO204" s="225"/>
      <c r="AP204" s="287"/>
      <c r="AQ204" s="258"/>
      <c r="AR204" s="258"/>
      <c r="AS204" s="202"/>
      <c r="AT204" s="213"/>
      <c r="AU204" s="213"/>
    </row>
    <row r="205" spans="1:47" s="121" customFormat="1" hidden="1">
      <c r="AN205" s="239"/>
      <c r="AO205" s="225"/>
      <c r="AP205" s="287"/>
      <c r="AQ205" s="258"/>
      <c r="AR205" s="258"/>
      <c r="AS205" s="202"/>
      <c r="AT205" s="213"/>
      <c r="AU205" s="213"/>
    </row>
    <row r="206" spans="1:47" hidden="1" collapsed="1">
      <c r="A206" s="51"/>
      <c r="B206" s="51"/>
      <c r="C206" s="51"/>
      <c r="D206" s="51"/>
      <c r="E206" s="51"/>
      <c r="F206" s="51"/>
      <c r="G206" s="51"/>
      <c r="H206" s="51"/>
      <c r="I206" s="5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239"/>
      <c r="AO206" s="225"/>
      <c r="AP206" s="287"/>
      <c r="AQ206" s="258"/>
      <c r="AR206" s="258"/>
      <c r="AS206" s="202"/>
      <c r="AT206" s="48"/>
      <c r="AU206" s="48"/>
    </row>
    <row r="207" spans="1:47" hidden="1">
      <c r="A207" s="51"/>
      <c r="B207" s="51"/>
      <c r="C207" s="51"/>
      <c r="D207" s="51"/>
      <c r="E207" s="51"/>
      <c r="F207" s="51"/>
      <c r="G207" s="51"/>
      <c r="H207" s="51"/>
      <c r="I207" s="5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239"/>
      <c r="AO207" s="225"/>
      <c r="AP207" s="287"/>
      <c r="AQ207" s="258"/>
      <c r="AR207" s="258"/>
      <c r="AS207" s="202"/>
      <c r="AT207" s="48"/>
      <c r="AU207" s="48"/>
    </row>
    <row r="208" spans="1:47" hidden="1">
      <c r="A208" s="51"/>
      <c r="B208" s="51"/>
      <c r="C208" s="51"/>
      <c r="D208" s="51"/>
      <c r="E208" s="51"/>
      <c r="F208" s="51"/>
      <c r="G208" s="51"/>
      <c r="H208" s="51"/>
      <c r="I208" s="5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239"/>
      <c r="AO208" s="225"/>
      <c r="AP208" s="287"/>
      <c r="AQ208" s="258"/>
      <c r="AR208" s="258"/>
      <c r="AS208" s="202"/>
      <c r="AT208" s="48"/>
      <c r="AU208" s="48"/>
    </row>
    <row r="209" spans="40:47" s="121" customFormat="1" hidden="1">
      <c r="AN209" s="239"/>
      <c r="AO209" s="225"/>
      <c r="AP209" s="287"/>
      <c r="AQ209" s="258"/>
      <c r="AR209" s="258"/>
      <c r="AS209" s="202"/>
      <c r="AT209" s="213"/>
      <c r="AU209" s="213"/>
    </row>
    <row r="210" spans="40:47" s="121" customFormat="1" hidden="1">
      <c r="AN210" s="239"/>
      <c r="AO210" s="225"/>
      <c r="AP210" s="287"/>
      <c r="AQ210" s="258"/>
      <c r="AR210" s="258"/>
      <c r="AS210" s="202"/>
      <c r="AT210" s="213"/>
      <c r="AU210" s="213"/>
    </row>
    <row r="211" spans="40:47" s="121" customFormat="1" hidden="1">
      <c r="AN211" s="239"/>
      <c r="AO211" s="225"/>
      <c r="AP211" s="287"/>
      <c r="AQ211" s="258"/>
      <c r="AR211" s="258"/>
      <c r="AS211" s="202"/>
      <c r="AT211" s="213"/>
      <c r="AU211" s="213"/>
    </row>
    <row r="212" spans="40:47" s="121" customFormat="1" hidden="1">
      <c r="AN212" s="239"/>
      <c r="AO212" s="225"/>
      <c r="AP212" s="287"/>
      <c r="AQ212" s="258"/>
      <c r="AR212" s="258"/>
      <c r="AS212" s="202"/>
      <c r="AT212" s="213"/>
      <c r="AU212" s="213"/>
    </row>
    <row r="213" spans="40:47" s="121" customFormat="1" hidden="1">
      <c r="AN213" s="239"/>
      <c r="AO213" s="225"/>
      <c r="AP213" s="287"/>
      <c r="AQ213" s="258"/>
      <c r="AR213" s="258"/>
      <c r="AS213" s="202"/>
      <c r="AT213" s="213"/>
      <c r="AU213" s="213"/>
    </row>
    <row r="214" spans="40:47" s="121" customFormat="1" hidden="1">
      <c r="AN214" s="239"/>
      <c r="AO214" s="225"/>
      <c r="AP214" s="287"/>
      <c r="AQ214" s="258"/>
      <c r="AR214" s="258"/>
      <c r="AS214" s="202"/>
      <c r="AT214" s="213"/>
      <c r="AU214" s="213"/>
    </row>
    <row r="215" spans="40:47" s="121" customFormat="1" hidden="1">
      <c r="AN215" s="239"/>
      <c r="AO215" s="225"/>
      <c r="AP215" s="287"/>
      <c r="AQ215" s="258"/>
      <c r="AR215" s="258"/>
      <c r="AS215" s="202"/>
      <c r="AT215" s="213"/>
      <c r="AU215" s="213"/>
    </row>
    <row r="216" spans="40:47" s="121" customFormat="1" hidden="1">
      <c r="AN216" s="239"/>
      <c r="AO216" s="225"/>
      <c r="AP216" s="287"/>
      <c r="AQ216" s="258"/>
      <c r="AR216" s="258"/>
      <c r="AS216" s="202"/>
      <c r="AT216" s="213"/>
      <c r="AU216" s="213"/>
    </row>
    <row r="217" spans="40:47" s="121" customFormat="1" hidden="1">
      <c r="AN217" s="239"/>
      <c r="AO217" s="225"/>
      <c r="AP217" s="287"/>
      <c r="AQ217" s="258"/>
      <c r="AR217" s="258"/>
      <c r="AS217" s="202"/>
      <c r="AT217" s="213"/>
      <c r="AU217" s="213"/>
    </row>
    <row r="218" spans="40:47" s="121" customFormat="1" hidden="1">
      <c r="AN218" s="239"/>
      <c r="AO218" s="225"/>
      <c r="AP218" s="287"/>
      <c r="AQ218" s="258"/>
      <c r="AR218" s="258"/>
      <c r="AS218" s="202"/>
      <c r="AT218" s="213"/>
      <c r="AU218" s="213"/>
    </row>
    <row r="219" spans="40:47" s="121" customFormat="1" hidden="1">
      <c r="AN219" s="239"/>
      <c r="AO219" s="225"/>
      <c r="AP219" s="287"/>
      <c r="AQ219" s="258"/>
      <c r="AR219" s="258"/>
      <c r="AS219" s="202"/>
      <c r="AT219" s="213"/>
      <c r="AU219" s="213"/>
    </row>
    <row r="220" spans="40:47" s="121" customFormat="1" hidden="1">
      <c r="AN220" s="239"/>
      <c r="AO220" s="225"/>
      <c r="AP220" s="287"/>
      <c r="AQ220" s="258"/>
      <c r="AR220" s="258"/>
      <c r="AS220" s="202"/>
      <c r="AT220" s="213"/>
      <c r="AU220" s="213"/>
    </row>
    <row r="221" spans="40:47" s="121" customFormat="1" hidden="1">
      <c r="AN221" s="239"/>
      <c r="AO221" s="225"/>
      <c r="AP221" s="287"/>
      <c r="AQ221" s="258"/>
      <c r="AR221" s="258"/>
      <c r="AS221" s="202"/>
      <c r="AT221" s="213"/>
      <c r="AU221" s="213"/>
    </row>
    <row r="222" spans="40:47" s="121" customFormat="1" hidden="1">
      <c r="AN222" s="239"/>
      <c r="AO222" s="225"/>
      <c r="AP222" s="287"/>
      <c r="AQ222" s="258"/>
      <c r="AR222" s="258"/>
      <c r="AS222" s="202"/>
      <c r="AT222" s="213"/>
      <c r="AU222" s="213"/>
    </row>
    <row r="223" spans="40:47" s="121" customFormat="1" hidden="1">
      <c r="AN223" s="239"/>
      <c r="AO223" s="225"/>
      <c r="AP223" s="287"/>
      <c r="AQ223" s="258"/>
      <c r="AR223" s="258"/>
      <c r="AS223" s="202"/>
      <c r="AT223" s="213"/>
      <c r="AU223" s="213"/>
    </row>
    <row r="224" spans="40:47" s="121" customFormat="1" hidden="1">
      <c r="AN224" s="239"/>
      <c r="AO224" s="225"/>
      <c r="AP224" s="287"/>
      <c r="AQ224" s="258"/>
      <c r="AR224" s="258"/>
      <c r="AS224" s="202"/>
      <c r="AT224" s="213"/>
      <c r="AU224" s="213"/>
    </row>
    <row r="225" spans="40:47" s="121" customFormat="1" hidden="1">
      <c r="AN225" s="239"/>
      <c r="AO225" s="225"/>
      <c r="AP225" s="287"/>
      <c r="AQ225" s="258"/>
      <c r="AR225" s="258"/>
      <c r="AS225" s="202"/>
      <c r="AT225" s="213"/>
      <c r="AU225" s="213"/>
    </row>
    <row r="226" spans="40:47" s="121" customFormat="1" hidden="1">
      <c r="AN226" s="239"/>
      <c r="AO226" s="225"/>
      <c r="AP226" s="287"/>
      <c r="AQ226" s="258"/>
      <c r="AR226" s="258"/>
      <c r="AS226" s="202"/>
      <c r="AT226" s="213"/>
      <c r="AU226" s="213"/>
    </row>
    <row r="227" spans="40:47" s="121" customFormat="1" hidden="1">
      <c r="AN227" s="239"/>
      <c r="AO227" s="225"/>
      <c r="AP227" s="260"/>
      <c r="AQ227" s="258"/>
      <c r="AR227" s="258"/>
      <c r="AS227" s="202"/>
      <c r="AT227" s="213"/>
      <c r="AU227" s="213"/>
    </row>
    <row r="228" spans="40:47" s="121" customFormat="1" hidden="1">
      <c r="AN228" s="239"/>
      <c r="AO228" s="225"/>
      <c r="AP228" s="260"/>
      <c r="AQ228" s="258"/>
      <c r="AR228" s="258"/>
      <c r="AS228" s="202"/>
      <c r="AT228" s="213"/>
      <c r="AU228" s="213"/>
    </row>
    <row r="229" spans="40:47" s="121" customFormat="1" hidden="1">
      <c r="AN229" s="239"/>
      <c r="AO229" s="225"/>
      <c r="AP229" s="260"/>
      <c r="AQ229" s="258"/>
      <c r="AR229" s="258"/>
      <c r="AS229" s="202"/>
      <c r="AT229" s="213"/>
      <c r="AU229" s="213"/>
    </row>
    <row r="230" spans="40:47" s="121" customFormat="1" hidden="1">
      <c r="AN230" s="239"/>
      <c r="AO230" s="225"/>
      <c r="AP230" s="260"/>
      <c r="AQ230" s="258"/>
      <c r="AR230" s="258"/>
      <c r="AS230" s="202"/>
      <c r="AT230" s="213"/>
      <c r="AU230" s="213"/>
    </row>
    <row r="231" spans="40:47" s="121" customFormat="1" hidden="1">
      <c r="AN231" s="239"/>
      <c r="AO231" s="225"/>
      <c r="AP231" s="260"/>
      <c r="AQ231" s="258"/>
      <c r="AR231" s="258"/>
      <c r="AS231" s="202"/>
      <c r="AT231" s="213"/>
      <c r="AU231" s="213"/>
    </row>
    <row r="232" spans="40:47" s="121" customFormat="1" hidden="1">
      <c r="AN232" s="239"/>
      <c r="AO232" s="225"/>
      <c r="AP232" s="260"/>
      <c r="AQ232" s="258"/>
      <c r="AR232" s="258"/>
      <c r="AS232" s="202"/>
      <c r="AT232" s="213"/>
      <c r="AU232" s="213"/>
    </row>
    <row r="233" spans="40:47" s="121" customFormat="1" hidden="1">
      <c r="AN233" s="239"/>
      <c r="AO233" s="225"/>
      <c r="AP233" s="260"/>
      <c r="AQ233" s="258"/>
      <c r="AR233" s="258"/>
      <c r="AS233" s="202"/>
      <c r="AT233" s="213"/>
      <c r="AU233" s="213"/>
    </row>
    <row r="234" spans="40:47" s="121" customFormat="1" hidden="1">
      <c r="AN234" s="239"/>
      <c r="AO234" s="225"/>
      <c r="AP234" s="260"/>
      <c r="AQ234" s="258"/>
      <c r="AR234" s="258"/>
      <c r="AS234" s="202"/>
      <c r="AT234" s="213"/>
      <c r="AU234" s="213"/>
    </row>
    <row r="235" spans="40:47" s="121" customFormat="1" hidden="1">
      <c r="AN235" s="239"/>
      <c r="AO235" s="225"/>
      <c r="AP235" s="260"/>
      <c r="AQ235" s="258"/>
      <c r="AR235" s="258"/>
      <c r="AS235" s="202"/>
      <c r="AT235" s="213"/>
      <c r="AU235" s="213"/>
    </row>
    <row r="236" spans="40:47" s="121" customFormat="1" hidden="1">
      <c r="AN236" s="239"/>
      <c r="AO236" s="225"/>
      <c r="AP236" s="260"/>
      <c r="AQ236" s="258"/>
      <c r="AR236" s="258"/>
      <c r="AS236" s="202"/>
      <c r="AT236" s="213"/>
      <c r="AU236" s="213"/>
    </row>
    <row r="237" spans="40:47" s="121" customFormat="1" hidden="1">
      <c r="AN237" s="239"/>
      <c r="AO237" s="225"/>
      <c r="AP237" s="260"/>
      <c r="AQ237" s="258"/>
      <c r="AR237" s="258"/>
      <c r="AS237" s="202"/>
      <c r="AT237" s="213"/>
      <c r="AU237" s="213"/>
    </row>
    <row r="238" spans="40:47" s="121" customFormat="1" hidden="1">
      <c r="AN238" s="239"/>
      <c r="AO238" s="225"/>
      <c r="AP238" s="260"/>
      <c r="AQ238" s="258"/>
      <c r="AR238" s="258"/>
      <c r="AS238" s="202"/>
      <c r="AT238" s="213"/>
      <c r="AU238" s="213"/>
    </row>
    <row r="239" spans="40:47" s="121" customFormat="1" hidden="1">
      <c r="AN239" s="239"/>
      <c r="AO239" s="225"/>
      <c r="AP239" s="260"/>
      <c r="AQ239" s="258"/>
      <c r="AR239" s="258"/>
      <c r="AS239" s="202"/>
      <c r="AT239" s="213"/>
      <c r="AU239" s="213"/>
    </row>
    <row r="240" spans="40:47" s="121" customFormat="1" hidden="1">
      <c r="AN240" s="239"/>
      <c r="AO240" s="225"/>
      <c r="AP240" s="260"/>
      <c r="AQ240" s="258"/>
      <c r="AR240" s="258"/>
      <c r="AS240" s="202"/>
      <c r="AT240" s="213"/>
      <c r="AU240" s="213"/>
    </row>
    <row r="241" spans="40:47" s="121" customFormat="1" hidden="1">
      <c r="AN241" s="239"/>
      <c r="AO241" s="225"/>
      <c r="AP241" s="260"/>
      <c r="AQ241" s="258"/>
      <c r="AR241" s="258"/>
      <c r="AS241" s="202"/>
      <c r="AT241" s="213"/>
      <c r="AU241" s="213"/>
    </row>
    <row r="242" spans="40:47" s="121" customFormat="1" hidden="1">
      <c r="AN242" s="239"/>
      <c r="AO242" s="225"/>
      <c r="AP242" s="260"/>
      <c r="AQ242" s="258"/>
      <c r="AR242" s="258"/>
      <c r="AS242" s="202"/>
      <c r="AT242" s="213"/>
      <c r="AU242" s="213"/>
    </row>
    <row r="243" spans="40:47" s="121" customFormat="1" hidden="1">
      <c r="AN243" s="239"/>
      <c r="AO243" s="225"/>
      <c r="AP243" s="260"/>
      <c r="AQ243" s="258"/>
      <c r="AR243" s="258"/>
      <c r="AS243" s="202"/>
      <c r="AT243" s="213"/>
      <c r="AU243" s="213"/>
    </row>
    <row r="244" spans="40:47" s="121" customFormat="1" hidden="1">
      <c r="AN244" s="239"/>
      <c r="AO244" s="225"/>
      <c r="AP244" s="260"/>
      <c r="AQ244" s="258"/>
      <c r="AR244" s="258"/>
      <c r="AS244" s="202"/>
      <c r="AT244" s="213"/>
      <c r="AU244" s="213"/>
    </row>
    <row r="245" spans="40:47" s="121" customFormat="1" hidden="1">
      <c r="AN245" s="239"/>
      <c r="AO245" s="225"/>
      <c r="AP245" s="260"/>
      <c r="AQ245" s="258"/>
      <c r="AR245" s="258"/>
      <c r="AS245" s="202"/>
      <c r="AT245" s="213"/>
      <c r="AU245" s="213"/>
    </row>
    <row r="246" spans="40:47" s="121" customFormat="1" hidden="1">
      <c r="AN246" s="239"/>
      <c r="AO246" s="225"/>
      <c r="AP246" s="260"/>
      <c r="AQ246" s="258"/>
      <c r="AR246" s="258"/>
      <c r="AS246" s="202"/>
      <c r="AT246" s="213"/>
      <c r="AU246" s="213"/>
    </row>
    <row r="247" spans="40:47" s="121" customFormat="1" hidden="1">
      <c r="AN247" s="239"/>
      <c r="AO247" s="225"/>
      <c r="AP247" s="260"/>
      <c r="AQ247" s="258"/>
      <c r="AR247" s="258"/>
      <c r="AS247" s="202"/>
      <c r="AT247" s="213"/>
      <c r="AU247" s="213"/>
    </row>
    <row r="248" spans="40:47" s="121" customFormat="1" hidden="1">
      <c r="AN248" s="239"/>
      <c r="AO248" s="225"/>
      <c r="AP248" s="260"/>
      <c r="AQ248" s="258"/>
      <c r="AR248" s="258"/>
      <c r="AS248" s="202"/>
      <c r="AT248" s="213"/>
      <c r="AU248" s="213"/>
    </row>
    <row r="249" spans="40:47" s="121" customFormat="1" hidden="1">
      <c r="AN249" s="239"/>
      <c r="AO249" s="225"/>
      <c r="AP249" s="260"/>
      <c r="AQ249" s="258"/>
      <c r="AR249" s="258"/>
      <c r="AS249" s="202"/>
      <c r="AT249" s="213"/>
      <c r="AU249" s="213"/>
    </row>
    <row r="250" spans="40:47" s="121" customFormat="1" hidden="1">
      <c r="AN250" s="239"/>
      <c r="AO250" s="225"/>
      <c r="AP250" s="260"/>
      <c r="AQ250" s="258"/>
      <c r="AR250" s="258"/>
      <c r="AS250" s="202"/>
      <c r="AT250" s="213"/>
      <c r="AU250" s="213"/>
    </row>
    <row r="251" spans="40:47" s="121" customFormat="1" hidden="1">
      <c r="AN251" s="239"/>
      <c r="AO251" s="225"/>
      <c r="AP251" s="260"/>
      <c r="AQ251" s="258"/>
      <c r="AR251" s="258"/>
      <c r="AS251" s="202"/>
      <c r="AT251" s="213"/>
      <c r="AU251" s="213"/>
    </row>
    <row r="252" spans="40:47" s="121" customFormat="1" hidden="1">
      <c r="AN252" s="239"/>
      <c r="AO252" s="225"/>
      <c r="AP252" s="260"/>
      <c r="AQ252" s="258"/>
      <c r="AR252" s="258"/>
      <c r="AS252" s="202"/>
      <c r="AT252" s="213"/>
      <c r="AU252" s="213"/>
    </row>
    <row r="253" spans="40:47" s="121" customFormat="1" hidden="1">
      <c r="AN253" s="239"/>
      <c r="AO253" s="225"/>
      <c r="AP253" s="260"/>
      <c r="AQ253" s="258"/>
      <c r="AR253" s="258"/>
      <c r="AS253" s="202"/>
      <c r="AT253" s="213"/>
      <c r="AU253" s="213"/>
    </row>
    <row r="254" spans="40:47" s="121" customFormat="1" hidden="1">
      <c r="AN254" s="239"/>
      <c r="AO254" s="225"/>
      <c r="AP254" s="260"/>
      <c r="AQ254" s="258"/>
      <c r="AR254" s="258"/>
      <c r="AS254" s="202"/>
      <c r="AT254" s="213"/>
      <c r="AU254" s="213"/>
    </row>
    <row r="255" spans="40:47" s="121" customFormat="1" hidden="1">
      <c r="AN255" s="239"/>
      <c r="AO255" s="225"/>
      <c r="AP255" s="260"/>
      <c r="AQ255" s="258"/>
      <c r="AR255" s="258"/>
      <c r="AS255" s="202"/>
      <c r="AT255" s="213"/>
      <c r="AU255" s="213"/>
    </row>
    <row r="256" spans="40:47" s="121" customFormat="1" hidden="1">
      <c r="AN256" s="239"/>
      <c r="AO256" s="225"/>
      <c r="AP256" s="260"/>
      <c r="AQ256" s="258"/>
      <c r="AR256" s="258"/>
      <c r="AS256" s="202"/>
      <c r="AT256" s="213"/>
      <c r="AU256" s="213"/>
    </row>
    <row r="257" spans="40:47" s="121" customFormat="1" hidden="1">
      <c r="AN257" s="239"/>
      <c r="AO257" s="225"/>
      <c r="AP257" s="260"/>
      <c r="AQ257" s="258"/>
      <c r="AR257" s="258"/>
      <c r="AS257" s="202"/>
      <c r="AT257" s="213"/>
      <c r="AU257" s="213"/>
    </row>
    <row r="258" spans="40:47" s="121" customFormat="1" hidden="1">
      <c r="AN258" s="239"/>
      <c r="AO258" s="225"/>
      <c r="AP258" s="260"/>
      <c r="AQ258" s="258"/>
      <c r="AR258" s="258"/>
      <c r="AS258" s="202"/>
      <c r="AT258" s="213"/>
      <c r="AU258" s="213"/>
    </row>
    <row r="259" spans="40:47" s="121" customFormat="1" hidden="1">
      <c r="AN259" s="239"/>
      <c r="AO259" s="225"/>
      <c r="AP259" s="260"/>
      <c r="AQ259" s="258"/>
      <c r="AR259" s="258"/>
      <c r="AS259" s="202"/>
      <c r="AT259" s="213"/>
      <c r="AU259" s="213"/>
    </row>
    <row r="260" spans="40:47" s="121" customFormat="1" hidden="1">
      <c r="AN260" s="239"/>
      <c r="AO260" s="225"/>
      <c r="AP260" s="260"/>
      <c r="AQ260" s="258"/>
      <c r="AR260" s="258"/>
      <c r="AS260" s="202"/>
      <c r="AT260" s="213"/>
      <c r="AU260" s="213"/>
    </row>
    <row r="261" spans="40:47" s="121" customFormat="1" hidden="1">
      <c r="AN261" s="239"/>
      <c r="AO261" s="225"/>
      <c r="AP261" s="260"/>
      <c r="AQ261" s="258"/>
      <c r="AR261" s="258"/>
      <c r="AS261" s="202"/>
      <c r="AT261" s="213"/>
      <c r="AU261" s="213"/>
    </row>
    <row r="262" spans="40:47" s="121" customFormat="1" hidden="1">
      <c r="AN262" s="239"/>
      <c r="AO262" s="225"/>
      <c r="AP262" s="260"/>
      <c r="AQ262" s="258"/>
      <c r="AR262" s="258"/>
      <c r="AS262" s="202"/>
      <c r="AT262" s="213"/>
      <c r="AU262" s="213"/>
    </row>
    <row r="263" spans="40:47" s="121" customFormat="1" hidden="1">
      <c r="AN263" s="239"/>
      <c r="AO263" s="225"/>
      <c r="AP263" s="260"/>
      <c r="AQ263" s="258"/>
      <c r="AR263" s="258"/>
      <c r="AS263" s="202"/>
      <c r="AT263" s="213"/>
      <c r="AU263" s="213"/>
    </row>
    <row r="264" spans="40:47" s="121" customFormat="1" hidden="1">
      <c r="AN264" s="239"/>
      <c r="AO264" s="225"/>
      <c r="AP264" s="260"/>
      <c r="AQ264" s="258"/>
      <c r="AR264" s="258"/>
      <c r="AS264" s="202"/>
      <c r="AT264" s="213"/>
      <c r="AU264" s="213"/>
    </row>
    <row r="265" spans="40:47" s="121" customFormat="1" hidden="1">
      <c r="AN265" s="239"/>
      <c r="AO265" s="225"/>
      <c r="AP265" s="260"/>
      <c r="AQ265" s="258"/>
      <c r="AR265" s="258"/>
      <c r="AS265" s="202"/>
      <c r="AT265" s="213"/>
      <c r="AU265" s="213"/>
    </row>
    <row r="266" spans="40:47" s="121" customFormat="1" hidden="1">
      <c r="AN266" s="239"/>
      <c r="AO266" s="225"/>
      <c r="AP266" s="260"/>
      <c r="AQ266" s="258"/>
      <c r="AR266" s="258"/>
      <c r="AS266" s="202"/>
      <c r="AT266" s="213"/>
      <c r="AU266" s="213"/>
    </row>
    <row r="267" spans="40:47" s="121" customFormat="1" hidden="1">
      <c r="AN267" s="239"/>
      <c r="AO267" s="225"/>
      <c r="AP267" s="260"/>
      <c r="AQ267" s="258"/>
      <c r="AR267" s="258"/>
      <c r="AS267" s="202"/>
      <c r="AT267" s="213"/>
      <c r="AU267" s="213"/>
    </row>
    <row r="268" spans="40:47" s="121" customFormat="1" hidden="1">
      <c r="AN268" s="239"/>
      <c r="AO268" s="225"/>
      <c r="AP268" s="260"/>
      <c r="AQ268" s="258"/>
      <c r="AR268" s="258"/>
      <c r="AS268" s="202"/>
      <c r="AT268" s="213"/>
      <c r="AU268" s="213"/>
    </row>
    <row r="269" spans="40:47" s="121" customFormat="1" hidden="1">
      <c r="AN269" s="239"/>
      <c r="AO269" s="225"/>
      <c r="AP269" s="260"/>
      <c r="AQ269" s="258"/>
      <c r="AR269" s="258"/>
      <c r="AS269" s="202"/>
      <c r="AT269" s="213"/>
      <c r="AU269" s="213"/>
    </row>
    <row r="270" spans="40:47" s="121" customFormat="1" hidden="1">
      <c r="AN270" s="239"/>
      <c r="AO270" s="225"/>
      <c r="AP270" s="260"/>
      <c r="AQ270" s="258"/>
      <c r="AR270" s="258"/>
      <c r="AS270" s="202"/>
      <c r="AT270" s="213"/>
      <c r="AU270" s="213"/>
    </row>
    <row r="271" spans="40:47" s="121" customFormat="1" hidden="1">
      <c r="AN271" s="239"/>
      <c r="AO271" s="225"/>
      <c r="AP271" s="260"/>
      <c r="AQ271" s="258"/>
      <c r="AR271" s="258"/>
      <c r="AS271" s="202"/>
      <c r="AT271" s="213"/>
      <c r="AU271" s="213"/>
    </row>
    <row r="272" spans="40:47" s="121" customFormat="1" hidden="1">
      <c r="AN272" s="239"/>
      <c r="AO272" s="225"/>
      <c r="AP272" s="260"/>
      <c r="AQ272" s="258"/>
      <c r="AR272" s="258"/>
      <c r="AS272" s="202"/>
      <c r="AT272" s="213"/>
      <c r="AU272" s="213"/>
    </row>
    <row r="273" spans="40:47" s="121" customFormat="1" hidden="1">
      <c r="AN273" s="239"/>
      <c r="AO273" s="225"/>
      <c r="AP273" s="260"/>
      <c r="AQ273" s="258"/>
      <c r="AR273" s="258"/>
      <c r="AS273" s="202"/>
      <c r="AT273" s="213"/>
      <c r="AU273" s="213"/>
    </row>
    <row r="274" spans="40:47" s="121" customFormat="1" hidden="1">
      <c r="AN274" s="239"/>
      <c r="AO274" s="225"/>
      <c r="AP274" s="260"/>
      <c r="AQ274" s="258"/>
      <c r="AR274" s="258"/>
      <c r="AS274" s="202"/>
      <c r="AT274" s="213"/>
      <c r="AU274" s="213"/>
    </row>
    <row r="275" spans="40:47" s="121" customFormat="1" hidden="1">
      <c r="AN275" s="239"/>
      <c r="AO275" s="225"/>
      <c r="AP275" s="260"/>
      <c r="AQ275" s="258"/>
      <c r="AR275" s="258"/>
      <c r="AS275" s="202"/>
      <c r="AT275" s="213"/>
      <c r="AU275" s="213"/>
    </row>
    <row r="276" spans="40:47" s="121" customFormat="1" hidden="1">
      <c r="AN276" s="239"/>
      <c r="AO276" s="225"/>
      <c r="AP276" s="260"/>
      <c r="AQ276" s="258"/>
      <c r="AR276" s="258"/>
      <c r="AS276" s="202"/>
      <c r="AT276" s="213"/>
      <c r="AU276" s="213"/>
    </row>
    <row r="277" spans="40:47" s="121" customFormat="1" hidden="1">
      <c r="AN277" s="239"/>
      <c r="AO277" s="225"/>
      <c r="AP277" s="260"/>
      <c r="AQ277" s="258"/>
      <c r="AR277" s="258"/>
      <c r="AS277" s="202"/>
      <c r="AT277" s="213"/>
      <c r="AU277" s="213"/>
    </row>
    <row r="278" spans="40:47" s="121" customFormat="1" hidden="1">
      <c r="AN278" s="239"/>
      <c r="AO278" s="225"/>
      <c r="AP278" s="260"/>
      <c r="AQ278" s="258"/>
      <c r="AR278" s="258"/>
      <c r="AS278" s="202"/>
      <c r="AT278" s="213"/>
      <c r="AU278" s="213"/>
    </row>
    <row r="279" spans="40:47" s="121" customFormat="1" hidden="1">
      <c r="AN279" s="239"/>
      <c r="AO279" s="225"/>
      <c r="AP279" s="260"/>
      <c r="AQ279" s="258"/>
      <c r="AR279" s="258"/>
      <c r="AS279" s="202"/>
      <c r="AT279" s="213"/>
      <c r="AU279" s="213"/>
    </row>
    <row r="280" spans="40:47" s="121" customFormat="1" hidden="1">
      <c r="AN280" s="239"/>
      <c r="AO280" s="225"/>
      <c r="AP280" s="260"/>
      <c r="AQ280" s="258"/>
      <c r="AR280" s="258"/>
      <c r="AS280" s="202"/>
      <c r="AT280" s="213"/>
      <c r="AU280" s="213"/>
    </row>
    <row r="281" spans="40:47" s="121" customFormat="1" hidden="1">
      <c r="AN281" s="239"/>
      <c r="AO281" s="225"/>
      <c r="AP281" s="260"/>
      <c r="AQ281" s="258"/>
      <c r="AR281" s="258"/>
      <c r="AS281" s="202"/>
      <c r="AT281" s="213"/>
      <c r="AU281" s="213"/>
    </row>
    <row r="282" spans="40:47" s="121" customFormat="1" hidden="1">
      <c r="AN282" s="239"/>
      <c r="AO282" s="225"/>
      <c r="AP282" s="260"/>
      <c r="AQ282" s="258"/>
      <c r="AR282" s="258"/>
      <c r="AS282" s="202"/>
      <c r="AT282" s="213"/>
      <c r="AU282" s="213"/>
    </row>
    <row r="283" spans="40:47" s="121" customFormat="1" hidden="1">
      <c r="AN283" s="239"/>
      <c r="AO283" s="225"/>
      <c r="AP283" s="260"/>
      <c r="AQ283" s="258"/>
      <c r="AR283" s="258"/>
      <c r="AS283" s="202"/>
      <c r="AT283" s="213"/>
      <c r="AU283" s="213"/>
    </row>
    <row r="284" spans="40:47" s="121" customFormat="1" hidden="1">
      <c r="AN284" s="239"/>
      <c r="AO284" s="225"/>
      <c r="AP284" s="260"/>
      <c r="AQ284" s="258"/>
      <c r="AR284" s="258"/>
      <c r="AS284" s="202"/>
      <c r="AT284" s="213"/>
      <c r="AU284" s="213"/>
    </row>
    <row r="285" spans="40:47" s="121" customFormat="1" hidden="1">
      <c r="AN285" s="239"/>
      <c r="AO285" s="225"/>
      <c r="AP285" s="260"/>
      <c r="AQ285" s="258"/>
      <c r="AR285" s="258"/>
      <c r="AS285" s="202"/>
      <c r="AT285" s="213"/>
      <c r="AU285" s="213"/>
    </row>
    <row r="286" spans="40:47" s="121" customFormat="1" hidden="1">
      <c r="AN286" s="239"/>
      <c r="AO286" s="225"/>
      <c r="AP286" s="260"/>
      <c r="AQ286" s="258"/>
      <c r="AR286" s="258"/>
      <c r="AS286" s="202"/>
      <c r="AT286" s="213"/>
      <c r="AU286" s="213"/>
    </row>
    <row r="287" spans="40:47" s="121" customFormat="1" hidden="1">
      <c r="AN287" s="239"/>
      <c r="AO287" s="225"/>
      <c r="AP287" s="260"/>
      <c r="AQ287" s="258"/>
      <c r="AR287" s="258"/>
      <c r="AS287" s="202"/>
      <c r="AT287" s="213"/>
      <c r="AU287" s="213"/>
    </row>
    <row r="288" spans="40:47" s="121" customFormat="1" hidden="1">
      <c r="AN288" s="239"/>
      <c r="AO288" s="225"/>
      <c r="AP288" s="260"/>
      <c r="AQ288" s="258"/>
      <c r="AR288" s="258"/>
      <c r="AS288" s="202"/>
      <c r="AT288" s="213"/>
      <c r="AU288" s="213"/>
    </row>
    <row r="289" spans="40:47" s="121" customFormat="1" hidden="1">
      <c r="AN289" s="239"/>
      <c r="AO289" s="225"/>
      <c r="AP289" s="260"/>
      <c r="AQ289" s="258"/>
      <c r="AR289" s="258"/>
      <c r="AS289" s="202"/>
      <c r="AT289" s="213"/>
      <c r="AU289" s="213"/>
    </row>
    <row r="290" spans="40:47" s="121" customFormat="1" hidden="1">
      <c r="AN290" s="239"/>
      <c r="AO290" s="225"/>
      <c r="AP290" s="260"/>
      <c r="AQ290" s="258"/>
      <c r="AR290" s="258"/>
      <c r="AS290" s="202"/>
      <c r="AT290" s="213"/>
      <c r="AU290" s="213"/>
    </row>
    <row r="291" spans="40:47" s="121" customFormat="1" hidden="1">
      <c r="AN291" s="239"/>
      <c r="AO291" s="225"/>
      <c r="AP291" s="260"/>
      <c r="AQ291" s="258"/>
      <c r="AR291" s="258"/>
      <c r="AS291" s="202"/>
      <c r="AT291" s="213"/>
      <c r="AU291" s="213"/>
    </row>
    <row r="292" spans="40:47" s="121" customFormat="1" hidden="1">
      <c r="AN292" s="239"/>
      <c r="AO292" s="225"/>
      <c r="AP292" s="260"/>
      <c r="AQ292" s="258"/>
      <c r="AR292" s="258"/>
      <c r="AS292" s="202"/>
      <c r="AT292" s="213"/>
      <c r="AU292" s="213"/>
    </row>
    <row r="293" spans="40:47" s="121" customFormat="1" hidden="1">
      <c r="AN293" s="239"/>
      <c r="AO293" s="225"/>
      <c r="AP293" s="260"/>
      <c r="AQ293" s="258"/>
      <c r="AR293" s="258"/>
      <c r="AS293" s="202"/>
      <c r="AT293" s="213"/>
      <c r="AU293" s="213"/>
    </row>
    <row r="294" spans="40:47" s="121" customFormat="1" hidden="1">
      <c r="AN294" s="239"/>
      <c r="AO294" s="225"/>
      <c r="AP294" s="260"/>
      <c r="AQ294" s="258"/>
      <c r="AR294" s="258"/>
      <c r="AS294" s="202"/>
      <c r="AT294" s="213"/>
      <c r="AU294" s="213"/>
    </row>
    <row r="295" spans="40:47" s="121" customFormat="1" hidden="1">
      <c r="AN295" s="239"/>
      <c r="AO295" s="225"/>
      <c r="AP295" s="260"/>
      <c r="AQ295" s="258"/>
      <c r="AR295" s="258"/>
      <c r="AS295" s="202"/>
      <c r="AT295" s="213"/>
      <c r="AU295" s="213"/>
    </row>
    <row r="296" spans="40:47" s="121" customFormat="1" hidden="1">
      <c r="AN296" s="239"/>
      <c r="AO296" s="225"/>
      <c r="AP296" s="260"/>
      <c r="AQ296" s="258"/>
      <c r="AR296" s="258"/>
      <c r="AS296" s="202"/>
      <c r="AT296" s="213"/>
      <c r="AU296" s="213"/>
    </row>
    <row r="297" spans="40:47" s="121" customFormat="1" hidden="1">
      <c r="AN297" s="239"/>
      <c r="AO297" s="225"/>
      <c r="AP297" s="260"/>
      <c r="AQ297" s="258"/>
      <c r="AR297" s="258"/>
      <c r="AS297" s="202"/>
      <c r="AT297" s="213"/>
      <c r="AU297" s="213"/>
    </row>
    <row r="298" spans="40:47" s="121" customFormat="1" hidden="1">
      <c r="AN298" s="239"/>
      <c r="AO298" s="225"/>
      <c r="AP298" s="260"/>
      <c r="AQ298" s="258"/>
      <c r="AR298" s="258"/>
      <c r="AS298" s="202"/>
      <c r="AT298" s="213"/>
      <c r="AU298" s="213"/>
    </row>
    <row r="299" spans="40:47" s="121" customFormat="1" hidden="1">
      <c r="AN299" s="239"/>
      <c r="AO299" s="225"/>
      <c r="AP299" s="260"/>
      <c r="AQ299" s="258"/>
      <c r="AR299" s="258"/>
      <c r="AS299" s="202"/>
      <c r="AT299" s="213"/>
      <c r="AU299" s="213"/>
    </row>
    <row r="300" spans="40:47" s="121" customFormat="1" hidden="1">
      <c r="AN300" s="239"/>
      <c r="AO300" s="225"/>
      <c r="AP300" s="260"/>
      <c r="AQ300" s="258"/>
      <c r="AR300" s="258"/>
      <c r="AS300" s="202"/>
      <c r="AT300" s="213"/>
      <c r="AU300" s="213"/>
    </row>
    <row r="301" spans="40:47" s="121" customFormat="1" hidden="1">
      <c r="AN301" s="239"/>
      <c r="AO301" s="225"/>
      <c r="AP301" s="260"/>
      <c r="AQ301" s="258"/>
      <c r="AR301" s="258"/>
      <c r="AS301" s="202"/>
      <c r="AT301" s="213"/>
      <c r="AU301" s="213"/>
    </row>
    <row r="302" spans="40:47" s="121" customFormat="1" hidden="1">
      <c r="AN302" s="239"/>
      <c r="AO302" s="225"/>
      <c r="AP302" s="260"/>
      <c r="AQ302" s="258"/>
      <c r="AR302" s="258"/>
      <c r="AS302" s="202"/>
      <c r="AT302" s="213"/>
      <c r="AU302" s="213"/>
    </row>
    <row r="303" spans="40:47" s="121" customFormat="1" hidden="1">
      <c r="AN303" s="239"/>
      <c r="AO303" s="225"/>
      <c r="AP303" s="260"/>
      <c r="AQ303" s="258"/>
      <c r="AR303" s="258"/>
      <c r="AS303" s="202"/>
      <c r="AT303" s="213"/>
      <c r="AU303" s="213"/>
    </row>
    <row r="304" spans="40:47" s="121" customFormat="1" hidden="1">
      <c r="AN304" s="239"/>
      <c r="AO304" s="225"/>
      <c r="AP304" s="260"/>
      <c r="AQ304" s="258"/>
      <c r="AR304" s="258"/>
      <c r="AS304" s="202"/>
      <c r="AT304" s="213"/>
      <c r="AU304" s="213"/>
    </row>
    <row r="305" spans="40:47" s="121" customFormat="1" hidden="1">
      <c r="AN305" s="239"/>
      <c r="AO305" s="225"/>
      <c r="AP305" s="260"/>
      <c r="AQ305" s="258"/>
      <c r="AR305" s="258"/>
      <c r="AS305" s="202"/>
      <c r="AT305" s="213"/>
      <c r="AU305" s="213"/>
    </row>
    <row r="306" spans="40:47" s="121" customFormat="1" hidden="1">
      <c r="AN306" s="239"/>
      <c r="AO306" s="225"/>
      <c r="AP306" s="260"/>
      <c r="AQ306" s="258"/>
      <c r="AR306" s="258"/>
      <c r="AS306" s="202"/>
      <c r="AT306" s="213"/>
      <c r="AU306" s="213"/>
    </row>
    <row r="307" spans="40:47" s="121" customFormat="1" hidden="1">
      <c r="AN307" s="239"/>
      <c r="AO307" s="225"/>
      <c r="AP307" s="260"/>
      <c r="AQ307" s="258"/>
      <c r="AR307" s="258"/>
      <c r="AS307" s="202"/>
      <c r="AT307" s="213"/>
      <c r="AU307" s="213"/>
    </row>
    <row r="308" spans="40:47" s="121" customFormat="1" hidden="1">
      <c r="AN308" s="239"/>
      <c r="AO308" s="225"/>
      <c r="AP308" s="260"/>
      <c r="AQ308" s="258"/>
      <c r="AR308" s="258"/>
      <c r="AS308" s="202"/>
      <c r="AT308" s="213"/>
      <c r="AU308" s="213"/>
    </row>
    <row r="309" spans="40:47" s="121" customFormat="1" hidden="1">
      <c r="AN309" s="239"/>
      <c r="AO309" s="225"/>
      <c r="AP309" s="260"/>
      <c r="AQ309" s="258"/>
      <c r="AR309" s="258"/>
      <c r="AS309" s="202"/>
      <c r="AT309" s="213"/>
      <c r="AU309" s="213"/>
    </row>
    <row r="310" spans="40:47" s="121" customFormat="1" hidden="1">
      <c r="AN310" s="239"/>
      <c r="AO310" s="225"/>
      <c r="AP310" s="260"/>
      <c r="AQ310" s="258"/>
      <c r="AR310" s="258"/>
      <c r="AS310" s="202"/>
      <c r="AT310" s="213"/>
      <c r="AU310" s="213"/>
    </row>
    <row r="311" spans="40:47" s="121" customFormat="1" hidden="1">
      <c r="AN311" s="239"/>
      <c r="AO311" s="225"/>
      <c r="AP311" s="260"/>
      <c r="AQ311" s="258"/>
      <c r="AR311" s="258"/>
      <c r="AS311" s="202"/>
      <c r="AT311" s="213"/>
      <c r="AU311" s="213"/>
    </row>
    <row r="312" spans="40:47" s="121" customFormat="1" hidden="1">
      <c r="AN312" s="239"/>
      <c r="AO312" s="225"/>
      <c r="AP312" s="260"/>
      <c r="AQ312" s="258"/>
      <c r="AR312" s="258"/>
      <c r="AS312" s="202"/>
      <c r="AT312" s="213"/>
      <c r="AU312" s="213"/>
    </row>
    <row r="313" spans="40:47" s="121" customFormat="1" hidden="1">
      <c r="AN313" s="239"/>
      <c r="AO313" s="225"/>
      <c r="AP313" s="260"/>
      <c r="AQ313" s="258"/>
      <c r="AR313" s="258"/>
      <c r="AS313" s="202"/>
      <c r="AT313" s="213"/>
      <c r="AU313" s="213"/>
    </row>
    <row r="314" spans="40:47" s="121" customFormat="1" hidden="1">
      <c r="AN314" s="239"/>
      <c r="AO314" s="225"/>
      <c r="AP314" s="260"/>
      <c r="AQ314" s="258"/>
      <c r="AR314" s="258"/>
      <c r="AS314" s="202"/>
      <c r="AT314" s="213"/>
      <c r="AU314" s="213"/>
    </row>
    <row r="315" spans="40:47" s="121" customFormat="1" hidden="1">
      <c r="AN315" s="239"/>
      <c r="AO315" s="225"/>
      <c r="AP315" s="260"/>
      <c r="AQ315" s="258"/>
      <c r="AR315" s="258"/>
      <c r="AS315" s="202"/>
      <c r="AT315" s="213"/>
      <c r="AU315" s="213"/>
    </row>
    <row r="316" spans="40:47" s="121" customFormat="1" hidden="1">
      <c r="AN316" s="239"/>
      <c r="AO316" s="225"/>
      <c r="AP316" s="260"/>
      <c r="AQ316" s="258"/>
      <c r="AR316" s="258"/>
      <c r="AS316" s="202"/>
      <c r="AT316" s="213"/>
      <c r="AU316" s="213"/>
    </row>
    <row r="317" spans="40:47" s="121" customFormat="1" hidden="1">
      <c r="AN317" s="239"/>
      <c r="AO317" s="225"/>
      <c r="AP317" s="260"/>
      <c r="AQ317" s="258"/>
      <c r="AR317" s="258"/>
      <c r="AS317" s="202"/>
      <c r="AT317" s="213"/>
      <c r="AU317" s="213"/>
    </row>
    <row r="318" spans="40:47" s="121" customFormat="1" hidden="1">
      <c r="AN318" s="239"/>
      <c r="AO318" s="225"/>
      <c r="AP318" s="260"/>
      <c r="AQ318" s="258"/>
      <c r="AR318" s="258"/>
      <c r="AS318" s="202"/>
      <c r="AT318" s="213"/>
      <c r="AU318" s="213"/>
    </row>
    <row r="319" spans="40:47" s="121" customFormat="1" hidden="1">
      <c r="AN319" s="239"/>
      <c r="AO319" s="225"/>
      <c r="AP319" s="260"/>
      <c r="AQ319" s="258"/>
      <c r="AR319" s="258"/>
      <c r="AS319" s="202"/>
      <c r="AT319" s="213"/>
      <c r="AU319" s="213"/>
    </row>
    <row r="320" spans="40:47" s="121" customFormat="1" hidden="1">
      <c r="AN320" s="239"/>
      <c r="AO320" s="225"/>
      <c r="AP320" s="260"/>
      <c r="AQ320" s="258"/>
      <c r="AR320" s="258"/>
      <c r="AS320" s="202"/>
      <c r="AT320" s="213"/>
      <c r="AU320" s="213"/>
    </row>
    <row r="321" spans="40:47" s="121" customFormat="1" hidden="1">
      <c r="AN321" s="239"/>
      <c r="AO321" s="225"/>
      <c r="AP321" s="260"/>
      <c r="AQ321" s="258"/>
      <c r="AR321" s="258"/>
      <c r="AS321" s="202"/>
      <c r="AT321" s="213"/>
      <c r="AU321" s="213"/>
    </row>
    <row r="322" spans="40:47" s="121" customFormat="1" hidden="1">
      <c r="AN322" s="239"/>
      <c r="AO322" s="225"/>
      <c r="AP322" s="260"/>
      <c r="AQ322" s="258"/>
      <c r="AR322" s="258"/>
      <c r="AS322" s="202"/>
      <c r="AT322" s="213"/>
      <c r="AU322" s="213"/>
    </row>
    <row r="323" spans="40:47" s="121" customFormat="1" hidden="1">
      <c r="AN323" s="239"/>
      <c r="AO323" s="225"/>
      <c r="AP323" s="260"/>
      <c r="AQ323" s="258"/>
      <c r="AR323" s="258"/>
      <c r="AS323" s="202"/>
      <c r="AT323" s="213"/>
      <c r="AU323" s="213"/>
    </row>
    <row r="324" spans="40:47" s="121" customFormat="1" hidden="1">
      <c r="AN324" s="239"/>
      <c r="AO324" s="225"/>
      <c r="AP324" s="260"/>
      <c r="AQ324" s="258"/>
      <c r="AR324" s="258"/>
      <c r="AS324" s="202"/>
      <c r="AT324" s="213"/>
      <c r="AU324" s="213"/>
    </row>
    <row r="325" spans="40:47" s="121" customFormat="1" hidden="1">
      <c r="AN325" s="239"/>
      <c r="AO325" s="225"/>
      <c r="AP325" s="260"/>
      <c r="AQ325" s="258"/>
      <c r="AR325" s="258"/>
      <c r="AS325" s="202"/>
      <c r="AT325" s="213"/>
      <c r="AU325" s="213"/>
    </row>
    <row r="326" spans="40:47" s="121" customFormat="1" hidden="1">
      <c r="AN326" s="239"/>
      <c r="AO326" s="225"/>
      <c r="AP326" s="260"/>
      <c r="AQ326" s="258"/>
      <c r="AR326" s="258"/>
      <c r="AS326" s="202"/>
      <c r="AT326" s="213"/>
      <c r="AU326" s="213"/>
    </row>
    <row r="327" spans="40:47" s="121" customFormat="1" hidden="1">
      <c r="AN327" s="239"/>
      <c r="AO327" s="225"/>
      <c r="AP327" s="260"/>
      <c r="AQ327" s="258"/>
      <c r="AR327" s="258"/>
      <c r="AS327" s="202"/>
      <c r="AT327" s="213"/>
      <c r="AU327" s="213"/>
    </row>
    <row r="328" spans="40:47" s="121" customFormat="1" hidden="1">
      <c r="AN328" s="239"/>
      <c r="AO328" s="225"/>
      <c r="AP328" s="260"/>
      <c r="AQ328" s="258"/>
      <c r="AR328" s="258"/>
      <c r="AS328" s="202"/>
      <c r="AT328" s="213"/>
      <c r="AU328" s="213"/>
    </row>
    <row r="329" spans="40:47" s="121" customFormat="1" hidden="1">
      <c r="AN329" s="239"/>
      <c r="AO329" s="225"/>
      <c r="AP329" s="260"/>
      <c r="AQ329" s="258"/>
      <c r="AR329" s="258"/>
      <c r="AS329" s="202"/>
      <c r="AT329" s="213"/>
      <c r="AU329" s="213"/>
    </row>
    <row r="330" spans="40:47" s="121" customFormat="1" hidden="1">
      <c r="AN330" s="239"/>
      <c r="AO330" s="225"/>
      <c r="AP330" s="260"/>
      <c r="AQ330" s="258"/>
      <c r="AR330" s="258"/>
      <c r="AS330" s="202"/>
      <c r="AT330" s="213"/>
      <c r="AU330" s="213"/>
    </row>
    <row r="331" spans="40:47" s="121" customFormat="1" hidden="1">
      <c r="AN331" s="239"/>
      <c r="AO331" s="225"/>
      <c r="AP331" s="260"/>
      <c r="AQ331" s="258"/>
      <c r="AR331" s="258"/>
      <c r="AS331" s="202"/>
      <c r="AT331" s="213"/>
      <c r="AU331" s="213"/>
    </row>
    <row r="332" spans="40:47" s="121" customFormat="1" hidden="1">
      <c r="AN332" s="239"/>
      <c r="AO332" s="225"/>
      <c r="AP332" s="260"/>
      <c r="AQ332" s="258"/>
      <c r="AR332" s="258"/>
      <c r="AS332" s="202"/>
      <c r="AT332" s="213"/>
      <c r="AU332" s="213"/>
    </row>
    <row r="333" spans="40:47" s="121" customFormat="1" hidden="1">
      <c r="AN333" s="239"/>
      <c r="AO333" s="225"/>
      <c r="AP333" s="260"/>
      <c r="AQ333" s="258"/>
      <c r="AR333" s="258"/>
      <c r="AS333" s="202"/>
      <c r="AT333" s="213"/>
      <c r="AU333" s="213"/>
    </row>
    <row r="334" spans="40:47" s="121" customFormat="1" hidden="1">
      <c r="AN334" s="239"/>
      <c r="AO334" s="225"/>
      <c r="AP334" s="260"/>
      <c r="AQ334" s="258"/>
      <c r="AR334" s="258"/>
      <c r="AS334" s="202"/>
      <c r="AT334" s="213"/>
      <c r="AU334" s="213"/>
    </row>
    <row r="335" spans="40:47" s="121" customFormat="1" hidden="1">
      <c r="AN335" s="239"/>
      <c r="AO335" s="225"/>
      <c r="AP335" s="260"/>
      <c r="AQ335" s="258"/>
      <c r="AR335" s="258"/>
      <c r="AS335" s="202"/>
      <c r="AT335" s="213"/>
      <c r="AU335" s="213"/>
    </row>
    <row r="336" spans="40:47" s="121" customFormat="1" hidden="1">
      <c r="AN336" s="239"/>
      <c r="AO336" s="225"/>
      <c r="AP336" s="260"/>
      <c r="AQ336" s="258"/>
      <c r="AR336" s="258"/>
      <c r="AS336" s="202"/>
      <c r="AT336" s="213"/>
      <c r="AU336" s="213"/>
    </row>
    <row r="337" spans="40:47" s="121" customFormat="1" hidden="1">
      <c r="AN337" s="239"/>
      <c r="AO337" s="225"/>
      <c r="AP337" s="260"/>
      <c r="AQ337" s="258"/>
      <c r="AR337" s="258"/>
      <c r="AS337" s="202"/>
      <c r="AT337" s="213"/>
      <c r="AU337" s="213"/>
    </row>
    <row r="338" spans="40:47" s="121" customFormat="1" hidden="1">
      <c r="AN338" s="239"/>
      <c r="AO338" s="225"/>
      <c r="AP338" s="260"/>
      <c r="AQ338" s="258"/>
      <c r="AR338" s="258"/>
      <c r="AS338" s="202"/>
      <c r="AT338" s="213"/>
      <c r="AU338" s="213"/>
    </row>
    <row r="339" spans="40:47" s="121" customFormat="1" hidden="1">
      <c r="AN339" s="239"/>
      <c r="AO339" s="225"/>
      <c r="AP339" s="260"/>
      <c r="AQ339" s="258"/>
      <c r="AR339" s="258"/>
      <c r="AS339" s="202"/>
      <c r="AT339" s="213"/>
      <c r="AU339" s="213"/>
    </row>
    <row r="340" spans="40:47" s="121" customFormat="1" hidden="1">
      <c r="AN340" s="239"/>
      <c r="AO340" s="225"/>
      <c r="AP340" s="260"/>
      <c r="AQ340" s="258"/>
      <c r="AR340" s="258"/>
      <c r="AS340" s="202"/>
      <c r="AT340" s="213"/>
      <c r="AU340" s="213"/>
    </row>
    <row r="341" spans="40:47" s="121" customFormat="1" hidden="1">
      <c r="AN341" s="239"/>
      <c r="AO341" s="225"/>
      <c r="AP341" s="260"/>
      <c r="AQ341" s="258"/>
      <c r="AR341" s="258"/>
      <c r="AS341" s="202"/>
      <c r="AT341" s="213"/>
      <c r="AU341" s="213"/>
    </row>
    <row r="342" spans="40:47" s="121" customFormat="1" hidden="1">
      <c r="AN342" s="239"/>
      <c r="AO342" s="225"/>
      <c r="AP342" s="260"/>
      <c r="AQ342" s="258"/>
      <c r="AR342" s="258"/>
      <c r="AS342" s="202"/>
      <c r="AT342" s="213"/>
      <c r="AU342" s="213"/>
    </row>
    <row r="343" spans="40:47" s="121" customFormat="1" hidden="1">
      <c r="AN343" s="239"/>
      <c r="AO343" s="225"/>
      <c r="AP343" s="260"/>
      <c r="AQ343" s="258"/>
      <c r="AR343" s="258"/>
      <c r="AS343" s="202"/>
      <c r="AT343" s="213"/>
      <c r="AU343" s="213"/>
    </row>
    <row r="344" spans="40:47" s="121" customFormat="1" hidden="1">
      <c r="AN344" s="239"/>
      <c r="AO344" s="225"/>
      <c r="AP344" s="260"/>
      <c r="AQ344" s="258"/>
      <c r="AR344" s="258"/>
      <c r="AS344" s="202"/>
      <c r="AT344" s="213"/>
      <c r="AU344" s="213"/>
    </row>
    <row r="345" spans="40:47" s="121" customFormat="1" hidden="1">
      <c r="AN345" s="239"/>
      <c r="AO345" s="225"/>
      <c r="AP345" s="260"/>
      <c r="AQ345" s="258"/>
      <c r="AR345" s="258"/>
      <c r="AS345" s="202"/>
      <c r="AT345" s="213"/>
      <c r="AU345" s="213"/>
    </row>
    <row r="346" spans="40:47" s="121" customFormat="1" hidden="1">
      <c r="AN346" s="239"/>
      <c r="AO346" s="225"/>
      <c r="AP346" s="260"/>
      <c r="AQ346" s="258"/>
      <c r="AR346" s="258"/>
      <c r="AS346" s="202"/>
      <c r="AT346" s="213"/>
      <c r="AU346" s="213"/>
    </row>
    <row r="347" spans="40:47" s="121" customFormat="1" hidden="1">
      <c r="AN347" s="239"/>
      <c r="AO347" s="225"/>
      <c r="AP347" s="260"/>
      <c r="AQ347" s="258"/>
      <c r="AR347" s="258"/>
      <c r="AS347" s="202"/>
      <c r="AT347" s="213"/>
      <c r="AU347" s="213"/>
    </row>
    <row r="348" spans="40:47" s="121" customFormat="1" hidden="1">
      <c r="AN348" s="239"/>
      <c r="AO348" s="225"/>
      <c r="AP348" s="260"/>
      <c r="AQ348" s="258"/>
      <c r="AR348" s="258"/>
      <c r="AS348" s="202"/>
      <c r="AT348" s="213"/>
      <c r="AU348" s="213"/>
    </row>
    <row r="349" spans="40:47" s="121" customFormat="1" hidden="1">
      <c r="AN349" s="239"/>
      <c r="AO349" s="225"/>
      <c r="AP349" s="260"/>
      <c r="AQ349" s="258"/>
      <c r="AR349" s="258"/>
      <c r="AS349" s="202"/>
      <c r="AT349" s="213"/>
      <c r="AU349" s="213"/>
    </row>
    <row r="350" spans="40:47" s="121" customFormat="1" hidden="1">
      <c r="AN350" s="239"/>
      <c r="AO350" s="225"/>
      <c r="AP350" s="260"/>
      <c r="AQ350" s="258"/>
      <c r="AR350" s="258"/>
      <c r="AS350" s="202"/>
      <c r="AT350" s="213"/>
      <c r="AU350" s="213"/>
    </row>
    <row r="351" spans="40:47" s="121" customFormat="1" hidden="1">
      <c r="AN351" s="239"/>
      <c r="AO351" s="225"/>
      <c r="AP351" s="260"/>
      <c r="AQ351" s="258"/>
      <c r="AR351" s="258"/>
      <c r="AS351" s="202"/>
      <c r="AT351" s="213"/>
      <c r="AU351" s="213"/>
    </row>
    <row r="352" spans="40:47" s="121" customFormat="1" hidden="1">
      <c r="AN352" s="239"/>
      <c r="AO352" s="225"/>
      <c r="AP352" s="260"/>
      <c r="AQ352" s="258"/>
      <c r="AR352" s="258"/>
      <c r="AS352" s="202"/>
      <c r="AT352" s="213"/>
      <c r="AU352" s="213"/>
    </row>
    <row r="353" spans="40:47" s="121" customFormat="1" hidden="1">
      <c r="AN353" s="239"/>
      <c r="AO353" s="225"/>
      <c r="AP353" s="260"/>
      <c r="AQ353" s="258"/>
      <c r="AR353" s="258"/>
      <c r="AS353" s="202"/>
      <c r="AT353" s="213"/>
      <c r="AU353" s="213"/>
    </row>
    <row r="354" spans="40:47" s="121" customFormat="1" hidden="1">
      <c r="AN354" s="239"/>
      <c r="AO354" s="225"/>
      <c r="AP354" s="260"/>
      <c r="AQ354" s="258"/>
      <c r="AR354" s="258"/>
      <c r="AS354" s="202"/>
      <c r="AT354" s="213"/>
      <c r="AU354" s="213"/>
    </row>
    <row r="355" spans="40:47" s="121" customFormat="1" hidden="1">
      <c r="AN355" s="239"/>
      <c r="AO355" s="225"/>
      <c r="AP355" s="260"/>
      <c r="AQ355" s="258"/>
      <c r="AR355" s="258"/>
      <c r="AS355" s="202"/>
      <c r="AT355" s="213"/>
      <c r="AU355" s="213"/>
    </row>
    <row r="356" spans="40:47" s="121" customFormat="1" hidden="1">
      <c r="AN356" s="239"/>
      <c r="AO356" s="225"/>
      <c r="AP356" s="260"/>
      <c r="AQ356" s="258"/>
      <c r="AR356" s="258"/>
      <c r="AS356" s="202"/>
      <c r="AT356" s="213"/>
      <c r="AU356" s="213"/>
    </row>
    <row r="357" spans="40:47" s="121" customFormat="1" hidden="1">
      <c r="AN357" s="239"/>
      <c r="AO357" s="225"/>
      <c r="AP357" s="260"/>
      <c r="AQ357" s="258"/>
      <c r="AR357" s="258"/>
      <c r="AS357" s="202"/>
      <c r="AT357" s="213"/>
      <c r="AU357" s="213"/>
    </row>
    <row r="358" spans="40:47" s="121" customFormat="1" hidden="1">
      <c r="AN358" s="239"/>
      <c r="AO358" s="225"/>
      <c r="AP358" s="260"/>
      <c r="AQ358" s="258"/>
      <c r="AR358" s="258"/>
      <c r="AS358" s="202"/>
      <c r="AT358" s="213"/>
      <c r="AU358" s="213"/>
    </row>
    <row r="359" spans="40:47" s="121" customFormat="1" hidden="1">
      <c r="AN359" s="239"/>
      <c r="AO359" s="225"/>
      <c r="AP359" s="260"/>
      <c r="AQ359" s="258"/>
      <c r="AR359" s="258"/>
      <c r="AS359" s="202"/>
      <c r="AT359" s="213"/>
      <c r="AU359" s="213"/>
    </row>
    <row r="360" spans="40:47" s="121" customFormat="1" hidden="1">
      <c r="AN360" s="239"/>
      <c r="AO360" s="225"/>
      <c r="AP360" s="260"/>
      <c r="AQ360" s="258"/>
      <c r="AR360" s="258"/>
      <c r="AS360" s="202"/>
      <c r="AT360" s="213"/>
      <c r="AU360" s="213"/>
    </row>
    <row r="361" spans="40:47" s="121" customFormat="1" hidden="1">
      <c r="AN361" s="239"/>
      <c r="AO361" s="225"/>
      <c r="AP361" s="260"/>
      <c r="AQ361" s="258"/>
      <c r="AR361" s="258"/>
      <c r="AS361" s="202"/>
      <c r="AT361" s="213"/>
      <c r="AU361" s="213"/>
    </row>
    <row r="362" spans="40:47" s="121" customFormat="1" hidden="1">
      <c r="AN362" s="239"/>
      <c r="AO362" s="225"/>
      <c r="AP362" s="260"/>
      <c r="AQ362" s="258"/>
      <c r="AR362" s="258"/>
      <c r="AS362" s="202"/>
      <c r="AT362" s="213"/>
      <c r="AU362" s="213"/>
    </row>
    <row r="363" spans="40:47" s="121" customFormat="1" hidden="1">
      <c r="AN363" s="239"/>
      <c r="AO363" s="225"/>
      <c r="AP363" s="260"/>
      <c r="AQ363" s="258"/>
      <c r="AR363" s="258"/>
      <c r="AS363" s="202"/>
      <c r="AT363" s="213"/>
      <c r="AU363" s="213"/>
    </row>
    <row r="364" spans="40:47" s="121" customFormat="1" hidden="1">
      <c r="AN364" s="239"/>
      <c r="AO364" s="225"/>
      <c r="AP364" s="260"/>
      <c r="AQ364" s="258"/>
      <c r="AR364" s="258"/>
      <c r="AS364" s="202"/>
      <c r="AT364" s="213"/>
      <c r="AU364" s="213"/>
    </row>
    <row r="365" spans="40:47" s="121" customFormat="1" hidden="1">
      <c r="AN365" s="239"/>
      <c r="AO365" s="225"/>
      <c r="AP365" s="260"/>
      <c r="AQ365" s="258"/>
      <c r="AR365" s="258"/>
      <c r="AS365" s="202"/>
      <c r="AT365" s="213"/>
      <c r="AU365" s="213"/>
    </row>
    <row r="366" spans="40:47" s="121" customFormat="1" hidden="1">
      <c r="AN366" s="239"/>
      <c r="AO366" s="225"/>
      <c r="AP366" s="260"/>
      <c r="AQ366" s="258"/>
      <c r="AR366" s="258"/>
      <c r="AS366" s="202"/>
      <c r="AT366" s="213"/>
      <c r="AU366" s="213"/>
    </row>
    <row r="367" spans="40:47" s="121" customFormat="1" hidden="1">
      <c r="AN367" s="239"/>
      <c r="AO367" s="225"/>
      <c r="AP367" s="260"/>
      <c r="AQ367" s="258"/>
      <c r="AR367" s="258"/>
      <c r="AS367" s="202"/>
      <c r="AT367" s="213"/>
      <c r="AU367" s="213"/>
    </row>
    <row r="368" spans="40:47" s="121" customFormat="1" hidden="1">
      <c r="AN368" s="239"/>
      <c r="AO368" s="225"/>
      <c r="AP368" s="260"/>
      <c r="AQ368" s="258"/>
      <c r="AR368" s="258"/>
      <c r="AS368" s="202"/>
      <c r="AT368" s="213"/>
      <c r="AU368" s="213"/>
    </row>
    <row r="369" spans="40:47" s="121" customFormat="1" hidden="1">
      <c r="AN369" s="239"/>
      <c r="AO369" s="225"/>
      <c r="AP369" s="260"/>
      <c r="AQ369" s="258"/>
      <c r="AR369" s="258"/>
      <c r="AS369" s="202"/>
      <c r="AT369" s="213"/>
      <c r="AU369" s="213"/>
    </row>
    <row r="370" spans="40:47" s="121" customFormat="1" hidden="1">
      <c r="AN370" s="239"/>
      <c r="AO370" s="225"/>
      <c r="AP370" s="260"/>
      <c r="AQ370" s="258"/>
      <c r="AR370" s="258"/>
      <c r="AS370" s="202"/>
      <c r="AT370" s="213"/>
      <c r="AU370" s="213"/>
    </row>
    <row r="371" spans="40:47" s="121" customFormat="1" hidden="1">
      <c r="AN371" s="239"/>
      <c r="AO371" s="225"/>
      <c r="AP371" s="260"/>
      <c r="AQ371" s="258"/>
      <c r="AR371" s="258"/>
      <c r="AS371" s="202"/>
      <c r="AT371" s="213"/>
      <c r="AU371" s="213"/>
    </row>
    <row r="372" spans="40:47" s="121" customFormat="1" hidden="1">
      <c r="AN372" s="239"/>
      <c r="AO372" s="225"/>
      <c r="AP372" s="260"/>
      <c r="AQ372" s="258"/>
      <c r="AR372" s="258"/>
      <c r="AS372" s="202"/>
      <c r="AT372" s="213"/>
      <c r="AU372" s="213"/>
    </row>
    <row r="373" spans="40:47" s="121" customFormat="1" hidden="1">
      <c r="AN373" s="239"/>
      <c r="AO373" s="225"/>
      <c r="AP373" s="260"/>
      <c r="AQ373" s="258"/>
      <c r="AR373" s="258"/>
      <c r="AS373" s="202"/>
      <c r="AT373" s="213"/>
      <c r="AU373" s="213"/>
    </row>
    <row r="374" spans="40:47" s="121" customFormat="1" hidden="1">
      <c r="AN374" s="239"/>
      <c r="AO374" s="225"/>
      <c r="AP374" s="260"/>
      <c r="AQ374" s="258"/>
      <c r="AR374" s="258"/>
      <c r="AS374" s="202"/>
      <c r="AT374" s="213"/>
      <c r="AU374" s="213"/>
    </row>
    <row r="375" spans="40:47" s="121" customFormat="1" hidden="1">
      <c r="AN375" s="239"/>
      <c r="AO375" s="225"/>
      <c r="AP375" s="260"/>
      <c r="AQ375" s="258"/>
      <c r="AR375" s="258"/>
      <c r="AS375" s="202"/>
      <c r="AT375" s="213"/>
      <c r="AU375" s="213"/>
    </row>
    <row r="376" spans="40:47" s="121" customFormat="1" hidden="1">
      <c r="AN376" s="239"/>
      <c r="AO376" s="225"/>
      <c r="AP376" s="260"/>
      <c r="AQ376" s="258"/>
      <c r="AR376" s="258"/>
      <c r="AS376" s="202"/>
      <c r="AT376" s="213"/>
      <c r="AU376" s="213"/>
    </row>
    <row r="377" spans="40:47" s="121" customFormat="1" hidden="1">
      <c r="AN377" s="239"/>
      <c r="AO377" s="225"/>
      <c r="AP377" s="260"/>
      <c r="AQ377" s="258"/>
      <c r="AR377" s="258"/>
      <c r="AS377" s="202"/>
      <c r="AT377" s="213"/>
      <c r="AU377" s="213"/>
    </row>
    <row r="378" spans="40:47" s="121" customFormat="1" hidden="1">
      <c r="AN378" s="239"/>
      <c r="AO378" s="225"/>
      <c r="AP378" s="260"/>
      <c r="AQ378" s="258"/>
      <c r="AR378" s="258"/>
      <c r="AS378" s="202"/>
      <c r="AT378" s="213"/>
      <c r="AU378" s="213"/>
    </row>
    <row r="379" spans="40:47" s="121" customFormat="1" hidden="1">
      <c r="AN379" s="239"/>
      <c r="AO379" s="225"/>
      <c r="AP379" s="260"/>
      <c r="AQ379" s="258"/>
      <c r="AR379" s="258"/>
      <c r="AS379" s="202"/>
      <c r="AT379" s="213"/>
      <c r="AU379" s="213"/>
    </row>
    <row r="380" spans="40:47" s="121" customFormat="1" hidden="1">
      <c r="AN380" s="239"/>
      <c r="AO380" s="225"/>
      <c r="AP380" s="260"/>
      <c r="AQ380" s="258"/>
      <c r="AR380" s="258"/>
      <c r="AS380" s="202"/>
      <c r="AT380" s="213"/>
      <c r="AU380" s="213"/>
    </row>
    <row r="381" spans="40:47" s="121" customFormat="1" hidden="1">
      <c r="AN381" s="239"/>
      <c r="AO381" s="225"/>
      <c r="AP381" s="260"/>
      <c r="AQ381" s="258"/>
      <c r="AR381" s="258"/>
      <c r="AS381" s="202"/>
      <c r="AT381" s="213"/>
      <c r="AU381" s="213"/>
    </row>
    <row r="382" spans="40:47" s="121" customFormat="1" hidden="1">
      <c r="AN382" s="239"/>
      <c r="AO382" s="225"/>
      <c r="AP382" s="260"/>
      <c r="AQ382" s="258"/>
      <c r="AR382" s="258"/>
      <c r="AS382" s="202"/>
      <c r="AT382" s="213"/>
      <c r="AU382" s="213"/>
    </row>
    <row r="383" spans="40:47" s="121" customFormat="1" hidden="1">
      <c r="AN383" s="239"/>
      <c r="AO383" s="225"/>
      <c r="AP383" s="260"/>
      <c r="AQ383" s="258"/>
      <c r="AR383" s="258"/>
      <c r="AS383" s="202"/>
      <c r="AT383" s="213"/>
      <c r="AU383" s="213"/>
    </row>
    <row r="384" spans="40:47" s="121" customFormat="1" hidden="1">
      <c r="AN384" s="239"/>
      <c r="AO384" s="225"/>
      <c r="AP384" s="260"/>
      <c r="AQ384" s="258"/>
      <c r="AR384" s="258"/>
      <c r="AS384" s="202"/>
      <c r="AT384" s="213"/>
      <c r="AU384" s="213"/>
    </row>
    <row r="385" spans="40:47" s="121" customFormat="1" hidden="1">
      <c r="AN385" s="239"/>
      <c r="AO385" s="225"/>
      <c r="AP385" s="260"/>
      <c r="AQ385" s="258"/>
      <c r="AR385" s="258"/>
      <c r="AS385" s="202"/>
      <c r="AT385" s="213"/>
      <c r="AU385" s="213"/>
    </row>
    <row r="386" spans="40:47" s="121" customFormat="1" hidden="1">
      <c r="AN386" s="239"/>
      <c r="AO386" s="225"/>
      <c r="AP386" s="260"/>
      <c r="AQ386" s="258"/>
      <c r="AR386" s="258"/>
      <c r="AS386" s="202"/>
      <c r="AT386" s="213"/>
      <c r="AU386" s="213"/>
    </row>
    <row r="387" spans="40:47" s="121" customFormat="1" hidden="1">
      <c r="AN387" s="239"/>
      <c r="AO387" s="225"/>
      <c r="AP387" s="260"/>
      <c r="AQ387" s="258"/>
      <c r="AR387" s="258"/>
      <c r="AS387" s="202"/>
      <c r="AT387" s="213"/>
      <c r="AU387" s="213"/>
    </row>
    <row r="388" spans="40:47" s="121" customFormat="1" hidden="1">
      <c r="AN388" s="239"/>
      <c r="AO388" s="225"/>
      <c r="AP388" s="260"/>
      <c r="AQ388" s="258"/>
      <c r="AR388" s="258"/>
      <c r="AS388" s="202"/>
      <c r="AT388" s="213"/>
      <c r="AU388" s="213"/>
    </row>
    <row r="389" spans="40:47" s="121" customFormat="1" hidden="1">
      <c r="AN389" s="239"/>
      <c r="AO389" s="225"/>
      <c r="AP389" s="260"/>
      <c r="AQ389" s="258"/>
      <c r="AR389" s="258"/>
      <c r="AS389" s="202"/>
      <c r="AT389" s="213"/>
      <c r="AU389" s="213"/>
    </row>
    <row r="390" spans="40:47" s="121" customFormat="1" hidden="1">
      <c r="AN390" s="239"/>
      <c r="AO390" s="225"/>
      <c r="AP390" s="260"/>
      <c r="AQ390" s="258"/>
      <c r="AR390" s="258"/>
      <c r="AS390" s="202"/>
      <c r="AT390" s="213"/>
      <c r="AU390" s="213"/>
    </row>
    <row r="391" spans="40:47" s="121" customFormat="1" hidden="1">
      <c r="AN391" s="239"/>
      <c r="AO391" s="225"/>
      <c r="AP391" s="260"/>
      <c r="AQ391" s="258"/>
      <c r="AR391" s="258"/>
      <c r="AS391" s="202"/>
      <c r="AT391" s="213"/>
      <c r="AU391" s="213"/>
    </row>
    <row r="392" spans="40:47" s="121" customFormat="1" hidden="1">
      <c r="AN392" s="239"/>
      <c r="AO392" s="225"/>
      <c r="AP392" s="260"/>
      <c r="AQ392" s="258"/>
      <c r="AR392" s="258"/>
      <c r="AS392" s="202"/>
      <c r="AT392" s="213"/>
      <c r="AU392" s="213"/>
    </row>
    <row r="393" spans="40:47" s="121" customFormat="1" hidden="1">
      <c r="AN393" s="239"/>
      <c r="AO393" s="225"/>
      <c r="AP393" s="260"/>
      <c r="AQ393" s="258"/>
      <c r="AR393" s="258"/>
      <c r="AS393" s="202"/>
      <c r="AT393" s="213"/>
      <c r="AU393" s="213"/>
    </row>
    <row r="394" spans="40:47" s="121" customFormat="1" hidden="1">
      <c r="AN394" s="239"/>
      <c r="AO394" s="225"/>
      <c r="AP394" s="260"/>
      <c r="AQ394" s="258"/>
      <c r="AR394" s="258"/>
      <c r="AS394" s="202"/>
      <c r="AT394" s="213"/>
      <c r="AU394" s="213"/>
    </row>
    <row r="395" spans="40:47" s="121" customFormat="1" hidden="1">
      <c r="AN395" s="239"/>
      <c r="AO395" s="225"/>
      <c r="AP395" s="260"/>
      <c r="AQ395" s="258"/>
      <c r="AR395" s="258"/>
      <c r="AS395" s="202"/>
      <c r="AT395" s="213"/>
      <c r="AU395" s="213"/>
    </row>
    <row r="396" spans="40:47" s="121" customFormat="1" hidden="1">
      <c r="AN396" s="239"/>
      <c r="AO396" s="225"/>
      <c r="AP396" s="260"/>
      <c r="AQ396" s="258"/>
      <c r="AR396" s="258"/>
      <c r="AS396" s="202"/>
      <c r="AT396" s="213"/>
      <c r="AU396" s="213"/>
    </row>
    <row r="397" spans="40:47" s="121" customFormat="1" hidden="1">
      <c r="AN397" s="239"/>
      <c r="AO397" s="225"/>
      <c r="AP397" s="260"/>
      <c r="AQ397" s="258"/>
      <c r="AR397" s="258"/>
      <c r="AS397" s="202"/>
      <c r="AT397" s="213"/>
      <c r="AU397" s="213"/>
    </row>
    <row r="398" spans="40:47" s="121" customFormat="1" hidden="1">
      <c r="AN398" s="239"/>
      <c r="AO398" s="225"/>
      <c r="AP398" s="260"/>
      <c r="AQ398" s="258"/>
      <c r="AR398" s="258"/>
      <c r="AS398" s="202"/>
      <c r="AT398" s="213"/>
      <c r="AU398" s="213"/>
    </row>
    <row r="399" spans="40:47" s="121" customFormat="1" hidden="1">
      <c r="AN399" s="239"/>
      <c r="AO399" s="225"/>
      <c r="AP399" s="260"/>
      <c r="AQ399" s="258"/>
      <c r="AR399" s="258"/>
      <c r="AS399" s="202"/>
      <c r="AT399" s="213"/>
      <c r="AU399" s="213"/>
    </row>
    <row r="400" spans="40:47" s="121" customFormat="1" hidden="1">
      <c r="AN400" s="239"/>
      <c r="AO400" s="225"/>
      <c r="AP400" s="260"/>
      <c r="AQ400" s="258"/>
      <c r="AR400" s="258"/>
      <c r="AS400" s="202"/>
      <c r="AT400" s="213"/>
      <c r="AU400" s="213"/>
    </row>
    <row r="401" spans="40:47" s="121" customFormat="1" hidden="1">
      <c r="AN401" s="239"/>
      <c r="AO401" s="225"/>
      <c r="AP401" s="260"/>
      <c r="AQ401" s="258"/>
      <c r="AR401" s="258"/>
      <c r="AS401" s="202"/>
      <c r="AT401" s="213"/>
      <c r="AU401" s="213"/>
    </row>
    <row r="402" spans="40:47" s="121" customFormat="1" hidden="1">
      <c r="AN402" s="239"/>
      <c r="AO402" s="225"/>
      <c r="AP402" s="260"/>
      <c r="AQ402" s="258"/>
      <c r="AR402" s="258"/>
      <c r="AS402" s="202"/>
      <c r="AT402" s="213"/>
      <c r="AU402" s="213"/>
    </row>
    <row r="403" spans="40:47" s="121" customFormat="1" hidden="1">
      <c r="AN403" s="239"/>
      <c r="AO403" s="225"/>
      <c r="AP403" s="260"/>
      <c r="AQ403" s="258"/>
      <c r="AR403" s="258"/>
      <c r="AS403" s="202"/>
      <c r="AT403" s="213"/>
      <c r="AU403" s="213"/>
    </row>
    <row r="404" spans="40:47" s="121" customFormat="1" hidden="1">
      <c r="AN404" s="239"/>
      <c r="AO404" s="225"/>
      <c r="AP404" s="260"/>
      <c r="AQ404" s="258"/>
      <c r="AR404" s="258"/>
      <c r="AS404" s="202"/>
      <c r="AT404" s="213"/>
      <c r="AU404" s="213"/>
    </row>
    <row r="405" spans="40:47" s="121" customFormat="1" hidden="1">
      <c r="AN405" s="239"/>
      <c r="AO405" s="225"/>
      <c r="AP405" s="260"/>
      <c r="AQ405" s="258"/>
      <c r="AR405" s="258"/>
      <c r="AS405" s="202"/>
      <c r="AT405" s="213"/>
      <c r="AU405" s="213"/>
    </row>
    <row r="406" spans="40:47" s="121" customFormat="1" hidden="1">
      <c r="AN406" s="239"/>
      <c r="AO406" s="225"/>
      <c r="AP406" s="260"/>
      <c r="AQ406" s="258"/>
      <c r="AR406" s="258"/>
      <c r="AS406" s="202"/>
      <c r="AT406" s="213"/>
      <c r="AU406" s="213"/>
    </row>
    <row r="407" spans="40:47" s="121" customFormat="1" hidden="1">
      <c r="AN407" s="239"/>
      <c r="AO407" s="225"/>
      <c r="AP407" s="260"/>
      <c r="AQ407" s="258"/>
      <c r="AR407" s="258"/>
      <c r="AS407" s="202"/>
      <c r="AT407" s="213"/>
      <c r="AU407" s="213"/>
    </row>
    <row r="408" spans="40:47" s="121" customFormat="1" hidden="1">
      <c r="AN408" s="239"/>
      <c r="AO408" s="225"/>
      <c r="AP408" s="260"/>
      <c r="AQ408" s="258"/>
      <c r="AR408" s="258"/>
      <c r="AS408" s="202"/>
      <c r="AT408" s="213"/>
      <c r="AU408" s="213"/>
    </row>
    <row r="409" spans="40:47" s="121" customFormat="1" hidden="1">
      <c r="AN409" s="239"/>
      <c r="AO409" s="225"/>
      <c r="AP409" s="260"/>
      <c r="AQ409" s="258"/>
      <c r="AR409" s="258"/>
      <c r="AS409" s="202"/>
      <c r="AT409" s="213"/>
      <c r="AU409" s="213"/>
    </row>
    <row r="410" spans="40:47" s="121" customFormat="1" hidden="1">
      <c r="AN410" s="239"/>
      <c r="AO410" s="225"/>
      <c r="AP410" s="260"/>
      <c r="AQ410" s="258"/>
      <c r="AR410" s="258"/>
      <c r="AS410" s="202"/>
      <c r="AT410" s="213"/>
      <c r="AU410" s="213"/>
    </row>
    <row r="411" spans="40:47" s="121" customFormat="1" hidden="1">
      <c r="AN411" s="239"/>
      <c r="AO411" s="225"/>
      <c r="AP411" s="260"/>
      <c r="AQ411" s="258"/>
      <c r="AR411" s="258"/>
      <c r="AS411" s="202"/>
      <c r="AT411" s="213"/>
      <c r="AU411" s="213"/>
    </row>
    <row r="412" spans="40:47" s="121" customFormat="1" hidden="1">
      <c r="AN412" s="239"/>
      <c r="AO412" s="225"/>
      <c r="AP412" s="260"/>
      <c r="AQ412" s="258"/>
      <c r="AR412" s="258"/>
      <c r="AS412" s="202"/>
      <c r="AT412" s="213"/>
      <c r="AU412" s="213"/>
    </row>
    <row r="413" spans="40:47" s="121" customFormat="1" hidden="1">
      <c r="AN413" s="239"/>
      <c r="AO413" s="225"/>
      <c r="AP413" s="260"/>
      <c r="AQ413" s="258"/>
      <c r="AR413" s="258"/>
      <c r="AS413" s="202"/>
      <c r="AT413" s="213"/>
      <c r="AU413" s="213"/>
    </row>
    <row r="414" spans="40:47" s="121" customFormat="1" hidden="1">
      <c r="AN414" s="239"/>
      <c r="AO414" s="225"/>
      <c r="AP414" s="260"/>
      <c r="AQ414" s="258"/>
      <c r="AR414" s="258"/>
      <c r="AS414" s="202"/>
      <c r="AT414" s="213"/>
      <c r="AU414" s="213"/>
    </row>
    <row r="415" spans="40:47" s="121" customFormat="1" hidden="1">
      <c r="AN415" s="239"/>
      <c r="AO415" s="225"/>
      <c r="AP415" s="260"/>
      <c r="AQ415" s="258"/>
      <c r="AR415" s="258"/>
      <c r="AS415" s="202"/>
      <c r="AT415" s="213"/>
      <c r="AU415" s="213"/>
    </row>
    <row r="416" spans="40:47" s="121" customFormat="1" hidden="1">
      <c r="AN416" s="239"/>
      <c r="AO416" s="225"/>
      <c r="AP416" s="260"/>
      <c r="AQ416" s="258"/>
      <c r="AR416" s="258"/>
      <c r="AS416" s="202"/>
      <c r="AT416" s="213"/>
      <c r="AU416" s="213"/>
    </row>
    <row r="417" spans="40:47" s="121" customFormat="1" hidden="1">
      <c r="AN417" s="239"/>
      <c r="AO417" s="225"/>
      <c r="AP417" s="260"/>
      <c r="AQ417" s="258"/>
      <c r="AR417" s="258"/>
      <c r="AS417" s="202"/>
      <c r="AT417" s="213"/>
      <c r="AU417" s="213"/>
    </row>
    <row r="418" spans="40:47" s="121" customFormat="1" hidden="1">
      <c r="AN418" s="239"/>
      <c r="AO418" s="225"/>
      <c r="AP418" s="260"/>
      <c r="AQ418" s="258"/>
      <c r="AR418" s="258"/>
      <c r="AS418" s="202"/>
      <c r="AT418" s="213"/>
      <c r="AU418" s="213"/>
    </row>
    <row r="419" spans="40:47" s="121" customFormat="1" hidden="1">
      <c r="AN419" s="239"/>
      <c r="AO419" s="225"/>
      <c r="AP419" s="260"/>
      <c r="AQ419" s="258"/>
      <c r="AR419" s="258"/>
      <c r="AS419" s="202"/>
      <c r="AT419" s="213"/>
      <c r="AU419" s="213"/>
    </row>
    <row r="420" spans="40:47" s="121" customFormat="1" hidden="1">
      <c r="AN420" s="239"/>
      <c r="AO420" s="225"/>
      <c r="AP420" s="260"/>
      <c r="AQ420" s="258"/>
      <c r="AR420" s="258"/>
      <c r="AS420" s="202"/>
      <c r="AT420" s="213"/>
      <c r="AU420" s="213"/>
    </row>
    <row r="421" spans="40:47" s="121" customFormat="1" hidden="1">
      <c r="AN421" s="239"/>
      <c r="AO421" s="225"/>
      <c r="AP421" s="260"/>
      <c r="AQ421" s="258"/>
      <c r="AR421" s="258"/>
      <c r="AS421" s="202"/>
      <c r="AT421" s="213"/>
      <c r="AU421" s="213"/>
    </row>
    <row r="422" spans="40:47" s="121" customFormat="1" hidden="1">
      <c r="AN422" s="239"/>
      <c r="AO422" s="225"/>
      <c r="AP422" s="260"/>
      <c r="AQ422" s="258"/>
      <c r="AR422" s="258"/>
      <c r="AS422" s="202"/>
      <c r="AT422" s="213"/>
      <c r="AU422" s="213"/>
    </row>
    <row r="423" spans="40:47" s="121" customFormat="1" hidden="1">
      <c r="AN423" s="239"/>
      <c r="AO423" s="225"/>
      <c r="AP423" s="260"/>
      <c r="AQ423" s="258"/>
      <c r="AR423" s="258"/>
      <c r="AS423" s="202"/>
      <c r="AT423" s="213"/>
      <c r="AU423" s="213"/>
    </row>
    <row r="424" spans="40:47" s="121" customFormat="1" hidden="1">
      <c r="AN424" s="239"/>
      <c r="AO424" s="225"/>
      <c r="AP424" s="260"/>
      <c r="AQ424" s="258"/>
      <c r="AR424" s="258"/>
      <c r="AS424" s="202"/>
      <c r="AT424" s="213"/>
      <c r="AU424" s="213"/>
    </row>
    <row r="425" spans="40:47" s="121" customFormat="1" hidden="1">
      <c r="AN425" s="239"/>
      <c r="AO425" s="225"/>
      <c r="AP425" s="260"/>
      <c r="AQ425" s="258"/>
      <c r="AR425" s="258"/>
      <c r="AS425" s="202"/>
      <c r="AT425" s="213"/>
      <c r="AU425" s="213"/>
    </row>
    <row r="426" spans="40:47" s="121" customFormat="1" hidden="1">
      <c r="AN426" s="239"/>
      <c r="AO426" s="225"/>
      <c r="AP426" s="260"/>
      <c r="AQ426" s="258"/>
      <c r="AR426" s="258"/>
      <c r="AS426" s="202"/>
      <c r="AT426" s="213"/>
      <c r="AU426" s="213"/>
    </row>
    <row r="427" spans="40:47" s="121" customFormat="1" hidden="1">
      <c r="AN427" s="239"/>
      <c r="AO427" s="225"/>
      <c r="AP427" s="260"/>
      <c r="AQ427" s="258"/>
      <c r="AR427" s="258"/>
      <c r="AS427" s="202"/>
      <c r="AT427" s="213"/>
      <c r="AU427" s="213"/>
    </row>
    <row r="428" spans="40:47" s="121" customFormat="1" hidden="1">
      <c r="AN428" s="239"/>
      <c r="AO428" s="225"/>
      <c r="AP428" s="260"/>
      <c r="AQ428" s="258"/>
      <c r="AR428" s="258"/>
      <c r="AS428" s="202"/>
      <c r="AT428" s="213"/>
      <c r="AU428" s="213"/>
    </row>
    <row r="429" spans="40:47" s="121" customFormat="1" hidden="1">
      <c r="AN429" s="239"/>
      <c r="AO429" s="225"/>
      <c r="AP429" s="260"/>
      <c r="AQ429" s="258"/>
      <c r="AR429" s="258"/>
      <c r="AS429" s="202"/>
      <c r="AT429" s="213"/>
      <c r="AU429" s="213"/>
    </row>
    <row r="430" spans="40:47" s="121" customFormat="1" hidden="1">
      <c r="AN430" s="239"/>
      <c r="AO430" s="225"/>
      <c r="AP430" s="260"/>
      <c r="AQ430" s="258"/>
      <c r="AR430" s="258"/>
      <c r="AS430" s="202"/>
      <c r="AT430" s="213"/>
      <c r="AU430" s="213"/>
    </row>
    <row r="431" spans="40:47" s="121" customFormat="1" hidden="1">
      <c r="AN431" s="239"/>
      <c r="AO431" s="225"/>
      <c r="AP431" s="260"/>
      <c r="AQ431" s="258"/>
      <c r="AR431" s="258"/>
      <c r="AS431" s="202"/>
      <c r="AT431" s="213"/>
      <c r="AU431" s="213"/>
    </row>
    <row r="432" spans="40:47" s="121" customFormat="1" hidden="1">
      <c r="AN432" s="239"/>
      <c r="AO432" s="225"/>
      <c r="AP432" s="260"/>
      <c r="AQ432" s="258"/>
      <c r="AR432" s="258"/>
      <c r="AS432" s="202"/>
      <c r="AT432" s="213"/>
      <c r="AU432" s="213"/>
    </row>
    <row r="433" spans="40:47" s="121" customFormat="1" hidden="1">
      <c r="AN433" s="239"/>
      <c r="AO433" s="225"/>
      <c r="AP433" s="260"/>
      <c r="AQ433" s="258"/>
      <c r="AR433" s="258"/>
      <c r="AS433" s="202"/>
      <c r="AT433" s="213"/>
      <c r="AU433" s="213"/>
    </row>
    <row r="434" spans="40:47" s="121" customFormat="1" hidden="1">
      <c r="AN434" s="239"/>
      <c r="AO434" s="225"/>
      <c r="AP434" s="260"/>
      <c r="AQ434" s="258"/>
      <c r="AR434" s="258"/>
      <c r="AS434" s="202"/>
      <c r="AT434" s="213"/>
      <c r="AU434" s="213"/>
    </row>
    <row r="435" spans="40:47" s="121" customFormat="1" hidden="1">
      <c r="AN435" s="239"/>
      <c r="AO435" s="225"/>
      <c r="AP435" s="260"/>
      <c r="AQ435" s="258"/>
      <c r="AR435" s="258"/>
      <c r="AS435" s="202"/>
      <c r="AT435" s="213"/>
      <c r="AU435" s="213"/>
    </row>
    <row r="436" spans="40:47" s="121" customFormat="1" hidden="1">
      <c r="AN436" s="239"/>
      <c r="AO436" s="225"/>
      <c r="AP436" s="260"/>
      <c r="AQ436" s="258"/>
      <c r="AR436" s="258"/>
      <c r="AS436" s="202"/>
      <c r="AT436" s="213"/>
      <c r="AU436" s="213"/>
    </row>
    <row r="437" spans="40:47" s="121" customFormat="1" hidden="1">
      <c r="AN437" s="239"/>
      <c r="AO437" s="225"/>
      <c r="AP437" s="260"/>
      <c r="AQ437" s="258"/>
      <c r="AR437" s="258"/>
      <c r="AS437" s="202"/>
      <c r="AT437" s="213"/>
      <c r="AU437" s="213"/>
    </row>
    <row r="438" spans="40:47" s="121" customFormat="1" hidden="1">
      <c r="AN438" s="239"/>
      <c r="AO438" s="225"/>
      <c r="AP438" s="260"/>
      <c r="AQ438" s="258"/>
      <c r="AR438" s="258"/>
      <c r="AS438" s="202"/>
      <c r="AT438" s="213"/>
      <c r="AU438" s="213"/>
    </row>
    <row r="439" spans="40:47" s="121" customFormat="1" hidden="1">
      <c r="AN439" s="239"/>
      <c r="AO439" s="225"/>
      <c r="AP439" s="260"/>
      <c r="AQ439" s="258"/>
      <c r="AR439" s="258"/>
      <c r="AS439" s="202"/>
      <c r="AT439" s="213"/>
      <c r="AU439" s="213"/>
    </row>
    <row r="440" spans="40:47" s="121" customFormat="1" hidden="1">
      <c r="AN440" s="239"/>
      <c r="AO440" s="225"/>
      <c r="AP440" s="260"/>
      <c r="AQ440" s="258"/>
      <c r="AR440" s="258"/>
      <c r="AS440" s="202"/>
      <c r="AT440" s="213"/>
      <c r="AU440" s="213"/>
    </row>
    <row r="441" spans="40:47" s="121" customFormat="1" hidden="1">
      <c r="AN441" s="239"/>
      <c r="AO441" s="225"/>
      <c r="AP441" s="260"/>
      <c r="AQ441" s="258"/>
      <c r="AR441" s="258"/>
      <c r="AS441" s="202"/>
      <c r="AT441" s="213"/>
      <c r="AU441" s="213"/>
    </row>
    <row r="442" spans="40:47" s="121" customFormat="1" hidden="1">
      <c r="AN442" s="239"/>
      <c r="AO442" s="225"/>
      <c r="AP442" s="260"/>
      <c r="AQ442" s="258"/>
      <c r="AR442" s="258"/>
      <c r="AS442" s="202"/>
      <c r="AT442" s="213"/>
      <c r="AU442" s="213"/>
    </row>
    <row r="443" spans="40:47" s="121" customFormat="1" hidden="1">
      <c r="AN443" s="239"/>
      <c r="AO443" s="225"/>
      <c r="AP443" s="260"/>
      <c r="AQ443" s="258"/>
      <c r="AR443" s="258"/>
      <c r="AS443" s="202"/>
      <c r="AT443" s="213"/>
      <c r="AU443" s="213"/>
    </row>
    <row r="444" spans="40:47" s="121" customFormat="1" hidden="1">
      <c r="AN444" s="239"/>
      <c r="AO444" s="225"/>
      <c r="AP444" s="260"/>
      <c r="AQ444" s="258"/>
      <c r="AR444" s="258"/>
      <c r="AS444" s="202"/>
      <c r="AT444" s="213"/>
      <c r="AU444" s="213"/>
    </row>
    <row r="445" spans="40:47" s="121" customFormat="1" hidden="1">
      <c r="AN445" s="239"/>
      <c r="AO445" s="225"/>
      <c r="AP445" s="260"/>
      <c r="AQ445" s="258"/>
      <c r="AR445" s="258"/>
      <c r="AS445" s="202"/>
      <c r="AT445" s="213"/>
      <c r="AU445" s="213"/>
    </row>
    <row r="446" spans="40:47" s="121" customFormat="1" hidden="1">
      <c r="AN446" s="239"/>
      <c r="AO446" s="225"/>
      <c r="AP446" s="260"/>
      <c r="AQ446" s="258"/>
      <c r="AR446" s="258"/>
      <c r="AS446" s="202"/>
      <c r="AT446" s="213"/>
      <c r="AU446" s="213"/>
    </row>
    <row r="447" spans="40:47" s="121" customFormat="1" hidden="1">
      <c r="AN447" s="239"/>
      <c r="AO447" s="225"/>
      <c r="AP447" s="260"/>
      <c r="AQ447" s="258"/>
      <c r="AR447" s="258"/>
      <c r="AS447" s="202"/>
      <c r="AT447" s="213"/>
      <c r="AU447" s="213"/>
    </row>
    <row r="448" spans="40:47" s="121" customFormat="1" hidden="1">
      <c r="AN448" s="239"/>
      <c r="AO448" s="225"/>
      <c r="AP448" s="260"/>
      <c r="AQ448" s="258"/>
      <c r="AR448" s="258"/>
      <c r="AS448" s="202"/>
      <c r="AT448" s="213"/>
      <c r="AU448" s="213"/>
    </row>
    <row r="449" spans="40:47" s="121" customFormat="1" hidden="1">
      <c r="AN449" s="239"/>
      <c r="AO449" s="225"/>
      <c r="AP449" s="260"/>
      <c r="AQ449" s="258"/>
      <c r="AR449" s="258"/>
      <c r="AS449" s="202"/>
      <c r="AT449" s="213"/>
      <c r="AU449" s="213"/>
    </row>
    <row r="450" spans="40:47" s="121" customFormat="1" hidden="1">
      <c r="AN450" s="239"/>
      <c r="AO450" s="225"/>
      <c r="AP450" s="260"/>
      <c r="AQ450" s="258"/>
      <c r="AR450" s="258"/>
      <c r="AS450" s="202"/>
      <c r="AT450" s="213"/>
      <c r="AU450" s="213"/>
    </row>
    <row r="451" spans="40:47" s="121" customFormat="1" hidden="1">
      <c r="AN451" s="239"/>
      <c r="AO451" s="225"/>
      <c r="AP451" s="260"/>
      <c r="AQ451" s="258"/>
      <c r="AR451" s="258"/>
      <c r="AS451" s="202"/>
      <c r="AT451" s="213"/>
      <c r="AU451" s="213"/>
    </row>
    <row r="452" spans="40:47" s="121" customFormat="1" hidden="1">
      <c r="AN452" s="239"/>
      <c r="AO452" s="225"/>
      <c r="AP452" s="260"/>
      <c r="AQ452" s="258"/>
      <c r="AR452" s="258"/>
      <c r="AS452" s="202"/>
      <c r="AT452" s="213"/>
      <c r="AU452" s="213"/>
    </row>
    <row r="453" spans="40:47" s="121" customFormat="1" hidden="1">
      <c r="AN453" s="239"/>
      <c r="AO453" s="225"/>
      <c r="AP453" s="260"/>
      <c r="AQ453" s="258"/>
      <c r="AR453" s="258"/>
      <c r="AS453" s="202"/>
      <c r="AT453" s="213"/>
      <c r="AU453" s="213"/>
    </row>
    <row r="454" spans="40:47" s="121" customFormat="1" hidden="1">
      <c r="AN454" s="239"/>
      <c r="AO454" s="225"/>
      <c r="AP454" s="260"/>
      <c r="AQ454" s="258"/>
      <c r="AR454" s="258"/>
      <c r="AS454" s="202"/>
      <c r="AT454" s="213"/>
      <c r="AU454" s="213"/>
    </row>
    <row r="455" spans="40:47" s="121" customFormat="1" hidden="1">
      <c r="AN455" s="239"/>
      <c r="AO455" s="225"/>
      <c r="AP455" s="260"/>
      <c r="AQ455" s="258"/>
      <c r="AR455" s="258"/>
      <c r="AS455" s="202"/>
      <c r="AT455" s="213"/>
      <c r="AU455" s="213"/>
    </row>
    <row r="456" spans="40:47" s="121" customFormat="1" hidden="1">
      <c r="AN456" s="239"/>
      <c r="AO456" s="225"/>
      <c r="AP456" s="260"/>
      <c r="AQ456" s="258"/>
      <c r="AR456" s="258"/>
      <c r="AS456" s="202"/>
      <c r="AT456" s="213"/>
      <c r="AU456" s="213"/>
    </row>
    <row r="457" spans="40:47" s="121" customFormat="1" hidden="1">
      <c r="AN457" s="239"/>
      <c r="AO457" s="225"/>
      <c r="AP457" s="260"/>
      <c r="AQ457" s="258"/>
      <c r="AR457" s="258"/>
      <c r="AS457" s="202"/>
      <c r="AT457" s="213"/>
      <c r="AU457" s="213"/>
    </row>
    <row r="458" spans="40:47" s="121" customFormat="1" hidden="1">
      <c r="AN458" s="239"/>
      <c r="AO458" s="225"/>
      <c r="AP458" s="260"/>
      <c r="AQ458" s="258"/>
      <c r="AR458" s="258"/>
      <c r="AS458" s="202"/>
      <c r="AT458" s="213"/>
      <c r="AU458" s="213"/>
    </row>
    <row r="459" spans="40:47" s="121" customFormat="1" hidden="1">
      <c r="AN459" s="239"/>
      <c r="AO459" s="225"/>
      <c r="AP459" s="260"/>
      <c r="AQ459" s="258"/>
      <c r="AR459" s="258"/>
      <c r="AS459" s="202"/>
      <c r="AT459" s="213"/>
      <c r="AU459" s="213"/>
    </row>
    <row r="460" spans="40:47" s="121" customFormat="1" hidden="1">
      <c r="AN460" s="239"/>
      <c r="AO460" s="225"/>
      <c r="AP460" s="260"/>
      <c r="AQ460" s="258"/>
      <c r="AR460" s="258"/>
      <c r="AS460" s="202"/>
      <c r="AT460" s="213"/>
      <c r="AU460" s="213"/>
    </row>
    <row r="461" spans="40:47" s="121" customFormat="1" hidden="1">
      <c r="AN461" s="239"/>
      <c r="AO461" s="225"/>
      <c r="AP461" s="260"/>
      <c r="AQ461" s="258"/>
      <c r="AR461" s="258"/>
      <c r="AS461" s="202"/>
      <c r="AT461" s="213"/>
      <c r="AU461" s="213"/>
    </row>
    <row r="462" spans="40:47" s="121" customFormat="1" hidden="1">
      <c r="AN462" s="239"/>
      <c r="AO462" s="225"/>
      <c r="AP462" s="260"/>
      <c r="AQ462" s="258"/>
      <c r="AR462" s="258"/>
      <c r="AS462" s="202"/>
      <c r="AT462" s="213"/>
      <c r="AU462" s="213"/>
    </row>
    <row r="463" spans="40:47" s="121" customFormat="1" hidden="1">
      <c r="AN463" s="239"/>
      <c r="AO463" s="225"/>
      <c r="AP463" s="260"/>
      <c r="AQ463" s="258"/>
      <c r="AR463" s="258"/>
      <c r="AS463" s="202"/>
      <c r="AT463" s="213"/>
      <c r="AU463" s="213"/>
    </row>
    <row r="464" spans="40:47" s="121" customFormat="1" hidden="1">
      <c r="AN464" s="239"/>
      <c r="AO464" s="225"/>
      <c r="AP464" s="260"/>
      <c r="AQ464" s="258"/>
      <c r="AR464" s="258"/>
      <c r="AS464" s="202"/>
      <c r="AT464" s="213"/>
      <c r="AU464" s="213"/>
    </row>
    <row r="465" spans="40:47" s="121" customFormat="1" hidden="1">
      <c r="AN465" s="239"/>
      <c r="AO465" s="225"/>
      <c r="AP465" s="260"/>
      <c r="AQ465" s="258"/>
      <c r="AR465" s="258"/>
      <c r="AS465" s="202"/>
      <c r="AT465" s="213"/>
      <c r="AU465" s="213"/>
    </row>
    <row r="466" spans="40:47" s="121" customFormat="1" hidden="1">
      <c r="AN466" s="239"/>
      <c r="AO466" s="225"/>
      <c r="AP466" s="260"/>
      <c r="AQ466" s="258"/>
      <c r="AR466" s="258"/>
      <c r="AS466" s="202"/>
      <c r="AT466" s="213"/>
      <c r="AU466" s="213"/>
    </row>
    <row r="467" spans="40:47" s="121" customFormat="1" hidden="1">
      <c r="AN467" s="239"/>
      <c r="AO467" s="225"/>
      <c r="AP467" s="260"/>
      <c r="AQ467" s="258"/>
      <c r="AR467" s="258"/>
      <c r="AS467" s="202"/>
      <c r="AT467" s="213"/>
      <c r="AU467" s="213"/>
    </row>
    <row r="468" spans="40:47" s="121" customFormat="1" hidden="1">
      <c r="AN468" s="239"/>
      <c r="AO468" s="225"/>
      <c r="AP468" s="260"/>
      <c r="AQ468" s="258"/>
      <c r="AR468" s="258"/>
      <c r="AS468" s="202"/>
      <c r="AT468" s="213"/>
      <c r="AU468" s="213"/>
    </row>
    <row r="469" spans="40:47" s="121" customFormat="1" hidden="1">
      <c r="AN469" s="239"/>
      <c r="AO469" s="225"/>
      <c r="AP469" s="260"/>
      <c r="AQ469" s="258"/>
      <c r="AR469" s="258"/>
      <c r="AS469" s="202"/>
      <c r="AT469" s="213"/>
      <c r="AU469" s="213"/>
    </row>
    <row r="470" spans="40:47" s="121" customFormat="1" hidden="1">
      <c r="AN470" s="239"/>
      <c r="AO470" s="225"/>
      <c r="AP470" s="260"/>
      <c r="AQ470" s="258"/>
      <c r="AR470" s="258"/>
      <c r="AS470" s="202"/>
      <c r="AT470" s="213"/>
      <c r="AU470" s="213"/>
    </row>
    <row r="471" spans="40:47" s="121" customFormat="1" hidden="1">
      <c r="AN471" s="239"/>
      <c r="AO471" s="225"/>
      <c r="AP471" s="260"/>
      <c r="AQ471" s="258"/>
      <c r="AR471" s="258"/>
      <c r="AS471" s="202"/>
      <c r="AT471" s="213"/>
      <c r="AU471" s="213"/>
    </row>
    <row r="472" spans="40:47" s="121" customFormat="1" hidden="1">
      <c r="AN472" s="239"/>
      <c r="AO472" s="225"/>
      <c r="AP472" s="260"/>
      <c r="AQ472" s="258"/>
      <c r="AR472" s="258"/>
      <c r="AS472" s="202"/>
      <c r="AT472" s="213"/>
      <c r="AU472" s="213"/>
    </row>
    <row r="473" spans="40:47" s="121" customFormat="1" hidden="1">
      <c r="AN473" s="239"/>
      <c r="AO473" s="225"/>
      <c r="AP473" s="260"/>
      <c r="AQ473" s="258"/>
      <c r="AR473" s="258"/>
      <c r="AS473" s="202"/>
      <c r="AT473" s="213"/>
      <c r="AU473" s="213"/>
    </row>
    <row r="474" spans="40:47" s="121" customFormat="1" hidden="1">
      <c r="AN474" s="239"/>
      <c r="AO474" s="225"/>
      <c r="AP474" s="260"/>
      <c r="AQ474" s="258"/>
      <c r="AR474" s="258"/>
      <c r="AS474" s="202"/>
      <c r="AT474" s="213"/>
      <c r="AU474" s="213"/>
    </row>
    <row r="475" spans="40:47" s="121" customFormat="1" hidden="1">
      <c r="AN475" s="239"/>
      <c r="AO475" s="225"/>
      <c r="AP475" s="260"/>
      <c r="AQ475" s="258"/>
      <c r="AR475" s="258"/>
      <c r="AS475" s="202"/>
      <c r="AT475" s="213"/>
      <c r="AU475" s="213"/>
    </row>
    <row r="476" spans="40:47" s="121" customFormat="1" hidden="1">
      <c r="AN476" s="239"/>
      <c r="AO476" s="225"/>
      <c r="AP476" s="260"/>
      <c r="AQ476" s="258"/>
      <c r="AR476" s="258"/>
      <c r="AS476" s="202"/>
      <c r="AT476" s="213"/>
      <c r="AU476" s="213"/>
    </row>
    <row r="477" spans="40:47" s="121" customFormat="1" hidden="1">
      <c r="AN477" s="239"/>
      <c r="AO477" s="225"/>
      <c r="AP477" s="260"/>
      <c r="AQ477" s="258"/>
      <c r="AR477" s="258"/>
      <c r="AS477" s="202"/>
      <c r="AT477" s="213"/>
      <c r="AU477" s="213"/>
    </row>
    <row r="478" spans="40:47" s="121" customFormat="1" hidden="1">
      <c r="AN478" s="239"/>
      <c r="AO478" s="225"/>
      <c r="AP478" s="260"/>
      <c r="AQ478" s="258"/>
      <c r="AR478" s="258"/>
      <c r="AS478" s="202"/>
      <c r="AT478" s="213"/>
      <c r="AU478" s="213"/>
    </row>
    <row r="479" spans="40:47" s="121" customFormat="1" hidden="1">
      <c r="AN479" s="239"/>
      <c r="AO479" s="225"/>
      <c r="AP479" s="260"/>
      <c r="AQ479" s="258"/>
      <c r="AR479" s="258"/>
      <c r="AS479" s="202"/>
      <c r="AT479" s="213"/>
      <c r="AU479" s="213"/>
    </row>
    <row r="480" spans="40:47" s="121" customFormat="1" hidden="1">
      <c r="AN480" s="239"/>
      <c r="AO480" s="225"/>
      <c r="AP480" s="260"/>
      <c r="AQ480" s="258"/>
      <c r="AR480" s="258"/>
      <c r="AS480" s="202"/>
      <c r="AT480" s="213"/>
      <c r="AU480" s="213"/>
    </row>
    <row r="481" spans="40:47" s="121" customFormat="1" hidden="1">
      <c r="AN481" s="239"/>
      <c r="AO481" s="225"/>
      <c r="AP481" s="260"/>
      <c r="AQ481" s="258"/>
      <c r="AR481" s="258"/>
      <c r="AS481" s="202"/>
      <c r="AT481" s="213"/>
      <c r="AU481" s="213"/>
    </row>
    <row r="482" spans="40:47" s="121" customFormat="1" hidden="1">
      <c r="AN482" s="239"/>
      <c r="AO482" s="225"/>
      <c r="AP482" s="260"/>
      <c r="AQ482" s="258"/>
      <c r="AR482" s="258"/>
      <c r="AS482" s="202"/>
      <c r="AT482" s="213"/>
      <c r="AU482" s="213"/>
    </row>
    <row r="483" spans="40:47" s="121" customFormat="1" hidden="1">
      <c r="AN483" s="239"/>
      <c r="AO483" s="225"/>
      <c r="AP483" s="260"/>
      <c r="AQ483" s="258"/>
      <c r="AR483" s="258"/>
      <c r="AS483" s="202"/>
      <c r="AT483" s="213"/>
      <c r="AU483" s="213"/>
    </row>
    <row r="484" spans="40:47" s="121" customFormat="1" hidden="1">
      <c r="AN484" s="239"/>
      <c r="AO484" s="225"/>
      <c r="AP484" s="260"/>
      <c r="AQ484" s="258"/>
      <c r="AR484" s="258"/>
      <c r="AS484" s="202"/>
      <c r="AT484" s="213"/>
      <c r="AU484" s="213"/>
    </row>
    <row r="485" spans="40:47" s="121" customFormat="1" hidden="1">
      <c r="AN485" s="239"/>
      <c r="AO485" s="225"/>
      <c r="AP485" s="260"/>
      <c r="AQ485" s="258"/>
      <c r="AR485" s="258"/>
      <c r="AS485" s="202"/>
      <c r="AT485" s="213"/>
      <c r="AU485" s="213"/>
    </row>
    <row r="486" spans="40:47" s="121" customFormat="1" hidden="1">
      <c r="AN486" s="239"/>
      <c r="AO486" s="225"/>
      <c r="AP486" s="260"/>
      <c r="AQ486" s="258"/>
      <c r="AR486" s="258"/>
      <c r="AS486" s="202"/>
      <c r="AT486" s="213"/>
      <c r="AU486" s="213"/>
    </row>
    <row r="487" spans="40:47" s="121" customFormat="1" hidden="1">
      <c r="AN487" s="239"/>
      <c r="AO487" s="225"/>
      <c r="AP487" s="260"/>
      <c r="AQ487" s="258"/>
      <c r="AR487" s="258"/>
      <c r="AS487" s="202"/>
      <c r="AT487" s="213"/>
      <c r="AU487" s="213"/>
    </row>
    <row r="488" spans="40:47" s="121" customFormat="1" hidden="1">
      <c r="AN488" s="239"/>
      <c r="AO488" s="225"/>
      <c r="AP488" s="260"/>
      <c r="AQ488" s="258"/>
      <c r="AR488" s="258"/>
      <c r="AS488" s="202"/>
      <c r="AT488" s="213"/>
      <c r="AU488" s="213"/>
    </row>
    <row r="489" spans="40:47" s="121" customFormat="1" hidden="1">
      <c r="AN489" s="239"/>
      <c r="AO489" s="225"/>
      <c r="AP489" s="260"/>
      <c r="AQ489" s="258"/>
      <c r="AR489" s="258"/>
      <c r="AS489" s="202"/>
      <c r="AT489" s="213"/>
      <c r="AU489" s="213"/>
    </row>
    <row r="490" spans="40:47" s="121" customFormat="1" hidden="1">
      <c r="AN490" s="239"/>
      <c r="AO490" s="225"/>
      <c r="AP490" s="260"/>
      <c r="AQ490" s="258"/>
      <c r="AR490" s="258"/>
      <c r="AS490" s="202"/>
      <c r="AT490" s="213"/>
      <c r="AU490" s="213"/>
    </row>
    <row r="491" spans="40:47" s="121" customFormat="1" hidden="1">
      <c r="AN491" s="239"/>
      <c r="AO491" s="225"/>
      <c r="AP491" s="260"/>
      <c r="AQ491" s="258"/>
      <c r="AR491" s="258"/>
      <c r="AS491" s="202"/>
      <c r="AT491" s="213"/>
      <c r="AU491" s="213"/>
    </row>
    <row r="492" spans="40:47" s="121" customFormat="1" hidden="1">
      <c r="AN492" s="239"/>
      <c r="AO492" s="225"/>
      <c r="AP492" s="260"/>
      <c r="AQ492" s="258"/>
      <c r="AR492" s="258"/>
      <c r="AS492" s="202"/>
      <c r="AT492" s="213"/>
      <c r="AU492" s="213"/>
    </row>
    <row r="493" spans="40:47" s="121" customFormat="1" hidden="1">
      <c r="AN493" s="239"/>
      <c r="AO493" s="225"/>
      <c r="AP493" s="260"/>
      <c r="AQ493" s="258"/>
      <c r="AR493" s="258"/>
      <c r="AS493" s="202"/>
      <c r="AT493" s="213"/>
      <c r="AU493" s="213"/>
    </row>
    <row r="494" spans="40:47" s="121" customFormat="1" hidden="1">
      <c r="AN494" s="239"/>
      <c r="AO494" s="225"/>
      <c r="AP494" s="260"/>
      <c r="AQ494" s="258"/>
      <c r="AR494" s="258"/>
      <c r="AS494" s="202"/>
      <c r="AT494" s="213"/>
      <c r="AU494" s="213"/>
    </row>
    <row r="495" spans="40:47" s="121" customFormat="1" hidden="1">
      <c r="AN495" s="239"/>
      <c r="AO495" s="225"/>
      <c r="AP495" s="260"/>
      <c r="AQ495" s="258"/>
      <c r="AR495" s="258"/>
      <c r="AS495" s="202"/>
      <c r="AT495" s="213"/>
      <c r="AU495" s="213"/>
    </row>
    <row r="496" spans="40:47" s="121" customFormat="1" hidden="1">
      <c r="AN496" s="239"/>
      <c r="AO496" s="225"/>
      <c r="AP496" s="260"/>
      <c r="AQ496" s="258"/>
      <c r="AR496" s="258"/>
      <c r="AS496" s="202"/>
      <c r="AT496" s="213"/>
      <c r="AU496" s="213"/>
    </row>
    <row r="497" spans="40:47" s="121" customFormat="1" hidden="1">
      <c r="AN497" s="239"/>
      <c r="AO497" s="225"/>
      <c r="AP497" s="260"/>
      <c r="AQ497" s="258"/>
      <c r="AR497" s="258"/>
      <c r="AS497" s="202"/>
      <c r="AT497" s="213"/>
      <c r="AU497" s="213"/>
    </row>
    <row r="498" spans="40:47" s="121" customFormat="1" hidden="1">
      <c r="AN498" s="239"/>
      <c r="AO498" s="225"/>
      <c r="AP498" s="260"/>
      <c r="AQ498" s="258"/>
      <c r="AR498" s="258"/>
      <c r="AS498" s="202"/>
      <c r="AT498" s="213"/>
      <c r="AU498" s="213"/>
    </row>
    <row r="499" spans="40:47" s="121" customFormat="1" hidden="1">
      <c r="AN499" s="239"/>
      <c r="AO499" s="225"/>
      <c r="AP499" s="260"/>
      <c r="AQ499" s="258"/>
      <c r="AR499" s="258"/>
      <c r="AS499" s="202"/>
      <c r="AT499" s="213"/>
      <c r="AU499" s="213"/>
    </row>
    <row r="500" spans="40:47" s="121" customFormat="1" hidden="1">
      <c r="AN500" s="239"/>
      <c r="AO500" s="225"/>
      <c r="AP500" s="260"/>
      <c r="AQ500" s="258"/>
      <c r="AR500" s="258"/>
      <c r="AS500" s="202"/>
      <c r="AT500" s="213"/>
      <c r="AU500" s="213"/>
    </row>
    <row r="501" spans="40:47" s="121" customFormat="1" hidden="1">
      <c r="AN501" s="239"/>
      <c r="AO501" s="225"/>
      <c r="AP501" s="260"/>
      <c r="AQ501" s="258"/>
      <c r="AR501" s="258"/>
      <c r="AS501" s="202"/>
      <c r="AT501" s="213"/>
      <c r="AU501" s="213"/>
    </row>
    <row r="502" spans="40:47" s="121" customFormat="1" hidden="1">
      <c r="AN502" s="239"/>
      <c r="AO502" s="225"/>
      <c r="AP502" s="260"/>
      <c r="AQ502" s="258"/>
      <c r="AR502" s="258"/>
      <c r="AS502" s="202"/>
      <c r="AT502" s="213"/>
      <c r="AU502" s="213"/>
    </row>
    <row r="503" spans="40:47" s="121" customFormat="1" hidden="1">
      <c r="AN503" s="239"/>
      <c r="AO503" s="225"/>
      <c r="AP503" s="260"/>
      <c r="AQ503" s="258"/>
      <c r="AR503" s="258"/>
      <c r="AS503" s="202"/>
      <c r="AT503" s="213"/>
      <c r="AU503" s="213"/>
    </row>
    <row r="504" spans="40:47" s="121" customFormat="1" hidden="1">
      <c r="AN504" s="239"/>
      <c r="AO504" s="225"/>
      <c r="AP504" s="260"/>
      <c r="AQ504" s="258"/>
      <c r="AR504" s="258"/>
      <c r="AS504" s="202"/>
      <c r="AT504" s="213"/>
      <c r="AU504" s="213"/>
    </row>
    <row r="505" spans="40:47" s="121" customFormat="1" hidden="1">
      <c r="AN505" s="239"/>
      <c r="AO505" s="225"/>
      <c r="AP505" s="260"/>
      <c r="AQ505" s="258"/>
      <c r="AR505" s="258"/>
      <c r="AS505" s="202"/>
      <c r="AT505" s="213"/>
      <c r="AU505" s="213"/>
    </row>
    <row r="506" spans="40:47" s="121" customFormat="1" hidden="1">
      <c r="AN506" s="239"/>
      <c r="AO506" s="225"/>
      <c r="AP506" s="260"/>
      <c r="AQ506" s="258"/>
      <c r="AR506" s="258"/>
      <c r="AS506" s="202"/>
      <c r="AT506" s="213"/>
      <c r="AU506" s="213"/>
    </row>
    <row r="507" spans="40:47" s="121" customFormat="1" hidden="1">
      <c r="AN507" s="239"/>
      <c r="AO507" s="225"/>
      <c r="AP507" s="260"/>
      <c r="AQ507" s="258"/>
      <c r="AR507" s="258"/>
      <c r="AS507" s="202"/>
      <c r="AT507" s="213"/>
      <c r="AU507" s="213"/>
    </row>
    <row r="508" spans="40:47" s="121" customFormat="1" hidden="1">
      <c r="AN508" s="239"/>
      <c r="AO508" s="225"/>
      <c r="AP508" s="260"/>
      <c r="AQ508" s="258"/>
      <c r="AR508" s="258"/>
      <c r="AS508" s="202"/>
      <c r="AT508" s="213"/>
      <c r="AU508" s="213"/>
    </row>
    <row r="509" spans="40:47" s="121" customFormat="1" hidden="1">
      <c r="AN509" s="239"/>
      <c r="AO509" s="225"/>
      <c r="AP509" s="260"/>
      <c r="AQ509" s="258"/>
      <c r="AR509" s="258"/>
      <c r="AS509" s="202"/>
      <c r="AT509" s="213"/>
      <c r="AU509" s="213"/>
    </row>
    <row r="510" spans="40:47" s="121" customFormat="1" hidden="1">
      <c r="AN510" s="239"/>
      <c r="AO510" s="225"/>
      <c r="AP510" s="260"/>
      <c r="AQ510" s="258"/>
      <c r="AR510" s="258"/>
      <c r="AS510" s="202"/>
      <c r="AT510" s="213"/>
      <c r="AU510" s="213"/>
    </row>
    <row r="511" spans="40:47" s="121" customFormat="1" hidden="1">
      <c r="AN511" s="239"/>
      <c r="AO511" s="225"/>
      <c r="AP511" s="260"/>
      <c r="AQ511" s="258"/>
      <c r="AR511" s="258"/>
      <c r="AS511" s="202"/>
      <c r="AT511" s="213"/>
      <c r="AU511" s="213"/>
    </row>
    <row r="512" spans="40:47" s="121" customFormat="1" hidden="1">
      <c r="AN512" s="239"/>
      <c r="AO512" s="225"/>
      <c r="AP512" s="260"/>
      <c r="AQ512" s="258"/>
      <c r="AR512" s="258"/>
      <c r="AS512" s="202"/>
      <c r="AT512" s="213"/>
      <c r="AU512" s="213"/>
    </row>
    <row r="513" spans="40:47" s="121" customFormat="1" hidden="1">
      <c r="AN513" s="239"/>
      <c r="AO513" s="225"/>
      <c r="AP513" s="260"/>
      <c r="AQ513" s="258"/>
      <c r="AR513" s="258"/>
      <c r="AS513" s="202"/>
      <c r="AT513" s="213"/>
      <c r="AU513" s="213"/>
    </row>
    <row r="514" spans="40:47" s="121" customFormat="1" hidden="1">
      <c r="AN514" s="239"/>
      <c r="AO514" s="225"/>
      <c r="AP514" s="260"/>
      <c r="AQ514" s="258"/>
      <c r="AR514" s="258"/>
      <c r="AS514" s="202"/>
      <c r="AT514" s="213"/>
      <c r="AU514" s="213"/>
    </row>
    <row r="515" spans="40:47" s="121" customFormat="1" hidden="1">
      <c r="AN515" s="239"/>
      <c r="AO515" s="225"/>
      <c r="AP515" s="260"/>
      <c r="AQ515" s="258"/>
      <c r="AR515" s="258"/>
      <c r="AS515" s="202"/>
      <c r="AT515" s="213"/>
      <c r="AU515" s="213"/>
    </row>
    <row r="516" spans="40:47" s="121" customFormat="1" hidden="1">
      <c r="AN516" s="239"/>
      <c r="AO516" s="225"/>
      <c r="AP516" s="260"/>
      <c r="AQ516" s="258"/>
      <c r="AR516" s="258"/>
      <c r="AS516" s="202"/>
      <c r="AT516" s="213"/>
      <c r="AU516" s="213"/>
    </row>
    <row r="517" spans="40:47" s="121" customFormat="1" hidden="1">
      <c r="AN517" s="239"/>
      <c r="AO517" s="225"/>
      <c r="AP517" s="260"/>
      <c r="AQ517" s="258"/>
      <c r="AR517" s="258"/>
      <c r="AS517" s="202"/>
      <c r="AT517" s="213"/>
      <c r="AU517" s="213"/>
    </row>
    <row r="518" spans="40:47" s="121" customFormat="1" hidden="1">
      <c r="AN518" s="239"/>
      <c r="AO518" s="225"/>
      <c r="AP518" s="260"/>
      <c r="AQ518" s="258"/>
      <c r="AR518" s="258"/>
      <c r="AS518" s="202"/>
      <c r="AT518" s="213"/>
      <c r="AU518" s="213"/>
    </row>
    <row r="519" spans="40:47" s="121" customFormat="1" hidden="1">
      <c r="AN519" s="239"/>
      <c r="AO519" s="225"/>
      <c r="AP519" s="260"/>
      <c r="AQ519" s="258"/>
      <c r="AR519" s="258"/>
      <c r="AS519" s="202"/>
      <c r="AT519" s="213"/>
      <c r="AU519" s="213"/>
    </row>
    <row r="520" spans="40:47" s="121" customFormat="1" hidden="1">
      <c r="AN520" s="239"/>
      <c r="AO520" s="225"/>
      <c r="AP520" s="260"/>
      <c r="AQ520" s="258"/>
      <c r="AR520" s="258"/>
      <c r="AS520" s="202"/>
      <c r="AT520" s="213"/>
      <c r="AU520" s="213"/>
    </row>
    <row r="521" spans="40:47" s="121" customFormat="1" hidden="1">
      <c r="AN521" s="239"/>
      <c r="AO521" s="225"/>
      <c r="AP521" s="260"/>
      <c r="AQ521" s="258"/>
      <c r="AR521" s="258"/>
      <c r="AS521" s="202"/>
      <c r="AT521" s="213"/>
      <c r="AU521" s="213"/>
    </row>
    <row r="522" spans="40:47" s="121" customFormat="1" hidden="1">
      <c r="AN522" s="239"/>
      <c r="AO522" s="225"/>
      <c r="AP522" s="260"/>
      <c r="AQ522" s="258"/>
      <c r="AR522" s="258"/>
      <c r="AS522" s="202"/>
      <c r="AT522" s="213"/>
      <c r="AU522" s="213"/>
    </row>
    <row r="523" spans="40:47" s="121" customFormat="1" hidden="1">
      <c r="AN523" s="239"/>
      <c r="AO523" s="225"/>
      <c r="AP523" s="260"/>
      <c r="AQ523" s="258"/>
      <c r="AR523" s="258"/>
      <c r="AS523" s="202"/>
      <c r="AT523" s="213"/>
      <c r="AU523" s="213"/>
    </row>
    <row r="524" spans="40:47" s="121" customFormat="1" hidden="1">
      <c r="AN524" s="239"/>
      <c r="AO524" s="225"/>
      <c r="AP524" s="260"/>
      <c r="AQ524" s="258"/>
      <c r="AR524" s="258"/>
      <c r="AS524" s="202"/>
      <c r="AT524" s="213"/>
      <c r="AU524" s="213"/>
    </row>
    <row r="525" spans="40:47" s="121" customFormat="1" hidden="1">
      <c r="AN525" s="239"/>
      <c r="AO525" s="225"/>
      <c r="AP525" s="260"/>
      <c r="AQ525" s="258"/>
      <c r="AR525" s="258"/>
      <c r="AS525" s="202"/>
      <c r="AT525" s="213"/>
      <c r="AU525" s="213"/>
    </row>
    <row r="526" spans="40:47" s="121" customFormat="1" hidden="1">
      <c r="AN526" s="239"/>
      <c r="AO526" s="225"/>
      <c r="AP526" s="260"/>
      <c r="AQ526" s="258"/>
      <c r="AR526" s="258"/>
      <c r="AS526" s="202"/>
      <c r="AT526" s="213"/>
      <c r="AU526" s="213"/>
    </row>
    <row r="527" spans="40:47" s="121" customFormat="1" hidden="1">
      <c r="AN527" s="239"/>
      <c r="AO527" s="225"/>
      <c r="AP527" s="260"/>
      <c r="AQ527" s="258"/>
      <c r="AR527" s="258"/>
      <c r="AS527" s="202"/>
      <c r="AT527" s="213"/>
      <c r="AU527" s="213"/>
    </row>
    <row r="528" spans="40:47" s="121" customFormat="1" hidden="1">
      <c r="AN528" s="239"/>
      <c r="AO528" s="225"/>
      <c r="AP528" s="260"/>
      <c r="AQ528" s="258"/>
      <c r="AR528" s="258"/>
      <c r="AS528" s="202"/>
      <c r="AT528" s="213"/>
      <c r="AU528" s="213"/>
    </row>
    <row r="529" spans="40:47" s="121" customFormat="1" hidden="1">
      <c r="AN529" s="239"/>
      <c r="AO529" s="225"/>
      <c r="AP529" s="260"/>
      <c r="AQ529" s="258"/>
      <c r="AR529" s="258"/>
      <c r="AS529" s="202"/>
      <c r="AT529" s="213"/>
      <c r="AU529" s="213"/>
    </row>
    <row r="530" spans="40:47" s="121" customFormat="1" hidden="1">
      <c r="AN530" s="239"/>
      <c r="AO530" s="225"/>
      <c r="AP530" s="260"/>
      <c r="AQ530" s="258"/>
      <c r="AR530" s="258"/>
      <c r="AS530" s="202"/>
      <c r="AT530" s="213"/>
      <c r="AU530" s="213"/>
    </row>
    <row r="531" spans="40:47" s="121" customFormat="1" hidden="1">
      <c r="AN531" s="239"/>
      <c r="AO531" s="225"/>
      <c r="AP531" s="260"/>
      <c r="AQ531" s="258"/>
      <c r="AR531" s="258"/>
      <c r="AS531" s="202"/>
      <c r="AT531" s="213"/>
      <c r="AU531" s="213"/>
    </row>
    <row r="532" spans="40:47" s="121" customFormat="1" hidden="1">
      <c r="AN532" s="239"/>
      <c r="AO532" s="225"/>
      <c r="AP532" s="260"/>
      <c r="AQ532" s="258"/>
      <c r="AR532" s="258"/>
      <c r="AS532" s="202"/>
      <c r="AT532" s="213"/>
      <c r="AU532" s="213"/>
    </row>
    <row r="533" spans="40:47" s="121" customFormat="1" hidden="1">
      <c r="AN533" s="239"/>
      <c r="AO533" s="225"/>
      <c r="AP533" s="260"/>
      <c r="AQ533" s="258"/>
      <c r="AR533" s="258"/>
      <c r="AS533" s="202"/>
      <c r="AT533" s="213"/>
      <c r="AU533" s="213"/>
    </row>
    <row r="534" spans="40:47" s="121" customFormat="1" hidden="1">
      <c r="AN534" s="239"/>
      <c r="AO534" s="225"/>
      <c r="AP534" s="260"/>
      <c r="AQ534" s="258"/>
      <c r="AR534" s="258"/>
      <c r="AS534" s="202"/>
      <c r="AT534" s="213"/>
      <c r="AU534" s="213"/>
    </row>
    <row r="535" spans="40:47" s="121" customFormat="1" hidden="1">
      <c r="AN535" s="239"/>
      <c r="AO535" s="225"/>
      <c r="AP535" s="260"/>
      <c r="AQ535" s="258"/>
      <c r="AR535" s="258"/>
      <c r="AS535" s="202"/>
      <c r="AT535" s="213"/>
      <c r="AU535" s="213"/>
    </row>
    <row r="536" spans="40:47" s="121" customFormat="1" hidden="1">
      <c r="AN536" s="239"/>
      <c r="AO536" s="225"/>
      <c r="AP536" s="260"/>
      <c r="AQ536" s="258"/>
      <c r="AR536" s="258"/>
      <c r="AS536" s="202"/>
      <c r="AT536" s="213"/>
      <c r="AU536" s="213"/>
    </row>
    <row r="537" spans="40:47" s="121" customFormat="1" hidden="1">
      <c r="AN537" s="239"/>
      <c r="AO537" s="225"/>
      <c r="AP537" s="260"/>
      <c r="AQ537" s="258"/>
      <c r="AR537" s="258"/>
      <c r="AS537" s="202"/>
      <c r="AT537" s="213"/>
      <c r="AU537" s="213"/>
    </row>
    <row r="538" spans="40:47" s="121" customFormat="1" hidden="1">
      <c r="AN538" s="239"/>
      <c r="AO538" s="225"/>
      <c r="AP538" s="260"/>
      <c r="AQ538" s="258"/>
      <c r="AR538" s="258"/>
      <c r="AS538" s="202"/>
      <c r="AT538" s="213"/>
      <c r="AU538" s="213"/>
    </row>
    <row r="539" spans="40:47" s="121" customFormat="1" hidden="1">
      <c r="AN539" s="239"/>
      <c r="AO539" s="225"/>
      <c r="AP539" s="260"/>
      <c r="AQ539" s="258"/>
      <c r="AR539" s="258"/>
      <c r="AS539" s="202"/>
      <c r="AT539" s="213"/>
      <c r="AU539" s="213"/>
    </row>
    <row r="540" spans="40:47" s="121" customFormat="1" hidden="1">
      <c r="AN540" s="239"/>
      <c r="AO540" s="225"/>
      <c r="AP540" s="260"/>
      <c r="AQ540" s="258"/>
      <c r="AR540" s="258"/>
      <c r="AS540" s="202"/>
      <c r="AT540" s="213"/>
      <c r="AU540" s="213"/>
    </row>
    <row r="541" spans="40:47" s="121" customFormat="1" hidden="1">
      <c r="AN541" s="239"/>
      <c r="AO541" s="225"/>
      <c r="AP541" s="260"/>
      <c r="AQ541" s="258"/>
      <c r="AR541" s="258"/>
      <c r="AS541" s="202"/>
      <c r="AT541" s="213"/>
      <c r="AU541" s="213"/>
    </row>
    <row r="542" spans="40:47" s="121" customFormat="1" hidden="1">
      <c r="AN542" s="239"/>
      <c r="AO542" s="225"/>
      <c r="AP542" s="260"/>
      <c r="AQ542" s="258"/>
      <c r="AR542" s="258"/>
      <c r="AS542" s="202"/>
      <c r="AT542" s="213"/>
      <c r="AU542" s="213"/>
    </row>
    <row r="543" spans="40:47" s="121" customFormat="1" hidden="1">
      <c r="AN543" s="239"/>
      <c r="AO543" s="225"/>
      <c r="AP543" s="260"/>
      <c r="AQ543" s="258"/>
      <c r="AR543" s="258"/>
      <c r="AS543" s="202"/>
      <c r="AT543" s="213"/>
      <c r="AU543" s="213"/>
    </row>
    <row r="544" spans="40:47" s="121" customFormat="1" hidden="1">
      <c r="AN544" s="239"/>
      <c r="AO544" s="225"/>
      <c r="AP544" s="260"/>
      <c r="AQ544" s="258"/>
      <c r="AR544" s="258"/>
      <c r="AS544" s="202"/>
      <c r="AT544" s="213"/>
      <c r="AU544" s="213"/>
    </row>
    <row r="545" spans="40:47" s="121" customFormat="1" hidden="1">
      <c r="AN545" s="239"/>
      <c r="AO545" s="225"/>
      <c r="AP545" s="260"/>
      <c r="AQ545" s="258"/>
      <c r="AR545" s="258"/>
      <c r="AS545" s="202"/>
      <c r="AT545" s="213"/>
      <c r="AU545" s="213"/>
    </row>
    <row r="546" spans="40:47" s="121" customFormat="1" hidden="1">
      <c r="AN546" s="239"/>
      <c r="AO546" s="225"/>
      <c r="AP546" s="260"/>
      <c r="AQ546" s="258"/>
      <c r="AR546" s="258"/>
      <c r="AS546" s="202"/>
      <c r="AT546" s="213"/>
      <c r="AU546" s="213"/>
    </row>
    <row r="547" spans="40:47" s="121" customFormat="1" hidden="1">
      <c r="AN547" s="239"/>
      <c r="AO547" s="225"/>
      <c r="AP547" s="260"/>
      <c r="AQ547" s="258"/>
      <c r="AR547" s="258"/>
      <c r="AS547" s="202"/>
      <c r="AT547" s="213"/>
      <c r="AU547" s="213"/>
    </row>
    <row r="548" spans="40:47" s="121" customFormat="1" hidden="1">
      <c r="AN548" s="239"/>
      <c r="AO548" s="225"/>
      <c r="AP548" s="260"/>
      <c r="AQ548" s="258"/>
      <c r="AR548" s="258"/>
      <c r="AS548" s="202"/>
      <c r="AT548" s="213"/>
      <c r="AU548" s="213"/>
    </row>
    <row r="549" spans="40:47" s="121" customFormat="1" hidden="1">
      <c r="AN549" s="239"/>
      <c r="AO549" s="225"/>
      <c r="AP549" s="260"/>
      <c r="AQ549" s="258"/>
      <c r="AR549" s="258"/>
      <c r="AS549" s="202"/>
      <c r="AT549" s="213"/>
      <c r="AU549" s="213"/>
    </row>
    <row r="550" spans="40:47" s="121" customFormat="1" hidden="1">
      <c r="AN550" s="239"/>
      <c r="AO550" s="225"/>
      <c r="AP550" s="260"/>
      <c r="AQ550" s="258"/>
      <c r="AR550" s="258"/>
      <c r="AS550" s="202"/>
      <c r="AT550" s="213"/>
      <c r="AU550" s="213"/>
    </row>
    <row r="551" spans="40:47" s="121" customFormat="1" hidden="1">
      <c r="AN551" s="239"/>
      <c r="AO551" s="225"/>
      <c r="AP551" s="260"/>
      <c r="AQ551" s="258"/>
      <c r="AR551" s="258"/>
      <c r="AS551" s="202"/>
      <c r="AT551" s="213"/>
      <c r="AU551" s="213"/>
    </row>
    <row r="552" spans="40:47" s="121" customFormat="1" hidden="1">
      <c r="AN552" s="239"/>
      <c r="AO552" s="225"/>
      <c r="AP552" s="260"/>
      <c r="AQ552" s="258"/>
      <c r="AR552" s="258"/>
      <c r="AS552" s="202"/>
      <c r="AT552" s="213"/>
      <c r="AU552" s="213"/>
    </row>
    <row r="553" spans="40:47" s="121" customFormat="1" hidden="1">
      <c r="AN553" s="239"/>
      <c r="AO553" s="225"/>
      <c r="AP553" s="260"/>
      <c r="AQ553" s="258"/>
      <c r="AR553" s="258"/>
      <c r="AS553" s="202"/>
      <c r="AT553" s="213"/>
      <c r="AU553" s="213"/>
    </row>
    <row r="554" spans="40:47" s="121" customFormat="1" hidden="1">
      <c r="AN554" s="239"/>
      <c r="AO554" s="225"/>
      <c r="AP554" s="260"/>
      <c r="AQ554" s="258"/>
      <c r="AR554" s="258"/>
      <c r="AS554" s="202"/>
      <c r="AT554" s="213"/>
      <c r="AU554" s="213"/>
    </row>
    <row r="555" spans="40:47" s="121" customFormat="1" hidden="1">
      <c r="AN555" s="239"/>
      <c r="AO555" s="225"/>
      <c r="AP555" s="260"/>
      <c r="AQ555" s="258"/>
      <c r="AR555" s="258"/>
      <c r="AS555" s="202"/>
      <c r="AT555" s="213"/>
      <c r="AU555" s="213"/>
    </row>
    <row r="556" spans="40:47" s="121" customFormat="1" hidden="1">
      <c r="AN556" s="239"/>
      <c r="AO556" s="225"/>
      <c r="AP556" s="260"/>
      <c r="AQ556" s="258"/>
      <c r="AR556" s="258"/>
      <c r="AS556" s="202"/>
      <c r="AT556" s="213"/>
      <c r="AU556" s="213"/>
    </row>
    <row r="557" spans="40:47" s="121" customFormat="1" hidden="1">
      <c r="AN557" s="239"/>
      <c r="AO557" s="225"/>
      <c r="AP557" s="260"/>
      <c r="AQ557" s="258"/>
      <c r="AR557" s="258"/>
      <c r="AS557" s="202"/>
      <c r="AT557" s="213"/>
      <c r="AU557" s="213"/>
    </row>
    <row r="558" spans="40:47" s="121" customFormat="1" hidden="1">
      <c r="AN558" s="239"/>
      <c r="AO558" s="225"/>
      <c r="AP558" s="260"/>
      <c r="AQ558" s="258"/>
      <c r="AR558" s="258"/>
      <c r="AS558" s="202"/>
      <c r="AT558" s="213"/>
      <c r="AU558" s="213"/>
    </row>
    <row r="559" spans="40:47" s="121" customFormat="1" hidden="1">
      <c r="AN559" s="239"/>
      <c r="AO559" s="225"/>
      <c r="AP559" s="260"/>
      <c r="AQ559" s="258"/>
      <c r="AR559" s="258"/>
      <c r="AS559" s="202"/>
      <c r="AT559" s="213"/>
      <c r="AU559" s="213"/>
    </row>
    <row r="560" spans="40:47" s="121" customFormat="1" hidden="1">
      <c r="AN560" s="239"/>
      <c r="AO560" s="225"/>
      <c r="AP560" s="260"/>
      <c r="AQ560" s="258"/>
      <c r="AR560" s="258"/>
      <c r="AS560" s="202"/>
      <c r="AT560" s="213"/>
      <c r="AU560" s="213"/>
    </row>
    <row r="561" spans="40:47" s="121" customFormat="1" hidden="1">
      <c r="AN561" s="239"/>
      <c r="AO561" s="225"/>
      <c r="AP561" s="260"/>
      <c r="AQ561" s="258"/>
      <c r="AR561" s="258"/>
      <c r="AS561" s="202"/>
      <c r="AT561" s="213"/>
      <c r="AU561" s="213"/>
    </row>
    <row r="562" spans="40:47" s="121" customFormat="1" hidden="1">
      <c r="AN562" s="239"/>
      <c r="AO562" s="225"/>
      <c r="AP562" s="260"/>
      <c r="AQ562" s="258"/>
      <c r="AR562" s="258"/>
      <c r="AS562" s="202"/>
      <c r="AT562" s="213"/>
      <c r="AU562" s="213"/>
    </row>
    <row r="563" spans="40:47" s="121" customFormat="1" hidden="1">
      <c r="AN563" s="239"/>
      <c r="AO563" s="225"/>
      <c r="AP563" s="260"/>
      <c r="AQ563" s="258"/>
      <c r="AR563" s="258"/>
      <c r="AS563" s="202"/>
      <c r="AT563" s="213"/>
      <c r="AU563" s="213"/>
    </row>
    <row r="564" spans="40:47" s="121" customFormat="1" hidden="1">
      <c r="AN564" s="239"/>
      <c r="AO564" s="225"/>
      <c r="AP564" s="260"/>
      <c r="AQ564" s="258"/>
      <c r="AR564" s="258"/>
      <c r="AS564" s="202"/>
      <c r="AT564" s="213"/>
      <c r="AU564" s="213"/>
    </row>
    <row r="565" spans="40:47" s="121" customFormat="1" hidden="1">
      <c r="AN565" s="239"/>
      <c r="AO565" s="225"/>
      <c r="AP565" s="260"/>
      <c r="AQ565" s="258"/>
      <c r="AR565" s="258"/>
      <c r="AS565" s="202"/>
      <c r="AT565" s="213"/>
      <c r="AU565" s="213"/>
    </row>
    <row r="566" spans="40:47" s="121" customFormat="1" hidden="1">
      <c r="AN566" s="239"/>
      <c r="AO566" s="225"/>
      <c r="AP566" s="260"/>
      <c r="AQ566" s="258"/>
      <c r="AR566" s="258"/>
      <c r="AS566" s="202"/>
      <c r="AT566" s="213"/>
      <c r="AU566" s="213"/>
    </row>
    <row r="567" spans="40:47" s="121" customFormat="1" hidden="1">
      <c r="AN567" s="239"/>
      <c r="AO567" s="225"/>
      <c r="AP567" s="260"/>
      <c r="AQ567" s="258"/>
      <c r="AR567" s="258"/>
      <c r="AS567" s="202"/>
      <c r="AT567" s="213"/>
      <c r="AU567" s="213"/>
    </row>
    <row r="568" spans="40:47" s="121" customFormat="1" hidden="1">
      <c r="AN568" s="239"/>
      <c r="AO568" s="225"/>
      <c r="AP568" s="260"/>
      <c r="AQ568" s="258"/>
      <c r="AR568" s="258"/>
      <c r="AS568" s="202"/>
      <c r="AT568" s="213"/>
      <c r="AU568" s="213"/>
    </row>
    <row r="569" spans="40:47" s="121" customFormat="1" hidden="1">
      <c r="AN569" s="239"/>
      <c r="AO569" s="225"/>
      <c r="AP569" s="260"/>
      <c r="AQ569" s="258"/>
      <c r="AR569" s="258"/>
      <c r="AS569" s="202"/>
      <c r="AT569" s="213"/>
      <c r="AU569" s="213"/>
    </row>
    <row r="570" spans="40:47" s="121" customFormat="1" hidden="1">
      <c r="AN570" s="239"/>
      <c r="AO570" s="225"/>
      <c r="AP570" s="260"/>
      <c r="AQ570" s="258"/>
      <c r="AR570" s="258"/>
      <c r="AS570" s="202"/>
      <c r="AT570" s="213"/>
      <c r="AU570" s="213"/>
    </row>
    <row r="571" spans="40:47" s="121" customFormat="1" hidden="1">
      <c r="AN571" s="239"/>
      <c r="AO571" s="225"/>
      <c r="AP571" s="260"/>
      <c r="AQ571" s="258"/>
      <c r="AR571" s="258"/>
      <c r="AS571" s="202"/>
      <c r="AT571" s="213"/>
      <c r="AU571" s="213"/>
    </row>
    <row r="572" spans="40:47" s="121" customFormat="1" hidden="1">
      <c r="AN572" s="239"/>
      <c r="AO572" s="225"/>
      <c r="AP572" s="260"/>
      <c r="AQ572" s="258"/>
      <c r="AR572" s="258"/>
      <c r="AS572" s="202"/>
      <c r="AT572" s="213"/>
      <c r="AU572" s="213"/>
    </row>
    <row r="573" spans="40:47" s="121" customFormat="1" hidden="1">
      <c r="AN573" s="239"/>
      <c r="AO573" s="225"/>
      <c r="AP573" s="260"/>
      <c r="AQ573" s="258"/>
      <c r="AR573" s="258"/>
      <c r="AS573" s="202"/>
      <c r="AT573" s="213"/>
      <c r="AU573" s="213"/>
    </row>
    <row r="574" spans="40:47" s="121" customFormat="1" hidden="1">
      <c r="AN574" s="239"/>
      <c r="AO574" s="225"/>
      <c r="AP574" s="260"/>
      <c r="AQ574" s="258"/>
      <c r="AR574" s="258"/>
      <c r="AS574" s="202"/>
      <c r="AT574" s="213"/>
      <c r="AU574" s="213"/>
    </row>
    <row r="575" spans="40:47" s="121" customFormat="1" hidden="1">
      <c r="AN575" s="239"/>
      <c r="AO575" s="225"/>
      <c r="AP575" s="260"/>
      <c r="AQ575" s="258"/>
      <c r="AR575" s="258"/>
      <c r="AS575" s="202"/>
      <c r="AT575" s="213"/>
      <c r="AU575" s="213"/>
    </row>
    <row r="576" spans="40:47" s="121" customFormat="1" hidden="1">
      <c r="AN576" s="239"/>
      <c r="AO576" s="225"/>
      <c r="AP576" s="260"/>
      <c r="AQ576" s="258"/>
      <c r="AR576" s="258"/>
      <c r="AS576" s="202"/>
      <c r="AT576" s="213"/>
      <c r="AU576" s="213"/>
    </row>
    <row r="577" spans="40:47" s="121" customFormat="1" hidden="1">
      <c r="AN577" s="239"/>
      <c r="AO577" s="225"/>
      <c r="AP577" s="260"/>
      <c r="AQ577" s="258"/>
      <c r="AR577" s="258"/>
      <c r="AS577" s="202"/>
      <c r="AT577" s="213"/>
      <c r="AU577" s="213"/>
    </row>
    <row r="578" spans="40:47" s="121" customFormat="1" hidden="1">
      <c r="AN578" s="239"/>
      <c r="AO578" s="225"/>
      <c r="AP578" s="260"/>
      <c r="AQ578" s="258"/>
      <c r="AR578" s="258"/>
      <c r="AS578" s="202"/>
      <c r="AT578" s="213"/>
      <c r="AU578" s="213"/>
    </row>
    <row r="579" spans="40:47" s="121" customFormat="1" hidden="1">
      <c r="AN579" s="239"/>
      <c r="AO579" s="225"/>
      <c r="AP579" s="260"/>
      <c r="AQ579" s="258"/>
      <c r="AR579" s="258"/>
      <c r="AS579" s="202"/>
      <c r="AT579" s="213"/>
      <c r="AU579" s="213"/>
    </row>
    <row r="580" spans="40:47" s="121" customFormat="1" hidden="1">
      <c r="AN580" s="239"/>
      <c r="AO580" s="225"/>
      <c r="AP580" s="260"/>
      <c r="AQ580" s="258"/>
      <c r="AR580" s="258"/>
      <c r="AS580" s="202"/>
      <c r="AT580" s="213"/>
      <c r="AU580" s="213"/>
    </row>
    <row r="581" spans="40:47" s="121" customFormat="1" hidden="1">
      <c r="AN581" s="239"/>
      <c r="AO581" s="225"/>
      <c r="AP581" s="260"/>
      <c r="AQ581" s="258"/>
      <c r="AR581" s="258"/>
      <c r="AS581" s="202"/>
      <c r="AT581" s="213"/>
      <c r="AU581" s="213"/>
    </row>
    <row r="582" spans="40:47" s="121" customFormat="1" hidden="1">
      <c r="AN582" s="239"/>
      <c r="AO582" s="225"/>
      <c r="AP582" s="260"/>
      <c r="AQ582" s="258"/>
      <c r="AR582" s="258"/>
      <c r="AS582" s="202"/>
      <c r="AT582" s="213"/>
      <c r="AU582" s="213"/>
    </row>
    <row r="583" spans="40:47" s="121" customFormat="1" hidden="1">
      <c r="AN583" s="239"/>
      <c r="AO583" s="225"/>
      <c r="AP583" s="260"/>
      <c r="AQ583" s="258"/>
      <c r="AR583" s="258"/>
      <c r="AS583" s="202"/>
      <c r="AT583" s="213"/>
      <c r="AU583" s="213"/>
    </row>
    <row r="584" spans="40:47" s="121" customFormat="1" hidden="1">
      <c r="AN584" s="239"/>
      <c r="AO584" s="225"/>
      <c r="AP584" s="260"/>
      <c r="AQ584" s="258"/>
      <c r="AR584" s="258"/>
      <c r="AS584" s="202"/>
      <c r="AT584" s="213"/>
      <c r="AU584" s="213"/>
    </row>
    <row r="585" spans="40:47" s="121" customFormat="1" hidden="1">
      <c r="AN585" s="239"/>
      <c r="AO585" s="225"/>
      <c r="AP585" s="260"/>
      <c r="AQ585" s="258"/>
      <c r="AR585" s="258"/>
      <c r="AS585" s="202"/>
      <c r="AT585" s="213"/>
      <c r="AU585" s="213"/>
    </row>
    <row r="586" spans="40:47" s="121" customFormat="1" hidden="1">
      <c r="AN586" s="239"/>
      <c r="AO586" s="225"/>
      <c r="AP586" s="260"/>
      <c r="AQ586" s="258"/>
      <c r="AR586" s="258"/>
      <c r="AS586" s="202"/>
      <c r="AT586" s="213"/>
      <c r="AU586" s="213"/>
    </row>
    <row r="587" spans="40:47" s="121" customFormat="1" hidden="1">
      <c r="AN587" s="239"/>
      <c r="AO587" s="225"/>
      <c r="AP587" s="260"/>
      <c r="AQ587" s="258"/>
      <c r="AR587" s="258"/>
      <c r="AS587" s="202"/>
      <c r="AT587" s="213"/>
      <c r="AU587" s="213"/>
    </row>
    <row r="588" spans="40:47" s="121" customFormat="1" hidden="1">
      <c r="AN588" s="239"/>
      <c r="AO588" s="225"/>
      <c r="AP588" s="260"/>
      <c r="AQ588" s="258"/>
      <c r="AR588" s="258"/>
      <c r="AS588" s="202"/>
      <c r="AT588" s="213"/>
      <c r="AU588" s="213"/>
    </row>
    <row r="589" spans="40:47" s="121" customFormat="1" hidden="1">
      <c r="AN589" s="239"/>
      <c r="AO589" s="225"/>
      <c r="AP589" s="260"/>
      <c r="AQ589" s="258"/>
      <c r="AR589" s="258"/>
      <c r="AS589" s="202"/>
      <c r="AT589" s="213"/>
      <c r="AU589" s="213"/>
    </row>
    <row r="590" spans="40:47" s="121" customFormat="1" hidden="1">
      <c r="AN590" s="239"/>
      <c r="AO590" s="225"/>
      <c r="AP590" s="260"/>
      <c r="AQ590" s="258"/>
      <c r="AR590" s="258"/>
      <c r="AS590" s="202"/>
      <c r="AT590" s="213"/>
      <c r="AU590" s="213"/>
    </row>
    <row r="591" spans="40:47" s="121" customFormat="1" hidden="1">
      <c r="AN591" s="239"/>
      <c r="AO591" s="225"/>
      <c r="AP591" s="260"/>
      <c r="AQ591" s="258"/>
      <c r="AR591" s="258"/>
      <c r="AS591" s="202"/>
      <c r="AT591" s="213"/>
      <c r="AU591" s="213"/>
    </row>
    <row r="592" spans="40:47" s="121" customFormat="1" hidden="1">
      <c r="AN592" s="239"/>
      <c r="AO592" s="225"/>
      <c r="AP592" s="260"/>
      <c r="AQ592" s="258"/>
      <c r="AR592" s="258"/>
      <c r="AS592" s="202"/>
      <c r="AT592" s="213"/>
      <c r="AU592" s="213"/>
    </row>
    <row r="593" spans="40:47" s="121" customFormat="1" hidden="1">
      <c r="AN593" s="239"/>
      <c r="AO593" s="225"/>
      <c r="AP593" s="260"/>
      <c r="AQ593" s="258"/>
      <c r="AR593" s="258"/>
      <c r="AS593" s="202"/>
      <c r="AT593" s="213"/>
      <c r="AU593" s="213"/>
    </row>
    <row r="594" spans="40:47" s="121" customFormat="1" hidden="1">
      <c r="AN594" s="239"/>
      <c r="AO594" s="225"/>
      <c r="AP594" s="260"/>
      <c r="AQ594" s="258"/>
      <c r="AR594" s="258"/>
      <c r="AS594" s="202"/>
      <c r="AT594" s="213"/>
      <c r="AU594" s="213"/>
    </row>
    <row r="595" spans="40:47" s="121" customFormat="1" hidden="1">
      <c r="AN595" s="239"/>
      <c r="AO595" s="225"/>
      <c r="AP595" s="260"/>
      <c r="AQ595" s="258"/>
      <c r="AR595" s="258"/>
      <c r="AS595" s="202"/>
      <c r="AT595" s="213"/>
      <c r="AU595" s="213"/>
    </row>
    <row r="596" spans="40:47" s="121" customFormat="1" hidden="1">
      <c r="AN596" s="239"/>
      <c r="AO596" s="225"/>
      <c r="AP596" s="260"/>
      <c r="AQ596" s="258"/>
      <c r="AR596" s="258"/>
      <c r="AS596" s="202"/>
      <c r="AT596" s="213"/>
      <c r="AU596" s="213"/>
    </row>
    <row r="597" spans="40:47" s="121" customFormat="1" hidden="1">
      <c r="AN597" s="239"/>
      <c r="AO597" s="225"/>
      <c r="AP597" s="260"/>
      <c r="AQ597" s="258"/>
      <c r="AR597" s="258"/>
      <c r="AS597" s="202"/>
      <c r="AT597" s="213"/>
      <c r="AU597" s="213"/>
    </row>
    <row r="598" spans="40:47" s="121" customFormat="1" hidden="1">
      <c r="AN598" s="239"/>
      <c r="AO598" s="225"/>
      <c r="AP598" s="260"/>
      <c r="AQ598" s="258"/>
      <c r="AR598" s="258"/>
      <c r="AS598" s="202"/>
      <c r="AT598" s="213"/>
      <c r="AU598" s="213"/>
    </row>
    <row r="599" spans="40:47" s="121" customFormat="1" hidden="1">
      <c r="AN599" s="239"/>
      <c r="AO599" s="225"/>
      <c r="AP599" s="260"/>
      <c r="AQ599" s="258"/>
      <c r="AR599" s="258"/>
      <c r="AS599" s="202"/>
      <c r="AT599" s="213"/>
      <c r="AU599" s="213"/>
    </row>
    <row r="600" spans="40:47" s="121" customFormat="1" hidden="1">
      <c r="AN600" s="239"/>
      <c r="AO600" s="225"/>
      <c r="AP600" s="260"/>
      <c r="AQ600" s="258"/>
      <c r="AR600" s="258"/>
      <c r="AS600" s="202"/>
      <c r="AT600" s="213"/>
      <c r="AU600" s="213"/>
    </row>
    <row r="601" spans="40:47" s="121" customFormat="1" hidden="1">
      <c r="AN601" s="239"/>
      <c r="AO601" s="225"/>
      <c r="AP601" s="260"/>
      <c r="AQ601" s="258"/>
      <c r="AR601" s="258"/>
      <c r="AS601" s="202"/>
      <c r="AT601" s="213"/>
      <c r="AU601" s="213"/>
    </row>
    <row r="602" spans="40:47" s="121" customFormat="1" hidden="1">
      <c r="AN602" s="239"/>
      <c r="AO602" s="225"/>
      <c r="AP602" s="260"/>
      <c r="AQ602" s="258"/>
      <c r="AR602" s="258"/>
      <c r="AS602" s="202"/>
      <c r="AT602" s="213"/>
      <c r="AU602" s="213"/>
    </row>
    <row r="603" spans="40:47" s="121" customFormat="1" hidden="1">
      <c r="AN603" s="239"/>
      <c r="AO603" s="225"/>
      <c r="AP603" s="260"/>
      <c r="AQ603" s="258"/>
      <c r="AR603" s="258"/>
      <c r="AS603" s="202"/>
      <c r="AT603" s="213"/>
      <c r="AU603" s="213"/>
    </row>
    <row r="604" spans="40:47" s="121" customFormat="1" hidden="1">
      <c r="AN604" s="239"/>
      <c r="AO604" s="225"/>
      <c r="AP604" s="260"/>
      <c r="AQ604" s="258"/>
      <c r="AR604" s="258"/>
      <c r="AS604" s="202"/>
      <c r="AT604" s="213"/>
      <c r="AU604" s="213"/>
    </row>
    <row r="605" spans="40:47" s="121" customFormat="1" hidden="1">
      <c r="AN605" s="239"/>
      <c r="AO605" s="225"/>
      <c r="AP605" s="260"/>
      <c r="AQ605" s="258"/>
      <c r="AR605" s="258"/>
      <c r="AS605" s="202"/>
      <c r="AT605" s="213"/>
      <c r="AU605" s="213"/>
    </row>
    <row r="606" spans="40:47" s="121" customFormat="1" hidden="1">
      <c r="AN606" s="239"/>
      <c r="AO606" s="225"/>
      <c r="AP606" s="260"/>
      <c r="AQ606" s="258"/>
      <c r="AR606" s="258"/>
      <c r="AS606" s="202"/>
      <c r="AT606" s="213"/>
      <c r="AU606" s="213"/>
    </row>
    <row r="607" spans="40:47" s="121" customFormat="1" hidden="1">
      <c r="AN607" s="239"/>
      <c r="AO607" s="225"/>
      <c r="AP607" s="260"/>
      <c r="AQ607" s="258"/>
      <c r="AR607" s="258"/>
      <c r="AS607" s="202"/>
      <c r="AT607" s="213"/>
      <c r="AU607" s="213"/>
    </row>
    <row r="608" spans="40:47" s="121" customFormat="1" hidden="1">
      <c r="AN608" s="239"/>
      <c r="AO608" s="225"/>
      <c r="AP608" s="260"/>
      <c r="AQ608" s="258"/>
      <c r="AR608" s="258"/>
      <c r="AS608" s="202"/>
      <c r="AT608" s="213"/>
      <c r="AU608" s="213"/>
    </row>
    <row r="609" spans="40:47" s="121" customFormat="1" hidden="1">
      <c r="AN609" s="239"/>
      <c r="AO609" s="225"/>
      <c r="AP609" s="260"/>
      <c r="AQ609" s="258"/>
      <c r="AR609" s="258"/>
      <c r="AS609" s="202"/>
      <c r="AT609" s="213"/>
      <c r="AU609" s="213"/>
    </row>
    <row r="610" spans="40:47" s="121" customFormat="1" hidden="1">
      <c r="AN610" s="239"/>
      <c r="AO610" s="225"/>
      <c r="AP610" s="260"/>
      <c r="AQ610" s="258"/>
      <c r="AR610" s="258"/>
      <c r="AS610" s="202"/>
      <c r="AT610" s="213"/>
      <c r="AU610" s="213"/>
    </row>
    <row r="611" spans="40:47" s="121" customFormat="1" hidden="1">
      <c r="AN611" s="239"/>
      <c r="AO611" s="225"/>
      <c r="AP611" s="260"/>
      <c r="AQ611" s="258"/>
      <c r="AR611" s="258"/>
      <c r="AS611" s="202"/>
      <c r="AT611" s="213"/>
      <c r="AU611" s="213"/>
    </row>
    <row r="612" spans="40:47" s="121" customFormat="1" hidden="1">
      <c r="AN612" s="239"/>
      <c r="AO612" s="225"/>
      <c r="AP612" s="260"/>
      <c r="AQ612" s="258"/>
      <c r="AR612" s="258"/>
      <c r="AS612" s="202"/>
      <c r="AT612" s="213"/>
      <c r="AU612" s="213"/>
    </row>
    <row r="613" spans="40:47" s="121" customFormat="1" hidden="1">
      <c r="AN613" s="239"/>
      <c r="AO613" s="225"/>
      <c r="AP613" s="260"/>
      <c r="AQ613" s="258"/>
      <c r="AR613" s="258"/>
      <c r="AS613" s="202"/>
      <c r="AT613" s="213"/>
      <c r="AU613" s="213"/>
    </row>
    <row r="614" spans="40:47" s="121" customFormat="1" hidden="1">
      <c r="AN614" s="239"/>
      <c r="AO614" s="225"/>
      <c r="AP614" s="260"/>
      <c r="AQ614" s="258"/>
      <c r="AR614" s="258"/>
      <c r="AS614" s="202"/>
      <c r="AT614" s="213"/>
      <c r="AU614" s="213"/>
    </row>
    <row r="615" spans="40:47" s="121" customFormat="1" hidden="1">
      <c r="AN615" s="239"/>
      <c r="AO615" s="225"/>
      <c r="AP615" s="260"/>
      <c r="AQ615" s="258"/>
      <c r="AR615" s="258"/>
      <c r="AS615" s="202"/>
      <c r="AT615" s="213"/>
      <c r="AU615" s="213"/>
    </row>
    <row r="616" spans="40:47" s="121" customFormat="1" hidden="1">
      <c r="AN616" s="239"/>
      <c r="AO616" s="225"/>
      <c r="AP616" s="260"/>
      <c r="AQ616" s="258"/>
      <c r="AR616" s="258"/>
      <c r="AS616" s="202"/>
      <c r="AT616" s="213"/>
      <c r="AU616" s="213"/>
    </row>
    <row r="617" spans="40:47" s="121" customFormat="1" hidden="1">
      <c r="AN617" s="239"/>
      <c r="AO617" s="225"/>
      <c r="AP617" s="260"/>
      <c r="AQ617" s="258"/>
      <c r="AR617" s="258"/>
      <c r="AS617" s="202"/>
      <c r="AT617" s="213"/>
      <c r="AU617" s="213"/>
    </row>
    <row r="618" spans="40:47" s="121" customFormat="1" hidden="1">
      <c r="AN618" s="239"/>
      <c r="AO618" s="225"/>
      <c r="AP618" s="260"/>
      <c r="AQ618" s="258"/>
      <c r="AR618" s="258"/>
      <c r="AS618" s="202"/>
      <c r="AT618" s="213"/>
      <c r="AU618" s="213"/>
    </row>
    <row r="619" spans="40:47" s="121" customFormat="1" hidden="1">
      <c r="AN619" s="239"/>
      <c r="AO619" s="225"/>
      <c r="AP619" s="260"/>
      <c r="AQ619" s="258"/>
      <c r="AR619" s="258"/>
      <c r="AS619" s="202"/>
      <c r="AT619" s="213"/>
      <c r="AU619" s="213"/>
    </row>
    <row r="620" spans="40:47" s="121" customFormat="1" hidden="1">
      <c r="AN620" s="239"/>
      <c r="AO620" s="225"/>
      <c r="AP620" s="260"/>
      <c r="AQ620" s="258"/>
      <c r="AR620" s="258"/>
      <c r="AS620" s="202"/>
      <c r="AT620" s="213"/>
      <c r="AU620" s="213"/>
    </row>
    <row r="621" spans="40:47" s="121" customFormat="1" hidden="1">
      <c r="AN621" s="239"/>
      <c r="AO621" s="225"/>
      <c r="AP621" s="260"/>
      <c r="AQ621" s="258"/>
      <c r="AR621" s="258"/>
      <c r="AS621" s="202"/>
      <c r="AT621" s="213"/>
      <c r="AU621" s="213"/>
    </row>
    <row r="622" spans="40:47" s="121" customFormat="1" hidden="1">
      <c r="AN622" s="239"/>
      <c r="AO622" s="225"/>
      <c r="AP622" s="260"/>
      <c r="AQ622" s="258"/>
      <c r="AR622" s="258"/>
      <c r="AS622" s="202"/>
      <c r="AT622" s="213"/>
      <c r="AU622" s="213"/>
    </row>
    <row r="623" spans="40:47" s="121" customFormat="1" hidden="1">
      <c r="AN623" s="239"/>
      <c r="AO623" s="225"/>
      <c r="AP623" s="260"/>
      <c r="AQ623" s="258"/>
      <c r="AR623" s="258"/>
      <c r="AS623" s="202"/>
      <c r="AT623" s="213"/>
      <c r="AU623" s="213"/>
    </row>
    <row r="624" spans="40:47" s="121" customFormat="1" hidden="1">
      <c r="AN624" s="239"/>
      <c r="AO624" s="225"/>
      <c r="AP624" s="260"/>
      <c r="AQ624" s="258"/>
      <c r="AR624" s="258"/>
      <c r="AS624" s="202"/>
      <c r="AT624" s="213"/>
      <c r="AU624" s="213"/>
    </row>
    <row r="625" spans="40:47" s="121" customFormat="1" hidden="1">
      <c r="AN625" s="239"/>
      <c r="AO625" s="225"/>
      <c r="AP625" s="260"/>
      <c r="AQ625" s="258"/>
      <c r="AR625" s="258"/>
      <c r="AS625" s="202"/>
      <c r="AT625" s="213"/>
      <c r="AU625" s="213"/>
    </row>
    <row r="626" spans="40:47" s="121" customFormat="1" hidden="1">
      <c r="AN626" s="239"/>
      <c r="AO626" s="225"/>
      <c r="AP626" s="260"/>
      <c r="AQ626" s="258"/>
      <c r="AR626" s="258"/>
      <c r="AS626" s="202"/>
      <c r="AT626" s="213"/>
      <c r="AU626" s="213"/>
    </row>
    <row r="627" spans="40:47" s="121" customFormat="1" hidden="1">
      <c r="AN627" s="239"/>
      <c r="AO627" s="225"/>
      <c r="AP627" s="260"/>
      <c r="AQ627" s="258"/>
      <c r="AR627" s="258"/>
      <c r="AS627" s="202"/>
      <c r="AT627" s="213"/>
      <c r="AU627" s="213"/>
    </row>
    <row r="628" spans="40:47" s="121" customFormat="1" hidden="1">
      <c r="AN628" s="239"/>
      <c r="AO628" s="225"/>
      <c r="AP628" s="260"/>
      <c r="AQ628" s="258"/>
      <c r="AR628" s="258"/>
      <c r="AS628" s="202"/>
      <c r="AT628" s="213"/>
      <c r="AU628" s="213"/>
    </row>
    <row r="629" spans="40:47" s="121" customFormat="1" hidden="1">
      <c r="AN629" s="239"/>
      <c r="AO629" s="225"/>
      <c r="AP629" s="260"/>
      <c r="AQ629" s="258"/>
      <c r="AR629" s="258"/>
      <c r="AS629" s="202"/>
      <c r="AT629" s="213"/>
      <c r="AU629" s="213"/>
    </row>
    <row r="630" spans="40:47" s="121" customFormat="1" hidden="1">
      <c r="AN630" s="239"/>
      <c r="AO630" s="225"/>
      <c r="AP630" s="260"/>
      <c r="AQ630" s="258"/>
      <c r="AR630" s="258"/>
      <c r="AS630" s="202"/>
      <c r="AT630" s="213"/>
      <c r="AU630" s="213"/>
    </row>
    <row r="631" spans="40:47" s="121" customFormat="1" hidden="1">
      <c r="AN631" s="239"/>
      <c r="AO631" s="225"/>
      <c r="AP631" s="260"/>
      <c r="AQ631" s="258"/>
      <c r="AR631" s="258"/>
      <c r="AS631" s="202"/>
      <c r="AT631" s="213"/>
      <c r="AU631" s="213"/>
    </row>
    <row r="632" spans="40:47" s="121" customFormat="1" hidden="1">
      <c r="AN632" s="239"/>
      <c r="AO632" s="225"/>
      <c r="AP632" s="260"/>
      <c r="AQ632" s="258"/>
      <c r="AR632" s="258"/>
      <c r="AS632" s="202"/>
      <c r="AT632" s="213"/>
      <c r="AU632" s="213"/>
    </row>
    <row r="633" spans="40:47" s="121" customFormat="1" hidden="1">
      <c r="AN633" s="239"/>
      <c r="AO633" s="225"/>
      <c r="AP633" s="260"/>
      <c r="AQ633" s="258"/>
      <c r="AR633" s="258"/>
      <c r="AS633" s="202"/>
      <c r="AT633" s="213"/>
      <c r="AU633" s="213"/>
    </row>
    <row r="634" spans="40:47" s="121" customFormat="1" hidden="1">
      <c r="AN634" s="239"/>
      <c r="AO634" s="225"/>
      <c r="AP634" s="260"/>
      <c r="AQ634" s="258"/>
      <c r="AR634" s="258"/>
      <c r="AS634" s="202"/>
      <c r="AT634" s="213"/>
      <c r="AU634" s="213"/>
    </row>
    <row r="635" spans="40:47" s="121" customFormat="1" hidden="1">
      <c r="AN635" s="239"/>
      <c r="AO635" s="225"/>
      <c r="AP635" s="260"/>
      <c r="AQ635" s="258"/>
      <c r="AR635" s="258"/>
      <c r="AS635" s="202"/>
      <c r="AT635" s="213"/>
      <c r="AU635" s="213"/>
    </row>
    <row r="636" spans="40:47" s="121" customFormat="1" hidden="1">
      <c r="AN636" s="239"/>
      <c r="AO636" s="225"/>
      <c r="AP636" s="260"/>
      <c r="AQ636" s="258"/>
      <c r="AR636" s="258"/>
      <c r="AS636" s="202"/>
      <c r="AT636" s="213"/>
      <c r="AU636" s="213"/>
    </row>
    <row r="637" spans="40:47" s="121" customFormat="1" hidden="1">
      <c r="AN637" s="239"/>
      <c r="AO637" s="225"/>
      <c r="AP637" s="260"/>
      <c r="AQ637" s="258"/>
      <c r="AR637" s="258"/>
      <c r="AS637" s="202"/>
      <c r="AT637" s="213"/>
      <c r="AU637" s="213"/>
    </row>
    <row r="638" spans="40:47" s="121" customFormat="1" hidden="1">
      <c r="AN638" s="239"/>
      <c r="AO638" s="225"/>
      <c r="AP638" s="260"/>
      <c r="AQ638" s="258"/>
      <c r="AR638" s="258"/>
      <c r="AS638" s="202"/>
      <c r="AT638" s="213"/>
      <c r="AU638" s="213"/>
    </row>
    <row r="639" spans="40:47" s="121" customFormat="1" hidden="1">
      <c r="AN639" s="239"/>
      <c r="AO639" s="225"/>
      <c r="AP639" s="260"/>
      <c r="AQ639" s="258"/>
      <c r="AR639" s="258"/>
      <c r="AS639" s="202"/>
      <c r="AT639" s="213"/>
      <c r="AU639" s="213"/>
    </row>
    <row r="640" spans="40:47" s="121" customFormat="1" hidden="1">
      <c r="AN640" s="239"/>
      <c r="AO640" s="225"/>
      <c r="AP640" s="260"/>
      <c r="AQ640" s="258"/>
      <c r="AR640" s="258"/>
      <c r="AS640" s="202"/>
      <c r="AT640" s="213"/>
      <c r="AU640" s="213"/>
    </row>
    <row r="641" spans="40:47" s="121" customFormat="1" hidden="1">
      <c r="AN641" s="239"/>
      <c r="AO641" s="225"/>
      <c r="AP641" s="260"/>
      <c r="AQ641" s="258"/>
      <c r="AR641" s="258"/>
      <c r="AS641" s="202"/>
      <c r="AT641" s="213"/>
      <c r="AU641" s="213"/>
    </row>
    <row r="642" spans="40:47" s="121" customFormat="1" hidden="1">
      <c r="AN642" s="239"/>
      <c r="AO642" s="225"/>
      <c r="AP642" s="260"/>
      <c r="AQ642" s="258"/>
      <c r="AR642" s="258"/>
      <c r="AS642" s="202"/>
      <c r="AT642" s="213"/>
      <c r="AU642" s="213"/>
    </row>
    <row r="643" spans="40:47" s="121" customFormat="1" hidden="1">
      <c r="AN643" s="239"/>
      <c r="AO643" s="225"/>
      <c r="AP643" s="260"/>
      <c r="AQ643" s="258"/>
      <c r="AR643" s="258"/>
      <c r="AS643" s="202"/>
      <c r="AT643" s="213"/>
      <c r="AU643" s="213"/>
    </row>
    <row r="644" spans="40:47" s="121" customFormat="1" hidden="1">
      <c r="AN644" s="239"/>
      <c r="AO644" s="225"/>
      <c r="AP644" s="260"/>
      <c r="AQ644" s="258"/>
      <c r="AR644" s="258"/>
      <c r="AS644" s="202"/>
      <c r="AT644" s="213"/>
      <c r="AU644" s="213"/>
    </row>
    <row r="645" spans="40:47" s="121" customFormat="1" hidden="1">
      <c r="AN645" s="239"/>
      <c r="AO645" s="225"/>
      <c r="AP645" s="260"/>
      <c r="AQ645" s="258"/>
      <c r="AR645" s="258"/>
      <c r="AS645" s="202"/>
      <c r="AT645" s="213"/>
      <c r="AU645" s="213"/>
    </row>
    <row r="646" spans="40:47" s="121" customFormat="1" hidden="1">
      <c r="AN646" s="239"/>
      <c r="AO646" s="225"/>
      <c r="AP646" s="260"/>
      <c r="AQ646" s="258"/>
      <c r="AR646" s="258"/>
      <c r="AS646" s="202"/>
      <c r="AT646" s="213"/>
      <c r="AU646" s="213"/>
    </row>
    <row r="647" spans="40:47" s="121" customFormat="1" hidden="1">
      <c r="AN647" s="239"/>
      <c r="AO647" s="225"/>
      <c r="AP647" s="260"/>
      <c r="AQ647" s="258"/>
      <c r="AR647" s="258"/>
      <c r="AS647" s="202"/>
      <c r="AT647" s="213"/>
      <c r="AU647" s="213"/>
    </row>
    <row r="648" spans="40:47" s="121" customFormat="1" hidden="1">
      <c r="AN648" s="239"/>
      <c r="AO648" s="225"/>
      <c r="AP648" s="260"/>
      <c r="AQ648" s="258"/>
      <c r="AR648" s="258"/>
      <c r="AS648" s="202"/>
      <c r="AT648" s="213"/>
      <c r="AU648" s="213"/>
    </row>
    <row r="649" spans="40:47" s="121" customFormat="1" hidden="1">
      <c r="AN649" s="239"/>
      <c r="AO649" s="225"/>
      <c r="AP649" s="260"/>
      <c r="AQ649" s="258"/>
      <c r="AR649" s="258"/>
      <c r="AS649" s="202"/>
      <c r="AT649" s="213"/>
      <c r="AU649" s="213"/>
    </row>
    <row r="650" spans="40:47" s="121" customFormat="1" hidden="1">
      <c r="AN650" s="239"/>
      <c r="AO650" s="225"/>
      <c r="AP650" s="260"/>
      <c r="AQ650" s="258"/>
      <c r="AR650" s="258"/>
      <c r="AS650" s="202"/>
      <c r="AT650" s="213"/>
      <c r="AU650" s="213"/>
    </row>
    <row r="651" spans="40:47" s="121" customFormat="1" hidden="1">
      <c r="AN651" s="239"/>
      <c r="AO651" s="225"/>
      <c r="AP651" s="260"/>
      <c r="AQ651" s="258"/>
      <c r="AR651" s="258"/>
      <c r="AS651" s="202"/>
      <c r="AT651" s="213"/>
      <c r="AU651" s="213"/>
    </row>
    <row r="652" spans="40:47" s="121" customFormat="1" hidden="1">
      <c r="AN652" s="239"/>
      <c r="AO652" s="225"/>
      <c r="AP652" s="260"/>
      <c r="AQ652" s="258"/>
      <c r="AR652" s="258"/>
      <c r="AS652" s="202"/>
      <c r="AT652" s="213"/>
      <c r="AU652" s="213"/>
    </row>
    <row r="653" spans="40:47" s="121" customFormat="1" hidden="1">
      <c r="AN653" s="239"/>
      <c r="AO653" s="225"/>
      <c r="AP653" s="260"/>
      <c r="AQ653" s="258"/>
      <c r="AR653" s="258"/>
      <c r="AS653" s="202"/>
      <c r="AT653" s="213"/>
      <c r="AU653" s="213"/>
    </row>
    <row r="654" spans="40:47" s="121" customFormat="1" hidden="1">
      <c r="AN654" s="239"/>
      <c r="AO654" s="225"/>
      <c r="AP654" s="260"/>
      <c r="AQ654" s="258"/>
      <c r="AR654" s="258"/>
      <c r="AS654" s="202"/>
      <c r="AT654" s="213"/>
      <c r="AU654" s="213"/>
    </row>
    <row r="655" spans="40:47" s="121" customFormat="1" hidden="1">
      <c r="AN655" s="239"/>
      <c r="AO655" s="225"/>
      <c r="AP655" s="260"/>
      <c r="AQ655" s="258"/>
      <c r="AR655" s="258"/>
      <c r="AS655" s="202"/>
      <c r="AT655" s="213"/>
      <c r="AU655" s="213"/>
    </row>
    <row r="656" spans="40:47" s="121" customFormat="1" hidden="1">
      <c r="AN656" s="239"/>
      <c r="AO656" s="225"/>
      <c r="AP656" s="260"/>
      <c r="AQ656" s="258"/>
      <c r="AR656" s="258"/>
      <c r="AS656" s="202"/>
      <c r="AT656" s="213"/>
      <c r="AU656" s="213"/>
    </row>
    <row r="657" spans="40:47" s="121" customFormat="1" hidden="1">
      <c r="AN657" s="239"/>
      <c r="AO657" s="225"/>
      <c r="AP657" s="260"/>
      <c r="AQ657" s="258"/>
      <c r="AR657" s="258"/>
      <c r="AS657" s="202"/>
      <c r="AT657" s="213"/>
      <c r="AU657" s="213"/>
    </row>
    <row r="658" spans="40:47" s="121" customFormat="1" hidden="1">
      <c r="AN658" s="239"/>
      <c r="AO658" s="225"/>
      <c r="AP658" s="260"/>
      <c r="AQ658" s="258"/>
      <c r="AR658" s="258"/>
      <c r="AS658" s="202"/>
      <c r="AT658" s="213"/>
      <c r="AU658" s="213"/>
    </row>
    <row r="659" spans="40:47" s="121" customFormat="1" hidden="1">
      <c r="AN659" s="239"/>
      <c r="AO659" s="225"/>
      <c r="AP659" s="260"/>
      <c r="AQ659" s="258"/>
      <c r="AR659" s="258"/>
      <c r="AS659" s="202"/>
      <c r="AT659" s="213"/>
      <c r="AU659" s="213"/>
    </row>
    <row r="660" spans="40:47" s="121" customFormat="1" hidden="1">
      <c r="AN660" s="239"/>
      <c r="AO660" s="225"/>
      <c r="AP660" s="260"/>
      <c r="AQ660" s="258"/>
      <c r="AR660" s="258"/>
      <c r="AS660" s="202"/>
      <c r="AT660" s="213"/>
      <c r="AU660" s="213"/>
    </row>
    <row r="661" spans="40:47" s="121" customFormat="1" hidden="1">
      <c r="AN661" s="239"/>
      <c r="AO661" s="225"/>
      <c r="AP661" s="260"/>
      <c r="AQ661" s="258"/>
      <c r="AR661" s="258"/>
      <c r="AS661" s="202"/>
      <c r="AT661" s="213"/>
      <c r="AU661" s="213"/>
    </row>
    <row r="662" spans="40:47" s="121" customFormat="1" hidden="1">
      <c r="AN662" s="239"/>
      <c r="AO662" s="225"/>
      <c r="AP662" s="260"/>
      <c r="AQ662" s="258"/>
      <c r="AR662" s="258"/>
      <c r="AS662" s="202"/>
      <c r="AT662" s="213"/>
      <c r="AU662" s="213"/>
    </row>
    <row r="663" spans="40:47" s="121" customFormat="1" hidden="1">
      <c r="AN663" s="239"/>
      <c r="AO663" s="225"/>
      <c r="AP663" s="260"/>
      <c r="AQ663" s="258"/>
      <c r="AR663" s="258"/>
      <c r="AS663" s="202"/>
      <c r="AT663" s="213"/>
      <c r="AU663" s="213"/>
    </row>
    <row r="664" spans="40:47" s="121" customFormat="1" hidden="1">
      <c r="AN664" s="239"/>
      <c r="AO664" s="225"/>
      <c r="AP664" s="260"/>
      <c r="AQ664" s="258"/>
      <c r="AR664" s="258"/>
      <c r="AS664" s="202"/>
      <c r="AT664" s="213"/>
      <c r="AU664" s="213"/>
    </row>
    <row r="665" spans="40:47" s="121" customFormat="1" hidden="1">
      <c r="AN665" s="239"/>
      <c r="AO665" s="225"/>
      <c r="AP665" s="260"/>
      <c r="AQ665" s="258"/>
      <c r="AR665" s="258"/>
      <c r="AS665" s="202"/>
      <c r="AT665" s="213"/>
      <c r="AU665" s="213"/>
    </row>
    <row r="666" spans="40:47" s="121" customFormat="1" hidden="1">
      <c r="AN666" s="239"/>
      <c r="AO666" s="225"/>
      <c r="AP666" s="260"/>
      <c r="AQ666" s="258"/>
      <c r="AR666" s="258"/>
      <c r="AS666" s="202"/>
      <c r="AT666" s="213"/>
      <c r="AU666" s="213"/>
    </row>
    <row r="667" spans="40:47" s="121" customFormat="1" hidden="1">
      <c r="AN667" s="239"/>
      <c r="AO667" s="225"/>
      <c r="AP667" s="260"/>
      <c r="AQ667" s="258"/>
      <c r="AR667" s="258"/>
      <c r="AS667" s="202"/>
      <c r="AT667" s="213"/>
      <c r="AU667" s="213"/>
    </row>
    <row r="668" spans="40:47" s="121" customFormat="1" hidden="1">
      <c r="AN668" s="239"/>
      <c r="AO668" s="225"/>
      <c r="AP668" s="260"/>
      <c r="AQ668" s="258"/>
      <c r="AR668" s="258"/>
      <c r="AS668" s="202"/>
      <c r="AT668" s="213"/>
      <c r="AU668" s="213"/>
    </row>
    <row r="669" spans="40:47" s="121" customFormat="1" hidden="1">
      <c r="AN669" s="239"/>
      <c r="AO669" s="225"/>
      <c r="AP669" s="260"/>
      <c r="AQ669" s="258"/>
      <c r="AR669" s="258"/>
      <c r="AS669" s="202"/>
      <c r="AT669" s="213"/>
      <c r="AU669" s="213"/>
    </row>
    <row r="670" spans="40:47" s="121" customFormat="1" hidden="1">
      <c r="AN670" s="239"/>
      <c r="AO670" s="225"/>
      <c r="AP670" s="260"/>
      <c r="AQ670" s="258"/>
      <c r="AR670" s="258"/>
      <c r="AS670" s="202"/>
      <c r="AT670" s="213"/>
      <c r="AU670" s="213"/>
    </row>
    <row r="671" spans="40:47" s="121" customFormat="1" hidden="1">
      <c r="AN671" s="239"/>
      <c r="AO671" s="225"/>
      <c r="AP671" s="260"/>
      <c r="AQ671" s="258"/>
      <c r="AR671" s="258"/>
      <c r="AS671" s="202"/>
      <c r="AT671" s="213"/>
      <c r="AU671" s="213"/>
    </row>
    <row r="672" spans="40:47" s="121" customFormat="1" hidden="1">
      <c r="AN672" s="239"/>
      <c r="AO672" s="225"/>
      <c r="AP672" s="260"/>
      <c r="AQ672" s="258"/>
      <c r="AR672" s="258"/>
      <c r="AS672" s="202"/>
      <c r="AT672" s="213"/>
      <c r="AU672" s="213"/>
    </row>
    <row r="673" spans="40:47" s="121" customFormat="1" hidden="1">
      <c r="AN673" s="239"/>
      <c r="AO673" s="225"/>
      <c r="AP673" s="260"/>
      <c r="AQ673" s="258"/>
      <c r="AR673" s="258"/>
      <c r="AS673" s="202"/>
      <c r="AT673" s="213"/>
      <c r="AU673" s="213"/>
    </row>
    <row r="674" spans="40:47" s="121" customFormat="1" hidden="1">
      <c r="AN674" s="239"/>
      <c r="AO674" s="225"/>
      <c r="AP674" s="260"/>
      <c r="AQ674" s="258"/>
      <c r="AR674" s="258"/>
      <c r="AS674" s="202"/>
      <c r="AT674" s="213"/>
      <c r="AU674" s="213"/>
    </row>
    <row r="675" spans="40:47" s="121" customFormat="1" hidden="1">
      <c r="AN675" s="239"/>
      <c r="AO675" s="225"/>
      <c r="AP675" s="260"/>
      <c r="AQ675" s="258"/>
      <c r="AR675" s="258"/>
      <c r="AS675" s="202"/>
      <c r="AT675" s="213"/>
      <c r="AU675" s="213"/>
    </row>
    <row r="676" spans="40:47" s="121" customFormat="1" hidden="1">
      <c r="AN676" s="239"/>
      <c r="AO676" s="225"/>
      <c r="AP676" s="260"/>
      <c r="AQ676" s="258"/>
      <c r="AR676" s="258"/>
      <c r="AS676" s="202"/>
      <c r="AT676" s="213"/>
      <c r="AU676" s="213"/>
    </row>
    <row r="677" spans="40:47" s="121" customFormat="1" hidden="1">
      <c r="AN677" s="239"/>
      <c r="AO677" s="225"/>
      <c r="AP677" s="260"/>
      <c r="AQ677" s="258"/>
      <c r="AR677" s="258"/>
      <c r="AS677" s="202"/>
      <c r="AT677" s="213"/>
      <c r="AU677" s="213"/>
    </row>
    <row r="678" spans="40:47" s="121" customFormat="1" hidden="1">
      <c r="AN678" s="239"/>
      <c r="AO678" s="225"/>
      <c r="AP678" s="260"/>
      <c r="AQ678" s="258"/>
      <c r="AR678" s="258"/>
      <c r="AS678" s="202"/>
      <c r="AT678" s="213"/>
      <c r="AU678" s="213"/>
    </row>
    <row r="679" spans="40:47" s="121" customFormat="1" hidden="1">
      <c r="AN679" s="239"/>
      <c r="AO679" s="225"/>
      <c r="AP679" s="260"/>
      <c r="AQ679" s="258"/>
      <c r="AR679" s="258"/>
      <c r="AS679" s="202"/>
      <c r="AT679" s="213"/>
      <c r="AU679" s="213"/>
    </row>
    <row r="680" spans="40:47" s="121" customFormat="1" hidden="1">
      <c r="AN680" s="239"/>
      <c r="AO680" s="225"/>
      <c r="AP680" s="260"/>
      <c r="AQ680" s="258"/>
      <c r="AR680" s="258"/>
      <c r="AS680" s="202"/>
      <c r="AT680" s="213"/>
      <c r="AU680" s="213"/>
    </row>
    <row r="681" spans="40:47" s="121" customFormat="1" hidden="1">
      <c r="AN681" s="239"/>
      <c r="AO681" s="225"/>
      <c r="AP681" s="260"/>
      <c r="AQ681" s="258"/>
      <c r="AR681" s="258"/>
      <c r="AS681" s="202"/>
      <c r="AT681" s="213"/>
      <c r="AU681" s="213"/>
    </row>
    <row r="682" spans="40:47" s="121" customFormat="1" hidden="1">
      <c r="AN682" s="239"/>
      <c r="AO682" s="225"/>
      <c r="AP682" s="260"/>
      <c r="AQ682" s="258"/>
      <c r="AR682" s="258"/>
      <c r="AS682" s="202"/>
      <c r="AT682" s="213"/>
      <c r="AU682" s="213"/>
    </row>
    <row r="683" spans="40:47" s="121" customFormat="1" hidden="1">
      <c r="AN683" s="239"/>
      <c r="AO683" s="225"/>
      <c r="AP683" s="260"/>
      <c r="AQ683" s="258"/>
      <c r="AR683" s="258"/>
      <c r="AS683" s="202"/>
      <c r="AT683" s="213"/>
      <c r="AU683" s="213"/>
    </row>
    <row r="684" spans="40:47" s="121" customFormat="1" hidden="1">
      <c r="AN684" s="239"/>
      <c r="AO684" s="225"/>
      <c r="AP684" s="260"/>
      <c r="AQ684" s="258"/>
      <c r="AR684" s="258"/>
      <c r="AS684" s="202"/>
      <c r="AT684" s="213"/>
      <c r="AU684" s="213"/>
    </row>
    <row r="685" spans="40:47" s="121" customFormat="1" hidden="1">
      <c r="AN685" s="239"/>
      <c r="AO685" s="225"/>
      <c r="AP685" s="260"/>
      <c r="AQ685" s="258"/>
      <c r="AR685" s="258"/>
      <c r="AS685" s="202"/>
      <c r="AT685" s="213"/>
      <c r="AU685" s="213"/>
    </row>
    <row r="686" spans="40:47" s="121" customFormat="1" hidden="1">
      <c r="AN686" s="239"/>
      <c r="AO686" s="225"/>
      <c r="AP686" s="260"/>
      <c r="AQ686" s="258"/>
      <c r="AR686" s="258"/>
      <c r="AS686" s="202"/>
      <c r="AT686" s="213"/>
      <c r="AU686" s="213"/>
    </row>
    <row r="687" spans="40:47" s="121" customFormat="1" hidden="1">
      <c r="AN687" s="239"/>
      <c r="AO687" s="225"/>
      <c r="AP687" s="260"/>
      <c r="AQ687" s="258"/>
      <c r="AR687" s="258"/>
      <c r="AS687" s="202"/>
      <c r="AT687" s="213"/>
      <c r="AU687" s="213"/>
    </row>
    <row r="688" spans="40:47" s="121" customFormat="1" hidden="1">
      <c r="AN688" s="239"/>
      <c r="AO688" s="225"/>
      <c r="AP688" s="260"/>
      <c r="AQ688" s="258"/>
      <c r="AR688" s="258"/>
      <c r="AS688" s="202"/>
      <c r="AT688" s="213"/>
      <c r="AU688" s="213"/>
    </row>
    <row r="689" spans="40:47" s="121" customFormat="1" hidden="1">
      <c r="AN689" s="239"/>
      <c r="AO689" s="225"/>
      <c r="AP689" s="260"/>
      <c r="AQ689" s="258"/>
      <c r="AR689" s="258"/>
      <c r="AS689" s="202"/>
      <c r="AT689" s="213"/>
      <c r="AU689" s="213"/>
    </row>
    <row r="690" spans="40:47" s="121" customFormat="1" hidden="1">
      <c r="AN690" s="239"/>
      <c r="AO690" s="225"/>
      <c r="AP690" s="260"/>
      <c r="AQ690" s="258"/>
      <c r="AR690" s="258"/>
      <c r="AS690" s="202"/>
      <c r="AT690" s="213"/>
      <c r="AU690" s="213"/>
    </row>
    <row r="691" spans="40:47" s="121" customFormat="1" hidden="1">
      <c r="AN691" s="239"/>
      <c r="AO691" s="225"/>
      <c r="AP691" s="260"/>
      <c r="AQ691" s="258"/>
      <c r="AR691" s="258"/>
      <c r="AS691" s="202"/>
      <c r="AT691" s="213"/>
      <c r="AU691" s="213"/>
    </row>
    <row r="692" spans="40:47" s="121" customFormat="1" hidden="1">
      <c r="AN692" s="239"/>
      <c r="AO692" s="225"/>
      <c r="AP692" s="260"/>
      <c r="AQ692" s="258"/>
      <c r="AR692" s="258"/>
      <c r="AS692" s="202"/>
      <c r="AT692" s="213"/>
      <c r="AU692" s="213"/>
    </row>
    <row r="693" spans="40:47" s="121" customFormat="1" hidden="1">
      <c r="AN693" s="239"/>
      <c r="AO693" s="225"/>
      <c r="AP693" s="260"/>
      <c r="AQ693" s="258"/>
      <c r="AR693" s="258"/>
      <c r="AS693" s="202"/>
      <c r="AT693" s="213"/>
      <c r="AU693" s="213"/>
    </row>
    <row r="694" spans="40:47" s="121" customFormat="1" hidden="1">
      <c r="AN694" s="239"/>
      <c r="AO694" s="225"/>
      <c r="AP694" s="260"/>
      <c r="AQ694" s="258"/>
      <c r="AR694" s="258"/>
      <c r="AS694" s="202"/>
      <c r="AT694" s="213"/>
      <c r="AU694" s="213"/>
    </row>
    <row r="695" spans="40:47" s="121" customFormat="1" hidden="1">
      <c r="AN695" s="239"/>
      <c r="AO695" s="225"/>
      <c r="AP695" s="260"/>
      <c r="AQ695" s="258"/>
      <c r="AR695" s="258"/>
      <c r="AS695" s="202"/>
      <c r="AT695" s="213"/>
      <c r="AU695" s="213"/>
    </row>
    <row r="696" spans="40:47" s="121" customFormat="1" hidden="1">
      <c r="AN696" s="239"/>
      <c r="AO696" s="225"/>
      <c r="AP696" s="260"/>
      <c r="AQ696" s="258"/>
      <c r="AR696" s="258"/>
      <c r="AS696" s="202"/>
      <c r="AT696" s="213"/>
      <c r="AU696" s="213"/>
    </row>
    <row r="697" spans="40:47" s="121" customFormat="1" hidden="1">
      <c r="AN697" s="239"/>
      <c r="AO697" s="225"/>
      <c r="AP697" s="260"/>
      <c r="AQ697" s="258"/>
      <c r="AR697" s="258"/>
      <c r="AS697" s="202"/>
      <c r="AT697" s="213"/>
      <c r="AU697" s="213"/>
    </row>
    <row r="698" spans="40:47" s="121" customFormat="1" hidden="1">
      <c r="AN698" s="239"/>
      <c r="AO698" s="225"/>
      <c r="AP698" s="260"/>
      <c r="AQ698" s="258"/>
      <c r="AR698" s="258"/>
      <c r="AS698" s="202"/>
      <c r="AT698" s="213"/>
      <c r="AU698" s="213"/>
    </row>
    <row r="699" spans="40:47" s="121" customFormat="1" hidden="1">
      <c r="AN699" s="239"/>
      <c r="AO699" s="225"/>
      <c r="AP699" s="260"/>
      <c r="AQ699" s="258"/>
      <c r="AR699" s="258"/>
      <c r="AS699" s="202"/>
      <c r="AT699" s="213"/>
      <c r="AU699" s="213"/>
    </row>
    <row r="700" spans="40:47" s="121" customFormat="1">
      <c r="AN700" s="236" t="s">
        <v>2985</v>
      </c>
      <c r="AO700" s="225" t="s">
        <v>2972</v>
      </c>
      <c r="AP700" s="257">
        <f>SUM(AQ700:AR700)</f>
        <v>0</v>
      </c>
      <c r="AQ700" s="258"/>
      <c r="AR700" s="258"/>
      <c r="AS700" s="202"/>
      <c r="AT700" s="213"/>
      <c r="AU700" s="213"/>
    </row>
    <row r="701" spans="40:47" s="121" customFormat="1">
      <c r="AN701" s="236" t="s">
        <v>2987</v>
      </c>
      <c r="AO701" s="225" t="s">
        <v>2988</v>
      </c>
      <c r="AP701" s="257">
        <f>SUM(AQ701:AR701)</f>
        <v>0</v>
      </c>
      <c r="AQ701" s="258"/>
      <c r="AR701" s="258"/>
      <c r="AS701" s="202"/>
      <c r="AT701" s="213"/>
      <c r="AU701" s="213"/>
    </row>
    <row r="702" spans="40:47" s="121" customFormat="1" hidden="1" collapsed="1">
      <c r="AN702" s="239"/>
      <c r="AO702" s="226"/>
      <c r="AP702" s="260"/>
      <c r="AQ702" s="258"/>
      <c r="AR702" s="258"/>
      <c r="AS702" s="202"/>
      <c r="AT702" s="213"/>
      <c r="AU702" s="213"/>
    </row>
    <row r="703" spans="40:47" s="121" customFormat="1" hidden="1">
      <c r="AN703" s="239"/>
      <c r="AO703" s="227"/>
      <c r="AP703" s="260"/>
      <c r="AQ703" s="258"/>
      <c r="AR703" s="258"/>
      <c r="AS703" s="202"/>
      <c r="AT703" s="213"/>
      <c r="AU703" s="213"/>
    </row>
    <row r="704" spans="40:47" s="121" customFormat="1" hidden="1">
      <c r="AN704" s="239"/>
      <c r="AO704" s="227"/>
      <c r="AP704" s="260"/>
      <c r="AQ704" s="258"/>
      <c r="AR704" s="258"/>
      <c r="AS704" s="202"/>
      <c r="AT704" s="213"/>
      <c r="AU704" s="213"/>
    </row>
    <row r="705" spans="40:47" s="121" customFormat="1" hidden="1">
      <c r="AN705" s="239"/>
      <c r="AO705" s="226"/>
      <c r="AP705" s="260"/>
      <c r="AQ705" s="258"/>
      <c r="AR705" s="258"/>
      <c r="AS705" s="202"/>
      <c r="AT705" s="213"/>
      <c r="AU705" s="213"/>
    </row>
    <row r="706" spans="40:47" s="121" customFormat="1" hidden="1" collapsed="1">
      <c r="AN706" s="239"/>
      <c r="AO706" s="227"/>
      <c r="AP706" s="260"/>
      <c r="AQ706" s="258"/>
      <c r="AR706" s="258"/>
      <c r="AS706" s="202"/>
      <c r="AT706" s="213"/>
      <c r="AU706" s="213"/>
    </row>
    <row r="707" spans="40:47" s="121" customFormat="1" hidden="1">
      <c r="AN707" s="239"/>
      <c r="AO707" s="227"/>
      <c r="AP707" s="260"/>
      <c r="AQ707" s="258"/>
      <c r="AR707" s="258"/>
      <c r="AS707" s="202"/>
      <c r="AT707" s="213"/>
      <c r="AU707" s="213"/>
    </row>
    <row r="708" spans="40:47" s="121" customFormat="1" hidden="1">
      <c r="AN708" s="239"/>
      <c r="AO708" s="226"/>
      <c r="AP708" s="260"/>
      <c r="AQ708" s="258"/>
      <c r="AR708" s="258"/>
      <c r="AS708" s="202"/>
      <c r="AT708" s="213"/>
      <c r="AU708" s="213"/>
    </row>
    <row r="709" spans="40:47" s="121" customFormat="1" hidden="1">
      <c r="AN709" s="239"/>
      <c r="AO709" s="225"/>
      <c r="AP709" s="260"/>
      <c r="AQ709" s="258"/>
      <c r="AR709" s="258"/>
      <c r="AS709" s="202"/>
      <c r="AT709" s="213"/>
      <c r="AU709" s="213"/>
    </row>
    <row r="710" spans="40:47" s="121" customFormat="1" hidden="1" collapsed="1">
      <c r="AN710" s="239"/>
      <c r="AO710" s="225"/>
      <c r="AP710" s="260"/>
      <c r="AQ710" s="258"/>
      <c r="AR710" s="258"/>
      <c r="AS710" s="202"/>
      <c r="AT710" s="213"/>
      <c r="AU710" s="213"/>
    </row>
    <row r="711" spans="40:47" s="121" customFormat="1" hidden="1">
      <c r="AN711" s="239"/>
      <c r="AO711" s="225"/>
      <c r="AP711" s="260"/>
      <c r="AQ711" s="258"/>
      <c r="AR711" s="258"/>
      <c r="AS711" s="202"/>
      <c r="AT711" s="213"/>
      <c r="AU711" s="213"/>
    </row>
    <row r="712" spans="40:47" s="121" customFormat="1" hidden="1">
      <c r="AN712" s="239"/>
      <c r="AO712" s="225"/>
      <c r="AP712" s="260"/>
      <c r="AQ712" s="258"/>
      <c r="AR712" s="258"/>
      <c r="AS712" s="202"/>
      <c r="AT712" s="213"/>
      <c r="AU712" s="213"/>
    </row>
    <row r="713" spans="40:47" s="121" customFormat="1" hidden="1">
      <c r="AN713" s="239"/>
      <c r="AO713" s="225"/>
      <c r="AP713" s="260"/>
      <c r="AQ713" s="258"/>
      <c r="AR713" s="258"/>
      <c r="AS713" s="202"/>
      <c r="AT713" s="213"/>
      <c r="AU713" s="213"/>
    </row>
    <row r="714" spans="40:47" s="121" customFormat="1" hidden="1">
      <c r="AN714" s="239"/>
      <c r="AO714" s="225"/>
      <c r="AP714" s="260"/>
      <c r="AQ714" s="258"/>
      <c r="AR714" s="258"/>
      <c r="AS714" s="202"/>
      <c r="AT714" s="213"/>
      <c r="AU714" s="213"/>
    </row>
    <row r="715" spans="40:47" s="121" customFormat="1" hidden="1">
      <c r="AN715" s="239"/>
      <c r="AO715" s="225"/>
      <c r="AP715" s="260"/>
      <c r="AQ715" s="258"/>
      <c r="AR715" s="258"/>
      <c r="AS715" s="202"/>
      <c r="AT715" s="213"/>
      <c r="AU715" s="213"/>
    </row>
    <row r="716" spans="40:47" s="121" customFormat="1" hidden="1">
      <c r="AN716" s="239"/>
      <c r="AO716" s="225"/>
      <c r="AP716" s="260"/>
      <c r="AQ716" s="258"/>
      <c r="AR716" s="258"/>
      <c r="AS716" s="202"/>
      <c r="AT716" s="213"/>
      <c r="AU716" s="213"/>
    </row>
    <row r="717" spans="40:47" s="121" customFormat="1" hidden="1">
      <c r="AN717" s="239"/>
      <c r="AO717" s="225"/>
      <c r="AP717" s="260"/>
      <c r="AQ717" s="258"/>
      <c r="AR717" s="258"/>
      <c r="AS717" s="202"/>
      <c r="AT717" s="213"/>
      <c r="AU717" s="213"/>
    </row>
    <row r="718" spans="40:47" s="121" customFormat="1" hidden="1">
      <c r="AN718" s="239"/>
      <c r="AO718" s="225"/>
      <c r="AP718" s="260"/>
      <c r="AQ718" s="258"/>
      <c r="AR718" s="258"/>
      <c r="AS718" s="202"/>
      <c r="AT718" s="213"/>
      <c r="AU718" s="213"/>
    </row>
    <row r="719" spans="40:47" s="121" customFormat="1" hidden="1">
      <c r="AN719" s="239"/>
      <c r="AO719" s="225"/>
      <c r="AP719" s="260"/>
      <c r="AQ719" s="258"/>
      <c r="AR719" s="258"/>
      <c r="AS719" s="202"/>
      <c r="AT719" s="213"/>
      <c r="AU719" s="213"/>
    </row>
    <row r="720" spans="40:47" s="121" customFormat="1" hidden="1">
      <c r="AN720" s="239"/>
      <c r="AO720" s="225"/>
      <c r="AP720" s="260"/>
      <c r="AQ720" s="258"/>
      <c r="AR720" s="258"/>
      <c r="AS720" s="202"/>
      <c r="AT720" s="213"/>
      <c r="AU720" s="213"/>
    </row>
    <row r="721" spans="1:47" s="121" customFormat="1" hidden="1">
      <c r="AN721" s="239"/>
      <c r="AO721" s="225"/>
      <c r="AP721" s="260"/>
      <c r="AQ721" s="258"/>
      <c r="AR721" s="258"/>
      <c r="AS721" s="202"/>
      <c r="AT721" s="213"/>
      <c r="AU721" s="213"/>
    </row>
    <row r="722" spans="1:47" s="121" customFormat="1" hidden="1">
      <c r="AN722" s="239"/>
      <c r="AO722" s="225"/>
      <c r="AP722" s="260"/>
      <c r="AQ722" s="258"/>
      <c r="AR722" s="258"/>
      <c r="AS722" s="202"/>
      <c r="AT722" s="213"/>
      <c r="AU722" s="213"/>
    </row>
    <row r="723" spans="1:47" s="121" customFormat="1" hidden="1">
      <c r="AN723" s="239"/>
      <c r="AO723" s="225"/>
      <c r="AP723" s="260"/>
      <c r="AQ723" s="258"/>
      <c r="AR723" s="258"/>
      <c r="AS723" s="202"/>
      <c r="AT723" s="213"/>
      <c r="AU723" s="213"/>
    </row>
    <row r="724" spans="1:47" s="121" customFormat="1" hidden="1">
      <c r="AN724" s="239"/>
      <c r="AO724" s="225"/>
      <c r="AP724" s="260"/>
      <c r="AQ724" s="258"/>
      <c r="AR724" s="258"/>
      <c r="AS724" s="202"/>
      <c r="AT724" s="213"/>
      <c r="AU724" s="213"/>
    </row>
    <row r="725" spans="1:47" s="121" customFormat="1" hidden="1">
      <c r="AN725" s="239"/>
      <c r="AO725" s="225"/>
      <c r="AP725" s="260"/>
      <c r="AQ725" s="258"/>
      <c r="AR725" s="258"/>
      <c r="AS725" s="202"/>
      <c r="AT725" s="213"/>
      <c r="AU725" s="213"/>
    </row>
    <row r="726" spans="1:47" s="121" customFormat="1" hidden="1">
      <c r="AN726" s="239"/>
      <c r="AO726" s="225"/>
      <c r="AP726" s="260"/>
      <c r="AQ726" s="258"/>
      <c r="AR726" s="258"/>
      <c r="AS726" s="202"/>
      <c r="AT726" s="213"/>
      <c r="AU726" s="213"/>
    </row>
    <row r="727" spans="1:47">
      <c r="A727" s="51"/>
      <c r="B727" s="51"/>
      <c r="C727" s="51"/>
      <c r="D727" s="51"/>
      <c r="E727" s="51"/>
      <c r="F727" s="51"/>
      <c r="G727" s="51"/>
      <c r="H727" s="51"/>
      <c r="I727" s="51"/>
      <c r="J727" s="121"/>
      <c r="K727" s="121"/>
      <c r="L727" s="121"/>
      <c r="M727" s="121"/>
      <c r="N727" s="121"/>
      <c r="O727" s="121"/>
      <c r="P727" s="121"/>
      <c r="Q727" s="121"/>
      <c r="R727" s="121"/>
      <c r="S727" s="121"/>
      <c r="T727" s="121"/>
      <c r="U727" s="121"/>
      <c r="V727" s="121"/>
      <c r="W727" s="121"/>
      <c r="X727" s="121"/>
      <c r="Y727" s="121"/>
      <c r="Z727" s="121"/>
      <c r="AA727" s="121"/>
      <c r="AB727" s="121"/>
      <c r="AC727" s="121"/>
      <c r="AD727" s="121"/>
      <c r="AE727" s="121"/>
      <c r="AF727" s="121"/>
      <c r="AG727" s="121"/>
      <c r="AH727" s="121"/>
      <c r="AI727" s="121"/>
      <c r="AJ727" s="121"/>
      <c r="AK727" s="121"/>
      <c r="AL727" s="121"/>
      <c r="AM727" s="121"/>
      <c r="AN727" s="234" t="s">
        <v>769</v>
      </c>
      <c r="AO727" s="235" t="s">
        <v>2991</v>
      </c>
      <c r="AP727" s="257">
        <f>SUM(AQ727:AR727)</f>
        <v>0</v>
      </c>
      <c r="AQ727" s="258"/>
      <c r="AR727" s="258"/>
      <c r="AS727" s="202"/>
      <c r="AT727" s="48"/>
      <c r="AU727" s="48"/>
    </row>
    <row r="728" spans="1:47">
      <c r="A728" s="51"/>
      <c r="B728" s="51"/>
      <c r="C728" s="51"/>
      <c r="D728" s="51"/>
      <c r="E728" s="51"/>
      <c r="F728" s="51"/>
      <c r="G728" s="51"/>
      <c r="H728" s="51"/>
      <c r="I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3"/>
      <c r="AM728" s="124"/>
      <c r="AN728" s="234" t="s">
        <v>770</v>
      </c>
      <c r="AO728" s="442" t="s">
        <v>2992</v>
      </c>
      <c r="AP728" s="257">
        <f t="shared" ref="AP728:AP745" si="2">SUM(AQ728:AR728)</f>
        <v>0</v>
      </c>
      <c r="AQ728" s="258"/>
      <c r="AR728" s="258"/>
      <c r="AS728" s="127"/>
    </row>
    <row r="729" spans="1:47">
      <c r="A729" s="51"/>
      <c r="B729" s="51"/>
      <c r="C729" s="51"/>
      <c r="D729" s="51"/>
      <c r="E729" s="51"/>
      <c r="F729" s="51"/>
      <c r="G729" s="51"/>
      <c r="H729" s="51"/>
      <c r="I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3"/>
      <c r="AM729" s="124"/>
      <c r="AN729" s="236" t="s">
        <v>2993</v>
      </c>
      <c r="AO729" s="225" t="s">
        <v>2994</v>
      </c>
      <c r="AP729" s="257">
        <f t="shared" si="2"/>
        <v>0</v>
      </c>
      <c r="AQ729" s="258"/>
      <c r="AR729" s="258"/>
      <c r="AS729" s="127"/>
    </row>
    <row r="730" spans="1:47">
      <c r="A730" s="51"/>
      <c r="B730" s="51"/>
      <c r="C730" s="51"/>
      <c r="D730" s="51"/>
      <c r="E730" s="51"/>
      <c r="F730" s="51"/>
      <c r="G730" s="51"/>
      <c r="H730" s="51"/>
      <c r="I730" s="51"/>
      <c r="J730" s="121"/>
      <c r="K730" s="121"/>
      <c r="L730" s="121"/>
      <c r="M730" s="121"/>
      <c r="N730" s="121"/>
      <c r="O730" s="121"/>
      <c r="P730" s="121"/>
      <c r="Q730" s="121"/>
      <c r="R730" s="121"/>
      <c r="S730" s="121"/>
      <c r="T730" s="121"/>
      <c r="U730" s="121"/>
      <c r="V730" s="121"/>
      <c r="W730" s="121"/>
      <c r="X730" s="121"/>
      <c r="Y730" s="121"/>
      <c r="Z730" s="121"/>
      <c r="AA730" s="121"/>
      <c r="AB730" s="121"/>
      <c r="AC730" s="121"/>
      <c r="AD730" s="121"/>
      <c r="AE730" s="121"/>
      <c r="AF730" s="121"/>
      <c r="AG730" s="121"/>
      <c r="AH730" s="121"/>
      <c r="AI730" s="121"/>
      <c r="AJ730" s="121"/>
      <c r="AK730" s="121"/>
      <c r="AL730" s="121"/>
      <c r="AM730" s="121"/>
      <c r="AN730" s="236" t="s">
        <v>2995</v>
      </c>
      <c r="AO730" s="482" t="s">
        <v>2791</v>
      </c>
      <c r="AP730" s="257">
        <f t="shared" si="2"/>
        <v>0</v>
      </c>
      <c r="AQ730" s="258"/>
      <c r="AR730" s="258"/>
      <c r="AS730" s="202"/>
      <c r="AT730" s="48"/>
      <c r="AU730" s="48"/>
    </row>
    <row r="731" spans="1:47" hidden="1">
      <c r="A731" s="51"/>
      <c r="B731" s="51"/>
      <c r="C731" s="51"/>
      <c r="D731" s="51"/>
      <c r="E731" s="51"/>
      <c r="F731" s="51"/>
      <c r="G731" s="51"/>
      <c r="H731" s="51"/>
      <c r="I731" s="51"/>
      <c r="J731" s="121"/>
      <c r="K731" s="121"/>
      <c r="L731" s="121"/>
      <c r="M731" s="121"/>
      <c r="N731" s="121"/>
      <c r="O731" s="121"/>
      <c r="P731" s="121"/>
      <c r="Q731" s="121"/>
      <c r="R731" s="121"/>
      <c r="S731" s="121"/>
      <c r="T731" s="121"/>
      <c r="U731" s="121"/>
      <c r="V731" s="121"/>
      <c r="W731" s="121"/>
      <c r="X731" s="121"/>
      <c r="Y731" s="121"/>
      <c r="Z731" s="121"/>
      <c r="AA731" s="121"/>
      <c r="AB731" s="121"/>
      <c r="AC731" s="121"/>
      <c r="AD731" s="121"/>
      <c r="AE731" s="121"/>
      <c r="AF731" s="121"/>
      <c r="AG731" s="121"/>
      <c r="AH731" s="121"/>
      <c r="AI731" s="121"/>
      <c r="AJ731" s="121"/>
      <c r="AK731" s="121"/>
      <c r="AL731" s="121"/>
      <c r="AM731" s="121"/>
      <c r="AN731" s="594" t="str">
        <f>IF(TEMPLATE_CLAIM="P","5.1.1.1.1","")</f>
        <v/>
      </c>
      <c r="AO731" s="593" t="str">
        <f>IF(TEMPLATE_CLAIM="P","от станций с мощностью производства &gt;= 25 МВт","")</f>
        <v/>
      </c>
      <c r="AP731" s="257">
        <f t="shared" si="2"/>
        <v>0</v>
      </c>
      <c r="AQ731" s="258"/>
      <c r="AR731" s="258"/>
      <c r="AS731" s="202"/>
      <c r="AT731" s="48"/>
      <c r="AU731" s="48"/>
    </row>
    <row r="732" spans="1:47" hidden="1">
      <c r="A732" s="51"/>
      <c r="B732" s="51"/>
      <c r="C732" s="51"/>
      <c r="D732" s="51"/>
      <c r="E732" s="51"/>
      <c r="F732" s="51"/>
      <c r="G732" s="51"/>
      <c r="H732" s="51"/>
      <c r="I732" s="51"/>
      <c r="J732" s="121"/>
      <c r="K732" s="121"/>
      <c r="L732" s="121"/>
      <c r="M732" s="121"/>
      <c r="N732" s="121"/>
      <c r="O732" s="121"/>
      <c r="P732" s="121"/>
      <c r="Q732" s="121"/>
      <c r="R732" s="121"/>
      <c r="S732" s="121"/>
      <c r="T732" s="121"/>
      <c r="U732" s="121"/>
      <c r="V732" s="121"/>
      <c r="W732" s="121"/>
      <c r="X732" s="121"/>
      <c r="Y732" s="121"/>
      <c r="Z732" s="121"/>
      <c r="AA732" s="121"/>
      <c r="AB732" s="121"/>
      <c r="AC732" s="121"/>
      <c r="AD732" s="121"/>
      <c r="AE732" s="121"/>
      <c r="AF732" s="121"/>
      <c r="AG732" s="121"/>
      <c r="AH732" s="121"/>
      <c r="AI732" s="121"/>
      <c r="AJ732" s="121"/>
      <c r="AK732" s="121"/>
      <c r="AL732" s="121"/>
      <c r="AM732" s="121"/>
      <c r="AN732" s="594" t="str">
        <f>IF(TEMPLATE_CLAIM="P","5.1.1.1.2","")</f>
        <v/>
      </c>
      <c r="AO732" s="593" t="str">
        <f>IF(TEMPLATE_CLAIM="P","от станций с мощностью производства &lt; 25 МВт","")</f>
        <v/>
      </c>
      <c r="AP732" s="257">
        <f t="shared" si="2"/>
        <v>0</v>
      </c>
      <c r="AQ732" s="258"/>
      <c r="AR732" s="258"/>
      <c r="AS732" s="202"/>
      <c r="AT732" s="48"/>
      <c r="AU732" s="48"/>
    </row>
    <row r="733" spans="1:47" ht="0.75" hidden="1" customHeight="1">
      <c r="A733" s="51"/>
      <c r="B733" s="51"/>
      <c r="C733" s="51"/>
      <c r="D733" s="51"/>
      <c r="E733" s="51"/>
      <c r="F733" s="51"/>
      <c r="G733" s="51"/>
      <c r="H733" s="51"/>
      <c r="I733" s="51"/>
      <c r="J733" s="121"/>
      <c r="K733" s="121"/>
      <c r="L733" s="121"/>
      <c r="M733" s="121"/>
      <c r="N733" s="121"/>
      <c r="O733" s="121"/>
      <c r="P733" s="121"/>
      <c r="Q733" s="121"/>
      <c r="R733" s="121"/>
      <c r="S733" s="121"/>
      <c r="T733" s="121"/>
      <c r="U733" s="121"/>
      <c r="V733" s="121"/>
      <c r="W733" s="121"/>
      <c r="X733" s="121"/>
      <c r="Y733" s="121"/>
      <c r="Z733" s="121"/>
      <c r="AA733" s="121"/>
      <c r="AB733" s="121"/>
      <c r="AC733" s="121"/>
      <c r="AD733" s="121"/>
      <c r="AE733" s="121"/>
      <c r="AF733" s="121"/>
      <c r="AG733" s="121"/>
      <c r="AH733" s="121"/>
      <c r="AI733" s="121"/>
      <c r="AJ733" s="121"/>
      <c r="AK733" s="121"/>
      <c r="AL733" s="121"/>
      <c r="AM733" s="121"/>
      <c r="AN733" s="236"/>
      <c r="AO733" s="243"/>
      <c r="AP733" s="260"/>
      <c r="AQ733" s="258"/>
      <c r="AR733" s="258"/>
      <c r="AS733" s="202"/>
      <c r="AT733" s="48"/>
      <c r="AU733" s="48"/>
    </row>
    <row r="734" spans="1:47">
      <c r="A734" s="51"/>
      <c r="B734" s="51"/>
      <c r="C734" s="51"/>
      <c r="D734" s="51"/>
      <c r="E734" s="51"/>
      <c r="F734" s="51"/>
      <c r="G734" s="51"/>
      <c r="H734" s="51"/>
      <c r="I734" s="51"/>
      <c r="J734" s="121"/>
      <c r="K734" s="121"/>
      <c r="L734" s="121"/>
      <c r="M734" s="121"/>
      <c r="N734" s="121"/>
      <c r="O734" s="121"/>
      <c r="P734" s="121"/>
      <c r="Q734" s="121"/>
      <c r="R734" s="121"/>
      <c r="S734" s="121"/>
      <c r="T734" s="121"/>
      <c r="U734" s="121"/>
      <c r="V734" s="121"/>
      <c r="W734" s="121"/>
      <c r="X734" s="121"/>
      <c r="Y734" s="121"/>
      <c r="Z734" s="121"/>
      <c r="AA734" s="121"/>
      <c r="AB734" s="121"/>
      <c r="AC734" s="121"/>
      <c r="AD734" s="121"/>
      <c r="AE734" s="121"/>
      <c r="AF734" s="121"/>
      <c r="AG734" s="121"/>
      <c r="AH734" s="121"/>
      <c r="AI734" s="121"/>
      <c r="AJ734" s="121"/>
      <c r="AK734" s="121"/>
      <c r="AL734" s="121"/>
      <c r="AM734" s="121"/>
      <c r="AN734" s="236" t="s">
        <v>2998</v>
      </c>
      <c r="AO734" s="482" t="s">
        <v>755</v>
      </c>
      <c r="AP734" s="257">
        <f t="shared" si="2"/>
        <v>0</v>
      </c>
      <c r="AQ734" s="258"/>
      <c r="AR734" s="258"/>
      <c r="AS734" s="202"/>
      <c r="AT734" s="48"/>
      <c r="AU734" s="48"/>
    </row>
    <row r="735" spans="1:47" hidden="1">
      <c r="A735" s="51"/>
      <c r="B735" s="51"/>
      <c r="C735" s="51"/>
      <c r="D735" s="51"/>
      <c r="E735" s="51"/>
      <c r="F735" s="51"/>
      <c r="G735" s="51"/>
      <c r="H735" s="51"/>
      <c r="I735" s="51"/>
      <c r="J735" s="121"/>
      <c r="K735" s="121"/>
      <c r="L735" s="121"/>
      <c r="M735" s="121"/>
      <c r="N735" s="121"/>
      <c r="O735" s="121"/>
      <c r="P735" s="121"/>
      <c r="Q735" s="121"/>
      <c r="R735" s="121"/>
      <c r="S735" s="121"/>
      <c r="T735" s="121"/>
      <c r="U735" s="121"/>
      <c r="V735" s="121"/>
      <c r="W735" s="121"/>
      <c r="X735" s="121"/>
      <c r="Y735" s="121"/>
      <c r="Z735" s="121"/>
      <c r="AA735" s="121"/>
      <c r="AB735" s="121"/>
      <c r="AC735" s="121"/>
      <c r="AD735" s="121"/>
      <c r="AE735" s="121"/>
      <c r="AF735" s="121"/>
      <c r="AG735" s="121"/>
      <c r="AH735" s="121"/>
      <c r="AI735" s="121"/>
      <c r="AJ735" s="121"/>
      <c r="AK735" s="121"/>
      <c r="AL735" s="121"/>
      <c r="AM735" s="121"/>
      <c r="AN735" s="594" t="str">
        <f>IF(TEMPLATE_CLAIM="P","5.1.1.2.1","")</f>
        <v/>
      </c>
      <c r="AO735" s="593" t="str">
        <f>IF(TEMPLATE_CLAIM="P","от станций с мощностью производства &gt;= 25 МВт","")</f>
        <v/>
      </c>
      <c r="AP735" s="257">
        <f t="shared" si="2"/>
        <v>0</v>
      </c>
      <c r="AQ735" s="258"/>
      <c r="AR735" s="258"/>
      <c r="AS735" s="202"/>
      <c r="AT735" s="48"/>
      <c r="AU735" s="48"/>
    </row>
    <row r="736" spans="1:47" hidden="1">
      <c r="A736" s="51"/>
      <c r="B736" s="51"/>
      <c r="C736" s="51"/>
      <c r="D736" s="51"/>
      <c r="E736" s="51"/>
      <c r="F736" s="51"/>
      <c r="G736" s="51"/>
      <c r="H736" s="51"/>
      <c r="I736" s="51"/>
      <c r="J736" s="121"/>
      <c r="K736" s="121"/>
      <c r="L736" s="121"/>
      <c r="M736" s="121"/>
      <c r="N736" s="121"/>
      <c r="O736" s="121"/>
      <c r="P736" s="121"/>
      <c r="Q736" s="121"/>
      <c r="R736" s="121"/>
      <c r="S736" s="121"/>
      <c r="T736" s="121"/>
      <c r="U736" s="121"/>
      <c r="V736" s="121"/>
      <c r="W736" s="121"/>
      <c r="X736" s="121"/>
      <c r="Y736" s="121"/>
      <c r="Z736" s="121"/>
      <c r="AA736" s="121"/>
      <c r="AB736" s="121"/>
      <c r="AC736" s="121"/>
      <c r="AD736" s="121"/>
      <c r="AE736" s="121"/>
      <c r="AF736" s="121"/>
      <c r="AG736" s="121"/>
      <c r="AH736" s="121"/>
      <c r="AI736" s="121"/>
      <c r="AJ736" s="121"/>
      <c r="AK736" s="121"/>
      <c r="AL736" s="121"/>
      <c r="AM736" s="121"/>
      <c r="AN736" s="594" t="str">
        <f>IF(TEMPLATE_CLAIM="P","5.1.1.2.2","")</f>
        <v/>
      </c>
      <c r="AO736" s="593" t="str">
        <f>IF(TEMPLATE_CLAIM="P","от станций с мощностью производства &lt; 25 МВт","")</f>
        <v/>
      </c>
      <c r="AP736" s="257">
        <f t="shared" si="2"/>
        <v>0</v>
      </c>
      <c r="AQ736" s="258"/>
      <c r="AR736" s="258"/>
      <c r="AS736" s="202"/>
      <c r="AT736" s="48"/>
      <c r="AU736" s="48"/>
    </row>
    <row r="737" spans="1:47" ht="0.75" hidden="1" customHeight="1">
      <c r="A737" s="51"/>
      <c r="B737" s="51"/>
      <c r="C737" s="51"/>
      <c r="D737" s="51"/>
      <c r="E737" s="51"/>
      <c r="F737" s="51"/>
      <c r="G737" s="51"/>
      <c r="H737" s="51"/>
      <c r="I737" s="51"/>
      <c r="J737" s="121"/>
      <c r="K737" s="121"/>
      <c r="L737" s="121"/>
      <c r="M737" s="121"/>
      <c r="N737" s="121"/>
      <c r="O737" s="121"/>
      <c r="P737" s="121"/>
      <c r="Q737" s="121"/>
      <c r="R737" s="121"/>
      <c r="S737" s="121"/>
      <c r="T737" s="121"/>
      <c r="U737" s="121"/>
      <c r="V737" s="121"/>
      <c r="W737" s="121"/>
      <c r="X737" s="121"/>
      <c r="Y737" s="121"/>
      <c r="Z737" s="121"/>
      <c r="AA737" s="121"/>
      <c r="AB737" s="121"/>
      <c r="AC737" s="121"/>
      <c r="AD737" s="121"/>
      <c r="AE737" s="121"/>
      <c r="AF737" s="121"/>
      <c r="AG737" s="121"/>
      <c r="AH737" s="121"/>
      <c r="AI737" s="121"/>
      <c r="AJ737" s="121"/>
      <c r="AK737" s="121"/>
      <c r="AL737" s="121"/>
      <c r="AM737" s="121"/>
      <c r="AN737" s="436"/>
      <c r="AO737" s="243"/>
      <c r="AP737" s="260"/>
      <c r="AQ737" s="258"/>
      <c r="AR737" s="258"/>
      <c r="AS737" s="202"/>
      <c r="AT737" s="48"/>
      <c r="AU737" s="48"/>
    </row>
    <row r="738" spans="1:47">
      <c r="A738" s="51"/>
      <c r="B738" s="51"/>
      <c r="C738" s="51"/>
      <c r="D738" s="51"/>
      <c r="E738" s="51"/>
      <c r="F738" s="51"/>
      <c r="G738" s="51"/>
      <c r="H738" s="51"/>
      <c r="I738" s="51"/>
      <c r="J738" s="121"/>
      <c r="K738" s="121"/>
      <c r="L738" s="121"/>
      <c r="M738" s="121"/>
      <c r="N738" s="121"/>
      <c r="O738" s="121"/>
      <c r="P738" s="121"/>
      <c r="Q738" s="121"/>
      <c r="R738" s="121"/>
      <c r="S738" s="121"/>
      <c r="T738" s="121"/>
      <c r="U738" s="121"/>
      <c r="V738" s="121"/>
      <c r="W738" s="121"/>
      <c r="X738" s="121"/>
      <c r="Y738" s="121"/>
      <c r="Z738" s="121"/>
      <c r="AA738" s="121"/>
      <c r="AB738" s="121"/>
      <c r="AC738" s="121"/>
      <c r="AD738" s="121"/>
      <c r="AE738" s="121"/>
      <c r="AF738" s="121"/>
      <c r="AG738" s="121"/>
      <c r="AH738" s="121"/>
      <c r="AI738" s="121"/>
      <c r="AJ738" s="121"/>
      <c r="AK738" s="121"/>
      <c r="AL738" s="121"/>
      <c r="AM738" s="121"/>
      <c r="AN738" s="236" t="s">
        <v>2999</v>
      </c>
      <c r="AO738" s="482" t="s">
        <v>2792</v>
      </c>
      <c r="AP738" s="257">
        <f t="shared" si="2"/>
        <v>0</v>
      </c>
      <c r="AQ738" s="258"/>
      <c r="AR738" s="258"/>
      <c r="AS738" s="202"/>
      <c r="AT738" s="48"/>
      <c r="AU738" s="48"/>
    </row>
    <row r="739" spans="1:47" hidden="1">
      <c r="A739" s="51"/>
      <c r="B739" s="51"/>
      <c r="C739" s="51"/>
      <c r="D739" s="51"/>
      <c r="E739" s="51"/>
      <c r="F739" s="51"/>
      <c r="G739" s="51"/>
      <c r="H739" s="51"/>
      <c r="I739" s="51"/>
      <c r="J739" s="121"/>
      <c r="K739" s="121"/>
      <c r="L739" s="121"/>
      <c r="M739" s="121"/>
      <c r="N739" s="121"/>
      <c r="O739" s="121"/>
      <c r="P739" s="121"/>
      <c r="Q739" s="121"/>
      <c r="R739" s="121"/>
      <c r="S739" s="121"/>
      <c r="T739" s="121"/>
      <c r="U739" s="121"/>
      <c r="V739" s="121"/>
      <c r="W739" s="121"/>
      <c r="X739" s="121"/>
      <c r="Y739" s="121"/>
      <c r="Z739" s="121"/>
      <c r="AA739" s="121"/>
      <c r="AB739" s="121"/>
      <c r="AC739" s="121"/>
      <c r="AD739" s="121"/>
      <c r="AE739" s="121"/>
      <c r="AF739" s="121"/>
      <c r="AG739" s="121"/>
      <c r="AH739" s="121"/>
      <c r="AI739" s="121"/>
      <c r="AJ739" s="121"/>
      <c r="AK739" s="121"/>
      <c r="AL739" s="121"/>
      <c r="AM739" s="121"/>
      <c r="AN739" s="594" t="str">
        <f>IF(TEMPLATE_CLAIM="P","5.1.1.3.1","")</f>
        <v/>
      </c>
      <c r="AO739" s="593" t="str">
        <f>IF(TEMPLATE_CLAIM="P","от станций с мощностью производства &gt;= 25 МВт","")</f>
        <v/>
      </c>
      <c r="AP739" s="257">
        <f t="shared" si="2"/>
        <v>0</v>
      </c>
      <c r="AQ739" s="258"/>
      <c r="AR739" s="258"/>
      <c r="AS739" s="202"/>
      <c r="AT739" s="48"/>
      <c r="AU739" s="48"/>
    </row>
    <row r="740" spans="1:47" hidden="1">
      <c r="A740" s="51"/>
      <c r="B740" s="51"/>
      <c r="C740" s="51"/>
      <c r="D740" s="51"/>
      <c r="E740" s="51"/>
      <c r="F740" s="51"/>
      <c r="G740" s="51"/>
      <c r="H740" s="51"/>
      <c r="I740" s="51"/>
      <c r="J740" s="121"/>
      <c r="K740" s="121"/>
      <c r="L740" s="121"/>
      <c r="M740" s="121"/>
      <c r="N740" s="121"/>
      <c r="O740" s="121"/>
      <c r="P740" s="121"/>
      <c r="Q740" s="121"/>
      <c r="R740" s="121"/>
      <c r="S740" s="121"/>
      <c r="T740" s="121"/>
      <c r="U740" s="121"/>
      <c r="V740" s="121"/>
      <c r="W740" s="121"/>
      <c r="X740" s="121"/>
      <c r="Y740" s="121"/>
      <c r="Z740" s="121"/>
      <c r="AA740" s="121"/>
      <c r="AB740" s="121"/>
      <c r="AC740" s="121"/>
      <c r="AD740" s="121"/>
      <c r="AE740" s="121"/>
      <c r="AF740" s="121"/>
      <c r="AG740" s="121"/>
      <c r="AH740" s="121"/>
      <c r="AI740" s="121"/>
      <c r="AJ740" s="121"/>
      <c r="AK740" s="121"/>
      <c r="AL740" s="121"/>
      <c r="AM740" s="121"/>
      <c r="AN740" s="594" t="str">
        <f>IF(TEMPLATE_CLAIM="P","5.1.1.3.2","")</f>
        <v/>
      </c>
      <c r="AO740" s="593" t="str">
        <f>IF(TEMPLATE_CLAIM="P","от станций с мощностью производства &lt; 25 МВт","")</f>
        <v/>
      </c>
      <c r="AP740" s="257">
        <f t="shared" si="2"/>
        <v>0</v>
      </c>
      <c r="AQ740" s="258"/>
      <c r="AR740" s="258"/>
      <c r="AS740" s="202"/>
      <c r="AT740" s="48"/>
      <c r="AU740" s="48"/>
    </row>
    <row r="741" spans="1:47" hidden="1">
      <c r="A741" s="51"/>
      <c r="B741" s="51"/>
      <c r="C741" s="51"/>
      <c r="D741" s="51"/>
      <c r="E741" s="51"/>
      <c r="F741" s="51"/>
      <c r="G741" s="51"/>
      <c r="H741" s="51"/>
      <c r="I741" s="51"/>
      <c r="J741" s="121"/>
      <c r="K741" s="121"/>
      <c r="L741" s="121"/>
      <c r="M741" s="121"/>
      <c r="N741" s="121"/>
      <c r="O741" s="121"/>
      <c r="P741" s="121"/>
      <c r="Q741" s="121"/>
      <c r="R741" s="121"/>
      <c r="S741" s="121"/>
      <c r="T741" s="121"/>
      <c r="U741" s="121"/>
      <c r="V741" s="121"/>
      <c r="W741" s="121"/>
      <c r="X741" s="121"/>
      <c r="Y741" s="121"/>
      <c r="Z741" s="121"/>
      <c r="AA741" s="121"/>
      <c r="AB741" s="121"/>
      <c r="AC741" s="121"/>
      <c r="AD741" s="121"/>
      <c r="AE741" s="121"/>
      <c r="AF741" s="121"/>
      <c r="AG741" s="121"/>
      <c r="AH741" s="121"/>
      <c r="AI741" s="121"/>
      <c r="AJ741" s="121"/>
      <c r="AK741" s="121"/>
      <c r="AL741" s="121"/>
      <c r="AM741" s="121"/>
      <c r="AN741" s="594" t="str">
        <f>IF(TEMPLATE_CLAIM="P","5.1.1.3.3","")</f>
        <v/>
      </c>
      <c r="AO741" s="593" t="str">
        <f>IF(TEMPLATE_CLAIM="P","от котельных (некомбинированная выработка)","")</f>
        <v/>
      </c>
      <c r="AP741" s="257">
        <f t="shared" si="2"/>
        <v>0</v>
      </c>
      <c r="AQ741" s="258"/>
      <c r="AR741" s="258"/>
      <c r="AS741" s="202"/>
      <c r="AT741" s="48"/>
      <c r="AU741" s="48"/>
    </row>
    <row r="742" spans="1:47">
      <c r="A742" s="51"/>
      <c r="B742" s="51"/>
      <c r="C742" s="51"/>
      <c r="D742" s="51"/>
      <c r="E742" s="51"/>
      <c r="F742" s="51"/>
      <c r="G742" s="51"/>
      <c r="H742" s="51"/>
      <c r="I742" s="51"/>
      <c r="J742" s="121"/>
      <c r="K742" s="121"/>
      <c r="L742" s="121"/>
      <c r="M742" s="121"/>
      <c r="N742" s="121"/>
      <c r="O742" s="121"/>
      <c r="P742" s="121"/>
      <c r="Q742" s="121"/>
      <c r="R742" s="121"/>
      <c r="S742" s="121"/>
      <c r="T742" s="121"/>
      <c r="U742" s="121"/>
      <c r="V742" s="121"/>
      <c r="W742" s="121"/>
      <c r="X742" s="121"/>
      <c r="Y742" s="121"/>
      <c r="Z742" s="121"/>
      <c r="AA742" s="121"/>
      <c r="AB742" s="121"/>
      <c r="AC742" s="121"/>
      <c r="AD742" s="121"/>
      <c r="AE742" s="121"/>
      <c r="AF742" s="121"/>
      <c r="AG742" s="121"/>
      <c r="AH742" s="121"/>
      <c r="AI742" s="121"/>
      <c r="AJ742" s="121"/>
      <c r="AK742" s="121"/>
      <c r="AL742" s="121"/>
      <c r="AM742" s="121"/>
      <c r="AN742" s="236" t="s">
        <v>3002</v>
      </c>
      <c r="AO742" s="482" t="s">
        <v>756</v>
      </c>
      <c r="AP742" s="257">
        <f t="shared" si="2"/>
        <v>0</v>
      </c>
      <c r="AQ742" s="258"/>
      <c r="AR742" s="258"/>
      <c r="AS742" s="202"/>
      <c r="AT742" s="48"/>
      <c r="AU742" s="48"/>
    </row>
    <row r="743" spans="1:47" hidden="1">
      <c r="A743" s="51"/>
      <c r="B743" s="51"/>
      <c r="C743" s="51"/>
      <c r="D743" s="51"/>
      <c r="E743" s="51"/>
      <c r="F743" s="51"/>
      <c r="G743" s="51"/>
      <c r="H743" s="51"/>
      <c r="I743" s="51"/>
      <c r="J743" s="121"/>
      <c r="K743" s="121"/>
      <c r="L743" s="121"/>
      <c r="M743" s="121"/>
      <c r="N743" s="121"/>
      <c r="O743" s="121"/>
      <c r="P743" s="121"/>
      <c r="Q743" s="121"/>
      <c r="R743" s="121"/>
      <c r="S743" s="121"/>
      <c r="T743" s="121"/>
      <c r="U743" s="121"/>
      <c r="V743" s="121"/>
      <c r="W743" s="121"/>
      <c r="X743" s="121"/>
      <c r="Y743" s="121"/>
      <c r="Z743" s="121"/>
      <c r="AA743" s="121"/>
      <c r="AB743" s="121"/>
      <c r="AC743" s="121"/>
      <c r="AD743" s="121"/>
      <c r="AE743" s="121"/>
      <c r="AF743" s="121"/>
      <c r="AG743" s="121"/>
      <c r="AH743" s="121"/>
      <c r="AI743" s="121"/>
      <c r="AJ743" s="121"/>
      <c r="AK743" s="121"/>
      <c r="AL743" s="121"/>
      <c r="AM743" s="121"/>
      <c r="AN743" s="594" t="str">
        <f>IF(TEMPLATE_CLAIM="P","5.1.1.4.1","")</f>
        <v/>
      </c>
      <c r="AO743" s="593" t="str">
        <f>IF(TEMPLATE_CLAIM="P","от станций с мощностью производства &gt;= 25 МВт","")</f>
        <v/>
      </c>
      <c r="AP743" s="257">
        <f t="shared" si="2"/>
        <v>0</v>
      </c>
      <c r="AQ743" s="258"/>
      <c r="AR743" s="258"/>
      <c r="AS743" s="202"/>
      <c r="AT743" s="48"/>
      <c r="AU743" s="48"/>
    </row>
    <row r="744" spans="1:47" hidden="1">
      <c r="A744" s="51"/>
      <c r="B744" s="51"/>
      <c r="C744" s="51"/>
      <c r="D744" s="51"/>
      <c r="E744" s="51"/>
      <c r="F744" s="51"/>
      <c r="G744" s="51"/>
      <c r="H744" s="51"/>
      <c r="I744" s="51"/>
      <c r="J744" s="121"/>
      <c r="K744" s="121"/>
      <c r="L744" s="121"/>
      <c r="M744" s="121"/>
      <c r="N744" s="121"/>
      <c r="O744" s="121"/>
      <c r="P744" s="121"/>
      <c r="Q744" s="121"/>
      <c r="R744" s="121"/>
      <c r="S744" s="121"/>
      <c r="T744" s="121"/>
      <c r="U744" s="121"/>
      <c r="V744" s="121"/>
      <c r="W744" s="121"/>
      <c r="X744" s="121"/>
      <c r="Y744" s="121"/>
      <c r="Z744" s="121"/>
      <c r="AA744" s="121"/>
      <c r="AB744" s="121"/>
      <c r="AC744" s="121"/>
      <c r="AD744" s="121"/>
      <c r="AE744" s="121"/>
      <c r="AF744" s="121"/>
      <c r="AG744" s="121"/>
      <c r="AH744" s="121"/>
      <c r="AI744" s="121"/>
      <c r="AJ744" s="121"/>
      <c r="AK744" s="121"/>
      <c r="AL744" s="121"/>
      <c r="AM744" s="121"/>
      <c r="AN744" s="594" t="str">
        <f>IF(TEMPLATE_CLAIM="P","5.1.1.4.2","")</f>
        <v/>
      </c>
      <c r="AO744" s="593" t="str">
        <f>IF(TEMPLATE_CLAIM="P","от станций с мощностью производства &lt; 25 МВт","")</f>
        <v/>
      </c>
      <c r="AP744" s="257">
        <f t="shared" si="2"/>
        <v>0</v>
      </c>
      <c r="AQ744" s="258"/>
      <c r="AR744" s="258"/>
      <c r="AS744" s="202"/>
      <c r="AT744" s="48"/>
      <c r="AU744" s="48"/>
    </row>
    <row r="745" spans="1:47" hidden="1">
      <c r="A745" s="51"/>
      <c r="B745" s="51"/>
      <c r="C745" s="51"/>
      <c r="D745" s="51"/>
      <c r="E745" s="51"/>
      <c r="F745" s="51"/>
      <c r="G745" s="51"/>
      <c r="H745" s="51"/>
      <c r="I745" s="51"/>
      <c r="J745" s="121"/>
      <c r="K745" s="121"/>
      <c r="L745" s="121"/>
      <c r="M745" s="121"/>
      <c r="N745" s="121"/>
      <c r="O745" s="121"/>
      <c r="P745" s="121"/>
      <c r="Q745" s="121"/>
      <c r="R745" s="121"/>
      <c r="S745" s="121"/>
      <c r="T745" s="121"/>
      <c r="U745" s="121"/>
      <c r="V745" s="121"/>
      <c r="W745" s="121"/>
      <c r="X745" s="121"/>
      <c r="Y745" s="121"/>
      <c r="Z745" s="121"/>
      <c r="AA745" s="121"/>
      <c r="AB745" s="121"/>
      <c r="AC745" s="121"/>
      <c r="AD745" s="121"/>
      <c r="AE745" s="121"/>
      <c r="AF745" s="121"/>
      <c r="AG745" s="121"/>
      <c r="AH745" s="121"/>
      <c r="AI745" s="121"/>
      <c r="AJ745" s="121"/>
      <c r="AK745" s="121"/>
      <c r="AL745" s="121"/>
      <c r="AM745" s="121"/>
      <c r="AN745" s="594" t="str">
        <f>IF(TEMPLATE_CLAIM="P","5.1.1.4.3","")</f>
        <v/>
      </c>
      <c r="AO745" s="593" t="str">
        <f>IF(TEMPLATE_CLAIM="P","от котельных (некомбинированная выработка)","")</f>
        <v/>
      </c>
      <c r="AP745" s="257">
        <f t="shared" si="2"/>
        <v>0</v>
      </c>
      <c r="AQ745" s="258"/>
      <c r="AR745" s="258"/>
      <c r="AS745" s="202"/>
      <c r="AT745" s="48"/>
      <c r="AU745" s="48"/>
    </row>
    <row r="746" spans="1:47">
      <c r="A746" s="51"/>
      <c r="B746" s="51"/>
      <c r="C746" s="51"/>
      <c r="D746" s="51"/>
      <c r="E746" s="51"/>
      <c r="F746" s="51"/>
      <c r="G746" s="51"/>
      <c r="H746" s="51"/>
      <c r="I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3"/>
      <c r="AM746" s="124"/>
      <c r="AN746" s="234" t="s">
        <v>3003</v>
      </c>
      <c r="AO746" s="225" t="s">
        <v>3004</v>
      </c>
      <c r="AP746" s="257">
        <f>SUM(AQ746:AR746)</f>
        <v>0</v>
      </c>
      <c r="AQ746" s="258"/>
      <c r="AR746" s="258"/>
      <c r="AS746" s="127"/>
    </row>
    <row r="747" spans="1:47" ht="22.5">
      <c r="A747" s="51"/>
      <c r="B747" s="51"/>
      <c r="C747" s="51"/>
      <c r="D747" s="51"/>
      <c r="E747" s="51"/>
      <c r="F747" s="51"/>
      <c r="G747" s="51"/>
      <c r="H747" s="51"/>
      <c r="I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3"/>
      <c r="AM747" s="124"/>
      <c r="AN747" s="234" t="s">
        <v>3006</v>
      </c>
      <c r="AO747" s="225" t="s">
        <v>3007</v>
      </c>
      <c r="AP747" s="257">
        <f>SUM(AQ747:AR747)</f>
        <v>0</v>
      </c>
      <c r="AQ747" s="258"/>
      <c r="AR747" s="258"/>
      <c r="AS747" s="127"/>
    </row>
    <row r="748" spans="1:47">
      <c r="A748" s="51"/>
      <c r="B748" s="51"/>
      <c r="C748" s="51"/>
      <c r="D748" s="51"/>
      <c r="E748" s="51"/>
      <c r="F748" s="51"/>
      <c r="G748" s="51"/>
      <c r="H748" s="51"/>
      <c r="I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3"/>
      <c r="AM748" s="124"/>
      <c r="AN748" s="236" t="s">
        <v>3008</v>
      </c>
      <c r="AO748" s="242" t="s">
        <v>2972</v>
      </c>
      <c r="AP748" s="257">
        <f>SUM(AQ748:AR748)</f>
        <v>0</v>
      </c>
      <c r="AQ748" s="258"/>
      <c r="AR748" s="258"/>
      <c r="AS748" s="127"/>
    </row>
    <row r="749" spans="1:47">
      <c r="A749" s="51"/>
      <c r="B749" s="51"/>
      <c r="C749" s="51"/>
      <c r="D749" s="51"/>
      <c r="E749" s="51"/>
      <c r="F749" s="51"/>
      <c r="G749" s="51"/>
      <c r="H749" s="51"/>
      <c r="I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3"/>
      <c r="AM749" s="124"/>
      <c r="AN749" s="236" t="s">
        <v>3009</v>
      </c>
      <c r="AO749" s="242" t="s">
        <v>2988</v>
      </c>
      <c r="AP749" s="257">
        <f>SUM(AQ749:AR749)</f>
        <v>0</v>
      </c>
      <c r="AQ749" s="258"/>
      <c r="AR749" s="258"/>
      <c r="AS749" s="127"/>
    </row>
    <row r="750" spans="1:47">
      <c r="A750" s="51"/>
      <c r="B750" s="51"/>
      <c r="C750" s="51"/>
      <c r="D750" s="51"/>
      <c r="E750" s="51"/>
      <c r="F750" s="51"/>
      <c r="G750" s="51"/>
      <c r="H750" s="51"/>
      <c r="I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3"/>
      <c r="AM750" s="124"/>
      <c r="AN750" s="236" t="s">
        <v>3010</v>
      </c>
      <c r="AO750" s="242" t="s">
        <v>3011</v>
      </c>
      <c r="AP750" s="257">
        <f>SUM(AQ750:AR750)</f>
        <v>0</v>
      </c>
      <c r="AQ750" s="258"/>
      <c r="AR750" s="258"/>
      <c r="AS750" s="127"/>
    </row>
    <row r="751" spans="1:47">
      <c r="A751" s="51"/>
      <c r="B751" s="51"/>
      <c r="C751" s="51"/>
      <c r="D751" s="51"/>
      <c r="E751" s="51"/>
      <c r="F751" s="51"/>
      <c r="G751" s="51"/>
      <c r="H751" s="51"/>
      <c r="I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3"/>
      <c r="AM751" s="124"/>
      <c r="AN751" s="236" t="s">
        <v>3012</v>
      </c>
      <c r="AO751" s="244" t="s">
        <v>2968</v>
      </c>
      <c r="AP751" s="257">
        <f>IF(AP752=0,0,AP750/AP752)</f>
        <v>0</v>
      </c>
      <c r="AQ751" s="258"/>
      <c r="AR751" s="258"/>
      <c r="AS751" s="127"/>
    </row>
    <row r="752" spans="1:47">
      <c r="A752" s="51"/>
      <c r="B752" s="51"/>
      <c r="C752" s="51"/>
      <c r="D752" s="51"/>
      <c r="E752" s="51"/>
      <c r="F752" s="51"/>
      <c r="G752" s="51"/>
      <c r="H752" s="51"/>
      <c r="I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3"/>
      <c r="AM752" s="124"/>
      <c r="AN752" s="236" t="s">
        <v>3013</v>
      </c>
      <c r="AO752" s="244" t="s">
        <v>2972</v>
      </c>
      <c r="AP752" s="257">
        <f>SUM(AQ752:AR752)</f>
        <v>0</v>
      </c>
      <c r="AQ752" s="258"/>
      <c r="AR752" s="258"/>
      <c r="AS752" s="127"/>
    </row>
    <row r="753" spans="1:45">
      <c r="A753" s="51"/>
      <c r="B753" s="51"/>
      <c r="C753" s="51"/>
      <c r="D753" s="51"/>
      <c r="E753" s="51"/>
      <c r="F753" s="51"/>
      <c r="G753" s="51"/>
      <c r="H753" s="51"/>
      <c r="I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3"/>
      <c r="AM753" s="124"/>
      <c r="AN753" s="236" t="s">
        <v>3014</v>
      </c>
      <c r="AO753" s="245" t="s">
        <v>3015</v>
      </c>
      <c r="AP753" s="257">
        <f>SUM(AQ753:AR753)</f>
        <v>0</v>
      </c>
      <c r="AQ753" s="258"/>
      <c r="AR753" s="258"/>
      <c r="AS753" s="127"/>
    </row>
    <row r="754" spans="1:45">
      <c r="AL754" s="50"/>
      <c r="AM754" s="124"/>
      <c r="AN754" s="236" t="s">
        <v>3016</v>
      </c>
      <c r="AO754" s="244" t="s">
        <v>2970</v>
      </c>
      <c r="AP754" s="257">
        <f>IF(AP755=0,0,AP753/AP755)</f>
        <v>0</v>
      </c>
      <c r="AQ754" s="258"/>
      <c r="AR754" s="258"/>
      <c r="AS754" s="127"/>
    </row>
    <row r="755" spans="1:45">
      <c r="AL755" s="50"/>
      <c r="AM755" s="124"/>
      <c r="AN755" s="236" t="s">
        <v>3017</v>
      </c>
      <c r="AO755" s="244" t="s">
        <v>3018</v>
      </c>
      <c r="AP755" s="257">
        <f>SUM(AQ755:AR755)</f>
        <v>0</v>
      </c>
      <c r="AQ755" s="258"/>
      <c r="AR755" s="258"/>
      <c r="AS755" s="127"/>
    </row>
    <row r="756" spans="1:45">
      <c r="AL756" s="50"/>
      <c r="AM756" s="124"/>
      <c r="AN756" s="236" t="s">
        <v>3019</v>
      </c>
      <c r="AO756" s="242" t="s">
        <v>3020</v>
      </c>
      <c r="AP756" s="257">
        <f>SUM(AQ756:AR756)</f>
        <v>0</v>
      </c>
      <c r="AQ756" s="258"/>
      <c r="AR756" s="258"/>
      <c r="AS756" s="127"/>
    </row>
    <row r="757" spans="1:45">
      <c r="AL757" s="50"/>
      <c r="AM757" s="125"/>
      <c r="AN757" s="236" t="s">
        <v>3021</v>
      </c>
      <c r="AO757" s="244" t="s">
        <v>2968</v>
      </c>
      <c r="AP757" s="257">
        <f>IF(AP758=0,0,AP756/AP758)</f>
        <v>0</v>
      </c>
      <c r="AQ757" s="258"/>
      <c r="AR757" s="258"/>
      <c r="AS757" s="127"/>
    </row>
    <row r="758" spans="1:45">
      <c r="AL758" s="50"/>
      <c r="AM758" s="125"/>
      <c r="AN758" s="236" t="s">
        <v>3022</v>
      </c>
      <c r="AO758" s="244" t="s">
        <v>2972</v>
      </c>
      <c r="AP758" s="257">
        <f>SUM(AQ758:AR758)</f>
        <v>0</v>
      </c>
      <c r="AQ758" s="258"/>
      <c r="AR758" s="258"/>
      <c r="AS758" s="127"/>
    </row>
    <row r="759" spans="1:45">
      <c r="AL759" s="50"/>
      <c r="AM759" s="125"/>
      <c r="AN759" s="236" t="s">
        <v>3023</v>
      </c>
      <c r="AO759" s="245" t="s">
        <v>3024</v>
      </c>
      <c r="AP759" s="257">
        <f>SUM(AQ759:AR759)</f>
        <v>0</v>
      </c>
      <c r="AQ759" s="258"/>
      <c r="AR759" s="258"/>
      <c r="AS759" s="127"/>
    </row>
    <row r="760" spans="1:45">
      <c r="AL760" s="50"/>
      <c r="AM760" s="125"/>
      <c r="AN760" s="236" t="s">
        <v>3025</v>
      </c>
      <c r="AO760" s="244" t="s">
        <v>2970</v>
      </c>
      <c r="AP760" s="257">
        <f>IF(AP761=0,0,AP759/AP761)</f>
        <v>0</v>
      </c>
      <c r="AQ760" s="258"/>
      <c r="AR760" s="258"/>
      <c r="AS760" s="127"/>
    </row>
    <row r="761" spans="1:45">
      <c r="AL761" s="50"/>
      <c r="AM761" s="125"/>
      <c r="AN761" s="236" t="s">
        <v>3026</v>
      </c>
      <c r="AO761" s="244" t="s">
        <v>3018</v>
      </c>
      <c r="AP761" s="257">
        <f>SUM(AQ761:AR761)</f>
        <v>0</v>
      </c>
      <c r="AQ761" s="258"/>
      <c r="AR761" s="258"/>
      <c r="AS761" s="127"/>
    </row>
    <row r="762" spans="1:45">
      <c r="AL762" s="50"/>
      <c r="AM762" s="125"/>
      <c r="AN762" s="236" t="s">
        <v>3027</v>
      </c>
      <c r="AO762" s="242" t="s">
        <v>3028</v>
      </c>
      <c r="AP762" s="257">
        <f>SUM(AQ762:AR762)</f>
        <v>0</v>
      </c>
      <c r="AQ762" s="258"/>
      <c r="AR762" s="258"/>
      <c r="AS762" s="127"/>
    </row>
    <row r="763" spans="1:45">
      <c r="AL763" s="50"/>
      <c r="AM763" s="125"/>
      <c r="AN763" s="236" t="s">
        <v>3029</v>
      </c>
      <c r="AO763" s="244" t="s">
        <v>2968</v>
      </c>
      <c r="AP763" s="257">
        <f>IF(AP764=0,0,AP762/AP764)</f>
        <v>0</v>
      </c>
      <c r="AQ763" s="258"/>
      <c r="AR763" s="258"/>
      <c r="AS763" s="127"/>
    </row>
    <row r="764" spans="1:45">
      <c r="AL764" s="50"/>
      <c r="AM764" s="125"/>
      <c r="AN764" s="236" t="s">
        <v>3030</v>
      </c>
      <c r="AO764" s="244" t="s">
        <v>2972</v>
      </c>
      <c r="AP764" s="257">
        <f>SUM(AQ764:AR764)</f>
        <v>0</v>
      </c>
      <c r="AQ764" s="258"/>
      <c r="AR764" s="258"/>
      <c r="AS764" s="127"/>
    </row>
    <row r="765" spans="1:45">
      <c r="AL765" s="50"/>
      <c r="AM765" s="125"/>
      <c r="AN765" s="236" t="s">
        <v>3031</v>
      </c>
      <c r="AO765" s="245" t="s">
        <v>3032</v>
      </c>
      <c r="AP765" s="257">
        <f>SUM(AQ765:AR765)</f>
        <v>0</v>
      </c>
      <c r="AQ765" s="258"/>
      <c r="AR765" s="258"/>
      <c r="AS765" s="127"/>
    </row>
    <row r="766" spans="1:45">
      <c r="AL766" s="53"/>
      <c r="AM766" s="126"/>
      <c r="AN766" s="236" t="s">
        <v>3033</v>
      </c>
      <c r="AO766" s="244" t="s">
        <v>2970</v>
      </c>
      <c r="AP766" s="257">
        <f>IF(AP767=0,0,AP765/AP767)</f>
        <v>0</v>
      </c>
      <c r="AQ766" s="258"/>
      <c r="AR766" s="258"/>
      <c r="AS766" s="127"/>
    </row>
    <row r="767" spans="1:45">
      <c r="AL767" s="53"/>
      <c r="AM767" s="126"/>
      <c r="AN767" s="236" t="s">
        <v>3034</v>
      </c>
      <c r="AO767" s="244" t="s">
        <v>3018</v>
      </c>
      <c r="AP767" s="257">
        <f>SUM(AQ767:AR767)</f>
        <v>0</v>
      </c>
      <c r="AQ767" s="258"/>
      <c r="AR767" s="258"/>
      <c r="AS767" s="127"/>
    </row>
    <row r="768" spans="1:45">
      <c r="AL768" s="53"/>
      <c r="AM768" s="126"/>
      <c r="AN768" s="236" t="s">
        <v>3035</v>
      </c>
      <c r="AO768" s="242" t="s">
        <v>3036</v>
      </c>
      <c r="AP768" s="257">
        <f>SUM(AQ768:AR768)</f>
        <v>0</v>
      </c>
      <c r="AQ768" s="258"/>
      <c r="AR768" s="258"/>
      <c r="AS768" s="127"/>
    </row>
    <row r="769" spans="38:45">
      <c r="AL769" s="53"/>
      <c r="AM769" s="126"/>
      <c r="AN769" s="236" t="s">
        <v>3037</v>
      </c>
      <c r="AO769" s="244" t="s">
        <v>2968</v>
      </c>
      <c r="AP769" s="257">
        <f>IF(AP770=0,0,AP768/AP770)</f>
        <v>0</v>
      </c>
      <c r="AQ769" s="258"/>
      <c r="AR769" s="258"/>
      <c r="AS769" s="127"/>
    </row>
    <row r="770" spans="38:45">
      <c r="AL770" s="53"/>
      <c r="AM770" s="126"/>
      <c r="AN770" s="236" t="s">
        <v>3038</v>
      </c>
      <c r="AO770" s="244" t="s">
        <v>2972</v>
      </c>
      <c r="AP770" s="257">
        <f>SUM(AQ770:AR770)</f>
        <v>0</v>
      </c>
      <c r="AQ770" s="258"/>
      <c r="AR770" s="258"/>
      <c r="AS770" s="127"/>
    </row>
    <row r="771" spans="38:45">
      <c r="AL771" s="53"/>
      <c r="AM771" s="126"/>
      <c r="AN771" s="236" t="s">
        <v>3039</v>
      </c>
      <c r="AO771" s="245" t="s">
        <v>3040</v>
      </c>
      <c r="AP771" s="257">
        <f>SUM(AQ771:AR771)</f>
        <v>0</v>
      </c>
      <c r="AQ771" s="258"/>
      <c r="AR771" s="258"/>
      <c r="AS771" s="127"/>
    </row>
    <row r="772" spans="38:45">
      <c r="AL772" s="53"/>
      <c r="AM772" s="126"/>
      <c r="AN772" s="236" t="s">
        <v>3041</v>
      </c>
      <c r="AO772" s="244" t="s">
        <v>2970</v>
      </c>
      <c r="AP772" s="257">
        <f>IF(AP773=0,0,AP771/AP773)</f>
        <v>0</v>
      </c>
      <c r="AQ772" s="258"/>
      <c r="AR772" s="258"/>
      <c r="AS772" s="127"/>
    </row>
    <row r="773" spans="38:45">
      <c r="AL773" s="53"/>
      <c r="AM773" s="126"/>
      <c r="AN773" s="236" t="s">
        <v>3042</v>
      </c>
      <c r="AO773" s="244" t="s">
        <v>3018</v>
      </c>
      <c r="AP773" s="257">
        <f t="shared" ref="AP773:AP779" si="3">SUM(AQ773:AR773)</f>
        <v>0</v>
      </c>
      <c r="AQ773" s="258"/>
      <c r="AR773" s="258"/>
      <c r="AS773" s="127"/>
    </row>
    <row r="774" spans="38:45">
      <c r="AL774" s="50"/>
      <c r="AM774" s="126"/>
      <c r="AN774" s="436" t="s">
        <v>771</v>
      </c>
      <c r="AO774" s="591" t="s">
        <v>3043</v>
      </c>
      <c r="AP774" s="257">
        <f t="shared" si="3"/>
        <v>0</v>
      </c>
      <c r="AQ774" s="258"/>
      <c r="AR774" s="258"/>
      <c r="AS774" s="127"/>
    </row>
    <row r="775" spans="38:45">
      <c r="AL775" s="50"/>
      <c r="AM775" s="126"/>
      <c r="AN775" s="436" t="s">
        <v>772</v>
      </c>
      <c r="AO775" s="592" t="s">
        <v>3044</v>
      </c>
      <c r="AP775" s="257">
        <f t="shared" si="3"/>
        <v>0</v>
      </c>
      <c r="AQ775" s="258"/>
      <c r="AR775" s="258"/>
      <c r="AS775" s="127"/>
    </row>
    <row r="776" spans="38:45">
      <c r="AL776" s="50"/>
      <c r="AM776" s="126"/>
      <c r="AN776" s="236" t="s">
        <v>773</v>
      </c>
      <c r="AO776" s="248" t="s">
        <v>3045</v>
      </c>
      <c r="AP776" s="257">
        <f t="shared" si="3"/>
        <v>0</v>
      </c>
      <c r="AQ776" s="258"/>
      <c r="AR776" s="258"/>
      <c r="AS776" s="127"/>
    </row>
    <row r="777" spans="38:45">
      <c r="AL777" s="50"/>
      <c r="AM777" s="126"/>
      <c r="AN777" s="236" t="s">
        <v>3046</v>
      </c>
      <c r="AO777" s="242" t="s">
        <v>2972</v>
      </c>
      <c r="AP777" s="257">
        <f t="shared" si="3"/>
        <v>0</v>
      </c>
      <c r="AQ777" s="258"/>
      <c r="AR777" s="258"/>
      <c r="AS777" s="127"/>
    </row>
    <row r="778" spans="38:45">
      <c r="AL778" s="50"/>
      <c r="AM778" s="126"/>
      <c r="AN778" s="236" t="s">
        <v>3047</v>
      </c>
      <c r="AO778" s="242" t="s">
        <v>2988</v>
      </c>
      <c r="AP778" s="257">
        <f t="shared" si="3"/>
        <v>0</v>
      </c>
      <c r="AQ778" s="258"/>
      <c r="AR778" s="258"/>
      <c r="AS778" s="127"/>
    </row>
    <row r="779" spans="38:45">
      <c r="AL779" s="50"/>
      <c r="AM779" s="126"/>
      <c r="AN779" s="236" t="s">
        <v>3048</v>
      </c>
      <c r="AO779" s="242" t="s">
        <v>3011</v>
      </c>
      <c r="AP779" s="257">
        <f t="shared" si="3"/>
        <v>0</v>
      </c>
      <c r="AQ779" s="258"/>
      <c r="AR779" s="258"/>
      <c r="AS779" s="127"/>
    </row>
    <row r="780" spans="38:45">
      <c r="AL780" s="50"/>
      <c r="AM780" s="126"/>
      <c r="AN780" s="236" t="s">
        <v>3049</v>
      </c>
      <c r="AO780" s="244" t="s">
        <v>2968</v>
      </c>
      <c r="AP780" s="257">
        <f>IF(AP781=0,0,AP779/AP781)</f>
        <v>0</v>
      </c>
      <c r="AQ780" s="258"/>
      <c r="AR780" s="258"/>
      <c r="AS780" s="127"/>
    </row>
    <row r="781" spans="38:45">
      <c r="AL781" s="50"/>
      <c r="AM781" s="126"/>
      <c r="AN781" s="236" t="s">
        <v>3050</v>
      </c>
      <c r="AO781" s="244" t="s">
        <v>2972</v>
      </c>
      <c r="AP781" s="257">
        <f>SUM(AQ781:AR781)</f>
        <v>0</v>
      </c>
      <c r="AQ781" s="258"/>
      <c r="AR781" s="258"/>
      <c r="AS781" s="127"/>
    </row>
    <row r="782" spans="38:45">
      <c r="AL782" s="50"/>
      <c r="AM782" s="126"/>
      <c r="AN782" s="236" t="s">
        <v>3051</v>
      </c>
      <c r="AO782" s="245" t="s">
        <v>3015</v>
      </c>
      <c r="AP782" s="257">
        <f>SUM(AQ782:AR782)</f>
        <v>0</v>
      </c>
      <c r="AQ782" s="258"/>
      <c r="AR782" s="258"/>
      <c r="AS782" s="127"/>
    </row>
    <row r="783" spans="38:45">
      <c r="AL783" s="50"/>
      <c r="AM783" s="126"/>
      <c r="AN783" s="236" t="s">
        <v>3052</v>
      </c>
      <c r="AO783" s="244" t="s">
        <v>2970</v>
      </c>
      <c r="AP783" s="257">
        <f>IF(AP784=0,0,AP782/AP784)</f>
        <v>0</v>
      </c>
      <c r="AQ783" s="258"/>
      <c r="AR783" s="258"/>
      <c r="AS783" s="127"/>
    </row>
    <row r="784" spans="38:45">
      <c r="AL784" s="50"/>
      <c r="AM784" s="126"/>
      <c r="AN784" s="236" t="s">
        <v>3053</v>
      </c>
      <c r="AO784" s="244" t="s">
        <v>3018</v>
      </c>
      <c r="AP784" s="257">
        <f>SUM(AQ784:AR784)</f>
        <v>0</v>
      </c>
      <c r="AQ784" s="258"/>
      <c r="AR784" s="258"/>
      <c r="AS784" s="127"/>
    </row>
    <row r="785" spans="38:45">
      <c r="AL785" s="50"/>
      <c r="AM785" s="126"/>
      <c r="AN785" s="236" t="s">
        <v>3054</v>
      </c>
      <c r="AO785" s="242" t="s">
        <v>3020</v>
      </c>
      <c r="AP785" s="257">
        <f>SUM(AQ785:AR785)</f>
        <v>0</v>
      </c>
      <c r="AQ785" s="258"/>
      <c r="AR785" s="258"/>
      <c r="AS785" s="127"/>
    </row>
    <row r="786" spans="38:45">
      <c r="AL786" s="50"/>
      <c r="AM786" s="126"/>
      <c r="AN786" s="236" t="s">
        <v>3055</v>
      </c>
      <c r="AO786" s="244" t="s">
        <v>2968</v>
      </c>
      <c r="AP786" s="257">
        <f>IF(AP787=0,0,AP785/AP787)</f>
        <v>0</v>
      </c>
      <c r="AQ786" s="258"/>
      <c r="AR786" s="258"/>
      <c r="AS786" s="127"/>
    </row>
    <row r="787" spans="38:45">
      <c r="AL787" s="50"/>
      <c r="AM787" s="126"/>
      <c r="AN787" s="236" t="s">
        <v>3056</v>
      </c>
      <c r="AO787" s="244" t="s">
        <v>2972</v>
      </c>
      <c r="AP787" s="257">
        <f>SUM(AQ787:AR787)</f>
        <v>0</v>
      </c>
      <c r="AQ787" s="258"/>
      <c r="AR787" s="258"/>
      <c r="AS787" s="127"/>
    </row>
    <row r="788" spans="38:45">
      <c r="AL788" s="50"/>
      <c r="AM788" s="126"/>
      <c r="AN788" s="236" t="s">
        <v>3057</v>
      </c>
      <c r="AO788" s="245" t="s">
        <v>3024</v>
      </c>
      <c r="AP788" s="257">
        <f>SUM(AQ788:AR788)</f>
        <v>0</v>
      </c>
      <c r="AQ788" s="258"/>
      <c r="AR788" s="258"/>
      <c r="AS788" s="127"/>
    </row>
    <row r="789" spans="38:45">
      <c r="AL789" s="50"/>
      <c r="AM789" s="126"/>
      <c r="AN789" s="236" t="s">
        <v>3058</v>
      </c>
      <c r="AO789" s="244" t="s">
        <v>2970</v>
      </c>
      <c r="AP789" s="257">
        <f>IF(AP790=0,0,AP788/AP790)</f>
        <v>0</v>
      </c>
      <c r="AQ789" s="258"/>
      <c r="AR789" s="258"/>
      <c r="AS789" s="127"/>
    </row>
    <row r="790" spans="38:45">
      <c r="AL790" s="50"/>
      <c r="AM790" s="126"/>
      <c r="AN790" s="236" t="s">
        <v>3059</v>
      </c>
      <c r="AO790" s="244" t="s">
        <v>3018</v>
      </c>
      <c r="AP790" s="257">
        <f>SUM(AQ790:AR790)</f>
        <v>0</v>
      </c>
      <c r="AQ790" s="258"/>
      <c r="AR790" s="258"/>
      <c r="AS790" s="127"/>
    </row>
    <row r="791" spans="38:45">
      <c r="AL791" s="50"/>
      <c r="AM791" s="126"/>
      <c r="AN791" s="236" t="s">
        <v>3060</v>
      </c>
      <c r="AO791" s="242" t="s">
        <v>3028</v>
      </c>
      <c r="AP791" s="257">
        <f>SUM(AQ791:AR791)</f>
        <v>0</v>
      </c>
      <c r="AQ791" s="258"/>
      <c r="AR791" s="258"/>
      <c r="AS791" s="127"/>
    </row>
    <row r="792" spans="38:45">
      <c r="AL792" s="50"/>
      <c r="AM792" s="126"/>
      <c r="AN792" s="236" t="s">
        <v>3061</v>
      </c>
      <c r="AO792" s="244" t="s">
        <v>2968</v>
      </c>
      <c r="AP792" s="257">
        <f>IF(AP793=0,0,AP791/AP793)</f>
        <v>0</v>
      </c>
      <c r="AQ792" s="258"/>
      <c r="AR792" s="258"/>
      <c r="AS792" s="127"/>
    </row>
    <row r="793" spans="38:45">
      <c r="AL793" s="50"/>
      <c r="AM793" s="126"/>
      <c r="AN793" s="236" t="s">
        <v>3062</v>
      </c>
      <c r="AO793" s="244" t="s">
        <v>2972</v>
      </c>
      <c r="AP793" s="257">
        <f>SUM(AQ793:AR793)</f>
        <v>0</v>
      </c>
      <c r="AQ793" s="258"/>
      <c r="AR793" s="258"/>
      <c r="AS793" s="127"/>
    </row>
    <row r="794" spans="38:45">
      <c r="AL794" s="50"/>
      <c r="AM794" s="126"/>
      <c r="AN794" s="236" t="s">
        <v>3063</v>
      </c>
      <c r="AO794" s="245" t="s">
        <v>3032</v>
      </c>
      <c r="AP794" s="257">
        <f>SUM(AQ794:AR794)</f>
        <v>0</v>
      </c>
      <c r="AQ794" s="258"/>
      <c r="AR794" s="258"/>
      <c r="AS794" s="127"/>
    </row>
    <row r="795" spans="38:45">
      <c r="AL795" s="50"/>
      <c r="AM795" s="126"/>
      <c r="AN795" s="236" t="s">
        <v>3064</v>
      </c>
      <c r="AO795" s="244" t="s">
        <v>2970</v>
      </c>
      <c r="AP795" s="257">
        <f>IF(AP796=0,0,AP794/AP796)</f>
        <v>0</v>
      </c>
      <c r="AQ795" s="258"/>
      <c r="AR795" s="258"/>
      <c r="AS795" s="127"/>
    </row>
    <row r="796" spans="38:45">
      <c r="AL796" s="50"/>
      <c r="AM796" s="126"/>
      <c r="AN796" s="236" t="s">
        <v>3065</v>
      </c>
      <c r="AO796" s="244" t="s">
        <v>3018</v>
      </c>
      <c r="AP796" s="257">
        <f>SUM(AQ796:AR796)</f>
        <v>0</v>
      </c>
      <c r="AQ796" s="258"/>
      <c r="AR796" s="258"/>
      <c r="AS796" s="127"/>
    </row>
    <row r="797" spans="38:45">
      <c r="AL797" s="50"/>
      <c r="AM797" s="126"/>
      <c r="AN797" s="236" t="s">
        <v>3066</v>
      </c>
      <c r="AO797" s="242" t="s">
        <v>3036</v>
      </c>
      <c r="AP797" s="257">
        <f>SUM(AQ797:AR797)</f>
        <v>0</v>
      </c>
      <c r="AQ797" s="258"/>
      <c r="AR797" s="258"/>
      <c r="AS797" s="127"/>
    </row>
    <row r="798" spans="38:45">
      <c r="AL798" s="50"/>
      <c r="AM798" s="126"/>
      <c r="AN798" s="236" t="s">
        <v>3067</v>
      </c>
      <c r="AO798" s="244" t="s">
        <v>2968</v>
      </c>
      <c r="AP798" s="257">
        <f>IF(AP799=0,0,AP797/AP799)</f>
        <v>0</v>
      </c>
      <c r="AQ798" s="258"/>
      <c r="AR798" s="258"/>
      <c r="AS798" s="127"/>
    </row>
    <row r="799" spans="38:45">
      <c r="AL799" s="50"/>
      <c r="AM799" s="126"/>
      <c r="AN799" s="236" t="s">
        <v>3068</v>
      </c>
      <c r="AO799" s="244" t="s">
        <v>2972</v>
      </c>
      <c r="AP799" s="257">
        <f>SUM(AQ799:AR799)</f>
        <v>0</v>
      </c>
      <c r="AQ799" s="258"/>
      <c r="AR799" s="258"/>
      <c r="AS799" s="127"/>
    </row>
    <row r="800" spans="38:45">
      <c r="AL800" s="50"/>
      <c r="AM800" s="126"/>
      <c r="AN800" s="236" t="s">
        <v>3069</v>
      </c>
      <c r="AO800" s="245" t="s">
        <v>3040</v>
      </c>
      <c r="AP800" s="257">
        <f>SUM(AQ800:AR800)</f>
        <v>0</v>
      </c>
      <c r="AQ800" s="258"/>
      <c r="AR800" s="258"/>
      <c r="AS800" s="127"/>
    </row>
    <row r="801" spans="38:45">
      <c r="AL801" s="50"/>
      <c r="AM801" s="126"/>
      <c r="AN801" s="236" t="s">
        <v>3070</v>
      </c>
      <c r="AO801" s="244" t="s">
        <v>2970</v>
      </c>
      <c r="AP801" s="257">
        <f>IF(AP802=0,0,AP800/AP802)</f>
        <v>0</v>
      </c>
      <c r="AQ801" s="258"/>
      <c r="AR801" s="258"/>
      <c r="AS801" s="127"/>
    </row>
    <row r="802" spans="38:45">
      <c r="AL802" s="50"/>
      <c r="AM802" s="126"/>
      <c r="AN802" s="236" t="s">
        <v>3071</v>
      </c>
      <c r="AO802" s="244" t="s">
        <v>3018</v>
      </c>
      <c r="AP802" s="257">
        <f>SUM(AQ802:AR802)</f>
        <v>0</v>
      </c>
      <c r="AQ802" s="258"/>
      <c r="AR802" s="258"/>
      <c r="AS802" s="127"/>
    </row>
    <row r="803" spans="38:45" ht="11.25" customHeight="1">
      <c r="AL803" s="50"/>
      <c r="AM803" s="126"/>
      <c r="AN803" s="234" t="s">
        <v>3072</v>
      </c>
      <c r="AO803" s="235" t="s">
        <v>799</v>
      </c>
      <c r="AP803" s="257">
        <f>SUM(AQ803:AR803)</f>
        <v>0</v>
      </c>
      <c r="AQ803" s="258"/>
      <c r="AR803" s="258"/>
      <c r="AS803" s="127"/>
    </row>
    <row r="804" spans="38:45" ht="22.5">
      <c r="AL804" s="50"/>
      <c r="AM804" s="126"/>
      <c r="AN804" s="279" t="s">
        <v>2793</v>
      </c>
      <c r="AO804" s="488" t="s">
        <v>2782</v>
      </c>
      <c r="AP804" s="257">
        <f>IF(AP805&lt;&gt;0,(1000*AP803/AP805)/$AN$8,0)</f>
        <v>0</v>
      </c>
      <c r="AQ804" s="258"/>
      <c r="AR804" s="258"/>
      <c r="AS804" s="127"/>
    </row>
    <row r="805" spans="38:45">
      <c r="AL805" s="50"/>
      <c r="AM805" s="126"/>
      <c r="AN805" s="279" t="s">
        <v>2794</v>
      </c>
      <c r="AO805" s="488" t="s">
        <v>2783</v>
      </c>
      <c r="AP805" s="257">
        <f>SUM(AQ805:AR805)</f>
        <v>0</v>
      </c>
      <c r="AQ805" s="258"/>
      <c r="AR805" s="258"/>
      <c r="AS805" s="127"/>
    </row>
    <row r="806" spans="38:45" ht="22.5">
      <c r="AL806" s="50"/>
      <c r="AM806" s="126"/>
      <c r="AN806" s="279" t="s">
        <v>204</v>
      </c>
      <c r="AO806" s="488" t="s">
        <v>120</v>
      </c>
      <c r="AP806" s="263"/>
      <c r="AQ806" s="258"/>
      <c r="AR806" s="258"/>
      <c r="AS806" s="127"/>
    </row>
    <row r="807" spans="38:45">
      <c r="AL807" s="50"/>
      <c r="AM807" s="126"/>
      <c r="AN807" s="236" t="s">
        <v>75</v>
      </c>
      <c r="AO807" s="224" t="s">
        <v>1832</v>
      </c>
      <c r="AP807" s="257">
        <f>SUM(AQ807:AR807)</f>
        <v>0</v>
      </c>
      <c r="AQ807" s="258"/>
      <c r="AR807" s="258"/>
      <c r="AS807" s="127"/>
    </row>
    <row r="808" spans="38:45" ht="22.5">
      <c r="AL808" s="50"/>
      <c r="AM808" s="126"/>
      <c r="AN808" s="236" t="s">
        <v>1833</v>
      </c>
      <c r="AO808" s="225" t="s">
        <v>1834</v>
      </c>
      <c r="AP808" s="257">
        <f>IF(AP809&lt;&gt;0,(1000*AP807/AP809)/$AN$8,0)</f>
        <v>0</v>
      </c>
      <c r="AQ808" s="258"/>
      <c r="AR808" s="258"/>
      <c r="AS808" s="127"/>
    </row>
    <row r="809" spans="38:45" ht="22.5">
      <c r="AL809" s="50"/>
      <c r="AM809" s="126"/>
      <c r="AN809" s="236" t="s">
        <v>1835</v>
      </c>
      <c r="AO809" s="225" t="s">
        <v>1836</v>
      </c>
      <c r="AP809" s="257">
        <f>SUM(AQ809:AR809)</f>
        <v>0</v>
      </c>
      <c r="AQ809" s="258"/>
      <c r="AR809" s="258"/>
      <c r="AS809" s="127"/>
    </row>
    <row r="810" spans="38:45">
      <c r="AL810" s="50"/>
      <c r="AM810" s="126"/>
      <c r="AN810" s="236" t="s">
        <v>208</v>
      </c>
      <c r="AO810" s="488" t="s">
        <v>119</v>
      </c>
      <c r="AP810" s="263"/>
      <c r="AQ810" s="258"/>
      <c r="AR810" s="258"/>
      <c r="AS810" s="127"/>
    </row>
    <row r="811" spans="38:45">
      <c r="AL811" s="50"/>
      <c r="AM811" s="126"/>
      <c r="AN811" s="236" t="s">
        <v>209</v>
      </c>
      <c r="AO811" s="488" t="s">
        <v>121</v>
      </c>
      <c r="AP811" s="263"/>
      <c r="AQ811" s="258"/>
      <c r="AR811" s="258"/>
      <c r="AS811" s="127"/>
    </row>
    <row r="812" spans="38:45">
      <c r="AL812" s="50"/>
      <c r="AM812" s="126"/>
      <c r="AN812" s="236" t="s">
        <v>210</v>
      </c>
      <c r="AO812" s="488" t="s">
        <v>122</v>
      </c>
      <c r="AP812" s="263"/>
      <c r="AQ812" s="258"/>
      <c r="AR812" s="258"/>
      <c r="AS812" s="127"/>
    </row>
    <row r="813" spans="38:45">
      <c r="AL813" s="50"/>
      <c r="AM813" s="126"/>
      <c r="AN813" s="236" t="s">
        <v>62</v>
      </c>
      <c r="AO813" s="224" t="s">
        <v>1838</v>
      </c>
      <c r="AP813" s="257">
        <f>SUM(AQ813:AR813)</f>
        <v>0</v>
      </c>
      <c r="AQ813" s="258"/>
      <c r="AR813" s="258"/>
      <c r="AS813" s="127"/>
    </row>
    <row r="814" spans="38:45">
      <c r="AL814" s="50"/>
      <c r="AM814" s="126"/>
      <c r="AN814" s="236" t="s">
        <v>1837</v>
      </c>
      <c r="AO814" s="228" t="s">
        <v>1839</v>
      </c>
      <c r="AP814" s="257">
        <f>IF(AP815&lt;&gt;0,(1000*AP813/AP815)/$AN$8,0)</f>
        <v>0</v>
      </c>
      <c r="AQ814" s="258"/>
      <c r="AR814" s="258"/>
      <c r="AS814" s="127"/>
    </row>
    <row r="815" spans="38:45" ht="22.5">
      <c r="AL815" s="50"/>
      <c r="AM815" s="126"/>
      <c r="AN815" s="236" t="s">
        <v>1840</v>
      </c>
      <c r="AO815" s="228" t="s">
        <v>1841</v>
      </c>
      <c r="AP815" s="257">
        <f>SUM(AQ815:AR815)</f>
        <v>0</v>
      </c>
      <c r="AQ815" s="258"/>
      <c r="AR815" s="258"/>
      <c r="AS815" s="127"/>
    </row>
    <row r="816" spans="38:45">
      <c r="AL816" s="50"/>
      <c r="AM816" s="126"/>
      <c r="AN816" s="236" t="s">
        <v>205</v>
      </c>
      <c r="AO816" s="488" t="s">
        <v>119</v>
      </c>
      <c r="AP816" s="263"/>
      <c r="AQ816" s="258"/>
      <c r="AR816" s="258"/>
      <c r="AS816" s="127"/>
    </row>
    <row r="817" spans="38:45">
      <c r="AL817" s="50"/>
      <c r="AM817" s="126"/>
      <c r="AN817" s="236" t="s">
        <v>206</v>
      </c>
      <c r="AO817" s="488" t="s">
        <v>121</v>
      </c>
      <c r="AP817" s="263"/>
      <c r="AQ817" s="258"/>
      <c r="AR817" s="258"/>
      <c r="AS817" s="127"/>
    </row>
    <row r="818" spans="38:45">
      <c r="AL818" s="50"/>
      <c r="AM818" s="126"/>
      <c r="AN818" s="236" t="s">
        <v>207</v>
      </c>
      <c r="AO818" s="488" t="s">
        <v>122</v>
      </c>
      <c r="AP818" s="263"/>
      <c r="AQ818" s="258"/>
      <c r="AR818" s="258"/>
      <c r="AS818" s="127"/>
    </row>
    <row r="819" spans="38:45">
      <c r="AL819" s="50"/>
      <c r="AM819" s="126"/>
      <c r="AN819" s="236" t="s">
        <v>68</v>
      </c>
      <c r="AO819" s="224" t="s">
        <v>1843</v>
      </c>
      <c r="AP819" s="257">
        <f>SUM(AQ819:AR819)</f>
        <v>0</v>
      </c>
      <c r="AQ819" s="258"/>
      <c r="AR819" s="258"/>
      <c r="AS819" s="127"/>
    </row>
    <row r="820" spans="38:45">
      <c r="AL820" s="50"/>
      <c r="AM820" s="126"/>
      <c r="AN820" s="236" t="s">
        <v>71</v>
      </c>
      <c r="AO820" s="228" t="s">
        <v>1844</v>
      </c>
      <c r="AP820" s="257">
        <f>IF(AP821&lt;&gt;0,(1000*AP819/AP821)/$AN$8,0)</f>
        <v>0</v>
      </c>
      <c r="AQ820" s="258"/>
      <c r="AR820" s="258"/>
      <c r="AS820" s="127"/>
    </row>
    <row r="821" spans="38:45" ht="22.5">
      <c r="AL821" s="50"/>
      <c r="AM821" s="126"/>
      <c r="AN821" s="236" t="s">
        <v>1845</v>
      </c>
      <c r="AO821" s="228" t="s">
        <v>1846</v>
      </c>
      <c r="AP821" s="257">
        <f>SUM(AQ821:AR821)</f>
        <v>0</v>
      </c>
      <c r="AQ821" s="258"/>
      <c r="AR821" s="258"/>
      <c r="AS821" s="127"/>
    </row>
    <row r="822" spans="38:45">
      <c r="AL822" s="50"/>
      <c r="AM822" s="126"/>
      <c r="AN822" s="236" t="s">
        <v>1848</v>
      </c>
      <c r="AO822" s="224" t="s">
        <v>1849</v>
      </c>
      <c r="AP822" s="257">
        <f>SUM(AQ822:AR822)</f>
        <v>0</v>
      </c>
      <c r="AQ822" s="258"/>
      <c r="AR822" s="258"/>
      <c r="AS822" s="127"/>
    </row>
    <row r="823" spans="38:45">
      <c r="AL823" s="50"/>
      <c r="AM823" s="126"/>
      <c r="AN823" s="236" t="s">
        <v>1850</v>
      </c>
      <c r="AO823" s="228" t="s">
        <v>1851</v>
      </c>
      <c r="AP823" s="257">
        <f>IF(AP824&lt;&gt;0,(1000*AP822/AP824)/$AN$8,0)</f>
        <v>0</v>
      </c>
      <c r="AQ823" s="258"/>
      <c r="AR823" s="258"/>
      <c r="AS823" s="127"/>
    </row>
    <row r="824" spans="38:45" ht="22.5">
      <c r="AL824" s="50"/>
      <c r="AM824" s="126"/>
      <c r="AN824" s="236" t="s">
        <v>1852</v>
      </c>
      <c r="AO824" s="225" t="s">
        <v>1853</v>
      </c>
      <c r="AP824" s="257">
        <f>SUM(AQ824:AR824)</f>
        <v>0</v>
      </c>
      <c r="AQ824" s="258"/>
      <c r="AR824" s="258"/>
      <c r="AS824" s="127"/>
    </row>
    <row r="825" spans="38:45" ht="22.5">
      <c r="AL825" s="50"/>
      <c r="AM825" s="126"/>
      <c r="AN825" s="236" t="s">
        <v>1855</v>
      </c>
      <c r="AO825" s="224" t="s">
        <v>1856</v>
      </c>
      <c r="AP825" s="257">
        <f>SUM(AQ825:AR825)</f>
        <v>0</v>
      </c>
      <c r="AQ825" s="258"/>
      <c r="AR825" s="258"/>
      <c r="AS825" s="127"/>
    </row>
    <row r="826" spans="38:45" ht="22.5">
      <c r="AL826" s="50"/>
      <c r="AM826" s="126"/>
      <c r="AN826" s="236" t="s">
        <v>1857</v>
      </c>
      <c r="AO826" s="228" t="s">
        <v>2307</v>
      </c>
      <c r="AP826" s="257">
        <f>IF(AP827&lt;&gt;0,(1000*AP825/AP827)/$AN$8,0)</f>
        <v>0</v>
      </c>
      <c r="AQ826" s="258"/>
      <c r="AR826" s="258"/>
      <c r="AS826" s="127"/>
    </row>
    <row r="827" spans="38:45" ht="22.5">
      <c r="AL827" s="50"/>
      <c r="AM827" s="126"/>
      <c r="AN827" s="236" t="s">
        <v>1859</v>
      </c>
      <c r="AO827" s="225" t="s">
        <v>1860</v>
      </c>
      <c r="AP827" s="257">
        <f t="shared" ref="AP827:AP844" si="4">SUM(AQ827:AR827)</f>
        <v>0</v>
      </c>
      <c r="AQ827" s="258"/>
      <c r="AR827" s="258"/>
      <c r="AS827" s="127"/>
    </row>
    <row r="828" spans="38:45">
      <c r="AL828" s="50"/>
      <c r="AM828" s="126"/>
      <c r="AN828" s="234" t="s">
        <v>2412</v>
      </c>
      <c r="AO828" s="235" t="s">
        <v>2413</v>
      </c>
      <c r="AP828" s="257">
        <f t="shared" si="4"/>
        <v>0</v>
      </c>
      <c r="AQ828" s="258"/>
      <c r="AR828" s="258"/>
      <c r="AS828" s="127"/>
    </row>
    <row r="829" spans="38:45" ht="22.5">
      <c r="AL829" s="50"/>
      <c r="AM829" s="126"/>
      <c r="AN829" s="236" t="s">
        <v>2414</v>
      </c>
      <c r="AO829" s="224" t="s">
        <v>2415</v>
      </c>
      <c r="AP829" s="257">
        <f t="shared" si="4"/>
        <v>0</v>
      </c>
      <c r="AQ829" s="258"/>
      <c r="AR829" s="258"/>
      <c r="AS829" s="127"/>
    </row>
    <row r="830" spans="38:45" ht="22.5">
      <c r="AL830" s="50"/>
      <c r="AM830" s="126"/>
      <c r="AN830" s="236" t="s">
        <v>2416</v>
      </c>
      <c r="AO830" s="224" t="s">
        <v>2417</v>
      </c>
      <c r="AP830" s="257">
        <f t="shared" si="4"/>
        <v>0</v>
      </c>
      <c r="AQ830" s="258"/>
      <c r="AR830" s="258"/>
      <c r="AS830" s="127"/>
    </row>
    <row r="831" spans="38:45" ht="22.5">
      <c r="AL831" s="50"/>
      <c r="AM831" s="126"/>
      <c r="AN831" s="236" t="s">
        <v>2419</v>
      </c>
      <c r="AO831" s="224" t="s">
        <v>2420</v>
      </c>
      <c r="AP831" s="257">
        <f t="shared" si="4"/>
        <v>0</v>
      </c>
      <c r="AQ831" s="258"/>
      <c r="AR831" s="258"/>
      <c r="AS831" s="127"/>
    </row>
    <row r="832" spans="38:45">
      <c r="AL832" s="50"/>
      <c r="AM832" s="126"/>
      <c r="AN832" s="236" t="s">
        <v>2422</v>
      </c>
      <c r="AO832" s="224" t="s">
        <v>2423</v>
      </c>
      <c r="AP832" s="257">
        <f t="shared" si="4"/>
        <v>0</v>
      </c>
      <c r="AQ832" s="258"/>
      <c r="AR832" s="258"/>
      <c r="AS832" s="127"/>
    </row>
    <row r="833" spans="38:45">
      <c r="AL833" s="50"/>
      <c r="AM833" s="126"/>
      <c r="AN833" s="236" t="s">
        <v>2425</v>
      </c>
      <c r="AO833" s="224" t="s">
        <v>2426</v>
      </c>
      <c r="AP833" s="257">
        <f t="shared" si="4"/>
        <v>0</v>
      </c>
      <c r="AQ833" s="258"/>
      <c r="AR833" s="258"/>
      <c r="AS833" s="127"/>
    </row>
    <row r="834" spans="38:45" ht="22.5">
      <c r="AL834" s="50"/>
      <c r="AM834" s="126"/>
      <c r="AN834" s="236" t="s">
        <v>2427</v>
      </c>
      <c r="AO834" s="235" t="s">
        <v>2428</v>
      </c>
      <c r="AP834" s="257">
        <f t="shared" si="4"/>
        <v>0</v>
      </c>
      <c r="AQ834" s="258"/>
      <c r="AR834" s="258"/>
      <c r="AS834" s="127"/>
    </row>
    <row r="835" spans="38:45" ht="33.75">
      <c r="AL835" s="50"/>
      <c r="AM835" s="126"/>
      <c r="AN835" s="234" t="s">
        <v>2429</v>
      </c>
      <c r="AO835" s="224" t="s">
        <v>2430</v>
      </c>
      <c r="AP835" s="257">
        <f t="shared" si="4"/>
        <v>0</v>
      </c>
      <c r="AQ835" s="258"/>
      <c r="AR835" s="258"/>
      <c r="AS835" s="127"/>
    </row>
    <row r="836" spans="38:45">
      <c r="AL836" s="50"/>
      <c r="AM836" s="126"/>
      <c r="AN836" s="234" t="s">
        <v>2431</v>
      </c>
      <c r="AO836" s="235" t="s">
        <v>2432</v>
      </c>
      <c r="AP836" s="257">
        <f t="shared" si="4"/>
        <v>0</v>
      </c>
      <c r="AQ836" s="258"/>
      <c r="AR836" s="258"/>
      <c r="AS836" s="127"/>
    </row>
    <row r="837" spans="38:45" ht="22.5">
      <c r="AL837" s="50"/>
      <c r="AM837" s="126"/>
      <c r="AN837" s="236" t="s">
        <v>1842</v>
      </c>
      <c r="AO837" s="224" t="s">
        <v>2433</v>
      </c>
      <c r="AP837" s="257">
        <f t="shared" si="4"/>
        <v>0</v>
      </c>
      <c r="AQ837" s="258"/>
      <c r="AR837" s="258"/>
      <c r="AS837" s="127"/>
    </row>
    <row r="838" spans="38:45">
      <c r="AL838" s="50"/>
      <c r="AM838" s="126"/>
      <c r="AN838" s="236" t="s">
        <v>2418</v>
      </c>
      <c r="AO838" s="224" t="s">
        <v>2434</v>
      </c>
      <c r="AP838" s="257">
        <f t="shared" si="4"/>
        <v>0</v>
      </c>
      <c r="AQ838" s="258"/>
      <c r="AR838" s="258"/>
      <c r="AS838" s="127"/>
    </row>
    <row r="839" spans="38:45">
      <c r="AL839" s="50"/>
      <c r="AM839" s="126"/>
      <c r="AN839" s="236" t="s">
        <v>2435</v>
      </c>
      <c r="AO839" s="224" t="s">
        <v>2436</v>
      </c>
      <c r="AP839" s="257">
        <f t="shared" si="4"/>
        <v>0</v>
      </c>
      <c r="AQ839" s="258"/>
      <c r="AR839" s="258"/>
      <c r="AS839" s="127"/>
    </row>
    <row r="840" spans="38:45" ht="22.5">
      <c r="AL840" s="50"/>
      <c r="AM840" s="126"/>
      <c r="AN840" s="236" t="s">
        <v>2437</v>
      </c>
      <c r="AO840" s="224" t="s">
        <v>2438</v>
      </c>
      <c r="AP840" s="257">
        <f t="shared" si="4"/>
        <v>0</v>
      </c>
      <c r="AQ840" s="258"/>
      <c r="AR840" s="258"/>
      <c r="AS840" s="127"/>
    </row>
    <row r="841" spans="38:45">
      <c r="AL841" s="50"/>
      <c r="AM841" s="126"/>
      <c r="AN841" s="236" t="s">
        <v>2439</v>
      </c>
      <c r="AO841" s="224" t="s">
        <v>2440</v>
      </c>
      <c r="AP841" s="257">
        <f t="shared" si="4"/>
        <v>0</v>
      </c>
      <c r="AQ841" s="258"/>
      <c r="AR841" s="258"/>
      <c r="AS841" s="127"/>
    </row>
    <row r="842" spans="38:45">
      <c r="AL842" s="50"/>
      <c r="AM842" s="126"/>
      <c r="AN842" s="236" t="s">
        <v>2441</v>
      </c>
      <c r="AO842" s="224" t="s">
        <v>2442</v>
      </c>
      <c r="AP842" s="257">
        <f t="shared" si="4"/>
        <v>0</v>
      </c>
      <c r="AQ842" s="258"/>
      <c r="AR842" s="258"/>
      <c r="AS842" s="127"/>
    </row>
    <row r="843" spans="38:45">
      <c r="AL843" s="50"/>
      <c r="AM843" s="126"/>
      <c r="AN843" s="236" t="s">
        <v>2443</v>
      </c>
      <c r="AO843" s="224" t="s">
        <v>2444</v>
      </c>
      <c r="AP843" s="257">
        <f t="shared" si="4"/>
        <v>0</v>
      </c>
      <c r="AQ843" s="258"/>
      <c r="AR843" s="258"/>
      <c r="AS843" s="127"/>
    </row>
    <row r="844" spans="38:45">
      <c r="AL844" s="50"/>
      <c r="AM844" s="126"/>
      <c r="AN844" s="236" t="s">
        <v>842</v>
      </c>
      <c r="AO844" s="224" t="s">
        <v>843</v>
      </c>
      <c r="AP844" s="257">
        <f t="shared" si="4"/>
        <v>0</v>
      </c>
      <c r="AQ844" s="258"/>
      <c r="AR844" s="258"/>
      <c r="AS844" s="127"/>
    </row>
    <row r="845" spans="38:45" ht="0.75" customHeight="1">
      <c r="AL845" s="50"/>
      <c r="AM845" s="126"/>
      <c r="AN845" s="223"/>
      <c r="AO845" s="728"/>
      <c r="AP845" s="260"/>
      <c r="AQ845" s="258"/>
      <c r="AR845" s="258"/>
      <c r="AS845" s="127"/>
    </row>
    <row r="846" spans="38:45" ht="0.75" customHeight="1">
      <c r="AL846" s="50"/>
      <c r="AM846" s="126"/>
      <c r="AN846" s="223"/>
      <c r="AO846" s="728"/>
      <c r="AP846" s="260"/>
      <c r="AQ846" s="258"/>
      <c r="AR846" s="258"/>
      <c r="AS846" s="127"/>
    </row>
    <row r="847" spans="38:45" ht="0.75" customHeight="1">
      <c r="AL847" s="50"/>
      <c r="AM847" s="126"/>
      <c r="AN847" s="223"/>
      <c r="AO847" s="728"/>
      <c r="AP847" s="260"/>
      <c r="AQ847" s="258"/>
      <c r="AR847" s="258"/>
      <c r="AS847" s="127"/>
    </row>
    <row r="848" spans="38:45" ht="0.75" customHeight="1">
      <c r="AL848" s="50"/>
      <c r="AM848" s="126"/>
      <c r="AN848" s="223"/>
      <c r="AO848" s="728"/>
      <c r="AP848" s="260"/>
      <c r="AQ848" s="258"/>
      <c r="AR848" s="258"/>
      <c r="AS848" s="127"/>
    </row>
    <row r="849" spans="38:45" ht="0.75" customHeight="1">
      <c r="AL849" s="50"/>
      <c r="AM849" s="126"/>
      <c r="AN849" s="223"/>
      <c r="AO849" s="728"/>
      <c r="AP849" s="260"/>
      <c r="AQ849" s="258"/>
      <c r="AR849" s="258"/>
      <c r="AS849" s="127"/>
    </row>
    <row r="850" spans="38:45" ht="0.75" customHeight="1">
      <c r="AL850" s="50"/>
      <c r="AM850" s="126"/>
      <c r="AN850" s="223"/>
      <c r="AO850" s="728"/>
      <c r="AP850" s="260"/>
      <c r="AQ850" s="258"/>
      <c r="AR850" s="258"/>
      <c r="AS850" s="127"/>
    </row>
    <row r="851" spans="38:45" hidden="1">
      <c r="AL851" s="50"/>
      <c r="AM851" s="126"/>
      <c r="AN851" s="236"/>
      <c r="AO851" s="224"/>
      <c r="AP851" s="260"/>
      <c r="AQ851" s="258"/>
      <c r="AR851" s="258"/>
      <c r="AS851" s="127"/>
    </row>
    <row r="852" spans="38:45" hidden="1">
      <c r="AL852" s="50"/>
      <c r="AM852" s="126"/>
      <c r="AN852" s="236"/>
      <c r="AO852" s="224"/>
      <c r="AP852" s="260"/>
      <c r="AQ852" s="258"/>
      <c r="AR852" s="258"/>
      <c r="AS852" s="127"/>
    </row>
    <row r="853" spans="38:45">
      <c r="AL853" s="50"/>
      <c r="AM853" s="126"/>
      <c r="AN853" s="236" t="s">
        <v>844</v>
      </c>
      <c r="AO853" s="235" t="s">
        <v>853</v>
      </c>
      <c r="AP853" s="257">
        <f>SUM(AQ853:AR853)</f>
        <v>0</v>
      </c>
      <c r="AQ853" s="258"/>
      <c r="AR853" s="258"/>
      <c r="AS853" s="127"/>
    </row>
    <row r="854" spans="38:45">
      <c r="AL854" s="50"/>
      <c r="AM854" s="126"/>
      <c r="AN854" s="234" t="s">
        <v>854</v>
      </c>
      <c r="AO854" s="205" t="s">
        <v>76</v>
      </c>
      <c r="AP854" s="257">
        <f>SUM(AQ854:AR854)</f>
        <v>0</v>
      </c>
      <c r="AQ854" s="258"/>
      <c r="AR854" s="258"/>
      <c r="AS854" s="127"/>
    </row>
    <row r="855" spans="38:45" ht="0.75" customHeight="1">
      <c r="AL855" s="50"/>
      <c r="AM855" s="126"/>
      <c r="AN855" s="236"/>
      <c r="AO855" s="235"/>
      <c r="AP855" s="260"/>
      <c r="AQ855" s="258"/>
      <c r="AR855" s="258"/>
      <c r="AS855" s="127"/>
    </row>
    <row r="856" spans="38:45" ht="0.75" customHeight="1">
      <c r="AL856" s="50"/>
      <c r="AM856" s="126"/>
      <c r="AN856" s="236"/>
      <c r="AO856" s="205"/>
      <c r="AP856" s="260"/>
      <c r="AQ856" s="258"/>
      <c r="AR856" s="258"/>
      <c r="AS856" s="127"/>
    </row>
    <row r="857" spans="38:45" ht="0.75" customHeight="1">
      <c r="AL857" s="50"/>
      <c r="AM857" s="126"/>
      <c r="AN857" s="236"/>
      <c r="AO857" s="205"/>
      <c r="AP857" s="260"/>
      <c r="AQ857" s="258"/>
      <c r="AR857" s="258"/>
      <c r="AS857" s="127"/>
    </row>
    <row r="858" spans="38:45" ht="0.75" customHeight="1">
      <c r="AL858" s="50"/>
      <c r="AM858" s="126"/>
      <c r="AN858" s="236"/>
      <c r="AO858" s="205"/>
      <c r="AP858" s="260"/>
      <c r="AQ858" s="258"/>
      <c r="AR858" s="258"/>
      <c r="AS858" s="127"/>
    </row>
    <row r="859" spans="38:45" ht="0.75" customHeight="1">
      <c r="AL859" s="50"/>
      <c r="AM859" s="126"/>
      <c r="AN859" s="236"/>
      <c r="AO859" s="205"/>
      <c r="AP859" s="260"/>
      <c r="AQ859" s="258"/>
      <c r="AR859" s="258"/>
      <c r="AS859" s="127"/>
    </row>
    <row r="860" spans="38:45" ht="0.75" customHeight="1">
      <c r="AL860" s="50"/>
      <c r="AM860" s="126"/>
      <c r="AN860" s="236"/>
      <c r="AO860" s="205"/>
      <c r="AP860" s="260"/>
      <c r="AQ860" s="258"/>
      <c r="AR860" s="258"/>
      <c r="AS860" s="127"/>
    </row>
    <row r="861" spans="38:45" ht="0.75" customHeight="1">
      <c r="AL861" s="50"/>
      <c r="AM861" s="126"/>
      <c r="AN861" s="236"/>
      <c r="AO861" s="229"/>
      <c r="AP861" s="260"/>
      <c r="AQ861" s="258"/>
      <c r="AR861" s="258"/>
      <c r="AS861" s="127"/>
    </row>
    <row r="862" spans="38:45" ht="0.75" customHeight="1">
      <c r="AL862" s="50"/>
      <c r="AM862" s="126"/>
      <c r="AN862" s="236"/>
      <c r="AO862" s="229"/>
      <c r="AP862" s="260"/>
      <c r="AQ862" s="258"/>
      <c r="AR862" s="258"/>
      <c r="AS862" s="127"/>
    </row>
    <row r="863" spans="38:45" ht="0.75" customHeight="1">
      <c r="AL863" s="53"/>
      <c r="AM863" s="126"/>
      <c r="AN863" s="236"/>
      <c r="AO863" s="229"/>
      <c r="AP863" s="260"/>
      <c r="AQ863" s="258"/>
      <c r="AR863" s="258"/>
      <c r="AS863" s="127"/>
    </row>
    <row r="864" spans="38:45" ht="0.75" customHeight="1">
      <c r="AL864" s="53"/>
      <c r="AM864" s="126"/>
      <c r="AN864" s="234"/>
      <c r="AO864" s="249"/>
      <c r="AP864" s="260"/>
      <c r="AQ864" s="258"/>
      <c r="AR864" s="258"/>
      <c r="AS864" s="127"/>
    </row>
    <row r="865" spans="38:45" ht="0.75" customHeight="1">
      <c r="AL865" s="53"/>
      <c r="AM865" s="126"/>
      <c r="AN865" s="236"/>
      <c r="AO865" s="205"/>
      <c r="AP865" s="260"/>
      <c r="AQ865" s="258"/>
      <c r="AR865" s="258"/>
      <c r="AS865" s="127"/>
    </row>
    <row r="866" spans="38:45" ht="0.75" customHeight="1">
      <c r="AL866" s="53"/>
      <c r="AM866" s="126"/>
      <c r="AN866" s="236"/>
      <c r="AO866" s="205"/>
      <c r="AP866" s="260"/>
      <c r="AQ866" s="258"/>
      <c r="AR866" s="258"/>
      <c r="AS866" s="127"/>
    </row>
    <row r="867" spans="38:45" ht="0.75" customHeight="1">
      <c r="AL867" s="53"/>
      <c r="AM867" s="126"/>
      <c r="AN867" s="236"/>
      <c r="AO867" s="250"/>
      <c r="AP867" s="260"/>
      <c r="AQ867" s="258"/>
      <c r="AR867" s="258"/>
      <c r="AS867" s="127"/>
    </row>
    <row r="868" spans="38:45" ht="0.75" customHeight="1">
      <c r="AL868" s="53"/>
      <c r="AM868" s="126"/>
      <c r="AN868" s="236"/>
      <c r="AO868" s="250"/>
      <c r="AP868" s="260"/>
      <c r="AQ868" s="258"/>
      <c r="AR868" s="258"/>
      <c r="AS868" s="127"/>
    </row>
    <row r="869" spans="38:45" ht="0.75" customHeight="1">
      <c r="AL869" s="53"/>
      <c r="AM869" s="126"/>
      <c r="AN869" s="236"/>
      <c r="AO869" s="250"/>
      <c r="AP869" s="260"/>
      <c r="AQ869" s="258"/>
      <c r="AR869" s="258"/>
      <c r="AS869" s="127"/>
    </row>
    <row r="870" spans="38:45" ht="0.75" customHeight="1">
      <c r="AL870" s="53"/>
      <c r="AM870" s="126"/>
      <c r="AN870" s="236"/>
      <c r="AO870" s="205"/>
      <c r="AP870" s="260"/>
      <c r="AQ870" s="258"/>
      <c r="AR870" s="258"/>
      <c r="AS870" s="127"/>
    </row>
    <row r="871" spans="38:45" ht="0.75" customHeight="1">
      <c r="AL871" s="50"/>
      <c r="AM871" s="126"/>
      <c r="AN871" s="236"/>
      <c r="AO871" s="250"/>
      <c r="AP871" s="260"/>
      <c r="AQ871" s="258"/>
      <c r="AR871" s="258"/>
      <c r="AS871" s="127"/>
    </row>
    <row r="872" spans="38:45" ht="0.75" customHeight="1">
      <c r="AL872" s="50" t="s">
        <v>2482</v>
      </c>
      <c r="AM872" s="126"/>
      <c r="AN872" s="236"/>
      <c r="AO872" s="325"/>
      <c r="AP872" s="260"/>
      <c r="AQ872" s="258"/>
      <c r="AR872" s="258"/>
      <c r="AS872" s="127"/>
    </row>
    <row r="873" spans="38:45" ht="0.75" customHeight="1">
      <c r="AL873" s="50"/>
      <c r="AM873" s="126"/>
      <c r="AN873" s="236"/>
      <c r="AO873" s="483"/>
      <c r="AP873" s="260"/>
      <c r="AQ873" s="258"/>
      <c r="AR873" s="258"/>
      <c r="AS873" s="127"/>
    </row>
    <row r="874" spans="38:45" ht="0.75" customHeight="1">
      <c r="AL874" s="50"/>
      <c r="AM874" s="126"/>
      <c r="AN874" s="236"/>
      <c r="AO874" s="235"/>
      <c r="AP874" s="260"/>
      <c r="AQ874" s="258"/>
      <c r="AR874" s="258"/>
      <c r="AS874" s="127"/>
    </row>
    <row r="875" spans="38:45" ht="0.75" customHeight="1">
      <c r="AL875" s="53"/>
      <c r="AM875" s="126"/>
      <c r="AN875" s="436"/>
      <c r="AO875" s="500"/>
      <c r="AP875" s="260"/>
      <c r="AQ875" s="258"/>
      <c r="AR875" s="258"/>
      <c r="AS875" s="127"/>
    </row>
    <row r="876" spans="38:45" ht="0.75" customHeight="1">
      <c r="AL876" s="53"/>
      <c r="AM876" s="126"/>
      <c r="AN876" s="236"/>
      <c r="AO876" s="235"/>
      <c r="AP876" s="260"/>
      <c r="AQ876" s="258"/>
      <c r="AR876" s="258"/>
      <c r="AS876" s="127"/>
    </row>
    <row r="877" spans="38:45" ht="0.75" customHeight="1">
      <c r="AL877" s="53"/>
      <c r="AM877" s="126"/>
      <c r="AN877" s="236"/>
      <c r="AO877" s="230"/>
      <c r="AP877" s="260"/>
      <c r="AQ877" s="258"/>
      <c r="AR877" s="258"/>
      <c r="AS877" s="127"/>
    </row>
    <row r="878" spans="38:45" ht="0.75" customHeight="1">
      <c r="AL878" s="53"/>
      <c r="AM878" s="126"/>
      <c r="AN878" s="236"/>
      <c r="AO878" s="230"/>
      <c r="AP878" s="260"/>
      <c r="AQ878" s="258"/>
      <c r="AR878" s="258"/>
      <c r="AS878" s="127"/>
    </row>
    <row r="879" spans="38:45" ht="0.75" customHeight="1">
      <c r="AL879" s="53"/>
      <c r="AM879" s="126"/>
      <c r="AN879" s="236"/>
      <c r="AO879" s="230"/>
      <c r="AP879" s="260"/>
      <c r="AQ879" s="258"/>
      <c r="AR879" s="258"/>
      <c r="AS879" s="127"/>
    </row>
    <row r="880" spans="38:45" ht="0.75" customHeight="1">
      <c r="AL880" s="53"/>
      <c r="AM880" s="126"/>
      <c r="AN880" s="239"/>
      <c r="AO880" s="231"/>
      <c r="AP880" s="260"/>
      <c r="AQ880" s="258"/>
      <c r="AR880" s="258"/>
      <c r="AS880" s="127"/>
    </row>
    <row r="881" spans="38:45" ht="0.75" customHeight="1">
      <c r="AL881" s="53"/>
      <c r="AM881" s="126"/>
      <c r="AN881" s="239"/>
      <c r="AO881" s="499"/>
      <c r="AP881" s="260"/>
      <c r="AQ881" s="258"/>
      <c r="AR881" s="258"/>
      <c r="AS881" s="127"/>
    </row>
    <row r="882" spans="38:45" ht="0.75" customHeight="1">
      <c r="AL882" s="53"/>
      <c r="AM882" s="126"/>
      <c r="AN882" s="236"/>
      <c r="AO882" s="230"/>
      <c r="AP882" s="260"/>
      <c r="AQ882" s="258"/>
      <c r="AR882" s="258"/>
      <c r="AS882" s="127"/>
    </row>
    <row r="883" spans="38:45" ht="0.75" customHeight="1">
      <c r="AL883" s="53"/>
      <c r="AM883" s="126"/>
      <c r="AN883" s="239"/>
      <c r="AO883" s="231"/>
      <c r="AP883" s="260"/>
      <c r="AQ883" s="258"/>
      <c r="AR883" s="258"/>
      <c r="AS883" s="127"/>
    </row>
    <row r="884" spans="38:45" ht="0.75" customHeight="1">
      <c r="AL884" s="53"/>
      <c r="AM884" s="126"/>
      <c r="AN884" s="239"/>
      <c r="AO884" s="231"/>
      <c r="AP884" s="260"/>
      <c r="AQ884" s="258"/>
      <c r="AR884" s="258"/>
      <c r="AS884" s="127"/>
    </row>
    <row r="885" spans="38:45" ht="0.75" customHeight="1">
      <c r="AL885" s="53"/>
      <c r="AM885" s="126"/>
      <c r="AN885" s="236"/>
      <c r="AO885" s="230"/>
      <c r="AP885" s="260"/>
      <c r="AQ885" s="258"/>
      <c r="AR885" s="258"/>
      <c r="AS885" s="127"/>
    </row>
    <row r="886" spans="38:45" ht="0.75" customHeight="1">
      <c r="AL886" s="53"/>
      <c r="AM886" s="126"/>
      <c r="AN886" s="239"/>
      <c r="AO886" s="231"/>
      <c r="AP886" s="260"/>
      <c r="AQ886" s="258"/>
      <c r="AR886" s="258"/>
      <c r="AS886" s="127"/>
    </row>
    <row r="887" spans="38:45" ht="0.75" customHeight="1">
      <c r="AL887" s="53"/>
      <c r="AM887" s="126"/>
      <c r="AN887" s="239"/>
      <c r="AO887" s="231"/>
      <c r="AP887" s="260"/>
      <c r="AQ887" s="258"/>
      <c r="AR887" s="258"/>
      <c r="AS887" s="127"/>
    </row>
    <row r="888" spans="38:45" ht="0.75" customHeight="1">
      <c r="AL888" s="53"/>
      <c r="AM888" s="126"/>
      <c r="AN888" s="236"/>
      <c r="AO888" s="230"/>
      <c r="AP888" s="260"/>
      <c r="AQ888" s="258"/>
      <c r="AR888" s="258"/>
      <c r="AS888" s="127"/>
    </row>
    <row r="889" spans="38:45" ht="0.75" customHeight="1">
      <c r="AL889" s="53"/>
      <c r="AM889" s="126"/>
      <c r="AN889" s="239"/>
      <c r="AO889" s="231"/>
      <c r="AP889" s="260"/>
      <c r="AQ889" s="258"/>
      <c r="AR889" s="258"/>
      <c r="AS889" s="127"/>
    </row>
    <row r="890" spans="38:45" ht="0.75" customHeight="1">
      <c r="AL890" s="53"/>
      <c r="AM890" s="126"/>
      <c r="AN890" s="239"/>
      <c r="AO890" s="231"/>
      <c r="AP890" s="260"/>
      <c r="AQ890" s="258"/>
      <c r="AR890" s="258"/>
      <c r="AS890" s="127"/>
    </row>
    <row r="891" spans="38:45" hidden="1">
      <c r="AL891" s="53"/>
      <c r="AM891" s="126"/>
      <c r="AN891" s="236"/>
      <c r="AO891" s="205"/>
      <c r="AP891" s="264"/>
      <c r="AQ891" s="258"/>
      <c r="AR891" s="258"/>
      <c r="AS891" s="127"/>
    </row>
    <row r="892" spans="38:45" hidden="1">
      <c r="AL892" s="53"/>
      <c r="AM892" s="126"/>
      <c r="AN892" s="236"/>
      <c r="AO892" s="231"/>
      <c r="AP892" s="260"/>
      <c r="AQ892" s="258"/>
      <c r="AR892" s="258"/>
      <c r="AS892" s="127"/>
    </row>
    <row r="893" spans="38:45" hidden="1">
      <c r="AL893" s="53"/>
      <c r="AM893" s="126"/>
      <c r="AN893" s="236"/>
      <c r="AO893" s="231"/>
      <c r="AP893" s="260"/>
      <c r="AQ893" s="258"/>
      <c r="AR893" s="258"/>
      <c r="AS893" s="127"/>
    </row>
    <row r="894" spans="38:45" hidden="1">
      <c r="AL894" s="53"/>
      <c r="AM894" s="126"/>
      <c r="AN894" s="236"/>
      <c r="AO894" s="231"/>
      <c r="AP894" s="260"/>
      <c r="AQ894" s="258"/>
      <c r="AR894" s="258"/>
      <c r="AS894" s="127"/>
    </row>
    <row r="895" spans="38:45" hidden="1">
      <c r="AL895" s="53"/>
      <c r="AM895" s="126"/>
      <c r="AN895" s="236"/>
      <c r="AO895" s="231"/>
      <c r="AP895" s="260"/>
      <c r="AQ895" s="258"/>
      <c r="AR895" s="258"/>
      <c r="AS895" s="127"/>
    </row>
    <row r="896" spans="38:45" hidden="1">
      <c r="AL896" s="53"/>
      <c r="AM896" s="126"/>
      <c r="AN896" s="236"/>
      <c r="AO896" s="231"/>
      <c r="AP896" s="260"/>
      <c r="AQ896" s="258"/>
      <c r="AR896" s="258"/>
      <c r="AS896" s="127"/>
    </row>
    <row r="897" spans="10:45" hidden="1">
      <c r="AL897" s="53"/>
      <c r="AM897" s="126"/>
      <c r="AN897" s="236"/>
      <c r="AO897" s="231"/>
      <c r="AP897" s="260"/>
      <c r="AQ897" s="258"/>
      <c r="AR897" s="258"/>
      <c r="AS897" s="127"/>
    </row>
    <row r="898" spans="10:45" hidden="1">
      <c r="AL898" s="53"/>
      <c r="AM898" s="126"/>
      <c r="AN898" s="236"/>
      <c r="AO898" s="231"/>
      <c r="AP898" s="260"/>
      <c r="AQ898" s="258"/>
      <c r="AR898" s="258"/>
      <c r="AS898" s="127"/>
    </row>
    <row r="899" spans="10:45" s="48" customFormat="1" hidden="1">
      <c r="J899" s="213"/>
      <c r="K899" s="213"/>
      <c r="L899" s="213"/>
      <c r="M899" s="213"/>
      <c r="N899" s="213"/>
      <c r="O899" s="213"/>
      <c r="P899" s="213"/>
      <c r="Q899" s="213"/>
      <c r="R899" s="213"/>
      <c r="S899" s="213"/>
      <c r="T899" s="213"/>
      <c r="U899" s="213"/>
      <c r="V899" s="213"/>
      <c r="W899" s="213"/>
      <c r="X899" s="213"/>
      <c r="Y899" s="213"/>
      <c r="Z899" s="213"/>
      <c r="AA899" s="213"/>
      <c r="AB899" s="213"/>
      <c r="AC899" s="213"/>
      <c r="AD899" s="213"/>
      <c r="AE899" s="213"/>
      <c r="AF899" s="213"/>
      <c r="AG899" s="213"/>
      <c r="AH899" s="213"/>
      <c r="AI899" s="213"/>
      <c r="AJ899" s="213"/>
      <c r="AK899" s="213"/>
      <c r="AL899" s="213"/>
      <c r="AM899" s="213"/>
      <c r="AN899" s="283"/>
      <c r="AO899" s="284"/>
      <c r="AP899" s="285"/>
      <c r="AQ899" s="258"/>
      <c r="AR899" s="258"/>
    </row>
    <row r="900" spans="10:45" s="48" customFormat="1" hidden="1">
      <c r="J900" s="213"/>
      <c r="K900" s="213"/>
      <c r="L900" s="213"/>
      <c r="M900" s="213"/>
      <c r="N900" s="213"/>
      <c r="O900" s="213"/>
      <c r="P900" s="213"/>
      <c r="Q900" s="213"/>
      <c r="R900" s="213"/>
      <c r="S900" s="213"/>
      <c r="T900" s="213"/>
      <c r="U900" s="213"/>
      <c r="V900" s="213"/>
      <c r="W900" s="213"/>
      <c r="X900" s="213"/>
      <c r="Y900" s="213"/>
      <c r="Z900" s="213"/>
      <c r="AA900" s="213"/>
      <c r="AB900" s="213"/>
      <c r="AC900" s="213"/>
      <c r="AD900" s="213"/>
      <c r="AE900" s="213"/>
      <c r="AF900" s="213"/>
      <c r="AG900" s="213"/>
      <c r="AH900" s="213"/>
      <c r="AI900" s="213"/>
      <c r="AJ900" s="213"/>
      <c r="AK900" s="213"/>
      <c r="AL900" s="213"/>
      <c r="AM900" s="213"/>
      <c r="AN900" s="283"/>
      <c r="AO900" s="284"/>
      <c r="AP900" s="285"/>
      <c r="AQ900" s="258"/>
      <c r="AR900" s="258"/>
    </row>
    <row r="901" spans="10:45" s="48" customFormat="1" hidden="1">
      <c r="J901" s="213"/>
      <c r="K901" s="213"/>
      <c r="L901" s="213"/>
      <c r="M901" s="213"/>
      <c r="N901" s="213"/>
      <c r="O901" s="213"/>
      <c r="P901" s="213"/>
      <c r="Q901" s="213"/>
      <c r="R901" s="213"/>
      <c r="S901" s="213"/>
      <c r="T901" s="213"/>
      <c r="U901" s="213"/>
      <c r="V901" s="213"/>
      <c r="W901" s="213"/>
      <c r="X901" s="213"/>
      <c r="Y901" s="213"/>
      <c r="Z901" s="213"/>
      <c r="AA901" s="213"/>
      <c r="AB901" s="213"/>
      <c r="AC901" s="213"/>
      <c r="AD901" s="213"/>
      <c r="AE901" s="213"/>
      <c r="AF901" s="213"/>
      <c r="AG901" s="213"/>
      <c r="AH901" s="213"/>
      <c r="AI901" s="213"/>
      <c r="AJ901" s="213"/>
      <c r="AK901" s="213"/>
      <c r="AL901" s="213"/>
      <c r="AM901" s="213"/>
      <c r="AN901" s="283"/>
      <c r="AO901" s="284"/>
      <c r="AP901" s="285"/>
      <c r="AQ901" s="258"/>
      <c r="AR901" s="258"/>
    </row>
    <row r="902" spans="10:45" s="48" customFormat="1" hidden="1">
      <c r="J902" s="213"/>
      <c r="K902" s="213"/>
      <c r="L902" s="213"/>
      <c r="M902" s="213"/>
      <c r="N902" s="213"/>
      <c r="O902" s="213"/>
      <c r="P902" s="213"/>
      <c r="Q902" s="213"/>
      <c r="R902" s="213"/>
      <c r="S902" s="213"/>
      <c r="T902" s="213"/>
      <c r="U902" s="213"/>
      <c r="V902" s="213"/>
      <c r="W902" s="213"/>
      <c r="X902" s="213"/>
      <c r="Y902" s="213"/>
      <c r="Z902" s="213"/>
      <c r="AA902" s="213"/>
      <c r="AB902" s="213"/>
      <c r="AC902" s="213"/>
      <c r="AD902" s="213"/>
      <c r="AE902" s="213"/>
      <c r="AF902" s="213"/>
      <c r="AG902" s="213"/>
      <c r="AH902" s="213"/>
      <c r="AI902" s="213"/>
      <c r="AJ902" s="213"/>
      <c r="AK902" s="213"/>
      <c r="AL902" s="213"/>
      <c r="AM902" s="213"/>
      <c r="AN902" s="283"/>
      <c r="AO902" s="284"/>
      <c r="AP902" s="285"/>
      <c r="AQ902" s="258"/>
      <c r="AR902" s="258"/>
    </row>
    <row r="903" spans="10:45" s="48" customFormat="1" hidden="1">
      <c r="J903" s="213"/>
      <c r="K903" s="213"/>
      <c r="L903" s="213"/>
      <c r="M903" s="213"/>
      <c r="N903" s="213"/>
      <c r="O903" s="213"/>
      <c r="P903" s="213"/>
      <c r="Q903" s="213"/>
      <c r="R903" s="213"/>
      <c r="S903" s="213"/>
      <c r="T903" s="213"/>
      <c r="U903" s="213"/>
      <c r="V903" s="213"/>
      <c r="W903" s="213"/>
      <c r="X903" s="213"/>
      <c r="Y903" s="213"/>
      <c r="Z903" s="213"/>
      <c r="AA903" s="213"/>
      <c r="AB903" s="213"/>
      <c r="AC903" s="213"/>
      <c r="AD903" s="213"/>
      <c r="AE903" s="213"/>
      <c r="AF903" s="213"/>
      <c r="AG903" s="213"/>
      <c r="AH903" s="213"/>
      <c r="AI903" s="213"/>
      <c r="AJ903" s="213"/>
      <c r="AK903" s="213"/>
      <c r="AL903" s="213"/>
      <c r="AM903" s="213"/>
      <c r="AN903" s="283"/>
      <c r="AO903" s="284"/>
      <c r="AP903" s="285"/>
      <c r="AQ903" s="258"/>
      <c r="AR903" s="258"/>
    </row>
    <row r="904" spans="10:45" s="48" customFormat="1" hidden="1">
      <c r="J904" s="213"/>
      <c r="K904" s="213"/>
      <c r="L904" s="213"/>
      <c r="M904" s="213"/>
      <c r="N904" s="213"/>
      <c r="O904" s="213"/>
      <c r="P904" s="213"/>
      <c r="Q904" s="213"/>
      <c r="R904" s="213"/>
      <c r="S904" s="213"/>
      <c r="T904" s="213"/>
      <c r="U904" s="213"/>
      <c r="V904" s="213"/>
      <c r="W904" s="213"/>
      <c r="X904" s="213"/>
      <c r="Y904" s="213"/>
      <c r="Z904" s="213"/>
      <c r="AA904" s="213"/>
      <c r="AB904" s="213"/>
      <c r="AC904" s="213"/>
      <c r="AD904" s="213"/>
      <c r="AE904" s="213"/>
      <c r="AF904" s="213"/>
      <c r="AG904" s="213"/>
      <c r="AH904" s="213"/>
      <c r="AI904" s="213"/>
      <c r="AJ904" s="213"/>
      <c r="AK904" s="213"/>
      <c r="AL904" s="213"/>
      <c r="AM904" s="213"/>
      <c r="AN904" s="283"/>
      <c r="AO904" s="284"/>
      <c r="AP904" s="285"/>
      <c r="AQ904" s="258"/>
      <c r="AR904" s="258"/>
    </row>
    <row r="905" spans="10:45" s="48" customFormat="1" hidden="1">
      <c r="J905" s="213"/>
      <c r="K905" s="213"/>
      <c r="L905" s="213"/>
      <c r="M905" s="213"/>
      <c r="N905" s="213"/>
      <c r="O905" s="213"/>
      <c r="P905" s="213"/>
      <c r="Q905" s="213"/>
      <c r="R905" s="213"/>
      <c r="S905" s="213"/>
      <c r="T905" s="213"/>
      <c r="U905" s="213"/>
      <c r="V905" s="213"/>
      <c r="W905" s="213"/>
      <c r="X905" s="213"/>
      <c r="Y905" s="213"/>
      <c r="Z905" s="213"/>
      <c r="AA905" s="213"/>
      <c r="AB905" s="213"/>
      <c r="AC905" s="213"/>
      <c r="AD905" s="213"/>
      <c r="AE905" s="213"/>
      <c r="AF905" s="213"/>
      <c r="AG905" s="213"/>
      <c r="AH905" s="213"/>
      <c r="AI905" s="213"/>
      <c r="AJ905" s="213"/>
      <c r="AK905" s="213"/>
      <c r="AL905" s="213"/>
      <c r="AM905" s="213"/>
      <c r="AN905" s="283"/>
      <c r="AO905" s="284"/>
      <c r="AP905" s="285"/>
      <c r="AQ905" s="258"/>
      <c r="AR905" s="258"/>
    </row>
    <row r="906" spans="10:45" s="48" customFormat="1" hidden="1">
      <c r="J906" s="213"/>
      <c r="K906" s="213"/>
      <c r="L906" s="213"/>
      <c r="M906" s="213"/>
      <c r="N906" s="213"/>
      <c r="O906" s="213"/>
      <c r="P906" s="213"/>
      <c r="Q906" s="213"/>
      <c r="R906" s="213"/>
      <c r="S906" s="213"/>
      <c r="T906" s="213"/>
      <c r="U906" s="213"/>
      <c r="V906" s="213"/>
      <c r="W906" s="213"/>
      <c r="X906" s="213"/>
      <c r="Y906" s="213"/>
      <c r="Z906" s="213"/>
      <c r="AA906" s="213"/>
      <c r="AB906" s="213"/>
      <c r="AC906" s="213"/>
      <c r="AD906" s="213"/>
      <c r="AE906" s="213"/>
      <c r="AF906" s="213"/>
      <c r="AG906" s="213"/>
      <c r="AH906" s="213"/>
      <c r="AI906" s="213"/>
      <c r="AJ906" s="213"/>
      <c r="AK906" s="213"/>
      <c r="AL906" s="213"/>
      <c r="AM906" s="213"/>
      <c r="AN906" s="283"/>
      <c r="AO906" s="284"/>
      <c r="AP906" s="285"/>
      <c r="AQ906" s="258"/>
      <c r="AR906" s="258"/>
    </row>
    <row r="907" spans="10:45" s="48" customFormat="1" hidden="1">
      <c r="J907" s="213"/>
      <c r="K907" s="213"/>
      <c r="L907" s="213"/>
      <c r="M907" s="213"/>
      <c r="N907" s="213"/>
      <c r="O907" s="213"/>
      <c r="P907" s="213"/>
      <c r="Q907" s="213"/>
      <c r="R907" s="213"/>
      <c r="S907" s="213"/>
      <c r="T907" s="213"/>
      <c r="U907" s="213"/>
      <c r="V907" s="213"/>
      <c r="W907" s="213"/>
      <c r="X907" s="213"/>
      <c r="Y907" s="213"/>
      <c r="Z907" s="213"/>
      <c r="AA907" s="213"/>
      <c r="AB907" s="213"/>
      <c r="AC907" s="213"/>
      <c r="AD907" s="213"/>
      <c r="AE907" s="213"/>
      <c r="AF907" s="213"/>
      <c r="AG907" s="213"/>
      <c r="AH907" s="213"/>
      <c r="AI907" s="213"/>
      <c r="AJ907" s="213"/>
      <c r="AK907" s="213"/>
      <c r="AL907" s="213"/>
      <c r="AM907" s="213"/>
      <c r="AN907" s="283"/>
      <c r="AO907" s="284"/>
      <c r="AP907" s="285"/>
      <c r="AQ907" s="258"/>
      <c r="AR907" s="258"/>
    </row>
    <row r="908" spans="10:45" s="48" customFormat="1" hidden="1">
      <c r="J908" s="213"/>
      <c r="K908" s="213"/>
      <c r="L908" s="213"/>
      <c r="M908" s="213"/>
      <c r="N908" s="213"/>
      <c r="O908" s="213"/>
      <c r="P908" s="213"/>
      <c r="Q908" s="213"/>
      <c r="R908" s="213"/>
      <c r="S908" s="213"/>
      <c r="T908" s="213"/>
      <c r="U908" s="213"/>
      <c r="V908" s="213"/>
      <c r="W908" s="213"/>
      <c r="X908" s="213"/>
      <c r="Y908" s="213"/>
      <c r="Z908" s="213"/>
      <c r="AA908" s="213"/>
      <c r="AB908" s="213"/>
      <c r="AC908" s="213"/>
      <c r="AD908" s="213"/>
      <c r="AE908" s="213"/>
      <c r="AF908" s="213"/>
      <c r="AG908" s="213"/>
      <c r="AH908" s="213"/>
      <c r="AI908" s="213"/>
      <c r="AJ908" s="213"/>
      <c r="AK908" s="213"/>
      <c r="AL908" s="213"/>
      <c r="AM908" s="213"/>
      <c r="AN908" s="283"/>
      <c r="AO908" s="284"/>
      <c r="AP908" s="285"/>
      <c r="AQ908" s="258"/>
      <c r="AR908" s="258"/>
    </row>
    <row r="909" spans="10:45" s="48" customFormat="1" hidden="1">
      <c r="J909" s="213"/>
      <c r="K909" s="213"/>
      <c r="L909" s="213"/>
      <c r="M909" s="213"/>
      <c r="N909" s="213"/>
      <c r="O909" s="213"/>
      <c r="P909" s="213"/>
      <c r="Q909" s="213"/>
      <c r="R909" s="213"/>
      <c r="S909" s="213"/>
      <c r="T909" s="213"/>
      <c r="U909" s="213"/>
      <c r="V909" s="213"/>
      <c r="W909" s="213"/>
      <c r="X909" s="213"/>
      <c r="Y909" s="213"/>
      <c r="Z909" s="213"/>
      <c r="AA909" s="213"/>
      <c r="AB909" s="213"/>
      <c r="AC909" s="213"/>
      <c r="AD909" s="213"/>
      <c r="AE909" s="213"/>
      <c r="AF909" s="213"/>
      <c r="AG909" s="213"/>
      <c r="AH909" s="213"/>
      <c r="AI909" s="213"/>
      <c r="AJ909" s="213"/>
      <c r="AK909" s="213"/>
      <c r="AL909" s="213"/>
      <c r="AM909" s="213"/>
      <c r="AN909" s="283"/>
      <c r="AO909" s="284"/>
      <c r="AP909" s="285"/>
      <c r="AQ909" s="258"/>
      <c r="AR909" s="258"/>
    </row>
    <row r="910" spans="10:45" s="48" customFormat="1" hidden="1">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83"/>
      <c r="AO910" s="284"/>
      <c r="AP910" s="285"/>
      <c r="AQ910" s="258"/>
      <c r="AR910" s="258"/>
    </row>
    <row r="911" spans="10:45" s="48" customFormat="1" hidden="1">
      <c r="J911" s="213"/>
      <c r="K911" s="213"/>
      <c r="L911" s="213"/>
      <c r="M911" s="213"/>
      <c r="N911" s="213"/>
      <c r="O911" s="213"/>
      <c r="P911" s="213"/>
      <c r="Q911" s="213"/>
      <c r="R911" s="213"/>
      <c r="S911" s="213"/>
      <c r="T911" s="213"/>
      <c r="U911" s="213"/>
      <c r="V911" s="213"/>
      <c r="W911" s="213"/>
      <c r="X911" s="213"/>
      <c r="Y911" s="213"/>
      <c r="Z911" s="213"/>
      <c r="AA911" s="213"/>
      <c r="AB911" s="213"/>
      <c r="AC911" s="213"/>
      <c r="AD911" s="213"/>
      <c r="AE911" s="213"/>
      <c r="AF911" s="213"/>
      <c r="AG911" s="213"/>
      <c r="AH911" s="213"/>
      <c r="AI911" s="213"/>
      <c r="AJ911" s="213"/>
      <c r="AK911" s="213"/>
      <c r="AL911" s="213"/>
      <c r="AM911" s="213"/>
      <c r="AN911" s="283"/>
      <c r="AO911" s="284"/>
      <c r="AP911" s="285"/>
      <c r="AQ911" s="258"/>
      <c r="AR911" s="258"/>
    </row>
    <row r="912" spans="10:45" s="48" customFormat="1" hidden="1">
      <c r="J912" s="213"/>
      <c r="K912" s="213"/>
      <c r="L912" s="213"/>
      <c r="M912" s="213"/>
      <c r="N912" s="213"/>
      <c r="O912" s="213"/>
      <c r="P912" s="213"/>
      <c r="Q912" s="213"/>
      <c r="R912" s="213"/>
      <c r="S912" s="213"/>
      <c r="T912" s="213"/>
      <c r="U912" s="213"/>
      <c r="V912" s="213"/>
      <c r="W912" s="213"/>
      <c r="X912" s="213"/>
      <c r="Y912" s="213"/>
      <c r="Z912" s="213"/>
      <c r="AA912" s="213"/>
      <c r="AB912" s="213"/>
      <c r="AC912" s="213"/>
      <c r="AD912" s="213"/>
      <c r="AE912" s="213"/>
      <c r="AF912" s="213"/>
      <c r="AG912" s="213"/>
      <c r="AH912" s="213"/>
      <c r="AI912" s="213"/>
      <c r="AJ912" s="213"/>
      <c r="AK912" s="213"/>
      <c r="AL912" s="213"/>
      <c r="AM912" s="213"/>
      <c r="AN912" s="283"/>
      <c r="AO912" s="284"/>
      <c r="AP912" s="285"/>
      <c r="AQ912" s="258"/>
      <c r="AR912" s="258"/>
    </row>
    <row r="913" spans="10:44" s="48" customFormat="1" hidden="1">
      <c r="J913" s="213"/>
      <c r="K913" s="213"/>
      <c r="L913" s="213"/>
      <c r="M913" s="213"/>
      <c r="N913" s="213"/>
      <c r="O913" s="213"/>
      <c r="P913" s="213"/>
      <c r="Q913" s="213"/>
      <c r="R913" s="213"/>
      <c r="S913" s="213"/>
      <c r="T913" s="213"/>
      <c r="U913" s="213"/>
      <c r="V913" s="213"/>
      <c r="W913" s="213"/>
      <c r="X913" s="213"/>
      <c r="Y913" s="213"/>
      <c r="Z913" s="213"/>
      <c r="AA913" s="213"/>
      <c r="AB913" s="213"/>
      <c r="AC913" s="213"/>
      <c r="AD913" s="213"/>
      <c r="AE913" s="213"/>
      <c r="AF913" s="213"/>
      <c r="AG913" s="213"/>
      <c r="AH913" s="213"/>
      <c r="AI913" s="213"/>
      <c r="AJ913" s="213"/>
      <c r="AK913" s="213"/>
      <c r="AL913" s="213"/>
      <c r="AM913" s="213"/>
      <c r="AN913" s="283"/>
      <c r="AO913" s="284"/>
      <c r="AP913" s="285"/>
      <c r="AQ913" s="258"/>
      <c r="AR913" s="258"/>
    </row>
    <row r="914" spans="10:44" s="48" customFormat="1" hidden="1">
      <c r="J914" s="213"/>
      <c r="K914" s="213"/>
      <c r="L914" s="213"/>
      <c r="M914" s="213"/>
      <c r="N914" s="213"/>
      <c r="O914" s="213"/>
      <c r="P914" s="213"/>
      <c r="Q914" s="213"/>
      <c r="R914" s="213"/>
      <c r="S914" s="213"/>
      <c r="T914" s="213"/>
      <c r="U914" s="213"/>
      <c r="V914" s="213"/>
      <c r="W914" s="213"/>
      <c r="X914" s="213"/>
      <c r="Y914" s="213"/>
      <c r="Z914" s="213"/>
      <c r="AA914" s="213"/>
      <c r="AB914" s="213"/>
      <c r="AC914" s="213"/>
      <c r="AD914" s="213"/>
      <c r="AE914" s="213"/>
      <c r="AF914" s="213"/>
      <c r="AG914" s="213"/>
      <c r="AH914" s="213"/>
      <c r="AI914" s="213"/>
      <c r="AJ914" s="213"/>
      <c r="AK914" s="213"/>
      <c r="AL914" s="213"/>
      <c r="AM914" s="213"/>
      <c r="AN914" s="283"/>
      <c r="AO914" s="284"/>
      <c r="AP914" s="285"/>
      <c r="AQ914" s="258"/>
      <c r="AR914" s="258"/>
    </row>
    <row r="915" spans="10:44" s="48" customFormat="1" hidden="1">
      <c r="J915" s="213"/>
      <c r="K915" s="213"/>
      <c r="L915" s="213"/>
      <c r="M915" s="213"/>
      <c r="N915" s="213"/>
      <c r="O915" s="213"/>
      <c r="P915" s="213"/>
      <c r="Q915" s="213"/>
      <c r="R915" s="213"/>
      <c r="S915" s="213"/>
      <c r="T915" s="213"/>
      <c r="U915" s="213"/>
      <c r="V915" s="213"/>
      <c r="W915" s="213"/>
      <c r="X915" s="213"/>
      <c r="Y915" s="213"/>
      <c r="Z915" s="213"/>
      <c r="AA915" s="213"/>
      <c r="AB915" s="213"/>
      <c r="AC915" s="213"/>
      <c r="AD915" s="213"/>
      <c r="AE915" s="213"/>
      <c r="AF915" s="213"/>
      <c r="AG915" s="213"/>
      <c r="AH915" s="213"/>
      <c r="AI915" s="213"/>
      <c r="AJ915" s="213"/>
      <c r="AK915" s="213"/>
      <c r="AL915" s="213"/>
      <c r="AM915" s="213"/>
      <c r="AN915" s="283"/>
      <c r="AO915" s="284"/>
      <c r="AP915" s="285"/>
      <c r="AQ915" s="258"/>
      <c r="AR915" s="258"/>
    </row>
    <row r="916" spans="10:44" s="48" customFormat="1" hidden="1">
      <c r="J916" s="213"/>
      <c r="K916" s="213"/>
      <c r="L916" s="213"/>
      <c r="M916" s="213"/>
      <c r="N916" s="213"/>
      <c r="O916" s="213"/>
      <c r="P916" s="213"/>
      <c r="Q916" s="213"/>
      <c r="R916" s="213"/>
      <c r="S916" s="213"/>
      <c r="T916" s="213"/>
      <c r="U916" s="213"/>
      <c r="V916" s="213"/>
      <c r="W916" s="213"/>
      <c r="X916" s="213"/>
      <c r="Y916" s="213"/>
      <c r="Z916" s="213"/>
      <c r="AA916" s="213"/>
      <c r="AB916" s="213"/>
      <c r="AC916" s="213"/>
      <c r="AD916" s="213"/>
      <c r="AE916" s="213"/>
      <c r="AF916" s="213"/>
      <c r="AG916" s="213"/>
      <c r="AH916" s="213"/>
      <c r="AI916" s="213"/>
      <c r="AJ916" s="213"/>
      <c r="AK916" s="213"/>
      <c r="AL916" s="213"/>
      <c r="AM916" s="213"/>
      <c r="AN916" s="283"/>
      <c r="AO916" s="284"/>
      <c r="AP916" s="285"/>
      <c r="AQ916" s="258"/>
      <c r="AR916" s="258"/>
    </row>
    <row r="917" spans="10:44" s="48" customFormat="1" hidden="1">
      <c r="J917" s="213"/>
      <c r="K917" s="213"/>
      <c r="L917" s="213"/>
      <c r="M917" s="213"/>
      <c r="N917" s="213"/>
      <c r="O917" s="213"/>
      <c r="P917" s="213"/>
      <c r="Q917" s="213"/>
      <c r="R917" s="213"/>
      <c r="S917" s="213"/>
      <c r="T917" s="213"/>
      <c r="U917" s="213"/>
      <c r="V917" s="213"/>
      <c r="W917" s="213"/>
      <c r="X917" s="213"/>
      <c r="Y917" s="213"/>
      <c r="Z917" s="213"/>
      <c r="AA917" s="213"/>
      <c r="AB917" s="213"/>
      <c r="AC917" s="213"/>
      <c r="AD917" s="213"/>
      <c r="AE917" s="213"/>
      <c r="AF917" s="213"/>
      <c r="AG917" s="213"/>
      <c r="AH917" s="213"/>
      <c r="AI917" s="213"/>
      <c r="AJ917" s="213"/>
      <c r="AK917" s="213"/>
      <c r="AL917" s="213"/>
      <c r="AM917" s="213"/>
      <c r="AN917" s="283"/>
      <c r="AO917" s="284"/>
      <c r="AP917" s="285"/>
      <c r="AQ917" s="258"/>
      <c r="AR917" s="258"/>
    </row>
    <row r="918" spans="10:44" s="48" customFormat="1" ht="12" hidden="1" customHeight="1">
      <c r="J918" s="213"/>
      <c r="K918" s="213"/>
      <c r="L918" s="213"/>
      <c r="M918" s="213"/>
      <c r="N918" s="213"/>
      <c r="O918" s="213"/>
      <c r="P918" s="213"/>
      <c r="Q918" s="213"/>
      <c r="R918" s="213"/>
      <c r="S918" s="213"/>
      <c r="T918" s="213"/>
      <c r="U918" s="213"/>
      <c r="V918" s="213"/>
      <c r="W918" s="213"/>
      <c r="X918" s="213"/>
      <c r="Y918" s="213"/>
      <c r="Z918" s="213"/>
      <c r="AA918" s="213"/>
      <c r="AB918" s="213"/>
      <c r="AC918" s="213"/>
      <c r="AD918" s="213"/>
      <c r="AE918" s="213"/>
      <c r="AF918" s="213"/>
      <c r="AG918" s="213"/>
      <c r="AH918" s="213"/>
      <c r="AI918" s="213"/>
      <c r="AJ918" s="213"/>
      <c r="AK918" s="213"/>
      <c r="AL918" s="213"/>
      <c r="AM918" s="213"/>
      <c r="AN918" s="283"/>
      <c r="AO918" s="284"/>
      <c r="AP918" s="285"/>
      <c r="AQ918" s="258"/>
      <c r="AR918" s="258"/>
    </row>
    <row r="919" spans="10:44" s="48" customFormat="1" ht="12" hidden="1" customHeight="1">
      <c r="J919" s="213"/>
      <c r="K919" s="213"/>
      <c r="L919" s="213"/>
      <c r="M919" s="213"/>
      <c r="N919" s="213"/>
      <c r="O919" s="213"/>
      <c r="P919" s="213"/>
      <c r="Q919" s="213"/>
      <c r="R919" s="213"/>
      <c r="S919" s="213"/>
      <c r="T919" s="213"/>
      <c r="U919" s="213"/>
      <c r="V919" s="213"/>
      <c r="W919" s="213"/>
      <c r="X919" s="213"/>
      <c r="Y919" s="213"/>
      <c r="Z919" s="213"/>
      <c r="AA919" s="213"/>
      <c r="AB919" s="213"/>
      <c r="AC919" s="213"/>
      <c r="AD919" s="213"/>
      <c r="AE919" s="213"/>
      <c r="AF919" s="213"/>
      <c r="AG919" s="213"/>
      <c r="AH919" s="213"/>
      <c r="AI919" s="213"/>
      <c r="AJ919" s="213"/>
      <c r="AK919" s="213"/>
      <c r="AL919" s="213"/>
      <c r="AM919" s="213"/>
      <c r="AN919" s="283"/>
      <c r="AO919" s="284"/>
      <c r="AP919" s="285"/>
      <c r="AQ919" s="258"/>
      <c r="AR919" s="258"/>
    </row>
    <row r="920" spans="10:44" s="48" customFormat="1" ht="12" hidden="1" customHeight="1">
      <c r="J920" s="213"/>
      <c r="K920" s="213"/>
      <c r="L920" s="213"/>
      <c r="M920" s="213"/>
      <c r="N920" s="213"/>
      <c r="O920" s="213"/>
      <c r="P920" s="213"/>
      <c r="Q920" s="213"/>
      <c r="R920" s="213"/>
      <c r="S920" s="213"/>
      <c r="T920" s="213"/>
      <c r="U920" s="213"/>
      <c r="V920" s="213"/>
      <c r="W920" s="213"/>
      <c r="X920" s="213"/>
      <c r="Y920" s="213"/>
      <c r="Z920" s="213"/>
      <c r="AA920" s="213"/>
      <c r="AB920" s="213"/>
      <c r="AC920" s="213"/>
      <c r="AD920" s="213"/>
      <c r="AE920" s="213"/>
      <c r="AF920" s="213"/>
      <c r="AG920" s="213"/>
      <c r="AH920" s="213"/>
      <c r="AI920" s="213"/>
      <c r="AJ920" s="213"/>
      <c r="AK920" s="213"/>
      <c r="AL920" s="213"/>
      <c r="AM920" s="213"/>
      <c r="AN920" s="283"/>
      <c r="AO920" s="284"/>
      <c r="AP920" s="285"/>
      <c r="AQ920" s="258"/>
      <c r="AR920" s="258"/>
    </row>
    <row r="921" spans="10:44" s="48" customFormat="1" ht="12" hidden="1" customHeight="1">
      <c r="J921" s="213"/>
      <c r="K921" s="213"/>
      <c r="L921" s="213"/>
      <c r="M921" s="213"/>
      <c r="N921" s="213"/>
      <c r="O921" s="213"/>
      <c r="P921" s="213"/>
      <c r="Q921" s="213"/>
      <c r="R921" s="213"/>
      <c r="S921" s="213"/>
      <c r="T921" s="213"/>
      <c r="U921" s="213"/>
      <c r="V921" s="213"/>
      <c r="W921" s="213"/>
      <c r="X921" s="213"/>
      <c r="Y921" s="213"/>
      <c r="Z921" s="213"/>
      <c r="AA921" s="213"/>
      <c r="AB921" s="213"/>
      <c r="AC921" s="213"/>
      <c r="AD921" s="213"/>
      <c r="AE921" s="213"/>
      <c r="AF921" s="213"/>
      <c r="AG921" s="213"/>
      <c r="AH921" s="213"/>
      <c r="AI921" s="213"/>
      <c r="AJ921" s="213"/>
      <c r="AK921" s="213"/>
      <c r="AL921" s="213"/>
      <c r="AM921" s="213"/>
      <c r="AN921" s="283"/>
      <c r="AO921" s="284"/>
      <c r="AP921" s="285"/>
      <c r="AQ921" s="258"/>
      <c r="AR921" s="258"/>
    </row>
    <row r="922" spans="10:44" s="48" customFormat="1" ht="12" hidden="1" customHeight="1">
      <c r="J922" s="213"/>
      <c r="K922" s="213"/>
      <c r="L922" s="213"/>
      <c r="M922" s="213"/>
      <c r="N922" s="213"/>
      <c r="O922" s="213"/>
      <c r="P922" s="213"/>
      <c r="Q922" s="213"/>
      <c r="R922" s="213"/>
      <c r="S922" s="213"/>
      <c r="T922" s="213"/>
      <c r="U922" s="213"/>
      <c r="V922" s="213"/>
      <c r="W922" s="213"/>
      <c r="X922" s="213"/>
      <c r="Y922" s="213"/>
      <c r="Z922" s="213"/>
      <c r="AA922" s="213"/>
      <c r="AB922" s="213"/>
      <c r="AC922" s="213"/>
      <c r="AD922" s="213"/>
      <c r="AE922" s="213"/>
      <c r="AF922" s="213"/>
      <c r="AG922" s="213"/>
      <c r="AH922" s="213"/>
      <c r="AI922" s="213"/>
      <c r="AJ922" s="213"/>
      <c r="AK922" s="213"/>
      <c r="AL922" s="213"/>
      <c r="AM922" s="213"/>
      <c r="AN922" s="283"/>
      <c r="AO922" s="284"/>
      <c r="AP922" s="285"/>
      <c r="AQ922" s="258"/>
      <c r="AR922" s="258"/>
    </row>
    <row r="923" spans="10:44" s="48" customFormat="1" ht="12" hidden="1" customHeight="1">
      <c r="J923" s="213"/>
      <c r="K923" s="213"/>
      <c r="L923" s="213"/>
      <c r="M923" s="213"/>
      <c r="N923" s="213"/>
      <c r="O923" s="213"/>
      <c r="P923" s="213"/>
      <c r="Q923" s="213"/>
      <c r="R923" s="213"/>
      <c r="S923" s="213"/>
      <c r="T923" s="213"/>
      <c r="U923" s="213"/>
      <c r="V923" s="213"/>
      <c r="W923" s="213"/>
      <c r="X923" s="213"/>
      <c r="Y923" s="213"/>
      <c r="Z923" s="213"/>
      <c r="AA923" s="213"/>
      <c r="AB923" s="213"/>
      <c r="AC923" s="213"/>
      <c r="AD923" s="213"/>
      <c r="AE923" s="213"/>
      <c r="AF923" s="213"/>
      <c r="AG923" s="213"/>
      <c r="AH923" s="213"/>
      <c r="AI923" s="213"/>
      <c r="AJ923" s="213"/>
      <c r="AK923" s="213"/>
      <c r="AL923" s="213"/>
      <c r="AM923" s="213"/>
      <c r="AN923" s="283"/>
      <c r="AO923" s="284"/>
      <c r="AP923" s="285"/>
      <c r="AQ923" s="258"/>
      <c r="AR923" s="258"/>
    </row>
    <row r="924" spans="10:44" s="48" customFormat="1" ht="12" hidden="1" customHeight="1">
      <c r="J924" s="213"/>
      <c r="K924" s="213"/>
      <c r="L924" s="213"/>
      <c r="M924" s="213"/>
      <c r="N924" s="213"/>
      <c r="O924" s="213"/>
      <c r="P924" s="213"/>
      <c r="Q924" s="213"/>
      <c r="R924" s="213"/>
      <c r="S924" s="213"/>
      <c r="T924" s="213"/>
      <c r="U924" s="213"/>
      <c r="V924" s="213"/>
      <c r="W924" s="213"/>
      <c r="X924" s="213"/>
      <c r="Y924" s="213"/>
      <c r="Z924" s="213"/>
      <c r="AA924" s="213"/>
      <c r="AB924" s="213"/>
      <c r="AC924" s="213"/>
      <c r="AD924" s="213"/>
      <c r="AE924" s="213"/>
      <c r="AF924" s="213"/>
      <c r="AG924" s="213"/>
      <c r="AH924" s="213"/>
      <c r="AI924" s="213"/>
      <c r="AJ924" s="213"/>
      <c r="AK924" s="213"/>
      <c r="AL924" s="213"/>
      <c r="AM924" s="213"/>
      <c r="AN924" s="283"/>
      <c r="AO924" s="284"/>
      <c r="AP924" s="285"/>
      <c r="AQ924" s="258"/>
      <c r="AR924" s="258"/>
    </row>
    <row r="925" spans="10:44" s="48" customFormat="1" ht="12" hidden="1" customHeight="1">
      <c r="J925" s="213"/>
      <c r="K925" s="213"/>
      <c r="L925" s="213"/>
      <c r="M925" s="213"/>
      <c r="N925" s="213"/>
      <c r="O925" s="213"/>
      <c r="P925" s="213"/>
      <c r="Q925" s="213"/>
      <c r="R925" s="213"/>
      <c r="S925" s="213"/>
      <c r="T925" s="213"/>
      <c r="U925" s="213"/>
      <c r="V925" s="213"/>
      <c r="W925" s="213"/>
      <c r="X925" s="213"/>
      <c r="Y925" s="213"/>
      <c r="Z925" s="213"/>
      <c r="AA925" s="213"/>
      <c r="AB925" s="213"/>
      <c r="AC925" s="213"/>
      <c r="AD925" s="213"/>
      <c r="AE925" s="213"/>
      <c r="AF925" s="213"/>
      <c r="AG925" s="213"/>
      <c r="AH925" s="213"/>
      <c r="AI925" s="213"/>
      <c r="AJ925" s="213"/>
      <c r="AK925" s="213"/>
      <c r="AL925" s="213"/>
      <c r="AM925" s="213"/>
      <c r="AN925" s="283"/>
      <c r="AO925" s="284"/>
      <c r="AP925" s="285"/>
      <c r="AQ925" s="258"/>
      <c r="AR925" s="258"/>
    </row>
    <row r="926" spans="10:44" s="48" customFormat="1" ht="12" hidden="1" customHeight="1">
      <c r="J926" s="213"/>
      <c r="K926" s="213"/>
      <c r="L926" s="213"/>
      <c r="M926" s="213"/>
      <c r="N926" s="213"/>
      <c r="O926" s="213"/>
      <c r="P926" s="213"/>
      <c r="Q926" s="213"/>
      <c r="R926" s="213"/>
      <c r="S926" s="213"/>
      <c r="T926" s="213"/>
      <c r="U926" s="213"/>
      <c r="V926" s="213"/>
      <c r="W926" s="213"/>
      <c r="X926" s="213"/>
      <c r="Y926" s="213"/>
      <c r="Z926" s="213"/>
      <c r="AA926" s="213"/>
      <c r="AB926" s="213"/>
      <c r="AC926" s="213"/>
      <c r="AD926" s="213"/>
      <c r="AE926" s="213"/>
      <c r="AF926" s="213"/>
      <c r="AG926" s="213"/>
      <c r="AH926" s="213"/>
      <c r="AI926" s="213"/>
      <c r="AJ926" s="213"/>
      <c r="AK926" s="213"/>
      <c r="AL926" s="213"/>
      <c r="AM926" s="213"/>
      <c r="AN926" s="302"/>
      <c r="AO926" s="303"/>
      <c r="AP926" s="285"/>
      <c r="AQ926" s="258"/>
      <c r="AR926" s="258"/>
    </row>
    <row r="927" spans="10:44" s="48" customFormat="1" ht="12" hidden="1" customHeight="1">
      <c r="J927" s="213"/>
      <c r="K927" s="213"/>
      <c r="L927" s="213"/>
      <c r="M927" s="213"/>
      <c r="N927" s="213"/>
      <c r="O927" s="213"/>
      <c r="P927" s="213"/>
      <c r="Q927" s="213"/>
      <c r="R927" s="213"/>
      <c r="S927" s="213"/>
      <c r="T927" s="213"/>
      <c r="U927" s="213"/>
      <c r="V927" s="213"/>
      <c r="W927" s="213"/>
      <c r="X927" s="213"/>
      <c r="Y927" s="213"/>
      <c r="Z927" s="213"/>
      <c r="AA927" s="213"/>
      <c r="AB927" s="213"/>
      <c r="AC927" s="213"/>
      <c r="AD927" s="213"/>
      <c r="AE927" s="213"/>
      <c r="AF927" s="213"/>
      <c r="AG927" s="213"/>
      <c r="AH927" s="213"/>
      <c r="AI927" s="213"/>
      <c r="AJ927" s="213"/>
      <c r="AK927" s="213"/>
      <c r="AL927" s="213"/>
      <c r="AM927" s="213"/>
      <c r="AN927" s="302"/>
      <c r="AO927" s="303"/>
      <c r="AP927" s="285"/>
      <c r="AQ927" s="258"/>
      <c r="AR927" s="258"/>
    </row>
    <row r="928" spans="10:44" s="48" customFormat="1" ht="12" hidden="1" customHeight="1">
      <c r="J928" s="213"/>
      <c r="K928" s="213"/>
      <c r="L928" s="213"/>
      <c r="M928" s="213"/>
      <c r="N928" s="213"/>
      <c r="O928" s="213"/>
      <c r="P928" s="213"/>
      <c r="Q928" s="213"/>
      <c r="R928" s="213"/>
      <c r="S928" s="213"/>
      <c r="T928" s="213"/>
      <c r="U928" s="213"/>
      <c r="V928" s="213"/>
      <c r="W928" s="213"/>
      <c r="X928" s="213"/>
      <c r="Y928" s="213"/>
      <c r="Z928" s="213"/>
      <c r="AA928" s="213"/>
      <c r="AB928" s="213"/>
      <c r="AC928" s="213"/>
      <c r="AD928" s="213"/>
      <c r="AE928" s="213"/>
      <c r="AF928" s="213"/>
      <c r="AG928" s="213"/>
      <c r="AH928" s="213"/>
      <c r="AI928" s="213"/>
      <c r="AJ928" s="213"/>
      <c r="AK928" s="213"/>
      <c r="AL928" s="213"/>
      <c r="AM928" s="213"/>
      <c r="AN928" s="302"/>
      <c r="AO928" s="303"/>
      <c r="AP928" s="285"/>
      <c r="AQ928" s="258"/>
      <c r="AR928" s="258"/>
    </row>
    <row r="929" spans="10:44" s="48" customFormat="1" ht="12" hidden="1" customHeight="1">
      <c r="J929" s="213"/>
      <c r="K929" s="213"/>
      <c r="L929" s="213"/>
      <c r="M929" s="213"/>
      <c r="N929" s="213"/>
      <c r="O929" s="213"/>
      <c r="P929" s="213"/>
      <c r="Q929" s="213"/>
      <c r="R929" s="213"/>
      <c r="S929" s="213"/>
      <c r="T929" s="213"/>
      <c r="U929" s="213"/>
      <c r="V929" s="213"/>
      <c r="W929" s="213"/>
      <c r="X929" s="213"/>
      <c r="Y929" s="213"/>
      <c r="Z929" s="213"/>
      <c r="AA929" s="213"/>
      <c r="AB929" s="213"/>
      <c r="AC929" s="213"/>
      <c r="AD929" s="213"/>
      <c r="AE929" s="213"/>
      <c r="AF929" s="213"/>
      <c r="AG929" s="213"/>
      <c r="AH929" s="213"/>
      <c r="AI929" s="213"/>
      <c r="AJ929" s="213"/>
      <c r="AK929" s="213"/>
      <c r="AL929" s="213"/>
      <c r="AM929" s="213"/>
      <c r="AN929" s="302"/>
      <c r="AO929" s="303"/>
      <c r="AP929" s="285"/>
      <c r="AQ929" s="258"/>
      <c r="AR929" s="258"/>
    </row>
    <row r="930" spans="10:44" s="48" customFormat="1" ht="12" hidden="1" customHeight="1">
      <c r="J930" s="213"/>
      <c r="K930" s="213"/>
      <c r="L930" s="213"/>
      <c r="M930" s="213"/>
      <c r="N930" s="213"/>
      <c r="O930" s="213"/>
      <c r="P930" s="213"/>
      <c r="Q930" s="213"/>
      <c r="R930" s="213"/>
      <c r="S930" s="213"/>
      <c r="T930" s="213"/>
      <c r="U930" s="213"/>
      <c r="V930" s="213"/>
      <c r="W930" s="213"/>
      <c r="X930" s="213"/>
      <c r="Y930" s="213"/>
      <c r="Z930" s="213"/>
      <c r="AA930" s="213"/>
      <c r="AB930" s="213"/>
      <c r="AC930" s="213"/>
      <c r="AD930" s="213"/>
      <c r="AE930" s="213"/>
      <c r="AF930" s="213"/>
      <c r="AG930" s="213"/>
      <c r="AH930" s="213"/>
      <c r="AI930" s="213"/>
      <c r="AJ930" s="213"/>
      <c r="AK930" s="213"/>
      <c r="AL930" s="213"/>
      <c r="AM930" s="213"/>
      <c r="AN930" s="302"/>
      <c r="AO930" s="303"/>
      <c r="AP930" s="285"/>
      <c r="AQ930" s="258"/>
      <c r="AR930" s="258"/>
    </row>
    <row r="931" spans="10:44" s="48" customFormat="1" ht="12" hidden="1" customHeight="1">
      <c r="J931" s="213"/>
      <c r="K931" s="213"/>
      <c r="L931" s="213"/>
      <c r="M931" s="213"/>
      <c r="N931" s="213"/>
      <c r="O931" s="213"/>
      <c r="P931" s="213"/>
      <c r="Q931" s="213"/>
      <c r="R931" s="213"/>
      <c r="S931" s="213"/>
      <c r="T931" s="213"/>
      <c r="U931" s="213"/>
      <c r="V931" s="213"/>
      <c r="W931" s="213"/>
      <c r="X931" s="213"/>
      <c r="Y931" s="213"/>
      <c r="Z931" s="213"/>
      <c r="AA931" s="213"/>
      <c r="AB931" s="213"/>
      <c r="AC931" s="213"/>
      <c r="AD931" s="213"/>
      <c r="AE931" s="213"/>
      <c r="AF931" s="213"/>
      <c r="AG931" s="213"/>
      <c r="AH931" s="213"/>
      <c r="AI931" s="213"/>
      <c r="AJ931" s="213"/>
      <c r="AK931" s="213"/>
      <c r="AL931" s="213"/>
      <c r="AM931" s="213"/>
      <c r="AN931" s="302"/>
      <c r="AO931" s="303"/>
      <c r="AP931" s="285"/>
      <c r="AQ931" s="258"/>
      <c r="AR931" s="258"/>
    </row>
    <row r="932" spans="10:44" s="48" customFormat="1" ht="12" hidden="1" customHeight="1">
      <c r="J932" s="213"/>
      <c r="K932" s="213"/>
      <c r="L932" s="213"/>
      <c r="M932" s="213"/>
      <c r="N932" s="213"/>
      <c r="O932" s="213"/>
      <c r="P932" s="213"/>
      <c r="Q932" s="213"/>
      <c r="R932" s="213"/>
      <c r="S932" s="213"/>
      <c r="T932" s="213"/>
      <c r="U932" s="213"/>
      <c r="V932" s="213"/>
      <c r="W932" s="213"/>
      <c r="X932" s="213"/>
      <c r="Y932" s="213"/>
      <c r="Z932" s="213"/>
      <c r="AA932" s="213"/>
      <c r="AB932" s="213"/>
      <c r="AC932" s="213"/>
      <c r="AD932" s="213"/>
      <c r="AE932" s="213"/>
      <c r="AF932" s="213"/>
      <c r="AG932" s="213"/>
      <c r="AH932" s="213"/>
      <c r="AI932" s="213"/>
      <c r="AJ932" s="213"/>
      <c r="AK932" s="213"/>
      <c r="AL932" s="213"/>
      <c r="AM932" s="213"/>
      <c r="AN932" s="302"/>
      <c r="AO932" s="303"/>
      <c r="AP932" s="285"/>
      <c r="AQ932" s="258"/>
      <c r="AR932" s="258"/>
    </row>
    <row r="933" spans="10:44" s="48" customFormat="1" ht="12" hidden="1" customHeight="1">
      <c r="J933" s="213"/>
      <c r="K933" s="213"/>
      <c r="L933" s="213"/>
      <c r="M933" s="213"/>
      <c r="N933" s="213"/>
      <c r="O933" s="213"/>
      <c r="P933" s="213"/>
      <c r="Q933" s="213"/>
      <c r="R933" s="213"/>
      <c r="S933" s="213"/>
      <c r="T933" s="213"/>
      <c r="U933" s="213"/>
      <c r="V933" s="213"/>
      <c r="W933" s="213"/>
      <c r="X933" s="213"/>
      <c r="Y933" s="213"/>
      <c r="Z933" s="213"/>
      <c r="AA933" s="213"/>
      <c r="AB933" s="213"/>
      <c r="AC933" s="213"/>
      <c r="AD933" s="213"/>
      <c r="AE933" s="213"/>
      <c r="AF933" s="213"/>
      <c r="AG933" s="213"/>
      <c r="AH933" s="213"/>
      <c r="AI933" s="213"/>
      <c r="AJ933" s="213"/>
      <c r="AK933" s="213"/>
      <c r="AL933" s="213"/>
      <c r="AM933" s="213"/>
      <c r="AN933" s="302"/>
      <c r="AO933" s="303"/>
      <c r="AP933" s="285"/>
      <c r="AQ933" s="258"/>
      <c r="AR933" s="258"/>
    </row>
    <row r="934" spans="10:44" s="48" customFormat="1" ht="12" hidden="1" customHeight="1">
      <c r="J934" s="213"/>
      <c r="K934" s="213"/>
      <c r="L934" s="213"/>
      <c r="M934" s="213"/>
      <c r="N934" s="213"/>
      <c r="O934" s="213"/>
      <c r="P934" s="213"/>
      <c r="Q934" s="213"/>
      <c r="R934" s="213"/>
      <c r="S934" s="213"/>
      <c r="T934" s="213"/>
      <c r="U934" s="213"/>
      <c r="V934" s="213"/>
      <c r="W934" s="213"/>
      <c r="X934" s="213"/>
      <c r="Y934" s="213"/>
      <c r="Z934" s="213"/>
      <c r="AA934" s="213"/>
      <c r="AB934" s="213"/>
      <c r="AC934" s="213"/>
      <c r="AD934" s="213"/>
      <c r="AE934" s="213"/>
      <c r="AF934" s="213"/>
      <c r="AG934" s="213"/>
      <c r="AH934" s="213"/>
      <c r="AI934" s="213"/>
      <c r="AJ934" s="213"/>
      <c r="AK934" s="213"/>
      <c r="AL934" s="213"/>
      <c r="AM934" s="213"/>
      <c r="AN934" s="302"/>
      <c r="AO934" s="303"/>
      <c r="AP934" s="285"/>
      <c r="AQ934" s="258"/>
      <c r="AR934" s="258"/>
    </row>
    <row r="935" spans="10:44" s="48" customFormat="1" ht="12" hidden="1" customHeight="1">
      <c r="J935" s="213"/>
      <c r="K935" s="213"/>
      <c r="L935" s="213"/>
      <c r="M935" s="213"/>
      <c r="N935" s="213"/>
      <c r="O935" s="213"/>
      <c r="P935" s="213"/>
      <c r="Q935" s="213"/>
      <c r="R935" s="213"/>
      <c r="S935" s="213"/>
      <c r="T935" s="213"/>
      <c r="U935" s="213"/>
      <c r="V935" s="213"/>
      <c r="W935" s="213"/>
      <c r="X935" s="213"/>
      <c r="Y935" s="213"/>
      <c r="Z935" s="213"/>
      <c r="AA935" s="213"/>
      <c r="AB935" s="213"/>
      <c r="AC935" s="213"/>
      <c r="AD935" s="213"/>
      <c r="AE935" s="213"/>
      <c r="AF935" s="213"/>
      <c r="AG935" s="213"/>
      <c r="AH935" s="213"/>
      <c r="AI935" s="213"/>
      <c r="AJ935" s="213"/>
      <c r="AK935" s="213"/>
      <c r="AL935" s="213"/>
      <c r="AM935" s="213"/>
      <c r="AN935" s="302"/>
      <c r="AO935" s="303"/>
      <c r="AP935" s="285"/>
      <c r="AQ935" s="258"/>
      <c r="AR935" s="258"/>
    </row>
    <row r="936" spans="10:44" s="48" customFormat="1" ht="12" hidden="1" customHeight="1">
      <c r="J936" s="213"/>
      <c r="K936" s="213"/>
      <c r="L936" s="213"/>
      <c r="M936" s="213"/>
      <c r="N936" s="213"/>
      <c r="O936" s="213"/>
      <c r="P936" s="213"/>
      <c r="Q936" s="213"/>
      <c r="R936" s="213"/>
      <c r="S936" s="213"/>
      <c r="T936" s="213"/>
      <c r="U936" s="213"/>
      <c r="V936" s="213"/>
      <c r="W936" s="213"/>
      <c r="X936" s="213"/>
      <c r="Y936" s="213"/>
      <c r="Z936" s="213"/>
      <c r="AA936" s="213"/>
      <c r="AB936" s="213"/>
      <c r="AC936" s="213"/>
      <c r="AD936" s="213"/>
      <c r="AE936" s="213"/>
      <c r="AF936" s="213"/>
      <c r="AG936" s="213"/>
      <c r="AH936" s="213"/>
      <c r="AI936" s="213"/>
      <c r="AJ936" s="213"/>
      <c r="AK936" s="213"/>
      <c r="AL936" s="213"/>
      <c r="AM936" s="213"/>
      <c r="AN936" s="302"/>
      <c r="AO936" s="303"/>
      <c r="AP936" s="285"/>
      <c r="AQ936" s="258"/>
      <c r="AR936" s="258"/>
    </row>
    <row r="937" spans="10:44" s="48" customFormat="1" ht="12" hidden="1" customHeight="1">
      <c r="J937" s="213"/>
      <c r="K937" s="213"/>
      <c r="L937" s="213"/>
      <c r="M937" s="213"/>
      <c r="N937" s="213"/>
      <c r="O937" s="213"/>
      <c r="P937" s="213"/>
      <c r="Q937" s="213"/>
      <c r="R937" s="213"/>
      <c r="S937" s="213"/>
      <c r="T937" s="213"/>
      <c r="U937" s="213"/>
      <c r="V937" s="213"/>
      <c r="W937" s="213"/>
      <c r="X937" s="213"/>
      <c r="Y937" s="213"/>
      <c r="Z937" s="213"/>
      <c r="AA937" s="213"/>
      <c r="AB937" s="213"/>
      <c r="AC937" s="213"/>
      <c r="AD937" s="213"/>
      <c r="AE937" s="213"/>
      <c r="AF937" s="213"/>
      <c r="AG937" s="213"/>
      <c r="AH937" s="213"/>
      <c r="AI937" s="213"/>
      <c r="AJ937" s="213"/>
      <c r="AK937" s="213"/>
      <c r="AL937" s="213"/>
      <c r="AM937" s="213"/>
      <c r="AN937" s="302"/>
      <c r="AO937" s="303"/>
      <c r="AP937" s="285"/>
      <c r="AQ937" s="258"/>
      <c r="AR937" s="258"/>
    </row>
    <row r="938" spans="10:44" s="48" customFormat="1" ht="12" hidden="1" customHeight="1">
      <c r="J938" s="213"/>
      <c r="K938" s="213"/>
      <c r="L938" s="213"/>
      <c r="M938" s="213"/>
      <c r="N938" s="213"/>
      <c r="O938" s="213"/>
      <c r="P938" s="213"/>
      <c r="Q938" s="213"/>
      <c r="R938" s="213"/>
      <c r="S938" s="213"/>
      <c r="T938" s="213"/>
      <c r="U938" s="213"/>
      <c r="V938" s="213"/>
      <c r="W938" s="213"/>
      <c r="X938" s="213"/>
      <c r="Y938" s="213"/>
      <c r="Z938" s="213"/>
      <c r="AA938" s="213"/>
      <c r="AB938" s="213"/>
      <c r="AC938" s="213"/>
      <c r="AD938" s="213"/>
      <c r="AE938" s="213"/>
      <c r="AF938" s="213"/>
      <c r="AG938" s="213"/>
      <c r="AH938" s="213"/>
      <c r="AI938" s="213"/>
      <c r="AJ938" s="213"/>
      <c r="AK938" s="213"/>
      <c r="AL938" s="213"/>
      <c r="AM938" s="213"/>
      <c r="AN938" s="302"/>
      <c r="AO938" s="303"/>
      <c r="AP938" s="285"/>
      <c r="AQ938" s="258"/>
      <c r="AR938" s="258"/>
    </row>
    <row r="939" spans="10:44" s="48" customFormat="1" ht="12" hidden="1" customHeight="1">
      <c r="J939" s="213"/>
      <c r="K939" s="213"/>
      <c r="L939" s="213"/>
      <c r="M939" s="213"/>
      <c r="N939" s="213"/>
      <c r="O939" s="213"/>
      <c r="P939" s="213"/>
      <c r="Q939" s="213"/>
      <c r="R939" s="213"/>
      <c r="S939" s="213"/>
      <c r="T939" s="213"/>
      <c r="U939" s="213"/>
      <c r="V939" s="213"/>
      <c r="W939" s="213"/>
      <c r="X939" s="213"/>
      <c r="Y939" s="213"/>
      <c r="Z939" s="213"/>
      <c r="AA939" s="213"/>
      <c r="AB939" s="213"/>
      <c r="AC939" s="213"/>
      <c r="AD939" s="213"/>
      <c r="AE939" s="213"/>
      <c r="AF939" s="213"/>
      <c r="AG939" s="213"/>
      <c r="AH939" s="213"/>
      <c r="AI939" s="213"/>
      <c r="AJ939" s="213"/>
      <c r="AK939" s="213"/>
      <c r="AL939" s="213"/>
      <c r="AM939" s="213"/>
      <c r="AN939" s="302"/>
      <c r="AO939" s="303"/>
      <c r="AP939" s="285"/>
      <c r="AQ939" s="258"/>
      <c r="AR939" s="258"/>
    </row>
    <row r="940" spans="10:44" s="48" customFormat="1" ht="12" hidden="1" customHeight="1">
      <c r="J940" s="213"/>
      <c r="K940" s="213"/>
      <c r="L940" s="213"/>
      <c r="M940" s="213"/>
      <c r="N940" s="213"/>
      <c r="O940" s="213"/>
      <c r="P940" s="213"/>
      <c r="Q940" s="213"/>
      <c r="R940" s="213"/>
      <c r="S940" s="213"/>
      <c r="T940" s="213"/>
      <c r="U940" s="213"/>
      <c r="V940" s="213"/>
      <c r="W940" s="213"/>
      <c r="X940" s="213"/>
      <c r="Y940" s="213"/>
      <c r="Z940" s="213"/>
      <c r="AA940" s="213"/>
      <c r="AB940" s="213"/>
      <c r="AC940" s="213"/>
      <c r="AD940" s="213"/>
      <c r="AE940" s="213"/>
      <c r="AF940" s="213"/>
      <c r="AG940" s="213"/>
      <c r="AH940" s="213"/>
      <c r="AI940" s="213"/>
      <c r="AJ940" s="213"/>
      <c r="AK940" s="213"/>
      <c r="AL940" s="213"/>
      <c r="AM940" s="213"/>
      <c r="AN940" s="302"/>
      <c r="AO940" s="303"/>
      <c r="AP940" s="285"/>
      <c r="AQ940" s="258"/>
      <c r="AR940" s="258"/>
    </row>
    <row r="941" spans="10:44" s="48" customFormat="1" ht="12" hidden="1" customHeight="1">
      <c r="J941" s="213"/>
      <c r="K941" s="213"/>
      <c r="L941" s="213"/>
      <c r="M941" s="213"/>
      <c r="N941" s="213"/>
      <c r="O941" s="213"/>
      <c r="P941" s="213"/>
      <c r="Q941" s="213"/>
      <c r="R941" s="213"/>
      <c r="S941" s="213"/>
      <c r="T941" s="213"/>
      <c r="U941" s="213"/>
      <c r="V941" s="213"/>
      <c r="W941" s="213"/>
      <c r="X941" s="213"/>
      <c r="Y941" s="213"/>
      <c r="Z941" s="213"/>
      <c r="AA941" s="213"/>
      <c r="AB941" s="213"/>
      <c r="AC941" s="213"/>
      <c r="AD941" s="213"/>
      <c r="AE941" s="213"/>
      <c r="AF941" s="213"/>
      <c r="AG941" s="213"/>
      <c r="AH941" s="213"/>
      <c r="AI941" s="213"/>
      <c r="AJ941" s="213"/>
      <c r="AK941" s="213"/>
      <c r="AL941" s="213"/>
      <c r="AM941" s="213"/>
      <c r="AN941" s="302"/>
      <c r="AO941" s="303"/>
      <c r="AP941" s="285"/>
      <c r="AQ941" s="258"/>
      <c r="AR941" s="258"/>
    </row>
    <row r="942" spans="10:44" s="48" customFormat="1" ht="12" hidden="1" customHeight="1">
      <c r="J942" s="213"/>
      <c r="K942" s="213"/>
      <c r="L942" s="213"/>
      <c r="M942" s="213"/>
      <c r="N942" s="213"/>
      <c r="O942" s="213"/>
      <c r="P942" s="213"/>
      <c r="Q942" s="213"/>
      <c r="R942" s="213"/>
      <c r="S942" s="213"/>
      <c r="T942" s="213"/>
      <c r="U942" s="213"/>
      <c r="V942" s="213"/>
      <c r="W942" s="213"/>
      <c r="X942" s="213"/>
      <c r="Y942" s="213"/>
      <c r="Z942" s="213"/>
      <c r="AA942" s="213"/>
      <c r="AB942" s="213"/>
      <c r="AC942" s="213"/>
      <c r="AD942" s="213"/>
      <c r="AE942" s="213"/>
      <c r="AF942" s="213"/>
      <c r="AG942" s="213"/>
      <c r="AH942" s="213"/>
      <c r="AI942" s="213"/>
      <c r="AJ942" s="213"/>
      <c r="AK942" s="213"/>
      <c r="AL942" s="213"/>
      <c r="AM942" s="213"/>
      <c r="AN942" s="302"/>
      <c r="AO942" s="303"/>
      <c r="AP942" s="285"/>
      <c r="AQ942" s="258"/>
      <c r="AR942" s="258"/>
    </row>
    <row r="943" spans="10:44" s="48" customFormat="1" ht="12" hidden="1" customHeight="1">
      <c r="J943" s="213"/>
      <c r="K943" s="213"/>
      <c r="L943" s="213"/>
      <c r="M943" s="213"/>
      <c r="N943" s="213"/>
      <c r="O943" s="213"/>
      <c r="P943" s="213"/>
      <c r="Q943" s="213"/>
      <c r="R943" s="213"/>
      <c r="S943" s="213"/>
      <c r="T943" s="213"/>
      <c r="U943" s="213"/>
      <c r="V943" s="213"/>
      <c r="W943" s="213"/>
      <c r="X943" s="213"/>
      <c r="Y943" s="213"/>
      <c r="Z943" s="213"/>
      <c r="AA943" s="213"/>
      <c r="AB943" s="213"/>
      <c r="AC943" s="213"/>
      <c r="AD943" s="213"/>
      <c r="AE943" s="213"/>
      <c r="AF943" s="213"/>
      <c r="AG943" s="213"/>
      <c r="AH943" s="213"/>
      <c r="AI943" s="213"/>
      <c r="AJ943" s="213"/>
      <c r="AK943" s="213"/>
      <c r="AL943" s="213"/>
      <c r="AM943" s="213"/>
      <c r="AN943" s="302"/>
      <c r="AO943" s="303"/>
      <c r="AP943" s="285"/>
      <c r="AQ943" s="258"/>
      <c r="AR943" s="258"/>
    </row>
    <row r="944" spans="10:44" s="48" customFormat="1" ht="12" hidden="1" customHeight="1">
      <c r="J944" s="213"/>
      <c r="K944" s="213"/>
      <c r="L944" s="213"/>
      <c r="M944" s="213"/>
      <c r="N944" s="213"/>
      <c r="O944" s="213"/>
      <c r="P944" s="213"/>
      <c r="Q944" s="213"/>
      <c r="R944" s="213"/>
      <c r="S944" s="213"/>
      <c r="T944" s="213"/>
      <c r="U944" s="213"/>
      <c r="V944" s="213"/>
      <c r="W944" s="213"/>
      <c r="X944" s="213"/>
      <c r="Y944" s="213"/>
      <c r="Z944" s="213"/>
      <c r="AA944" s="213"/>
      <c r="AB944" s="213"/>
      <c r="AC944" s="213"/>
      <c r="AD944" s="213"/>
      <c r="AE944" s="213"/>
      <c r="AF944" s="213"/>
      <c r="AG944" s="213"/>
      <c r="AH944" s="213"/>
      <c r="AI944" s="213"/>
      <c r="AJ944" s="213"/>
      <c r="AK944" s="213"/>
      <c r="AL944" s="213"/>
      <c r="AM944" s="213"/>
      <c r="AN944" s="302"/>
      <c r="AO944" s="303"/>
      <c r="AP944" s="285"/>
      <c r="AQ944" s="258"/>
      <c r="AR944" s="258"/>
    </row>
    <row r="945" spans="10:44" s="48" customFormat="1" ht="12" hidden="1" customHeight="1">
      <c r="J945" s="213"/>
      <c r="K945" s="213"/>
      <c r="L945" s="213"/>
      <c r="M945" s="213"/>
      <c r="N945" s="213"/>
      <c r="O945" s="213"/>
      <c r="P945" s="213"/>
      <c r="Q945" s="213"/>
      <c r="R945" s="213"/>
      <c r="S945" s="213"/>
      <c r="T945" s="213"/>
      <c r="U945" s="213"/>
      <c r="V945" s="213"/>
      <c r="W945" s="213"/>
      <c r="X945" s="213"/>
      <c r="Y945" s="213"/>
      <c r="Z945" s="213"/>
      <c r="AA945" s="213"/>
      <c r="AB945" s="213"/>
      <c r="AC945" s="213"/>
      <c r="AD945" s="213"/>
      <c r="AE945" s="213"/>
      <c r="AF945" s="213"/>
      <c r="AG945" s="213"/>
      <c r="AH945" s="213"/>
      <c r="AI945" s="213"/>
      <c r="AJ945" s="213"/>
      <c r="AK945" s="213"/>
      <c r="AL945" s="213"/>
      <c r="AM945" s="213"/>
      <c r="AN945" s="302"/>
      <c r="AO945" s="303"/>
      <c r="AP945" s="285"/>
      <c r="AQ945" s="258"/>
      <c r="AR945" s="258"/>
    </row>
    <row r="946" spans="10:44" s="48" customFormat="1" ht="12" hidden="1" customHeight="1">
      <c r="J946" s="213"/>
      <c r="K946" s="213"/>
      <c r="L946" s="213"/>
      <c r="M946" s="213"/>
      <c r="N946" s="213"/>
      <c r="O946" s="213"/>
      <c r="P946" s="213"/>
      <c r="Q946" s="213"/>
      <c r="R946" s="213"/>
      <c r="S946" s="213"/>
      <c r="T946" s="213"/>
      <c r="U946" s="213"/>
      <c r="V946" s="213"/>
      <c r="W946" s="213"/>
      <c r="X946" s="213"/>
      <c r="Y946" s="213"/>
      <c r="Z946" s="213"/>
      <c r="AA946" s="213"/>
      <c r="AB946" s="213"/>
      <c r="AC946" s="213"/>
      <c r="AD946" s="213"/>
      <c r="AE946" s="213"/>
      <c r="AF946" s="213"/>
      <c r="AG946" s="213"/>
      <c r="AH946" s="213"/>
      <c r="AI946" s="213"/>
      <c r="AJ946" s="213"/>
      <c r="AK946" s="213"/>
      <c r="AL946" s="213"/>
      <c r="AM946" s="213"/>
      <c r="AN946" s="302"/>
      <c r="AO946" s="303"/>
      <c r="AP946" s="285"/>
      <c r="AQ946" s="258"/>
      <c r="AR946" s="258"/>
    </row>
    <row r="947" spans="10:44" s="48" customFormat="1" ht="12" hidden="1" customHeight="1">
      <c r="J947" s="213"/>
      <c r="K947" s="213"/>
      <c r="L947" s="213"/>
      <c r="M947" s="213"/>
      <c r="N947" s="213"/>
      <c r="O947" s="213"/>
      <c r="P947" s="213"/>
      <c r="Q947" s="213"/>
      <c r="R947" s="213"/>
      <c r="S947" s="213"/>
      <c r="T947" s="213"/>
      <c r="U947" s="213"/>
      <c r="V947" s="213"/>
      <c r="W947" s="213"/>
      <c r="X947" s="213"/>
      <c r="Y947" s="213"/>
      <c r="Z947" s="213"/>
      <c r="AA947" s="213"/>
      <c r="AB947" s="213"/>
      <c r="AC947" s="213"/>
      <c r="AD947" s="213"/>
      <c r="AE947" s="213"/>
      <c r="AF947" s="213"/>
      <c r="AG947" s="213"/>
      <c r="AH947" s="213"/>
      <c r="AI947" s="213"/>
      <c r="AJ947" s="213"/>
      <c r="AK947" s="213"/>
      <c r="AL947" s="213"/>
      <c r="AM947" s="213"/>
      <c r="AN947" s="302"/>
      <c r="AO947" s="303"/>
      <c r="AP947" s="285"/>
      <c r="AQ947" s="258"/>
      <c r="AR947" s="258"/>
    </row>
    <row r="948" spans="10:44" s="48" customFormat="1" ht="12" hidden="1" customHeight="1">
      <c r="J948" s="213"/>
      <c r="K948" s="213"/>
      <c r="L948" s="213"/>
      <c r="M948" s="213"/>
      <c r="N948" s="213"/>
      <c r="O948" s="213"/>
      <c r="P948" s="213"/>
      <c r="Q948" s="213"/>
      <c r="R948" s="213"/>
      <c r="S948" s="213"/>
      <c r="T948" s="213"/>
      <c r="U948" s="213"/>
      <c r="V948" s="213"/>
      <c r="W948" s="213"/>
      <c r="X948" s="213"/>
      <c r="Y948" s="213"/>
      <c r="Z948" s="213"/>
      <c r="AA948" s="213"/>
      <c r="AB948" s="213"/>
      <c r="AC948" s="213"/>
      <c r="AD948" s="213"/>
      <c r="AE948" s="213"/>
      <c r="AF948" s="213"/>
      <c r="AG948" s="213"/>
      <c r="AH948" s="213"/>
      <c r="AI948" s="213"/>
      <c r="AJ948" s="213"/>
      <c r="AK948" s="213"/>
      <c r="AL948" s="213"/>
      <c r="AM948" s="213"/>
      <c r="AN948" s="302"/>
      <c r="AO948" s="303"/>
      <c r="AP948" s="285"/>
      <c r="AQ948" s="258"/>
      <c r="AR948" s="258"/>
    </row>
    <row r="949" spans="10:44" s="48" customFormat="1" ht="12" hidden="1" customHeight="1">
      <c r="J949" s="213"/>
      <c r="K949" s="213"/>
      <c r="L949" s="213"/>
      <c r="M949" s="213"/>
      <c r="N949" s="213"/>
      <c r="O949" s="213"/>
      <c r="P949" s="213"/>
      <c r="Q949" s="213"/>
      <c r="R949" s="213"/>
      <c r="S949" s="213"/>
      <c r="T949" s="213"/>
      <c r="U949" s="213"/>
      <c r="V949" s="213"/>
      <c r="W949" s="213"/>
      <c r="X949" s="213"/>
      <c r="Y949" s="213"/>
      <c r="Z949" s="213"/>
      <c r="AA949" s="213"/>
      <c r="AB949" s="213"/>
      <c r="AC949" s="213"/>
      <c r="AD949" s="213"/>
      <c r="AE949" s="213"/>
      <c r="AF949" s="213"/>
      <c r="AG949" s="213"/>
      <c r="AH949" s="213"/>
      <c r="AI949" s="213"/>
      <c r="AJ949" s="213"/>
      <c r="AK949" s="213"/>
      <c r="AL949" s="213"/>
      <c r="AM949" s="213"/>
      <c r="AN949" s="302"/>
      <c r="AO949" s="303"/>
      <c r="AP949" s="285"/>
      <c r="AQ949" s="258"/>
      <c r="AR949" s="258"/>
    </row>
    <row r="950" spans="10:44" s="48" customFormat="1" ht="12" hidden="1" customHeight="1">
      <c r="J950" s="213"/>
      <c r="K950" s="213"/>
      <c r="L950" s="213"/>
      <c r="M950" s="213"/>
      <c r="N950" s="213"/>
      <c r="O950" s="213"/>
      <c r="P950" s="213"/>
      <c r="Q950" s="213"/>
      <c r="R950" s="213"/>
      <c r="S950" s="213"/>
      <c r="T950" s="213"/>
      <c r="U950" s="213"/>
      <c r="V950" s="213"/>
      <c r="W950" s="213"/>
      <c r="X950" s="213"/>
      <c r="Y950" s="213"/>
      <c r="Z950" s="213"/>
      <c r="AA950" s="213"/>
      <c r="AB950" s="213"/>
      <c r="AC950" s="213"/>
      <c r="AD950" s="213"/>
      <c r="AE950" s="213"/>
      <c r="AF950" s="213"/>
      <c r="AG950" s="213"/>
      <c r="AH950" s="213"/>
      <c r="AI950" s="213"/>
      <c r="AJ950" s="213"/>
      <c r="AK950" s="213"/>
      <c r="AL950" s="213"/>
      <c r="AM950" s="213"/>
      <c r="AN950" s="302"/>
      <c r="AO950" s="303"/>
      <c r="AP950" s="285"/>
      <c r="AQ950" s="258"/>
      <c r="AR950" s="258"/>
    </row>
    <row r="951" spans="10:44" s="48" customFormat="1" ht="12" hidden="1" customHeight="1">
      <c r="J951" s="213"/>
      <c r="K951" s="213"/>
      <c r="L951" s="213"/>
      <c r="M951" s="213"/>
      <c r="N951" s="213"/>
      <c r="O951" s="213"/>
      <c r="P951" s="213"/>
      <c r="Q951" s="213"/>
      <c r="R951" s="213"/>
      <c r="S951" s="213"/>
      <c r="T951" s="213"/>
      <c r="U951" s="213"/>
      <c r="V951" s="213"/>
      <c r="W951" s="213"/>
      <c r="X951" s="213"/>
      <c r="Y951" s="213"/>
      <c r="Z951" s="213"/>
      <c r="AA951" s="213"/>
      <c r="AB951" s="213"/>
      <c r="AC951" s="213"/>
      <c r="AD951" s="213"/>
      <c r="AE951" s="213"/>
      <c r="AF951" s="213"/>
      <c r="AG951" s="213"/>
      <c r="AH951" s="213"/>
      <c r="AI951" s="213"/>
      <c r="AJ951" s="213"/>
      <c r="AK951" s="213"/>
      <c r="AL951" s="213"/>
      <c r="AM951" s="213"/>
      <c r="AN951" s="302"/>
      <c r="AO951" s="303"/>
      <c r="AP951" s="285"/>
      <c r="AQ951" s="258"/>
      <c r="AR951" s="258"/>
    </row>
    <row r="952" spans="10:44" s="48" customFormat="1" ht="12" hidden="1" customHeight="1">
      <c r="J952" s="213"/>
      <c r="K952" s="213"/>
      <c r="L952" s="213"/>
      <c r="M952" s="213"/>
      <c r="N952" s="213"/>
      <c r="O952" s="213"/>
      <c r="P952" s="213"/>
      <c r="Q952" s="213"/>
      <c r="R952" s="213"/>
      <c r="S952" s="213"/>
      <c r="T952" s="213"/>
      <c r="U952" s="213"/>
      <c r="V952" s="213"/>
      <c r="W952" s="213"/>
      <c r="X952" s="213"/>
      <c r="Y952" s="213"/>
      <c r="Z952" s="213"/>
      <c r="AA952" s="213"/>
      <c r="AB952" s="213"/>
      <c r="AC952" s="213"/>
      <c r="AD952" s="213"/>
      <c r="AE952" s="213"/>
      <c r="AF952" s="213"/>
      <c r="AG952" s="213"/>
      <c r="AH952" s="213"/>
      <c r="AI952" s="213"/>
      <c r="AJ952" s="213"/>
      <c r="AK952" s="213"/>
      <c r="AL952" s="213"/>
      <c r="AM952" s="213"/>
      <c r="AN952" s="302"/>
      <c r="AO952" s="303"/>
      <c r="AP952" s="285"/>
      <c r="AQ952" s="258"/>
      <c r="AR952" s="258"/>
    </row>
    <row r="953" spans="10:44" s="48" customFormat="1" ht="12" hidden="1" customHeight="1">
      <c r="J953" s="213"/>
      <c r="K953" s="213"/>
      <c r="L953" s="213"/>
      <c r="M953" s="213"/>
      <c r="N953" s="213"/>
      <c r="O953" s="213"/>
      <c r="P953" s="213"/>
      <c r="Q953" s="213"/>
      <c r="R953" s="213"/>
      <c r="S953" s="213"/>
      <c r="T953" s="213"/>
      <c r="U953" s="213"/>
      <c r="V953" s="213"/>
      <c r="W953" s="213"/>
      <c r="X953" s="213"/>
      <c r="Y953" s="213"/>
      <c r="Z953" s="213"/>
      <c r="AA953" s="213"/>
      <c r="AB953" s="213"/>
      <c r="AC953" s="213"/>
      <c r="AD953" s="213"/>
      <c r="AE953" s="213"/>
      <c r="AF953" s="213"/>
      <c r="AG953" s="213"/>
      <c r="AH953" s="213"/>
      <c r="AI953" s="213"/>
      <c r="AJ953" s="213"/>
      <c r="AK953" s="213"/>
      <c r="AL953" s="213"/>
      <c r="AM953" s="213"/>
      <c r="AN953" s="302"/>
      <c r="AO953" s="303"/>
      <c r="AP953" s="285"/>
      <c r="AQ953" s="258"/>
      <c r="AR953" s="258"/>
    </row>
    <row r="954" spans="10:44" s="48" customFormat="1" ht="12" hidden="1" customHeight="1">
      <c r="J954" s="213"/>
      <c r="K954" s="213"/>
      <c r="L954" s="213"/>
      <c r="M954" s="213"/>
      <c r="N954" s="213"/>
      <c r="O954" s="213"/>
      <c r="P954" s="213"/>
      <c r="Q954" s="213"/>
      <c r="R954" s="213"/>
      <c r="S954" s="213"/>
      <c r="T954" s="213"/>
      <c r="U954" s="213"/>
      <c r="V954" s="213"/>
      <c r="W954" s="213"/>
      <c r="X954" s="213"/>
      <c r="Y954" s="213"/>
      <c r="Z954" s="213"/>
      <c r="AA954" s="213"/>
      <c r="AB954" s="213"/>
      <c r="AC954" s="213"/>
      <c r="AD954" s="213"/>
      <c r="AE954" s="213"/>
      <c r="AF954" s="213"/>
      <c r="AG954" s="213"/>
      <c r="AH954" s="213"/>
      <c r="AI954" s="213"/>
      <c r="AJ954" s="213"/>
      <c r="AK954" s="213"/>
      <c r="AL954" s="213"/>
      <c r="AM954" s="213"/>
      <c r="AN954" s="302"/>
      <c r="AO954" s="303"/>
      <c r="AP954" s="285"/>
      <c r="AQ954" s="258"/>
      <c r="AR954" s="258"/>
    </row>
    <row r="955" spans="10:44" s="48" customFormat="1" ht="12" hidden="1" customHeight="1">
      <c r="J955" s="213"/>
      <c r="K955" s="213"/>
      <c r="L955" s="213"/>
      <c r="M955" s="213"/>
      <c r="N955" s="213"/>
      <c r="O955" s="213"/>
      <c r="P955" s="213"/>
      <c r="Q955" s="213"/>
      <c r="R955" s="213"/>
      <c r="S955" s="213"/>
      <c r="T955" s="213"/>
      <c r="U955" s="213"/>
      <c r="V955" s="213"/>
      <c r="W955" s="213"/>
      <c r="X955" s="213"/>
      <c r="Y955" s="213"/>
      <c r="Z955" s="213"/>
      <c r="AA955" s="213"/>
      <c r="AB955" s="213"/>
      <c r="AC955" s="213"/>
      <c r="AD955" s="213"/>
      <c r="AE955" s="213"/>
      <c r="AF955" s="213"/>
      <c r="AG955" s="213"/>
      <c r="AH955" s="213"/>
      <c r="AI955" s="213"/>
      <c r="AJ955" s="213"/>
      <c r="AK955" s="213"/>
      <c r="AL955" s="213"/>
      <c r="AM955" s="213"/>
      <c r="AN955" s="302"/>
      <c r="AO955" s="303"/>
      <c r="AP955" s="285"/>
      <c r="AQ955" s="258"/>
      <c r="AR955" s="258"/>
    </row>
    <row r="956" spans="10:44" s="48" customFormat="1" ht="12" hidden="1" customHeight="1">
      <c r="J956" s="213"/>
      <c r="K956" s="213"/>
      <c r="L956" s="213"/>
      <c r="M956" s="213"/>
      <c r="N956" s="213"/>
      <c r="O956" s="213"/>
      <c r="P956" s="213"/>
      <c r="Q956" s="213"/>
      <c r="R956" s="213"/>
      <c r="S956" s="213"/>
      <c r="T956" s="213"/>
      <c r="U956" s="213"/>
      <c r="V956" s="213"/>
      <c r="W956" s="213"/>
      <c r="X956" s="213"/>
      <c r="Y956" s="213"/>
      <c r="Z956" s="213"/>
      <c r="AA956" s="213"/>
      <c r="AB956" s="213"/>
      <c r="AC956" s="213"/>
      <c r="AD956" s="213"/>
      <c r="AE956" s="213"/>
      <c r="AF956" s="213"/>
      <c r="AG956" s="213"/>
      <c r="AH956" s="213"/>
      <c r="AI956" s="213"/>
      <c r="AJ956" s="213"/>
      <c r="AK956" s="213"/>
      <c r="AL956" s="213"/>
      <c r="AM956" s="213"/>
      <c r="AN956" s="302"/>
      <c r="AO956" s="303"/>
      <c r="AP956" s="285"/>
      <c r="AQ956" s="258"/>
      <c r="AR956" s="258"/>
    </row>
    <row r="957" spans="10:44" s="48" customFormat="1" ht="12" hidden="1" customHeight="1">
      <c r="J957" s="213"/>
      <c r="K957" s="213"/>
      <c r="L957" s="213"/>
      <c r="M957" s="213"/>
      <c r="N957" s="213"/>
      <c r="O957" s="213"/>
      <c r="P957" s="213"/>
      <c r="Q957" s="213"/>
      <c r="R957" s="213"/>
      <c r="S957" s="213"/>
      <c r="T957" s="213"/>
      <c r="U957" s="213"/>
      <c r="V957" s="213"/>
      <c r="W957" s="213"/>
      <c r="X957" s="213"/>
      <c r="Y957" s="213"/>
      <c r="Z957" s="213"/>
      <c r="AA957" s="213"/>
      <c r="AB957" s="213"/>
      <c r="AC957" s="213"/>
      <c r="AD957" s="213"/>
      <c r="AE957" s="213"/>
      <c r="AF957" s="213"/>
      <c r="AG957" s="213"/>
      <c r="AH957" s="213"/>
      <c r="AI957" s="213"/>
      <c r="AJ957" s="213"/>
      <c r="AK957" s="213"/>
      <c r="AL957" s="213"/>
      <c r="AM957" s="213"/>
      <c r="AN957" s="302"/>
      <c r="AO957" s="303"/>
      <c r="AP957" s="285"/>
      <c r="AQ957" s="258"/>
      <c r="AR957" s="258"/>
    </row>
    <row r="958" spans="10:44" s="48" customFormat="1" ht="12" hidden="1" customHeight="1">
      <c r="J958" s="213"/>
      <c r="K958" s="213"/>
      <c r="L958" s="213"/>
      <c r="M958" s="213"/>
      <c r="N958" s="213"/>
      <c r="O958" s="213"/>
      <c r="P958" s="213"/>
      <c r="Q958" s="213"/>
      <c r="R958" s="213"/>
      <c r="S958" s="213"/>
      <c r="T958" s="213"/>
      <c r="U958" s="213"/>
      <c r="V958" s="213"/>
      <c r="W958" s="213"/>
      <c r="X958" s="213"/>
      <c r="Y958" s="213"/>
      <c r="Z958" s="213"/>
      <c r="AA958" s="213"/>
      <c r="AB958" s="213"/>
      <c r="AC958" s="213"/>
      <c r="AD958" s="213"/>
      <c r="AE958" s="213"/>
      <c r="AF958" s="213"/>
      <c r="AG958" s="213"/>
      <c r="AH958" s="213"/>
      <c r="AI958" s="213"/>
      <c r="AJ958" s="213"/>
      <c r="AK958" s="213"/>
      <c r="AL958" s="213"/>
      <c r="AM958" s="213"/>
      <c r="AN958" s="302"/>
      <c r="AO958" s="303"/>
      <c r="AP958" s="285"/>
      <c r="AQ958" s="258"/>
      <c r="AR958" s="258"/>
    </row>
    <row r="959" spans="10:44" s="48" customFormat="1" ht="12" hidden="1" customHeight="1">
      <c r="J959" s="213"/>
      <c r="K959" s="213"/>
      <c r="L959" s="213"/>
      <c r="M959" s="213"/>
      <c r="N959" s="213"/>
      <c r="O959" s="213"/>
      <c r="P959" s="213"/>
      <c r="Q959" s="213"/>
      <c r="R959" s="213"/>
      <c r="S959" s="213"/>
      <c r="T959" s="213"/>
      <c r="U959" s="213"/>
      <c r="V959" s="213"/>
      <c r="W959" s="213"/>
      <c r="X959" s="213"/>
      <c r="Y959" s="213"/>
      <c r="Z959" s="213"/>
      <c r="AA959" s="213"/>
      <c r="AB959" s="213"/>
      <c r="AC959" s="213"/>
      <c r="AD959" s="213"/>
      <c r="AE959" s="213"/>
      <c r="AF959" s="213"/>
      <c r="AG959" s="213"/>
      <c r="AH959" s="213"/>
      <c r="AI959" s="213"/>
      <c r="AJ959" s="213"/>
      <c r="AK959" s="213"/>
      <c r="AL959" s="213"/>
      <c r="AM959" s="213"/>
      <c r="AN959" s="302"/>
      <c r="AO959" s="303"/>
      <c r="AP959" s="285"/>
      <c r="AQ959" s="258"/>
      <c r="AR959" s="258"/>
    </row>
    <row r="960" spans="10:44" s="48" customFormat="1" ht="12" hidden="1" customHeight="1">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302"/>
      <c r="AO960" s="303"/>
      <c r="AP960" s="285"/>
      <c r="AQ960" s="258"/>
      <c r="AR960" s="258"/>
    </row>
    <row r="961" spans="10:44" s="48" customFormat="1" ht="12" hidden="1" customHeight="1">
      <c r="J961" s="213"/>
      <c r="K961" s="213"/>
      <c r="L961" s="213"/>
      <c r="M961" s="213"/>
      <c r="N961" s="213"/>
      <c r="O961" s="213"/>
      <c r="P961" s="213"/>
      <c r="Q961" s="213"/>
      <c r="R961" s="213"/>
      <c r="S961" s="213"/>
      <c r="T961" s="213"/>
      <c r="U961" s="213"/>
      <c r="V961" s="213"/>
      <c r="W961" s="213"/>
      <c r="X961" s="213"/>
      <c r="Y961" s="213"/>
      <c r="Z961" s="213"/>
      <c r="AA961" s="213"/>
      <c r="AB961" s="213"/>
      <c r="AC961" s="213"/>
      <c r="AD961" s="213"/>
      <c r="AE961" s="213"/>
      <c r="AF961" s="213"/>
      <c r="AG961" s="213"/>
      <c r="AH961" s="213"/>
      <c r="AI961" s="213"/>
      <c r="AJ961" s="213"/>
      <c r="AK961" s="213"/>
      <c r="AL961" s="213"/>
      <c r="AM961" s="213"/>
      <c r="AN961" s="302"/>
      <c r="AO961" s="303"/>
      <c r="AP961" s="285"/>
      <c r="AQ961" s="258"/>
      <c r="AR961" s="258"/>
    </row>
    <row r="962" spans="10:44" s="48" customFormat="1" ht="12" hidden="1" customHeight="1">
      <c r="J962" s="213"/>
      <c r="K962" s="213"/>
      <c r="L962" s="213"/>
      <c r="M962" s="213"/>
      <c r="N962" s="213"/>
      <c r="O962" s="213"/>
      <c r="P962" s="213"/>
      <c r="Q962" s="213"/>
      <c r="R962" s="213"/>
      <c r="S962" s="213"/>
      <c r="T962" s="213"/>
      <c r="U962" s="213"/>
      <c r="V962" s="213"/>
      <c r="W962" s="213"/>
      <c r="X962" s="213"/>
      <c r="Y962" s="213"/>
      <c r="Z962" s="213"/>
      <c r="AA962" s="213"/>
      <c r="AB962" s="213"/>
      <c r="AC962" s="213"/>
      <c r="AD962" s="213"/>
      <c r="AE962" s="213"/>
      <c r="AF962" s="213"/>
      <c r="AG962" s="213"/>
      <c r="AH962" s="213"/>
      <c r="AI962" s="213"/>
      <c r="AJ962" s="213"/>
      <c r="AK962" s="213"/>
      <c r="AL962" s="213"/>
      <c r="AM962" s="213"/>
      <c r="AN962" s="302"/>
      <c r="AO962" s="303"/>
      <c r="AP962" s="285"/>
      <c r="AQ962" s="258"/>
      <c r="AR962" s="258"/>
    </row>
    <row r="963" spans="10:44" s="48" customFormat="1" ht="12" hidden="1" customHeight="1">
      <c r="J963" s="213"/>
      <c r="K963" s="213"/>
      <c r="L963" s="213"/>
      <c r="M963" s="213"/>
      <c r="N963" s="213"/>
      <c r="O963" s="213"/>
      <c r="P963" s="213"/>
      <c r="Q963" s="213"/>
      <c r="R963" s="213"/>
      <c r="S963" s="213"/>
      <c r="T963" s="213"/>
      <c r="U963" s="213"/>
      <c r="V963" s="213"/>
      <c r="W963" s="213"/>
      <c r="X963" s="213"/>
      <c r="Y963" s="213"/>
      <c r="Z963" s="213"/>
      <c r="AA963" s="213"/>
      <c r="AB963" s="213"/>
      <c r="AC963" s="213"/>
      <c r="AD963" s="213"/>
      <c r="AE963" s="213"/>
      <c r="AF963" s="213"/>
      <c r="AG963" s="213"/>
      <c r="AH963" s="213"/>
      <c r="AI963" s="213"/>
      <c r="AJ963" s="213"/>
      <c r="AK963" s="213"/>
      <c r="AL963" s="213"/>
      <c r="AM963" s="213"/>
      <c r="AN963" s="302"/>
      <c r="AO963" s="303"/>
      <c r="AP963" s="285"/>
      <c r="AQ963" s="258"/>
      <c r="AR963" s="258"/>
    </row>
    <row r="964" spans="10:44" s="48" customFormat="1" ht="12" hidden="1" customHeight="1">
      <c r="J964" s="213"/>
      <c r="K964" s="213"/>
      <c r="L964" s="213"/>
      <c r="M964" s="213"/>
      <c r="N964" s="213"/>
      <c r="O964" s="213"/>
      <c r="P964" s="213"/>
      <c r="Q964" s="213"/>
      <c r="R964" s="213"/>
      <c r="S964" s="213"/>
      <c r="T964" s="213"/>
      <c r="U964" s="213"/>
      <c r="V964" s="213"/>
      <c r="W964" s="213"/>
      <c r="X964" s="213"/>
      <c r="Y964" s="213"/>
      <c r="Z964" s="213"/>
      <c r="AA964" s="213"/>
      <c r="AB964" s="213"/>
      <c r="AC964" s="213"/>
      <c r="AD964" s="213"/>
      <c r="AE964" s="213"/>
      <c r="AF964" s="213"/>
      <c r="AG964" s="213"/>
      <c r="AH964" s="213"/>
      <c r="AI964" s="213"/>
      <c r="AJ964" s="213"/>
      <c r="AK964" s="213"/>
      <c r="AL964" s="213"/>
      <c r="AM964" s="213"/>
      <c r="AN964" s="302"/>
      <c r="AO964" s="303"/>
      <c r="AP964" s="285"/>
      <c r="AQ964" s="258"/>
      <c r="AR964" s="258"/>
    </row>
    <row r="965" spans="10:44" s="48" customFormat="1" ht="12" hidden="1" customHeight="1">
      <c r="J965" s="213"/>
      <c r="K965" s="213"/>
      <c r="L965" s="213"/>
      <c r="M965" s="213"/>
      <c r="N965" s="213"/>
      <c r="O965" s="213"/>
      <c r="P965" s="213"/>
      <c r="Q965" s="213"/>
      <c r="R965" s="213"/>
      <c r="S965" s="213"/>
      <c r="T965" s="213"/>
      <c r="U965" s="213"/>
      <c r="V965" s="213"/>
      <c r="W965" s="213"/>
      <c r="X965" s="213"/>
      <c r="Y965" s="213"/>
      <c r="Z965" s="213"/>
      <c r="AA965" s="213"/>
      <c r="AB965" s="213"/>
      <c r="AC965" s="213"/>
      <c r="AD965" s="213"/>
      <c r="AE965" s="213"/>
      <c r="AF965" s="213"/>
      <c r="AG965" s="213"/>
      <c r="AH965" s="213"/>
      <c r="AI965" s="213"/>
      <c r="AJ965" s="213"/>
      <c r="AK965" s="213"/>
      <c r="AL965" s="213"/>
      <c r="AM965" s="213"/>
      <c r="AN965" s="302"/>
      <c r="AO965" s="303"/>
      <c r="AP965" s="285"/>
      <c r="AQ965" s="258"/>
      <c r="AR965" s="258"/>
    </row>
    <row r="966" spans="10:44" s="48" customFormat="1" ht="12" hidden="1" customHeight="1">
      <c r="J966" s="213"/>
      <c r="K966" s="213"/>
      <c r="L966" s="213"/>
      <c r="M966" s="213"/>
      <c r="N966" s="213"/>
      <c r="O966" s="213"/>
      <c r="P966" s="213"/>
      <c r="Q966" s="213"/>
      <c r="R966" s="213"/>
      <c r="S966" s="213"/>
      <c r="T966" s="213"/>
      <c r="U966" s="213"/>
      <c r="V966" s="213"/>
      <c r="W966" s="213"/>
      <c r="X966" s="213"/>
      <c r="Y966" s="213"/>
      <c r="Z966" s="213"/>
      <c r="AA966" s="213"/>
      <c r="AB966" s="213"/>
      <c r="AC966" s="213"/>
      <c r="AD966" s="213"/>
      <c r="AE966" s="213"/>
      <c r="AF966" s="213"/>
      <c r="AG966" s="213"/>
      <c r="AH966" s="213"/>
      <c r="AI966" s="213"/>
      <c r="AJ966" s="213"/>
      <c r="AK966" s="213"/>
      <c r="AL966" s="213"/>
      <c r="AM966" s="213"/>
      <c r="AN966" s="302"/>
      <c r="AO966" s="303"/>
      <c r="AP966" s="285"/>
      <c r="AQ966" s="258"/>
      <c r="AR966" s="258"/>
    </row>
    <row r="967" spans="10:44" s="48" customFormat="1" ht="12" hidden="1" customHeight="1">
      <c r="J967" s="213"/>
      <c r="K967" s="213"/>
      <c r="L967" s="213"/>
      <c r="M967" s="213"/>
      <c r="N967" s="213"/>
      <c r="O967" s="213"/>
      <c r="P967" s="213"/>
      <c r="Q967" s="213"/>
      <c r="R967" s="213"/>
      <c r="S967" s="213"/>
      <c r="T967" s="213"/>
      <c r="U967" s="213"/>
      <c r="V967" s="213"/>
      <c r="W967" s="213"/>
      <c r="X967" s="213"/>
      <c r="Y967" s="213"/>
      <c r="Z967" s="213"/>
      <c r="AA967" s="213"/>
      <c r="AB967" s="213"/>
      <c r="AC967" s="213"/>
      <c r="AD967" s="213"/>
      <c r="AE967" s="213"/>
      <c r="AF967" s="213"/>
      <c r="AG967" s="213"/>
      <c r="AH967" s="213"/>
      <c r="AI967" s="213"/>
      <c r="AJ967" s="213"/>
      <c r="AK967" s="213"/>
      <c r="AL967" s="213"/>
      <c r="AM967" s="213"/>
      <c r="AN967" s="302"/>
      <c r="AO967" s="303"/>
      <c r="AP967" s="285"/>
      <c r="AQ967" s="258"/>
      <c r="AR967" s="258"/>
    </row>
    <row r="968" spans="10:44" s="48" customFormat="1" ht="12" hidden="1" customHeight="1">
      <c r="J968" s="213"/>
      <c r="K968" s="213"/>
      <c r="L968" s="213"/>
      <c r="M968" s="213"/>
      <c r="N968" s="213"/>
      <c r="O968" s="213"/>
      <c r="P968" s="213"/>
      <c r="Q968" s="213"/>
      <c r="R968" s="213"/>
      <c r="S968" s="213"/>
      <c r="T968" s="213"/>
      <c r="U968" s="213"/>
      <c r="V968" s="213"/>
      <c r="W968" s="213"/>
      <c r="X968" s="213"/>
      <c r="Y968" s="213"/>
      <c r="Z968" s="213"/>
      <c r="AA968" s="213"/>
      <c r="AB968" s="213"/>
      <c r="AC968" s="213"/>
      <c r="AD968" s="213"/>
      <c r="AE968" s="213"/>
      <c r="AF968" s="213"/>
      <c r="AG968" s="213"/>
      <c r="AH968" s="213"/>
      <c r="AI968" s="213"/>
      <c r="AJ968" s="213"/>
      <c r="AK968" s="213"/>
      <c r="AL968" s="213"/>
      <c r="AM968" s="213"/>
      <c r="AN968" s="302"/>
      <c r="AO968" s="303"/>
      <c r="AP968" s="285"/>
      <c r="AQ968" s="258"/>
      <c r="AR968" s="258"/>
    </row>
    <row r="969" spans="10:44" s="48" customFormat="1" ht="12" hidden="1" customHeight="1">
      <c r="J969" s="213"/>
      <c r="K969" s="213"/>
      <c r="L969" s="213"/>
      <c r="M969" s="213"/>
      <c r="N969" s="213"/>
      <c r="O969" s="213"/>
      <c r="P969" s="213"/>
      <c r="Q969" s="213"/>
      <c r="R969" s="213"/>
      <c r="S969" s="213"/>
      <c r="T969" s="213"/>
      <c r="U969" s="213"/>
      <c r="V969" s="213"/>
      <c r="W969" s="213"/>
      <c r="X969" s="213"/>
      <c r="Y969" s="213"/>
      <c r="Z969" s="213"/>
      <c r="AA969" s="213"/>
      <c r="AB969" s="213"/>
      <c r="AC969" s="213"/>
      <c r="AD969" s="213"/>
      <c r="AE969" s="213"/>
      <c r="AF969" s="213"/>
      <c r="AG969" s="213"/>
      <c r="AH969" s="213"/>
      <c r="AI969" s="213"/>
      <c r="AJ969" s="213"/>
      <c r="AK969" s="213"/>
      <c r="AL969" s="213"/>
      <c r="AM969" s="213"/>
      <c r="AN969" s="302"/>
      <c r="AO969" s="303"/>
      <c r="AP969" s="285"/>
      <c r="AQ969" s="258"/>
      <c r="AR969" s="258"/>
    </row>
    <row r="970" spans="10:44" s="48" customFormat="1" ht="12" hidden="1" customHeight="1">
      <c r="J970" s="213"/>
      <c r="K970" s="213"/>
      <c r="L970" s="213"/>
      <c r="M970" s="213"/>
      <c r="N970" s="213"/>
      <c r="O970" s="213"/>
      <c r="P970" s="213"/>
      <c r="Q970" s="213"/>
      <c r="R970" s="213"/>
      <c r="S970" s="213"/>
      <c r="T970" s="213"/>
      <c r="U970" s="213"/>
      <c r="V970" s="213"/>
      <c r="W970" s="213"/>
      <c r="X970" s="213"/>
      <c r="Y970" s="213"/>
      <c r="Z970" s="213"/>
      <c r="AA970" s="213"/>
      <c r="AB970" s="213"/>
      <c r="AC970" s="213"/>
      <c r="AD970" s="213"/>
      <c r="AE970" s="213"/>
      <c r="AF970" s="213"/>
      <c r="AG970" s="213"/>
      <c r="AH970" s="213"/>
      <c r="AI970" s="213"/>
      <c r="AJ970" s="213"/>
      <c r="AK970" s="213"/>
      <c r="AL970" s="213"/>
      <c r="AM970" s="213"/>
      <c r="AN970" s="302"/>
      <c r="AO970" s="303"/>
      <c r="AP970" s="285"/>
      <c r="AQ970" s="258"/>
      <c r="AR970" s="258"/>
    </row>
    <row r="971" spans="10:44" s="48" customFormat="1" ht="12" hidden="1" customHeight="1">
      <c r="J971" s="213"/>
      <c r="K971" s="213"/>
      <c r="L971" s="213"/>
      <c r="M971" s="213"/>
      <c r="N971" s="213"/>
      <c r="O971" s="213"/>
      <c r="P971" s="213"/>
      <c r="Q971" s="213"/>
      <c r="R971" s="213"/>
      <c r="S971" s="213"/>
      <c r="T971" s="213"/>
      <c r="U971" s="213"/>
      <c r="V971" s="213"/>
      <c r="W971" s="213"/>
      <c r="X971" s="213"/>
      <c r="Y971" s="213"/>
      <c r="Z971" s="213"/>
      <c r="AA971" s="213"/>
      <c r="AB971" s="213"/>
      <c r="AC971" s="213"/>
      <c r="AD971" s="213"/>
      <c r="AE971" s="213"/>
      <c r="AF971" s="213"/>
      <c r="AG971" s="213"/>
      <c r="AH971" s="213"/>
      <c r="AI971" s="213"/>
      <c r="AJ971" s="213"/>
      <c r="AK971" s="213"/>
      <c r="AL971" s="213"/>
      <c r="AM971" s="213"/>
      <c r="AN971" s="302"/>
      <c r="AO971" s="303"/>
      <c r="AP971" s="285"/>
      <c r="AQ971" s="258"/>
      <c r="AR971" s="258"/>
    </row>
    <row r="972" spans="10:44" s="48" customFormat="1" ht="12" hidden="1" customHeight="1">
      <c r="J972" s="213"/>
      <c r="K972" s="213"/>
      <c r="L972" s="213"/>
      <c r="M972" s="213"/>
      <c r="N972" s="213"/>
      <c r="O972" s="213"/>
      <c r="P972" s="213"/>
      <c r="Q972" s="213"/>
      <c r="R972" s="213"/>
      <c r="S972" s="213"/>
      <c r="T972" s="213"/>
      <c r="U972" s="213"/>
      <c r="V972" s="213"/>
      <c r="W972" s="213"/>
      <c r="X972" s="213"/>
      <c r="Y972" s="213"/>
      <c r="Z972" s="213"/>
      <c r="AA972" s="213"/>
      <c r="AB972" s="213"/>
      <c r="AC972" s="213"/>
      <c r="AD972" s="213"/>
      <c r="AE972" s="213"/>
      <c r="AF972" s="213"/>
      <c r="AG972" s="213"/>
      <c r="AH972" s="213"/>
      <c r="AI972" s="213"/>
      <c r="AJ972" s="213"/>
      <c r="AK972" s="213"/>
      <c r="AL972" s="213"/>
      <c r="AM972" s="213"/>
      <c r="AN972" s="302"/>
      <c r="AO972" s="303"/>
      <c r="AP972" s="285"/>
      <c r="AQ972" s="258"/>
      <c r="AR972" s="258"/>
    </row>
    <row r="973" spans="10:44" s="48" customFormat="1" ht="12" hidden="1" customHeight="1">
      <c r="J973" s="213"/>
      <c r="K973" s="213"/>
      <c r="L973" s="213"/>
      <c r="M973" s="213"/>
      <c r="N973" s="213"/>
      <c r="O973" s="213"/>
      <c r="P973" s="213"/>
      <c r="Q973" s="213"/>
      <c r="R973" s="213"/>
      <c r="S973" s="213"/>
      <c r="T973" s="213"/>
      <c r="U973" s="213"/>
      <c r="V973" s="213"/>
      <c r="W973" s="213"/>
      <c r="X973" s="213"/>
      <c r="Y973" s="213"/>
      <c r="Z973" s="213"/>
      <c r="AA973" s="213"/>
      <c r="AB973" s="213"/>
      <c r="AC973" s="213"/>
      <c r="AD973" s="213"/>
      <c r="AE973" s="213"/>
      <c r="AF973" s="213"/>
      <c r="AG973" s="213"/>
      <c r="AH973" s="213"/>
      <c r="AI973" s="213"/>
      <c r="AJ973" s="213"/>
      <c r="AK973" s="213"/>
      <c r="AL973" s="213"/>
      <c r="AM973" s="213"/>
      <c r="AN973" s="302"/>
      <c r="AO973" s="303"/>
      <c r="AP973" s="285"/>
      <c r="AQ973" s="258"/>
      <c r="AR973" s="258"/>
    </row>
    <row r="974" spans="10:44" s="48" customFormat="1" ht="12" hidden="1" customHeight="1">
      <c r="J974" s="213"/>
      <c r="K974" s="213"/>
      <c r="L974" s="213"/>
      <c r="M974" s="213"/>
      <c r="N974" s="213"/>
      <c r="O974" s="213"/>
      <c r="P974" s="213"/>
      <c r="Q974" s="213"/>
      <c r="R974" s="213"/>
      <c r="S974" s="213"/>
      <c r="T974" s="213"/>
      <c r="U974" s="213"/>
      <c r="V974" s="213"/>
      <c r="W974" s="213"/>
      <c r="X974" s="213"/>
      <c r="Y974" s="213"/>
      <c r="Z974" s="213"/>
      <c r="AA974" s="213"/>
      <c r="AB974" s="213"/>
      <c r="AC974" s="213"/>
      <c r="AD974" s="213"/>
      <c r="AE974" s="213"/>
      <c r="AF974" s="213"/>
      <c r="AG974" s="213"/>
      <c r="AH974" s="213"/>
      <c r="AI974" s="213"/>
      <c r="AJ974" s="213"/>
      <c r="AK974" s="213"/>
      <c r="AL974" s="213"/>
      <c r="AM974" s="213"/>
      <c r="AN974" s="302"/>
      <c r="AO974" s="303"/>
      <c r="AP974" s="285"/>
      <c r="AQ974" s="258"/>
      <c r="AR974" s="258"/>
    </row>
    <row r="975" spans="10:44" s="48" customFormat="1" ht="12" hidden="1" customHeight="1">
      <c r="J975" s="213"/>
      <c r="K975" s="213"/>
      <c r="L975" s="213"/>
      <c r="M975" s="213"/>
      <c r="N975" s="213"/>
      <c r="O975" s="213"/>
      <c r="P975" s="213"/>
      <c r="Q975" s="213"/>
      <c r="R975" s="213"/>
      <c r="S975" s="213"/>
      <c r="T975" s="213"/>
      <c r="U975" s="213"/>
      <c r="V975" s="213"/>
      <c r="W975" s="213"/>
      <c r="X975" s="213"/>
      <c r="Y975" s="213"/>
      <c r="Z975" s="213"/>
      <c r="AA975" s="213"/>
      <c r="AB975" s="213"/>
      <c r="AC975" s="213"/>
      <c r="AD975" s="213"/>
      <c r="AE975" s="213"/>
      <c r="AF975" s="213"/>
      <c r="AG975" s="213"/>
      <c r="AH975" s="213"/>
      <c r="AI975" s="213"/>
      <c r="AJ975" s="213"/>
      <c r="AK975" s="213"/>
      <c r="AL975" s="213"/>
      <c r="AM975" s="213"/>
      <c r="AN975" s="302"/>
      <c r="AO975" s="303"/>
      <c r="AP975" s="285"/>
      <c r="AQ975" s="258"/>
      <c r="AR975" s="258"/>
    </row>
    <row r="976" spans="10:44" s="48" customFormat="1" ht="12" hidden="1" customHeight="1">
      <c r="J976" s="213"/>
      <c r="K976" s="213"/>
      <c r="L976" s="213"/>
      <c r="M976" s="213"/>
      <c r="N976" s="213"/>
      <c r="O976" s="213"/>
      <c r="P976" s="213"/>
      <c r="Q976" s="213"/>
      <c r="R976" s="213"/>
      <c r="S976" s="213"/>
      <c r="T976" s="213"/>
      <c r="U976" s="213"/>
      <c r="V976" s="213"/>
      <c r="W976" s="213"/>
      <c r="X976" s="213"/>
      <c r="Y976" s="213"/>
      <c r="Z976" s="213"/>
      <c r="AA976" s="213"/>
      <c r="AB976" s="213"/>
      <c r="AC976" s="213"/>
      <c r="AD976" s="213"/>
      <c r="AE976" s="213"/>
      <c r="AF976" s="213"/>
      <c r="AG976" s="213"/>
      <c r="AH976" s="213"/>
      <c r="AI976" s="213"/>
      <c r="AJ976" s="213"/>
      <c r="AK976" s="213"/>
      <c r="AL976" s="213"/>
      <c r="AM976" s="213"/>
      <c r="AN976" s="302"/>
      <c r="AO976" s="303"/>
      <c r="AP976" s="285"/>
      <c r="AQ976" s="258"/>
      <c r="AR976" s="258"/>
    </row>
    <row r="977" spans="10:44" s="48" customFormat="1" ht="12" hidden="1" customHeight="1">
      <c r="J977" s="213"/>
      <c r="K977" s="213"/>
      <c r="L977" s="213"/>
      <c r="M977" s="213"/>
      <c r="N977" s="213"/>
      <c r="O977" s="213"/>
      <c r="P977" s="213"/>
      <c r="Q977" s="213"/>
      <c r="R977" s="213"/>
      <c r="S977" s="213"/>
      <c r="T977" s="213"/>
      <c r="U977" s="213"/>
      <c r="V977" s="213"/>
      <c r="W977" s="213"/>
      <c r="X977" s="213"/>
      <c r="Y977" s="213"/>
      <c r="Z977" s="213"/>
      <c r="AA977" s="213"/>
      <c r="AB977" s="213"/>
      <c r="AC977" s="213"/>
      <c r="AD977" s="213"/>
      <c r="AE977" s="213"/>
      <c r="AF977" s="213"/>
      <c r="AG977" s="213"/>
      <c r="AH977" s="213"/>
      <c r="AI977" s="213"/>
      <c r="AJ977" s="213"/>
      <c r="AK977" s="213"/>
      <c r="AL977" s="213"/>
      <c r="AM977" s="213"/>
      <c r="AN977" s="302"/>
      <c r="AO977" s="303"/>
      <c r="AP977" s="285"/>
      <c r="AQ977" s="258"/>
      <c r="AR977" s="258"/>
    </row>
    <row r="978" spans="10:44" s="48" customFormat="1" ht="12" hidden="1" customHeight="1">
      <c r="J978" s="213"/>
      <c r="K978" s="213"/>
      <c r="L978" s="213"/>
      <c r="M978" s="213"/>
      <c r="N978" s="213"/>
      <c r="O978" s="213"/>
      <c r="P978" s="213"/>
      <c r="Q978" s="213"/>
      <c r="R978" s="213"/>
      <c r="S978" s="213"/>
      <c r="T978" s="213"/>
      <c r="U978" s="213"/>
      <c r="V978" s="213"/>
      <c r="W978" s="213"/>
      <c r="X978" s="213"/>
      <c r="Y978" s="213"/>
      <c r="Z978" s="213"/>
      <c r="AA978" s="213"/>
      <c r="AB978" s="213"/>
      <c r="AC978" s="213"/>
      <c r="AD978" s="213"/>
      <c r="AE978" s="213"/>
      <c r="AF978" s="213"/>
      <c r="AG978" s="213"/>
      <c r="AH978" s="213"/>
      <c r="AI978" s="213"/>
      <c r="AJ978" s="213"/>
      <c r="AK978" s="213"/>
      <c r="AL978" s="213"/>
      <c r="AM978" s="213"/>
      <c r="AN978" s="302"/>
      <c r="AO978" s="303"/>
      <c r="AP978" s="285"/>
      <c r="AQ978" s="258"/>
      <c r="AR978" s="258"/>
    </row>
    <row r="979" spans="10:44" s="48" customFormat="1" ht="12" hidden="1" customHeight="1">
      <c r="J979" s="213"/>
      <c r="K979" s="213"/>
      <c r="L979" s="213"/>
      <c r="M979" s="213"/>
      <c r="N979" s="213"/>
      <c r="O979" s="213"/>
      <c r="P979" s="213"/>
      <c r="Q979" s="213"/>
      <c r="R979" s="213"/>
      <c r="S979" s="213"/>
      <c r="T979" s="213"/>
      <c r="U979" s="213"/>
      <c r="V979" s="213"/>
      <c r="W979" s="213"/>
      <c r="X979" s="213"/>
      <c r="Y979" s="213"/>
      <c r="Z979" s="213"/>
      <c r="AA979" s="213"/>
      <c r="AB979" s="213"/>
      <c r="AC979" s="213"/>
      <c r="AD979" s="213"/>
      <c r="AE979" s="213"/>
      <c r="AF979" s="213"/>
      <c r="AG979" s="213"/>
      <c r="AH979" s="213"/>
      <c r="AI979" s="213"/>
      <c r="AJ979" s="213"/>
      <c r="AK979" s="213"/>
      <c r="AL979" s="213"/>
      <c r="AM979" s="213"/>
      <c r="AN979" s="302"/>
      <c r="AO979" s="303"/>
      <c r="AP979" s="285"/>
      <c r="AQ979" s="258"/>
      <c r="AR979" s="258"/>
    </row>
    <row r="980" spans="10:44" s="48" customFormat="1" ht="12" hidden="1" customHeight="1">
      <c r="J980" s="213"/>
      <c r="K980" s="213"/>
      <c r="L980" s="213"/>
      <c r="M980" s="213"/>
      <c r="N980" s="213"/>
      <c r="O980" s="213"/>
      <c r="P980" s="213"/>
      <c r="Q980" s="213"/>
      <c r="R980" s="213"/>
      <c r="S980" s="213"/>
      <c r="T980" s="213"/>
      <c r="U980" s="213"/>
      <c r="V980" s="213"/>
      <c r="W980" s="213"/>
      <c r="X980" s="213"/>
      <c r="Y980" s="213"/>
      <c r="Z980" s="213"/>
      <c r="AA980" s="213"/>
      <c r="AB980" s="213"/>
      <c r="AC980" s="213"/>
      <c r="AD980" s="213"/>
      <c r="AE980" s="213"/>
      <c r="AF980" s="213"/>
      <c r="AG980" s="213"/>
      <c r="AH980" s="213"/>
      <c r="AI980" s="213"/>
      <c r="AJ980" s="213"/>
      <c r="AK980" s="213"/>
      <c r="AL980" s="213"/>
      <c r="AM980" s="213"/>
      <c r="AN980" s="302"/>
      <c r="AO980" s="303"/>
      <c r="AP980" s="285"/>
      <c r="AQ980" s="258"/>
      <c r="AR980" s="258"/>
    </row>
    <row r="981" spans="10:44" s="48" customFormat="1" ht="12" hidden="1" customHeight="1">
      <c r="J981" s="213"/>
      <c r="K981" s="213"/>
      <c r="L981" s="213"/>
      <c r="M981" s="213"/>
      <c r="N981" s="213"/>
      <c r="O981" s="213"/>
      <c r="P981" s="213"/>
      <c r="Q981" s="213"/>
      <c r="R981" s="213"/>
      <c r="S981" s="213"/>
      <c r="T981" s="213"/>
      <c r="U981" s="213"/>
      <c r="V981" s="213"/>
      <c r="W981" s="213"/>
      <c r="X981" s="213"/>
      <c r="Y981" s="213"/>
      <c r="Z981" s="213"/>
      <c r="AA981" s="213"/>
      <c r="AB981" s="213"/>
      <c r="AC981" s="213"/>
      <c r="AD981" s="213"/>
      <c r="AE981" s="213"/>
      <c r="AF981" s="213"/>
      <c r="AG981" s="213"/>
      <c r="AH981" s="213"/>
      <c r="AI981" s="213"/>
      <c r="AJ981" s="213"/>
      <c r="AK981" s="213"/>
      <c r="AL981" s="213"/>
      <c r="AM981" s="213"/>
      <c r="AN981" s="302"/>
      <c r="AO981" s="303"/>
      <c r="AP981" s="285"/>
      <c r="AQ981" s="258"/>
      <c r="AR981" s="258"/>
    </row>
    <row r="982" spans="10:44" s="48" customFormat="1" ht="12" hidden="1" customHeight="1">
      <c r="J982" s="213"/>
      <c r="K982" s="213"/>
      <c r="L982" s="213"/>
      <c r="M982" s="213"/>
      <c r="N982" s="213"/>
      <c r="O982" s="213"/>
      <c r="P982" s="213"/>
      <c r="Q982" s="213"/>
      <c r="R982" s="213"/>
      <c r="S982" s="213"/>
      <c r="T982" s="213"/>
      <c r="U982" s="213"/>
      <c r="V982" s="213"/>
      <c r="W982" s="213"/>
      <c r="X982" s="213"/>
      <c r="Y982" s="213"/>
      <c r="Z982" s="213"/>
      <c r="AA982" s="213"/>
      <c r="AB982" s="213"/>
      <c r="AC982" s="213"/>
      <c r="AD982" s="213"/>
      <c r="AE982" s="213"/>
      <c r="AF982" s="213"/>
      <c r="AG982" s="213"/>
      <c r="AH982" s="213"/>
      <c r="AI982" s="213"/>
      <c r="AJ982" s="213"/>
      <c r="AK982" s="213"/>
      <c r="AL982" s="213"/>
      <c r="AM982" s="213"/>
      <c r="AN982" s="302"/>
      <c r="AO982" s="303"/>
      <c r="AP982" s="285"/>
      <c r="AQ982" s="258"/>
      <c r="AR982" s="258"/>
    </row>
    <row r="983" spans="10:44" s="48" customFormat="1" ht="12" hidden="1" customHeight="1">
      <c r="J983" s="213"/>
      <c r="K983" s="213"/>
      <c r="L983" s="213"/>
      <c r="M983" s="213"/>
      <c r="N983" s="213"/>
      <c r="O983" s="213"/>
      <c r="P983" s="213"/>
      <c r="Q983" s="213"/>
      <c r="R983" s="213"/>
      <c r="S983" s="213"/>
      <c r="T983" s="213"/>
      <c r="U983" s="213"/>
      <c r="V983" s="213"/>
      <c r="W983" s="213"/>
      <c r="X983" s="213"/>
      <c r="Y983" s="213"/>
      <c r="Z983" s="213"/>
      <c r="AA983" s="213"/>
      <c r="AB983" s="213"/>
      <c r="AC983" s="213"/>
      <c r="AD983" s="213"/>
      <c r="AE983" s="213"/>
      <c r="AF983" s="213"/>
      <c r="AG983" s="213"/>
      <c r="AH983" s="213"/>
      <c r="AI983" s="213"/>
      <c r="AJ983" s="213"/>
      <c r="AK983" s="213"/>
      <c r="AL983" s="213"/>
      <c r="AM983" s="213"/>
      <c r="AN983" s="302"/>
      <c r="AO983" s="303"/>
      <c r="AP983" s="285"/>
      <c r="AQ983" s="258"/>
      <c r="AR983" s="258"/>
    </row>
    <row r="984" spans="10:44" s="48" customFormat="1" ht="12" hidden="1" customHeight="1">
      <c r="J984" s="213"/>
      <c r="K984" s="213"/>
      <c r="L984" s="213"/>
      <c r="M984" s="213"/>
      <c r="N984" s="213"/>
      <c r="O984" s="213"/>
      <c r="P984" s="213"/>
      <c r="Q984" s="213"/>
      <c r="R984" s="213"/>
      <c r="S984" s="213"/>
      <c r="T984" s="213"/>
      <c r="U984" s="213"/>
      <c r="V984" s="213"/>
      <c r="W984" s="213"/>
      <c r="X984" s="213"/>
      <c r="Y984" s="213"/>
      <c r="Z984" s="213"/>
      <c r="AA984" s="213"/>
      <c r="AB984" s="213"/>
      <c r="AC984" s="213"/>
      <c r="AD984" s="213"/>
      <c r="AE984" s="213"/>
      <c r="AF984" s="213"/>
      <c r="AG984" s="213"/>
      <c r="AH984" s="213"/>
      <c r="AI984" s="213"/>
      <c r="AJ984" s="213"/>
      <c r="AK984" s="213"/>
      <c r="AL984" s="213"/>
      <c r="AM984" s="213"/>
      <c r="AN984" s="302"/>
      <c r="AO984" s="303"/>
      <c r="AP984" s="285"/>
      <c r="AQ984" s="258"/>
      <c r="AR984" s="258"/>
    </row>
    <row r="985" spans="10:44" s="48" customFormat="1" ht="12" hidden="1" customHeight="1">
      <c r="J985" s="213"/>
      <c r="K985" s="213"/>
      <c r="L985" s="213"/>
      <c r="M985" s="213"/>
      <c r="N985" s="213"/>
      <c r="O985" s="213"/>
      <c r="P985" s="213"/>
      <c r="Q985" s="213"/>
      <c r="R985" s="213"/>
      <c r="S985" s="213"/>
      <c r="T985" s="213"/>
      <c r="U985" s="213"/>
      <c r="V985" s="213"/>
      <c r="W985" s="213"/>
      <c r="X985" s="213"/>
      <c r="Y985" s="213"/>
      <c r="Z985" s="213"/>
      <c r="AA985" s="213"/>
      <c r="AB985" s="213"/>
      <c r="AC985" s="213"/>
      <c r="AD985" s="213"/>
      <c r="AE985" s="213"/>
      <c r="AF985" s="213"/>
      <c r="AG985" s="213"/>
      <c r="AH985" s="213"/>
      <c r="AI985" s="213"/>
      <c r="AJ985" s="213"/>
      <c r="AK985" s="213"/>
      <c r="AL985" s="213"/>
      <c r="AM985" s="213"/>
      <c r="AN985" s="302"/>
      <c r="AO985" s="303"/>
      <c r="AP985" s="285"/>
      <c r="AQ985" s="258"/>
      <c r="AR985" s="258"/>
    </row>
    <row r="986" spans="10:44" s="48" customFormat="1" ht="12" hidden="1" customHeight="1">
      <c r="J986" s="213"/>
      <c r="K986" s="213"/>
      <c r="L986" s="213"/>
      <c r="M986" s="213"/>
      <c r="N986" s="213"/>
      <c r="O986" s="213"/>
      <c r="P986" s="213"/>
      <c r="Q986" s="213"/>
      <c r="R986" s="213"/>
      <c r="S986" s="213"/>
      <c r="T986" s="213"/>
      <c r="U986" s="213"/>
      <c r="V986" s="213"/>
      <c r="W986" s="213"/>
      <c r="X986" s="213"/>
      <c r="Y986" s="213"/>
      <c r="Z986" s="213"/>
      <c r="AA986" s="213"/>
      <c r="AB986" s="213"/>
      <c r="AC986" s="213"/>
      <c r="AD986" s="213"/>
      <c r="AE986" s="213"/>
      <c r="AF986" s="213"/>
      <c r="AG986" s="213"/>
      <c r="AH986" s="213"/>
      <c r="AI986" s="213"/>
      <c r="AJ986" s="213"/>
      <c r="AK986" s="213"/>
      <c r="AL986" s="213"/>
      <c r="AM986" s="213"/>
      <c r="AN986" s="302"/>
      <c r="AO986" s="303"/>
      <c r="AP986" s="285"/>
      <c r="AQ986" s="258"/>
      <c r="AR986" s="258"/>
    </row>
    <row r="987" spans="10:44" s="48" customFormat="1" ht="12" hidden="1" customHeight="1">
      <c r="J987" s="213"/>
      <c r="K987" s="213"/>
      <c r="L987" s="213"/>
      <c r="M987" s="213"/>
      <c r="N987" s="213"/>
      <c r="O987" s="213"/>
      <c r="P987" s="213"/>
      <c r="Q987" s="213"/>
      <c r="R987" s="213"/>
      <c r="S987" s="213"/>
      <c r="T987" s="213"/>
      <c r="U987" s="213"/>
      <c r="V987" s="213"/>
      <c r="W987" s="213"/>
      <c r="X987" s="213"/>
      <c r="Y987" s="213"/>
      <c r="Z987" s="213"/>
      <c r="AA987" s="213"/>
      <c r="AB987" s="213"/>
      <c r="AC987" s="213"/>
      <c r="AD987" s="213"/>
      <c r="AE987" s="213"/>
      <c r="AF987" s="213"/>
      <c r="AG987" s="213"/>
      <c r="AH987" s="213"/>
      <c r="AI987" s="213"/>
      <c r="AJ987" s="213"/>
      <c r="AK987" s="213"/>
      <c r="AL987" s="213"/>
      <c r="AM987" s="213"/>
      <c r="AN987" s="302"/>
      <c r="AO987" s="303"/>
      <c r="AP987" s="285"/>
      <c r="AQ987" s="258"/>
      <c r="AR987" s="258"/>
    </row>
    <row r="988" spans="10:44" s="48" customFormat="1" ht="12" hidden="1" customHeight="1">
      <c r="J988" s="213"/>
      <c r="K988" s="213"/>
      <c r="L988" s="213"/>
      <c r="M988" s="213"/>
      <c r="N988" s="213"/>
      <c r="O988" s="213"/>
      <c r="P988" s="213"/>
      <c r="Q988" s="213"/>
      <c r="R988" s="213"/>
      <c r="S988" s="213"/>
      <c r="T988" s="213"/>
      <c r="U988" s="213"/>
      <c r="V988" s="213"/>
      <c r="W988" s="213"/>
      <c r="X988" s="213"/>
      <c r="Y988" s="213"/>
      <c r="Z988" s="213"/>
      <c r="AA988" s="213"/>
      <c r="AB988" s="213"/>
      <c r="AC988" s="213"/>
      <c r="AD988" s="213"/>
      <c r="AE988" s="213"/>
      <c r="AF988" s="213"/>
      <c r="AG988" s="213"/>
      <c r="AH988" s="213"/>
      <c r="AI988" s="213"/>
      <c r="AJ988" s="213"/>
      <c r="AK988" s="213"/>
      <c r="AL988" s="213"/>
      <c r="AM988" s="213"/>
      <c r="AN988" s="302"/>
      <c r="AO988" s="303"/>
      <c r="AP988" s="285"/>
      <c r="AQ988" s="258"/>
      <c r="AR988" s="258"/>
    </row>
    <row r="989" spans="10:44" s="48" customFormat="1" ht="12" hidden="1" customHeight="1">
      <c r="J989" s="213"/>
      <c r="K989" s="213"/>
      <c r="L989" s="213"/>
      <c r="M989" s="213"/>
      <c r="N989" s="213"/>
      <c r="O989" s="213"/>
      <c r="P989" s="213"/>
      <c r="Q989" s="213"/>
      <c r="R989" s="213"/>
      <c r="S989" s="213"/>
      <c r="T989" s="213"/>
      <c r="U989" s="213"/>
      <c r="V989" s="213"/>
      <c r="W989" s="213"/>
      <c r="X989" s="213"/>
      <c r="Y989" s="213"/>
      <c r="Z989" s="213"/>
      <c r="AA989" s="213"/>
      <c r="AB989" s="213"/>
      <c r="AC989" s="213"/>
      <c r="AD989" s="213"/>
      <c r="AE989" s="213"/>
      <c r="AF989" s="213"/>
      <c r="AG989" s="213"/>
      <c r="AH989" s="213"/>
      <c r="AI989" s="213"/>
      <c r="AJ989" s="213"/>
      <c r="AK989" s="213"/>
      <c r="AL989" s="213"/>
      <c r="AM989" s="213"/>
      <c r="AN989" s="302"/>
      <c r="AO989" s="303"/>
      <c r="AP989" s="285"/>
      <c r="AQ989" s="258"/>
      <c r="AR989" s="258"/>
    </row>
    <row r="990" spans="10:44" s="48" customFormat="1" ht="12" hidden="1" customHeight="1">
      <c r="J990" s="213"/>
      <c r="K990" s="213"/>
      <c r="L990" s="213"/>
      <c r="M990" s="213"/>
      <c r="N990" s="213"/>
      <c r="O990" s="213"/>
      <c r="P990" s="213"/>
      <c r="Q990" s="213"/>
      <c r="R990" s="213"/>
      <c r="S990" s="213"/>
      <c r="T990" s="213"/>
      <c r="U990" s="213"/>
      <c r="V990" s="213"/>
      <c r="W990" s="213"/>
      <c r="X990" s="213"/>
      <c r="Y990" s="213"/>
      <c r="Z990" s="213"/>
      <c r="AA990" s="213"/>
      <c r="AB990" s="213"/>
      <c r="AC990" s="213"/>
      <c r="AD990" s="213"/>
      <c r="AE990" s="213"/>
      <c r="AF990" s="213"/>
      <c r="AG990" s="213"/>
      <c r="AH990" s="213"/>
      <c r="AI990" s="213"/>
      <c r="AJ990" s="213"/>
      <c r="AK990" s="213"/>
      <c r="AL990" s="213"/>
      <c r="AM990" s="213"/>
      <c r="AN990" s="302"/>
      <c r="AO990" s="303"/>
      <c r="AP990" s="285"/>
      <c r="AQ990" s="258"/>
      <c r="AR990" s="258"/>
    </row>
    <row r="991" spans="10:44" s="48" customFormat="1" ht="12" hidden="1" customHeight="1">
      <c r="J991" s="213"/>
      <c r="K991" s="213"/>
      <c r="L991" s="213"/>
      <c r="M991" s="213"/>
      <c r="N991" s="213"/>
      <c r="O991" s="213"/>
      <c r="P991" s="213"/>
      <c r="Q991" s="213"/>
      <c r="R991" s="213"/>
      <c r="S991" s="213"/>
      <c r="T991" s="213"/>
      <c r="U991" s="213"/>
      <c r="V991" s="213"/>
      <c r="W991" s="213"/>
      <c r="X991" s="213"/>
      <c r="Y991" s="213"/>
      <c r="Z991" s="213"/>
      <c r="AA991" s="213"/>
      <c r="AB991" s="213"/>
      <c r="AC991" s="213"/>
      <c r="AD991" s="213"/>
      <c r="AE991" s="213"/>
      <c r="AF991" s="213"/>
      <c r="AG991" s="213"/>
      <c r="AH991" s="213"/>
      <c r="AI991" s="213"/>
      <c r="AJ991" s="213"/>
      <c r="AK991" s="213"/>
      <c r="AL991" s="213"/>
      <c r="AM991" s="213"/>
      <c r="AN991" s="302"/>
      <c r="AO991" s="303"/>
      <c r="AP991" s="285"/>
      <c r="AQ991" s="258"/>
      <c r="AR991" s="258"/>
    </row>
    <row r="992" spans="10:44" s="48" customFormat="1" ht="12" hidden="1" customHeight="1">
      <c r="J992" s="213"/>
      <c r="K992" s="213"/>
      <c r="L992" s="213"/>
      <c r="M992" s="213"/>
      <c r="N992" s="213"/>
      <c r="O992" s="213"/>
      <c r="P992" s="213"/>
      <c r="Q992" s="213"/>
      <c r="R992" s="213"/>
      <c r="S992" s="213"/>
      <c r="T992" s="213"/>
      <c r="U992" s="213"/>
      <c r="V992" s="213"/>
      <c r="W992" s="213"/>
      <c r="X992" s="213"/>
      <c r="Y992" s="213"/>
      <c r="Z992" s="213"/>
      <c r="AA992" s="213"/>
      <c r="AB992" s="213"/>
      <c r="AC992" s="213"/>
      <c r="AD992" s="213"/>
      <c r="AE992" s="213"/>
      <c r="AF992" s="213"/>
      <c r="AG992" s="213"/>
      <c r="AH992" s="213"/>
      <c r="AI992" s="213"/>
      <c r="AJ992" s="213"/>
      <c r="AK992" s="213"/>
      <c r="AL992" s="213"/>
      <c r="AM992" s="213"/>
      <c r="AN992" s="302"/>
      <c r="AO992" s="303"/>
      <c r="AP992" s="285"/>
      <c r="AQ992" s="258"/>
      <c r="AR992" s="258"/>
    </row>
    <row r="993" spans="10:44" s="48" customFormat="1" ht="12" hidden="1" customHeight="1">
      <c r="J993" s="213"/>
      <c r="K993" s="213"/>
      <c r="L993" s="213"/>
      <c r="M993" s="213"/>
      <c r="N993" s="213"/>
      <c r="O993" s="213"/>
      <c r="P993" s="213"/>
      <c r="Q993" s="213"/>
      <c r="R993" s="213"/>
      <c r="S993" s="213"/>
      <c r="T993" s="213"/>
      <c r="U993" s="213"/>
      <c r="V993" s="213"/>
      <c r="W993" s="213"/>
      <c r="X993" s="213"/>
      <c r="Y993" s="213"/>
      <c r="Z993" s="213"/>
      <c r="AA993" s="213"/>
      <c r="AB993" s="213"/>
      <c r="AC993" s="213"/>
      <c r="AD993" s="213"/>
      <c r="AE993" s="213"/>
      <c r="AF993" s="213"/>
      <c r="AG993" s="213"/>
      <c r="AH993" s="213"/>
      <c r="AI993" s="213"/>
      <c r="AJ993" s="213"/>
      <c r="AK993" s="213"/>
      <c r="AL993" s="213"/>
      <c r="AM993" s="213"/>
      <c r="AN993" s="302"/>
      <c r="AO993" s="303"/>
      <c r="AP993" s="285"/>
      <c r="AQ993" s="258"/>
      <c r="AR993" s="258"/>
    </row>
    <row r="994" spans="10:44" s="48" customFormat="1" ht="12" hidden="1" customHeight="1">
      <c r="J994" s="213"/>
      <c r="K994" s="213"/>
      <c r="L994" s="213"/>
      <c r="M994" s="213"/>
      <c r="N994" s="213"/>
      <c r="O994" s="213"/>
      <c r="P994" s="213"/>
      <c r="Q994" s="213"/>
      <c r="R994" s="213"/>
      <c r="S994" s="213"/>
      <c r="T994" s="213"/>
      <c r="U994" s="213"/>
      <c r="V994" s="213"/>
      <c r="W994" s="213"/>
      <c r="X994" s="213"/>
      <c r="Y994" s="213"/>
      <c r="Z994" s="213"/>
      <c r="AA994" s="213"/>
      <c r="AB994" s="213"/>
      <c r="AC994" s="213"/>
      <c r="AD994" s="213"/>
      <c r="AE994" s="213"/>
      <c r="AF994" s="213"/>
      <c r="AG994" s="213"/>
      <c r="AH994" s="213"/>
      <c r="AI994" s="213"/>
      <c r="AJ994" s="213"/>
      <c r="AK994" s="213"/>
      <c r="AL994" s="213"/>
      <c r="AM994" s="213"/>
      <c r="AN994" s="302"/>
      <c r="AO994" s="303"/>
      <c r="AP994" s="285"/>
      <c r="AQ994" s="258"/>
      <c r="AR994" s="258"/>
    </row>
    <row r="995" spans="10:44" s="48" customFormat="1" ht="12" hidden="1" customHeight="1">
      <c r="J995" s="213"/>
      <c r="K995" s="213"/>
      <c r="L995" s="213"/>
      <c r="M995" s="213"/>
      <c r="N995" s="213"/>
      <c r="O995" s="213"/>
      <c r="P995" s="213"/>
      <c r="Q995" s="213"/>
      <c r="R995" s="213"/>
      <c r="S995" s="213"/>
      <c r="T995" s="213"/>
      <c r="U995" s="213"/>
      <c r="V995" s="213"/>
      <c r="W995" s="213"/>
      <c r="X995" s="213"/>
      <c r="Y995" s="213"/>
      <c r="Z995" s="213"/>
      <c r="AA995" s="213"/>
      <c r="AB995" s="213"/>
      <c r="AC995" s="213"/>
      <c r="AD995" s="213"/>
      <c r="AE995" s="213"/>
      <c r="AF995" s="213"/>
      <c r="AG995" s="213"/>
      <c r="AH995" s="213"/>
      <c r="AI995" s="213"/>
      <c r="AJ995" s="213"/>
      <c r="AK995" s="213"/>
      <c r="AL995" s="213"/>
      <c r="AM995" s="213"/>
      <c r="AN995" s="302"/>
      <c r="AO995" s="303"/>
      <c r="AP995" s="285"/>
      <c r="AQ995" s="258"/>
      <c r="AR995" s="258"/>
    </row>
    <row r="996" spans="10:44" s="48" customFormat="1" ht="12" hidden="1" customHeight="1">
      <c r="J996" s="213"/>
      <c r="K996" s="213"/>
      <c r="L996" s="213"/>
      <c r="M996" s="213"/>
      <c r="N996" s="213"/>
      <c r="O996" s="213"/>
      <c r="P996" s="213"/>
      <c r="Q996" s="213"/>
      <c r="R996" s="213"/>
      <c r="S996" s="213"/>
      <c r="T996" s="213"/>
      <c r="U996" s="213"/>
      <c r="V996" s="213"/>
      <c r="W996" s="213"/>
      <c r="X996" s="213"/>
      <c r="Y996" s="213"/>
      <c r="Z996" s="213"/>
      <c r="AA996" s="213"/>
      <c r="AB996" s="213"/>
      <c r="AC996" s="213"/>
      <c r="AD996" s="213"/>
      <c r="AE996" s="213"/>
      <c r="AF996" s="213"/>
      <c r="AG996" s="213"/>
      <c r="AH996" s="213"/>
      <c r="AI996" s="213"/>
      <c r="AJ996" s="213"/>
      <c r="AK996" s="213"/>
      <c r="AL996" s="213"/>
      <c r="AM996" s="213"/>
      <c r="AN996" s="302"/>
      <c r="AO996" s="303"/>
      <c r="AP996" s="285"/>
      <c r="AQ996" s="258"/>
      <c r="AR996" s="258"/>
    </row>
    <row r="997" spans="10:44" s="48" customFormat="1" ht="12" hidden="1" customHeight="1">
      <c r="J997" s="213"/>
      <c r="K997" s="213"/>
      <c r="L997" s="213"/>
      <c r="M997" s="213"/>
      <c r="N997" s="213"/>
      <c r="O997" s="213"/>
      <c r="P997" s="213"/>
      <c r="Q997" s="213"/>
      <c r="R997" s="213"/>
      <c r="S997" s="213"/>
      <c r="T997" s="213"/>
      <c r="U997" s="213"/>
      <c r="V997" s="213"/>
      <c r="W997" s="213"/>
      <c r="X997" s="213"/>
      <c r="Y997" s="213"/>
      <c r="Z997" s="213"/>
      <c r="AA997" s="213"/>
      <c r="AB997" s="213"/>
      <c r="AC997" s="213"/>
      <c r="AD997" s="213"/>
      <c r="AE997" s="213"/>
      <c r="AF997" s="213"/>
      <c r="AG997" s="213"/>
      <c r="AH997" s="213"/>
      <c r="AI997" s="213"/>
      <c r="AJ997" s="213"/>
      <c r="AK997" s="213"/>
      <c r="AL997" s="213"/>
      <c r="AM997" s="213"/>
      <c r="AN997" s="302"/>
      <c r="AO997" s="303"/>
      <c r="AP997" s="285"/>
      <c r="AQ997" s="258"/>
      <c r="AR997" s="258"/>
    </row>
    <row r="998" spans="10:44" s="48" customFormat="1" ht="12" hidden="1" customHeight="1">
      <c r="J998" s="213"/>
      <c r="K998" s="213"/>
      <c r="L998" s="213"/>
      <c r="M998" s="213"/>
      <c r="N998" s="213"/>
      <c r="O998" s="213"/>
      <c r="P998" s="213"/>
      <c r="Q998" s="213"/>
      <c r="R998" s="213"/>
      <c r="S998" s="213"/>
      <c r="T998" s="213"/>
      <c r="U998" s="213"/>
      <c r="V998" s="213"/>
      <c r="W998" s="213"/>
      <c r="X998" s="213"/>
      <c r="Y998" s="213"/>
      <c r="Z998" s="213"/>
      <c r="AA998" s="213"/>
      <c r="AB998" s="213"/>
      <c r="AC998" s="213"/>
      <c r="AD998" s="213"/>
      <c r="AE998" s="213"/>
      <c r="AF998" s="213"/>
      <c r="AG998" s="213"/>
      <c r="AH998" s="213"/>
      <c r="AI998" s="213"/>
      <c r="AJ998" s="213"/>
      <c r="AK998" s="213"/>
      <c r="AL998" s="213"/>
      <c r="AM998" s="213"/>
      <c r="AN998" s="302"/>
      <c r="AO998" s="303"/>
      <c r="AP998" s="285"/>
      <c r="AQ998" s="258"/>
      <c r="AR998" s="258"/>
    </row>
    <row r="999" spans="10:44" s="48" customFormat="1" ht="12" hidden="1" customHeight="1">
      <c r="J999" s="213"/>
      <c r="K999" s="213"/>
      <c r="L999" s="213"/>
      <c r="M999" s="213"/>
      <c r="N999" s="213"/>
      <c r="O999" s="213"/>
      <c r="P999" s="213"/>
      <c r="Q999" s="213"/>
      <c r="R999" s="213"/>
      <c r="S999" s="213"/>
      <c r="T999" s="213"/>
      <c r="U999" s="213"/>
      <c r="V999" s="213"/>
      <c r="W999" s="213"/>
      <c r="X999" s="213"/>
      <c r="Y999" s="213"/>
      <c r="Z999" s="213"/>
      <c r="AA999" s="213"/>
      <c r="AB999" s="213"/>
      <c r="AC999" s="213"/>
      <c r="AD999" s="213"/>
      <c r="AE999" s="213"/>
      <c r="AF999" s="213"/>
      <c r="AG999" s="213"/>
      <c r="AH999" s="213"/>
      <c r="AI999" s="213"/>
      <c r="AJ999" s="213"/>
      <c r="AK999" s="213"/>
      <c r="AL999" s="213"/>
      <c r="AM999" s="213"/>
      <c r="AN999" s="302"/>
      <c r="AO999" s="303"/>
      <c r="AP999" s="285"/>
      <c r="AQ999" s="258"/>
      <c r="AR999" s="258"/>
    </row>
    <row r="1000" spans="10:44" s="48" customFormat="1" ht="0.75" customHeight="1">
      <c r="J1000" s="213"/>
      <c r="K1000" s="213"/>
      <c r="L1000" s="213"/>
      <c r="M1000" s="213"/>
      <c r="N1000" s="213"/>
      <c r="O1000" s="213"/>
      <c r="P1000" s="213"/>
      <c r="Q1000" s="213"/>
      <c r="R1000" s="213"/>
      <c r="S1000" s="213"/>
      <c r="T1000" s="213"/>
      <c r="U1000" s="213"/>
      <c r="V1000" s="213"/>
      <c r="W1000" s="213"/>
      <c r="X1000" s="213"/>
      <c r="Y1000" s="213"/>
      <c r="Z1000" s="213"/>
      <c r="AA1000" s="213"/>
      <c r="AB1000" s="213"/>
      <c r="AC1000" s="213"/>
      <c r="AD1000" s="213"/>
      <c r="AE1000" s="213"/>
      <c r="AF1000" s="213"/>
      <c r="AG1000" s="213"/>
      <c r="AH1000" s="213"/>
      <c r="AI1000" s="213"/>
      <c r="AJ1000" s="213"/>
      <c r="AK1000" s="213"/>
      <c r="AL1000" s="213"/>
      <c r="AM1000" s="213"/>
      <c r="AN1000" s="283"/>
      <c r="AO1000" s="215"/>
      <c r="AP1000" s="286"/>
      <c r="AQ1000" s="265"/>
      <c r="AR1000" s="265"/>
    </row>
  </sheetData>
  <sheetProtection password="FA9C" sheet="1" objects="1" scenarios="1" formatColumns="0" formatRows="0"/>
  <mergeCells count="4">
    <mergeCell ref="AN9:AP9"/>
    <mergeCell ref="AN11:AN12"/>
    <mergeCell ref="AO11:AO12"/>
    <mergeCell ref="AP11:AP12"/>
  </mergeCells>
  <phoneticPr fontId="8"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sheetPr codeName="HEAT_ConR_PERIOD_YEAR">
    <tabColor rgb="FF002060"/>
    <outlinePr summaryBelow="0"/>
  </sheetPr>
  <dimension ref="A1:AU1003"/>
  <sheetViews>
    <sheetView showGridLines="0" topLeftCell="AL8" workbookViewId="0"/>
  </sheetViews>
  <sheetFormatPr defaultRowHeight="11.25"/>
  <cols>
    <col min="1" max="9" width="4.7109375" style="47" hidden="1" customWidth="1"/>
    <col min="10" max="36" width="4.7109375" style="121" hidden="1" customWidth="1"/>
    <col min="37" max="37" width="2.7109375" style="121" hidden="1" customWidth="1"/>
    <col min="38" max="39" width="2.7109375" style="121" customWidth="1"/>
    <col min="40" max="40" width="13.7109375" style="49" customWidth="1"/>
    <col min="41" max="41" width="60.7109375" style="47" customWidth="1"/>
    <col min="42" max="42" width="17.7109375" style="47" customWidth="1"/>
    <col min="43" max="44" width="0.140625" style="47" customWidth="1"/>
    <col min="45" max="46" width="2.7109375" style="48" customWidth="1"/>
    <col min="47" max="47" width="9.140625" style="48"/>
    <col min="48" max="16384" width="9.140625" style="47"/>
  </cols>
  <sheetData>
    <row r="1" spans="10:45" s="48" customFormat="1" ht="12" hidden="1" customHeight="1">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199"/>
    </row>
    <row r="2" spans="10:45" s="48" customFormat="1" ht="12" hidden="1" customHeight="1">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199"/>
    </row>
    <row r="3" spans="10:45" s="48" customFormat="1" ht="12" hidden="1" customHeight="1">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199"/>
    </row>
    <row r="4" spans="10:45" s="48" customFormat="1" ht="12" hidden="1" customHeight="1">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199"/>
    </row>
    <row r="5" spans="10:45" s="48" customFormat="1" ht="12" hidden="1" customHeight="1">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199"/>
    </row>
    <row r="6" spans="10:45" s="48" customFormat="1" ht="12" hidden="1" customHeight="1">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199"/>
    </row>
    <row r="7" spans="10:45" s="48" customFormat="1" ht="12" hidden="1" customHeight="1">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199"/>
      <c r="AO7" s="158"/>
    </row>
    <row r="8" spans="10:45" s="312" customFormat="1" ht="12" customHeight="1">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308"/>
      <c r="AN8" s="618"/>
      <c r="AO8" s="432"/>
      <c r="AP8" s="616" t="s">
        <v>2790</v>
      </c>
      <c r="AQ8" s="310"/>
      <c r="AR8" s="310"/>
      <c r="AS8" s="311"/>
    </row>
    <row r="9" spans="10:45"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на реализацию " &amp; RESOURCE_IDENTIFIER &amp; " конечным потребителям по муниципальному образованию - " &amp; IF(mo="","Не определено",mo)</f>
        <v>Фактические расходы организаций водоотведения на реализацию стоков конечным потребителям по муниципальному образованию - Село Булава</v>
      </c>
      <c r="AO9" s="917"/>
      <c r="AP9" s="917"/>
      <c r="AQ9" s="201"/>
      <c r="AR9" s="122"/>
      <c r="AS9" s="200"/>
    </row>
    <row r="10" spans="10:45" s="48" customFormat="1" ht="12" customHeight="1">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189"/>
      <c r="AO10" s="209"/>
      <c r="AP10" s="214" t="s">
        <v>786</v>
      </c>
      <c r="AQ10" s="201"/>
      <c r="AR10" s="168" t="s">
        <v>720</v>
      </c>
      <c r="AS10" s="200"/>
    </row>
    <row r="11" spans="10:45" ht="12" customHeight="1">
      <c r="AN11" s="802" t="s">
        <v>641</v>
      </c>
      <c r="AO11" s="804" t="s">
        <v>787</v>
      </c>
      <c r="AP11" s="819" t="s">
        <v>778</v>
      </c>
      <c r="AQ11" s="206">
        <v>0</v>
      </c>
      <c r="AR11" s="206"/>
      <c r="AS11" s="203"/>
    </row>
    <row r="12" spans="10:45" ht="48" customHeight="1">
      <c r="AN12" s="802"/>
      <c r="AO12" s="804"/>
      <c r="AP12" s="819"/>
      <c r="AQ12" s="207"/>
      <c r="AR12" s="207"/>
      <c r="AS12" s="203"/>
    </row>
    <row r="13" spans="10:45" ht="11.25" customHeight="1">
      <c r="AN13" s="232"/>
      <c r="AO13" s="233" t="s">
        <v>788</v>
      </c>
      <c r="AP13" s="304"/>
      <c r="AQ13" s="207"/>
      <c r="AR13" s="207"/>
      <c r="AS13" s="203"/>
    </row>
    <row r="14" spans="10:45" ht="11.25" customHeight="1">
      <c r="AN14" s="232"/>
      <c r="AO14" s="490" t="str">
        <f>IF(CALC_IDENTIFIER="","",CALC_IDENTIFIER)</f>
        <v/>
      </c>
      <c r="AP14" s="304"/>
      <c r="AQ14" s="207"/>
      <c r="AR14" s="207"/>
      <c r="AS14" s="203"/>
    </row>
    <row r="15" spans="10:45">
      <c r="AN15" s="234" t="s">
        <v>642</v>
      </c>
      <c r="AO15" s="235" t="s">
        <v>789</v>
      </c>
      <c r="AP15" s="305">
        <f t="shared" ref="AP15:AP26" si="0">SUM(AQ15:AR15)</f>
        <v>0</v>
      </c>
      <c r="AQ15" s="258"/>
      <c r="AR15" s="258"/>
      <c r="AS15" s="202"/>
    </row>
    <row r="16" spans="10:45">
      <c r="AN16" s="234" t="s">
        <v>790</v>
      </c>
      <c r="AO16" s="224" t="s">
        <v>791</v>
      </c>
      <c r="AP16" s="305">
        <f t="shared" si="0"/>
        <v>0</v>
      </c>
      <c r="AQ16" s="258"/>
      <c r="AR16" s="258"/>
      <c r="AS16" s="202"/>
    </row>
    <row r="17" spans="1:45">
      <c r="AN17" s="236" t="s">
        <v>792</v>
      </c>
      <c r="AO17" s="237" t="s">
        <v>793</v>
      </c>
      <c r="AP17" s="305">
        <f t="shared" si="0"/>
        <v>0</v>
      </c>
      <c r="AQ17" s="258"/>
      <c r="AR17" s="258"/>
      <c r="AS17" s="202"/>
    </row>
    <row r="18" spans="1:45" hidden="1">
      <c r="AN18" s="234"/>
      <c r="AO18" s="238"/>
      <c r="AP18" s="287"/>
      <c r="AQ18" s="258"/>
      <c r="AR18" s="258"/>
      <c r="AS18" s="202"/>
    </row>
    <row r="19" spans="1:45" hidden="1">
      <c r="AN19" s="234"/>
      <c r="AO19" s="238"/>
      <c r="AP19" s="287"/>
      <c r="AQ19" s="258"/>
      <c r="AR19" s="258"/>
      <c r="AS19" s="202"/>
    </row>
    <row r="20" spans="1:45" ht="22.5">
      <c r="A20" s="51"/>
      <c r="B20" s="51"/>
      <c r="C20" s="51"/>
      <c r="D20" s="51"/>
      <c r="E20" s="51"/>
      <c r="F20" s="51"/>
      <c r="G20" s="51"/>
      <c r="H20" s="51"/>
      <c r="I20" s="51"/>
      <c r="AN20" s="236" t="s">
        <v>63</v>
      </c>
      <c r="AO20" s="237" t="s">
        <v>64</v>
      </c>
      <c r="AP20" s="305">
        <f t="shared" si="0"/>
        <v>0</v>
      </c>
      <c r="AQ20" s="258"/>
      <c r="AR20" s="258"/>
      <c r="AS20" s="202"/>
    </row>
    <row r="21" spans="1:45">
      <c r="A21" s="51"/>
      <c r="B21" s="51"/>
      <c r="C21" s="51"/>
      <c r="D21" s="51"/>
      <c r="E21" s="51"/>
      <c r="F21" s="51"/>
      <c r="G21" s="51"/>
      <c r="H21" s="51"/>
      <c r="I21" s="51"/>
      <c r="AN21" s="234" t="s">
        <v>751</v>
      </c>
      <c r="AO21" s="235" t="s">
        <v>65</v>
      </c>
      <c r="AP21" s="305">
        <f t="shared" si="0"/>
        <v>0</v>
      </c>
      <c r="AQ21" s="258"/>
      <c r="AR21" s="258"/>
      <c r="AS21" s="202"/>
    </row>
    <row r="22" spans="1:45">
      <c r="A22" s="51"/>
      <c r="B22" s="51"/>
      <c r="C22" s="51"/>
      <c r="D22" s="51"/>
      <c r="E22" s="51"/>
      <c r="F22" s="51"/>
      <c r="G22" s="51"/>
      <c r="H22" s="51"/>
      <c r="I22" s="51"/>
      <c r="AN22" s="234" t="s">
        <v>66</v>
      </c>
      <c r="AO22" s="237" t="s">
        <v>67</v>
      </c>
      <c r="AP22" s="305">
        <f t="shared" si="0"/>
        <v>0</v>
      </c>
      <c r="AQ22" s="258"/>
      <c r="AR22" s="258"/>
      <c r="AS22" s="202"/>
    </row>
    <row r="23" spans="1:45">
      <c r="A23" s="51"/>
      <c r="B23" s="51"/>
      <c r="C23" s="51"/>
      <c r="D23" s="51"/>
      <c r="E23" s="51"/>
      <c r="F23" s="51"/>
      <c r="G23" s="51"/>
      <c r="H23" s="51"/>
      <c r="I23" s="51"/>
      <c r="AN23" s="234" t="s">
        <v>69</v>
      </c>
      <c r="AO23" s="237" t="s">
        <v>70</v>
      </c>
      <c r="AP23" s="305">
        <f t="shared" si="0"/>
        <v>0</v>
      </c>
      <c r="AQ23" s="258"/>
      <c r="AR23" s="258"/>
      <c r="AS23" s="202"/>
    </row>
    <row r="24" spans="1:45">
      <c r="A24" s="51"/>
      <c r="B24" s="51"/>
      <c r="C24" s="51"/>
      <c r="D24" s="51"/>
      <c r="E24" s="51"/>
      <c r="F24" s="51"/>
      <c r="G24" s="51"/>
      <c r="H24" s="51"/>
      <c r="I24" s="51"/>
      <c r="AN24" s="234" t="s">
        <v>72</v>
      </c>
      <c r="AO24" s="237" t="s">
        <v>73</v>
      </c>
      <c r="AP24" s="305">
        <f t="shared" si="0"/>
        <v>0</v>
      </c>
      <c r="AQ24" s="258"/>
      <c r="AR24" s="258"/>
      <c r="AS24" s="202"/>
    </row>
    <row r="25" spans="1:45">
      <c r="A25" s="51"/>
      <c r="B25" s="51"/>
      <c r="C25" s="51"/>
      <c r="D25" s="51"/>
      <c r="E25" s="51"/>
      <c r="F25" s="51"/>
      <c r="G25" s="51"/>
      <c r="H25" s="51"/>
      <c r="I25" s="51"/>
      <c r="AN25" s="234" t="s">
        <v>752</v>
      </c>
      <c r="AO25" s="235" t="s">
        <v>74</v>
      </c>
      <c r="AP25" s="305">
        <f t="shared" si="0"/>
        <v>0</v>
      </c>
      <c r="AQ25" s="258"/>
      <c r="AR25" s="258"/>
      <c r="AS25" s="202"/>
    </row>
    <row r="26" spans="1:45">
      <c r="A26" s="51"/>
      <c r="B26" s="51"/>
      <c r="C26" s="51"/>
      <c r="D26" s="51"/>
      <c r="E26" s="51"/>
      <c r="F26" s="51"/>
      <c r="G26" s="51"/>
      <c r="H26" s="51"/>
      <c r="I26" s="51"/>
      <c r="AN26" s="236" t="s">
        <v>760</v>
      </c>
      <c r="AO26" s="237" t="s">
        <v>76</v>
      </c>
      <c r="AP26" s="305">
        <f t="shared" si="0"/>
        <v>0</v>
      </c>
      <c r="AQ26" s="258"/>
      <c r="AR26" s="258"/>
      <c r="AS26" s="202"/>
    </row>
    <row r="27" spans="1:45" ht="22.5">
      <c r="A27" s="51"/>
      <c r="B27" s="51"/>
      <c r="C27" s="51"/>
      <c r="D27" s="51"/>
      <c r="E27" s="51"/>
      <c r="F27" s="51"/>
      <c r="G27" s="51"/>
      <c r="H27" s="51"/>
      <c r="I27" s="51"/>
      <c r="AN27" s="234" t="s">
        <v>753</v>
      </c>
      <c r="AO27" s="233" t="s">
        <v>211</v>
      </c>
      <c r="AP27" s="305">
        <f>SUM(AQ27:AR27)</f>
        <v>0</v>
      </c>
      <c r="AQ27" s="258"/>
      <c r="AR27" s="258"/>
      <c r="AS27" s="202"/>
    </row>
    <row r="28" spans="1:45">
      <c r="A28" s="51"/>
      <c r="B28" s="51"/>
      <c r="C28" s="51"/>
      <c r="D28" s="51"/>
      <c r="E28" s="51"/>
      <c r="F28" s="51"/>
      <c r="G28" s="51"/>
      <c r="H28" s="51"/>
      <c r="I28" s="51"/>
      <c r="AN28" s="451" t="s">
        <v>766</v>
      </c>
      <c r="AO28" s="453" t="s">
        <v>78</v>
      </c>
      <c r="AP28" s="305">
        <f>SUM(AQ28:AR28)</f>
        <v>0</v>
      </c>
      <c r="AQ28" s="258"/>
      <c r="AR28" s="258"/>
      <c r="AS28" s="202"/>
    </row>
    <row r="29" spans="1:45">
      <c r="A29" s="51"/>
      <c r="B29" s="51"/>
      <c r="C29" s="51"/>
      <c r="D29" s="51"/>
      <c r="E29" s="51"/>
      <c r="F29" s="51"/>
      <c r="G29" s="51"/>
      <c r="H29" s="51"/>
      <c r="I29" s="51"/>
      <c r="AN29" s="451" t="s">
        <v>768</v>
      </c>
      <c r="AO29" s="454" t="s">
        <v>212</v>
      </c>
      <c r="AP29" s="305">
        <f>SUM(AQ29:AR29)</f>
        <v>0</v>
      </c>
      <c r="AQ29" s="258"/>
      <c r="AR29" s="258"/>
      <c r="AS29" s="202"/>
    </row>
    <row r="30" spans="1:45">
      <c r="A30" s="51"/>
      <c r="B30" s="51"/>
      <c r="C30" s="51"/>
      <c r="D30" s="51"/>
      <c r="E30" s="51"/>
      <c r="F30" s="51"/>
      <c r="G30" s="51"/>
      <c r="H30" s="51"/>
      <c r="I30" s="51"/>
      <c r="AN30" s="451" t="s">
        <v>132</v>
      </c>
      <c r="AO30" s="455" t="s">
        <v>79</v>
      </c>
      <c r="AP30" s="305">
        <f>SUM(AQ30:AR30)</f>
        <v>0</v>
      </c>
      <c r="AQ30" s="258"/>
      <c r="AR30" s="258"/>
      <c r="AS30" s="202"/>
    </row>
    <row r="31" spans="1:45" hidden="1">
      <c r="A31" s="51"/>
      <c r="B31" s="51"/>
      <c r="C31" s="51"/>
      <c r="D31" s="51"/>
      <c r="E31" s="51"/>
      <c r="F31" s="51"/>
      <c r="G31" s="51"/>
      <c r="H31" s="51"/>
      <c r="I31" s="51"/>
      <c r="AN31" s="451"/>
      <c r="AO31" s="455"/>
      <c r="AP31" s="287"/>
      <c r="AQ31" s="258"/>
      <c r="AR31" s="258"/>
      <c r="AS31" s="202"/>
    </row>
    <row r="32" spans="1:45" hidden="1">
      <c r="A32" s="51"/>
      <c r="B32" s="51"/>
      <c r="C32" s="51"/>
      <c r="D32" s="51"/>
      <c r="E32" s="51"/>
      <c r="F32" s="51"/>
      <c r="G32" s="51"/>
      <c r="H32" s="51"/>
      <c r="I32" s="51"/>
      <c r="AN32" s="451"/>
      <c r="AO32" s="455"/>
      <c r="AP32" s="287"/>
      <c r="AQ32" s="258"/>
      <c r="AR32" s="258"/>
      <c r="AS32" s="202"/>
    </row>
    <row r="33" spans="1:45" hidden="1">
      <c r="A33" s="51"/>
      <c r="B33" s="51"/>
      <c r="C33" s="51"/>
      <c r="D33" s="51"/>
      <c r="E33" s="51"/>
      <c r="F33" s="51"/>
      <c r="G33" s="51"/>
      <c r="H33" s="51"/>
      <c r="I33" s="51"/>
      <c r="AN33" s="451"/>
      <c r="AO33" s="455"/>
      <c r="AP33" s="287"/>
      <c r="AQ33" s="258"/>
      <c r="AR33" s="258"/>
      <c r="AS33" s="202"/>
    </row>
    <row r="34" spans="1:45" hidden="1">
      <c r="A34" s="51"/>
      <c r="B34" s="51"/>
      <c r="C34" s="51"/>
      <c r="D34" s="51"/>
      <c r="E34" s="51"/>
      <c r="F34" s="51"/>
      <c r="G34" s="51"/>
      <c r="H34" s="51"/>
      <c r="I34" s="51"/>
      <c r="AN34" s="451"/>
      <c r="AO34" s="455"/>
      <c r="AP34" s="287"/>
      <c r="AQ34" s="258"/>
      <c r="AR34" s="258"/>
      <c r="AS34" s="202"/>
    </row>
    <row r="35" spans="1:45" hidden="1">
      <c r="A35" s="51"/>
      <c r="B35" s="51"/>
      <c r="C35" s="51"/>
      <c r="D35" s="51"/>
      <c r="E35" s="51"/>
      <c r="F35" s="51"/>
      <c r="G35" s="51"/>
      <c r="H35" s="51"/>
      <c r="I35" s="51"/>
      <c r="AN35" s="451"/>
      <c r="AO35" s="455"/>
      <c r="AP35" s="287"/>
      <c r="AQ35" s="258"/>
      <c r="AR35" s="258"/>
      <c r="AS35" s="202"/>
    </row>
    <row r="36" spans="1:45" hidden="1">
      <c r="A36" s="51"/>
      <c r="B36" s="51"/>
      <c r="C36" s="51"/>
      <c r="D36" s="51"/>
      <c r="E36" s="51"/>
      <c r="F36" s="51"/>
      <c r="G36" s="51"/>
      <c r="H36" s="51"/>
      <c r="I36" s="51"/>
      <c r="AN36" s="451"/>
      <c r="AO36" s="455"/>
      <c r="AP36" s="287"/>
      <c r="AQ36" s="258"/>
      <c r="AR36" s="258"/>
      <c r="AS36" s="202"/>
    </row>
    <row r="37" spans="1:45" hidden="1">
      <c r="A37" s="51"/>
      <c r="B37" s="51"/>
      <c r="C37" s="51"/>
      <c r="D37" s="51"/>
      <c r="E37" s="51"/>
      <c r="F37" s="51"/>
      <c r="G37" s="51"/>
      <c r="H37" s="51"/>
      <c r="I37" s="51"/>
      <c r="AN37" s="451"/>
      <c r="AO37" s="455"/>
      <c r="AP37" s="287"/>
      <c r="AQ37" s="258"/>
      <c r="AR37" s="258"/>
      <c r="AS37" s="202"/>
    </row>
    <row r="38" spans="1:45">
      <c r="A38" s="51"/>
      <c r="B38" s="51"/>
      <c r="C38" s="51"/>
      <c r="D38" s="51"/>
      <c r="E38" s="51"/>
      <c r="F38" s="51"/>
      <c r="G38" s="51"/>
      <c r="H38" s="51"/>
      <c r="I38" s="51"/>
      <c r="AN38" s="451" t="s">
        <v>80</v>
      </c>
      <c r="AO38" s="455" t="s">
        <v>81</v>
      </c>
      <c r="AP38" s="305">
        <f>SUM(AQ38:AR38)</f>
        <v>0</v>
      </c>
      <c r="AQ38" s="258"/>
      <c r="AR38" s="258"/>
      <c r="AS38" s="202"/>
    </row>
    <row r="39" spans="1:45" hidden="1">
      <c r="A39" s="51"/>
      <c r="B39" s="51"/>
      <c r="C39" s="51"/>
      <c r="D39" s="51"/>
      <c r="E39" s="51"/>
      <c r="F39" s="51"/>
      <c r="G39" s="51"/>
      <c r="H39" s="51"/>
      <c r="I39" s="51"/>
      <c r="AN39" s="451"/>
      <c r="AO39" s="455"/>
      <c r="AP39" s="287"/>
      <c r="AQ39" s="258"/>
      <c r="AR39" s="258"/>
      <c r="AS39" s="202"/>
    </row>
    <row r="40" spans="1:45" hidden="1">
      <c r="A40" s="51"/>
      <c r="B40" s="51"/>
      <c r="C40" s="51"/>
      <c r="D40" s="51"/>
      <c r="E40" s="51"/>
      <c r="F40" s="51"/>
      <c r="G40" s="51"/>
      <c r="H40" s="51"/>
      <c r="I40" s="51"/>
      <c r="AN40" s="451"/>
      <c r="AO40" s="455"/>
      <c r="AP40" s="287"/>
      <c r="AQ40" s="258"/>
      <c r="AR40" s="258"/>
      <c r="AS40" s="202"/>
    </row>
    <row r="41" spans="1:45" hidden="1">
      <c r="A41" s="51"/>
      <c r="B41" s="51"/>
      <c r="C41" s="51"/>
      <c r="D41" s="51"/>
      <c r="E41" s="51"/>
      <c r="F41" s="51"/>
      <c r="G41" s="51"/>
      <c r="H41" s="51"/>
      <c r="I41" s="51"/>
      <c r="AN41" s="451"/>
      <c r="AO41" s="455"/>
      <c r="AP41" s="287"/>
      <c r="AQ41" s="258"/>
      <c r="AR41" s="258"/>
      <c r="AS41" s="202"/>
    </row>
    <row r="42" spans="1:45" hidden="1">
      <c r="A42" s="51"/>
      <c r="B42" s="51"/>
      <c r="C42" s="51"/>
      <c r="D42" s="51"/>
      <c r="E42" s="51"/>
      <c r="F42" s="51"/>
      <c r="G42" s="51"/>
      <c r="H42" s="51"/>
      <c r="I42" s="51"/>
      <c r="AN42" s="451"/>
      <c r="AO42" s="455"/>
      <c r="AP42" s="287"/>
      <c r="AQ42" s="258"/>
      <c r="AR42" s="258"/>
      <c r="AS42" s="202"/>
    </row>
    <row r="43" spans="1:45" hidden="1">
      <c r="A43" s="51"/>
      <c r="B43" s="51"/>
      <c r="C43" s="51"/>
      <c r="D43" s="51"/>
      <c r="E43" s="51"/>
      <c r="F43" s="51"/>
      <c r="G43" s="51"/>
      <c r="H43" s="51"/>
      <c r="I43" s="51"/>
      <c r="AN43" s="451"/>
      <c r="AO43" s="455"/>
      <c r="AP43" s="287"/>
      <c r="AQ43" s="258"/>
      <c r="AR43" s="258"/>
      <c r="AS43" s="202"/>
    </row>
    <row r="44" spans="1:45" hidden="1">
      <c r="A44" s="51"/>
      <c r="B44" s="51"/>
      <c r="C44" s="51"/>
      <c r="D44" s="51"/>
      <c r="E44" s="51"/>
      <c r="F44" s="51"/>
      <c r="G44" s="51"/>
      <c r="H44" s="51"/>
      <c r="I44" s="51"/>
      <c r="AN44" s="451"/>
      <c r="AO44" s="455"/>
      <c r="AP44" s="287"/>
      <c r="AQ44" s="258"/>
      <c r="AR44" s="258"/>
      <c r="AS44" s="202"/>
    </row>
    <row r="45" spans="1:45" hidden="1">
      <c r="A45" s="51"/>
      <c r="B45" s="51"/>
      <c r="C45" s="51"/>
      <c r="D45" s="51"/>
      <c r="E45" s="51"/>
      <c r="F45" s="51"/>
      <c r="G45" s="51"/>
      <c r="H45" s="51"/>
      <c r="I45" s="51"/>
      <c r="AN45" s="451"/>
      <c r="AO45" s="455"/>
      <c r="AP45" s="287"/>
      <c r="AQ45" s="258"/>
      <c r="AR45" s="258"/>
      <c r="AS45" s="202"/>
    </row>
    <row r="46" spans="1:45">
      <c r="A46" s="51"/>
      <c r="B46" s="51"/>
      <c r="C46" s="51"/>
      <c r="D46" s="51"/>
      <c r="E46" s="51"/>
      <c r="F46" s="51"/>
      <c r="G46" s="51"/>
      <c r="H46" s="51"/>
      <c r="I46" s="51"/>
      <c r="AN46" s="451" t="s">
        <v>82</v>
      </c>
      <c r="AO46" s="455" t="s">
        <v>83</v>
      </c>
      <c r="AP46" s="305">
        <f t="shared" ref="AP46:AP59" si="1">SUM(AQ46:AR46)</f>
        <v>0</v>
      </c>
      <c r="AQ46" s="258"/>
      <c r="AR46" s="258"/>
      <c r="AS46" s="202"/>
    </row>
    <row r="47" spans="1:45">
      <c r="A47" s="51"/>
      <c r="B47" s="51"/>
      <c r="C47" s="51"/>
      <c r="D47" s="51"/>
      <c r="E47" s="51"/>
      <c r="F47" s="51"/>
      <c r="G47" s="51"/>
      <c r="H47" s="51"/>
      <c r="I47" s="51"/>
      <c r="AN47" s="451" t="s">
        <v>84</v>
      </c>
      <c r="AO47" s="457" t="s">
        <v>85</v>
      </c>
      <c r="AP47" s="305">
        <f t="shared" si="1"/>
        <v>0</v>
      </c>
      <c r="AQ47" s="258"/>
      <c r="AR47" s="258"/>
      <c r="AS47" s="202"/>
    </row>
    <row r="48" spans="1:45">
      <c r="A48" s="51"/>
      <c r="B48" s="51"/>
      <c r="C48" s="51"/>
      <c r="D48" s="51"/>
      <c r="E48" s="51"/>
      <c r="F48" s="51"/>
      <c r="G48" s="51"/>
      <c r="H48" s="51"/>
      <c r="I48" s="51"/>
      <c r="AN48" s="451" t="s">
        <v>86</v>
      </c>
      <c r="AO48" s="457" t="s">
        <v>87</v>
      </c>
      <c r="AP48" s="305">
        <f t="shared" si="1"/>
        <v>0</v>
      </c>
      <c r="AQ48" s="258"/>
      <c r="AR48" s="258"/>
      <c r="AS48" s="202"/>
    </row>
    <row r="49" spans="1:45">
      <c r="A49" s="51"/>
      <c r="B49" s="51"/>
      <c r="C49" s="51"/>
      <c r="D49" s="51"/>
      <c r="E49" s="51"/>
      <c r="F49" s="51"/>
      <c r="G49" s="51"/>
      <c r="H49" s="51"/>
      <c r="I49" s="51"/>
      <c r="AN49" s="451" t="s">
        <v>88</v>
      </c>
      <c r="AO49" s="457" t="s">
        <v>89</v>
      </c>
      <c r="AP49" s="305">
        <f t="shared" si="1"/>
        <v>0</v>
      </c>
      <c r="AQ49" s="258"/>
      <c r="AR49" s="258"/>
      <c r="AS49" s="202"/>
    </row>
    <row r="50" spans="1:45">
      <c r="A50" s="51"/>
      <c r="B50" s="51"/>
      <c r="C50" s="51"/>
      <c r="D50" s="51"/>
      <c r="E50" s="51"/>
      <c r="F50" s="51"/>
      <c r="G50" s="51"/>
      <c r="H50" s="51"/>
      <c r="I50" s="51"/>
      <c r="AN50" s="451" t="s">
        <v>90</v>
      </c>
      <c r="AO50" s="457" t="s">
        <v>91</v>
      </c>
      <c r="AP50" s="305">
        <f t="shared" si="1"/>
        <v>0</v>
      </c>
      <c r="AQ50" s="258"/>
      <c r="AR50" s="258"/>
      <c r="AS50" s="202"/>
    </row>
    <row r="51" spans="1:45">
      <c r="A51" s="51"/>
      <c r="B51" s="51"/>
      <c r="C51" s="51"/>
      <c r="D51" s="51"/>
      <c r="E51" s="51"/>
      <c r="F51" s="51"/>
      <c r="G51" s="51"/>
      <c r="H51" s="51"/>
      <c r="I51" s="51"/>
      <c r="AN51" s="451" t="s">
        <v>92</v>
      </c>
      <c r="AO51" s="457" t="s">
        <v>93</v>
      </c>
      <c r="AP51" s="305">
        <f t="shared" si="1"/>
        <v>0</v>
      </c>
      <c r="AQ51" s="258"/>
      <c r="AR51" s="258"/>
      <c r="AS51" s="202"/>
    </row>
    <row r="52" spans="1:45">
      <c r="A52" s="51"/>
      <c r="B52" s="51"/>
      <c r="C52" s="51"/>
      <c r="D52" s="51"/>
      <c r="E52" s="51"/>
      <c r="F52" s="51"/>
      <c r="G52" s="51"/>
      <c r="H52" s="51"/>
      <c r="I52" s="51"/>
      <c r="AN52" s="451" t="s">
        <v>94</v>
      </c>
      <c r="AO52" s="457" t="s">
        <v>95</v>
      </c>
      <c r="AP52" s="305">
        <f t="shared" si="1"/>
        <v>0</v>
      </c>
      <c r="AQ52" s="258"/>
      <c r="AR52" s="258"/>
      <c r="AS52" s="202"/>
    </row>
    <row r="53" spans="1:45">
      <c r="A53" s="51"/>
      <c r="B53" s="51"/>
      <c r="C53" s="51"/>
      <c r="D53" s="51"/>
      <c r="E53" s="51"/>
      <c r="F53" s="51"/>
      <c r="G53" s="51"/>
      <c r="H53" s="51"/>
      <c r="I53" s="51"/>
      <c r="AN53" s="451" t="s">
        <v>2975</v>
      </c>
      <c r="AO53" s="457" t="s">
        <v>2976</v>
      </c>
      <c r="AP53" s="305">
        <f t="shared" si="1"/>
        <v>0</v>
      </c>
      <c r="AQ53" s="258"/>
      <c r="AR53" s="258"/>
      <c r="AS53" s="202"/>
    </row>
    <row r="54" spans="1:45">
      <c r="A54" s="51"/>
      <c r="B54" s="51"/>
      <c r="C54" s="51"/>
      <c r="D54" s="51"/>
      <c r="E54" s="51"/>
      <c r="F54" s="51"/>
      <c r="G54" s="51"/>
      <c r="H54" s="51"/>
      <c r="I54" s="51"/>
      <c r="AN54" s="451" t="s">
        <v>2977</v>
      </c>
      <c r="AO54" s="457" t="s">
        <v>2978</v>
      </c>
      <c r="AP54" s="305">
        <f t="shared" si="1"/>
        <v>0</v>
      </c>
      <c r="AQ54" s="258"/>
      <c r="AR54" s="258"/>
      <c r="AS54" s="202"/>
    </row>
    <row r="55" spans="1:45">
      <c r="A55" s="51"/>
      <c r="B55" s="51"/>
      <c r="C55" s="51"/>
      <c r="D55" s="51"/>
      <c r="E55" s="51"/>
      <c r="F55" s="51"/>
      <c r="G55" s="51"/>
      <c r="H55" s="51"/>
      <c r="I55" s="51"/>
      <c r="AN55" s="451" t="s">
        <v>2979</v>
      </c>
      <c r="AO55" s="457" t="s">
        <v>2980</v>
      </c>
      <c r="AP55" s="305">
        <f t="shared" si="1"/>
        <v>0</v>
      </c>
      <c r="AQ55" s="258"/>
      <c r="AR55" s="258"/>
      <c r="AS55" s="202"/>
    </row>
    <row r="56" spans="1:45">
      <c r="A56" s="51"/>
      <c r="B56" s="51"/>
      <c r="C56" s="51"/>
      <c r="D56" s="51"/>
      <c r="E56" s="51"/>
      <c r="F56" s="51"/>
      <c r="G56" s="51"/>
      <c r="H56" s="51"/>
      <c r="I56" s="51"/>
      <c r="AN56" s="451" t="s">
        <v>2981</v>
      </c>
      <c r="AO56" s="457" t="s">
        <v>2982</v>
      </c>
      <c r="AP56" s="305">
        <f t="shared" si="1"/>
        <v>0</v>
      </c>
      <c r="AQ56" s="258"/>
      <c r="AR56" s="258"/>
      <c r="AS56" s="202"/>
    </row>
    <row r="57" spans="1:45">
      <c r="A57" s="51"/>
      <c r="B57" s="51"/>
      <c r="C57" s="51"/>
      <c r="D57" s="51"/>
      <c r="E57" s="51"/>
      <c r="F57" s="51"/>
      <c r="G57" s="51"/>
      <c r="H57" s="51"/>
      <c r="I57" s="51"/>
      <c r="AN57" s="451" t="s">
        <v>2983</v>
      </c>
      <c r="AO57" s="224" t="s">
        <v>2984</v>
      </c>
      <c r="AP57" s="305">
        <f t="shared" si="1"/>
        <v>0</v>
      </c>
      <c r="AQ57" s="258"/>
      <c r="AR57" s="258"/>
      <c r="AS57" s="202"/>
    </row>
    <row r="58" spans="1:45">
      <c r="A58" s="51"/>
      <c r="B58" s="51"/>
      <c r="C58" s="51"/>
      <c r="D58" s="51"/>
      <c r="E58" s="51"/>
      <c r="F58" s="51"/>
      <c r="G58" s="51"/>
      <c r="H58" s="51"/>
      <c r="I58" s="51"/>
      <c r="AN58" s="451" t="s">
        <v>2989</v>
      </c>
      <c r="AO58" s="224" t="s">
        <v>2990</v>
      </c>
      <c r="AP58" s="305">
        <f t="shared" si="1"/>
        <v>0</v>
      </c>
      <c r="AQ58" s="258"/>
      <c r="AR58" s="258"/>
      <c r="AS58" s="202"/>
    </row>
    <row r="59" spans="1:45">
      <c r="A59" s="51"/>
      <c r="B59" s="51"/>
      <c r="C59" s="51"/>
      <c r="D59" s="51"/>
      <c r="E59" s="51"/>
      <c r="F59" s="51"/>
      <c r="G59" s="51"/>
      <c r="H59" s="51"/>
      <c r="I59" s="51"/>
      <c r="AN59" s="451" t="s">
        <v>292</v>
      </c>
      <c r="AO59" s="442" t="s">
        <v>291</v>
      </c>
      <c r="AP59" s="305">
        <f t="shared" si="1"/>
        <v>0</v>
      </c>
      <c r="AQ59" s="258"/>
      <c r="AR59" s="258"/>
      <c r="AS59" s="202"/>
    </row>
    <row r="60" spans="1:45" hidden="1">
      <c r="A60" s="51"/>
      <c r="B60" s="51"/>
      <c r="C60" s="51"/>
      <c r="D60" s="51"/>
      <c r="E60" s="51"/>
      <c r="F60" s="51"/>
      <c r="G60" s="51"/>
      <c r="H60" s="51"/>
      <c r="I60" s="51"/>
      <c r="AN60" s="239"/>
      <c r="AO60" s="225"/>
      <c r="AP60" s="287"/>
      <c r="AQ60" s="258"/>
      <c r="AR60" s="258"/>
      <c r="AS60" s="202"/>
    </row>
    <row r="61" spans="1:45" hidden="1">
      <c r="A61" s="51"/>
      <c r="B61" s="51"/>
      <c r="C61" s="51"/>
      <c r="D61" s="51"/>
      <c r="E61" s="51"/>
      <c r="F61" s="51"/>
      <c r="G61" s="51"/>
      <c r="H61" s="51"/>
      <c r="I61" s="51"/>
      <c r="AN61" s="239"/>
      <c r="AO61" s="225"/>
      <c r="AP61" s="287"/>
      <c r="AQ61" s="258"/>
      <c r="AR61" s="258"/>
      <c r="AS61" s="202"/>
    </row>
    <row r="62" spans="1:45" hidden="1">
      <c r="A62" s="51"/>
      <c r="B62" s="51"/>
      <c r="C62" s="51"/>
      <c r="D62" s="51"/>
      <c r="E62" s="51"/>
      <c r="F62" s="51"/>
      <c r="G62" s="51"/>
      <c r="H62" s="51"/>
      <c r="I62" s="51"/>
      <c r="AN62" s="239"/>
      <c r="AO62" s="225"/>
      <c r="AP62" s="287"/>
      <c r="AQ62" s="258"/>
      <c r="AR62" s="258"/>
      <c r="AS62" s="202"/>
    </row>
    <row r="63" spans="1:45" hidden="1">
      <c r="A63" s="51"/>
      <c r="B63" s="51"/>
      <c r="C63" s="51"/>
      <c r="D63" s="51"/>
      <c r="E63" s="51"/>
      <c r="F63" s="51"/>
      <c r="G63" s="51"/>
      <c r="H63" s="51"/>
      <c r="I63" s="51"/>
      <c r="AN63" s="239"/>
      <c r="AO63" s="225"/>
      <c r="AP63" s="287"/>
      <c r="AQ63" s="258"/>
      <c r="AR63" s="258"/>
      <c r="AS63" s="202"/>
    </row>
    <row r="64" spans="1:45" hidden="1">
      <c r="A64" s="51"/>
      <c r="B64" s="51"/>
      <c r="C64" s="51"/>
      <c r="D64" s="51"/>
      <c r="E64" s="51"/>
      <c r="F64" s="51"/>
      <c r="G64" s="51"/>
      <c r="H64" s="51"/>
      <c r="I64" s="51"/>
      <c r="AN64" s="239"/>
      <c r="AO64" s="225"/>
      <c r="AP64" s="287"/>
      <c r="AQ64" s="258"/>
      <c r="AR64" s="258"/>
      <c r="AS64" s="202"/>
    </row>
    <row r="65" spans="1:45" hidden="1">
      <c r="A65" s="51"/>
      <c r="B65" s="51"/>
      <c r="C65" s="51"/>
      <c r="D65" s="51"/>
      <c r="E65" s="51"/>
      <c r="F65" s="51"/>
      <c r="G65" s="51"/>
      <c r="H65" s="51"/>
      <c r="I65" s="51"/>
      <c r="AN65" s="239"/>
      <c r="AO65" s="225"/>
      <c r="AP65" s="287"/>
      <c r="AQ65" s="258"/>
      <c r="AR65" s="258"/>
      <c r="AS65" s="202"/>
    </row>
    <row r="66" spans="1:45" hidden="1">
      <c r="A66" s="51"/>
      <c r="B66" s="51"/>
      <c r="C66" s="51"/>
      <c r="D66" s="51"/>
      <c r="E66" s="51"/>
      <c r="F66" s="51"/>
      <c r="G66" s="51"/>
      <c r="H66" s="51"/>
      <c r="I66" s="51"/>
      <c r="AN66" s="239"/>
      <c r="AO66" s="225"/>
      <c r="AP66" s="287"/>
      <c r="AQ66" s="258"/>
      <c r="AR66" s="258"/>
      <c r="AS66" s="202"/>
    </row>
    <row r="67" spans="1:45" hidden="1">
      <c r="A67" s="51"/>
      <c r="B67" s="51"/>
      <c r="C67" s="51"/>
      <c r="D67" s="51"/>
      <c r="E67" s="51"/>
      <c r="F67" s="51"/>
      <c r="G67" s="51"/>
      <c r="H67" s="51"/>
      <c r="I67" s="51"/>
      <c r="AN67" s="239"/>
      <c r="AO67" s="225"/>
      <c r="AP67" s="287"/>
      <c r="AQ67" s="258"/>
      <c r="AR67" s="258"/>
      <c r="AS67" s="202"/>
    </row>
    <row r="68" spans="1:45" hidden="1">
      <c r="A68" s="51"/>
      <c r="B68" s="51"/>
      <c r="C68" s="51"/>
      <c r="D68" s="51"/>
      <c r="E68" s="51"/>
      <c r="F68" s="51"/>
      <c r="G68" s="51"/>
      <c r="H68" s="51"/>
      <c r="I68" s="51"/>
      <c r="AN68" s="239"/>
      <c r="AO68" s="225"/>
      <c r="AP68" s="287"/>
      <c r="AQ68" s="258"/>
      <c r="AR68" s="258"/>
      <c r="AS68" s="202"/>
    </row>
    <row r="69" spans="1:45" hidden="1">
      <c r="A69" s="51"/>
      <c r="B69" s="51"/>
      <c r="C69" s="51"/>
      <c r="D69" s="51"/>
      <c r="E69" s="51"/>
      <c r="F69" s="51"/>
      <c r="G69" s="51"/>
      <c r="H69" s="51"/>
      <c r="I69" s="51"/>
      <c r="AN69" s="239"/>
      <c r="AO69" s="225"/>
      <c r="AP69" s="287"/>
      <c r="AQ69" s="258"/>
      <c r="AR69" s="258"/>
      <c r="AS69" s="202"/>
    </row>
    <row r="70" spans="1:45" hidden="1">
      <c r="A70" s="51"/>
      <c r="B70" s="51"/>
      <c r="C70" s="51"/>
      <c r="D70" s="51"/>
      <c r="E70" s="51"/>
      <c r="F70" s="51"/>
      <c r="G70" s="51"/>
      <c r="H70" s="51"/>
      <c r="I70" s="51"/>
      <c r="AN70" s="239"/>
      <c r="AO70" s="225"/>
      <c r="AP70" s="287"/>
      <c r="AQ70" s="258"/>
      <c r="AR70" s="258"/>
      <c r="AS70" s="202"/>
    </row>
    <row r="71" spans="1:45" hidden="1">
      <c r="A71" s="51"/>
      <c r="B71" s="51"/>
      <c r="C71" s="51"/>
      <c r="D71" s="51"/>
      <c r="E71" s="51"/>
      <c r="F71" s="51"/>
      <c r="G71" s="51"/>
      <c r="H71" s="51"/>
      <c r="I71" s="51"/>
      <c r="AN71" s="239"/>
      <c r="AO71" s="225"/>
      <c r="AP71" s="287"/>
      <c r="AQ71" s="258"/>
      <c r="AR71" s="258"/>
      <c r="AS71" s="202"/>
    </row>
    <row r="72" spans="1:45" hidden="1">
      <c r="A72" s="51"/>
      <c r="B72" s="51"/>
      <c r="C72" s="51"/>
      <c r="D72" s="51"/>
      <c r="E72" s="51"/>
      <c r="F72" s="51"/>
      <c r="G72" s="51"/>
      <c r="H72" s="51"/>
      <c r="I72" s="51"/>
      <c r="AN72" s="239"/>
      <c r="AO72" s="225"/>
      <c r="AP72" s="287"/>
      <c r="AQ72" s="258"/>
      <c r="AR72" s="258"/>
      <c r="AS72" s="202"/>
    </row>
    <row r="73" spans="1:45" hidden="1">
      <c r="A73" s="51"/>
      <c r="B73" s="51"/>
      <c r="C73" s="51"/>
      <c r="D73" s="51"/>
      <c r="E73" s="51"/>
      <c r="F73" s="51"/>
      <c r="G73" s="51"/>
      <c r="H73" s="51"/>
      <c r="I73" s="51"/>
      <c r="AN73" s="239"/>
      <c r="AO73" s="225"/>
      <c r="AP73" s="287"/>
      <c r="AQ73" s="258"/>
      <c r="AR73" s="258"/>
      <c r="AS73" s="202"/>
    </row>
    <row r="74" spans="1:45" hidden="1">
      <c r="A74" s="51"/>
      <c r="B74" s="51"/>
      <c r="C74" s="51"/>
      <c r="D74" s="51"/>
      <c r="E74" s="51"/>
      <c r="F74" s="51"/>
      <c r="G74" s="51"/>
      <c r="H74" s="51"/>
      <c r="I74" s="51"/>
      <c r="AN74" s="239"/>
      <c r="AO74" s="225"/>
      <c r="AP74" s="287"/>
      <c r="AQ74" s="258"/>
      <c r="AR74" s="258"/>
      <c r="AS74" s="202"/>
    </row>
    <row r="75" spans="1:45" hidden="1">
      <c r="A75" s="51"/>
      <c r="B75" s="51"/>
      <c r="C75" s="51"/>
      <c r="D75" s="51"/>
      <c r="E75" s="51"/>
      <c r="F75" s="51"/>
      <c r="G75" s="51"/>
      <c r="H75" s="51"/>
      <c r="I75" s="51"/>
      <c r="AN75" s="239"/>
      <c r="AO75" s="225"/>
      <c r="AP75" s="287"/>
      <c r="AQ75" s="258"/>
      <c r="AR75" s="258"/>
      <c r="AS75" s="202"/>
    </row>
    <row r="76" spans="1:45" hidden="1">
      <c r="A76" s="51"/>
      <c r="B76" s="51"/>
      <c r="C76" s="51"/>
      <c r="D76" s="51"/>
      <c r="E76" s="51"/>
      <c r="F76" s="51"/>
      <c r="G76" s="51"/>
      <c r="H76" s="51"/>
      <c r="I76" s="51"/>
      <c r="AN76" s="239"/>
      <c r="AO76" s="225"/>
      <c r="AP76" s="287"/>
      <c r="AQ76" s="258"/>
      <c r="AR76" s="258"/>
      <c r="AS76" s="202"/>
    </row>
    <row r="77" spans="1:45" hidden="1">
      <c r="A77" s="51"/>
      <c r="B77" s="51"/>
      <c r="C77" s="51"/>
      <c r="D77" s="51"/>
      <c r="E77" s="51"/>
      <c r="F77" s="51"/>
      <c r="G77" s="51"/>
      <c r="H77" s="51"/>
      <c r="I77" s="51"/>
      <c r="AN77" s="239"/>
      <c r="AO77" s="225"/>
      <c r="AP77" s="287"/>
      <c r="AQ77" s="258"/>
      <c r="AR77" s="258"/>
      <c r="AS77" s="202"/>
    </row>
    <row r="78" spans="1:45" hidden="1">
      <c r="A78" s="51"/>
      <c r="B78" s="51"/>
      <c r="C78" s="51"/>
      <c r="D78" s="51"/>
      <c r="E78" s="51"/>
      <c r="F78" s="51"/>
      <c r="G78" s="51"/>
      <c r="H78" s="51"/>
      <c r="I78" s="51"/>
      <c r="AN78" s="239"/>
      <c r="AO78" s="225"/>
      <c r="AP78" s="287"/>
      <c r="AQ78" s="258"/>
      <c r="AR78" s="258"/>
      <c r="AS78" s="202"/>
    </row>
    <row r="79" spans="1:45" hidden="1">
      <c r="A79" s="51"/>
      <c r="B79" s="51"/>
      <c r="C79" s="51"/>
      <c r="D79" s="51"/>
      <c r="E79" s="51"/>
      <c r="F79" s="51"/>
      <c r="G79" s="51"/>
      <c r="H79" s="51"/>
      <c r="I79" s="51"/>
      <c r="AN79" s="239"/>
      <c r="AO79" s="225"/>
      <c r="AP79" s="287"/>
      <c r="AQ79" s="258"/>
      <c r="AR79" s="258"/>
      <c r="AS79" s="202"/>
    </row>
    <row r="80" spans="1:45" hidden="1">
      <c r="A80" s="51"/>
      <c r="B80" s="51"/>
      <c r="C80" s="51"/>
      <c r="D80" s="51"/>
      <c r="E80" s="51"/>
      <c r="F80" s="51"/>
      <c r="G80" s="51"/>
      <c r="H80" s="51"/>
      <c r="I80" s="51"/>
      <c r="AN80" s="239"/>
      <c r="AO80" s="225"/>
      <c r="AP80" s="287"/>
      <c r="AQ80" s="258"/>
      <c r="AR80" s="258"/>
      <c r="AS80" s="202"/>
    </row>
    <row r="81" spans="1:45" hidden="1">
      <c r="A81" s="51"/>
      <c r="B81" s="51"/>
      <c r="C81" s="51"/>
      <c r="D81" s="51"/>
      <c r="E81" s="51"/>
      <c r="F81" s="51"/>
      <c r="G81" s="51"/>
      <c r="H81" s="51"/>
      <c r="I81" s="51"/>
      <c r="AN81" s="239"/>
      <c r="AO81" s="225"/>
      <c r="AP81" s="287"/>
      <c r="AQ81" s="258"/>
      <c r="AR81" s="258"/>
      <c r="AS81" s="202"/>
    </row>
    <row r="82" spans="1:45" hidden="1">
      <c r="A82" s="51"/>
      <c r="B82" s="51"/>
      <c r="C82" s="51"/>
      <c r="D82" s="51"/>
      <c r="E82" s="51"/>
      <c r="F82" s="51"/>
      <c r="G82" s="51"/>
      <c r="H82" s="51"/>
      <c r="I82" s="51"/>
      <c r="AN82" s="239"/>
      <c r="AO82" s="225"/>
      <c r="AP82" s="287"/>
      <c r="AQ82" s="258"/>
      <c r="AR82" s="258"/>
      <c r="AS82" s="202"/>
    </row>
    <row r="83" spans="1:45" hidden="1">
      <c r="A83" s="51"/>
      <c r="B83" s="51"/>
      <c r="C83" s="51"/>
      <c r="D83" s="51"/>
      <c r="E83" s="51"/>
      <c r="F83" s="51"/>
      <c r="G83" s="51"/>
      <c r="H83" s="51"/>
      <c r="I83" s="51"/>
      <c r="AN83" s="239"/>
      <c r="AO83" s="225"/>
      <c r="AP83" s="287"/>
      <c r="AQ83" s="258"/>
      <c r="AR83" s="258"/>
      <c r="AS83" s="202"/>
    </row>
    <row r="84" spans="1:45" hidden="1">
      <c r="A84" s="51"/>
      <c r="B84" s="51"/>
      <c r="C84" s="51"/>
      <c r="D84" s="51"/>
      <c r="E84" s="51"/>
      <c r="F84" s="51"/>
      <c r="G84" s="51"/>
      <c r="H84" s="51"/>
      <c r="I84" s="51"/>
      <c r="AN84" s="239"/>
      <c r="AO84" s="225"/>
      <c r="AP84" s="287"/>
      <c r="AQ84" s="258"/>
      <c r="AR84" s="258"/>
      <c r="AS84" s="202"/>
    </row>
    <row r="85" spans="1:45" hidden="1">
      <c r="A85" s="51"/>
      <c r="B85" s="51"/>
      <c r="C85" s="51"/>
      <c r="D85" s="51"/>
      <c r="E85" s="51"/>
      <c r="F85" s="51"/>
      <c r="G85" s="51"/>
      <c r="H85" s="51"/>
      <c r="I85" s="51"/>
      <c r="AN85" s="239"/>
      <c r="AO85" s="225"/>
      <c r="AP85" s="287"/>
      <c r="AQ85" s="258"/>
      <c r="AR85" s="258"/>
      <c r="AS85" s="202"/>
    </row>
    <row r="86" spans="1:45" hidden="1">
      <c r="A86" s="51"/>
      <c r="B86" s="51"/>
      <c r="C86" s="51"/>
      <c r="D86" s="51"/>
      <c r="E86" s="51"/>
      <c r="F86" s="51"/>
      <c r="G86" s="51"/>
      <c r="H86" s="51"/>
      <c r="I86" s="51"/>
      <c r="AN86" s="239"/>
      <c r="AO86" s="225"/>
      <c r="AP86" s="287"/>
      <c r="AQ86" s="258"/>
      <c r="AR86" s="258"/>
      <c r="AS86" s="202"/>
    </row>
    <row r="87" spans="1:45" hidden="1">
      <c r="A87" s="51"/>
      <c r="B87" s="51"/>
      <c r="C87" s="51"/>
      <c r="D87" s="51"/>
      <c r="E87" s="51"/>
      <c r="F87" s="51"/>
      <c r="G87" s="51"/>
      <c r="H87" s="51"/>
      <c r="I87" s="51"/>
      <c r="AN87" s="239"/>
      <c r="AO87" s="225"/>
      <c r="AP87" s="287"/>
      <c r="AQ87" s="258"/>
      <c r="AR87" s="258"/>
      <c r="AS87" s="202"/>
    </row>
    <row r="88" spans="1:45" hidden="1">
      <c r="A88" s="51"/>
      <c r="B88" s="51"/>
      <c r="C88" s="51"/>
      <c r="D88" s="51"/>
      <c r="E88" s="51"/>
      <c r="F88" s="51"/>
      <c r="G88" s="51"/>
      <c r="H88" s="51"/>
      <c r="I88" s="51"/>
      <c r="AN88" s="239"/>
      <c r="AO88" s="225"/>
      <c r="AP88" s="287"/>
      <c r="AQ88" s="258"/>
      <c r="AR88" s="258"/>
      <c r="AS88" s="202"/>
    </row>
    <row r="89" spans="1:45" hidden="1">
      <c r="A89" s="51"/>
      <c r="B89" s="51"/>
      <c r="C89" s="51"/>
      <c r="D89" s="51"/>
      <c r="E89" s="51"/>
      <c r="F89" s="51"/>
      <c r="G89" s="51"/>
      <c r="H89" s="51"/>
      <c r="I89" s="51"/>
      <c r="AN89" s="239"/>
      <c r="AO89" s="225"/>
      <c r="AP89" s="287"/>
      <c r="AQ89" s="258"/>
      <c r="AR89" s="258"/>
      <c r="AS89" s="202"/>
    </row>
    <row r="90" spans="1:45" hidden="1">
      <c r="A90" s="51"/>
      <c r="B90" s="51"/>
      <c r="C90" s="51"/>
      <c r="D90" s="51"/>
      <c r="E90" s="51"/>
      <c r="F90" s="51"/>
      <c r="G90" s="51"/>
      <c r="H90" s="51"/>
      <c r="I90" s="51"/>
      <c r="AN90" s="239"/>
      <c r="AO90" s="225"/>
      <c r="AP90" s="287"/>
      <c r="AQ90" s="258"/>
      <c r="AR90" s="258"/>
      <c r="AS90" s="202"/>
    </row>
    <row r="91" spans="1:45" hidden="1">
      <c r="A91" s="51"/>
      <c r="B91" s="51"/>
      <c r="C91" s="51"/>
      <c r="D91" s="51"/>
      <c r="E91" s="51"/>
      <c r="F91" s="51"/>
      <c r="G91" s="51"/>
      <c r="H91" s="51"/>
      <c r="I91" s="51"/>
      <c r="AN91" s="239"/>
      <c r="AO91" s="225"/>
      <c r="AP91" s="287"/>
      <c r="AQ91" s="258"/>
      <c r="AR91" s="258"/>
      <c r="AS91" s="202"/>
    </row>
    <row r="92" spans="1:45" hidden="1">
      <c r="A92" s="51"/>
      <c r="B92" s="51"/>
      <c r="C92" s="51"/>
      <c r="D92" s="51"/>
      <c r="E92" s="51"/>
      <c r="F92" s="51"/>
      <c r="G92" s="51"/>
      <c r="H92" s="51"/>
      <c r="I92" s="51"/>
      <c r="AN92" s="239"/>
      <c r="AO92" s="225"/>
      <c r="AP92" s="287"/>
      <c r="AQ92" s="258"/>
      <c r="AR92" s="258"/>
      <c r="AS92" s="202"/>
    </row>
    <row r="93" spans="1:45" hidden="1">
      <c r="A93" s="51"/>
      <c r="B93" s="51"/>
      <c r="C93" s="51"/>
      <c r="D93" s="51"/>
      <c r="E93" s="51"/>
      <c r="F93" s="51"/>
      <c r="G93" s="51"/>
      <c r="H93" s="51"/>
      <c r="I93" s="51"/>
      <c r="AN93" s="239"/>
      <c r="AO93" s="225"/>
      <c r="AP93" s="287"/>
      <c r="AQ93" s="258"/>
      <c r="AR93" s="258"/>
      <c r="AS93" s="202"/>
    </row>
    <row r="94" spans="1:45" hidden="1">
      <c r="A94" s="51"/>
      <c r="B94" s="51"/>
      <c r="C94" s="51"/>
      <c r="D94" s="51"/>
      <c r="E94" s="51"/>
      <c r="F94" s="51"/>
      <c r="G94" s="51"/>
      <c r="H94" s="51"/>
      <c r="I94" s="51"/>
      <c r="AN94" s="239"/>
      <c r="AO94" s="225"/>
      <c r="AP94" s="287"/>
      <c r="AQ94" s="258"/>
      <c r="AR94" s="258"/>
      <c r="AS94" s="202"/>
    </row>
    <row r="95" spans="1:45" hidden="1">
      <c r="A95" s="51"/>
      <c r="B95" s="51"/>
      <c r="C95" s="51"/>
      <c r="D95" s="51"/>
      <c r="E95" s="51"/>
      <c r="F95" s="51"/>
      <c r="G95" s="51"/>
      <c r="H95" s="51"/>
      <c r="I95" s="51"/>
      <c r="AN95" s="239"/>
      <c r="AO95" s="225"/>
      <c r="AP95" s="287"/>
      <c r="AQ95" s="258"/>
      <c r="AR95" s="258"/>
      <c r="AS95" s="202"/>
    </row>
    <row r="96" spans="1:45" hidden="1">
      <c r="A96" s="51"/>
      <c r="B96" s="51"/>
      <c r="C96" s="51"/>
      <c r="D96" s="51"/>
      <c r="E96" s="51"/>
      <c r="F96" s="51"/>
      <c r="G96" s="51"/>
      <c r="H96" s="51"/>
      <c r="I96" s="51"/>
      <c r="AN96" s="239"/>
      <c r="AO96" s="225"/>
      <c r="AP96" s="287"/>
      <c r="AQ96" s="258"/>
      <c r="AR96" s="258"/>
      <c r="AS96" s="202"/>
    </row>
    <row r="97" spans="1:45" hidden="1">
      <c r="A97" s="51"/>
      <c r="B97" s="51"/>
      <c r="C97" s="51"/>
      <c r="D97" s="51"/>
      <c r="E97" s="51"/>
      <c r="F97" s="51"/>
      <c r="G97" s="51"/>
      <c r="H97" s="51"/>
      <c r="I97" s="51"/>
      <c r="AN97" s="239"/>
      <c r="AO97" s="225"/>
      <c r="AP97" s="287"/>
      <c r="AQ97" s="258"/>
      <c r="AR97" s="258"/>
      <c r="AS97" s="202"/>
    </row>
    <row r="98" spans="1:45" hidden="1">
      <c r="A98" s="51"/>
      <c r="B98" s="51"/>
      <c r="C98" s="51"/>
      <c r="D98" s="51"/>
      <c r="E98" s="51"/>
      <c r="F98" s="51"/>
      <c r="G98" s="51"/>
      <c r="H98" s="51"/>
      <c r="I98" s="51"/>
      <c r="AN98" s="239"/>
      <c r="AO98" s="225"/>
      <c r="AP98" s="287"/>
      <c r="AQ98" s="258"/>
      <c r="AR98" s="258"/>
      <c r="AS98" s="202"/>
    </row>
    <row r="99" spans="1:45" hidden="1">
      <c r="A99" s="51"/>
      <c r="B99" s="51"/>
      <c r="C99" s="51"/>
      <c r="D99" s="51"/>
      <c r="E99" s="51"/>
      <c r="F99" s="51"/>
      <c r="G99" s="51"/>
      <c r="H99" s="51"/>
      <c r="I99" s="51"/>
      <c r="AN99" s="239"/>
      <c r="AO99" s="225"/>
      <c r="AP99" s="287"/>
      <c r="AQ99" s="258"/>
      <c r="AR99" s="258"/>
      <c r="AS99" s="202"/>
    </row>
    <row r="100" spans="1:45" hidden="1">
      <c r="A100" s="51"/>
      <c r="B100" s="51"/>
      <c r="C100" s="51"/>
      <c r="D100" s="51"/>
      <c r="E100" s="51"/>
      <c r="F100" s="51"/>
      <c r="G100" s="51"/>
      <c r="H100" s="51"/>
      <c r="I100" s="51"/>
      <c r="AN100" s="239"/>
      <c r="AO100" s="225"/>
      <c r="AP100" s="287"/>
      <c r="AQ100" s="258"/>
      <c r="AR100" s="258"/>
      <c r="AS100" s="202"/>
    </row>
    <row r="101" spans="1:45" hidden="1">
      <c r="A101" s="51"/>
      <c r="B101" s="51"/>
      <c r="C101" s="51"/>
      <c r="D101" s="51"/>
      <c r="E101" s="51"/>
      <c r="F101" s="51"/>
      <c r="G101" s="51"/>
      <c r="H101" s="51"/>
      <c r="I101" s="51"/>
      <c r="AN101" s="239"/>
      <c r="AO101" s="225"/>
      <c r="AP101" s="287"/>
      <c r="AQ101" s="258"/>
      <c r="AR101" s="258"/>
      <c r="AS101" s="202"/>
    </row>
    <row r="102" spans="1:45" hidden="1">
      <c r="A102" s="51"/>
      <c r="B102" s="51"/>
      <c r="C102" s="51"/>
      <c r="D102" s="51"/>
      <c r="E102" s="51"/>
      <c r="F102" s="51"/>
      <c r="G102" s="51"/>
      <c r="H102" s="51"/>
      <c r="I102" s="51"/>
      <c r="AN102" s="239"/>
      <c r="AO102" s="225"/>
      <c r="AP102" s="287"/>
      <c r="AQ102" s="258"/>
      <c r="AR102" s="258"/>
      <c r="AS102" s="202"/>
    </row>
    <row r="103" spans="1:45" hidden="1">
      <c r="A103" s="51"/>
      <c r="B103" s="51"/>
      <c r="C103" s="51"/>
      <c r="D103" s="51"/>
      <c r="E103" s="51"/>
      <c r="F103" s="51"/>
      <c r="G103" s="51"/>
      <c r="H103" s="51"/>
      <c r="I103" s="51"/>
      <c r="AN103" s="239"/>
      <c r="AO103" s="225"/>
      <c r="AP103" s="287"/>
      <c r="AQ103" s="258"/>
      <c r="AR103" s="258"/>
      <c r="AS103" s="202"/>
    </row>
    <row r="104" spans="1:45" hidden="1">
      <c r="A104" s="51"/>
      <c r="B104" s="51"/>
      <c r="C104" s="51"/>
      <c r="D104" s="51"/>
      <c r="E104" s="51"/>
      <c r="F104" s="51"/>
      <c r="G104" s="51"/>
      <c r="H104" s="51"/>
      <c r="I104" s="51"/>
      <c r="AN104" s="239"/>
      <c r="AO104" s="225"/>
      <c r="AP104" s="287"/>
      <c r="AQ104" s="258"/>
      <c r="AR104" s="258"/>
      <c r="AS104" s="202"/>
    </row>
    <row r="105" spans="1:45" hidden="1">
      <c r="A105" s="51"/>
      <c r="B105" s="51"/>
      <c r="C105" s="51"/>
      <c r="D105" s="51"/>
      <c r="E105" s="51"/>
      <c r="F105" s="51"/>
      <c r="G105" s="51"/>
      <c r="H105" s="51"/>
      <c r="I105" s="51"/>
      <c r="AN105" s="239"/>
      <c r="AO105" s="225"/>
      <c r="AP105" s="287"/>
      <c r="AQ105" s="258"/>
      <c r="AR105" s="258"/>
      <c r="AS105" s="202"/>
    </row>
    <row r="106" spans="1:45" hidden="1">
      <c r="A106" s="51"/>
      <c r="B106" s="51"/>
      <c r="C106" s="51"/>
      <c r="D106" s="51"/>
      <c r="E106" s="51"/>
      <c r="F106" s="51"/>
      <c r="G106" s="51"/>
      <c r="H106" s="51"/>
      <c r="I106" s="51"/>
      <c r="AN106" s="239"/>
      <c r="AO106" s="225"/>
      <c r="AP106" s="287"/>
      <c r="AQ106" s="258"/>
      <c r="AR106" s="258"/>
      <c r="AS106" s="202"/>
    </row>
    <row r="107" spans="1:45" hidden="1">
      <c r="A107" s="51"/>
      <c r="B107" s="51"/>
      <c r="C107" s="51"/>
      <c r="D107" s="51"/>
      <c r="E107" s="51"/>
      <c r="F107" s="51"/>
      <c r="G107" s="51"/>
      <c r="H107" s="51"/>
      <c r="I107" s="51"/>
      <c r="AN107" s="239"/>
      <c r="AO107" s="225"/>
      <c r="AP107" s="287"/>
      <c r="AQ107" s="258"/>
      <c r="AR107" s="258"/>
      <c r="AS107" s="202"/>
    </row>
    <row r="108" spans="1:45" hidden="1">
      <c r="A108" s="51"/>
      <c r="B108" s="51"/>
      <c r="C108" s="51"/>
      <c r="D108" s="51"/>
      <c r="E108" s="51"/>
      <c r="F108" s="51"/>
      <c r="G108" s="51"/>
      <c r="H108" s="51"/>
      <c r="I108" s="51"/>
      <c r="AN108" s="239"/>
      <c r="AO108" s="225"/>
      <c r="AP108" s="287"/>
      <c r="AQ108" s="258"/>
      <c r="AR108" s="258"/>
      <c r="AS108" s="202"/>
    </row>
    <row r="109" spans="1:45" hidden="1">
      <c r="A109" s="51"/>
      <c r="B109" s="51"/>
      <c r="C109" s="51"/>
      <c r="D109" s="51"/>
      <c r="E109" s="51"/>
      <c r="F109" s="51"/>
      <c r="G109" s="51"/>
      <c r="H109" s="51"/>
      <c r="I109" s="51"/>
      <c r="AN109" s="239"/>
      <c r="AO109" s="225"/>
      <c r="AP109" s="287"/>
      <c r="AQ109" s="258"/>
      <c r="AR109" s="258"/>
      <c r="AS109" s="202"/>
    </row>
    <row r="110" spans="1:45" hidden="1">
      <c r="A110" s="51"/>
      <c r="B110" s="51"/>
      <c r="C110" s="51"/>
      <c r="D110" s="51"/>
      <c r="E110" s="51"/>
      <c r="F110" s="51"/>
      <c r="G110" s="51"/>
      <c r="H110" s="51"/>
      <c r="I110" s="51"/>
      <c r="AN110" s="239"/>
      <c r="AO110" s="225"/>
      <c r="AP110" s="287"/>
      <c r="AQ110" s="258"/>
      <c r="AR110" s="258"/>
      <c r="AS110" s="202"/>
    </row>
    <row r="111" spans="1:45" hidden="1">
      <c r="A111" s="51"/>
      <c r="B111" s="51"/>
      <c r="C111" s="51"/>
      <c r="D111" s="51"/>
      <c r="E111" s="51"/>
      <c r="F111" s="51"/>
      <c r="G111" s="51"/>
      <c r="H111" s="51"/>
      <c r="I111" s="51"/>
      <c r="AN111" s="239"/>
      <c r="AO111" s="225"/>
      <c r="AP111" s="287"/>
      <c r="AQ111" s="258"/>
      <c r="AR111" s="258"/>
      <c r="AS111" s="202"/>
    </row>
    <row r="112" spans="1:45" hidden="1">
      <c r="A112" s="51"/>
      <c r="B112" s="51"/>
      <c r="C112" s="51"/>
      <c r="D112" s="51"/>
      <c r="E112" s="51"/>
      <c r="F112" s="51"/>
      <c r="G112" s="51"/>
      <c r="H112" s="51"/>
      <c r="I112" s="51"/>
      <c r="AN112" s="239"/>
      <c r="AO112" s="225"/>
      <c r="AP112" s="287"/>
      <c r="AQ112" s="258"/>
      <c r="AR112" s="258"/>
      <c r="AS112" s="202"/>
    </row>
    <row r="113" spans="1:45" hidden="1">
      <c r="A113" s="51"/>
      <c r="B113" s="51"/>
      <c r="C113" s="51"/>
      <c r="D113" s="51"/>
      <c r="E113" s="51"/>
      <c r="F113" s="51"/>
      <c r="G113" s="51"/>
      <c r="H113" s="51"/>
      <c r="I113" s="51"/>
      <c r="AN113" s="239"/>
      <c r="AO113" s="225"/>
      <c r="AP113" s="287"/>
      <c r="AQ113" s="258"/>
      <c r="AR113" s="258"/>
      <c r="AS113" s="202"/>
    </row>
    <row r="114" spans="1:45" hidden="1">
      <c r="A114" s="51"/>
      <c r="B114" s="51"/>
      <c r="C114" s="51"/>
      <c r="D114" s="51"/>
      <c r="E114" s="51"/>
      <c r="F114" s="51"/>
      <c r="G114" s="51"/>
      <c r="H114" s="51"/>
      <c r="I114" s="51"/>
      <c r="AN114" s="239"/>
      <c r="AO114" s="225"/>
      <c r="AP114" s="287"/>
      <c r="AQ114" s="258"/>
      <c r="AR114" s="258"/>
      <c r="AS114" s="202"/>
    </row>
    <row r="115" spans="1:45" hidden="1">
      <c r="A115" s="51"/>
      <c r="B115" s="51"/>
      <c r="C115" s="51"/>
      <c r="D115" s="51"/>
      <c r="E115" s="51"/>
      <c r="F115" s="51"/>
      <c r="G115" s="51"/>
      <c r="H115" s="51"/>
      <c r="I115" s="51"/>
      <c r="AN115" s="239"/>
      <c r="AO115" s="225"/>
      <c r="AP115" s="287"/>
      <c r="AQ115" s="258"/>
      <c r="AR115" s="258"/>
      <c r="AS115" s="202"/>
    </row>
    <row r="116" spans="1:45" hidden="1">
      <c r="A116" s="51"/>
      <c r="B116" s="51"/>
      <c r="C116" s="51"/>
      <c r="D116" s="51"/>
      <c r="E116" s="51"/>
      <c r="F116" s="51"/>
      <c r="G116" s="51"/>
      <c r="H116" s="51"/>
      <c r="I116" s="51"/>
      <c r="AN116" s="239"/>
      <c r="AO116" s="225"/>
      <c r="AP116" s="287"/>
      <c r="AQ116" s="258"/>
      <c r="AR116" s="258"/>
      <c r="AS116" s="202"/>
    </row>
    <row r="117" spans="1:45" hidden="1">
      <c r="A117" s="51"/>
      <c r="B117" s="51"/>
      <c r="C117" s="51"/>
      <c r="D117" s="51"/>
      <c r="E117" s="51"/>
      <c r="F117" s="51"/>
      <c r="G117" s="51"/>
      <c r="H117" s="51"/>
      <c r="I117" s="51"/>
      <c r="AN117" s="239"/>
      <c r="AO117" s="225"/>
      <c r="AP117" s="287"/>
      <c r="AQ117" s="258"/>
      <c r="AR117" s="258"/>
      <c r="AS117" s="202"/>
    </row>
    <row r="118" spans="1:45" hidden="1">
      <c r="A118" s="51"/>
      <c r="B118" s="51"/>
      <c r="C118" s="51"/>
      <c r="D118" s="51"/>
      <c r="E118" s="51"/>
      <c r="F118" s="51"/>
      <c r="G118" s="51"/>
      <c r="H118" s="51"/>
      <c r="I118" s="51"/>
      <c r="AN118" s="239"/>
      <c r="AO118" s="225"/>
      <c r="AP118" s="287"/>
      <c r="AQ118" s="258"/>
      <c r="AR118" s="258"/>
      <c r="AS118" s="202"/>
    </row>
    <row r="119" spans="1:45" hidden="1">
      <c r="A119" s="51"/>
      <c r="B119" s="51"/>
      <c r="C119" s="51"/>
      <c r="D119" s="51"/>
      <c r="E119" s="51"/>
      <c r="F119" s="51"/>
      <c r="G119" s="51"/>
      <c r="H119" s="51"/>
      <c r="I119" s="51"/>
      <c r="AN119" s="239"/>
      <c r="AO119" s="225"/>
      <c r="AP119" s="287"/>
      <c r="AQ119" s="258"/>
      <c r="AR119" s="258"/>
      <c r="AS119" s="202"/>
    </row>
    <row r="120" spans="1:45" hidden="1">
      <c r="A120" s="51"/>
      <c r="B120" s="51"/>
      <c r="C120" s="51"/>
      <c r="D120" s="51"/>
      <c r="E120" s="51"/>
      <c r="F120" s="51"/>
      <c r="G120" s="51"/>
      <c r="H120" s="51"/>
      <c r="I120" s="51"/>
      <c r="AN120" s="239"/>
      <c r="AO120" s="225"/>
      <c r="AP120" s="287"/>
      <c r="AQ120" s="258"/>
      <c r="AR120" s="258"/>
      <c r="AS120" s="202"/>
    </row>
    <row r="121" spans="1:45" hidden="1">
      <c r="A121" s="51"/>
      <c r="B121" s="51"/>
      <c r="C121" s="51"/>
      <c r="D121" s="51"/>
      <c r="E121" s="51"/>
      <c r="F121" s="51"/>
      <c r="G121" s="51"/>
      <c r="H121" s="51"/>
      <c r="I121" s="51"/>
      <c r="AN121" s="239"/>
      <c r="AO121" s="225"/>
      <c r="AP121" s="287"/>
      <c r="AQ121" s="258"/>
      <c r="AR121" s="258"/>
      <c r="AS121" s="202"/>
    </row>
    <row r="122" spans="1:45" hidden="1">
      <c r="A122" s="51"/>
      <c r="B122" s="51"/>
      <c r="C122" s="51"/>
      <c r="D122" s="51"/>
      <c r="E122" s="51"/>
      <c r="F122" s="51"/>
      <c r="G122" s="51"/>
      <c r="H122" s="51"/>
      <c r="I122" s="51"/>
      <c r="AN122" s="239"/>
      <c r="AO122" s="225"/>
      <c r="AP122" s="287"/>
      <c r="AQ122" s="258"/>
      <c r="AR122" s="258"/>
      <c r="AS122" s="202"/>
    </row>
    <row r="123" spans="1:45" hidden="1">
      <c r="A123" s="51"/>
      <c r="B123" s="51"/>
      <c r="C123" s="51"/>
      <c r="D123" s="51"/>
      <c r="E123" s="51"/>
      <c r="F123" s="51"/>
      <c r="G123" s="51"/>
      <c r="H123" s="51"/>
      <c r="I123" s="51"/>
      <c r="AN123" s="239"/>
      <c r="AO123" s="225"/>
      <c r="AP123" s="287"/>
      <c r="AQ123" s="258"/>
      <c r="AR123" s="258"/>
      <c r="AS123" s="202"/>
    </row>
    <row r="124" spans="1:45" hidden="1">
      <c r="A124" s="51"/>
      <c r="B124" s="51"/>
      <c r="C124" s="51"/>
      <c r="D124" s="51"/>
      <c r="E124" s="51"/>
      <c r="F124" s="51"/>
      <c r="G124" s="51"/>
      <c r="H124" s="51"/>
      <c r="I124" s="51"/>
      <c r="AN124" s="239"/>
      <c r="AO124" s="225"/>
      <c r="AP124" s="287"/>
      <c r="AQ124" s="258"/>
      <c r="AR124" s="258"/>
      <c r="AS124" s="202"/>
    </row>
    <row r="125" spans="1:45" hidden="1">
      <c r="A125" s="51"/>
      <c r="B125" s="51"/>
      <c r="C125" s="51"/>
      <c r="D125" s="51"/>
      <c r="E125" s="51"/>
      <c r="F125" s="51"/>
      <c r="G125" s="51"/>
      <c r="H125" s="51"/>
      <c r="I125" s="51"/>
      <c r="AN125" s="239"/>
      <c r="AO125" s="225"/>
      <c r="AP125" s="287"/>
      <c r="AQ125" s="258"/>
      <c r="AR125" s="258"/>
      <c r="AS125" s="202"/>
    </row>
    <row r="126" spans="1:45" hidden="1">
      <c r="A126" s="51"/>
      <c r="B126" s="51"/>
      <c r="C126" s="51"/>
      <c r="D126" s="51"/>
      <c r="E126" s="51"/>
      <c r="F126" s="51"/>
      <c r="G126" s="51"/>
      <c r="H126" s="51"/>
      <c r="I126" s="51"/>
      <c r="AN126" s="239"/>
      <c r="AO126" s="225"/>
      <c r="AP126" s="287"/>
      <c r="AQ126" s="258"/>
      <c r="AR126" s="258"/>
      <c r="AS126" s="202"/>
    </row>
    <row r="127" spans="1:45" hidden="1">
      <c r="A127" s="51"/>
      <c r="B127" s="51"/>
      <c r="C127" s="51"/>
      <c r="D127" s="51"/>
      <c r="E127" s="51"/>
      <c r="F127" s="51"/>
      <c r="G127" s="51"/>
      <c r="H127" s="51"/>
      <c r="I127" s="51"/>
      <c r="AN127" s="239"/>
      <c r="AO127" s="225"/>
      <c r="AP127" s="287"/>
      <c r="AQ127" s="258"/>
      <c r="AR127" s="258"/>
      <c r="AS127" s="202"/>
    </row>
    <row r="128" spans="1:45" hidden="1">
      <c r="A128" s="51"/>
      <c r="B128" s="51"/>
      <c r="C128" s="51"/>
      <c r="D128" s="51"/>
      <c r="E128" s="51"/>
      <c r="F128" s="51"/>
      <c r="G128" s="51"/>
      <c r="H128" s="51"/>
      <c r="I128" s="51"/>
      <c r="AN128" s="239"/>
      <c r="AO128" s="225"/>
      <c r="AP128" s="287"/>
      <c r="AQ128" s="258"/>
      <c r="AR128" s="258"/>
      <c r="AS128" s="202"/>
    </row>
    <row r="129" spans="1:47" hidden="1">
      <c r="A129" s="51"/>
      <c r="B129" s="51"/>
      <c r="C129" s="51"/>
      <c r="D129" s="51"/>
      <c r="E129" s="51"/>
      <c r="F129" s="51"/>
      <c r="G129" s="51"/>
      <c r="H129" s="51"/>
      <c r="I129" s="51"/>
      <c r="AN129" s="239"/>
      <c r="AO129" s="225"/>
      <c r="AP129" s="287"/>
      <c r="AQ129" s="258"/>
      <c r="AR129" s="258"/>
      <c r="AS129" s="202"/>
    </row>
    <row r="130" spans="1:47" hidden="1">
      <c r="A130" s="51"/>
      <c r="B130" s="51"/>
      <c r="C130" s="51"/>
      <c r="D130" s="51"/>
      <c r="E130" s="51"/>
      <c r="F130" s="51"/>
      <c r="G130" s="51"/>
      <c r="H130" s="51"/>
      <c r="I130" s="51"/>
      <c r="AN130" s="239"/>
      <c r="AO130" s="225"/>
      <c r="AP130" s="287"/>
      <c r="AQ130" s="258"/>
      <c r="AR130" s="258"/>
      <c r="AS130" s="202"/>
    </row>
    <row r="131" spans="1:47" hidden="1">
      <c r="A131" s="51"/>
      <c r="B131" s="51"/>
      <c r="C131" s="51"/>
      <c r="D131" s="51"/>
      <c r="E131" s="51"/>
      <c r="F131" s="51"/>
      <c r="G131" s="51"/>
      <c r="H131" s="51"/>
      <c r="I131" s="51"/>
      <c r="AN131" s="239"/>
      <c r="AO131" s="225"/>
      <c r="AP131" s="287"/>
      <c r="AQ131" s="258"/>
      <c r="AR131" s="258"/>
      <c r="AS131" s="202"/>
    </row>
    <row r="132" spans="1:47" hidden="1">
      <c r="A132" s="51"/>
      <c r="B132" s="51"/>
      <c r="C132" s="51"/>
      <c r="D132" s="51"/>
      <c r="E132" s="51"/>
      <c r="F132" s="51"/>
      <c r="G132" s="51"/>
      <c r="H132" s="51"/>
      <c r="I132" s="51"/>
      <c r="AN132" s="239"/>
      <c r="AO132" s="225"/>
      <c r="AP132" s="287"/>
      <c r="AQ132" s="258"/>
      <c r="AR132" s="258"/>
      <c r="AS132" s="202"/>
    </row>
    <row r="133" spans="1:47" hidden="1">
      <c r="A133" s="51"/>
      <c r="B133" s="51"/>
      <c r="C133" s="51"/>
      <c r="D133" s="51"/>
      <c r="E133" s="51"/>
      <c r="F133" s="51"/>
      <c r="G133" s="51"/>
      <c r="H133" s="51"/>
      <c r="I133" s="51"/>
      <c r="AN133" s="239"/>
      <c r="AO133" s="225"/>
      <c r="AP133" s="287"/>
      <c r="AQ133" s="258"/>
      <c r="AR133" s="258"/>
      <c r="AS133" s="202"/>
    </row>
    <row r="134" spans="1:47" hidden="1">
      <c r="A134" s="51"/>
      <c r="B134" s="51"/>
      <c r="C134" s="51"/>
      <c r="D134" s="51"/>
      <c r="E134" s="51"/>
      <c r="F134" s="51"/>
      <c r="G134" s="51"/>
      <c r="H134" s="51"/>
      <c r="I134" s="51"/>
      <c r="AN134" s="239"/>
      <c r="AO134" s="225"/>
      <c r="AP134" s="287"/>
      <c r="AQ134" s="258"/>
      <c r="AR134" s="258"/>
      <c r="AS134" s="202"/>
    </row>
    <row r="135" spans="1:47" hidden="1">
      <c r="A135" s="51"/>
      <c r="B135" s="51"/>
      <c r="C135" s="51"/>
      <c r="D135" s="51"/>
      <c r="E135" s="51"/>
      <c r="F135" s="51"/>
      <c r="G135" s="51"/>
      <c r="H135" s="51"/>
      <c r="I135" s="51"/>
      <c r="AN135" s="239"/>
      <c r="AO135" s="225"/>
      <c r="AP135" s="287"/>
      <c r="AQ135" s="258"/>
      <c r="AR135" s="258"/>
      <c r="AS135" s="202"/>
    </row>
    <row r="136" spans="1:47" s="121" customFormat="1" hidden="1">
      <c r="AN136" s="239"/>
      <c r="AO136" s="225"/>
      <c r="AP136" s="287"/>
      <c r="AQ136" s="258"/>
      <c r="AR136" s="258"/>
      <c r="AS136" s="202"/>
      <c r="AT136" s="213"/>
      <c r="AU136" s="213"/>
    </row>
    <row r="137" spans="1:47" s="121" customFormat="1" hidden="1">
      <c r="AN137" s="239"/>
      <c r="AO137" s="225"/>
      <c r="AP137" s="287"/>
      <c r="AQ137" s="258"/>
      <c r="AR137" s="258"/>
      <c r="AS137" s="202"/>
      <c r="AT137" s="213"/>
      <c r="AU137" s="213"/>
    </row>
    <row r="138" spans="1:47" s="121" customFormat="1" hidden="1">
      <c r="AN138" s="239"/>
      <c r="AO138" s="225"/>
      <c r="AP138" s="287"/>
      <c r="AQ138" s="258"/>
      <c r="AR138" s="258"/>
      <c r="AS138" s="202"/>
      <c r="AT138" s="213"/>
      <c r="AU138" s="213"/>
    </row>
    <row r="139" spans="1:47" s="121" customFormat="1" hidden="1">
      <c r="AN139" s="239"/>
      <c r="AO139" s="225"/>
      <c r="AP139" s="287"/>
      <c r="AQ139" s="258"/>
      <c r="AR139" s="258"/>
      <c r="AS139" s="202"/>
      <c r="AT139" s="213"/>
      <c r="AU139" s="213"/>
    </row>
    <row r="140" spans="1:47" hidden="1">
      <c r="A140" s="51"/>
      <c r="B140" s="51"/>
      <c r="C140" s="51"/>
      <c r="D140" s="51"/>
      <c r="E140" s="51"/>
      <c r="F140" s="51"/>
      <c r="G140" s="51"/>
      <c r="H140" s="51"/>
      <c r="I140" s="51"/>
      <c r="AN140" s="239"/>
      <c r="AO140" s="225"/>
      <c r="AP140" s="287"/>
      <c r="AQ140" s="258"/>
      <c r="AR140" s="258"/>
      <c r="AS140" s="202"/>
    </row>
    <row r="141" spans="1:47" hidden="1">
      <c r="A141" s="51"/>
      <c r="B141" s="51"/>
      <c r="C141" s="51"/>
      <c r="D141" s="51"/>
      <c r="E141" s="51"/>
      <c r="F141" s="51"/>
      <c r="G141" s="51"/>
      <c r="H141" s="51"/>
      <c r="I141" s="51"/>
      <c r="AN141" s="239"/>
      <c r="AO141" s="225"/>
      <c r="AP141" s="287"/>
      <c r="AQ141" s="258"/>
      <c r="AR141" s="258"/>
      <c r="AS141" s="202"/>
    </row>
    <row r="142" spans="1:47" s="121" customFormat="1" hidden="1">
      <c r="AN142" s="239"/>
      <c r="AO142" s="225"/>
      <c r="AP142" s="287"/>
      <c r="AQ142" s="258"/>
      <c r="AR142" s="258"/>
      <c r="AS142" s="202"/>
      <c r="AT142" s="213"/>
      <c r="AU142" s="213"/>
    </row>
    <row r="143" spans="1:47" s="121" customFormat="1" hidden="1">
      <c r="AN143" s="239"/>
      <c r="AO143" s="225"/>
      <c r="AP143" s="287"/>
      <c r="AQ143" s="258"/>
      <c r="AR143" s="258"/>
      <c r="AS143" s="202"/>
      <c r="AT143" s="213"/>
      <c r="AU143" s="213"/>
    </row>
    <row r="144" spans="1:47" s="121" customFormat="1" hidden="1">
      <c r="AN144" s="239"/>
      <c r="AO144" s="225"/>
      <c r="AP144" s="287"/>
      <c r="AQ144" s="258"/>
      <c r="AR144" s="258"/>
      <c r="AS144" s="202"/>
      <c r="AT144" s="213"/>
      <c r="AU144" s="213"/>
    </row>
    <row r="145" spans="1:47" s="121" customFormat="1" hidden="1">
      <c r="AN145" s="239"/>
      <c r="AO145" s="225"/>
      <c r="AP145" s="287"/>
      <c r="AQ145" s="258"/>
      <c r="AR145" s="258"/>
      <c r="AS145" s="202"/>
      <c r="AT145" s="213"/>
      <c r="AU145" s="213"/>
    </row>
    <row r="146" spans="1:47" s="121" customFormat="1" hidden="1">
      <c r="AN146" s="239"/>
      <c r="AO146" s="225"/>
      <c r="AP146" s="287"/>
      <c r="AQ146" s="258"/>
      <c r="AR146" s="258"/>
      <c r="AS146" s="202"/>
      <c r="AT146" s="213"/>
      <c r="AU146" s="213"/>
    </row>
    <row r="147" spans="1:47" s="121" customFormat="1" hidden="1">
      <c r="AN147" s="239"/>
      <c r="AO147" s="225"/>
      <c r="AP147" s="287"/>
      <c r="AQ147" s="258"/>
      <c r="AR147" s="258"/>
      <c r="AS147" s="202"/>
      <c r="AT147" s="213"/>
      <c r="AU147" s="213"/>
    </row>
    <row r="148" spans="1:47" hidden="1">
      <c r="A148" s="51"/>
      <c r="B148" s="51"/>
      <c r="C148" s="51"/>
      <c r="D148" s="51"/>
      <c r="E148" s="51"/>
      <c r="F148" s="51"/>
      <c r="G148" s="51"/>
      <c r="H148" s="51"/>
      <c r="I148" s="51"/>
      <c r="AN148" s="239"/>
      <c r="AO148" s="225"/>
      <c r="AP148" s="287"/>
      <c r="AQ148" s="258"/>
      <c r="AR148" s="258"/>
      <c r="AS148" s="202"/>
    </row>
    <row r="149" spans="1:47" s="121" customFormat="1" hidden="1">
      <c r="AN149" s="239"/>
      <c r="AO149" s="225"/>
      <c r="AP149" s="287"/>
      <c r="AQ149" s="258"/>
      <c r="AR149" s="258"/>
      <c r="AS149" s="202"/>
      <c r="AT149" s="213"/>
      <c r="AU149" s="213"/>
    </row>
    <row r="150" spans="1:47" s="121" customFormat="1" hidden="1">
      <c r="AN150" s="239"/>
      <c r="AO150" s="225"/>
      <c r="AP150" s="287"/>
      <c r="AQ150" s="258"/>
      <c r="AR150" s="258"/>
      <c r="AS150" s="202"/>
      <c r="AT150" s="213"/>
      <c r="AU150" s="213"/>
    </row>
    <row r="151" spans="1:47" s="121" customFormat="1" hidden="1">
      <c r="AN151" s="239"/>
      <c r="AO151" s="225"/>
      <c r="AP151" s="287"/>
      <c r="AQ151" s="258"/>
      <c r="AR151" s="258"/>
      <c r="AS151" s="202"/>
      <c r="AT151" s="213"/>
      <c r="AU151" s="213"/>
    </row>
    <row r="152" spans="1:47" s="121" customFormat="1" hidden="1">
      <c r="AN152" s="239"/>
      <c r="AO152" s="225"/>
      <c r="AP152" s="287"/>
      <c r="AQ152" s="258"/>
      <c r="AR152" s="258"/>
      <c r="AS152" s="202"/>
      <c r="AT152" s="213"/>
      <c r="AU152" s="213"/>
    </row>
    <row r="153" spans="1:47" s="121" customFormat="1" hidden="1">
      <c r="AN153" s="239"/>
      <c r="AO153" s="225"/>
      <c r="AP153" s="287"/>
      <c r="AQ153" s="258"/>
      <c r="AR153" s="258"/>
      <c r="AS153" s="202"/>
      <c r="AT153" s="213"/>
      <c r="AU153" s="213"/>
    </row>
    <row r="154" spans="1:47" s="121" customFormat="1" hidden="1">
      <c r="AN154" s="239"/>
      <c r="AO154" s="225"/>
      <c r="AP154" s="287"/>
      <c r="AQ154" s="258"/>
      <c r="AR154" s="258"/>
      <c r="AS154" s="202"/>
      <c r="AT154" s="213"/>
      <c r="AU154" s="213"/>
    </row>
    <row r="155" spans="1:47" hidden="1">
      <c r="A155" s="51"/>
      <c r="B155" s="51"/>
      <c r="C155" s="51"/>
      <c r="D155" s="51"/>
      <c r="E155" s="51"/>
      <c r="F155" s="51"/>
      <c r="G155" s="51"/>
      <c r="H155" s="51"/>
      <c r="I155" s="51"/>
      <c r="AN155" s="239"/>
      <c r="AO155" s="225"/>
      <c r="AP155" s="287"/>
      <c r="AQ155" s="258"/>
      <c r="AR155" s="258"/>
      <c r="AS155" s="202"/>
    </row>
    <row r="156" spans="1:47" hidden="1">
      <c r="A156" s="51"/>
      <c r="B156" s="51"/>
      <c r="C156" s="51"/>
      <c r="D156" s="51"/>
      <c r="E156" s="51"/>
      <c r="F156" s="51"/>
      <c r="G156" s="51"/>
      <c r="H156" s="51"/>
      <c r="I156" s="51"/>
      <c r="AN156" s="239"/>
      <c r="AO156" s="225"/>
      <c r="AP156" s="287"/>
      <c r="AQ156" s="258"/>
      <c r="AR156" s="258"/>
      <c r="AS156" s="202"/>
    </row>
    <row r="157" spans="1:47" s="121" customFormat="1" hidden="1">
      <c r="AN157" s="239"/>
      <c r="AO157" s="225"/>
      <c r="AP157" s="287"/>
      <c r="AQ157" s="258"/>
      <c r="AR157" s="258"/>
      <c r="AS157" s="202"/>
      <c r="AT157" s="213"/>
      <c r="AU157" s="213"/>
    </row>
    <row r="158" spans="1:47" s="121" customFormat="1" hidden="1">
      <c r="AN158" s="239"/>
      <c r="AO158" s="225"/>
      <c r="AP158" s="287"/>
      <c r="AQ158" s="258"/>
      <c r="AR158" s="258"/>
      <c r="AS158" s="202"/>
      <c r="AT158" s="213"/>
      <c r="AU158" s="213"/>
    </row>
    <row r="159" spans="1:47" s="121" customFormat="1" hidden="1">
      <c r="AN159" s="239"/>
      <c r="AO159" s="225"/>
      <c r="AP159" s="287"/>
      <c r="AQ159" s="258"/>
      <c r="AR159" s="258"/>
      <c r="AS159" s="202"/>
      <c r="AT159" s="213"/>
      <c r="AU159" s="213"/>
    </row>
    <row r="160" spans="1:47" s="121" customFormat="1" hidden="1">
      <c r="AN160" s="239"/>
      <c r="AO160" s="225"/>
      <c r="AP160" s="287"/>
      <c r="AQ160" s="258"/>
      <c r="AR160" s="258"/>
      <c r="AS160" s="202"/>
      <c r="AT160" s="213"/>
      <c r="AU160" s="213"/>
    </row>
    <row r="161" spans="1:47" hidden="1">
      <c r="A161" s="51"/>
      <c r="B161" s="51"/>
      <c r="C161" s="51"/>
      <c r="D161" s="51"/>
      <c r="E161" s="51"/>
      <c r="F161" s="51"/>
      <c r="G161" s="51"/>
      <c r="H161" s="51"/>
      <c r="I161" s="51"/>
      <c r="AN161" s="239"/>
      <c r="AO161" s="225"/>
      <c r="AP161" s="287"/>
      <c r="AQ161" s="258"/>
      <c r="AR161" s="258"/>
      <c r="AS161" s="202"/>
    </row>
    <row r="162" spans="1:47" s="121" customFormat="1" hidden="1">
      <c r="AN162" s="239"/>
      <c r="AO162" s="225"/>
      <c r="AP162" s="287"/>
      <c r="AQ162" s="258"/>
      <c r="AR162" s="258"/>
      <c r="AS162" s="202"/>
      <c r="AT162" s="213"/>
      <c r="AU162" s="213"/>
    </row>
    <row r="163" spans="1:47" s="121" customFormat="1" hidden="1">
      <c r="AN163" s="239"/>
      <c r="AO163" s="225"/>
      <c r="AP163" s="287"/>
      <c r="AQ163" s="258"/>
      <c r="AR163" s="258"/>
      <c r="AS163" s="202"/>
      <c r="AT163" s="213"/>
      <c r="AU163" s="213"/>
    </row>
    <row r="164" spans="1:47" s="121" customFormat="1" hidden="1">
      <c r="AN164" s="239"/>
      <c r="AO164" s="225"/>
      <c r="AP164" s="287"/>
      <c r="AQ164" s="258"/>
      <c r="AR164" s="258"/>
      <c r="AS164" s="202"/>
      <c r="AT164" s="213"/>
      <c r="AU164" s="213"/>
    </row>
    <row r="165" spans="1:47" s="121" customFormat="1" hidden="1">
      <c r="AN165" s="239"/>
      <c r="AO165" s="225"/>
      <c r="AP165" s="287"/>
      <c r="AQ165" s="258"/>
      <c r="AR165" s="258"/>
      <c r="AS165" s="202"/>
      <c r="AT165" s="213"/>
      <c r="AU165" s="213"/>
    </row>
    <row r="166" spans="1:47" hidden="1">
      <c r="A166" s="51"/>
      <c r="B166" s="51"/>
      <c r="C166" s="51"/>
      <c r="D166" s="51"/>
      <c r="E166" s="51"/>
      <c r="F166" s="51"/>
      <c r="G166" s="51"/>
      <c r="H166" s="51"/>
      <c r="I166" s="51"/>
      <c r="AN166" s="239"/>
      <c r="AO166" s="225"/>
      <c r="AP166" s="287"/>
      <c r="AQ166" s="258"/>
      <c r="AR166" s="258"/>
      <c r="AS166" s="202"/>
    </row>
    <row r="167" spans="1:47" s="121" customFormat="1" hidden="1">
      <c r="AN167" s="239"/>
      <c r="AO167" s="225"/>
      <c r="AP167" s="287"/>
      <c r="AQ167" s="258"/>
      <c r="AR167" s="258"/>
      <c r="AS167" s="202"/>
      <c r="AT167" s="213"/>
      <c r="AU167" s="213"/>
    </row>
    <row r="168" spans="1:47" s="121" customFormat="1" hidden="1">
      <c r="AN168" s="239"/>
      <c r="AO168" s="225"/>
      <c r="AP168" s="287"/>
      <c r="AQ168" s="258"/>
      <c r="AR168" s="258"/>
      <c r="AS168" s="202"/>
      <c r="AT168" s="213"/>
      <c r="AU168" s="213"/>
    </row>
    <row r="169" spans="1:47" s="121" customFormat="1" hidden="1">
      <c r="AN169" s="239"/>
      <c r="AO169" s="225"/>
      <c r="AP169" s="287"/>
      <c r="AQ169" s="258"/>
      <c r="AR169" s="258"/>
      <c r="AS169" s="202"/>
      <c r="AT169" s="213"/>
      <c r="AU169" s="213"/>
    </row>
    <row r="170" spans="1:47" s="121" customFormat="1" hidden="1">
      <c r="AN170" s="239"/>
      <c r="AO170" s="225"/>
      <c r="AP170" s="287"/>
      <c r="AQ170" s="258"/>
      <c r="AR170" s="258"/>
      <c r="AS170" s="202"/>
      <c r="AT170" s="213"/>
      <c r="AU170" s="213"/>
    </row>
    <row r="171" spans="1:47" hidden="1">
      <c r="A171" s="51"/>
      <c r="B171" s="51"/>
      <c r="C171" s="51"/>
      <c r="D171" s="51"/>
      <c r="E171" s="51"/>
      <c r="F171" s="51"/>
      <c r="G171" s="51"/>
      <c r="H171" s="51"/>
      <c r="I171" s="51"/>
      <c r="AN171" s="239"/>
      <c r="AO171" s="225"/>
      <c r="AP171" s="287"/>
      <c r="AQ171" s="258"/>
      <c r="AR171" s="258"/>
      <c r="AS171" s="202"/>
    </row>
    <row r="172" spans="1:47" s="121" customFormat="1" hidden="1">
      <c r="AN172" s="239"/>
      <c r="AO172" s="225"/>
      <c r="AP172" s="287"/>
      <c r="AQ172" s="258"/>
      <c r="AR172" s="258"/>
      <c r="AS172" s="202"/>
      <c r="AT172" s="213"/>
      <c r="AU172" s="213"/>
    </row>
    <row r="173" spans="1:47" s="121" customFormat="1" hidden="1">
      <c r="AN173" s="239"/>
      <c r="AO173" s="225"/>
      <c r="AP173" s="287"/>
      <c r="AQ173" s="258"/>
      <c r="AR173" s="258"/>
      <c r="AS173" s="202"/>
      <c r="AT173" s="213"/>
      <c r="AU173" s="213"/>
    </row>
    <row r="174" spans="1:47" s="121" customFormat="1" hidden="1">
      <c r="AN174" s="239"/>
      <c r="AO174" s="225"/>
      <c r="AP174" s="287"/>
      <c r="AQ174" s="258"/>
      <c r="AR174" s="258"/>
      <c r="AS174" s="202"/>
      <c r="AT174" s="213"/>
      <c r="AU174" s="213"/>
    </row>
    <row r="175" spans="1:47" s="121" customFormat="1" hidden="1">
      <c r="AN175" s="239"/>
      <c r="AO175" s="225"/>
      <c r="AP175" s="287"/>
      <c r="AQ175" s="258"/>
      <c r="AR175" s="258"/>
      <c r="AS175" s="202"/>
      <c r="AT175" s="213"/>
      <c r="AU175" s="213"/>
    </row>
    <row r="176" spans="1:47" hidden="1">
      <c r="A176" s="51"/>
      <c r="B176" s="51"/>
      <c r="C176" s="51"/>
      <c r="D176" s="51"/>
      <c r="E176" s="51"/>
      <c r="F176" s="51"/>
      <c r="G176" s="51"/>
      <c r="H176" s="51"/>
      <c r="I176" s="51"/>
      <c r="AN176" s="239"/>
      <c r="AO176" s="225"/>
      <c r="AP176" s="287"/>
      <c r="AQ176" s="258"/>
      <c r="AR176" s="258"/>
      <c r="AS176" s="202"/>
    </row>
    <row r="177" spans="1:47" s="121" customFormat="1" hidden="1">
      <c r="AN177" s="239"/>
      <c r="AO177" s="225"/>
      <c r="AP177" s="287"/>
      <c r="AQ177" s="258"/>
      <c r="AR177" s="258"/>
      <c r="AS177" s="202"/>
      <c r="AT177" s="213"/>
      <c r="AU177" s="213"/>
    </row>
    <row r="178" spans="1:47" s="121" customFormat="1" hidden="1">
      <c r="AN178" s="239"/>
      <c r="AO178" s="225"/>
      <c r="AP178" s="287"/>
      <c r="AQ178" s="258"/>
      <c r="AR178" s="258"/>
      <c r="AS178" s="202"/>
      <c r="AT178" s="213"/>
      <c r="AU178" s="213"/>
    </row>
    <row r="179" spans="1:47" s="121" customFormat="1" hidden="1">
      <c r="AN179" s="239"/>
      <c r="AO179" s="225"/>
      <c r="AP179" s="287"/>
      <c r="AQ179" s="258"/>
      <c r="AR179" s="258"/>
      <c r="AS179" s="202"/>
      <c r="AT179" s="213"/>
      <c r="AU179" s="213"/>
    </row>
    <row r="180" spans="1:47" s="121" customFormat="1" hidden="1">
      <c r="AN180" s="239"/>
      <c r="AO180" s="225"/>
      <c r="AP180" s="287"/>
      <c r="AQ180" s="258"/>
      <c r="AR180" s="258"/>
      <c r="AS180" s="202"/>
      <c r="AT180" s="213"/>
      <c r="AU180" s="213"/>
    </row>
    <row r="181" spans="1:47" hidden="1">
      <c r="A181" s="51"/>
      <c r="B181" s="51"/>
      <c r="C181" s="51"/>
      <c r="D181" s="51"/>
      <c r="E181" s="51"/>
      <c r="F181" s="51"/>
      <c r="G181" s="51"/>
      <c r="H181" s="51"/>
      <c r="I181" s="51"/>
      <c r="AN181" s="239"/>
      <c r="AO181" s="225"/>
      <c r="AP181" s="287"/>
      <c r="AQ181" s="258"/>
      <c r="AR181" s="258"/>
      <c r="AS181" s="202"/>
    </row>
    <row r="182" spans="1:47" s="121" customFormat="1" hidden="1">
      <c r="AN182" s="239"/>
      <c r="AO182" s="225"/>
      <c r="AP182" s="287"/>
      <c r="AQ182" s="258"/>
      <c r="AR182" s="258"/>
      <c r="AS182" s="202"/>
      <c r="AT182" s="213"/>
      <c r="AU182" s="213"/>
    </row>
    <row r="183" spans="1:47" s="121" customFormat="1" hidden="1">
      <c r="AN183" s="239"/>
      <c r="AO183" s="225"/>
      <c r="AP183" s="287"/>
      <c r="AQ183" s="258"/>
      <c r="AR183" s="258"/>
      <c r="AS183" s="202"/>
      <c r="AT183" s="213"/>
      <c r="AU183" s="213"/>
    </row>
    <row r="184" spans="1:47" s="121" customFormat="1" hidden="1">
      <c r="AN184" s="239"/>
      <c r="AO184" s="225"/>
      <c r="AP184" s="287"/>
      <c r="AQ184" s="258"/>
      <c r="AR184" s="258"/>
      <c r="AS184" s="202"/>
      <c r="AT184" s="213"/>
      <c r="AU184" s="213"/>
    </row>
    <row r="185" spans="1:47" s="121" customFormat="1" hidden="1">
      <c r="AN185" s="239"/>
      <c r="AO185" s="225"/>
      <c r="AP185" s="287"/>
      <c r="AQ185" s="258"/>
      <c r="AR185" s="258"/>
      <c r="AS185" s="202"/>
      <c r="AT185" s="213"/>
      <c r="AU185" s="213"/>
    </row>
    <row r="186" spans="1:47" hidden="1">
      <c r="AN186" s="239"/>
      <c r="AO186" s="225"/>
      <c r="AP186" s="287"/>
      <c r="AQ186" s="258"/>
      <c r="AR186" s="258"/>
      <c r="AS186" s="202"/>
    </row>
    <row r="187" spans="1:47" s="121" customFormat="1" hidden="1">
      <c r="AN187" s="239"/>
      <c r="AO187" s="225"/>
      <c r="AP187" s="287"/>
      <c r="AQ187" s="258"/>
      <c r="AR187" s="258"/>
      <c r="AS187" s="202"/>
      <c r="AT187" s="213"/>
      <c r="AU187" s="213"/>
    </row>
    <row r="188" spans="1:47" s="121" customFormat="1" hidden="1">
      <c r="AN188" s="239"/>
      <c r="AO188" s="225"/>
      <c r="AP188" s="287"/>
      <c r="AQ188" s="258"/>
      <c r="AR188" s="258"/>
      <c r="AS188" s="202"/>
      <c r="AT188" s="213"/>
      <c r="AU188" s="213"/>
    </row>
    <row r="189" spans="1:47" s="121" customFormat="1" hidden="1">
      <c r="AN189" s="239"/>
      <c r="AO189" s="225"/>
      <c r="AP189" s="287"/>
      <c r="AQ189" s="258"/>
      <c r="AR189" s="258"/>
      <c r="AS189" s="202"/>
      <c r="AT189" s="213"/>
      <c r="AU189" s="213"/>
    </row>
    <row r="190" spans="1:47" s="121" customFormat="1" hidden="1" collapsed="1">
      <c r="AN190" s="239"/>
      <c r="AO190" s="225"/>
      <c r="AP190" s="287"/>
      <c r="AQ190" s="258"/>
      <c r="AR190" s="258"/>
      <c r="AS190" s="202"/>
      <c r="AT190" s="213"/>
      <c r="AU190" s="213"/>
    </row>
    <row r="191" spans="1:47" hidden="1">
      <c r="AN191" s="239"/>
      <c r="AO191" s="225"/>
      <c r="AP191" s="287"/>
      <c r="AQ191" s="258"/>
      <c r="AR191" s="258"/>
      <c r="AS191" s="202"/>
    </row>
    <row r="192" spans="1:47" s="121" customFormat="1" hidden="1">
      <c r="AN192" s="239"/>
      <c r="AO192" s="225"/>
      <c r="AP192" s="287"/>
      <c r="AQ192" s="258"/>
      <c r="AR192" s="258"/>
      <c r="AS192" s="202"/>
      <c r="AT192" s="213"/>
      <c r="AU192" s="213"/>
    </row>
    <row r="193" spans="1:47" s="121" customFormat="1" hidden="1">
      <c r="AN193" s="239"/>
      <c r="AO193" s="225"/>
      <c r="AP193" s="287"/>
      <c r="AQ193" s="258"/>
      <c r="AR193" s="258"/>
      <c r="AS193" s="202"/>
      <c r="AT193" s="213"/>
      <c r="AU193" s="213"/>
    </row>
    <row r="194" spans="1:47" s="121" customFormat="1" hidden="1">
      <c r="AN194" s="239"/>
      <c r="AO194" s="225"/>
      <c r="AP194" s="287"/>
      <c r="AQ194" s="258"/>
      <c r="AR194" s="258"/>
      <c r="AS194" s="202"/>
      <c r="AT194" s="213"/>
      <c r="AU194" s="213"/>
    </row>
    <row r="195" spans="1:47" s="121" customFormat="1" hidden="1">
      <c r="AN195" s="239"/>
      <c r="AO195" s="225"/>
      <c r="AP195" s="287"/>
      <c r="AQ195" s="258"/>
      <c r="AR195" s="258"/>
      <c r="AS195" s="202"/>
      <c r="AT195" s="213"/>
      <c r="AU195" s="213"/>
    </row>
    <row r="196" spans="1:47" hidden="1">
      <c r="AN196" s="239"/>
      <c r="AO196" s="225"/>
      <c r="AP196" s="287"/>
      <c r="AQ196" s="258"/>
      <c r="AR196" s="258"/>
      <c r="AS196" s="202"/>
    </row>
    <row r="197" spans="1:47" s="121" customFormat="1" hidden="1">
      <c r="AN197" s="239"/>
      <c r="AO197" s="225"/>
      <c r="AP197" s="287"/>
      <c r="AQ197" s="258"/>
      <c r="AR197" s="258"/>
      <c r="AS197" s="202"/>
      <c r="AT197" s="213"/>
      <c r="AU197" s="213"/>
    </row>
    <row r="198" spans="1:47" s="121" customFormat="1" hidden="1" collapsed="1">
      <c r="AN198" s="239"/>
      <c r="AO198" s="225"/>
      <c r="AP198" s="287"/>
      <c r="AQ198" s="258"/>
      <c r="AR198" s="258"/>
      <c r="AS198" s="202"/>
      <c r="AT198" s="213"/>
      <c r="AU198" s="213"/>
    </row>
    <row r="199" spans="1:47" s="121" customFormat="1" hidden="1">
      <c r="AN199" s="239"/>
      <c r="AO199" s="225"/>
      <c r="AP199" s="287"/>
      <c r="AQ199" s="258"/>
      <c r="AR199" s="258"/>
      <c r="AS199" s="202"/>
      <c r="AT199" s="213"/>
      <c r="AU199" s="213"/>
    </row>
    <row r="200" spans="1:47" s="121" customFormat="1" hidden="1">
      <c r="AN200" s="239"/>
      <c r="AO200" s="225"/>
      <c r="AP200" s="287"/>
      <c r="AQ200" s="258"/>
      <c r="AR200" s="258"/>
      <c r="AS200" s="202"/>
      <c r="AT200" s="213"/>
      <c r="AU200" s="213"/>
    </row>
    <row r="201" spans="1:47" hidden="1">
      <c r="AN201" s="239"/>
      <c r="AO201" s="225"/>
      <c r="AP201" s="287"/>
      <c r="AQ201" s="258"/>
      <c r="AR201" s="258"/>
      <c r="AS201" s="202"/>
    </row>
    <row r="202" spans="1:47" s="121" customFormat="1" hidden="1" collapsed="1">
      <c r="AN202" s="239"/>
      <c r="AO202" s="225"/>
      <c r="AP202" s="287"/>
      <c r="AQ202" s="258"/>
      <c r="AR202" s="258"/>
      <c r="AS202" s="202"/>
      <c r="AT202" s="213"/>
      <c r="AU202" s="213"/>
    </row>
    <row r="203" spans="1:47" s="121" customFormat="1" hidden="1">
      <c r="AN203" s="239"/>
      <c r="AO203" s="225"/>
      <c r="AP203" s="287"/>
      <c r="AQ203" s="258"/>
      <c r="AR203" s="258"/>
      <c r="AS203" s="202"/>
      <c r="AT203" s="213"/>
      <c r="AU203" s="213"/>
    </row>
    <row r="204" spans="1:47" s="121" customFormat="1" hidden="1">
      <c r="AN204" s="239"/>
      <c r="AO204" s="225"/>
      <c r="AP204" s="287"/>
      <c r="AQ204" s="258"/>
      <c r="AR204" s="258"/>
      <c r="AS204" s="202"/>
      <c r="AT204" s="213"/>
      <c r="AU204" s="213"/>
    </row>
    <row r="205" spans="1:47" s="121" customFormat="1" hidden="1">
      <c r="AN205" s="239"/>
      <c r="AO205" s="225"/>
      <c r="AP205" s="287"/>
      <c r="AQ205" s="258"/>
      <c r="AR205" s="258"/>
      <c r="AS205" s="202"/>
      <c r="AT205" s="213"/>
      <c r="AU205" s="213"/>
    </row>
    <row r="206" spans="1:47" hidden="1" collapsed="1">
      <c r="A206" s="51"/>
      <c r="B206" s="51"/>
      <c r="C206" s="51"/>
      <c r="D206" s="51"/>
      <c r="E206" s="51"/>
      <c r="F206" s="51"/>
      <c r="G206" s="51"/>
      <c r="H206" s="51"/>
      <c r="I206" s="51"/>
      <c r="AN206" s="239"/>
      <c r="AO206" s="225"/>
      <c r="AP206" s="287"/>
      <c r="AQ206" s="258"/>
      <c r="AR206" s="258"/>
      <c r="AS206" s="202"/>
    </row>
    <row r="207" spans="1:47" hidden="1">
      <c r="A207" s="51"/>
      <c r="B207" s="51"/>
      <c r="C207" s="51"/>
      <c r="D207" s="51"/>
      <c r="E207" s="51"/>
      <c r="F207" s="51"/>
      <c r="G207" s="51"/>
      <c r="H207" s="51"/>
      <c r="I207" s="51"/>
      <c r="AN207" s="239"/>
      <c r="AO207" s="225"/>
      <c r="AP207" s="287"/>
      <c r="AQ207" s="258"/>
      <c r="AR207" s="258"/>
      <c r="AS207" s="202"/>
    </row>
    <row r="208" spans="1:47" hidden="1">
      <c r="A208" s="51"/>
      <c r="B208" s="51"/>
      <c r="C208" s="51"/>
      <c r="D208" s="51"/>
      <c r="E208" s="51"/>
      <c r="F208" s="51"/>
      <c r="G208" s="51"/>
      <c r="H208" s="51"/>
      <c r="I208" s="51"/>
      <c r="AN208" s="239"/>
      <c r="AO208" s="225"/>
      <c r="AP208" s="287"/>
      <c r="AQ208" s="258"/>
      <c r="AR208" s="258"/>
      <c r="AS208" s="202"/>
    </row>
    <row r="209" spans="40:47" s="121" customFormat="1" hidden="1">
      <c r="AN209" s="239"/>
      <c r="AO209" s="225"/>
      <c r="AP209" s="287"/>
      <c r="AQ209" s="258"/>
      <c r="AR209" s="258"/>
      <c r="AS209" s="202"/>
      <c r="AT209" s="213"/>
      <c r="AU209" s="213"/>
    </row>
    <row r="210" spans="40:47" s="121" customFormat="1" hidden="1">
      <c r="AN210" s="239"/>
      <c r="AO210" s="225"/>
      <c r="AP210" s="287"/>
      <c r="AQ210" s="258"/>
      <c r="AR210" s="258"/>
      <c r="AS210" s="202"/>
      <c r="AT210" s="213"/>
      <c r="AU210" s="213"/>
    </row>
    <row r="211" spans="40:47" s="121" customFormat="1" hidden="1">
      <c r="AN211" s="239"/>
      <c r="AO211" s="225"/>
      <c r="AP211" s="287"/>
      <c r="AQ211" s="258"/>
      <c r="AR211" s="258"/>
      <c r="AS211" s="202"/>
      <c r="AT211" s="213"/>
      <c r="AU211" s="213"/>
    </row>
    <row r="212" spans="40:47" s="121" customFormat="1" hidden="1">
      <c r="AN212" s="239"/>
      <c r="AO212" s="225"/>
      <c r="AP212" s="287"/>
      <c r="AQ212" s="258"/>
      <c r="AR212" s="258"/>
      <c r="AS212" s="202"/>
      <c r="AT212" s="213"/>
      <c r="AU212" s="213"/>
    </row>
    <row r="213" spans="40:47" s="121" customFormat="1" hidden="1">
      <c r="AN213" s="239"/>
      <c r="AO213" s="225"/>
      <c r="AP213" s="287"/>
      <c r="AQ213" s="258"/>
      <c r="AR213" s="258"/>
      <c r="AS213" s="202"/>
      <c r="AT213" s="213"/>
      <c r="AU213" s="213"/>
    </row>
    <row r="214" spans="40:47" s="121" customFormat="1" hidden="1">
      <c r="AN214" s="239"/>
      <c r="AO214" s="225"/>
      <c r="AP214" s="287"/>
      <c r="AQ214" s="258"/>
      <c r="AR214" s="258"/>
      <c r="AS214" s="202"/>
      <c r="AT214" s="213"/>
      <c r="AU214" s="213"/>
    </row>
    <row r="215" spans="40:47" s="121" customFormat="1" hidden="1">
      <c r="AN215" s="239"/>
      <c r="AO215" s="225"/>
      <c r="AP215" s="287"/>
      <c r="AQ215" s="258"/>
      <c r="AR215" s="258"/>
      <c r="AS215" s="202"/>
      <c r="AT215" s="213"/>
      <c r="AU215" s="213"/>
    </row>
    <row r="216" spans="40:47" s="121" customFormat="1" hidden="1">
      <c r="AN216" s="239"/>
      <c r="AO216" s="225"/>
      <c r="AP216" s="287"/>
      <c r="AQ216" s="258"/>
      <c r="AR216" s="258"/>
      <c r="AS216" s="202"/>
      <c r="AT216" s="213"/>
      <c r="AU216" s="213"/>
    </row>
    <row r="217" spans="40:47" s="121" customFormat="1" hidden="1">
      <c r="AN217" s="239"/>
      <c r="AO217" s="225"/>
      <c r="AP217" s="287"/>
      <c r="AQ217" s="258"/>
      <c r="AR217" s="258"/>
      <c r="AS217" s="202"/>
      <c r="AT217" s="213"/>
      <c r="AU217" s="213"/>
    </row>
    <row r="218" spans="40:47" s="121" customFormat="1" hidden="1">
      <c r="AN218" s="239"/>
      <c r="AO218" s="225"/>
      <c r="AP218" s="287"/>
      <c r="AQ218" s="258"/>
      <c r="AR218" s="258"/>
      <c r="AS218" s="202"/>
      <c r="AT218" s="213"/>
      <c r="AU218" s="213"/>
    </row>
    <row r="219" spans="40:47" s="121" customFormat="1" hidden="1">
      <c r="AN219" s="239"/>
      <c r="AO219" s="225"/>
      <c r="AP219" s="287"/>
      <c r="AQ219" s="258"/>
      <c r="AR219" s="258"/>
      <c r="AS219" s="202"/>
      <c r="AT219" s="213"/>
      <c r="AU219" s="213"/>
    </row>
    <row r="220" spans="40:47" s="121" customFormat="1" hidden="1">
      <c r="AN220" s="239"/>
      <c r="AO220" s="225"/>
      <c r="AP220" s="287"/>
      <c r="AQ220" s="258"/>
      <c r="AR220" s="258"/>
      <c r="AS220" s="202"/>
      <c r="AT220" s="213"/>
      <c r="AU220" s="213"/>
    </row>
    <row r="221" spans="40:47" s="121" customFormat="1" hidden="1">
      <c r="AN221" s="239"/>
      <c r="AO221" s="225"/>
      <c r="AP221" s="287"/>
      <c r="AQ221" s="258"/>
      <c r="AR221" s="258"/>
      <c r="AS221" s="202"/>
      <c r="AT221" s="213"/>
      <c r="AU221" s="213"/>
    </row>
    <row r="222" spans="40:47" s="121" customFormat="1" hidden="1">
      <c r="AN222" s="239"/>
      <c r="AO222" s="225"/>
      <c r="AP222" s="287"/>
      <c r="AQ222" s="258"/>
      <c r="AR222" s="258"/>
      <c r="AS222" s="202"/>
      <c r="AT222" s="213"/>
      <c r="AU222" s="213"/>
    </row>
    <row r="223" spans="40:47" s="121" customFormat="1" hidden="1">
      <c r="AN223" s="239"/>
      <c r="AO223" s="225"/>
      <c r="AP223" s="287"/>
      <c r="AQ223" s="258"/>
      <c r="AR223" s="258"/>
      <c r="AS223" s="202"/>
      <c r="AT223" s="213"/>
      <c r="AU223" s="213"/>
    </row>
    <row r="224" spans="40:47" s="121" customFormat="1" hidden="1">
      <c r="AN224" s="239"/>
      <c r="AO224" s="225"/>
      <c r="AP224" s="287"/>
      <c r="AQ224" s="258"/>
      <c r="AR224" s="258"/>
      <c r="AS224" s="202"/>
      <c r="AT224" s="213"/>
      <c r="AU224" s="213"/>
    </row>
    <row r="225" spans="40:47" s="121" customFormat="1" hidden="1">
      <c r="AN225" s="239"/>
      <c r="AO225" s="225"/>
      <c r="AP225" s="287"/>
      <c r="AQ225" s="258"/>
      <c r="AR225" s="258"/>
      <c r="AS225" s="202"/>
      <c r="AT225" s="213"/>
      <c r="AU225" s="213"/>
    </row>
    <row r="226" spans="40:47" s="121" customFormat="1" hidden="1">
      <c r="AN226" s="239"/>
      <c r="AO226" s="225"/>
      <c r="AP226" s="287"/>
      <c r="AQ226" s="258"/>
      <c r="AR226" s="258"/>
      <c r="AS226" s="202"/>
      <c r="AT226" s="213"/>
      <c r="AU226" s="213"/>
    </row>
    <row r="227" spans="40:47" s="121" customFormat="1" hidden="1">
      <c r="AN227" s="239"/>
      <c r="AO227" s="225"/>
      <c r="AP227" s="260"/>
      <c r="AQ227" s="258"/>
      <c r="AR227" s="258"/>
      <c r="AS227" s="202"/>
      <c r="AT227" s="213"/>
      <c r="AU227" s="213"/>
    </row>
    <row r="228" spans="40:47" s="121" customFormat="1" hidden="1">
      <c r="AN228" s="239"/>
      <c r="AO228" s="225"/>
      <c r="AP228" s="260"/>
      <c r="AQ228" s="258"/>
      <c r="AR228" s="258"/>
      <c r="AS228" s="202"/>
      <c r="AT228" s="213"/>
      <c r="AU228" s="213"/>
    </row>
    <row r="229" spans="40:47" s="121" customFormat="1" hidden="1">
      <c r="AN229" s="239"/>
      <c r="AO229" s="225"/>
      <c r="AP229" s="260"/>
      <c r="AQ229" s="258"/>
      <c r="AR229" s="258"/>
      <c r="AS229" s="202"/>
      <c r="AT229" s="213"/>
      <c r="AU229" s="213"/>
    </row>
    <row r="230" spans="40:47" s="121" customFormat="1" hidden="1">
      <c r="AN230" s="239"/>
      <c r="AO230" s="225"/>
      <c r="AP230" s="260"/>
      <c r="AQ230" s="258"/>
      <c r="AR230" s="258"/>
      <c r="AS230" s="202"/>
      <c r="AT230" s="213"/>
      <c r="AU230" s="213"/>
    </row>
    <row r="231" spans="40:47" s="121" customFormat="1" hidden="1">
      <c r="AN231" s="239"/>
      <c r="AO231" s="225"/>
      <c r="AP231" s="260"/>
      <c r="AQ231" s="258"/>
      <c r="AR231" s="258"/>
      <c r="AS231" s="202"/>
      <c r="AT231" s="213"/>
      <c r="AU231" s="213"/>
    </row>
    <row r="232" spans="40:47" s="121" customFormat="1" hidden="1">
      <c r="AN232" s="239"/>
      <c r="AO232" s="225"/>
      <c r="AP232" s="260"/>
      <c r="AQ232" s="258"/>
      <c r="AR232" s="258"/>
      <c r="AS232" s="202"/>
      <c r="AT232" s="213"/>
      <c r="AU232" s="213"/>
    </row>
    <row r="233" spans="40:47" s="121" customFormat="1" hidden="1">
      <c r="AN233" s="239"/>
      <c r="AO233" s="225"/>
      <c r="AP233" s="260"/>
      <c r="AQ233" s="258"/>
      <c r="AR233" s="258"/>
      <c r="AS233" s="202"/>
      <c r="AT233" s="213"/>
      <c r="AU233" s="213"/>
    </row>
    <row r="234" spans="40:47" s="121" customFormat="1" hidden="1">
      <c r="AN234" s="239"/>
      <c r="AO234" s="225"/>
      <c r="AP234" s="260"/>
      <c r="AQ234" s="258"/>
      <c r="AR234" s="258"/>
      <c r="AS234" s="202"/>
      <c r="AT234" s="213"/>
      <c r="AU234" s="213"/>
    </row>
    <row r="235" spans="40:47" s="121" customFormat="1" hidden="1">
      <c r="AN235" s="239"/>
      <c r="AO235" s="225"/>
      <c r="AP235" s="260"/>
      <c r="AQ235" s="258"/>
      <c r="AR235" s="258"/>
      <c r="AS235" s="202"/>
      <c r="AT235" s="213"/>
      <c r="AU235" s="213"/>
    </row>
    <row r="236" spans="40:47" s="121" customFormat="1" hidden="1">
      <c r="AN236" s="239"/>
      <c r="AO236" s="225"/>
      <c r="AP236" s="260"/>
      <c r="AQ236" s="258"/>
      <c r="AR236" s="258"/>
      <c r="AS236" s="202"/>
      <c r="AT236" s="213"/>
      <c r="AU236" s="213"/>
    </row>
    <row r="237" spans="40:47" s="121" customFormat="1" hidden="1">
      <c r="AN237" s="239"/>
      <c r="AO237" s="225"/>
      <c r="AP237" s="260"/>
      <c r="AQ237" s="258"/>
      <c r="AR237" s="258"/>
      <c r="AS237" s="202"/>
      <c r="AT237" s="213"/>
      <c r="AU237" s="213"/>
    </row>
    <row r="238" spans="40:47" s="121" customFormat="1" hidden="1">
      <c r="AN238" s="239"/>
      <c r="AO238" s="225"/>
      <c r="AP238" s="260"/>
      <c r="AQ238" s="258"/>
      <c r="AR238" s="258"/>
      <c r="AS238" s="202"/>
      <c r="AT238" s="213"/>
      <c r="AU238" s="213"/>
    </row>
    <row r="239" spans="40:47" s="121" customFormat="1" hidden="1">
      <c r="AN239" s="239"/>
      <c r="AO239" s="225"/>
      <c r="AP239" s="260"/>
      <c r="AQ239" s="258"/>
      <c r="AR239" s="258"/>
      <c r="AS239" s="202"/>
      <c r="AT239" s="213"/>
      <c r="AU239" s="213"/>
    </row>
    <row r="240" spans="40:47" s="121" customFormat="1" hidden="1">
      <c r="AN240" s="239"/>
      <c r="AO240" s="225"/>
      <c r="AP240" s="260"/>
      <c r="AQ240" s="258"/>
      <c r="AR240" s="258"/>
      <c r="AS240" s="202"/>
      <c r="AT240" s="213"/>
      <c r="AU240" s="213"/>
    </row>
    <row r="241" spans="40:47" s="121" customFormat="1" hidden="1">
      <c r="AN241" s="239"/>
      <c r="AO241" s="225"/>
      <c r="AP241" s="260"/>
      <c r="AQ241" s="258"/>
      <c r="AR241" s="258"/>
      <c r="AS241" s="202"/>
      <c r="AT241" s="213"/>
      <c r="AU241" s="213"/>
    </row>
    <row r="242" spans="40:47" s="121" customFormat="1" hidden="1">
      <c r="AN242" s="239"/>
      <c r="AO242" s="225"/>
      <c r="AP242" s="260"/>
      <c r="AQ242" s="258"/>
      <c r="AR242" s="258"/>
      <c r="AS242" s="202"/>
      <c r="AT242" s="213"/>
      <c r="AU242" s="213"/>
    </row>
    <row r="243" spans="40:47" s="121" customFormat="1" hidden="1">
      <c r="AN243" s="239"/>
      <c r="AO243" s="225"/>
      <c r="AP243" s="260"/>
      <c r="AQ243" s="258"/>
      <c r="AR243" s="258"/>
      <c r="AS243" s="202"/>
      <c r="AT243" s="213"/>
      <c r="AU243" s="213"/>
    </row>
    <row r="244" spans="40:47" s="121" customFormat="1" hidden="1">
      <c r="AN244" s="239"/>
      <c r="AO244" s="225"/>
      <c r="AP244" s="260"/>
      <c r="AQ244" s="258"/>
      <c r="AR244" s="258"/>
      <c r="AS244" s="202"/>
      <c r="AT244" s="213"/>
      <c r="AU244" s="213"/>
    </row>
    <row r="245" spans="40:47" s="121" customFormat="1" hidden="1">
      <c r="AN245" s="239"/>
      <c r="AO245" s="225"/>
      <c r="AP245" s="260"/>
      <c r="AQ245" s="258"/>
      <c r="AR245" s="258"/>
      <c r="AS245" s="202"/>
      <c r="AT245" s="213"/>
      <c r="AU245" s="213"/>
    </row>
    <row r="246" spans="40:47" s="121" customFormat="1" hidden="1">
      <c r="AN246" s="239"/>
      <c r="AO246" s="225"/>
      <c r="AP246" s="260"/>
      <c r="AQ246" s="258"/>
      <c r="AR246" s="258"/>
      <c r="AS246" s="202"/>
      <c r="AT246" s="213"/>
      <c r="AU246" s="213"/>
    </row>
    <row r="247" spans="40:47" s="121" customFormat="1" hidden="1">
      <c r="AN247" s="239"/>
      <c r="AO247" s="225"/>
      <c r="AP247" s="260"/>
      <c r="AQ247" s="258"/>
      <c r="AR247" s="258"/>
      <c r="AS247" s="202"/>
      <c r="AT247" s="213"/>
      <c r="AU247" s="213"/>
    </row>
    <row r="248" spans="40:47" s="121" customFormat="1" hidden="1">
      <c r="AN248" s="239"/>
      <c r="AO248" s="225"/>
      <c r="AP248" s="260"/>
      <c r="AQ248" s="258"/>
      <c r="AR248" s="258"/>
      <c r="AS248" s="202"/>
      <c r="AT248" s="213"/>
      <c r="AU248" s="213"/>
    </row>
    <row r="249" spans="40:47" s="121" customFormat="1" hidden="1">
      <c r="AN249" s="239"/>
      <c r="AO249" s="225"/>
      <c r="AP249" s="260"/>
      <c r="AQ249" s="258"/>
      <c r="AR249" s="258"/>
      <c r="AS249" s="202"/>
      <c r="AT249" s="213"/>
      <c r="AU249" s="213"/>
    </row>
    <row r="250" spans="40:47" s="121" customFormat="1" hidden="1">
      <c r="AN250" s="239"/>
      <c r="AO250" s="225"/>
      <c r="AP250" s="260"/>
      <c r="AQ250" s="258"/>
      <c r="AR250" s="258"/>
      <c r="AS250" s="202"/>
      <c r="AT250" s="213"/>
      <c r="AU250" s="213"/>
    </row>
    <row r="251" spans="40:47" s="121" customFormat="1" hidden="1">
      <c r="AN251" s="239"/>
      <c r="AO251" s="225"/>
      <c r="AP251" s="260"/>
      <c r="AQ251" s="258"/>
      <c r="AR251" s="258"/>
      <c r="AS251" s="202"/>
      <c r="AT251" s="213"/>
      <c r="AU251" s="213"/>
    </row>
    <row r="252" spans="40:47" s="121" customFormat="1" hidden="1">
      <c r="AN252" s="239"/>
      <c r="AO252" s="225"/>
      <c r="AP252" s="260"/>
      <c r="AQ252" s="258"/>
      <c r="AR252" s="258"/>
      <c r="AS252" s="202"/>
      <c r="AT252" s="213"/>
      <c r="AU252" s="213"/>
    </row>
    <row r="253" spans="40:47" s="121" customFormat="1" hidden="1">
      <c r="AN253" s="239"/>
      <c r="AO253" s="225"/>
      <c r="AP253" s="260"/>
      <c r="AQ253" s="258"/>
      <c r="AR253" s="258"/>
      <c r="AS253" s="202"/>
      <c r="AT253" s="213"/>
      <c r="AU253" s="213"/>
    </row>
    <row r="254" spans="40:47" s="121" customFormat="1" hidden="1">
      <c r="AN254" s="239"/>
      <c r="AO254" s="225"/>
      <c r="AP254" s="260"/>
      <c r="AQ254" s="258"/>
      <c r="AR254" s="258"/>
      <c r="AS254" s="202"/>
      <c r="AT254" s="213"/>
      <c r="AU254" s="213"/>
    </row>
    <row r="255" spans="40:47" s="121" customFormat="1" hidden="1">
      <c r="AN255" s="239"/>
      <c r="AO255" s="225"/>
      <c r="AP255" s="260"/>
      <c r="AQ255" s="258"/>
      <c r="AR255" s="258"/>
      <c r="AS255" s="202"/>
      <c r="AT255" s="213"/>
      <c r="AU255" s="213"/>
    </row>
    <row r="256" spans="40:47" s="121" customFormat="1" hidden="1">
      <c r="AN256" s="239"/>
      <c r="AO256" s="225"/>
      <c r="AP256" s="260"/>
      <c r="AQ256" s="258"/>
      <c r="AR256" s="258"/>
      <c r="AS256" s="202"/>
      <c r="AT256" s="213"/>
      <c r="AU256" s="213"/>
    </row>
    <row r="257" spans="40:47" s="121" customFormat="1" hidden="1">
      <c r="AN257" s="239"/>
      <c r="AO257" s="225"/>
      <c r="AP257" s="260"/>
      <c r="AQ257" s="258"/>
      <c r="AR257" s="258"/>
      <c r="AS257" s="202"/>
      <c r="AT257" s="213"/>
      <c r="AU257" s="213"/>
    </row>
    <row r="258" spans="40:47" s="121" customFormat="1" hidden="1">
      <c r="AN258" s="239"/>
      <c r="AO258" s="225"/>
      <c r="AP258" s="260"/>
      <c r="AQ258" s="258"/>
      <c r="AR258" s="258"/>
      <c r="AS258" s="202"/>
      <c r="AT258" s="213"/>
      <c r="AU258" s="213"/>
    </row>
    <row r="259" spans="40:47" s="121" customFormat="1" hidden="1">
      <c r="AN259" s="239"/>
      <c r="AO259" s="225"/>
      <c r="AP259" s="260"/>
      <c r="AQ259" s="258"/>
      <c r="AR259" s="258"/>
      <c r="AS259" s="202"/>
      <c r="AT259" s="213"/>
      <c r="AU259" s="213"/>
    </row>
    <row r="260" spans="40:47" s="121" customFormat="1" hidden="1">
      <c r="AN260" s="239"/>
      <c r="AO260" s="225"/>
      <c r="AP260" s="260"/>
      <c r="AQ260" s="258"/>
      <c r="AR260" s="258"/>
      <c r="AS260" s="202"/>
      <c r="AT260" s="213"/>
      <c r="AU260" s="213"/>
    </row>
    <row r="261" spans="40:47" s="121" customFormat="1" hidden="1">
      <c r="AN261" s="239"/>
      <c r="AO261" s="225"/>
      <c r="AP261" s="260"/>
      <c r="AQ261" s="258"/>
      <c r="AR261" s="258"/>
      <c r="AS261" s="202"/>
      <c r="AT261" s="213"/>
      <c r="AU261" s="213"/>
    </row>
    <row r="262" spans="40:47" s="121" customFormat="1" hidden="1">
      <c r="AN262" s="239"/>
      <c r="AO262" s="225"/>
      <c r="AP262" s="260"/>
      <c r="AQ262" s="258"/>
      <c r="AR262" s="258"/>
      <c r="AS262" s="202"/>
      <c r="AT262" s="213"/>
      <c r="AU262" s="213"/>
    </row>
    <row r="263" spans="40:47" s="121" customFormat="1" hidden="1">
      <c r="AN263" s="239"/>
      <c r="AO263" s="225"/>
      <c r="AP263" s="260"/>
      <c r="AQ263" s="258"/>
      <c r="AR263" s="258"/>
      <c r="AS263" s="202"/>
      <c r="AT263" s="213"/>
      <c r="AU263" s="213"/>
    </row>
    <row r="264" spans="40:47" s="121" customFormat="1" hidden="1">
      <c r="AN264" s="239"/>
      <c r="AO264" s="225"/>
      <c r="AP264" s="260"/>
      <c r="AQ264" s="258"/>
      <c r="AR264" s="258"/>
      <c r="AS264" s="202"/>
      <c r="AT264" s="213"/>
      <c r="AU264" s="213"/>
    </row>
    <row r="265" spans="40:47" s="121" customFormat="1" hidden="1">
      <c r="AN265" s="239"/>
      <c r="AO265" s="225"/>
      <c r="AP265" s="260"/>
      <c r="AQ265" s="258"/>
      <c r="AR265" s="258"/>
      <c r="AS265" s="202"/>
      <c r="AT265" s="213"/>
      <c r="AU265" s="213"/>
    </row>
    <row r="266" spans="40:47" s="121" customFormat="1" hidden="1">
      <c r="AN266" s="239"/>
      <c r="AO266" s="225"/>
      <c r="AP266" s="260"/>
      <c r="AQ266" s="258"/>
      <c r="AR266" s="258"/>
      <c r="AS266" s="202"/>
      <c r="AT266" s="213"/>
      <c r="AU266" s="213"/>
    </row>
    <row r="267" spans="40:47" s="121" customFormat="1" hidden="1">
      <c r="AN267" s="239"/>
      <c r="AO267" s="225"/>
      <c r="AP267" s="260"/>
      <c r="AQ267" s="258"/>
      <c r="AR267" s="258"/>
      <c r="AS267" s="202"/>
      <c r="AT267" s="213"/>
      <c r="AU267" s="213"/>
    </row>
    <row r="268" spans="40:47" s="121" customFormat="1" hidden="1">
      <c r="AN268" s="239"/>
      <c r="AO268" s="225"/>
      <c r="AP268" s="260"/>
      <c r="AQ268" s="258"/>
      <c r="AR268" s="258"/>
      <c r="AS268" s="202"/>
      <c r="AT268" s="213"/>
      <c r="AU268" s="213"/>
    </row>
    <row r="269" spans="40:47" s="121" customFormat="1" hidden="1">
      <c r="AN269" s="239"/>
      <c r="AO269" s="225"/>
      <c r="AP269" s="260"/>
      <c r="AQ269" s="258"/>
      <c r="AR269" s="258"/>
      <c r="AS269" s="202"/>
      <c r="AT269" s="213"/>
      <c r="AU269" s="213"/>
    </row>
    <row r="270" spans="40:47" s="121" customFormat="1" hidden="1">
      <c r="AN270" s="239"/>
      <c r="AO270" s="225"/>
      <c r="AP270" s="260"/>
      <c r="AQ270" s="258"/>
      <c r="AR270" s="258"/>
      <c r="AS270" s="202"/>
      <c r="AT270" s="213"/>
      <c r="AU270" s="213"/>
    </row>
    <row r="271" spans="40:47" s="121" customFormat="1" hidden="1">
      <c r="AN271" s="239"/>
      <c r="AO271" s="225"/>
      <c r="AP271" s="260"/>
      <c r="AQ271" s="258"/>
      <c r="AR271" s="258"/>
      <c r="AS271" s="202"/>
      <c r="AT271" s="213"/>
      <c r="AU271" s="213"/>
    </row>
    <row r="272" spans="40:47" s="121" customFormat="1" hidden="1">
      <c r="AN272" s="239"/>
      <c r="AO272" s="225"/>
      <c r="AP272" s="260"/>
      <c r="AQ272" s="258"/>
      <c r="AR272" s="258"/>
      <c r="AS272" s="202"/>
      <c r="AT272" s="213"/>
      <c r="AU272" s="213"/>
    </row>
    <row r="273" spans="40:47" s="121" customFormat="1" hidden="1">
      <c r="AN273" s="239"/>
      <c r="AO273" s="225"/>
      <c r="AP273" s="260"/>
      <c r="AQ273" s="258"/>
      <c r="AR273" s="258"/>
      <c r="AS273" s="202"/>
      <c r="AT273" s="213"/>
      <c r="AU273" s="213"/>
    </row>
    <row r="274" spans="40:47" s="121" customFormat="1" hidden="1">
      <c r="AN274" s="239"/>
      <c r="AO274" s="225"/>
      <c r="AP274" s="260"/>
      <c r="AQ274" s="258"/>
      <c r="AR274" s="258"/>
      <c r="AS274" s="202"/>
      <c r="AT274" s="213"/>
      <c r="AU274" s="213"/>
    </row>
    <row r="275" spans="40:47" s="121" customFormat="1" hidden="1">
      <c r="AN275" s="239"/>
      <c r="AO275" s="225"/>
      <c r="AP275" s="260"/>
      <c r="AQ275" s="258"/>
      <c r="AR275" s="258"/>
      <c r="AS275" s="202"/>
      <c r="AT275" s="213"/>
      <c r="AU275" s="213"/>
    </row>
    <row r="276" spans="40:47" s="121" customFormat="1" hidden="1">
      <c r="AN276" s="239"/>
      <c r="AO276" s="225"/>
      <c r="AP276" s="260"/>
      <c r="AQ276" s="258"/>
      <c r="AR276" s="258"/>
      <c r="AS276" s="202"/>
      <c r="AT276" s="213"/>
      <c r="AU276" s="213"/>
    </row>
    <row r="277" spans="40:47" s="121" customFormat="1" hidden="1">
      <c r="AN277" s="239"/>
      <c r="AO277" s="225"/>
      <c r="AP277" s="260"/>
      <c r="AQ277" s="258"/>
      <c r="AR277" s="258"/>
      <c r="AS277" s="202"/>
      <c r="AT277" s="213"/>
      <c r="AU277" s="213"/>
    </row>
    <row r="278" spans="40:47" s="121" customFormat="1" hidden="1">
      <c r="AN278" s="239"/>
      <c r="AO278" s="225"/>
      <c r="AP278" s="260"/>
      <c r="AQ278" s="258"/>
      <c r="AR278" s="258"/>
      <c r="AS278" s="202"/>
      <c r="AT278" s="213"/>
      <c r="AU278" s="213"/>
    </row>
    <row r="279" spans="40:47" s="121" customFormat="1" hidden="1">
      <c r="AN279" s="239"/>
      <c r="AO279" s="225"/>
      <c r="AP279" s="260"/>
      <c r="AQ279" s="258"/>
      <c r="AR279" s="258"/>
      <c r="AS279" s="202"/>
      <c r="AT279" s="213"/>
      <c r="AU279" s="213"/>
    </row>
    <row r="280" spans="40:47" s="121" customFormat="1" hidden="1">
      <c r="AN280" s="239"/>
      <c r="AO280" s="225"/>
      <c r="AP280" s="260"/>
      <c r="AQ280" s="258"/>
      <c r="AR280" s="258"/>
      <c r="AS280" s="202"/>
      <c r="AT280" s="213"/>
      <c r="AU280" s="213"/>
    </row>
    <row r="281" spans="40:47" s="121" customFormat="1" hidden="1">
      <c r="AN281" s="239"/>
      <c r="AO281" s="225"/>
      <c r="AP281" s="260"/>
      <c r="AQ281" s="258"/>
      <c r="AR281" s="258"/>
      <c r="AS281" s="202"/>
      <c r="AT281" s="213"/>
      <c r="AU281" s="213"/>
    </row>
    <row r="282" spans="40:47" s="121" customFormat="1" hidden="1">
      <c r="AN282" s="239"/>
      <c r="AO282" s="225"/>
      <c r="AP282" s="260"/>
      <c r="AQ282" s="258"/>
      <c r="AR282" s="258"/>
      <c r="AS282" s="202"/>
      <c r="AT282" s="213"/>
      <c r="AU282" s="213"/>
    </row>
    <row r="283" spans="40:47" s="121" customFormat="1" hidden="1">
      <c r="AN283" s="239"/>
      <c r="AO283" s="225"/>
      <c r="AP283" s="260"/>
      <c r="AQ283" s="258"/>
      <c r="AR283" s="258"/>
      <c r="AS283" s="202"/>
      <c r="AT283" s="213"/>
      <c r="AU283" s="213"/>
    </row>
    <row r="284" spans="40:47" s="121" customFormat="1" hidden="1">
      <c r="AN284" s="239"/>
      <c r="AO284" s="225"/>
      <c r="AP284" s="260"/>
      <c r="AQ284" s="258"/>
      <c r="AR284" s="258"/>
      <c r="AS284" s="202"/>
      <c r="AT284" s="213"/>
      <c r="AU284" s="213"/>
    </row>
    <row r="285" spans="40:47" s="121" customFormat="1" hidden="1">
      <c r="AN285" s="239"/>
      <c r="AO285" s="225"/>
      <c r="AP285" s="260"/>
      <c r="AQ285" s="258"/>
      <c r="AR285" s="258"/>
      <c r="AS285" s="202"/>
      <c r="AT285" s="213"/>
      <c r="AU285" s="213"/>
    </row>
    <row r="286" spans="40:47" s="121" customFormat="1" hidden="1">
      <c r="AN286" s="239"/>
      <c r="AO286" s="225"/>
      <c r="AP286" s="260"/>
      <c r="AQ286" s="258"/>
      <c r="AR286" s="258"/>
      <c r="AS286" s="202"/>
      <c r="AT286" s="213"/>
      <c r="AU286" s="213"/>
    </row>
    <row r="287" spans="40:47" s="121" customFormat="1" hidden="1">
      <c r="AN287" s="239"/>
      <c r="AO287" s="225"/>
      <c r="AP287" s="260"/>
      <c r="AQ287" s="258"/>
      <c r="AR287" s="258"/>
      <c r="AS287" s="202"/>
      <c r="AT287" s="213"/>
      <c r="AU287" s="213"/>
    </row>
    <row r="288" spans="40:47" s="121" customFormat="1" hidden="1">
      <c r="AN288" s="239"/>
      <c r="AO288" s="225"/>
      <c r="AP288" s="260"/>
      <c r="AQ288" s="258"/>
      <c r="AR288" s="258"/>
      <c r="AS288" s="202"/>
      <c r="AT288" s="213"/>
      <c r="AU288" s="213"/>
    </row>
    <row r="289" spans="40:47" s="121" customFormat="1" hidden="1">
      <c r="AN289" s="239"/>
      <c r="AO289" s="225"/>
      <c r="AP289" s="260"/>
      <c r="AQ289" s="258"/>
      <c r="AR289" s="258"/>
      <c r="AS289" s="202"/>
      <c r="AT289" s="213"/>
      <c r="AU289" s="213"/>
    </row>
    <row r="290" spans="40:47" s="121" customFormat="1" hidden="1">
      <c r="AN290" s="239"/>
      <c r="AO290" s="225"/>
      <c r="AP290" s="260"/>
      <c r="AQ290" s="258"/>
      <c r="AR290" s="258"/>
      <c r="AS290" s="202"/>
      <c r="AT290" s="213"/>
      <c r="AU290" s="213"/>
    </row>
    <row r="291" spans="40:47" s="121" customFormat="1" hidden="1">
      <c r="AN291" s="239"/>
      <c r="AO291" s="225"/>
      <c r="AP291" s="260"/>
      <c r="AQ291" s="258"/>
      <c r="AR291" s="258"/>
      <c r="AS291" s="202"/>
      <c r="AT291" s="213"/>
      <c r="AU291" s="213"/>
    </row>
    <row r="292" spans="40:47" s="121" customFormat="1" hidden="1">
      <c r="AN292" s="239"/>
      <c r="AO292" s="225"/>
      <c r="AP292" s="260"/>
      <c r="AQ292" s="258"/>
      <c r="AR292" s="258"/>
      <c r="AS292" s="202"/>
      <c r="AT292" s="213"/>
      <c r="AU292" s="213"/>
    </row>
    <row r="293" spans="40:47" s="121" customFormat="1" hidden="1">
      <c r="AN293" s="239"/>
      <c r="AO293" s="225"/>
      <c r="AP293" s="260"/>
      <c r="AQ293" s="258"/>
      <c r="AR293" s="258"/>
      <c r="AS293" s="202"/>
      <c r="AT293" s="213"/>
      <c r="AU293" s="213"/>
    </row>
    <row r="294" spans="40:47" s="121" customFormat="1" hidden="1">
      <c r="AN294" s="239"/>
      <c r="AO294" s="225"/>
      <c r="AP294" s="260"/>
      <c r="AQ294" s="258"/>
      <c r="AR294" s="258"/>
      <c r="AS294" s="202"/>
      <c r="AT294" s="213"/>
      <c r="AU294" s="213"/>
    </row>
    <row r="295" spans="40:47" s="121" customFormat="1" hidden="1">
      <c r="AN295" s="239"/>
      <c r="AO295" s="225"/>
      <c r="AP295" s="260"/>
      <c r="AQ295" s="258"/>
      <c r="AR295" s="258"/>
      <c r="AS295" s="202"/>
      <c r="AT295" s="213"/>
      <c r="AU295" s="213"/>
    </row>
    <row r="296" spans="40:47" s="121" customFormat="1" hidden="1">
      <c r="AN296" s="239"/>
      <c r="AO296" s="225"/>
      <c r="AP296" s="260"/>
      <c r="AQ296" s="258"/>
      <c r="AR296" s="258"/>
      <c r="AS296" s="202"/>
      <c r="AT296" s="213"/>
      <c r="AU296" s="213"/>
    </row>
    <row r="297" spans="40:47" s="121" customFormat="1" hidden="1">
      <c r="AN297" s="239"/>
      <c r="AO297" s="225"/>
      <c r="AP297" s="260"/>
      <c r="AQ297" s="258"/>
      <c r="AR297" s="258"/>
      <c r="AS297" s="202"/>
      <c r="AT297" s="213"/>
      <c r="AU297" s="213"/>
    </row>
    <row r="298" spans="40:47" s="121" customFormat="1" hidden="1">
      <c r="AN298" s="239"/>
      <c r="AO298" s="225"/>
      <c r="AP298" s="260"/>
      <c r="AQ298" s="258"/>
      <c r="AR298" s="258"/>
      <c r="AS298" s="202"/>
      <c r="AT298" s="213"/>
      <c r="AU298" s="213"/>
    </row>
    <row r="299" spans="40:47" s="121" customFormat="1" hidden="1">
      <c r="AN299" s="239"/>
      <c r="AO299" s="225"/>
      <c r="AP299" s="260"/>
      <c r="AQ299" s="258"/>
      <c r="AR299" s="258"/>
      <c r="AS299" s="202"/>
      <c r="AT299" s="213"/>
      <c r="AU299" s="213"/>
    </row>
    <row r="300" spans="40:47" s="121" customFormat="1" hidden="1">
      <c r="AN300" s="239"/>
      <c r="AO300" s="225"/>
      <c r="AP300" s="260"/>
      <c r="AQ300" s="258"/>
      <c r="AR300" s="258"/>
      <c r="AS300" s="202"/>
      <c r="AT300" s="213"/>
      <c r="AU300" s="213"/>
    </row>
    <row r="301" spans="40:47" s="121" customFormat="1" hidden="1">
      <c r="AN301" s="239"/>
      <c r="AO301" s="225"/>
      <c r="AP301" s="260"/>
      <c r="AQ301" s="258"/>
      <c r="AR301" s="258"/>
      <c r="AS301" s="202"/>
      <c r="AT301" s="213"/>
      <c r="AU301" s="213"/>
    </row>
    <row r="302" spans="40:47" s="121" customFormat="1" hidden="1">
      <c r="AN302" s="239"/>
      <c r="AO302" s="225"/>
      <c r="AP302" s="260"/>
      <c r="AQ302" s="258"/>
      <c r="AR302" s="258"/>
      <c r="AS302" s="202"/>
      <c r="AT302" s="213"/>
      <c r="AU302" s="213"/>
    </row>
    <row r="303" spans="40:47" s="121" customFormat="1" hidden="1">
      <c r="AN303" s="239"/>
      <c r="AO303" s="225"/>
      <c r="AP303" s="260"/>
      <c r="AQ303" s="258"/>
      <c r="AR303" s="258"/>
      <c r="AS303" s="202"/>
      <c r="AT303" s="213"/>
      <c r="AU303" s="213"/>
    </row>
    <row r="304" spans="40:47" s="121" customFormat="1" hidden="1">
      <c r="AN304" s="239"/>
      <c r="AO304" s="225"/>
      <c r="AP304" s="260"/>
      <c r="AQ304" s="258"/>
      <c r="AR304" s="258"/>
      <c r="AS304" s="202"/>
      <c r="AT304" s="213"/>
      <c r="AU304" s="213"/>
    </row>
    <row r="305" spans="40:47" s="121" customFormat="1" hidden="1">
      <c r="AN305" s="239"/>
      <c r="AO305" s="225"/>
      <c r="AP305" s="260"/>
      <c r="AQ305" s="258"/>
      <c r="AR305" s="258"/>
      <c r="AS305" s="202"/>
      <c r="AT305" s="213"/>
      <c r="AU305" s="213"/>
    </row>
    <row r="306" spans="40:47" s="121" customFormat="1" hidden="1">
      <c r="AN306" s="239"/>
      <c r="AO306" s="225"/>
      <c r="AP306" s="260"/>
      <c r="AQ306" s="258"/>
      <c r="AR306" s="258"/>
      <c r="AS306" s="202"/>
      <c r="AT306" s="213"/>
      <c r="AU306" s="213"/>
    </row>
    <row r="307" spans="40:47" s="121" customFormat="1" hidden="1">
      <c r="AN307" s="239"/>
      <c r="AO307" s="225"/>
      <c r="AP307" s="260"/>
      <c r="AQ307" s="258"/>
      <c r="AR307" s="258"/>
      <c r="AS307" s="202"/>
      <c r="AT307" s="213"/>
      <c r="AU307" s="213"/>
    </row>
    <row r="308" spans="40:47" s="121" customFormat="1" hidden="1">
      <c r="AN308" s="239"/>
      <c r="AO308" s="225"/>
      <c r="AP308" s="260"/>
      <c r="AQ308" s="258"/>
      <c r="AR308" s="258"/>
      <c r="AS308" s="202"/>
      <c r="AT308" s="213"/>
      <c r="AU308" s="213"/>
    </row>
    <row r="309" spans="40:47" s="121" customFormat="1" hidden="1">
      <c r="AN309" s="239"/>
      <c r="AO309" s="225"/>
      <c r="AP309" s="260"/>
      <c r="AQ309" s="258"/>
      <c r="AR309" s="258"/>
      <c r="AS309" s="202"/>
      <c r="AT309" s="213"/>
      <c r="AU309" s="213"/>
    </row>
    <row r="310" spans="40:47" s="121" customFormat="1" hidden="1">
      <c r="AN310" s="239"/>
      <c r="AO310" s="225"/>
      <c r="AP310" s="260"/>
      <c r="AQ310" s="258"/>
      <c r="AR310" s="258"/>
      <c r="AS310" s="202"/>
      <c r="AT310" s="213"/>
      <c r="AU310" s="213"/>
    </row>
    <row r="311" spans="40:47" s="121" customFormat="1" hidden="1">
      <c r="AN311" s="239"/>
      <c r="AO311" s="225"/>
      <c r="AP311" s="260"/>
      <c r="AQ311" s="258"/>
      <c r="AR311" s="258"/>
      <c r="AS311" s="202"/>
      <c r="AT311" s="213"/>
      <c r="AU311" s="213"/>
    </row>
    <row r="312" spans="40:47" s="121" customFormat="1" hidden="1">
      <c r="AN312" s="239"/>
      <c r="AO312" s="225"/>
      <c r="AP312" s="260"/>
      <c r="AQ312" s="258"/>
      <c r="AR312" s="258"/>
      <c r="AS312" s="202"/>
      <c r="AT312" s="213"/>
      <c r="AU312" s="213"/>
    </row>
    <row r="313" spans="40:47" s="121" customFormat="1" hidden="1">
      <c r="AN313" s="239"/>
      <c r="AO313" s="225"/>
      <c r="AP313" s="260"/>
      <c r="AQ313" s="258"/>
      <c r="AR313" s="258"/>
      <c r="AS313" s="202"/>
      <c r="AT313" s="213"/>
      <c r="AU313" s="213"/>
    </row>
    <row r="314" spans="40:47" s="121" customFormat="1" hidden="1">
      <c r="AN314" s="239"/>
      <c r="AO314" s="225"/>
      <c r="AP314" s="260"/>
      <c r="AQ314" s="258"/>
      <c r="AR314" s="258"/>
      <c r="AS314" s="202"/>
      <c r="AT314" s="213"/>
      <c r="AU314" s="213"/>
    </row>
    <row r="315" spans="40:47" s="121" customFormat="1" hidden="1">
      <c r="AN315" s="239"/>
      <c r="AO315" s="225"/>
      <c r="AP315" s="260"/>
      <c r="AQ315" s="258"/>
      <c r="AR315" s="258"/>
      <c r="AS315" s="202"/>
      <c r="AT315" s="213"/>
      <c r="AU315" s="213"/>
    </row>
    <row r="316" spans="40:47" s="121" customFormat="1" hidden="1">
      <c r="AN316" s="239"/>
      <c r="AO316" s="225"/>
      <c r="AP316" s="260"/>
      <c r="AQ316" s="258"/>
      <c r="AR316" s="258"/>
      <c r="AS316" s="202"/>
      <c r="AT316" s="213"/>
      <c r="AU316" s="213"/>
    </row>
    <row r="317" spans="40:47" s="121" customFormat="1" hidden="1">
      <c r="AN317" s="239"/>
      <c r="AO317" s="225"/>
      <c r="AP317" s="260"/>
      <c r="AQ317" s="258"/>
      <c r="AR317" s="258"/>
      <c r="AS317" s="202"/>
      <c r="AT317" s="213"/>
      <c r="AU317" s="213"/>
    </row>
    <row r="318" spans="40:47" s="121" customFormat="1" hidden="1">
      <c r="AN318" s="239"/>
      <c r="AO318" s="225"/>
      <c r="AP318" s="260"/>
      <c r="AQ318" s="258"/>
      <c r="AR318" s="258"/>
      <c r="AS318" s="202"/>
      <c r="AT318" s="213"/>
      <c r="AU318" s="213"/>
    </row>
    <row r="319" spans="40:47" s="121" customFormat="1" hidden="1">
      <c r="AN319" s="239"/>
      <c r="AO319" s="225"/>
      <c r="AP319" s="260"/>
      <c r="AQ319" s="258"/>
      <c r="AR319" s="258"/>
      <c r="AS319" s="202"/>
      <c r="AT319" s="213"/>
      <c r="AU319" s="213"/>
    </row>
    <row r="320" spans="40:47" s="121" customFormat="1" hidden="1">
      <c r="AN320" s="239"/>
      <c r="AO320" s="225"/>
      <c r="AP320" s="260"/>
      <c r="AQ320" s="258"/>
      <c r="AR320" s="258"/>
      <c r="AS320" s="202"/>
      <c r="AT320" s="213"/>
      <c r="AU320" s="213"/>
    </row>
    <row r="321" spans="40:47" s="121" customFormat="1" hidden="1">
      <c r="AN321" s="239"/>
      <c r="AO321" s="225"/>
      <c r="AP321" s="260"/>
      <c r="AQ321" s="258"/>
      <c r="AR321" s="258"/>
      <c r="AS321" s="202"/>
      <c r="AT321" s="213"/>
      <c r="AU321" s="213"/>
    </row>
    <row r="322" spans="40:47" s="121" customFormat="1" hidden="1">
      <c r="AN322" s="239"/>
      <c r="AO322" s="225"/>
      <c r="AP322" s="260"/>
      <c r="AQ322" s="258"/>
      <c r="AR322" s="258"/>
      <c r="AS322" s="202"/>
      <c r="AT322" s="213"/>
      <c r="AU322" s="213"/>
    </row>
    <row r="323" spans="40:47" s="121" customFormat="1" hidden="1">
      <c r="AN323" s="239"/>
      <c r="AO323" s="225"/>
      <c r="AP323" s="260"/>
      <c r="AQ323" s="258"/>
      <c r="AR323" s="258"/>
      <c r="AS323" s="202"/>
      <c r="AT323" s="213"/>
      <c r="AU323" s="213"/>
    </row>
    <row r="324" spans="40:47" s="121" customFormat="1" hidden="1">
      <c r="AN324" s="239"/>
      <c r="AO324" s="225"/>
      <c r="AP324" s="260"/>
      <c r="AQ324" s="258"/>
      <c r="AR324" s="258"/>
      <c r="AS324" s="202"/>
      <c r="AT324" s="213"/>
      <c r="AU324" s="213"/>
    </row>
    <row r="325" spans="40:47" s="121" customFormat="1" hidden="1">
      <c r="AN325" s="239"/>
      <c r="AO325" s="225"/>
      <c r="AP325" s="260"/>
      <c r="AQ325" s="258"/>
      <c r="AR325" s="258"/>
      <c r="AS325" s="202"/>
      <c r="AT325" s="213"/>
      <c r="AU325" s="213"/>
    </row>
    <row r="326" spans="40:47" s="121" customFormat="1" hidden="1">
      <c r="AN326" s="239"/>
      <c r="AO326" s="225"/>
      <c r="AP326" s="260"/>
      <c r="AQ326" s="258"/>
      <c r="AR326" s="258"/>
      <c r="AS326" s="202"/>
      <c r="AT326" s="213"/>
      <c r="AU326" s="213"/>
    </row>
    <row r="327" spans="40:47" s="121" customFormat="1" hidden="1">
      <c r="AN327" s="239"/>
      <c r="AO327" s="225"/>
      <c r="AP327" s="260"/>
      <c r="AQ327" s="258"/>
      <c r="AR327" s="258"/>
      <c r="AS327" s="202"/>
      <c r="AT327" s="213"/>
      <c r="AU327" s="213"/>
    </row>
    <row r="328" spans="40:47" s="121" customFormat="1" hidden="1">
      <c r="AN328" s="239"/>
      <c r="AO328" s="225"/>
      <c r="AP328" s="260"/>
      <c r="AQ328" s="258"/>
      <c r="AR328" s="258"/>
      <c r="AS328" s="202"/>
      <c r="AT328" s="213"/>
      <c r="AU328" s="213"/>
    </row>
    <row r="329" spans="40:47" s="121" customFormat="1" hidden="1">
      <c r="AN329" s="239"/>
      <c r="AO329" s="225"/>
      <c r="AP329" s="260"/>
      <c r="AQ329" s="258"/>
      <c r="AR329" s="258"/>
      <c r="AS329" s="202"/>
      <c r="AT329" s="213"/>
      <c r="AU329" s="213"/>
    </row>
    <row r="330" spans="40:47" s="121" customFormat="1" hidden="1">
      <c r="AN330" s="239"/>
      <c r="AO330" s="225"/>
      <c r="AP330" s="260"/>
      <c r="AQ330" s="258"/>
      <c r="AR330" s="258"/>
      <c r="AS330" s="202"/>
      <c r="AT330" s="213"/>
      <c r="AU330" s="213"/>
    </row>
    <row r="331" spans="40:47" s="121" customFormat="1" hidden="1">
      <c r="AN331" s="239"/>
      <c r="AO331" s="225"/>
      <c r="AP331" s="260"/>
      <c r="AQ331" s="258"/>
      <c r="AR331" s="258"/>
      <c r="AS331" s="202"/>
      <c r="AT331" s="213"/>
      <c r="AU331" s="213"/>
    </row>
    <row r="332" spans="40:47" s="121" customFormat="1" hidden="1">
      <c r="AN332" s="239"/>
      <c r="AO332" s="225"/>
      <c r="AP332" s="260"/>
      <c r="AQ332" s="258"/>
      <c r="AR332" s="258"/>
      <c r="AS332" s="202"/>
      <c r="AT332" s="213"/>
      <c r="AU332" s="213"/>
    </row>
    <row r="333" spans="40:47" s="121" customFormat="1" hidden="1">
      <c r="AN333" s="239"/>
      <c r="AO333" s="225"/>
      <c r="AP333" s="260"/>
      <c r="AQ333" s="258"/>
      <c r="AR333" s="258"/>
      <c r="AS333" s="202"/>
      <c r="AT333" s="213"/>
      <c r="AU333" s="213"/>
    </row>
    <row r="334" spans="40:47" s="121" customFormat="1" hidden="1">
      <c r="AN334" s="239"/>
      <c r="AO334" s="225"/>
      <c r="AP334" s="260"/>
      <c r="AQ334" s="258"/>
      <c r="AR334" s="258"/>
      <c r="AS334" s="202"/>
      <c r="AT334" s="213"/>
      <c r="AU334" s="213"/>
    </row>
    <row r="335" spans="40:47" s="121" customFormat="1" hidden="1">
      <c r="AN335" s="239"/>
      <c r="AO335" s="225"/>
      <c r="AP335" s="260"/>
      <c r="AQ335" s="258"/>
      <c r="AR335" s="258"/>
      <c r="AS335" s="202"/>
      <c r="AT335" s="213"/>
      <c r="AU335" s="213"/>
    </row>
    <row r="336" spans="40:47" s="121" customFormat="1" hidden="1">
      <c r="AN336" s="239"/>
      <c r="AO336" s="225"/>
      <c r="AP336" s="260"/>
      <c r="AQ336" s="258"/>
      <c r="AR336" s="258"/>
      <c r="AS336" s="202"/>
      <c r="AT336" s="213"/>
      <c r="AU336" s="213"/>
    </row>
    <row r="337" spans="40:47" s="121" customFormat="1" hidden="1">
      <c r="AN337" s="239"/>
      <c r="AO337" s="225"/>
      <c r="AP337" s="260"/>
      <c r="AQ337" s="258"/>
      <c r="AR337" s="258"/>
      <c r="AS337" s="202"/>
      <c r="AT337" s="213"/>
      <c r="AU337" s="213"/>
    </row>
    <row r="338" spans="40:47" s="121" customFormat="1" hidden="1">
      <c r="AN338" s="239"/>
      <c r="AO338" s="225"/>
      <c r="AP338" s="260"/>
      <c r="AQ338" s="258"/>
      <c r="AR338" s="258"/>
      <c r="AS338" s="202"/>
      <c r="AT338" s="213"/>
      <c r="AU338" s="213"/>
    </row>
    <row r="339" spans="40:47" s="121" customFormat="1" hidden="1">
      <c r="AN339" s="239"/>
      <c r="AO339" s="225"/>
      <c r="AP339" s="260"/>
      <c r="AQ339" s="258"/>
      <c r="AR339" s="258"/>
      <c r="AS339" s="202"/>
      <c r="AT339" s="213"/>
      <c r="AU339" s="213"/>
    </row>
    <row r="340" spans="40:47" s="121" customFormat="1" hidden="1">
      <c r="AN340" s="239"/>
      <c r="AO340" s="225"/>
      <c r="AP340" s="260"/>
      <c r="AQ340" s="258"/>
      <c r="AR340" s="258"/>
      <c r="AS340" s="202"/>
      <c r="AT340" s="213"/>
      <c r="AU340" s="213"/>
    </row>
    <row r="341" spans="40:47" s="121" customFormat="1" hidden="1">
      <c r="AN341" s="239"/>
      <c r="AO341" s="225"/>
      <c r="AP341" s="260"/>
      <c r="AQ341" s="258"/>
      <c r="AR341" s="258"/>
      <c r="AS341" s="202"/>
      <c r="AT341" s="213"/>
      <c r="AU341" s="213"/>
    </row>
    <row r="342" spans="40:47" s="121" customFormat="1" hidden="1">
      <c r="AN342" s="239"/>
      <c r="AO342" s="225"/>
      <c r="AP342" s="260"/>
      <c r="AQ342" s="258"/>
      <c r="AR342" s="258"/>
      <c r="AS342" s="202"/>
      <c r="AT342" s="213"/>
      <c r="AU342" s="213"/>
    </row>
    <row r="343" spans="40:47" s="121" customFormat="1" hidden="1">
      <c r="AN343" s="239"/>
      <c r="AO343" s="225"/>
      <c r="AP343" s="260"/>
      <c r="AQ343" s="258"/>
      <c r="AR343" s="258"/>
      <c r="AS343" s="202"/>
      <c r="AT343" s="213"/>
      <c r="AU343" s="213"/>
    </row>
    <row r="344" spans="40:47" s="121" customFormat="1" hidden="1">
      <c r="AN344" s="239"/>
      <c r="AO344" s="225"/>
      <c r="AP344" s="260"/>
      <c r="AQ344" s="258"/>
      <c r="AR344" s="258"/>
      <c r="AS344" s="202"/>
      <c r="AT344" s="213"/>
      <c r="AU344" s="213"/>
    </row>
    <row r="345" spans="40:47" s="121" customFormat="1" hidden="1">
      <c r="AN345" s="239"/>
      <c r="AO345" s="225"/>
      <c r="AP345" s="260"/>
      <c r="AQ345" s="258"/>
      <c r="AR345" s="258"/>
      <c r="AS345" s="202"/>
      <c r="AT345" s="213"/>
      <c r="AU345" s="213"/>
    </row>
    <row r="346" spans="40:47" s="121" customFormat="1" hidden="1">
      <c r="AN346" s="239"/>
      <c r="AO346" s="225"/>
      <c r="AP346" s="260"/>
      <c r="AQ346" s="258"/>
      <c r="AR346" s="258"/>
      <c r="AS346" s="202"/>
      <c r="AT346" s="213"/>
      <c r="AU346" s="213"/>
    </row>
    <row r="347" spans="40:47" s="121" customFormat="1" hidden="1">
      <c r="AN347" s="239"/>
      <c r="AO347" s="225"/>
      <c r="AP347" s="260"/>
      <c r="AQ347" s="258"/>
      <c r="AR347" s="258"/>
      <c r="AS347" s="202"/>
      <c r="AT347" s="213"/>
      <c r="AU347" s="213"/>
    </row>
    <row r="348" spans="40:47" s="121" customFormat="1" hidden="1">
      <c r="AN348" s="239"/>
      <c r="AO348" s="225"/>
      <c r="AP348" s="260"/>
      <c r="AQ348" s="258"/>
      <c r="AR348" s="258"/>
      <c r="AS348" s="202"/>
      <c r="AT348" s="213"/>
      <c r="AU348" s="213"/>
    </row>
    <row r="349" spans="40:47" s="121" customFormat="1" hidden="1">
      <c r="AN349" s="239"/>
      <c r="AO349" s="225"/>
      <c r="AP349" s="260"/>
      <c r="AQ349" s="258"/>
      <c r="AR349" s="258"/>
      <c r="AS349" s="202"/>
      <c r="AT349" s="213"/>
      <c r="AU349" s="213"/>
    </row>
    <row r="350" spans="40:47" s="121" customFormat="1" hidden="1">
      <c r="AN350" s="239"/>
      <c r="AO350" s="225"/>
      <c r="AP350" s="260"/>
      <c r="AQ350" s="258"/>
      <c r="AR350" s="258"/>
      <c r="AS350" s="202"/>
      <c r="AT350" s="213"/>
      <c r="AU350" s="213"/>
    </row>
    <row r="351" spans="40:47" s="121" customFormat="1" hidden="1">
      <c r="AN351" s="239"/>
      <c r="AO351" s="225"/>
      <c r="AP351" s="260"/>
      <c r="AQ351" s="258"/>
      <c r="AR351" s="258"/>
      <c r="AS351" s="202"/>
      <c r="AT351" s="213"/>
      <c r="AU351" s="213"/>
    </row>
    <row r="352" spans="40:47" s="121" customFormat="1" hidden="1">
      <c r="AN352" s="239"/>
      <c r="AO352" s="225"/>
      <c r="AP352" s="260"/>
      <c r="AQ352" s="258"/>
      <c r="AR352" s="258"/>
      <c r="AS352" s="202"/>
      <c r="AT352" s="213"/>
      <c r="AU352" s="213"/>
    </row>
    <row r="353" spans="40:47" s="121" customFormat="1" hidden="1">
      <c r="AN353" s="239"/>
      <c r="AO353" s="225"/>
      <c r="AP353" s="260"/>
      <c r="AQ353" s="258"/>
      <c r="AR353" s="258"/>
      <c r="AS353" s="202"/>
      <c r="AT353" s="213"/>
      <c r="AU353" s="213"/>
    </row>
    <row r="354" spans="40:47" s="121" customFormat="1" hidden="1">
      <c r="AN354" s="239"/>
      <c r="AO354" s="225"/>
      <c r="AP354" s="260"/>
      <c r="AQ354" s="258"/>
      <c r="AR354" s="258"/>
      <c r="AS354" s="202"/>
      <c r="AT354" s="213"/>
      <c r="AU354" s="213"/>
    </row>
    <row r="355" spans="40:47" s="121" customFormat="1" hidden="1">
      <c r="AN355" s="239"/>
      <c r="AO355" s="225"/>
      <c r="AP355" s="260"/>
      <c r="AQ355" s="258"/>
      <c r="AR355" s="258"/>
      <c r="AS355" s="202"/>
      <c r="AT355" s="213"/>
      <c r="AU355" s="213"/>
    </row>
    <row r="356" spans="40:47" s="121" customFormat="1" hidden="1">
      <c r="AN356" s="239"/>
      <c r="AO356" s="225"/>
      <c r="AP356" s="260"/>
      <c r="AQ356" s="258"/>
      <c r="AR356" s="258"/>
      <c r="AS356" s="202"/>
      <c r="AT356" s="213"/>
      <c r="AU356" s="213"/>
    </row>
    <row r="357" spans="40:47" s="121" customFormat="1" hidden="1">
      <c r="AN357" s="239"/>
      <c r="AO357" s="225"/>
      <c r="AP357" s="260"/>
      <c r="AQ357" s="258"/>
      <c r="AR357" s="258"/>
      <c r="AS357" s="202"/>
      <c r="AT357" s="213"/>
      <c r="AU357" s="213"/>
    </row>
    <row r="358" spans="40:47" s="121" customFormat="1" hidden="1">
      <c r="AN358" s="239"/>
      <c r="AO358" s="225"/>
      <c r="AP358" s="260"/>
      <c r="AQ358" s="258"/>
      <c r="AR358" s="258"/>
      <c r="AS358" s="202"/>
      <c r="AT358" s="213"/>
      <c r="AU358" s="213"/>
    </row>
    <row r="359" spans="40:47" s="121" customFormat="1" hidden="1">
      <c r="AN359" s="239"/>
      <c r="AO359" s="225"/>
      <c r="AP359" s="260"/>
      <c r="AQ359" s="258"/>
      <c r="AR359" s="258"/>
      <c r="AS359" s="202"/>
      <c r="AT359" s="213"/>
      <c r="AU359" s="213"/>
    </row>
    <row r="360" spans="40:47" s="121" customFormat="1" hidden="1">
      <c r="AN360" s="239"/>
      <c r="AO360" s="225"/>
      <c r="AP360" s="260"/>
      <c r="AQ360" s="258"/>
      <c r="AR360" s="258"/>
      <c r="AS360" s="202"/>
      <c r="AT360" s="213"/>
      <c r="AU360" s="213"/>
    </row>
    <row r="361" spans="40:47" s="121" customFormat="1" hidden="1">
      <c r="AN361" s="239"/>
      <c r="AO361" s="225"/>
      <c r="AP361" s="260"/>
      <c r="AQ361" s="258"/>
      <c r="AR361" s="258"/>
      <c r="AS361" s="202"/>
      <c r="AT361" s="213"/>
      <c r="AU361" s="213"/>
    </row>
    <row r="362" spans="40:47" s="121" customFormat="1" hidden="1">
      <c r="AN362" s="239"/>
      <c r="AO362" s="225"/>
      <c r="AP362" s="260"/>
      <c r="AQ362" s="258"/>
      <c r="AR362" s="258"/>
      <c r="AS362" s="202"/>
      <c r="AT362" s="213"/>
      <c r="AU362" s="213"/>
    </row>
    <row r="363" spans="40:47" s="121" customFormat="1" hidden="1">
      <c r="AN363" s="239"/>
      <c r="AO363" s="225"/>
      <c r="AP363" s="260"/>
      <c r="AQ363" s="258"/>
      <c r="AR363" s="258"/>
      <c r="AS363" s="202"/>
      <c r="AT363" s="213"/>
      <c r="AU363" s="213"/>
    </row>
    <row r="364" spans="40:47" s="121" customFormat="1" hidden="1">
      <c r="AN364" s="239"/>
      <c r="AO364" s="225"/>
      <c r="AP364" s="260"/>
      <c r="AQ364" s="258"/>
      <c r="AR364" s="258"/>
      <c r="AS364" s="202"/>
      <c r="AT364" s="213"/>
      <c r="AU364" s="213"/>
    </row>
    <row r="365" spans="40:47" s="121" customFormat="1" hidden="1">
      <c r="AN365" s="239"/>
      <c r="AO365" s="225"/>
      <c r="AP365" s="260"/>
      <c r="AQ365" s="258"/>
      <c r="AR365" s="258"/>
      <c r="AS365" s="202"/>
      <c r="AT365" s="213"/>
      <c r="AU365" s="213"/>
    </row>
    <row r="366" spans="40:47" s="121" customFormat="1" hidden="1">
      <c r="AN366" s="239"/>
      <c r="AO366" s="225"/>
      <c r="AP366" s="260"/>
      <c r="AQ366" s="258"/>
      <c r="AR366" s="258"/>
      <c r="AS366" s="202"/>
      <c r="AT366" s="213"/>
      <c r="AU366" s="213"/>
    </row>
    <row r="367" spans="40:47" s="121" customFormat="1" hidden="1">
      <c r="AN367" s="239"/>
      <c r="AO367" s="225"/>
      <c r="AP367" s="260"/>
      <c r="AQ367" s="258"/>
      <c r="AR367" s="258"/>
      <c r="AS367" s="202"/>
      <c r="AT367" s="213"/>
      <c r="AU367" s="213"/>
    </row>
    <row r="368" spans="40:47" s="121" customFormat="1" hidden="1">
      <c r="AN368" s="239"/>
      <c r="AO368" s="225"/>
      <c r="AP368" s="260"/>
      <c r="AQ368" s="258"/>
      <c r="AR368" s="258"/>
      <c r="AS368" s="202"/>
      <c r="AT368" s="213"/>
      <c r="AU368" s="213"/>
    </row>
    <row r="369" spans="40:47" s="121" customFormat="1" hidden="1">
      <c r="AN369" s="239"/>
      <c r="AO369" s="225"/>
      <c r="AP369" s="260"/>
      <c r="AQ369" s="258"/>
      <c r="AR369" s="258"/>
      <c r="AS369" s="202"/>
      <c r="AT369" s="213"/>
      <c r="AU369" s="213"/>
    </row>
    <row r="370" spans="40:47" s="121" customFormat="1" hidden="1">
      <c r="AN370" s="239"/>
      <c r="AO370" s="225"/>
      <c r="AP370" s="260"/>
      <c r="AQ370" s="258"/>
      <c r="AR370" s="258"/>
      <c r="AS370" s="202"/>
      <c r="AT370" s="213"/>
      <c r="AU370" s="213"/>
    </row>
    <row r="371" spans="40:47" s="121" customFormat="1" hidden="1">
      <c r="AN371" s="239"/>
      <c r="AO371" s="225"/>
      <c r="AP371" s="260"/>
      <c r="AQ371" s="258"/>
      <c r="AR371" s="258"/>
      <c r="AS371" s="202"/>
      <c r="AT371" s="213"/>
      <c r="AU371" s="213"/>
    </row>
    <row r="372" spans="40:47" s="121" customFormat="1" hidden="1">
      <c r="AN372" s="239"/>
      <c r="AO372" s="225"/>
      <c r="AP372" s="260"/>
      <c r="AQ372" s="258"/>
      <c r="AR372" s="258"/>
      <c r="AS372" s="202"/>
      <c r="AT372" s="213"/>
      <c r="AU372" s="213"/>
    </row>
    <row r="373" spans="40:47" s="121" customFormat="1" hidden="1">
      <c r="AN373" s="239"/>
      <c r="AO373" s="225"/>
      <c r="AP373" s="260"/>
      <c r="AQ373" s="258"/>
      <c r="AR373" s="258"/>
      <c r="AS373" s="202"/>
      <c r="AT373" s="213"/>
      <c r="AU373" s="213"/>
    </row>
    <row r="374" spans="40:47" s="121" customFormat="1" hidden="1">
      <c r="AN374" s="239"/>
      <c r="AO374" s="225"/>
      <c r="AP374" s="260"/>
      <c r="AQ374" s="258"/>
      <c r="AR374" s="258"/>
      <c r="AS374" s="202"/>
      <c r="AT374" s="213"/>
      <c r="AU374" s="213"/>
    </row>
    <row r="375" spans="40:47" s="121" customFormat="1" hidden="1">
      <c r="AN375" s="239"/>
      <c r="AO375" s="225"/>
      <c r="AP375" s="260"/>
      <c r="AQ375" s="258"/>
      <c r="AR375" s="258"/>
      <c r="AS375" s="202"/>
      <c r="AT375" s="213"/>
      <c r="AU375" s="213"/>
    </row>
    <row r="376" spans="40:47" s="121" customFormat="1" hidden="1">
      <c r="AN376" s="239"/>
      <c r="AO376" s="225"/>
      <c r="AP376" s="260"/>
      <c r="AQ376" s="258"/>
      <c r="AR376" s="258"/>
      <c r="AS376" s="202"/>
      <c r="AT376" s="213"/>
      <c r="AU376" s="213"/>
    </row>
    <row r="377" spans="40:47" s="121" customFormat="1" hidden="1">
      <c r="AN377" s="239"/>
      <c r="AO377" s="225"/>
      <c r="AP377" s="260"/>
      <c r="AQ377" s="258"/>
      <c r="AR377" s="258"/>
      <c r="AS377" s="202"/>
      <c r="AT377" s="213"/>
      <c r="AU377" s="213"/>
    </row>
    <row r="378" spans="40:47" s="121" customFormat="1" hidden="1">
      <c r="AN378" s="239"/>
      <c r="AO378" s="225"/>
      <c r="AP378" s="260"/>
      <c r="AQ378" s="258"/>
      <c r="AR378" s="258"/>
      <c r="AS378" s="202"/>
      <c r="AT378" s="213"/>
      <c r="AU378" s="213"/>
    </row>
    <row r="379" spans="40:47" s="121" customFormat="1" hidden="1">
      <c r="AN379" s="239"/>
      <c r="AO379" s="225"/>
      <c r="AP379" s="260"/>
      <c r="AQ379" s="258"/>
      <c r="AR379" s="258"/>
      <c r="AS379" s="202"/>
      <c r="AT379" s="213"/>
      <c r="AU379" s="213"/>
    </row>
    <row r="380" spans="40:47" s="121" customFormat="1" hidden="1">
      <c r="AN380" s="239"/>
      <c r="AO380" s="225"/>
      <c r="AP380" s="260"/>
      <c r="AQ380" s="258"/>
      <c r="AR380" s="258"/>
      <c r="AS380" s="202"/>
      <c r="AT380" s="213"/>
      <c r="AU380" s="213"/>
    </row>
    <row r="381" spans="40:47" s="121" customFormat="1" hidden="1">
      <c r="AN381" s="239"/>
      <c r="AO381" s="225"/>
      <c r="AP381" s="260"/>
      <c r="AQ381" s="258"/>
      <c r="AR381" s="258"/>
      <c r="AS381" s="202"/>
      <c r="AT381" s="213"/>
      <c r="AU381" s="213"/>
    </row>
    <row r="382" spans="40:47" s="121" customFormat="1" hidden="1">
      <c r="AN382" s="239"/>
      <c r="AO382" s="225"/>
      <c r="AP382" s="260"/>
      <c r="AQ382" s="258"/>
      <c r="AR382" s="258"/>
      <c r="AS382" s="202"/>
      <c r="AT382" s="213"/>
      <c r="AU382" s="213"/>
    </row>
    <row r="383" spans="40:47" s="121" customFormat="1" hidden="1">
      <c r="AN383" s="239"/>
      <c r="AO383" s="225"/>
      <c r="AP383" s="260"/>
      <c r="AQ383" s="258"/>
      <c r="AR383" s="258"/>
      <c r="AS383" s="202"/>
      <c r="AT383" s="213"/>
      <c r="AU383" s="213"/>
    </row>
    <row r="384" spans="40:47" s="121" customFormat="1" hidden="1">
      <c r="AN384" s="239"/>
      <c r="AO384" s="225"/>
      <c r="AP384" s="260"/>
      <c r="AQ384" s="258"/>
      <c r="AR384" s="258"/>
      <c r="AS384" s="202"/>
      <c r="AT384" s="213"/>
      <c r="AU384" s="213"/>
    </row>
    <row r="385" spans="40:47" s="121" customFormat="1" hidden="1">
      <c r="AN385" s="239"/>
      <c r="AO385" s="225"/>
      <c r="AP385" s="260"/>
      <c r="AQ385" s="258"/>
      <c r="AR385" s="258"/>
      <c r="AS385" s="202"/>
      <c r="AT385" s="213"/>
      <c r="AU385" s="213"/>
    </row>
    <row r="386" spans="40:47" s="121" customFormat="1" hidden="1">
      <c r="AN386" s="239"/>
      <c r="AO386" s="225"/>
      <c r="AP386" s="260"/>
      <c r="AQ386" s="258"/>
      <c r="AR386" s="258"/>
      <c r="AS386" s="202"/>
      <c r="AT386" s="213"/>
      <c r="AU386" s="213"/>
    </row>
    <row r="387" spans="40:47" s="121" customFormat="1" hidden="1">
      <c r="AN387" s="239"/>
      <c r="AO387" s="225"/>
      <c r="AP387" s="260"/>
      <c r="AQ387" s="258"/>
      <c r="AR387" s="258"/>
      <c r="AS387" s="202"/>
      <c r="AT387" s="213"/>
      <c r="AU387" s="213"/>
    </row>
    <row r="388" spans="40:47" s="121" customFormat="1" hidden="1">
      <c r="AN388" s="239"/>
      <c r="AO388" s="225"/>
      <c r="AP388" s="260"/>
      <c r="AQ388" s="258"/>
      <c r="AR388" s="258"/>
      <c r="AS388" s="202"/>
      <c r="AT388" s="213"/>
      <c r="AU388" s="213"/>
    </row>
    <row r="389" spans="40:47" s="121" customFormat="1" hidden="1">
      <c r="AN389" s="239"/>
      <c r="AO389" s="225"/>
      <c r="AP389" s="260"/>
      <c r="AQ389" s="258"/>
      <c r="AR389" s="258"/>
      <c r="AS389" s="202"/>
      <c r="AT389" s="213"/>
      <c r="AU389" s="213"/>
    </row>
    <row r="390" spans="40:47" s="121" customFormat="1" hidden="1">
      <c r="AN390" s="239"/>
      <c r="AO390" s="225"/>
      <c r="AP390" s="260"/>
      <c r="AQ390" s="258"/>
      <c r="AR390" s="258"/>
      <c r="AS390" s="202"/>
      <c r="AT390" s="213"/>
      <c r="AU390" s="213"/>
    </row>
    <row r="391" spans="40:47" s="121" customFormat="1" hidden="1">
      <c r="AN391" s="239"/>
      <c r="AO391" s="225"/>
      <c r="AP391" s="260"/>
      <c r="AQ391" s="258"/>
      <c r="AR391" s="258"/>
      <c r="AS391" s="202"/>
      <c r="AT391" s="213"/>
      <c r="AU391" s="213"/>
    </row>
    <row r="392" spans="40:47" s="121" customFormat="1" hidden="1">
      <c r="AN392" s="239"/>
      <c r="AO392" s="225"/>
      <c r="AP392" s="260"/>
      <c r="AQ392" s="258"/>
      <c r="AR392" s="258"/>
      <c r="AS392" s="202"/>
      <c r="AT392" s="213"/>
      <c r="AU392" s="213"/>
    </row>
    <row r="393" spans="40:47" s="121" customFormat="1" hidden="1">
      <c r="AN393" s="239"/>
      <c r="AO393" s="225"/>
      <c r="AP393" s="260"/>
      <c r="AQ393" s="258"/>
      <c r="AR393" s="258"/>
      <c r="AS393" s="202"/>
      <c r="AT393" s="213"/>
      <c r="AU393" s="213"/>
    </row>
    <row r="394" spans="40:47" s="121" customFormat="1" hidden="1">
      <c r="AN394" s="239"/>
      <c r="AO394" s="225"/>
      <c r="AP394" s="260"/>
      <c r="AQ394" s="258"/>
      <c r="AR394" s="258"/>
      <c r="AS394" s="202"/>
      <c r="AT394" s="213"/>
      <c r="AU394" s="213"/>
    </row>
    <row r="395" spans="40:47" s="121" customFormat="1" hidden="1">
      <c r="AN395" s="239"/>
      <c r="AO395" s="225"/>
      <c r="AP395" s="260"/>
      <c r="AQ395" s="258"/>
      <c r="AR395" s="258"/>
      <c r="AS395" s="202"/>
      <c r="AT395" s="213"/>
      <c r="AU395" s="213"/>
    </row>
    <row r="396" spans="40:47" s="121" customFormat="1" hidden="1">
      <c r="AN396" s="239"/>
      <c r="AO396" s="225"/>
      <c r="AP396" s="260"/>
      <c r="AQ396" s="258"/>
      <c r="AR396" s="258"/>
      <c r="AS396" s="202"/>
      <c r="AT396" s="213"/>
      <c r="AU396" s="213"/>
    </row>
    <row r="397" spans="40:47" s="121" customFormat="1" hidden="1">
      <c r="AN397" s="239"/>
      <c r="AO397" s="225"/>
      <c r="AP397" s="260"/>
      <c r="AQ397" s="258"/>
      <c r="AR397" s="258"/>
      <c r="AS397" s="202"/>
      <c r="AT397" s="213"/>
      <c r="AU397" s="213"/>
    </row>
    <row r="398" spans="40:47" s="121" customFormat="1" hidden="1">
      <c r="AN398" s="239"/>
      <c r="AO398" s="225"/>
      <c r="AP398" s="260"/>
      <c r="AQ398" s="258"/>
      <c r="AR398" s="258"/>
      <c r="AS398" s="202"/>
      <c r="AT398" s="213"/>
      <c r="AU398" s="213"/>
    </row>
    <row r="399" spans="40:47" s="121" customFormat="1" hidden="1">
      <c r="AN399" s="239"/>
      <c r="AO399" s="225"/>
      <c r="AP399" s="260"/>
      <c r="AQ399" s="258"/>
      <c r="AR399" s="258"/>
      <c r="AS399" s="202"/>
      <c r="AT399" s="213"/>
      <c r="AU399" s="213"/>
    </row>
    <row r="400" spans="40:47" s="121" customFormat="1" hidden="1">
      <c r="AN400" s="239"/>
      <c r="AO400" s="225"/>
      <c r="AP400" s="260"/>
      <c r="AQ400" s="258"/>
      <c r="AR400" s="258"/>
      <c r="AS400" s="202"/>
      <c r="AT400" s="213"/>
      <c r="AU400" s="213"/>
    </row>
    <row r="401" spans="40:47" s="121" customFormat="1" hidden="1">
      <c r="AN401" s="239"/>
      <c r="AO401" s="225"/>
      <c r="AP401" s="260"/>
      <c r="AQ401" s="258"/>
      <c r="AR401" s="258"/>
      <c r="AS401" s="202"/>
      <c r="AT401" s="213"/>
      <c r="AU401" s="213"/>
    </row>
    <row r="402" spans="40:47" s="121" customFormat="1" hidden="1">
      <c r="AN402" s="239"/>
      <c r="AO402" s="225"/>
      <c r="AP402" s="260"/>
      <c r="AQ402" s="258"/>
      <c r="AR402" s="258"/>
      <c r="AS402" s="202"/>
      <c r="AT402" s="213"/>
      <c r="AU402" s="213"/>
    </row>
    <row r="403" spans="40:47" s="121" customFormat="1" hidden="1">
      <c r="AN403" s="239"/>
      <c r="AO403" s="225"/>
      <c r="AP403" s="260"/>
      <c r="AQ403" s="258"/>
      <c r="AR403" s="258"/>
      <c r="AS403" s="202"/>
      <c r="AT403" s="213"/>
      <c r="AU403" s="213"/>
    </row>
    <row r="404" spans="40:47" s="121" customFormat="1" hidden="1">
      <c r="AN404" s="239"/>
      <c r="AO404" s="225"/>
      <c r="AP404" s="260"/>
      <c r="AQ404" s="258"/>
      <c r="AR404" s="258"/>
      <c r="AS404" s="202"/>
      <c r="AT404" s="213"/>
      <c r="AU404" s="213"/>
    </row>
    <row r="405" spans="40:47" s="121" customFormat="1" hidden="1">
      <c r="AN405" s="239"/>
      <c r="AO405" s="225"/>
      <c r="AP405" s="260"/>
      <c r="AQ405" s="258"/>
      <c r="AR405" s="258"/>
      <c r="AS405" s="202"/>
      <c r="AT405" s="213"/>
      <c r="AU405" s="213"/>
    </row>
    <row r="406" spans="40:47" s="121" customFormat="1" hidden="1">
      <c r="AN406" s="239"/>
      <c r="AO406" s="225"/>
      <c r="AP406" s="260"/>
      <c r="AQ406" s="258"/>
      <c r="AR406" s="258"/>
      <c r="AS406" s="202"/>
      <c r="AT406" s="213"/>
      <c r="AU406" s="213"/>
    </row>
    <row r="407" spans="40:47" s="121" customFormat="1" hidden="1">
      <c r="AN407" s="239"/>
      <c r="AO407" s="225"/>
      <c r="AP407" s="260"/>
      <c r="AQ407" s="258"/>
      <c r="AR407" s="258"/>
      <c r="AS407" s="202"/>
      <c r="AT407" s="213"/>
      <c r="AU407" s="213"/>
    </row>
    <row r="408" spans="40:47" s="121" customFormat="1" hidden="1">
      <c r="AN408" s="239"/>
      <c r="AO408" s="225"/>
      <c r="AP408" s="260"/>
      <c r="AQ408" s="258"/>
      <c r="AR408" s="258"/>
      <c r="AS408" s="202"/>
      <c r="AT408" s="213"/>
      <c r="AU408" s="213"/>
    </row>
    <row r="409" spans="40:47" s="121" customFormat="1" hidden="1">
      <c r="AN409" s="239"/>
      <c r="AO409" s="225"/>
      <c r="AP409" s="260"/>
      <c r="AQ409" s="258"/>
      <c r="AR409" s="258"/>
      <c r="AS409" s="202"/>
      <c r="AT409" s="213"/>
      <c r="AU409" s="213"/>
    </row>
    <row r="410" spans="40:47" s="121" customFormat="1" hidden="1">
      <c r="AN410" s="239"/>
      <c r="AO410" s="225"/>
      <c r="AP410" s="260"/>
      <c r="AQ410" s="258"/>
      <c r="AR410" s="258"/>
      <c r="AS410" s="202"/>
      <c r="AT410" s="213"/>
      <c r="AU410" s="213"/>
    </row>
    <row r="411" spans="40:47" s="121" customFormat="1" hidden="1">
      <c r="AN411" s="239"/>
      <c r="AO411" s="225"/>
      <c r="AP411" s="260"/>
      <c r="AQ411" s="258"/>
      <c r="AR411" s="258"/>
      <c r="AS411" s="202"/>
      <c r="AT411" s="213"/>
      <c r="AU411" s="213"/>
    </row>
    <row r="412" spans="40:47" s="121" customFormat="1" hidden="1">
      <c r="AN412" s="239"/>
      <c r="AO412" s="225"/>
      <c r="AP412" s="260"/>
      <c r="AQ412" s="258"/>
      <c r="AR412" s="258"/>
      <c r="AS412" s="202"/>
      <c r="AT412" s="213"/>
      <c r="AU412" s="213"/>
    </row>
    <row r="413" spans="40:47" s="121" customFormat="1" hidden="1">
      <c r="AN413" s="239"/>
      <c r="AO413" s="225"/>
      <c r="AP413" s="260"/>
      <c r="AQ413" s="258"/>
      <c r="AR413" s="258"/>
      <c r="AS413" s="202"/>
      <c r="AT413" s="213"/>
      <c r="AU413" s="213"/>
    </row>
    <row r="414" spans="40:47" s="121" customFormat="1" hidden="1">
      <c r="AN414" s="239"/>
      <c r="AO414" s="225"/>
      <c r="AP414" s="260"/>
      <c r="AQ414" s="258"/>
      <c r="AR414" s="258"/>
      <c r="AS414" s="202"/>
      <c r="AT414" s="213"/>
      <c r="AU414" s="213"/>
    </row>
    <row r="415" spans="40:47" s="121" customFormat="1" hidden="1">
      <c r="AN415" s="239"/>
      <c r="AO415" s="225"/>
      <c r="AP415" s="260"/>
      <c r="AQ415" s="258"/>
      <c r="AR415" s="258"/>
      <c r="AS415" s="202"/>
      <c r="AT415" s="213"/>
      <c r="AU415" s="213"/>
    </row>
    <row r="416" spans="40:47" s="121" customFormat="1" hidden="1">
      <c r="AN416" s="239"/>
      <c r="AO416" s="225"/>
      <c r="AP416" s="260"/>
      <c r="AQ416" s="258"/>
      <c r="AR416" s="258"/>
      <c r="AS416" s="202"/>
      <c r="AT416" s="213"/>
      <c r="AU416" s="213"/>
    </row>
    <row r="417" spans="40:47" s="121" customFormat="1" hidden="1">
      <c r="AN417" s="239"/>
      <c r="AO417" s="225"/>
      <c r="AP417" s="260"/>
      <c r="AQ417" s="258"/>
      <c r="AR417" s="258"/>
      <c r="AS417" s="202"/>
      <c r="AT417" s="213"/>
      <c r="AU417" s="213"/>
    </row>
    <row r="418" spans="40:47" s="121" customFormat="1" hidden="1">
      <c r="AN418" s="239"/>
      <c r="AO418" s="225"/>
      <c r="AP418" s="260"/>
      <c r="AQ418" s="258"/>
      <c r="AR418" s="258"/>
      <c r="AS418" s="202"/>
      <c r="AT418" s="213"/>
      <c r="AU418" s="213"/>
    </row>
    <row r="419" spans="40:47" s="121" customFormat="1" hidden="1">
      <c r="AN419" s="239"/>
      <c r="AO419" s="225"/>
      <c r="AP419" s="260"/>
      <c r="AQ419" s="258"/>
      <c r="AR419" s="258"/>
      <c r="AS419" s="202"/>
      <c r="AT419" s="213"/>
      <c r="AU419" s="213"/>
    </row>
    <row r="420" spans="40:47" s="121" customFormat="1" hidden="1">
      <c r="AN420" s="239"/>
      <c r="AO420" s="225"/>
      <c r="AP420" s="260"/>
      <c r="AQ420" s="258"/>
      <c r="AR420" s="258"/>
      <c r="AS420" s="202"/>
      <c r="AT420" s="213"/>
      <c r="AU420" s="213"/>
    </row>
    <row r="421" spans="40:47" s="121" customFormat="1" hidden="1">
      <c r="AN421" s="239"/>
      <c r="AO421" s="225"/>
      <c r="AP421" s="260"/>
      <c r="AQ421" s="258"/>
      <c r="AR421" s="258"/>
      <c r="AS421" s="202"/>
      <c r="AT421" s="213"/>
      <c r="AU421" s="213"/>
    </row>
    <row r="422" spans="40:47" s="121" customFormat="1" hidden="1">
      <c r="AN422" s="239"/>
      <c r="AO422" s="225"/>
      <c r="AP422" s="260"/>
      <c r="AQ422" s="258"/>
      <c r="AR422" s="258"/>
      <c r="AS422" s="202"/>
      <c r="AT422" s="213"/>
      <c r="AU422" s="213"/>
    </row>
    <row r="423" spans="40:47" s="121" customFormat="1" hidden="1">
      <c r="AN423" s="239"/>
      <c r="AO423" s="225"/>
      <c r="AP423" s="260"/>
      <c r="AQ423" s="258"/>
      <c r="AR423" s="258"/>
      <c r="AS423" s="202"/>
      <c r="AT423" s="213"/>
      <c r="AU423" s="213"/>
    </row>
    <row r="424" spans="40:47" s="121" customFormat="1" hidden="1">
      <c r="AN424" s="239"/>
      <c r="AO424" s="225"/>
      <c r="AP424" s="260"/>
      <c r="AQ424" s="258"/>
      <c r="AR424" s="258"/>
      <c r="AS424" s="202"/>
      <c r="AT424" s="213"/>
      <c r="AU424" s="213"/>
    </row>
    <row r="425" spans="40:47" s="121" customFormat="1" hidden="1">
      <c r="AN425" s="239"/>
      <c r="AO425" s="225"/>
      <c r="AP425" s="260"/>
      <c r="AQ425" s="258"/>
      <c r="AR425" s="258"/>
      <c r="AS425" s="202"/>
      <c r="AT425" s="213"/>
      <c r="AU425" s="213"/>
    </row>
    <row r="426" spans="40:47" s="121" customFormat="1" hidden="1">
      <c r="AN426" s="239"/>
      <c r="AO426" s="225"/>
      <c r="AP426" s="260"/>
      <c r="AQ426" s="258"/>
      <c r="AR426" s="258"/>
      <c r="AS426" s="202"/>
      <c r="AT426" s="213"/>
      <c r="AU426" s="213"/>
    </row>
    <row r="427" spans="40:47" s="121" customFormat="1" hidden="1">
      <c r="AN427" s="239"/>
      <c r="AO427" s="225"/>
      <c r="AP427" s="260"/>
      <c r="AQ427" s="258"/>
      <c r="AR427" s="258"/>
      <c r="AS427" s="202"/>
      <c r="AT427" s="213"/>
      <c r="AU427" s="213"/>
    </row>
    <row r="428" spans="40:47" s="121" customFormat="1" hidden="1">
      <c r="AN428" s="239"/>
      <c r="AO428" s="225"/>
      <c r="AP428" s="260"/>
      <c r="AQ428" s="258"/>
      <c r="AR428" s="258"/>
      <c r="AS428" s="202"/>
      <c r="AT428" s="213"/>
      <c r="AU428" s="213"/>
    </row>
    <row r="429" spans="40:47" s="121" customFormat="1" hidden="1">
      <c r="AN429" s="239"/>
      <c r="AO429" s="225"/>
      <c r="AP429" s="260"/>
      <c r="AQ429" s="258"/>
      <c r="AR429" s="258"/>
      <c r="AS429" s="202"/>
      <c r="AT429" s="213"/>
      <c r="AU429" s="213"/>
    </row>
    <row r="430" spans="40:47" s="121" customFormat="1" hidden="1">
      <c r="AN430" s="239"/>
      <c r="AO430" s="225"/>
      <c r="AP430" s="260"/>
      <c r="AQ430" s="258"/>
      <c r="AR430" s="258"/>
      <c r="AS430" s="202"/>
      <c r="AT430" s="213"/>
      <c r="AU430" s="213"/>
    </row>
    <row r="431" spans="40:47" s="121" customFormat="1" hidden="1">
      <c r="AN431" s="239"/>
      <c r="AO431" s="225"/>
      <c r="AP431" s="260"/>
      <c r="AQ431" s="258"/>
      <c r="AR431" s="258"/>
      <c r="AS431" s="202"/>
      <c r="AT431" s="213"/>
      <c r="AU431" s="213"/>
    </row>
    <row r="432" spans="40:47" s="121" customFormat="1" hidden="1">
      <c r="AN432" s="239"/>
      <c r="AO432" s="225"/>
      <c r="AP432" s="260"/>
      <c r="AQ432" s="258"/>
      <c r="AR432" s="258"/>
      <c r="AS432" s="202"/>
      <c r="AT432" s="213"/>
      <c r="AU432" s="213"/>
    </row>
    <row r="433" spans="40:47" s="121" customFormat="1" hidden="1">
      <c r="AN433" s="239"/>
      <c r="AO433" s="225"/>
      <c r="AP433" s="260"/>
      <c r="AQ433" s="258"/>
      <c r="AR433" s="258"/>
      <c r="AS433" s="202"/>
      <c r="AT433" s="213"/>
      <c r="AU433" s="213"/>
    </row>
    <row r="434" spans="40:47" s="121" customFormat="1" hidden="1">
      <c r="AN434" s="239"/>
      <c r="AO434" s="225"/>
      <c r="AP434" s="260"/>
      <c r="AQ434" s="258"/>
      <c r="AR434" s="258"/>
      <c r="AS434" s="202"/>
      <c r="AT434" s="213"/>
      <c r="AU434" s="213"/>
    </row>
    <row r="435" spans="40:47" s="121" customFormat="1" hidden="1">
      <c r="AN435" s="239"/>
      <c r="AO435" s="225"/>
      <c r="AP435" s="260"/>
      <c r="AQ435" s="258"/>
      <c r="AR435" s="258"/>
      <c r="AS435" s="202"/>
      <c r="AT435" s="213"/>
      <c r="AU435" s="213"/>
    </row>
    <row r="436" spans="40:47" s="121" customFormat="1" hidden="1">
      <c r="AN436" s="239"/>
      <c r="AO436" s="225"/>
      <c r="AP436" s="260"/>
      <c r="AQ436" s="258"/>
      <c r="AR436" s="258"/>
      <c r="AS436" s="202"/>
      <c r="AT436" s="213"/>
      <c r="AU436" s="213"/>
    </row>
    <row r="437" spans="40:47" s="121" customFormat="1" hidden="1">
      <c r="AN437" s="239"/>
      <c r="AO437" s="225"/>
      <c r="AP437" s="260"/>
      <c r="AQ437" s="258"/>
      <c r="AR437" s="258"/>
      <c r="AS437" s="202"/>
      <c r="AT437" s="213"/>
      <c r="AU437" s="213"/>
    </row>
    <row r="438" spans="40:47" s="121" customFormat="1" hidden="1">
      <c r="AN438" s="239"/>
      <c r="AO438" s="225"/>
      <c r="AP438" s="260"/>
      <c r="AQ438" s="258"/>
      <c r="AR438" s="258"/>
      <c r="AS438" s="202"/>
      <c r="AT438" s="213"/>
      <c r="AU438" s="213"/>
    </row>
    <row r="439" spans="40:47" s="121" customFormat="1" hidden="1">
      <c r="AN439" s="239"/>
      <c r="AO439" s="225"/>
      <c r="AP439" s="260"/>
      <c r="AQ439" s="258"/>
      <c r="AR439" s="258"/>
      <c r="AS439" s="202"/>
      <c r="AT439" s="213"/>
      <c r="AU439" s="213"/>
    </row>
    <row r="440" spans="40:47" s="121" customFormat="1" hidden="1">
      <c r="AN440" s="239"/>
      <c r="AO440" s="225"/>
      <c r="AP440" s="260"/>
      <c r="AQ440" s="258"/>
      <c r="AR440" s="258"/>
      <c r="AS440" s="202"/>
      <c r="AT440" s="213"/>
      <c r="AU440" s="213"/>
    </row>
    <row r="441" spans="40:47" s="121" customFormat="1" hidden="1">
      <c r="AN441" s="239"/>
      <c r="AO441" s="225"/>
      <c r="AP441" s="260"/>
      <c r="AQ441" s="258"/>
      <c r="AR441" s="258"/>
      <c r="AS441" s="202"/>
      <c r="AT441" s="213"/>
      <c r="AU441" s="213"/>
    </row>
    <row r="442" spans="40:47" s="121" customFormat="1" hidden="1">
      <c r="AN442" s="239"/>
      <c r="AO442" s="225"/>
      <c r="AP442" s="260"/>
      <c r="AQ442" s="258"/>
      <c r="AR442" s="258"/>
      <c r="AS442" s="202"/>
      <c r="AT442" s="213"/>
      <c r="AU442" s="213"/>
    </row>
    <row r="443" spans="40:47" s="121" customFormat="1" hidden="1">
      <c r="AN443" s="239"/>
      <c r="AO443" s="225"/>
      <c r="AP443" s="260"/>
      <c r="AQ443" s="258"/>
      <c r="AR443" s="258"/>
      <c r="AS443" s="202"/>
      <c r="AT443" s="213"/>
      <c r="AU443" s="213"/>
    </row>
    <row r="444" spans="40:47" s="121" customFormat="1" hidden="1">
      <c r="AN444" s="239"/>
      <c r="AO444" s="225"/>
      <c r="AP444" s="260"/>
      <c r="AQ444" s="258"/>
      <c r="AR444" s="258"/>
      <c r="AS444" s="202"/>
      <c r="AT444" s="213"/>
      <c r="AU444" s="213"/>
    </row>
    <row r="445" spans="40:47" s="121" customFormat="1" hidden="1">
      <c r="AN445" s="239"/>
      <c r="AO445" s="225"/>
      <c r="AP445" s="260"/>
      <c r="AQ445" s="258"/>
      <c r="AR445" s="258"/>
      <c r="AS445" s="202"/>
      <c r="AT445" s="213"/>
      <c r="AU445" s="213"/>
    </row>
    <row r="446" spans="40:47" s="121" customFormat="1" hidden="1">
      <c r="AN446" s="239"/>
      <c r="AO446" s="225"/>
      <c r="AP446" s="260"/>
      <c r="AQ446" s="258"/>
      <c r="AR446" s="258"/>
      <c r="AS446" s="202"/>
      <c r="AT446" s="213"/>
      <c r="AU446" s="213"/>
    </row>
    <row r="447" spans="40:47" s="121" customFormat="1" hidden="1">
      <c r="AN447" s="239"/>
      <c r="AO447" s="225"/>
      <c r="AP447" s="260"/>
      <c r="AQ447" s="258"/>
      <c r="AR447" s="258"/>
      <c r="AS447" s="202"/>
      <c r="AT447" s="213"/>
      <c r="AU447" s="213"/>
    </row>
    <row r="448" spans="40:47" s="121" customFormat="1" hidden="1">
      <c r="AN448" s="239"/>
      <c r="AO448" s="225"/>
      <c r="AP448" s="260"/>
      <c r="AQ448" s="258"/>
      <c r="AR448" s="258"/>
      <c r="AS448" s="202"/>
      <c r="AT448" s="213"/>
      <c r="AU448" s="213"/>
    </row>
    <row r="449" spans="40:47" s="121" customFormat="1" hidden="1">
      <c r="AN449" s="239"/>
      <c r="AO449" s="225"/>
      <c r="AP449" s="260"/>
      <c r="AQ449" s="258"/>
      <c r="AR449" s="258"/>
      <c r="AS449" s="202"/>
      <c r="AT449" s="213"/>
      <c r="AU449" s="213"/>
    </row>
    <row r="450" spans="40:47" s="121" customFormat="1" hidden="1">
      <c r="AN450" s="239"/>
      <c r="AO450" s="225"/>
      <c r="AP450" s="260"/>
      <c r="AQ450" s="258"/>
      <c r="AR450" s="258"/>
      <c r="AS450" s="202"/>
      <c r="AT450" s="213"/>
      <c r="AU450" s="213"/>
    </row>
    <row r="451" spans="40:47" s="121" customFormat="1" hidden="1">
      <c r="AN451" s="239"/>
      <c r="AO451" s="225"/>
      <c r="AP451" s="260"/>
      <c r="AQ451" s="258"/>
      <c r="AR451" s="258"/>
      <c r="AS451" s="202"/>
      <c r="AT451" s="213"/>
      <c r="AU451" s="213"/>
    </row>
    <row r="452" spans="40:47" s="121" customFormat="1" hidden="1">
      <c r="AN452" s="239"/>
      <c r="AO452" s="225"/>
      <c r="AP452" s="260"/>
      <c r="AQ452" s="258"/>
      <c r="AR452" s="258"/>
      <c r="AS452" s="202"/>
      <c r="AT452" s="213"/>
      <c r="AU452" s="213"/>
    </row>
    <row r="453" spans="40:47" s="121" customFormat="1" hidden="1">
      <c r="AN453" s="239"/>
      <c r="AO453" s="225"/>
      <c r="AP453" s="260"/>
      <c r="AQ453" s="258"/>
      <c r="AR453" s="258"/>
      <c r="AS453" s="202"/>
      <c r="AT453" s="213"/>
      <c r="AU453" s="213"/>
    </row>
    <row r="454" spans="40:47" s="121" customFormat="1" hidden="1">
      <c r="AN454" s="239"/>
      <c r="AO454" s="225"/>
      <c r="AP454" s="260"/>
      <c r="AQ454" s="258"/>
      <c r="AR454" s="258"/>
      <c r="AS454" s="202"/>
      <c r="AT454" s="213"/>
      <c r="AU454" s="213"/>
    </row>
    <row r="455" spans="40:47" s="121" customFormat="1" hidden="1">
      <c r="AN455" s="239"/>
      <c r="AO455" s="225"/>
      <c r="AP455" s="260"/>
      <c r="AQ455" s="258"/>
      <c r="AR455" s="258"/>
      <c r="AS455" s="202"/>
      <c r="AT455" s="213"/>
      <c r="AU455" s="213"/>
    </row>
    <row r="456" spans="40:47" s="121" customFormat="1" hidden="1">
      <c r="AN456" s="239"/>
      <c r="AO456" s="225"/>
      <c r="AP456" s="260"/>
      <c r="AQ456" s="258"/>
      <c r="AR456" s="258"/>
      <c r="AS456" s="202"/>
      <c r="AT456" s="213"/>
      <c r="AU456" s="213"/>
    </row>
    <row r="457" spans="40:47" s="121" customFormat="1" hidden="1">
      <c r="AN457" s="239"/>
      <c r="AO457" s="225"/>
      <c r="AP457" s="260"/>
      <c r="AQ457" s="258"/>
      <c r="AR457" s="258"/>
      <c r="AS457" s="202"/>
      <c r="AT457" s="213"/>
      <c r="AU457" s="213"/>
    </row>
    <row r="458" spans="40:47" s="121" customFormat="1" hidden="1">
      <c r="AN458" s="239"/>
      <c r="AO458" s="225"/>
      <c r="AP458" s="260"/>
      <c r="AQ458" s="258"/>
      <c r="AR458" s="258"/>
      <c r="AS458" s="202"/>
      <c r="AT458" s="213"/>
      <c r="AU458" s="213"/>
    </row>
    <row r="459" spans="40:47" s="121" customFormat="1" hidden="1">
      <c r="AN459" s="239"/>
      <c r="AO459" s="225"/>
      <c r="AP459" s="260"/>
      <c r="AQ459" s="258"/>
      <c r="AR459" s="258"/>
      <c r="AS459" s="202"/>
      <c r="AT459" s="213"/>
      <c r="AU459" s="213"/>
    </row>
    <row r="460" spans="40:47" s="121" customFormat="1" hidden="1">
      <c r="AN460" s="239"/>
      <c r="AO460" s="225"/>
      <c r="AP460" s="260"/>
      <c r="AQ460" s="258"/>
      <c r="AR460" s="258"/>
      <c r="AS460" s="202"/>
      <c r="AT460" s="213"/>
      <c r="AU460" s="213"/>
    </row>
    <row r="461" spans="40:47" s="121" customFormat="1" hidden="1">
      <c r="AN461" s="239"/>
      <c r="AO461" s="225"/>
      <c r="AP461" s="260"/>
      <c r="AQ461" s="258"/>
      <c r="AR461" s="258"/>
      <c r="AS461" s="202"/>
      <c r="AT461" s="213"/>
      <c r="AU461" s="213"/>
    </row>
    <row r="462" spans="40:47" s="121" customFormat="1" hidden="1">
      <c r="AN462" s="239"/>
      <c r="AO462" s="225"/>
      <c r="AP462" s="260"/>
      <c r="AQ462" s="258"/>
      <c r="AR462" s="258"/>
      <c r="AS462" s="202"/>
      <c r="AT462" s="213"/>
      <c r="AU462" s="213"/>
    </row>
    <row r="463" spans="40:47" s="121" customFormat="1" hidden="1">
      <c r="AN463" s="239"/>
      <c r="AO463" s="225"/>
      <c r="AP463" s="260"/>
      <c r="AQ463" s="258"/>
      <c r="AR463" s="258"/>
      <c r="AS463" s="202"/>
      <c r="AT463" s="213"/>
      <c r="AU463" s="213"/>
    </row>
    <row r="464" spans="40:47" s="121" customFormat="1" hidden="1">
      <c r="AN464" s="239"/>
      <c r="AO464" s="225"/>
      <c r="AP464" s="260"/>
      <c r="AQ464" s="258"/>
      <c r="AR464" s="258"/>
      <c r="AS464" s="202"/>
      <c r="AT464" s="213"/>
      <c r="AU464" s="213"/>
    </row>
    <row r="465" spans="40:47" s="121" customFormat="1" hidden="1">
      <c r="AN465" s="239"/>
      <c r="AO465" s="225"/>
      <c r="AP465" s="260"/>
      <c r="AQ465" s="258"/>
      <c r="AR465" s="258"/>
      <c r="AS465" s="202"/>
      <c r="AT465" s="213"/>
      <c r="AU465" s="213"/>
    </row>
    <row r="466" spans="40:47" s="121" customFormat="1" hidden="1">
      <c r="AN466" s="239"/>
      <c r="AO466" s="225"/>
      <c r="AP466" s="260"/>
      <c r="AQ466" s="258"/>
      <c r="AR466" s="258"/>
      <c r="AS466" s="202"/>
      <c r="AT466" s="213"/>
      <c r="AU466" s="213"/>
    </row>
    <row r="467" spans="40:47" s="121" customFormat="1" hidden="1">
      <c r="AN467" s="239"/>
      <c r="AO467" s="225"/>
      <c r="AP467" s="260"/>
      <c r="AQ467" s="258"/>
      <c r="AR467" s="258"/>
      <c r="AS467" s="202"/>
      <c r="AT467" s="213"/>
      <c r="AU467" s="213"/>
    </row>
    <row r="468" spans="40:47" s="121" customFormat="1" hidden="1">
      <c r="AN468" s="239"/>
      <c r="AO468" s="225"/>
      <c r="AP468" s="260"/>
      <c r="AQ468" s="258"/>
      <c r="AR468" s="258"/>
      <c r="AS468" s="202"/>
      <c r="AT468" s="213"/>
      <c r="AU468" s="213"/>
    </row>
    <row r="469" spans="40:47" s="121" customFormat="1" hidden="1">
      <c r="AN469" s="239"/>
      <c r="AO469" s="225"/>
      <c r="AP469" s="260"/>
      <c r="AQ469" s="258"/>
      <c r="AR469" s="258"/>
      <c r="AS469" s="202"/>
      <c r="AT469" s="213"/>
      <c r="AU469" s="213"/>
    </row>
    <row r="470" spans="40:47" s="121" customFormat="1" hidden="1">
      <c r="AN470" s="239"/>
      <c r="AO470" s="225"/>
      <c r="AP470" s="260"/>
      <c r="AQ470" s="258"/>
      <c r="AR470" s="258"/>
      <c r="AS470" s="202"/>
      <c r="AT470" s="213"/>
      <c r="AU470" s="213"/>
    </row>
    <row r="471" spans="40:47" s="121" customFormat="1" hidden="1">
      <c r="AN471" s="239"/>
      <c r="AO471" s="225"/>
      <c r="AP471" s="260"/>
      <c r="AQ471" s="258"/>
      <c r="AR471" s="258"/>
      <c r="AS471" s="202"/>
      <c r="AT471" s="213"/>
      <c r="AU471" s="213"/>
    </row>
    <row r="472" spans="40:47" s="121" customFormat="1" hidden="1">
      <c r="AN472" s="239"/>
      <c r="AO472" s="225"/>
      <c r="AP472" s="260"/>
      <c r="AQ472" s="258"/>
      <c r="AR472" s="258"/>
      <c r="AS472" s="202"/>
      <c r="AT472" s="213"/>
      <c r="AU472" s="213"/>
    </row>
    <row r="473" spans="40:47" s="121" customFormat="1" hidden="1">
      <c r="AN473" s="239"/>
      <c r="AO473" s="225"/>
      <c r="AP473" s="260"/>
      <c r="AQ473" s="258"/>
      <c r="AR473" s="258"/>
      <c r="AS473" s="202"/>
      <c r="AT473" s="213"/>
      <c r="AU473" s="213"/>
    </row>
    <row r="474" spans="40:47" s="121" customFormat="1" hidden="1">
      <c r="AN474" s="239"/>
      <c r="AO474" s="225"/>
      <c r="AP474" s="260"/>
      <c r="AQ474" s="258"/>
      <c r="AR474" s="258"/>
      <c r="AS474" s="202"/>
      <c r="AT474" s="213"/>
      <c r="AU474" s="213"/>
    </row>
    <row r="475" spans="40:47" s="121" customFormat="1" hidden="1">
      <c r="AN475" s="239"/>
      <c r="AO475" s="225"/>
      <c r="AP475" s="260"/>
      <c r="AQ475" s="258"/>
      <c r="AR475" s="258"/>
      <c r="AS475" s="202"/>
      <c r="AT475" s="213"/>
      <c r="AU475" s="213"/>
    </row>
    <row r="476" spans="40:47" s="121" customFormat="1" hidden="1">
      <c r="AN476" s="239"/>
      <c r="AO476" s="225"/>
      <c r="AP476" s="260"/>
      <c r="AQ476" s="258"/>
      <c r="AR476" s="258"/>
      <c r="AS476" s="202"/>
      <c r="AT476" s="213"/>
      <c r="AU476" s="213"/>
    </row>
    <row r="477" spans="40:47" s="121" customFormat="1" hidden="1">
      <c r="AN477" s="239"/>
      <c r="AO477" s="225"/>
      <c r="AP477" s="260"/>
      <c r="AQ477" s="258"/>
      <c r="AR477" s="258"/>
      <c r="AS477" s="202"/>
      <c r="AT477" s="213"/>
      <c r="AU477" s="213"/>
    </row>
    <row r="478" spans="40:47" s="121" customFormat="1" hidden="1">
      <c r="AN478" s="239"/>
      <c r="AO478" s="225"/>
      <c r="AP478" s="260"/>
      <c r="AQ478" s="258"/>
      <c r="AR478" s="258"/>
      <c r="AS478" s="202"/>
      <c r="AT478" s="213"/>
      <c r="AU478" s="213"/>
    </row>
    <row r="479" spans="40:47" s="121" customFormat="1" hidden="1">
      <c r="AN479" s="239"/>
      <c r="AO479" s="225"/>
      <c r="AP479" s="260"/>
      <c r="AQ479" s="258"/>
      <c r="AR479" s="258"/>
      <c r="AS479" s="202"/>
      <c r="AT479" s="213"/>
      <c r="AU479" s="213"/>
    </row>
    <row r="480" spans="40:47" s="121" customFormat="1" hidden="1">
      <c r="AN480" s="239"/>
      <c r="AO480" s="225"/>
      <c r="AP480" s="260"/>
      <c r="AQ480" s="258"/>
      <c r="AR480" s="258"/>
      <c r="AS480" s="202"/>
      <c r="AT480" s="213"/>
      <c r="AU480" s="213"/>
    </row>
    <row r="481" spans="40:47" s="121" customFormat="1" hidden="1">
      <c r="AN481" s="239"/>
      <c r="AO481" s="225"/>
      <c r="AP481" s="260"/>
      <c r="AQ481" s="258"/>
      <c r="AR481" s="258"/>
      <c r="AS481" s="202"/>
      <c r="AT481" s="213"/>
      <c r="AU481" s="213"/>
    </row>
    <row r="482" spans="40:47" s="121" customFormat="1" hidden="1">
      <c r="AN482" s="239"/>
      <c r="AO482" s="225"/>
      <c r="AP482" s="260"/>
      <c r="AQ482" s="258"/>
      <c r="AR482" s="258"/>
      <c r="AS482" s="202"/>
      <c r="AT482" s="213"/>
      <c r="AU482" s="213"/>
    </row>
    <row r="483" spans="40:47" s="121" customFormat="1" hidden="1">
      <c r="AN483" s="239"/>
      <c r="AO483" s="225"/>
      <c r="AP483" s="260"/>
      <c r="AQ483" s="258"/>
      <c r="AR483" s="258"/>
      <c r="AS483" s="202"/>
      <c r="AT483" s="213"/>
      <c r="AU483" s="213"/>
    </row>
    <row r="484" spans="40:47" s="121" customFormat="1" hidden="1">
      <c r="AN484" s="239"/>
      <c r="AO484" s="225"/>
      <c r="AP484" s="260"/>
      <c r="AQ484" s="258"/>
      <c r="AR484" s="258"/>
      <c r="AS484" s="202"/>
      <c r="AT484" s="213"/>
      <c r="AU484" s="213"/>
    </row>
    <row r="485" spans="40:47" s="121" customFormat="1" hidden="1">
      <c r="AN485" s="239"/>
      <c r="AO485" s="225"/>
      <c r="AP485" s="260"/>
      <c r="AQ485" s="258"/>
      <c r="AR485" s="258"/>
      <c r="AS485" s="202"/>
      <c r="AT485" s="213"/>
      <c r="AU485" s="213"/>
    </row>
    <row r="486" spans="40:47" s="121" customFormat="1" hidden="1">
      <c r="AN486" s="239"/>
      <c r="AO486" s="225"/>
      <c r="AP486" s="260"/>
      <c r="AQ486" s="258"/>
      <c r="AR486" s="258"/>
      <c r="AS486" s="202"/>
      <c r="AT486" s="213"/>
      <c r="AU486" s="213"/>
    </row>
    <row r="487" spans="40:47" s="121" customFormat="1" hidden="1">
      <c r="AN487" s="239"/>
      <c r="AO487" s="225"/>
      <c r="AP487" s="260"/>
      <c r="AQ487" s="258"/>
      <c r="AR487" s="258"/>
      <c r="AS487" s="202"/>
      <c r="AT487" s="213"/>
      <c r="AU487" s="213"/>
    </row>
    <row r="488" spans="40:47" s="121" customFormat="1" hidden="1">
      <c r="AN488" s="239"/>
      <c r="AO488" s="225"/>
      <c r="AP488" s="260"/>
      <c r="AQ488" s="258"/>
      <c r="AR488" s="258"/>
      <c r="AS488" s="202"/>
      <c r="AT488" s="213"/>
      <c r="AU488" s="213"/>
    </row>
    <row r="489" spans="40:47" s="121" customFormat="1" hidden="1">
      <c r="AN489" s="239"/>
      <c r="AO489" s="225"/>
      <c r="AP489" s="260"/>
      <c r="AQ489" s="258"/>
      <c r="AR489" s="258"/>
      <c r="AS489" s="202"/>
      <c r="AT489" s="213"/>
      <c r="AU489" s="213"/>
    </row>
    <row r="490" spans="40:47" s="121" customFormat="1" hidden="1">
      <c r="AN490" s="239"/>
      <c r="AO490" s="225"/>
      <c r="AP490" s="260"/>
      <c r="AQ490" s="258"/>
      <c r="AR490" s="258"/>
      <c r="AS490" s="202"/>
      <c r="AT490" s="213"/>
      <c r="AU490" s="213"/>
    </row>
    <row r="491" spans="40:47" s="121" customFormat="1" hidden="1">
      <c r="AN491" s="239"/>
      <c r="AO491" s="225"/>
      <c r="AP491" s="260"/>
      <c r="AQ491" s="258"/>
      <c r="AR491" s="258"/>
      <c r="AS491" s="202"/>
      <c r="AT491" s="213"/>
      <c r="AU491" s="213"/>
    </row>
    <row r="492" spans="40:47" s="121" customFormat="1" hidden="1">
      <c r="AN492" s="239"/>
      <c r="AO492" s="225"/>
      <c r="AP492" s="260"/>
      <c r="AQ492" s="258"/>
      <c r="AR492" s="258"/>
      <c r="AS492" s="202"/>
      <c r="AT492" s="213"/>
      <c r="AU492" s="213"/>
    </row>
    <row r="493" spans="40:47" s="121" customFormat="1" hidden="1">
      <c r="AN493" s="239"/>
      <c r="AO493" s="225"/>
      <c r="AP493" s="260"/>
      <c r="AQ493" s="258"/>
      <c r="AR493" s="258"/>
      <c r="AS493" s="202"/>
      <c r="AT493" s="213"/>
      <c r="AU493" s="213"/>
    </row>
    <row r="494" spans="40:47" s="121" customFormat="1" hidden="1">
      <c r="AN494" s="239"/>
      <c r="AO494" s="225"/>
      <c r="AP494" s="260"/>
      <c r="AQ494" s="258"/>
      <c r="AR494" s="258"/>
      <c r="AS494" s="202"/>
      <c r="AT494" s="213"/>
      <c r="AU494" s="213"/>
    </row>
    <row r="495" spans="40:47" s="121" customFormat="1" hidden="1">
      <c r="AN495" s="239"/>
      <c r="AO495" s="225"/>
      <c r="AP495" s="260"/>
      <c r="AQ495" s="258"/>
      <c r="AR495" s="258"/>
      <c r="AS495" s="202"/>
      <c r="AT495" s="213"/>
      <c r="AU495" s="213"/>
    </row>
    <row r="496" spans="40:47" s="121" customFormat="1" hidden="1">
      <c r="AN496" s="239"/>
      <c r="AO496" s="225"/>
      <c r="AP496" s="260"/>
      <c r="AQ496" s="258"/>
      <c r="AR496" s="258"/>
      <c r="AS496" s="202"/>
      <c r="AT496" s="213"/>
      <c r="AU496" s="213"/>
    </row>
    <row r="497" spans="40:47" s="121" customFormat="1" hidden="1">
      <c r="AN497" s="239"/>
      <c r="AO497" s="225"/>
      <c r="AP497" s="260"/>
      <c r="AQ497" s="258"/>
      <c r="AR497" s="258"/>
      <c r="AS497" s="202"/>
      <c r="AT497" s="213"/>
      <c r="AU497" s="213"/>
    </row>
    <row r="498" spans="40:47" s="121" customFormat="1" hidden="1">
      <c r="AN498" s="239"/>
      <c r="AO498" s="225"/>
      <c r="AP498" s="260"/>
      <c r="AQ498" s="258"/>
      <c r="AR498" s="258"/>
      <c r="AS498" s="202"/>
      <c r="AT498" s="213"/>
      <c r="AU498" s="213"/>
    </row>
    <row r="499" spans="40:47" s="121" customFormat="1" hidden="1">
      <c r="AN499" s="239"/>
      <c r="AO499" s="225"/>
      <c r="AP499" s="260"/>
      <c r="AQ499" s="258"/>
      <c r="AR499" s="258"/>
      <c r="AS499" s="202"/>
      <c r="AT499" s="213"/>
      <c r="AU499" s="213"/>
    </row>
    <row r="500" spans="40:47" s="121" customFormat="1" hidden="1">
      <c r="AN500" s="239"/>
      <c r="AO500" s="225"/>
      <c r="AP500" s="260"/>
      <c r="AQ500" s="258"/>
      <c r="AR500" s="258"/>
      <c r="AS500" s="202"/>
      <c r="AT500" s="213"/>
      <c r="AU500" s="213"/>
    </row>
    <row r="501" spans="40:47" s="121" customFormat="1" hidden="1">
      <c r="AN501" s="239"/>
      <c r="AO501" s="225"/>
      <c r="AP501" s="260"/>
      <c r="AQ501" s="258"/>
      <c r="AR501" s="258"/>
      <c r="AS501" s="202"/>
      <c r="AT501" s="213"/>
      <c r="AU501" s="213"/>
    </row>
    <row r="502" spans="40:47" s="121" customFormat="1" hidden="1">
      <c r="AN502" s="239"/>
      <c r="AO502" s="225"/>
      <c r="AP502" s="260"/>
      <c r="AQ502" s="258"/>
      <c r="AR502" s="258"/>
      <c r="AS502" s="202"/>
      <c r="AT502" s="213"/>
      <c r="AU502" s="213"/>
    </row>
    <row r="503" spans="40:47" s="121" customFormat="1" hidden="1">
      <c r="AN503" s="239"/>
      <c r="AO503" s="225"/>
      <c r="AP503" s="260"/>
      <c r="AQ503" s="258"/>
      <c r="AR503" s="258"/>
      <c r="AS503" s="202"/>
      <c r="AT503" s="213"/>
      <c r="AU503" s="213"/>
    </row>
    <row r="504" spans="40:47" s="121" customFormat="1" hidden="1">
      <c r="AN504" s="239"/>
      <c r="AO504" s="225"/>
      <c r="AP504" s="260"/>
      <c r="AQ504" s="258"/>
      <c r="AR504" s="258"/>
      <c r="AS504" s="202"/>
      <c r="AT504" s="213"/>
      <c r="AU504" s="213"/>
    </row>
    <row r="505" spans="40:47" s="121" customFormat="1" hidden="1">
      <c r="AN505" s="239"/>
      <c r="AO505" s="225"/>
      <c r="AP505" s="260"/>
      <c r="AQ505" s="258"/>
      <c r="AR505" s="258"/>
      <c r="AS505" s="202"/>
      <c r="AT505" s="213"/>
      <c r="AU505" s="213"/>
    </row>
    <row r="506" spans="40:47" s="121" customFormat="1" hidden="1">
      <c r="AN506" s="239"/>
      <c r="AO506" s="225"/>
      <c r="AP506" s="260"/>
      <c r="AQ506" s="258"/>
      <c r="AR506" s="258"/>
      <c r="AS506" s="202"/>
      <c r="AT506" s="213"/>
      <c r="AU506" s="213"/>
    </row>
    <row r="507" spans="40:47" s="121" customFormat="1" hidden="1">
      <c r="AN507" s="239"/>
      <c r="AO507" s="225"/>
      <c r="AP507" s="260"/>
      <c r="AQ507" s="258"/>
      <c r="AR507" s="258"/>
      <c r="AS507" s="202"/>
      <c r="AT507" s="213"/>
      <c r="AU507" s="213"/>
    </row>
    <row r="508" spans="40:47" s="121" customFormat="1" hidden="1">
      <c r="AN508" s="239"/>
      <c r="AO508" s="225"/>
      <c r="AP508" s="260"/>
      <c r="AQ508" s="258"/>
      <c r="AR508" s="258"/>
      <c r="AS508" s="202"/>
      <c r="AT508" s="213"/>
      <c r="AU508" s="213"/>
    </row>
    <row r="509" spans="40:47" s="121" customFormat="1" hidden="1">
      <c r="AN509" s="239"/>
      <c r="AO509" s="225"/>
      <c r="AP509" s="260"/>
      <c r="AQ509" s="258"/>
      <c r="AR509" s="258"/>
      <c r="AS509" s="202"/>
      <c r="AT509" s="213"/>
      <c r="AU509" s="213"/>
    </row>
    <row r="510" spans="40:47" s="121" customFormat="1" hidden="1">
      <c r="AN510" s="239"/>
      <c r="AO510" s="225"/>
      <c r="AP510" s="260"/>
      <c r="AQ510" s="258"/>
      <c r="AR510" s="258"/>
      <c r="AS510" s="202"/>
      <c r="AT510" s="213"/>
      <c r="AU510" s="213"/>
    </row>
    <row r="511" spans="40:47" s="121" customFormat="1" hidden="1">
      <c r="AN511" s="239"/>
      <c r="AO511" s="225"/>
      <c r="AP511" s="260"/>
      <c r="AQ511" s="258"/>
      <c r="AR511" s="258"/>
      <c r="AS511" s="202"/>
      <c r="AT511" s="213"/>
      <c r="AU511" s="213"/>
    </row>
    <row r="512" spans="40:47" s="121" customFormat="1" hidden="1">
      <c r="AN512" s="239"/>
      <c r="AO512" s="225"/>
      <c r="AP512" s="260"/>
      <c r="AQ512" s="258"/>
      <c r="AR512" s="258"/>
      <c r="AS512" s="202"/>
      <c r="AT512" s="213"/>
      <c r="AU512" s="213"/>
    </row>
    <row r="513" spans="40:47" s="121" customFormat="1" hidden="1">
      <c r="AN513" s="239"/>
      <c r="AO513" s="225"/>
      <c r="AP513" s="260"/>
      <c r="AQ513" s="258"/>
      <c r="AR513" s="258"/>
      <c r="AS513" s="202"/>
      <c r="AT513" s="213"/>
      <c r="AU513" s="213"/>
    </row>
    <row r="514" spans="40:47" s="121" customFormat="1" hidden="1">
      <c r="AN514" s="239"/>
      <c r="AO514" s="225"/>
      <c r="AP514" s="260"/>
      <c r="AQ514" s="258"/>
      <c r="AR514" s="258"/>
      <c r="AS514" s="202"/>
      <c r="AT514" s="213"/>
      <c r="AU514" s="213"/>
    </row>
    <row r="515" spans="40:47" s="121" customFormat="1" hidden="1">
      <c r="AN515" s="239"/>
      <c r="AO515" s="225"/>
      <c r="AP515" s="260"/>
      <c r="AQ515" s="258"/>
      <c r="AR515" s="258"/>
      <c r="AS515" s="202"/>
      <c r="AT515" s="213"/>
      <c r="AU515" s="213"/>
    </row>
    <row r="516" spans="40:47" s="121" customFormat="1" hidden="1">
      <c r="AN516" s="239"/>
      <c r="AO516" s="225"/>
      <c r="AP516" s="260"/>
      <c r="AQ516" s="258"/>
      <c r="AR516" s="258"/>
      <c r="AS516" s="202"/>
      <c r="AT516" s="213"/>
      <c r="AU516" s="213"/>
    </row>
    <row r="517" spans="40:47" s="121" customFormat="1" hidden="1">
      <c r="AN517" s="239"/>
      <c r="AO517" s="225"/>
      <c r="AP517" s="260"/>
      <c r="AQ517" s="258"/>
      <c r="AR517" s="258"/>
      <c r="AS517" s="202"/>
      <c r="AT517" s="213"/>
      <c r="AU517" s="213"/>
    </row>
    <row r="518" spans="40:47" s="121" customFormat="1" hidden="1">
      <c r="AN518" s="239"/>
      <c r="AO518" s="225"/>
      <c r="AP518" s="260"/>
      <c r="AQ518" s="258"/>
      <c r="AR518" s="258"/>
      <c r="AS518" s="202"/>
      <c r="AT518" s="213"/>
      <c r="AU518" s="213"/>
    </row>
    <row r="519" spans="40:47" s="121" customFormat="1" hidden="1">
      <c r="AN519" s="239"/>
      <c r="AO519" s="225"/>
      <c r="AP519" s="260"/>
      <c r="AQ519" s="258"/>
      <c r="AR519" s="258"/>
      <c r="AS519" s="202"/>
      <c r="AT519" s="213"/>
      <c r="AU519" s="213"/>
    </row>
    <row r="520" spans="40:47" s="121" customFormat="1" hidden="1">
      <c r="AN520" s="239"/>
      <c r="AO520" s="225"/>
      <c r="AP520" s="260"/>
      <c r="AQ520" s="258"/>
      <c r="AR520" s="258"/>
      <c r="AS520" s="202"/>
      <c r="AT520" s="213"/>
      <c r="AU520" s="213"/>
    </row>
    <row r="521" spans="40:47" s="121" customFormat="1" hidden="1">
      <c r="AN521" s="239"/>
      <c r="AO521" s="225"/>
      <c r="AP521" s="260"/>
      <c r="AQ521" s="258"/>
      <c r="AR521" s="258"/>
      <c r="AS521" s="202"/>
      <c r="AT521" s="213"/>
      <c r="AU521" s="213"/>
    </row>
    <row r="522" spans="40:47" s="121" customFormat="1" hidden="1">
      <c r="AN522" s="239"/>
      <c r="AO522" s="225"/>
      <c r="AP522" s="260"/>
      <c r="AQ522" s="258"/>
      <c r="AR522" s="258"/>
      <c r="AS522" s="202"/>
      <c r="AT522" s="213"/>
      <c r="AU522" s="213"/>
    </row>
    <row r="523" spans="40:47" s="121" customFormat="1" hidden="1">
      <c r="AN523" s="239"/>
      <c r="AO523" s="225"/>
      <c r="AP523" s="260"/>
      <c r="AQ523" s="258"/>
      <c r="AR523" s="258"/>
      <c r="AS523" s="202"/>
      <c r="AT523" s="213"/>
      <c r="AU523" s="213"/>
    </row>
    <row r="524" spans="40:47" s="121" customFormat="1" hidden="1">
      <c r="AN524" s="239"/>
      <c r="AO524" s="225"/>
      <c r="AP524" s="260"/>
      <c r="AQ524" s="258"/>
      <c r="AR524" s="258"/>
      <c r="AS524" s="202"/>
      <c r="AT524" s="213"/>
      <c r="AU524" s="213"/>
    </row>
    <row r="525" spans="40:47" s="121" customFormat="1" hidden="1">
      <c r="AN525" s="239"/>
      <c r="AO525" s="225"/>
      <c r="AP525" s="260"/>
      <c r="AQ525" s="258"/>
      <c r="AR525" s="258"/>
      <c r="AS525" s="202"/>
      <c r="AT525" s="213"/>
      <c r="AU525" s="213"/>
    </row>
    <row r="526" spans="40:47" s="121" customFormat="1" hidden="1">
      <c r="AN526" s="239"/>
      <c r="AO526" s="225"/>
      <c r="AP526" s="260"/>
      <c r="AQ526" s="258"/>
      <c r="AR526" s="258"/>
      <c r="AS526" s="202"/>
      <c r="AT526" s="213"/>
      <c r="AU526" s="213"/>
    </row>
    <row r="527" spans="40:47" s="121" customFormat="1" hidden="1">
      <c r="AN527" s="239"/>
      <c r="AO527" s="225"/>
      <c r="AP527" s="260"/>
      <c r="AQ527" s="258"/>
      <c r="AR527" s="258"/>
      <c r="AS527" s="202"/>
      <c r="AT527" s="213"/>
      <c r="AU527" s="213"/>
    </row>
    <row r="528" spans="40:47" s="121" customFormat="1" hidden="1">
      <c r="AN528" s="239"/>
      <c r="AO528" s="225"/>
      <c r="AP528" s="260"/>
      <c r="AQ528" s="258"/>
      <c r="AR528" s="258"/>
      <c r="AS528" s="202"/>
      <c r="AT528" s="213"/>
      <c r="AU528" s="213"/>
    </row>
    <row r="529" spans="40:47" s="121" customFormat="1" hidden="1">
      <c r="AN529" s="239"/>
      <c r="AO529" s="225"/>
      <c r="AP529" s="260"/>
      <c r="AQ529" s="258"/>
      <c r="AR529" s="258"/>
      <c r="AS529" s="202"/>
      <c r="AT529" s="213"/>
      <c r="AU529" s="213"/>
    </row>
    <row r="530" spans="40:47" s="121" customFormat="1" hidden="1">
      <c r="AN530" s="239"/>
      <c r="AO530" s="225"/>
      <c r="AP530" s="260"/>
      <c r="AQ530" s="258"/>
      <c r="AR530" s="258"/>
      <c r="AS530" s="202"/>
      <c r="AT530" s="213"/>
      <c r="AU530" s="213"/>
    </row>
    <row r="531" spans="40:47" s="121" customFormat="1" hidden="1">
      <c r="AN531" s="239"/>
      <c r="AO531" s="225"/>
      <c r="AP531" s="260"/>
      <c r="AQ531" s="258"/>
      <c r="AR531" s="258"/>
      <c r="AS531" s="202"/>
      <c r="AT531" s="213"/>
      <c r="AU531" s="213"/>
    </row>
    <row r="532" spans="40:47" s="121" customFormat="1" hidden="1">
      <c r="AN532" s="239"/>
      <c r="AO532" s="225"/>
      <c r="AP532" s="260"/>
      <c r="AQ532" s="258"/>
      <c r="AR532" s="258"/>
      <c r="AS532" s="202"/>
      <c r="AT532" s="213"/>
      <c r="AU532" s="213"/>
    </row>
    <row r="533" spans="40:47" s="121" customFormat="1" hidden="1">
      <c r="AN533" s="239"/>
      <c r="AO533" s="225"/>
      <c r="AP533" s="260"/>
      <c r="AQ533" s="258"/>
      <c r="AR533" s="258"/>
      <c r="AS533" s="202"/>
      <c r="AT533" s="213"/>
      <c r="AU533" s="213"/>
    </row>
    <row r="534" spans="40:47" s="121" customFormat="1" hidden="1">
      <c r="AN534" s="239"/>
      <c r="AO534" s="225"/>
      <c r="AP534" s="260"/>
      <c r="AQ534" s="258"/>
      <c r="AR534" s="258"/>
      <c r="AS534" s="202"/>
      <c r="AT534" s="213"/>
      <c r="AU534" s="213"/>
    </row>
    <row r="535" spans="40:47" s="121" customFormat="1" hidden="1">
      <c r="AN535" s="239"/>
      <c r="AO535" s="225"/>
      <c r="AP535" s="260"/>
      <c r="AQ535" s="258"/>
      <c r="AR535" s="258"/>
      <c r="AS535" s="202"/>
      <c r="AT535" s="213"/>
      <c r="AU535" s="213"/>
    </row>
    <row r="536" spans="40:47" s="121" customFormat="1" hidden="1">
      <c r="AN536" s="239"/>
      <c r="AO536" s="225"/>
      <c r="AP536" s="260"/>
      <c r="AQ536" s="258"/>
      <c r="AR536" s="258"/>
      <c r="AS536" s="202"/>
      <c r="AT536" s="213"/>
      <c r="AU536" s="213"/>
    </row>
    <row r="537" spans="40:47" s="121" customFormat="1" hidden="1">
      <c r="AN537" s="239"/>
      <c r="AO537" s="225"/>
      <c r="AP537" s="260"/>
      <c r="AQ537" s="258"/>
      <c r="AR537" s="258"/>
      <c r="AS537" s="202"/>
      <c r="AT537" s="213"/>
      <c r="AU537" s="213"/>
    </row>
    <row r="538" spans="40:47" s="121" customFormat="1" hidden="1">
      <c r="AN538" s="239"/>
      <c r="AO538" s="225"/>
      <c r="AP538" s="260"/>
      <c r="AQ538" s="258"/>
      <c r="AR538" s="258"/>
      <c r="AS538" s="202"/>
      <c r="AT538" s="213"/>
      <c r="AU538" s="213"/>
    </row>
    <row r="539" spans="40:47" s="121" customFormat="1" hidden="1">
      <c r="AN539" s="239"/>
      <c r="AO539" s="225"/>
      <c r="AP539" s="260"/>
      <c r="AQ539" s="258"/>
      <c r="AR539" s="258"/>
      <c r="AS539" s="202"/>
      <c r="AT539" s="213"/>
      <c r="AU539" s="213"/>
    </row>
    <row r="540" spans="40:47" s="121" customFormat="1" hidden="1">
      <c r="AN540" s="239"/>
      <c r="AO540" s="225"/>
      <c r="AP540" s="260"/>
      <c r="AQ540" s="258"/>
      <c r="AR540" s="258"/>
      <c r="AS540" s="202"/>
      <c r="AT540" s="213"/>
      <c r="AU540" s="213"/>
    </row>
    <row r="541" spans="40:47" s="121" customFormat="1" hidden="1">
      <c r="AN541" s="239"/>
      <c r="AO541" s="225"/>
      <c r="AP541" s="260"/>
      <c r="AQ541" s="258"/>
      <c r="AR541" s="258"/>
      <c r="AS541" s="202"/>
      <c r="AT541" s="213"/>
      <c r="AU541" s="213"/>
    </row>
    <row r="542" spans="40:47" s="121" customFormat="1" hidden="1">
      <c r="AN542" s="239"/>
      <c r="AO542" s="225"/>
      <c r="AP542" s="260"/>
      <c r="AQ542" s="258"/>
      <c r="AR542" s="258"/>
      <c r="AS542" s="202"/>
      <c r="AT542" s="213"/>
      <c r="AU542" s="213"/>
    </row>
    <row r="543" spans="40:47" s="121" customFormat="1" hidden="1">
      <c r="AN543" s="239"/>
      <c r="AO543" s="225"/>
      <c r="AP543" s="260"/>
      <c r="AQ543" s="258"/>
      <c r="AR543" s="258"/>
      <c r="AS543" s="202"/>
      <c r="AT543" s="213"/>
      <c r="AU543" s="213"/>
    </row>
    <row r="544" spans="40:47" s="121" customFormat="1" hidden="1">
      <c r="AN544" s="239"/>
      <c r="AO544" s="225"/>
      <c r="AP544" s="260"/>
      <c r="AQ544" s="258"/>
      <c r="AR544" s="258"/>
      <c r="AS544" s="202"/>
      <c r="AT544" s="213"/>
      <c r="AU544" s="213"/>
    </row>
    <row r="545" spans="40:47" s="121" customFormat="1" hidden="1">
      <c r="AN545" s="239"/>
      <c r="AO545" s="225"/>
      <c r="AP545" s="260"/>
      <c r="AQ545" s="258"/>
      <c r="AR545" s="258"/>
      <c r="AS545" s="202"/>
      <c r="AT545" s="213"/>
      <c r="AU545" s="213"/>
    </row>
    <row r="546" spans="40:47" s="121" customFormat="1" hidden="1">
      <c r="AN546" s="239"/>
      <c r="AO546" s="225"/>
      <c r="AP546" s="260"/>
      <c r="AQ546" s="258"/>
      <c r="AR546" s="258"/>
      <c r="AS546" s="202"/>
      <c r="AT546" s="213"/>
      <c r="AU546" s="213"/>
    </row>
    <row r="547" spans="40:47" s="121" customFormat="1" hidden="1">
      <c r="AN547" s="239"/>
      <c r="AO547" s="225"/>
      <c r="AP547" s="260"/>
      <c r="AQ547" s="258"/>
      <c r="AR547" s="258"/>
      <c r="AS547" s="202"/>
      <c r="AT547" s="213"/>
      <c r="AU547" s="213"/>
    </row>
    <row r="548" spans="40:47" s="121" customFormat="1" hidden="1">
      <c r="AN548" s="239"/>
      <c r="AO548" s="225"/>
      <c r="AP548" s="260"/>
      <c r="AQ548" s="258"/>
      <c r="AR548" s="258"/>
      <c r="AS548" s="202"/>
      <c r="AT548" s="213"/>
      <c r="AU548" s="213"/>
    </row>
    <row r="549" spans="40:47" s="121" customFormat="1" hidden="1">
      <c r="AN549" s="239"/>
      <c r="AO549" s="225"/>
      <c r="AP549" s="260"/>
      <c r="AQ549" s="258"/>
      <c r="AR549" s="258"/>
      <c r="AS549" s="202"/>
      <c r="AT549" s="213"/>
      <c r="AU549" s="213"/>
    </row>
    <row r="550" spans="40:47" s="121" customFormat="1" hidden="1">
      <c r="AN550" s="239"/>
      <c r="AO550" s="225"/>
      <c r="AP550" s="260"/>
      <c r="AQ550" s="258"/>
      <c r="AR550" s="258"/>
      <c r="AS550" s="202"/>
      <c r="AT550" s="213"/>
      <c r="AU550" s="213"/>
    </row>
    <row r="551" spans="40:47" s="121" customFormat="1" hidden="1">
      <c r="AN551" s="239"/>
      <c r="AO551" s="225"/>
      <c r="AP551" s="260"/>
      <c r="AQ551" s="258"/>
      <c r="AR551" s="258"/>
      <c r="AS551" s="202"/>
      <c r="AT551" s="213"/>
      <c r="AU551" s="213"/>
    </row>
    <row r="552" spans="40:47" s="121" customFormat="1" hidden="1">
      <c r="AN552" s="239"/>
      <c r="AO552" s="225"/>
      <c r="AP552" s="260"/>
      <c r="AQ552" s="258"/>
      <c r="AR552" s="258"/>
      <c r="AS552" s="202"/>
      <c r="AT552" s="213"/>
      <c r="AU552" s="213"/>
    </row>
    <row r="553" spans="40:47" s="121" customFormat="1" hidden="1">
      <c r="AN553" s="239"/>
      <c r="AO553" s="225"/>
      <c r="AP553" s="260"/>
      <c r="AQ553" s="258"/>
      <c r="AR553" s="258"/>
      <c r="AS553" s="202"/>
      <c r="AT553" s="213"/>
      <c r="AU553" s="213"/>
    </row>
    <row r="554" spans="40:47" s="121" customFormat="1" hidden="1">
      <c r="AN554" s="239"/>
      <c r="AO554" s="225"/>
      <c r="AP554" s="260"/>
      <c r="AQ554" s="258"/>
      <c r="AR554" s="258"/>
      <c r="AS554" s="202"/>
      <c r="AT554" s="213"/>
      <c r="AU554" s="213"/>
    </row>
    <row r="555" spans="40:47" s="121" customFormat="1" hidden="1">
      <c r="AN555" s="239"/>
      <c r="AO555" s="225"/>
      <c r="AP555" s="260"/>
      <c r="AQ555" s="258"/>
      <c r="AR555" s="258"/>
      <c r="AS555" s="202"/>
      <c r="AT555" s="213"/>
      <c r="AU555" s="213"/>
    </row>
    <row r="556" spans="40:47" s="121" customFormat="1" hidden="1">
      <c r="AN556" s="239"/>
      <c r="AO556" s="225"/>
      <c r="AP556" s="260"/>
      <c r="AQ556" s="258"/>
      <c r="AR556" s="258"/>
      <c r="AS556" s="202"/>
      <c r="AT556" s="213"/>
      <c r="AU556" s="213"/>
    </row>
    <row r="557" spans="40:47" s="121" customFormat="1" hidden="1">
      <c r="AN557" s="239"/>
      <c r="AO557" s="225"/>
      <c r="AP557" s="260"/>
      <c r="AQ557" s="258"/>
      <c r="AR557" s="258"/>
      <c r="AS557" s="202"/>
      <c r="AT557" s="213"/>
      <c r="AU557" s="213"/>
    </row>
    <row r="558" spans="40:47" s="121" customFormat="1" hidden="1">
      <c r="AN558" s="239"/>
      <c r="AO558" s="225"/>
      <c r="AP558" s="260"/>
      <c r="AQ558" s="258"/>
      <c r="AR558" s="258"/>
      <c r="AS558" s="202"/>
      <c r="AT558" s="213"/>
      <c r="AU558" s="213"/>
    </row>
    <row r="559" spans="40:47" s="121" customFormat="1" hidden="1">
      <c r="AN559" s="239"/>
      <c r="AO559" s="225"/>
      <c r="AP559" s="260"/>
      <c r="AQ559" s="258"/>
      <c r="AR559" s="258"/>
      <c r="AS559" s="202"/>
      <c r="AT559" s="213"/>
      <c r="AU559" s="213"/>
    </row>
    <row r="560" spans="40:47" s="121" customFormat="1" hidden="1">
      <c r="AN560" s="239"/>
      <c r="AO560" s="225"/>
      <c r="AP560" s="260"/>
      <c r="AQ560" s="258"/>
      <c r="AR560" s="258"/>
      <c r="AS560" s="202"/>
      <c r="AT560" s="213"/>
      <c r="AU560" s="213"/>
    </row>
    <row r="561" spans="40:47" s="121" customFormat="1" hidden="1">
      <c r="AN561" s="239"/>
      <c r="AO561" s="225"/>
      <c r="AP561" s="260"/>
      <c r="AQ561" s="258"/>
      <c r="AR561" s="258"/>
      <c r="AS561" s="202"/>
      <c r="AT561" s="213"/>
      <c r="AU561" s="213"/>
    </row>
    <row r="562" spans="40:47" s="121" customFormat="1" hidden="1">
      <c r="AN562" s="239"/>
      <c r="AO562" s="225"/>
      <c r="AP562" s="260"/>
      <c r="AQ562" s="258"/>
      <c r="AR562" s="258"/>
      <c r="AS562" s="202"/>
      <c r="AT562" s="213"/>
      <c r="AU562" s="213"/>
    </row>
    <row r="563" spans="40:47" s="121" customFormat="1" hidden="1">
      <c r="AN563" s="239"/>
      <c r="AO563" s="225"/>
      <c r="AP563" s="260"/>
      <c r="AQ563" s="258"/>
      <c r="AR563" s="258"/>
      <c r="AS563" s="202"/>
      <c r="AT563" s="213"/>
      <c r="AU563" s="213"/>
    </row>
    <row r="564" spans="40:47" s="121" customFormat="1" hidden="1">
      <c r="AN564" s="239"/>
      <c r="AO564" s="225"/>
      <c r="AP564" s="260"/>
      <c r="AQ564" s="258"/>
      <c r="AR564" s="258"/>
      <c r="AS564" s="202"/>
      <c r="AT564" s="213"/>
      <c r="AU564" s="213"/>
    </row>
    <row r="565" spans="40:47" s="121" customFormat="1" hidden="1">
      <c r="AN565" s="239"/>
      <c r="AO565" s="225"/>
      <c r="AP565" s="260"/>
      <c r="AQ565" s="258"/>
      <c r="AR565" s="258"/>
      <c r="AS565" s="202"/>
      <c r="AT565" s="213"/>
      <c r="AU565" s="213"/>
    </row>
    <row r="566" spans="40:47" s="121" customFormat="1" hidden="1">
      <c r="AN566" s="239"/>
      <c r="AO566" s="225"/>
      <c r="AP566" s="260"/>
      <c r="AQ566" s="258"/>
      <c r="AR566" s="258"/>
      <c r="AS566" s="202"/>
      <c r="AT566" s="213"/>
      <c r="AU566" s="213"/>
    </row>
    <row r="567" spans="40:47" s="121" customFormat="1" hidden="1">
      <c r="AN567" s="239"/>
      <c r="AO567" s="225"/>
      <c r="AP567" s="260"/>
      <c r="AQ567" s="258"/>
      <c r="AR567" s="258"/>
      <c r="AS567" s="202"/>
      <c r="AT567" s="213"/>
      <c r="AU567" s="213"/>
    </row>
    <row r="568" spans="40:47" s="121" customFormat="1" hidden="1">
      <c r="AN568" s="239"/>
      <c r="AO568" s="225"/>
      <c r="AP568" s="260"/>
      <c r="AQ568" s="258"/>
      <c r="AR568" s="258"/>
      <c r="AS568" s="202"/>
      <c r="AT568" s="213"/>
      <c r="AU568" s="213"/>
    </row>
    <row r="569" spans="40:47" s="121" customFormat="1" hidden="1">
      <c r="AN569" s="239"/>
      <c r="AO569" s="225"/>
      <c r="AP569" s="260"/>
      <c r="AQ569" s="258"/>
      <c r="AR569" s="258"/>
      <c r="AS569" s="202"/>
      <c r="AT569" s="213"/>
      <c r="AU569" s="213"/>
    </row>
    <row r="570" spans="40:47" s="121" customFormat="1" hidden="1">
      <c r="AN570" s="239"/>
      <c r="AO570" s="225"/>
      <c r="AP570" s="260"/>
      <c r="AQ570" s="258"/>
      <c r="AR570" s="258"/>
      <c r="AS570" s="202"/>
      <c r="AT570" s="213"/>
      <c r="AU570" s="213"/>
    </row>
    <row r="571" spans="40:47" s="121" customFormat="1" hidden="1">
      <c r="AN571" s="239"/>
      <c r="AO571" s="225"/>
      <c r="AP571" s="260"/>
      <c r="AQ571" s="258"/>
      <c r="AR571" s="258"/>
      <c r="AS571" s="202"/>
      <c r="AT571" s="213"/>
      <c r="AU571" s="213"/>
    </row>
    <row r="572" spans="40:47" s="121" customFormat="1" hidden="1">
      <c r="AN572" s="239"/>
      <c r="AO572" s="225"/>
      <c r="AP572" s="260"/>
      <c r="AQ572" s="258"/>
      <c r="AR572" s="258"/>
      <c r="AS572" s="202"/>
      <c r="AT572" s="213"/>
      <c r="AU572" s="213"/>
    </row>
    <row r="573" spans="40:47" s="121" customFormat="1" hidden="1">
      <c r="AN573" s="239"/>
      <c r="AO573" s="225"/>
      <c r="AP573" s="260"/>
      <c r="AQ573" s="258"/>
      <c r="AR573" s="258"/>
      <c r="AS573" s="202"/>
      <c r="AT573" s="213"/>
      <c r="AU573" s="213"/>
    </row>
    <row r="574" spans="40:47" s="121" customFormat="1" hidden="1">
      <c r="AN574" s="239"/>
      <c r="AO574" s="225"/>
      <c r="AP574" s="260"/>
      <c r="AQ574" s="258"/>
      <c r="AR574" s="258"/>
      <c r="AS574" s="202"/>
      <c r="AT574" s="213"/>
      <c r="AU574" s="213"/>
    </row>
    <row r="575" spans="40:47" s="121" customFormat="1" hidden="1">
      <c r="AN575" s="239"/>
      <c r="AO575" s="225"/>
      <c r="AP575" s="260"/>
      <c r="AQ575" s="258"/>
      <c r="AR575" s="258"/>
      <c r="AS575" s="202"/>
      <c r="AT575" s="213"/>
      <c r="AU575" s="213"/>
    </row>
    <row r="576" spans="40:47" s="121" customFormat="1" hidden="1">
      <c r="AN576" s="239"/>
      <c r="AO576" s="225"/>
      <c r="AP576" s="260"/>
      <c r="AQ576" s="258"/>
      <c r="AR576" s="258"/>
      <c r="AS576" s="202"/>
      <c r="AT576" s="213"/>
      <c r="AU576" s="213"/>
    </row>
    <row r="577" spans="40:47" s="121" customFormat="1" hidden="1">
      <c r="AN577" s="239"/>
      <c r="AO577" s="225"/>
      <c r="AP577" s="260"/>
      <c r="AQ577" s="258"/>
      <c r="AR577" s="258"/>
      <c r="AS577" s="202"/>
      <c r="AT577" s="213"/>
      <c r="AU577" s="213"/>
    </row>
    <row r="578" spans="40:47" s="121" customFormat="1" hidden="1">
      <c r="AN578" s="239"/>
      <c r="AO578" s="225"/>
      <c r="AP578" s="260"/>
      <c r="AQ578" s="258"/>
      <c r="AR578" s="258"/>
      <c r="AS578" s="202"/>
      <c r="AT578" s="213"/>
      <c r="AU578" s="213"/>
    </row>
    <row r="579" spans="40:47" s="121" customFormat="1" hidden="1">
      <c r="AN579" s="239"/>
      <c r="AO579" s="225"/>
      <c r="AP579" s="260"/>
      <c r="AQ579" s="258"/>
      <c r="AR579" s="258"/>
      <c r="AS579" s="202"/>
      <c r="AT579" s="213"/>
      <c r="AU579" s="213"/>
    </row>
    <row r="580" spans="40:47" s="121" customFormat="1" hidden="1">
      <c r="AN580" s="239"/>
      <c r="AO580" s="225"/>
      <c r="AP580" s="260"/>
      <c r="AQ580" s="258"/>
      <c r="AR580" s="258"/>
      <c r="AS580" s="202"/>
      <c r="AT580" s="213"/>
      <c r="AU580" s="213"/>
    </row>
    <row r="581" spans="40:47" s="121" customFormat="1" hidden="1">
      <c r="AN581" s="239"/>
      <c r="AO581" s="225"/>
      <c r="AP581" s="260"/>
      <c r="AQ581" s="258"/>
      <c r="AR581" s="258"/>
      <c r="AS581" s="202"/>
      <c r="AT581" s="213"/>
      <c r="AU581" s="213"/>
    </row>
    <row r="582" spans="40:47" s="121" customFormat="1" hidden="1">
      <c r="AN582" s="239"/>
      <c r="AO582" s="225"/>
      <c r="AP582" s="260"/>
      <c r="AQ582" s="258"/>
      <c r="AR582" s="258"/>
      <c r="AS582" s="202"/>
      <c r="AT582" s="213"/>
      <c r="AU582" s="213"/>
    </row>
    <row r="583" spans="40:47" s="121" customFormat="1" hidden="1">
      <c r="AN583" s="239"/>
      <c r="AO583" s="225"/>
      <c r="AP583" s="260"/>
      <c r="AQ583" s="258"/>
      <c r="AR583" s="258"/>
      <c r="AS583" s="202"/>
      <c r="AT583" s="213"/>
      <c r="AU583" s="213"/>
    </row>
    <row r="584" spans="40:47" s="121" customFormat="1" hidden="1">
      <c r="AN584" s="239"/>
      <c r="AO584" s="225"/>
      <c r="AP584" s="260"/>
      <c r="AQ584" s="258"/>
      <c r="AR584" s="258"/>
      <c r="AS584" s="202"/>
      <c r="AT584" s="213"/>
      <c r="AU584" s="213"/>
    </row>
    <row r="585" spans="40:47" s="121" customFormat="1" hidden="1">
      <c r="AN585" s="239"/>
      <c r="AO585" s="225"/>
      <c r="AP585" s="260"/>
      <c r="AQ585" s="258"/>
      <c r="AR585" s="258"/>
      <c r="AS585" s="202"/>
      <c r="AT585" s="213"/>
      <c r="AU585" s="213"/>
    </row>
    <row r="586" spans="40:47" s="121" customFormat="1" hidden="1">
      <c r="AN586" s="239"/>
      <c r="AO586" s="225"/>
      <c r="AP586" s="260"/>
      <c r="AQ586" s="258"/>
      <c r="AR586" s="258"/>
      <c r="AS586" s="202"/>
      <c r="AT586" s="213"/>
      <c r="AU586" s="213"/>
    </row>
    <row r="587" spans="40:47" s="121" customFormat="1" hidden="1">
      <c r="AN587" s="239"/>
      <c r="AO587" s="225"/>
      <c r="AP587" s="260"/>
      <c r="AQ587" s="258"/>
      <c r="AR587" s="258"/>
      <c r="AS587" s="202"/>
      <c r="AT587" s="213"/>
      <c r="AU587" s="213"/>
    </row>
    <row r="588" spans="40:47" s="121" customFormat="1" hidden="1">
      <c r="AN588" s="239"/>
      <c r="AO588" s="225"/>
      <c r="AP588" s="260"/>
      <c r="AQ588" s="258"/>
      <c r="AR588" s="258"/>
      <c r="AS588" s="202"/>
      <c r="AT588" s="213"/>
      <c r="AU588" s="213"/>
    </row>
    <row r="589" spans="40:47" s="121" customFormat="1" hidden="1">
      <c r="AN589" s="239"/>
      <c r="AO589" s="225"/>
      <c r="AP589" s="260"/>
      <c r="AQ589" s="258"/>
      <c r="AR589" s="258"/>
      <c r="AS589" s="202"/>
      <c r="AT589" s="213"/>
      <c r="AU589" s="213"/>
    </row>
    <row r="590" spans="40:47" s="121" customFormat="1" hidden="1">
      <c r="AN590" s="239"/>
      <c r="AO590" s="225"/>
      <c r="AP590" s="260"/>
      <c r="AQ590" s="258"/>
      <c r="AR590" s="258"/>
      <c r="AS590" s="202"/>
      <c r="AT590" s="213"/>
      <c r="AU590" s="213"/>
    </row>
    <row r="591" spans="40:47" s="121" customFormat="1" hidden="1">
      <c r="AN591" s="239"/>
      <c r="AO591" s="225"/>
      <c r="AP591" s="260"/>
      <c r="AQ591" s="258"/>
      <c r="AR591" s="258"/>
      <c r="AS591" s="202"/>
      <c r="AT591" s="213"/>
      <c r="AU591" s="213"/>
    </row>
    <row r="592" spans="40:47" s="121" customFormat="1" hidden="1">
      <c r="AN592" s="239"/>
      <c r="AO592" s="225"/>
      <c r="AP592" s="260"/>
      <c r="AQ592" s="258"/>
      <c r="AR592" s="258"/>
      <c r="AS592" s="202"/>
      <c r="AT592" s="213"/>
      <c r="AU592" s="213"/>
    </row>
    <row r="593" spans="40:47" s="121" customFormat="1" hidden="1">
      <c r="AN593" s="239"/>
      <c r="AO593" s="225"/>
      <c r="AP593" s="260"/>
      <c r="AQ593" s="258"/>
      <c r="AR593" s="258"/>
      <c r="AS593" s="202"/>
      <c r="AT593" s="213"/>
      <c r="AU593" s="213"/>
    </row>
    <row r="594" spans="40:47" s="121" customFormat="1" hidden="1">
      <c r="AN594" s="239"/>
      <c r="AO594" s="225"/>
      <c r="AP594" s="260"/>
      <c r="AQ594" s="258"/>
      <c r="AR594" s="258"/>
      <c r="AS594" s="202"/>
      <c r="AT594" s="213"/>
      <c r="AU594" s="213"/>
    </row>
    <row r="595" spans="40:47" s="121" customFormat="1" hidden="1">
      <c r="AN595" s="239"/>
      <c r="AO595" s="225"/>
      <c r="AP595" s="260"/>
      <c r="AQ595" s="258"/>
      <c r="AR595" s="258"/>
      <c r="AS595" s="202"/>
      <c r="AT595" s="213"/>
      <c r="AU595" s="213"/>
    </row>
    <row r="596" spans="40:47" s="121" customFormat="1" hidden="1">
      <c r="AN596" s="239"/>
      <c r="AO596" s="225"/>
      <c r="AP596" s="260"/>
      <c r="AQ596" s="258"/>
      <c r="AR596" s="258"/>
      <c r="AS596" s="202"/>
      <c r="AT596" s="213"/>
      <c r="AU596" s="213"/>
    </row>
    <row r="597" spans="40:47" s="121" customFormat="1" hidden="1">
      <c r="AN597" s="239"/>
      <c r="AO597" s="225"/>
      <c r="AP597" s="260"/>
      <c r="AQ597" s="258"/>
      <c r="AR597" s="258"/>
      <c r="AS597" s="202"/>
      <c r="AT597" s="213"/>
      <c r="AU597" s="213"/>
    </row>
    <row r="598" spans="40:47" s="121" customFormat="1" hidden="1">
      <c r="AN598" s="239"/>
      <c r="AO598" s="225"/>
      <c r="AP598" s="260"/>
      <c r="AQ598" s="258"/>
      <c r="AR598" s="258"/>
      <c r="AS598" s="202"/>
      <c r="AT598" s="213"/>
      <c r="AU598" s="213"/>
    </row>
    <row r="599" spans="40:47" s="121" customFormat="1" hidden="1">
      <c r="AN599" s="239"/>
      <c r="AO599" s="225"/>
      <c r="AP599" s="260"/>
      <c r="AQ599" s="258"/>
      <c r="AR599" s="258"/>
      <c r="AS599" s="202"/>
      <c r="AT599" s="213"/>
      <c r="AU599" s="213"/>
    </row>
    <row r="600" spans="40:47" s="121" customFormat="1" hidden="1">
      <c r="AN600" s="239"/>
      <c r="AO600" s="225"/>
      <c r="AP600" s="260"/>
      <c r="AQ600" s="258"/>
      <c r="AR600" s="258"/>
      <c r="AS600" s="202"/>
      <c r="AT600" s="213"/>
      <c r="AU600" s="213"/>
    </row>
    <row r="601" spans="40:47" s="121" customFormat="1" hidden="1">
      <c r="AN601" s="239"/>
      <c r="AO601" s="225"/>
      <c r="AP601" s="260"/>
      <c r="AQ601" s="258"/>
      <c r="AR601" s="258"/>
      <c r="AS601" s="202"/>
      <c r="AT601" s="213"/>
      <c r="AU601" s="213"/>
    </row>
    <row r="602" spans="40:47" s="121" customFormat="1" hidden="1">
      <c r="AN602" s="239"/>
      <c r="AO602" s="225"/>
      <c r="AP602" s="260"/>
      <c r="AQ602" s="258"/>
      <c r="AR602" s="258"/>
      <c r="AS602" s="202"/>
      <c r="AT602" s="213"/>
      <c r="AU602" s="213"/>
    </row>
    <row r="603" spans="40:47" s="121" customFormat="1" hidden="1">
      <c r="AN603" s="239"/>
      <c r="AO603" s="225"/>
      <c r="AP603" s="260"/>
      <c r="AQ603" s="258"/>
      <c r="AR603" s="258"/>
      <c r="AS603" s="202"/>
      <c r="AT603" s="213"/>
      <c r="AU603" s="213"/>
    </row>
    <row r="604" spans="40:47" s="121" customFormat="1" hidden="1">
      <c r="AN604" s="239"/>
      <c r="AO604" s="225"/>
      <c r="AP604" s="260"/>
      <c r="AQ604" s="258"/>
      <c r="AR604" s="258"/>
      <c r="AS604" s="202"/>
      <c r="AT604" s="213"/>
      <c r="AU604" s="213"/>
    </row>
    <row r="605" spans="40:47" s="121" customFormat="1" hidden="1">
      <c r="AN605" s="239"/>
      <c r="AO605" s="225"/>
      <c r="AP605" s="260"/>
      <c r="AQ605" s="258"/>
      <c r="AR605" s="258"/>
      <c r="AS605" s="202"/>
      <c r="AT605" s="213"/>
      <c r="AU605" s="213"/>
    </row>
    <row r="606" spans="40:47" s="121" customFormat="1" hidden="1">
      <c r="AN606" s="239"/>
      <c r="AO606" s="225"/>
      <c r="AP606" s="260"/>
      <c r="AQ606" s="258"/>
      <c r="AR606" s="258"/>
      <c r="AS606" s="202"/>
      <c r="AT606" s="213"/>
      <c r="AU606" s="213"/>
    </row>
    <row r="607" spans="40:47" s="121" customFormat="1" hidden="1">
      <c r="AN607" s="239"/>
      <c r="AO607" s="225"/>
      <c r="AP607" s="260"/>
      <c r="AQ607" s="258"/>
      <c r="AR607" s="258"/>
      <c r="AS607" s="202"/>
      <c r="AT607" s="213"/>
      <c r="AU607" s="213"/>
    </row>
    <row r="608" spans="40:47" s="121" customFormat="1" hidden="1">
      <c r="AN608" s="239"/>
      <c r="AO608" s="225"/>
      <c r="AP608" s="260"/>
      <c r="AQ608" s="258"/>
      <c r="AR608" s="258"/>
      <c r="AS608" s="202"/>
      <c r="AT608" s="213"/>
      <c r="AU608" s="213"/>
    </row>
    <row r="609" spans="40:47" s="121" customFormat="1" hidden="1">
      <c r="AN609" s="239"/>
      <c r="AO609" s="225"/>
      <c r="AP609" s="260"/>
      <c r="AQ609" s="258"/>
      <c r="AR609" s="258"/>
      <c r="AS609" s="202"/>
      <c r="AT609" s="213"/>
      <c r="AU609" s="213"/>
    </row>
    <row r="610" spans="40:47" s="121" customFormat="1" hidden="1">
      <c r="AN610" s="239"/>
      <c r="AO610" s="225"/>
      <c r="AP610" s="260"/>
      <c r="AQ610" s="258"/>
      <c r="AR610" s="258"/>
      <c r="AS610" s="202"/>
      <c r="AT610" s="213"/>
      <c r="AU610" s="213"/>
    </row>
    <row r="611" spans="40:47" s="121" customFormat="1" hidden="1">
      <c r="AN611" s="239"/>
      <c r="AO611" s="225"/>
      <c r="AP611" s="260"/>
      <c r="AQ611" s="258"/>
      <c r="AR611" s="258"/>
      <c r="AS611" s="202"/>
      <c r="AT611" s="213"/>
      <c r="AU611" s="213"/>
    </row>
    <row r="612" spans="40:47" s="121" customFormat="1" hidden="1">
      <c r="AN612" s="239"/>
      <c r="AO612" s="225"/>
      <c r="AP612" s="260"/>
      <c r="AQ612" s="258"/>
      <c r="AR612" s="258"/>
      <c r="AS612" s="202"/>
      <c r="AT612" s="213"/>
      <c r="AU612" s="213"/>
    </row>
    <row r="613" spans="40:47" s="121" customFormat="1" hidden="1">
      <c r="AN613" s="239"/>
      <c r="AO613" s="225"/>
      <c r="AP613" s="260"/>
      <c r="AQ613" s="258"/>
      <c r="AR613" s="258"/>
      <c r="AS613" s="202"/>
      <c r="AT613" s="213"/>
      <c r="AU613" s="213"/>
    </row>
    <row r="614" spans="40:47" s="121" customFormat="1" hidden="1">
      <c r="AN614" s="239"/>
      <c r="AO614" s="225"/>
      <c r="AP614" s="260"/>
      <c r="AQ614" s="258"/>
      <c r="AR614" s="258"/>
      <c r="AS614" s="202"/>
      <c r="AT614" s="213"/>
      <c r="AU614" s="213"/>
    </row>
    <row r="615" spans="40:47" s="121" customFormat="1" hidden="1">
      <c r="AN615" s="239"/>
      <c r="AO615" s="225"/>
      <c r="AP615" s="260"/>
      <c r="AQ615" s="258"/>
      <c r="AR615" s="258"/>
      <c r="AS615" s="202"/>
      <c r="AT615" s="213"/>
      <c r="AU615" s="213"/>
    </row>
    <row r="616" spans="40:47" s="121" customFormat="1" hidden="1">
      <c r="AN616" s="239"/>
      <c r="AO616" s="225"/>
      <c r="AP616" s="260"/>
      <c r="AQ616" s="258"/>
      <c r="AR616" s="258"/>
      <c r="AS616" s="202"/>
      <c r="AT616" s="213"/>
      <c r="AU616" s="213"/>
    </row>
    <row r="617" spans="40:47" s="121" customFormat="1" hidden="1">
      <c r="AN617" s="239"/>
      <c r="AO617" s="225"/>
      <c r="AP617" s="260"/>
      <c r="AQ617" s="258"/>
      <c r="AR617" s="258"/>
      <c r="AS617" s="202"/>
      <c r="AT617" s="213"/>
      <c r="AU617" s="213"/>
    </row>
    <row r="618" spans="40:47" s="121" customFormat="1" hidden="1">
      <c r="AN618" s="239"/>
      <c r="AO618" s="225"/>
      <c r="AP618" s="260"/>
      <c r="AQ618" s="258"/>
      <c r="AR618" s="258"/>
      <c r="AS618" s="202"/>
      <c r="AT618" s="213"/>
      <c r="AU618" s="213"/>
    </row>
    <row r="619" spans="40:47" s="121" customFormat="1" hidden="1">
      <c r="AN619" s="239"/>
      <c r="AO619" s="225"/>
      <c r="AP619" s="260"/>
      <c r="AQ619" s="258"/>
      <c r="AR619" s="258"/>
      <c r="AS619" s="202"/>
      <c r="AT619" s="213"/>
      <c r="AU619" s="213"/>
    </row>
    <row r="620" spans="40:47" s="121" customFormat="1" hidden="1">
      <c r="AN620" s="239"/>
      <c r="AO620" s="225"/>
      <c r="AP620" s="260"/>
      <c r="AQ620" s="258"/>
      <c r="AR620" s="258"/>
      <c r="AS620" s="202"/>
      <c r="AT620" s="213"/>
      <c r="AU620" s="213"/>
    </row>
    <row r="621" spans="40:47" s="121" customFormat="1" hidden="1">
      <c r="AN621" s="239"/>
      <c r="AO621" s="225"/>
      <c r="AP621" s="260"/>
      <c r="AQ621" s="258"/>
      <c r="AR621" s="258"/>
      <c r="AS621" s="202"/>
      <c r="AT621" s="213"/>
      <c r="AU621" s="213"/>
    </row>
    <row r="622" spans="40:47" s="121" customFormat="1" hidden="1">
      <c r="AN622" s="239"/>
      <c r="AO622" s="225"/>
      <c r="AP622" s="260"/>
      <c r="AQ622" s="258"/>
      <c r="AR622" s="258"/>
      <c r="AS622" s="202"/>
      <c r="AT622" s="213"/>
      <c r="AU622" s="213"/>
    </row>
    <row r="623" spans="40:47" s="121" customFormat="1" hidden="1">
      <c r="AN623" s="239"/>
      <c r="AO623" s="225"/>
      <c r="AP623" s="260"/>
      <c r="AQ623" s="258"/>
      <c r="AR623" s="258"/>
      <c r="AS623" s="202"/>
      <c r="AT623" s="213"/>
      <c r="AU623" s="213"/>
    </row>
    <row r="624" spans="40:47" s="121" customFormat="1" hidden="1">
      <c r="AN624" s="239"/>
      <c r="AO624" s="225"/>
      <c r="AP624" s="260"/>
      <c r="AQ624" s="258"/>
      <c r="AR624" s="258"/>
      <c r="AS624" s="202"/>
      <c r="AT624" s="213"/>
      <c r="AU624" s="213"/>
    </row>
    <row r="625" spans="40:47" s="121" customFormat="1" hidden="1">
      <c r="AN625" s="239"/>
      <c r="AO625" s="225"/>
      <c r="AP625" s="260"/>
      <c r="AQ625" s="258"/>
      <c r="AR625" s="258"/>
      <c r="AS625" s="202"/>
      <c r="AT625" s="213"/>
      <c r="AU625" s="213"/>
    </row>
    <row r="626" spans="40:47" s="121" customFormat="1" hidden="1">
      <c r="AN626" s="239"/>
      <c r="AO626" s="225"/>
      <c r="AP626" s="260"/>
      <c r="AQ626" s="258"/>
      <c r="AR626" s="258"/>
      <c r="AS626" s="202"/>
      <c r="AT626" s="213"/>
      <c r="AU626" s="213"/>
    </row>
    <row r="627" spans="40:47" s="121" customFormat="1" hidden="1">
      <c r="AN627" s="239"/>
      <c r="AO627" s="225"/>
      <c r="AP627" s="260"/>
      <c r="AQ627" s="258"/>
      <c r="AR627" s="258"/>
      <c r="AS627" s="202"/>
      <c r="AT627" s="213"/>
      <c r="AU627" s="213"/>
    </row>
    <row r="628" spans="40:47" s="121" customFormat="1" hidden="1">
      <c r="AN628" s="239"/>
      <c r="AO628" s="225"/>
      <c r="AP628" s="260"/>
      <c r="AQ628" s="258"/>
      <c r="AR628" s="258"/>
      <c r="AS628" s="202"/>
      <c r="AT628" s="213"/>
      <c r="AU628" s="213"/>
    </row>
    <row r="629" spans="40:47" s="121" customFormat="1" hidden="1">
      <c r="AN629" s="239"/>
      <c r="AO629" s="225"/>
      <c r="AP629" s="260"/>
      <c r="AQ629" s="258"/>
      <c r="AR629" s="258"/>
      <c r="AS629" s="202"/>
      <c r="AT629" s="213"/>
      <c r="AU629" s="213"/>
    </row>
    <row r="630" spans="40:47" s="121" customFormat="1" hidden="1">
      <c r="AN630" s="239"/>
      <c r="AO630" s="225"/>
      <c r="AP630" s="260"/>
      <c r="AQ630" s="258"/>
      <c r="AR630" s="258"/>
      <c r="AS630" s="202"/>
      <c r="AT630" s="213"/>
      <c r="AU630" s="213"/>
    </row>
    <row r="631" spans="40:47" s="121" customFormat="1" hidden="1">
      <c r="AN631" s="239"/>
      <c r="AO631" s="225"/>
      <c r="AP631" s="260"/>
      <c r="AQ631" s="258"/>
      <c r="AR631" s="258"/>
      <c r="AS631" s="202"/>
      <c r="AT631" s="213"/>
      <c r="AU631" s="213"/>
    </row>
    <row r="632" spans="40:47" s="121" customFormat="1" hidden="1">
      <c r="AN632" s="239"/>
      <c r="AO632" s="225"/>
      <c r="AP632" s="260"/>
      <c r="AQ632" s="258"/>
      <c r="AR632" s="258"/>
      <c r="AS632" s="202"/>
      <c r="AT632" s="213"/>
      <c r="AU632" s="213"/>
    </row>
    <row r="633" spans="40:47" s="121" customFormat="1" hidden="1">
      <c r="AN633" s="239"/>
      <c r="AO633" s="225"/>
      <c r="AP633" s="260"/>
      <c r="AQ633" s="258"/>
      <c r="AR633" s="258"/>
      <c r="AS633" s="202"/>
      <c r="AT633" s="213"/>
      <c r="AU633" s="213"/>
    </row>
    <row r="634" spans="40:47" s="121" customFormat="1" hidden="1">
      <c r="AN634" s="239"/>
      <c r="AO634" s="225"/>
      <c r="AP634" s="260"/>
      <c r="AQ634" s="258"/>
      <c r="AR634" s="258"/>
      <c r="AS634" s="202"/>
      <c r="AT634" s="213"/>
      <c r="AU634" s="213"/>
    </row>
    <row r="635" spans="40:47" s="121" customFormat="1" hidden="1">
      <c r="AN635" s="239"/>
      <c r="AO635" s="225"/>
      <c r="AP635" s="260"/>
      <c r="AQ635" s="258"/>
      <c r="AR635" s="258"/>
      <c r="AS635" s="202"/>
      <c r="AT635" s="213"/>
      <c r="AU635" s="213"/>
    </row>
    <row r="636" spans="40:47" s="121" customFormat="1" hidden="1">
      <c r="AN636" s="239"/>
      <c r="AO636" s="225"/>
      <c r="AP636" s="260"/>
      <c r="AQ636" s="258"/>
      <c r="AR636" s="258"/>
      <c r="AS636" s="202"/>
      <c r="AT636" s="213"/>
      <c r="AU636" s="213"/>
    </row>
    <row r="637" spans="40:47" s="121" customFormat="1" hidden="1">
      <c r="AN637" s="239"/>
      <c r="AO637" s="225"/>
      <c r="AP637" s="260"/>
      <c r="AQ637" s="258"/>
      <c r="AR637" s="258"/>
      <c r="AS637" s="202"/>
      <c r="AT637" s="213"/>
      <c r="AU637" s="213"/>
    </row>
    <row r="638" spans="40:47" s="121" customFormat="1" hidden="1">
      <c r="AN638" s="239"/>
      <c r="AO638" s="225"/>
      <c r="AP638" s="260"/>
      <c r="AQ638" s="258"/>
      <c r="AR638" s="258"/>
      <c r="AS638" s="202"/>
      <c r="AT638" s="213"/>
      <c r="AU638" s="213"/>
    </row>
    <row r="639" spans="40:47" s="121" customFormat="1" hidden="1">
      <c r="AN639" s="239"/>
      <c r="AO639" s="225"/>
      <c r="AP639" s="260"/>
      <c r="AQ639" s="258"/>
      <c r="AR639" s="258"/>
      <c r="AS639" s="202"/>
      <c r="AT639" s="213"/>
      <c r="AU639" s="213"/>
    </row>
    <row r="640" spans="40:47" s="121" customFormat="1" hidden="1">
      <c r="AN640" s="239"/>
      <c r="AO640" s="225"/>
      <c r="AP640" s="260"/>
      <c r="AQ640" s="258"/>
      <c r="AR640" s="258"/>
      <c r="AS640" s="202"/>
      <c r="AT640" s="213"/>
      <c r="AU640" s="213"/>
    </row>
    <row r="641" spans="40:47" s="121" customFormat="1" hidden="1">
      <c r="AN641" s="239"/>
      <c r="AO641" s="225"/>
      <c r="AP641" s="260"/>
      <c r="AQ641" s="258"/>
      <c r="AR641" s="258"/>
      <c r="AS641" s="202"/>
      <c r="AT641" s="213"/>
      <c r="AU641" s="213"/>
    </row>
    <row r="642" spans="40:47" s="121" customFormat="1" hidden="1">
      <c r="AN642" s="239"/>
      <c r="AO642" s="225"/>
      <c r="AP642" s="260"/>
      <c r="AQ642" s="258"/>
      <c r="AR642" s="258"/>
      <c r="AS642" s="202"/>
      <c r="AT642" s="213"/>
      <c r="AU642" s="213"/>
    </row>
    <row r="643" spans="40:47" s="121" customFormat="1" hidden="1">
      <c r="AN643" s="239"/>
      <c r="AO643" s="225"/>
      <c r="AP643" s="260"/>
      <c r="AQ643" s="258"/>
      <c r="AR643" s="258"/>
      <c r="AS643" s="202"/>
      <c r="AT643" s="213"/>
      <c r="AU643" s="213"/>
    </row>
    <row r="644" spans="40:47" s="121" customFormat="1" hidden="1">
      <c r="AN644" s="239"/>
      <c r="AO644" s="225"/>
      <c r="AP644" s="260"/>
      <c r="AQ644" s="258"/>
      <c r="AR644" s="258"/>
      <c r="AS644" s="202"/>
      <c r="AT644" s="213"/>
      <c r="AU644" s="213"/>
    </row>
    <row r="645" spans="40:47" s="121" customFormat="1" hidden="1">
      <c r="AN645" s="239"/>
      <c r="AO645" s="225"/>
      <c r="AP645" s="260"/>
      <c r="AQ645" s="258"/>
      <c r="AR645" s="258"/>
      <c r="AS645" s="202"/>
      <c r="AT645" s="213"/>
      <c r="AU645" s="213"/>
    </row>
    <row r="646" spans="40:47" s="121" customFormat="1" hidden="1">
      <c r="AN646" s="239"/>
      <c r="AO646" s="225"/>
      <c r="AP646" s="260"/>
      <c r="AQ646" s="258"/>
      <c r="AR646" s="258"/>
      <c r="AS646" s="202"/>
      <c r="AT646" s="213"/>
      <c r="AU646" s="213"/>
    </row>
    <row r="647" spans="40:47" s="121" customFormat="1" hidden="1">
      <c r="AN647" s="239"/>
      <c r="AO647" s="225"/>
      <c r="AP647" s="260"/>
      <c r="AQ647" s="258"/>
      <c r="AR647" s="258"/>
      <c r="AS647" s="202"/>
      <c r="AT647" s="213"/>
      <c r="AU647" s="213"/>
    </row>
    <row r="648" spans="40:47" s="121" customFormat="1" hidden="1">
      <c r="AN648" s="239"/>
      <c r="AO648" s="225"/>
      <c r="AP648" s="260"/>
      <c r="AQ648" s="258"/>
      <c r="AR648" s="258"/>
      <c r="AS648" s="202"/>
      <c r="AT648" s="213"/>
      <c r="AU648" s="213"/>
    </row>
    <row r="649" spans="40:47" s="121" customFormat="1" hidden="1">
      <c r="AN649" s="239"/>
      <c r="AO649" s="225"/>
      <c r="AP649" s="260"/>
      <c r="AQ649" s="258"/>
      <c r="AR649" s="258"/>
      <c r="AS649" s="202"/>
      <c r="AT649" s="213"/>
      <c r="AU649" s="213"/>
    </row>
    <row r="650" spans="40:47" s="121" customFormat="1" hidden="1">
      <c r="AN650" s="239"/>
      <c r="AO650" s="225"/>
      <c r="AP650" s="260"/>
      <c r="AQ650" s="258"/>
      <c r="AR650" s="258"/>
      <c r="AS650" s="202"/>
      <c r="AT650" s="213"/>
      <c r="AU650" s="213"/>
    </row>
    <row r="651" spans="40:47" s="121" customFormat="1" hidden="1">
      <c r="AN651" s="239"/>
      <c r="AO651" s="225"/>
      <c r="AP651" s="260"/>
      <c r="AQ651" s="258"/>
      <c r="AR651" s="258"/>
      <c r="AS651" s="202"/>
      <c r="AT651" s="213"/>
      <c r="AU651" s="213"/>
    </row>
    <row r="652" spans="40:47" s="121" customFormat="1" hidden="1">
      <c r="AN652" s="239"/>
      <c r="AO652" s="225"/>
      <c r="AP652" s="260"/>
      <c r="AQ652" s="258"/>
      <c r="AR652" s="258"/>
      <c r="AS652" s="202"/>
      <c r="AT652" s="213"/>
      <c r="AU652" s="213"/>
    </row>
    <row r="653" spans="40:47" s="121" customFormat="1" hidden="1">
      <c r="AN653" s="239"/>
      <c r="AO653" s="225"/>
      <c r="AP653" s="260"/>
      <c r="AQ653" s="258"/>
      <c r="AR653" s="258"/>
      <c r="AS653" s="202"/>
      <c r="AT653" s="213"/>
      <c r="AU653" s="213"/>
    </row>
    <row r="654" spans="40:47" s="121" customFormat="1" hidden="1">
      <c r="AN654" s="239"/>
      <c r="AO654" s="225"/>
      <c r="AP654" s="260"/>
      <c r="AQ654" s="258"/>
      <c r="AR654" s="258"/>
      <c r="AS654" s="202"/>
      <c r="AT654" s="213"/>
      <c r="AU654" s="213"/>
    </row>
    <row r="655" spans="40:47" s="121" customFormat="1" hidden="1">
      <c r="AN655" s="239"/>
      <c r="AO655" s="225"/>
      <c r="AP655" s="260"/>
      <c r="AQ655" s="258"/>
      <c r="AR655" s="258"/>
      <c r="AS655" s="202"/>
      <c r="AT655" s="213"/>
      <c r="AU655" s="213"/>
    </row>
    <row r="656" spans="40:47" s="121" customFormat="1" hidden="1">
      <c r="AN656" s="239"/>
      <c r="AO656" s="225"/>
      <c r="AP656" s="260"/>
      <c r="AQ656" s="258"/>
      <c r="AR656" s="258"/>
      <c r="AS656" s="202"/>
      <c r="AT656" s="213"/>
      <c r="AU656" s="213"/>
    </row>
    <row r="657" spans="40:47" s="121" customFormat="1" hidden="1">
      <c r="AN657" s="239"/>
      <c r="AO657" s="225"/>
      <c r="AP657" s="260"/>
      <c r="AQ657" s="258"/>
      <c r="AR657" s="258"/>
      <c r="AS657" s="202"/>
      <c r="AT657" s="213"/>
      <c r="AU657" s="213"/>
    </row>
    <row r="658" spans="40:47" s="121" customFormat="1" hidden="1">
      <c r="AN658" s="239"/>
      <c r="AO658" s="225"/>
      <c r="AP658" s="260"/>
      <c r="AQ658" s="258"/>
      <c r="AR658" s="258"/>
      <c r="AS658" s="202"/>
      <c r="AT658" s="213"/>
      <c r="AU658" s="213"/>
    </row>
    <row r="659" spans="40:47" s="121" customFormat="1" hidden="1">
      <c r="AN659" s="239"/>
      <c r="AO659" s="225"/>
      <c r="AP659" s="260"/>
      <c r="AQ659" s="258"/>
      <c r="AR659" s="258"/>
      <c r="AS659" s="202"/>
      <c r="AT659" s="213"/>
      <c r="AU659" s="213"/>
    </row>
    <row r="660" spans="40:47" s="121" customFormat="1" hidden="1">
      <c r="AN660" s="239"/>
      <c r="AO660" s="225"/>
      <c r="AP660" s="260"/>
      <c r="AQ660" s="258"/>
      <c r="AR660" s="258"/>
      <c r="AS660" s="202"/>
      <c r="AT660" s="213"/>
      <c r="AU660" s="213"/>
    </row>
    <row r="661" spans="40:47" s="121" customFormat="1" hidden="1">
      <c r="AN661" s="239"/>
      <c r="AO661" s="225"/>
      <c r="AP661" s="260"/>
      <c r="AQ661" s="258"/>
      <c r="AR661" s="258"/>
      <c r="AS661" s="202"/>
      <c r="AT661" s="213"/>
      <c r="AU661" s="213"/>
    </row>
    <row r="662" spans="40:47" s="121" customFormat="1" hidden="1">
      <c r="AN662" s="239"/>
      <c r="AO662" s="225"/>
      <c r="AP662" s="260"/>
      <c r="AQ662" s="258"/>
      <c r="AR662" s="258"/>
      <c r="AS662" s="202"/>
      <c r="AT662" s="213"/>
      <c r="AU662" s="213"/>
    </row>
    <row r="663" spans="40:47" s="121" customFormat="1" hidden="1">
      <c r="AN663" s="239"/>
      <c r="AO663" s="225"/>
      <c r="AP663" s="260"/>
      <c r="AQ663" s="258"/>
      <c r="AR663" s="258"/>
      <c r="AS663" s="202"/>
      <c r="AT663" s="213"/>
      <c r="AU663" s="213"/>
    </row>
    <row r="664" spans="40:47" s="121" customFormat="1" hidden="1">
      <c r="AN664" s="239"/>
      <c r="AO664" s="225"/>
      <c r="AP664" s="260"/>
      <c r="AQ664" s="258"/>
      <c r="AR664" s="258"/>
      <c r="AS664" s="202"/>
      <c r="AT664" s="213"/>
      <c r="AU664" s="213"/>
    </row>
    <row r="665" spans="40:47" s="121" customFormat="1" hidden="1">
      <c r="AN665" s="239"/>
      <c r="AO665" s="225"/>
      <c r="AP665" s="260"/>
      <c r="AQ665" s="258"/>
      <c r="AR665" s="258"/>
      <c r="AS665" s="202"/>
      <c r="AT665" s="213"/>
      <c r="AU665" s="213"/>
    </row>
    <row r="666" spans="40:47" s="121" customFormat="1" hidden="1">
      <c r="AN666" s="239"/>
      <c r="AO666" s="225"/>
      <c r="AP666" s="260"/>
      <c r="AQ666" s="258"/>
      <c r="AR666" s="258"/>
      <c r="AS666" s="202"/>
      <c r="AT666" s="213"/>
      <c r="AU666" s="213"/>
    </row>
    <row r="667" spans="40:47" s="121" customFormat="1" hidden="1">
      <c r="AN667" s="239"/>
      <c r="AO667" s="225"/>
      <c r="AP667" s="260"/>
      <c r="AQ667" s="258"/>
      <c r="AR667" s="258"/>
      <c r="AS667" s="202"/>
      <c r="AT667" s="213"/>
      <c r="AU667" s="213"/>
    </row>
    <row r="668" spans="40:47" s="121" customFormat="1" hidden="1">
      <c r="AN668" s="239"/>
      <c r="AO668" s="225"/>
      <c r="AP668" s="260"/>
      <c r="AQ668" s="258"/>
      <c r="AR668" s="258"/>
      <c r="AS668" s="202"/>
      <c r="AT668" s="213"/>
      <c r="AU668" s="213"/>
    </row>
    <row r="669" spans="40:47" s="121" customFormat="1" hidden="1">
      <c r="AN669" s="239"/>
      <c r="AO669" s="225"/>
      <c r="AP669" s="260"/>
      <c r="AQ669" s="258"/>
      <c r="AR669" s="258"/>
      <c r="AS669" s="202"/>
      <c r="AT669" s="213"/>
      <c r="AU669" s="213"/>
    </row>
    <row r="670" spans="40:47" s="121" customFormat="1" hidden="1">
      <c r="AN670" s="239"/>
      <c r="AO670" s="225"/>
      <c r="AP670" s="260"/>
      <c r="AQ670" s="258"/>
      <c r="AR670" s="258"/>
      <c r="AS670" s="202"/>
      <c r="AT670" s="213"/>
      <c r="AU670" s="213"/>
    </row>
    <row r="671" spans="40:47" s="121" customFormat="1" hidden="1">
      <c r="AN671" s="239"/>
      <c r="AO671" s="225"/>
      <c r="AP671" s="260"/>
      <c r="AQ671" s="258"/>
      <c r="AR671" s="258"/>
      <c r="AS671" s="202"/>
      <c r="AT671" s="213"/>
      <c r="AU671" s="213"/>
    </row>
    <row r="672" spans="40:47" s="121" customFormat="1" hidden="1">
      <c r="AN672" s="239"/>
      <c r="AO672" s="225"/>
      <c r="AP672" s="260"/>
      <c r="AQ672" s="258"/>
      <c r="AR672" s="258"/>
      <c r="AS672" s="202"/>
      <c r="AT672" s="213"/>
      <c r="AU672" s="213"/>
    </row>
    <row r="673" spans="40:47" s="121" customFormat="1" hidden="1">
      <c r="AN673" s="239"/>
      <c r="AO673" s="225"/>
      <c r="AP673" s="260"/>
      <c r="AQ673" s="258"/>
      <c r="AR673" s="258"/>
      <c r="AS673" s="202"/>
      <c r="AT673" s="213"/>
      <c r="AU673" s="213"/>
    </row>
    <row r="674" spans="40:47" s="121" customFormat="1" hidden="1">
      <c r="AN674" s="239"/>
      <c r="AO674" s="225"/>
      <c r="AP674" s="260"/>
      <c r="AQ674" s="258"/>
      <c r="AR674" s="258"/>
      <c r="AS674" s="202"/>
      <c r="AT674" s="213"/>
      <c r="AU674" s="213"/>
    </row>
    <row r="675" spans="40:47" s="121" customFormat="1" hidden="1">
      <c r="AN675" s="239"/>
      <c r="AO675" s="225"/>
      <c r="AP675" s="260"/>
      <c r="AQ675" s="258"/>
      <c r="AR675" s="258"/>
      <c r="AS675" s="202"/>
      <c r="AT675" s="213"/>
      <c r="AU675" s="213"/>
    </row>
    <row r="676" spans="40:47" s="121" customFormat="1" hidden="1">
      <c r="AN676" s="239"/>
      <c r="AO676" s="225"/>
      <c r="AP676" s="260"/>
      <c r="AQ676" s="258"/>
      <c r="AR676" s="258"/>
      <c r="AS676" s="202"/>
      <c r="AT676" s="213"/>
      <c r="AU676" s="213"/>
    </row>
    <row r="677" spans="40:47" s="121" customFormat="1" hidden="1">
      <c r="AN677" s="239"/>
      <c r="AO677" s="225"/>
      <c r="AP677" s="260"/>
      <c r="AQ677" s="258"/>
      <c r="AR677" s="258"/>
      <c r="AS677" s="202"/>
      <c r="AT677" s="213"/>
      <c r="AU677" s="213"/>
    </row>
    <row r="678" spans="40:47" s="121" customFormat="1" hidden="1">
      <c r="AN678" s="239"/>
      <c r="AO678" s="225"/>
      <c r="AP678" s="260"/>
      <c r="AQ678" s="258"/>
      <c r="AR678" s="258"/>
      <c r="AS678" s="202"/>
      <c r="AT678" s="213"/>
      <c r="AU678" s="213"/>
    </row>
    <row r="679" spans="40:47" s="121" customFormat="1" hidden="1">
      <c r="AN679" s="239"/>
      <c r="AO679" s="225"/>
      <c r="AP679" s="260"/>
      <c r="AQ679" s="258"/>
      <c r="AR679" s="258"/>
      <c r="AS679" s="202"/>
      <c r="AT679" s="213"/>
      <c r="AU679" s="213"/>
    </row>
    <row r="680" spans="40:47" s="121" customFormat="1" hidden="1">
      <c r="AN680" s="239"/>
      <c r="AO680" s="225"/>
      <c r="AP680" s="260"/>
      <c r="AQ680" s="258"/>
      <c r="AR680" s="258"/>
      <c r="AS680" s="202"/>
      <c r="AT680" s="213"/>
      <c r="AU680" s="213"/>
    </row>
    <row r="681" spans="40:47" s="121" customFormat="1" hidden="1">
      <c r="AN681" s="239"/>
      <c r="AO681" s="225"/>
      <c r="AP681" s="260"/>
      <c r="AQ681" s="258"/>
      <c r="AR681" s="258"/>
      <c r="AS681" s="202"/>
      <c r="AT681" s="213"/>
      <c r="AU681" s="213"/>
    </row>
    <row r="682" spans="40:47" s="121" customFormat="1" hidden="1">
      <c r="AN682" s="239"/>
      <c r="AO682" s="225"/>
      <c r="AP682" s="260"/>
      <c r="AQ682" s="258"/>
      <c r="AR682" s="258"/>
      <c r="AS682" s="202"/>
      <c r="AT682" s="213"/>
      <c r="AU682" s="213"/>
    </row>
    <row r="683" spans="40:47" s="121" customFormat="1" hidden="1">
      <c r="AN683" s="239"/>
      <c r="AO683" s="225"/>
      <c r="AP683" s="260"/>
      <c r="AQ683" s="258"/>
      <c r="AR683" s="258"/>
      <c r="AS683" s="202"/>
      <c r="AT683" s="213"/>
      <c r="AU683" s="213"/>
    </row>
    <row r="684" spans="40:47" s="121" customFormat="1" hidden="1">
      <c r="AN684" s="239"/>
      <c r="AO684" s="225"/>
      <c r="AP684" s="260"/>
      <c r="AQ684" s="258"/>
      <c r="AR684" s="258"/>
      <c r="AS684" s="202"/>
      <c r="AT684" s="213"/>
      <c r="AU684" s="213"/>
    </row>
    <row r="685" spans="40:47" s="121" customFormat="1" hidden="1">
      <c r="AN685" s="239"/>
      <c r="AO685" s="225"/>
      <c r="AP685" s="260"/>
      <c r="AQ685" s="258"/>
      <c r="AR685" s="258"/>
      <c r="AS685" s="202"/>
      <c r="AT685" s="213"/>
      <c r="AU685" s="213"/>
    </row>
    <row r="686" spans="40:47" s="121" customFormat="1" hidden="1">
      <c r="AN686" s="239"/>
      <c r="AO686" s="225"/>
      <c r="AP686" s="260"/>
      <c r="AQ686" s="258"/>
      <c r="AR686" s="258"/>
      <c r="AS686" s="202"/>
      <c r="AT686" s="213"/>
      <c r="AU686" s="213"/>
    </row>
    <row r="687" spans="40:47" s="121" customFormat="1" hidden="1">
      <c r="AN687" s="239"/>
      <c r="AO687" s="225"/>
      <c r="AP687" s="260"/>
      <c r="AQ687" s="258"/>
      <c r="AR687" s="258"/>
      <c r="AS687" s="202"/>
      <c r="AT687" s="213"/>
      <c r="AU687" s="213"/>
    </row>
    <row r="688" spans="40:47" s="121" customFormat="1" hidden="1">
      <c r="AN688" s="239"/>
      <c r="AO688" s="225"/>
      <c r="AP688" s="260"/>
      <c r="AQ688" s="258"/>
      <c r="AR688" s="258"/>
      <c r="AS688" s="202"/>
      <c r="AT688" s="213"/>
      <c r="AU688" s="213"/>
    </row>
    <row r="689" spans="40:47" s="121" customFormat="1" hidden="1">
      <c r="AN689" s="239"/>
      <c r="AO689" s="225"/>
      <c r="AP689" s="260"/>
      <c r="AQ689" s="258"/>
      <c r="AR689" s="258"/>
      <c r="AS689" s="202"/>
      <c r="AT689" s="213"/>
      <c r="AU689" s="213"/>
    </row>
    <row r="690" spans="40:47" s="121" customFormat="1" hidden="1">
      <c r="AN690" s="239"/>
      <c r="AO690" s="225"/>
      <c r="AP690" s="260"/>
      <c r="AQ690" s="258"/>
      <c r="AR690" s="258"/>
      <c r="AS690" s="202"/>
      <c r="AT690" s="213"/>
      <c r="AU690" s="213"/>
    </row>
    <row r="691" spans="40:47" s="121" customFormat="1" hidden="1">
      <c r="AN691" s="239"/>
      <c r="AO691" s="225"/>
      <c r="AP691" s="260"/>
      <c r="AQ691" s="258"/>
      <c r="AR691" s="258"/>
      <c r="AS691" s="202"/>
      <c r="AT691" s="213"/>
      <c r="AU691" s="213"/>
    </row>
    <row r="692" spans="40:47" s="121" customFormat="1" hidden="1">
      <c r="AN692" s="239"/>
      <c r="AO692" s="225"/>
      <c r="AP692" s="260"/>
      <c r="AQ692" s="258"/>
      <c r="AR692" s="258"/>
      <c r="AS692" s="202"/>
      <c r="AT692" s="213"/>
      <c r="AU692" s="213"/>
    </row>
    <row r="693" spans="40:47" s="121" customFormat="1" hidden="1">
      <c r="AN693" s="239"/>
      <c r="AO693" s="225"/>
      <c r="AP693" s="260"/>
      <c r="AQ693" s="258"/>
      <c r="AR693" s="258"/>
      <c r="AS693" s="202"/>
      <c r="AT693" s="213"/>
      <c r="AU693" s="213"/>
    </row>
    <row r="694" spans="40:47" s="121" customFormat="1" hidden="1">
      <c r="AN694" s="239"/>
      <c r="AO694" s="225"/>
      <c r="AP694" s="260"/>
      <c r="AQ694" s="258"/>
      <c r="AR694" s="258"/>
      <c r="AS694" s="202"/>
      <c r="AT694" s="213"/>
      <c r="AU694" s="213"/>
    </row>
    <row r="695" spans="40:47" s="121" customFormat="1" hidden="1">
      <c r="AN695" s="239"/>
      <c r="AO695" s="225"/>
      <c r="AP695" s="260"/>
      <c r="AQ695" s="258"/>
      <c r="AR695" s="258"/>
      <c r="AS695" s="202"/>
      <c r="AT695" s="213"/>
      <c r="AU695" s="213"/>
    </row>
    <row r="696" spans="40:47" s="121" customFormat="1" hidden="1">
      <c r="AN696" s="239"/>
      <c r="AO696" s="225"/>
      <c r="AP696" s="260"/>
      <c r="AQ696" s="258"/>
      <c r="AR696" s="258"/>
      <c r="AS696" s="202"/>
      <c r="AT696" s="213"/>
      <c r="AU696" s="213"/>
    </row>
    <row r="697" spans="40:47" s="121" customFormat="1" hidden="1">
      <c r="AN697" s="239"/>
      <c r="AO697" s="225"/>
      <c r="AP697" s="260"/>
      <c r="AQ697" s="258"/>
      <c r="AR697" s="258"/>
      <c r="AS697" s="202"/>
      <c r="AT697" s="213"/>
      <c r="AU697" s="213"/>
    </row>
    <row r="698" spans="40:47" s="121" customFormat="1" hidden="1">
      <c r="AN698" s="239"/>
      <c r="AO698" s="225"/>
      <c r="AP698" s="260"/>
      <c r="AQ698" s="258"/>
      <c r="AR698" s="258"/>
      <c r="AS698" s="202"/>
      <c r="AT698" s="213"/>
      <c r="AU698" s="213"/>
    </row>
    <row r="699" spans="40:47" s="121" customFormat="1" hidden="1">
      <c r="AN699" s="239"/>
      <c r="AO699" s="225"/>
      <c r="AP699" s="260"/>
      <c r="AQ699" s="258"/>
      <c r="AR699" s="258"/>
      <c r="AS699" s="202"/>
      <c r="AT699" s="213"/>
      <c r="AU699" s="213"/>
    </row>
    <row r="700" spans="40:47" s="121" customFormat="1">
      <c r="AN700" s="236" t="s">
        <v>2985</v>
      </c>
      <c r="AO700" s="225" t="s">
        <v>2972</v>
      </c>
      <c r="AP700" s="257">
        <f>SUM(AQ700:AR700)</f>
        <v>0</v>
      </c>
      <c r="AQ700" s="258"/>
      <c r="AR700" s="258"/>
      <c r="AS700" s="202"/>
      <c r="AT700" s="213"/>
      <c r="AU700" s="213"/>
    </row>
    <row r="701" spans="40:47" s="121" customFormat="1">
      <c r="AN701" s="236" t="s">
        <v>2987</v>
      </c>
      <c r="AO701" s="225" t="s">
        <v>2988</v>
      </c>
      <c r="AP701" s="257">
        <f>SUM(AQ701:AR701)</f>
        <v>0</v>
      </c>
      <c r="AQ701" s="258"/>
      <c r="AR701" s="258"/>
      <c r="AS701" s="202"/>
      <c r="AT701" s="213"/>
      <c r="AU701" s="213"/>
    </row>
    <row r="702" spans="40:47" s="121" customFormat="1" hidden="1" collapsed="1">
      <c r="AN702" s="239"/>
      <c r="AO702" s="226"/>
      <c r="AP702" s="260"/>
      <c r="AQ702" s="258"/>
      <c r="AR702" s="258"/>
      <c r="AS702" s="202"/>
      <c r="AT702" s="213"/>
      <c r="AU702" s="213"/>
    </row>
    <row r="703" spans="40:47" s="121" customFormat="1" hidden="1">
      <c r="AN703" s="239"/>
      <c r="AO703" s="227"/>
      <c r="AP703" s="260"/>
      <c r="AQ703" s="258"/>
      <c r="AR703" s="258"/>
      <c r="AS703" s="202"/>
      <c r="AT703" s="213"/>
      <c r="AU703" s="213"/>
    </row>
    <row r="704" spans="40:47" s="121" customFormat="1" hidden="1">
      <c r="AN704" s="239"/>
      <c r="AO704" s="227"/>
      <c r="AP704" s="260"/>
      <c r="AQ704" s="258"/>
      <c r="AR704" s="258"/>
      <c r="AS704" s="202"/>
      <c r="AT704" s="213"/>
      <c r="AU704" s="213"/>
    </row>
    <row r="705" spans="40:47" s="121" customFormat="1" hidden="1">
      <c r="AN705" s="239"/>
      <c r="AO705" s="226"/>
      <c r="AP705" s="260"/>
      <c r="AQ705" s="258"/>
      <c r="AR705" s="258"/>
      <c r="AS705" s="202"/>
      <c r="AT705" s="213"/>
      <c r="AU705" s="213"/>
    </row>
    <row r="706" spans="40:47" s="121" customFormat="1" hidden="1" collapsed="1">
      <c r="AN706" s="239"/>
      <c r="AO706" s="227"/>
      <c r="AP706" s="260"/>
      <c r="AQ706" s="258"/>
      <c r="AR706" s="258"/>
      <c r="AS706" s="202"/>
      <c r="AT706" s="213"/>
      <c r="AU706" s="213"/>
    </row>
    <row r="707" spans="40:47" s="121" customFormat="1" hidden="1">
      <c r="AN707" s="239"/>
      <c r="AO707" s="227"/>
      <c r="AP707" s="260"/>
      <c r="AQ707" s="258"/>
      <c r="AR707" s="258"/>
      <c r="AS707" s="202"/>
      <c r="AT707" s="213"/>
      <c r="AU707" s="213"/>
    </row>
    <row r="708" spans="40:47" s="121" customFormat="1" hidden="1">
      <c r="AN708" s="239"/>
      <c r="AO708" s="226"/>
      <c r="AP708" s="260"/>
      <c r="AQ708" s="258"/>
      <c r="AR708" s="258"/>
      <c r="AS708" s="202"/>
      <c r="AT708" s="213"/>
      <c r="AU708" s="213"/>
    </row>
    <row r="709" spans="40:47" s="121" customFormat="1" hidden="1">
      <c r="AN709" s="239"/>
      <c r="AO709" s="225"/>
      <c r="AP709" s="260"/>
      <c r="AQ709" s="258"/>
      <c r="AR709" s="258"/>
      <c r="AS709" s="202"/>
      <c r="AT709" s="213"/>
      <c r="AU709" s="213"/>
    </row>
    <row r="710" spans="40:47" s="121" customFormat="1" hidden="1" collapsed="1">
      <c r="AN710" s="239"/>
      <c r="AO710" s="225"/>
      <c r="AP710" s="260"/>
      <c r="AQ710" s="258"/>
      <c r="AR710" s="258"/>
      <c r="AS710" s="202"/>
      <c r="AT710" s="213"/>
      <c r="AU710" s="213"/>
    </row>
    <row r="711" spans="40:47" s="121" customFormat="1" hidden="1">
      <c r="AN711" s="239"/>
      <c r="AO711" s="225"/>
      <c r="AP711" s="260"/>
      <c r="AQ711" s="258"/>
      <c r="AR711" s="258"/>
      <c r="AS711" s="202"/>
      <c r="AT711" s="213"/>
      <c r="AU711" s="213"/>
    </row>
    <row r="712" spans="40:47" s="121" customFormat="1" hidden="1">
      <c r="AN712" s="239"/>
      <c r="AO712" s="225"/>
      <c r="AP712" s="260"/>
      <c r="AQ712" s="258"/>
      <c r="AR712" s="258"/>
      <c r="AS712" s="202"/>
      <c r="AT712" s="213"/>
      <c r="AU712" s="213"/>
    </row>
    <row r="713" spans="40:47" s="121" customFormat="1" hidden="1">
      <c r="AN713" s="239"/>
      <c r="AO713" s="225"/>
      <c r="AP713" s="260"/>
      <c r="AQ713" s="258"/>
      <c r="AR713" s="258"/>
      <c r="AS713" s="202"/>
      <c r="AT713" s="213"/>
      <c r="AU713" s="213"/>
    </row>
    <row r="714" spans="40:47" s="121" customFormat="1" hidden="1">
      <c r="AN714" s="239"/>
      <c r="AO714" s="225"/>
      <c r="AP714" s="260"/>
      <c r="AQ714" s="258"/>
      <c r="AR714" s="258"/>
      <c r="AS714" s="202"/>
      <c r="AT714" s="213"/>
      <c r="AU714" s="213"/>
    </row>
    <row r="715" spans="40:47" s="121" customFormat="1" hidden="1">
      <c r="AN715" s="239"/>
      <c r="AO715" s="225"/>
      <c r="AP715" s="260"/>
      <c r="AQ715" s="258"/>
      <c r="AR715" s="258"/>
      <c r="AS715" s="202"/>
      <c r="AT715" s="213"/>
      <c r="AU715" s="213"/>
    </row>
    <row r="716" spans="40:47" s="121" customFormat="1" hidden="1">
      <c r="AN716" s="239"/>
      <c r="AO716" s="225"/>
      <c r="AP716" s="260"/>
      <c r="AQ716" s="258"/>
      <c r="AR716" s="258"/>
      <c r="AS716" s="202"/>
      <c r="AT716" s="213"/>
      <c r="AU716" s="213"/>
    </row>
    <row r="717" spans="40:47" s="121" customFormat="1" hidden="1">
      <c r="AN717" s="239"/>
      <c r="AO717" s="225"/>
      <c r="AP717" s="260"/>
      <c r="AQ717" s="258"/>
      <c r="AR717" s="258"/>
      <c r="AS717" s="202"/>
      <c r="AT717" s="213"/>
      <c r="AU717" s="213"/>
    </row>
    <row r="718" spans="40:47" s="121" customFormat="1" hidden="1">
      <c r="AN718" s="239"/>
      <c r="AO718" s="225"/>
      <c r="AP718" s="260"/>
      <c r="AQ718" s="258"/>
      <c r="AR718" s="258"/>
      <c r="AS718" s="202"/>
      <c r="AT718" s="213"/>
      <c r="AU718" s="213"/>
    </row>
    <row r="719" spans="40:47" s="121" customFormat="1" hidden="1">
      <c r="AN719" s="239"/>
      <c r="AO719" s="225"/>
      <c r="AP719" s="260"/>
      <c r="AQ719" s="258"/>
      <c r="AR719" s="258"/>
      <c r="AS719" s="202"/>
      <c r="AT719" s="213"/>
      <c r="AU719" s="213"/>
    </row>
    <row r="720" spans="40:47" s="121" customFormat="1" hidden="1">
      <c r="AN720" s="239"/>
      <c r="AO720" s="225"/>
      <c r="AP720" s="260"/>
      <c r="AQ720" s="258"/>
      <c r="AR720" s="258"/>
      <c r="AS720" s="202"/>
      <c r="AT720" s="213"/>
      <c r="AU720" s="213"/>
    </row>
    <row r="721" spans="1:47" s="121" customFormat="1" hidden="1">
      <c r="AN721" s="239"/>
      <c r="AO721" s="225"/>
      <c r="AP721" s="260"/>
      <c r="AQ721" s="258"/>
      <c r="AR721" s="258"/>
      <c r="AS721" s="202"/>
      <c r="AT721" s="213"/>
      <c r="AU721" s="213"/>
    </row>
    <row r="722" spans="1:47" s="121" customFormat="1" hidden="1">
      <c r="AN722" s="239"/>
      <c r="AO722" s="225"/>
      <c r="AP722" s="260"/>
      <c r="AQ722" s="258"/>
      <c r="AR722" s="258"/>
      <c r="AS722" s="202"/>
      <c r="AT722" s="213"/>
      <c r="AU722" s="213"/>
    </row>
    <row r="723" spans="1:47" s="121" customFormat="1" hidden="1">
      <c r="AN723" s="239"/>
      <c r="AO723" s="225"/>
      <c r="AP723" s="260"/>
      <c r="AQ723" s="258"/>
      <c r="AR723" s="258"/>
      <c r="AS723" s="202"/>
      <c r="AT723" s="213"/>
      <c r="AU723" s="213"/>
    </row>
    <row r="724" spans="1:47" s="121" customFormat="1" hidden="1">
      <c r="AN724" s="239"/>
      <c r="AO724" s="225"/>
      <c r="AP724" s="260"/>
      <c r="AQ724" s="258"/>
      <c r="AR724" s="258"/>
      <c r="AS724" s="202"/>
      <c r="AT724" s="213"/>
      <c r="AU724" s="213"/>
    </row>
    <row r="725" spans="1:47" s="121" customFormat="1" hidden="1">
      <c r="AN725" s="239"/>
      <c r="AO725" s="225"/>
      <c r="AP725" s="260"/>
      <c r="AQ725" s="258"/>
      <c r="AR725" s="258"/>
      <c r="AS725" s="202"/>
      <c r="AT725" s="213"/>
      <c r="AU725" s="213"/>
    </row>
    <row r="726" spans="1:47" s="121" customFormat="1" hidden="1">
      <c r="AN726" s="239"/>
      <c r="AO726" s="225"/>
      <c r="AP726" s="260"/>
      <c r="AQ726" s="258"/>
      <c r="AR726" s="258"/>
      <c r="AS726" s="202"/>
      <c r="AT726" s="213"/>
      <c r="AU726" s="213"/>
    </row>
    <row r="727" spans="1:47">
      <c r="A727" s="51"/>
      <c r="B727" s="51"/>
      <c r="C727" s="51"/>
      <c r="D727" s="51"/>
      <c r="E727" s="51"/>
      <c r="F727" s="51"/>
      <c r="G727" s="51"/>
      <c r="H727" s="51"/>
      <c r="I727" s="51"/>
      <c r="AN727" s="234" t="s">
        <v>769</v>
      </c>
      <c r="AO727" s="235" t="s">
        <v>2991</v>
      </c>
      <c r="AP727" s="257">
        <f>SUM(AQ727:AR727)</f>
        <v>0</v>
      </c>
      <c r="AQ727" s="258"/>
      <c r="AR727" s="258"/>
      <c r="AS727" s="202"/>
    </row>
    <row r="728" spans="1:47">
      <c r="A728" s="51"/>
      <c r="B728" s="51"/>
      <c r="C728" s="51"/>
      <c r="D728" s="51"/>
      <c r="E728" s="51"/>
      <c r="F728" s="51"/>
      <c r="G728" s="51"/>
      <c r="H728" s="51"/>
      <c r="I728" s="51"/>
      <c r="AN728" s="234" t="s">
        <v>770</v>
      </c>
      <c r="AO728" s="442" t="s">
        <v>2992</v>
      </c>
      <c r="AP728" s="257">
        <f>SUM(AQ728:AR728)</f>
        <v>0</v>
      </c>
      <c r="AQ728" s="258"/>
      <c r="AR728" s="258"/>
      <c r="AS728" s="202"/>
    </row>
    <row r="729" spans="1:47">
      <c r="A729" s="51"/>
      <c r="B729" s="51"/>
      <c r="C729" s="51"/>
      <c r="D729" s="51"/>
      <c r="E729" s="51"/>
      <c r="F729" s="51"/>
      <c r="G729" s="51"/>
      <c r="H729" s="51"/>
      <c r="I729" s="51"/>
      <c r="AN729" s="236" t="s">
        <v>2993</v>
      </c>
      <c r="AO729" s="225" t="s">
        <v>2994</v>
      </c>
      <c r="AP729" s="257">
        <f>SUM(AQ729:AR729)</f>
        <v>0</v>
      </c>
      <c r="AQ729" s="258"/>
      <c r="AR729" s="258"/>
      <c r="AS729" s="202"/>
    </row>
    <row r="730" spans="1:47">
      <c r="A730" s="51"/>
      <c r="B730" s="51"/>
      <c r="C730" s="51"/>
      <c r="D730" s="51"/>
      <c r="E730" s="51"/>
      <c r="F730" s="51"/>
      <c r="G730" s="51"/>
      <c r="H730" s="51"/>
      <c r="I730" s="51"/>
      <c r="AN730" s="236" t="s">
        <v>2995</v>
      </c>
      <c r="AO730" s="482" t="s">
        <v>2791</v>
      </c>
      <c r="AP730" s="257">
        <f>SUM(AQ730:AR730)</f>
        <v>0</v>
      </c>
      <c r="AQ730" s="258"/>
      <c r="AR730" s="258"/>
      <c r="AS730" s="202"/>
    </row>
    <row r="731" spans="1:47" hidden="1">
      <c r="A731" s="51"/>
      <c r="B731" s="51"/>
      <c r="C731" s="51"/>
      <c r="D731" s="51"/>
      <c r="E731" s="51"/>
      <c r="F731" s="51"/>
      <c r="G731" s="51"/>
      <c r="H731" s="51"/>
      <c r="I731" s="51"/>
      <c r="AN731" s="594" t="str">
        <f>IF(TEMPLATE_CLAIM="P","5.1.1.1.1","")</f>
        <v/>
      </c>
      <c r="AO731" s="593" t="str">
        <f>IF(TEMPLATE_CLAIM="P","от станций с мощностью производства &gt;= 25 МВт","")</f>
        <v/>
      </c>
      <c r="AP731" s="257" t="str">
        <f>IF(TEMPLATE_CLAIM="P",SUM(AQ731:AR731),"")</f>
        <v/>
      </c>
      <c r="AQ731" s="258"/>
      <c r="AR731" s="258"/>
      <c r="AS731" s="202"/>
    </row>
    <row r="732" spans="1:47" hidden="1">
      <c r="A732" s="51"/>
      <c r="B732" s="51"/>
      <c r="C732" s="51"/>
      <c r="D732" s="51"/>
      <c r="E732" s="51"/>
      <c r="F732" s="51"/>
      <c r="G732" s="51"/>
      <c r="H732" s="51"/>
      <c r="I732" s="51"/>
      <c r="AN732" s="594" t="str">
        <f>IF(TEMPLATE_CLAIM="P","5.1.1.1.2","")</f>
        <v/>
      </c>
      <c r="AO732" s="593" t="str">
        <f>IF(TEMPLATE_CLAIM="P","от станций с мощностью производства &lt; 25 МВт","")</f>
        <v/>
      </c>
      <c r="AP732" s="257" t="str">
        <f>IF(TEMPLATE_CLAIM="P",SUM(AQ732:AR732),"")</f>
        <v/>
      </c>
      <c r="AQ732" s="258"/>
      <c r="AR732" s="258"/>
      <c r="AS732" s="202"/>
    </row>
    <row r="733" spans="1:47" ht="0.75" hidden="1" customHeight="1">
      <c r="A733" s="51"/>
      <c r="B733" s="51"/>
      <c r="C733" s="51"/>
      <c r="D733" s="51"/>
      <c r="E733" s="51"/>
      <c r="F733" s="51"/>
      <c r="G733" s="51"/>
      <c r="H733" s="51"/>
      <c r="I733" s="51"/>
      <c r="AN733" s="236"/>
      <c r="AO733" s="243"/>
      <c r="AP733" s="260"/>
      <c r="AQ733" s="258"/>
      <c r="AR733" s="258"/>
      <c r="AS733" s="202"/>
    </row>
    <row r="734" spans="1:47">
      <c r="A734" s="51"/>
      <c r="B734" s="51"/>
      <c r="C734" s="51"/>
      <c r="D734" s="51"/>
      <c r="E734" s="51"/>
      <c r="F734" s="51"/>
      <c r="G734" s="51"/>
      <c r="H734" s="51"/>
      <c r="I734" s="51"/>
      <c r="AN734" s="236" t="s">
        <v>2998</v>
      </c>
      <c r="AO734" s="482" t="s">
        <v>755</v>
      </c>
      <c r="AP734" s="257">
        <f>SUM(AQ734:AR734)</f>
        <v>0</v>
      </c>
      <c r="AQ734" s="258"/>
      <c r="AR734" s="258"/>
      <c r="AS734" s="202"/>
    </row>
    <row r="735" spans="1:47" hidden="1">
      <c r="A735" s="51"/>
      <c r="B735" s="51"/>
      <c r="C735" s="51"/>
      <c r="D735" s="51"/>
      <c r="E735" s="51"/>
      <c r="F735" s="51"/>
      <c r="G735" s="51"/>
      <c r="H735" s="51"/>
      <c r="I735" s="51"/>
      <c r="AN735" s="594" t="str">
        <f>IF(TEMPLATE_CLAIM="P","5.1.1.2.1","")</f>
        <v/>
      </c>
      <c r="AO735" s="593" t="str">
        <f>IF(TEMPLATE_CLAIM="P","от станций с мощностью производства &gt;= 25 МВт","")</f>
        <v/>
      </c>
      <c r="AP735" s="257" t="str">
        <f>IF(TEMPLATE_CLAIM="P",SUM(AQ735:AR735),"")</f>
        <v/>
      </c>
      <c r="AQ735" s="258"/>
      <c r="AR735" s="258"/>
      <c r="AS735" s="202"/>
    </row>
    <row r="736" spans="1:47" hidden="1">
      <c r="A736" s="51"/>
      <c r="B736" s="51"/>
      <c r="C736" s="51"/>
      <c r="D736" s="51"/>
      <c r="E736" s="51"/>
      <c r="F736" s="51"/>
      <c r="G736" s="51"/>
      <c r="H736" s="51"/>
      <c r="I736" s="51"/>
      <c r="AN736" s="594" t="str">
        <f>IF(TEMPLATE_CLAIM="P","5.1.1.2.2","")</f>
        <v/>
      </c>
      <c r="AO736" s="593" t="str">
        <f>IF(TEMPLATE_CLAIM="P","от станций с мощностью производства &lt; 25 МВт","")</f>
        <v/>
      </c>
      <c r="AP736" s="257" t="str">
        <f>IF(TEMPLATE_CLAIM="P",SUM(AQ736:AR736),"")</f>
        <v/>
      </c>
      <c r="AQ736" s="258"/>
      <c r="AR736" s="258"/>
      <c r="AS736" s="202"/>
    </row>
    <row r="737" spans="1:45" ht="0.75" hidden="1" customHeight="1">
      <c r="A737" s="51"/>
      <c r="B737" s="51"/>
      <c r="C737" s="51"/>
      <c r="D737" s="51"/>
      <c r="E737" s="51"/>
      <c r="F737" s="51"/>
      <c r="G737" s="51"/>
      <c r="H737" s="51"/>
      <c r="I737" s="51"/>
      <c r="AN737" s="436"/>
      <c r="AO737" s="243"/>
      <c r="AP737" s="260"/>
      <c r="AQ737" s="258"/>
      <c r="AR737" s="258"/>
      <c r="AS737" s="202"/>
    </row>
    <row r="738" spans="1:45">
      <c r="A738" s="51"/>
      <c r="B738" s="51"/>
      <c r="C738" s="51"/>
      <c r="D738" s="51"/>
      <c r="E738" s="51"/>
      <c r="F738" s="51"/>
      <c r="G738" s="51"/>
      <c r="H738" s="51"/>
      <c r="I738" s="51"/>
      <c r="AN738" s="236" t="s">
        <v>2999</v>
      </c>
      <c r="AO738" s="482" t="s">
        <v>2792</v>
      </c>
      <c r="AP738" s="257">
        <f>SUM(AQ738:AR738)</f>
        <v>0</v>
      </c>
      <c r="AQ738" s="258"/>
      <c r="AR738" s="258"/>
      <c r="AS738" s="202"/>
    </row>
    <row r="739" spans="1:45" hidden="1">
      <c r="A739" s="51"/>
      <c r="B739" s="51"/>
      <c r="C739" s="51"/>
      <c r="D739" s="51"/>
      <c r="E739" s="51"/>
      <c r="F739" s="51"/>
      <c r="G739" s="51"/>
      <c r="H739" s="51"/>
      <c r="I739" s="51"/>
      <c r="AN739" s="594" t="str">
        <f>IF(TEMPLATE_CLAIM="P","5.1.1.3.1","")</f>
        <v/>
      </c>
      <c r="AO739" s="593" t="str">
        <f>IF(TEMPLATE_CLAIM="P","от станций с мощностью производства &gt;= 25 МВт","")</f>
        <v/>
      </c>
      <c r="AP739" s="257" t="str">
        <f>IF(TEMPLATE_CLAIM="P",SUM(AQ739:AR739),"")</f>
        <v/>
      </c>
      <c r="AQ739" s="258"/>
      <c r="AR739" s="258"/>
      <c r="AS739" s="202"/>
    </row>
    <row r="740" spans="1:45" hidden="1">
      <c r="A740" s="51"/>
      <c r="B740" s="51"/>
      <c r="C740" s="51"/>
      <c r="D740" s="51"/>
      <c r="E740" s="51"/>
      <c r="F740" s="51"/>
      <c r="G740" s="51"/>
      <c r="H740" s="51"/>
      <c r="I740" s="51"/>
      <c r="AN740" s="594" t="str">
        <f>IF(TEMPLATE_CLAIM="P","5.1.1.3.2","")</f>
        <v/>
      </c>
      <c r="AO740" s="593" t="str">
        <f>IF(TEMPLATE_CLAIM="P","от станций с мощностью производства &lt; 25 МВт","")</f>
        <v/>
      </c>
      <c r="AP740" s="257" t="str">
        <f>IF(TEMPLATE_CLAIM="P",SUM(AQ740:AR740),"")</f>
        <v/>
      </c>
      <c r="AQ740" s="258"/>
      <c r="AR740" s="258"/>
      <c r="AS740" s="202"/>
    </row>
    <row r="741" spans="1:45" hidden="1">
      <c r="A741" s="51"/>
      <c r="B741" s="51"/>
      <c r="C741" s="51"/>
      <c r="D741" s="51"/>
      <c r="E741" s="51"/>
      <c r="F741" s="51"/>
      <c r="G741" s="51"/>
      <c r="H741" s="51"/>
      <c r="I741" s="51"/>
      <c r="AN741" s="594" t="str">
        <f>IF(TEMPLATE_CLAIM="P","5.1.1.3.3","")</f>
        <v/>
      </c>
      <c r="AO741" s="593" t="str">
        <f>IF(TEMPLATE_CLAIM="P","от котельных (некомбинированная выработка)","")</f>
        <v/>
      </c>
      <c r="AP741" s="257" t="str">
        <f>IF(TEMPLATE_CLAIM="P",SUM(AQ741:AR741),"")</f>
        <v/>
      </c>
      <c r="AQ741" s="258"/>
      <c r="AR741" s="258"/>
      <c r="AS741" s="202"/>
    </row>
    <row r="742" spans="1:45">
      <c r="A742" s="51"/>
      <c r="B742" s="51"/>
      <c r="C742" s="51"/>
      <c r="D742" s="51"/>
      <c r="E742" s="51"/>
      <c r="F742" s="51"/>
      <c r="G742" s="51"/>
      <c r="H742" s="51"/>
      <c r="I742" s="51"/>
      <c r="AN742" s="236" t="s">
        <v>3002</v>
      </c>
      <c r="AO742" s="482" t="s">
        <v>756</v>
      </c>
      <c r="AP742" s="257">
        <f>SUM(AQ742:AR742)</f>
        <v>0</v>
      </c>
      <c r="AQ742" s="258"/>
      <c r="AR742" s="258"/>
      <c r="AS742" s="202"/>
    </row>
    <row r="743" spans="1:45" hidden="1">
      <c r="A743" s="51"/>
      <c r="B743" s="51"/>
      <c r="C743" s="51"/>
      <c r="D743" s="51"/>
      <c r="E743" s="51"/>
      <c r="F743" s="51"/>
      <c r="G743" s="51"/>
      <c r="H743" s="51"/>
      <c r="I743" s="51"/>
      <c r="AN743" s="594" t="str">
        <f>IF(TEMPLATE_CLAIM="P","5.1.1.4.1","")</f>
        <v/>
      </c>
      <c r="AO743" s="593" t="str">
        <f>IF(TEMPLATE_CLAIM="P","от станций с мощностью производства &gt;= 25 МВт","")</f>
        <v/>
      </c>
      <c r="AP743" s="257" t="str">
        <f>IF(TEMPLATE_CLAIM="P",SUM(AQ743:AR743),"")</f>
        <v/>
      </c>
      <c r="AQ743" s="258"/>
      <c r="AR743" s="258"/>
      <c r="AS743" s="202"/>
    </row>
    <row r="744" spans="1:45" hidden="1">
      <c r="A744" s="51"/>
      <c r="B744" s="51"/>
      <c r="C744" s="51"/>
      <c r="D744" s="51"/>
      <c r="E744" s="51"/>
      <c r="F744" s="51"/>
      <c r="G744" s="51"/>
      <c r="H744" s="51"/>
      <c r="I744" s="51"/>
      <c r="AN744" s="594" t="str">
        <f>IF(TEMPLATE_CLAIM="P","5.1.1.4.2","")</f>
        <v/>
      </c>
      <c r="AO744" s="593" t="str">
        <f>IF(TEMPLATE_CLAIM="P","от станций с мощностью производства &lt; 25 МВт","")</f>
        <v/>
      </c>
      <c r="AP744" s="257" t="str">
        <f>IF(TEMPLATE_CLAIM="P",SUM(AQ744:AR744),"")</f>
        <v/>
      </c>
      <c r="AQ744" s="258"/>
      <c r="AR744" s="258"/>
      <c r="AS744" s="202"/>
    </row>
    <row r="745" spans="1:45" hidden="1">
      <c r="A745" s="51"/>
      <c r="B745" s="51"/>
      <c r="C745" s="51"/>
      <c r="D745" s="51"/>
      <c r="E745" s="51"/>
      <c r="F745" s="51"/>
      <c r="G745" s="51"/>
      <c r="H745" s="51"/>
      <c r="I745" s="51"/>
      <c r="AN745" s="594" t="str">
        <f>IF(TEMPLATE_CLAIM="P","5.1.1.4.3","")</f>
        <v/>
      </c>
      <c r="AO745" s="593" t="str">
        <f>IF(TEMPLATE_CLAIM="P","от котельных (некомбинированная выработка)","")</f>
        <v/>
      </c>
      <c r="AP745" s="257" t="str">
        <f>IF(TEMPLATE_CLAIM="P",SUM(AQ745:AR745),"")</f>
        <v/>
      </c>
      <c r="AQ745" s="258"/>
      <c r="AR745" s="258"/>
      <c r="AS745" s="202"/>
    </row>
    <row r="746" spans="1:45">
      <c r="A746" s="51"/>
      <c r="B746" s="51"/>
      <c r="C746" s="51"/>
      <c r="D746" s="51"/>
      <c r="E746" s="51"/>
      <c r="F746" s="51"/>
      <c r="G746" s="51"/>
      <c r="H746" s="51"/>
      <c r="I746" s="51"/>
      <c r="AN746" s="234" t="s">
        <v>3003</v>
      </c>
      <c r="AO746" s="225" t="s">
        <v>3004</v>
      </c>
      <c r="AP746" s="257">
        <f>SUM(AQ746:AR746)</f>
        <v>0</v>
      </c>
      <c r="AQ746" s="258"/>
      <c r="AR746" s="258"/>
      <c r="AS746" s="202"/>
    </row>
    <row r="747" spans="1:45" ht="22.5">
      <c r="A747" s="51"/>
      <c r="B747" s="51"/>
      <c r="C747" s="51"/>
      <c r="D747" s="51"/>
      <c r="E747" s="51"/>
      <c r="F747" s="51"/>
      <c r="G747" s="51"/>
      <c r="H747" s="51"/>
      <c r="I747" s="51"/>
      <c r="AN747" s="234" t="s">
        <v>3006</v>
      </c>
      <c r="AO747" s="225" t="s">
        <v>3007</v>
      </c>
      <c r="AP747" s="257">
        <f>SUM(AQ747:AR747)</f>
        <v>0</v>
      </c>
      <c r="AQ747" s="258"/>
      <c r="AR747" s="258"/>
      <c r="AS747" s="202"/>
    </row>
    <row r="748" spans="1:45">
      <c r="A748" s="51"/>
      <c r="B748" s="51"/>
      <c r="C748" s="51"/>
      <c r="D748" s="51"/>
      <c r="E748" s="51"/>
      <c r="F748" s="51"/>
      <c r="G748" s="51"/>
      <c r="H748" s="51"/>
      <c r="I748" s="51"/>
      <c r="AN748" s="236" t="s">
        <v>3008</v>
      </c>
      <c r="AO748" s="242" t="s">
        <v>2972</v>
      </c>
      <c r="AP748" s="257">
        <f>SUM(AQ748:AR748)</f>
        <v>0</v>
      </c>
      <c r="AQ748" s="258"/>
      <c r="AR748" s="258"/>
      <c r="AS748" s="202"/>
    </row>
    <row r="749" spans="1:45">
      <c r="A749" s="51"/>
      <c r="B749" s="51"/>
      <c r="C749" s="51"/>
      <c r="D749" s="51"/>
      <c r="E749" s="51"/>
      <c r="F749" s="51"/>
      <c r="G749" s="51"/>
      <c r="H749" s="51"/>
      <c r="I749" s="51"/>
      <c r="AN749" s="236" t="s">
        <v>3009</v>
      </c>
      <c r="AO749" s="242" t="s">
        <v>2988</v>
      </c>
      <c r="AP749" s="257">
        <f>SUM(AQ749:AR749)</f>
        <v>0</v>
      </c>
      <c r="AQ749" s="258"/>
      <c r="AR749" s="258"/>
      <c r="AS749" s="202"/>
    </row>
    <row r="750" spans="1:45" hidden="1">
      <c r="A750" s="51"/>
      <c r="B750" s="51"/>
      <c r="C750" s="51"/>
      <c r="D750" s="51"/>
      <c r="E750" s="51"/>
      <c r="F750" s="51"/>
      <c r="G750" s="51"/>
      <c r="H750" s="51"/>
      <c r="I750" s="51"/>
      <c r="AN750" s="236"/>
      <c r="AO750" s="242"/>
      <c r="AP750" s="260"/>
      <c r="AQ750" s="258"/>
      <c r="AR750" s="258"/>
      <c r="AS750" s="202"/>
    </row>
    <row r="751" spans="1:45" hidden="1">
      <c r="A751" s="51"/>
      <c r="B751" s="51"/>
      <c r="C751" s="51"/>
      <c r="D751" s="51"/>
      <c r="E751" s="51"/>
      <c r="F751" s="51"/>
      <c r="G751" s="51"/>
      <c r="H751" s="51"/>
      <c r="I751" s="51"/>
      <c r="AN751" s="236"/>
      <c r="AO751" s="244"/>
      <c r="AP751" s="260"/>
      <c r="AQ751" s="258"/>
      <c r="AR751" s="258"/>
      <c r="AS751" s="202"/>
    </row>
    <row r="752" spans="1:45" hidden="1">
      <c r="A752" s="51"/>
      <c r="B752" s="51"/>
      <c r="C752" s="51"/>
      <c r="D752" s="51"/>
      <c r="E752" s="51"/>
      <c r="F752" s="51"/>
      <c r="G752" s="51"/>
      <c r="H752" s="51"/>
      <c r="I752" s="51"/>
      <c r="AN752" s="236"/>
      <c r="AO752" s="244"/>
      <c r="AP752" s="260"/>
      <c r="AQ752" s="258"/>
      <c r="AR752" s="258"/>
      <c r="AS752" s="202"/>
    </row>
    <row r="753" spans="1:45" hidden="1">
      <c r="A753" s="51"/>
      <c r="B753" s="51"/>
      <c r="C753" s="51"/>
      <c r="D753" s="51"/>
      <c r="E753" s="51"/>
      <c r="F753" s="51"/>
      <c r="G753" s="51"/>
      <c r="H753" s="51"/>
      <c r="I753" s="51"/>
      <c r="AN753" s="236"/>
      <c r="AO753" s="245"/>
      <c r="AP753" s="260"/>
      <c r="AQ753" s="258"/>
      <c r="AR753" s="258"/>
      <c r="AS753" s="202"/>
    </row>
    <row r="754" spans="1:45" hidden="1">
      <c r="AN754" s="236"/>
      <c r="AO754" s="244"/>
      <c r="AP754" s="260"/>
      <c r="AQ754" s="258"/>
      <c r="AR754" s="258"/>
      <c r="AS754" s="202"/>
    </row>
    <row r="755" spans="1:45" hidden="1">
      <c r="AN755" s="236"/>
      <c r="AO755" s="244"/>
      <c r="AP755" s="260"/>
      <c r="AQ755" s="258"/>
      <c r="AR755" s="258"/>
      <c r="AS755" s="202"/>
    </row>
    <row r="756" spans="1:45" hidden="1">
      <c r="AN756" s="236"/>
      <c r="AO756" s="242"/>
      <c r="AP756" s="260"/>
      <c r="AQ756" s="258"/>
      <c r="AR756" s="258"/>
      <c r="AS756" s="202"/>
    </row>
    <row r="757" spans="1:45" hidden="1">
      <c r="AN757" s="236"/>
      <c r="AO757" s="244"/>
      <c r="AP757" s="260"/>
      <c r="AQ757" s="258"/>
      <c r="AR757" s="258"/>
      <c r="AS757" s="202"/>
    </row>
    <row r="758" spans="1:45" hidden="1">
      <c r="AN758" s="236"/>
      <c r="AO758" s="244"/>
      <c r="AP758" s="260"/>
      <c r="AQ758" s="258"/>
      <c r="AR758" s="258"/>
      <c r="AS758" s="202"/>
    </row>
    <row r="759" spans="1:45" hidden="1">
      <c r="AN759" s="236"/>
      <c r="AO759" s="245"/>
      <c r="AP759" s="260"/>
      <c r="AQ759" s="258"/>
      <c r="AR759" s="258"/>
      <c r="AS759" s="202"/>
    </row>
    <row r="760" spans="1:45" hidden="1">
      <c r="AN760" s="236"/>
      <c r="AO760" s="244"/>
      <c r="AP760" s="260"/>
      <c r="AQ760" s="258"/>
      <c r="AR760" s="258"/>
      <c r="AS760" s="202"/>
    </row>
    <row r="761" spans="1:45" hidden="1">
      <c r="AN761" s="236"/>
      <c r="AO761" s="244"/>
      <c r="AP761" s="260"/>
      <c r="AQ761" s="258"/>
      <c r="AR761" s="258"/>
      <c r="AS761" s="202"/>
    </row>
    <row r="762" spans="1:45" hidden="1">
      <c r="AN762" s="236"/>
      <c r="AO762" s="242"/>
      <c r="AP762" s="260"/>
      <c r="AQ762" s="258"/>
      <c r="AR762" s="258"/>
      <c r="AS762" s="202"/>
    </row>
    <row r="763" spans="1:45" hidden="1">
      <c r="AN763" s="236"/>
      <c r="AO763" s="244"/>
      <c r="AP763" s="260"/>
      <c r="AQ763" s="258"/>
      <c r="AR763" s="258"/>
      <c r="AS763" s="202"/>
    </row>
    <row r="764" spans="1:45" hidden="1">
      <c r="AN764" s="236"/>
      <c r="AO764" s="244"/>
      <c r="AP764" s="260"/>
      <c r="AQ764" s="258"/>
      <c r="AR764" s="258"/>
      <c r="AS764" s="202"/>
    </row>
    <row r="765" spans="1:45" hidden="1">
      <c r="AN765" s="236"/>
      <c r="AO765" s="245"/>
      <c r="AP765" s="260"/>
      <c r="AQ765" s="258"/>
      <c r="AR765" s="258"/>
      <c r="AS765" s="202"/>
    </row>
    <row r="766" spans="1:45" hidden="1">
      <c r="AN766" s="236"/>
      <c r="AO766" s="244"/>
      <c r="AP766" s="260"/>
      <c r="AQ766" s="258"/>
      <c r="AR766" s="258"/>
      <c r="AS766" s="202"/>
    </row>
    <row r="767" spans="1:45" hidden="1">
      <c r="AN767" s="236"/>
      <c r="AO767" s="244"/>
      <c r="AP767" s="260"/>
      <c r="AQ767" s="258"/>
      <c r="AR767" s="258"/>
      <c r="AS767" s="202"/>
    </row>
    <row r="768" spans="1:45" hidden="1">
      <c r="AN768" s="236"/>
      <c r="AO768" s="242"/>
      <c r="AP768" s="260"/>
      <c r="AQ768" s="258"/>
      <c r="AR768" s="258"/>
      <c r="AS768" s="202"/>
    </row>
    <row r="769" spans="40:45" hidden="1">
      <c r="AN769" s="236"/>
      <c r="AO769" s="244"/>
      <c r="AP769" s="260"/>
      <c r="AQ769" s="258"/>
      <c r="AR769" s="258"/>
      <c r="AS769" s="202"/>
    </row>
    <row r="770" spans="40:45" hidden="1">
      <c r="AN770" s="236"/>
      <c r="AO770" s="244"/>
      <c r="AP770" s="260"/>
      <c r="AQ770" s="258"/>
      <c r="AR770" s="258"/>
      <c r="AS770" s="202"/>
    </row>
    <row r="771" spans="40:45" hidden="1">
      <c r="AN771" s="236"/>
      <c r="AO771" s="245"/>
      <c r="AP771" s="260"/>
      <c r="AQ771" s="258"/>
      <c r="AR771" s="258"/>
      <c r="AS771" s="202"/>
    </row>
    <row r="772" spans="40:45" hidden="1">
      <c r="AN772" s="236"/>
      <c r="AO772" s="244"/>
      <c r="AP772" s="260"/>
      <c r="AQ772" s="258"/>
      <c r="AR772" s="258"/>
      <c r="AS772" s="202"/>
    </row>
    <row r="773" spans="40:45" hidden="1">
      <c r="AN773" s="236"/>
      <c r="AO773" s="244"/>
      <c r="AP773" s="260"/>
      <c r="AQ773" s="258"/>
      <c r="AR773" s="258"/>
      <c r="AS773" s="202"/>
    </row>
    <row r="774" spans="40:45">
      <c r="AN774" s="436" t="s">
        <v>771</v>
      </c>
      <c r="AO774" s="591" t="s">
        <v>3043</v>
      </c>
      <c r="AP774" s="257">
        <f>SUM(AQ774:AR774)</f>
        <v>0</v>
      </c>
      <c r="AQ774" s="258"/>
      <c r="AR774" s="258"/>
      <c r="AS774" s="202"/>
    </row>
    <row r="775" spans="40:45">
      <c r="AN775" s="436" t="s">
        <v>772</v>
      </c>
      <c r="AO775" s="592" t="s">
        <v>3044</v>
      </c>
      <c r="AP775" s="257">
        <f>SUM(AQ775:AR775)</f>
        <v>0</v>
      </c>
      <c r="AQ775" s="258"/>
      <c r="AR775" s="258"/>
      <c r="AS775" s="202"/>
    </row>
    <row r="776" spans="40:45">
      <c r="AN776" s="236" t="s">
        <v>773</v>
      </c>
      <c r="AO776" s="248" t="s">
        <v>3045</v>
      </c>
      <c r="AP776" s="257">
        <f>SUM(AQ776:AR776)</f>
        <v>0</v>
      </c>
      <c r="AQ776" s="258"/>
      <c r="AR776" s="258"/>
      <c r="AS776" s="202"/>
    </row>
    <row r="777" spans="40:45">
      <c r="AN777" s="236" t="s">
        <v>3046</v>
      </c>
      <c r="AO777" s="242" t="s">
        <v>2972</v>
      </c>
      <c r="AP777" s="257">
        <f>SUM(AQ777:AR777)</f>
        <v>0</v>
      </c>
      <c r="AQ777" s="258"/>
      <c r="AR777" s="258"/>
      <c r="AS777" s="202"/>
    </row>
    <row r="778" spans="40:45">
      <c r="AN778" s="236" t="s">
        <v>3047</v>
      </c>
      <c r="AO778" s="242" t="s">
        <v>2988</v>
      </c>
      <c r="AP778" s="257">
        <f>SUM(AQ778:AR778)</f>
        <v>0</v>
      </c>
      <c r="AQ778" s="258"/>
      <c r="AR778" s="258"/>
      <c r="AS778" s="202"/>
    </row>
    <row r="779" spans="40:45" hidden="1">
      <c r="AN779" s="236"/>
      <c r="AO779" s="242"/>
      <c r="AP779" s="260"/>
      <c r="AQ779" s="258"/>
      <c r="AR779" s="258"/>
      <c r="AS779" s="202"/>
    </row>
    <row r="780" spans="40:45" hidden="1">
      <c r="AN780" s="236"/>
      <c r="AO780" s="244"/>
      <c r="AP780" s="260"/>
      <c r="AQ780" s="258"/>
      <c r="AR780" s="258"/>
      <c r="AS780" s="202"/>
    </row>
    <row r="781" spans="40:45" hidden="1">
      <c r="AN781" s="236"/>
      <c r="AO781" s="244"/>
      <c r="AP781" s="260"/>
      <c r="AQ781" s="258"/>
      <c r="AR781" s="258"/>
      <c r="AS781" s="202"/>
    </row>
    <row r="782" spans="40:45" hidden="1">
      <c r="AN782" s="236"/>
      <c r="AO782" s="245"/>
      <c r="AP782" s="260"/>
      <c r="AQ782" s="258"/>
      <c r="AR782" s="258"/>
      <c r="AS782" s="202"/>
    </row>
    <row r="783" spans="40:45" hidden="1">
      <c r="AN783" s="236"/>
      <c r="AO783" s="244"/>
      <c r="AP783" s="260"/>
      <c r="AQ783" s="258"/>
      <c r="AR783" s="258"/>
      <c r="AS783" s="202"/>
    </row>
    <row r="784" spans="40:45" hidden="1">
      <c r="AN784" s="236"/>
      <c r="AO784" s="244"/>
      <c r="AP784" s="260"/>
      <c r="AQ784" s="258"/>
      <c r="AR784" s="258"/>
      <c r="AS784" s="202"/>
    </row>
    <row r="785" spans="40:45" hidden="1">
      <c r="AN785" s="236"/>
      <c r="AO785" s="242"/>
      <c r="AP785" s="260"/>
      <c r="AQ785" s="258"/>
      <c r="AR785" s="258"/>
      <c r="AS785" s="202"/>
    </row>
    <row r="786" spans="40:45" hidden="1">
      <c r="AN786" s="236"/>
      <c r="AO786" s="244"/>
      <c r="AP786" s="260"/>
      <c r="AQ786" s="258"/>
      <c r="AR786" s="258"/>
      <c r="AS786" s="202"/>
    </row>
    <row r="787" spans="40:45" hidden="1">
      <c r="AN787" s="236"/>
      <c r="AO787" s="244"/>
      <c r="AP787" s="260"/>
      <c r="AQ787" s="258"/>
      <c r="AR787" s="258"/>
      <c r="AS787" s="202"/>
    </row>
    <row r="788" spans="40:45" hidden="1">
      <c r="AN788" s="236"/>
      <c r="AO788" s="245"/>
      <c r="AP788" s="260"/>
      <c r="AQ788" s="258"/>
      <c r="AR788" s="258"/>
      <c r="AS788" s="202"/>
    </row>
    <row r="789" spans="40:45" hidden="1">
      <c r="AN789" s="236"/>
      <c r="AO789" s="244"/>
      <c r="AP789" s="260"/>
      <c r="AQ789" s="258"/>
      <c r="AR789" s="258"/>
      <c r="AS789" s="202"/>
    </row>
    <row r="790" spans="40:45" hidden="1">
      <c r="AN790" s="236"/>
      <c r="AO790" s="244"/>
      <c r="AP790" s="260"/>
      <c r="AQ790" s="258"/>
      <c r="AR790" s="258"/>
      <c r="AS790" s="202"/>
    </row>
    <row r="791" spans="40:45" hidden="1">
      <c r="AN791" s="236"/>
      <c r="AO791" s="242"/>
      <c r="AP791" s="260"/>
      <c r="AQ791" s="258"/>
      <c r="AR791" s="258"/>
      <c r="AS791" s="202"/>
    </row>
    <row r="792" spans="40:45" hidden="1">
      <c r="AN792" s="236"/>
      <c r="AO792" s="244"/>
      <c r="AP792" s="260"/>
      <c r="AQ792" s="258"/>
      <c r="AR792" s="258"/>
      <c r="AS792" s="202"/>
    </row>
    <row r="793" spans="40:45" hidden="1">
      <c r="AN793" s="236"/>
      <c r="AO793" s="244"/>
      <c r="AP793" s="260"/>
      <c r="AQ793" s="258"/>
      <c r="AR793" s="258"/>
      <c r="AS793" s="202"/>
    </row>
    <row r="794" spans="40:45" hidden="1">
      <c r="AN794" s="236"/>
      <c r="AO794" s="245"/>
      <c r="AP794" s="260"/>
      <c r="AQ794" s="258"/>
      <c r="AR794" s="258"/>
      <c r="AS794" s="202"/>
    </row>
    <row r="795" spans="40:45" hidden="1">
      <c r="AN795" s="236"/>
      <c r="AO795" s="244"/>
      <c r="AP795" s="260"/>
      <c r="AQ795" s="258"/>
      <c r="AR795" s="258"/>
      <c r="AS795" s="202"/>
    </row>
    <row r="796" spans="40:45" hidden="1">
      <c r="AN796" s="236"/>
      <c r="AO796" s="244"/>
      <c r="AP796" s="260"/>
      <c r="AQ796" s="258"/>
      <c r="AR796" s="258"/>
      <c r="AS796" s="202"/>
    </row>
    <row r="797" spans="40:45" hidden="1">
      <c r="AN797" s="236"/>
      <c r="AO797" s="242"/>
      <c r="AP797" s="260"/>
      <c r="AQ797" s="258"/>
      <c r="AR797" s="258"/>
      <c r="AS797" s="202"/>
    </row>
    <row r="798" spans="40:45" hidden="1">
      <c r="AN798" s="236"/>
      <c r="AO798" s="244"/>
      <c r="AP798" s="260"/>
      <c r="AQ798" s="258"/>
      <c r="AR798" s="258"/>
      <c r="AS798" s="202"/>
    </row>
    <row r="799" spans="40:45" hidden="1">
      <c r="AN799" s="236"/>
      <c r="AO799" s="244"/>
      <c r="AP799" s="260"/>
      <c r="AQ799" s="258"/>
      <c r="AR799" s="258"/>
      <c r="AS799" s="202"/>
    </row>
    <row r="800" spans="40:45" hidden="1">
      <c r="AN800" s="236"/>
      <c r="AO800" s="245"/>
      <c r="AP800" s="260"/>
      <c r="AQ800" s="258"/>
      <c r="AR800" s="258"/>
      <c r="AS800" s="202"/>
    </row>
    <row r="801" spans="40:45" hidden="1">
      <c r="AN801" s="236"/>
      <c r="AO801" s="244"/>
      <c r="AP801" s="260"/>
      <c r="AQ801" s="258"/>
      <c r="AR801" s="258"/>
      <c r="AS801" s="202"/>
    </row>
    <row r="802" spans="40:45" hidden="1">
      <c r="AN802" s="236"/>
      <c r="AO802" s="244"/>
      <c r="AP802" s="260"/>
      <c r="AQ802" s="258"/>
      <c r="AR802" s="258"/>
      <c r="AS802" s="202"/>
    </row>
    <row r="803" spans="40:45">
      <c r="AN803" s="234" t="s">
        <v>3072</v>
      </c>
      <c r="AO803" s="235" t="s">
        <v>799</v>
      </c>
      <c r="AP803" s="257">
        <f>SUM(AQ803:AR803)</f>
        <v>0</v>
      </c>
      <c r="AQ803" s="258"/>
      <c r="AR803" s="258"/>
      <c r="AS803" s="202"/>
    </row>
    <row r="804" spans="40:45" hidden="1">
      <c r="AN804" s="234"/>
      <c r="AO804" s="235"/>
      <c r="AP804" s="260"/>
      <c r="AQ804" s="258"/>
      <c r="AR804" s="258"/>
      <c r="AS804" s="202"/>
    </row>
    <row r="805" spans="40:45" hidden="1">
      <c r="AN805" s="234"/>
      <c r="AO805" s="235"/>
      <c r="AP805" s="260"/>
      <c r="AQ805" s="258"/>
      <c r="AR805" s="258"/>
      <c r="AS805" s="202"/>
    </row>
    <row r="806" spans="40:45" hidden="1">
      <c r="AN806" s="234"/>
      <c r="AO806" s="235"/>
      <c r="AP806" s="260"/>
      <c r="AQ806" s="258"/>
      <c r="AR806" s="258"/>
      <c r="AS806" s="202"/>
    </row>
    <row r="807" spans="40:45">
      <c r="AN807" s="236" t="s">
        <v>75</v>
      </c>
      <c r="AO807" s="224" t="s">
        <v>1832</v>
      </c>
      <c r="AP807" s="257">
        <f>SUM(AQ807:AR807)</f>
        <v>0</v>
      </c>
      <c r="AQ807" s="258"/>
      <c r="AR807" s="258"/>
      <c r="AS807" s="202"/>
    </row>
    <row r="808" spans="40:45" hidden="1">
      <c r="AN808" s="236"/>
      <c r="AO808" s="225"/>
      <c r="AP808" s="255"/>
      <c r="AQ808" s="258"/>
      <c r="AR808" s="258"/>
      <c r="AS808" s="202"/>
    </row>
    <row r="809" spans="40:45" hidden="1">
      <c r="AN809" s="236"/>
      <c r="AO809" s="225"/>
      <c r="AP809" s="260"/>
      <c r="AQ809" s="258"/>
      <c r="AR809" s="258"/>
      <c r="AS809" s="202"/>
    </row>
    <row r="810" spans="40:45" hidden="1">
      <c r="AN810" s="236"/>
      <c r="AO810" s="225"/>
      <c r="AP810" s="260"/>
      <c r="AQ810" s="258"/>
      <c r="AR810" s="258"/>
      <c r="AS810" s="202"/>
    </row>
    <row r="811" spans="40:45" hidden="1">
      <c r="AN811" s="236"/>
      <c r="AO811" s="225"/>
      <c r="AP811" s="260"/>
      <c r="AQ811" s="258"/>
      <c r="AR811" s="258"/>
      <c r="AS811" s="202"/>
    </row>
    <row r="812" spans="40:45" hidden="1">
      <c r="AN812" s="236"/>
      <c r="AO812" s="225"/>
      <c r="AP812" s="260"/>
      <c r="AQ812" s="258"/>
      <c r="AR812" s="258"/>
      <c r="AS812" s="202"/>
    </row>
    <row r="813" spans="40:45">
      <c r="AN813" s="236" t="s">
        <v>62</v>
      </c>
      <c r="AO813" s="224" t="s">
        <v>1838</v>
      </c>
      <c r="AP813" s="257">
        <f>SUM(AQ813:AR813)</f>
        <v>0</v>
      </c>
      <c r="AQ813" s="258"/>
      <c r="AR813" s="258"/>
      <c r="AS813" s="202"/>
    </row>
    <row r="814" spans="40:45" hidden="1">
      <c r="AN814" s="236"/>
      <c r="AO814" s="228"/>
      <c r="AP814" s="255"/>
      <c r="AQ814" s="258"/>
      <c r="AR814" s="258"/>
      <c r="AS814" s="202"/>
    </row>
    <row r="815" spans="40:45" hidden="1">
      <c r="AN815" s="236"/>
      <c r="AO815" s="228"/>
      <c r="AP815" s="260"/>
      <c r="AQ815" s="258"/>
      <c r="AR815" s="258"/>
      <c r="AS815" s="202"/>
    </row>
    <row r="816" spans="40:45" hidden="1">
      <c r="AN816" s="236"/>
      <c r="AO816" s="228"/>
      <c r="AP816" s="260"/>
      <c r="AQ816" s="258"/>
      <c r="AR816" s="258"/>
      <c r="AS816" s="202"/>
    </row>
    <row r="817" spans="40:45" hidden="1">
      <c r="AN817" s="236"/>
      <c r="AO817" s="228"/>
      <c r="AP817" s="260"/>
      <c r="AQ817" s="258"/>
      <c r="AR817" s="258"/>
      <c r="AS817" s="202"/>
    </row>
    <row r="818" spans="40:45" hidden="1">
      <c r="AN818" s="236"/>
      <c r="AO818" s="228"/>
      <c r="AP818" s="260"/>
      <c r="AQ818" s="258"/>
      <c r="AR818" s="258"/>
      <c r="AS818" s="202"/>
    </row>
    <row r="819" spans="40:45">
      <c r="AN819" s="236" t="s">
        <v>68</v>
      </c>
      <c r="AO819" s="224" t="s">
        <v>1843</v>
      </c>
      <c r="AP819" s="257">
        <f>SUM(AQ819:AR819)</f>
        <v>0</v>
      </c>
      <c r="AQ819" s="258"/>
      <c r="AR819" s="258"/>
      <c r="AS819" s="202"/>
    </row>
    <row r="820" spans="40:45" hidden="1">
      <c r="AN820" s="236"/>
      <c r="AO820" s="228"/>
      <c r="AP820" s="255"/>
      <c r="AQ820" s="258"/>
      <c r="AR820" s="258"/>
      <c r="AS820" s="202"/>
    </row>
    <row r="821" spans="40:45" hidden="1">
      <c r="AN821" s="236"/>
      <c r="AO821" s="228"/>
      <c r="AP821" s="260"/>
      <c r="AQ821" s="258"/>
      <c r="AR821" s="258"/>
      <c r="AS821" s="202"/>
    </row>
    <row r="822" spans="40:45">
      <c r="AN822" s="236" t="s">
        <v>1848</v>
      </c>
      <c r="AO822" s="224" t="s">
        <v>1849</v>
      </c>
      <c r="AP822" s="257">
        <f>SUM(AQ822:AR822)</f>
        <v>0</v>
      </c>
      <c r="AQ822" s="258"/>
      <c r="AR822" s="258"/>
      <c r="AS822" s="202"/>
    </row>
    <row r="823" spans="40:45" hidden="1">
      <c r="AN823" s="236"/>
      <c r="AO823" s="228"/>
      <c r="AP823" s="255"/>
      <c r="AQ823" s="258"/>
      <c r="AR823" s="258"/>
      <c r="AS823" s="202"/>
    </row>
    <row r="824" spans="40:45" hidden="1">
      <c r="AN824" s="236"/>
      <c r="AO824" s="225"/>
      <c r="AP824" s="260"/>
      <c r="AQ824" s="258"/>
      <c r="AR824" s="258"/>
      <c r="AS824" s="202"/>
    </row>
    <row r="825" spans="40:45" ht="22.5">
      <c r="AN825" s="236" t="s">
        <v>1855</v>
      </c>
      <c r="AO825" s="224" t="s">
        <v>1856</v>
      </c>
      <c r="AP825" s="257">
        <f>SUM(AQ825:AR825)</f>
        <v>0</v>
      </c>
      <c r="AQ825" s="258"/>
      <c r="AR825" s="258"/>
      <c r="AS825" s="202"/>
    </row>
    <row r="826" spans="40:45" hidden="1">
      <c r="AN826" s="236"/>
      <c r="AO826" s="228"/>
      <c r="AP826" s="255"/>
      <c r="AQ826" s="258"/>
      <c r="AR826" s="258"/>
      <c r="AS826" s="202"/>
    </row>
    <row r="827" spans="40:45" hidden="1">
      <c r="AN827" s="236"/>
      <c r="AO827" s="225"/>
      <c r="AP827" s="260"/>
      <c r="AQ827" s="258"/>
      <c r="AR827" s="258"/>
      <c r="AS827" s="202"/>
    </row>
    <row r="828" spans="40:45">
      <c r="AN828" s="234" t="s">
        <v>2412</v>
      </c>
      <c r="AO828" s="235" t="s">
        <v>2413</v>
      </c>
      <c r="AP828" s="257">
        <f t="shared" ref="AP828:AP844" si="2">SUM(AQ828:AR828)</f>
        <v>0</v>
      </c>
      <c r="AQ828" s="258"/>
      <c r="AR828" s="258"/>
      <c r="AS828" s="202"/>
    </row>
    <row r="829" spans="40:45" ht="22.5">
      <c r="AN829" s="236" t="s">
        <v>2414</v>
      </c>
      <c r="AO829" s="224" t="s">
        <v>2415</v>
      </c>
      <c r="AP829" s="257">
        <f t="shared" si="2"/>
        <v>0</v>
      </c>
      <c r="AQ829" s="258"/>
      <c r="AR829" s="258"/>
      <c r="AS829" s="202"/>
    </row>
    <row r="830" spans="40:45" ht="22.5">
      <c r="AN830" s="236" t="s">
        <v>2416</v>
      </c>
      <c r="AO830" s="224" t="s">
        <v>2417</v>
      </c>
      <c r="AP830" s="257">
        <f t="shared" si="2"/>
        <v>0</v>
      </c>
      <c r="AQ830" s="258"/>
      <c r="AR830" s="258"/>
      <c r="AS830" s="202"/>
    </row>
    <row r="831" spans="40:45" ht="22.5">
      <c r="AN831" s="236" t="s">
        <v>2419</v>
      </c>
      <c r="AO831" s="224" t="s">
        <v>2420</v>
      </c>
      <c r="AP831" s="257">
        <f t="shared" si="2"/>
        <v>0</v>
      </c>
      <c r="AQ831" s="258"/>
      <c r="AR831" s="258"/>
      <c r="AS831" s="202"/>
    </row>
    <row r="832" spans="40:45">
      <c r="AN832" s="236" t="s">
        <v>2422</v>
      </c>
      <c r="AO832" s="224" t="s">
        <v>2423</v>
      </c>
      <c r="AP832" s="257">
        <f t="shared" si="2"/>
        <v>0</v>
      </c>
      <c r="AQ832" s="258"/>
      <c r="AR832" s="258"/>
      <c r="AS832" s="202"/>
    </row>
    <row r="833" spans="10:47">
      <c r="AN833" s="236" t="s">
        <v>2425</v>
      </c>
      <c r="AO833" s="224" t="s">
        <v>2426</v>
      </c>
      <c r="AP833" s="257">
        <f t="shared" si="2"/>
        <v>0</v>
      </c>
      <c r="AQ833" s="258"/>
      <c r="AR833" s="258"/>
      <c r="AS833" s="202"/>
    </row>
    <row r="834" spans="10:47" ht="22.5">
      <c r="AN834" s="236" t="s">
        <v>2427</v>
      </c>
      <c r="AO834" s="235" t="s">
        <v>2428</v>
      </c>
      <c r="AP834" s="257">
        <f t="shared" si="2"/>
        <v>0</v>
      </c>
      <c r="AQ834" s="258"/>
      <c r="AR834" s="258"/>
      <c r="AS834" s="202"/>
    </row>
    <row r="835" spans="10:47" ht="33.75">
      <c r="AN835" s="234" t="s">
        <v>2429</v>
      </c>
      <c r="AO835" s="224" t="s">
        <v>2430</v>
      </c>
      <c r="AP835" s="257">
        <f t="shared" si="2"/>
        <v>0</v>
      </c>
      <c r="AQ835" s="258"/>
      <c r="AR835" s="258"/>
      <c r="AS835" s="202"/>
    </row>
    <row r="836" spans="10:47">
      <c r="AN836" s="234" t="s">
        <v>2431</v>
      </c>
      <c r="AO836" s="235" t="s">
        <v>2432</v>
      </c>
      <c r="AP836" s="257">
        <f t="shared" si="2"/>
        <v>0</v>
      </c>
      <c r="AQ836" s="258"/>
      <c r="AR836" s="258"/>
      <c r="AS836" s="202"/>
    </row>
    <row r="837" spans="10:47" ht="22.5">
      <c r="AN837" s="236" t="s">
        <v>1842</v>
      </c>
      <c r="AO837" s="224" t="s">
        <v>2433</v>
      </c>
      <c r="AP837" s="257">
        <f t="shared" si="2"/>
        <v>0</v>
      </c>
      <c r="AQ837" s="258"/>
      <c r="AR837" s="258"/>
      <c r="AS837" s="202"/>
    </row>
    <row r="838" spans="10:47">
      <c r="AN838" s="236" t="s">
        <v>2418</v>
      </c>
      <c r="AO838" s="224" t="s">
        <v>2434</v>
      </c>
      <c r="AP838" s="257">
        <f t="shared" si="2"/>
        <v>0</v>
      </c>
      <c r="AQ838" s="258"/>
      <c r="AR838" s="258"/>
      <c r="AS838" s="202"/>
    </row>
    <row r="839" spans="10:47">
      <c r="AN839" s="236" t="s">
        <v>2435</v>
      </c>
      <c r="AO839" s="224" t="s">
        <v>2436</v>
      </c>
      <c r="AP839" s="257">
        <f t="shared" si="2"/>
        <v>0</v>
      </c>
      <c r="AQ839" s="258"/>
      <c r="AR839" s="258"/>
      <c r="AS839" s="202"/>
    </row>
    <row r="840" spans="10:47" ht="22.5">
      <c r="AN840" s="236" t="s">
        <v>2437</v>
      </c>
      <c r="AO840" s="224" t="s">
        <v>2438</v>
      </c>
      <c r="AP840" s="257">
        <f t="shared" si="2"/>
        <v>0</v>
      </c>
      <c r="AQ840" s="258"/>
      <c r="AR840" s="258"/>
      <c r="AS840" s="202"/>
    </row>
    <row r="841" spans="10:47">
      <c r="AN841" s="236" t="s">
        <v>2439</v>
      </c>
      <c r="AO841" s="224" t="s">
        <v>2440</v>
      </c>
      <c r="AP841" s="257">
        <f t="shared" si="2"/>
        <v>0</v>
      </c>
      <c r="AQ841" s="258"/>
      <c r="AR841" s="258"/>
      <c r="AS841" s="202"/>
    </row>
    <row r="842" spans="10:47">
      <c r="AN842" s="236" t="s">
        <v>2441</v>
      </c>
      <c r="AO842" s="224" t="s">
        <v>2442</v>
      </c>
      <c r="AP842" s="257">
        <f t="shared" si="2"/>
        <v>0</v>
      </c>
      <c r="AQ842" s="258"/>
      <c r="AR842" s="258"/>
      <c r="AS842" s="202"/>
    </row>
    <row r="843" spans="10:47">
      <c r="AN843" s="236" t="s">
        <v>2443</v>
      </c>
      <c r="AO843" s="224" t="s">
        <v>2444</v>
      </c>
      <c r="AP843" s="257">
        <f t="shared" si="2"/>
        <v>0</v>
      </c>
      <c r="AQ843" s="258"/>
      <c r="AR843" s="258"/>
      <c r="AS843" s="202"/>
    </row>
    <row r="844" spans="10:47">
      <c r="AN844" s="236" t="s">
        <v>842</v>
      </c>
      <c r="AO844" s="224" t="s">
        <v>843</v>
      </c>
      <c r="AP844" s="257">
        <f t="shared" si="2"/>
        <v>0</v>
      </c>
      <c r="AQ844" s="258"/>
      <c r="AR844" s="258"/>
      <c r="AS844" s="202"/>
    </row>
    <row r="845" spans="10:47" ht="0.75" customHeight="1">
      <c r="J845"/>
      <c r="K845" s="47"/>
      <c r="L845" s="47"/>
      <c r="M845" s="47"/>
      <c r="N845" s="47"/>
      <c r="O845" s="47"/>
      <c r="P845" s="47"/>
      <c r="Q845" s="47"/>
      <c r="R845" s="47"/>
      <c r="S845" s="47"/>
      <c r="T845" s="47"/>
      <c r="U845" s="47"/>
      <c r="V845" s="47"/>
      <c r="W845" s="47"/>
      <c r="X845" s="47"/>
      <c r="Y845" s="47"/>
      <c r="Z845" s="47"/>
      <c r="AA845" s="47"/>
      <c r="AB845" s="47"/>
      <c r="AC845" s="47"/>
      <c r="AD845" s="47"/>
      <c r="AE845" s="47"/>
      <c r="AF845" s="47"/>
      <c r="AG845" s="47"/>
      <c r="AH845" s="47"/>
      <c r="AI845" s="47"/>
      <c r="AJ845" s="47"/>
      <c r="AK845" s="47"/>
      <c r="AL845" s="50"/>
      <c r="AM845" s="126"/>
      <c r="AN845" s="223"/>
      <c r="AO845" s="728"/>
      <c r="AP845" s="260"/>
      <c r="AQ845" s="258"/>
      <c r="AR845" s="258"/>
      <c r="AS845" s="127"/>
      <c r="AT845" s="47"/>
      <c r="AU845" s="47"/>
    </row>
    <row r="846" spans="10:47" ht="0.75" customHeight="1">
      <c r="J846"/>
      <c r="K846" s="47"/>
      <c r="L846" s="47"/>
      <c r="M846" s="47"/>
      <c r="N846" s="47"/>
      <c r="O846" s="47"/>
      <c r="P846" s="47"/>
      <c r="Q846" s="47"/>
      <c r="R846" s="47"/>
      <c r="S846" s="47"/>
      <c r="T846" s="47"/>
      <c r="U846" s="47"/>
      <c r="V846" s="47"/>
      <c r="W846" s="47"/>
      <c r="X846" s="47"/>
      <c r="Y846" s="47"/>
      <c r="Z846" s="47"/>
      <c r="AA846" s="47"/>
      <c r="AB846" s="47"/>
      <c r="AC846" s="47"/>
      <c r="AD846" s="47"/>
      <c r="AE846" s="47"/>
      <c r="AF846" s="47"/>
      <c r="AG846" s="47"/>
      <c r="AH846" s="47"/>
      <c r="AI846" s="47"/>
      <c r="AJ846" s="47"/>
      <c r="AK846" s="47"/>
      <c r="AL846" s="50"/>
      <c r="AM846" s="126"/>
      <c r="AN846" s="223"/>
      <c r="AO846" s="728"/>
      <c r="AP846" s="260"/>
      <c r="AQ846" s="258"/>
      <c r="AR846" s="258"/>
      <c r="AS846" s="127"/>
      <c r="AT846" s="47"/>
      <c r="AU846" s="47"/>
    </row>
    <row r="847" spans="10:47" ht="0.75" customHeight="1">
      <c r="J847"/>
      <c r="K847" s="47"/>
      <c r="L847" s="47"/>
      <c r="M847" s="47"/>
      <c r="N847" s="47"/>
      <c r="O847" s="47"/>
      <c r="P847" s="47"/>
      <c r="Q847" s="47"/>
      <c r="R847" s="47"/>
      <c r="S847" s="47"/>
      <c r="T847" s="47"/>
      <c r="U847" s="47"/>
      <c r="V847" s="47"/>
      <c r="W847" s="47"/>
      <c r="X847" s="47"/>
      <c r="Y847" s="47"/>
      <c r="Z847" s="47"/>
      <c r="AA847" s="47"/>
      <c r="AB847" s="47"/>
      <c r="AC847" s="47"/>
      <c r="AD847" s="47"/>
      <c r="AE847" s="47"/>
      <c r="AF847" s="47"/>
      <c r="AG847" s="47"/>
      <c r="AH847" s="47"/>
      <c r="AI847" s="47"/>
      <c r="AJ847" s="47"/>
      <c r="AK847" s="47"/>
      <c r="AL847" s="50"/>
      <c r="AM847" s="126"/>
      <c r="AN847" s="223"/>
      <c r="AO847" s="728"/>
      <c r="AP847" s="260"/>
      <c r="AQ847" s="258"/>
      <c r="AR847" s="258"/>
      <c r="AS847" s="127"/>
      <c r="AT847" s="47"/>
      <c r="AU847" s="47"/>
    </row>
    <row r="848" spans="10:47" ht="0.75" customHeight="1">
      <c r="J848"/>
      <c r="K848" s="47"/>
      <c r="L848" s="47"/>
      <c r="M848" s="47"/>
      <c r="N848" s="47"/>
      <c r="O848" s="47"/>
      <c r="P848" s="47"/>
      <c r="Q848" s="47"/>
      <c r="R848" s="47"/>
      <c r="S848" s="47"/>
      <c r="T848" s="47"/>
      <c r="U848" s="47"/>
      <c r="V848" s="47"/>
      <c r="W848" s="47"/>
      <c r="X848" s="47"/>
      <c r="Y848" s="47"/>
      <c r="Z848" s="47"/>
      <c r="AA848" s="47"/>
      <c r="AB848" s="47"/>
      <c r="AC848" s="47"/>
      <c r="AD848" s="47"/>
      <c r="AE848" s="47"/>
      <c r="AF848" s="47"/>
      <c r="AG848" s="47"/>
      <c r="AH848" s="47"/>
      <c r="AI848" s="47"/>
      <c r="AJ848" s="47"/>
      <c r="AK848" s="47"/>
      <c r="AL848" s="50"/>
      <c r="AM848" s="126"/>
      <c r="AN848" s="223"/>
      <c r="AO848" s="728"/>
      <c r="AP848" s="260"/>
      <c r="AQ848" s="258"/>
      <c r="AR848" s="258"/>
      <c r="AS848" s="127"/>
      <c r="AT848" s="47"/>
      <c r="AU848" s="47"/>
    </row>
    <row r="849" spans="10:47" ht="0.75" customHeight="1">
      <c r="J849"/>
      <c r="K849" s="47"/>
      <c r="L849" s="47"/>
      <c r="M849" s="47"/>
      <c r="N849" s="47"/>
      <c r="O849" s="47"/>
      <c r="P849" s="47"/>
      <c r="Q849" s="47"/>
      <c r="R849" s="47"/>
      <c r="S849" s="47"/>
      <c r="T849" s="47"/>
      <c r="U849" s="47"/>
      <c r="V849" s="47"/>
      <c r="W849" s="47"/>
      <c r="X849" s="47"/>
      <c r="Y849" s="47"/>
      <c r="Z849" s="47"/>
      <c r="AA849" s="47"/>
      <c r="AB849" s="47"/>
      <c r="AC849" s="47"/>
      <c r="AD849" s="47"/>
      <c r="AE849" s="47"/>
      <c r="AF849" s="47"/>
      <c r="AG849" s="47"/>
      <c r="AH849" s="47"/>
      <c r="AI849" s="47"/>
      <c r="AJ849" s="47"/>
      <c r="AK849" s="47"/>
      <c r="AL849" s="50"/>
      <c r="AM849" s="126"/>
      <c r="AN849" s="223"/>
      <c r="AO849" s="728"/>
      <c r="AP849" s="260"/>
      <c r="AQ849" s="258"/>
      <c r="AR849" s="258"/>
      <c r="AS849" s="127"/>
      <c r="AT849" s="47"/>
      <c r="AU849" s="47"/>
    </row>
    <row r="850" spans="10:47" ht="0.75" customHeight="1">
      <c r="J850"/>
      <c r="K850" s="47"/>
      <c r="L850" s="47"/>
      <c r="M850" s="47"/>
      <c r="N850" s="47"/>
      <c r="O850" s="47"/>
      <c r="P850" s="47"/>
      <c r="Q850" s="47"/>
      <c r="R850" s="47"/>
      <c r="S850" s="47"/>
      <c r="T850" s="47"/>
      <c r="U850" s="47"/>
      <c r="V850" s="47"/>
      <c r="W850" s="47"/>
      <c r="X850" s="47"/>
      <c r="Y850" s="47"/>
      <c r="Z850" s="47"/>
      <c r="AA850" s="47"/>
      <c r="AB850" s="47"/>
      <c r="AC850" s="47"/>
      <c r="AD850" s="47"/>
      <c r="AE850" s="47"/>
      <c r="AF850" s="47"/>
      <c r="AG850" s="47"/>
      <c r="AH850" s="47"/>
      <c r="AI850" s="47"/>
      <c r="AJ850" s="47"/>
      <c r="AK850" s="47"/>
      <c r="AL850" s="50"/>
      <c r="AM850" s="126"/>
      <c r="AN850" s="223"/>
      <c r="AO850" s="728"/>
      <c r="AP850" s="260"/>
      <c r="AQ850" s="258"/>
      <c r="AR850" s="258"/>
      <c r="AS850" s="127"/>
      <c r="AT850" s="47"/>
      <c r="AU850" s="47"/>
    </row>
    <row r="851" spans="10:47" hidden="1">
      <c r="J851"/>
      <c r="K851" s="47"/>
      <c r="L851" s="47"/>
      <c r="M851" s="47"/>
      <c r="N851" s="47"/>
      <c r="O851" s="47"/>
      <c r="P851" s="47"/>
      <c r="Q851" s="47"/>
      <c r="R851" s="47"/>
      <c r="S851" s="47"/>
      <c r="T851" s="47"/>
      <c r="U851" s="47"/>
      <c r="V851" s="47"/>
      <c r="W851" s="47"/>
      <c r="X851" s="47"/>
      <c r="Y851" s="47"/>
      <c r="Z851" s="47"/>
      <c r="AA851" s="47"/>
      <c r="AB851" s="47"/>
      <c r="AC851" s="47"/>
      <c r="AD851" s="47"/>
      <c r="AE851" s="47"/>
      <c r="AF851" s="47"/>
      <c r="AG851" s="47"/>
      <c r="AH851" s="47"/>
      <c r="AI851" s="47"/>
      <c r="AJ851" s="47"/>
      <c r="AK851" s="47"/>
      <c r="AL851" s="50"/>
      <c r="AM851" s="126"/>
      <c r="AN851" s="236"/>
      <c r="AO851" s="224"/>
      <c r="AP851" s="260"/>
      <c r="AQ851" s="258"/>
      <c r="AR851" s="258"/>
      <c r="AS851" s="127"/>
      <c r="AT851" s="47"/>
      <c r="AU851" s="47"/>
    </row>
    <row r="852" spans="10:47" hidden="1">
      <c r="J852"/>
      <c r="K852" s="47"/>
      <c r="L852" s="47"/>
      <c r="M852" s="47"/>
      <c r="N852" s="47"/>
      <c r="O852" s="47"/>
      <c r="P852" s="47"/>
      <c r="Q852" s="47"/>
      <c r="R852" s="47"/>
      <c r="S852" s="47"/>
      <c r="T852" s="47"/>
      <c r="U852" s="47"/>
      <c r="V852" s="47"/>
      <c r="W852" s="47"/>
      <c r="X852" s="47"/>
      <c r="Y852" s="47"/>
      <c r="Z852" s="47"/>
      <c r="AA852" s="47"/>
      <c r="AB852" s="47"/>
      <c r="AC852" s="47"/>
      <c r="AD852" s="47"/>
      <c r="AE852" s="47"/>
      <c r="AF852" s="47"/>
      <c r="AG852" s="47"/>
      <c r="AH852" s="47"/>
      <c r="AI852" s="47"/>
      <c r="AJ852" s="47"/>
      <c r="AK852" s="47"/>
      <c r="AL852" s="50"/>
      <c r="AM852" s="126"/>
      <c r="AN852" s="236"/>
      <c r="AO852" s="224"/>
      <c r="AP852" s="260"/>
      <c r="AQ852" s="258"/>
      <c r="AR852" s="258"/>
      <c r="AS852" s="127"/>
      <c r="AT852" s="47"/>
      <c r="AU852" s="47"/>
    </row>
    <row r="853" spans="10:47">
      <c r="J853"/>
      <c r="K853" s="47"/>
      <c r="L853" s="47"/>
      <c r="M853" s="47"/>
      <c r="N853" s="47"/>
      <c r="O853" s="47"/>
      <c r="P853" s="47"/>
      <c r="Q853" s="47"/>
      <c r="R853" s="47"/>
      <c r="S853" s="47"/>
      <c r="T853" s="47"/>
      <c r="U853" s="47"/>
      <c r="V853" s="47"/>
      <c r="W853" s="47"/>
      <c r="X853" s="47"/>
      <c r="Y853" s="47"/>
      <c r="Z853" s="47"/>
      <c r="AA853" s="47"/>
      <c r="AB853" s="47"/>
      <c r="AC853" s="47"/>
      <c r="AD853" s="47"/>
      <c r="AE853" s="47"/>
      <c r="AF853" s="47"/>
      <c r="AG853" s="47"/>
      <c r="AH853" s="47"/>
      <c r="AI853" s="47"/>
      <c r="AJ853" s="47"/>
      <c r="AK853" s="47"/>
      <c r="AL853" s="50"/>
      <c r="AM853" s="126"/>
      <c r="AN853" s="236" t="s">
        <v>844</v>
      </c>
      <c r="AO853" s="235" t="s">
        <v>853</v>
      </c>
      <c r="AP853" s="257">
        <f t="shared" ref="AP853:AP864" si="3">SUM(AQ853:AR853)</f>
        <v>0</v>
      </c>
      <c r="AQ853" s="258"/>
      <c r="AR853" s="258"/>
      <c r="AS853" s="127"/>
      <c r="AT853" s="47"/>
      <c r="AU853" s="47"/>
    </row>
    <row r="854" spans="10:47">
      <c r="J854"/>
      <c r="K854" s="47"/>
      <c r="L854" s="47"/>
      <c r="M854" s="47"/>
      <c r="N854" s="47"/>
      <c r="O854" s="47"/>
      <c r="P854" s="47"/>
      <c r="Q854" s="47"/>
      <c r="R854" s="47"/>
      <c r="S854" s="47"/>
      <c r="T854" s="47"/>
      <c r="U854" s="47"/>
      <c r="V854" s="47"/>
      <c r="W854" s="47"/>
      <c r="X854" s="47"/>
      <c r="Y854" s="47"/>
      <c r="Z854" s="47"/>
      <c r="AA854" s="47"/>
      <c r="AB854" s="47"/>
      <c r="AC854" s="47"/>
      <c r="AD854" s="47"/>
      <c r="AE854" s="47"/>
      <c r="AF854" s="47"/>
      <c r="AG854" s="47"/>
      <c r="AH854" s="47"/>
      <c r="AI854" s="47"/>
      <c r="AJ854" s="47"/>
      <c r="AK854" s="47"/>
      <c r="AL854" s="50"/>
      <c r="AM854" s="126"/>
      <c r="AN854" s="234" t="s">
        <v>854</v>
      </c>
      <c r="AO854" s="205" t="s">
        <v>76</v>
      </c>
      <c r="AP854" s="257">
        <f t="shared" si="3"/>
        <v>0</v>
      </c>
      <c r="AQ854" s="258"/>
      <c r="AR854" s="258"/>
      <c r="AS854" s="127"/>
      <c r="AT854" s="47"/>
      <c r="AU854" s="47"/>
    </row>
    <row r="855" spans="10:47">
      <c r="J855"/>
      <c r="K855" s="47"/>
      <c r="L855" s="47"/>
      <c r="M855" s="47"/>
      <c r="N855" s="47"/>
      <c r="O855" s="47"/>
      <c r="P855" s="47"/>
      <c r="Q855" s="47"/>
      <c r="R855" s="47"/>
      <c r="S855" s="47"/>
      <c r="T855" s="47"/>
      <c r="U855" s="47"/>
      <c r="V855" s="47"/>
      <c r="W855" s="47"/>
      <c r="X855" s="47"/>
      <c r="Y855" s="47"/>
      <c r="Z855" s="47"/>
      <c r="AA855" s="47"/>
      <c r="AB855" s="47"/>
      <c r="AC855" s="47"/>
      <c r="AD855" s="47"/>
      <c r="AE855" s="47"/>
      <c r="AF855" s="47"/>
      <c r="AG855" s="47"/>
      <c r="AH855" s="47"/>
      <c r="AI855" s="47"/>
      <c r="AJ855" s="47"/>
      <c r="AK855" s="47"/>
      <c r="AL855" s="50"/>
      <c r="AM855" s="126"/>
      <c r="AN855" s="236" t="s">
        <v>850</v>
      </c>
      <c r="AO855" s="723" t="s">
        <v>2726</v>
      </c>
      <c r="AP855" s="257">
        <f t="shared" si="3"/>
        <v>0</v>
      </c>
      <c r="AQ855" s="258"/>
      <c r="AR855" s="258"/>
      <c r="AS855" s="127"/>
      <c r="AT855" s="47"/>
      <c r="AU855" s="47"/>
    </row>
    <row r="856" spans="10:47">
      <c r="J856"/>
      <c r="K856" s="47"/>
      <c r="L856" s="47"/>
      <c r="M856" s="47"/>
      <c r="N856" s="47"/>
      <c r="O856" s="47"/>
      <c r="P856" s="47"/>
      <c r="Q856" s="47"/>
      <c r="R856" s="47"/>
      <c r="S856" s="47"/>
      <c r="T856" s="47"/>
      <c r="U856" s="47"/>
      <c r="V856" s="47"/>
      <c r="W856" s="47"/>
      <c r="X856" s="47"/>
      <c r="Y856" s="47"/>
      <c r="Z856" s="47"/>
      <c r="AA856" s="47"/>
      <c r="AB856" s="47"/>
      <c r="AC856" s="47"/>
      <c r="AD856" s="47"/>
      <c r="AE856" s="47"/>
      <c r="AF856" s="47"/>
      <c r="AG856" s="47"/>
      <c r="AH856" s="47"/>
      <c r="AI856" s="47"/>
      <c r="AJ856" s="47"/>
      <c r="AK856" s="47"/>
      <c r="AL856" s="50"/>
      <c r="AM856" s="126"/>
      <c r="AN856" s="236" t="s">
        <v>858</v>
      </c>
      <c r="AO856" s="205" t="s">
        <v>859</v>
      </c>
      <c r="AP856" s="257">
        <f t="shared" si="3"/>
        <v>0</v>
      </c>
      <c r="AQ856" s="258"/>
      <c r="AR856" s="258"/>
      <c r="AS856" s="127"/>
      <c r="AT856" s="47"/>
      <c r="AU856" s="47"/>
    </row>
    <row r="857" spans="10:47">
      <c r="J857"/>
      <c r="K857" s="47"/>
      <c r="L857" s="47"/>
      <c r="M857" s="47"/>
      <c r="N857" s="47"/>
      <c r="O857" s="47"/>
      <c r="P857" s="47"/>
      <c r="Q857" s="47"/>
      <c r="R857" s="47"/>
      <c r="S857" s="47"/>
      <c r="T857" s="47"/>
      <c r="U857" s="47"/>
      <c r="V857" s="47"/>
      <c r="W857" s="47"/>
      <c r="X857" s="47"/>
      <c r="Y857" s="47"/>
      <c r="Z857" s="47"/>
      <c r="AA857" s="47"/>
      <c r="AB857" s="47"/>
      <c r="AC857" s="47"/>
      <c r="AD857" s="47"/>
      <c r="AE857" s="47"/>
      <c r="AF857" s="47"/>
      <c r="AG857" s="47"/>
      <c r="AH857" s="47"/>
      <c r="AI857" s="47"/>
      <c r="AJ857" s="47"/>
      <c r="AK857" s="47"/>
      <c r="AL857" s="50"/>
      <c r="AM857" s="126"/>
      <c r="AN857" s="236" t="s">
        <v>861</v>
      </c>
      <c r="AO857" s="205" t="s">
        <v>862</v>
      </c>
      <c r="AP857" s="257">
        <f t="shared" si="3"/>
        <v>0</v>
      </c>
      <c r="AQ857" s="258"/>
      <c r="AR857" s="258"/>
      <c r="AS857" s="127"/>
      <c r="AT857" s="47"/>
      <c r="AU857" s="47"/>
    </row>
    <row r="858" spans="10:47">
      <c r="J858"/>
      <c r="K858" s="47"/>
      <c r="L858" s="47"/>
      <c r="M858" s="47"/>
      <c r="N858" s="47"/>
      <c r="O858" s="47"/>
      <c r="P858" s="47"/>
      <c r="Q858" s="47"/>
      <c r="R858" s="47"/>
      <c r="S858" s="47"/>
      <c r="T858" s="47"/>
      <c r="U858" s="47"/>
      <c r="V858" s="47"/>
      <c r="W858" s="47"/>
      <c r="X858" s="47"/>
      <c r="Y858" s="47"/>
      <c r="Z858" s="47"/>
      <c r="AA858" s="47"/>
      <c r="AB858" s="47"/>
      <c r="AC858" s="47"/>
      <c r="AD858" s="47"/>
      <c r="AE858" s="47"/>
      <c r="AF858" s="47"/>
      <c r="AG858" s="47"/>
      <c r="AH858" s="47"/>
      <c r="AI858" s="47"/>
      <c r="AJ858" s="47"/>
      <c r="AK858" s="47"/>
      <c r="AL858" s="50"/>
      <c r="AM858" s="126"/>
      <c r="AN858" s="236" t="s">
        <v>863</v>
      </c>
      <c r="AO858" s="205" t="s">
        <v>864</v>
      </c>
      <c r="AP858" s="257">
        <f t="shared" si="3"/>
        <v>0</v>
      </c>
      <c r="AQ858" s="258"/>
      <c r="AR858" s="258"/>
      <c r="AS858" s="127"/>
      <c r="AT858" s="47"/>
      <c r="AU858" s="47"/>
    </row>
    <row r="859" spans="10:47">
      <c r="J859"/>
      <c r="K859" s="47"/>
      <c r="L859" s="47"/>
      <c r="M859" s="47"/>
      <c r="N859" s="47"/>
      <c r="O859" s="47"/>
      <c r="P859" s="47"/>
      <c r="Q859" s="47"/>
      <c r="R859" s="47"/>
      <c r="S859" s="47"/>
      <c r="T859" s="47"/>
      <c r="U859" s="47"/>
      <c r="V859" s="47"/>
      <c r="W859" s="47"/>
      <c r="X859" s="47"/>
      <c r="Y859" s="47"/>
      <c r="Z859" s="47"/>
      <c r="AA859" s="47"/>
      <c r="AB859" s="47"/>
      <c r="AC859" s="47"/>
      <c r="AD859" s="47"/>
      <c r="AE859" s="47"/>
      <c r="AF859" s="47"/>
      <c r="AG859" s="47"/>
      <c r="AH859" s="47"/>
      <c r="AI859" s="47"/>
      <c r="AJ859" s="47"/>
      <c r="AK859" s="47"/>
      <c r="AL859" s="50"/>
      <c r="AM859" s="126"/>
      <c r="AN859" s="236" t="s">
        <v>865</v>
      </c>
      <c r="AO859" s="205" t="s">
        <v>866</v>
      </c>
      <c r="AP859" s="257">
        <f t="shared" si="3"/>
        <v>0</v>
      </c>
      <c r="AQ859" s="258"/>
      <c r="AR859" s="258"/>
      <c r="AS859" s="127"/>
      <c r="AT859" s="47"/>
      <c r="AU859" s="47"/>
    </row>
    <row r="860" spans="10:47">
      <c r="J860"/>
      <c r="K860" s="47"/>
      <c r="L860" s="47"/>
      <c r="M860" s="47"/>
      <c r="N860" s="47"/>
      <c r="O860" s="47"/>
      <c r="P860" s="47"/>
      <c r="Q860" s="47"/>
      <c r="R860" s="47"/>
      <c r="S860" s="47"/>
      <c r="T860" s="47"/>
      <c r="U860" s="47"/>
      <c r="V860" s="47"/>
      <c r="W860" s="47"/>
      <c r="X860" s="47"/>
      <c r="Y860" s="47"/>
      <c r="Z860" s="47"/>
      <c r="AA860" s="47"/>
      <c r="AB860" s="47"/>
      <c r="AC860" s="47"/>
      <c r="AD860" s="47"/>
      <c r="AE860" s="47"/>
      <c r="AF860" s="47"/>
      <c r="AG860" s="47"/>
      <c r="AH860" s="47"/>
      <c r="AI860" s="47"/>
      <c r="AJ860" s="47"/>
      <c r="AK860" s="47"/>
      <c r="AL860" s="50"/>
      <c r="AM860" s="126"/>
      <c r="AN860" s="236" t="s">
        <v>867</v>
      </c>
      <c r="AO860" s="205" t="s">
        <v>868</v>
      </c>
      <c r="AP860" s="257">
        <f t="shared" si="3"/>
        <v>0</v>
      </c>
      <c r="AQ860" s="258"/>
      <c r="AR860" s="258"/>
      <c r="AS860" s="127"/>
      <c r="AT860" s="47"/>
      <c r="AU860" s="47"/>
    </row>
    <row r="861" spans="10:47">
      <c r="J861"/>
      <c r="K861" s="47"/>
      <c r="L861" s="47"/>
      <c r="M861" s="47"/>
      <c r="N861" s="47"/>
      <c r="O861" s="47"/>
      <c r="P861" s="47"/>
      <c r="Q861" s="47"/>
      <c r="R861" s="47"/>
      <c r="S861" s="47"/>
      <c r="T861" s="47"/>
      <c r="U861" s="47"/>
      <c r="V861" s="47"/>
      <c r="W861" s="47"/>
      <c r="X861" s="47"/>
      <c r="Y861" s="47"/>
      <c r="Z861" s="47"/>
      <c r="AA861" s="47"/>
      <c r="AB861" s="47"/>
      <c r="AC861" s="47"/>
      <c r="AD861" s="47"/>
      <c r="AE861" s="47"/>
      <c r="AF861" s="47"/>
      <c r="AG861" s="47"/>
      <c r="AH861" s="47"/>
      <c r="AI861" s="47"/>
      <c r="AJ861" s="47"/>
      <c r="AK861" s="47"/>
      <c r="AL861" s="50"/>
      <c r="AM861" s="126"/>
      <c r="AN861" s="236" t="s">
        <v>869</v>
      </c>
      <c r="AO861" s="229" t="s">
        <v>870</v>
      </c>
      <c r="AP861" s="257">
        <f t="shared" si="3"/>
        <v>0</v>
      </c>
      <c r="AQ861" s="258"/>
      <c r="AR861" s="258"/>
      <c r="AS861" s="127"/>
      <c r="AT861" s="47"/>
      <c r="AU861" s="47"/>
    </row>
    <row r="862" spans="10:47">
      <c r="J862"/>
      <c r="K862" s="47"/>
      <c r="L862" s="47"/>
      <c r="M862" s="47"/>
      <c r="N862" s="47"/>
      <c r="O862" s="47"/>
      <c r="P862" s="47"/>
      <c r="Q862" s="47"/>
      <c r="R862" s="47"/>
      <c r="S862" s="47"/>
      <c r="T862" s="47"/>
      <c r="U862" s="47"/>
      <c r="V862" s="47"/>
      <c r="W862" s="47"/>
      <c r="X862" s="47"/>
      <c r="Y862" s="47"/>
      <c r="Z862" s="47"/>
      <c r="AA862" s="47"/>
      <c r="AB862" s="47"/>
      <c r="AC862" s="47"/>
      <c r="AD862" s="47"/>
      <c r="AE862" s="47"/>
      <c r="AF862" s="47"/>
      <c r="AG862" s="47"/>
      <c r="AH862" s="47"/>
      <c r="AI862" s="47"/>
      <c r="AJ862" s="47"/>
      <c r="AK862" s="47"/>
      <c r="AL862" s="50"/>
      <c r="AM862" s="126"/>
      <c r="AN862" s="236" t="s">
        <v>871</v>
      </c>
      <c r="AO862" s="229" t="s">
        <v>872</v>
      </c>
      <c r="AP862" s="257">
        <f t="shared" si="3"/>
        <v>0</v>
      </c>
      <c r="AQ862" s="258"/>
      <c r="AR862" s="258"/>
      <c r="AS862" s="127"/>
      <c r="AT862" s="47"/>
      <c r="AU862" s="47"/>
    </row>
    <row r="863" spans="10:47">
      <c r="J863"/>
      <c r="K863" s="47"/>
      <c r="L863" s="47"/>
      <c r="M863" s="47"/>
      <c r="N863" s="47"/>
      <c r="O863" s="47"/>
      <c r="P863" s="47"/>
      <c r="Q863" s="47"/>
      <c r="R863" s="47"/>
      <c r="S863" s="47"/>
      <c r="T863" s="47"/>
      <c r="U863" s="47"/>
      <c r="V863" s="47"/>
      <c r="W863" s="47"/>
      <c r="X863" s="47"/>
      <c r="Y863" s="47"/>
      <c r="Z863" s="47"/>
      <c r="AA863" s="47"/>
      <c r="AB863" s="47"/>
      <c r="AC863" s="47"/>
      <c r="AD863" s="47"/>
      <c r="AE863" s="47"/>
      <c r="AF863" s="47"/>
      <c r="AG863" s="47"/>
      <c r="AH863" s="47"/>
      <c r="AI863" s="47"/>
      <c r="AJ863" s="47"/>
      <c r="AK863" s="47"/>
      <c r="AL863" s="53"/>
      <c r="AM863" s="126"/>
      <c r="AN863" s="236" t="s">
        <v>873</v>
      </c>
      <c r="AO863" s="229" t="s">
        <v>874</v>
      </c>
      <c r="AP863" s="257">
        <f t="shared" si="3"/>
        <v>0</v>
      </c>
      <c r="AQ863" s="258"/>
      <c r="AR863" s="258"/>
      <c r="AS863" s="127"/>
      <c r="AT863" s="47"/>
      <c r="AU863" s="47"/>
    </row>
    <row r="864" spans="10:47">
      <c r="J864"/>
      <c r="K864" s="47"/>
      <c r="L864" s="47"/>
      <c r="M864" s="47"/>
      <c r="N864" s="47"/>
      <c r="O864" s="47"/>
      <c r="P864" s="47"/>
      <c r="Q864" s="47"/>
      <c r="R864" s="47"/>
      <c r="S864" s="47"/>
      <c r="T864" s="47"/>
      <c r="U864" s="47"/>
      <c r="V864" s="47"/>
      <c r="W864" s="47"/>
      <c r="X864" s="47"/>
      <c r="Y864" s="47"/>
      <c r="Z864" s="47"/>
      <c r="AA864" s="47"/>
      <c r="AB864" s="47"/>
      <c r="AC864" s="47"/>
      <c r="AD864" s="47"/>
      <c r="AE864" s="47"/>
      <c r="AF864" s="47"/>
      <c r="AG864" s="47"/>
      <c r="AH864" s="47"/>
      <c r="AI864" s="47"/>
      <c r="AJ864" s="47"/>
      <c r="AK864" s="47"/>
      <c r="AL864" s="53"/>
      <c r="AM864" s="126"/>
      <c r="AN864" s="725" t="s">
        <v>852</v>
      </c>
      <c r="AO864" s="724" t="s">
        <v>2727</v>
      </c>
      <c r="AP864" s="257">
        <f t="shared" si="3"/>
        <v>0</v>
      </c>
      <c r="AQ864" s="258"/>
      <c r="AR864" s="258"/>
      <c r="AS864" s="127"/>
      <c r="AT864" s="47"/>
      <c r="AU864" s="47"/>
    </row>
    <row r="865" spans="40:45" ht="0.75" customHeight="1">
      <c r="AN865" s="236"/>
      <c r="AO865" s="205"/>
      <c r="AP865" s="205"/>
      <c r="AQ865" s="258"/>
      <c r="AR865" s="258"/>
      <c r="AS865" s="202"/>
    </row>
    <row r="866" spans="40:45" ht="0.75" customHeight="1">
      <c r="AN866" s="236"/>
      <c r="AO866" s="205"/>
      <c r="AP866" s="205"/>
      <c r="AQ866" s="258"/>
      <c r="AR866" s="258"/>
      <c r="AS866" s="202"/>
    </row>
    <row r="867" spans="40:45" ht="0.75" customHeight="1">
      <c r="AN867" s="236"/>
      <c r="AO867" s="250"/>
      <c r="AP867" s="205"/>
      <c r="AQ867" s="258"/>
      <c r="AR867" s="258"/>
      <c r="AS867" s="202"/>
    </row>
    <row r="868" spans="40:45" ht="0.75" customHeight="1">
      <c r="AN868" s="236"/>
      <c r="AO868" s="250"/>
      <c r="AP868" s="205"/>
      <c r="AQ868" s="258"/>
      <c r="AR868" s="258"/>
      <c r="AS868" s="202"/>
    </row>
    <row r="869" spans="40:45" ht="0.75" customHeight="1">
      <c r="AN869" s="236"/>
      <c r="AO869" s="250"/>
      <c r="AP869" s="205"/>
      <c r="AQ869" s="258"/>
      <c r="AR869" s="258"/>
      <c r="AS869" s="202"/>
    </row>
    <row r="870" spans="40:45" ht="0.75" customHeight="1">
      <c r="AN870" s="236"/>
      <c r="AO870" s="205"/>
      <c r="AP870" s="205"/>
      <c r="AQ870" s="258"/>
      <c r="AR870" s="258"/>
      <c r="AS870" s="202"/>
    </row>
    <row r="871" spans="40:45" ht="0.75" customHeight="1">
      <c r="AN871" s="236"/>
      <c r="AO871" s="250"/>
      <c r="AP871" s="205"/>
      <c r="AQ871" s="258"/>
      <c r="AR871" s="258"/>
      <c r="AS871" s="202"/>
    </row>
    <row r="872" spans="40:45" ht="0.75" customHeight="1">
      <c r="AN872" s="236"/>
      <c r="AO872" s="325"/>
      <c r="AP872" s="205"/>
      <c r="AQ872" s="258"/>
      <c r="AR872" s="258"/>
      <c r="AS872" s="202"/>
    </row>
    <row r="873" spans="40:45" ht="0.75" customHeight="1">
      <c r="AN873" s="236"/>
      <c r="AO873" s="483"/>
      <c r="AP873" s="205"/>
      <c r="AQ873" s="258"/>
      <c r="AR873" s="258"/>
      <c r="AS873" s="202"/>
    </row>
    <row r="874" spans="40:45" ht="0.75" customHeight="1">
      <c r="AN874" s="236"/>
      <c r="AO874" s="235"/>
      <c r="AP874" s="205"/>
      <c r="AQ874" s="258"/>
      <c r="AR874" s="258"/>
      <c r="AS874" s="202"/>
    </row>
    <row r="875" spans="40:45" ht="0.75" customHeight="1">
      <c r="AN875" s="436"/>
      <c r="AO875" s="485"/>
      <c r="AP875" s="205"/>
      <c r="AQ875" s="258"/>
      <c r="AR875" s="258"/>
      <c r="AS875" s="202"/>
    </row>
    <row r="876" spans="40:45" ht="0.75" customHeight="1">
      <c r="AN876" s="236"/>
      <c r="AO876" s="235"/>
      <c r="AP876" s="205"/>
      <c r="AQ876" s="258"/>
      <c r="AR876" s="258"/>
      <c r="AS876" s="202"/>
    </row>
    <row r="877" spans="40:45" hidden="1">
      <c r="AN877" s="236"/>
      <c r="AO877" s="205"/>
      <c r="AP877" s="264"/>
      <c r="AQ877" s="258"/>
      <c r="AR877" s="258"/>
      <c r="AS877" s="202"/>
    </row>
    <row r="878" spans="40:45" hidden="1">
      <c r="AN878" s="236"/>
      <c r="AO878" s="205"/>
      <c r="AP878" s="264"/>
      <c r="AQ878" s="258"/>
      <c r="AR878" s="258"/>
      <c r="AS878" s="202"/>
    </row>
    <row r="879" spans="40:45" hidden="1">
      <c r="AN879" s="236"/>
      <c r="AO879" s="205"/>
      <c r="AP879" s="264"/>
      <c r="AQ879" s="258"/>
      <c r="AR879" s="258"/>
      <c r="AS879" s="202"/>
    </row>
    <row r="880" spans="40:45" hidden="1">
      <c r="AN880" s="236"/>
      <c r="AO880" s="205"/>
      <c r="AP880" s="264"/>
      <c r="AQ880" s="258"/>
      <c r="AR880" s="258"/>
      <c r="AS880" s="202"/>
    </row>
    <row r="881" spans="10:45" hidden="1">
      <c r="AN881" s="236"/>
      <c r="AO881" s="205"/>
      <c r="AP881" s="264"/>
      <c r="AQ881" s="258"/>
      <c r="AR881" s="258"/>
      <c r="AS881" s="202"/>
    </row>
    <row r="882" spans="10:45" hidden="1">
      <c r="AN882" s="236"/>
      <c r="AO882" s="205"/>
      <c r="AP882" s="264"/>
      <c r="AQ882" s="258"/>
      <c r="AR882" s="258"/>
      <c r="AS882" s="202"/>
    </row>
    <row r="883" spans="10:45" hidden="1">
      <c r="AN883" s="236"/>
      <c r="AO883" s="205"/>
      <c r="AP883" s="264"/>
      <c r="AQ883" s="258"/>
      <c r="AR883" s="258"/>
      <c r="AS883" s="202"/>
    </row>
    <row r="884" spans="10:45" hidden="1">
      <c r="AN884" s="236"/>
      <c r="AO884" s="205"/>
      <c r="AP884" s="264"/>
      <c r="AQ884" s="258"/>
      <c r="AR884" s="258"/>
      <c r="AS884" s="202"/>
    </row>
    <row r="885" spans="10:45" hidden="1">
      <c r="AN885" s="236"/>
      <c r="AO885" s="205"/>
      <c r="AP885" s="264"/>
      <c r="AQ885" s="258"/>
      <c r="AR885" s="258"/>
      <c r="AS885" s="202"/>
    </row>
    <row r="886" spans="10:45" hidden="1">
      <c r="AN886" s="236"/>
      <c r="AO886" s="205"/>
      <c r="AP886" s="264"/>
      <c r="AQ886" s="258"/>
      <c r="AR886" s="258"/>
      <c r="AS886" s="202"/>
    </row>
    <row r="887" spans="10:45" hidden="1">
      <c r="AN887" s="236"/>
      <c r="AO887" s="205"/>
      <c r="AP887" s="264"/>
      <c r="AQ887" s="258"/>
      <c r="AR887" s="258"/>
      <c r="AS887" s="202"/>
    </row>
    <row r="888" spans="10:45" hidden="1">
      <c r="AN888" s="236"/>
      <c r="AO888" s="205"/>
      <c r="AP888" s="264"/>
      <c r="AQ888" s="258"/>
      <c r="AR888" s="258"/>
      <c r="AS888" s="202"/>
    </row>
    <row r="889" spans="10:45" hidden="1">
      <c r="AN889" s="236"/>
      <c r="AO889" s="205"/>
      <c r="AP889" s="264"/>
      <c r="AQ889" s="258"/>
      <c r="AR889" s="258"/>
      <c r="AS889" s="202"/>
    </row>
    <row r="890" spans="10:45" hidden="1">
      <c r="AN890" s="236"/>
      <c r="AO890" s="205"/>
      <c r="AP890" s="264"/>
      <c r="AQ890" s="258"/>
      <c r="AR890" s="258"/>
      <c r="AS890" s="202"/>
    </row>
    <row r="891" spans="10:45" hidden="1">
      <c r="AN891" s="236"/>
      <c r="AO891" s="205"/>
      <c r="AP891" s="264"/>
      <c r="AQ891" s="258"/>
      <c r="AR891" s="258"/>
      <c r="AS891" s="202"/>
    </row>
    <row r="892" spans="10:45">
      <c r="AN892" s="236" t="s">
        <v>2487</v>
      </c>
      <c r="AO892" s="235" t="s">
        <v>333</v>
      </c>
      <c r="AP892" s="257">
        <f>SUMIF(AQ$8:AR$8,"NO_TRANSPORT",AQ892:AR892)</f>
        <v>0</v>
      </c>
      <c r="AQ892" s="258"/>
      <c r="AR892" s="258"/>
      <c r="AS892" s="202"/>
    </row>
    <row r="893" spans="10:45">
      <c r="AN893" s="236" t="s">
        <v>2488</v>
      </c>
      <c r="AO893" s="483" t="str">
        <f>IF(TEMPLATE_CLAIM="U","Полезный отпуск продукции 01.07 - 31.08 всего (Гкал)","Полезный отпуск продукции 01.07 - 31.12 всего (Гкал)")</f>
        <v>Полезный отпуск продукции 01.07 - 31.08 всего (Гкал)</v>
      </c>
      <c r="AP893" s="257">
        <f>SUMIF(AQ$8:AR$8,"NO_TRANSPORT",AQ893:AR893)</f>
        <v>0</v>
      </c>
      <c r="AQ893" s="258"/>
      <c r="AR893" s="258"/>
      <c r="AS893" s="202"/>
    </row>
    <row r="894" spans="10:45">
      <c r="AN894" s="496" t="str">
        <f>IF(TEMPLATE_CLAIM="U","19.3","")</f>
        <v>19.3</v>
      </c>
      <c r="AO894" s="483" t="str">
        <f>IF(TEMPLATE_CLAIM="U","Полезный отпуск продукции 01.09 - 31.12 всего (Гкал)","")</f>
        <v>Полезный отпуск продукции 01.09 - 31.12 всего (Гкал)</v>
      </c>
      <c r="AP894" s="280">
        <f>IF(TEMPLATE_CLAIM="U",SUMIF(AQ$8:AR$8,"NO_TRANSPORT",AQ894:AR894),"")</f>
        <v>0</v>
      </c>
      <c r="AQ894" s="258"/>
      <c r="AR894" s="258"/>
      <c r="AS894" s="202"/>
    </row>
    <row r="895" spans="10:45" s="55" customFormat="1" ht="0.75" customHeight="1">
      <c r="J895" s="213"/>
      <c r="K895" s="213"/>
      <c r="L895" s="213"/>
      <c r="M895" s="213"/>
      <c r="N895" s="213"/>
      <c r="O895" s="213"/>
      <c r="P895" s="213"/>
      <c r="Q895" s="213"/>
      <c r="R895" s="213"/>
      <c r="S895" s="213"/>
      <c r="T895" s="213"/>
      <c r="U895" s="213"/>
      <c r="V895" s="213"/>
      <c r="W895" s="213"/>
      <c r="X895" s="213"/>
      <c r="Y895" s="213"/>
      <c r="Z895" s="213"/>
      <c r="AA895" s="213"/>
      <c r="AB895" s="213"/>
      <c r="AC895" s="213"/>
      <c r="AD895" s="213"/>
      <c r="AE895" s="213"/>
      <c r="AF895" s="213"/>
      <c r="AG895" s="213"/>
      <c r="AH895" s="213"/>
      <c r="AI895" s="213"/>
      <c r="AJ895" s="213"/>
      <c r="AK895" s="213"/>
      <c r="AL895" s="213"/>
      <c r="AM895" s="213"/>
      <c r="AN895" s="298"/>
      <c r="AO895" s="299"/>
      <c r="AP895" s="282"/>
      <c r="AQ895" s="258"/>
      <c r="AR895" s="258"/>
      <c r="AS895" s="50"/>
    </row>
    <row r="896" spans="10:45" s="55" customFormat="1" ht="0.75" customHeight="1">
      <c r="J896" s="213"/>
      <c r="K896" s="213"/>
      <c r="L896" s="213"/>
      <c r="M896" s="213"/>
      <c r="N896" s="213"/>
      <c r="O896" s="213"/>
      <c r="P896" s="213"/>
      <c r="Q896" s="213"/>
      <c r="R896" s="213"/>
      <c r="S896" s="213"/>
      <c r="T896" s="213"/>
      <c r="U896" s="213"/>
      <c r="V896" s="213"/>
      <c r="W896" s="213"/>
      <c r="X896" s="213"/>
      <c r="Y896" s="213"/>
      <c r="Z896" s="213"/>
      <c r="AA896" s="213"/>
      <c r="AB896" s="213"/>
      <c r="AC896" s="213"/>
      <c r="AD896" s="213"/>
      <c r="AE896" s="213"/>
      <c r="AF896" s="213"/>
      <c r="AG896" s="213"/>
      <c r="AH896" s="213"/>
      <c r="AI896" s="213"/>
      <c r="AJ896" s="213"/>
      <c r="AK896" s="213"/>
      <c r="AL896" s="213"/>
      <c r="AM896" s="213"/>
      <c r="AN896" s="298"/>
      <c r="AO896" s="299"/>
      <c r="AP896" s="282"/>
      <c r="AQ896" s="258"/>
      <c r="AR896" s="258"/>
    </row>
    <row r="897" spans="10:44" s="48" customFormat="1" ht="0.75" customHeight="1">
      <c r="J897" s="213"/>
      <c r="K897" s="213"/>
      <c r="L897" s="213"/>
      <c r="M897" s="213"/>
      <c r="N897" s="213"/>
      <c r="O897" s="213"/>
      <c r="P897" s="213"/>
      <c r="Q897" s="213"/>
      <c r="R897" s="213"/>
      <c r="S897" s="213"/>
      <c r="T897" s="213"/>
      <c r="U897" s="213"/>
      <c r="V897" s="213"/>
      <c r="W897" s="213"/>
      <c r="X897" s="213"/>
      <c r="Y897" s="213"/>
      <c r="Z897" s="213"/>
      <c r="AA897" s="213"/>
      <c r="AB897" s="213"/>
      <c r="AC897" s="213"/>
      <c r="AD897" s="213"/>
      <c r="AE897" s="213"/>
      <c r="AF897" s="213"/>
      <c r="AG897" s="213"/>
      <c r="AH897" s="213"/>
      <c r="AI897" s="213"/>
      <c r="AJ897" s="213"/>
      <c r="AK897" s="213"/>
      <c r="AL897" s="213"/>
      <c r="AM897" s="213"/>
      <c r="AN897" s="300"/>
      <c r="AO897" s="301"/>
      <c r="AP897" s="285"/>
      <c r="AQ897" s="258"/>
      <c r="AR897" s="258"/>
    </row>
    <row r="898" spans="10:44" s="48" customFormat="1" ht="0.75" customHeight="1">
      <c r="J898" s="213"/>
      <c r="K898" s="213"/>
      <c r="L898" s="213"/>
      <c r="M898" s="213"/>
      <c r="N898" s="213"/>
      <c r="O898" s="213"/>
      <c r="P898" s="213"/>
      <c r="Q898" s="213"/>
      <c r="R898" s="213"/>
      <c r="S898" s="213"/>
      <c r="T898" s="213"/>
      <c r="U898" s="213"/>
      <c r="V898" s="213"/>
      <c r="W898" s="213"/>
      <c r="X898" s="213"/>
      <c r="Y898" s="213"/>
      <c r="Z898" s="213"/>
      <c r="AA898" s="213"/>
      <c r="AB898" s="213"/>
      <c r="AC898" s="213"/>
      <c r="AD898" s="213"/>
      <c r="AE898" s="213"/>
      <c r="AF898" s="213"/>
      <c r="AG898" s="213"/>
      <c r="AH898" s="213"/>
      <c r="AI898" s="213"/>
      <c r="AJ898" s="213"/>
      <c r="AK898" s="213"/>
      <c r="AL898" s="213"/>
      <c r="AM898" s="213"/>
      <c r="AN898" s="300"/>
      <c r="AO898" s="301"/>
      <c r="AP898" s="285"/>
      <c r="AQ898" s="258"/>
      <c r="AR898" s="258"/>
    </row>
    <row r="899" spans="10:44" s="48" customFormat="1" ht="0.75" customHeight="1">
      <c r="J899" s="213"/>
      <c r="K899" s="213"/>
      <c r="L899" s="213"/>
      <c r="M899" s="213"/>
      <c r="N899" s="213"/>
      <c r="O899" s="213"/>
      <c r="P899" s="213"/>
      <c r="Q899" s="213"/>
      <c r="R899" s="213"/>
      <c r="S899" s="213"/>
      <c r="T899" s="213"/>
      <c r="U899" s="213"/>
      <c r="V899" s="213"/>
      <c r="W899" s="213"/>
      <c r="X899" s="213"/>
      <c r="Y899" s="213"/>
      <c r="Z899" s="213"/>
      <c r="AA899" s="213"/>
      <c r="AB899" s="213"/>
      <c r="AC899" s="213"/>
      <c r="AD899" s="213"/>
      <c r="AE899" s="213"/>
      <c r="AF899" s="213"/>
      <c r="AG899" s="213"/>
      <c r="AH899" s="213"/>
      <c r="AI899" s="213"/>
      <c r="AJ899" s="213"/>
      <c r="AK899" s="213"/>
      <c r="AL899" s="213"/>
      <c r="AM899" s="213"/>
      <c r="AN899" s="300"/>
      <c r="AO899" s="301"/>
      <c r="AP899" s="285"/>
      <c r="AQ899" s="258"/>
      <c r="AR899" s="258"/>
    </row>
    <row r="900" spans="10:44" s="48" customFormat="1" ht="0.75" customHeight="1">
      <c r="J900" s="213"/>
      <c r="K900" s="213"/>
      <c r="L900" s="213"/>
      <c r="M900" s="213"/>
      <c r="N900" s="213"/>
      <c r="O900" s="213"/>
      <c r="P900" s="213"/>
      <c r="Q900" s="213"/>
      <c r="R900" s="213"/>
      <c r="S900" s="213"/>
      <c r="T900" s="213"/>
      <c r="U900" s="213"/>
      <c r="V900" s="213"/>
      <c r="W900" s="213"/>
      <c r="X900" s="213"/>
      <c r="Y900" s="213"/>
      <c r="Z900" s="213"/>
      <c r="AA900" s="213"/>
      <c r="AB900" s="213"/>
      <c r="AC900" s="213"/>
      <c r="AD900" s="213"/>
      <c r="AE900" s="213"/>
      <c r="AF900" s="213"/>
      <c r="AG900" s="213"/>
      <c r="AH900" s="213"/>
      <c r="AI900" s="213"/>
      <c r="AJ900" s="213"/>
      <c r="AK900" s="213"/>
      <c r="AL900" s="213"/>
      <c r="AM900" s="213"/>
      <c r="AN900" s="300"/>
      <c r="AO900" s="301"/>
      <c r="AP900" s="285"/>
      <c r="AQ900" s="258"/>
      <c r="AR900" s="258"/>
    </row>
    <row r="901" spans="10:44" s="48" customFormat="1" ht="0.75" customHeight="1">
      <c r="J901" s="213"/>
      <c r="K901" s="213"/>
      <c r="L901" s="213"/>
      <c r="M901" s="213"/>
      <c r="N901" s="213"/>
      <c r="O901" s="213"/>
      <c r="P901" s="213"/>
      <c r="Q901" s="213"/>
      <c r="R901" s="213"/>
      <c r="S901" s="213"/>
      <c r="T901" s="213"/>
      <c r="U901" s="213"/>
      <c r="V901" s="213"/>
      <c r="W901" s="213"/>
      <c r="X901" s="213"/>
      <c r="Y901" s="213"/>
      <c r="Z901" s="213"/>
      <c r="AA901" s="213"/>
      <c r="AB901" s="213"/>
      <c r="AC901" s="213"/>
      <c r="AD901" s="213"/>
      <c r="AE901" s="213"/>
      <c r="AF901" s="213"/>
      <c r="AG901" s="213"/>
      <c r="AH901" s="213"/>
      <c r="AI901" s="213"/>
      <c r="AJ901" s="213"/>
      <c r="AK901" s="213"/>
      <c r="AL901" s="213"/>
      <c r="AM901" s="213"/>
      <c r="AN901" s="300"/>
      <c r="AO901" s="301"/>
      <c r="AP901" s="285"/>
      <c r="AQ901" s="258"/>
      <c r="AR901" s="258"/>
    </row>
    <row r="902" spans="10:44" s="48" customFormat="1" ht="0.75" customHeight="1">
      <c r="J902" s="213"/>
      <c r="K902" s="213"/>
      <c r="L902" s="213"/>
      <c r="M902" s="213"/>
      <c r="N902" s="213"/>
      <c r="O902" s="213"/>
      <c r="P902" s="213"/>
      <c r="Q902" s="213"/>
      <c r="R902" s="213"/>
      <c r="S902" s="213"/>
      <c r="T902" s="213"/>
      <c r="U902" s="213"/>
      <c r="V902" s="213"/>
      <c r="W902" s="213"/>
      <c r="X902" s="213"/>
      <c r="Y902" s="213"/>
      <c r="Z902" s="213"/>
      <c r="AA902" s="213"/>
      <c r="AB902" s="213"/>
      <c r="AC902" s="213"/>
      <c r="AD902" s="213"/>
      <c r="AE902" s="213"/>
      <c r="AF902" s="213"/>
      <c r="AG902" s="213"/>
      <c r="AH902" s="213"/>
      <c r="AI902" s="213"/>
      <c r="AJ902" s="213"/>
      <c r="AK902" s="213"/>
      <c r="AL902" s="213"/>
      <c r="AM902" s="213"/>
      <c r="AN902" s="300"/>
      <c r="AO902" s="301"/>
      <c r="AP902" s="285"/>
      <c r="AQ902" s="258"/>
      <c r="AR902" s="258"/>
    </row>
    <row r="903" spans="10:44" s="48" customFormat="1" ht="0.75" customHeight="1">
      <c r="J903" s="213"/>
      <c r="K903" s="213"/>
      <c r="L903" s="213"/>
      <c r="M903" s="213"/>
      <c r="N903" s="213"/>
      <c r="O903" s="213"/>
      <c r="P903" s="213"/>
      <c r="Q903" s="213"/>
      <c r="R903" s="213"/>
      <c r="S903" s="213"/>
      <c r="T903" s="213"/>
      <c r="U903" s="213"/>
      <c r="V903" s="213"/>
      <c r="W903" s="213"/>
      <c r="X903" s="213"/>
      <c r="Y903" s="213"/>
      <c r="Z903" s="213"/>
      <c r="AA903" s="213"/>
      <c r="AB903" s="213"/>
      <c r="AC903" s="213"/>
      <c r="AD903" s="213"/>
      <c r="AE903" s="213"/>
      <c r="AF903" s="213"/>
      <c r="AG903" s="213"/>
      <c r="AH903" s="213"/>
      <c r="AI903" s="213"/>
      <c r="AJ903" s="213"/>
      <c r="AK903" s="213"/>
      <c r="AL903" s="213"/>
      <c r="AM903" s="213"/>
      <c r="AN903" s="300"/>
      <c r="AO903" s="301"/>
      <c r="AP903" s="285"/>
      <c r="AQ903" s="258"/>
      <c r="AR903" s="258"/>
    </row>
    <row r="904" spans="10:44" s="48" customFormat="1" ht="0.75" customHeight="1">
      <c r="J904" s="213"/>
      <c r="K904" s="213"/>
      <c r="L904" s="213"/>
      <c r="M904" s="213"/>
      <c r="N904" s="213"/>
      <c r="O904" s="213"/>
      <c r="P904" s="213"/>
      <c r="Q904" s="213"/>
      <c r="R904" s="213"/>
      <c r="S904" s="213"/>
      <c r="T904" s="213"/>
      <c r="U904" s="213"/>
      <c r="V904" s="213"/>
      <c r="W904" s="213"/>
      <c r="X904" s="213"/>
      <c r="Y904" s="213"/>
      <c r="Z904" s="213"/>
      <c r="AA904" s="213"/>
      <c r="AB904" s="213"/>
      <c r="AC904" s="213"/>
      <c r="AD904" s="213"/>
      <c r="AE904" s="213"/>
      <c r="AF904" s="213"/>
      <c r="AG904" s="213"/>
      <c r="AH904" s="213"/>
      <c r="AI904" s="213"/>
      <c r="AJ904" s="213"/>
      <c r="AK904" s="213"/>
      <c r="AL904" s="213"/>
      <c r="AM904" s="213"/>
      <c r="AN904" s="300"/>
      <c r="AO904" s="301"/>
      <c r="AP904" s="285"/>
      <c r="AQ904" s="258"/>
      <c r="AR904" s="258"/>
    </row>
    <row r="905" spans="10:44" s="48" customFormat="1" ht="0.75" customHeight="1">
      <c r="J905" s="213"/>
      <c r="K905" s="213"/>
      <c r="L905" s="213"/>
      <c r="M905" s="213"/>
      <c r="N905" s="213"/>
      <c r="O905" s="213"/>
      <c r="P905" s="213"/>
      <c r="Q905" s="213"/>
      <c r="R905" s="213"/>
      <c r="S905" s="213"/>
      <c r="T905" s="213"/>
      <c r="U905" s="213"/>
      <c r="V905" s="213"/>
      <c r="W905" s="213"/>
      <c r="X905" s="213"/>
      <c r="Y905" s="213"/>
      <c r="Z905" s="213"/>
      <c r="AA905" s="213"/>
      <c r="AB905" s="213"/>
      <c r="AC905" s="213"/>
      <c r="AD905" s="213"/>
      <c r="AE905" s="213"/>
      <c r="AF905" s="213"/>
      <c r="AG905" s="213"/>
      <c r="AH905" s="213"/>
      <c r="AI905" s="213"/>
      <c r="AJ905" s="213"/>
      <c r="AK905" s="213"/>
      <c r="AL905" s="213"/>
      <c r="AM905" s="213"/>
      <c r="AN905" s="300"/>
      <c r="AO905" s="301"/>
      <c r="AP905" s="285"/>
      <c r="AQ905" s="258"/>
      <c r="AR905" s="258"/>
    </row>
    <row r="906" spans="10:44" s="48" customFormat="1" ht="0.75" customHeight="1">
      <c r="J906" s="213"/>
      <c r="K906" s="213"/>
      <c r="L906" s="213"/>
      <c r="M906" s="213"/>
      <c r="N906" s="213"/>
      <c r="O906" s="213"/>
      <c r="P906" s="213"/>
      <c r="Q906" s="213"/>
      <c r="R906" s="213"/>
      <c r="S906" s="213"/>
      <c r="T906" s="213"/>
      <c r="U906" s="213"/>
      <c r="V906" s="213"/>
      <c r="W906" s="213"/>
      <c r="X906" s="213"/>
      <c r="Y906" s="213"/>
      <c r="Z906" s="213"/>
      <c r="AA906" s="213"/>
      <c r="AB906" s="213"/>
      <c r="AC906" s="213"/>
      <c r="AD906" s="213"/>
      <c r="AE906" s="213"/>
      <c r="AF906" s="213"/>
      <c r="AG906" s="213"/>
      <c r="AH906" s="213"/>
      <c r="AI906" s="213"/>
      <c r="AJ906" s="213"/>
      <c r="AK906" s="213"/>
      <c r="AL906" s="213"/>
      <c r="AM906" s="213"/>
      <c r="AN906" s="300"/>
      <c r="AO906" s="301"/>
      <c r="AP906" s="285"/>
      <c r="AQ906" s="258"/>
      <c r="AR906" s="258"/>
    </row>
    <row r="907" spans="10:44" s="48" customFormat="1" ht="0.75" customHeight="1">
      <c r="J907" s="213"/>
      <c r="K907" s="213"/>
      <c r="L907" s="213"/>
      <c r="M907" s="213"/>
      <c r="N907" s="213"/>
      <c r="O907" s="213"/>
      <c r="P907" s="213"/>
      <c r="Q907" s="213"/>
      <c r="R907" s="213"/>
      <c r="S907" s="213"/>
      <c r="T907" s="213"/>
      <c r="U907" s="213"/>
      <c r="V907" s="213"/>
      <c r="W907" s="213"/>
      <c r="X907" s="213"/>
      <c r="Y907" s="213"/>
      <c r="Z907" s="213"/>
      <c r="AA907" s="213"/>
      <c r="AB907" s="213"/>
      <c r="AC907" s="213"/>
      <c r="AD907" s="213"/>
      <c r="AE907" s="213"/>
      <c r="AF907" s="213"/>
      <c r="AG907" s="213"/>
      <c r="AH907" s="213"/>
      <c r="AI907" s="213"/>
      <c r="AJ907" s="213"/>
      <c r="AK907" s="213"/>
      <c r="AL907" s="213"/>
      <c r="AM907" s="213"/>
      <c r="AN907" s="300"/>
      <c r="AO907" s="301"/>
      <c r="AP907" s="285"/>
      <c r="AQ907" s="258"/>
      <c r="AR907" s="258"/>
    </row>
    <row r="908" spans="10:44" s="48" customFormat="1" ht="0.75" customHeight="1">
      <c r="J908" s="213"/>
      <c r="K908" s="213"/>
      <c r="L908" s="213"/>
      <c r="M908" s="213"/>
      <c r="N908" s="213"/>
      <c r="O908" s="213"/>
      <c r="P908" s="213"/>
      <c r="Q908" s="213"/>
      <c r="R908" s="213"/>
      <c r="S908" s="213"/>
      <c r="T908" s="213"/>
      <c r="U908" s="213"/>
      <c r="V908" s="213"/>
      <c r="W908" s="213"/>
      <c r="X908" s="213"/>
      <c r="Y908" s="213"/>
      <c r="Z908" s="213"/>
      <c r="AA908" s="213"/>
      <c r="AB908" s="213"/>
      <c r="AC908" s="213"/>
      <c r="AD908" s="213"/>
      <c r="AE908" s="213"/>
      <c r="AF908" s="213"/>
      <c r="AG908" s="213"/>
      <c r="AH908" s="213"/>
      <c r="AI908" s="213"/>
      <c r="AJ908" s="213"/>
      <c r="AK908" s="213"/>
      <c r="AL908" s="213"/>
      <c r="AM908" s="213"/>
      <c r="AN908" s="300"/>
      <c r="AO908" s="301"/>
      <c r="AP908" s="285"/>
      <c r="AQ908" s="258"/>
      <c r="AR908" s="258"/>
    </row>
    <row r="909" spans="10:44" s="48" customFormat="1" ht="0.75" customHeight="1">
      <c r="J909" s="213"/>
      <c r="K909" s="213"/>
      <c r="L909" s="213"/>
      <c r="M909" s="213"/>
      <c r="N909" s="213"/>
      <c r="O909" s="213"/>
      <c r="P909" s="213"/>
      <c r="Q909" s="213"/>
      <c r="R909" s="213"/>
      <c r="S909" s="213"/>
      <c r="T909" s="213"/>
      <c r="U909" s="213"/>
      <c r="V909" s="213"/>
      <c r="W909" s="213"/>
      <c r="X909" s="213"/>
      <c r="Y909" s="213"/>
      <c r="Z909" s="213"/>
      <c r="AA909" s="213"/>
      <c r="AB909" s="213"/>
      <c r="AC909" s="213"/>
      <c r="AD909" s="213"/>
      <c r="AE909" s="213"/>
      <c r="AF909" s="213"/>
      <c r="AG909" s="213"/>
      <c r="AH909" s="213"/>
      <c r="AI909" s="213"/>
      <c r="AJ909" s="213"/>
      <c r="AK909" s="213"/>
      <c r="AL909" s="213"/>
      <c r="AM909" s="213"/>
      <c r="AN909" s="300"/>
      <c r="AO909" s="301"/>
      <c r="AP909" s="285"/>
      <c r="AQ909" s="258"/>
      <c r="AR909" s="258"/>
    </row>
    <row r="910" spans="10:44" s="48" customFormat="1" ht="0.75" customHeight="1">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300"/>
      <c r="AO910" s="301"/>
      <c r="AP910" s="285"/>
      <c r="AQ910" s="258"/>
      <c r="AR910" s="258"/>
    </row>
    <row r="911" spans="10:44" s="48" customFormat="1" ht="0.75" customHeight="1">
      <c r="J911" s="213"/>
      <c r="K911" s="213"/>
      <c r="L911" s="213"/>
      <c r="M911" s="213"/>
      <c r="N911" s="213"/>
      <c r="O911" s="213"/>
      <c r="P911" s="213"/>
      <c r="Q911" s="213"/>
      <c r="R911" s="213"/>
      <c r="S911" s="213"/>
      <c r="T911" s="213"/>
      <c r="U911" s="213"/>
      <c r="V911" s="213"/>
      <c r="W911" s="213"/>
      <c r="X911" s="213"/>
      <c r="Y911" s="213"/>
      <c r="Z911" s="213"/>
      <c r="AA911" s="213"/>
      <c r="AB911" s="213"/>
      <c r="AC911" s="213"/>
      <c r="AD911" s="213"/>
      <c r="AE911" s="213"/>
      <c r="AF911" s="213"/>
      <c r="AG911" s="213"/>
      <c r="AH911" s="213"/>
      <c r="AI911" s="213"/>
      <c r="AJ911" s="213"/>
      <c r="AK911" s="213"/>
      <c r="AL911" s="213"/>
      <c r="AM911" s="213"/>
      <c r="AN911" s="300"/>
      <c r="AO911" s="301"/>
      <c r="AP911" s="285"/>
      <c r="AQ911" s="258"/>
      <c r="AR911" s="258"/>
    </row>
    <row r="912" spans="10:44" s="48" customFormat="1" ht="0.75" customHeight="1">
      <c r="J912" s="213"/>
      <c r="K912" s="213"/>
      <c r="L912" s="213"/>
      <c r="M912" s="213"/>
      <c r="N912" s="213"/>
      <c r="O912" s="213"/>
      <c r="P912" s="213"/>
      <c r="Q912" s="213"/>
      <c r="R912" s="213"/>
      <c r="S912" s="213"/>
      <c r="T912" s="213"/>
      <c r="U912" s="213"/>
      <c r="V912" s="213"/>
      <c r="W912" s="213"/>
      <c r="X912" s="213"/>
      <c r="Y912" s="213"/>
      <c r="Z912" s="213"/>
      <c r="AA912" s="213"/>
      <c r="AB912" s="213"/>
      <c r="AC912" s="213"/>
      <c r="AD912" s="213"/>
      <c r="AE912" s="213"/>
      <c r="AF912" s="213"/>
      <c r="AG912" s="213"/>
      <c r="AH912" s="213"/>
      <c r="AI912" s="213"/>
      <c r="AJ912" s="213"/>
      <c r="AK912" s="213"/>
      <c r="AL912" s="213"/>
      <c r="AM912" s="213"/>
      <c r="AN912" s="300"/>
      <c r="AO912" s="301"/>
      <c r="AP912" s="285"/>
      <c r="AQ912" s="258"/>
      <c r="AR912" s="258"/>
    </row>
    <row r="913" spans="10:44" s="48" customFormat="1" ht="0.75" customHeight="1">
      <c r="J913" s="213"/>
      <c r="K913" s="213"/>
      <c r="L913" s="213"/>
      <c r="M913" s="213"/>
      <c r="N913" s="213"/>
      <c r="O913" s="213"/>
      <c r="P913" s="213"/>
      <c r="Q913" s="213"/>
      <c r="R913" s="213"/>
      <c r="S913" s="213"/>
      <c r="T913" s="213"/>
      <c r="U913" s="213"/>
      <c r="V913" s="213"/>
      <c r="W913" s="213"/>
      <c r="X913" s="213"/>
      <c r="Y913" s="213"/>
      <c r="Z913" s="213"/>
      <c r="AA913" s="213"/>
      <c r="AB913" s="213"/>
      <c r="AC913" s="213"/>
      <c r="AD913" s="213"/>
      <c r="AE913" s="213"/>
      <c r="AF913" s="213"/>
      <c r="AG913" s="213"/>
      <c r="AH913" s="213"/>
      <c r="AI913" s="213"/>
      <c r="AJ913" s="213"/>
      <c r="AK913" s="213"/>
      <c r="AL913" s="213"/>
      <c r="AM913" s="213"/>
      <c r="AN913" s="300"/>
      <c r="AO913" s="301"/>
      <c r="AP913" s="285"/>
      <c r="AQ913" s="258"/>
      <c r="AR913" s="258"/>
    </row>
    <row r="914" spans="10:44" s="48" customFormat="1" ht="0.75" customHeight="1">
      <c r="J914" s="213"/>
      <c r="K914" s="213"/>
      <c r="L914" s="213"/>
      <c r="M914" s="213"/>
      <c r="N914" s="213"/>
      <c r="O914" s="213"/>
      <c r="P914" s="213"/>
      <c r="Q914" s="213"/>
      <c r="R914" s="213"/>
      <c r="S914" s="213"/>
      <c r="T914" s="213"/>
      <c r="U914" s="213"/>
      <c r="V914" s="213"/>
      <c r="W914" s="213"/>
      <c r="X914" s="213"/>
      <c r="Y914" s="213"/>
      <c r="Z914" s="213"/>
      <c r="AA914" s="213"/>
      <c r="AB914" s="213"/>
      <c r="AC914" s="213"/>
      <c r="AD914" s="213"/>
      <c r="AE914" s="213"/>
      <c r="AF914" s="213"/>
      <c r="AG914" s="213"/>
      <c r="AH914" s="213"/>
      <c r="AI914" s="213"/>
      <c r="AJ914" s="213"/>
      <c r="AK914" s="213"/>
      <c r="AL914" s="213"/>
      <c r="AM914" s="213"/>
      <c r="AN914" s="300"/>
      <c r="AO914" s="301"/>
      <c r="AP914" s="285"/>
      <c r="AQ914" s="258"/>
      <c r="AR914" s="258"/>
    </row>
    <row r="915" spans="10:44" s="48" customFormat="1" ht="0.75" customHeight="1">
      <c r="J915" s="213"/>
      <c r="K915" s="213"/>
      <c r="L915" s="213"/>
      <c r="M915" s="213"/>
      <c r="N915" s="213"/>
      <c r="O915" s="213"/>
      <c r="P915" s="213"/>
      <c r="Q915" s="213"/>
      <c r="R915" s="213"/>
      <c r="S915" s="213"/>
      <c r="T915" s="213"/>
      <c r="U915" s="213"/>
      <c r="V915" s="213"/>
      <c r="W915" s="213"/>
      <c r="X915" s="213"/>
      <c r="Y915" s="213"/>
      <c r="Z915" s="213"/>
      <c r="AA915" s="213"/>
      <c r="AB915" s="213"/>
      <c r="AC915" s="213"/>
      <c r="AD915" s="213"/>
      <c r="AE915" s="213"/>
      <c r="AF915" s="213"/>
      <c r="AG915" s="213"/>
      <c r="AH915" s="213"/>
      <c r="AI915" s="213"/>
      <c r="AJ915" s="213"/>
      <c r="AK915" s="213"/>
      <c r="AL915" s="213"/>
      <c r="AM915" s="213"/>
      <c r="AN915" s="300"/>
      <c r="AO915" s="301"/>
      <c r="AP915" s="285"/>
      <c r="AQ915" s="258"/>
      <c r="AR915" s="258"/>
    </row>
    <row r="916" spans="10:44" s="48" customFormat="1" ht="0.75" customHeight="1">
      <c r="J916" s="213"/>
      <c r="K916" s="213"/>
      <c r="L916" s="213"/>
      <c r="M916" s="213"/>
      <c r="N916" s="213"/>
      <c r="O916" s="213"/>
      <c r="P916" s="213"/>
      <c r="Q916" s="213"/>
      <c r="R916" s="213"/>
      <c r="S916" s="213"/>
      <c r="T916" s="213"/>
      <c r="U916" s="213"/>
      <c r="V916" s="213"/>
      <c r="W916" s="213"/>
      <c r="X916" s="213"/>
      <c r="Y916" s="213"/>
      <c r="Z916" s="213"/>
      <c r="AA916" s="213"/>
      <c r="AB916" s="213"/>
      <c r="AC916" s="213"/>
      <c r="AD916" s="213"/>
      <c r="AE916" s="213"/>
      <c r="AF916" s="213"/>
      <c r="AG916" s="213"/>
      <c r="AH916" s="213"/>
      <c r="AI916" s="213"/>
      <c r="AJ916" s="213"/>
      <c r="AK916" s="213"/>
      <c r="AL916" s="213"/>
      <c r="AM916" s="213"/>
      <c r="AN916" s="300"/>
      <c r="AO916" s="301"/>
      <c r="AP916" s="285"/>
      <c r="AQ916" s="258"/>
      <c r="AR916" s="258"/>
    </row>
    <row r="917" spans="10:44" s="48" customFormat="1" ht="0.75" customHeight="1">
      <c r="J917" s="213"/>
      <c r="K917" s="213"/>
      <c r="L917" s="213"/>
      <c r="M917" s="213"/>
      <c r="N917" s="213"/>
      <c r="O917" s="213"/>
      <c r="P917" s="213"/>
      <c r="Q917" s="213"/>
      <c r="R917" s="213"/>
      <c r="S917" s="213"/>
      <c r="T917" s="213"/>
      <c r="U917" s="213"/>
      <c r="V917" s="213"/>
      <c r="W917" s="213"/>
      <c r="X917" s="213"/>
      <c r="Y917" s="213"/>
      <c r="Z917" s="213"/>
      <c r="AA917" s="213"/>
      <c r="AB917" s="213"/>
      <c r="AC917" s="213"/>
      <c r="AD917" s="213"/>
      <c r="AE917" s="213"/>
      <c r="AF917" s="213"/>
      <c r="AG917" s="213"/>
      <c r="AH917" s="213"/>
      <c r="AI917" s="213"/>
      <c r="AJ917" s="213"/>
      <c r="AK917" s="213"/>
      <c r="AL917" s="213"/>
      <c r="AM917" s="213"/>
      <c r="AN917" s="300"/>
      <c r="AO917" s="301"/>
      <c r="AP917" s="285"/>
      <c r="AQ917" s="258"/>
      <c r="AR917" s="258"/>
    </row>
    <row r="918" spans="10:44" s="48" customFormat="1" ht="0.75" customHeight="1">
      <c r="J918" s="213"/>
      <c r="K918" s="213"/>
      <c r="L918" s="213"/>
      <c r="M918" s="213"/>
      <c r="N918" s="213"/>
      <c r="O918" s="213"/>
      <c r="P918" s="213"/>
      <c r="Q918" s="213"/>
      <c r="R918" s="213"/>
      <c r="S918" s="213"/>
      <c r="T918" s="213"/>
      <c r="U918" s="213"/>
      <c r="V918" s="213"/>
      <c r="W918" s="213"/>
      <c r="X918" s="213"/>
      <c r="Y918" s="213"/>
      <c r="Z918" s="213"/>
      <c r="AA918" s="213"/>
      <c r="AB918" s="213"/>
      <c r="AC918" s="213"/>
      <c r="AD918" s="213"/>
      <c r="AE918" s="213"/>
      <c r="AF918" s="213"/>
      <c r="AG918" s="213"/>
      <c r="AH918" s="213"/>
      <c r="AI918" s="213"/>
      <c r="AJ918" s="213"/>
      <c r="AK918" s="213"/>
      <c r="AL918" s="213"/>
      <c r="AM918" s="213"/>
      <c r="AN918" s="492" t="str">
        <f>IF(TEMPLATE_CLAIM="P","30.1","")</f>
        <v/>
      </c>
      <c r="AO918" s="493" t="str">
        <f>IF(TEMPLATE_CLAIM="P","Базовый уровень операционных расходов, тыс.руб.","")</f>
        <v/>
      </c>
      <c r="AP918" s="254"/>
      <c r="AQ918" s="258"/>
      <c r="AR918" s="258"/>
    </row>
    <row r="919" spans="10:44" s="48" customFormat="1" ht="0.75" customHeight="1">
      <c r="J919" s="213"/>
      <c r="K919" s="213"/>
      <c r="L919" s="213"/>
      <c r="M919" s="213"/>
      <c r="N919" s="213"/>
      <c r="O919" s="213"/>
      <c r="P919" s="213"/>
      <c r="Q919" s="213"/>
      <c r="R919" s="213"/>
      <c r="S919" s="213"/>
      <c r="T919" s="213"/>
      <c r="U919" s="213"/>
      <c r="V919" s="213"/>
      <c r="W919" s="213"/>
      <c r="X919" s="213"/>
      <c r="Y919" s="213"/>
      <c r="Z919" s="213"/>
      <c r="AA919" s="213"/>
      <c r="AB919" s="213"/>
      <c r="AC919" s="213"/>
      <c r="AD919" s="213"/>
      <c r="AE919" s="213"/>
      <c r="AF919" s="213"/>
      <c r="AG919" s="213"/>
      <c r="AH919" s="213"/>
      <c r="AI919" s="213"/>
      <c r="AJ919" s="213"/>
      <c r="AK919" s="213"/>
      <c r="AL919" s="213"/>
      <c r="AM919" s="213"/>
      <c r="AN919" s="492" t="str">
        <f>IF(TEMPLATE_CLAIM="P","30.2","")</f>
        <v/>
      </c>
      <c r="AO919" s="493" t="str">
        <f>IF(TEMPLATE_CLAIM="P","Индекс эффективности операционных расходов, %","")</f>
        <v/>
      </c>
      <c r="AP919" s="254"/>
      <c r="AQ919" s="258"/>
      <c r="AR919" s="258"/>
    </row>
    <row r="920" spans="10:44" s="48" customFormat="1" ht="0.75" customHeight="1">
      <c r="J920" s="213"/>
      <c r="K920" s="213"/>
      <c r="L920" s="213"/>
      <c r="M920" s="213"/>
      <c r="N920" s="213"/>
      <c r="O920" s="213"/>
      <c r="P920" s="213"/>
      <c r="Q920" s="213"/>
      <c r="R920" s="213"/>
      <c r="S920" s="213"/>
      <c r="T920" s="213"/>
      <c r="U920" s="213"/>
      <c r="V920" s="213"/>
      <c r="W920" s="213"/>
      <c r="X920" s="213"/>
      <c r="Y920" s="213"/>
      <c r="Z920" s="213"/>
      <c r="AA920" s="213"/>
      <c r="AB920" s="213"/>
      <c r="AC920" s="213"/>
      <c r="AD920" s="213"/>
      <c r="AE920" s="213"/>
      <c r="AF920" s="213"/>
      <c r="AG920" s="213"/>
      <c r="AH920" s="213"/>
      <c r="AI920" s="213"/>
      <c r="AJ920" s="213"/>
      <c r="AK920" s="213"/>
      <c r="AL920" s="213"/>
      <c r="AM920" s="213"/>
      <c r="AN920" s="492" t="str">
        <f>IF(TEMPLATE_CLAIM="P","30.3","")</f>
        <v/>
      </c>
      <c r="AO920" s="493" t="str">
        <f>IF(TEMPLATE_CLAIM="P","Размер инвестированного капитала, тыс.руб.","")</f>
        <v/>
      </c>
      <c r="AP920" s="254"/>
      <c r="AQ920" s="258"/>
      <c r="AR920" s="258"/>
    </row>
    <row r="921" spans="10:44" s="48" customFormat="1" ht="0.75" customHeight="1">
      <c r="J921" s="213"/>
      <c r="K921" s="213"/>
      <c r="L921" s="213"/>
      <c r="M921" s="213"/>
      <c r="N921" s="213"/>
      <c r="O921" s="213"/>
      <c r="P921" s="213"/>
      <c r="Q921" s="213"/>
      <c r="R921" s="213"/>
      <c r="S921" s="213"/>
      <c r="T921" s="213"/>
      <c r="U921" s="213"/>
      <c r="V921" s="213"/>
      <c r="W921" s="213"/>
      <c r="X921" s="213"/>
      <c r="Y921" s="213"/>
      <c r="Z921" s="213"/>
      <c r="AA921" s="213"/>
      <c r="AB921" s="213"/>
      <c r="AC921" s="213"/>
      <c r="AD921" s="213"/>
      <c r="AE921" s="213"/>
      <c r="AF921" s="213"/>
      <c r="AG921" s="213"/>
      <c r="AH921" s="213"/>
      <c r="AI921" s="213"/>
      <c r="AJ921" s="213"/>
      <c r="AK921" s="213"/>
      <c r="AL921" s="213"/>
      <c r="AM921" s="213"/>
      <c r="AN921" s="492" t="str">
        <f>IF(TEMPLATE_CLAIM="P","30.4","")</f>
        <v/>
      </c>
      <c r="AO921" s="493" t="str">
        <f>IF(TEMPLATE_CLAIM="P","Чистый оборотный капитал, тыс.руб.","")</f>
        <v/>
      </c>
      <c r="AP921" s="254"/>
      <c r="AQ921" s="258"/>
      <c r="AR921" s="258"/>
    </row>
    <row r="922" spans="10:44" s="48" customFormat="1" ht="0.75" customHeight="1">
      <c r="J922" s="213"/>
      <c r="K922" s="213"/>
      <c r="L922" s="213"/>
      <c r="M922" s="213"/>
      <c r="N922" s="213"/>
      <c r="O922" s="213"/>
      <c r="P922" s="213"/>
      <c r="Q922" s="213"/>
      <c r="R922" s="213"/>
      <c r="S922" s="213"/>
      <c r="T922" s="213"/>
      <c r="U922" s="213"/>
      <c r="V922" s="213"/>
      <c r="W922" s="213"/>
      <c r="X922" s="213"/>
      <c r="Y922" s="213"/>
      <c r="Z922" s="213"/>
      <c r="AA922" s="213"/>
      <c r="AB922" s="213"/>
      <c r="AC922" s="213"/>
      <c r="AD922" s="213"/>
      <c r="AE922" s="213"/>
      <c r="AF922" s="213"/>
      <c r="AG922" s="213"/>
      <c r="AH922" s="213"/>
      <c r="AI922" s="213"/>
      <c r="AJ922" s="213"/>
      <c r="AK922" s="213"/>
      <c r="AL922" s="213"/>
      <c r="AM922" s="213"/>
      <c r="AN922" s="492" t="str">
        <f>IF(TEMPLATE_CLAIM="P","30.5","")</f>
        <v/>
      </c>
      <c r="AO922" s="493" t="str">
        <f>IF(TEMPLATE_CLAIM="P","Норма доходности на инвестированный капитал (НДi), %","")</f>
        <v/>
      </c>
      <c r="AP922" s="254"/>
      <c r="AQ922" s="258"/>
      <c r="AR922" s="258"/>
    </row>
    <row r="923" spans="10:44" s="48" customFormat="1" ht="0.75" customHeight="1">
      <c r="J923" s="213"/>
      <c r="K923" s="213"/>
      <c r="L923" s="213"/>
      <c r="M923" s="213"/>
      <c r="N923" s="213"/>
      <c r="O923" s="213"/>
      <c r="P923" s="213"/>
      <c r="Q923" s="213"/>
      <c r="R923" s="213"/>
      <c r="S923" s="213"/>
      <c r="T923" s="213"/>
      <c r="U923" s="213"/>
      <c r="V923" s="213"/>
      <c r="W923" s="213"/>
      <c r="X923" s="213"/>
      <c r="Y923" s="213"/>
      <c r="Z923" s="213"/>
      <c r="AA923" s="213"/>
      <c r="AB923" s="213"/>
      <c r="AC923" s="213"/>
      <c r="AD923" s="213"/>
      <c r="AE923" s="213"/>
      <c r="AF923" s="213"/>
      <c r="AG923" s="213"/>
      <c r="AH923" s="213"/>
      <c r="AI923" s="213"/>
      <c r="AJ923" s="213"/>
      <c r="AK923" s="213"/>
      <c r="AL923" s="213"/>
      <c r="AM923" s="213"/>
      <c r="AN923" s="492" t="str">
        <f>IF(TEMPLATE_CLAIM="P","30.6","")</f>
        <v/>
      </c>
      <c r="AO923" s="493" t="str">
        <f>IF(TEMPLATE_CLAIM="P","Норма доходности (НДi), %","")</f>
        <v/>
      </c>
      <c r="AP923" s="254"/>
      <c r="AQ923" s="258"/>
      <c r="AR923" s="258"/>
    </row>
    <row r="924" spans="10:44" s="48" customFormat="1" ht="0.75" customHeight="1">
      <c r="J924" s="213"/>
      <c r="K924" s="213"/>
      <c r="L924" s="213"/>
      <c r="M924" s="213"/>
      <c r="N924" s="213"/>
      <c r="O924" s="213"/>
      <c r="P924" s="213"/>
      <c r="Q924" s="213"/>
      <c r="R924" s="213"/>
      <c r="S924" s="213"/>
      <c r="T924" s="213"/>
      <c r="U924" s="213"/>
      <c r="V924" s="213"/>
      <c r="W924" s="213"/>
      <c r="X924" s="213"/>
      <c r="Y924" s="213"/>
      <c r="Z924" s="213"/>
      <c r="AA924" s="213"/>
      <c r="AB924" s="213"/>
      <c r="AC924" s="213"/>
      <c r="AD924" s="213"/>
      <c r="AE924" s="213"/>
      <c r="AF924" s="213"/>
      <c r="AG924" s="213"/>
      <c r="AH924" s="213"/>
      <c r="AI924" s="213"/>
      <c r="AJ924" s="213"/>
      <c r="AK924" s="213"/>
      <c r="AL924" s="213"/>
      <c r="AM924" s="213"/>
      <c r="AN924" s="492" t="str">
        <f>IF(TEMPLATE_CLAIM="P","30.7","")</f>
        <v/>
      </c>
      <c r="AO924" s="493" t="str">
        <f>IF(TEMPLATE_CLAIM="P","Срок возврата инвестированного капитала, лет","")</f>
        <v/>
      </c>
      <c r="AP924" s="254"/>
      <c r="AQ924" s="258"/>
      <c r="AR924" s="258"/>
    </row>
    <row r="925" spans="10:44" s="48" customFormat="1" ht="0.75" customHeight="1">
      <c r="J925" s="213"/>
      <c r="K925" s="213"/>
      <c r="L925" s="213"/>
      <c r="M925" s="213"/>
      <c r="N925" s="213"/>
      <c r="O925" s="213"/>
      <c r="P925" s="213"/>
      <c r="Q925" s="213"/>
      <c r="R925" s="213"/>
      <c r="S925" s="213"/>
      <c r="T925" s="213"/>
      <c r="U925" s="213"/>
      <c r="V925" s="213"/>
      <c r="W925" s="213"/>
      <c r="X925" s="213"/>
      <c r="Y925" s="213"/>
      <c r="Z925" s="213"/>
      <c r="AA925" s="213"/>
      <c r="AB925" s="213"/>
      <c r="AC925" s="213"/>
      <c r="AD925" s="213"/>
      <c r="AE925" s="213"/>
      <c r="AF925" s="213"/>
      <c r="AG925" s="213"/>
      <c r="AH925" s="213"/>
      <c r="AI925" s="213"/>
      <c r="AJ925" s="213"/>
      <c r="AK925" s="213"/>
      <c r="AL925" s="213"/>
      <c r="AM925" s="213"/>
      <c r="AN925" s="492" t="str">
        <f>IF(TEMPLATE_CLAIM="P","30.8","")</f>
        <v/>
      </c>
      <c r="AO925" s="494" t="str">
        <f>IF(TEMPLATE_CLAIM="P","Уровень надежности и качества реализуемых товаров (услуг)","")</f>
        <v/>
      </c>
      <c r="AP925" s="254"/>
      <c r="AQ925" s="258"/>
      <c r="AR925" s="258"/>
    </row>
    <row r="926" spans="10:44" s="48" customFormat="1" ht="12" hidden="1" customHeight="1">
      <c r="J926" s="213"/>
      <c r="K926" s="213"/>
      <c r="L926" s="213"/>
      <c r="M926" s="213"/>
      <c r="N926" s="213"/>
      <c r="O926" s="213"/>
      <c r="P926" s="213"/>
      <c r="Q926" s="213"/>
      <c r="R926" s="213"/>
      <c r="S926" s="213"/>
      <c r="T926" s="213"/>
      <c r="U926" s="213"/>
      <c r="V926" s="213"/>
      <c r="W926" s="213"/>
      <c r="X926" s="213"/>
      <c r="Y926" s="213"/>
      <c r="Z926" s="213"/>
      <c r="AA926" s="213"/>
      <c r="AB926" s="213"/>
      <c r="AC926" s="213"/>
      <c r="AD926" s="213"/>
      <c r="AE926" s="213"/>
      <c r="AF926" s="213"/>
      <c r="AG926" s="213"/>
      <c r="AH926" s="213"/>
      <c r="AI926" s="213"/>
      <c r="AJ926" s="213"/>
      <c r="AK926" s="213"/>
      <c r="AL926" s="213"/>
      <c r="AM926" s="213"/>
      <c r="AN926" s="302"/>
      <c r="AO926" s="303"/>
      <c r="AP926" s="285"/>
      <c r="AQ926" s="258"/>
      <c r="AR926" s="258"/>
    </row>
    <row r="927" spans="10:44" s="48" customFormat="1" ht="12" hidden="1" customHeight="1">
      <c r="J927" s="213"/>
      <c r="K927" s="213"/>
      <c r="L927" s="213"/>
      <c r="M927" s="213"/>
      <c r="N927" s="213"/>
      <c r="O927" s="213"/>
      <c r="P927" s="213"/>
      <c r="Q927" s="213"/>
      <c r="R927" s="213"/>
      <c r="S927" s="213"/>
      <c r="T927" s="213"/>
      <c r="U927" s="213"/>
      <c r="V927" s="213"/>
      <c r="W927" s="213"/>
      <c r="X927" s="213"/>
      <c r="Y927" s="213"/>
      <c r="Z927" s="213"/>
      <c r="AA927" s="213"/>
      <c r="AB927" s="213"/>
      <c r="AC927" s="213"/>
      <c r="AD927" s="213"/>
      <c r="AE927" s="213"/>
      <c r="AF927" s="213"/>
      <c r="AG927" s="213"/>
      <c r="AH927" s="213"/>
      <c r="AI927" s="213"/>
      <c r="AJ927" s="213"/>
      <c r="AK927" s="213"/>
      <c r="AL927" s="213"/>
      <c r="AM927" s="213"/>
      <c r="AN927" s="302"/>
      <c r="AO927" s="303"/>
      <c r="AP927" s="285"/>
      <c r="AQ927" s="258"/>
      <c r="AR927" s="258"/>
    </row>
    <row r="928" spans="10:44" s="48" customFormat="1" ht="12" hidden="1" customHeight="1">
      <c r="J928" s="213"/>
      <c r="K928" s="213"/>
      <c r="L928" s="213"/>
      <c r="M928" s="213"/>
      <c r="N928" s="213"/>
      <c r="O928" s="213"/>
      <c r="P928" s="213"/>
      <c r="Q928" s="213"/>
      <c r="R928" s="213"/>
      <c r="S928" s="213"/>
      <c r="T928" s="213"/>
      <c r="U928" s="213"/>
      <c r="V928" s="213"/>
      <c r="W928" s="213"/>
      <c r="X928" s="213"/>
      <c r="Y928" s="213"/>
      <c r="Z928" s="213"/>
      <c r="AA928" s="213"/>
      <c r="AB928" s="213"/>
      <c r="AC928" s="213"/>
      <c r="AD928" s="213"/>
      <c r="AE928" s="213"/>
      <c r="AF928" s="213"/>
      <c r="AG928" s="213"/>
      <c r="AH928" s="213"/>
      <c r="AI928" s="213"/>
      <c r="AJ928" s="213"/>
      <c r="AK928" s="213"/>
      <c r="AL928" s="213"/>
      <c r="AM928" s="213"/>
      <c r="AN928" s="302"/>
      <c r="AO928" s="303"/>
      <c r="AP928" s="285"/>
      <c r="AQ928" s="258"/>
      <c r="AR928" s="258"/>
    </row>
    <row r="929" spans="10:44" s="48" customFormat="1" ht="12" hidden="1" customHeight="1">
      <c r="J929" s="213"/>
      <c r="K929" s="213"/>
      <c r="L929" s="213"/>
      <c r="M929" s="213"/>
      <c r="N929" s="213"/>
      <c r="O929" s="213"/>
      <c r="P929" s="213"/>
      <c r="Q929" s="213"/>
      <c r="R929" s="213"/>
      <c r="S929" s="213"/>
      <c r="T929" s="213"/>
      <c r="U929" s="213"/>
      <c r="V929" s="213"/>
      <c r="W929" s="213"/>
      <c r="X929" s="213"/>
      <c r="Y929" s="213"/>
      <c r="Z929" s="213"/>
      <c r="AA929" s="213"/>
      <c r="AB929" s="213"/>
      <c r="AC929" s="213"/>
      <c r="AD929" s="213"/>
      <c r="AE929" s="213"/>
      <c r="AF929" s="213"/>
      <c r="AG929" s="213"/>
      <c r="AH929" s="213"/>
      <c r="AI929" s="213"/>
      <c r="AJ929" s="213"/>
      <c r="AK929" s="213"/>
      <c r="AL929" s="213"/>
      <c r="AM929" s="213"/>
      <c r="AN929" s="302"/>
      <c r="AO929" s="303"/>
      <c r="AP929" s="285"/>
      <c r="AQ929" s="258"/>
      <c r="AR929" s="258"/>
    </row>
    <row r="930" spans="10:44" s="48" customFormat="1" ht="12" hidden="1" customHeight="1">
      <c r="J930" s="213"/>
      <c r="K930" s="213"/>
      <c r="L930" s="213"/>
      <c r="M930" s="213"/>
      <c r="N930" s="213"/>
      <c r="O930" s="213"/>
      <c r="P930" s="213"/>
      <c r="Q930" s="213"/>
      <c r="R930" s="213"/>
      <c r="S930" s="213"/>
      <c r="T930" s="213"/>
      <c r="U930" s="213"/>
      <c r="V930" s="213"/>
      <c r="W930" s="213"/>
      <c r="X930" s="213"/>
      <c r="Y930" s="213"/>
      <c r="Z930" s="213"/>
      <c r="AA930" s="213"/>
      <c r="AB930" s="213"/>
      <c r="AC930" s="213"/>
      <c r="AD930" s="213"/>
      <c r="AE930" s="213"/>
      <c r="AF930" s="213"/>
      <c r="AG930" s="213"/>
      <c r="AH930" s="213"/>
      <c r="AI930" s="213"/>
      <c r="AJ930" s="213"/>
      <c r="AK930" s="213"/>
      <c r="AL930" s="213"/>
      <c r="AM930" s="213"/>
      <c r="AN930" s="302"/>
      <c r="AO930" s="303"/>
      <c r="AP930" s="285"/>
      <c r="AQ930" s="258"/>
      <c r="AR930" s="258"/>
    </row>
    <row r="931" spans="10:44" s="48" customFormat="1" ht="12" hidden="1" customHeight="1">
      <c r="J931" s="213"/>
      <c r="K931" s="213"/>
      <c r="L931" s="213"/>
      <c r="M931" s="213"/>
      <c r="N931" s="213"/>
      <c r="O931" s="213"/>
      <c r="P931" s="213"/>
      <c r="Q931" s="213"/>
      <c r="R931" s="213"/>
      <c r="S931" s="213"/>
      <c r="T931" s="213"/>
      <c r="U931" s="213"/>
      <c r="V931" s="213"/>
      <c r="W931" s="213"/>
      <c r="X931" s="213"/>
      <c r="Y931" s="213"/>
      <c r="Z931" s="213"/>
      <c r="AA931" s="213"/>
      <c r="AB931" s="213"/>
      <c r="AC931" s="213"/>
      <c r="AD931" s="213"/>
      <c r="AE931" s="213"/>
      <c r="AF931" s="213"/>
      <c r="AG931" s="213"/>
      <c r="AH931" s="213"/>
      <c r="AI931" s="213"/>
      <c r="AJ931" s="213"/>
      <c r="AK931" s="213"/>
      <c r="AL931" s="213"/>
      <c r="AM931" s="213"/>
      <c r="AN931" s="302"/>
      <c r="AO931" s="303"/>
      <c r="AP931" s="285"/>
      <c r="AQ931" s="258"/>
      <c r="AR931" s="258"/>
    </row>
    <row r="932" spans="10:44" s="48" customFormat="1" ht="12" hidden="1" customHeight="1">
      <c r="J932" s="213"/>
      <c r="K932" s="213"/>
      <c r="L932" s="213"/>
      <c r="M932" s="213"/>
      <c r="N932" s="213"/>
      <c r="O932" s="213"/>
      <c r="P932" s="213"/>
      <c r="Q932" s="213"/>
      <c r="R932" s="213"/>
      <c r="S932" s="213"/>
      <c r="T932" s="213"/>
      <c r="U932" s="213"/>
      <c r="V932" s="213"/>
      <c r="W932" s="213"/>
      <c r="X932" s="213"/>
      <c r="Y932" s="213"/>
      <c r="Z932" s="213"/>
      <c r="AA932" s="213"/>
      <c r="AB932" s="213"/>
      <c r="AC932" s="213"/>
      <c r="AD932" s="213"/>
      <c r="AE932" s="213"/>
      <c r="AF932" s="213"/>
      <c r="AG932" s="213"/>
      <c r="AH932" s="213"/>
      <c r="AI932" s="213"/>
      <c r="AJ932" s="213"/>
      <c r="AK932" s="213"/>
      <c r="AL932" s="213"/>
      <c r="AM932" s="213"/>
      <c r="AN932" s="302"/>
      <c r="AO932" s="303"/>
      <c r="AP932" s="285"/>
      <c r="AQ932" s="258"/>
      <c r="AR932" s="258"/>
    </row>
    <row r="933" spans="10:44" s="48" customFormat="1" ht="12" hidden="1" customHeight="1">
      <c r="J933" s="213"/>
      <c r="K933" s="213"/>
      <c r="L933" s="213"/>
      <c r="M933" s="213"/>
      <c r="N933" s="213"/>
      <c r="O933" s="213"/>
      <c r="P933" s="213"/>
      <c r="Q933" s="213"/>
      <c r="R933" s="213"/>
      <c r="S933" s="213"/>
      <c r="T933" s="213"/>
      <c r="U933" s="213"/>
      <c r="V933" s="213"/>
      <c r="W933" s="213"/>
      <c r="X933" s="213"/>
      <c r="Y933" s="213"/>
      <c r="Z933" s="213"/>
      <c r="AA933" s="213"/>
      <c r="AB933" s="213"/>
      <c r="AC933" s="213"/>
      <c r="AD933" s="213"/>
      <c r="AE933" s="213"/>
      <c r="AF933" s="213"/>
      <c r="AG933" s="213"/>
      <c r="AH933" s="213"/>
      <c r="AI933" s="213"/>
      <c r="AJ933" s="213"/>
      <c r="AK933" s="213"/>
      <c r="AL933" s="213"/>
      <c r="AM933" s="213"/>
      <c r="AN933" s="302"/>
      <c r="AO933" s="303"/>
      <c r="AP933" s="285"/>
      <c r="AQ933" s="258"/>
      <c r="AR933" s="258"/>
    </row>
    <row r="934" spans="10:44" s="48" customFormat="1" ht="12" hidden="1" customHeight="1">
      <c r="J934" s="213"/>
      <c r="K934" s="213"/>
      <c r="L934" s="213"/>
      <c r="M934" s="213"/>
      <c r="N934" s="213"/>
      <c r="O934" s="213"/>
      <c r="P934" s="213"/>
      <c r="Q934" s="213"/>
      <c r="R934" s="213"/>
      <c r="S934" s="213"/>
      <c r="T934" s="213"/>
      <c r="U934" s="213"/>
      <c r="V934" s="213"/>
      <c r="W934" s="213"/>
      <c r="X934" s="213"/>
      <c r="Y934" s="213"/>
      <c r="Z934" s="213"/>
      <c r="AA934" s="213"/>
      <c r="AB934" s="213"/>
      <c r="AC934" s="213"/>
      <c r="AD934" s="213"/>
      <c r="AE934" s="213"/>
      <c r="AF934" s="213"/>
      <c r="AG934" s="213"/>
      <c r="AH934" s="213"/>
      <c r="AI934" s="213"/>
      <c r="AJ934" s="213"/>
      <c r="AK934" s="213"/>
      <c r="AL934" s="213"/>
      <c r="AM934" s="213"/>
      <c r="AN934" s="302"/>
      <c r="AO934" s="303"/>
      <c r="AP934" s="285"/>
      <c r="AQ934" s="258"/>
      <c r="AR934" s="258"/>
    </row>
    <row r="935" spans="10:44" s="48" customFormat="1" ht="12" hidden="1" customHeight="1">
      <c r="J935" s="213"/>
      <c r="K935" s="213"/>
      <c r="L935" s="213"/>
      <c r="M935" s="213"/>
      <c r="N935" s="213"/>
      <c r="O935" s="213"/>
      <c r="P935" s="213"/>
      <c r="Q935" s="213"/>
      <c r="R935" s="213"/>
      <c r="S935" s="213"/>
      <c r="T935" s="213"/>
      <c r="U935" s="213"/>
      <c r="V935" s="213"/>
      <c r="W935" s="213"/>
      <c r="X935" s="213"/>
      <c r="Y935" s="213"/>
      <c r="Z935" s="213"/>
      <c r="AA935" s="213"/>
      <c r="AB935" s="213"/>
      <c r="AC935" s="213"/>
      <c r="AD935" s="213"/>
      <c r="AE935" s="213"/>
      <c r="AF935" s="213"/>
      <c r="AG935" s="213"/>
      <c r="AH935" s="213"/>
      <c r="AI935" s="213"/>
      <c r="AJ935" s="213"/>
      <c r="AK935" s="213"/>
      <c r="AL935" s="213"/>
      <c r="AM935" s="213"/>
      <c r="AN935" s="302"/>
      <c r="AO935" s="303"/>
      <c r="AP935" s="285"/>
      <c r="AQ935" s="258"/>
      <c r="AR935" s="258"/>
    </row>
    <row r="936" spans="10:44" s="48" customFormat="1" ht="12" hidden="1" customHeight="1">
      <c r="J936" s="213"/>
      <c r="K936" s="213"/>
      <c r="L936" s="213"/>
      <c r="M936" s="213"/>
      <c r="N936" s="213"/>
      <c r="O936" s="213"/>
      <c r="P936" s="213"/>
      <c r="Q936" s="213"/>
      <c r="R936" s="213"/>
      <c r="S936" s="213"/>
      <c r="T936" s="213"/>
      <c r="U936" s="213"/>
      <c r="V936" s="213"/>
      <c r="W936" s="213"/>
      <c r="X936" s="213"/>
      <c r="Y936" s="213"/>
      <c r="Z936" s="213"/>
      <c r="AA936" s="213"/>
      <c r="AB936" s="213"/>
      <c r="AC936" s="213"/>
      <c r="AD936" s="213"/>
      <c r="AE936" s="213"/>
      <c r="AF936" s="213"/>
      <c r="AG936" s="213"/>
      <c r="AH936" s="213"/>
      <c r="AI936" s="213"/>
      <c r="AJ936" s="213"/>
      <c r="AK936" s="213"/>
      <c r="AL936" s="213"/>
      <c r="AM936" s="213"/>
      <c r="AN936" s="302"/>
      <c r="AO936" s="303"/>
      <c r="AP936" s="285"/>
      <c r="AQ936" s="258"/>
      <c r="AR936" s="258"/>
    </row>
    <row r="937" spans="10:44" s="48" customFormat="1" ht="12" hidden="1" customHeight="1">
      <c r="J937" s="213"/>
      <c r="K937" s="213"/>
      <c r="L937" s="213"/>
      <c r="M937" s="213"/>
      <c r="N937" s="213"/>
      <c r="O937" s="213"/>
      <c r="P937" s="213"/>
      <c r="Q937" s="213"/>
      <c r="R937" s="213"/>
      <c r="S937" s="213"/>
      <c r="T937" s="213"/>
      <c r="U937" s="213"/>
      <c r="V937" s="213"/>
      <c r="W937" s="213"/>
      <c r="X937" s="213"/>
      <c r="Y937" s="213"/>
      <c r="Z937" s="213"/>
      <c r="AA937" s="213"/>
      <c r="AB937" s="213"/>
      <c r="AC937" s="213"/>
      <c r="AD937" s="213"/>
      <c r="AE937" s="213"/>
      <c r="AF937" s="213"/>
      <c r="AG937" s="213"/>
      <c r="AH937" s="213"/>
      <c r="AI937" s="213"/>
      <c r="AJ937" s="213"/>
      <c r="AK937" s="213"/>
      <c r="AL937" s="213"/>
      <c r="AM937" s="213"/>
      <c r="AN937" s="302"/>
      <c r="AO937" s="303"/>
      <c r="AP937" s="285"/>
      <c r="AQ937" s="258"/>
      <c r="AR937" s="258"/>
    </row>
    <row r="938" spans="10:44" s="48" customFormat="1" ht="12" hidden="1" customHeight="1">
      <c r="J938" s="213"/>
      <c r="K938" s="213"/>
      <c r="L938" s="213"/>
      <c r="M938" s="213"/>
      <c r="N938" s="213"/>
      <c r="O938" s="213"/>
      <c r="P938" s="213"/>
      <c r="Q938" s="213"/>
      <c r="R938" s="213"/>
      <c r="S938" s="213"/>
      <c r="T938" s="213"/>
      <c r="U938" s="213"/>
      <c r="V938" s="213"/>
      <c r="W938" s="213"/>
      <c r="X938" s="213"/>
      <c r="Y938" s="213"/>
      <c r="Z938" s="213"/>
      <c r="AA938" s="213"/>
      <c r="AB938" s="213"/>
      <c r="AC938" s="213"/>
      <c r="AD938" s="213"/>
      <c r="AE938" s="213"/>
      <c r="AF938" s="213"/>
      <c r="AG938" s="213"/>
      <c r="AH938" s="213"/>
      <c r="AI938" s="213"/>
      <c r="AJ938" s="213"/>
      <c r="AK938" s="213"/>
      <c r="AL938" s="213"/>
      <c r="AM938" s="213"/>
      <c r="AN938" s="302"/>
      <c r="AO938" s="303"/>
      <c r="AP938" s="285"/>
      <c r="AQ938" s="258"/>
      <c r="AR938" s="258"/>
    </row>
    <row r="939" spans="10:44" s="48" customFormat="1" ht="12" hidden="1" customHeight="1">
      <c r="J939" s="213"/>
      <c r="K939" s="213"/>
      <c r="L939" s="213"/>
      <c r="M939" s="213"/>
      <c r="N939" s="213"/>
      <c r="O939" s="213"/>
      <c r="P939" s="213"/>
      <c r="Q939" s="213"/>
      <c r="R939" s="213"/>
      <c r="S939" s="213"/>
      <c r="T939" s="213"/>
      <c r="U939" s="213"/>
      <c r="V939" s="213"/>
      <c r="W939" s="213"/>
      <c r="X939" s="213"/>
      <c r="Y939" s="213"/>
      <c r="Z939" s="213"/>
      <c r="AA939" s="213"/>
      <c r="AB939" s="213"/>
      <c r="AC939" s="213"/>
      <c r="AD939" s="213"/>
      <c r="AE939" s="213"/>
      <c r="AF939" s="213"/>
      <c r="AG939" s="213"/>
      <c r="AH939" s="213"/>
      <c r="AI939" s="213"/>
      <c r="AJ939" s="213"/>
      <c r="AK939" s="213"/>
      <c r="AL939" s="213"/>
      <c r="AM939" s="213"/>
      <c r="AN939" s="302"/>
      <c r="AO939" s="303"/>
      <c r="AP939" s="285"/>
      <c r="AQ939" s="258"/>
      <c r="AR939" s="258"/>
    </row>
    <row r="940" spans="10:44" s="48" customFormat="1" ht="12" hidden="1" customHeight="1">
      <c r="J940" s="213"/>
      <c r="K940" s="213"/>
      <c r="L940" s="213"/>
      <c r="M940" s="213"/>
      <c r="N940" s="213"/>
      <c r="O940" s="213"/>
      <c r="P940" s="213"/>
      <c r="Q940" s="213"/>
      <c r="R940" s="213"/>
      <c r="S940" s="213"/>
      <c r="T940" s="213"/>
      <c r="U940" s="213"/>
      <c r="V940" s="213"/>
      <c r="W940" s="213"/>
      <c r="X940" s="213"/>
      <c r="Y940" s="213"/>
      <c r="Z940" s="213"/>
      <c r="AA940" s="213"/>
      <c r="AB940" s="213"/>
      <c r="AC940" s="213"/>
      <c r="AD940" s="213"/>
      <c r="AE940" s="213"/>
      <c r="AF940" s="213"/>
      <c r="AG940" s="213"/>
      <c r="AH940" s="213"/>
      <c r="AI940" s="213"/>
      <c r="AJ940" s="213"/>
      <c r="AK940" s="213"/>
      <c r="AL940" s="213"/>
      <c r="AM940" s="213"/>
      <c r="AN940" s="302"/>
      <c r="AO940" s="303"/>
      <c r="AP940" s="285"/>
      <c r="AQ940" s="258"/>
      <c r="AR940" s="258"/>
    </row>
    <row r="941" spans="10:44" s="48" customFormat="1" ht="12" hidden="1" customHeight="1">
      <c r="J941" s="213"/>
      <c r="K941" s="213"/>
      <c r="L941" s="213"/>
      <c r="M941" s="213"/>
      <c r="N941" s="213"/>
      <c r="O941" s="213"/>
      <c r="P941" s="213"/>
      <c r="Q941" s="213"/>
      <c r="R941" s="213"/>
      <c r="S941" s="213"/>
      <c r="T941" s="213"/>
      <c r="U941" s="213"/>
      <c r="V941" s="213"/>
      <c r="W941" s="213"/>
      <c r="X941" s="213"/>
      <c r="Y941" s="213"/>
      <c r="Z941" s="213"/>
      <c r="AA941" s="213"/>
      <c r="AB941" s="213"/>
      <c r="AC941" s="213"/>
      <c r="AD941" s="213"/>
      <c r="AE941" s="213"/>
      <c r="AF941" s="213"/>
      <c r="AG941" s="213"/>
      <c r="AH941" s="213"/>
      <c r="AI941" s="213"/>
      <c r="AJ941" s="213"/>
      <c r="AK941" s="213"/>
      <c r="AL941" s="213"/>
      <c r="AM941" s="213"/>
      <c r="AN941" s="302"/>
      <c r="AO941" s="303"/>
      <c r="AP941" s="285"/>
      <c r="AQ941" s="258"/>
      <c r="AR941" s="258"/>
    </row>
    <row r="942" spans="10:44" s="48" customFormat="1" ht="12" hidden="1" customHeight="1">
      <c r="J942" s="213"/>
      <c r="K942" s="213"/>
      <c r="L942" s="213"/>
      <c r="M942" s="213"/>
      <c r="N942" s="213"/>
      <c r="O942" s="213"/>
      <c r="P942" s="213"/>
      <c r="Q942" s="213"/>
      <c r="R942" s="213"/>
      <c r="S942" s="213"/>
      <c r="T942" s="213"/>
      <c r="U942" s="213"/>
      <c r="V942" s="213"/>
      <c r="W942" s="213"/>
      <c r="X942" s="213"/>
      <c r="Y942" s="213"/>
      <c r="Z942" s="213"/>
      <c r="AA942" s="213"/>
      <c r="AB942" s="213"/>
      <c r="AC942" s="213"/>
      <c r="AD942" s="213"/>
      <c r="AE942" s="213"/>
      <c r="AF942" s="213"/>
      <c r="AG942" s="213"/>
      <c r="AH942" s="213"/>
      <c r="AI942" s="213"/>
      <c r="AJ942" s="213"/>
      <c r="AK942" s="213"/>
      <c r="AL942" s="213"/>
      <c r="AM942" s="213"/>
      <c r="AN942" s="302"/>
      <c r="AO942" s="303"/>
      <c r="AP942" s="285"/>
      <c r="AQ942" s="258"/>
      <c r="AR942" s="258"/>
    </row>
    <row r="943" spans="10:44" s="48" customFormat="1" ht="12" hidden="1" customHeight="1">
      <c r="J943" s="213"/>
      <c r="K943" s="213"/>
      <c r="L943" s="213"/>
      <c r="M943" s="213"/>
      <c r="N943" s="213"/>
      <c r="O943" s="213"/>
      <c r="P943" s="213"/>
      <c r="Q943" s="213"/>
      <c r="R943" s="213"/>
      <c r="S943" s="213"/>
      <c r="T943" s="213"/>
      <c r="U943" s="213"/>
      <c r="V943" s="213"/>
      <c r="W943" s="213"/>
      <c r="X943" s="213"/>
      <c r="Y943" s="213"/>
      <c r="Z943" s="213"/>
      <c r="AA943" s="213"/>
      <c r="AB943" s="213"/>
      <c r="AC943" s="213"/>
      <c r="AD943" s="213"/>
      <c r="AE943" s="213"/>
      <c r="AF943" s="213"/>
      <c r="AG943" s="213"/>
      <c r="AH943" s="213"/>
      <c r="AI943" s="213"/>
      <c r="AJ943" s="213"/>
      <c r="AK943" s="213"/>
      <c r="AL943" s="213"/>
      <c r="AM943" s="213"/>
      <c r="AN943" s="302"/>
      <c r="AO943" s="303"/>
      <c r="AP943" s="285"/>
      <c r="AQ943" s="258"/>
      <c r="AR943" s="258"/>
    </row>
    <row r="944" spans="10:44" s="48" customFormat="1" ht="12" hidden="1" customHeight="1">
      <c r="J944" s="213"/>
      <c r="K944" s="213"/>
      <c r="L944" s="213"/>
      <c r="M944" s="213"/>
      <c r="N944" s="213"/>
      <c r="O944" s="213"/>
      <c r="P944" s="213"/>
      <c r="Q944" s="213"/>
      <c r="R944" s="213"/>
      <c r="S944" s="213"/>
      <c r="T944" s="213"/>
      <c r="U944" s="213"/>
      <c r="V944" s="213"/>
      <c r="W944" s="213"/>
      <c r="X944" s="213"/>
      <c r="Y944" s="213"/>
      <c r="Z944" s="213"/>
      <c r="AA944" s="213"/>
      <c r="AB944" s="213"/>
      <c r="AC944" s="213"/>
      <c r="AD944" s="213"/>
      <c r="AE944" s="213"/>
      <c r="AF944" s="213"/>
      <c r="AG944" s="213"/>
      <c r="AH944" s="213"/>
      <c r="AI944" s="213"/>
      <c r="AJ944" s="213"/>
      <c r="AK944" s="213"/>
      <c r="AL944" s="213"/>
      <c r="AM944" s="213"/>
      <c r="AN944" s="302"/>
      <c r="AO944" s="303"/>
      <c r="AP944" s="285"/>
      <c r="AQ944" s="258"/>
      <c r="AR944" s="258"/>
    </row>
    <row r="945" spans="10:44" s="48" customFormat="1" ht="12" hidden="1" customHeight="1">
      <c r="J945" s="213"/>
      <c r="K945" s="213"/>
      <c r="L945" s="213"/>
      <c r="M945" s="213"/>
      <c r="N945" s="213"/>
      <c r="O945" s="213"/>
      <c r="P945" s="213"/>
      <c r="Q945" s="213"/>
      <c r="R945" s="213"/>
      <c r="S945" s="213"/>
      <c r="T945" s="213"/>
      <c r="U945" s="213"/>
      <c r="V945" s="213"/>
      <c r="W945" s="213"/>
      <c r="X945" s="213"/>
      <c r="Y945" s="213"/>
      <c r="Z945" s="213"/>
      <c r="AA945" s="213"/>
      <c r="AB945" s="213"/>
      <c r="AC945" s="213"/>
      <c r="AD945" s="213"/>
      <c r="AE945" s="213"/>
      <c r="AF945" s="213"/>
      <c r="AG945" s="213"/>
      <c r="AH945" s="213"/>
      <c r="AI945" s="213"/>
      <c r="AJ945" s="213"/>
      <c r="AK945" s="213"/>
      <c r="AL945" s="213"/>
      <c r="AM945" s="213"/>
      <c r="AN945" s="302"/>
      <c r="AO945" s="303"/>
      <c r="AP945" s="285"/>
      <c r="AQ945" s="258"/>
      <c r="AR945" s="258"/>
    </row>
    <row r="946" spans="10:44" s="48" customFormat="1" ht="12" hidden="1" customHeight="1">
      <c r="J946" s="213"/>
      <c r="K946" s="213"/>
      <c r="L946" s="213"/>
      <c r="M946" s="213"/>
      <c r="N946" s="213"/>
      <c r="O946" s="213"/>
      <c r="P946" s="213"/>
      <c r="Q946" s="213"/>
      <c r="R946" s="213"/>
      <c r="S946" s="213"/>
      <c r="T946" s="213"/>
      <c r="U946" s="213"/>
      <c r="V946" s="213"/>
      <c r="W946" s="213"/>
      <c r="X946" s="213"/>
      <c r="Y946" s="213"/>
      <c r="Z946" s="213"/>
      <c r="AA946" s="213"/>
      <c r="AB946" s="213"/>
      <c r="AC946" s="213"/>
      <c r="AD946" s="213"/>
      <c r="AE946" s="213"/>
      <c r="AF946" s="213"/>
      <c r="AG946" s="213"/>
      <c r="AH946" s="213"/>
      <c r="AI946" s="213"/>
      <c r="AJ946" s="213"/>
      <c r="AK946" s="213"/>
      <c r="AL946" s="213"/>
      <c r="AM946" s="213"/>
      <c r="AN946" s="302"/>
      <c r="AO946" s="303"/>
      <c r="AP946" s="285"/>
      <c r="AQ946" s="258"/>
      <c r="AR946" s="258"/>
    </row>
    <row r="947" spans="10:44" s="48" customFormat="1" ht="12" hidden="1" customHeight="1">
      <c r="J947" s="213"/>
      <c r="K947" s="213"/>
      <c r="L947" s="213"/>
      <c r="M947" s="213"/>
      <c r="N947" s="213"/>
      <c r="O947" s="213"/>
      <c r="P947" s="213"/>
      <c r="Q947" s="213"/>
      <c r="R947" s="213"/>
      <c r="S947" s="213"/>
      <c r="T947" s="213"/>
      <c r="U947" s="213"/>
      <c r="V947" s="213"/>
      <c r="W947" s="213"/>
      <c r="X947" s="213"/>
      <c r="Y947" s="213"/>
      <c r="Z947" s="213"/>
      <c r="AA947" s="213"/>
      <c r="AB947" s="213"/>
      <c r="AC947" s="213"/>
      <c r="AD947" s="213"/>
      <c r="AE947" s="213"/>
      <c r="AF947" s="213"/>
      <c r="AG947" s="213"/>
      <c r="AH947" s="213"/>
      <c r="AI947" s="213"/>
      <c r="AJ947" s="213"/>
      <c r="AK947" s="213"/>
      <c r="AL947" s="213"/>
      <c r="AM947" s="213"/>
      <c r="AN947" s="302"/>
      <c r="AO947" s="303"/>
      <c r="AP947" s="285"/>
      <c r="AQ947" s="258"/>
      <c r="AR947" s="258"/>
    </row>
    <row r="948" spans="10:44" s="48" customFormat="1" ht="12" hidden="1" customHeight="1">
      <c r="J948" s="213"/>
      <c r="K948" s="213"/>
      <c r="L948" s="213"/>
      <c r="M948" s="213"/>
      <c r="N948" s="213"/>
      <c r="O948" s="213"/>
      <c r="P948" s="213"/>
      <c r="Q948" s="213"/>
      <c r="R948" s="213"/>
      <c r="S948" s="213"/>
      <c r="T948" s="213"/>
      <c r="U948" s="213"/>
      <c r="V948" s="213"/>
      <c r="W948" s="213"/>
      <c r="X948" s="213"/>
      <c r="Y948" s="213"/>
      <c r="Z948" s="213"/>
      <c r="AA948" s="213"/>
      <c r="AB948" s="213"/>
      <c r="AC948" s="213"/>
      <c r="AD948" s="213"/>
      <c r="AE948" s="213"/>
      <c r="AF948" s="213"/>
      <c r="AG948" s="213"/>
      <c r="AH948" s="213"/>
      <c r="AI948" s="213"/>
      <c r="AJ948" s="213"/>
      <c r="AK948" s="213"/>
      <c r="AL948" s="213"/>
      <c r="AM948" s="213"/>
      <c r="AN948" s="302"/>
      <c r="AO948" s="303"/>
      <c r="AP948" s="285"/>
      <c r="AQ948" s="258"/>
      <c r="AR948" s="258"/>
    </row>
    <row r="949" spans="10:44" s="48" customFormat="1" ht="12" hidden="1" customHeight="1">
      <c r="J949" s="213"/>
      <c r="K949" s="213"/>
      <c r="L949" s="213"/>
      <c r="M949" s="213"/>
      <c r="N949" s="213"/>
      <c r="O949" s="213"/>
      <c r="P949" s="213"/>
      <c r="Q949" s="213"/>
      <c r="R949" s="213"/>
      <c r="S949" s="213"/>
      <c r="T949" s="213"/>
      <c r="U949" s="213"/>
      <c r="V949" s="213"/>
      <c r="W949" s="213"/>
      <c r="X949" s="213"/>
      <c r="Y949" s="213"/>
      <c r="Z949" s="213"/>
      <c r="AA949" s="213"/>
      <c r="AB949" s="213"/>
      <c r="AC949" s="213"/>
      <c r="AD949" s="213"/>
      <c r="AE949" s="213"/>
      <c r="AF949" s="213"/>
      <c r="AG949" s="213"/>
      <c r="AH949" s="213"/>
      <c r="AI949" s="213"/>
      <c r="AJ949" s="213"/>
      <c r="AK949" s="213"/>
      <c r="AL949" s="213"/>
      <c r="AM949" s="213"/>
      <c r="AN949" s="302"/>
      <c r="AO949" s="303"/>
      <c r="AP949" s="285"/>
      <c r="AQ949" s="258"/>
      <c r="AR949" s="258"/>
    </row>
    <row r="950" spans="10:44" s="48" customFormat="1" ht="12" hidden="1" customHeight="1">
      <c r="J950" s="213"/>
      <c r="K950" s="213"/>
      <c r="L950" s="213"/>
      <c r="M950" s="213"/>
      <c r="N950" s="213"/>
      <c r="O950" s="213"/>
      <c r="P950" s="213"/>
      <c r="Q950" s="213"/>
      <c r="R950" s="213"/>
      <c r="S950" s="213"/>
      <c r="T950" s="213"/>
      <c r="U950" s="213"/>
      <c r="V950" s="213"/>
      <c r="W950" s="213"/>
      <c r="X950" s="213"/>
      <c r="Y950" s="213"/>
      <c r="Z950" s="213"/>
      <c r="AA950" s="213"/>
      <c r="AB950" s="213"/>
      <c r="AC950" s="213"/>
      <c r="AD950" s="213"/>
      <c r="AE950" s="213"/>
      <c r="AF950" s="213"/>
      <c r="AG950" s="213"/>
      <c r="AH950" s="213"/>
      <c r="AI950" s="213"/>
      <c r="AJ950" s="213"/>
      <c r="AK950" s="213"/>
      <c r="AL950" s="213"/>
      <c r="AM950" s="213"/>
      <c r="AN950" s="302"/>
      <c r="AO950" s="303"/>
      <c r="AP950" s="285"/>
      <c r="AQ950" s="258"/>
      <c r="AR950" s="258"/>
    </row>
    <row r="951" spans="10:44" s="48" customFormat="1" ht="12" hidden="1" customHeight="1">
      <c r="J951" s="213"/>
      <c r="K951" s="213"/>
      <c r="L951" s="213"/>
      <c r="M951" s="213"/>
      <c r="N951" s="213"/>
      <c r="O951" s="213"/>
      <c r="P951" s="213"/>
      <c r="Q951" s="213"/>
      <c r="R951" s="213"/>
      <c r="S951" s="213"/>
      <c r="T951" s="213"/>
      <c r="U951" s="213"/>
      <c r="V951" s="213"/>
      <c r="W951" s="213"/>
      <c r="X951" s="213"/>
      <c r="Y951" s="213"/>
      <c r="Z951" s="213"/>
      <c r="AA951" s="213"/>
      <c r="AB951" s="213"/>
      <c r="AC951" s="213"/>
      <c r="AD951" s="213"/>
      <c r="AE951" s="213"/>
      <c r="AF951" s="213"/>
      <c r="AG951" s="213"/>
      <c r="AH951" s="213"/>
      <c r="AI951" s="213"/>
      <c r="AJ951" s="213"/>
      <c r="AK951" s="213"/>
      <c r="AL951" s="213"/>
      <c r="AM951" s="213"/>
      <c r="AN951" s="302"/>
      <c r="AO951" s="303"/>
      <c r="AP951" s="285"/>
      <c r="AQ951" s="258"/>
      <c r="AR951" s="258"/>
    </row>
    <row r="952" spans="10:44" s="48" customFormat="1" ht="12" hidden="1" customHeight="1">
      <c r="J952" s="213"/>
      <c r="K952" s="213"/>
      <c r="L952" s="213"/>
      <c r="M952" s="213"/>
      <c r="N952" s="213"/>
      <c r="O952" s="213"/>
      <c r="P952" s="213"/>
      <c r="Q952" s="213"/>
      <c r="R952" s="213"/>
      <c r="S952" s="213"/>
      <c r="T952" s="213"/>
      <c r="U952" s="213"/>
      <c r="V952" s="213"/>
      <c r="W952" s="213"/>
      <c r="X952" s="213"/>
      <c r="Y952" s="213"/>
      <c r="Z952" s="213"/>
      <c r="AA952" s="213"/>
      <c r="AB952" s="213"/>
      <c r="AC952" s="213"/>
      <c r="AD952" s="213"/>
      <c r="AE952" s="213"/>
      <c r="AF952" s="213"/>
      <c r="AG952" s="213"/>
      <c r="AH952" s="213"/>
      <c r="AI952" s="213"/>
      <c r="AJ952" s="213"/>
      <c r="AK952" s="213"/>
      <c r="AL952" s="213"/>
      <c r="AM952" s="213"/>
      <c r="AN952" s="302"/>
      <c r="AO952" s="303"/>
      <c r="AP952" s="285"/>
      <c r="AQ952" s="258"/>
      <c r="AR952" s="258"/>
    </row>
    <row r="953" spans="10:44" s="48" customFormat="1" ht="12" hidden="1" customHeight="1">
      <c r="J953" s="213"/>
      <c r="K953" s="213"/>
      <c r="L953" s="213"/>
      <c r="M953" s="213"/>
      <c r="N953" s="213"/>
      <c r="O953" s="213"/>
      <c r="P953" s="213"/>
      <c r="Q953" s="213"/>
      <c r="R953" s="213"/>
      <c r="S953" s="213"/>
      <c r="T953" s="213"/>
      <c r="U953" s="213"/>
      <c r="V953" s="213"/>
      <c r="W953" s="213"/>
      <c r="X953" s="213"/>
      <c r="Y953" s="213"/>
      <c r="Z953" s="213"/>
      <c r="AA953" s="213"/>
      <c r="AB953" s="213"/>
      <c r="AC953" s="213"/>
      <c r="AD953" s="213"/>
      <c r="AE953" s="213"/>
      <c r="AF953" s="213"/>
      <c r="AG953" s="213"/>
      <c r="AH953" s="213"/>
      <c r="AI953" s="213"/>
      <c r="AJ953" s="213"/>
      <c r="AK953" s="213"/>
      <c r="AL953" s="213"/>
      <c r="AM953" s="213"/>
      <c r="AN953" s="302"/>
      <c r="AO953" s="303"/>
      <c r="AP953" s="285"/>
      <c r="AQ953" s="258"/>
      <c r="AR953" s="258"/>
    </row>
    <row r="954" spans="10:44" s="48" customFormat="1" ht="12" hidden="1" customHeight="1">
      <c r="J954" s="213"/>
      <c r="K954" s="213"/>
      <c r="L954" s="213"/>
      <c r="M954" s="213"/>
      <c r="N954" s="213"/>
      <c r="O954" s="213"/>
      <c r="P954" s="213"/>
      <c r="Q954" s="213"/>
      <c r="R954" s="213"/>
      <c r="S954" s="213"/>
      <c r="T954" s="213"/>
      <c r="U954" s="213"/>
      <c r="V954" s="213"/>
      <c r="W954" s="213"/>
      <c r="X954" s="213"/>
      <c r="Y954" s="213"/>
      <c r="Z954" s="213"/>
      <c r="AA954" s="213"/>
      <c r="AB954" s="213"/>
      <c r="AC954" s="213"/>
      <c r="AD954" s="213"/>
      <c r="AE954" s="213"/>
      <c r="AF954" s="213"/>
      <c r="AG954" s="213"/>
      <c r="AH954" s="213"/>
      <c r="AI954" s="213"/>
      <c r="AJ954" s="213"/>
      <c r="AK954" s="213"/>
      <c r="AL954" s="213"/>
      <c r="AM954" s="213"/>
      <c r="AN954" s="302"/>
      <c r="AO954" s="303"/>
      <c r="AP954" s="285"/>
      <c r="AQ954" s="258"/>
      <c r="AR954" s="258"/>
    </row>
    <row r="955" spans="10:44" s="48" customFormat="1" ht="12" hidden="1" customHeight="1">
      <c r="J955" s="213"/>
      <c r="K955" s="213"/>
      <c r="L955" s="213"/>
      <c r="M955" s="213"/>
      <c r="N955" s="213"/>
      <c r="O955" s="213"/>
      <c r="P955" s="213"/>
      <c r="Q955" s="213"/>
      <c r="R955" s="213"/>
      <c r="S955" s="213"/>
      <c r="T955" s="213"/>
      <c r="U955" s="213"/>
      <c r="V955" s="213"/>
      <c r="W955" s="213"/>
      <c r="X955" s="213"/>
      <c r="Y955" s="213"/>
      <c r="Z955" s="213"/>
      <c r="AA955" s="213"/>
      <c r="AB955" s="213"/>
      <c r="AC955" s="213"/>
      <c r="AD955" s="213"/>
      <c r="AE955" s="213"/>
      <c r="AF955" s="213"/>
      <c r="AG955" s="213"/>
      <c r="AH955" s="213"/>
      <c r="AI955" s="213"/>
      <c r="AJ955" s="213"/>
      <c r="AK955" s="213"/>
      <c r="AL955" s="213"/>
      <c r="AM955" s="213"/>
      <c r="AN955" s="302"/>
      <c r="AO955" s="303"/>
      <c r="AP955" s="285"/>
      <c r="AQ955" s="258"/>
      <c r="AR955" s="258"/>
    </row>
    <row r="956" spans="10:44" s="48" customFormat="1" ht="12" hidden="1" customHeight="1">
      <c r="J956" s="213"/>
      <c r="K956" s="213"/>
      <c r="L956" s="213"/>
      <c r="M956" s="213"/>
      <c r="N956" s="213"/>
      <c r="O956" s="213"/>
      <c r="P956" s="213"/>
      <c r="Q956" s="213"/>
      <c r="R956" s="213"/>
      <c r="S956" s="213"/>
      <c r="T956" s="213"/>
      <c r="U956" s="213"/>
      <c r="V956" s="213"/>
      <c r="W956" s="213"/>
      <c r="X956" s="213"/>
      <c r="Y956" s="213"/>
      <c r="Z956" s="213"/>
      <c r="AA956" s="213"/>
      <c r="AB956" s="213"/>
      <c r="AC956" s="213"/>
      <c r="AD956" s="213"/>
      <c r="AE956" s="213"/>
      <c r="AF956" s="213"/>
      <c r="AG956" s="213"/>
      <c r="AH956" s="213"/>
      <c r="AI956" s="213"/>
      <c r="AJ956" s="213"/>
      <c r="AK956" s="213"/>
      <c r="AL956" s="213"/>
      <c r="AM956" s="213"/>
      <c r="AN956" s="302"/>
      <c r="AO956" s="303"/>
      <c r="AP956" s="285"/>
      <c r="AQ956" s="258"/>
      <c r="AR956" s="258"/>
    </row>
    <row r="957" spans="10:44" s="48" customFormat="1" ht="12" hidden="1" customHeight="1">
      <c r="J957" s="213"/>
      <c r="K957" s="213"/>
      <c r="L957" s="213"/>
      <c r="M957" s="213"/>
      <c r="N957" s="213"/>
      <c r="O957" s="213"/>
      <c r="P957" s="213"/>
      <c r="Q957" s="213"/>
      <c r="R957" s="213"/>
      <c r="S957" s="213"/>
      <c r="T957" s="213"/>
      <c r="U957" s="213"/>
      <c r="V957" s="213"/>
      <c r="W957" s="213"/>
      <c r="X957" s="213"/>
      <c r="Y957" s="213"/>
      <c r="Z957" s="213"/>
      <c r="AA957" s="213"/>
      <c r="AB957" s="213"/>
      <c r="AC957" s="213"/>
      <c r="AD957" s="213"/>
      <c r="AE957" s="213"/>
      <c r="AF957" s="213"/>
      <c r="AG957" s="213"/>
      <c r="AH957" s="213"/>
      <c r="AI957" s="213"/>
      <c r="AJ957" s="213"/>
      <c r="AK957" s="213"/>
      <c r="AL957" s="213"/>
      <c r="AM957" s="213"/>
      <c r="AN957" s="302"/>
      <c r="AO957" s="303"/>
      <c r="AP957" s="285"/>
      <c r="AQ957" s="258"/>
      <c r="AR957" s="258"/>
    </row>
    <row r="958" spans="10:44" s="48" customFormat="1" ht="12" hidden="1" customHeight="1">
      <c r="J958" s="213"/>
      <c r="K958" s="213"/>
      <c r="L958" s="213"/>
      <c r="M958" s="213"/>
      <c r="N958" s="213"/>
      <c r="O958" s="213"/>
      <c r="P958" s="213"/>
      <c r="Q958" s="213"/>
      <c r="R958" s="213"/>
      <c r="S958" s="213"/>
      <c r="T958" s="213"/>
      <c r="U958" s="213"/>
      <c r="V958" s="213"/>
      <c r="W958" s="213"/>
      <c r="X958" s="213"/>
      <c r="Y958" s="213"/>
      <c r="Z958" s="213"/>
      <c r="AA958" s="213"/>
      <c r="AB958" s="213"/>
      <c r="AC958" s="213"/>
      <c r="AD958" s="213"/>
      <c r="AE958" s="213"/>
      <c r="AF958" s="213"/>
      <c r="AG958" s="213"/>
      <c r="AH958" s="213"/>
      <c r="AI958" s="213"/>
      <c r="AJ958" s="213"/>
      <c r="AK958" s="213"/>
      <c r="AL958" s="213"/>
      <c r="AM958" s="213"/>
      <c r="AN958" s="302"/>
      <c r="AO958" s="303"/>
      <c r="AP958" s="285"/>
      <c r="AQ958" s="258"/>
      <c r="AR958" s="258"/>
    </row>
    <row r="959" spans="10:44" s="48" customFormat="1" ht="12" hidden="1" customHeight="1">
      <c r="J959" s="213"/>
      <c r="K959" s="213"/>
      <c r="L959" s="213"/>
      <c r="M959" s="213"/>
      <c r="N959" s="213"/>
      <c r="O959" s="213"/>
      <c r="P959" s="213"/>
      <c r="Q959" s="213"/>
      <c r="R959" s="213"/>
      <c r="S959" s="213"/>
      <c r="T959" s="213"/>
      <c r="U959" s="213"/>
      <c r="V959" s="213"/>
      <c r="W959" s="213"/>
      <c r="X959" s="213"/>
      <c r="Y959" s="213"/>
      <c r="Z959" s="213"/>
      <c r="AA959" s="213"/>
      <c r="AB959" s="213"/>
      <c r="AC959" s="213"/>
      <c r="AD959" s="213"/>
      <c r="AE959" s="213"/>
      <c r="AF959" s="213"/>
      <c r="AG959" s="213"/>
      <c r="AH959" s="213"/>
      <c r="AI959" s="213"/>
      <c r="AJ959" s="213"/>
      <c r="AK959" s="213"/>
      <c r="AL959" s="213"/>
      <c r="AM959" s="213"/>
      <c r="AN959" s="302"/>
      <c r="AO959" s="303"/>
      <c r="AP959" s="285"/>
      <c r="AQ959" s="258"/>
      <c r="AR959" s="258"/>
    </row>
    <row r="960" spans="10:44" s="48" customFormat="1" ht="12" hidden="1" customHeight="1">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302"/>
      <c r="AO960" s="303"/>
      <c r="AP960" s="285"/>
      <c r="AQ960" s="258"/>
      <c r="AR960" s="258"/>
    </row>
    <row r="961" spans="10:44" s="48" customFormat="1" ht="12" hidden="1" customHeight="1">
      <c r="J961" s="213"/>
      <c r="K961" s="213"/>
      <c r="L961" s="213"/>
      <c r="M961" s="213"/>
      <c r="N961" s="213"/>
      <c r="O961" s="213"/>
      <c r="P961" s="213"/>
      <c r="Q961" s="213"/>
      <c r="R961" s="213"/>
      <c r="S961" s="213"/>
      <c r="T961" s="213"/>
      <c r="U961" s="213"/>
      <c r="V961" s="213"/>
      <c r="W961" s="213"/>
      <c r="X961" s="213"/>
      <c r="Y961" s="213"/>
      <c r="Z961" s="213"/>
      <c r="AA961" s="213"/>
      <c r="AB961" s="213"/>
      <c r="AC961" s="213"/>
      <c r="AD961" s="213"/>
      <c r="AE961" s="213"/>
      <c r="AF961" s="213"/>
      <c r="AG961" s="213"/>
      <c r="AH961" s="213"/>
      <c r="AI961" s="213"/>
      <c r="AJ961" s="213"/>
      <c r="AK961" s="213"/>
      <c r="AL961" s="213"/>
      <c r="AM961" s="213"/>
      <c r="AN961" s="302"/>
      <c r="AO961" s="303"/>
      <c r="AP961" s="285"/>
      <c r="AQ961" s="258"/>
      <c r="AR961" s="258"/>
    </row>
    <row r="962" spans="10:44" s="48" customFormat="1" ht="12" hidden="1" customHeight="1">
      <c r="J962" s="213"/>
      <c r="K962" s="213"/>
      <c r="L962" s="213"/>
      <c r="M962" s="213"/>
      <c r="N962" s="213"/>
      <c r="O962" s="213"/>
      <c r="P962" s="213"/>
      <c r="Q962" s="213"/>
      <c r="R962" s="213"/>
      <c r="S962" s="213"/>
      <c r="T962" s="213"/>
      <c r="U962" s="213"/>
      <c r="V962" s="213"/>
      <c r="W962" s="213"/>
      <c r="X962" s="213"/>
      <c r="Y962" s="213"/>
      <c r="Z962" s="213"/>
      <c r="AA962" s="213"/>
      <c r="AB962" s="213"/>
      <c r="AC962" s="213"/>
      <c r="AD962" s="213"/>
      <c r="AE962" s="213"/>
      <c r="AF962" s="213"/>
      <c r="AG962" s="213"/>
      <c r="AH962" s="213"/>
      <c r="AI962" s="213"/>
      <c r="AJ962" s="213"/>
      <c r="AK962" s="213"/>
      <c r="AL962" s="213"/>
      <c r="AM962" s="213"/>
      <c r="AN962" s="302"/>
      <c r="AO962" s="303"/>
      <c r="AP962" s="285"/>
      <c r="AQ962" s="258"/>
      <c r="AR962" s="258"/>
    </row>
    <row r="963" spans="10:44" s="48" customFormat="1" ht="12" hidden="1" customHeight="1">
      <c r="J963" s="213"/>
      <c r="K963" s="213"/>
      <c r="L963" s="213"/>
      <c r="M963" s="213"/>
      <c r="N963" s="213"/>
      <c r="O963" s="213"/>
      <c r="P963" s="213"/>
      <c r="Q963" s="213"/>
      <c r="R963" s="213"/>
      <c r="S963" s="213"/>
      <c r="T963" s="213"/>
      <c r="U963" s="213"/>
      <c r="V963" s="213"/>
      <c r="W963" s="213"/>
      <c r="X963" s="213"/>
      <c r="Y963" s="213"/>
      <c r="Z963" s="213"/>
      <c r="AA963" s="213"/>
      <c r="AB963" s="213"/>
      <c r="AC963" s="213"/>
      <c r="AD963" s="213"/>
      <c r="AE963" s="213"/>
      <c r="AF963" s="213"/>
      <c r="AG963" s="213"/>
      <c r="AH963" s="213"/>
      <c r="AI963" s="213"/>
      <c r="AJ963" s="213"/>
      <c r="AK963" s="213"/>
      <c r="AL963" s="213"/>
      <c r="AM963" s="213"/>
      <c r="AN963" s="302"/>
      <c r="AO963" s="303"/>
      <c r="AP963" s="285"/>
      <c r="AQ963" s="258"/>
      <c r="AR963" s="258"/>
    </row>
    <row r="964" spans="10:44" s="48" customFormat="1" ht="12" hidden="1" customHeight="1">
      <c r="J964" s="213"/>
      <c r="K964" s="213"/>
      <c r="L964" s="213"/>
      <c r="M964" s="213"/>
      <c r="N964" s="213"/>
      <c r="O964" s="213"/>
      <c r="P964" s="213"/>
      <c r="Q964" s="213"/>
      <c r="R964" s="213"/>
      <c r="S964" s="213"/>
      <c r="T964" s="213"/>
      <c r="U964" s="213"/>
      <c r="V964" s="213"/>
      <c r="W964" s="213"/>
      <c r="X964" s="213"/>
      <c r="Y964" s="213"/>
      <c r="Z964" s="213"/>
      <c r="AA964" s="213"/>
      <c r="AB964" s="213"/>
      <c r="AC964" s="213"/>
      <c r="AD964" s="213"/>
      <c r="AE964" s="213"/>
      <c r="AF964" s="213"/>
      <c r="AG964" s="213"/>
      <c r="AH964" s="213"/>
      <c r="AI964" s="213"/>
      <c r="AJ964" s="213"/>
      <c r="AK964" s="213"/>
      <c r="AL964" s="213"/>
      <c r="AM964" s="213"/>
      <c r="AN964" s="302"/>
      <c r="AO964" s="303"/>
      <c r="AP964" s="285"/>
      <c r="AQ964" s="258"/>
      <c r="AR964" s="258"/>
    </row>
    <row r="965" spans="10:44" s="48" customFormat="1" ht="12" hidden="1" customHeight="1">
      <c r="J965" s="213"/>
      <c r="K965" s="213"/>
      <c r="L965" s="213"/>
      <c r="M965" s="213"/>
      <c r="N965" s="213"/>
      <c r="O965" s="213"/>
      <c r="P965" s="213"/>
      <c r="Q965" s="213"/>
      <c r="R965" s="213"/>
      <c r="S965" s="213"/>
      <c r="T965" s="213"/>
      <c r="U965" s="213"/>
      <c r="V965" s="213"/>
      <c r="W965" s="213"/>
      <c r="X965" s="213"/>
      <c r="Y965" s="213"/>
      <c r="Z965" s="213"/>
      <c r="AA965" s="213"/>
      <c r="AB965" s="213"/>
      <c r="AC965" s="213"/>
      <c r="AD965" s="213"/>
      <c r="AE965" s="213"/>
      <c r="AF965" s="213"/>
      <c r="AG965" s="213"/>
      <c r="AH965" s="213"/>
      <c r="AI965" s="213"/>
      <c r="AJ965" s="213"/>
      <c r="AK965" s="213"/>
      <c r="AL965" s="213"/>
      <c r="AM965" s="213"/>
      <c r="AN965" s="302"/>
      <c r="AO965" s="303"/>
      <c r="AP965" s="285"/>
      <c r="AQ965" s="258"/>
      <c r="AR965" s="258"/>
    </row>
    <row r="966" spans="10:44" s="48" customFormat="1" ht="12" hidden="1" customHeight="1">
      <c r="J966" s="213"/>
      <c r="K966" s="213"/>
      <c r="L966" s="213"/>
      <c r="M966" s="213"/>
      <c r="N966" s="213"/>
      <c r="O966" s="213"/>
      <c r="P966" s="213"/>
      <c r="Q966" s="213"/>
      <c r="R966" s="213"/>
      <c r="S966" s="213"/>
      <c r="T966" s="213"/>
      <c r="U966" s="213"/>
      <c r="V966" s="213"/>
      <c r="W966" s="213"/>
      <c r="X966" s="213"/>
      <c r="Y966" s="213"/>
      <c r="Z966" s="213"/>
      <c r="AA966" s="213"/>
      <c r="AB966" s="213"/>
      <c r="AC966" s="213"/>
      <c r="AD966" s="213"/>
      <c r="AE966" s="213"/>
      <c r="AF966" s="213"/>
      <c r="AG966" s="213"/>
      <c r="AH966" s="213"/>
      <c r="AI966" s="213"/>
      <c r="AJ966" s="213"/>
      <c r="AK966" s="213"/>
      <c r="AL966" s="213"/>
      <c r="AM966" s="213"/>
      <c r="AN966" s="302"/>
      <c r="AO966" s="303"/>
      <c r="AP966" s="285"/>
      <c r="AQ966" s="258"/>
      <c r="AR966" s="258"/>
    </row>
    <row r="967" spans="10:44" s="48" customFormat="1" ht="12" hidden="1" customHeight="1">
      <c r="J967" s="213"/>
      <c r="K967" s="213"/>
      <c r="L967" s="213"/>
      <c r="M967" s="213"/>
      <c r="N967" s="213"/>
      <c r="O967" s="213"/>
      <c r="P967" s="213"/>
      <c r="Q967" s="213"/>
      <c r="R967" s="213"/>
      <c r="S967" s="213"/>
      <c r="T967" s="213"/>
      <c r="U967" s="213"/>
      <c r="V967" s="213"/>
      <c r="W967" s="213"/>
      <c r="X967" s="213"/>
      <c r="Y967" s="213"/>
      <c r="Z967" s="213"/>
      <c r="AA967" s="213"/>
      <c r="AB967" s="213"/>
      <c r="AC967" s="213"/>
      <c r="AD967" s="213"/>
      <c r="AE967" s="213"/>
      <c r="AF967" s="213"/>
      <c r="AG967" s="213"/>
      <c r="AH967" s="213"/>
      <c r="AI967" s="213"/>
      <c r="AJ967" s="213"/>
      <c r="AK967" s="213"/>
      <c r="AL967" s="213"/>
      <c r="AM967" s="213"/>
      <c r="AN967" s="302"/>
      <c r="AO967" s="303"/>
      <c r="AP967" s="285"/>
      <c r="AQ967" s="258"/>
      <c r="AR967" s="258"/>
    </row>
    <row r="968" spans="10:44" s="48" customFormat="1" ht="12" hidden="1" customHeight="1">
      <c r="J968" s="213"/>
      <c r="K968" s="213"/>
      <c r="L968" s="213"/>
      <c r="M968" s="213"/>
      <c r="N968" s="213"/>
      <c r="O968" s="213"/>
      <c r="P968" s="213"/>
      <c r="Q968" s="213"/>
      <c r="R968" s="213"/>
      <c r="S968" s="213"/>
      <c r="T968" s="213"/>
      <c r="U968" s="213"/>
      <c r="V968" s="213"/>
      <c r="W968" s="213"/>
      <c r="X968" s="213"/>
      <c r="Y968" s="213"/>
      <c r="Z968" s="213"/>
      <c r="AA968" s="213"/>
      <c r="AB968" s="213"/>
      <c r="AC968" s="213"/>
      <c r="AD968" s="213"/>
      <c r="AE968" s="213"/>
      <c r="AF968" s="213"/>
      <c r="AG968" s="213"/>
      <c r="AH968" s="213"/>
      <c r="AI968" s="213"/>
      <c r="AJ968" s="213"/>
      <c r="AK968" s="213"/>
      <c r="AL968" s="213"/>
      <c r="AM968" s="213"/>
      <c r="AN968" s="302"/>
      <c r="AO968" s="303"/>
      <c r="AP968" s="285"/>
      <c r="AQ968" s="258"/>
      <c r="AR968" s="258"/>
    </row>
    <row r="969" spans="10:44" s="48" customFormat="1" ht="12" hidden="1" customHeight="1">
      <c r="J969" s="213"/>
      <c r="K969" s="213"/>
      <c r="L969" s="213"/>
      <c r="M969" s="213"/>
      <c r="N969" s="213"/>
      <c r="O969" s="213"/>
      <c r="P969" s="213"/>
      <c r="Q969" s="213"/>
      <c r="R969" s="213"/>
      <c r="S969" s="213"/>
      <c r="T969" s="213"/>
      <c r="U969" s="213"/>
      <c r="V969" s="213"/>
      <c r="W969" s="213"/>
      <c r="X969" s="213"/>
      <c r="Y969" s="213"/>
      <c r="Z969" s="213"/>
      <c r="AA969" s="213"/>
      <c r="AB969" s="213"/>
      <c r="AC969" s="213"/>
      <c r="AD969" s="213"/>
      <c r="AE969" s="213"/>
      <c r="AF969" s="213"/>
      <c r="AG969" s="213"/>
      <c r="AH969" s="213"/>
      <c r="AI969" s="213"/>
      <c r="AJ969" s="213"/>
      <c r="AK969" s="213"/>
      <c r="AL969" s="213"/>
      <c r="AM969" s="213"/>
      <c r="AN969" s="302"/>
      <c r="AO969" s="303"/>
      <c r="AP969" s="285"/>
      <c r="AQ969" s="258"/>
      <c r="AR969" s="258"/>
    </row>
    <row r="970" spans="10:44" s="48" customFormat="1" ht="12" hidden="1" customHeight="1">
      <c r="J970" s="213"/>
      <c r="K970" s="213"/>
      <c r="L970" s="213"/>
      <c r="M970" s="213"/>
      <c r="N970" s="213"/>
      <c r="O970" s="213"/>
      <c r="P970" s="213"/>
      <c r="Q970" s="213"/>
      <c r="R970" s="213"/>
      <c r="S970" s="213"/>
      <c r="T970" s="213"/>
      <c r="U970" s="213"/>
      <c r="V970" s="213"/>
      <c r="W970" s="213"/>
      <c r="X970" s="213"/>
      <c r="Y970" s="213"/>
      <c r="Z970" s="213"/>
      <c r="AA970" s="213"/>
      <c r="AB970" s="213"/>
      <c r="AC970" s="213"/>
      <c r="AD970" s="213"/>
      <c r="AE970" s="213"/>
      <c r="AF970" s="213"/>
      <c r="AG970" s="213"/>
      <c r="AH970" s="213"/>
      <c r="AI970" s="213"/>
      <c r="AJ970" s="213"/>
      <c r="AK970" s="213"/>
      <c r="AL970" s="213"/>
      <c r="AM970" s="213"/>
      <c r="AN970" s="302"/>
      <c r="AO970" s="303"/>
      <c r="AP970" s="285"/>
      <c r="AQ970" s="258"/>
      <c r="AR970" s="258"/>
    </row>
    <row r="971" spans="10:44" s="48" customFormat="1" ht="12" hidden="1" customHeight="1">
      <c r="J971" s="213"/>
      <c r="K971" s="213"/>
      <c r="L971" s="213"/>
      <c r="M971" s="213"/>
      <c r="N971" s="213"/>
      <c r="O971" s="213"/>
      <c r="P971" s="213"/>
      <c r="Q971" s="213"/>
      <c r="R971" s="213"/>
      <c r="S971" s="213"/>
      <c r="T971" s="213"/>
      <c r="U971" s="213"/>
      <c r="V971" s="213"/>
      <c r="W971" s="213"/>
      <c r="X971" s="213"/>
      <c r="Y971" s="213"/>
      <c r="Z971" s="213"/>
      <c r="AA971" s="213"/>
      <c r="AB971" s="213"/>
      <c r="AC971" s="213"/>
      <c r="AD971" s="213"/>
      <c r="AE971" s="213"/>
      <c r="AF971" s="213"/>
      <c r="AG971" s="213"/>
      <c r="AH971" s="213"/>
      <c r="AI971" s="213"/>
      <c r="AJ971" s="213"/>
      <c r="AK971" s="213"/>
      <c r="AL971" s="213"/>
      <c r="AM971" s="213"/>
      <c r="AN971" s="302"/>
      <c r="AO971" s="303"/>
      <c r="AP971" s="285"/>
      <c r="AQ971" s="258"/>
      <c r="AR971" s="258"/>
    </row>
    <row r="972" spans="10:44" s="48" customFormat="1" ht="12" hidden="1" customHeight="1">
      <c r="J972" s="213"/>
      <c r="K972" s="213"/>
      <c r="L972" s="213"/>
      <c r="M972" s="213"/>
      <c r="N972" s="213"/>
      <c r="O972" s="213"/>
      <c r="P972" s="213"/>
      <c r="Q972" s="213"/>
      <c r="R972" s="213"/>
      <c r="S972" s="213"/>
      <c r="T972" s="213"/>
      <c r="U972" s="213"/>
      <c r="V972" s="213"/>
      <c r="W972" s="213"/>
      <c r="X972" s="213"/>
      <c r="Y972" s="213"/>
      <c r="Z972" s="213"/>
      <c r="AA972" s="213"/>
      <c r="AB972" s="213"/>
      <c r="AC972" s="213"/>
      <c r="AD972" s="213"/>
      <c r="AE972" s="213"/>
      <c r="AF972" s="213"/>
      <c r="AG972" s="213"/>
      <c r="AH972" s="213"/>
      <c r="AI972" s="213"/>
      <c r="AJ972" s="213"/>
      <c r="AK972" s="213"/>
      <c r="AL972" s="213"/>
      <c r="AM972" s="213"/>
      <c r="AN972" s="302"/>
      <c r="AO972" s="303"/>
      <c r="AP972" s="285"/>
      <c r="AQ972" s="258"/>
      <c r="AR972" s="258"/>
    </row>
    <row r="973" spans="10:44" s="48" customFormat="1" ht="12" hidden="1" customHeight="1">
      <c r="J973" s="213"/>
      <c r="K973" s="213"/>
      <c r="L973" s="213"/>
      <c r="M973" s="213"/>
      <c r="N973" s="213"/>
      <c r="O973" s="213"/>
      <c r="P973" s="213"/>
      <c r="Q973" s="213"/>
      <c r="R973" s="213"/>
      <c r="S973" s="213"/>
      <c r="T973" s="213"/>
      <c r="U973" s="213"/>
      <c r="V973" s="213"/>
      <c r="W973" s="213"/>
      <c r="X973" s="213"/>
      <c r="Y973" s="213"/>
      <c r="Z973" s="213"/>
      <c r="AA973" s="213"/>
      <c r="AB973" s="213"/>
      <c r="AC973" s="213"/>
      <c r="AD973" s="213"/>
      <c r="AE973" s="213"/>
      <c r="AF973" s="213"/>
      <c r="AG973" s="213"/>
      <c r="AH973" s="213"/>
      <c r="AI973" s="213"/>
      <c r="AJ973" s="213"/>
      <c r="AK973" s="213"/>
      <c r="AL973" s="213"/>
      <c r="AM973" s="213"/>
      <c r="AN973" s="302"/>
      <c r="AO973" s="303"/>
      <c r="AP973" s="285"/>
      <c r="AQ973" s="258"/>
      <c r="AR973" s="258"/>
    </row>
    <row r="974" spans="10:44" s="48" customFormat="1" ht="12" hidden="1" customHeight="1">
      <c r="J974" s="213"/>
      <c r="K974" s="213"/>
      <c r="L974" s="213"/>
      <c r="M974" s="213"/>
      <c r="N974" s="213"/>
      <c r="O974" s="213"/>
      <c r="P974" s="213"/>
      <c r="Q974" s="213"/>
      <c r="R974" s="213"/>
      <c r="S974" s="213"/>
      <c r="T974" s="213"/>
      <c r="U974" s="213"/>
      <c r="V974" s="213"/>
      <c r="W974" s="213"/>
      <c r="X974" s="213"/>
      <c r="Y974" s="213"/>
      <c r="Z974" s="213"/>
      <c r="AA974" s="213"/>
      <c r="AB974" s="213"/>
      <c r="AC974" s="213"/>
      <c r="AD974" s="213"/>
      <c r="AE974" s="213"/>
      <c r="AF974" s="213"/>
      <c r="AG974" s="213"/>
      <c r="AH974" s="213"/>
      <c r="AI974" s="213"/>
      <c r="AJ974" s="213"/>
      <c r="AK974" s="213"/>
      <c r="AL974" s="213"/>
      <c r="AM974" s="213"/>
      <c r="AN974" s="302"/>
      <c r="AO974" s="303"/>
      <c r="AP974" s="285"/>
      <c r="AQ974" s="258"/>
      <c r="AR974" s="258"/>
    </row>
    <row r="975" spans="10:44" s="48" customFormat="1" ht="12" hidden="1" customHeight="1">
      <c r="J975" s="213"/>
      <c r="K975" s="213"/>
      <c r="L975" s="213"/>
      <c r="M975" s="213"/>
      <c r="N975" s="213"/>
      <c r="O975" s="213"/>
      <c r="P975" s="213"/>
      <c r="Q975" s="213"/>
      <c r="R975" s="213"/>
      <c r="S975" s="213"/>
      <c r="T975" s="213"/>
      <c r="U975" s="213"/>
      <c r="V975" s="213"/>
      <c r="W975" s="213"/>
      <c r="X975" s="213"/>
      <c r="Y975" s="213"/>
      <c r="Z975" s="213"/>
      <c r="AA975" s="213"/>
      <c r="AB975" s="213"/>
      <c r="AC975" s="213"/>
      <c r="AD975" s="213"/>
      <c r="AE975" s="213"/>
      <c r="AF975" s="213"/>
      <c r="AG975" s="213"/>
      <c r="AH975" s="213"/>
      <c r="AI975" s="213"/>
      <c r="AJ975" s="213"/>
      <c r="AK975" s="213"/>
      <c r="AL975" s="213"/>
      <c r="AM975" s="213"/>
      <c r="AN975" s="302"/>
      <c r="AO975" s="303"/>
      <c r="AP975" s="285"/>
      <c r="AQ975" s="258"/>
      <c r="AR975" s="258"/>
    </row>
    <row r="976" spans="10:44" s="48" customFormat="1" ht="12" hidden="1" customHeight="1">
      <c r="J976" s="213"/>
      <c r="K976" s="213"/>
      <c r="L976" s="213"/>
      <c r="M976" s="213"/>
      <c r="N976" s="213"/>
      <c r="O976" s="213"/>
      <c r="P976" s="213"/>
      <c r="Q976" s="213"/>
      <c r="R976" s="213"/>
      <c r="S976" s="213"/>
      <c r="T976" s="213"/>
      <c r="U976" s="213"/>
      <c r="V976" s="213"/>
      <c r="W976" s="213"/>
      <c r="X976" s="213"/>
      <c r="Y976" s="213"/>
      <c r="Z976" s="213"/>
      <c r="AA976" s="213"/>
      <c r="AB976" s="213"/>
      <c r="AC976" s="213"/>
      <c r="AD976" s="213"/>
      <c r="AE976" s="213"/>
      <c r="AF976" s="213"/>
      <c r="AG976" s="213"/>
      <c r="AH976" s="213"/>
      <c r="AI976" s="213"/>
      <c r="AJ976" s="213"/>
      <c r="AK976" s="213"/>
      <c r="AL976" s="213"/>
      <c r="AM976" s="213"/>
      <c r="AN976" s="302"/>
      <c r="AO976" s="303"/>
      <c r="AP976" s="285"/>
      <c r="AQ976" s="258"/>
      <c r="AR976" s="258"/>
    </row>
    <row r="977" spans="10:44" s="48" customFormat="1" ht="12" hidden="1" customHeight="1">
      <c r="J977" s="213"/>
      <c r="K977" s="213"/>
      <c r="L977" s="213"/>
      <c r="M977" s="213"/>
      <c r="N977" s="213"/>
      <c r="O977" s="213"/>
      <c r="P977" s="213"/>
      <c r="Q977" s="213"/>
      <c r="R977" s="213"/>
      <c r="S977" s="213"/>
      <c r="T977" s="213"/>
      <c r="U977" s="213"/>
      <c r="V977" s="213"/>
      <c r="W977" s="213"/>
      <c r="X977" s="213"/>
      <c r="Y977" s="213"/>
      <c r="Z977" s="213"/>
      <c r="AA977" s="213"/>
      <c r="AB977" s="213"/>
      <c r="AC977" s="213"/>
      <c r="AD977" s="213"/>
      <c r="AE977" s="213"/>
      <c r="AF977" s="213"/>
      <c r="AG977" s="213"/>
      <c r="AH977" s="213"/>
      <c r="AI977" s="213"/>
      <c r="AJ977" s="213"/>
      <c r="AK977" s="213"/>
      <c r="AL977" s="213"/>
      <c r="AM977" s="213"/>
      <c r="AN977" s="302"/>
      <c r="AO977" s="303"/>
      <c r="AP977" s="285"/>
      <c r="AQ977" s="258"/>
      <c r="AR977" s="258"/>
    </row>
    <row r="978" spans="10:44" s="48" customFormat="1" ht="12" hidden="1" customHeight="1">
      <c r="J978" s="213"/>
      <c r="K978" s="213"/>
      <c r="L978" s="213"/>
      <c r="M978" s="213"/>
      <c r="N978" s="213"/>
      <c r="O978" s="213"/>
      <c r="P978" s="213"/>
      <c r="Q978" s="213"/>
      <c r="R978" s="213"/>
      <c r="S978" s="213"/>
      <c r="T978" s="213"/>
      <c r="U978" s="213"/>
      <c r="V978" s="213"/>
      <c r="W978" s="213"/>
      <c r="X978" s="213"/>
      <c r="Y978" s="213"/>
      <c r="Z978" s="213"/>
      <c r="AA978" s="213"/>
      <c r="AB978" s="213"/>
      <c r="AC978" s="213"/>
      <c r="AD978" s="213"/>
      <c r="AE978" s="213"/>
      <c r="AF978" s="213"/>
      <c r="AG978" s="213"/>
      <c r="AH978" s="213"/>
      <c r="AI978" s="213"/>
      <c r="AJ978" s="213"/>
      <c r="AK978" s="213"/>
      <c r="AL978" s="213"/>
      <c r="AM978" s="213"/>
      <c r="AN978" s="302"/>
      <c r="AO978" s="303"/>
      <c r="AP978" s="285"/>
      <c r="AQ978" s="258"/>
      <c r="AR978" s="258"/>
    </row>
    <row r="979" spans="10:44" s="48" customFormat="1" ht="12" hidden="1" customHeight="1">
      <c r="J979" s="213"/>
      <c r="K979" s="213"/>
      <c r="L979" s="213"/>
      <c r="M979" s="213"/>
      <c r="N979" s="213"/>
      <c r="O979" s="213"/>
      <c r="P979" s="213"/>
      <c r="Q979" s="213"/>
      <c r="R979" s="213"/>
      <c r="S979" s="213"/>
      <c r="T979" s="213"/>
      <c r="U979" s="213"/>
      <c r="V979" s="213"/>
      <c r="W979" s="213"/>
      <c r="X979" s="213"/>
      <c r="Y979" s="213"/>
      <c r="Z979" s="213"/>
      <c r="AA979" s="213"/>
      <c r="AB979" s="213"/>
      <c r="AC979" s="213"/>
      <c r="AD979" s="213"/>
      <c r="AE979" s="213"/>
      <c r="AF979" s="213"/>
      <c r="AG979" s="213"/>
      <c r="AH979" s="213"/>
      <c r="AI979" s="213"/>
      <c r="AJ979" s="213"/>
      <c r="AK979" s="213"/>
      <c r="AL979" s="213"/>
      <c r="AM979" s="213"/>
      <c r="AN979" s="302"/>
      <c r="AO979" s="303"/>
      <c r="AP979" s="285"/>
      <c r="AQ979" s="258"/>
      <c r="AR979" s="258"/>
    </row>
    <row r="980" spans="10:44" s="48" customFormat="1" ht="12" hidden="1" customHeight="1">
      <c r="J980" s="213"/>
      <c r="K980" s="213"/>
      <c r="L980" s="213"/>
      <c r="M980" s="213"/>
      <c r="N980" s="213"/>
      <c r="O980" s="213"/>
      <c r="P980" s="213"/>
      <c r="Q980" s="213"/>
      <c r="R980" s="213"/>
      <c r="S980" s="213"/>
      <c r="T980" s="213"/>
      <c r="U980" s="213"/>
      <c r="V980" s="213"/>
      <c r="W980" s="213"/>
      <c r="X980" s="213"/>
      <c r="Y980" s="213"/>
      <c r="Z980" s="213"/>
      <c r="AA980" s="213"/>
      <c r="AB980" s="213"/>
      <c r="AC980" s="213"/>
      <c r="AD980" s="213"/>
      <c r="AE980" s="213"/>
      <c r="AF980" s="213"/>
      <c r="AG980" s="213"/>
      <c r="AH980" s="213"/>
      <c r="AI980" s="213"/>
      <c r="AJ980" s="213"/>
      <c r="AK980" s="213"/>
      <c r="AL980" s="213"/>
      <c r="AM980" s="213"/>
      <c r="AN980" s="302"/>
      <c r="AO980" s="303"/>
      <c r="AP980" s="285"/>
      <c r="AQ980" s="258"/>
      <c r="AR980" s="258"/>
    </row>
    <row r="981" spans="10:44" s="48" customFormat="1" ht="12" hidden="1" customHeight="1">
      <c r="J981" s="213"/>
      <c r="K981" s="213"/>
      <c r="L981" s="213"/>
      <c r="M981" s="213"/>
      <c r="N981" s="213"/>
      <c r="O981" s="213"/>
      <c r="P981" s="213"/>
      <c r="Q981" s="213"/>
      <c r="R981" s="213"/>
      <c r="S981" s="213"/>
      <c r="T981" s="213"/>
      <c r="U981" s="213"/>
      <c r="V981" s="213"/>
      <c r="W981" s="213"/>
      <c r="X981" s="213"/>
      <c r="Y981" s="213"/>
      <c r="Z981" s="213"/>
      <c r="AA981" s="213"/>
      <c r="AB981" s="213"/>
      <c r="AC981" s="213"/>
      <c r="AD981" s="213"/>
      <c r="AE981" s="213"/>
      <c r="AF981" s="213"/>
      <c r="AG981" s="213"/>
      <c r="AH981" s="213"/>
      <c r="AI981" s="213"/>
      <c r="AJ981" s="213"/>
      <c r="AK981" s="213"/>
      <c r="AL981" s="213"/>
      <c r="AM981" s="213"/>
      <c r="AN981" s="302"/>
      <c r="AO981" s="303"/>
      <c r="AP981" s="285"/>
      <c r="AQ981" s="258"/>
      <c r="AR981" s="258"/>
    </row>
    <row r="982" spans="10:44" s="48" customFormat="1" ht="12" hidden="1" customHeight="1">
      <c r="J982" s="213"/>
      <c r="K982" s="213"/>
      <c r="L982" s="213"/>
      <c r="M982" s="213"/>
      <c r="N982" s="213"/>
      <c r="O982" s="213"/>
      <c r="P982" s="213"/>
      <c r="Q982" s="213"/>
      <c r="R982" s="213"/>
      <c r="S982" s="213"/>
      <c r="T982" s="213"/>
      <c r="U982" s="213"/>
      <c r="V982" s="213"/>
      <c r="W982" s="213"/>
      <c r="X982" s="213"/>
      <c r="Y982" s="213"/>
      <c r="Z982" s="213"/>
      <c r="AA982" s="213"/>
      <c r="AB982" s="213"/>
      <c r="AC982" s="213"/>
      <c r="AD982" s="213"/>
      <c r="AE982" s="213"/>
      <c r="AF982" s="213"/>
      <c r="AG982" s="213"/>
      <c r="AH982" s="213"/>
      <c r="AI982" s="213"/>
      <c r="AJ982" s="213"/>
      <c r="AK982" s="213"/>
      <c r="AL982" s="213"/>
      <c r="AM982" s="213"/>
      <c r="AN982" s="302"/>
      <c r="AO982" s="303"/>
      <c r="AP982" s="285"/>
      <c r="AQ982" s="258"/>
      <c r="AR982" s="258"/>
    </row>
    <row r="983" spans="10:44" s="48" customFormat="1" ht="12" hidden="1" customHeight="1">
      <c r="J983" s="213"/>
      <c r="K983" s="213"/>
      <c r="L983" s="213"/>
      <c r="M983" s="213"/>
      <c r="N983" s="213"/>
      <c r="O983" s="213"/>
      <c r="P983" s="213"/>
      <c r="Q983" s="213"/>
      <c r="R983" s="213"/>
      <c r="S983" s="213"/>
      <c r="T983" s="213"/>
      <c r="U983" s="213"/>
      <c r="V983" s="213"/>
      <c r="W983" s="213"/>
      <c r="X983" s="213"/>
      <c r="Y983" s="213"/>
      <c r="Z983" s="213"/>
      <c r="AA983" s="213"/>
      <c r="AB983" s="213"/>
      <c r="AC983" s="213"/>
      <c r="AD983" s="213"/>
      <c r="AE983" s="213"/>
      <c r="AF983" s="213"/>
      <c r="AG983" s="213"/>
      <c r="AH983" s="213"/>
      <c r="AI983" s="213"/>
      <c r="AJ983" s="213"/>
      <c r="AK983" s="213"/>
      <c r="AL983" s="213"/>
      <c r="AM983" s="213"/>
      <c r="AN983" s="302"/>
      <c r="AO983" s="303"/>
      <c r="AP983" s="285"/>
      <c r="AQ983" s="258"/>
      <c r="AR983" s="258"/>
    </row>
    <row r="984" spans="10:44" s="48" customFormat="1" ht="12" hidden="1" customHeight="1">
      <c r="J984" s="213"/>
      <c r="K984" s="213"/>
      <c r="L984" s="213"/>
      <c r="M984" s="213"/>
      <c r="N984" s="213"/>
      <c r="O984" s="213"/>
      <c r="P984" s="213"/>
      <c r="Q984" s="213"/>
      <c r="R984" s="213"/>
      <c r="S984" s="213"/>
      <c r="T984" s="213"/>
      <c r="U984" s="213"/>
      <c r="V984" s="213"/>
      <c r="W984" s="213"/>
      <c r="X984" s="213"/>
      <c r="Y984" s="213"/>
      <c r="Z984" s="213"/>
      <c r="AA984" s="213"/>
      <c r="AB984" s="213"/>
      <c r="AC984" s="213"/>
      <c r="AD984" s="213"/>
      <c r="AE984" s="213"/>
      <c r="AF984" s="213"/>
      <c r="AG984" s="213"/>
      <c r="AH984" s="213"/>
      <c r="AI984" s="213"/>
      <c r="AJ984" s="213"/>
      <c r="AK984" s="213"/>
      <c r="AL984" s="213"/>
      <c r="AM984" s="213"/>
      <c r="AN984" s="302"/>
      <c r="AO984" s="303"/>
      <c r="AP984" s="285"/>
      <c r="AQ984" s="258"/>
      <c r="AR984" s="258"/>
    </row>
    <row r="985" spans="10:44" s="48" customFormat="1" ht="12" hidden="1" customHeight="1">
      <c r="J985" s="213"/>
      <c r="K985" s="213"/>
      <c r="L985" s="213"/>
      <c r="M985" s="213"/>
      <c r="N985" s="213"/>
      <c r="O985" s="213"/>
      <c r="P985" s="213"/>
      <c r="Q985" s="213"/>
      <c r="R985" s="213"/>
      <c r="S985" s="213"/>
      <c r="T985" s="213"/>
      <c r="U985" s="213"/>
      <c r="V985" s="213"/>
      <c r="W985" s="213"/>
      <c r="X985" s="213"/>
      <c r="Y985" s="213"/>
      <c r="Z985" s="213"/>
      <c r="AA985" s="213"/>
      <c r="AB985" s="213"/>
      <c r="AC985" s="213"/>
      <c r="AD985" s="213"/>
      <c r="AE985" s="213"/>
      <c r="AF985" s="213"/>
      <c r="AG985" s="213"/>
      <c r="AH985" s="213"/>
      <c r="AI985" s="213"/>
      <c r="AJ985" s="213"/>
      <c r="AK985" s="213"/>
      <c r="AL985" s="213"/>
      <c r="AM985" s="213"/>
      <c r="AN985" s="302"/>
      <c r="AO985" s="303"/>
      <c r="AP985" s="285"/>
      <c r="AQ985" s="258"/>
      <c r="AR985" s="258"/>
    </row>
    <row r="986" spans="10:44" s="48" customFormat="1" ht="12" hidden="1" customHeight="1">
      <c r="J986" s="213"/>
      <c r="K986" s="213"/>
      <c r="L986" s="213"/>
      <c r="M986" s="213"/>
      <c r="N986" s="213"/>
      <c r="O986" s="213"/>
      <c r="P986" s="213"/>
      <c r="Q986" s="213"/>
      <c r="R986" s="213"/>
      <c r="S986" s="213"/>
      <c r="T986" s="213"/>
      <c r="U986" s="213"/>
      <c r="V986" s="213"/>
      <c r="W986" s="213"/>
      <c r="X986" s="213"/>
      <c r="Y986" s="213"/>
      <c r="Z986" s="213"/>
      <c r="AA986" s="213"/>
      <c r="AB986" s="213"/>
      <c r="AC986" s="213"/>
      <c r="AD986" s="213"/>
      <c r="AE986" s="213"/>
      <c r="AF986" s="213"/>
      <c r="AG986" s="213"/>
      <c r="AH986" s="213"/>
      <c r="AI986" s="213"/>
      <c r="AJ986" s="213"/>
      <c r="AK986" s="213"/>
      <c r="AL986" s="213"/>
      <c r="AM986" s="213"/>
      <c r="AN986" s="302"/>
      <c r="AO986" s="303"/>
      <c r="AP986" s="285"/>
      <c r="AQ986" s="258"/>
      <c r="AR986" s="258"/>
    </row>
    <row r="987" spans="10:44" s="48" customFormat="1" ht="12" hidden="1" customHeight="1">
      <c r="J987" s="213"/>
      <c r="K987" s="213"/>
      <c r="L987" s="213"/>
      <c r="M987" s="213"/>
      <c r="N987" s="213"/>
      <c r="O987" s="213"/>
      <c r="P987" s="213"/>
      <c r="Q987" s="213"/>
      <c r="R987" s="213"/>
      <c r="S987" s="213"/>
      <c r="T987" s="213"/>
      <c r="U987" s="213"/>
      <c r="V987" s="213"/>
      <c r="W987" s="213"/>
      <c r="X987" s="213"/>
      <c r="Y987" s="213"/>
      <c r="Z987" s="213"/>
      <c r="AA987" s="213"/>
      <c r="AB987" s="213"/>
      <c r="AC987" s="213"/>
      <c r="AD987" s="213"/>
      <c r="AE987" s="213"/>
      <c r="AF987" s="213"/>
      <c r="AG987" s="213"/>
      <c r="AH987" s="213"/>
      <c r="AI987" s="213"/>
      <c r="AJ987" s="213"/>
      <c r="AK987" s="213"/>
      <c r="AL987" s="213"/>
      <c r="AM987" s="213"/>
      <c r="AN987" s="302"/>
      <c r="AO987" s="303"/>
      <c r="AP987" s="285"/>
      <c r="AQ987" s="258"/>
      <c r="AR987" s="258"/>
    </row>
    <row r="988" spans="10:44" s="48" customFormat="1" ht="12" hidden="1" customHeight="1">
      <c r="J988" s="213"/>
      <c r="K988" s="213"/>
      <c r="L988" s="213"/>
      <c r="M988" s="213"/>
      <c r="N988" s="213"/>
      <c r="O988" s="213"/>
      <c r="P988" s="213"/>
      <c r="Q988" s="213"/>
      <c r="R988" s="213"/>
      <c r="S988" s="213"/>
      <c r="T988" s="213"/>
      <c r="U988" s="213"/>
      <c r="V988" s="213"/>
      <c r="W988" s="213"/>
      <c r="X988" s="213"/>
      <c r="Y988" s="213"/>
      <c r="Z988" s="213"/>
      <c r="AA988" s="213"/>
      <c r="AB988" s="213"/>
      <c r="AC988" s="213"/>
      <c r="AD988" s="213"/>
      <c r="AE988" s="213"/>
      <c r="AF988" s="213"/>
      <c r="AG988" s="213"/>
      <c r="AH988" s="213"/>
      <c r="AI988" s="213"/>
      <c r="AJ988" s="213"/>
      <c r="AK988" s="213"/>
      <c r="AL988" s="213"/>
      <c r="AM988" s="213"/>
      <c r="AN988" s="302"/>
      <c r="AO988" s="303"/>
      <c r="AP988" s="285"/>
      <c r="AQ988" s="258"/>
      <c r="AR988" s="258"/>
    </row>
    <row r="989" spans="10:44" s="48" customFormat="1" ht="12" hidden="1" customHeight="1">
      <c r="J989" s="213"/>
      <c r="K989" s="213"/>
      <c r="L989" s="213"/>
      <c r="M989" s="213"/>
      <c r="N989" s="213"/>
      <c r="O989" s="213"/>
      <c r="P989" s="213"/>
      <c r="Q989" s="213"/>
      <c r="R989" s="213"/>
      <c r="S989" s="213"/>
      <c r="T989" s="213"/>
      <c r="U989" s="213"/>
      <c r="V989" s="213"/>
      <c r="W989" s="213"/>
      <c r="X989" s="213"/>
      <c r="Y989" s="213"/>
      <c r="Z989" s="213"/>
      <c r="AA989" s="213"/>
      <c r="AB989" s="213"/>
      <c r="AC989" s="213"/>
      <c r="AD989" s="213"/>
      <c r="AE989" s="213"/>
      <c r="AF989" s="213"/>
      <c r="AG989" s="213"/>
      <c r="AH989" s="213"/>
      <c r="AI989" s="213"/>
      <c r="AJ989" s="213"/>
      <c r="AK989" s="213"/>
      <c r="AL989" s="213"/>
      <c r="AM989" s="213"/>
      <c r="AN989" s="302"/>
      <c r="AO989" s="303"/>
      <c r="AP989" s="285"/>
      <c r="AQ989" s="258"/>
      <c r="AR989" s="258"/>
    </row>
    <row r="990" spans="10:44" s="48" customFormat="1" ht="12" hidden="1" customHeight="1">
      <c r="J990" s="213"/>
      <c r="K990" s="213"/>
      <c r="L990" s="213"/>
      <c r="M990" s="213"/>
      <c r="N990" s="213"/>
      <c r="O990" s="213"/>
      <c r="P990" s="213"/>
      <c r="Q990" s="213"/>
      <c r="R990" s="213"/>
      <c r="S990" s="213"/>
      <c r="T990" s="213"/>
      <c r="U990" s="213"/>
      <c r="V990" s="213"/>
      <c r="W990" s="213"/>
      <c r="X990" s="213"/>
      <c r="Y990" s="213"/>
      <c r="Z990" s="213"/>
      <c r="AA990" s="213"/>
      <c r="AB990" s="213"/>
      <c r="AC990" s="213"/>
      <c r="AD990" s="213"/>
      <c r="AE990" s="213"/>
      <c r="AF990" s="213"/>
      <c r="AG990" s="213"/>
      <c r="AH990" s="213"/>
      <c r="AI990" s="213"/>
      <c r="AJ990" s="213"/>
      <c r="AK990" s="213"/>
      <c r="AL990" s="213"/>
      <c r="AM990" s="213"/>
      <c r="AN990" s="302"/>
      <c r="AO990" s="303"/>
      <c r="AP990" s="285"/>
      <c r="AQ990" s="258"/>
      <c r="AR990" s="258"/>
    </row>
    <row r="991" spans="10:44" s="48" customFormat="1" ht="12" hidden="1" customHeight="1">
      <c r="J991" s="213"/>
      <c r="K991" s="213"/>
      <c r="L991" s="213"/>
      <c r="M991" s="213"/>
      <c r="N991" s="213"/>
      <c r="O991" s="213"/>
      <c r="P991" s="213"/>
      <c r="Q991" s="213"/>
      <c r="R991" s="213"/>
      <c r="S991" s="213"/>
      <c r="T991" s="213"/>
      <c r="U991" s="213"/>
      <c r="V991" s="213"/>
      <c r="W991" s="213"/>
      <c r="X991" s="213"/>
      <c r="Y991" s="213"/>
      <c r="Z991" s="213"/>
      <c r="AA991" s="213"/>
      <c r="AB991" s="213"/>
      <c r="AC991" s="213"/>
      <c r="AD991" s="213"/>
      <c r="AE991" s="213"/>
      <c r="AF991" s="213"/>
      <c r="AG991" s="213"/>
      <c r="AH991" s="213"/>
      <c r="AI991" s="213"/>
      <c r="AJ991" s="213"/>
      <c r="AK991" s="213"/>
      <c r="AL991" s="213"/>
      <c r="AM991" s="213"/>
      <c r="AN991" s="302"/>
      <c r="AO991" s="303"/>
      <c r="AP991" s="285"/>
      <c r="AQ991" s="258"/>
      <c r="AR991" s="258"/>
    </row>
    <row r="992" spans="10:44" s="48" customFormat="1" ht="12" hidden="1" customHeight="1">
      <c r="J992" s="213"/>
      <c r="K992" s="213"/>
      <c r="L992" s="213"/>
      <c r="M992" s="213"/>
      <c r="N992" s="213"/>
      <c r="O992" s="213"/>
      <c r="P992" s="213"/>
      <c r="Q992" s="213"/>
      <c r="R992" s="213"/>
      <c r="S992" s="213"/>
      <c r="T992" s="213"/>
      <c r="U992" s="213"/>
      <c r="V992" s="213"/>
      <c r="W992" s="213"/>
      <c r="X992" s="213"/>
      <c r="Y992" s="213"/>
      <c r="Z992" s="213"/>
      <c r="AA992" s="213"/>
      <c r="AB992" s="213"/>
      <c r="AC992" s="213"/>
      <c r="AD992" s="213"/>
      <c r="AE992" s="213"/>
      <c r="AF992" s="213"/>
      <c r="AG992" s="213"/>
      <c r="AH992" s="213"/>
      <c r="AI992" s="213"/>
      <c r="AJ992" s="213"/>
      <c r="AK992" s="213"/>
      <c r="AL992" s="213"/>
      <c r="AM992" s="213"/>
      <c r="AN992" s="302"/>
      <c r="AO992" s="303"/>
      <c r="AP992" s="285"/>
      <c r="AQ992" s="258"/>
      <c r="AR992" s="258"/>
    </row>
    <row r="993" spans="10:44" s="48" customFormat="1" ht="12" hidden="1" customHeight="1">
      <c r="J993" s="213"/>
      <c r="K993" s="213"/>
      <c r="L993" s="213"/>
      <c r="M993" s="213"/>
      <c r="N993" s="213"/>
      <c r="O993" s="213"/>
      <c r="P993" s="213"/>
      <c r="Q993" s="213"/>
      <c r="R993" s="213"/>
      <c r="S993" s="213"/>
      <c r="T993" s="213"/>
      <c r="U993" s="213"/>
      <c r="V993" s="213"/>
      <c r="W993" s="213"/>
      <c r="X993" s="213"/>
      <c r="Y993" s="213"/>
      <c r="Z993" s="213"/>
      <c r="AA993" s="213"/>
      <c r="AB993" s="213"/>
      <c r="AC993" s="213"/>
      <c r="AD993" s="213"/>
      <c r="AE993" s="213"/>
      <c r="AF993" s="213"/>
      <c r="AG993" s="213"/>
      <c r="AH993" s="213"/>
      <c r="AI993" s="213"/>
      <c r="AJ993" s="213"/>
      <c r="AK993" s="213"/>
      <c r="AL993" s="213"/>
      <c r="AM993" s="213"/>
      <c r="AN993" s="302"/>
      <c r="AO993" s="303"/>
      <c r="AP993" s="285"/>
      <c r="AQ993" s="258"/>
      <c r="AR993" s="258"/>
    </row>
    <row r="994" spans="10:44" s="48" customFormat="1" ht="12" hidden="1" customHeight="1">
      <c r="J994" s="213"/>
      <c r="K994" s="213"/>
      <c r="L994" s="213"/>
      <c r="M994" s="213"/>
      <c r="N994" s="213"/>
      <c r="O994" s="213"/>
      <c r="P994" s="213"/>
      <c r="Q994" s="213"/>
      <c r="R994" s="213"/>
      <c r="S994" s="213"/>
      <c r="T994" s="213"/>
      <c r="U994" s="213"/>
      <c r="V994" s="213"/>
      <c r="W994" s="213"/>
      <c r="X994" s="213"/>
      <c r="Y994" s="213"/>
      <c r="Z994" s="213"/>
      <c r="AA994" s="213"/>
      <c r="AB994" s="213"/>
      <c r="AC994" s="213"/>
      <c r="AD994" s="213"/>
      <c r="AE994" s="213"/>
      <c r="AF994" s="213"/>
      <c r="AG994" s="213"/>
      <c r="AH994" s="213"/>
      <c r="AI994" s="213"/>
      <c r="AJ994" s="213"/>
      <c r="AK994" s="213"/>
      <c r="AL994" s="213"/>
      <c r="AM994" s="213"/>
      <c r="AN994" s="302"/>
      <c r="AO994" s="303"/>
      <c r="AP994" s="285"/>
      <c r="AQ994" s="258"/>
      <c r="AR994" s="258"/>
    </row>
    <row r="995" spans="10:44" s="48" customFormat="1" ht="12" hidden="1" customHeight="1">
      <c r="J995" s="213"/>
      <c r="K995" s="213"/>
      <c r="L995" s="213"/>
      <c r="M995" s="213"/>
      <c r="N995" s="213"/>
      <c r="O995" s="213"/>
      <c r="P995" s="213"/>
      <c r="Q995" s="213"/>
      <c r="R995" s="213"/>
      <c r="S995" s="213"/>
      <c r="T995" s="213"/>
      <c r="U995" s="213"/>
      <c r="V995" s="213"/>
      <c r="W995" s="213"/>
      <c r="X995" s="213"/>
      <c r="Y995" s="213"/>
      <c r="Z995" s="213"/>
      <c r="AA995" s="213"/>
      <c r="AB995" s="213"/>
      <c r="AC995" s="213"/>
      <c r="AD995" s="213"/>
      <c r="AE995" s="213"/>
      <c r="AF995" s="213"/>
      <c r="AG995" s="213"/>
      <c r="AH995" s="213"/>
      <c r="AI995" s="213"/>
      <c r="AJ995" s="213"/>
      <c r="AK995" s="213"/>
      <c r="AL995" s="213"/>
      <c r="AM995" s="213"/>
      <c r="AN995" s="302"/>
      <c r="AO995" s="303"/>
      <c r="AP995" s="285"/>
      <c r="AQ995" s="258"/>
      <c r="AR995" s="258"/>
    </row>
    <row r="996" spans="10:44" s="48" customFormat="1" ht="12" hidden="1" customHeight="1">
      <c r="J996" s="213"/>
      <c r="K996" s="213"/>
      <c r="L996" s="213"/>
      <c r="M996" s="213"/>
      <c r="N996" s="213"/>
      <c r="O996" s="213"/>
      <c r="P996" s="213"/>
      <c r="Q996" s="213"/>
      <c r="R996" s="213"/>
      <c r="S996" s="213"/>
      <c r="T996" s="213"/>
      <c r="U996" s="213"/>
      <c r="V996" s="213"/>
      <c r="W996" s="213"/>
      <c r="X996" s="213"/>
      <c r="Y996" s="213"/>
      <c r="Z996" s="213"/>
      <c r="AA996" s="213"/>
      <c r="AB996" s="213"/>
      <c r="AC996" s="213"/>
      <c r="AD996" s="213"/>
      <c r="AE996" s="213"/>
      <c r="AF996" s="213"/>
      <c r="AG996" s="213"/>
      <c r="AH996" s="213"/>
      <c r="AI996" s="213"/>
      <c r="AJ996" s="213"/>
      <c r="AK996" s="213"/>
      <c r="AL996" s="213"/>
      <c r="AM996" s="213"/>
      <c r="AN996" s="302"/>
      <c r="AO996" s="303"/>
      <c r="AP996" s="285"/>
      <c r="AQ996" s="258"/>
      <c r="AR996" s="258"/>
    </row>
    <row r="997" spans="10:44" s="48" customFormat="1" ht="12" hidden="1" customHeight="1">
      <c r="J997" s="213"/>
      <c r="K997" s="213"/>
      <c r="L997" s="213"/>
      <c r="M997" s="213"/>
      <c r="N997" s="213"/>
      <c r="O997" s="213"/>
      <c r="P997" s="213"/>
      <c r="Q997" s="213"/>
      <c r="R997" s="213"/>
      <c r="S997" s="213"/>
      <c r="T997" s="213"/>
      <c r="U997" s="213"/>
      <c r="V997" s="213"/>
      <c r="W997" s="213"/>
      <c r="X997" s="213"/>
      <c r="Y997" s="213"/>
      <c r="Z997" s="213"/>
      <c r="AA997" s="213"/>
      <c r="AB997" s="213"/>
      <c r="AC997" s="213"/>
      <c r="AD997" s="213"/>
      <c r="AE997" s="213"/>
      <c r="AF997" s="213"/>
      <c r="AG997" s="213"/>
      <c r="AH997" s="213"/>
      <c r="AI997" s="213"/>
      <c r="AJ997" s="213"/>
      <c r="AK997" s="213"/>
      <c r="AL997" s="213"/>
      <c r="AM997" s="213"/>
      <c r="AN997" s="302"/>
      <c r="AO997" s="303"/>
      <c r="AP997" s="285"/>
      <c r="AQ997" s="258"/>
      <c r="AR997" s="258"/>
    </row>
    <row r="998" spans="10:44" s="48" customFormat="1" ht="12" hidden="1" customHeight="1">
      <c r="J998" s="213"/>
      <c r="K998" s="213"/>
      <c r="L998" s="213"/>
      <c r="M998" s="213"/>
      <c r="N998" s="213"/>
      <c r="O998" s="213"/>
      <c r="P998" s="213"/>
      <c r="Q998" s="213"/>
      <c r="R998" s="213"/>
      <c r="S998" s="213"/>
      <c r="T998" s="213"/>
      <c r="U998" s="213"/>
      <c r="V998" s="213"/>
      <c r="W998" s="213"/>
      <c r="X998" s="213"/>
      <c r="Y998" s="213"/>
      <c r="Z998" s="213"/>
      <c r="AA998" s="213"/>
      <c r="AB998" s="213"/>
      <c r="AC998" s="213"/>
      <c r="AD998" s="213"/>
      <c r="AE998" s="213"/>
      <c r="AF998" s="213"/>
      <c r="AG998" s="213"/>
      <c r="AH998" s="213"/>
      <c r="AI998" s="213"/>
      <c r="AJ998" s="213"/>
      <c r="AK998" s="213"/>
      <c r="AL998" s="213"/>
      <c r="AM998" s="213"/>
      <c r="AN998" s="302"/>
      <c r="AO998" s="303"/>
      <c r="AP998" s="285"/>
      <c r="AQ998" s="258"/>
      <c r="AR998" s="258"/>
    </row>
    <row r="999" spans="10:44" s="48" customFormat="1" ht="12" hidden="1" customHeight="1">
      <c r="J999" s="213"/>
      <c r="K999" s="213"/>
      <c r="L999" s="213"/>
      <c r="M999" s="213"/>
      <c r="N999" s="213"/>
      <c r="O999" s="213"/>
      <c r="P999" s="213"/>
      <c r="Q999" s="213"/>
      <c r="R999" s="213"/>
      <c r="S999" s="213"/>
      <c r="T999" s="213"/>
      <c r="U999" s="213"/>
      <c r="V999" s="213"/>
      <c r="W999" s="213"/>
      <c r="X999" s="213"/>
      <c r="Y999" s="213"/>
      <c r="Z999" s="213"/>
      <c r="AA999" s="213"/>
      <c r="AB999" s="213"/>
      <c r="AC999" s="213"/>
      <c r="AD999" s="213"/>
      <c r="AE999" s="213"/>
      <c r="AF999" s="213"/>
      <c r="AG999" s="213"/>
      <c r="AH999" s="213"/>
      <c r="AI999" s="213"/>
      <c r="AJ999" s="213"/>
      <c r="AK999" s="213"/>
      <c r="AL999" s="213"/>
      <c r="AM999" s="213"/>
      <c r="AN999" s="302"/>
      <c r="AO999" s="303"/>
      <c r="AP999" s="285"/>
      <c r="AQ999" s="258"/>
      <c r="AR999" s="258"/>
    </row>
    <row r="1000" spans="10:44" s="48" customFormat="1" ht="0.75" customHeight="1">
      <c r="J1000" s="213"/>
      <c r="K1000" s="213"/>
      <c r="L1000" s="213"/>
      <c r="M1000" s="213"/>
      <c r="N1000" s="213"/>
      <c r="O1000" s="213"/>
      <c r="P1000" s="213"/>
      <c r="Q1000" s="213"/>
      <c r="R1000" s="213"/>
      <c r="S1000" s="213"/>
      <c r="T1000" s="213"/>
      <c r="U1000" s="213"/>
      <c r="V1000" s="213"/>
      <c r="W1000" s="213"/>
      <c r="X1000" s="213"/>
      <c r="Y1000" s="213"/>
      <c r="Z1000" s="213"/>
      <c r="AA1000" s="213"/>
      <c r="AB1000" s="213"/>
      <c r="AC1000" s="213"/>
      <c r="AD1000" s="213"/>
      <c r="AE1000" s="213"/>
      <c r="AF1000" s="213"/>
      <c r="AG1000" s="213"/>
      <c r="AH1000" s="213"/>
      <c r="AI1000" s="213"/>
      <c r="AJ1000" s="213"/>
      <c r="AK1000" s="213"/>
      <c r="AL1000" s="213"/>
      <c r="AM1000" s="213"/>
      <c r="AN1000" s="283"/>
      <c r="AO1000" s="215"/>
      <c r="AP1000" s="286"/>
      <c r="AQ1000" s="265"/>
      <c r="AR1000" s="265"/>
    </row>
    <row r="1001" spans="10:44" s="48" customFormat="1">
      <c r="J1001" s="213"/>
      <c r="K1001" s="213"/>
      <c r="L1001" s="213"/>
      <c r="M1001" s="213"/>
      <c r="N1001" s="213"/>
      <c r="O1001" s="213"/>
      <c r="P1001" s="213"/>
      <c r="Q1001" s="213"/>
      <c r="R1001" s="213"/>
      <c r="S1001" s="213"/>
      <c r="T1001" s="213"/>
      <c r="U1001" s="213"/>
      <c r="V1001" s="213"/>
      <c r="W1001" s="213"/>
      <c r="X1001" s="213"/>
      <c r="Y1001" s="213"/>
      <c r="Z1001" s="213"/>
      <c r="AA1001" s="213"/>
      <c r="AB1001" s="213"/>
      <c r="AC1001" s="213"/>
      <c r="AD1001" s="213"/>
      <c r="AE1001" s="213"/>
      <c r="AF1001" s="213"/>
      <c r="AG1001" s="213"/>
      <c r="AH1001" s="213"/>
      <c r="AI1001" s="213"/>
      <c r="AJ1001" s="213"/>
      <c r="AK1001" s="213"/>
      <c r="AL1001" s="213"/>
      <c r="AM1001" s="213"/>
      <c r="AN1001" s="199"/>
      <c r="AP1001" s="121"/>
      <c r="AQ1001" s="121"/>
    </row>
    <row r="1002" spans="10:44">
      <c r="AP1002" s="121"/>
      <c r="AQ1002" s="121"/>
    </row>
    <row r="1003" spans="10:44">
      <c r="AP1003" s="121"/>
      <c r="AQ1003" s="121"/>
    </row>
  </sheetData>
  <sheetProtection password="FA9C" sheet="1" objects="1" scenarios="1" formatColumns="0" formatRows="0"/>
  <mergeCells count="4">
    <mergeCell ref="AN9:AP9"/>
    <mergeCell ref="AN11:AN12"/>
    <mergeCell ref="AO11:AO12"/>
    <mergeCell ref="AP11:AP12"/>
  </mergeCells>
  <phoneticPr fontId="8"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sheetPr codeName="HEAT_ConR_PERIOD1">
    <tabColor rgb="FF7030A0"/>
    <outlinePr summaryBelow="0"/>
  </sheetPr>
  <dimension ref="A1:AU1001"/>
  <sheetViews>
    <sheetView showGridLines="0" topLeftCell="AL8" workbookViewId="0"/>
  </sheetViews>
  <sheetFormatPr defaultRowHeight="11.25"/>
  <cols>
    <col min="1" max="9" width="4.5703125" style="47" hidden="1" customWidth="1"/>
    <col min="10" max="10" width="4.5703125" hidden="1" customWidth="1"/>
    <col min="11" max="36" width="4.5703125" style="47" hidden="1" customWidth="1"/>
    <col min="37" max="37" width="2.7109375" style="47"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4" width="0.140625" style="47" customWidth="1"/>
    <col min="45" max="46" width="2.7109375" style="47" customWidth="1"/>
    <col min="47" max="16384" width="9.140625" style="47"/>
  </cols>
  <sheetData>
    <row r="1" spans="10:45" ht="12" hidden="1" customHeight="1"/>
    <row r="2" spans="10:45" ht="12" hidden="1" customHeight="1"/>
    <row r="3" spans="10:45" ht="12" hidden="1" customHeight="1"/>
    <row r="4" spans="10:45" ht="12" hidden="1" customHeight="1"/>
    <row r="5" spans="10:45" ht="12" hidden="1" customHeight="1"/>
    <row r="6" spans="10:45" ht="12" hidden="1" customHeight="1"/>
    <row r="7" spans="10:45" ht="12" hidden="1" customHeight="1"/>
    <row r="8" spans="10:45" s="314" customFormat="1" ht="12" customHeight="1">
      <c r="J8" s="313"/>
      <c r="AM8" s="617"/>
      <c r="AN8" s="637">
        <f>IF(TARIFF_SETUP_METHOD_CODE="BY_PSEUDO_YEARS",12,6)</f>
        <v>6</v>
      </c>
      <c r="AO8" s="431" t="str">
        <f>"Необходимо указывать " &amp; IF(TARIFF_SETUP_METHOD_CODE="BY_PSEUDO_YEARS","общегодовые значения","значения по периодам")</f>
        <v>Необходимо указывать значения по периодам</v>
      </c>
      <c r="AP8" s="616" t="s">
        <v>785</v>
      </c>
      <c r="AQ8" s="310"/>
      <c r="AR8" s="310"/>
      <c r="AS8" s="310"/>
    </row>
    <row r="9" spans="10:45"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на реализацию " &amp; RESOURCE_IDENTIFIER &amp; " конечным потребителям по муниципальному образованию - " &amp; IF(mo="","Не определено",mo)</f>
        <v>Фактические расходы организаций водоотведения на реализацию стоков конечным потребителям по муниципальному образованию - Село Булава</v>
      </c>
      <c r="AO9" s="917"/>
      <c r="AP9" s="917"/>
      <c r="AQ9" s="201"/>
      <c r="AR9" s="122"/>
      <c r="AS9" s="200"/>
    </row>
    <row r="10" spans="10:45" ht="12" customHeight="1">
      <c r="AM10" s="124"/>
      <c r="AN10" s="430" t="s">
        <v>2489</v>
      </c>
      <c r="AO10" s="221"/>
      <c r="AP10" s="122" t="s">
        <v>786</v>
      </c>
      <c r="AQ10" s="201"/>
      <c r="AR10" s="168" t="s">
        <v>720</v>
      </c>
      <c r="AS10" s="53"/>
    </row>
    <row r="11" spans="10:45" ht="12" customHeight="1">
      <c r="AL11" s="50"/>
      <c r="AM11" s="125"/>
      <c r="AN11" s="802" t="s">
        <v>641</v>
      </c>
      <c r="AO11" s="804" t="s">
        <v>787</v>
      </c>
      <c r="AP11" s="806" t="s">
        <v>778</v>
      </c>
      <c r="AQ11" s="206">
        <v>0</v>
      </c>
      <c r="AR11" s="206"/>
      <c r="AS11" s="220"/>
    </row>
    <row r="12" spans="10:45" ht="48" customHeight="1">
      <c r="AL12" s="50"/>
      <c r="AM12" s="125"/>
      <c r="AN12" s="802"/>
      <c r="AO12" s="804"/>
      <c r="AP12" s="806"/>
      <c r="AQ12" s="207"/>
      <c r="AR12" s="207"/>
      <c r="AS12" s="220"/>
    </row>
    <row r="13" spans="10:45" ht="11.25" customHeight="1">
      <c r="AL13" s="50"/>
      <c r="AM13" s="125"/>
      <c r="AN13" s="232"/>
      <c r="AO13" s="233" t="s">
        <v>788</v>
      </c>
      <c r="AP13" s="251"/>
      <c r="AQ13" s="207"/>
      <c r="AR13" s="207"/>
      <c r="AS13" s="220"/>
    </row>
    <row r="14" spans="10:45" ht="11.25" customHeight="1">
      <c r="AL14" s="50"/>
      <c r="AM14" s="125"/>
      <c r="AN14" s="232"/>
      <c r="AO14" s="490" t="str">
        <f>IF(CALC_IDENTIFIER="","",CALC_IDENTIFIER)</f>
        <v/>
      </c>
      <c r="AP14" s="251"/>
      <c r="AQ14" s="207"/>
      <c r="AR14" s="207"/>
      <c r="AS14" s="220"/>
    </row>
    <row r="15" spans="10:45">
      <c r="AL15" s="50"/>
      <c r="AM15" s="125"/>
      <c r="AN15" s="234" t="s">
        <v>642</v>
      </c>
      <c r="AO15" s="489" t="s">
        <v>789</v>
      </c>
      <c r="AP15" s="257">
        <f t="shared" ref="AP15:AP26" si="0">SUM(AQ15:AR15)</f>
        <v>0</v>
      </c>
      <c r="AQ15" s="258"/>
      <c r="AR15" s="258"/>
      <c r="AS15" s="127"/>
    </row>
    <row r="16" spans="10:45">
      <c r="AL16" s="50"/>
      <c r="AM16" s="125"/>
      <c r="AN16" s="234" t="s">
        <v>790</v>
      </c>
      <c r="AO16" s="224" t="s">
        <v>791</v>
      </c>
      <c r="AP16" s="257">
        <f t="shared" si="0"/>
        <v>0</v>
      </c>
      <c r="AQ16" s="258"/>
      <c r="AR16" s="258"/>
      <c r="AS16" s="127"/>
    </row>
    <row r="17" spans="1:47">
      <c r="AL17" s="50"/>
      <c r="AM17" s="125"/>
      <c r="AN17" s="236" t="s">
        <v>792</v>
      </c>
      <c r="AO17" s="237" t="s">
        <v>793</v>
      </c>
      <c r="AP17" s="257">
        <f t="shared" si="0"/>
        <v>0</v>
      </c>
      <c r="AQ17" s="258"/>
      <c r="AR17" s="258"/>
      <c r="AS17" s="127"/>
    </row>
    <row r="18" spans="1:47" hidden="1">
      <c r="AL18" s="50"/>
      <c r="AM18" s="125"/>
      <c r="AN18" s="222"/>
      <c r="AO18" s="715"/>
      <c r="AP18" s="260"/>
      <c r="AQ18" s="258"/>
      <c r="AR18" s="258"/>
      <c r="AS18" s="127"/>
    </row>
    <row r="19" spans="1:47" hidden="1">
      <c r="AL19" s="50"/>
      <c r="AM19" s="125"/>
      <c r="AN19" s="222"/>
      <c r="AO19" s="716"/>
      <c r="AP19" s="260"/>
      <c r="AQ19" s="258"/>
      <c r="AR19" s="258"/>
      <c r="AS19" s="127"/>
    </row>
    <row r="20" spans="1:47" ht="22.5">
      <c r="A20" s="51"/>
      <c r="B20" s="51"/>
      <c r="C20" s="51"/>
      <c r="D20" s="51"/>
      <c r="E20" s="51"/>
      <c r="F20" s="51"/>
      <c r="G20" s="51"/>
      <c r="H20" s="51"/>
      <c r="I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2"/>
      <c r="AM20" s="125"/>
      <c r="AN20" s="236" t="s">
        <v>63</v>
      </c>
      <c r="AO20" s="237" t="s">
        <v>64</v>
      </c>
      <c r="AP20" s="257">
        <f t="shared" si="0"/>
        <v>0</v>
      </c>
      <c r="AQ20" s="258"/>
      <c r="AR20" s="258"/>
      <c r="AS20" s="127"/>
    </row>
    <row r="21" spans="1:47">
      <c r="A21" s="51"/>
      <c r="B21" s="51"/>
      <c r="C21" s="51"/>
      <c r="D21" s="51"/>
      <c r="E21" s="51"/>
      <c r="F21" s="51"/>
      <c r="G21" s="51"/>
      <c r="H21" s="51"/>
      <c r="I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3"/>
      <c r="AM21" s="124"/>
      <c r="AN21" s="234" t="s">
        <v>751</v>
      </c>
      <c r="AO21" s="235" t="s">
        <v>65</v>
      </c>
      <c r="AP21" s="257">
        <f t="shared" si="0"/>
        <v>0</v>
      </c>
      <c r="AQ21" s="258"/>
      <c r="AR21" s="258"/>
      <c r="AS21" s="127"/>
    </row>
    <row r="22" spans="1:47">
      <c r="A22" s="51"/>
      <c r="B22" s="51"/>
      <c r="C22" s="51"/>
      <c r="D22" s="51"/>
      <c r="E22" s="51"/>
      <c r="F22" s="51"/>
      <c r="G22" s="51"/>
      <c r="H22" s="51"/>
      <c r="I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3"/>
      <c r="AM22" s="124"/>
      <c r="AN22" s="234" t="s">
        <v>66</v>
      </c>
      <c r="AO22" s="237" t="s">
        <v>67</v>
      </c>
      <c r="AP22" s="257">
        <f t="shared" si="0"/>
        <v>0</v>
      </c>
      <c r="AQ22" s="258"/>
      <c r="AR22" s="258"/>
      <c r="AS22" s="127"/>
    </row>
    <row r="23" spans="1:47">
      <c r="A23" s="51"/>
      <c r="B23" s="51"/>
      <c r="C23" s="51"/>
      <c r="D23" s="51"/>
      <c r="E23" s="51"/>
      <c r="F23" s="51"/>
      <c r="G23" s="51"/>
      <c r="H23" s="51"/>
      <c r="I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3"/>
      <c r="AM23" s="124"/>
      <c r="AN23" s="234" t="s">
        <v>69</v>
      </c>
      <c r="AO23" s="237" t="s">
        <v>70</v>
      </c>
      <c r="AP23" s="257">
        <f t="shared" si="0"/>
        <v>0</v>
      </c>
      <c r="AQ23" s="258"/>
      <c r="AR23" s="258"/>
      <c r="AS23" s="127"/>
    </row>
    <row r="24" spans="1:47">
      <c r="A24" s="51"/>
      <c r="B24" s="51"/>
      <c r="C24" s="51"/>
      <c r="D24" s="51"/>
      <c r="E24" s="51"/>
      <c r="F24" s="51"/>
      <c r="G24" s="51"/>
      <c r="H24" s="51"/>
      <c r="I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3"/>
      <c r="AM24" s="124"/>
      <c r="AN24" s="234" t="s">
        <v>72</v>
      </c>
      <c r="AO24" s="237" t="s">
        <v>73</v>
      </c>
      <c r="AP24" s="257">
        <f t="shared" si="0"/>
        <v>0</v>
      </c>
      <c r="AQ24" s="258"/>
      <c r="AR24" s="258"/>
      <c r="AS24" s="127"/>
    </row>
    <row r="25" spans="1:47">
      <c r="A25" s="51"/>
      <c r="B25" s="51"/>
      <c r="C25" s="51"/>
      <c r="D25" s="51"/>
      <c r="E25" s="51"/>
      <c r="F25" s="51"/>
      <c r="G25" s="51"/>
      <c r="H25" s="51"/>
      <c r="I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3"/>
      <c r="AM25" s="124"/>
      <c r="AN25" s="234" t="s">
        <v>752</v>
      </c>
      <c r="AO25" s="235" t="s">
        <v>74</v>
      </c>
      <c r="AP25" s="257">
        <f t="shared" si="0"/>
        <v>0</v>
      </c>
      <c r="AQ25" s="258"/>
      <c r="AR25" s="258"/>
      <c r="AS25" s="127"/>
    </row>
    <row r="26" spans="1:47">
      <c r="A26" s="51"/>
      <c r="B26" s="51"/>
      <c r="C26" s="51"/>
      <c r="D26" s="51"/>
      <c r="E26" s="51"/>
      <c r="F26" s="51"/>
      <c r="G26" s="51"/>
      <c r="H26" s="51"/>
      <c r="I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3"/>
      <c r="AM26" s="124"/>
      <c r="AN26" s="236" t="s">
        <v>760</v>
      </c>
      <c r="AO26" s="237" t="s">
        <v>76</v>
      </c>
      <c r="AP26" s="257">
        <f t="shared" si="0"/>
        <v>0</v>
      </c>
      <c r="AQ26" s="258"/>
      <c r="AR26" s="258"/>
      <c r="AS26" s="127"/>
    </row>
    <row r="27" spans="1:47" ht="22.5">
      <c r="A27" s="51"/>
      <c r="B27" s="51"/>
      <c r="C27" s="51"/>
      <c r="D27" s="51"/>
      <c r="E27" s="51"/>
      <c r="F27" s="51"/>
      <c r="G27" s="51"/>
      <c r="H27" s="51"/>
      <c r="I27" s="5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234" t="s">
        <v>753</v>
      </c>
      <c r="AO27" s="233" t="s">
        <v>211</v>
      </c>
      <c r="AP27" s="305">
        <f>SUM(AQ27:AR27)</f>
        <v>0</v>
      </c>
      <c r="AQ27" s="258"/>
      <c r="AR27" s="258"/>
      <c r="AS27" s="202"/>
      <c r="AT27" s="48"/>
      <c r="AU27" s="48"/>
    </row>
    <row r="28" spans="1:47">
      <c r="A28" s="51"/>
      <c r="B28" s="51"/>
      <c r="C28" s="51"/>
      <c r="D28" s="51"/>
      <c r="E28" s="51"/>
      <c r="F28" s="51"/>
      <c r="G28" s="51"/>
      <c r="H28" s="51"/>
      <c r="I28" s="5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451" t="s">
        <v>766</v>
      </c>
      <c r="AO28" s="453" t="s">
        <v>78</v>
      </c>
      <c r="AP28" s="305">
        <f>SUM(AQ28:AR28)</f>
        <v>0</v>
      </c>
      <c r="AQ28" s="258"/>
      <c r="AR28" s="258"/>
      <c r="AS28" s="202"/>
      <c r="AT28" s="48"/>
      <c r="AU28" s="48"/>
    </row>
    <row r="29" spans="1:47">
      <c r="A29" s="51"/>
      <c r="B29" s="51"/>
      <c r="C29" s="51"/>
      <c r="D29" s="51"/>
      <c r="E29" s="51"/>
      <c r="F29" s="51"/>
      <c r="G29" s="51"/>
      <c r="H29" s="51"/>
      <c r="I29" s="5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451" t="s">
        <v>768</v>
      </c>
      <c r="AO29" s="454" t="s">
        <v>212</v>
      </c>
      <c r="AP29" s="305">
        <f>SUM(AQ29:AR29)</f>
        <v>0</v>
      </c>
      <c r="AQ29" s="258"/>
      <c r="AR29" s="258"/>
      <c r="AS29" s="202"/>
      <c r="AT29" s="48"/>
      <c r="AU29" s="48"/>
    </row>
    <row r="30" spans="1:47">
      <c r="A30" s="51"/>
      <c r="B30" s="51"/>
      <c r="C30" s="51"/>
      <c r="D30" s="51"/>
      <c r="E30" s="51"/>
      <c r="F30" s="51"/>
      <c r="G30" s="51"/>
      <c r="H30" s="51"/>
      <c r="I30" s="5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451" t="s">
        <v>132</v>
      </c>
      <c r="AO30" s="455" t="s">
        <v>79</v>
      </c>
      <c r="AP30" s="305">
        <f>SUM(AQ30:AR30)</f>
        <v>0</v>
      </c>
      <c r="AQ30" s="258"/>
      <c r="AR30" s="258"/>
      <c r="AS30" s="202"/>
      <c r="AT30" s="48"/>
      <c r="AU30" s="48"/>
    </row>
    <row r="31" spans="1:47" hidden="1">
      <c r="A31" s="51"/>
      <c r="B31" s="51"/>
      <c r="C31" s="51"/>
      <c r="D31" s="51"/>
      <c r="E31" s="51"/>
      <c r="F31" s="51"/>
      <c r="G31" s="51"/>
      <c r="H31" s="51"/>
      <c r="I31" s="5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451"/>
      <c r="AO31" s="455"/>
      <c r="AP31" s="287"/>
      <c r="AQ31" s="258"/>
      <c r="AR31" s="258"/>
      <c r="AS31" s="202"/>
      <c r="AT31" s="48"/>
      <c r="AU31" s="48"/>
    </row>
    <row r="32" spans="1:47" hidden="1">
      <c r="A32" s="51"/>
      <c r="B32" s="51"/>
      <c r="C32" s="51"/>
      <c r="D32" s="51"/>
      <c r="E32" s="51"/>
      <c r="F32" s="51"/>
      <c r="G32" s="51"/>
      <c r="H32" s="51"/>
      <c r="I32" s="5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451"/>
      <c r="AO32" s="455"/>
      <c r="AP32" s="287"/>
      <c r="AQ32" s="258"/>
      <c r="AR32" s="258"/>
      <c r="AS32" s="202"/>
      <c r="AT32" s="48"/>
      <c r="AU32" s="48"/>
    </row>
    <row r="33" spans="1:47" hidden="1">
      <c r="A33" s="51"/>
      <c r="B33" s="51"/>
      <c r="C33" s="51"/>
      <c r="D33" s="51"/>
      <c r="E33" s="51"/>
      <c r="F33" s="51"/>
      <c r="G33" s="51"/>
      <c r="H33" s="51"/>
      <c r="I33" s="5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451"/>
      <c r="AO33" s="455"/>
      <c r="AP33" s="287"/>
      <c r="AQ33" s="258"/>
      <c r="AR33" s="258"/>
      <c r="AS33" s="202"/>
      <c r="AT33" s="48"/>
      <c r="AU33" s="48"/>
    </row>
    <row r="34" spans="1:47" hidden="1">
      <c r="A34" s="51"/>
      <c r="B34" s="51"/>
      <c r="C34" s="51"/>
      <c r="D34" s="51"/>
      <c r="E34" s="51"/>
      <c r="F34" s="51"/>
      <c r="G34" s="51"/>
      <c r="H34" s="51"/>
      <c r="I34" s="5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451"/>
      <c r="AO34" s="455"/>
      <c r="AP34" s="287"/>
      <c r="AQ34" s="258"/>
      <c r="AR34" s="258"/>
      <c r="AS34" s="202"/>
      <c r="AT34" s="48"/>
      <c r="AU34" s="48"/>
    </row>
    <row r="35" spans="1:47" hidden="1">
      <c r="A35" s="51"/>
      <c r="B35" s="51"/>
      <c r="C35" s="51"/>
      <c r="D35" s="51"/>
      <c r="E35" s="51"/>
      <c r="F35" s="51"/>
      <c r="G35" s="51"/>
      <c r="H35" s="51"/>
      <c r="I35" s="5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451"/>
      <c r="AO35" s="455"/>
      <c r="AP35" s="287"/>
      <c r="AQ35" s="258"/>
      <c r="AR35" s="258"/>
      <c r="AS35" s="202"/>
      <c r="AT35" s="48"/>
      <c r="AU35" s="48"/>
    </row>
    <row r="36" spans="1:47" hidden="1">
      <c r="A36" s="51"/>
      <c r="B36" s="51"/>
      <c r="C36" s="51"/>
      <c r="D36" s="51"/>
      <c r="E36" s="51"/>
      <c r="F36" s="51"/>
      <c r="G36" s="51"/>
      <c r="H36" s="51"/>
      <c r="I36" s="5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451"/>
      <c r="AO36" s="455"/>
      <c r="AP36" s="287"/>
      <c r="AQ36" s="258"/>
      <c r="AR36" s="258"/>
      <c r="AS36" s="202"/>
      <c r="AT36" s="48"/>
      <c r="AU36" s="48"/>
    </row>
    <row r="37" spans="1:47" hidden="1">
      <c r="A37" s="51"/>
      <c r="B37" s="51"/>
      <c r="C37" s="51"/>
      <c r="D37" s="51"/>
      <c r="E37" s="51"/>
      <c r="F37" s="51"/>
      <c r="G37" s="51"/>
      <c r="H37" s="51"/>
      <c r="I37" s="5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451"/>
      <c r="AO37" s="455"/>
      <c r="AP37" s="287"/>
      <c r="AQ37" s="258"/>
      <c r="AR37" s="258"/>
      <c r="AS37" s="202"/>
      <c r="AT37" s="48"/>
      <c r="AU37" s="48"/>
    </row>
    <row r="38" spans="1:47">
      <c r="A38" s="51"/>
      <c r="B38" s="51"/>
      <c r="C38" s="51"/>
      <c r="D38" s="51"/>
      <c r="E38" s="51"/>
      <c r="F38" s="51"/>
      <c r="G38" s="51"/>
      <c r="H38" s="51"/>
      <c r="I38" s="5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451" t="s">
        <v>80</v>
      </c>
      <c r="AO38" s="455" t="s">
        <v>81</v>
      </c>
      <c r="AP38" s="305">
        <f>SUM(AQ38:AR38)</f>
        <v>0</v>
      </c>
      <c r="AQ38" s="258"/>
      <c r="AR38" s="258"/>
      <c r="AS38" s="202"/>
      <c r="AT38" s="48"/>
      <c r="AU38" s="48"/>
    </row>
    <row r="39" spans="1:47" hidden="1">
      <c r="A39" s="51"/>
      <c r="B39" s="51"/>
      <c r="C39" s="51"/>
      <c r="D39" s="51"/>
      <c r="E39" s="51"/>
      <c r="F39" s="51"/>
      <c r="G39" s="51"/>
      <c r="H39" s="51"/>
      <c r="I39" s="5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451"/>
      <c r="AO39" s="455"/>
      <c r="AP39" s="287"/>
      <c r="AQ39" s="258"/>
      <c r="AR39" s="258"/>
      <c r="AS39" s="202"/>
      <c r="AT39" s="48"/>
      <c r="AU39" s="48"/>
    </row>
    <row r="40" spans="1:47" hidden="1">
      <c r="A40" s="51"/>
      <c r="B40" s="51"/>
      <c r="C40" s="51"/>
      <c r="D40" s="51"/>
      <c r="E40" s="51"/>
      <c r="F40" s="51"/>
      <c r="G40" s="51"/>
      <c r="H40" s="51"/>
      <c r="I40" s="5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451"/>
      <c r="AO40" s="455"/>
      <c r="AP40" s="287"/>
      <c r="AQ40" s="258"/>
      <c r="AR40" s="258"/>
      <c r="AS40" s="202"/>
      <c r="AT40" s="48"/>
      <c r="AU40" s="48"/>
    </row>
    <row r="41" spans="1:47" hidden="1">
      <c r="A41" s="51"/>
      <c r="B41" s="51"/>
      <c r="C41" s="51"/>
      <c r="D41" s="51"/>
      <c r="E41" s="51"/>
      <c r="F41" s="51"/>
      <c r="G41" s="51"/>
      <c r="H41" s="51"/>
      <c r="I41" s="5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451"/>
      <c r="AO41" s="455"/>
      <c r="AP41" s="287"/>
      <c r="AQ41" s="258"/>
      <c r="AR41" s="258"/>
      <c r="AS41" s="202"/>
      <c r="AT41" s="48"/>
      <c r="AU41" s="48"/>
    </row>
    <row r="42" spans="1:47" hidden="1">
      <c r="A42" s="51"/>
      <c r="B42" s="51"/>
      <c r="C42" s="51"/>
      <c r="D42" s="51"/>
      <c r="E42" s="51"/>
      <c r="F42" s="51"/>
      <c r="G42" s="51"/>
      <c r="H42" s="51"/>
      <c r="I42" s="5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451"/>
      <c r="AO42" s="455"/>
      <c r="AP42" s="287"/>
      <c r="AQ42" s="258"/>
      <c r="AR42" s="258"/>
      <c r="AS42" s="202"/>
      <c r="AT42" s="48"/>
      <c r="AU42" s="48"/>
    </row>
    <row r="43" spans="1:47" hidden="1">
      <c r="A43" s="51"/>
      <c r="B43" s="51"/>
      <c r="C43" s="51"/>
      <c r="D43" s="51"/>
      <c r="E43" s="51"/>
      <c r="F43" s="51"/>
      <c r="G43" s="51"/>
      <c r="H43" s="51"/>
      <c r="I43" s="5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451"/>
      <c r="AO43" s="455"/>
      <c r="AP43" s="287"/>
      <c r="AQ43" s="258"/>
      <c r="AR43" s="258"/>
      <c r="AS43" s="202"/>
      <c r="AT43" s="48"/>
      <c r="AU43" s="48"/>
    </row>
    <row r="44" spans="1:47" hidden="1">
      <c r="A44" s="51"/>
      <c r="B44" s="51"/>
      <c r="C44" s="51"/>
      <c r="D44" s="51"/>
      <c r="E44" s="51"/>
      <c r="F44" s="51"/>
      <c r="G44" s="51"/>
      <c r="H44" s="51"/>
      <c r="I44" s="5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451"/>
      <c r="AO44" s="455"/>
      <c r="AP44" s="287"/>
      <c r="AQ44" s="258"/>
      <c r="AR44" s="258"/>
      <c r="AS44" s="202"/>
      <c r="AT44" s="48"/>
      <c r="AU44" s="48"/>
    </row>
    <row r="45" spans="1:47" hidden="1">
      <c r="A45" s="51"/>
      <c r="B45" s="51"/>
      <c r="C45" s="51"/>
      <c r="D45" s="51"/>
      <c r="E45" s="51"/>
      <c r="F45" s="51"/>
      <c r="G45" s="51"/>
      <c r="H45" s="51"/>
      <c r="I45" s="5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451"/>
      <c r="AO45" s="455"/>
      <c r="AP45" s="287"/>
      <c r="AQ45" s="258"/>
      <c r="AR45" s="258"/>
      <c r="AS45" s="202"/>
      <c r="AT45" s="48"/>
      <c r="AU45" s="48"/>
    </row>
    <row r="46" spans="1:47">
      <c r="A46" s="51"/>
      <c r="B46" s="51"/>
      <c r="C46" s="51"/>
      <c r="D46" s="51"/>
      <c r="E46" s="51"/>
      <c r="F46" s="51"/>
      <c r="G46" s="51"/>
      <c r="H46" s="51"/>
      <c r="I46" s="5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451" t="s">
        <v>82</v>
      </c>
      <c r="AO46" s="455" t="s">
        <v>83</v>
      </c>
      <c r="AP46" s="305">
        <f t="shared" ref="AP46:AP59" si="1">SUM(AQ46:AR46)</f>
        <v>0</v>
      </c>
      <c r="AQ46" s="258"/>
      <c r="AR46" s="258"/>
      <c r="AS46" s="202"/>
      <c r="AT46" s="48"/>
      <c r="AU46" s="48"/>
    </row>
    <row r="47" spans="1:47">
      <c r="A47" s="51"/>
      <c r="B47" s="51"/>
      <c r="C47" s="51"/>
      <c r="D47" s="51"/>
      <c r="E47" s="51"/>
      <c r="F47" s="51"/>
      <c r="G47" s="51"/>
      <c r="H47" s="51"/>
      <c r="I47" s="5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451" t="s">
        <v>84</v>
      </c>
      <c r="AO47" s="457" t="s">
        <v>85</v>
      </c>
      <c r="AP47" s="305">
        <f t="shared" si="1"/>
        <v>0</v>
      </c>
      <c r="AQ47" s="258"/>
      <c r="AR47" s="258"/>
      <c r="AS47" s="202"/>
      <c r="AT47" s="48"/>
      <c r="AU47" s="48"/>
    </row>
    <row r="48" spans="1:47">
      <c r="A48" s="51"/>
      <c r="B48" s="51"/>
      <c r="C48" s="51"/>
      <c r="D48" s="51"/>
      <c r="E48" s="51"/>
      <c r="F48" s="51"/>
      <c r="G48" s="51"/>
      <c r="H48" s="51"/>
      <c r="I48" s="5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451" t="s">
        <v>86</v>
      </c>
      <c r="AO48" s="457" t="s">
        <v>87</v>
      </c>
      <c r="AP48" s="305">
        <f t="shared" si="1"/>
        <v>0</v>
      </c>
      <c r="AQ48" s="258"/>
      <c r="AR48" s="258"/>
      <c r="AS48" s="202"/>
      <c r="AT48" s="48"/>
      <c r="AU48" s="48"/>
    </row>
    <row r="49" spans="1:47">
      <c r="A49" s="51"/>
      <c r="B49" s="51"/>
      <c r="C49" s="51"/>
      <c r="D49" s="51"/>
      <c r="E49" s="51"/>
      <c r="F49" s="51"/>
      <c r="G49" s="51"/>
      <c r="H49" s="51"/>
      <c r="I49" s="5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451" t="s">
        <v>88</v>
      </c>
      <c r="AO49" s="457" t="s">
        <v>89</v>
      </c>
      <c r="AP49" s="305">
        <f t="shared" si="1"/>
        <v>0</v>
      </c>
      <c r="AQ49" s="258"/>
      <c r="AR49" s="258"/>
      <c r="AS49" s="202"/>
      <c r="AT49" s="48"/>
      <c r="AU49" s="48"/>
    </row>
    <row r="50" spans="1:47">
      <c r="A50" s="51"/>
      <c r="B50" s="51"/>
      <c r="C50" s="51"/>
      <c r="D50" s="51"/>
      <c r="E50" s="51"/>
      <c r="F50" s="51"/>
      <c r="G50" s="51"/>
      <c r="H50" s="51"/>
      <c r="I50" s="5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451" t="s">
        <v>90</v>
      </c>
      <c r="AO50" s="457" t="s">
        <v>91</v>
      </c>
      <c r="AP50" s="305">
        <f t="shared" si="1"/>
        <v>0</v>
      </c>
      <c r="AQ50" s="258"/>
      <c r="AR50" s="258"/>
      <c r="AS50" s="202"/>
      <c r="AT50" s="48"/>
      <c r="AU50" s="48"/>
    </row>
    <row r="51" spans="1:47">
      <c r="A51" s="51"/>
      <c r="B51" s="51"/>
      <c r="C51" s="51"/>
      <c r="D51" s="51"/>
      <c r="E51" s="51"/>
      <c r="F51" s="51"/>
      <c r="G51" s="51"/>
      <c r="H51" s="51"/>
      <c r="I51" s="5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451" t="s">
        <v>92</v>
      </c>
      <c r="AO51" s="457" t="s">
        <v>93</v>
      </c>
      <c r="AP51" s="305">
        <f t="shared" si="1"/>
        <v>0</v>
      </c>
      <c r="AQ51" s="258"/>
      <c r="AR51" s="258"/>
      <c r="AS51" s="202"/>
      <c r="AT51" s="48"/>
      <c r="AU51" s="48"/>
    </row>
    <row r="52" spans="1:47">
      <c r="A52" s="51"/>
      <c r="B52" s="51"/>
      <c r="C52" s="51"/>
      <c r="D52" s="51"/>
      <c r="E52" s="51"/>
      <c r="F52" s="51"/>
      <c r="G52" s="51"/>
      <c r="H52" s="51"/>
      <c r="I52" s="5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451" t="s">
        <v>94</v>
      </c>
      <c r="AO52" s="457" t="s">
        <v>95</v>
      </c>
      <c r="AP52" s="305">
        <f t="shared" si="1"/>
        <v>0</v>
      </c>
      <c r="AQ52" s="258"/>
      <c r="AR52" s="258"/>
      <c r="AS52" s="202"/>
      <c r="AT52" s="48"/>
      <c r="AU52" s="48"/>
    </row>
    <row r="53" spans="1:47">
      <c r="A53" s="51"/>
      <c r="B53" s="51"/>
      <c r="C53" s="51"/>
      <c r="D53" s="51"/>
      <c r="E53" s="51"/>
      <c r="F53" s="51"/>
      <c r="G53" s="51"/>
      <c r="H53" s="51"/>
      <c r="I53" s="5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451" t="s">
        <v>2975</v>
      </c>
      <c r="AO53" s="457" t="s">
        <v>2976</v>
      </c>
      <c r="AP53" s="305">
        <f t="shared" si="1"/>
        <v>0</v>
      </c>
      <c r="AQ53" s="258"/>
      <c r="AR53" s="258"/>
      <c r="AS53" s="202"/>
      <c r="AT53" s="48"/>
      <c r="AU53" s="48"/>
    </row>
    <row r="54" spans="1:47">
      <c r="A54" s="51"/>
      <c r="B54" s="51"/>
      <c r="C54" s="51"/>
      <c r="D54" s="51"/>
      <c r="E54" s="51"/>
      <c r="F54" s="51"/>
      <c r="G54" s="51"/>
      <c r="H54" s="51"/>
      <c r="I54" s="5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451" t="s">
        <v>2977</v>
      </c>
      <c r="AO54" s="457" t="s">
        <v>2978</v>
      </c>
      <c r="AP54" s="305">
        <f t="shared" si="1"/>
        <v>0</v>
      </c>
      <c r="AQ54" s="258"/>
      <c r="AR54" s="258"/>
      <c r="AS54" s="202"/>
      <c r="AT54" s="48"/>
      <c r="AU54" s="48"/>
    </row>
    <row r="55" spans="1:47">
      <c r="A55" s="51"/>
      <c r="B55" s="51"/>
      <c r="C55" s="51"/>
      <c r="D55" s="51"/>
      <c r="E55" s="51"/>
      <c r="F55" s="51"/>
      <c r="G55" s="51"/>
      <c r="H55" s="51"/>
      <c r="I55" s="5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451" t="s">
        <v>2979</v>
      </c>
      <c r="AO55" s="457" t="s">
        <v>2980</v>
      </c>
      <c r="AP55" s="305">
        <f t="shared" si="1"/>
        <v>0</v>
      </c>
      <c r="AQ55" s="258"/>
      <c r="AR55" s="258"/>
      <c r="AS55" s="202"/>
      <c r="AT55" s="48"/>
      <c r="AU55" s="48"/>
    </row>
    <row r="56" spans="1:47">
      <c r="A56" s="51"/>
      <c r="B56" s="51"/>
      <c r="C56" s="51"/>
      <c r="D56" s="51"/>
      <c r="E56" s="51"/>
      <c r="F56" s="51"/>
      <c r="G56" s="51"/>
      <c r="H56" s="51"/>
      <c r="I56" s="5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451" t="s">
        <v>2981</v>
      </c>
      <c r="AO56" s="457" t="s">
        <v>2982</v>
      </c>
      <c r="AP56" s="305">
        <f t="shared" si="1"/>
        <v>0</v>
      </c>
      <c r="AQ56" s="258"/>
      <c r="AR56" s="258"/>
      <c r="AS56" s="202"/>
      <c r="AT56" s="48"/>
      <c r="AU56" s="48"/>
    </row>
    <row r="57" spans="1:47">
      <c r="A57" s="51"/>
      <c r="B57" s="51"/>
      <c r="C57" s="51"/>
      <c r="D57" s="51"/>
      <c r="E57" s="51"/>
      <c r="F57" s="51"/>
      <c r="G57" s="51"/>
      <c r="H57" s="51"/>
      <c r="I57" s="5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451" t="s">
        <v>2983</v>
      </c>
      <c r="AO57" s="224" t="s">
        <v>2984</v>
      </c>
      <c r="AP57" s="305">
        <f t="shared" si="1"/>
        <v>0</v>
      </c>
      <c r="AQ57" s="258"/>
      <c r="AR57" s="258"/>
      <c r="AS57" s="202"/>
      <c r="AT57" s="48"/>
      <c r="AU57" s="48"/>
    </row>
    <row r="58" spans="1:47">
      <c r="A58" s="51"/>
      <c r="B58" s="51"/>
      <c r="C58" s="51"/>
      <c r="D58" s="51"/>
      <c r="E58" s="51"/>
      <c r="F58" s="51"/>
      <c r="G58" s="51"/>
      <c r="H58" s="51"/>
      <c r="I58" s="5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451" t="s">
        <v>2989</v>
      </c>
      <c r="AO58" s="224" t="s">
        <v>2990</v>
      </c>
      <c r="AP58" s="305">
        <f t="shared" si="1"/>
        <v>0</v>
      </c>
      <c r="AQ58" s="258"/>
      <c r="AR58" s="258"/>
      <c r="AS58" s="202"/>
      <c r="AT58" s="48"/>
      <c r="AU58" s="48"/>
    </row>
    <row r="59" spans="1:47">
      <c r="A59" s="51"/>
      <c r="B59" s="51"/>
      <c r="C59" s="51"/>
      <c r="D59" s="51"/>
      <c r="E59" s="51"/>
      <c r="F59" s="51"/>
      <c r="G59" s="51"/>
      <c r="H59" s="51"/>
      <c r="I59" s="5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451" t="s">
        <v>292</v>
      </c>
      <c r="AO59" s="442" t="s">
        <v>291</v>
      </c>
      <c r="AP59" s="305">
        <f t="shared" si="1"/>
        <v>0</v>
      </c>
      <c r="AQ59" s="258"/>
      <c r="AR59" s="258"/>
      <c r="AS59" s="202"/>
      <c r="AT59" s="48"/>
      <c r="AU59" s="48"/>
    </row>
    <row r="60" spans="1:47" hidden="1">
      <c r="A60" s="51"/>
      <c r="B60" s="51"/>
      <c r="C60" s="51"/>
      <c r="D60" s="51"/>
      <c r="E60" s="51"/>
      <c r="F60" s="51"/>
      <c r="G60" s="51"/>
      <c r="H60" s="51"/>
      <c r="I60" s="5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239"/>
      <c r="AO60" s="225"/>
      <c r="AP60" s="287"/>
      <c r="AQ60" s="258"/>
      <c r="AR60" s="258"/>
      <c r="AS60" s="202"/>
      <c r="AT60" s="48"/>
      <c r="AU60" s="48"/>
    </row>
    <row r="61" spans="1:47" hidden="1">
      <c r="A61" s="51"/>
      <c r="B61" s="51"/>
      <c r="C61" s="51"/>
      <c r="D61" s="51"/>
      <c r="E61" s="51"/>
      <c r="F61" s="51"/>
      <c r="G61" s="51"/>
      <c r="H61" s="51"/>
      <c r="I61" s="5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239"/>
      <c r="AO61" s="225"/>
      <c r="AP61" s="287"/>
      <c r="AQ61" s="258"/>
      <c r="AR61" s="258"/>
      <c r="AS61" s="202"/>
      <c r="AT61" s="48"/>
      <c r="AU61" s="48"/>
    </row>
    <row r="62" spans="1:47" hidden="1">
      <c r="A62" s="51"/>
      <c r="B62" s="51"/>
      <c r="C62" s="51"/>
      <c r="D62" s="51"/>
      <c r="E62" s="51"/>
      <c r="F62" s="51"/>
      <c r="G62" s="51"/>
      <c r="H62" s="51"/>
      <c r="I62" s="5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239"/>
      <c r="AO62" s="225"/>
      <c r="AP62" s="287"/>
      <c r="AQ62" s="258"/>
      <c r="AR62" s="258"/>
      <c r="AS62" s="202"/>
      <c r="AT62" s="48"/>
      <c r="AU62" s="48"/>
    </row>
    <row r="63" spans="1:47" hidden="1">
      <c r="A63" s="51"/>
      <c r="B63" s="51"/>
      <c r="C63" s="51"/>
      <c r="D63" s="51"/>
      <c r="E63" s="51"/>
      <c r="F63" s="51"/>
      <c r="G63" s="51"/>
      <c r="H63" s="51"/>
      <c r="I63" s="5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239"/>
      <c r="AO63" s="225"/>
      <c r="AP63" s="287"/>
      <c r="AQ63" s="258"/>
      <c r="AR63" s="258"/>
      <c r="AS63" s="202"/>
      <c r="AT63" s="48"/>
      <c r="AU63" s="48"/>
    </row>
    <row r="64" spans="1:47" hidden="1">
      <c r="A64" s="51"/>
      <c r="B64" s="51"/>
      <c r="C64" s="51"/>
      <c r="D64" s="51"/>
      <c r="E64" s="51"/>
      <c r="F64" s="51"/>
      <c r="G64" s="51"/>
      <c r="H64" s="51"/>
      <c r="I64" s="5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239"/>
      <c r="AO64" s="225"/>
      <c r="AP64" s="287"/>
      <c r="AQ64" s="258"/>
      <c r="AR64" s="258"/>
      <c r="AS64" s="202"/>
      <c r="AT64" s="48"/>
      <c r="AU64" s="48"/>
    </row>
    <row r="65" spans="1:47" hidden="1">
      <c r="A65" s="51"/>
      <c r="B65" s="51"/>
      <c r="C65" s="51"/>
      <c r="D65" s="51"/>
      <c r="E65" s="51"/>
      <c r="F65" s="51"/>
      <c r="G65" s="51"/>
      <c r="H65" s="51"/>
      <c r="I65" s="5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239"/>
      <c r="AO65" s="225"/>
      <c r="AP65" s="287"/>
      <c r="AQ65" s="258"/>
      <c r="AR65" s="258"/>
      <c r="AS65" s="202"/>
      <c r="AT65" s="48"/>
      <c r="AU65" s="48"/>
    </row>
    <row r="66" spans="1:47" hidden="1">
      <c r="A66" s="51"/>
      <c r="B66" s="51"/>
      <c r="C66" s="51"/>
      <c r="D66" s="51"/>
      <c r="E66" s="51"/>
      <c r="F66" s="51"/>
      <c r="G66" s="51"/>
      <c r="H66" s="51"/>
      <c r="I66" s="5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239"/>
      <c r="AO66" s="225"/>
      <c r="AP66" s="287"/>
      <c r="AQ66" s="258"/>
      <c r="AR66" s="258"/>
      <c r="AS66" s="202"/>
      <c r="AT66" s="48"/>
      <c r="AU66" s="48"/>
    </row>
    <row r="67" spans="1:47" hidden="1">
      <c r="A67" s="51"/>
      <c r="B67" s="51"/>
      <c r="C67" s="51"/>
      <c r="D67" s="51"/>
      <c r="E67" s="51"/>
      <c r="F67" s="51"/>
      <c r="G67" s="51"/>
      <c r="H67" s="51"/>
      <c r="I67" s="5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239"/>
      <c r="AO67" s="225"/>
      <c r="AP67" s="287"/>
      <c r="AQ67" s="258"/>
      <c r="AR67" s="258"/>
      <c r="AS67" s="202"/>
      <c r="AT67" s="48"/>
      <c r="AU67" s="48"/>
    </row>
    <row r="68" spans="1:47" hidden="1">
      <c r="A68" s="51"/>
      <c r="B68" s="51"/>
      <c r="C68" s="51"/>
      <c r="D68" s="51"/>
      <c r="E68" s="51"/>
      <c r="F68" s="51"/>
      <c r="G68" s="51"/>
      <c r="H68" s="51"/>
      <c r="I68" s="5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239"/>
      <c r="AO68" s="225"/>
      <c r="AP68" s="287"/>
      <c r="AQ68" s="258"/>
      <c r="AR68" s="258"/>
      <c r="AS68" s="202"/>
      <c r="AT68" s="48"/>
      <c r="AU68" s="48"/>
    </row>
    <row r="69" spans="1:47" hidden="1">
      <c r="A69" s="51"/>
      <c r="B69" s="51"/>
      <c r="C69" s="51"/>
      <c r="D69" s="51"/>
      <c r="E69" s="51"/>
      <c r="F69" s="51"/>
      <c r="G69" s="51"/>
      <c r="H69" s="51"/>
      <c r="I69" s="5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239"/>
      <c r="AO69" s="225"/>
      <c r="AP69" s="287"/>
      <c r="AQ69" s="258"/>
      <c r="AR69" s="258"/>
      <c r="AS69" s="202"/>
      <c r="AT69" s="48"/>
      <c r="AU69" s="48"/>
    </row>
    <row r="70" spans="1:47" hidden="1">
      <c r="A70" s="51"/>
      <c r="B70" s="51"/>
      <c r="C70" s="51"/>
      <c r="D70" s="51"/>
      <c r="E70" s="51"/>
      <c r="F70" s="51"/>
      <c r="G70" s="51"/>
      <c r="H70" s="51"/>
      <c r="I70" s="5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239"/>
      <c r="AO70" s="225"/>
      <c r="AP70" s="287"/>
      <c r="AQ70" s="258"/>
      <c r="AR70" s="258"/>
      <c r="AS70" s="202"/>
      <c r="AT70" s="48"/>
      <c r="AU70" s="48"/>
    </row>
    <row r="71" spans="1:47" hidden="1">
      <c r="A71" s="51"/>
      <c r="B71" s="51"/>
      <c r="C71" s="51"/>
      <c r="D71" s="51"/>
      <c r="E71" s="51"/>
      <c r="F71" s="51"/>
      <c r="G71" s="51"/>
      <c r="H71" s="51"/>
      <c r="I71" s="5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239"/>
      <c r="AO71" s="225"/>
      <c r="AP71" s="287"/>
      <c r="AQ71" s="258"/>
      <c r="AR71" s="258"/>
      <c r="AS71" s="202"/>
      <c r="AT71" s="48"/>
      <c r="AU71" s="48"/>
    </row>
    <row r="72" spans="1:47" hidden="1">
      <c r="A72" s="51"/>
      <c r="B72" s="51"/>
      <c r="C72" s="51"/>
      <c r="D72" s="51"/>
      <c r="E72" s="51"/>
      <c r="F72" s="51"/>
      <c r="G72" s="51"/>
      <c r="H72" s="51"/>
      <c r="I72" s="5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239"/>
      <c r="AO72" s="225"/>
      <c r="AP72" s="287"/>
      <c r="AQ72" s="258"/>
      <c r="AR72" s="258"/>
      <c r="AS72" s="202"/>
      <c r="AT72" s="48"/>
      <c r="AU72" s="48"/>
    </row>
    <row r="73" spans="1:47" hidden="1">
      <c r="A73" s="51"/>
      <c r="B73" s="51"/>
      <c r="C73" s="51"/>
      <c r="D73" s="51"/>
      <c r="E73" s="51"/>
      <c r="F73" s="51"/>
      <c r="G73" s="51"/>
      <c r="H73" s="51"/>
      <c r="I73" s="5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239"/>
      <c r="AO73" s="225"/>
      <c r="AP73" s="287"/>
      <c r="AQ73" s="258"/>
      <c r="AR73" s="258"/>
      <c r="AS73" s="202"/>
      <c r="AT73" s="48"/>
      <c r="AU73" s="48"/>
    </row>
    <row r="74" spans="1:47" hidden="1">
      <c r="A74" s="51"/>
      <c r="B74" s="51"/>
      <c r="C74" s="51"/>
      <c r="D74" s="51"/>
      <c r="E74" s="51"/>
      <c r="F74" s="51"/>
      <c r="G74" s="51"/>
      <c r="H74" s="51"/>
      <c r="I74" s="5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239"/>
      <c r="AO74" s="225"/>
      <c r="AP74" s="287"/>
      <c r="AQ74" s="258"/>
      <c r="AR74" s="258"/>
      <c r="AS74" s="202"/>
      <c r="AT74" s="48"/>
      <c r="AU74" s="48"/>
    </row>
    <row r="75" spans="1:47" hidden="1">
      <c r="A75" s="51"/>
      <c r="B75" s="51"/>
      <c r="C75" s="51"/>
      <c r="D75" s="51"/>
      <c r="E75" s="51"/>
      <c r="F75" s="51"/>
      <c r="G75" s="51"/>
      <c r="H75" s="51"/>
      <c r="I75" s="5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239"/>
      <c r="AO75" s="225"/>
      <c r="AP75" s="287"/>
      <c r="AQ75" s="258"/>
      <c r="AR75" s="258"/>
      <c r="AS75" s="202"/>
      <c r="AT75" s="48"/>
      <c r="AU75" s="48"/>
    </row>
    <row r="76" spans="1:47" hidden="1">
      <c r="A76" s="51"/>
      <c r="B76" s="51"/>
      <c r="C76" s="51"/>
      <c r="D76" s="51"/>
      <c r="E76" s="51"/>
      <c r="F76" s="51"/>
      <c r="G76" s="51"/>
      <c r="H76" s="51"/>
      <c r="I76" s="5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239"/>
      <c r="AO76" s="225"/>
      <c r="AP76" s="287"/>
      <c r="AQ76" s="258"/>
      <c r="AR76" s="258"/>
      <c r="AS76" s="202"/>
      <c r="AT76" s="48"/>
      <c r="AU76" s="48"/>
    </row>
    <row r="77" spans="1:47" hidden="1">
      <c r="A77" s="51"/>
      <c r="B77" s="51"/>
      <c r="C77" s="51"/>
      <c r="D77" s="51"/>
      <c r="E77" s="51"/>
      <c r="F77" s="51"/>
      <c r="G77" s="51"/>
      <c r="H77" s="51"/>
      <c r="I77" s="5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1"/>
      <c r="AN77" s="239"/>
      <c r="AO77" s="225"/>
      <c r="AP77" s="287"/>
      <c r="AQ77" s="258"/>
      <c r="AR77" s="258"/>
      <c r="AS77" s="202"/>
      <c r="AT77" s="48"/>
      <c r="AU77" s="48"/>
    </row>
    <row r="78" spans="1:47" hidden="1">
      <c r="A78" s="51"/>
      <c r="B78" s="51"/>
      <c r="C78" s="51"/>
      <c r="D78" s="51"/>
      <c r="E78" s="51"/>
      <c r="F78" s="51"/>
      <c r="G78" s="51"/>
      <c r="H78" s="51"/>
      <c r="I78" s="5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239"/>
      <c r="AO78" s="225"/>
      <c r="AP78" s="287"/>
      <c r="AQ78" s="258"/>
      <c r="AR78" s="258"/>
      <c r="AS78" s="202"/>
      <c r="AT78" s="48"/>
      <c r="AU78" s="48"/>
    </row>
    <row r="79" spans="1:47" hidden="1">
      <c r="A79" s="51"/>
      <c r="B79" s="51"/>
      <c r="C79" s="51"/>
      <c r="D79" s="51"/>
      <c r="E79" s="51"/>
      <c r="F79" s="51"/>
      <c r="G79" s="51"/>
      <c r="H79" s="51"/>
      <c r="I79" s="5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239"/>
      <c r="AO79" s="225"/>
      <c r="AP79" s="287"/>
      <c r="AQ79" s="258"/>
      <c r="AR79" s="258"/>
      <c r="AS79" s="202"/>
      <c r="AT79" s="48"/>
      <c r="AU79" s="48"/>
    </row>
    <row r="80" spans="1:47" hidden="1">
      <c r="A80" s="51"/>
      <c r="B80" s="51"/>
      <c r="C80" s="51"/>
      <c r="D80" s="51"/>
      <c r="E80" s="51"/>
      <c r="F80" s="51"/>
      <c r="G80" s="51"/>
      <c r="H80" s="51"/>
      <c r="I80" s="5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239"/>
      <c r="AO80" s="225"/>
      <c r="AP80" s="287"/>
      <c r="AQ80" s="258"/>
      <c r="AR80" s="258"/>
      <c r="AS80" s="202"/>
      <c r="AT80" s="48"/>
      <c r="AU80" s="48"/>
    </row>
    <row r="81" spans="1:47" hidden="1">
      <c r="A81" s="51"/>
      <c r="B81" s="51"/>
      <c r="C81" s="51"/>
      <c r="D81" s="51"/>
      <c r="E81" s="51"/>
      <c r="F81" s="51"/>
      <c r="G81" s="51"/>
      <c r="H81" s="51"/>
      <c r="I81" s="5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239"/>
      <c r="AO81" s="225"/>
      <c r="AP81" s="287"/>
      <c r="AQ81" s="258"/>
      <c r="AR81" s="258"/>
      <c r="AS81" s="202"/>
      <c r="AT81" s="48"/>
      <c r="AU81" s="48"/>
    </row>
    <row r="82" spans="1:47" hidden="1">
      <c r="A82" s="51"/>
      <c r="B82" s="51"/>
      <c r="C82" s="51"/>
      <c r="D82" s="51"/>
      <c r="E82" s="51"/>
      <c r="F82" s="51"/>
      <c r="G82" s="51"/>
      <c r="H82" s="51"/>
      <c r="I82" s="5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239"/>
      <c r="AO82" s="225"/>
      <c r="AP82" s="287"/>
      <c r="AQ82" s="258"/>
      <c r="AR82" s="258"/>
      <c r="AS82" s="202"/>
      <c r="AT82" s="48"/>
      <c r="AU82" s="48"/>
    </row>
    <row r="83" spans="1:47" hidden="1">
      <c r="A83" s="51"/>
      <c r="B83" s="51"/>
      <c r="C83" s="51"/>
      <c r="D83" s="51"/>
      <c r="E83" s="51"/>
      <c r="F83" s="51"/>
      <c r="G83" s="51"/>
      <c r="H83" s="51"/>
      <c r="I83" s="5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239"/>
      <c r="AO83" s="225"/>
      <c r="AP83" s="287"/>
      <c r="AQ83" s="258"/>
      <c r="AR83" s="258"/>
      <c r="AS83" s="202"/>
      <c r="AT83" s="48"/>
      <c r="AU83" s="48"/>
    </row>
    <row r="84" spans="1:47" hidden="1">
      <c r="A84" s="51"/>
      <c r="B84" s="51"/>
      <c r="C84" s="51"/>
      <c r="D84" s="51"/>
      <c r="E84" s="51"/>
      <c r="F84" s="51"/>
      <c r="G84" s="51"/>
      <c r="H84" s="51"/>
      <c r="I84" s="5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239"/>
      <c r="AO84" s="225"/>
      <c r="AP84" s="287"/>
      <c r="AQ84" s="258"/>
      <c r="AR84" s="258"/>
      <c r="AS84" s="202"/>
      <c r="AT84" s="48"/>
      <c r="AU84" s="48"/>
    </row>
    <row r="85" spans="1:47" hidden="1">
      <c r="A85" s="51"/>
      <c r="B85" s="51"/>
      <c r="C85" s="51"/>
      <c r="D85" s="51"/>
      <c r="E85" s="51"/>
      <c r="F85" s="51"/>
      <c r="G85" s="51"/>
      <c r="H85" s="51"/>
      <c r="I85" s="5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239"/>
      <c r="AO85" s="225"/>
      <c r="AP85" s="287"/>
      <c r="AQ85" s="258"/>
      <c r="AR85" s="258"/>
      <c r="AS85" s="202"/>
      <c r="AT85" s="48"/>
      <c r="AU85" s="48"/>
    </row>
    <row r="86" spans="1:47" hidden="1">
      <c r="A86" s="51"/>
      <c r="B86" s="51"/>
      <c r="C86" s="51"/>
      <c r="D86" s="51"/>
      <c r="E86" s="51"/>
      <c r="F86" s="51"/>
      <c r="G86" s="51"/>
      <c r="H86" s="51"/>
      <c r="I86" s="5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239"/>
      <c r="AO86" s="225"/>
      <c r="AP86" s="287"/>
      <c r="AQ86" s="258"/>
      <c r="AR86" s="258"/>
      <c r="AS86" s="202"/>
      <c r="AT86" s="48"/>
      <c r="AU86" s="48"/>
    </row>
    <row r="87" spans="1:47" hidden="1">
      <c r="A87" s="51"/>
      <c r="B87" s="51"/>
      <c r="C87" s="51"/>
      <c r="D87" s="51"/>
      <c r="E87" s="51"/>
      <c r="F87" s="51"/>
      <c r="G87" s="51"/>
      <c r="H87" s="51"/>
      <c r="I87" s="5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239"/>
      <c r="AO87" s="225"/>
      <c r="AP87" s="287"/>
      <c r="AQ87" s="258"/>
      <c r="AR87" s="258"/>
      <c r="AS87" s="202"/>
      <c r="AT87" s="48"/>
      <c r="AU87" s="48"/>
    </row>
    <row r="88" spans="1:47" hidden="1">
      <c r="A88" s="51"/>
      <c r="B88" s="51"/>
      <c r="C88" s="51"/>
      <c r="D88" s="51"/>
      <c r="E88" s="51"/>
      <c r="F88" s="51"/>
      <c r="G88" s="51"/>
      <c r="H88" s="51"/>
      <c r="I88" s="5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239"/>
      <c r="AO88" s="225"/>
      <c r="AP88" s="287"/>
      <c r="AQ88" s="258"/>
      <c r="AR88" s="258"/>
      <c r="AS88" s="202"/>
      <c r="AT88" s="48"/>
      <c r="AU88" s="48"/>
    </row>
    <row r="89" spans="1:47" hidden="1">
      <c r="A89" s="51"/>
      <c r="B89" s="51"/>
      <c r="C89" s="51"/>
      <c r="D89" s="51"/>
      <c r="E89" s="51"/>
      <c r="F89" s="51"/>
      <c r="G89" s="51"/>
      <c r="H89" s="51"/>
      <c r="I89" s="5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239"/>
      <c r="AO89" s="225"/>
      <c r="AP89" s="287"/>
      <c r="AQ89" s="258"/>
      <c r="AR89" s="258"/>
      <c r="AS89" s="202"/>
      <c r="AT89" s="48"/>
      <c r="AU89" s="48"/>
    </row>
    <row r="90" spans="1:47" hidden="1">
      <c r="A90" s="51"/>
      <c r="B90" s="51"/>
      <c r="C90" s="51"/>
      <c r="D90" s="51"/>
      <c r="E90" s="51"/>
      <c r="F90" s="51"/>
      <c r="G90" s="51"/>
      <c r="H90" s="51"/>
      <c r="I90" s="5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239"/>
      <c r="AO90" s="225"/>
      <c r="AP90" s="287"/>
      <c r="AQ90" s="258"/>
      <c r="AR90" s="258"/>
      <c r="AS90" s="202"/>
      <c r="AT90" s="48"/>
      <c r="AU90" s="48"/>
    </row>
    <row r="91" spans="1:47" hidden="1">
      <c r="A91" s="51"/>
      <c r="B91" s="51"/>
      <c r="C91" s="51"/>
      <c r="D91" s="51"/>
      <c r="E91" s="51"/>
      <c r="F91" s="51"/>
      <c r="G91" s="51"/>
      <c r="H91" s="51"/>
      <c r="I91" s="5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239"/>
      <c r="AO91" s="225"/>
      <c r="AP91" s="287"/>
      <c r="AQ91" s="258"/>
      <c r="AR91" s="258"/>
      <c r="AS91" s="202"/>
      <c r="AT91" s="48"/>
      <c r="AU91" s="48"/>
    </row>
    <row r="92" spans="1:47" hidden="1">
      <c r="A92" s="51"/>
      <c r="B92" s="51"/>
      <c r="C92" s="51"/>
      <c r="D92" s="51"/>
      <c r="E92" s="51"/>
      <c r="F92" s="51"/>
      <c r="G92" s="51"/>
      <c r="H92" s="51"/>
      <c r="I92" s="5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239"/>
      <c r="AO92" s="225"/>
      <c r="AP92" s="287"/>
      <c r="AQ92" s="258"/>
      <c r="AR92" s="258"/>
      <c r="AS92" s="202"/>
      <c r="AT92" s="48"/>
      <c r="AU92" s="48"/>
    </row>
    <row r="93" spans="1:47" hidden="1">
      <c r="A93" s="51"/>
      <c r="B93" s="51"/>
      <c r="C93" s="51"/>
      <c r="D93" s="51"/>
      <c r="E93" s="51"/>
      <c r="F93" s="51"/>
      <c r="G93" s="51"/>
      <c r="H93" s="51"/>
      <c r="I93" s="5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239"/>
      <c r="AO93" s="225"/>
      <c r="AP93" s="287"/>
      <c r="AQ93" s="258"/>
      <c r="AR93" s="258"/>
      <c r="AS93" s="202"/>
      <c r="AT93" s="48"/>
      <c r="AU93" s="48"/>
    </row>
    <row r="94" spans="1:47" hidden="1">
      <c r="A94" s="51"/>
      <c r="B94" s="51"/>
      <c r="C94" s="51"/>
      <c r="D94" s="51"/>
      <c r="E94" s="51"/>
      <c r="F94" s="51"/>
      <c r="G94" s="51"/>
      <c r="H94" s="51"/>
      <c r="I94" s="5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239"/>
      <c r="AO94" s="225"/>
      <c r="AP94" s="287"/>
      <c r="AQ94" s="258"/>
      <c r="AR94" s="258"/>
      <c r="AS94" s="202"/>
      <c r="AT94" s="48"/>
      <c r="AU94" s="48"/>
    </row>
    <row r="95" spans="1:47" hidden="1">
      <c r="A95" s="51"/>
      <c r="B95" s="51"/>
      <c r="C95" s="51"/>
      <c r="D95" s="51"/>
      <c r="E95" s="51"/>
      <c r="F95" s="51"/>
      <c r="G95" s="51"/>
      <c r="H95" s="51"/>
      <c r="I95" s="5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239"/>
      <c r="AO95" s="225"/>
      <c r="AP95" s="287"/>
      <c r="AQ95" s="258"/>
      <c r="AR95" s="258"/>
      <c r="AS95" s="202"/>
      <c r="AT95" s="48"/>
      <c r="AU95" s="48"/>
    </row>
    <row r="96" spans="1:47" hidden="1">
      <c r="A96" s="51"/>
      <c r="B96" s="51"/>
      <c r="C96" s="51"/>
      <c r="D96" s="51"/>
      <c r="E96" s="51"/>
      <c r="F96" s="51"/>
      <c r="G96" s="51"/>
      <c r="H96" s="51"/>
      <c r="I96" s="5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239"/>
      <c r="AO96" s="225"/>
      <c r="AP96" s="287"/>
      <c r="AQ96" s="258"/>
      <c r="AR96" s="258"/>
      <c r="AS96" s="202"/>
      <c r="AT96" s="48"/>
      <c r="AU96" s="48"/>
    </row>
    <row r="97" spans="1:47" hidden="1">
      <c r="A97" s="51"/>
      <c r="B97" s="51"/>
      <c r="C97" s="51"/>
      <c r="D97" s="51"/>
      <c r="E97" s="51"/>
      <c r="F97" s="51"/>
      <c r="G97" s="51"/>
      <c r="H97" s="51"/>
      <c r="I97" s="5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239"/>
      <c r="AO97" s="225"/>
      <c r="AP97" s="287"/>
      <c r="AQ97" s="258"/>
      <c r="AR97" s="258"/>
      <c r="AS97" s="202"/>
      <c r="AT97" s="48"/>
      <c r="AU97" s="48"/>
    </row>
    <row r="98" spans="1:47" hidden="1">
      <c r="A98" s="51"/>
      <c r="B98" s="51"/>
      <c r="C98" s="51"/>
      <c r="D98" s="51"/>
      <c r="E98" s="51"/>
      <c r="F98" s="51"/>
      <c r="G98" s="51"/>
      <c r="H98" s="51"/>
      <c r="I98" s="5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239"/>
      <c r="AO98" s="225"/>
      <c r="AP98" s="287"/>
      <c r="AQ98" s="258"/>
      <c r="AR98" s="258"/>
      <c r="AS98" s="202"/>
      <c r="AT98" s="48"/>
      <c r="AU98" s="48"/>
    </row>
    <row r="99" spans="1:47" hidden="1">
      <c r="A99" s="51"/>
      <c r="B99" s="51"/>
      <c r="C99" s="51"/>
      <c r="D99" s="51"/>
      <c r="E99" s="51"/>
      <c r="F99" s="51"/>
      <c r="G99" s="51"/>
      <c r="H99" s="51"/>
      <c r="I99" s="5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239"/>
      <c r="AO99" s="225"/>
      <c r="AP99" s="287"/>
      <c r="AQ99" s="258"/>
      <c r="AR99" s="258"/>
      <c r="AS99" s="202"/>
      <c r="AT99" s="48"/>
      <c r="AU99" s="48"/>
    </row>
    <row r="100" spans="1:47" hidden="1">
      <c r="A100" s="51"/>
      <c r="B100" s="51"/>
      <c r="C100" s="51"/>
      <c r="D100" s="51"/>
      <c r="E100" s="51"/>
      <c r="F100" s="51"/>
      <c r="G100" s="51"/>
      <c r="H100" s="51"/>
      <c r="I100" s="5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239"/>
      <c r="AO100" s="225"/>
      <c r="AP100" s="287"/>
      <c r="AQ100" s="258"/>
      <c r="AR100" s="258"/>
      <c r="AS100" s="202"/>
      <c r="AT100" s="48"/>
      <c r="AU100" s="48"/>
    </row>
    <row r="101" spans="1:47" hidden="1">
      <c r="A101" s="51"/>
      <c r="B101" s="51"/>
      <c r="C101" s="51"/>
      <c r="D101" s="51"/>
      <c r="E101" s="51"/>
      <c r="F101" s="51"/>
      <c r="G101" s="51"/>
      <c r="H101" s="51"/>
      <c r="I101" s="5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239"/>
      <c r="AO101" s="225"/>
      <c r="AP101" s="287"/>
      <c r="AQ101" s="258"/>
      <c r="AR101" s="258"/>
      <c r="AS101" s="202"/>
      <c r="AT101" s="48"/>
      <c r="AU101" s="48"/>
    </row>
    <row r="102" spans="1:47" hidden="1">
      <c r="A102" s="51"/>
      <c r="B102" s="51"/>
      <c r="C102" s="51"/>
      <c r="D102" s="51"/>
      <c r="E102" s="51"/>
      <c r="F102" s="51"/>
      <c r="G102" s="51"/>
      <c r="H102" s="51"/>
      <c r="I102" s="5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239"/>
      <c r="AO102" s="225"/>
      <c r="AP102" s="287"/>
      <c r="AQ102" s="258"/>
      <c r="AR102" s="258"/>
      <c r="AS102" s="202"/>
      <c r="AT102" s="48"/>
      <c r="AU102" s="48"/>
    </row>
    <row r="103" spans="1:47" hidden="1">
      <c r="A103" s="51"/>
      <c r="B103" s="51"/>
      <c r="C103" s="51"/>
      <c r="D103" s="51"/>
      <c r="E103" s="51"/>
      <c r="F103" s="51"/>
      <c r="G103" s="51"/>
      <c r="H103" s="51"/>
      <c r="I103" s="5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239"/>
      <c r="AO103" s="225"/>
      <c r="AP103" s="287"/>
      <c r="AQ103" s="258"/>
      <c r="AR103" s="258"/>
      <c r="AS103" s="202"/>
      <c r="AT103" s="48"/>
      <c r="AU103" s="48"/>
    </row>
    <row r="104" spans="1:47" hidden="1">
      <c r="A104" s="51"/>
      <c r="B104" s="51"/>
      <c r="C104" s="51"/>
      <c r="D104" s="51"/>
      <c r="E104" s="51"/>
      <c r="F104" s="51"/>
      <c r="G104" s="51"/>
      <c r="H104" s="51"/>
      <c r="I104" s="5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239"/>
      <c r="AO104" s="225"/>
      <c r="AP104" s="287"/>
      <c r="AQ104" s="258"/>
      <c r="AR104" s="258"/>
      <c r="AS104" s="202"/>
      <c r="AT104" s="48"/>
      <c r="AU104" s="48"/>
    </row>
    <row r="105" spans="1:47" hidden="1">
      <c r="A105" s="51"/>
      <c r="B105" s="51"/>
      <c r="C105" s="51"/>
      <c r="D105" s="51"/>
      <c r="E105" s="51"/>
      <c r="F105" s="51"/>
      <c r="G105" s="51"/>
      <c r="H105" s="51"/>
      <c r="I105" s="5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239"/>
      <c r="AO105" s="225"/>
      <c r="AP105" s="287"/>
      <c r="AQ105" s="258"/>
      <c r="AR105" s="258"/>
      <c r="AS105" s="202"/>
      <c r="AT105" s="48"/>
      <c r="AU105" s="48"/>
    </row>
    <row r="106" spans="1:47" hidden="1">
      <c r="A106" s="51"/>
      <c r="B106" s="51"/>
      <c r="C106" s="51"/>
      <c r="D106" s="51"/>
      <c r="E106" s="51"/>
      <c r="F106" s="51"/>
      <c r="G106" s="51"/>
      <c r="H106" s="51"/>
      <c r="I106" s="5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239"/>
      <c r="AO106" s="225"/>
      <c r="AP106" s="287"/>
      <c r="AQ106" s="258"/>
      <c r="AR106" s="258"/>
      <c r="AS106" s="202"/>
      <c r="AT106" s="48"/>
      <c r="AU106" s="48"/>
    </row>
    <row r="107" spans="1:47" hidden="1">
      <c r="A107" s="51"/>
      <c r="B107" s="51"/>
      <c r="C107" s="51"/>
      <c r="D107" s="51"/>
      <c r="E107" s="51"/>
      <c r="F107" s="51"/>
      <c r="G107" s="51"/>
      <c r="H107" s="51"/>
      <c r="I107" s="5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239"/>
      <c r="AO107" s="225"/>
      <c r="AP107" s="287"/>
      <c r="AQ107" s="258"/>
      <c r="AR107" s="258"/>
      <c r="AS107" s="202"/>
      <c r="AT107" s="48"/>
      <c r="AU107" s="48"/>
    </row>
    <row r="108" spans="1:47" hidden="1">
      <c r="A108" s="51"/>
      <c r="B108" s="51"/>
      <c r="C108" s="51"/>
      <c r="D108" s="51"/>
      <c r="E108" s="51"/>
      <c r="F108" s="51"/>
      <c r="G108" s="51"/>
      <c r="H108" s="51"/>
      <c r="I108" s="5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239"/>
      <c r="AO108" s="225"/>
      <c r="AP108" s="287"/>
      <c r="AQ108" s="258"/>
      <c r="AR108" s="258"/>
      <c r="AS108" s="202"/>
      <c r="AT108" s="48"/>
      <c r="AU108" s="48"/>
    </row>
    <row r="109" spans="1:47" hidden="1">
      <c r="A109" s="51"/>
      <c r="B109" s="51"/>
      <c r="C109" s="51"/>
      <c r="D109" s="51"/>
      <c r="E109" s="51"/>
      <c r="F109" s="51"/>
      <c r="G109" s="51"/>
      <c r="H109" s="51"/>
      <c r="I109" s="5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239"/>
      <c r="AO109" s="225"/>
      <c r="AP109" s="287"/>
      <c r="AQ109" s="258"/>
      <c r="AR109" s="258"/>
      <c r="AS109" s="202"/>
      <c r="AT109" s="48"/>
      <c r="AU109" s="48"/>
    </row>
    <row r="110" spans="1:47" hidden="1">
      <c r="A110" s="51"/>
      <c r="B110" s="51"/>
      <c r="C110" s="51"/>
      <c r="D110" s="51"/>
      <c r="E110" s="51"/>
      <c r="F110" s="51"/>
      <c r="G110" s="51"/>
      <c r="H110" s="51"/>
      <c r="I110" s="5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239"/>
      <c r="AO110" s="225"/>
      <c r="AP110" s="287"/>
      <c r="AQ110" s="258"/>
      <c r="AR110" s="258"/>
      <c r="AS110" s="202"/>
      <c r="AT110" s="48"/>
      <c r="AU110" s="48"/>
    </row>
    <row r="111" spans="1:47" hidden="1">
      <c r="A111" s="51"/>
      <c r="B111" s="51"/>
      <c r="C111" s="51"/>
      <c r="D111" s="51"/>
      <c r="E111" s="51"/>
      <c r="F111" s="51"/>
      <c r="G111" s="51"/>
      <c r="H111" s="51"/>
      <c r="I111" s="5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c r="AG111" s="121"/>
      <c r="AH111" s="121"/>
      <c r="AI111" s="121"/>
      <c r="AJ111" s="121"/>
      <c r="AK111" s="121"/>
      <c r="AL111" s="121"/>
      <c r="AM111" s="121"/>
      <c r="AN111" s="239"/>
      <c r="AO111" s="225"/>
      <c r="AP111" s="287"/>
      <c r="AQ111" s="258"/>
      <c r="AR111" s="258"/>
      <c r="AS111" s="202"/>
      <c r="AT111" s="48"/>
      <c r="AU111" s="48"/>
    </row>
    <row r="112" spans="1:47" hidden="1">
      <c r="A112" s="51"/>
      <c r="B112" s="51"/>
      <c r="C112" s="51"/>
      <c r="D112" s="51"/>
      <c r="E112" s="51"/>
      <c r="F112" s="51"/>
      <c r="G112" s="51"/>
      <c r="H112" s="51"/>
      <c r="I112" s="5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239"/>
      <c r="AO112" s="225"/>
      <c r="AP112" s="287"/>
      <c r="AQ112" s="258"/>
      <c r="AR112" s="258"/>
      <c r="AS112" s="202"/>
      <c r="AT112" s="48"/>
      <c r="AU112" s="48"/>
    </row>
    <row r="113" spans="1:47" hidden="1">
      <c r="A113" s="51"/>
      <c r="B113" s="51"/>
      <c r="C113" s="51"/>
      <c r="D113" s="51"/>
      <c r="E113" s="51"/>
      <c r="F113" s="51"/>
      <c r="G113" s="51"/>
      <c r="H113" s="51"/>
      <c r="I113" s="51"/>
      <c r="J113" s="121"/>
      <c r="K113" s="121"/>
      <c r="L113" s="121"/>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1"/>
      <c r="AK113" s="121"/>
      <c r="AL113" s="121"/>
      <c r="AM113" s="121"/>
      <c r="AN113" s="239"/>
      <c r="AO113" s="225"/>
      <c r="AP113" s="287"/>
      <c r="AQ113" s="258"/>
      <c r="AR113" s="258"/>
      <c r="AS113" s="202"/>
      <c r="AT113" s="48"/>
      <c r="AU113" s="48"/>
    </row>
    <row r="114" spans="1:47" hidden="1">
      <c r="A114" s="51"/>
      <c r="B114" s="51"/>
      <c r="C114" s="51"/>
      <c r="D114" s="51"/>
      <c r="E114" s="51"/>
      <c r="F114" s="51"/>
      <c r="G114" s="51"/>
      <c r="H114" s="51"/>
      <c r="I114" s="5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239"/>
      <c r="AO114" s="225"/>
      <c r="AP114" s="287"/>
      <c r="AQ114" s="258"/>
      <c r="AR114" s="258"/>
      <c r="AS114" s="202"/>
      <c r="AT114" s="48"/>
      <c r="AU114" s="48"/>
    </row>
    <row r="115" spans="1:47" hidden="1">
      <c r="A115" s="51"/>
      <c r="B115" s="51"/>
      <c r="C115" s="51"/>
      <c r="D115" s="51"/>
      <c r="E115" s="51"/>
      <c r="F115" s="51"/>
      <c r="G115" s="51"/>
      <c r="H115" s="51"/>
      <c r="I115" s="51"/>
      <c r="J115" s="121"/>
      <c r="K115" s="121"/>
      <c r="L115" s="121"/>
      <c r="M115" s="121"/>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239"/>
      <c r="AO115" s="225"/>
      <c r="AP115" s="287"/>
      <c r="AQ115" s="258"/>
      <c r="AR115" s="258"/>
      <c r="AS115" s="202"/>
      <c r="AT115" s="48"/>
      <c r="AU115" s="48"/>
    </row>
    <row r="116" spans="1:47" hidden="1">
      <c r="A116" s="51"/>
      <c r="B116" s="51"/>
      <c r="C116" s="51"/>
      <c r="D116" s="51"/>
      <c r="E116" s="51"/>
      <c r="F116" s="51"/>
      <c r="G116" s="51"/>
      <c r="H116" s="51"/>
      <c r="I116" s="5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239"/>
      <c r="AO116" s="225"/>
      <c r="AP116" s="287"/>
      <c r="AQ116" s="258"/>
      <c r="AR116" s="258"/>
      <c r="AS116" s="202"/>
      <c r="AT116" s="48"/>
      <c r="AU116" s="48"/>
    </row>
    <row r="117" spans="1:47" hidden="1">
      <c r="A117" s="51"/>
      <c r="B117" s="51"/>
      <c r="C117" s="51"/>
      <c r="D117" s="51"/>
      <c r="E117" s="51"/>
      <c r="F117" s="51"/>
      <c r="G117" s="51"/>
      <c r="H117" s="51"/>
      <c r="I117" s="51"/>
      <c r="J117" s="121"/>
      <c r="K117" s="121"/>
      <c r="L117" s="121"/>
      <c r="M117" s="121"/>
      <c r="N117" s="121"/>
      <c r="O117" s="121"/>
      <c r="P117" s="121"/>
      <c r="Q117" s="121"/>
      <c r="R117" s="121"/>
      <c r="S117" s="121"/>
      <c r="T117" s="121"/>
      <c r="U117" s="121"/>
      <c r="V117" s="121"/>
      <c r="W117" s="121"/>
      <c r="X117" s="121"/>
      <c r="Y117" s="121"/>
      <c r="Z117" s="121"/>
      <c r="AA117" s="121"/>
      <c r="AB117" s="121"/>
      <c r="AC117" s="121"/>
      <c r="AD117" s="121"/>
      <c r="AE117" s="121"/>
      <c r="AF117" s="121"/>
      <c r="AG117" s="121"/>
      <c r="AH117" s="121"/>
      <c r="AI117" s="121"/>
      <c r="AJ117" s="121"/>
      <c r="AK117" s="121"/>
      <c r="AL117" s="121"/>
      <c r="AM117" s="121"/>
      <c r="AN117" s="239"/>
      <c r="AO117" s="225"/>
      <c r="AP117" s="287"/>
      <c r="AQ117" s="258"/>
      <c r="AR117" s="258"/>
      <c r="AS117" s="202"/>
      <c r="AT117" s="48"/>
      <c r="AU117" s="48"/>
    </row>
    <row r="118" spans="1:47" hidden="1">
      <c r="A118" s="51"/>
      <c r="B118" s="51"/>
      <c r="C118" s="51"/>
      <c r="D118" s="51"/>
      <c r="E118" s="51"/>
      <c r="F118" s="51"/>
      <c r="G118" s="51"/>
      <c r="H118" s="51"/>
      <c r="I118" s="5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239"/>
      <c r="AO118" s="225"/>
      <c r="AP118" s="287"/>
      <c r="AQ118" s="258"/>
      <c r="AR118" s="258"/>
      <c r="AS118" s="202"/>
      <c r="AT118" s="48"/>
      <c r="AU118" s="48"/>
    </row>
    <row r="119" spans="1:47" hidden="1">
      <c r="A119" s="51"/>
      <c r="B119" s="51"/>
      <c r="C119" s="51"/>
      <c r="D119" s="51"/>
      <c r="E119" s="51"/>
      <c r="F119" s="51"/>
      <c r="G119" s="51"/>
      <c r="H119" s="51"/>
      <c r="I119" s="51"/>
      <c r="J119" s="121"/>
      <c r="K119" s="121"/>
      <c r="L119" s="121"/>
      <c r="M119" s="121"/>
      <c r="N119" s="12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21"/>
      <c r="AJ119" s="121"/>
      <c r="AK119" s="121"/>
      <c r="AL119" s="121"/>
      <c r="AM119" s="121"/>
      <c r="AN119" s="239"/>
      <c r="AO119" s="225"/>
      <c r="AP119" s="287"/>
      <c r="AQ119" s="258"/>
      <c r="AR119" s="258"/>
      <c r="AS119" s="202"/>
      <c r="AT119" s="48"/>
      <c r="AU119" s="48"/>
    </row>
    <row r="120" spans="1:47" hidden="1">
      <c r="A120" s="51"/>
      <c r="B120" s="51"/>
      <c r="C120" s="51"/>
      <c r="D120" s="51"/>
      <c r="E120" s="51"/>
      <c r="F120" s="51"/>
      <c r="G120" s="51"/>
      <c r="H120" s="51"/>
      <c r="I120" s="5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239"/>
      <c r="AO120" s="225"/>
      <c r="AP120" s="287"/>
      <c r="AQ120" s="258"/>
      <c r="AR120" s="258"/>
      <c r="AS120" s="202"/>
      <c r="AT120" s="48"/>
      <c r="AU120" s="48"/>
    </row>
    <row r="121" spans="1:47" hidden="1">
      <c r="A121" s="51"/>
      <c r="B121" s="51"/>
      <c r="C121" s="51"/>
      <c r="D121" s="51"/>
      <c r="E121" s="51"/>
      <c r="F121" s="51"/>
      <c r="G121" s="51"/>
      <c r="H121" s="51"/>
      <c r="I121" s="5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239"/>
      <c r="AO121" s="225"/>
      <c r="AP121" s="287"/>
      <c r="AQ121" s="258"/>
      <c r="AR121" s="258"/>
      <c r="AS121" s="202"/>
      <c r="AT121" s="48"/>
      <c r="AU121" s="48"/>
    </row>
    <row r="122" spans="1:47" hidden="1">
      <c r="A122" s="51"/>
      <c r="B122" s="51"/>
      <c r="C122" s="51"/>
      <c r="D122" s="51"/>
      <c r="E122" s="51"/>
      <c r="F122" s="51"/>
      <c r="G122" s="51"/>
      <c r="H122" s="51"/>
      <c r="I122" s="5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239"/>
      <c r="AO122" s="225"/>
      <c r="AP122" s="287"/>
      <c r="AQ122" s="258"/>
      <c r="AR122" s="258"/>
      <c r="AS122" s="202"/>
      <c r="AT122" s="48"/>
      <c r="AU122" s="48"/>
    </row>
    <row r="123" spans="1:47" hidden="1">
      <c r="A123" s="51"/>
      <c r="B123" s="51"/>
      <c r="C123" s="51"/>
      <c r="D123" s="51"/>
      <c r="E123" s="51"/>
      <c r="F123" s="51"/>
      <c r="G123" s="51"/>
      <c r="H123" s="51"/>
      <c r="I123" s="51"/>
      <c r="J123" s="121"/>
      <c r="K123" s="121"/>
      <c r="L123" s="121"/>
      <c r="M123" s="121"/>
      <c r="N123" s="121"/>
      <c r="O123" s="121"/>
      <c r="P123" s="121"/>
      <c r="Q123" s="121"/>
      <c r="R123" s="121"/>
      <c r="S123" s="121"/>
      <c r="T123" s="121"/>
      <c r="U123" s="121"/>
      <c r="V123" s="121"/>
      <c r="W123" s="121"/>
      <c r="X123" s="121"/>
      <c r="Y123" s="121"/>
      <c r="Z123" s="121"/>
      <c r="AA123" s="121"/>
      <c r="AB123" s="121"/>
      <c r="AC123" s="121"/>
      <c r="AD123" s="121"/>
      <c r="AE123" s="121"/>
      <c r="AF123" s="121"/>
      <c r="AG123" s="121"/>
      <c r="AH123" s="121"/>
      <c r="AI123" s="121"/>
      <c r="AJ123" s="121"/>
      <c r="AK123" s="121"/>
      <c r="AL123" s="121"/>
      <c r="AM123" s="121"/>
      <c r="AN123" s="239"/>
      <c r="AO123" s="225"/>
      <c r="AP123" s="287"/>
      <c r="AQ123" s="258"/>
      <c r="AR123" s="258"/>
      <c r="AS123" s="202"/>
      <c r="AT123" s="48"/>
      <c r="AU123" s="48"/>
    </row>
    <row r="124" spans="1:47" hidden="1">
      <c r="A124" s="51"/>
      <c r="B124" s="51"/>
      <c r="C124" s="51"/>
      <c r="D124" s="51"/>
      <c r="E124" s="51"/>
      <c r="F124" s="51"/>
      <c r="G124" s="51"/>
      <c r="H124" s="51"/>
      <c r="I124" s="5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239"/>
      <c r="AO124" s="225"/>
      <c r="AP124" s="287"/>
      <c r="AQ124" s="258"/>
      <c r="AR124" s="258"/>
      <c r="AS124" s="202"/>
      <c r="AT124" s="48"/>
      <c r="AU124" s="48"/>
    </row>
    <row r="125" spans="1:47" hidden="1">
      <c r="A125" s="51"/>
      <c r="B125" s="51"/>
      <c r="C125" s="51"/>
      <c r="D125" s="51"/>
      <c r="E125" s="51"/>
      <c r="F125" s="51"/>
      <c r="G125" s="51"/>
      <c r="H125" s="51"/>
      <c r="I125" s="51"/>
      <c r="J125" s="121"/>
      <c r="K125" s="121"/>
      <c r="L125" s="121"/>
      <c r="M125" s="121"/>
      <c r="N125" s="121"/>
      <c r="O125" s="121"/>
      <c r="P125" s="121"/>
      <c r="Q125" s="121"/>
      <c r="R125" s="121"/>
      <c r="S125" s="121"/>
      <c r="T125" s="121"/>
      <c r="U125" s="121"/>
      <c r="V125" s="121"/>
      <c r="W125" s="121"/>
      <c r="X125" s="121"/>
      <c r="Y125" s="121"/>
      <c r="Z125" s="121"/>
      <c r="AA125" s="121"/>
      <c r="AB125" s="121"/>
      <c r="AC125" s="121"/>
      <c r="AD125" s="121"/>
      <c r="AE125" s="121"/>
      <c r="AF125" s="121"/>
      <c r="AG125" s="121"/>
      <c r="AH125" s="121"/>
      <c r="AI125" s="121"/>
      <c r="AJ125" s="121"/>
      <c r="AK125" s="121"/>
      <c r="AL125" s="121"/>
      <c r="AM125" s="121"/>
      <c r="AN125" s="239"/>
      <c r="AO125" s="225"/>
      <c r="AP125" s="287"/>
      <c r="AQ125" s="258"/>
      <c r="AR125" s="258"/>
      <c r="AS125" s="202"/>
      <c r="AT125" s="48"/>
      <c r="AU125" s="48"/>
    </row>
    <row r="126" spans="1:47" hidden="1">
      <c r="A126" s="51"/>
      <c r="B126" s="51"/>
      <c r="C126" s="51"/>
      <c r="D126" s="51"/>
      <c r="E126" s="51"/>
      <c r="F126" s="51"/>
      <c r="G126" s="51"/>
      <c r="H126" s="51"/>
      <c r="I126" s="51"/>
      <c r="J126" s="121"/>
      <c r="K126" s="121"/>
      <c r="L126" s="121"/>
      <c r="M126" s="121"/>
      <c r="N126" s="121"/>
      <c r="O126" s="121"/>
      <c r="P126" s="121"/>
      <c r="Q126" s="121"/>
      <c r="R126" s="121"/>
      <c r="S126" s="121"/>
      <c r="T126" s="121"/>
      <c r="U126" s="121"/>
      <c r="V126" s="121"/>
      <c r="W126" s="121"/>
      <c r="X126" s="121"/>
      <c r="Y126" s="121"/>
      <c r="Z126" s="121"/>
      <c r="AA126" s="121"/>
      <c r="AB126" s="121"/>
      <c r="AC126" s="121"/>
      <c r="AD126" s="121"/>
      <c r="AE126" s="121"/>
      <c r="AF126" s="121"/>
      <c r="AG126" s="121"/>
      <c r="AH126" s="121"/>
      <c r="AI126" s="121"/>
      <c r="AJ126" s="121"/>
      <c r="AK126" s="121"/>
      <c r="AL126" s="121"/>
      <c r="AM126" s="121"/>
      <c r="AN126" s="239"/>
      <c r="AO126" s="225"/>
      <c r="AP126" s="287"/>
      <c r="AQ126" s="258"/>
      <c r="AR126" s="258"/>
      <c r="AS126" s="202"/>
      <c r="AT126" s="48"/>
      <c r="AU126" s="48"/>
    </row>
    <row r="127" spans="1:47" hidden="1">
      <c r="A127" s="51"/>
      <c r="B127" s="51"/>
      <c r="C127" s="51"/>
      <c r="D127" s="51"/>
      <c r="E127" s="51"/>
      <c r="F127" s="51"/>
      <c r="G127" s="51"/>
      <c r="H127" s="51"/>
      <c r="I127" s="51"/>
      <c r="J127" s="121"/>
      <c r="K127" s="121"/>
      <c r="L127" s="121"/>
      <c r="M127" s="121"/>
      <c r="N127" s="121"/>
      <c r="O127" s="121"/>
      <c r="P127" s="121"/>
      <c r="Q127" s="121"/>
      <c r="R127" s="121"/>
      <c r="S127" s="121"/>
      <c r="T127" s="121"/>
      <c r="U127" s="121"/>
      <c r="V127" s="121"/>
      <c r="W127" s="121"/>
      <c r="X127" s="121"/>
      <c r="Y127" s="121"/>
      <c r="Z127" s="121"/>
      <c r="AA127" s="121"/>
      <c r="AB127" s="121"/>
      <c r="AC127" s="121"/>
      <c r="AD127" s="121"/>
      <c r="AE127" s="121"/>
      <c r="AF127" s="121"/>
      <c r="AG127" s="121"/>
      <c r="AH127" s="121"/>
      <c r="AI127" s="121"/>
      <c r="AJ127" s="121"/>
      <c r="AK127" s="121"/>
      <c r="AL127" s="121"/>
      <c r="AM127" s="121"/>
      <c r="AN127" s="239"/>
      <c r="AO127" s="225"/>
      <c r="AP127" s="287"/>
      <c r="AQ127" s="258"/>
      <c r="AR127" s="258"/>
      <c r="AS127" s="202"/>
      <c r="AT127" s="48"/>
      <c r="AU127" s="48"/>
    </row>
    <row r="128" spans="1:47" hidden="1">
      <c r="A128" s="51"/>
      <c r="B128" s="51"/>
      <c r="C128" s="51"/>
      <c r="D128" s="51"/>
      <c r="E128" s="51"/>
      <c r="F128" s="51"/>
      <c r="G128" s="51"/>
      <c r="H128" s="51"/>
      <c r="I128" s="5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239"/>
      <c r="AO128" s="225"/>
      <c r="AP128" s="287"/>
      <c r="AQ128" s="258"/>
      <c r="AR128" s="258"/>
      <c r="AS128" s="202"/>
      <c r="AT128" s="48"/>
      <c r="AU128" s="48"/>
    </row>
    <row r="129" spans="1:47" hidden="1">
      <c r="A129" s="51"/>
      <c r="B129" s="51"/>
      <c r="C129" s="51"/>
      <c r="D129" s="51"/>
      <c r="E129" s="51"/>
      <c r="F129" s="51"/>
      <c r="G129" s="51"/>
      <c r="H129" s="51"/>
      <c r="I129" s="5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239"/>
      <c r="AO129" s="225"/>
      <c r="AP129" s="287"/>
      <c r="AQ129" s="258"/>
      <c r="AR129" s="258"/>
      <c r="AS129" s="202"/>
      <c r="AT129" s="48"/>
      <c r="AU129" s="48"/>
    </row>
    <row r="130" spans="1:47" hidden="1">
      <c r="A130" s="51"/>
      <c r="B130" s="51"/>
      <c r="C130" s="51"/>
      <c r="D130" s="51"/>
      <c r="E130" s="51"/>
      <c r="F130" s="51"/>
      <c r="G130" s="51"/>
      <c r="H130" s="51"/>
      <c r="I130" s="5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239"/>
      <c r="AO130" s="225"/>
      <c r="AP130" s="287"/>
      <c r="AQ130" s="258"/>
      <c r="AR130" s="258"/>
      <c r="AS130" s="202"/>
      <c r="AT130" s="48"/>
      <c r="AU130" s="48"/>
    </row>
    <row r="131" spans="1:47" hidden="1">
      <c r="A131" s="51"/>
      <c r="B131" s="51"/>
      <c r="C131" s="51"/>
      <c r="D131" s="51"/>
      <c r="E131" s="51"/>
      <c r="F131" s="51"/>
      <c r="G131" s="51"/>
      <c r="H131" s="51"/>
      <c r="I131" s="51"/>
      <c r="J131" s="121"/>
      <c r="K131" s="121"/>
      <c r="L131" s="121"/>
      <c r="M131" s="121"/>
      <c r="N131" s="121"/>
      <c r="O131" s="121"/>
      <c r="P131" s="121"/>
      <c r="Q131" s="121"/>
      <c r="R131" s="121"/>
      <c r="S131" s="121"/>
      <c r="T131" s="121"/>
      <c r="U131" s="121"/>
      <c r="V131" s="121"/>
      <c r="W131" s="121"/>
      <c r="X131" s="121"/>
      <c r="Y131" s="121"/>
      <c r="Z131" s="121"/>
      <c r="AA131" s="121"/>
      <c r="AB131" s="121"/>
      <c r="AC131" s="121"/>
      <c r="AD131" s="121"/>
      <c r="AE131" s="121"/>
      <c r="AF131" s="121"/>
      <c r="AG131" s="121"/>
      <c r="AH131" s="121"/>
      <c r="AI131" s="121"/>
      <c r="AJ131" s="121"/>
      <c r="AK131" s="121"/>
      <c r="AL131" s="121"/>
      <c r="AM131" s="121"/>
      <c r="AN131" s="239"/>
      <c r="AO131" s="225"/>
      <c r="AP131" s="287"/>
      <c r="AQ131" s="258"/>
      <c r="AR131" s="258"/>
      <c r="AS131" s="202"/>
      <c r="AT131" s="48"/>
      <c r="AU131" s="48"/>
    </row>
    <row r="132" spans="1:47" hidden="1">
      <c r="A132" s="51"/>
      <c r="B132" s="51"/>
      <c r="C132" s="51"/>
      <c r="D132" s="51"/>
      <c r="E132" s="51"/>
      <c r="F132" s="51"/>
      <c r="G132" s="51"/>
      <c r="H132" s="51"/>
      <c r="I132" s="5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239"/>
      <c r="AO132" s="225"/>
      <c r="AP132" s="287"/>
      <c r="AQ132" s="258"/>
      <c r="AR132" s="258"/>
      <c r="AS132" s="202"/>
      <c r="AT132" s="48"/>
      <c r="AU132" s="48"/>
    </row>
    <row r="133" spans="1:47" hidden="1">
      <c r="A133" s="51"/>
      <c r="B133" s="51"/>
      <c r="C133" s="51"/>
      <c r="D133" s="51"/>
      <c r="E133" s="51"/>
      <c r="F133" s="51"/>
      <c r="G133" s="51"/>
      <c r="H133" s="51"/>
      <c r="I133" s="5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1"/>
      <c r="AN133" s="239"/>
      <c r="AO133" s="225"/>
      <c r="AP133" s="287"/>
      <c r="AQ133" s="258"/>
      <c r="AR133" s="258"/>
      <c r="AS133" s="202"/>
      <c r="AT133" s="48"/>
      <c r="AU133" s="48"/>
    </row>
    <row r="134" spans="1:47" hidden="1">
      <c r="A134" s="51"/>
      <c r="B134" s="51"/>
      <c r="C134" s="51"/>
      <c r="D134" s="51"/>
      <c r="E134" s="51"/>
      <c r="F134" s="51"/>
      <c r="G134" s="51"/>
      <c r="H134" s="51"/>
      <c r="I134" s="5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239"/>
      <c r="AO134" s="225"/>
      <c r="AP134" s="287"/>
      <c r="AQ134" s="258"/>
      <c r="AR134" s="258"/>
      <c r="AS134" s="202"/>
      <c r="AT134" s="48"/>
      <c r="AU134" s="48"/>
    </row>
    <row r="135" spans="1:47" hidden="1">
      <c r="A135" s="51"/>
      <c r="B135" s="51"/>
      <c r="C135" s="51"/>
      <c r="D135" s="51"/>
      <c r="E135" s="51"/>
      <c r="F135" s="51"/>
      <c r="G135" s="51"/>
      <c r="H135" s="51"/>
      <c r="I135" s="51"/>
      <c r="J135" s="121"/>
      <c r="K135" s="121"/>
      <c r="L135" s="121"/>
      <c r="M135" s="121"/>
      <c r="N135" s="121"/>
      <c r="O135" s="121"/>
      <c r="P135" s="121"/>
      <c r="Q135" s="121"/>
      <c r="R135" s="121"/>
      <c r="S135" s="121"/>
      <c r="T135" s="121"/>
      <c r="U135" s="121"/>
      <c r="V135" s="121"/>
      <c r="W135" s="121"/>
      <c r="X135" s="121"/>
      <c r="Y135" s="121"/>
      <c r="Z135" s="121"/>
      <c r="AA135" s="121"/>
      <c r="AB135" s="121"/>
      <c r="AC135" s="121"/>
      <c r="AD135" s="121"/>
      <c r="AE135" s="121"/>
      <c r="AF135" s="121"/>
      <c r="AG135" s="121"/>
      <c r="AH135" s="121"/>
      <c r="AI135" s="121"/>
      <c r="AJ135" s="121"/>
      <c r="AK135" s="121"/>
      <c r="AL135" s="121"/>
      <c r="AM135" s="121"/>
      <c r="AN135" s="239"/>
      <c r="AO135" s="225"/>
      <c r="AP135" s="287"/>
      <c r="AQ135" s="258"/>
      <c r="AR135" s="258"/>
      <c r="AS135" s="202"/>
      <c r="AT135" s="48"/>
      <c r="AU135" s="48"/>
    </row>
    <row r="136" spans="1:47" s="121" customFormat="1" hidden="1">
      <c r="AN136" s="239"/>
      <c r="AO136" s="225"/>
      <c r="AP136" s="287"/>
      <c r="AQ136" s="258"/>
      <c r="AR136" s="258"/>
      <c r="AS136" s="202"/>
      <c r="AT136" s="213"/>
      <c r="AU136" s="213"/>
    </row>
    <row r="137" spans="1:47" s="121" customFormat="1" hidden="1">
      <c r="AN137" s="239"/>
      <c r="AO137" s="225"/>
      <c r="AP137" s="287"/>
      <c r="AQ137" s="258"/>
      <c r="AR137" s="258"/>
      <c r="AS137" s="202"/>
      <c r="AT137" s="213"/>
      <c r="AU137" s="213"/>
    </row>
    <row r="138" spans="1:47" s="121" customFormat="1" hidden="1">
      <c r="AN138" s="239"/>
      <c r="AO138" s="225"/>
      <c r="AP138" s="287"/>
      <c r="AQ138" s="258"/>
      <c r="AR138" s="258"/>
      <c r="AS138" s="202"/>
      <c r="AT138" s="213"/>
      <c r="AU138" s="213"/>
    </row>
    <row r="139" spans="1:47" s="121" customFormat="1" hidden="1">
      <c r="AN139" s="239"/>
      <c r="AO139" s="225"/>
      <c r="AP139" s="287"/>
      <c r="AQ139" s="258"/>
      <c r="AR139" s="258"/>
      <c r="AS139" s="202"/>
      <c r="AT139" s="213"/>
      <c r="AU139" s="213"/>
    </row>
    <row r="140" spans="1:47" hidden="1">
      <c r="A140" s="51"/>
      <c r="B140" s="51"/>
      <c r="C140" s="51"/>
      <c r="D140" s="51"/>
      <c r="E140" s="51"/>
      <c r="F140" s="51"/>
      <c r="G140" s="51"/>
      <c r="H140" s="51"/>
      <c r="I140" s="5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239"/>
      <c r="AO140" s="225"/>
      <c r="AP140" s="287"/>
      <c r="AQ140" s="258"/>
      <c r="AR140" s="258"/>
      <c r="AS140" s="202"/>
      <c r="AT140" s="48"/>
      <c r="AU140" s="48"/>
    </row>
    <row r="141" spans="1:47" hidden="1">
      <c r="A141" s="51"/>
      <c r="B141" s="51"/>
      <c r="C141" s="51"/>
      <c r="D141" s="51"/>
      <c r="E141" s="51"/>
      <c r="F141" s="51"/>
      <c r="G141" s="51"/>
      <c r="H141" s="51"/>
      <c r="I141" s="5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239"/>
      <c r="AO141" s="225"/>
      <c r="AP141" s="287"/>
      <c r="AQ141" s="258"/>
      <c r="AR141" s="258"/>
      <c r="AS141" s="202"/>
      <c r="AT141" s="48"/>
      <c r="AU141" s="48"/>
    </row>
    <row r="142" spans="1:47" s="121" customFormat="1" hidden="1">
      <c r="AN142" s="239"/>
      <c r="AO142" s="225"/>
      <c r="AP142" s="287"/>
      <c r="AQ142" s="258"/>
      <c r="AR142" s="258"/>
      <c r="AS142" s="202"/>
      <c r="AT142" s="213"/>
      <c r="AU142" s="213"/>
    </row>
    <row r="143" spans="1:47" s="121" customFormat="1" hidden="1">
      <c r="AN143" s="239"/>
      <c r="AO143" s="225"/>
      <c r="AP143" s="287"/>
      <c r="AQ143" s="258"/>
      <c r="AR143" s="258"/>
      <c r="AS143" s="202"/>
      <c r="AT143" s="213"/>
      <c r="AU143" s="213"/>
    </row>
    <row r="144" spans="1:47" s="121" customFormat="1" hidden="1">
      <c r="AN144" s="239"/>
      <c r="AO144" s="225"/>
      <c r="AP144" s="287"/>
      <c r="AQ144" s="258"/>
      <c r="AR144" s="258"/>
      <c r="AS144" s="202"/>
      <c r="AT144" s="213"/>
      <c r="AU144" s="213"/>
    </row>
    <row r="145" spans="1:47" s="121" customFormat="1" hidden="1">
      <c r="AN145" s="239"/>
      <c r="AO145" s="225"/>
      <c r="AP145" s="287"/>
      <c r="AQ145" s="258"/>
      <c r="AR145" s="258"/>
      <c r="AS145" s="202"/>
      <c r="AT145" s="213"/>
      <c r="AU145" s="213"/>
    </row>
    <row r="146" spans="1:47" s="121" customFormat="1" hidden="1">
      <c r="AN146" s="239"/>
      <c r="AO146" s="225"/>
      <c r="AP146" s="287"/>
      <c r="AQ146" s="258"/>
      <c r="AR146" s="258"/>
      <c r="AS146" s="202"/>
      <c r="AT146" s="213"/>
      <c r="AU146" s="213"/>
    </row>
    <row r="147" spans="1:47" s="121" customFormat="1" hidden="1">
      <c r="AN147" s="239"/>
      <c r="AO147" s="225"/>
      <c r="AP147" s="287"/>
      <c r="AQ147" s="258"/>
      <c r="AR147" s="258"/>
      <c r="AS147" s="202"/>
      <c r="AT147" s="213"/>
      <c r="AU147" s="213"/>
    </row>
    <row r="148" spans="1:47" hidden="1">
      <c r="A148" s="51"/>
      <c r="B148" s="51"/>
      <c r="C148" s="51"/>
      <c r="D148" s="51"/>
      <c r="E148" s="51"/>
      <c r="F148" s="51"/>
      <c r="G148" s="51"/>
      <c r="H148" s="51"/>
      <c r="I148" s="5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239"/>
      <c r="AO148" s="225"/>
      <c r="AP148" s="287"/>
      <c r="AQ148" s="258"/>
      <c r="AR148" s="258"/>
      <c r="AS148" s="202"/>
      <c r="AT148" s="48"/>
      <c r="AU148" s="48"/>
    </row>
    <row r="149" spans="1:47" s="121" customFormat="1" hidden="1">
      <c r="AN149" s="239"/>
      <c r="AO149" s="225"/>
      <c r="AP149" s="287"/>
      <c r="AQ149" s="258"/>
      <c r="AR149" s="258"/>
      <c r="AS149" s="202"/>
      <c r="AT149" s="213"/>
      <c r="AU149" s="213"/>
    </row>
    <row r="150" spans="1:47" s="121" customFormat="1" hidden="1">
      <c r="AN150" s="239"/>
      <c r="AO150" s="225"/>
      <c r="AP150" s="287"/>
      <c r="AQ150" s="258"/>
      <c r="AR150" s="258"/>
      <c r="AS150" s="202"/>
      <c r="AT150" s="213"/>
      <c r="AU150" s="213"/>
    </row>
    <row r="151" spans="1:47" s="121" customFormat="1" hidden="1">
      <c r="AN151" s="239"/>
      <c r="AO151" s="225"/>
      <c r="AP151" s="287"/>
      <c r="AQ151" s="258"/>
      <c r="AR151" s="258"/>
      <c r="AS151" s="202"/>
      <c r="AT151" s="213"/>
      <c r="AU151" s="213"/>
    </row>
    <row r="152" spans="1:47" s="121" customFormat="1" hidden="1">
      <c r="AN152" s="239"/>
      <c r="AO152" s="225"/>
      <c r="AP152" s="287"/>
      <c r="AQ152" s="258"/>
      <c r="AR152" s="258"/>
      <c r="AS152" s="202"/>
      <c r="AT152" s="213"/>
      <c r="AU152" s="213"/>
    </row>
    <row r="153" spans="1:47" s="121" customFormat="1" hidden="1">
      <c r="AN153" s="239"/>
      <c r="AO153" s="225"/>
      <c r="AP153" s="287"/>
      <c r="AQ153" s="258"/>
      <c r="AR153" s="258"/>
      <c r="AS153" s="202"/>
      <c r="AT153" s="213"/>
      <c r="AU153" s="213"/>
    </row>
    <row r="154" spans="1:47" s="121" customFormat="1" hidden="1">
      <c r="AN154" s="239"/>
      <c r="AO154" s="225"/>
      <c r="AP154" s="287"/>
      <c r="AQ154" s="258"/>
      <c r="AR154" s="258"/>
      <c r="AS154" s="202"/>
      <c r="AT154" s="213"/>
      <c r="AU154" s="213"/>
    </row>
    <row r="155" spans="1:47" hidden="1">
      <c r="A155" s="51"/>
      <c r="B155" s="51"/>
      <c r="C155" s="51"/>
      <c r="D155" s="51"/>
      <c r="E155" s="51"/>
      <c r="F155" s="51"/>
      <c r="G155" s="51"/>
      <c r="H155" s="51"/>
      <c r="I155" s="5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239"/>
      <c r="AO155" s="225"/>
      <c r="AP155" s="287"/>
      <c r="AQ155" s="258"/>
      <c r="AR155" s="258"/>
      <c r="AS155" s="202"/>
      <c r="AT155" s="48"/>
      <c r="AU155" s="48"/>
    </row>
    <row r="156" spans="1:47" hidden="1">
      <c r="A156" s="51"/>
      <c r="B156" s="51"/>
      <c r="C156" s="51"/>
      <c r="D156" s="51"/>
      <c r="E156" s="51"/>
      <c r="F156" s="51"/>
      <c r="G156" s="51"/>
      <c r="H156" s="51"/>
      <c r="I156" s="5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239"/>
      <c r="AO156" s="225"/>
      <c r="AP156" s="287"/>
      <c r="AQ156" s="258"/>
      <c r="AR156" s="258"/>
      <c r="AS156" s="202"/>
      <c r="AT156" s="48"/>
      <c r="AU156" s="48"/>
    </row>
    <row r="157" spans="1:47" s="121" customFormat="1" hidden="1">
      <c r="AN157" s="239"/>
      <c r="AO157" s="225"/>
      <c r="AP157" s="287"/>
      <c r="AQ157" s="258"/>
      <c r="AR157" s="258"/>
      <c r="AS157" s="202"/>
      <c r="AT157" s="213"/>
      <c r="AU157" s="213"/>
    </row>
    <row r="158" spans="1:47" s="121" customFormat="1" hidden="1">
      <c r="AN158" s="239"/>
      <c r="AO158" s="225"/>
      <c r="AP158" s="287"/>
      <c r="AQ158" s="258"/>
      <c r="AR158" s="258"/>
      <c r="AS158" s="202"/>
      <c r="AT158" s="213"/>
      <c r="AU158" s="213"/>
    </row>
    <row r="159" spans="1:47" s="121" customFormat="1" hidden="1">
      <c r="AN159" s="239"/>
      <c r="AO159" s="225"/>
      <c r="AP159" s="287"/>
      <c r="AQ159" s="258"/>
      <c r="AR159" s="258"/>
      <c r="AS159" s="202"/>
      <c r="AT159" s="213"/>
      <c r="AU159" s="213"/>
    </row>
    <row r="160" spans="1:47" s="121" customFormat="1" hidden="1">
      <c r="AN160" s="239"/>
      <c r="AO160" s="225"/>
      <c r="AP160" s="287"/>
      <c r="AQ160" s="258"/>
      <c r="AR160" s="258"/>
      <c r="AS160" s="202"/>
      <c r="AT160" s="213"/>
      <c r="AU160" s="213"/>
    </row>
    <row r="161" spans="1:47" hidden="1">
      <c r="A161" s="51"/>
      <c r="B161" s="51"/>
      <c r="C161" s="51"/>
      <c r="D161" s="51"/>
      <c r="E161" s="51"/>
      <c r="F161" s="51"/>
      <c r="G161" s="51"/>
      <c r="H161" s="51"/>
      <c r="I161" s="5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239"/>
      <c r="AO161" s="225"/>
      <c r="AP161" s="287"/>
      <c r="AQ161" s="258"/>
      <c r="AR161" s="258"/>
      <c r="AS161" s="202"/>
      <c r="AT161" s="48"/>
      <c r="AU161" s="48"/>
    </row>
    <row r="162" spans="1:47" s="121" customFormat="1" hidden="1">
      <c r="AN162" s="239"/>
      <c r="AO162" s="225"/>
      <c r="AP162" s="287"/>
      <c r="AQ162" s="258"/>
      <c r="AR162" s="258"/>
      <c r="AS162" s="202"/>
      <c r="AT162" s="213"/>
      <c r="AU162" s="213"/>
    </row>
    <row r="163" spans="1:47" s="121" customFormat="1" hidden="1">
      <c r="AN163" s="239"/>
      <c r="AO163" s="225"/>
      <c r="AP163" s="287"/>
      <c r="AQ163" s="258"/>
      <c r="AR163" s="258"/>
      <c r="AS163" s="202"/>
      <c r="AT163" s="213"/>
      <c r="AU163" s="213"/>
    </row>
    <row r="164" spans="1:47" s="121" customFormat="1" hidden="1">
      <c r="AN164" s="239"/>
      <c r="AO164" s="225"/>
      <c r="AP164" s="287"/>
      <c r="AQ164" s="258"/>
      <c r="AR164" s="258"/>
      <c r="AS164" s="202"/>
      <c r="AT164" s="213"/>
      <c r="AU164" s="213"/>
    </row>
    <row r="165" spans="1:47" s="121" customFormat="1" hidden="1">
      <c r="AN165" s="239"/>
      <c r="AO165" s="225"/>
      <c r="AP165" s="287"/>
      <c r="AQ165" s="258"/>
      <c r="AR165" s="258"/>
      <c r="AS165" s="202"/>
      <c r="AT165" s="213"/>
      <c r="AU165" s="213"/>
    </row>
    <row r="166" spans="1:47" hidden="1">
      <c r="A166" s="51"/>
      <c r="B166" s="51"/>
      <c r="C166" s="51"/>
      <c r="D166" s="51"/>
      <c r="E166" s="51"/>
      <c r="F166" s="51"/>
      <c r="G166" s="51"/>
      <c r="H166" s="51"/>
      <c r="I166" s="5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239"/>
      <c r="AO166" s="225"/>
      <c r="AP166" s="287"/>
      <c r="AQ166" s="258"/>
      <c r="AR166" s="258"/>
      <c r="AS166" s="202"/>
      <c r="AT166" s="48"/>
      <c r="AU166" s="48"/>
    </row>
    <row r="167" spans="1:47" s="121" customFormat="1" hidden="1">
      <c r="AN167" s="239"/>
      <c r="AO167" s="225"/>
      <c r="AP167" s="287"/>
      <c r="AQ167" s="258"/>
      <c r="AR167" s="258"/>
      <c r="AS167" s="202"/>
      <c r="AT167" s="213"/>
      <c r="AU167" s="213"/>
    </row>
    <row r="168" spans="1:47" s="121" customFormat="1" hidden="1">
      <c r="AN168" s="239"/>
      <c r="AO168" s="225"/>
      <c r="AP168" s="287"/>
      <c r="AQ168" s="258"/>
      <c r="AR168" s="258"/>
      <c r="AS168" s="202"/>
      <c r="AT168" s="213"/>
      <c r="AU168" s="213"/>
    </row>
    <row r="169" spans="1:47" s="121" customFormat="1" hidden="1">
      <c r="AN169" s="239"/>
      <c r="AO169" s="225"/>
      <c r="AP169" s="287"/>
      <c r="AQ169" s="258"/>
      <c r="AR169" s="258"/>
      <c r="AS169" s="202"/>
      <c r="AT169" s="213"/>
      <c r="AU169" s="213"/>
    </row>
    <row r="170" spans="1:47" s="121" customFormat="1" hidden="1">
      <c r="AN170" s="239"/>
      <c r="AO170" s="225"/>
      <c r="AP170" s="287"/>
      <c r="AQ170" s="258"/>
      <c r="AR170" s="258"/>
      <c r="AS170" s="202"/>
      <c r="AT170" s="213"/>
      <c r="AU170" s="213"/>
    </row>
    <row r="171" spans="1:47" hidden="1">
      <c r="A171" s="51"/>
      <c r="B171" s="51"/>
      <c r="C171" s="51"/>
      <c r="D171" s="51"/>
      <c r="E171" s="51"/>
      <c r="F171" s="51"/>
      <c r="G171" s="51"/>
      <c r="H171" s="51"/>
      <c r="I171" s="5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239"/>
      <c r="AO171" s="225"/>
      <c r="AP171" s="287"/>
      <c r="AQ171" s="258"/>
      <c r="AR171" s="258"/>
      <c r="AS171" s="202"/>
      <c r="AT171" s="48"/>
      <c r="AU171" s="48"/>
    </row>
    <row r="172" spans="1:47" s="121" customFormat="1" hidden="1">
      <c r="AN172" s="239"/>
      <c r="AO172" s="225"/>
      <c r="AP172" s="287"/>
      <c r="AQ172" s="258"/>
      <c r="AR172" s="258"/>
      <c r="AS172" s="202"/>
      <c r="AT172" s="213"/>
      <c r="AU172" s="213"/>
    </row>
    <row r="173" spans="1:47" s="121" customFormat="1" hidden="1">
      <c r="AN173" s="239"/>
      <c r="AO173" s="225"/>
      <c r="AP173" s="287"/>
      <c r="AQ173" s="258"/>
      <c r="AR173" s="258"/>
      <c r="AS173" s="202"/>
      <c r="AT173" s="213"/>
      <c r="AU173" s="213"/>
    </row>
    <row r="174" spans="1:47" s="121" customFormat="1" hidden="1">
      <c r="AN174" s="239"/>
      <c r="AO174" s="225"/>
      <c r="AP174" s="287"/>
      <c r="AQ174" s="258"/>
      <c r="AR174" s="258"/>
      <c r="AS174" s="202"/>
      <c r="AT174" s="213"/>
      <c r="AU174" s="213"/>
    </row>
    <row r="175" spans="1:47" s="121" customFormat="1" hidden="1">
      <c r="AN175" s="239"/>
      <c r="AO175" s="225"/>
      <c r="AP175" s="287"/>
      <c r="AQ175" s="258"/>
      <c r="AR175" s="258"/>
      <c r="AS175" s="202"/>
      <c r="AT175" s="213"/>
      <c r="AU175" s="213"/>
    </row>
    <row r="176" spans="1:47" hidden="1">
      <c r="A176" s="51"/>
      <c r="B176" s="51"/>
      <c r="C176" s="51"/>
      <c r="D176" s="51"/>
      <c r="E176" s="51"/>
      <c r="F176" s="51"/>
      <c r="G176" s="51"/>
      <c r="H176" s="51"/>
      <c r="I176" s="5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239"/>
      <c r="AO176" s="225"/>
      <c r="AP176" s="287"/>
      <c r="AQ176" s="258"/>
      <c r="AR176" s="258"/>
      <c r="AS176" s="202"/>
      <c r="AT176" s="48"/>
      <c r="AU176" s="48"/>
    </row>
    <row r="177" spans="1:47" s="121" customFormat="1" hidden="1">
      <c r="AN177" s="239"/>
      <c r="AO177" s="225"/>
      <c r="AP177" s="287"/>
      <c r="AQ177" s="258"/>
      <c r="AR177" s="258"/>
      <c r="AS177" s="202"/>
      <c r="AT177" s="213"/>
      <c r="AU177" s="213"/>
    </row>
    <row r="178" spans="1:47" s="121" customFormat="1" hidden="1">
      <c r="AN178" s="239"/>
      <c r="AO178" s="225"/>
      <c r="AP178" s="287"/>
      <c r="AQ178" s="258"/>
      <c r="AR178" s="258"/>
      <c r="AS178" s="202"/>
      <c r="AT178" s="213"/>
      <c r="AU178" s="213"/>
    </row>
    <row r="179" spans="1:47" s="121" customFormat="1" hidden="1">
      <c r="AN179" s="239"/>
      <c r="AO179" s="225"/>
      <c r="AP179" s="287"/>
      <c r="AQ179" s="258"/>
      <c r="AR179" s="258"/>
      <c r="AS179" s="202"/>
      <c r="AT179" s="213"/>
      <c r="AU179" s="213"/>
    </row>
    <row r="180" spans="1:47" s="121" customFormat="1" hidden="1">
      <c r="AN180" s="239"/>
      <c r="AO180" s="225"/>
      <c r="AP180" s="287"/>
      <c r="AQ180" s="258"/>
      <c r="AR180" s="258"/>
      <c r="AS180" s="202"/>
      <c r="AT180" s="213"/>
      <c r="AU180" s="213"/>
    </row>
    <row r="181" spans="1:47" hidden="1">
      <c r="A181" s="51"/>
      <c r="B181" s="51"/>
      <c r="C181" s="51"/>
      <c r="D181" s="51"/>
      <c r="E181" s="51"/>
      <c r="F181" s="51"/>
      <c r="G181" s="51"/>
      <c r="H181" s="51"/>
      <c r="I181" s="5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239"/>
      <c r="AO181" s="225"/>
      <c r="AP181" s="287"/>
      <c r="AQ181" s="258"/>
      <c r="AR181" s="258"/>
      <c r="AS181" s="202"/>
      <c r="AT181" s="48"/>
      <c r="AU181" s="48"/>
    </row>
    <row r="182" spans="1:47" s="121" customFormat="1" hidden="1">
      <c r="AN182" s="239"/>
      <c r="AO182" s="225"/>
      <c r="AP182" s="287"/>
      <c r="AQ182" s="258"/>
      <c r="AR182" s="258"/>
      <c r="AS182" s="202"/>
      <c r="AT182" s="213"/>
      <c r="AU182" s="213"/>
    </row>
    <row r="183" spans="1:47" s="121" customFormat="1" hidden="1">
      <c r="AN183" s="239"/>
      <c r="AO183" s="225"/>
      <c r="AP183" s="287"/>
      <c r="AQ183" s="258"/>
      <c r="AR183" s="258"/>
      <c r="AS183" s="202"/>
      <c r="AT183" s="213"/>
      <c r="AU183" s="213"/>
    </row>
    <row r="184" spans="1:47" s="121" customFormat="1" hidden="1">
      <c r="AN184" s="239"/>
      <c r="AO184" s="225"/>
      <c r="AP184" s="287"/>
      <c r="AQ184" s="258"/>
      <c r="AR184" s="258"/>
      <c r="AS184" s="202"/>
      <c r="AT184" s="213"/>
      <c r="AU184" s="213"/>
    </row>
    <row r="185" spans="1:47" s="121" customFormat="1" hidden="1">
      <c r="AN185" s="239"/>
      <c r="AO185" s="225"/>
      <c r="AP185" s="287"/>
      <c r="AQ185" s="258"/>
      <c r="AR185" s="258"/>
      <c r="AS185" s="202"/>
      <c r="AT185" s="213"/>
      <c r="AU185" s="213"/>
    </row>
    <row r="186" spans="1:47" hidden="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239"/>
      <c r="AO186" s="225"/>
      <c r="AP186" s="287"/>
      <c r="AQ186" s="258"/>
      <c r="AR186" s="258"/>
      <c r="AS186" s="202"/>
      <c r="AT186" s="48"/>
      <c r="AU186" s="48"/>
    </row>
    <row r="187" spans="1:47" s="121" customFormat="1" hidden="1">
      <c r="AN187" s="239"/>
      <c r="AO187" s="225"/>
      <c r="AP187" s="287"/>
      <c r="AQ187" s="258"/>
      <c r="AR187" s="258"/>
      <c r="AS187" s="202"/>
      <c r="AT187" s="213"/>
      <c r="AU187" s="213"/>
    </row>
    <row r="188" spans="1:47" s="121" customFormat="1" hidden="1">
      <c r="AN188" s="239"/>
      <c r="AO188" s="225"/>
      <c r="AP188" s="287"/>
      <c r="AQ188" s="258"/>
      <c r="AR188" s="258"/>
      <c r="AS188" s="202"/>
      <c r="AT188" s="213"/>
      <c r="AU188" s="213"/>
    </row>
    <row r="189" spans="1:47" s="121" customFormat="1" hidden="1">
      <c r="AN189" s="239"/>
      <c r="AO189" s="225"/>
      <c r="AP189" s="287"/>
      <c r="AQ189" s="258"/>
      <c r="AR189" s="258"/>
      <c r="AS189" s="202"/>
      <c r="AT189" s="213"/>
      <c r="AU189" s="213"/>
    </row>
    <row r="190" spans="1:47" s="121" customFormat="1" hidden="1" collapsed="1">
      <c r="AN190" s="239"/>
      <c r="AO190" s="225"/>
      <c r="AP190" s="287"/>
      <c r="AQ190" s="258"/>
      <c r="AR190" s="258"/>
      <c r="AS190" s="202"/>
      <c r="AT190" s="213"/>
      <c r="AU190" s="213"/>
    </row>
    <row r="191" spans="1:47" hidden="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239"/>
      <c r="AO191" s="225"/>
      <c r="AP191" s="287"/>
      <c r="AQ191" s="258"/>
      <c r="AR191" s="258"/>
      <c r="AS191" s="202"/>
      <c r="AT191" s="48"/>
      <c r="AU191" s="48"/>
    </row>
    <row r="192" spans="1:47" s="121" customFormat="1" hidden="1">
      <c r="AN192" s="239"/>
      <c r="AO192" s="225"/>
      <c r="AP192" s="287"/>
      <c r="AQ192" s="258"/>
      <c r="AR192" s="258"/>
      <c r="AS192" s="202"/>
      <c r="AT192" s="213"/>
      <c r="AU192" s="213"/>
    </row>
    <row r="193" spans="1:47" s="121" customFormat="1" hidden="1">
      <c r="AN193" s="239"/>
      <c r="AO193" s="225"/>
      <c r="AP193" s="287"/>
      <c r="AQ193" s="258"/>
      <c r="AR193" s="258"/>
      <c r="AS193" s="202"/>
      <c r="AT193" s="213"/>
      <c r="AU193" s="213"/>
    </row>
    <row r="194" spans="1:47" s="121" customFormat="1" hidden="1">
      <c r="AN194" s="239"/>
      <c r="AO194" s="225"/>
      <c r="AP194" s="287"/>
      <c r="AQ194" s="258"/>
      <c r="AR194" s="258"/>
      <c r="AS194" s="202"/>
      <c r="AT194" s="213"/>
      <c r="AU194" s="213"/>
    </row>
    <row r="195" spans="1:47" s="121" customFormat="1" hidden="1">
      <c r="AN195" s="239"/>
      <c r="AO195" s="225"/>
      <c r="AP195" s="287"/>
      <c r="AQ195" s="258"/>
      <c r="AR195" s="258"/>
      <c r="AS195" s="202"/>
      <c r="AT195" s="213"/>
      <c r="AU195" s="213"/>
    </row>
    <row r="196" spans="1:47" hidden="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239"/>
      <c r="AO196" s="225"/>
      <c r="AP196" s="287"/>
      <c r="AQ196" s="258"/>
      <c r="AR196" s="258"/>
      <c r="AS196" s="202"/>
      <c r="AT196" s="48"/>
      <c r="AU196" s="48"/>
    </row>
    <row r="197" spans="1:47" s="121" customFormat="1" hidden="1">
      <c r="AN197" s="239"/>
      <c r="AO197" s="225"/>
      <c r="AP197" s="287"/>
      <c r="AQ197" s="258"/>
      <c r="AR197" s="258"/>
      <c r="AS197" s="202"/>
      <c r="AT197" s="213"/>
      <c r="AU197" s="213"/>
    </row>
    <row r="198" spans="1:47" s="121" customFormat="1" hidden="1" collapsed="1">
      <c r="AN198" s="239"/>
      <c r="AO198" s="225"/>
      <c r="AP198" s="287"/>
      <c r="AQ198" s="258"/>
      <c r="AR198" s="258"/>
      <c r="AS198" s="202"/>
      <c r="AT198" s="213"/>
      <c r="AU198" s="213"/>
    </row>
    <row r="199" spans="1:47" s="121" customFormat="1" hidden="1">
      <c r="AN199" s="239"/>
      <c r="AO199" s="225"/>
      <c r="AP199" s="287"/>
      <c r="AQ199" s="258"/>
      <c r="AR199" s="258"/>
      <c r="AS199" s="202"/>
      <c r="AT199" s="213"/>
      <c r="AU199" s="213"/>
    </row>
    <row r="200" spans="1:47" s="121" customFormat="1" hidden="1">
      <c r="AN200" s="239"/>
      <c r="AO200" s="225"/>
      <c r="AP200" s="287"/>
      <c r="AQ200" s="258"/>
      <c r="AR200" s="258"/>
      <c r="AS200" s="202"/>
      <c r="AT200" s="213"/>
      <c r="AU200" s="213"/>
    </row>
    <row r="201" spans="1:47" hidden="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239"/>
      <c r="AO201" s="225"/>
      <c r="AP201" s="287"/>
      <c r="AQ201" s="258"/>
      <c r="AR201" s="258"/>
      <c r="AS201" s="202"/>
      <c r="AT201" s="48"/>
      <c r="AU201" s="48"/>
    </row>
    <row r="202" spans="1:47" s="121" customFormat="1" hidden="1" collapsed="1">
      <c r="AN202" s="239"/>
      <c r="AO202" s="225"/>
      <c r="AP202" s="287"/>
      <c r="AQ202" s="258"/>
      <c r="AR202" s="258"/>
      <c r="AS202" s="202"/>
      <c r="AT202" s="213"/>
      <c r="AU202" s="213"/>
    </row>
    <row r="203" spans="1:47" s="121" customFormat="1" hidden="1">
      <c r="AN203" s="239"/>
      <c r="AO203" s="225"/>
      <c r="AP203" s="287"/>
      <c r="AQ203" s="258"/>
      <c r="AR203" s="258"/>
      <c r="AS203" s="202"/>
      <c r="AT203" s="213"/>
      <c r="AU203" s="213"/>
    </row>
    <row r="204" spans="1:47" s="121" customFormat="1" hidden="1">
      <c r="AN204" s="239"/>
      <c r="AO204" s="225"/>
      <c r="AP204" s="287"/>
      <c r="AQ204" s="258"/>
      <c r="AR204" s="258"/>
      <c r="AS204" s="202"/>
      <c r="AT204" s="213"/>
      <c r="AU204" s="213"/>
    </row>
    <row r="205" spans="1:47" s="121" customFormat="1" hidden="1">
      <c r="AN205" s="239"/>
      <c r="AO205" s="225"/>
      <c r="AP205" s="287"/>
      <c r="AQ205" s="258"/>
      <c r="AR205" s="258"/>
      <c r="AS205" s="202"/>
      <c r="AT205" s="213"/>
      <c r="AU205" s="213"/>
    </row>
    <row r="206" spans="1:47" hidden="1" collapsed="1">
      <c r="A206" s="51"/>
      <c r="B206" s="51"/>
      <c r="C206" s="51"/>
      <c r="D206" s="51"/>
      <c r="E206" s="51"/>
      <c r="F206" s="51"/>
      <c r="G206" s="51"/>
      <c r="H206" s="51"/>
      <c r="I206" s="5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239"/>
      <c r="AO206" s="225"/>
      <c r="AP206" s="287"/>
      <c r="AQ206" s="258"/>
      <c r="AR206" s="258"/>
      <c r="AS206" s="202"/>
      <c r="AT206" s="48"/>
      <c r="AU206" s="48"/>
    </row>
    <row r="207" spans="1:47" hidden="1">
      <c r="A207" s="51"/>
      <c r="B207" s="51"/>
      <c r="C207" s="51"/>
      <c r="D207" s="51"/>
      <c r="E207" s="51"/>
      <c r="F207" s="51"/>
      <c r="G207" s="51"/>
      <c r="H207" s="51"/>
      <c r="I207" s="5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239"/>
      <c r="AO207" s="225"/>
      <c r="AP207" s="287"/>
      <c r="AQ207" s="258"/>
      <c r="AR207" s="258"/>
      <c r="AS207" s="202"/>
      <c r="AT207" s="48"/>
      <c r="AU207" s="48"/>
    </row>
    <row r="208" spans="1:47" hidden="1">
      <c r="A208" s="51"/>
      <c r="B208" s="51"/>
      <c r="C208" s="51"/>
      <c r="D208" s="51"/>
      <c r="E208" s="51"/>
      <c r="F208" s="51"/>
      <c r="G208" s="51"/>
      <c r="H208" s="51"/>
      <c r="I208" s="5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239"/>
      <c r="AO208" s="225"/>
      <c r="AP208" s="287"/>
      <c r="AQ208" s="258"/>
      <c r="AR208" s="258"/>
      <c r="AS208" s="202"/>
      <c r="AT208" s="48"/>
      <c r="AU208" s="48"/>
    </row>
    <row r="209" spans="40:47" s="121" customFormat="1" hidden="1">
      <c r="AN209" s="239"/>
      <c r="AO209" s="225"/>
      <c r="AP209" s="287"/>
      <c r="AQ209" s="258"/>
      <c r="AR209" s="258"/>
      <c r="AS209" s="202"/>
      <c r="AT209" s="213"/>
      <c r="AU209" s="213"/>
    </row>
    <row r="210" spans="40:47" s="121" customFormat="1" hidden="1">
      <c r="AN210" s="239"/>
      <c r="AO210" s="225"/>
      <c r="AP210" s="287"/>
      <c r="AQ210" s="258"/>
      <c r="AR210" s="258"/>
      <c r="AS210" s="202"/>
      <c r="AT210" s="213"/>
      <c r="AU210" s="213"/>
    </row>
    <row r="211" spans="40:47" s="121" customFormat="1" hidden="1">
      <c r="AN211" s="239"/>
      <c r="AO211" s="225"/>
      <c r="AP211" s="287"/>
      <c r="AQ211" s="258"/>
      <c r="AR211" s="258"/>
      <c r="AS211" s="202"/>
      <c r="AT211" s="213"/>
      <c r="AU211" s="213"/>
    </row>
    <row r="212" spans="40:47" s="121" customFormat="1" hidden="1">
      <c r="AN212" s="239"/>
      <c r="AO212" s="225"/>
      <c r="AP212" s="287"/>
      <c r="AQ212" s="258"/>
      <c r="AR212" s="258"/>
      <c r="AS212" s="202"/>
      <c r="AT212" s="213"/>
      <c r="AU212" s="213"/>
    </row>
    <row r="213" spans="40:47" s="121" customFormat="1" hidden="1">
      <c r="AN213" s="239"/>
      <c r="AO213" s="225"/>
      <c r="AP213" s="287"/>
      <c r="AQ213" s="258"/>
      <c r="AR213" s="258"/>
      <c r="AS213" s="202"/>
      <c r="AT213" s="213"/>
      <c r="AU213" s="213"/>
    </row>
    <row r="214" spans="40:47" s="121" customFormat="1" hidden="1">
      <c r="AN214" s="239"/>
      <c r="AO214" s="225"/>
      <c r="AP214" s="287"/>
      <c r="AQ214" s="258"/>
      <c r="AR214" s="258"/>
      <c r="AS214" s="202"/>
      <c r="AT214" s="213"/>
      <c r="AU214" s="213"/>
    </row>
    <row r="215" spans="40:47" s="121" customFormat="1" hidden="1">
      <c r="AN215" s="239"/>
      <c r="AO215" s="225"/>
      <c r="AP215" s="287"/>
      <c r="AQ215" s="258"/>
      <c r="AR215" s="258"/>
      <c r="AS215" s="202"/>
      <c r="AT215" s="213"/>
      <c r="AU215" s="213"/>
    </row>
    <row r="216" spans="40:47" s="121" customFormat="1" hidden="1">
      <c r="AN216" s="239"/>
      <c r="AO216" s="225"/>
      <c r="AP216" s="287"/>
      <c r="AQ216" s="258"/>
      <c r="AR216" s="258"/>
      <c r="AS216" s="202"/>
      <c r="AT216" s="213"/>
      <c r="AU216" s="213"/>
    </row>
    <row r="217" spans="40:47" s="121" customFormat="1" hidden="1">
      <c r="AN217" s="239"/>
      <c r="AO217" s="225"/>
      <c r="AP217" s="287"/>
      <c r="AQ217" s="258"/>
      <c r="AR217" s="258"/>
      <c r="AS217" s="202"/>
      <c r="AT217" s="213"/>
      <c r="AU217" s="213"/>
    </row>
    <row r="218" spans="40:47" s="121" customFormat="1" hidden="1">
      <c r="AN218" s="239"/>
      <c r="AO218" s="225"/>
      <c r="AP218" s="287"/>
      <c r="AQ218" s="258"/>
      <c r="AR218" s="258"/>
      <c r="AS218" s="202"/>
      <c r="AT218" s="213"/>
      <c r="AU218" s="213"/>
    </row>
    <row r="219" spans="40:47" s="121" customFormat="1" hidden="1">
      <c r="AN219" s="239"/>
      <c r="AO219" s="225"/>
      <c r="AP219" s="287"/>
      <c r="AQ219" s="258"/>
      <c r="AR219" s="258"/>
      <c r="AS219" s="202"/>
      <c r="AT219" s="213"/>
      <c r="AU219" s="213"/>
    </row>
    <row r="220" spans="40:47" s="121" customFormat="1" hidden="1">
      <c r="AN220" s="239"/>
      <c r="AO220" s="225"/>
      <c r="AP220" s="287"/>
      <c r="AQ220" s="258"/>
      <c r="AR220" s="258"/>
      <c r="AS220" s="202"/>
      <c r="AT220" s="213"/>
      <c r="AU220" s="213"/>
    </row>
    <row r="221" spans="40:47" s="121" customFormat="1" hidden="1">
      <c r="AN221" s="239"/>
      <c r="AO221" s="225"/>
      <c r="AP221" s="287"/>
      <c r="AQ221" s="258"/>
      <c r="AR221" s="258"/>
      <c r="AS221" s="202"/>
      <c r="AT221" s="213"/>
      <c r="AU221" s="213"/>
    </row>
    <row r="222" spans="40:47" s="121" customFormat="1" hidden="1">
      <c r="AN222" s="239"/>
      <c r="AO222" s="225"/>
      <c r="AP222" s="287"/>
      <c r="AQ222" s="258"/>
      <c r="AR222" s="258"/>
      <c r="AS222" s="202"/>
      <c r="AT222" s="213"/>
      <c r="AU222" s="213"/>
    </row>
    <row r="223" spans="40:47" s="121" customFormat="1" hidden="1">
      <c r="AN223" s="239"/>
      <c r="AO223" s="225"/>
      <c r="AP223" s="287"/>
      <c r="AQ223" s="258"/>
      <c r="AR223" s="258"/>
      <c r="AS223" s="202"/>
      <c r="AT223" s="213"/>
      <c r="AU223" s="213"/>
    </row>
    <row r="224" spans="40:47" s="121" customFormat="1" hidden="1">
      <c r="AN224" s="239"/>
      <c r="AO224" s="225"/>
      <c r="AP224" s="287"/>
      <c r="AQ224" s="258"/>
      <c r="AR224" s="258"/>
      <c r="AS224" s="202"/>
      <c r="AT224" s="213"/>
      <c r="AU224" s="213"/>
    </row>
    <row r="225" spans="40:47" s="121" customFormat="1" hidden="1">
      <c r="AN225" s="239"/>
      <c r="AO225" s="225"/>
      <c r="AP225" s="287"/>
      <c r="AQ225" s="258"/>
      <c r="AR225" s="258"/>
      <c r="AS225" s="202"/>
      <c r="AT225" s="213"/>
      <c r="AU225" s="213"/>
    </row>
    <row r="226" spans="40:47" s="121" customFormat="1" hidden="1">
      <c r="AN226" s="239"/>
      <c r="AO226" s="225"/>
      <c r="AP226" s="287"/>
      <c r="AQ226" s="258"/>
      <c r="AR226" s="258"/>
      <c r="AS226" s="202"/>
      <c r="AT226" s="213"/>
      <c r="AU226" s="213"/>
    </row>
    <row r="227" spans="40:47" s="121" customFormat="1" hidden="1">
      <c r="AN227" s="239"/>
      <c r="AO227" s="225"/>
      <c r="AP227" s="260"/>
      <c r="AQ227" s="258"/>
      <c r="AR227" s="258"/>
      <c r="AS227" s="202"/>
      <c r="AT227" s="213"/>
      <c r="AU227" s="213"/>
    </row>
    <row r="228" spans="40:47" s="121" customFormat="1" hidden="1">
      <c r="AN228" s="239"/>
      <c r="AO228" s="225"/>
      <c r="AP228" s="260"/>
      <c r="AQ228" s="258"/>
      <c r="AR228" s="258"/>
      <c r="AS228" s="202"/>
      <c r="AT228" s="213"/>
      <c r="AU228" s="213"/>
    </row>
    <row r="229" spans="40:47" s="121" customFormat="1" hidden="1">
      <c r="AN229" s="239"/>
      <c r="AO229" s="225"/>
      <c r="AP229" s="260"/>
      <c r="AQ229" s="258"/>
      <c r="AR229" s="258"/>
      <c r="AS229" s="202"/>
      <c r="AT229" s="213"/>
      <c r="AU229" s="213"/>
    </row>
    <row r="230" spans="40:47" s="121" customFormat="1" hidden="1">
      <c r="AN230" s="239"/>
      <c r="AO230" s="225"/>
      <c r="AP230" s="260"/>
      <c r="AQ230" s="258"/>
      <c r="AR230" s="258"/>
      <c r="AS230" s="202"/>
      <c r="AT230" s="213"/>
      <c r="AU230" s="213"/>
    </row>
    <row r="231" spans="40:47" s="121" customFormat="1" hidden="1">
      <c r="AN231" s="239"/>
      <c r="AO231" s="225"/>
      <c r="AP231" s="260"/>
      <c r="AQ231" s="258"/>
      <c r="AR231" s="258"/>
      <c r="AS231" s="202"/>
      <c r="AT231" s="213"/>
      <c r="AU231" s="213"/>
    </row>
    <row r="232" spans="40:47" s="121" customFormat="1" hidden="1">
      <c r="AN232" s="239"/>
      <c r="AO232" s="225"/>
      <c r="AP232" s="260"/>
      <c r="AQ232" s="258"/>
      <c r="AR232" s="258"/>
      <c r="AS232" s="202"/>
      <c r="AT232" s="213"/>
      <c r="AU232" s="213"/>
    </row>
    <row r="233" spans="40:47" s="121" customFormat="1" hidden="1">
      <c r="AN233" s="239"/>
      <c r="AO233" s="225"/>
      <c r="AP233" s="260"/>
      <c r="AQ233" s="258"/>
      <c r="AR233" s="258"/>
      <c r="AS233" s="202"/>
      <c r="AT233" s="213"/>
      <c r="AU233" s="213"/>
    </row>
    <row r="234" spans="40:47" s="121" customFormat="1" hidden="1">
      <c r="AN234" s="239"/>
      <c r="AO234" s="225"/>
      <c r="AP234" s="260"/>
      <c r="AQ234" s="258"/>
      <c r="AR234" s="258"/>
      <c r="AS234" s="202"/>
      <c r="AT234" s="213"/>
      <c r="AU234" s="213"/>
    </row>
    <row r="235" spans="40:47" s="121" customFormat="1" hidden="1">
      <c r="AN235" s="239"/>
      <c r="AO235" s="225"/>
      <c r="AP235" s="260"/>
      <c r="AQ235" s="258"/>
      <c r="AR235" s="258"/>
      <c r="AS235" s="202"/>
      <c r="AT235" s="213"/>
      <c r="AU235" s="213"/>
    </row>
    <row r="236" spans="40:47" s="121" customFormat="1" hidden="1">
      <c r="AN236" s="239"/>
      <c r="AO236" s="225"/>
      <c r="AP236" s="260"/>
      <c r="AQ236" s="258"/>
      <c r="AR236" s="258"/>
      <c r="AS236" s="202"/>
      <c r="AT236" s="213"/>
      <c r="AU236" s="213"/>
    </row>
    <row r="237" spans="40:47" s="121" customFormat="1" hidden="1">
      <c r="AN237" s="239"/>
      <c r="AO237" s="225"/>
      <c r="AP237" s="260"/>
      <c r="AQ237" s="258"/>
      <c r="AR237" s="258"/>
      <c r="AS237" s="202"/>
      <c r="AT237" s="213"/>
      <c r="AU237" s="213"/>
    </row>
    <row r="238" spans="40:47" s="121" customFormat="1" hidden="1">
      <c r="AN238" s="239"/>
      <c r="AO238" s="225"/>
      <c r="AP238" s="260"/>
      <c r="AQ238" s="258"/>
      <c r="AR238" s="258"/>
      <c r="AS238" s="202"/>
      <c r="AT238" s="213"/>
      <c r="AU238" s="213"/>
    </row>
    <row r="239" spans="40:47" s="121" customFormat="1" hidden="1">
      <c r="AN239" s="239"/>
      <c r="AO239" s="225"/>
      <c r="AP239" s="260"/>
      <c r="AQ239" s="258"/>
      <c r="AR239" s="258"/>
      <c r="AS239" s="202"/>
      <c r="AT239" s="213"/>
      <c r="AU239" s="213"/>
    </row>
    <row r="240" spans="40:47" s="121" customFormat="1" hidden="1">
      <c r="AN240" s="239"/>
      <c r="AO240" s="225"/>
      <c r="AP240" s="260"/>
      <c r="AQ240" s="258"/>
      <c r="AR240" s="258"/>
      <c r="AS240" s="202"/>
      <c r="AT240" s="213"/>
      <c r="AU240" s="213"/>
    </row>
    <row r="241" spans="40:47" s="121" customFormat="1" hidden="1">
      <c r="AN241" s="239"/>
      <c r="AO241" s="225"/>
      <c r="AP241" s="260"/>
      <c r="AQ241" s="258"/>
      <c r="AR241" s="258"/>
      <c r="AS241" s="202"/>
      <c r="AT241" s="213"/>
      <c r="AU241" s="213"/>
    </row>
    <row r="242" spans="40:47" s="121" customFormat="1" hidden="1">
      <c r="AN242" s="239"/>
      <c r="AO242" s="225"/>
      <c r="AP242" s="260"/>
      <c r="AQ242" s="258"/>
      <c r="AR242" s="258"/>
      <c r="AS242" s="202"/>
      <c r="AT242" s="213"/>
      <c r="AU242" s="213"/>
    </row>
    <row r="243" spans="40:47" s="121" customFormat="1" hidden="1">
      <c r="AN243" s="239"/>
      <c r="AO243" s="225"/>
      <c r="AP243" s="260"/>
      <c r="AQ243" s="258"/>
      <c r="AR243" s="258"/>
      <c r="AS243" s="202"/>
      <c r="AT243" s="213"/>
      <c r="AU243" s="213"/>
    </row>
    <row r="244" spans="40:47" s="121" customFormat="1" hidden="1">
      <c r="AN244" s="239"/>
      <c r="AO244" s="225"/>
      <c r="AP244" s="260"/>
      <c r="AQ244" s="258"/>
      <c r="AR244" s="258"/>
      <c r="AS244" s="202"/>
      <c r="AT244" s="213"/>
      <c r="AU244" s="213"/>
    </row>
    <row r="245" spans="40:47" s="121" customFormat="1" hidden="1">
      <c r="AN245" s="239"/>
      <c r="AO245" s="225"/>
      <c r="AP245" s="260"/>
      <c r="AQ245" s="258"/>
      <c r="AR245" s="258"/>
      <c r="AS245" s="202"/>
      <c r="AT245" s="213"/>
      <c r="AU245" s="213"/>
    </row>
    <row r="246" spans="40:47" s="121" customFormat="1" hidden="1">
      <c r="AN246" s="239"/>
      <c r="AO246" s="225"/>
      <c r="AP246" s="260"/>
      <c r="AQ246" s="258"/>
      <c r="AR246" s="258"/>
      <c r="AS246" s="202"/>
      <c r="AT246" s="213"/>
      <c r="AU246" s="213"/>
    </row>
    <row r="247" spans="40:47" s="121" customFormat="1" hidden="1">
      <c r="AN247" s="239"/>
      <c r="AO247" s="225"/>
      <c r="AP247" s="260"/>
      <c r="AQ247" s="258"/>
      <c r="AR247" s="258"/>
      <c r="AS247" s="202"/>
      <c r="AT247" s="213"/>
      <c r="AU247" s="213"/>
    </row>
    <row r="248" spans="40:47" s="121" customFormat="1" hidden="1">
      <c r="AN248" s="239"/>
      <c r="AO248" s="225"/>
      <c r="AP248" s="260"/>
      <c r="AQ248" s="258"/>
      <c r="AR248" s="258"/>
      <c r="AS248" s="202"/>
      <c r="AT248" s="213"/>
      <c r="AU248" s="213"/>
    </row>
    <row r="249" spans="40:47" s="121" customFormat="1" hidden="1">
      <c r="AN249" s="239"/>
      <c r="AO249" s="225"/>
      <c r="AP249" s="260"/>
      <c r="AQ249" s="258"/>
      <c r="AR249" s="258"/>
      <c r="AS249" s="202"/>
      <c r="AT249" s="213"/>
      <c r="AU249" s="213"/>
    </row>
    <row r="250" spans="40:47" s="121" customFormat="1" hidden="1">
      <c r="AN250" s="239"/>
      <c r="AO250" s="225"/>
      <c r="AP250" s="260"/>
      <c r="AQ250" s="258"/>
      <c r="AR250" s="258"/>
      <c r="AS250" s="202"/>
      <c r="AT250" s="213"/>
      <c r="AU250" s="213"/>
    </row>
    <row r="251" spans="40:47" s="121" customFormat="1" hidden="1">
      <c r="AN251" s="239"/>
      <c r="AO251" s="225"/>
      <c r="AP251" s="260"/>
      <c r="AQ251" s="258"/>
      <c r="AR251" s="258"/>
      <c r="AS251" s="202"/>
      <c r="AT251" s="213"/>
      <c r="AU251" s="213"/>
    </row>
    <row r="252" spans="40:47" s="121" customFormat="1" hidden="1">
      <c r="AN252" s="239"/>
      <c r="AO252" s="225"/>
      <c r="AP252" s="260"/>
      <c r="AQ252" s="258"/>
      <c r="AR252" s="258"/>
      <c r="AS252" s="202"/>
      <c r="AT252" s="213"/>
      <c r="AU252" s="213"/>
    </row>
    <row r="253" spans="40:47" s="121" customFormat="1" hidden="1">
      <c r="AN253" s="239"/>
      <c r="AO253" s="225"/>
      <c r="AP253" s="260"/>
      <c r="AQ253" s="258"/>
      <c r="AR253" s="258"/>
      <c r="AS253" s="202"/>
      <c r="AT253" s="213"/>
      <c r="AU253" s="213"/>
    </row>
    <row r="254" spans="40:47" s="121" customFormat="1" hidden="1">
      <c r="AN254" s="239"/>
      <c r="AO254" s="225"/>
      <c r="AP254" s="260"/>
      <c r="AQ254" s="258"/>
      <c r="AR254" s="258"/>
      <c r="AS254" s="202"/>
      <c r="AT254" s="213"/>
      <c r="AU254" s="213"/>
    </row>
    <row r="255" spans="40:47" s="121" customFormat="1" hidden="1">
      <c r="AN255" s="239"/>
      <c r="AO255" s="225"/>
      <c r="AP255" s="260"/>
      <c r="AQ255" s="258"/>
      <c r="AR255" s="258"/>
      <c r="AS255" s="202"/>
      <c r="AT255" s="213"/>
      <c r="AU255" s="213"/>
    </row>
    <row r="256" spans="40:47" s="121" customFormat="1" hidden="1">
      <c r="AN256" s="239"/>
      <c r="AO256" s="225"/>
      <c r="AP256" s="260"/>
      <c r="AQ256" s="258"/>
      <c r="AR256" s="258"/>
      <c r="AS256" s="202"/>
      <c r="AT256" s="213"/>
      <c r="AU256" s="213"/>
    </row>
    <row r="257" spans="40:47" s="121" customFormat="1" hidden="1">
      <c r="AN257" s="239"/>
      <c r="AO257" s="225"/>
      <c r="AP257" s="260"/>
      <c r="AQ257" s="258"/>
      <c r="AR257" s="258"/>
      <c r="AS257" s="202"/>
      <c r="AT257" s="213"/>
      <c r="AU257" s="213"/>
    </row>
    <row r="258" spans="40:47" s="121" customFormat="1" hidden="1">
      <c r="AN258" s="239"/>
      <c r="AO258" s="225"/>
      <c r="AP258" s="260"/>
      <c r="AQ258" s="258"/>
      <c r="AR258" s="258"/>
      <c r="AS258" s="202"/>
      <c r="AT258" s="213"/>
      <c r="AU258" s="213"/>
    </row>
    <row r="259" spans="40:47" s="121" customFormat="1" hidden="1">
      <c r="AN259" s="239"/>
      <c r="AO259" s="225"/>
      <c r="AP259" s="260"/>
      <c r="AQ259" s="258"/>
      <c r="AR259" s="258"/>
      <c r="AS259" s="202"/>
      <c r="AT259" s="213"/>
      <c r="AU259" s="213"/>
    </row>
    <row r="260" spans="40:47" s="121" customFormat="1" hidden="1">
      <c r="AN260" s="239"/>
      <c r="AO260" s="225"/>
      <c r="AP260" s="260"/>
      <c r="AQ260" s="258"/>
      <c r="AR260" s="258"/>
      <c r="AS260" s="202"/>
      <c r="AT260" s="213"/>
      <c r="AU260" s="213"/>
    </row>
    <row r="261" spans="40:47" s="121" customFormat="1" hidden="1">
      <c r="AN261" s="239"/>
      <c r="AO261" s="225"/>
      <c r="AP261" s="260"/>
      <c r="AQ261" s="258"/>
      <c r="AR261" s="258"/>
      <c r="AS261" s="202"/>
      <c r="AT261" s="213"/>
      <c r="AU261" s="213"/>
    </row>
    <row r="262" spans="40:47" s="121" customFormat="1" hidden="1">
      <c r="AN262" s="239"/>
      <c r="AO262" s="225"/>
      <c r="AP262" s="260"/>
      <c r="AQ262" s="258"/>
      <c r="AR262" s="258"/>
      <c r="AS262" s="202"/>
      <c r="AT262" s="213"/>
      <c r="AU262" s="213"/>
    </row>
    <row r="263" spans="40:47" s="121" customFormat="1" hidden="1">
      <c r="AN263" s="239"/>
      <c r="AO263" s="225"/>
      <c r="AP263" s="260"/>
      <c r="AQ263" s="258"/>
      <c r="AR263" s="258"/>
      <c r="AS263" s="202"/>
      <c r="AT263" s="213"/>
      <c r="AU263" s="213"/>
    </row>
    <row r="264" spans="40:47" s="121" customFormat="1" hidden="1">
      <c r="AN264" s="239"/>
      <c r="AO264" s="225"/>
      <c r="AP264" s="260"/>
      <c r="AQ264" s="258"/>
      <c r="AR264" s="258"/>
      <c r="AS264" s="202"/>
      <c r="AT264" s="213"/>
      <c r="AU264" s="213"/>
    </row>
    <row r="265" spans="40:47" s="121" customFormat="1" hidden="1">
      <c r="AN265" s="239"/>
      <c r="AO265" s="225"/>
      <c r="AP265" s="260"/>
      <c r="AQ265" s="258"/>
      <c r="AR265" s="258"/>
      <c r="AS265" s="202"/>
      <c r="AT265" s="213"/>
      <c r="AU265" s="213"/>
    </row>
    <row r="266" spans="40:47" s="121" customFormat="1" hidden="1">
      <c r="AN266" s="239"/>
      <c r="AO266" s="225"/>
      <c r="AP266" s="260"/>
      <c r="AQ266" s="258"/>
      <c r="AR266" s="258"/>
      <c r="AS266" s="202"/>
      <c r="AT266" s="213"/>
      <c r="AU266" s="213"/>
    </row>
    <row r="267" spans="40:47" s="121" customFormat="1" hidden="1">
      <c r="AN267" s="239"/>
      <c r="AO267" s="225"/>
      <c r="AP267" s="260"/>
      <c r="AQ267" s="258"/>
      <c r="AR267" s="258"/>
      <c r="AS267" s="202"/>
      <c r="AT267" s="213"/>
      <c r="AU267" s="213"/>
    </row>
    <row r="268" spans="40:47" s="121" customFormat="1" hidden="1">
      <c r="AN268" s="239"/>
      <c r="AO268" s="225"/>
      <c r="AP268" s="260"/>
      <c r="AQ268" s="258"/>
      <c r="AR268" s="258"/>
      <c r="AS268" s="202"/>
      <c r="AT268" s="213"/>
      <c r="AU268" s="213"/>
    </row>
    <row r="269" spans="40:47" s="121" customFormat="1" hidden="1">
      <c r="AN269" s="239"/>
      <c r="AO269" s="225"/>
      <c r="AP269" s="260"/>
      <c r="AQ269" s="258"/>
      <c r="AR269" s="258"/>
      <c r="AS269" s="202"/>
      <c r="AT269" s="213"/>
      <c r="AU269" s="213"/>
    </row>
    <row r="270" spans="40:47" s="121" customFormat="1" hidden="1">
      <c r="AN270" s="239"/>
      <c r="AO270" s="225"/>
      <c r="AP270" s="260"/>
      <c r="AQ270" s="258"/>
      <c r="AR270" s="258"/>
      <c r="AS270" s="202"/>
      <c r="AT270" s="213"/>
      <c r="AU270" s="213"/>
    </row>
    <row r="271" spans="40:47" s="121" customFormat="1" hidden="1">
      <c r="AN271" s="239"/>
      <c r="AO271" s="225"/>
      <c r="AP271" s="260"/>
      <c r="AQ271" s="258"/>
      <c r="AR271" s="258"/>
      <c r="AS271" s="202"/>
      <c r="AT271" s="213"/>
      <c r="AU271" s="213"/>
    </row>
    <row r="272" spans="40:47" s="121" customFormat="1" hidden="1">
      <c r="AN272" s="239"/>
      <c r="AO272" s="225"/>
      <c r="AP272" s="260"/>
      <c r="AQ272" s="258"/>
      <c r="AR272" s="258"/>
      <c r="AS272" s="202"/>
      <c r="AT272" s="213"/>
      <c r="AU272" s="213"/>
    </row>
    <row r="273" spans="40:47" s="121" customFormat="1" hidden="1">
      <c r="AN273" s="239"/>
      <c r="AO273" s="225"/>
      <c r="AP273" s="260"/>
      <c r="AQ273" s="258"/>
      <c r="AR273" s="258"/>
      <c r="AS273" s="202"/>
      <c r="AT273" s="213"/>
      <c r="AU273" s="213"/>
    </row>
    <row r="274" spans="40:47" s="121" customFormat="1" hidden="1">
      <c r="AN274" s="239"/>
      <c r="AO274" s="225"/>
      <c r="AP274" s="260"/>
      <c r="AQ274" s="258"/>
      <c r="AR274" s="258"/>
      <c r="AS274" s="202"/>
      <c r="AT274" s="213"/>
      <c r="AU274" s="213"/>
    </row>
    <row r="275" spans="40:47" s="121" customFormat="1" hidden="1">
      <c r="AN275" s="239"/>
      <c r="AO275" s="225"/>
      <c r="AP275" s="260"/>
      <c r="AQ275" s="258"/>
      <c r="AR275" s="258"/>
      <c r="AS275" s="202"/>
      <c r="AT275" s="213"/>
      <c r="AU275" s="213"/>
    </row>
    <row r="276" spans="40:47" s="121" customFormat="1" hidden="1">
      <c r="AN276" s="239"/>
      <c r="AO276" s="225"/>
      <c r="AP276" s="260"/>
      <c r="AQ276" s="258"/>
      <c r="AR276" s="258"/>
      <c r="AS276" s="202"/>
      <c r="AT276" s="213"/>
      <c r="AU276" s="213"/>
    </row>
    <row r="277" spans="40:47" s="121" customFormat="1" hidden="1">
      <c r="AN277" s="239"/>
      <c r="AO277" s="225"/>
      <c r="AP277" s="260"/>
      <c r="AQ277" s="258"/>
      <c r="AR277" s="258"/>
      <c r="AS277" s="202"/>
      <c r="AT277" s="213"/>
      <c r="AU277" s="213"/>
    </row>
    <row r="278" spans="40:47" s="121" customFormat="1" hidden="1">
      <c r="AN278" s="239"/>
      <c r="AO278" s="225"/>
      <c r="AP278" s="260"/>
      <c r="AQ278" s="258"/>
      <c r="AR278" s="258"/>
      <c r="AS278" s="202"/>
      <c r="AT278" s="213"/>
      <c r="AU278" s="213"/>
    </row>
    <row r="279" spans="40:47" s="121" customFormat="1" hidden="1">
      <c r="AN279" s="239"/>
      <c r="AO279" s="225"/>
      <c r="AP279" s="260"/>
      <c r="AQ279" s="258"/>
      <c r="AR279" s="258"/>
      <c r="AS279" s="202"/>
      <c r="AT279" s="213"/>
      <c r="AU279" s="213"/>
    </row>
    <row r="280" spans="40:47" s="121" customFormat="1" hidden="1">
      <c r="AN280" s="239"/>
      <c r="AO280" s="225"/>
      <c r="AP280" s="260"/>
      <c r="AQ280" s="258"/>
      <c r="AR280" s="258"/>
      <c r="AS280" s="202"/>
      <c r="AT280" s="213"/>
      <c r="AU280" s="213"/>
    </row>
    <row r="281" spans="40:47" s="121" customFormat="1" hidden="1">
      <c r="AN281" s="239"/>
      <c r="AO281" s="225"/>
      <c r="AP281" s="260"/>
      <c r="AQ281" s="258"/>
      <c r="AR281" s="258"/>
      <c r="AS281" s="202"/>
      <c r="AT281" s="213"/>
      <c r="AU281" s="213"/>
    </row>
    <row r="282" spans="40:47" s="121" customFormat="1" hidden="1">
      <c r="AN282" s="239"/>
      <c r="AO282" s="225"/>
      <c r="AP282" s="260"/>
      <c r="AQ282" s="258"/>
      <c r="AR282" s="258"/>
      <c r="AS282" s="202"/>
      <c r="AT282" s="213"/>
      <c r="AU282" s="213"/>
    </row>
    <row r="283" spans="40:47" s="121" customFormat="1" hidden="1">
      <c r="AN283" s="239"/>
      <c r="AO283" s="225"/>
      <c r="AP283" s="260"/>
      <c r="AQ283" s="258"/>
      <c r="AR283" s="258"/>
      <c r="AS283" s="202"/>
      <c r="AT283" s="213"/>
      <c r="AU283" s="213"/>
    </row>
    <row r="284" spans="40:47" s="121" customFormat="1" hidden="1">
      <c r="AN284" s="239"/>
      <c r="AO284" s="225"/>
      <c r="AP284" s="260"/>
      <c r="AQ284" s="258"/>
      <c r="AR284" s="258"/>
      <c r="AS284" s="202"/>
      <c r="AT284" s="213"/>
      <c r="AU284" s="213"/>
    </row>
    <row r="285" spans="40:47" s="121" customFormat="1" hidden="1">
      <c r="AN285" s="239"/>
      <c r="AO285" s="225"/>
      <c r="AP285" s="260"/>
      <c r="AQ285" s="258"/>
      <c r="AR285" s="258"/>
      <c r="AS285" s="202"/>
      <c r="AT285" s="213"/>
      <c r="AU285" s="213"/>
    </row>
    <row r="286" spans="40:47" s="121" customFormat="1" hidden="1">
      <c r="AN286" s="239"/>
      <c r="AO286" s="225"/>
      <c r="AP286" s="260"/>
      <c r="AQ286" s="258"/>
      <c r="AR286" s="258"/>
      <c r="AS286" s="202"/>
      <c r="AT286" s="213"/>
      <c r="AU286" s="213"/>
    </row>
    <row r="287" spans="40:47" s="121" customFormat="1" hidden="1">
      <c r="AN287" s="239"/>
      <c r="AO287" s="225"/>
      <c r="AP287" s="260"/>
      <c r="AQ287" s="258"/>
      <c r="AR287" s="258"/>
      <c r="AS287" s="202"/>
      <c r="AT287" s="213"/>
      <c r="AU287" s="213"/>
    </row>
    <row r="288" spans="40:47" s="121" customFormat="1" hidden="1">
      <c r="AN288" s="239"/>
      <c r="AO288" s="225"/>
      <c r="AP288" s="260"/>
      <c r="AQ288" s="258"/>
      <c r="AR288" s="258"/>
      <c r="AS288" s="202"/>
      <c r="AT288" s="213"/>
      <c r="AU288" s="213"/>
    </row>
    <row r="289" spans="40:47" s="121" customFormat="1" hidden="1">
      <c r="AN289" s="239"/>
      <c r="AO289" s="225"/>
      <c r="AP289" s="260"/>
      <c r="AQ289" s="258"/>
      <c r="AR289" s="258"/>
      <c r="AS289" s="202"/>
      <c r="AT289" s="213"/>
      <c r="AU289" s="213"/>
    </row>
    <row r="290" spans="40:47" s="121" customFormat="1" hidden="1">
      <c r="AN290" s="239"/>
      <c r="AO290" s="225"/>
      <c r="AP290" s="260"/>
      <c r="AQ290" s="258"/>
      <c r="AR290" s="258"/>
      <c r="AS290" s="202"/>
      <c r="AT290" s="213"/>
      <c r="AU290" s="213"/>
    </row>
    <row r="291" spans="40:47" s="121" customFormat="1" hidden="1">
      <c r="AN291" s="239"/>
      <c r="AO291" s="225"/>
      <c r="AP291" s="260"/>
      <c r="AQ291" s="258"/>
      <c r="AR291" s="258"/>
      <c r="AS291" s="202"/>
      <c r="AT291" s="213"/>
      <c r="AU291" s="213"/>
    </row>
    <row r="292" spans="40:47" s="121" customFormat="1" hidden="1">
      <c r="AN292" s="239"/>
      <c r="AO292" s="225"/>
      <c r="AP292" s="260"/>
      <c r="AQ292" s="258"/>
      <c r="AR292" s="258"/>
      <c r="AS292" s="202"/>
      <c r="AT292" s="213"/>
      <c r="AU292" s="213"/>
    </row>
    <row r="293" spans="40:47" s="121" customFormat="1" hidden="1">
      <c r="AN293" s="239"/>
      <c r="AO293" s="225"/>
      <c r="AP293" s="260"/>
      <c r="AQ293" s="258"/>
      <c r="AR293" s="258"/>
      <c r="AS293" s="202"/>
      <c r="AT293" s="213"/>
      <c r="AU293" s="213"/>
    </row>
    <row r="294" spans="40:47" s="121" customFormat="1" hidden="1">
      <c r="AN294" s="239"/>
      <c r="AO294" s="225"/>
      <c r="AP294" s="260"/>
      <c r="AQ294" s="258"/>
      <c r="AR294" s="258"/>
      <c r="AS294" s="202"/>
      <c r="AT294" s="213"/>
      <c r="AU294" s="213"/>
    </row>
    <row r="295" spans="40:47" s="121" customFormat="1" hidden="1">
      <c r="AN295" s="239"/>
      <c r="AO295" s="225"/>
      <c r="AP295" s="260"/>
      <c r="AQ295" s="258"/>
      <c r="AR295" s="258"/>
      <c r="AS295" s="202"/>
      <c r="AT295" s="213"/>
      <c r="AU295" s="213"/>
    </row>
    <row r="296" spans="40:47" s="121" customFormat="1" hidden="1">
      <c r="AN296" s="239"/>
      <c r="AO296" s="225"/>
      <c r="AP296" s="260"/>
      <c r="AQ296" s="258"/>
      <c r="AR296" s="258"/>
      <c r="AS296" s="202"/>
      <c r="AT296" s="213"/>
      <c r="AU296" s="213"/>
    </row>
    <row r="297" spans="40:47" s="121" customFormat="1" hidden="1">
      <c r="AN297" s="239"/>
      <c r="AO297" s="225"/>
      <c r="AP297" s="260"/>
      <c r="AQ297" s="258"/>
      <c r="AR297" s="258"/>
      <c r="AS297" s="202"/>
      <c r="AT297" s="213"/>
      <c r="AU297" s="213"/>
    </row>
    <row r="298" spans="40:47" s="121" customFormat="1" hidden="1">
      <c r="AN298" s="239"/>
      <c r="AO298" s="225"/>
      <c r="AP298" s="260"/>
      <c r="AQ298" s="258"/>
      <c r="AR298" s="258"/>
      <c r="AS298" s="202"/>
      <c r="AT298" s="213"/>
      <c r="AU298" s="213"/>
    </row>
    <row r="299" spans="40:47" s="121" customFormat="1" hidden="1">
      <c r="AN299" s="239"/>
      <c r="AO299" s="225"/>
      <c r="AP299" s="260"/>
      <c r="AQ299" s="258"/>
      <c r="AR299" s="258"/>
      <c r="AS299" s="202"/>
      <c r="AT299" s="213"/>
      <c r="AU299" s="213"/>
    </row>
    <row r="300" spans="40:47" s="121" customFormat="1" hidden="1">
      <c r="AN300" s="239"/>
      <c r="AO300" s="225"/>
      <c r="AP300" s="260"/>
      <c r="AQ300" s="258"/>
      <c r="AR300" s="258"/>
      <c r="AS300" s="202"/>
      <c r="AT300" s="213"/>
      <c r="AU300" s="213"/>
    </row>
    <row r="301" spans="40:47" s="121" customFormat="1" hidden="1">
      <c r="AN301" s="239"/>
      <c r="AO301" s="225"/>
      <c r="AP301" s="260"/>
      <c r="AQ301" s="258"/>
      <c r="AR301" s="258"/>
      <c r="AS301" s="202"/>
      <c r="AT301" s="213"/>
      <c r="AU301" s="213"/>
    </row>
    <row r="302" spans="40:47" s="121" customFormat="1" hidden="1">
      <c r="AN302" s="239"/>
      <c r="AO302" s="225"/>
      <c r="AP302" s="260"/>
      <c r="AQ302" s="258"/>
      <c r="AR302" s="258"/>
      <c r="AS302" s="202"/>
      <c r="AT302" s="213"/>
      <c r="AU302" s="213"/>
    </row>
    <row r="303" spans="40:47" s="121" customFormat="1" hidden="1">
      <c r="AN303" s="239"/>
      <c r="AO303" s="225"/>
      <c r="AP303" s="260"/>
      <c r="AQ303" s="258"/>
      <c r="AR303" s="258"/>
      <c r="AS303" s="202"/>
      <c r="AT303" s="213"/>
      <c r="AU303" s="213"/>
    </row>
    <row r="304" spans="40:47" s="121" customFormat="1" hidden="1">
      <c r="AN304" s="239"/>
      <c r="AO304" s="225"/>
      <c r="AP304" s="260"/>
      <c r="AQ304" s="258"/>
      <c r="AR304" s="258"/>
      <c r="AS304" s="202"/>
      <c r="AT304" s="213"/>
      <c r="AU304" s="213"/>
    </row>
    <row r="305" spans="40:47" s="121" customFormat="1" hidden="1">
      <c r="AN305" s="239"/>
      <c r="AO305" s="225"/>
      <c r="AP305" s="260"/>
      <c r="AQ305" s="258"/>
      <c r="AR305" s="258"/>
      <c r="AS305" s="202"/>
      <c r="AT305" s="213"/>
      <c r="AU305" s="213"/>
    </row>
    <row r="306" spans="40:47" s="121" customFormat="1" hidden="1">
      <c r="AN306" s="239"/>
      <c r="AO306" s="225"/>
      <c r="AP306" s="260"/>
      <c r="AQ306" s="258"/>
      <c r="AR306" s="258"/>
      <c r="AS306" s="202"/>
      <c r="AT306" s="213"/>
      <c r="AU306" s="213"/>
    </row>
    <row r="307" spans="40:47" s="121" customFormat="1" hidden="1">
      <c r="AN307" s="239"/>
      <c r="AO307" s="225"/>
      <c r="AP307" s="260"/>
      <c r="AQ307" s="258"/>
      <c r="AR307" s="258"/>
      <c r="AS307" s="202"/>
      <c r="AT307" s="213"/>
      <c r="AU307" s="213"/>
    </row>
    <row r="308" spans="40:47" s="121" customFormat="1" hidden="1">
      <c r="AN308" s="239"/>
      <c r="AO308" s="225"/>
      <c r="AP308" s="260"/>
      <c r="AQ308" s="258"/>
      <c r="AR308" s="258"/>
      <c r="AS308" s="202"/>
      <c r="AT308" s="213"/>
      <c r="AU308" s="213"/>
    </row>
    <row r="309" spans="40:47" s="121" customFormat="1" hidden="1">
      <c r="AN309" s="239"/>
      <c r="AO309" s="225"/>
      <c r="AP309" s="260"/>
      <c r="AQ309" s="258"/>
      <c r="AR309" s="258"/>
      <c r="AS309" s="202"/>
      <c r="AT309" s="213"/>
      <c r="AU309" s="213"/>
    </row>
    <row r="310" spans="40:47" s="121" customFormat="1" hidden="1">
      <c r="AN310" s="239"/>
      <c r="AO310" s="225"/>
      <c r="AP310" s="260"/>
      <c r="AQ310" s="258"/>
      <c r="AR310" s="258"/>
      <c r="AS310" s="202"/>
      <c r="AT310" s="213"/>
      <c r="AU310" s="213"/>
    </row>
    <row r="311" spans="40:47" s="121" customFormat="1" hidden="1">
      <c r="AN311" s="239"/>
      <c r="AO311" s="225"/>
      <c r="AP311" s="260"/>
      <c r="AQ311" s="258"/>
      <c r="AR311" s="258"/>
      <c r="AS311" s="202"/>
      <c r="AT311" s="213"/>
      <c r="AU311" s="213"/>
    </row>
    <row r="312" spans="40:47" s="121" customFormat="1" hidden="1">
      <c r="AN312" s="239"/>
      <c r="AO312" s="225"/>
      <c r="AP312" s="260"/>
      <c r="AQ312" s="258"/>
      <c r="AR312" s="258"/>
      <c r="AS312" s="202"/>
      <c r="AT312" s="213"/>
      <c r="AU312" s="213"/>
    </row>
    <row r="313" spans="40:47" s="121" customFormat="1" hidden="1">
      <c r="AN313" s="239"/>
      <c r="AO313" s="225"/>
      <c r="AP313" s="260"/>
      <c r="AQ313" s="258"/>
      <c r="AR313" s="258"/>
      <c r="AS313" s="202"/>
      <c r="AT313" s="213"/>
      <c r="AU313" s="213"/>
    </row>
    <row r="314" spans="40:47" s="121" customFormat="1" hidden="1">
      <c r="AN314" s="239"/>
      <c r="AO314" s="225"/>
      <c r="AP314" s="260"/>
      <c r="AQ314" s="258"/>
      <c r="AR314" s="258"/>
      <c r="AS314" s="202"/>
      <c r="AT314" s="213"/>
      <c r="AU314" s="213"/>
    </row>
    <row r="315" spans="40:47" s="121" customFormat="1" hidden="1">
      <c r="AN315" s="239"/>
      <c r="AO315" s="225"/>
      <c r="AP315" s="260"/>
      <c r="AQ315" s="258"/>
      <c r="AR315" s="258"/>
      <c r="AS315" s="202"/>
      <c r="AT315" s="213"/>
      <c r="AU315" s="213"/>
    </row>
    <row r="316" spans="40:47" s="121" customFormat="1" hidden="1">
      <c r="AN316" s="239"/>
      <c r="AO316" s="225"/>
      <c r="AP316" s="260"/>
      <c r="AQ316" s="258"/>
      <c r="AR316" s="258"/>
      <c r="AS316" s="202"/>
      <c r="AT316" s="213"/>
      <c r="AU316" s="213"/>
    </row>
    <row r="317" spans="40:47" s="121" customFormat="1" hidden="1">
      <c r="AN317" s="239"/>
      <c r="AO317" s="225"/>
      <c r="AP317" s="260"/>
      <c r="AQ317" s="258"/>
      <c r="AR317" s="258"/>
      <c r="AS317" s="202"/>
      <c r="AT317" s="213"/>
      <c r="AU317" s="213"/>
    </row>
    <row r="318" spans="40:47" s="121" customFormat="1" hidden="1">
      <c r="AN318" s="239"/>
      <c r="AO318" s="225"/>
      <c r="AP318" s="260"/>
      <c r="AQ318" s="258"/>
      <c r="AR318" s="258"/>
      <c r="AS318" s="202"/>
      <c r="AT318" s="213"/>
      <c r="AU318" s="213"/>
    </row>
    <row r="319" spans="40:47" s="121" customFormat="1" hidden="1">
      <c r="AN319" s="239"/>
      <c r="AO319" s="225"/>
      <c r="AP319" s="260"/>
      <c r="AQ319" s="258"/>
      <c r="AR319" s="258"/>
      <c r="AS319" s="202"/>
      <c r="AT319" s="213"/>
      <c r="AU319" s="213"/>
    </row>
    <row r="320" spans="40:47" s="121" customFormat="1" hidden="1">
      <c r="AN320" s="239"/>
      <c r="AO320" s="225"/>
      <c r="AP320" s="260"/>
      <c r="AQ320" s="258"/>
      <c r="AR320" s="258"/>
      <c r="AS320" s="202"/>
      <c r="AT320" s="213"/>
      <c r="AU320" s="213"/>
    </row>
    <row r="321" spans="40:47" s="121" customFormat="1" hidden="1">
      <c r="AN321" s="239"/>
      <c r="AO321" s="225"/>
      <c r="AP321" s="260"/>
      <c r="AQ321" s="258"/>
      <c r="AR321" s="258"/>
      <c r="AS321" s="202"/>
      <c r="AT321" s="213"/>
      <c r="AU321" s="213"/>
    </row>
    <row r="322" spans="40:47" s="121" customFormat="1" hidden="1">
      <c r="AN322" s="239"/>
      <c r="AO322" s="225"/>
      <c r="AP322" s="260"/>
      <c r="AQ322" s="258"/>
      <c r="AR322" s="258"/>
      <c r="AS322" s="202"/>
      <c r="AT322" s="213"/>
      <c r="AU322" s="213"/>
    </row>
    <row r="323" spans="40:47" s="121" customFormat="1" hidden="1">
      <c r="AN323" s="239"/>
      <c r="AO323" s="225"/>
      <c r="AP323" s="260"/>
      <c r="AQ323" s="258"/>
      <c r="AR323" s="258"/>
      <c r="AS323" s="202"/>
      <c r="AT323" s="213"/>
      <c r="AU323" s="213"/>
    </row>
    <row r="324" spans="40:47" s="121" customFormat="1" hidden="1">
      <c r="AN324" s="239"/>
      <c r="AO324" s="225"/>
      <c r="AP324" s="260"/>
      <c r="AQ324" s="258"/>
      <c r="AR324" s="258"/>
      <c r="AS324" s="202"/>
      <c r="AT324" s="213"/>
      <c r="AU324" s="213"/>
    </row>
    <row r="325" spans="40:47" s="121" customFormat="1" hidden="1">
      <c r="AN325" s="239"/>
      <c r="AO325" s="225"/>
      <c r="AP325" s="260"/>
      <c r="AQ325" s="258"/>
      <c r="AR325" s="258"/>
      <c r="AS325" s="202"/>
      <c r="AT325" s="213"/>
      <c r="AU325" s="213"/>
    </row>
    <row r="326" spans="40:47" s="121" customFormat="1" hidden="1">
      <c r="AN326" s="239"/>
      <c r="AO326" s="225"/>
      <c r="AP326" s="260"/>
      <c r="AQ326" s="258"/>
      <c r="AR326" s="258"/>
      <c r="AS326" s="202"/>
      <c r="AT326" s="213"/>
      <c r="AU326" s="213"/>
    </row>
    <row r="327" spans="40:47" s="121" customFormat="1" hidden="1">
      <c r="AN327" s="239"/>
      <c r="AO327" s="225"/>
      <c r="AP327" s="260"/>
      <c r="AQ327" s="258"/>
      <c r="AR327" s="258"/>
      <c r="AS327" s="202"/>
      <c r="AT327" s="213"/>
      <c r="AU327" s="213"/>
    </row>
    <row r="328" spans="40:47" s="121" customFormat="1" hidden="1">
      <c r="AN328" s="239"/>
      <c r="AO328" s="225"/>
      <c r="AP328" s="260"/>
      <c r="AQ328" s="258"/>
      <c r="AR328" s="258"/>
      <c r="AS328" s="202"/>
      <c r="AT328" s="213"/>
      <c r="AU328" s="213"/>
    </row>
    <row r="329" spans="40:47" s="121" customFormat="1" hidden="1">
      <c r="AN329" s="239"/>
      <c r="AO329" s="225"/>
      <c r="AP329" s="260"/>
      <c r="AQ329" s="258"/>
      <c r="AR329" s="258"/>
      <c r="AS329" s="202"/>
      <c r="AT329" s="213"/>
      <c r="AU329" s="213"/>
    </row>
    <row r="330" spans="40:47" s="121" customFormat="1" hidden="1">
      <c r="AN330" s="239"/>
      <c r="AO330" s="225"/>
      <c r="AP330" s="260"/>
      <c r="AQ330" s="258"/>
      <c r="AR330" s="258"/>
      <c r="AS330" s="202"/>
      <c r="AT330" s="213"/>
      <c r="AU330" s="213"/>
    </row>
    <row r="331" spans="40:47" s="121" customFormat="1" hidden="1">
      <c r="AN331" s="239"/>
      <c r="AO331" s="225"/>
      <c r="AP331" s="260"/>
      <c r="AQ331" s="258"/>
      <c r="AR331" s="258"/>
      <c r="AS331" s="202"/>
      <c r="AT331" s="213"/>
      <c r="AU331" s="213"/>
    </row>
    <row r="332" spans="40:47" s="121" customFormat="1" hidden="1">
      <c r="AN332" s="239"/>
      <c r="AO332" s="225"/>
      <c r="AP332" s="260"/>
      <c r="AQ332" s="258"/>
      <c r="AR332" s="258"/>
      <c r="AS332" s="202"/>
      <c r="AT332" s="213"/>
      <c r="AU332" s="213"/>
    </row>
    <row r="333" spans="40:47" s="121" customFormat="1" hidden="1">
      <c r="AN333" s="239"/>
      <c r="AO333" s="225"/>
      <c r="AP333" s="260"/>
      <c r="AQ333" s="258"/>
      <c r="AR333" s="258"/>
      <c r="AS333" s="202"/>
      <c r="AT333" s="213"/>
      <c r="AU333" s="213"/>
    </row>
    <row r="334" spans="40:47" s="121" customFormat="1" hidden="1">
      <c r="AN334" s="239"/>
      <c r="AO334" s="225"/>
      <c r="AP334" s="260"/>
      <c r="AQ334" s="258"/>
      <c r="AR334" s="258"/>
      <c r="AS334" s="202"/>
      <c r="AT334" s="213"/>
      <c r="AU334" s="213"/>
    </row>
    <row r="335" spans="40:47" s="121" customFormat="1" hidden="1">
      <c r="AN335" s="239"/>
      <c r="AO335" s="225"/>
      <c r="AP335" s="260"/>
      <c r="AQ335" s="258"/>
      <c r="AR335" s="258"/>
      <c r="AS335" s="202"/>
      <c r="AT335" s="213"/>
      <c r="AU335" s="213"/>
    </row>
    <row r="336" spans="40:47" s="121" customFormat="1" hidden="1">
      <c r="AN336" s="239"/>
      <c r="AO336" s="225"/>
      <c r="AP336" s="260"/>
      <c r="AQ336" s="258"/>
      <c r="AR336" s="258"/>
      <c r="AS336" s="202"/>
      <c r="AT336" s="213"/>
      <c r="AU336" s="213"/>
    </row>
    <row r="337" spans="40:47" s="121" customFormat="1" hidden="1">
      <c r="AN337" s="239"/>
      <c r="AO337" s="225"/>
      <c r="AP337" s="260"/>
      <c r="AQ337" s="258"/>
      <c r="AR337" s="258"/>
      <c r="AS337" s="202"/>
      <c r="AT337" s="213"/>
      <c r="AU337" s="213"/>
    </row>
    <row r="338" spans="40:47" s="121" customFormat="1" hidden="1">
      <c r="AN338" s="239"/>
      <c r="AO338" s="225"/>
      <c r="AP338" s="260"/>
      <c r="AQ338" s="258"/>
      <c r="AR338" s="258"/>
      <c r="AS338" s="202"/>
      <c r="AT338" s="213"/>
      <c r="AU338" s="213"/>
    </row>
    <row r="339" spans="40:47" s="121" customFormat="1" hidden="1">
      <c r="AN339" s="239"/>
      <c r="AO339" s="225"/>
      <c r="AP339" s="260"/>
      <c r="AQ339" s="258"/>
      <c r="AR339" s="258"/>
      <c r="AS339" s="202"/>
      <c r="AT339" s="213"/>
      <c r="AU339" s="213"/>
    </row>
    <row r="340" spans="40:47" s="121" customFormat="1" hidden="1">
      <c r="AN340" s="239"/>
      <c r="AO340" s="225"/>
      <c r="AP340" s="260"/>
      <c r="AQ340" s="258"/>
      <c r="AR340" s="258"/>
      <c r="AS340" s="202"/>
      <c r="AT340" s="213"/>
      <c r="AU340" s="213"/>
    </row>
    <row r="341" spans="40:47" s="121" customFormat="1" hidden="1">
      <c r="AN341" s="239"/>
      <c r="AO341" s="225"/>
      <c r="AP341" s="260"/>
      <c r="AQ341" s="258"/>
      <c r="AR341" s="258"/>
      <c r="AS341" s="202"/>
      <c r="AT341" s="213"/>
      <c r="AU341" s="213"/>
    </row>
    <row r="342" spans="40:47" s="121" customFormat="1" hidden="1">
      <c r="AN342" s="239"/>
      <c r="AO342" s="225"/>
      <c r="AP342" s="260"/>
      <c r="AQ342" s="258"/>
      <c r="AR342" s="258"/>
      <c r="AS342" s="202"/>
      <c r="AT342" s="213"/>
      <c r="AU342" s="213"/>
    </row>
    <row r="343" spans="40:47" s="121" customFormat="1" hidden="1">
      <c r="AN343" s="239"/>
      <c r="AO343" s="225"/>
      <c r="AP343" s="260"/>
      <c r="AQ343" s="258"/>
      <c r="AR343" s="258"/>
      <c r="AS343" s="202"/>
      <c r="AT343" s="213"/>
      <c r="AU343" s="213"/>
    </row>
    <row r="344" spans="40:47" s="121" customFormat="1" hidden="1">
      <c r="AN344" s="239"/>
      <c r="AO344" s="225"/>
      <c r="AP344" s="260"/>
      <c r="AQ344" s="258"/>
      <c r="AR344" s="258"/>
      <c r="AS344" s="202"/>
      <c r="AT344" s="213"/>
      <c r="AU344" s="213"/>
    </row>
    <row r="345" spans="40:47" s="121" customFormat="1" hidden="1">
      <c r="AN345" s="239"/>
      <c r="AO345" s="225"/>
      <c r="AP345" s="260"/>
      <c r="AQ345" s="258"/>
      <c r="AR345" s="258"/>
      <c r="AS345" s="202"/>
      <c r="AT345" s="213"/>
      <c r="AU345" s="213"/>
    </row>
    <row r="346" spans="40:47" s="121" customFormat="1" hidden="1">
      <c r="AN346" s="239"/>
      <c r="AO346" s="225"/>
      <c r="AP346" s="260"/>
      <c r="AQ346" s="258"/>
      <c r="AR346" s="258"/>
      <c r="AS346" s="202"/>
      <c r="AT346" s="213"/>
      <c r="AU346" s="213"/>
    </row>
    <row r="347" spans="40:47" s="121" customFormat="1" hidden="1">
      <c r="AN347" s="239"/>
      <c r="AO347" s="225"/>
      <c r="AP347" s="260"/>
      <c r="AQ347" s="258"/>
      <c r="AR347" s="258"/>
      <c r="AS347" s="202"/>
      <c r="AT347" s="213"/>
      <c r="AU347" s="213"/>
    </row>
    <row r="348" spans="40:47" s="121" customFormat="1" hidden="1">
      <c r="AN348" s="239"/>
      <c r="AO348" s="225"/>
      <c r="AP348" s="260"/>
      <c r="AQ348" s="258"/>
      <c r="AR348" s="258"/>
      <c r="AS348" s="202"/>
      <c r="AT348" s="213"/>
      <c r="AU348" s="213"/>
    </row>
    <row r="349" spans="40:47" s="121" customFormat="1" hidden="1">
      <c r="AN349" s="239"/>
      <c r="AO349" s="225"/>
      <c r="AP349" s="260"/>
      <c r="AQ349" s="258"/>
      <c r="AR349" s="258"/>
      <c r="AS349" s="202"/>
      <c r="AT349" s="213"/>
      <c r="AU349" s="213"/>
    </row>
    <row r="350" spans="40:47" s="121" customFormat="1" hidden="1">
      <c r="AN350" s="239"/>
      <c r="AO350" s="225"/>
      <c r="AP350" s="260"/>
      <c r="AQ350" s="258"/>
      <c r="AR350" s="258"/>
      <c r="AS350" s="202"/>
      <c r="AT350" s="213"/>
      <c r="AU350" s="213"/>
    </row>
    <row r="351" spans="40:47" s="121" customFormat="1" hidden="1">
      <c r="AN351" s="239"/>
      <c r="AO351" s="225"/>
      <c r="AP351" s="260"/>
      <c r="AQ351" s="258"/>
      <c r="AR351" s="258"/>
      <c r="AS351" s="202"/>
      <c r="AT351" s="213"/>
      <c r="AU351" s="213"/>
    </row>
    <row r="352" spans="40:47" s="121" customFormat="1" hidden="1">
      <c r="AN352" s="239"/>
      <c r="AO352" s="225"/>
      <c r="AP352" s="260"/>
      <c r="AQ352" s="258"/>
      <c r="AR352" s="258"/>
      <c r="AS352" s="202"/>
      <c r="AT352" s="213"/>
      <c r="AU352" s="213"/>
    </row>
    <row r="353" spans="40:47" s="121" customFormat="1" hidden="1">
      <c r="AN353" s="239"/>
      <c r="AO353" s="225"/>
      <c r="AP353" s="260"/>
      <c r="AQ353" s="258"/>
      <c r="AR353" s="258"/>
      <c r="AS353" s="202"/>
      <c r="AT353" s="213"/>
      <c r="AU353" s="213"/>
    </row>
    <row r="354" spans="40:47" s="121" customFormat="1" hidden="1">
      <c r="AN354" s="239"/>
      <c r="AO354" s="225"/>
      <c r="AP354" s="260"/>
      <c r="AQ354" s="258"/>
      <c r="AR354" s="258"/>
      <c r="AS354" s="202"/>
      <c r="AT354" s="213"/>
      <c r="AU354" s="213"/>
    </row>
    <row r="355" spans="40:47" s="121" customFormat="1" hidden="1">
      <c r="AN355" s="239"/>
      <c r="AO355" s="225"/>
      <c r="AP355" s="260"/>
      <c r="AQ355" s="258"/>
      <c r="AR355" s="258"/>
      <c r="AS355" s="202"/>
      <c r="AT355" s="213"/>
      <c r="AU355" s="213"/>
    </row>
    <row r="356" spans="40:47" s="121" customFormat="1" hidden="1">
      <c r="AN356" s="239"/>
      <c r="AO356" s="225"/>
      <c r="AP356" s="260"/>
      <c r="AQ356" s="258"/>
      <c r="AR356" s="258"/>
      <c r="AS356" s="202"/>
      <c r="AT356" s="213"/>
      <c r="AU356" s="213"/>
    </row>
    <row r="357" spans="40:47" s="121" customFormat="1" hidden="1">
      <c r="AN357" s="239"/>
      <c r="AO357" s="225"/>
      <c r="AP357" s="260"/>
      <c r="AQ357" s="258"/>
      <c r="AR357" s="258"/>
      <c r="AS357" s="202"/>
      <c r="AT357" s="213"/>
      <c r="AU357" s="213"/>
    </row>
    <row r="358" spans="40:47" s="121" customFormat="1" hidden="1">
      <c r="AN358" s="239"/>
      <c r="AO358" s="225"/>
      <c r="AP358" s="260"/>
      <c r="AQ358" s="258"/>
      <c r="AR358" s="258"/>
      <c r="AS358" s="202"/>
      <c r="AT358" s="213"/>
      <c r="AU358" s="213"/>
    </row>
    <row r="359" spans="40:47" s="121" customFormat="1" hidden="1">
      <c r="AN359" s="239"/>
      <c r="AO359" s="225"/>
      <c r="AP359" s="260"/>
      <c r="AQ359" s="258"/>
      <c r="AR359" s="258"/>
      <c r="AS359" s="202"/>
      <c r="AT359" s="213"/>
      <c r="AU359" s="213"/>
    </row>
    <row r="360" spans="40:47" s="121" customFormat="1" hidden="1">
      <c r="AN360" s="239"/>
      <c r="AO360" s="225"/>
      <c r="AP360" s="260"/>
      <c r="AQ360" s="258"/>
      <c r="AR360" s="258"/>
      <c r="AS360" s="202"/>
      <c r="AT360" s="213"/>
      <c r="AU360" s="213"/>
    </row>
    <row r="361" spans="40:47" s="121" customFormat="1" hidden="1">
      <c r="AN361" s="239"/>
      <c r="AO361" s="225"/>
      <c r="AP361" s="260"/>
      <c r="AQ361" s="258"/>
      <c r="AR361" s="258"/>
      <c r="AS361" s="202"/>
      <c r="AT361" s="213"/>
      <c r="AU361" s="213"/>
    </row>
    <row r="362" spans="40:47" s="121" customFormat="1" hidden="1">
      <c r="AN362" s="239"/>
      <c r="AO362" s="225"/>
      <c r="AP362" s="260"/>
      <c r="AQ362" s="258"/>
      <c r="AR362" s="258"/>
      <c r="AS362" s="202"/>
      <c r="AT362" s="213"/>
      <c r="AU362" s="213"/>
    </row>
    <row r="363" spans="40:47" s="121" customFormat="1" hidden="1">
      <c r="AN363" s="239"/>
      <c r="AO363" s="225"/>
      <c r="AP363" s="260"/>
      <c r="AQ363" s="258"/>
      <c r="AR363" s="258"/>
      <c r="AS363" s="202"/>
      <c r="AT363" s="213"/>
      <c r="AU363" s="213"/>
    </row>
    <row r="364" spans="40:47" s="121" customFormat="1" hidden="1">
      <c r="AN364" s="239"/>
      <c r="AO364" s="225"/>
      <c r="AP364" s="260"/>
      <c r="AQ364" s="258"/>
      <c r="AR364" s="258"/>
      <c r="AS364" s="202"/>
      <c r="AT364" s="213"/>
      <c r="AU364" s="213"/>
    </row>
    <row r="365" spans="40:47" s="121" customFormat="1" hidden="1">
      <c r="AN365" s="239"/>
      <c r="AO365" s="225"/>
      <c r="AP365" s="260"/>
      <c r="AQ365" s="258"/>
      <c r="AR365" s="258"/>
      <c r="AS365" s="202"/>
      <c r="AT365" s="213"/>
      <c r="AU365" s="213"/>
    </row>
    <row r="366" spans="40:47" s="121" customFormat="1" hidden="1">
      <c r="AN366" s="239"/>
      <c r="AO366" s="225"/>
      <c r="AP366" s="260"/>
      <c r="AQ366" s="258"/>
      <c r="AR366" s="258"/>
      <c r="AS366" s="202"/>
      <c r="AT366" s="213"/>
      <c r="AU366" s="213"/>
    </row>
    <row r="367" spans="40:47" s="121" customFormat="1" hidden="1">
      <c r="AN367" s="239"/>
      <c r="AO367" s="225"/>
      <c r="AP367" s="260"/>
      <c r="AQ367" s="258"/>
      <c r="AR367" s="258"/>
      <c r="AS367" s="202"/>
      <c r="AT367" s="213"/>
      <c r="AU367" s="213"/>
    </row>
    <row r="368" spans="40:47" s="121" customFormat="1" hidden="1">
      <c r="AN368" s="239"/>
      <c r="AO368" s="225"/>
      <c r="AP368" s="260"/>
      <c r="AQ368" s="258"/>
      <c r="AR368" s="258"/>
      <c r="AS368" s="202"/>
      <c r="AT368" s="213"/>
      <c r="AU368" s="213"/>
    </row>
    <row r="369" spans="40:47" s="121" customFormat="1" hidden="1">
      <c r="AN369" s="239"/>
      <c r="AO369" s="225"/>
      <c r="AP369" s="260"/>
      <c r="AQ369" s="258"/>
      <c r="AR369" s="258"/>
      <c r="AS369" s="202"/>
      <c r="AT369" s="213"/>
      <c r="AU369" s="213"/>
    </row>
    <row r="370" spans="40:47" s="121" customFormat="1" hidden="1">
      <c r="AN370" s="239"/>
      <c r="AO370" s="225"/>
      <c r="AP370" s="260"/>
      <c r="AQ370" s="258"/>
      <c r="AR370" s="258"/>
      <c r="AS370" s="202"/>
      <c r="AT370" s="213"/>
      <c r="AU370" s="213"/>
    </row>
    <row r="371" spans="40:47" s="121" customFormat="1" hidden="1">
      <c r="AN371" s="239"/>
      <c r="AO371" s="225"/>
      <c r="AP371" s="260"/>
      <c r="AQ371" s="258"/>
      <c r="AR371" s="258"/>
      <c r="AS371" s="202"/>
      <c r="AT371" s="213"/>
      <c r="AU371" s="213"/>
    </row>
    <row r="372" spans="40:47" s="121" customFormat="1" hidden="1">
      <c r="AN372" s="239"/>
      <c r="AO372" s="225"/>
      <c r="AP372" s="260"/>
      <c r="AQ372" s="258"/>
      <c r="AR372" s="258"/>
      <c r="AS372" s="202"/>
      <c r="AT372" s="213"/>
      <c r="AU372" s="213"/>
    </row>
    <row r="373" spans="40:47" s="121" customFormat="1" hidden="1">
      <c r="AN373" s="239"/>
      <c r="AO373" s="225"/>
      <c r="AP373" s="260"/>
      <c r="AQ373" s="258"/>
      <c r="AR373" s="258"/>
      <c r="AS373" s="202"/>
      <c r="AT373" s="213"/>
      <c r="AU373" s="213"/>
    </row>
    <row r="374" spans="40:47" s="121" customFormat="1" hidden="1">
      <c r="AN374" s="239"/>
      <c r="AO374" s="225"/>
      <c r="AP374" s="260"/>
      <c r="AQ374" s="258"/>
      <c r="AR374" s="258"/>
      <c r="AS374" s="202"/>
      <c r="AT374" s="213"/>
      <c r="AU374" s="213"/>
    </row>
    <row r="375" spans="40:47" s="121" customFormat="1" hidden="1">
      <c r="AN375" s="239"/>
      <c r="AO375" s="225"/>
      <c r="AP375" s="260"/>
      <c r="AQ375" s="258"/>
      <c r="AR375" s="258"/>
      <c r="AS375" s="202"/>
      <c r="AT375" s="213"/>
      <c r="AU375" s="213"/>
    </row>
    <row r="376" spans="40:47" s="121" customFormat="1" hidden="1">
      <c r="AN376" s="239"/>
      <c r="AO376" s="225"/>
      <c r="AP376" s="260"/>
      <c r="AQ376" s="258"/>
      <c r="AR376" s="258"/>
      <c r="AS376" s="202"/>
      <c r="AT376" s="213"/>
      <c r="AU376" s="213"/>
    </row>
    <row r="377" spans="40:47" s="121" customFormat="1" hidden="1">
      <c r="AN377" s="239"/>
      <c r="AO377" s="225"/>
      <c r="AP377" s="260"/>
      <c r="AQ377" s="258"/>
      <c r="AR377" s="258"/>
      <c r="AS377" s="202"/>
      <c r="AT377" s="213"/>
      <c r="AU377" s="213"/>
    </row>
    <row r="378" spans="40:47" s="121" customFormat="1" hidden="1">
      <c r="AN378" s="239"/>
      <c r="AO378" s="225"/>
      <c r="AP378" s="260"/>
      <c r="AQ378" s="258"/>
      <c r="AR378" s="258"/>
      <c r="AS378" s="202"/>
      <c r="AT378" s="213"/>
      <c r="AU378" s="213"/>
    </row>
    <row r="379" spans="40:47" s="121" customFormat="1" hidden="1">
      <c r="AN379" s="239"/>
      <c r="AO379" s="225"/>
      <c r="AP379" s="260"/>
      <c r="AQ379" s="258"/>
      <c r="AR379" s="258"/>
      <c r="AS379" s="202"/>
      <c r="AT379" s="213"/>
      <c r="AU379" s="213"/>
    </row>
    <row r="380" spans="40:47" s="121" customFormat="1" hidden="1">
      <c r="AN380" s="239"/>
      <c r="AO380" s="225"/>
      <c r="AP380" s="260"/>
      <c r="AQ380" s="258"/>
      <c r="AR380" s="258"/>
      <c r="AS380" s="202"/>
      <c r="AT380" s="213"/>
      <c r="AU380" s="213"/>
    </row>
    <row r="381" spans="40:47" s="121" customFormat="1" hidden="1">
      <c r="AN381" s="239"/>
      <c r="AO381" s="225"/>
      <c r="AP381" s="260"/>
      <c r="AQ381" s="258"/>
      <c r="AR381" s="258"/>
      <c r="AS381" s="202"/>
      <c r="AT381" s="213"/>
      <c r="AU381" s="213"/>
    </row>
    <row r="382" spans="40:47" s="121" customFormat="1" hidden="1">
      <c r="AN382" s="239"/>
      <c r="AO382" s="225"/>
      <c r="AP382" s="260"/>
      <c r="AQ382" s="258"/>
      <c r="AR382" s="258"/>
      <c r="AS382" s="202"/>
      <c r="AT382" s="213"/>
      <c r="AU382" s="213"/>
    </row>
    <row r="383" spans="40:47" s="121" customFormat="1" hidden="1">
      <c r="AN383" s="239"/>
      <c r="AO383" s="225"/>
      <c r="AP383" s="260"/>
      <c r="AQ383" s="258"/>
      <c r="AR383" s="258"/>
      <c r="AS383" s="202"/>
      <c r="AT383" s="213"/>
      <c r="AU383" s="213"/>
    </row>
    <row r="384" spans="40:47" s="121" customFormat="1" hidden="1">
      <c r="AN384" s="239"/>
      <c r="AO384" s="225"/>
      <c r="AP384" s="260"/>
      <c r="AQ384" s="258"/>
      <c r="AR384" s="258"/>
      <c r="AS384" s="202"/>
      <c r="AT384" s="213"/>
      <c r="AU384" s="213"/>
    </row>
    <row r="385" spans="40:47" s="121" customFormat="1" hidden="1">
      <c r="AN385" s="239"/>
      <c r="AO385" s="225"/>
      <c r="AP385" s="260"/>
      <c r="AQ385" s="258"/>
      <c r="AR385" s="258"/>
      <c r="AS385" s="202"/>
      <c r="AT385" s="213"/>
      <c r="AU385" s="213"/>
    </row>
    <row r="386" spans="40:47" s="121" customFormat="1" hidden="1">
      <c r="AN386" s="239"/>
      <c r="AO386" s="225"/>
      <c r="AP386" s="260"/>
      <c r="AQ386" s="258"/>
      <c r="AR386" s="258"/>
      <c r="AS386" s="202"/>
      <c r="AT386" s="213"/>
      <c r="AU386" s="213"/>
    </row>
    <row r="387" spans="40:47" s="121" customFormat="1" hidden="1">
      <c r="AN387" s="239"/>
      <c r="AO387" s="225"/>
      <c r="AP387" s="260"/>
      <c r="AQ387" s="258"/>
      <c r="AR387" s="258"/>
      <c r="AS387" s="202"/>
      <c r="AT387" s="213"/>
      <c r="AU387" s="213"/>
    </row>
    <row r="388" spans="40:47" s="121" customFormat="1" hidden="1">
      <c r="AN388" s="239"/>
      <c r="AO388" s="225"/>
      <c r="AP388" s="260"/>
      <c r="AQ388" s="258"/>
      <c r="AR388" s="258"/>
      <c r="AS388" s="202"/>
      <c r="AT388" s="213"/>
      <c r="AU388" s="213"/>
    </row>
    <row r="389" spans="40:47" s="121" customFormat="1" hidden="1">
      <c r="AN389" s="239"/>
      <c r="AO389" s="225"/>
      <c r="AP389" s="260"/>
      <c r="AQ389" s="258"/>
      <c r="AR389" s="258"/>
      <c r="AS389" s="202"/>
      <c r="AT389" s="213"/>
      <c r="AU389" s="213"/>
    </row>
    <row r="390" spans="40:47" s="121" customFormat="1" hidden="1">
      <c r="AN390" s="239"/>
      <c r="AO390" s="225"/>
      <c r="AP390" s="260"/>
      <c r="AQ390" s="258"/>
      <c r="AR390" s="258"/>
      <c r="AS390" s="202"/>
      <c r="AT390" s="213"/>
      <c r="AU390" s="213"/>
    </row>
    <row r="391" spans="40:47" s="121" customFormat="1" hidden="1">
      <c r="AN391" s="239"/>
      <c r="AO391" s="225"/>
      <c r="AP391" s="260"/>
      <c r="AQ391" s="258"/>
      <c r="AR391" s="258"/>
      <c r="AS391" s="202"/>
      <c r="AT391" s="213"/>
      <c r="AU391" s="213"/>
    </row>
    <row r="392" spans="40:47" s="121" customFormat="1" hidden="1">
      <c r="AN392" s="239"/>
      <c r="AO392" s="225"/>
      <c r="AP392" s="260"/>
      <c r="AQ392" s="258"/>
      <c r="AR392" s="258"/>
      <c r="AS392" s="202"/>
      <c r="AT392" s="213"/>
      <c r="AU392" s="213"/>
    </row>
    <row r="393" spans="40:47" s="121" customFormat="1" hidden="1">
      <c r="AN393" s="239"/>
      <c r="AO393" s="225"/>
      <c r="AP393" s="260"/>
      <c r="AQ393" s="258"/>
      <c r="AR393" s="258"/>
      <c r="AS393" s="202"/>
      <c r="AT393" s="213"/>
      <c r="AU393" s="213"/>
    </row>
    <row r="394" spans="40:47" s="121" customFormat="1" hidden="1">
      <c r="AN394" s="239"/>
      <c r="AO394" s="225"/>
      <c r="AP394" s="260"/>
      <c r="AQ394" s="258"/>
      <c r="AR394" s="258"/>
      <c r="AS394" s="202"/>
      <c r="AT394" s="213"/>
      <c r="AU394" s="213"/>
    </row>
    <row r="395" spans="40:47" s="121" customFormat="1" hidden="1">
      <c r="AN395" s="239"/>
      <c r="AO395" s="225"/>
      <c r="AP395" s="260"/>
      <c r="AQ395" s="258"/>
      <c r="AR395" s="258"/>
      <c r="AS395" s="202"/>
      <c r="AT395" s="213"/>
      <c r="AU395" s="213"/>
    </row>
    <row r="396" spans="40:47" s="121" customFormat="1" hidden="1">
      <c r="AN396" s="239"/>
      <c r="AO396" s="225"/>
      <c r="AP396" s="260"/>
      <c r="AQ396" s="258"/>
      <c r="AR396" s="258"/>
      <c r="AS396" s="202"/>
      <c r="AT396" s="213"/>
      <c r="AU396" s="213"/>
    </row>
    <row r="397" spans="40:47" s="121" customFormat="1" hidden="1">
      <c r="AN397" s="239"/>
      <c r="AO397" s="225"/>
      <c r="AP397" s="260"/>
      <c r="AQ397" s="258"/>
      <c r="AR397" s="258"/>
      <c r="AS397" s="202"/>
      <c r="AT397" s="213"/>
      <c r="AU397" s="213"/>
    </row>
    <row r="398" spans="40:47" s="121" customFormat="1" hidden="1">
      <c r="AN398" s="239"/>
      <c r="AO398" s="225"/>
      <c r="AP398" s="260"/>
      <c r="AQ398" s="258"/>
      <c r="AR398" s="258"/>
      <c r="AS398" s="202"/>
      <c r="AT398" s="213"/>
      <c r="AU398" s="213"/>
    </row>
    <row r="399" spans="40:47" s="121" customFormat="1" hidden="1">
      <c r="AN399" s="239"/>
      <c r="AO399" s="225"/>
      <c r="AP399" s="260"/>
      <c r="AQ399" s="258"/>
      <c r="AR399" s="258"/>
      <c r="AS399" s="202"/>
      <c r="AT399" s="213"/>
      <c r="AU399" s="213"/>
    </row>
    <row r="400" spans="40:47" s="121" customFormat="1" hidden="1">
      <c r="AN400" s="239"/>
      <c r="AO400" s="225"/>
      <c r="AP400" s="260"/>
      <c r="AQ400" s="258"/>
      <c r="AR400" s="258"/>
      <c r="AS400" s="202"/>
      <c r="AT400" s="213"/>
      <c r="AU400" s="213"/>
    </row>
    <row r="401" spans="40:47" s="121" customFormat="1" hidden="1">
      <c r="AN401" s="239"/>
      <c r="AO401" s="225"/>
      <c r="AP401" s="260"/>
      <c r="AQ401" s="258"/>
      <c r="AR401" s="258"/>
      <c r="AS401" s="202"/>
      <c r="AT401" s="213"/>
      <c r="AU401" s="213"/>
    </row>
    <row r="402" spans="40:47" s="121" customFormat="1" hidden="1">
      <c r="AN402" s="239"/>
      <c r="AO402" s="225"/>
      <c r="AP402" s="260"/>
      <c r="AQ402" s="258"/>
      <c r="AR402" s="258"/>
      <c r="AS402" s="202"/>
      <c r="AT402" s="213"/>
      <c r="AU402" s="213"/>
    </row>
    <row r="403" spans="40:47" s="121" customFormat="1" hidden="1">
      <c r="AN403" s="239"/>
      <c r="AO403" s="225"/>
      <c r="AP403" s="260"/>
      <c r="AQ403" s="258"/>
      <c r="AR403" s="258"/>
      <c r="AS403" s="202"/>
      <c r="AT403" s="213"/>
      <c r="AU403" s="213"/>
    </row>
    <row r="404" spans="40:47" s="121" customFormat="1" hidden="1">
      <c r="AN404" s="239"/>
      <c r="AO404" s="225"/>
      <c r="AP404" s="260"/>
      <c r="AQ404" s="258"/>
      <c r="AR404" s="258"/>
      <c r="AS404" s="202"/>
      <c r="AT404" s="213"/>
      <c r="AU404" s="213"/>
    </row>
    <row r="405" spans="40:47" s="121" customFormat="1" hidden="1">
      <c r="AN405" s="239"/>
      <c r="AO405" s="225"/>
      <c r="AP405" s="260"/>
      <c r="AQ405" s="258"/>
      <c r="AR405" s="258"/>
      <c r="AS405" s="202"/>
      <c r="AT405" s="213"/>
      <c r="AU405" s="213"/>
    </row>
    <row r="406" spans="40:47" s="121" customFormat="1" hidden="1">
      <c r="AN406" s="239"/>
      <c r="AO406" s="225"/>
      <c r="AP406" s="260"/>
      <c r="AQ406" s="258"/>
      <c r="AR406" s="258"/>
      <c r="AS406" s="202"/>
      <c r="AT406" s="213"/>
      <c r="AU406" s="213"/>
    </row>
    <row r="407" spans="40:47" s="121" customFormat="1" hidden="1">
      <c r="AN407" s="239"/>
      <c r="AO407" s="225"/>
      <c r="AP407" s="260"/>
      <c r="AQ407" s="258"/>
      <c r="AR407" s="258"/>
      <c r="AS407" s="202"/>
      <c r="AT407" s="213"/>
      <c r="AU407" s="213"/>
    </row>
    <row r="408" spans="40:47" s="121" customFormat="1" hidden="1">
      <c r="AN408" s="239"/>
      <c r="AO408" s="225"/>
      <c r="AP408" s="260"/>
      <c r="AQ408" s="258"/>
      <c r="AR408" s="258"/>
      <c r="AS408" s="202"/>
      <c r="AT408" s="213"/>
      <c r="AU408" s="213"/>
    </row>
    <row r="409" spans="40:47" s="121" customFormat="1" hidden="1">
      <c r="AN409" s="239"/>
      <c r="AO409" s="225"/>
      <c r="AP409" s="260"/>
      <c r="AQ409" s="258"/>
      <c r="AR409" s="258"/>
      <c r="AS409" s="202"/>
      <c r="AT409" s="213"/>
      <c r="AU409" s="213"/>
    </row>
    <row r="410" spans="40:47" s="121" customFormat="1" hidden="1">
      <c r="AN410" s="239"/>
      <c r="AO410" s="225"/>
      <c r="AP410" s="260"/>
      <c r="AQ410" s="258"/>
      <c r="AR410" s="258"/>
      <c r="AS410" s="202"/>
      <c r="AT410" s="213"/>
      <c r="AU410" s="213"/>
    </row>
    <row r="411" spans="40:47" s="121" customFormat="1" hidden="1">
      <c r="AN411" s="239"/>
      <c r="AO411" s="225"/>
      <c r="AP411" s="260"/>
      <c r="AQ411" s="258"/>
      <c r="AR411" s="258"/>
      <c r="AS411" s="202"/>
      <c r="AT411" s="213"/>
      <c r="AU411" s="213"/>
    </row>
    <row r="412" spans="40:47" s="121" customFormat="1" hidden="1">
      <c r="AN412" s="239"/>
      <c r="AO412" s="225"/>
      <c r="AP412" s="260"/>
      <c r="AQ412" s="258"/>
      <c r="AR412" s="258"/>
      <c r="AS412" s="202"/>
      <c r="AT412" s="213"/>
      <c r="AU412" s="213"/>
    </row>
    <row r="413" spans="40:47" s="121" customFormat="1" hidden="1">
      <c r="AN413" s="239"/>
      <c r="AO413" s="225"/>
      <c r="AP413" s="260"/>
      <c r="AQ413" s="258"/>
      <c r="AR413" s="258"/>
      <c r="AS413" s="202"/>
      <c r="AT413" s="213"/>
      <c r="AU413" s="213"/>
    </row>
    <row r="414" spans="40:47" s="121" customFormat="1" hidden="1">
      <c r="AN414" s="239"/>
      <c r="AO414" s="225"/>
      <c r="AP414" s="260"/>
      <c r="AQ414" s="258"/>
      <c r="AR414" s="258"/>
      <c r="AS414" s="202"/>
      <c r="AT414" s="213"/>
      <c r="AU414" s="213"/>
    </row>
    <row r="415" spans="40:47" s="121" customFormat="1" hidden="1">
      <c r="AN415" s="239"/>
      <c r="AO415" s="225"/>
      <c r="AP415" s="260"/>
      <c r="AQ415" s="258"/>
      <c r="AR415" s="258"/>
      <c r="AS415" s="202"/>
      <c r="AT415" s="213"/>
      <c r="AU415" s="213"/>
    </row>
    <row r="416" spans="40:47" s="121" customFormat="1" hidden="1">
      <c r="AN416" s="239"/>
      <c r="AO416" s="225"/>
      <c r="AP416" s="260"/>
      <c r="AQ416" s="258"/>
      <c r="AR416" s="258"/>
      <c r="AS416" s="202"/>
      <c r="AT416" s="213"/>
      <c r="AU416" s="213"/>
    </row>
    <row r="417" spans="40:47" s="121" customFormat="1" hidden="1">
      <c r="AN417" s="239"/>
      <c r="AO417" s="225"/>
      <c r="AP417" s="260"/>
      <c r="AQ417" s="258"/>
      <c r="AR417" s="258"/>
      <c r="AS417" s="202"/>
      <c r="AT417" s="213"/>
      <c r="AU417" s="213"/>
    </row>
    <row r="418" spans="40:47" s="121" customFormat="1" hidden="1">
      <c r="AN418" s="239"/>
      <c r="AO418" s="225"/>
      <c r="AP418" s="260"/>
      <c r="AQ418" s="258"/>
      <c r="AR418" s="258"/>
      <c r="AS418" s="202"/>
      <c r="AT418" s="213"/>
      <c r="AU418" s="213"/>
    </row>
    <row r="419" spans="40:47" s="121" customFormat="1" hidden="1">
      <c r="AN419" s="239"/>
      <c r="AO419" s="225"/>
      <c r="AP419" s="260"/>
      <c r="AQ419" s="258"/>
      <c r="AR419" s="258"/>
      <c r="AS419" s="202"/>
      <c r="AT419" s="213"/>
      <c r="AU419" s="213"/>
    </row>
    <row r="420" spans="40:47" s="121" customFormat="1" hidden="1">
      <c r="AN420" s="239"/>
      <c r="AO420" s="225"/>
      <c r="AP420" s="260"/>
      <c r="AQ420" s="258"/>
      <c r="AR420" s="258"/>
      <c r="AS420" s="202"/>
      <c r="AT420" s="213"/>
      <c r="AU420" s="213"/>
    </row>
    <row r="421" spans="40:47" s="121" customFormat="1" hidden="1">
      <c r="AN421" s="239"/>
      <c r="AO421" s="225"/>
      <c r="AP421" s="260"/>
      <c r="AQ421" s="258"/>
      <c r="AR421" s="258"/>
      <c r="AS421" s="202"/>
      <c r="AT421" s="213"/>
      <c r="AU421" s="213"/>
    </row>
    <row r="422" spans="40:47" s="121" customFormat="1" hidden="1">
      <c r="AN422" s="239"/>
      <c r="AO422" s="225"/>
      <c r="AP422" s="260"/>
      <c r="AQ422" s="258"/>
      <c r="AR422" s="258"/>
      <c r="AS422" s="202"/>
      <c r="AT422" s="213"/>
      <c r="AU422" s="213"/>
    </row>
    <row r="423" spans="40:47" s="121" customFormat="1" hidden="1">
      <c r="AN423" s="239"/>
      <c r="AO423" s="225"/>
      <c r="AP423" s="260"/>
      <c r="AQ423" s="258"/>
      <c r="AR423" s="258"/>
      <c r="AS423" s="202"/>
      <c r="AT423" s="213"/>
      <c r="AU423" s="213"/>
    </row>
    <row r="424" spans="40:47" s="121" customFormat="1" hidden="1">
      <c r="AN424" s="239"/>
      <c r="AO424" s="225"/>
      <c r="AP424" s="260"/>
      <c r="AQ424" s="258"/>
      <c r="AR424" s="258"/>
      <c r="AS424" s="202"/>
      <c r="AT424" s="213"/>
      <c r="AU424" s="213"/>
    </row>
    <row r="425" spans="40:47" s="121" customFormat="1" hidden="1">
      <c r="AN425" s="239"/>
      <c r="AO425" s="225"/>
      <c r="AP425" s="260"/>
      <c r="AQ425" s="258"/>
      <c r="AR425" s="258"/>
      <c r="AS425" s="202"/>
      <c r="AT425" s="213"/>
      <c r="AU425" s="213"/>
    </row>
    <row r="426" spans="40:47" s="121" customFormat="1" hidden="1">
      <c r="AN426" s="239"/>
      <c r="AO426" s="225"/>
      <c r="AP426" s="260"/>
      <c r="AQ426" s="258"/>
      <c r="AR426" s="258"/>
      <c r="AS426" s="202"/>
      <c r="AT426" s="213"/>
      <c r="AU426" s="213"/>
    </row>
    <row r="427" spans="40:47" s="121" customFormat="1" hidden="1">
      <c r="AN427" s="239"/>
      <c r="AO427" s="225"/>
      <c r="AP427" s="260"/>
      <c r="AQ427" s="258"/>
      <c r="AR427" s="258"/>
      <c r="AS427" s="202"/>
      <c r="AT427" s="213"/>
      <c r="AU427" s="213"/>
    </row>
    <row r="428" spans="40:47" s="121" customFormat="1" hidden="1">
      <c r="AN428" s="239"/>
      <c r="AO428" s="225"/>
      <c r="AP428" s="260"/>
      <c r="AQ428" s="258"/>
      <c r="AR428" s="258"/>
      <c r="AS428" s="202"/>
      <c r="AT428" s="213"/>
      <c r="AU428" s="213"/>
    </row>
    <row r="429" spans="40:47" s="121" customFormat="1" hidden="1">
      <c r="AN429" s="239"/>
      <c r="AO429" s="225"/>
      <c r="AP429" s="260"/>
      <c r="AQ429" s="258"/>
      <c r="AR429" s="258"/>
      <c r="AS429" s="202"/>
      <c r="AT429" s="213"/>
      <c r="AU429" s="213"/>
    </row>
    <row r="430" spans="40:47" s="121" customFormat="1" hidden="1">
      <c r="AN430" s="239"/>
      <c r="AO430" s="225"/>
      <c r="AP430" s="260"/>
      <c r="AQ430" s="258"/>
      <c r="AR430" s="258"/>
      <c r="AS430" s="202"/>
      <c r="AT430" s="213"/>
      <c r="AU430" s="213"/>
    </row>
    <row r="431" spans="40:47" s="121" customFormat="1" hidden="1">
      <c r="AN431" s="239"/>
      <c r="AO431" s="225"/>
      <c r="AP431" s="260"/>
      <c r="AQ431" s="258"/>
      <c r="AR431" s="258"/>
      <c r="AS431" s="202"/>
      <c r="AT431" s="213"/>
      <c r="AU431" s="213"/>
    </row>
    <row r="432" spans="40:47" s="121" customFormat="1" hidden="1">
      <c r="AN432" s="239"/>
      <c r="AO432" s="225"/>
      <c r="AP432" s="260"/>
      <c r="AQ432" s="258"/>
      <c r="AR432" s="258"/>
      <c r="AS432" s="202"/>
      <c r="AT432" s="213"/>
      <c r="AU432" s="213"/>
    </row>
    <row r="433" spans="40:47" s="121" customFormat="1" hidden="1">
      <c r="AN433" s="239"/>
      <c r="AO433" s="225"/>
      <c r="AP433" s="260"/>
      <c r="AQ433" s="258"/>
      <c r="AR433" s="258"/>
      <c r="AS433" s="202"/>
      <c r="AT433" s="213"/>
      <c r="AU433" s="213"/>
    </row>
    <row r="434" spans="40:47" s="121" customFormat="1" hidden="1">
      <c r="AN434" s="239"/>
      <c r="AO434" s="225"/>
      <c r="AP434" s="260"/>
      <c r="AQ434" s="258"/>
      <c r="AR434" s="258"/>
      <c r="AS434" s="202"/>
      <c r="AT434" s="213"/>
      <c r="AU434" s="213"/>
    </row>
    <row r="435" spans="40:47" s="121" customFormat="1" hidden="1">
      <c r="AN435" s="239"/>
      <c r="AO435" s="225"/>
      <c r="AP435" s="260"/>
      <c r="AQ435" s="258"/>
      <c r="AR435" s="258"/>
      <c r="AS435" s="202"/>
      <c r="AT435" s="213"/>
      <c r="AU435" s="213"/>
    </row>
    <row r="436" spans="40:47" s="121" customFormat="1" hidden="1">
      <c r="AN436" s="239"/>
      <c r="AO436" s="225"/>
      <c r="AP436" s="260"/>
      <c r="AQ436" s="258"/>
      <c r="AR436" s="258"/>
      <c r="AS436" s="202"/>
      <c r="AT436" s="213"/>
      <c r="AU436" s="213"/>
    </row>
    <row r="437" spans="40:47" s="121" customFormat="1" hidden="1">
      <c r="AN437" s="239"/>
      <c r="AO437" s="225"/>
      <c r="AP437" s="260"/>
      <c r="AQ437" s="258"/>
      <c r="AR437" s="258"/>
      <c r="AS437" s="202"/>
      <c r="AT437" s="213"/>
      <c r="AU437" s="213"/>
    </row>
    <row r="438" spans="40:47" s="121" customFormat="1" hidden="1">
      <c r="AN438" s="239"/>
      <c r="AO438" s="225"/>
      <c r="AP438" s="260"/>
      <c r="AQ438" s="258"/>
      <c r="AR438" s="258"/>
      <c r="AS438" s="202"/>
      <c r="AT438" s="213"/>
      <c r="AU438" s="213"/>
    </row>
    <row r="439" spans="40:47" s="121" customFormat="1" hidden="1">
      <c r="AN439" s="239"/>
      <c r="AO439" s="225"/>
      <c r="AP439" s="260"/>
      <c r="AQ439" s="258"/>
      <c r="AR439" s="258"/>
      <c r="AS439" s="202"/>
      <c r="AT439" s="213"/>
      <c r="AU439" s="213"/>
    </row>
    <row r="440" spans="40:47" s="121" customFormat="1" hidden="1">
      <c r="AN440" s="239"/>
      <c r="AO440" s="225"/>
      <c r="AP440" s="260"/>
      <c r="AQ440" s="258"/>
      <c r="AR440" s="258"/>
      <c r="AS440" s="202"/>
      <c r="AT440" s="213"/>
      <c r="AU440" s="213"/>
    </row>
    <row r="441" spans="40:47" s="121" customFormat="1" hidden="1">
      <c r="AN441" s="239"/>
      <c r="AO441" s="225"/>
      <c r="AP441" s="260"/>
      <c r="AQ441" s="258"/>
      <c r="AR441" s="258"/>
      <c r="AS441" s="202"/>
      <c r="AT441" s="213"/>
      <c r="AU441" s="213"/>
    </row>
    <row r="442" spans="40:47" s="121" customFormat="1" hidden="1">
      <c r="AN442" s="239"/>
      <c r="AO442" s="225"/>
      <c r="AP442" s="260"/>
      <c r="AQ442" s="258"/>
      <c r="AR442" s="258"/>
      <c r="AS442" s="202"/>
      <c r="AT442" s="213"/>
      <c r="AU442" s="213"/>
    </row>
    <row r="443" spans="40:47" s="121" customFormat="1" hidden="1">
      <c r="AN443" s="239"/>
      <c r="AO443" s="225"/>
      <c r="AP443" s="260"/>
      <c r="AQ443" s="258"/>
      <c r="AR443" s="258"/>
      <c r="AS443" s="202"/>
      <c r="AT443" s="213"/>
      <c r="AU443" s="213"/>
    </row>
    <row r="444" spans="40:47" s="121" customFormat="1" hidden="1">
      <c r="AN444" s="239"/>
      <c r="AO444" s="225"/>
      <c r="AP444" s="260"/>
      <c r="AQ444" s="258"/>
      <c r="AR444" s="258"/>
      <c r="AS444" s="202"/>
      <c r="AT444" s="213"/>
      <c r="AU444" s="213"/>
    </row>
    <row r="445" spans="40:47" s="121" customFormat="1" hidden="1">
      <c r="AN445" s="239"/>
      <c r="AO445" s="225"/>
      <c r="AP445" s="260"/>
      <c r="AQ445" s="258"/>
      <c r="AR445" s="258"/>
      <c r="AS445" s="202"/>
      <c r="AT445" s="213"/>
      <c r="AU445" s="213"/>
    </row>
    <row r="446" spans="40:47" s="121" customFormat="1" hidden="1">
      <c r="AN446" s="239"/>
      <c r="AO446" s="225"/>
      <c r="AP446" s="260"/>
      <c r="AQ446" s="258"/>
      <c r="AR446" s="258"/>
      <c r="AS446" s="202"/>
      <c r="AT446" s="213"/>
      <c r="AU446" s="213"/>
    </row>
    <row r="447" spans="40:47" s="121" customFormat="1" hidden="1">
      <c r="AN447" s="239"/>
      <c r="AO447" s="225"/>
      <c r="AP447" s="260"/>
      <c r="AQ447" s="258"/>
      <c r="AR447" s="258"/>
      <c r="AS447" s="202"/>
      <c r="AT447" s="213"/>
      <c r="AU447" s="213"/>
    </row>
    <row r="448" spans="40:47" s="121" customFormat="1" hidden="1">
      <c r="AN448" s="239"/>
      <c r="AO448" s="225"/>
      <c r="AP448" s="260"/>
      <c r="AQ448" s="258"/>
      <c r="AR448" s="258"/>
      <c r="AS448" s="202"/>
      <c r="AT448" s="213"/>
      <c r="AU448" s="213"/>
    </row>
    <row r="449" spans="40:47" s="121" customFormat="1" hidden="1">
      <c r="AN449" s="239"/>
      <c r="AO449" s="225"/>
      <c r="AP449" s="260"/>
      <c r="AQ449" s="258"/>
      <c r="AR449" s="258"/>
      <c r="AS449" s="202"/>
      <c r="AT449" s="213"/>
      <c r="AU449" s="213"/>
    </row>
    <row r="450" spans="40:47" s="121" customFormat="1" hidden="1">
      <c r="AN450" s="239"/>
      <c r="AO450" s="225"/>
      <c r="AP450" s="260"/>
      <c r="AQ450" s="258"/>
      <c r="AR450" s="258"/>
      <c r="AS450" s="202"/>
      <c r="AT450" s="213"/>
      <c r="AU450" s="213"/>
    </row>
    <row r="451" spans="40:47" s="121" customFormat="1" hidden="1">
      <c r="AN451" s="239"/>
      <c r="AO451" s="225"/>
      <c r="AP451" s="260"/>
      <c r="AQ451" s="258"/>
      <c r="AR451" s="258"/>
      <c r="AS451" s="202"/>
      <c r="AT451" s="213"/>
      <c r="AU451" s="213"/>
    </row>
    <row r="452" spans="40:47" s="121" customFormat="1" hidden="1">
      <c r="AN452" s="239"/>
      <c r="AO452" s="225"/>
      <c r="AP452" s="260"/>
      <c r="AQ452" s="258"/>
      <c r="AR452" s="258"/>
      <c r="AS452" s="202"/>
      <c r="AT452" s="213"/>
      <c r="AU452" s="213"/>
    </row>
    <row r="453" spans="40:47" s="121" customFormat="1" hidden="1">
      <c r="AN453" s="239"/>
      <c r="AO453" s="225"/>
      <c r="AP453" s="260"/>
      <c r="AQ453" s="258"/>
      <c r="AR453" s="258"/>
      <c r="AS453" s="202"/>
      <c r="AT453" s="213"/>
      <c r="AU453" s="213"/>
    </row>
    <row r="454" spans="40:47" s="121" customFormat="1" hidden="1">
      <c r="AN454" s="239"/>
      <c r="AO454" s="225"/>
      <c r="AP454" s="260"/>
      <c r="AQ454" s="258"/>
      <c r="AR454" s="258"/>
      <c r="AS454" s="202"/>
      <c r="AT454" s="213"/>
      <c r="AU454" s="213"/>
    </row>
    <row r="455" spans="40:47" s="121" customFormat="1" hidden="1">
      <c r="AN455" s="239"/>
      <c r="AO455" s="225"/>
      <c r="AP455" s="260"/>
      <c r="AQ455" s="258"/>
      <c r="AR455" s="258"/>
      <c r="AS455" s="202"/>
      <c r="AT455" s="213"/>
      <c r="AU455" s="213"/>
    </row>
    <row r="456" spans="40:47" s="121" customFormat="1" hidden="1">
      <c r="AN456" s="239"/>
      <c r="AO456" s="225"/>
      <c r="AP456" s="260"/>
      <c r="AQ456" s="258"/>
      <c r="AR456" s="258"/>
      <c r="AS456" s="202"/>
      <c r="AT456" s="213"/>
      <c r="AU456" s="213"/>
    </row>
    <row r="457" spans="40:47" s="121" customFormat="1" hidden="1">
      <c r="AN457" s="239"/>
      <c r="AO457" s="225"/>
      <c r="AP457" s="260"/>
      <c r="AQ457" s="258"/>
      <c r="AR457" s="258"/>
      <c r="AS457" s="202"/>
      <c r="AT457" s="213"/>
      <c r="AU457" s="213"/>
    </row>
    <row r="458" spans="40:47" s="121" customFormat="1" hidden="1">
      <c r="AN458" s="239"/>
      <c r="AO458" s="225"/>
      <c r="AP458" s="260"/>
      <c r="AQ458" s="258"/>
      <c r="AR458" s="258"/>
      <c r="AS458" s="202"/>
      <c r="AT458" s="213"/>
      <c r="AU458" s="213"/>
    </row>
    <row r="459" spans="40:47" s="121" customFormat="1" hidden="1">
      <c r="AN459" s="239"/>
      <c r="AO459" s="225"/>
      <c r="AP459" s="260"/>
      <c r="AQ459" s="258"/>
      <c r="AR459" s="258"/>
      <c r="AS459" s="202"/>
      <c r="AT459" s="213"/>
      <c r="AU459" s="213"/>
    </row>
    <row r="460" spans="40:47" s="121" customFormat="1" hidden="1">
      <c r="AN460" s="239"/>
      <c r="AO460" s="225"/>
      <c r="AP460" s="260"/>
      <c r="AQ460" s="258"/>
      <c r="AR460" s="258"/>
      <c r="AS460" s="202"/>
      <c r="AT460" s="213"/>
      <c r="AU460" s="213"/>
    </row>
    <row r="461" spans="40:47" s="121" customFormat="1" hidden="1">
      <c r="AN461" s="239"/>
      <c r="AO461" s="225"/>
      <c r="AP461" s="260"/>
      <c r="AQ461" s="258"/>
      <c r="AR461" s="258"/>
      <c r="AS461" s="202"/>
      <c r="AT461" s="213"/>
      <c r="AU461" s="213"/>
    </row>
    <row r="462" spans="40:47" s="121" customFormat="1" hidden="1">
      <c r="AN462" s="239"/>
      <c r="AO462" s="225"/>
      <c r="AP462" s="260"/>
      <c r="AQ462" s="258"/>
      <c r="AR462" s="258"/>
      <c r="AS462" s="202"/>
      <c r="AT462" s="213"/>
      <c r="AU462" s="213"/>
    </row>
    <row r="463" spans="40:47" s="121" customFormat="1" hidden="1">
      <c r="AN463" s="239"/>
      <c r="AO463" s="225"/>
      <c r="AP463" s="260"/>
      <c r="AQ463" s="258"/>
      <c r="AR463" s="258"/>
      <c r="AS463" s="202"/>
      <c r="AT463" s="213"/>
      <c r="AU463" s="213"/>
    </row>
    <row r="464" spans="40:47" s="121" customFormat="1" hidden="1">
      <c r="AN464" s="239"/>
      <c r="AO464" s="225"/>
      <c r="AP464" s="260"/>
      <c r="AQ464" s="258"/>
      <c r="AR464" s="258"/>
      <c r="AS464" s="202"/>
      <c r="AT464" s="213"/>
      <c r="AU464" s="213"/>
    </row>
    <row r="465" spans="40:47" s="121" customFormat="1" hidden="1">
      <c r="AN465" s="239"/>
      <c r="AO465" s="225"/>
      <c r="AP465" s="260"/>
      <c r="AQ465" s="258"/>
      <c r="AR465" s="258"/>
      <c r="AS465" s="202"/>
      <c r="AT465" s="213"/>
      <c r="AU465" s="213"/>
    </row>
    <row r="466" spans="40:47" s="121" customFormat="1" hidden="1">
      <c r="AN466" s="239"/>
      <c r="AO466" s="225"/>
      <c r="AP466" s="260"/>
      <c r="AQ466" s="258"/>
      <c r="AR466" s="258"/>
      <c r="AS466" s="202"/>
      <c r="AT466" s="213"/>
      <c r="AU466" s="213"/>
    </row>
    <row r="467" spans="40:47" s="121" customFormat="1" hidden="1">
      <c r="AN467" s="239"/>
      <c r="AO467" s="225"/>
      <c r="AP467" s="260"/>
      <c r="AQ467" s="258"/>
      <c r="AR467" s="258"/>
      <c r="AS467" s="202"/>
      <c r="AT467" s="213"/>
      <c r="AU467" s="213"/>
    </row>
    <row r="468" spans="40:47" s="121" customFormat="1" hidden="1">
      <c r="AN468" s="239"/>
      <c r="AO468" s="225"/>
      <c r="AP468" s="260"/>
      <c r="AQ468" s="258"/>
      <c r="AR468" s="258"/>
      <c r="AS468" s="202"/>
      <c r="AT468" s="213"/>
      <c r="AU468" s="213"/>
    </row>
    <row r="469" spans="40:47" s="121" customFormat="1" hidden="1">
      <c r="AN469" s="239"/>
      <c r="AO469" s="225"/>
      <c r="AP469" s="260"/>
      <c r="AQ469" s="258"/>
      <c r="AR469" s="258"/>
      <c r="AS469" s="202"/>
      <c r="AT469" s="213"/>
      <c r="AU469" s="213"/>
    </row>
    <row r="470" spans="40:47" s="121" customFormat="1" hidden="1">
      <c r="AN470" s="239"/>
      <c r="AO470" s="225"/>
      <c r="AP470" s="260"/>
      <c r="AQ470" s="258"/>
      <c r="AR470" s="258"/>
      <c r="AS470" s="202"/>
      <c r="AT470" s="213"/>
      <c r="AU470" s="213"/>
    </row>
    <row r="471" spans="40:47" s="121" customFormat="1" hidden="1">
      <c r="AN471" s="239"/>
      <c r="AO471" s="225"/>
      <c r="AP471" s="260"/>
      <c r="AQ471" s="258"/>
      <c r="AR471" s="258"/>
      <c r="AS471" s="202"/>
      <c r="AT471" s="213"/>
      <c r="AU471" s="213"/>
    </row>
    <row r="472" spans="40:47" s="121" customFormat="1" hidden="1">
      <c r="AN472" s="239"/>
      <c r="AO472" s="225"/>
      <c r="AP472" s="260"/>
      <c r="AQ472" s="258"/>
      <c r="AR472" s="258"/>
      <c r="AS472" s="202"/>
      <c r="AT472" s="213"/>
      <c r="AU472" s="213"/>
    </row>
    <row r="473" spans="40:47" s="121" customFormat="1" hidden="1">
      <c r="AN473" s="239"/>
      <c r="AO473" s="225"/>
      <c r="AP473" s="260"/>
      <c r="AQ473" s="258"/>
      <c r="AR473" s="258"/>
      <c r="AS473" s="202"/>
      <c r="AT473" s="213"/>
      <c r="AU473" s="213"/>
    </row>
    <row r="474" spans="40:47" s="121" customFormat="1" hidden="1">
      <c r="AN474" s="239"/>
      <c r="AO474" s="225"/>
      <c r="AP474" s="260"/>
      <c r="AQ474" s="258"/>
      <c r="AR474" s="258"/>
      <c r="AS474" s="202"/>
      <c r="AT474" s="213"/>
      <c r="AU474" s="213"/>
    </row>
    <row r="475" spans="40:47" s="121" customFormat="1" hidden="1">
      <c r="AN475" s="239"/>
      <c r="AO475" s="225"/>
      <c r="AP475" s="260"/>
      <c r="AQ475" s="258"/>
      <c r="AR475" s="258"/>
      <c r="AS475" s="202"/>
      <c r="AT475" s="213"/>
      <c r="AU475" s="213"/>
    </row>
    <row r="476" spans="40:47" s="121" customFormat="1" hidden="1">
      <c r="AN476" s="239"/>
      <c r="AO476" s="225"/>
      <c r="AP476" s="260"/>
      <c r="AQ476" s="258"/>
      <c r="AR476" s="258"/>
      <c r="AS476" s="202"/>
      <c r="AT476" s="213"/>
      <c r="AU476" s="213"/>
    </row>
    <row r="477" spans="40:47" s="121" customFormat="1" hidden="1">
      <c r="AN477" s="239"/>
      <c r="AO477" s="225"/>
      <c r="AP477" s="260"/>
      <c r="AQ477" s="258"/>
      <c r="AR477" s="258"/>
      <c r="AS477" s="202"/>
      <c r="AT477" s="213"/>
      <c r="AU477" s="213"/>
    </row>
    <row r="478" spans="40:47" s="121" customFormat="1" hidden="1">
      <c r="AN478" s="239"/>
      <c r="AO478" s="225"/>
      <c r="AP478" s="260"/>
      <c r="AQ478" s="258"/>
      <c r="AR478" s="258"/>
      <c r="AS478" s="202"/>
      <c r="AT478" s="213"/>
      <c r="AU478" s="213"/>
    </row>
    <row r="479" spans="40:47" s="121" customFormat="1" hidden="1">
      <c r="AN479" s="239"/>
      <c r="AO479" s="225"/>
      <c r="AP479" s="260"/>
      <c r="AQ479" s="258"/>
      <c r="AR479" s="258"/>
      <c r="AS479" s="202"/>
      <c r="AT479" s="213"/>
      <c r="AU479" s="213"/>
    </row>
    <row r="480" spans="40:47" s="121" customFormat="1" hidden="1">
      <c r="AN480" s="239"/>
      <c r="AO480" s="225"/>
      <c r="AP480" s="260"/>
      <c r="AQ480" s="258"/>
      <c r="AR480" s="258"/>
      <c r="AS480" s="202"/>
      <c r="AT480" s="213"/>
      <c r="AU480" s="213"/>
    </row>
    <row r="481" spans="40:47" s="121" customFormat="1" hidden="1">
      <c r="AN481" s="239"/>
      <c r="AO481" s="225"/>
      <c r="AP481" s="260"/>
      <c r="AQ481" s="258"/>
      <c r="AR481" s="258"/>
      <c r="AS481" s="202"/>
      <c r="AT481" s="213"/>
      <c r="AU481" s="213"/>
    </row>
    <row r="482" spans="40:47" s="121" customFormat="1" hidden="1">
      <c r="AN482" s="239"/>
      <c r="AO482" s="225"/>
      <c r="AP482" s="260"/>
      <c r="AQ482" s="258"/>
      <c r="AR482" s="258"/>
      <c r="AS482" s="202"/>
      <c r="AT482" s="213"/>
      <c r="AU482" s="213"/>
    </row>
    <row r="483" spans="40:47" s="121" customFormat="1" hidden="1">
      <c r="AN483" s="239"/>
      <c r="AO483" s="225"/>
      <c r="AP483" s="260"/>
      <c r="AQ483" s="258"/>
      <c r="AR483" s="258"/>
      <c r="AS483" s="202"/>
      <c r="AT483" s="213"/>
      <c r="AU483" s="213"/>
    </row>
    <row r="484" spans="40:47" s="121" customFormat="1" hidden="1">
      <c r="AN484" s="239"/>
      <c r="AO484" s="225"/>
      <c r="AP484" s="260"/>
      <c r="AQ484" s="258"/>
      <c r="AR484" s="258"/>
      <c r="AS484" s="202"/>
      <c r="AT484" s="213"/>
      <c r="AU484" s="213"/>
    </row>
    <row r="485" spans="40:47" s="121" customFormat="1" hidden="1">
      <c r="AN485" s="239"/>
      <c r="AO485" s="225"/>
      <c r="AP485" s="260"/>
      <c r="AQ485" s="258"/>
      <c r="AR485" s="258"/>
      <c r="AS485" s="202"/>
      <c r="AT485" s="213"/>
      <c r="AU485" s="213"/>
    </row>
    <row r="486" spans="40:47" s="121" customFormat="1" hidden="1">
      <c r="AN486" s="239"/>
      <c r="AO486" s="225"/>
      <c r="AP486" s="260"/>
      <c r="AQ486" s="258"/>
      <c r="AR486" s="258"/>
      <c r="AS486" s="202"/>
      <c r="AT486" s="213"/>
      <c r="AU486" s="213"/>
    </row>
    <row r="487" spans="40:47" s="121" customFormat="1" hidden="1">
      <c r="AN487" s="239"/>
      <c r="AO487" s="225"/>
      <c r="AP487" s="260"/>
      <c r="AQ487" s="258"/>
      <c r="AR487" s="258"/>
      <c r="AS487" s="202"/>
      <c r="AT487" s="213"/>
      <c r="AU487" s="213"/>
    </row>
    <row r="488" spans="40:47" s="121" customFormat="1" hidden="1">
      <c r="AN488" s="239"/>
      <c r="AO488" s="225"/>
      <c r="AP488" s="260"/>
      <c r="AQ488" s="258"/>
      <c r="AR488" s="258"/>
      <c r="AS488" s="202"/>
      <c r="AT488" s="213"/>
      <c r="AU488" s="213"/>
    </row>
    <row r="489" spans="40:47" s="121" customFormat="1" hidden="1">
      <c r="AN489" s="239"/>
      <c r="AO489" s="225"/>
      <c r="AP489" s="260"/>
      <c r="AQ489" s="258"/>
      <c r="AR489" s="258"/>
      <c r="AS489" s="202"/>
      <c r="AT489" s="213"/>
      <c r="AU489" s="213"/>
    </row>
    <row r="490" spans="40:47" s="121" customFormat="1" hidden="1">
      <c r="AN490" s="239"/>
      <c r="AO490" s="225"/>
      <c r="AP490" s="260"/>
      <c r="AQ490" s="258"/>
      <c r="AR490" s="258"/>
      <c r="AS490" s="202"/>
      <c r="AT490" s="213"/>
      <c r="AU490" s="213"/>
    </row>
    <row r="491" spans="40:47" s="121" customFormat="1" hidden="1">
      <c r="AN491" s="239"/>
      <c r="AO491" s="225"/>
      <c r="AP491" s="260"/>
      <c r="AQ491" s="258"/>
      <c r="AR491" s="258"/>
      <c r="AS491" s="202"/>
      <c r="AT491" s="213"/>
      <c r="AU491" s="213"/>
    </row>
    <row r="492" spans="40:47" s="121" customFormat="1" hidden="1">
      <c r="AN492" s="239"/>
      <c r="AO492" s="225"/>
      <c r="AP492" s="260"/>
      <c r="AQ492" s="258"/>
      <c r="AR492" s="258"/>
      <c r="AS492" s="202"/>
      <c r="AT492" s="213"/>
      <c r="AU492" s="213"/>
    </row>
    <row r="493" spans="40:47" s="121" customFormat="1" hidden="1">
      <c r="AN493" s="239"/>
      <c r="AO493" s="225"/>
      <c r="AP493" s="260"/>
      <c r="AQ493" s="258"/>
      <c r="AR493" s="258"/>
      <c r="AS493" s="202"/>
      <c r="AT493" s="213"/>
      <c r="AU493" s="213"/>
    </row>
    <row r="494" spans="40:47" s="121" customFormat="1" hidden="1">
      <c r="AN494" s="239"/>
      <c r="AO494" s="225"/>
      <c r="AP494" s="260"/>
      <c r="AQ494" s="258"/>
      <c r="AR494" s="258"/>
      <c r="AS494" s="202"/>
      <c r="AT494" s="213"/>
      <c r="AU494" s="213"/>
    </row>
    <row r="495" spans="40:47" s="121" customFormat="1" hidden="1">
      <c r="AN495" s="239"/>
      <c r="AO495" s="225"/>
      <c r="AP495" s="260"/>
      <c r="AQ495" s="258"/>
      <c r="AR495" s="258"/>
      <c r="AS495" s="202"/>
      <c r="AT495" s="213"/>
      <c r="AU495" s="213"/>
    </row>
    <row r="496" spans="40:47" s="121" customFormat="1" hidden="1">
      <c r="AN496" s="239"/>
      <c r="AO496" s="225"/>
      <c r="AP496" s="260"/>
      <c r="AQ496" s="258"/>
      <c r="AR496" s="258"/>
      <c r="AS496" s="202"/>
      <c r="AT496" s="213"/>
      <c r="AU496" s="213"/>
    </row>
    <row r="497" spans="40:47" s="121" customFormat="1" hidden="1">
      <c r="AN497" s="239"/>
      <c r="AO497" s="225"/>
      <c r="AP497" s="260"/>
      <c r="AQ497" s="258"/>
      <c r="AR497" s="258"/>
      <c r="AS497" s="202"/>
      <c r="AT497" s="213"/>
      <c r="AU497" s="213"/>
    </row>
    <row r="498" spans="40:47" s="121" customFormat="1" hidden="1">
      <c r="AN498" s="239"/>
      <c r="AO498" s="225"/>
      <c r="AP498" s="260"/>
      <c r="AQ498" s="258"/>
      <c r="AR498" s="258"/>
      <c r="AS498" s="202"/>
      <c r="AT498" s="213"/>
      <c r="AU498" s="213"/>
    </row>
    <row r="499" spans="40:47" s="121" customFormat="1" hidden="1">
      <c r="AN499" s="239"/>
      <c r="AO499" s="225"/>
      <c r="AP499" s="260"/>
      <c r="AQ499" s="258"/>
      <c r="AR499" s="258"/>
      <c r="AS499" s="202"/>
      <c r="AT499" s="213"/>
      <c r="AU499" s="213"/>
    </row>
    <row r="500" spans="40:47" s="121" customFormat="1" hidden="1">
      <c r="AN500" s="239"/>
      <c r="AO500" s="225"/>
      <c r="AP500" s="260"/>
      <c r="AQ500" s="258"/>
      <c r="AR500" s="258"/>
      <c r="AS500" s="202"/>
      <c r="AT500" s="213"/>
      <c r="AU500" s="213"/>
    </row>
    <row r="501" spans="40:47" s="121" customFormat="1" hidden="1">
      <c r="AN501" s="239"/>
      <c r="AO501" s="225"/>
      <c r="AP501" s="260"/>
      <c r="AQ501" s="258"/>
      <c r="AR501" s="258"/>
      <c r="AS501" s="202"/>
      <c r="AT501" s="213"/>
      <c r="AU501" s="213"/>
    </row>
    <row r="502" spans="40:47" s="121" customFormat="1" hidden="1">
      <c r="AN502" s="239"/>
      <c r="AO502" s="225"/>
      <c r="AP502" s="260"/>
      <c r="AQ502" s="258"/>
      <c r="AR502" s="258"/>
      <c r="AS502" s="202"/>
      <c r="AT502" s="213"/>
      <c r="AU502" s="213"/>
    </row>
    <row r="503" spans="40:47" s="121" customFormat="1" hidden="1">
      <c r="AN503" s="239"/>
      <c r="AO503" s="225"/>
      <c r="AP503" s="260"/>
      <c r="AQ503" s="258"/>
      <c r="AR503" s="258"/>
      <c r="AS503" s="202"/>
      <c r="AT503" s="213"/>
      <c r="AU503" s="213"/>
    </row>
    <row r="504" spans="40:47" s="121" customFormat="1" hidden="1">
      <c r="AN504" s="239"/>
      <c r="AO504" s="225"/>
      <c r="AP504" s="260"/>
      <c r="AQ504" s="258"/>
      <c r="AR504" s="258"/>
      <c r="AS504" s="202"/>
      <c r="AT504" s="213"/>
      <c r="AU504" s="213"/>
    </row>
    <row r="505" spans="40:47" s="121" customFormat="1" hidden="1">
      <c r="AN505" s="239"/>
      <c r="AO505" s="225"/>
      <c r="AP505" s="260"/>
      <c r="AQ505" s="258"/>
      <c r="AR505" s="258"/>
      <c r="AS505" s="202"/>
      <c r="AT505" s="213"/>
      <c r="AU505" s="213"/>
    </row>
    <row r="506" spans="40:47" s="121" customFormat="1" hidden="1">
      <c r="AN506" s="239"/>
      <c r="AO506" s="225"/>
      <c r="AP506" s="260"/>
      <c r="AQ506" s="258"/>
      <c r="AR506" s="258"/>
      <c r="AS506" s="202"/>
      <c r="AT506" s="213"/>
      <c r="AU506" s="213"/>
    </row>
    <row r="507" spans="40:47" s="121" customFormat="1" hidden="1">
      <c r="AN507" s="239"/>
      <c r="AO507" s="225"/>
      <c r="AP507" s="260"/>
      <c r="AQ507" s="258"/>
      <c r="AR507" s="258"/>
      <c r="AS507" s="202"/>
      <c r="AT507" s="213"/>
      <c r="AU507" s="213"/>
    </row>
    <row r="508" spans="40:47" s="121" customFormat="1" hidden="1">
      <c r="AN508" s="239"/>
      <c r="AO508" s="225"/>
      <c r="AP508" s="260"/>
      <c r="AQ508" s="258"/>
      <c r="AR508" s="258"/>
      <c r="AS508" s="202"/>
      <c r="AT508" s="213"/>
      <c r="AU508" s="213"/>
    </row>
    <row r="509" spans="40:47" s="121" customFormat="1" hidden="1">
      <c r="AN509" s="239"/>
      <c r="AO509" s="225"/>
      <c r="AP509" s="260"/>
      <c r="AQ509" s="258"/>
      <c r="AR509" s="258"/>
      <c r="AS509" s="202"/>
      <c r="AT509" s="213"/>
      <c r="AU509" s="213"/>
    </row>
    <row r="510" spans="40:47" s="121" customFormat="1" hidden="1">
      <c r="AN510" s="239"/>
      <c r="AO510" s="225"/>
      <c r="AP510" s="260"/>
      <c r="AQ510" s="258"/>
      <c r="AR510" s="258"/>
      <c r="AS510" s="202"/>
      <c r="AT510" s="213"/>
      <c r="AU510" s="213"/>
    </row>
    <row r="511" spans="40:47" s="121" customFormat="1" hidden="1">
      <c r="AN511" s="239"/>
      <c r="AO511" s="225"/>
      <c r="AP511" s="260"/>
      <c r="AQ511" s="258"/>
      <c r="AR511" s="258"/>
      <c r="AS511" s="202"/>
      <c r="AT511" s="213"/>
      <c r="AU511" s="213"/>
    </row>
    <row r="512" spans="40:47" s="121" customFormat="1" hidden="1">
      <c r="AN512" s="239"/>
      <c r="AO512" s="225"/>
      <c r="AP512" s="260"/>
      <c r="AQ512" s="258"/>
      <c r="AR512" s="258"/>
      <c r="AS512" s="202"/>
      <c r="AT512" s="213"/>
      <c r="AU512" s="213"/>
    </row>
    <row r="513" spans="40:47" s="121" customFormat="1" hidden="1">
      <c r="AN513" s="239"/>
      <c r="AO513" s="225"/>
      <c r="AP513" s="260"/>
      <c r="AQ513" s="258"/>
      <c r="AR513" s="258"/>
      <c r="AS513" s="202"/>
      <c r="AT513" s="213"/>
      <c r="AU513" s="213"/>
    </row>
    <row r="514" spans="40:47" s="121" customFormat="1" hidden="1">
      <c r="AN514" s="239"/>
      <c r="AO514" s="225"/>
      <c r="AP514" s="260"/>
      <c r="AQ514" s="258"/>
      <c r="AR514" s="258"/>
      <c r="AS514" s="202"/>
      <c r="AT514" s="213"/>
      <c r="AU514" s="213"/>
    </row>
    <row r="515" spans="40:47" s="121" customFormat="1" hidden="1">
      <c r="AN515" s="239"/>
      <c r="AO515" s="225"/>
      <c r="AP515" s="260"/>
      <c r="AQ515" s="258"/>
      <c r="AR515" s="258"/>
      <c r="AS515" s="202"/>
      <c r="AT515" s="213"/>
      <c r="AU515" s="213"/>
    </row>
    <row r="516" spans="40:47" s="121" customFormat="1" hidden="1">
      <c r="AN516" s="239"/>
      <c r="AO516" s="225"/>
      <c r="AP516" s="260"/>
      <c r="AQ516" s="258"/>
      <c r="AR516" s="258"/>
      <c r="AS516" s="202"/>
      <c r="AT516" s="213"/>
      <c r="AU516" s="213"/>
    </row>
    <row r="517" spans="40:47" s="121" customFormat="1" hidden="1">
      <c r="AN517" s="239"/>
      <c r="AO517" s="225"/>
      <c r="AP517" s="260"/>
      <c r="AQ517" s="258"/>
      <c r="AR517" s="258"/>
      <c r="AS517" s="202"/>
      <c r="AT517" s="213"/>
      <c r="AU517" s="213"/>
    </row>
    <row r="518" spans="40:47" s="121" customFormat="1" hidden="1">
      <c r="AN518" s="239"/>
      <c r="AO518" s="225"/>
      <c r="AP518" s="260"/>
      <c r="AQ518" s="258"/>
      <c r="AR518" s="258"/>
      <c r="AS518" s="202"/>
      <c r="AT518" s="213"/>
      <c r="AU518" s="213"/>
    </row>
    <row r="519" spans="40:47" s="121" customFormat="1" hidden="1">
      <c r="AN519" s="239"/>
      <c r="AO519" s="225"/>
      <c r="AP519" s="260"/>
      <c r="AQ519" s="258"/>
      <c r="AR519" s="258"/>
      <c r="AS519" s="202"/>
      <c r="AT519" s="213"/>
      <c r="AU519" s="213"/>
    </row>
    <row r="520" spans="40:47" s="121" customFormat="1" hidden="1">
      <c r="AN520" s="239"/>
      <c r="AO520" s="225"/>
      <c r="AP520" s="260"/>
      <c r="AQ520" s="258"/>
      <c r="AR520" s="258"/>
      <c r="AS520" s="202"/>
      <c r="AT520" s="213"/>
      <c r="AU520" s="213"/>
    </row>
    <row r="521" spans="40:47" s="121" customFormat="1" hidden="1">
      <c r="AN521" s="239"/>
      <c r="AO521" s="225"/>
      <c r="AP521" s="260"/>
      <c r="AQ521" s="258"/>
      <c r="AR521" s="258"/>
      <c r="AS521" s="202"/>
      <c r="AT521" s="213"/>
      <c r="AU521" s="213"/>
    </row>
    <row r="522" spans="40:47" s="121" customFormat="1" hidden="1">
      <c r="AN522" s="239"/>
      <c r="AO522" s="225"/>
      <c r="AP522" s="260"/>
      <c r="AQ522" s="258"/>
      <c r="AR522" s="258"/>
      <c r="AS522" s="202"/>
      <c r="AT522" s="213"/>
      <c r="AU522" s="213"/>
    </row>
    <row r="523" spans="40:47" s="121" customFormat="1" hidden="1">
      <c r="AN523" s="239"/>
      <c r="AO523" s="225"/>
      <c r="AP523" s="260"/>
      <c r="AQ523" s="258"/>
      <c r="AR523" s="258"/>
      <c r="AS523" s="202"/>
      <c r="AT523" s="213"/>
      <c r="AU523" s="213"/>
    </row>
    <row r="524" spans="40:47" s="121" customFormat="1" hidden="1">
      <c r="AN524" s="239"/>
      <c r="AO524" s="225"/>
      <c r="AP524" s="260"/>
      <c r="AQ524" s="258"/>
      <c r="AR524" s="258"/>
      <c r="AS524" s="202"/>
      <c r="AT524" s="213"/>
      <c r="AU524" s="213"/>
    </row>
    <row r="525" spans="40:47" s="121" customFormat="1" hidden="1">
      <c r="AN525" s="239"/>
      <c r="AO525" s="225"/>
      <c r="AP525" s="260"/>
      <c r="AQ525" s="258"/>
      <c r="AR525" s="258"/>
      <c r="AS525" s="202"/>
      <c r="AT525" s="213"/>
      <c r="AU525" s="213"/>
    </row>
    <row r="526" spans="40:47" s="121" customFormat="1" hidden="1">
      <c r="AN526" s="239"/>
      <c r="AO526" s="225"/>
      <c r="AP526" s="260"/>
      <c r="AQ526" s="258"/>
      <c r="AR526" s="258"/>
      <c r="AS526" s="202"/>
      <c r="AT526" s="213"/>
      <c r="AU526" s="213"/>
    </row>
    <row r="527" spans="40:47" s="121" customFormat="1" hidden="1">
      <c r="AN527" s="239"/>
      <c r="AO527" s="225"/>
      <c r="AP527" s="260"/>
      <c r="AQ527" s="258"/>
      <c r="AR527" s="258"/>
      <c r="AS527" s="202"/>
      <c r="AT527" s="213"/>
      <c r="AU527" s="213"/>
    </row>
    <row r="528" spans="40:47" s="121" customFormat="1" hidden="1">
      <c r="AN528" s="239"/>
      <c r="AO528" s="225"/>
      <c r="AP528" s="260"/>
      <c r="AQ528" s="258"/>
      <c r="AR528" s="258"/>
      <c r="AS528" s="202"/>
      <c r="AT528" s="213"/>
      <c r="AU528" s="213"/>
    </row>
    <row r="529" spans="40:47" s="121" customFormat="1" hidden="1">
      <c r="AN529" s="239"/>
      <c r="AO529" s="225"/>
      <c r="AP529" s="260"/>
      <c r="AQ529" s="258"/>
      <c r="AR529" s="258"/>
      <c r="AS529" s="202"/>
      <c r="AT529" s="213"/>
      <c r="AU529" s="213"/>
    </row>
    <row r="530" spans="40:47" s="121" customFormat="1" hidden="1">
      <c r="AN530" s="239"/>
      <c r="AO530" s="225"/>
      <c r="AP530" s="260"/>
      <c r="AQ530" s="258"/>
      <c r="AR530" s="258"/>
      <c r="AS530" s="202"/>
      <c r="AT530" s="213"/>
      <c r="AU530" s="213"/>
    </row>
    <row r="531" spans="40:47" s="121" customFormat="1" hidden="1">
      <c r="AN531" s="239"/>
      <c r="AO531" s="225"/>
      <c r="AP531" s="260"/>
      <c r="AQ531" s="258"/>
      <c r="AR531" s="258"/>
      <c r="AS531" s="202"/>
      <c r="AT531" s="213"/>
      <c r="AU531" s="213"/>
    </row>
    <row r="532" spans="40:47" s="121" customFormat="1" hidden="1">
      <c r="AN532" s="239"/>
      <c r="AO532" s="225"/>
      <c r="AP532" s="260"/>
      <c r="AQ532" s="258"/>
      <c r="AR532" s="258"/>
      <c r="AS532" s="202"/>
      <c r="AT532" s="213"/>
      <c r="AU532" s="213"/>
    </row>
    <row r="533" spans="40:47" s="121" customFormat="1" hidden="1">
      <c r="AN533" s="239"/>
      <c r="AO533" s="225"/>
      <c r="AP533" s="260"/>
      <c r="AQ533" s="258"/>
      <c r="AR533" s="258"/>
      <c r="AS533" s="202"/>
      <c r="AT533" s="213"/>
      <c r="AU533" s="213"/>
    </row>
    <row r="534" spans="40:47" s="121" customFormat="1" hidden="1">
      <c r="AN534" s="239"/>
      <c r="AO534" s="225"/>
      <c r="AP534" s="260"/>
      <c r="AQ534" s="258"/>
      <c r="AR534" s="258"/>
      <c r="AS534" s="202"/>
      <c r="AT534" s="213"/>
      <c r="AU534" s="213"/>
    </row>
    <row r="535" spans="40:47" s="121" customFormat="1" hidden="1">
      <c r="AN535" s="239"/>
      <c r="AO535" s="225"/>
      <c r="AP535" s="260"/>
      <c r="AQ535" s="258"/>
      <c r="AR535" s="258"/>
      <c r="AS535" s="202"/>
      <c r="AT535" s="213"/>
      <c r="AU535" s="213"/>
    </row>
    <row r="536" spans="40:47" s="121" customFormat="1" hidden="1">
      <c r="AN536" s="239"/>
      <c r="AO536" s="225"/>
      <c r="AP536" s="260"/>
      <c r="AQ536" s="258"/>
      <c r="AR536" s="258"/>
      <c r="AS536" s="202"/>
      <c r="AT536" s="213"/>
      <c r="AU536" s="213"/>
    </row>
    <row r="537" spans="40:47" s="121" customFormat="1" hidden="1">
      <c r="AN537" s="239"/>
      <c r="AO537" s="225"/>
      <c r="AP537" s="260"/>
      <c r="AQ537" s="258"/>
      <c r="AR537" s="258"/>
      <c r="AS537" s="202"/>
      <c r="AT537" s="213"/>
      <c r="AU537" s="213"/>
    </row>
    <row r="538" spans="40:47" s="121" customFormat="1" hidden="1">
      <c r="AN538" s="239"/>
      <c r="AO538" s="225"/>
      <c r="AP538" s="260"/>
      <c r="AQ538" s="258"/>
      <c r="AR538" s="258"/>
      <c r="AS538" s="202"/>
      <c r="AT538" s="213"/>
      <c r="AU538" s="213"/>
    </row>
    <row r="539" spans="40:47" s="121" customFormat="1" hidden="1">
      <c r="AN539" s="239"/>
      <c r="AO539" s="225"/>
      <c r="AP539" s="260"/>
      <c r="AQ539" s="258"/>
      <c r="AR539" s="258"/>
      <c r="AS539" s="202"/>
      <c r="AT539" s="213"/>
      <c r="AU539" s="213"/>
    </row>
    <row r="540" spans="40:47" s="121" customFormat="1" hidden="1">
      <c r="AN540" s="239"/>
      <c r="AO540" s="225"/>
      <c r="AP540" s="260"/>
      <c r="AQ540" s="258"/>
      <c r="AR540" s="258"/>
      <c r="AS540" s="202"/>
      <c r="AT540" s="213"/>
      <c r="AU540" s="213"/>
    </row>
    <row r="541" spans="40:47" s="121" customFormat="1" hidden="1">
      <c r="AN541" s="239"/>
      <c r="AO541" s="225"/>
      <c r="AP541" s="260"/>
      <c r="AQ541" s="258"/>
      <c r="AR541" s="258"/>
      <c r="AS541" s="202"/>
      <c r="AT541" s="213"/>
      <c r="AU541" s="213"/>
    </row>
    <row r="542" spans="40:47" s="121" customFormat="1" hidden="1">
      <c r="AN542" s="239"/>
      <c r="AO542" s="225"/>
      <c r="AP542" s="260"/>
      <c r="AQ542" s="258"/>
      <c r="AR542" s="258"/>
      <c r="AS542" s="202"/>
      <c r="AT542" s="213"/>
      <c r="AU542" s="213"/>
    </row>
    <row r="543" spans="40:47" s="121" customFormat="1" hidden="1">
      <c r="AN543" s="239"/>
      <c r="AO543" s="225"/>
      <c r="AP543" s="260"/>
      <c r="AQ543" s="258"/>
      <c r="AR543" s="258"/>
      <c r="AS543" s="202"/>
      <c r="AT543" s="213"/>
      <c r="AU543" s="213"/>
    </row>
    <row r="544" spans="40:47" s="121" customFormat="1" hidden="1">
      <c r="AN544" s="239"/>
      <c r="AO544" s="225"/>
      <c r="AP544" s="260"/>
      <c r="AQ544" s="258"/>
      <c r="AR544" s="258"/>
      <c r="AS544" s="202"/>
      <c r="AT544" s="213"/>
      <c r="AU544" s="213"/>
    </row>
    <row r="545" spans="40:47" s="121" customFormat="1" hidden="1">
      <c r="AN545" s="239"/>
      <c r="AO545" s="225"/>
      <c r="AP545" s="260"/>
      <c r="AQ545" s="258"/>
      <c r="AR545" s="258"/>
      <c r="AS545" s="202"/>
      <c r="AT545" s="213"/>
      <c r="AU545" s="213"/>
    </row>
    <row r="546" spans="40:47" s="121" customFormat="1" hidden="1">
      <c r="AN546" s="239"/>
      <c r="AO546" s="225"/>
      <c r="AP546" s="260"/>
      <c r="AQ546" s="258"/>
      <c r="AR546" s="258"/>
      <c r="AS546" s="202"/>
      <c r="AT546" s="213"/>
      <c r="AU546" s="213"/>
    </row>
    <row r="547" spans="40:47" s="121" customFormat="1" hidden="1">
      <c r="AN547" s="239"/>
      <c r="AO547" s="225"/>
      <c r="AP547" s="260"/>
      <c r="AQ547" s="258"/>
      <c r="AR547" s="258"/>
      <c r="AS547" s="202"/>
      <c r="AT547" s="213"/>
      <c r="AU547" s="213"/>
    </row>
    <row r="548" spans="40:47" s="121" customFormat="1" hidden="1">
      <c r="AN548" s="239"/>
      <c r="AO548" s="225"/>
      <c r="AP548" s="260"/>
      <c r="AQ548" s="258"/>
      <c r="AR548" s="258"/>
      <c r="AS548" s="202"/>
      <c r="AT548" s="213"/>
      <c r="AU548" s="213"/>
    </row>
    <row r="549" spans="40:47" s="121" customFormat="1" hidden="1">
      <c r="AN549" s="239"/>
      <c r="AO549" s="225"/>
      <c r="AP549" s="260"/>
      <c r="AQ549" s="258"/>
      <c r="AR549" s="258"/>
      <c r="AS549" s="202"/>
      <c r="AT549" s="213"/>
      <c r="AU549" s="213"/>
    </row>
    <row r="550" spans="40:47" s="121" customFormat="1" hidden="1">
      <c r="AN550" s="239"/>
      <c r="AO550" s="225"/>
      <c r="AP550" s="260"/>
      <c r="AQ550" s="258"/>
      <c r="AR550" s="258"/>
      <c r="AS550" s="202"/>
      <c r="AT550" s="213"/>
      <c r="AU550" s="213"/>
    </row>
    <row r="551" spans="40:47" s="121" customFormat="1" hidden="1">
      <c r="AN551" s="239"/>
      <c r="AO551" s="225"/>
      <c r="AP551" s="260"/>
      <c r="AQ551" s="258"/>
      <c r="AR551" s="258"/>
      <c r="AS551" s="202"/>
      <c r="AT551" s="213"/>
      <c r="AU551" s="213"/>
    </row>
    <row r="552" spans="40:47" s="121" customFormat="1" hidden="1">
      <c r="AN552" s="239"/>
      <c r="AO552" s="225"/>
      <c r="AP552" s="260"/>
      <c r="AQ552" s="258"/>
      <c r="AR552" s="258"/>
      <c r="AS552" s="202"/>
      <c r="AT552" s="213"/>
      <c r="AU552" s="213"/>
    </row>
    <row r="553" spans="40:47" s="121" customFormat="1" hidden="1">
      <c r="AN553" s="239"/>
      <c r="AO553" s="225"/>
      <c r="AP553" s="260"/>
      <c r="AQ553" s="258"/>
      <c r="AR553" s="258"/>
      <c r="AS553" s="202"/>
      <c r="AT553" s="213"/>
      <c r="AU553" s="213"/>
    </row>
    <row r="554" spans="40:47" s="121" customFormat="1" hidden="1">
      <c r="AN554" s="239"/>
      <c r="AO554" s="225"/>
      <c r="AP554" s="260"/>
      <c r="AQ554" s="258"/>
      <c r="AR554" s="258"/>
      <c r="AS554" s="202"/>
      <c r="AT554" s="213"/>
      <c r="AU554" s="213"/>
    </row>
    <row r="555" spans="40:47" s="121" customFormat="1" hidden="1">
      <c r="AN555" s="239"/>
      <c r="AO555" s="225"/>
      <c r="AP555" s="260"/>
      <c r="AQ555" s="258"/>
      <c r="AR555" s="258"/>
      <c r="AS555" s="202"/>
      <c r="AT555" s="213"/>
      <c r="AU555" s="213"/>
    </row>
    <row r="556" spans="40:47" s="121" customFormat="1" hidden="1">
      <c r="AN556" s="239"/>
      <c r="AO556" s="225"/>
      <c r="AP556" s="260"/>
      <c r="AQ556" s="258"/>
      <c r="AR556" s="258"/>
      <c r="AS556" s="202"/>
      <c r="AT556" s="213"/>
      <c r="AU556" s="213"/>
    </row>
    <row r="557" spans="40:47" s="121" customFormat="1" hidden="1">
      <c r="AN557" s="239"/>
      <c r="AO557" s="225"/>
      <c r="AP557" s="260"/>
      <c r="AQ557" s="258"/>
      <c r="AR557" s="258"/>
      <c r="AS557" s="202"/>
      <c r="AT557" s="213"/>
      <c r="AU557" s="213"/>
    </row>
    <row r="558" spans="40:47" s="121" customFormat="1" hidden="1">
      <c r="AN558" s="239"/>
      <c r="AO558" s="225"/>
      <c r="AP558" s="260"/>
      <c r="AQ558" s="258"/>
      <c r="AR558" s="258"/>
      <c r="AS558" s="202"/>
      <c r="AT558" s="213"/>
      <c r="AU558" s="213"/>
    </row>
    <row r="559" spans="40:47" s="121" customFormat="1" hidden="1">
      <c r="AN559" s="239"/>
      <c r="AO559" s="225"/>
      <c r="AP559" s="260"/>
      <c r="AQ559" s="258"/>
      <c r="AR559" s="258"/>
      <c r="AS559" s="202"/>
      <c r="AT559" s="213"/>
      <c r="AU559" s="213"/>
    </row>
    <row r="560" spans="40:47" s="121" customFormat="1" hidden="1">
      <c r="AN560" s="239"/>
      <c r="AO560" s="225"/>
      <c r="AP560" s="260"/>
      <c r="AQ560" s="258"/>
      <c r="AR560" s="258"/>
      <c r="AS560" s="202"/>
      <c r="AT560" s="213"/>
      <c r="AU560" s="213"/>
    </row>
    <row r="561" spans="40:47" s="121" customFormat="1" hidden="1">
      <c r="AN561" s="239"/>
      <c r="AO561" s="225"/>
      <c r="AP561" s="260"/>
      <c r="AQ561" s="258"/>
      <c r="AR561" s="258"/>
      <c r="AS561" s="202"/>
      <c r="AT561" s="213"/>
      <c r="AU561" s="213"/>
    </row>
    <row r="562" spans="40:47" s="121" customFormat="1" hidden="1">
      <c r="AN562" s="239"/>
      <c r="AO562" s="225"/>
      <c r="AP562" s="260"/>
      <c r="AQ562" s="258"/>
      <c r="AR562" s="258"/>
      <c r="AS562" s="202"/>
      <c r="AT562" s="213"/>
      <c r="AU562" s="213"/>
    </row>
    <row r="563" spans="40:47" s="121" customFormat="1" hidden="1">
      <c r="AN563" s="239"/>
      <c r="AO563" s="225"/>
      <c r="AP563" s="260"/>
      <c r="AQ563" s="258"/>
      <c r="AR563" s="258"/>
      <c r="AS563" s="202"/>
      <c r="AT563" s="213"/>
      <c r="AU563" s="213"/>
    </row>
    <row r="564" spans="40:47" s="121" customFormat="1" hidden="1">
      <c r="AN564" s="239"/>
      <c r="AO564" s="225"/>
      <c r="AP564" s="260"/>
      <c r="AQ564" s="258"/>
      <c r="AR564" s="258"/>
      <c r="AS564" s="202"/>
      <c r="AT564" s="213"/>
      <c r="AU564" s="213"/>
    </row>
    <row r="565" spans="40:47" s="121" customFormat="1" hidden="1">
      <c r="AN565" s="239"/>
      <c r="AO565" s="225"/>
      <c r="AP565" s="260"/>
      <c r="AQ565" s="258"/>
      <c r="AR565" s="258"/>
      <c r="AS565" s="202"/>
      <c r="AT565" s="213"/>
      <c r="AU565" s="213"/>
    </row>
    <row r="566" spans="40:47" s="121" customFormat="1" hidden="1">
      <c r="AN566" s="239"/>
      <c r="AO566" s="225"/>
      <c r="AP566" s="260"/>
      <c r="AQ566" s="258"/>
      <c r="AR566" s="258"/>
      <c r="AS566" s="202"/>
      <c r="AT566" s="213"/>
      <c r="AU566" s="213"/>
    </row>
    <row r="567" spans="40:47" s="121" customFormat="1" hidden="1">
      <c r="AN567" s="239"/>
      <c r="AO567" s="225"/>
      <c r="AP567" s="260"/>
      <c r="AQ567" s="258"/>
      <c r="AR567" s="258"/>
      <c r="AS567" s="202"/>
      <c r="AT567" s="213"/>
      <c r="AU567" s="213"/>
    </row>
    <row r="568" spans="40:47" s="121" customFormat="1" hidden="1">
      <c r="AN568" s="239"/>
      <c r="AO568" s="225"/>
      <c r="AP568" s="260"/>
      <c r="AQ568" s="258"/>
      <c r="AR568" s="258"/>
      <c r="AS568" s="202"/>
      <c r="AT568" s="213"/>
      <c r="AU568" s="213"/>
    </row>
    <row r="569" spans="40:47" s="121" customFormat="1" hidden="1">
      <c r="AN569" s="239"/>
      <c r="AO569" s="225"/>
      <c r="AP569" s="260"/>
      <c r="AQ569" s="258"/>
      <c r="AR569" s="258"/>
      <c r="AS569" s="202"/>
      <c r="AT569" s="213"/>
      <c r="AU569" s="213"/>
    </row>
    <row r="570" spans="40:47" s="121" customFormat="1" hidden="1">
      <c r="AN570" s="239"/>
      <c r="AO570" s="225"/>
      <c r="AP570" s="260"/>
      <c r="AQ570" s="258"/>
      <c r="AR570" s="258"/>
      <c r="AS570" s="202"/>
      <c r="AT570" s="213"/>
      <c r="AU570" s="213"/>
    </row>
    <row r="571" spans="40:47" s="121" customFormat="1" hidden="1">
      <c r="AN571" s="239"/>
      <c r="AO571" s="225"/>
      <c r="AP571" s="260"/>
      <c r="AQ571" s="258"/>
      <c r="AR571" s="258"/>
      <c r="AS571" s="202"/>
      <c r="AT571" s="213"/>
      <c r="AU571" s="213"/>
    </row>
    <row r="572" spans="40:47" s="121" customFormat="1" hidden="1">
      <c r="AN572" s="239"/>
      <c r="AO572" s="225"/>
      <c r="AP572" s="260"/>
      <c r="AQ572" s="258"/>
      <c r="AR572" s="258"/>
      <c r="AS572" s="202"/>
      <c r="AT572" s="213"/>
      <c r="AU572" s="213"/>
    </row>
    <row r="573" spans="40:47" s="121" customFormat="1" hidden="1">
      <c r="AN573" s="239"/>
      <c r="AO573" s="225"/>
      <c r="AP573" s="260"/>
      <c r="AQ573" s="258"/>
      <c r="AR573" s="258"/>
      <c r="AS573" s="202"/>
      <c r="AT573" s="213"/>
      <c r="AU573" s="213"/>
    </row>
    <row r="574" spans="40:47" s="121" customFormat="1" hidden="1">
      <c r="AN574" s="239"/>
      <c r="AO574" s="225"/>
      <c r="AP574" s="260"/>
      <c r="AQ574" s="258"/>
      <c r="AR574" s="258"/>
      <c r="AS574" s="202"/>
      <c r="AT574" s="213"/>
      <c r="AU574" s="213"/>
    </row>
    <row r="575" spans="40:47" s="121" customFormat="1" hidden="1">
      <c r="AN575" s="239"/>
      <c r="AO575" s="225"/>
      <c r="AP575" s="260"/>
      <c r="AQ575" s="258"/>
      <c r="AR575" s="258"/>
      <c r="AS575" s="202"/>
      <c r="AT575" s="213"/>
      <c r="AU575" s="213"/>
    </row>
    <row r="576" spans="40:47" s="121" customFormat="1" hidden="1">
      <c r="AN576" s="239"/>
      <c r="AO576" s="225"/>
      <c r="AP576" s="260"/>
      <c r="AQ576" s="258"/>
      <c r="AR576" s="258"/>
      <c r="AS576" s="202"/>
      <c r="AT576" s="213"/>
      <c r="AU576" s="213"/>
    </row>
    <row r="577" spans="40:47" s="121" customFormat="1" hidden="1">
      <c r="AN577" s="239"/>
      <c r="AO577" s="225"/>
      <c r="AP577" s="260"/>
      <c r="AQ577" s="258"/>
      <c r="AR577" s="258"/>
      <c r="AS577" s="202"/>
      <c r="AT577" s="213"/>
      <c r="AU577" s="213"/>
    </row>
    <row r="578" spans="40:47" s="121" customFormat="1" hidden="1">
      <c r="AN578" s="239"/>
      <c r="AO578" s="225"/>
      <c r="AP578" s="260"/>
      <c r="AQ578" s="258"/>
      <c r="AR578" s="258"/>
      <c r="AS578" s="202"/>
      <c r="AT578" s="213"/>
      <c r="AU578" s="213"/>
    </row>
    <row r="579" spans="40:47" s="121" customFormat="1" hidden="1">
      <c r="AN579" s="239"/>
      <c r="AO579" s="225"/>
      <c r="AP579" s="260"/>
      <c r="AQ579" s="258"/>
      <c r="AR579" s="258"/>
      <c r="AS579" s="202"/>
      <c r="AT579" s="213"/>
      <c r="AU579" s="213"/>
    </row>
    <row r="580" spans="40:47" s="121" customFormat="1" hidden="1">
      <c r="AN580" s="239"/>
      <c r="AO580" s="225"/>
      <c r="AP580" s="260"/>
      <c r="AQ580" s="258"/>
      <c r="AR580" s="258"/>
      <c r="AS580" s="202"/>
      <c r="AT580" s="213"/>
      <c r="AU580" s="213"/>
    </row>
    <row r="581" spans="40:47" s="121" customFormat="1" hidden="1">
      <c r="AN581" s="239"/>
      <c r="AO581" s="225"/>
      <c r="AP581" s="260"/>
      <c r="AQ581" s="258"/>
      <c r="AR581" s="258"/>
      <c r="AS581" s="202"/>
      <c r="AT581" s="213"/>
      <c r="AU581" s="213"/>
    </row>
    <row r="582" spans="40:47" s="121" customFormat="1" hidden="1">
      <c r="AN582" s="239"/>
      <c r="AO582" s="225"/>
      <c r="AP582" s="260"/>
      <c r="AQ582" s="258"/>
      <c r="AR582" s="258"/>
      <c r="AS582" s="202"/>
      <c r="AT582" s="213"/>
      <c r="AU582" s="213"/>
    </row>
    <row r="583" spans="40:47" s="121" customFormat="1" hidden="1">
      <c r="AN583" s="239"/>
      <c r="AO583" s="225"/>
      <c r="AP583" s="260"/>
      <c r="AQ583" s="258"/>
      <c r="AR583" s="258"/>
      <c r="AS583" s="202"/>
      <c r="AT583" s="213"/>
      <c r="AU583" s="213"/>
    </row>
    <row r="584" spans="40:47" s="121" customFormat="1" hidden="1">
      <c r="AN584" s="239"/>
      <c r="AO584" s="225"/>
      <c r="AP584" s="260"/>
      <c r="AQ584" s="258"/>
      <c r="AR584" s="258"/>
      <c r="AS584" s="202"/>
      <c r="AT584" s="213"/>
      <c r="AU584" s="213"/>
    </row>
    <row r="585" spans="40:47" s="121" customFormat="1" hidden="1">
      <c r="AN585" s="239"/>
      <c r="AO585" s="225"/>
      <c r="AP585" s="260"/>
      <c r="AQ585" s="258"/>
      <c r="AR585" s="258"/>
      <c r="AS585" s="202"/>
      <c r="AT585" s="213"/>
      <c r="AU585" s="213"/>
    </row>
    <row r="586" spans="40:47" s="121" customFormat="1" hidden="1">
      <c r="AN586" s="239"/>
      <c r="AO586" s="225"/>
      <c r="AP586" s="260"/>
      <c r="AQ586" s="258"/>
      <c r="AR586" s="258"/>
      <c r="AS586" s="202"/>
      <c r="AT586" s="213"/>
      <c r="AU586" s="213"/>
    </row>
    <row r="587" spans="40:47" s="121" customFormat="1" hidden="1">
      <c r="AN587" s="239"/>
      <c r="AO587" s="225"/>
      <c r="AP587" s="260"/>
      <c r="AQ587" s="258"/>
      <c r="AR587" s="258"/>
      <c r="AS587" s="202"/>
      <c r="AT587" s="213"/>
      <c r="AU587" s="213"/>
    </row>
    <row r="588" spans="40:47" s="121" customFormat="1" hidden="1">
      <c r="AN588" s="239"/>
      <c r="AO588" s="225"/>
      <c r="AP588" s="260"/>
      <c r="AQ588" s="258"/>
      <c r="AR588" s="258"/>
      <c r="AS588" s="202"/>
      <c r="AT588" s="213"/>
      <c r="AU588" s="213"/>
    </row>
    <row r="589" spans="40:47" s="121" customFormat="1" hidden="1">
      <c r="AN589" s="239"/>
      <c r="AO589" s="225"/>
      <c r="AP589" s="260"/>
      <c r="AQ589" s="258"/>
      <c r="AR589" s="258"/>
      <c r="AS589" s="202"/>
      <c r="AT589" s="213"/>
      <c r="AU589" s="213"/>
    </row>
    <row r="590" spans="40:47" s="121" customFormat="1" hidden="1">
      <c r="AN590" s="239"/>
      <c r="AO590" s="225"/>
      <c r="AP590" s="260"/>
      <c r="AQ590" s="258"/>
      <c r="AR590" s="258"/>
      <c r="AS590" s="202"/>
      <c r="AT590" s="213"/>
      <c r="AU590" s="213"/>
    </row>
    <row r="591" spans="40:47" s="121" customFormat="1" hidden="1">
      <c r="AN591" s="239"/>
      <c r="AO591" s="225"/>
      <c r="AP591" s="260"/>
      <c r="AQ591" s="258"/>
      <c r="AR591" s="258"/>
      <c r="AS591" s="202"/>
      <c r="AT591" s="213"/>
      <c r="AU591" s="213"/>
    </row>
    <row r="592" spans="40:47" s="121" customFormat="1" hidden="1">
      <c r="AN592" s="239"/>
      <c r="AO592" s="225"/>
      <c r="AP592" s="260"/>
      <c r="AQ592" s="258"/>
      <c r="AR592" s="258"/>
      <c r="AS592" s="202"/>
      <c r="AT592" s="213"/>
      <c r="AU592" s="213"/>
    </row>
    <row r="593" spans="40:47" s="121" customFormat="1" hidden="1">
      <c r="AN593" s="239"/>
      <c r="AO593" s="225"/>
      <c r="AP593" s="260"/>
      <c r="AQ593" s="258"/>
      <c r="AR593" s="258"/>
      <c r="AS593" s="202"/>
      <c r="AT593" s="213"/>
      <c r="AU593" s="213"/>
    </row>
    <row r="594" spans="40:47" s="121" customFormat="1" hidden="1">
      <c r="AN594" s="239"/>
      <c r="AO594" s="225"/>
      <c r="AP594" s="260"/>
      <c r="AQ594" s="258"/>
      <c r="AR594" s="258"/>
      <c r="AS594" s="202"/>
      <c r="AT594" s="213"/>
      <c r="AU594" s="213"/>
    </row>
    <row r="595" spans="40:47" s="121" customFormat="1" hidden="1">
      <c r="AN595" s="239"/>
      <c r="AO595" s="225"/>
      <c r="AP595" s="260"/>
      <c r="AQ595" s="258"/>
      <c r="AR595" s="258"/>
      <c r="AS595" s="202"/>
      <c r="AT595" s="213"/>
      <c r="AU595" s="213"/>
    </row>
    <row r="596" spans="40:47" s="121" customFormat="1" hidden="1">
      <c r="AN596" s="239"/>
      <c r="AO596" s="225"/>
      <c r="AP596" s="260"/>
      <c r="AQ596" s="258"/>
      <c r="AR596" s="258"/>
      <c r="AS596" s="202"/>
      <c r="AT596" s="213"/>
      <c r="AU596" s="213"/>
    </row>
    <row r="597" spans="40:47" s="121" customFormat="1" hidden="1">
      <c r="AN597" s="239"/>
      <c r="AO597" s="225"/>
      <c r="AP597" s="260"/>
      <c r="AQ597" s="258"/>
      <c r="AR597" s="258"/>
      <c r="AS597" s="202"/>
      <c r="AT597" s="213"/>
      <c r="AU597" s="213"/>
    </row>
    <row r="598" spans="40:47" s="121" customFormat="1" hidden="1">
      <c r="AN598" s="239"/>
      <c r="AO598" s="225"/>
      <c r="AP598" s="260"/>
      <c r="AQ598" s="258"/>
      <c r="AR598" s="258"/>
      <c r="AS598" s="202"/>
      <c r="AT598" s="213"/>
      <c r="AU598" s="213"/>
    </row>
    <row r="599" spans="40:47" s="121" customFormat="1" hidden="1">
      <c r="AN599" s="239"/>
      <c r="AO599" s="225"/>
      <c r="AP599" s="260"/>
      <c r="AQ599" s="258"/>
      <c r="AR599" s="258"/>
      <c r="AS599" s="202"/>
      <c r="AT599" s="213"/>
      <c r="AU599" s="213"/>
    </row>
    <row r="600" spans="40:47" s="121" customFormat="1" hidden="1">
      <c r="AN600" s="239"/>
      <c r="AO600" s="225"/>
      <c r="AP600" s="260"/>
      <c r="AQ600" s="258"/>
      <c r="AR600" s="258"/>
      <c r="AS600" s="202"/>
      <c r="AT600" s="213"/>
      <c r="AU600" s="213"/>
    </row>
    <row r="601" spans="40:47" s="121" customFormat="1" hidden="1">
      <c r="AN601" s="239"/>
      <c r="AO601" s="225"/>
      <c r="AP601" s="260"/>
      <c r="AQ601" s="258"/>
      <c r="AR601" s="258"/>
      <c r="AS601" s="202"/>
      <c r="AT601" s="213"/>
      <c r="AU601" s="213"/>
    </row>
    <row r="602" spans="40:47" s="121" customFormat="1" hidden="1">
      <c r="AN602" s="239"/>
      <c r="AO602" s="225"/>
      <c r="AP602" s="260"/>
      <c r="AQ602" s="258"/>
      <c r="AR602" s="258"/>
      <c r="AS602" s="202"/>
      <c r="AT602" s="213"/>
      <c r="AU602" s="213"/>
    </row>
    <row r="603" spans="40:47" s="121" customFormat="1" hidden="1">
      <c r="AN603" s="239"/>
      <c r="AO603" s="225"/>
      <c r="AP603" s="260"/>
      <c r="AQ603" s="258"/>
      <c r="AR603" s="258"/>
      <c r="AS603" s="202"/>
      <c r="AT603" s="213"/>
      <c r="AU603" s="213"/>
    </row>
    <row r="604" spans="40:47" s="121" customFormat="1" hidden="1">
      <c r="AN604" s="239"/>
      <c r="AO604" s="225"/>
      <c r="AP604" s="260"/>
      <c r="AQ604" s="258"/>
      <c r="AR604" s="258"/>
      <c r="AS604" s="202"/>
      <c r="AT604" s="213"/>
      <c r="AU604" s="213"/>
    </row>
    <row r="605" spans="40:47" s="121" customFormat="1" hidden="1">
      <c r="AN605" s="239"/>
      <c r="AO605" s="225"/>
      <c r="AP605" s="260"/>
      <c r="AQ605" s="258"/>
      <c r="AR605" s="258"/>
      <c r="AS605" s="202"/>
      <c r="AT605" s="213"/>
      <c r="AU605" s="213"/>
    </row>
    <row r="606" spans="40:47" s="121" customFormat="1" hidden="1">
      <c r="AN606" s="239"/>
      <c r="AO606" s="225"/>
      <c r="AP606" s="260"/>
      <c r="AQ606" s="258"/>
      <c r="AR606" s="258"/>
      <c r="AS606" s="202"/>
      <c r="AT606" s="213"/>
      <c r="AU606" s="213"/>
    </row>
    <row r="607" spans="40:47" s="121" customFormat="1" hidden="1">
      <c r="AN607" s="239"/>
      <c r="AO607" s="225"/>
      <c r="AP607" s="260"/>
      <c r="AQ607" s="258"/>
      <c r="AR607" s="258"/>
      <c r="AS607" s="202"/>
      <c r="AT607" s="213"/>
      <c r="AU607" s="213"/>
    </row>
    <row r="608" spans="40:47" s="121" customFormat="1" hidden="1">
      <c r="AN608" s="239"/>
      <c r="AO608" s="225"/>
      <c r="AP608" s="260"/>
      <c r="AQ608" s="258"/>
      <c r="AR608" s="258"/>
      <c r="AS608" s="202"/>
      <c r="AT608" s="213"/>
      <c r="AU608" s="213"/>
    </row>
    <row r="609" spans="40:47" s="121" customFormat="1" hidden="1">
      <c r="AN609" s="239"/>
      <c r="AO609" s="225"/>
      <c r="AP609" s="260"/>
      <c r="AQ609" s="258"/>
      <c r="AR609" s="258"/>
      <c r="AS609" s="202"/>
      <c r="AT609" s="213"/>
      <c r="AU609" s="213"/>
    </row>
    <row r="610" spans="40:47" s="121" customFormat="1" hidden="1">
      <c r="AN610" s="239"/>
      <c r="AO610" s="225"/>
      <c r="AP610" s="260"/>
      <c r="AQ610" s="258"/>
      <c r="AR610" s="258"/>
      <c r="AS610" s="202"/>
      <c r="AT610" s="213"/>
      <c r="AU610" s="213"/>
    </row>
    <row r="611" spans="40:47" s="121" customFormat="1" hidden="1">
      <c r="AN611" s="239"/>
      <c r="AO611" s="225"/>
      <c r="AP611" s="260"/>
      <c r="AQ611" s="258"/>
      <c r="AR611" s="258"/>
      <c r="AS611" s="202"/>
      <c r="AT611" s="213"/>
      <c r="AU611" s="213"/>
    </row>
    <row r="612" spans="40:47" s="121" customFormat="1" hidden="1">
      <c r="AN612" s="239"/>
      <c r="AO612" s="225"/>
      <c r="AP612" s="260"/>
      <c r="AQ612" s="258"/>
      <c r="AR612" s="258"/>
      <c r="AS612" s="202"/>
      <c r="AT612" s="213"/>
      <c r="AU612" s="213"/>
    </row>
    <row r="613" spans="40:47" s="121" customFormat="1" hidden="1">
      <c r="AN613" s="239"/>
      <c r="AO613" s="225"/>
      <c r="AP613" s="260"/>
      <c r="AQ613" s="258"/>
      <c r="AR613" s="258"/>
      <c r="AS613" s="202"/>
      <c r="AT613" s="213"/>
      <c r="AU613" s="213"/>
    </row>
    <row r="614" spans="40:47" s="121" customFormat="1" hidden="1">
      <c r="AN614" s="239"/>
      <c r="AO614" s="225"/>
      <c r="AP614" s="260"/>
      <c r="AQ614" s="258"/>
      <c r="AR614" s="258"/>
      <c r="AS614" s="202"/>
      <c r="AT614" s="213"/>
      <c r="AU614" s="213"/>
    </row>
    <row r="615" spans="40:47" s="121" customFormat="1" hidden="1">
      <c r="AN615" s="239"/>
      <c r="AO615" s="225"/>
      <c r="AP615" s="260"/>
      <c r="AQ615" s="258"/>
      <c r="AR615" s="258"/>
      <c r="AS615" s="202"/>
      <c r="AT615" s="213"/>
      <c r="AU615" s="213"/>
    </row>
    <row r="616" spans="40:47" s="121" customFormat="1" hidden="1">
      <c r="AN616" s="239"/>
      <c r="AO616" s="225"/>
      <c r="AP616" s="260"/>
      <c r="AQ616" s="258"/>
      <c r="AR616" s="258"/>
      <c r="AS616" s="202"/>
      <c r="AT616" s="213"/>
      <c r="AU616" s="213"/>
    </row>
    <row r="617" spans="40:47" s="121" customFormat="1" hidden="1">
      <c r="AN617" s="239"/>
      <c r="AO617" s="225"/>
      <c r="AP617" s="260"/>
      <c r="AQ617" s="258"/>
      <c r="AR617" s="258"/>
      <c r="AS617" s="202"/>
      <c r="AT617" s="213"/>
      <c r="AU617" s="213"/>
    </row>
    <row r="618" spans="40:47" s="121" customFormat="1" hidden="1">
      <c r="AN618" s="239"/>
      <c r="AO618" s="225"/>
      <c r="AP618" s="260"/>
      <c r="AQ618" s="258"/>
      <c r="AR618" s="258"/>
      <c r="AS618" s="202"/>
      <c r="AT618" s="213"/>
      <c r="AU618" s="213"/>
    </row>
    <row r="619" spans="40:47" s="121" customFormat="1" hidden="1">
      <c r="AN619" s="239"/>
      <c r="AO619" s="225"/>
      <c r="AP619" s="260"/>
      <c r="AQ619" s="258"/>
      <c r="AR619" s="258"/>
      <c r="AS619" s="202"/>
      <c r="AT619" s="213"/>
      <c r="AU619" s="213"/>
    </row>
    <row r="620" spans="40:47" s="121" customFormat="1" hidden="1">
      <c r="AN620" s="239"/>
      <c r="AO620" s="225"/>
      <c r="AP620" s="260"/>
      <c r="AQ620" s="258"/>
      <c r="AR620" s="258"/>
      <c r="AS620" s="202"/>
      <c r="AT620" s="213"/>
      <c r="AU620" s="213"/>
    </row>
    <row r="621" spans="40:47" s="121" customFormat="1" hidden="1">
      <c r="AN621" s="239"/>
      <c r="AO621" s="225"/>
      <c r="AP621" s="260"/>
      <c r="AQ621" s="258"/>
      <c r="AR621" s="258"/>
      <c r="AS621" s="202"/>
      <c r="AT621" s="213"/>
      <c r="AU621" s="213"/>
    </row>
    <row r="622" spans="40:47" s="121" customFormat="1" hidden="1">
      <c r="AN622" s="239"/>
      <c r="AO622" s="225"/>
      <c r="AP622" s="260"/>
      <c r="AQ622" s="258"/>
      <c r="AR622" s="258"/>
      <c r="AS622" s="202"/>
      <c r="AT622" s="213"/>
      <c r="AU622" s="213"/>
    </row>
    <row r="623" spans="40:47" s="121" customFormat="1" hidden="1">
      <c r="AN623" s="239"/>
      <c r="AO623" s="225"/>
      <c r="AP623" s="260"/>
      <c r="AQ623" s="258"/>
      <c r="AR623" s="258"/>
      <c r="AS623" s="202"/>
      <c r="AT623" s="213"/>
      <c r="AU623" s="213"/>
    </row>
    <row r="624" spans="40:47" s="121" customFormat="1" hidden="1">
      <c r="AN624" s="239"/>
      <c r="AO624" s="225"/>
      <c r="AP624" s="260"/>
      <c r="AQ624" s="258"/>
      <c r="AR624" s="258"/>
      <c r="AS624" s="202"/>
      <c r="AT624" s="213"/>
      <c r="AU624" s="213"/>
    </row>
    <row r="625" spans="40:47" s="121" customFormat="1" hidden="1">
      <c r="AN625" s="239"/>
      <c r="AO625" s="225"/>
      <c r="AP625" s="260"/>
      <c r="AQ625" s="258"/>
      <c r="AR625" s="258"/>
      <c r="AS625" s="202"/>
      <c r="AT625" s="213"/>
      <c r="AU625" s="213"/>
    </row>
    <row r="626" spans="40:47" s="121" customFormat="1" hidden="1">
      <c r="AN626" s="239"/>
      <c r="AO626" s="225"/>
      <c r="AP626" s="260"/>
      <c r="AQ626" s="258"/>
      <c r="AR626" s="258"/>
      <c r="AS626" s="202"/>
      <c r="AT626" s="213"/>
      <c r="AU626" s="213"/>
    </row>
    <row r="627" spans="40:47" s="121" customFormat="1" hidden="1">
      <c r="AN627" s="239"/>
      <c r="AO627" s="225"/>
      <c r="AP627" s="260"/>
      <c r="AQ627" s="258"/>
      <c r="AR627" s="258"/>
      <c r="AS627" s="202"/>
      <c r="AT627" s="213"/>
      <c r="AU627" s="213"/>
    </row>
    <row r="628" spans="40:47" s="121" customFormat="1" hidden="1">
      <c r="AN628" s="239"/>
      <c r="AO628" s="225"/>
      <c r="AP628" s="260"/>
      <c r="AQ628" s="258"/>
      <c r="AR628" s="258"/>
      <c r="AS628" s="202"/>
      <c r="AT628" s="213"/>
      <c r="AU628" s="213"/>
    </row>
    <row r="629" spans="40:47" s="121" customFormat="1" hidden="1">
      <c r="AN629" s="239"/>
      <c r="AO629" s="225"/>
      <c r="AP629" s="260"/>
      <c r="AQ629" s="258"/>
      <c r="AR629" s="258"/>
      <c r="AS629" s="202"/>
      <c r="AT629" s="213"/>
      <c r="AU629" s="213"/>
    </row>
    <row r="630" spans="40:47" s="121" customFormat="1" hidden="1">
      <c r="AN630" s="239"/>
      <c r="AO630" s="225"/>
      <c r="AP630" s="260"/>
      <c r="AQ630" s="258"/>
      <c r="AR630" s="258"/>
      <c r="AS630" s="202"/>
      <c r="AT630" s="213"/>
      <c r="AU630" s="213"/>
    </row>
    <row r="631" spans="40:47" s="121" customFormat="1" hidden="1">
      <c r="AN631" s="239"/>
      <c r="AO631" s="225"/>
      <c r="AP631" s="260"/>
      <c r="AQ631" s="258"/>
      <c r="AR631" s="258"/>
      <c r="AS631" s="202"/>
      <c r="AT631" s="213"/>
      <c r="AU631" s="213"/>
    </row>
    <row r="632" spans="40:47" s="121" customFormat="1" hidden="1">
      <c r="AN632" s="239"/>
      <c r="AO632" s="225"/>
      <c r="AP632" s="260"/>
      <c r="AQ632" s="258"/>
      <c r="AR632" s="258"/>
      <c r="AS632" s="202"/>
      <c r="AT632" s="213"/>
      <c r="AU632" s="213"/>
    </row>
    <row r="633" spans="40:47" s="121" customFormat="1" hidden="1">
      <c r="AN633" s="239"/>
      <c r="AO633" s="225"/>
      <c r="AP633" s="260"/>
      <c r="AQ633" s="258"/>
      <c r="AR633" s="258"/>
      <c r="AS633" s="202"/>
      <c r="AT633" s="213"/>
      <c r="AU633" s="213"/>
    </row>
    <row r="634" spans="40:47" s="121" customFormat="1" hidden="1">
      <c r="AN634" s="239"/>
      <c r="AO634" s="225"/>
      <c r="AP634" s="260"/>
      <c r="AQ634" s="258"/>
      <c r="AR634" s="258"/>
      <c r="AS634" s="202"/>
      <c r="AT634" s="213"/>
      <c r="AU634" s="213"/>
    </row>
    <row r="635" spans="40:47" s="121" customFormat="1" hidden="1">
      <c r="AN635" s="239"/>
      <c r="AO635" s="225"/>
      <c r="AP635" s="260"/>
      <c r="AQ635" s="258"/>
      <c r="AR635" s="258"/>
      <c r="AS635" s="202"/>
      <c r="AT635" s="213"/>
      <c r="AU635" s="213"/>
    </row>
    <row r="636" spans="40:47" s="121" customFormat="1" hidden="1">
      <c r="AN636" s="239"/>
      <c r="AO636" s="225"/>
      <c r="AP636" s="260"/>
      <c r="AQ636" s="258"/>
      <c r="AR636" s="258"/>
      <c r="AS636" s="202"/>
      <c r="AT636" s="213"/>
      <c r="AU636" s="213"/>
    </row>
    <row r="637" spans="40:47" s="121" customFormat="1" hidden="1">
      <c r="AN637" s="239"/>
      <c r="AO637" s="225"/>
      <c r="AP637" s="260"/>
      <c r="AQ637" s="258"/>
      <c r="AR637" s="258"/>
      <c r="AS637" s="202"/>
      <c r="AT637" s="213"/>
      <c r="AU637" s="213"/>
    </row>
    <row r="638" spans="40:47" s="121" customFormat="1" hidden="1">
      <c r="AN638" s="239"/>
      <c r="AO638" s="225"/>
      <c r="AP638" s="260"/>
      <c r="AQ638" s="258"/>
      <c r="AR638" s="258"/>
      <c r="AS638" s="202"/>
      <c r="AT638" s="213"/>
      <c r="AU638" s="213"/>
    </row>
    <row r="639" spans="40:47" s="121" customFormat="1" hidden="1">
      <c r="AN639" s="239"/>
      <c r="AO639" s="225"/>
      <c r="AP639" s="260"/>
      <c r="AQ639" s="258"/>
      <c r="AR639" s="258"/>
      <c r="AS639" s="202"/>
      <c r="AT639" s="213"/>
      <c r="AU639" s="213"/>
    </row>
    <row r="640" spans="40:47" s="121" customFormat="1" hidden="1">
      <c r="AN640" s="239"/>
      <c r="AO640" s="225"/>
      <c r="AP640" s="260"/>
      <c r="AQ640" s="258"/>
      <c r="AR640" s="258"/>
      <c r="AS640" s="202"/>
      <c r="AT640" s="213"/>
      <c r="AU640" s="213"/>
    </row>
    <row r="641" spans="40:47" s="121" customFormat="1" hidden="1">
      <c r="AN641" s="239"/>
      <c r="AO641" s="225"/>
      <c r="AP641" s="260"/>
      <c r="AQ641" s="258"/>
      <c r="AR641" s="258"/>
      <c r="AS641" s="202"/>
      <c r="AT641" s="213"/>
      <c r="AU641" s="213"/>
    </row>
    <row r="642" spans="40:47" s="121" customFormat="1" hidden="1">
      <c r="AN642" s="239"/>
      <c r="AO642" s="225"/>
      <c r="AP642" s="260"/>
      <c r="AQ642" s="258"/>
      <c r="AR642" s="258"/>
      <c r="AS642" s="202"/>
      <c r="AT642" s="213"/>
      <c r="AU642" s="213"/>
    </row>
    <row r="643" spans="40:47" s="121" customFormat="1" hidden="1">
      <c r="AN643" s="239"/>
      <c r="AO643" s="225"/>
      <c r="AP643" s="260"/>
      <c r="AQ643" s="258"/>
      <c r="AR643" s="258"/>
      <c r="AS643" s="202"/>
      <c r="AT643" s="213"/>
      <c r="AU643" s="213"/>
    </row>
    <row r="644" spans="40:47" s="121" customFormat="1" hidden="1">
      <c r="AN644" s="239"/>
      <c r="AO644" s="225"/>
      <c r="AP644" s="260"/>
      <c r="AQ644" s="258"/>
      <c r="AR644" s="258"/>
      <c r="AS644" s="202"/>
      <c r="AT644" s="213"/>
      <c r="AU644" s="213"/>
    </row>
    <row r="645" spans="40:47" s="121" customFormat="1" hidden="1">
      <c r="AN645" s="239"/>
      <c r="AO645" s="225"/>
      <c r="AP645" s="260"/>
      <c r="AQ645" s="258"/>
      <c r="AR645" s="258"/>
      <c r="AS645" s="202"/>
      <c r="AT645" s="213"/>
      <c r="AU645" s="213"/>
    </row>
    <row r="646" spans="40:47" s="121" customFormat="1" hidden="1">
      <c r="AN646" s="239"/>
      <c r="AO646" s="225"/>
      <c r="AP646" s="260"/>
      <c r="AQ646" s="258"/>
      <c r="AR646" s="258"/>
      <c r="AS646" s="202"/>
      <c r="AT646" s="213"/>
      <c r="AU646" s="213"/>
    </row>
    <row r="647" spans="40:47" s="121" customFormat="1" hidden="1">
      <c r="AN647" s="239"/>
      <c r="AO647" s="225"/>
      <c r="AP647" s="260"/>
      <c r="AQ647" s="258"/>
      <c r="AR647" s="258"/>
      <c r="AS647" s="202"/>
      <c r="AT647" s="213"/>
      <c r="AU647" s="213"/>
    </row>
    <row r="648" spans="40:47" s="121" customFormat="1" hidden="1">
      <c r="AN648" s="239"/>
      <c r="AO648" s="225"/>
      <c r="AP648" s="260"/>
      <c r="AQ648" s="258"/>
      <c r="AR648" s="258"/>
      <c r="AS648" s="202"/>
      <c r="AT648" s="213"/>
      <c r="AU648" s="213"/>
    </row>
    <row r="649" spans="40:47" s="121" customFormat="1" hidden="1">
      <c r="AN649" s="239"/>
      <c r="AO649" s="225"/>
      <c r="AP649" s="260"/>
      <c r="AQ649" s="258"/>
      <c r="AR649" s="258"/>
      <c r="AS649" s="202"/>
      <c r="AT649" s="213"/>
      <c r="AU649" s="213"/>
    </row>
    <row r="650" spans="40:47" s="121" customFormat="1" hidden="1">
      <c r="AN650" s="239"/>
      <c r="AO650" s="225"/>
      <c r="AP650" s="260"/>
      <c r="AQ650" s="258"/>
      <c r="AR650" s="258"/>
      <c r="AS650" s="202"/>
      <c r="AT650" s="213"/>
      <c r="AU650" s="213"/>
    </row>
    <row r="651" spans="40:47" s="121" customFormat="1" hidden="1">
      <c r="AN651" s="239"/>
      <c r="AO651" s="225"/>
      <c r="AP651" s="260"/>
      <c r="AQ651" s="258"/>
      <c r="AR651" s="258"/>
      <c r="AS651" s="202"/>
      <c r="AT651" s="213"/>
      <c r="AU651" s="213"/>
    </row>
    <row r="652" spans="40:47" s="121" customFormat="1" hidden="1">
      <c r="AN652" s="239"/>
      <c r="AO652" s="225"/>
      <c r="AP652" s="260"/>
      <c r="AQ652" s="258"/>
      <c r="AR652" s="258"/>
      <c r="AS652" s="202"/>
      <c r="AT652" s="213"/>
      <c r="AU652" s="213"/>
    </row>
    <row r="653" spans="40:47" s="121" customFormat="1" hidden="1">
      <c r="AN653" s="239"/>
      <c r="AO653" s="225"/>
      <c r="AP653" s="260"/>
      <c r="AQ653" s="258"/>
      <c r="AR653" s="258"/>
      <c r="AS653" s="202"/>
      <c r="AT653" s="213"/>
      <c r="AU653" s="213"/>
    </row>
    <row r="654" spans="40:47" s="121" customFormat="1" hidden="1">
      <c r="AN654" s="239"/>
      <c r="AO654" s="225"/>
      <c r="AP654" s="260"/>
      <c r="AQ654" s="258"/>
      <c r="AR654" s="258"/>
      <c r="AS654" s="202"/>
      <c r="AT654" s="213"/>
      <c r="AU654" s="213"/>
    </row>
    <row r="655" spans="40:47" s="121" customFormat="1" hidden="1">
      <c r="AN655" s="239"/>
      <c r="AO655" s="225"/>
      <c r="AP655" s="260"/>
      <c r="AQ655" s="258"/>
      <c r="AR655" s="258"/>
      <c r="AS655" s="202"/>
      <c r="AT655" s="213"/>
      <c r="AU655" s="213"/>
    </row>
    <row r="656" spans="40:47" s="121" customFormat="1" hidden="1">
      <c r="AN656" s="239"/>
      <c r="AO656" s="225"/>
      <c r="AP656" s="260"/>
      <c r="AQ656" s="258"/>
      <c r="AR656" s="258"/>
      <c r="AS656" s="202"/>
      <c r="AT656" s="213"/>
      <c r="AU656" s="213"/>
    </row>
    <row r="657" spans="40:47" s="121" customFormat="1" hidden="1">
      <c r="AN657" s="239"/>
      <c r="AO657" s="225"/>
      <c r="AP657" s="260"/>
      <c r="AQ657" s="258"/>
      <c r="AR657" s="258"/>
      <c r="AS657" s="202"/>
      <c r="AT657" s="213"/>
      <c r="AU657" s="213"/>
    </row>
    <row r="658" spans="40:47" s="121" customFormat="1" hidden="1">
      <c r="AN658" s="239"/>
      <c r="AO658" s="225"/>
      <c r="AP658" s="260"/>
      <c r="AQ658" s="258"/>
      <c r="AR658" s="258"/>
      <c r="AS658" s="202"/>
      <c r="AT658" s="213"/>
      <c r="AU658" s="213"/>
    </row>
    <row r="659" spans="40:47" s="121" customFormat="1" hidden="1">
      <c r="AN659" s="239"/>
      <c r="AO659" s="225"/>
      <c r="AP659" s="260"/>
      <c r="AQ659" s="258"/>
      <c r="AR659" s="258"/>
      <c r="AS659" s="202"/>
      <c r="AT659" s="213"/>
      <c r="AU659" s="213"/>
    </row>
    <row r="660" spans="40:47" s="121" customFormat="1" hidden="1">
      <c r="AN660" s="239"/>
      <c r="AO660" s="225"/>
      <c r="AP660" s="260"/>
      <c r="AQ660" s="258"/>
      <c r="AR660" s="258"/>
      <c r="AS660" s="202"/>
      <c r="AT660" s="213"/>
      <c r="AU660" s="213"/>
    </row>
    <row r="661" spans="40:47" s="121" customFormat="1" hidden="1">
      <c r="AN661" s="239"/>
      <c r="AO661" s="225"/>
      <c r="AP661" s="260"/>
      <c r="AQ661" s="258"/>
      <c r="AR661" s="258"/>
      <c r="AS661" s="202"/>
      <c r="AT661" s="213"/>
      <c r="AU661" s="213"/>
    </row>
    <row r="662" spans="40:47" s="121" customFormat="1" hidden="1">
      <c r="AN662" s="239"/>
      <c r="AO662" s="225"/>
      <c r="AP662" s="260"/>
      <c r="AQ662" s="258"/>
      <c r="AR662" s="258"/>
      <c r="AS662" s="202"/>
      <c r="AT662" s="213"/>
      <c r="AU662" s="213"/>
    </row>
    <row r="663" spans="40:47" s="121" customFormat="1" hidden="1">
      <c r="AN663" s="239"/>
      <c r="AO663" s="225"/>
      <c r="AP663" s="260"/>
      <c r="AQ663" s="258"/>
      <c r="AR663" s="258"/>
      <c r="AS663" s="202"/>
      <c r="AT663" s="213"/>
      <c r="AU663" s="213"/>
    </row>
    <row r="664" spans="40:47" s="121" customFormat="1" hidden="1">
      <c r="AN664" s="239"/>
      <c r="AO664" s="225"/>
      <c r="AP664" s="260"/>
      <c r="AQ664" s="258"/>
      <c r="AR664" s="258"/>
      <c r="AS664" s="202"/>
      <c r="AT664" s="213"/>
      <c r="AU664" s="213"/>
    </row>
    <row r="665" spans="40:47" s="121" customFormat="1" hidden="1">
      <c r="AN665" s="239"/>
      <c r="AO665" s="225"/>
      <c r="AP665" s="260"/>
      <c r="AQ665" s="258"/>
      <c r="AR665" s="258"/>
      <c r="AS665" s="202"/>
      <c r="AT665" s="213"/>
      <c r="AU665" s="213"/>
    </row>
    <row r="666" spans="40:47" s="121" customFormat="1" hidden="1">
      <c r="AN666" s="239"/>
      <c r="AO666" s="225"/>
      <c r="AP666" s="260"/>
      <c r="AQ666" s="258"/>
      <c r="AR666" s="258"/>
      <c r="AS666" s="202"/>
      <c r="AT666" s="213"/>
      <c r="AU666" s="213"/>
    </row>
    <row r="667" spans="40:47" s="121" customFormat="1" hidden="1">
      <c r="AN667" s="239"/>
      <c r="AO667" s="225"/>
      <c r="AP667" s="260"/>
      <c r="AQ667" s="258"/>
      <c r="AR667" s="258"/>
      <c r="AS667" s="202"/>
      <c r="AT667" s="213"/>
      <c r="AU667" s="213"/>
    </row>
    <row r="668" spans="40:47" s="121" customFormat="1" hidden="1">
      <c r="AN668" s="239"/>
      <c r="AO668" s="225"/>
      <c r="AP668" s="260"/>
      <c r="AQ668" s="258"/>
      <c r="AR668" s="258"/>
      <c r="AS668" s="202"/>
      <c r="AT668" s="213"/>
      <c r="AU668" s="213"/>
    </row>
    <row r="669" spans="40:47" s="121" customFormat="1" hidden="1">
      <c r="AN669" s="239"/>
      <c r="AO669" s="225"/>
      <c r="AP669" s="260"/>
      <c r="AQ669" s="258"/>
      <c r="AR669" s="258"/>
      <c r="AS669" s="202"/>
      <c r="AT669" s="213"/>
      <c r="AU669" s="213"/>
    </row>
    <row r="670" spans="40:47" s="121" customFormat="1" hidden="1">
      <c r="AN670" s="239"/>
      <c r="AO670" s="225"/>
      <c r="AP670" s="260"/>
      <c r="AQ670" s="258"/>
      <c r="AR670" s="258"/>
      <c r="AS670" s="202"/>
      <c r="AT670" s="213"/>
      <c r="AU670" s="213"/>
    </row>
    <row r="671" spans="40:47" s="121" customFormat="1" hidden="1">
      <c r="AN671" s="239"/>
      <c r="AO671" s="225"/>
      <c r="AP671" s="260"/>
      <c r="AQ671" s="258"/>
      <c r="AR671" s="258"/>
      <c r="AS671" s="202"/>
      <c r="AT671" s="213"/>
      <c r="AU671" s="213"/>
    </row>
    <row r="672" spans="40:47" s="121" customFormat="1" hidden="1">
      <c r="AN672" s="239"/>
      <c r="AO672" s="225"/>
      <c r="AP672" s="260"/>
      <c r="AQ672" s="258"/>
      <c r="AR672" s="258"/>
      <c r="AS672" s="202"/>
      <c r="AT672" s="213"/>
      <c r="AU672" s="213"/>
    </row>
    <row r="673" spans="40:47" s="121" customFormat="1" hidden="1">
      <c r="AN673" s="239"/>
      <c r="AO673" s="225"/>
      <c r="AP673" s="260"/>
      <c r="AQ673" s="258"/>
      <c r="AR673" s="258"/>
      <c r="AS673" s="202"/>
      <c r="AT673" s="213"/>
      <c r="AU673" s="213"/>
    </row>
    <row r="674" spans="40:47" s="121" customFormat="1" hidden="1">
      <c r="AN674" s="239"/>
      <c r="AO674" s="225"/>
      <c r="AP674" s="260"/>
      <c r="AQ674" s="258"/>
      <c r="AR674" s="258"/>
      <c r="AS674" s="202"/>
      <c r="AT674" s="213"/>
      <c r="AU674" s="213"/>
    </row>
    <row r="675" spans="40:47" s="121" customFormat="1" hidden="1">
      <c r="AN675" s="239"/>
      <c r="AO675" s="225"/>
      <c r="AP675" s="260"/>
      <c r="AQ675" s="258"/>
      <c r="AR675" s="258"/>
      <c r="AS675" s="202"/>
      <c r="AT675" s="213"/>
      <c r="AU675" s="213"/>
    </row>
    <row r="676" spans="40:47" s="121" customFormat="1" hidden="1">
      <c r="AN676" s="239"/>
      <c r="AO676" s="225"/>
      <c r="AP676" s="260"/>
      <c r="AQ676" s="258"/>
      <c r="AR676" s="258"/>
      <c r="AS676" s="202"/>
      <c r="AT676" s="213"/>
      <c r="AU676" s="213"/>
    </row>
    <row r="677" spans="40:47" s="121" customFormat="1" hidden="1">
      <c r="AN677" s="239"/>
      <c r="AO677" s="225"/>
      <c r="AP677" s="260"/>
      <c r="AQ677" s="258"/>
      <c r="AR677" s="258"/>
      <c r="AS677" s="202"/>
      <c r="AT677" s="213"/>
      <c r="AU677" s="213"/>
    </row>
    <row r="678" spans="40:47" s="121" customFormat="1" hidden="1">
      <c r="AN678" s="239"/>
      <c r="AO678" s="225"/>
      <c r="AP678" s="260"/>
      <c r="AQ678" s="258"/>
      <c r="AR678" s="258"/>
      <c r="AS678" s="202"/>
      <c r="AT678" s="213"/>
      <c r="AU678" s="213"/>
    </row>
    <row r="679" spans="40:47" s="121" customFormat="1" hidden="1">
      <c r="AN679" s="239"/>
      <c r="AO679" s="225"/>
      <c r="AP679" s="260"/>
      <c r="AQ679" s="258"/>
      <c r="AR679" s="258"/>
      <c r="AS679" s="202"/>
      <c r="AT679" s="213"/>
      <c r="AU679" s="213"/>
    </row>
    <row r="680" spans="40:47" s="121" customFormat="1" hidden="1">
      <c r="AN680" s="239"/>
      <c r="AO680" s="225"/>
      <c r="AP680" s="260"/>
      <c r="AQ680" s="258"/>
      <c r="AR680" s="258"/>
      <c r="AS680" s="202"/>
      <c r="AT680" s="213"/>
      <c r="AU680" s="213"/>
    </row>
    <row r="681" spans="40:47" s="121" customFormat="1" hidden="1">
      <c r="AN681" s="239"/>
      <c r="AO681" s="225"/>
      <c r="AP681" s="260"/>
      <c r="AQ681" s="258"/>
      <c r="AR681" s="258"/>
      <c r="AS681" s="202"/>
      <c r="AT681" s="213"/>
      <c r="AU681" s="213"/>
    </row>
    <row r="682" spans="40:47" s="121" customFormat="1" hidden="1">
      <c r="AN682" s="239"/>
      <c r="AO682" s="225"/>
      <c r="AP682" s="260"/>
      <c r="AQ682" s="258"/>
      <c r="AR682" s="258"/>
      <c r="AS682" s="202"/>
      <c r="AT682" s="213"/>
      <c r="AU682" s="213"/>
    </row>
    <row r="683" spans="40:47" s="121" customFormat="1" hidden="1">
      <c r="AN683" s="239"/>
      <c r="AO683" s="225"/>
      <c r="AP683" s="260"/>
      <c r="AQ683" s="258"/>
      <c r="AR683" s="258"/>
      <c r="AS683" s="202"/>
      <c r="AT683" s="213"/>
      <c r="AU683" s="213"/>
    </row>
    <row r="684" spans="40:47" s="121" customFormat="1" hidden="1">
      <c r="AN684" s="239"/>
      <c r="AO684" s="225"/>
      <c r="AP684" s="260"/>
      <c r="AQ684" s="258"/>
      <c r="AR684" s="258"/>
      <c r="AS684" s="202"/>
      <c r="AT684" s="213"/>
      <c r="AU684" s="213"/>
    </row>
    <row r="685" spans="40:47" s="121" customFormat="1" hidden="1">
      <c r="AN685" s="239"/>
      <c r="AO685" s="225"/>
      <c r="AP685" s="260"/>
      <c r="AQ685" s="258"/>
      <c r="AR685" s="258"/>
      <c r="AS685" s="202"/>
      <c r="AT685" s="213"/>
      <c r="AU685" s="213"/>
    </row>
    <row r="686" spans="40:47" s="121" customFormat="1" hidden="1">
      <c r="AN686" s="239"/>
      <c r="AO686" s="225"/>
      <c r="AP686" s="260"/>
      <c r="AQ686" s="258"/>
      <c r="AR686" s="258"/>
      <c r="AS686" s="202"/>
      <c r="AT686" s="213"/>
      <c r="AU686" s="213"/>
    </row>
    <row r="687" spans="40:47" s="121" customFormat="1" hidden="1">
      <c r="AN687" s="239"/>
      <c r="AO687" s="225"/>
      <c r="AP687" s="260"/>
      <c r="AQ687" s="258"/>
      <c r="AR687" s="258"/>
      <c r="AS687" s="202"/>
      <c r="AT687" s="213"/>
      <c r="AU687" s="213"/>
    </row>
    <row r="688" spans="40:47" s="121" customFormat="1" hidden="1">
      <c r="AN688" s="239"/>
      <c r="AO688" s="225"/>
      <c r="AP688" s="260"/>
      <c r="AQ688" s="258"/>
      <c r="AR688" s="258"/>
      <c r="AS688" s="202"/>
      <c r="AT688" s="213"/>
      <c r="AU688" s="213"/>
    </row>
    <row r="689" spans="40:47" s="121" customFormat="1" hidden="1">
      <c r="AN689" s="239"/>
      <c r="AO689" s="225"/>
      <c r="AP689" s="260"/>
      <c r="AQ689" s="258"/>
      <c r="AR689" s="258"/>
      <c r="AS689" s="202"/>
      <c r="AT689" s="213"/>
      <c r="AU689" s="213"/>
    </row>
    <row r="690" spans="40:47" s="121" customFormat="1" hidden="1">
      <c r="AN690" s="239"/>
      <c r="AO690" s="225"/>
      <c r="AP690" s="260"/>
      <c r="AQ690" s="258"/>
      <c r="AR690" s="258"/>
      <c r="AS690" s="202"/>
      <c r="AT690" s="213"/>
      <c r="AU690" s="213"/>
    </row>
    <row r="691" spans="40:47" s="121" customFormat="1" hidden="1">
      <c r="AN691" s="239"/>
      <c r="AO691" s="225"/>
      <c r="AP691" s="260"/>
      <c r="AQ691" s="258"/>
      <c r="AR691" s="258"/>
      <c r="AS691" s="202"/>
      <c r="AT691" s="213"/>
      <c r="AU691" s="213"/>
    </row>
    <row r="692" spans="40:47" s="121" customFormat="1" hidden="1">
      <c r="AN692" s="239"/>
      <c r="AO692" s="225"/>
      <c r="AP692" s="260"/>
      <c r="AQ692" s="258"/>
      <c r="AR692" s="258"/>
      <c r="AS692" s="202"/>
      <c r="AT692" s="213"/>
      <c r="AU692" s="213"/>
    </row>
    <row r="693" spans="40:47" s="121" customFormat="1" hidden="1">
      <c r="AN693" s="239"/>
      <c r="AO693" s="225"/>
      <c r="AP693" s="260"/>
      <c r="AQ693" s="258"/>
      <c r="AR693" s="258"/>
      <c r="AS693" s="202"/>
      <c r="AT693" s="213"/>
      <c r="AU693" s="213"/>
    </row>
    <row r="694" spans="40:47" s="121" customFormat="1" hidden="1">
      <c r="AN694" s="239"/>
      <c r="AO694" s="225"/>
      <c r="AP694" s="260"/>
      <c r="AQ694" s="258"/>
      <c r="AR694" s="258"/>
      <c r="AS694" s="202"/>
      <c r="AT694" s="213"/>
      <c r="AU694" s="213"/>
    </row>
    <row r="695" spans="40:47" s="121" customFormat="1" hidden="1">
      <c r="AN695" s="239"/>
      <c r="AO695" s="225"/>
      <c r="AP695" s="260"/>
      <c r="AQ695" s="258"/>
      <c r="AR695" s="258"/>
      <c r="AS695" s="202"/>
      <c r="AT695" s="213"/>
      <c r="AU695" s="213"/>
    </row>
    <row r="696" spans="40:47" s="121" customFormat="1" hidden="1">
      <c r="AN696" s="239"/>
      <c r="AO696" s="225"/>
      <c r="AP696" s="260"/>
      <c r="AQ696" s="258"/>
      <c r="AR696" s="258"/>
      <c r="AS696" s="202"/>
      <c r="AT696" s="213"/>
      <c r="AU696" s="213"/>
    </row>
    <row r="697" spans="40:47" s="121" customFormat="1" hidden="1">
      <c r="AN697" s="239"/>
      <c r="AO697" s="225"/>
      <c r="AP697" s="260"/>
      <c r="AQ697" s="258"/>
      <c r="AR697" s="258"/>
      <c r="AS697" s="202"/>
      <c r="AT697" s="213"/>
      <c r="AU697" s="213"/>
    </row>
    <row r="698" spans="40:47" s="121" customFormat="1" hidden="1">
      <c r="AN698" s="239"/>
      <c r="AO698" s="225"/>
      <c r="AP698" s="260"/>
      <c r="AQ698" s="258"/>
      <c r="AR698" s="258"/>
      <c r="AS698" s="202"/>
      <c r="AT698" s="213"/>
      <c r="AU698" s="213"/>
    </row>
    <row r="699" spans="40:47" s="121" customFormat="1" hidden="1">
      <c r="AN699" s="239"/>
      <c r="AO699" s="225"/>
      <c r="AP699" s="260"/>
      <c r="AQ699" s="258"/>
      <c r="AR699" s="258"/>
      <c r="AS699" s="202"/>
      <c r="AT699" s="213"/>
      <c r="AU699" s="213"/>
    </row>
    <row r="700" spans="40:47" s="121" customFormat="1">
      <c r="AN700" s="236" t="s">
        <v>2985</v>
      </c>
      <c r="AO700" s="225" t="s">
        <v>2986</v>
      </c>
      <c r="AP700" s="257">
        <f>SUM(AQ700:AR700)</f>
        <v>0</v>
      </c>
      <c r="AQ700" s="258"/>
      <c r="AR700" s="258"/>
      <c r="AS700" s="202"/>
      <c r="AT700" s="213"/>
      <c r="AU700" s="213"/>
    </row>
    <row r="701" spans="40:47" s="121" customFormat="1">
      <c r="AN701" s="236" t="s">
        <v>2987</v>
      </c>
      <c r="AO701" s="225" t="s">
        <v>2988</v>
      </c>
      <c r="AP701" s="257">
        <f>SUM(AQ701:AR701)</f>
        <v>0</v>
      </c>
      <c r="AQ701" s="258"/>
      <c r="AR701" s="258"/>
      <c r="AS701" s="202"/>
      <c r="AT701" s="213"/>
      <c r="AU701" s="213"/>
    </row>
    <row r="702" spans="40:47" s="121" customFormat="1" hidden="1" collapsed="1">
      <c r="AN702" s="239"/>
      <c r="AO702" s="226"/>
      <c r="AP702" s="260"/>
      <c r="AQ702" s="258"/>
      <c r="AR702" s="258"/>
      <c r="AS702" s="202"/>
      <c r="AT702" s="213"/>
      <c r="AU702" s="213"/>
    </row>
    <row r="703" spans="40:47" s="121" customFormat="1" hidden="1">
      <c r="AN703" s="239"/>
      <c r="AO703" s="227"/>
      <c r="AP703" s="260"/>
      <c r="AQ703" s="258"/>
      <c r="AR703" s="258"/>
      <c r="AS703" s="202"/>
      <c r="AT703" s="213"/>
      <c r="AU703" s="213"/>
    </row>
    <row r="704" spans="40:47" s="121" customFormat="1" hidden="1">
      <c r="AN704" s="239"/>
      <c r="AO704" s="227"/>
      <c r="AP704" s="260"/>
      <c r="AQ704" s="258"/>
      <c r="AR704" s="258"/>
      <c r="AS704" s="202"/>
      <c r="AT704" s="213"/>
      <c r="AU704" s="213"/>
    </row>
    <row r="705" spans="40:47" s="121" customFormat="1" hidden="1">
      <c r="AN705" s="239"/>
      <c r="AO705" s="226"/>
      <c r="AP705" s="260"/>
      <c r="AQ705" s="258"/>
      <c r="AR705" s="258"/>
      <c r="AS705" s="202"/>
      <c r="AT705" s="213"/>
      <c r="AU705" s="213"/>
    </row>
    <row r="706" spans="40:47" s="121" customFormat="1" hidden="1" collapsed="1">
      <c r="AN706" s="239"/>
      <c r="AO706" s="227"/>
      <c r="AP706" s="260"/>
      <c r="AQ706" s="258"/>
      <c r="AR706" s="258"/>
      <c r="AS706" s="202"/>
      <c r="AT706" s="213"/>
      <c r="AU706" s="213"/>
    </row>
    <row r="707" spans="40:47" s="121" customFormat="1" hidden="1">
      <c r="AN707" s="239"/>
      <c r="AO707" s="227"/>
      <c r="AP707" s="260"/>
      <c r="AQ707" s="258"/>
      <c r="AR707" s="258"/>
      <c r="AS707" s="202"/>
      <c r="AT707" s="213"/>
      <c r="AU707" s="213"/>
    </row>
    <row r="708" spans="40:47" s="121" customFormat="1" hidden="1">
      <c r="AN708" s="239"/>
      <c r="AO708" s="226"/>
      <c r="AP708" s="260"/>
      <c r="AQ708" s="258"/>
      <c r="AR708" s="258"/>
      <c r="AS708" s="202"/>
      <c r="AT708" s="213"/>
      <c r="AU708" s="213"/>
    </row>
    <row r="709" spans="40:47" s="121" customFormat="1" hidden="1">
      <c r="AN709" s="239"/>
      <c r="AO709" s="225"/>
      <c r="AP709" s="260"/>
      <c r="AQ709" s="258"/>
      <c r="AR709" s="258"/>
      <c r="AS709" s="202"/>
      <c r="AT709" s="213"/>
      <c r="AU709" s="213"/>
    </row>
    <row r="710" spans="40:47" s="121" customFormat="1" hidden="1" collapsed="1">
      <c r="AN710" s="239"/>
      <c r="AO710" s="225"/>
      <c r="AP710" s="260"/>
      <c r="AQ710" s="258"/>
      <c r="AR710" s="258"/>
      <c r="AS710" s="202"/>
      <c r="AT710" s="213"/>
      <c r="AU710" s="213"/>
    </row>
    <row r="711" spans="40:47" s="121" customFormat="1" hidden="1">
      <c r="AN711" s="239"/>
      <c r="AO711" s="225"/>
      <c r="AP711" s="260"/>
      <c r="AQ711" s="258"/>
      <c r="AR711" s="258"/>
      <c r="AS711" s="202"/>
      <c r="AT711" s="213"/>
      <c r="AU711" s="213"/>
    </row>
    <row r="712" spans="40:47" s="121" customFormat="1" hidden="1">
      <c r="AN712" s="239"/>
      <c r="AO712" s="225"/>
      <c r="AP712" s="260"/>
      <c r="AQ712" s="258"/>
      <c r="AR712" s="258"/>
      <c r="AS712" s="202"/>
      <c r="AT712" s="213"/>
      <c r="AU712" s="213"/>
    </row>
    <row r="713" spans="40:47" s="121" customFormat="1" hidden="1">
      <c r="AN713" s="239"/>
      <c r="AO713" s="225"/>
      <c r="AP713" s="260"/>
      <c r="AQ713" s="258"/>
      <c r="AR713" s="258"/>
      <c r="AS713" s="202"/>
      <c r="AT713" s="213"/>
      <c r="AU713" s="213"/>
    </row>
    <row r="714" spans="40:47" s="121" customFormat="1" hidden="1">
      <c r="AN714" s="239"/>
      <c r="AO714" s="225"/>
      <c r="AP714" s="260"/>
      <c r="AQ714" s="258"/>
      <c r="AR714" s="258"/>
      <c r="AS714" s="202"/>
      <c r="AT714" s="213"/>
      <c r="AU714" s="213"/>
    </row>
    <row r="715" spans="40:47" s="121" customFormat="1" hidden="1">
      <c r="AN715" s="239"/>
      <c r="AO715" s="225"/>
      <c r="AP715" s="260"/>
      <c r="AQ715" s="258"/>
      <c r="AR715" s="258"/>
      <c r="AS715" s="202"/>
      <c r="AT715" s="213"/>
      <c r="AU715" s="213"/>
    </row>
    <row r="716" spans="40:47" s="121" customFormat="1" hidden="1">
      <c r="AN716" s="239"/>
      <c r="AO716" s="225"/>
      <c r="AP716" s="260"/>
      <c r="AQ716" s="258"/>
      <c r="AR716" s="258"/>
      <c r="AS716" s="202"/>
      <c r="AT716" s="213"/>
      <c r="AU716" s="213"/>
    </row>
    <row r="717" spans="40:47" s="121" customFormat="1" hidden="1">
      <c r="AN717" s="239"/>
      <c r="AO717" s="225"/>
      <c r="AP717" s="260"/>
      <c r="AQ717" s="258"/>
      <c r="AR717" s="258"/>
      <c r="AS717" s="202"/>
      <c r="AT717" s="213"/>
      <c r="AU717" s="213"/>
    </row>
    <row r="718" spans="40:47" s="121" customFormat="1" hidden="1">
      <c r="AN718" s="239"/>
      <c r="AO718" s="225"/>
      <c r="AP718" s="260"/>
      <c r="AQ718" s="258"/>
      <c r="AR718" s="258"/>
      <c r="AS718" s="202"/>
      <c r="AT718" s="213"/>
      <c r="AU718" s="213"/>
    </row>
    <row r="719" spans="40:47" s="121" customFormat="1" hidden="1">
      <c r="AN719" s="239"/>
      <c r="AO719" s="225"/>
      <c r="AP719" s="260"/>
      <c r="AQ719" s="258"/>
      <c r="AR719" s="258"/>
      <c r="AS719" s="202"/>
      <c r="AT719" s="213"/>
      <c r="AU719" s="213"/>
    </row>
    <row r="720" spans="40:47" s="121" customFormat="1" hidden="1">
      <c r="AN720" s="239"/>
      <c r="AO720" s="225"/>
      <c r="AP720" s="260"/>
      <c r="AQ720" s="258"/>
      <c r="AR720" s="258"/>
      <c r="AS720" s="202"/>
      <c r="AT720" s="213"/>
      <c r="AU720" s="213"/>
    </row>
    <row r="721" spans="1:47" s="121" customFormat="1" hidden="1">
      <c r="AN721" s="239"/>
      <c r="AO721" s="225"/>
      <c r="AP721" s="260"/>
      <c r="AQ721" s="258"/>
      <c r="AR721" s="258"/>
      <c r="AS721" s="202"/>
      <c r="AT721" s="213"/>
      <c r="AU721" s="213"/>
    </row>
    <row r="722" spans="1:47" s="121" customFormat="1" hidden="1">
      <c r="AN722" s="239"/>
      <c r="AO722" s="225"/>
      <c r="AP722" s="260"/>
      <c r="AQ722" s="258"/>
      <c r="AR722" s="258"/>
      <c r="AS722" s="202"/>
      <c r="AT722" s="213"/>
      <c r="AU722" s="213"/>
    </row>
    <row r="723" spans="1:47" s="121" customFormat="1" hidden="1">
      <c r="AN723" s="239"/>
      <c r="AO723" s="225"/>
      <c r="AP723" s="260"/>
      <c r="AQ723" s="258"/>
      <c r="AR723" s="258"/>
      <c r="AS723" s="202"/>
      <c r="AT723" s="213"/>
      <c r="AU723" s="213"/>
    </row>
    <row r="724" spans="1:47" s="121" customFormat="1" hidden="1">
      <c r="AN724" s="239"/>
      <c r="AO724" s="225"/>
      <c r="AP724" s="260"/>
      <c r="AQ724" s="258"/>
      <c r="AR724" s="258"/>
      <c r="AS724" s="202"/>
      <c r="AT724" s="213"/>
      <c r="AU724" s="213"/>
    </row>
    <row r="725" spans="1:47" s="121" customFormat="1" hidden="1">
      <c r="AN725" s="239"/>
      <c r="AO725" s="225"/>
      <c r="AP725" s="260"/>
      <c r="AQ725" s="258"/>
      <c r="AR725" s="258"/>
      <c r="AS725" s="202"/>
      <c r="AT725" s="213"/>
      <c r="AU725" s="213"/>
    </row>
    <row r="726" spans="1:47" s="121" customFormat="1" hidden="1">
      <c r="AN726" s="239"/>
      <c r="AO726" s="225"/>
      <c r="AP726" s="260"/>
      <c r="AQ726" s="258"/>
      <c r="AR726" s="258"/>
      <c r="AS726" s="202"/>
      <c r="AT726" s="213"/>
      <c r="AU726" s="213"/>
    </row>
    <row r="727" spans="1:47">
      <c r="A727" s="51"/>
      <c r="B727" s="51"/>
      <c r="C727" s="51"/>
      <c r="D727" s="51"/>
      <c r="E727" s="51"/>
      <c r="F727" s="51"/>
      <c r="G727" s="51"/>
      <c r="H727" s="51"/>
      <c r="I727" s="51"/>
      <c r="J727" s="121"/>
      <c r="K727" s="121"/>
      <c r="L727" s="121"/>
      <c r="M727" s="121"/>
      <c r="N727" s="121"/>
      <c r="O727" s="121"/>
      <c r="P727" s="121"/>
      <c r="Q727" s="121"/>
      <c r="R727" s="121"/>
      <c r="S727" s="121"/>
      <c r="T727" s="121"/>
      <c r="U727" s="121"/>
      <c r="V727" s="121"/>
      <c r="W727" s="121"/>
      <c r="X727" s="121"/>
      <c r="Y727" s="121"/>
      <c r="Z727" s="121"/>
      <c r="AA727" s="121"/>
      <c r="AB727" s="121"/>
      <c r="AC727" s="121"/>
      <c r="AD727" s="121"/>
      <c r="AE727" s="121"/>
      <c r="AF727" s="121"/>
      <c r="AG727" s="121"/>
      <c r="AH727" s="121"/>
      <c r="AI727" s="121"/>
      <c r="AJ727" s="121"/>
      <c r="AK727" s="121"/>
      <c r="AL727" s="121"/>
      <c r="AM727" s="121"/>
      <c r="AN727" s="234" t="s">
        <v>769</v>
      </c>
      <c r="AO727" s="235" t="s">
        <v>2991</v>
      </c>
      <c r="AP727" s="257">
        <f>SUM(AQ727:AR727)</f>
        <v>0</v>
      </c>
      <c r="AQ727" s="258"/>
      <c r="AR727" s="258"/>
      <c r="AS727" s="202"/>
      <c r="AT727" s="48"/>
      <c r="AU727" s="48"/>
    </row>
    <row r="728" spans="1:47">
      <c r="A728" s="51"/>
      <c r="B728" s="51"/>
      <c r="C728" s="51"/>
      <c r="D728" s="51"/>
      <c r="E728" s="51"/>
      <c r="F728" s="51"/>
      <c r="G728" s="51"/>
      <c r="H728" s="51"/>
      <c r="I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3"/>
      <c r="AM728" s="124"/>
      <c r="AN728" s="234" t="s">
        <v>770</v>
      </c>
      <c r="AO728" s="442" t="s">
        <v>2992</v>
      </c>
      <c r="AP728" s="257">
        <f t="shared" ref="AP728:AP745" si="2">SUM(AQ728:AR728)</f>
        <v>0</v>
      </c>
      <c r="AQ728" s="258"/>
      <c r="AR728" s="258"/>
      <c r="AS728" s="127"/>
    </row>
    <row r="729" spans="1:47">
      <c r="A729" s="51"/>
      <c r="B729" s="51"/>
      <c r="C729" s="51"/>
      <c r="D729" s="51"/>
      <c r="E729" s="51"/>
      <c r="F729" s="51"/>
      <c r="G729" s="51"/>
      <c r="H729" s="51"/>
      <c r="I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3"/>
      <c r="AM729" s="124"/>
      <c r="AN729" s="236" t="s">
        <v>2993</v>
      </c>
      <c r="AO729" s="225" t="s">
        <v>2994</v>
      </c>
      <c r="AP729" s="257">
        <f t="shared" si="2"/>
        <v>0</v>
      </c>
      <c r="AQ729" s="258"/>
      <c r="AR729" s="258"/>
      <c r="AS729" s="127"/>
    </row>
    <row r="730" spans="1:47">
      <c r="A730" s="51"/>
      <c r="B730" s="51"/>
      <c r="C730" s="51"/>
      <c r="D730" s="51"/>
      <c r="E730" s="51"/>
      <c r="F730" s="51"/>
      <c r="G730" s="51"/>
      <c r="H730" s="51"/>
      <c r="I730" s="51"/>
      <c r="J730" s="121"/>
      <c r="K730" s="121"/>
      <c r="L730" s="121"/>
      <c r="M730" s="121"/>
      <c r="N730" s="121"/>
      <c r="O730" s="121"/>
      <c r="P730" s="121"/>
      <c r="Q730" s="121"/>
      <c r="R730" s="121"/>
      <c r="S730" s="121"/>
      <c r="T730" s="121"/>
      <c r="U730" s="121"/>
      <c r="V730" s="121"/>
      <c r="W730" s="121"/>
      <c r="X730" s="121"/>
      <c r="Y730" s="121"/>
      <c r="Z730" s="121"/>
      <c r="AA730" s="121"/>
      <c r="AB730" s="121"/>
      <c r="AC730" s="121"/>
      <c r="AD730" s="121"/>
      <c r="AE730" s="121"/>
      <c r="AF730" s="121"/>
      <c r="AG730" s="121"/>
      <c r="AH730" s="121"/>
      <c r="AI730" s="121"/>
      <c r="AJ730" s="121"/>
      <c r="AK730" s="121"/>
      <c r="AL730" s="121"/>
      <c r="AM730" s="121"/>
      <c r="AN730" s="236" t="s">
        <v>2995</v>
      </c>
      <c r="AO730" s="482" t="s">
        <v>2791</v>
      </c>
      <c r="AP730" s="257">
        <f t="shared" si="2"/>
        <v>0</v>
      </c>
      <c r="AQ730" s="258"/>
      <c r="AR730" s="258"/>
      <c r="AS730" s="202"/>
      <c r="AT730" s="48"/>
      <c r="AU730" s="48"/>
    </row>
    <row r="731" spans="1:47" hidden="1">
      <c r="A731" s="51"/>
      <c r="B731" s="51"/>
      <c r="C731" s="51"/>
      <c r="D731" s="51"/>
      <c r="E731" s="51"/>
      <c r="F731" s="51"/>
      <c r="G731" s="51"/>
      <c r="H731" s="51"/>
      <c r="I731" s="51"/>
      <c r="J731" s="121"/>
      <c r="K731" s="121"/>
      <c r="L731" s="121"/>
      <c r="M731" s="121"/>
      <c r="N731" s="121"/>
      <c r="O731" s="121"/>
      <c r="P731" s="121"/>
      <c r="Q731" s="121"/>
      <c r="R731" s="121"/>
      <c r="S731" s="121"/>
      <c r="T731" s="121"/>
      <c r="U731" s="121"/>
      <c r="V731" s="121"/>
      <c r="W731" s="121"/>
      <c r="X731" s="121"/>
      <c r="Y731" s="121"/>
      <c r="Z731" s="121"/>
      <c r="AA731" s="121"/>
      <c r="AB731" s="121"/>
      <c r="AC731" s="121"/>
      <c r="AD731" s="121"/>
      <c r="AE731" s="121"/>
      <c r="AF731" s="121"/>
      <c r="AG731" s="121"/>
      <c r="AH731" s="121"/>
      <c r="AI731" s="121"/>
      <c r="AJ731" s="121"/>
      <c r="AK731" s="121"/>
      <c r="AL731" s="121"/>
      <c r="AM731" s="121"/>
      <c r="AN731" s="594" t="str">
        <f>IF(TEMPLATE_CLAIM="P","5.1.1.1.1","")</f>
        <v/>
      </c>
      <c r="AO731" s="593" t="str">
        <f>IF(TEMPLATE_CLAIM="P","от станций с мощностью производства &gt;= 25 МВт","")</f>
        <v/>
      </c>
      <c r="AP731" s="257">
        <f t="shared" si="2"/>
        <v>0</v>
      </c>
      <c r="AQ731" s="258"/>
      <c r="AR731" s="258"/>
      <c r="AS731" s="202"/>
      <c r="AT731" s="48"/>
      <c r="AU731" s="48"/>
    </row>
    <row r="732" spans="1:47" hidden="1">
      <c r="A732" s="51"/>
      <c r="B732" s="51"/>
      <c r="C732" s="51"/>
      <c r="D732" s="51"/>
      <c r="E732" s="51"/>
      <c r="F732" s="51"/>
      <c r="G732" s="51"/>
      <c r="H732" s="51"/>
      <c r="I732" s="51"/>
      <c r="J732" s="121"/>
      <c r="K732" s="121"/>
      <c r="L732" s="121"/>
      <c r="M732" s="121"/>
      <c r="N732" s="121"/>
      <c r="O732" s="121"/>
      <c r="P732" s="121"/>
      <c r="Q732" s="121"/>
      <c r="R732" s="121"/>
      <c r="S732" s="121"/>
      <c r="T732" s="121"/>
      <c r="U732" s="121"/>
      <c r="V732" s="121"/>
      <c r="W732" s="121"/>
      <c r="X732" s="121"/>
      <c r="Y732" s="121"/>
      <c r="Z732" s="121"/>
      <c r="AA732" s="121"/>
      <c r="AB732" s="121"/>
      <c r="AC732" s="121"/>
      <c r="AD732" s="121"/>
      <c r="AE732" s="121"/>
      <c r="AF732" s="121"/>
      <c r="AG732" s="121"/>
      <c r="AH732" s="121"/>
      <c r="AI732" s="121"/>
      <c r="AJ732" s="121"/>
      <c r="AK732" s="121"/>
      <c r="AL732" s="121"/>
      <c r="AM732" s="121"/>
      <c r="AN732" s="594" t="str">
        <f>IF(TEMPLATE_CLAIM="P","5.1.1.1.2","")</f>
        <v/>
      </c>
      <c r="AO732" s="593" t="str">
        <f>IF(TEMPLATE_CLAIM="P","от станций с мощностью производства &lt; 25 МВт","")</f>
        <v/>
      </c>
      <c r="AP732" s="257">
        <f t="shared" si="2"/>
        <v>0</v>
      </c>
      <c r="AQ732" s="258"/>
      <c r="AR732" s="258"/>
      <c r="AS732" s="202"/>
      <c r="AT732" s="48"/>
      <c r="AU732" s="48"/>
    </row>
    <row r="733" spans="1:47" ht="0.75" hidden="1" customHeight="1">
      <c r="A733" s="51"/>
      <c r="B733" s="51"/>
      <c r="C733" s="51"/>
      <c r="D733" s="51"/>
      <c r="E733" s="51"/>
      <c r="F733" s="51"/>
      <c r="G733" s="51"/>
      <c r="H733" s="51"/>
      <c r="I733" s="51"/>
      <c r="J733" s="121"/>
      <c r="K733" s="121"/>
      <c r="L733" s="121"/>
      <c r="M733" s="121"/>
      <c r="N733" s="121"/>
      <c r="O733" s="121"/>
      <c r="P733" s="121"/>
      <c r="Q733" s="121"/>
      <c r="R733" s="121"/>
      <c r="S733" s="121"/>
      <c r="T733" s="121"/>
      <c r="U733" s="121"/>
      <c r="V733" s="121"/>
      <c r="W733" s="121"/>
      <c r="X733" s="121"/>
      <c r="Y733" s="121"/>
      <c r="Z733" s="121"/>
      <c r="AA733" s="121"/>
      <c r="AB733" s="121"/>
      <c r="AC733" s="121"/>
      <c r="AD733" s="121"/>
      <c r="AE733" s="121"/>
      <c r="AF733" s="121"/>
      <c r="AG733" s="121"/>
      <c r="AH733" s="121"/>
      <c r="AI733" s="121"/>
      <c r="AJ733" s="121"/>
      <c r="AK733" s="121"/>
      <c r="AL733" s="121"/>
      <c r="AM733" s="121"/>
      <c r="AN733" s="236"/>
      <c r="AO733" s="243"/>
      <c r="AP733" s="260"/>
      <c r="AQ733" s="258"/>
      <c r="AR733" s="258"/>
      <c r="AS733" s="202"/>
      <c r="AT733" s="48"/>
      <c r="AU733" s="48"/>
    </row>
    <row r="734" spans="1:47">
      <c r="A734" s="51"/>
      <c r="B734" s="51"/>
      <c r="C734" s="51"/>
      <c r="D734" s="51"/>
      <c r="E734" s="51"/>
      <c r="F734" s="51"/>
      <c r="G734" s="51"/>
      <c r="H734" s="51"/>
      <c r="I734" s="51"/>
      <c r="J734" s="121"/>
      <c r="K734" s="121"/>
      <c r="L734" s="121"/>
      <c r="M734" s="121"/>
      <c r="N734" s="121"/>
      <c r="O734" s="121"/>
      <c r="P734" s="121"/>
      <c r="Q734" s="121"/>
      <c r="R734" s="121"/>
      <c r="S734" s="121"/>
      <c r="T734" s="121"/>
      <c r="U734" s="121"/>
      <c r="V734" s="121"/>
      <c r="W734" s="121"/>
      <c r="X734" s="121"/>
      <c r="Y734" s="121"/>
      <c r="Z734" s="121"/>
      <c r="AA734" s="121"/>
      <c r="AB734" s="121"/>
      <c r="AC734" s="121"/>
      <c r="AD734" s="121"/>
      <c r="AE734" s="121"/>
      <c r="AF734" s="121"/>
      <c r="AG734" s="121"/>
      <c r="AH734" s="121"/>
      <c r="AI734" s="121"/>
      <c r="AJ734" s="121"/>
      <c r="AK734" s="121"/>
      <c r="AL734" s="121"/>
      <c r="AM734" s="121"/>
      <c r="AN734" s="236" t="s">
        <v>2998</v>
      </c>
      <c r="AO734" s="482" t="s">
        <v>755</v>
      </c>
      <c r="AP734" s="257">
        <f t="shared" si="2"/>
        <v>0</v>
      </c>
      <c r="AQ734" s="258"/>
      <c r="AR734" s="258"/>
      <c r="AS734" s="202"/>
      <c r="AT734" s="48"/>
      <c r="AU734" s="48"/>
    </row>
    <row r="735" spans="1:47" hidden="1">
      <c r="A735" s="51"/>
      <c r="B735" s="51"/>
      <c r="C735" s="51"/>
      <c r="D735" s="51"/>
      <c r="E735" s="51"/>
      <c r="F735" s="51"/>
      <c r="G735" s="51"/>
      <c r="H735" s="51"/>
      <c r="I735" s="51"/>
      <c r="J735" s="121"/>
      <c r="K735" s="121"/>
      <c r="L735" s="121"/>
      <c r="M735" s="121"/>
      <c r="N735" s="121"/>
      <c r="O735" s="121"/>
      <c r="P735" s="121"/>
      <c r="Q735" s="121"/>
      <c r="R735" s="121"/>
      <c r="S735" s="121"/>
      <c r="T735" s="121"/>
      <c r="U735" s="121"/>
      <c r="V735" s="121"/>
      <c r="W735" s="121"/>
      <c r="X735" s="121"/>
      <c r="Y735" s="121"/>
      <c r="Z735" s="121"/>
      <c r="AA735" s="121"/>
      <c r="AB735" s="121"/>
      <c r="AC735" s="121"/>
      <c r="AD735" s="121"/>
      <c r="AE735" s="121"/>
      <c r="AF735" s="121"/>
      <c r="AG735" s="121"/>
      <c r="AH735" s="121"/>
      <c r="AI735" s="121"/>
      <c r="AJ735" s="121"/>
      <c r="AK735" s="121"/>
      <c r="AL735" s="121"/>
      <c r="AM735" s="121"/>
      <c r="AN735" s="594" t="str">
        <f>IF(TEMPLATE_CLAIM="P","5.1.1.2.1","")</f>
        <v/>
      </c>
      <c r="AO735" s="593" t="str">
        <f>IF(TEMPLATE_CLAIM="P","от станций с мощностью производства &gt;= 25 МВт","")</f>
        <v/>
      </c>
      <c r="AP735" s="257">
        <f t="shared" si="2"/>
        <v>0</v>
      </c>
      <c r="AQ735" s="258"/>
      <c r="AR735" s="258"/>
      <c r="AS735" s="202"/>
      <c r="AT735" s="48"/>
      <c r="AU735" s="48"/>
    </row>
    <row r="736" spans="1:47" hidden="1">
      <c r="A736" s="51"/>
      <c r="B736" s="51"/>
      <c r="C736" s="51"/>
      <c r="D736" s="51"/>
      <c r="E736" s="51"/>
      <c r="F736" s="51"/>
      <c r="G736" s="51"/>
      <c r="H736" s="51"/>
      <c r="I736" s="51"/>
      <c r="J736" s="121"/>
      <c r="K736" s="121"/>
      <c r="L736" s="121"/>
      <c r="M736" s="121"/>
      <c r="N736" s="121"/>
      <c r="O736" s="121"/>
      <c r="P736" s="121"/>
      <c r="Q736" s="121"/>
      <c r="R736" s="121"/>
      <c r="S736" s="121"/>
      <c r="T736" s="121"/>
      <c r="U736" s="121"/>
      <c r="V736" s="121"/>
      <c r="W736" s="121"/>
      <c r="X736" s="121"/>
      <c r="Y736" s="121"/>
      <c r="Z736" s="121"/>
      <c r="AA736" s="121"/>
      <c r="AB736" s="121"/>
      <c r="AC736" s="121"/>
      <c r="AD736" s="121"/>
      <c r="AE736" s="121"/>
      <c r="AF736" s="121"/>
      <c r="AG736" s="121"/>
      <c r="AH736" s="121"/>
      <c r="AI736" s="121"/>
      <c r="AJ736" s="121"/>
      <c r="AK736" s="121"/>
      <c r="AL736" s="121"/>
      <c r="AM736" s="121"/>
      <c r="AN736" s="594" t="str">
        <f>IF(TEMPLATE_CLAIM="P","5.1.1.2.2","")</f>
        <v/>
      </c>
      <c r="AO736" s="593" t="str">
        <f>IF(TEMPLATE_CLAIM="P","от станций с мощностью производства &lt; 25 МВт","")</f>
        <v/>
      </c>
      <c r="AP736" s="257">
        <f t="shared" si="2"/>
        <v>0</v>
      </c>
      <c r="AQ736" s="258"/>
      <c r="AR736" s="258"/>
      <c r="AS736" s="202"/>
      <c r="AT736" s="48"/>
      <c r="AU736" s="48"/>
    </row>
    <row r="737" spans="1:47" ht="0.75" hidden="1" customHeight="1">
      <c r="A737" s="51"/>
      <c r="B737" s="51"/>
      <c r="C737" s="51"/>
      <c r="D737" s="51"/>
      <c r="E737" s="51"/>
      <c r="F737" s="51"/>
      <c r="G737" s="51"/>
      <c r="H737" s="51"/>
      <c r="I737" s="51"/>
      <c r="J737" s="121"/>
      <c r="K737" s="121"/>
      <c r="L737" s="121"/>
      <c r="M737" s="121"/>
      <c r="N737" s="121"/>
      <c r="O737" s="121"/>
      <c r="P737" s="121"/>
      <c r="Q737" s="121"/>
      <c r="R737" s="121"/>
      <c r="S737" s="121"/>
      <c r="T737" s="121"/>
      <c r="U737" s="121"/>
      <c r="V737" s="121"/>
      <c r="W737" s="121"/>
      <c r="X737" s="121"/>
      <c r="Y737" s="121"/>
      <c r="Z737" s="121"/>
      <c r="AA737" s="121"/>
      <c r="AB737" s="121"/>
      <c r="AC737" s="121"/>
      <c r="AD737" s="121"/>
      <c r="AE737" s="121"/>
      <c r="AF737" s="121"/>
      <c r="AG737" s="121"/>
      <c r="AH737" s="121"/>
      <c r="AI737" s="121"/>
      <c r="AJ737" s="121"/>
      <c r="AK737" s="121"/>
      <c r="AL737" s="121"/>
      <c r="AM737" s="121"/>
      <c r="AN737" s="436"/>
      <c r="AO737" s="243"/>
      <c r="AP737" s="260"/>
      <c r="AQ737" s="258"/>
      <c r="AR737" s="258"/>
      <c r="AS737" s="202"/>
      <c r="AT737" s="48"/>
      <c r="AU737" s="48"/>
    </row>
    <row r="738" spans="1:47">
      <c r="A738" s="51"/>
      <c r="B738" s="51"/>
      <c r="C738" s="51"/>
      <c r="D738" s="51"/>
      <c r="E738" s="51"/>
      <c r="F738" s="51"/>
      <c r="G738" s="51"/>
      <c r="H738" s="51"/>
      <c r="I738" s="51"/>
      <c r="J738" s="121"/>
      <c r="K738" s="121"/>
      <c r="L738" s="121"/>
      <c r="M738" s="121"/>
      <c r="N738" s="121"/>
      <c r="O738" s="121"/>
      <c r="P738" s="121"/>
      <c r="Q738" s="121"/>
      <c r="R738" s="121"/>
      <c r="S738" s="121"/>
      <c r="T738" s="121"/>
      <c r="U738" s="121"/>
      <c r="V738" s="121"/>
      <c r="W738" s="121"/>
      <c r="X738" s="121"/>
      <c r="Y738" s="121"/>
      <c r="Z738" s="121"/>
      <c r="AA738" s="121"/>
      <c r="AB738" s="121"/>
      <c r="AC738" s="121"/>
      <c r="AD738" s="121"/>
      <c r="AE738" s="121"/>
      <c r="AF738" s="121"/>
      <c r="AG738" s="121"/>
      <c r="AH738" s="121"/>
      <c r="AI738" s="121"/>
      <c r="AJ738" s="121"/>
      <c r="AK738" s="121"/>
      <c r="AL738" s="121"/>
      <c r="AM738" s="121"/>
      <c r="AN738" s="236" t="s">
        <v>2999</v>
      </c>
      <c r="AO738" s="482" t="s">
        <v>2792</v>
      </c>
      <c r="AP738" s="257">
        <f t="shared" si="2"/>
        <v>0</v>
      </c>
      <c r="AQ738" s="258"/>
      <c r="AR738" s="258"/>
      <c r="AS738" s="202"/>
      <c r="AT738" s="48"/>
      <c r="AU738" s="48"/>
    </row>
    <row r="739" spans="1:47" hidden="1">
      <c r="A739" s="51"/>
      <c r="B739" s="51"/>
      <c r="C739" s="51"/>
      <c r="D739" s="51"/>
      <c r="E739" s="51"/>
      <c r="F739" s="51"/>
      <c r="G739" s="51"/>
      <c r="H739" s="51"/>
      <c r="I739" s="51"/>
      <c r="J739" s="121"/>
      <c r="K739" s="121"/>
      <c r="L739" s="121"/>
      <c r="M739" s="121"/>
      <c r="N739" s="121"/>
      <c r="O739" s="121"/>
      <c r="P739" s="121"/>
      <c r="Q739" s="121"/>
      <c r="R739" s="121"/>
      <c r="S739" s="121"/>
      <c r="T739" s="121"/>
      <c r="U739" s="121"/>
      <c r="V739" s="121"/>
      <c r="W739" s="121"/>
      <c r="X739" s="121"/>
      <c r="Y739" s="121"/>
      <c r="Z739" s="121"/>
      <c r="AA739" s="121"/>
      <c r="AB739" s="121"/>
      <c r="AC739" s="121"/>
      <c r="AD739" s="121"/>
      <c r="AE739" s="121"/>
      <c r="AF739" s="121"/>
      <c r="AG739" s="121"/>
      <c r="AH739" s="121"/>
      <c r="AI739" s="121"/>
      <c r="AJ739" s="121"/>
      <c r="AK739" s="121"/>
      <c r="AL739" s="121"/>
      <c r="AM739" s="121"/>
      <c r="AN739" s="594" t="str">
        <f>IF(TEMPLATE_CLAIM="P","5.1.1.3.1","")</f>
        <v/>
      </c>
      <c r="AO739" s="593" t="str">
        <f>IF(TEMPLATE_CLAIM="P","от станций с мощностью производства &gt;= 25 МВт","")</f>
        <v/>
      </c>
      <c r="AP739" s="257">
        <f t="shared" si="2"/>
        <v>0</v>
      </c>
      <c r="AQ739" s="258"/>
      <c r="AR739" s="258"/>
      <c r="AS739" s="202"/>
      <c r="AT739" s="48"/>
      <c r="AU739" s="48"/>
    </row>
    <row r="740" spans="1:47" hidden="1">
      <c r="A740" s="51"/>
      <c r="B740" s="51"/>
      <c r="C740" s="51"/>
      <c r="D740" s="51"/>
      <c r="E740" s="51"/>
      <c r="F740" s="51"/>
      <c r="G740" s="51"/>
      <c r="H740" s="51"/>
      <c r="I740" s="51"/>
      <c r="J740" s="121"/>
      <c r="K740" s="121"/>
      <c r="L740" s="121"/>
      <c r="M740" s="121"/>
      <c r="N740" s="121"/>
      <c r="O740" s="121"/>
      <c r="P740" s="121"/>
      <c r="Q740" s="121"/>
      <c r="R740" s="121"/>
      <c r="S740" s="121"/>
      <c r="T740" s="121"/>
      <c r="U740" s="121"/>
      <c r="V740" s="121"/>
      <c r="W740" s="121"/>
      <c r="X740" s="121"/>
      <c r="Y740" s="121"/>
      <c r="Z740" s="121"/>
      <c r="AA740" s="121"/>
      <c r="AB740" s="121"/>
      <c r="AC740" s="121"/>
      <c r="AD740" s="121"/>
      <c r="AE740" s="121"/>
      <c r="AF740" s="121"/>
      <c r="AG740" s="121"/>
      <c r="AH740" s="121"/>
      <c r="AI740" s="121"/>
      <c r="AJ740" s="121"/>
      <c r="AK740" s="121"/>
      <c r="AL740" s="121"/>
      <c r="AM740" s="121"/>
      <c r="AN740" s="594" t="str">
        <f>IF(TEMPLATE_CLAIM="P","5.1.1.3.2","")</f>
        <v/>
      </c>
      <c r="AO740" s="593" t="str">
        <f>IF(TEMPLATE_CLAIM="P","от станций с мощностью производства &lt; 25 МВт","")</f>
        <v/>
      </c>
      <c r="AP740" s="257">
        <f t="shared" si="2"/>
        <v>0</v>
      </c>
      <c r="AQ740" s="258"/>
      <c r="AR740" s="258"/>
      <c r="AS740" s="202"/>
      <c r="AT740" s="48"/>
      <c r="AU740" s="48"/>
    </row>
    <row r="741" spans="1:47" hidden="1">
      <c r="A741" s="51"/>
      <c r="B741" s="51"/>
      <c r="C741" s="51"/>
      <c r="D741" s="51"/>
      <c r="E741" s="51"/>
      <c r="F741" s="51"/>
      <c r="G741" s="51"/>
      <c r="H741" s="51"/>
      <c r="I741" s="51"/>
      <c r="J741" s="121"/>
      <c r="K741" s="121"/>
      <c r="L741" s="121"/>
      <c r="M741" s="121"/>
      <c r="N741" s="121"/>
      <c r="O741" s="121"/>
      <c r="P741" s="121"/>
      <c r="Q741" s="121"/>
      <c r="R741" s="121"/>
      <c r="S741" s="121"/>
      <c r="T741" s="121"/>
      <c r="U741" s="121"/>
      <c r="V741" s="121"/>
      <c r="W741" s="121"/>
      <c r="X741" s="121"/>
      <c r="Y741" s="121"/>
      <c r="Z741" s="121"/>
      <c r="AA741" s="121"/>
      <c r="AB741" s="121"/>
      <c r="AC741" s="121"/>
      <c r="AD741" s="121"/>
      <c r="AE741" s="121"/>
      <c r="AF741" s="121"/>
      <c r="AG741" s="121"/>
      <c r="AH741" s="121"/>
      <c r="AI741" s="121"/>
      <c r="AJ741" s="121"/>
      <c r="AK741" s="121"/>
      <c r="AL741" s="121"/>
      <c r="AM741" s="121"/>
      <c r="AN741" s="594" t="str">
        <f>IF(TEMPLATE_CLAIM="P","5.1.1.3.3","")</f>
        <v/>
      </c>
      <c r="AO741" s="593" t="str">
        <f>IF(TEMPLATE_CLAIM="P","от котельных (некомбинированная выработка)","")</f>
        <v/>
      </c>
      <c r="AP741" s="257">
        <f t="shared" si="2"/>
        <v>0</v>
      </c>
      <c r="AQ741" s="258"/>
      <c r="AR741" s="258"/>
      <c r="AS741" s="202"/>
      <c r="AT741" s="48"/>
      <c r="AU741" s="48"/>
    </row>
    <row r="742" spans="1:47">
      <c r="A742" s="51"/>
      <c r="B742" s="51"/>
      <c r="C742" s="51"/>
      <c r="D742" s="51"/>
      <c r="E742" s="51"/>
      <c r="F742" s="51"/>
      <c r="G742" s="51"/>
      <c r="H742" s="51"/>
      <c r="I742" s="51"/>
      <c r="J742" s="121"/>
      <c r="K742" s="121"/>
      <c r="L742" s="121"/>
      <c r="M742" s="121"/>
      <c r="N742" s="121"/>
      <c r="O742" s="121"/>
      <c r="P742" s="121"/>
      <c r="Q742" s="121"/>
      <c r="R742" s="121"/>
      <c r="S742" s="121"/>
      <c r="T742" s="121"/>
      <c r="U742" s="121"/>
      <c r="V742" s="121"/>
      <c r="W742" s="121"/>
      <c r="X742" s="121"/>
      <c r="Y742" s="121"/>
      <c r="Z742" s="121"/>
      <c r="AA742" s="121"/>
      <c r="AB742" s="121"/>
      <c r="AC742" s="121"/>
      <c r="AD742" s="121"/>
      <c r="AE742" s="121"/>
      <c r="AF742" s="121"/>
      <c r="AG742" s="121"/>
      <c r="AH742" s="121"/>
      <c r="AI742" s="121"/>
      <c r="AJ742" s="121"/>
      <c r="AK742" s="121"/>
      <c r="AL742" s="121"/>
      <c r="AM742" s="121"/>
      <c r="AN742" s="236" t="s">
        <v>3002</v>
      </c>
      <c r="AO742" s="482" t="s">
        <v>756</v>
      </c>
      <c r="AP742" s="257">
        <f t="shared" si="2"/>
        <v>0</v>
      </c>
      <c r="AQ742" s="258"/>
      <c r="AR742" s="258"/>
      <c r="AS742" s="202"/>
      <c r="AT742" s="48"/>
      <c r="AU742" s="48"/>
    </row>
    <row r="743" spans="1:47" hidden="1">
      <c r="A743" s="51"/>
      <c r="B743" s="51"/>
      <c r="C743" s="51"/>
      <c r="D743" s="51"/>
      <c r="E743" s="51"/>
      <c r="F743" s="51"/>
      <c r="G743" s="51"/>
      <c r="H743" s="51"/>
      <c r="I743" s="51"/>
      <c r="J743" s="121"/>
      <c r="K743" s="121"/>
      <c r="L743" s="121"/>
      <c r="M743" s="121"/>
      <c r="N743" s="121"/>
      <c r="O743" s="121"/>
      <c r="P743" s="121"/>
      <c r="Q743" s="121"/>
      <c r="R743" s="121"/>
      <c r="S743" s="121"/>
      <c r="T743" s="121"/>
      <c r="U743" s="121"/>
      <c r="V743" s="121"/>
      <c r="W743" s="121"/>
      <c r="X743" s="121"/>
      <c r="Y743" s="121"/>
      <c r="Z743" s="121"/>
      <c r="AA743" s="121"/>
      <c r="AB743" s="121"/>
      <c r="AC743" s="121"/>
      <c r="AD743" s="121"/>
      <c r="AE743" s="121"/>
      <c r="AF743" s="121"/>
      <c r="AG743" s="121"/>
      <c r="AH743" s="121"/>
      <c r="AI743" s="121"/>
      <c r="AJ743" s="121"/>
      <c r="AK743" s="121"/>
      <c r="AL743" s="121"/>
      <c r="AM743" s="121"/>
      <c r="AN743" s="594" t="str">
        <f>IF(TEMPLATE_CLAIM="P","5.1.1.4.1","")</f>
        <v/>
      </c>
      <c r="AO743" s="593" t="str">
        <f>IF(TEMPLATE_CLAIM="P","от станций с мощностью производства &gt;= 25 МВт","")</f>
        <v/>
      </c>
      <c r="AP743" s="257">
        <f t="shared" si="2"/>
        <v>0</v>
      </c>
      <c r="AQ743" s="258"/>
      <c r="AR743" s="258"/>
      <c r="AS743" s="202"/>
      <c r="AT743" s="48"/>
      <c r="AU743" s="48"/>
    </row>
    <row r="744" spans="1:47" hidden="1">
      <c r="A744" s="51"/>
      <c r="B744" s="51"/>
      <c r="C744" s="51"/>
      <c r="D744" s="51"/>
      <c r="E744" s="51"/>
      <c r="F744" s="51"/>
      <c r="G744" s="51"/>
      <c r="H744" s="51"/>
      <c r="I744" s="51"/>
      <c r="J744" s="121"/>
      <c r="K744" s="121"/>
      <c r="L744" s="121"/>
      <c r="M744" s="121"/>
      <c r="N744" s="121"/>
      <c r="O744" s="121"/>
      <c r="P744" s="121"/>
      <c r="Q744" s="121"/>
      <c r="R744" s="121"/>
      <c r="S744" s="121"/>
      <c r="T744" s="121"/>
      <c r="U744" s="121"/>
      <c r="V744" s="121"/>
      <c r="W744" s="121"/>
      <c r="X744" s="121"/>
      <c r="Y744" s="121"/>
      <c r="Z744" s="121"/>
      <c r="AA744" s="121"/>
      <c r="AB744" s="121"/>
      <c r="AC744" s="121"/>
      <c r="AD744" s="121"/>
      <c r="AE744" s="121"/>
      <c r="AF744" s="121"/>
      <c r="AG744" s="121"/>
      <c r="AH744" s="121"/>
      <c r="AI744" s="121"/>
      <c r="AJ744" s="121"/>
      <c r="AK744" s="121"/>
      <c r="AL744" s="121"/>
      <c r="AM744" s="121"/>
      <c r="AN744" s="594" t="str">
        <f>IF(TEMPLATE_CLAIM="P","5.1.1.4.2","")</f>
        <v/>
      </c>
      <c r="AO744" s="593" t="str">
        <f>IF(TEMPLATE_CLAIM="P","от станций с мощностью производства &lt; 25 МВт","")</f>
        <v/>
      </c>
      <c r="AP744" s="257">
        <f t="shared" si="2"/>
        <v>0</v>
      </c>
      <c r="AQ744" s="258"/>
      <c r="AR744" s="258"/>
      <c r="AS744" s="202"/>
      <c r="AT744" s="48"/>
      <c r="AU744" s="48"/>
    </row>
    <row r="745" spans="1:47" hidden="1">
      <c r="A745" s="51"/>
      <c r="B745" s="51"/>
      <c r="C745" s="51"/>
      <c r="D745" s="51"/>
      <c r="E745" s="51"/>
      <c r="F745" s="51"/>
      <c r="G745" s="51"/>
      <c r="H745" s="51"/>
      <c r="I745" s="51"/>
      <c r="J745" s="121"/>
      <c r="K745" s="121"/>
      <c r="L745" s="121"/>
      <c r="M745" s="121"/>
      <c r="N745" s="121"/>
      <c r="O745" s="121"/>
      <c r="P745" s="121"/>
      <c r="Q745" s="121"/>
      <c r="R745" s="121"/>
      <c r="S745" s="121"/>
      <c r="T745" s="121"/>
      <c r="U745" s="121"/>
      <c r="V745" s="121"/>
      <c r="W745" s="121"/>
      <c r="X745" s="121"/>
      <c r="Y745" s="121"/>
      <c r="Z745" s="121"/>
      <c r="AA745" s="121"/>
      <c r="AB745" s="121"/>
      <c r="AC745" s="121"/>
      <c r="AD745" s="121"/>
      <c r="AE745" s="121"/>
      <c r="AF745" s="121"/>
      <c r="AG745" s="121"/>
      <c r="AH745" s="121"/>
      <c r="AI745" s="121"/>
      <c r="AJ745" s="121"/>
      <c r="AK745" s="121"/>
      <c r="AL745" s="121"/>
      <c r="AM745" s="121"/>
      <c r="AN745" s="594" t="str">
        <f>IF(TEMPLATE_CLAIM="P","5.1.1.4.3","")</f>
        <v/>
      </c>
      <c r="AO745" s="593" t="str">
        <f>IF(TEMPLATE_CLAIM="P","от котельных (некомбинированная выработка)","")</f>
        <v/>
      </c>
      <c r="AP745" s="257">
        <f t="shared" si="2"/>
        <v>0</v>
      </c>
      <c r="AQ745" s="258"/>
      <c r="AR745" s="258"/>
      <c r="AS745" s="202"/>
      <c r="AT745" s="48"/>
      <c r="AU745" s="48"/>
    </row>
    <row r="746" spans="1:47">
      <c r="A746" s="51"/>
      <c r="B746" s="51"/>
      <c r="C746" s="51"/>
      <c r="D746" s="51"/>
      <c r="E746" s="51"/>
      <c r="F746" s="51"/>
      <c r="G746" s="51"/>
      <c r="H746" s="51"/>
      <c r="I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3"/>
      <c r="AM746" s="124"/>
      <c r="AN746" s="234" t="s">
        <v>3003</v>
      </c>
      <c r="AO746" s="225" t="s">
        <v>3004</v>
      </c>
      <c r="AP746" s="257">
        <f>SUM(AQ746:AR746)</f>
        <v>0</v>
      </c>
      <c r="AQ746" s="258"/>
      <c r="AR746" s="258"/>
      <c r="AS746" s="127"/>
    </row>
    <row r="747" spans="1:47" ht="22.5">
      <c r="A747" s="51"/>
      <c r="B747" s="51"/>
      <c r="C747" s="51"/>
      <c r="D747" s="51"/>
      <c r="E747" s="51"/>
      <c r="F747" s="51"/>
      <c r="G747" s="51"/>
      <c r="H747" s="51"/>
      <c r="I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3"/>
      <c r="AM747" s="124"/>
      <c r="AN747" s="234" t="s">
        <v>3006</v>
      </c>
      <c r="AO747" s="225" t="s">
        <v>3007</v>
      </c>
      <c r="AP747" s="257">
        <f>SUM(AQ747:AR747)</f>
        <v>0</v>
      </c>
      <c r="AQ747" s="258"/>
      <c r="AR747" s="258"/>
      <c r="AS747" s="127"/>
    </row>
    <row r="748" spans="1:47">
      <c r="A748" s="51"/>
      <c r="B748" s="51"/>
      <c r="C748" s="51"/>
      <c r="D748" s="51"/>
      <c r="E748" s="51"/>
      <c r="F748" s="51"/>
      <c r="G748" s="51"/>
      <c r="H748" s="51"/>
      <c r="I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3"/>
      <c r="AM748" s="124"/>
      <c r="AN748" s="236" t="s">
        <v>3008</v>
      </c>
      <c r="AO748" s="242" t="s">
        <v>2986</v>
      </c>
      <c r="AP748" s="257">
        <f>SUM(AQ748:AR748)</f>
        <v>0</v>
      </c>
      <c r="AQ748" s="258"/>
      <c r="AR748" s="258"/>
      <c r="AS748" s="127"/>
    </row>
    <row r="749" spans="1:47">
      <c r="A749" s="51"/>
      <c r="B749" s="51"/>
      <c r="C749" s="51"/>
      <c r="D749" s="51"/>
      <c r="E749" s="51"/>
      <c r="F749" s="51"/>
      <c r="G749" s="51"/>
      <c r="H749" s="51"/>
      <c r="I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3"/>
      <c r="AM749" s="124"/>
      <c r="AN749" s="236" t="s">
        <v>3009</v>
      </c>
      <c r="AO749" s="242" t="s">
        <v>2988</v>
      </c>
      <c r="AP749" s="257">
        <f>SUM(AQ749:AR749)</f>
        <v>0</v>
      </c>
      <c r="AQ749" s="258"/>
      <c r="AR749" s="258"/>
      <c r="AS749" s="127"/>
    </row>
    <row r="750" spans="1:47" hidden="1">
      <c r="A750" s="51"/>
      <c r="B750" s="51"/>
      <c r="C750" s="51"/>
      <c r="D750" s="51"/>
      <c r="E750" s="51"/>
      <c r="F750" s="51"/>
      <c r="G750" s="51"/>
      <c r="H750" s="51"/>
      <c r="I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3"/>
      <c r="AM750" s="124"/>
      <c r="AN750" s="223"/>
      <c r="AO750" s="447"/>
      <c r="AP750" s="260"/>
      <c r="AQ750" s="258"/>
      <c r="AR750" s="258"/>
      <c r="AS750" s="127"/>
    </row>
    <row r="751" spans="1:47" hidden="1">
      <c r="A751" s="51"/>
      <c r="B751" s="51"/>
      <c r="C751" s="51"/>
      <c r="D751" s="51"/>
      <c r="E751" s="51"/>
      <c r="F751" s="51"/>
      <c r="G751" s="51"/>
      <c r="H751" s="51"/>
      <c r="I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3"/>
      <c r="AM751" s="124"/>
      <c r="AN751" s="223"/>
      <c r="AO751" s="717"/>
      <c r="AP751" s="260"/>
      <c r="AQ751" s="258"/>
      <c r="AR751" s="258"/>
      <c r="AS751" s="127"/>
    </row>
    <row r="752" spans="1:47" hidden="1">
      <c r="A752" s="51"/>
      <c r="B752" s="51"/>
      <c r="C752" s="51"/>
      <c r="D752" s="51"/>
      <c r="E752" s="51"/>
      <c r="F752" s="51"/>
      <c r="G752" s="51"/>
      <c r="H752" s="51"/>
      <c r="I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3"/>
      <c r="AM752" s="124"/>
      <c r="AN752" s="223"/>
      <c r="AO752" s="717"/>
      <c r="AP752" s="260"/>
      <c r="AQ752" s="258"/>
      <c r="AR752" s="258"/>
      <c r="AS752" s="127"/>
    </row>
    <row r="753" spans="1:45" hidden="1">
      <c r="A753" s="51"/>
      <c r="B753" s="51"/>
      <c r="C753" s="51"/>
      <c r="D753" s="51"/>
      <c r="E753" s="51"/>
      <c r="F753" s="51"/>
      <c r="G753" s="51"/>
      <c r="H753" s="51"/>
      <c r="I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3"/>
      <c r="AM753" s="124"/>
      <c r="AN753" s="223"/>
      <c r="AO753" s="718"/>
      <c r="AP753" s="260"/>
      <c r="AQ753" s="258"/>
      <c r="AR753" s="258"/>
      <c r="AS753" s="127"/>
    </row>
    <row r="754" spans="1:45" hidden="1">
      <c r="AL754" s="50"/>
      <c r="AM754" s="124"/>
      <c r="AN754" s="223"/>
      <c r="AO754" s="717"/>
      <c r="AP754" s="260"/>
      <c r="AQ754" s="258"/>
      <c r="AR754" s="258"/>
      <c r="AS754" s="127"/>
    </row>
    <row r="755" spans="1:45" hidden="1">
      <c r="AL755" s="50"/>
      <c r="AM755" s="124"/>
      <c r="AN755" s="223"/>
      <c r="AO755" s="717"/>
      <c r="AP755" s="260"/>
      <c r="AQ755" s="258"/>
      <c r="AR755" s="258"/>
      <c r="AS755" s="127"/>
    </row>
    <row r="756" spans="1:45" hidden="1">
      <c r="AL756" s="50"/>
      <c r="AM756" s="124"/>
      <c r="AN756" s="223"/>
      <c r="AO756" s="447"/>
      <c r="AP756" s="260"/>
      <c r="AQ756" s="258"/>
      <c r="AR756" s="258"/>
      <c r="AS756" s="127"/>
    </row>
    <row r="757" spans="1:45" hidden="1">
      <c r="AL757" s="50"/>
      <c r="AM757" s="125"/>
      <c r="AN757" s="223"/>
      <c r="AO757" s="717"/>
      <c r="AP757" s="260"/>
      <c r="AQ757" s="258"/>
      <c r="AR757" s="258"/>
      <c r="AS757" s="127"/>
    </row>
    <row r="758" spans="1:45" hidden="1">
      <c r="AL758" s="50"/>
      <c r="AM758" s="125"/>
      <c r="AN758" s="223"/>
      <c r="AO758" s="717"/>
      <c r="AP758" s="260"/>
      <c r="AQ758" s="258"/>
      <c r="AR758" s="258"/>
      <c r="AS758" s="127"/>
    </row>
    <row r="759" spans="1:45" hidden="1">
      <c r="AL759" s="50"/>
      <c r="AM759" s="125"/>
      <c r="AN759" s="223"/>
      <c r="AO759" s="718"/>
      <c r="AP759" s="260"/>
      <c r="AQ759" s="258"/>
      <c r="AR759" s="258"/>
      <c r="AS759" s="127"/>
    </row>
    <row r="760" spans="1:45" hidden="1">
      <c r="AL760" s="50"/>
      <c r="AM760" s="125"/>
      <c r="AN760" s="223"/>
      <c r="AO760" s="717"/>
      <c r="AP760" s="260"/>
      <c r="AQ760" s="258"/>
      <c r="AR760" s="258"/>
      <c r="AS760" s="127"/>
    </row>
    <row r="761" spans="1:45" hidden="1">
      <c r="AL761" s="50"/>
      <c r="AM761" s="125"/>
      <c r="AN761" s="223"/>
      <c r="AO761" s="717"/>
      <c r="AP761" s="260"/>
      <c r="AQ761" s="258"/>
      <c r="AR761" s="258"/>
      <c r="AS761" s="127"/>
    </row>
    <row r="762" spans="1:45" hidden="1">
      <c r="AL762" s="50"/>
      <c r="AM762" s="125"/>
      <c r="AN762" s="223"/>
      <c r="AO762" s="447"/>
      <c r="AP762" s="260"/>
      <c r="AQ762" s="258"/>
      <c r="AR762" s="258"/>
      <c r="AS762" s="127"/>
    </row>
    <row r="763" spans="1:45" hidden="1">
      <c r="AL763" s="50"/>
      <c r="AM763" s="125"/>
      <c r="AN763" s="223"/>
      <c r="AO763" s="717"/>
      <c r="AP763" s="260"/>
      <c r="AQ763" s="258"/>
      <c r="AR763" s="258"/>
      <c r="AS763" s="127"/>
    </row>
    <row r="764" spans="1:45" hidden="1">
      <c r="AL764" s="50"/>
      <c r="AM764" s="125"/>
      <c r="AN764" s="223"/>
      <c r="AO764" s="717"/>
      <c r="AP764" s="260"/>
      <c r="AQ764" s="258"/>
      <c r="AR764" s="258"/>
      <c r="AS764" s="127"/>
    </row>
    <row r="765" spans="1:45" hidden="1">
      <c r="AL765" s="50"/>
      <c r="AM765" s="125"/>
      <c r="AN765" s="223"/>
      <c r="AO765" s="718"/>
      <c r="AP765" s="260"/>
      <c r="AQ765" s="258"/>
      <c r="AR765" s="258"/>
      <c r="AS765" s="127"/>
    </row>
    <row r="766" spans="1:45" hidden="1">
      <c r="AL766" s="53"/>
      <c r="AM766" s="126"/>
      <c r="AN766" s="223"/>
      <c r="AO766" s="717"/>
      <c r="AP766" s="260"/>
      <c r="AQ766" s="258"/>
      <c r="AR766" s="258"/>
      <c r="AS766" s="127"/>
    </row>
    <row r="767" spans="1:45" hidden="1">
      <c r="AL767" s="53"/>
      <c r="AM767" s="126"/>
      <c r="AN767" s="223"/>
      <c r="AO767" s="717"/>
      <c r="AP767" s="260"/>
      <c r="AQ767" s="258"/>
      <c r="AR767" s="258"/>
      <c r="AS767" s="127"/>
    </row>
    <row r="768" spans="1:45" hidden="1">
      <c r="AL768" s="53"/>
      <c r="AM768" s="126"/>
      <c r="AN768" s="223"/>
      <c r="AO768" s="447"/>
      <c r="AP768" s="260"/>
      <c r="AQ768" s="258"/>
      <c r="AR768" s="258"/>
      <c r="AS768" s="127"/>
    </row>
    <row r="769" spans="38:45" hidden="1">
      <c r="AL769" s="53"/>
      <c r="AM769" s="126"/>
      <c r="AN769" s="223"/>
      <c r="AO769" s="717"/>
      <c r="AP769" s="260"/>
      <c r="AQ769" s="258"/>
      <c r="AR769" s="258"/>
      <c r="AS769" s="127"/>
    </row>
    <row r="770" spans="38:45" hidden="1">
      <c r="AL770" s="53"/>
      <c r="AM770" s="126"/>
      <c r="AN770" s="223"/>
      <c r="AO770" s="717"/>
      <c r="AP770" s="260"/>
      <c r="AQ770" s="258"/>
      <c r="AR770" s="258"/>
      <c r="AS770" s="127"/>
    </row>
    <row r="771" spans="38:45" hidden="1">
      <c r="AL771" s="53"/>
      <c r="AM771" s="126"/>
      <c r="AN771" s="223"/>
      <c r="AO771" s="718"/>
      <c r="AP771" s="260"/>
      <c r="AQ771" s="258"/>
      <c r="AR771" s="258"/>
      <c r="AS771" s="127"/>
    </row>
    <row r="772" spans="38:45" hidden="1">
      <c r="AL772" s="53"/>
      <c r="AM772" s="126"/>
      <c r="AN772" s="223"/>
      <c r="AO772" s="717"/>
      <c r="AP772" s="260"/>
      <c r="AQ772" s="258"/>
      <c r="AR772" s="258"/>
      <c r="AS772" s="127"/>
    </row>
    <row r="773" spans="38:45" hidden="1">
      <c r="AL773" s="53"/>
      <c r="AM773" s="126"/>
      <c r="AN773" s="223"/>
      <c r="AO773" s="717"/>
      <c r="AP773" s="260"/>
      <c r="AQ773" s="258"/>
      <c r="AR773" s="258"/>
      <c r="AS773" s="127"/>
    </row>
    <row r="774" spans="38:45">
      <c r="AL774" s="50"/>
      <c r="AM774" s="126"/>
      <c r="AN774" s="436" t="s">
        <v>771</v>
      </c>
      <c r="AO774" s="591" t="s">
        <v>3043</v>
      </c>
      <c r="AP774" s="257">
        <f>SUM(AQ774:AR774)</f>
        <v>0</v>
      </c>
      <c r="AQ774" s="258"/>
      <c r="AR774" s="258"/>
      <c r="AS774" s="127"/>
    </row>
    <row r="775" spans="38:45">
      <c r="AL775" s="50"/>
      <c r="AM775" s="126"/>
      <c r="AN775" s="436" t="s">
        <v>772</v>
      </c>
      <c r="AO775" s="592" t="s">
        <v>3044</v>
      </c>
      <c r="AP775" s="257">
        <f>SUM(AQ775:AR775)</f>
        <v>0</v>
      </c>
      <c r="AQ775" s="258"/>
      <c r="AR775" s="258"/>
      <c r="AS775" s="127"/>
    </row>
    <row r="776" spans="38:45">
      <c r="AL776" s="50"/>
      <c r="AM776" s="126"/>
      <c r="AN776" s="236" t="s">
        <v>773</v>
      </c>
      <c r="AO776" s="248" t="s">
        <v>3045</v>
      </c>
      <c r="AP776" s="257">
        <f>SUM(AQ776:AR776)</f>
        <v>0</v>
      </c>
      <c r="AQ776" s="258"/>
      <c r="AR776" s="258"/>
      <c r="AS776" s="127"/>
    </row>
    <row r="777" spans="38:45">
      <c r="AL777" s="50"/>
      <c r="AM777" s="126"/>
      <c r="AN777" s="236" t="s">
        <v>3046</v>
      </c>
      <c r="AO777" s="242" t="s">
        <v>2986</v>
      </c>
      <c r="AP777" s="257">
        <f>SUM(AQ777:AR777)</f>
        <v>0</v>
      </c>
      <c r="AQ777" s="258"/>
      <c r="AR777" s="258"/>
      <c r="AS777" s="127"/>
    </row>
    <row r="778" spans="38:45">
      <c r="AL778" s="50"/>
      <c r="AM778" s="126"/>
      <c r="AN778" s="236" t="s">
        <v>3047</v>
      </c>
      <c r="AO778" s="242" t="s">
        <v>2988</v>
      </c>
      <c r="AP778" s="257">
        <f>SUM(AQ778:AR778)</f>
        <v>0</v>
      </c>
      <c r="AQ778" s="258"/>
      <c r="AR778" s="258"/>
      <c r="AS778" s="127"/>
    </row>
    <row r="779" spans="38:45" hidden="1">
      <c r="AL779" s="50"/>
      <c r="AM779" s="126"/>
      <c r="AN779" s="223"/>
      <c r="AO779" s="447"/>
      <c r="AP779" s="260"/>
      <c r="AQ779" s="258"/>
      <c r="AR779" s="258"/>
      <c r="AS779" s="127"/>
    </row>
    <row r="780" spans="38:45" hidden="1">
      <c r="AL780" s="50"/>
      <c r="AM780" s="126"/>
      <c r="AN780" s="223"/>
      <c r="AO780" s="717"/>
      <c r="AP780" s="260"/>
      <c r="AQ780" s="258"/>
      <c r="AR780" s="258"/>
      <c r="AS780" s="127"/>
    </row>
    <row r="781" spans="38:45" hidden="1">
      <c r="AL781" s="50"/>
      <c r="AM781" s="126"/>
      <c r="AN781" s="223"/>
      <c r="AO781" s="717"/>
      <c r="AP781" s="260"/>
      <c r="AQ781" s="258"/>
      <c r="AR781" s="258"/>
      <c r="AS781" s="127"/>
    </row>
    <row r="782" spans="38:45" hidden="1">
      <c r="AL782" s="50"/>
      <c r="AM782" s="126"/>
      <c r="AN782" s="223"/>
      <c r="AO782" s="718"/>
      <c r="AP782" s="260"/>
      <c r="AQ782" s="258"/>
      <c r="AR782" s="258"/>
      <c r="AS782" s="127"/>
    </row>
    <row r="783" spans="38:45" hidden="1">
      <c r="AL783" s="50"/>
      <c r="AM783" s="126"/>
      <c r="AN783" s="223"/>
      <c r="AO783" s="717"/>
      <c r="AP783" s="260"/>
      <c r="AQ783" s="258"/>
      <c r="AR783" s="258"/>
      <c r="AS783" s="127"/>
    </row>
    <row r="784" spans="38:45" hidden="1">
      <c r="AL784" s="50"/>
      <c r="AM784" s="126"/>
      <c r="AN784" s="223"/>
      <c r="AO784" s="717"/>
      <c r="AP784" s="260"/>
      <c r="AQ784" s="258"/>
      <c r="AR784" s="258"/>
      <c r="AS784" s="127"/>
    </row>
    <row r="785" spans="38:45" hidden="1">
      <c r="AL785" s="50"/>
      <c r="AM785" s="126"/>
      <c r="AN785" s="223"/>
      <c r="AO785" s="447"/>
      <c r="AP785" s="260"/>
      <c r="AQ785" s="258"/>
      <c r="AR785" s="258"/>
      <c r="AS785" s="127"/>
    </row>
    <row r="786" spans="38:45" hidden="1">
      <c r="AL786" s="50"/>
      <c r="AM786" s="126"/>
      <c r="AN786" s="223"/>
      <c r="AO786" s="717"/>
      <c r="AP786" s="260"/>
      <c r="AQ786" s="258"/>
      <c r="AR786" s="258"/>
      <c r="AS786" s="127"/>
    </row>
    <row r="787" spans="38:45" hidden="1">
      <c r="AL787" s="50"/>
      <c r="AM787" s="126"/>
      <c r="AN787" s="223"/>
      <c r="AO787" s="717"/>
      <c r="AP787" s="260"/>
      <c r="AQ787" s="258"/>
      <c r="AR787" s="258"/>
      <c r="AS787" s="127"/>
    </row>
    <row r="788" spans="38:45" hidden="1">
      <c r="AL788" s="50"/>
      <c r="AM788" s="126"/>
      <c r="AN788" s="223"/>
      <c r="AO788" s="718"/>
      <c r="AP788" s="260"/>
      <c r="AQ788" s="258"/>
      <c r="AR788" s="258"/>
      <c r="AS788" s="127"/>
    </row>
    <row r="789" spans="38:45" hidden="1">
      <c r="AL789" s="50"/>
      <c r="AM789" s="126"/>
      <c r="AN789" s="223"/>
      <c r="AO789" s="717"/>
      <c r="AP789" s="260"/>
      <c r="AQ789" s="258"/>
      <c r="AR789" s="258"/>
      <c r="AS789" s="127"/>
    </row>
    <row r="790" spans="38:45" hidden="1">
      <c r="AL790" s="50"/>
      <c r="AM790" s="126"/>
      <c r="AN790" s="223"/>
      <c r="AO790" s="717"/>
      <c r="AP790" s="260"/>
      <c r="AQ790" s="258"/>
      <c r="AR790" s="258"/>
      <c r="AS790" s="127"/>
    </row>
    <row r="791" spans="38:45" hidden="1">
      <c r="AL791" s="50"/>
      <c r="AM791" s="126"/>
      <c r="AN791" s="223"/>
      <c r="AO791" s="447"/>
      <c r="AP791" s="260"/>
      <c r="AQ791" s="258"/>
      <c r="AR791" s="258"/>
      <c r="AS791" s="127"/>
    </row>
    <row r="792" spans="38:45" hidden="1">
      <c r="AL792" s="50"/>
      <c r="AM792" s="126"/>
      <c r="AN792" s="223"/>
      <c r="AO792" s="717"/>
      <c r="AP792" s="260"/>
      <c r="AQ792" s="258"/>
      <c r="AR792" s="258"/>
      <c r="AS792" s="127"/>
    </row>
    <row r="793" spans="38:45" hidden="1">
      <c r="AL793" s="50"/>
      <c r="AM793" s="126"/>
      <c r="AN793" s="223"/>
      <c r="AO793" s="717"/>
      <c r="AP793" s="260"/>
      <c r="AQ793" s="258"/>
      <c r="AR793" s="258"/>
      <c r="AS793" s="127"/>
    </row>
    <row r="794" spans="38:45" hidden="1">
      <c r="AL794" s="50"/>
      <c r="AM794" s="126"/>
      <c r="AN794" s="223"/>
      <c r="AO794" s="718"/>
      <c r="AP794" s="260"/>
      <c r="AQ794" s="258"/>
      <c r="AR794" s="258"/>
      <c r="AS794" s="127"/>
    </row>
    <row r="795" spans="38:45" hidden="1">
      <c r="AL795" s="50"/>
      <c r="AM795" s="126"/>
      <c r="AN795" s="223"/>
      <c r="AO795" s="717"/>
      <c r="AP795" s="260"/>
      <c r="AQ795" s="258"/>
      <c r="AR795" s="258"/>
      <c r="AS795" s="127"/>
    </row>
    <row r="796" spans="38:45" hidden="1">
      <c r="AL796" s="50"/>
      <c r="AM796" s="126"/>
      <c r="AN796" s="223"/>
      <c r="AO796" s="717"/>
      <c r="AP796" s="260"/>
      <c r="AQ796" s="258"/>
      <c r="AR796" s="258"/>
      <c r="AS796" s="127"/>
    </row>
    <row r="797" spans="38:45" hidden="1">
      <c r="AL797" s="50"/>
      <c r="AM797" s="126"/>
      <c r="AN797" s="223"/>
      <c r="AO797" s="447"/>
      <c r="AP797" s="260"/>
      <c r="AQ797" s="258"/>
      <c r="AR797" s="258"/>
      <c r="AS797" s="127"/>
    </row>
    <row r="798" spans="38:45" hidden="1">
      <c r="AL798" s="50"/>
      <c r="AM798" s="126"/>
      <c r="AN798" s="223"/>
      <c r="AO798" s="717"/>
      <c r="AP798" s="260"/>
      <c r="AQ798" s="258"/>
      <c r="AR798" s="258"/>
      <c r="AS798" s="127"/>
    </row>
    <row r="799" spans="38:45" hidden="1">
      <c r="AL799" s="50"/>
      <c r="AM799" s="126"/>
      <c r="AN799" s="223"/>
      <c r="AO799" s="717"/>
      <c r="AP799" s="260"/>
      <c r="AQ799" s="258"/>
      <c r="AR799" s="258"/>
      <c r="AS799" s="127"/>
    </row>
    <row r="800" spans="38:45" hidden="1">
      <c r="AL800" s="50"/>
      <c r="AM800" s="126"/>
      <c r="AN800" s="223"/>
      <c r="AO800" s="718"/>
      <c r="AP800" s="260"/>
      <c r="AQ800" s="258"/>
      <c r="AR800" s="258"/>
      <c r="AS800" s="127"/>
    </row>
    <row r="801" spans="38:45" hidden="1">
      <c r="AL801" s="50"/>
      <c r="AM801" s="126"/>
      <c r="AN801" s="223"/>
      <c r="AO801" s="717"/>
      <c r="AP801" s="260"/>
      <c r="AQ801" s="258"/>
      <c r="AR801" s="258"/>
      <c r="AS801" s="127"/>
    </row>
    <row r="802" spans="38:45" hidden="1">
      <c r="AL802" s="50"/>
      <c r="AM802" s="126"/>
      <c r="AN802" s="223"/>
      <c r="AO802" s="717"/>
      <c r="AP802" s="260"/>
      <c r="AQ802" s="258"/>
      <c r="AR802" s="258"/>
      <c r="AS802" s="127"/>
    </row>
    <row r="803" spans="38:45" ht="11.25" customHeight="1">
      <c r="AL803" s="50"/>
      <c r="AM803" s="126"/>
      <c r="AN803" s="234" t="s">
        <v>3072</v>
      </c>
      <c r="AO803" s="235" t="s">
        <v>799</v>
      </c>
      <c r="AP803" s="257">
        <f>SUM(AQ803:AR803)</f>
        <v>0</v>
      </c>
      <c r="AQ803" s="258"/>
      <c r="AR803" s="258"/>
      <c r="AS803" s="127"/>
    </row>
    <row r="804" spans="38:45" hidden="1">
      <c r="AL804" s="50"/>
      <c r="AM804" s="126"/>
      <c r="AN804" s="719"/>
      <c r="AO804" s="720"/>
      <c r="AP804" s="260"/>
      <c r="AQ804" s="258"/>
      <c r="AR804" s="258"/>
      <c r="AS804" s="127"/>
    </row>
    <row r="805" spans="38:45" hidden="1">
      <c r="AL805" s="50"/>
      <c r="AM805" s="126"/>
      <c r="AN805" s="719"/>
      <c r="AO805" s="720"/>
      <c r="AP805" s="260"/>
      <c r="AQ805" s="258"/>
      <c r="AR805" s="258"/>
      <c r="AS805" s="127"/>
    </row>
    <row r="806" spans="38:45" hidden="1">
      <c r="AL806" s="50"/>
      <c r="AM806" s="126"/>
      <c r="AN806" s="719"/>
      <c r="AO806" s="720"/>
      <c r="AP806" s="260"/>
      <c r="AQ806" s="258"/>
      <c r="AR806" s="258"/>
      <c r="AS806" s="127"/>
    </row>
    <row r="807" spans="38:45">
      <c r="AL807" s="50"/>
      <c r="AM807" s="126"/>
      <c r="AN807" s="236" t="s">
        <v>75</v>
      </c>
      <c r="AO807" s="224" t="s">
        <v>1832</v>
      </c>
      <c r="AP807" s="257">
        <f>SUM(AQ807:AR807)</f>
        <v>0</v>
      </c>
      <c r="AQ807" s="258"/>
      <c r="AR807" s="258"/>
      <c r="AS807" s="127"/>
    </row>
    <row r="808" spans="38:45" hidden="1">
      <c r="AL808" s="50"/>
      <c r="AM808" s="126"/>
      <c r="AN808" s="223"/>
      <c r="AO808" s="217"/>
      <c r="AP808" s="260"/>
      <c r="AQ808" s="258"/>
      <c r="AR808" s="258"/>
      <c r="AS808" s="127"/>
    </row>
    <row r="809" spans="38:45" hidden="1">
      <c r="AL809" s="50"/>
      <c r="AM809" s="126"/>
      <c r="AN809" s="223"/>
      <c r="AO809" s="217"/>
      <c r="AP809" s="260"/>
      <c r="AQ809" s="258"/>
      <c r="AR809" s="258"/>
      <c r="AS809" s="127"/>
    </row>
    <row r="810" spans="38:45" hidden="1">
      <c r="AL810" s="50"/>
      <c r="AM810" s="126"/>
      <c r="AN810" s="223"/>
      <c r="AO810" s="720"/>
      <c r="AP810" s="260"/>
      <c r="AQ810" s="258"/>
      <c r="AR810" s="258"/>
      <c r="AS810" s="127"/>
    </row>
    <row r="811" spans="38:45" hidden="1">
      <c r="AL811" s="50"/>
      <c r="AM811" s="126"/>
      <c r="AN811" s="223"/>
      <c r="AO811" s="720"/>
      <c r="AP811" s="260"/>
      <c r="AQ811" s="258"/>
      <c r="AR811" s="258"/>
      <c r="AS811" s="127"/>
    </row>
    <row r="812" spans="38:45" hidden="1">
      <c r="AL812" s="50"/>
      <c r="AM812" s="126"/>
      <c r="AN812" s="223"/>
      <c r="AO812" s="720"/>
      <c r="AP812" s="260"/>
      <c r="AQ812" s="258"/>
      <c r="AR812" s="258"/>
      <c r="AS812" s="127"/>
    </row>
    <row r="813" spans="38:45">
      <c r="AL813" s="50"/>
      <c r="AM813" s="126"/>
      <c r="AN813" s="236" t="s">
        <v>62</v>
      </c>
      <c r="AO813" s="224" t="s">
        <v>1838</v>
      </c>
      <c r="AP813" s="257">
        <f>SUM(AQ813:AR813)</f>
        <v>0</v>
      </c>
      <c r="AQ813" s="258"/>
      <c r="AR813" s="258"/>
      <c r="AS813" s="127"/>
    </row>
    <row r="814" spans="38:45" hidden="1">
      <c r="AL814" s="50"/>
      <c r="AM814" s="126"/>
      <c r="AN814" s="223"/>
      <c r="AO814" s="446"/>
      <c r="AP814" s="260"/>
      <c r="AQ814" s="258"/>
      <c r="AR814" s="258"/>
      <c r="AS814" s="127"/>
    </row>
    <row r="815" spans="38:45" hidden="1">
      <c r="AL815" s="50"/>
      <c r="AM815" s="126"/>
      <c r="AN815" s="223"/>
      <c r="AO815" s="446"/>
      <c r="AP815" s="260"/>
      <c r="AQ815" s="258"/>
      <c r="AR815" s="258"/>
      <c r="AS815" s="127"/>
    </row>
    <row r="816" spans="38:45" hidden="1">
      <c r="AL816" s="50"/>
      <c r="AM816" s="126"/>
      <c r="AN816" s="223"/>
      <c r="AO816" s="720"/>
      <c r="AP816" s="260"/>
      <c r="AQ816" s="258"/>
      <c r="AR816" s="258"/>
      <c r="AS816" s="127"/>
    </row>
    <row r="817" spans="38:45" hidden="1">
      <c r="AL817" s="50"/>
      <c r="AM817" s="126"/>
      <c r="AN817" s="223"/>
      <c r="AO817" s="720"/>
      <c r="AP817" s="260"/>
      <c r="AQ817" s="258"/>
      <c r="AR817" s="258"/>
      <c r="AS817" s="127"/>
    </row>
    <row r="818" spans="38:45" hidden="1">
      <c r="AL818" s="50"/>
      <c r="AM818" s="126"/>
      <c r="AN818" s="223"/>
      <c r="AO818" s="720"/>
      <c r="AP818" s="260"/>
      <c r="AQ818" s="258"/>
      <c r="AR818" s="258"/>
      <c r="AS818" s="127"/>
    </row>
    <row r="819" spans="38:45">
      <c r="AL819" s="50"/>
      <c r="AM819" s="126"/>
      <c r="AN819" s="236" t="s">
        <v>68</v>
      </c>
      <c r="AO819" s="224" t="s">
        <v>1843</v>
      </c>
      <c r="AP819" s="257">
        <f>SUM(AQ819:AR819)</f>
        <v>0</v>
      </c>
      <c r="AQ819" s="258"/>
      <c r="AR819" s="258"/>
      <c r="AS819" s="127"/>
    </row>
    <row r="820" spans="38:45" hidden="1">
      <c r="AL820" s="50"/>
      <c r="AM820" s="126"/>
      <c r="AN820" s="223"/>
      <c r="AO820" s="446"/>
      <c r="AP820" s="260"/>
      <c r="AQ820" s="258"/>
      <c r="AR820" s="258"/>
      <c r="AS820" s="127"/>
    </row>
    <row r="821" spans="38:45" hidden="1">
      <c r="AL821" s="50"/>
      <c r="AM821" s="126"/>
      <c r="AN821" s="223"/>
      <c r="AO821" s="446"/>
      <c r="AP821" s="260"/>
      <c r="AQ821" s="258"/>
      <c r="AR821" s="258"/>
      <c r="AS821" s="127"/>
    </row>
    <row r="822" spans="38:45">
      <c r="AL822" s="50"/>
      <c r="AM822" s="126"/>
      <c r="AN822" s="236" t="s">
        <v>1848</v>
      </c>
      <c r="AO822" s="224" t="s">
        <v>1849</v>
      </c>
      <c r="AP822" s="257">
        <f>SUM(AQ822:AR822)</f>
        <v>0</v>
      </c>
      <c r="AQ822" s="258"/>
      <c r="AR822" s="258"/>
      <c r="AS822" s="127"/>
    </row>
    <row r="823" spans="38:45" hidden="1">
      <c r="AL823" s="50"/>
      <c r="AM823" s="126"/>
      <c r="AN823" s="223"/>
      <c r="AO823" s="446"/>
      <c r="AP823" s="260"/>
      <c r="AQ823" s="258"/>
      <c r="AR823" s="258"/>
      <c r="AS823" s="127"/>
    </row>
    <row r="824" spans="38:45" hidden="1">
      <c r="AL824" s="50"/>
      <c r="AM824" s="126"/>
      <c r="AN824" s="223"/>
      <c r="AO824" s="217"/>
      <c r="AP824" s="260"/>
      <c r="AQ824" s="258"/>
      <c r="AR824" s="258"/>
      <c r="AS824" s="127"/>
    </row>
    <row r="825" spans="38:45" ht="22.5">
      <c r="AL825" s="50"/>
      <c r="AM825" s="126"/>
      <c r="AN825" s="236" t="s">
        <v>1855</v>
      </c>
      <c r="AO825" s="224" t="s">
        <v>1856</v>
      </c>
      <c r="AP825" s="257">
        <f>SUM(AQ825:AR825)</f>
        <v>0</v>
      </c>
      <c r="AQ825" s="258"/>
      <c r="AR825" s="258"/>
      <c r="AS825" s="127"/>
    </row>
    <row r="826" spans="38:45" hidden="1">
      <c r="AL826" s="50"/>
      <c r="AM826" s="126"/>
      <c r="AN826" s="223"/>
      <c r="AO826" s="446"/>
      <c r="AP826" s="260"/>
      <c r="AQ826" s="258"/>
      <c r="AR826" s="258"/>
      <c r="AS826" s="127"/>
    </row>
    <row r="827" spans="38:45" hidden="1">
      <c r="AL827" s="50"/>
      <c r="AM827" s="126"/>
      <c r="AN827" s="223"/>
      <c r="AO827" s="217"/>
      <c r="AP827" s="260"/>
      <c r="AQ827" s="258"/>
      <c r="AR827" s="258"/>
      <c r="AS827" s="127"/>
    </row>
    <row r="828" spans="38:45">
      <c r="AL828" s="50"/>
      <c r="AM828" s="126"/>
      <c r="AN828" s="234" t="s">
        <v>2412</v>
      </c>
      <c r="AO828" s="235" t="s">
        <v>2413</v>
      </c>
      <c r="AP828" s="257">
        <f t="shared" ref="AP828:AP844" si="3">SUM(AQ828:AR828)</f>
        <v>0</v>
      </c>
      <c r="AQ828" s="258"/>
      <c r="AR828" s="258"/>
      <c r="AS828" s="127"/>
    </row>
    <row r="829" spans="38:45" ht="22.5">
      <c r="AL829" s="50"/>
      <c r="AM829" s="126"/>
      <c r="AN829" s="236" t="s">
        <v>2414</v>
      </c>
      <c r="AO829" s="224" t="s">
        <v>2415</v>
      </c>
      <c r="AP829" s="257">
        <f t="shared" si="3"/>
        <v>0</v>
      </c>
      <c r="AQ829" s="258"/>
      <c r="AR829" s="258"/>
      <c r="AS829" s="127"/>
    </row>
    <row r="830" spans="38:45" ht="22.5">
      <c r="AL830" s="50"/>
      <c r="AM830" s="126"/>
      <c r="AN830" s="236" t="s">
        <v>2416</v>
      </c>
      <c r="AO830" s="224" t="s">
        <v>2417</v>
      </c>
      <c r="AP830" s="257">
        <f t="shared" si="3"/>
        <v>0</v>
      </c>
      <c r="AQ830" s="258"/>
      <c r="AR830" s="258"/>
      <c r="AS830" s="127"/>
    </row>
    <row r="831" spans="38:45" ht="22.5">
      <c r="AL831" s="50"/>
      <c r="AM831" s="126"/>
      <c r="AN831" s="236" t="s">
        <v>2419</v>
      </c>
      <c r="AO831" s="224" t="s">
        <v>2420</v>
      </c>
      <c r="AP831" s="257">
        <f t="shared" si="3"/>
        <v>0</v>
      </c>
      <c r="AQ831" s="258"/>
      <c r="AR831" s="258"/>
      <c r="AS831" s="127"/>
    </row>
    <row r="832" spans="38:45">
      <c r="AL832" s="50"/>
      <c r="AM832" s="126"/>
      <c r="AN832" s="236" t="s">
        <v>2422</v>
      </c>
      <c r="AO832" s="224" t="s">
        <v>2423</v>
      </c>
      <c r="AP832" s="257">
        <f t="shared" si="3"/>
        <v>0</v>
      </c>
      <c r="AQ832" s="258"/>
      <c r="AR832" s="258"/>
      <c r="AS832" s="127"/>
    </row>
    <row r="833" spans="38:45">
      <c r="AL833" s="50"/>
      <c r="AM833" s="126"/>
      <c r="AN833" s="236" t="s">
        <v>2425</v>
      </c>
      <c r="AO833" s="224" t="s">
        <v>2426</v>
      </c>
      <c r="AP833" s="257">
        <f t="shared" si="3"/>
        <v>0</v>
      </c>
      <c r="AQ833" s="258"/>
      <c r="AR833" s="258"/>
      <c r="AS833" s="127"/>
    </row>
    <row r="834" spans="38:45" ht="22.5">
      <c r="AL834" s="50"/>
      <c r="AM834" s="126"/>
      <c r="AN834" s="236" t="s">
        <v>2427</v>
      </c>
      <c r="AO834" s="235" t="s">
        <v>2428</v>
      </c>
      <c r="AP834" s="257">
        <f t="shared" si="3"/>
        <v>0</v>
      </c>
      <c r="AQ834" s="258"/>
      <c r="AR834" s="258"/>
      <c r="AS834" s="127"/>
    </row>
    <row r="835" spans="38:45" ht="33.75">
      <c r="AL835" s="50"/>
      <c r="AM835" s="126"/>
      <c r="AN835" s="234" t="s">
        <v>2429</v>
      </c>
      <c r="AO835" s="224" t="s">
        <v>2430</v>
      </c>
      <c r="AP835" s="257">
        <f t="shared" si="3"/>
        <v>0</v>
      </c>
      <c r="AQ835" s="258"/>
      <c r="AR835" s="258"/>
      <c r="AS835" s="127"/>
    </row>
    <row r="836" spans="38:45">
      <c r="AL836" s="50"/>
      <c r="AM836" s="126"/>
      <c r="AN836" s="234" t="s">
        <v>2431</v>
      </c>
      <c r="AO836" s="235" t="s">
        <v>2432</v>
      </c>
      <c r="AP836" s="257">
        <f t="shared" si="3"/>
        <v>0</v>
      </c>
      <c r="AQ836" s="258"/>
      <c r="AR836" s="258"/>
      <c r="AS836" s="127"/>
    </row>
    <row r="837" spans="38:45" ht="22.5">
      <c r="AL837" s="50"/>
      <c r="AM837" s="126"/>
      <c r="AN837" s="236" t="s">
        <v>1842</v>
      </c>
      <c r="AO837" s="224" t="s">
        <v>2433</v>
      </c>
      <c r="AP837" s="257">
        <f t="shared" si="3"/>
        <v>0</v>
      </c>
      <c r="AQ837" s="258"/>
      <c r="AR837" s="258"/>
      <c r="AS837" s="127"/>
    </row>
    <row r="838" spans="38:45">
      <c r="AL838" s="50"/>
      <c r="AM838" s="126"/>
      <c r="AN838" s="236" t="s">
        <v>2418</v>
      </c>
      <c r="AO838" s="224" t="s">
        <v>2434</v>
      </c>
      <c r="AP838" s="257">
        <f t="shared" si="3"/>
        <v>0</v>
      </c>
      <c r="AQ838" s="258"/>
      <c r="AR838" s="258"/>
      <c r="AS838" s="127"/>
    </row>
    <row r="839" spans="38:45">
      <c r="AL839" s="50"/>
      <c r="AM839" s="126"/>
      <c r="AN839" s="236" t="s">
        <v>2435</v>
      </c>
      <c r="AO839" s="224" t="s">
        <v>2436</v>
      </c>
      <c r="AP839" s="257">
        <f t="shared" si="3"/>
        <v>0</v>
      </c>
      <c r="AQ839" s="258"/>
      <c r="AR839" s="258"/>
      <c r="AS839" s="127"/>
    </row>
    <row r="840" spans="38:45" ht="22.5">
      <c r="AL840" s="50"/>
      <c r="AM840" s="126"/>
      <c r="AN840" s="236" t="s">
        <v>2437</v>
      </c>
      <c r="AO840" s="224" t="s">
        <v>2438</v>
      </c>
      <c r="AP840" s="257">
        <f t="shared" si="3"/>
        <v>0</v>
      </c>
      <c r="AQ840" s="258"/>
      <c r="AR840" s="258"/>
      <c r="AS840" s="127"/>
    </row>
    <row r="841" spans="38:45">
      <c r="AL841" s="50"/>
      <c r="AM841" s="126"/>
      <c r="AN841" s="236" t="s">
        <v>2439</v>
      </c>
      <c r="AO841" s="224" t="s">
        <v>2440</v>
      </c>
      <c r="AP841" s="257">
        <f t="shared" si="3"/>
        <v>0</v>
      </c>
      <c r="AQ841" s="258"/>
      <c r="AR841" s="258"/>
      <c r="AS841" s="127"/>
    </row>
    <row r="842" spans="38:45">
      <c r="AL842" s="50"/>
      <c r="AM842" s="126"/>
      <c r="AN842" s="236" t="s">
        <v>2441</v>
      </c>
      <c r="AO842" s="224" t="s">
        <v>2442</v>
      </c>
      <c r="AP842" s="257">
        <f t="shared" si="3"/>
        <v>0</v>
      </c>
      <c r="AQ842" s="258"/>
      <c r="AR842" s="258"/>
      <c r="AS842" s="127"/>
    </row>
    <row r="843" spans="38:45">
      <c r="AL843" s="50"/>
      <c r="AM843" s="126"/>
      <c r="AN843" s="236" t="s">
        <v>2443</v>
      </c>
      <c r="AO843" s="224" t="s">
        <v>2444</v>
      </c>
      <c r="AP843" s="257">
        <f t="shared" si="3"/>
        <v>0</v>
      </c>
      <c r="AQ843" s="258"/>
      <c r="AR843" s="258"/>
      <c r="AS843" s="127"/>
    </row>
    <row r="844" spans="38:45">
      <c r="AL844" s="50"/>
      <c r="AM844" s="126"/>
      <c r="AN844" s="236" t="s">
        <v>842</v>
      </c>
      <c r="AO844" s="224" t="s">
        <v>843</v>
      </c>
      <c r="AP844" s="257">
        <f t="shared" si="3"/>
        <v>0</v>
      </c>
      <c r="AQ844" s="258"/>
      <c r="AR844" s="258"/>
      <c r="AS844" s="127"/>
    </row>
    <row r="845" spans="38:45" ht="0.75" customHeight="1">
      <c r="AL845" s="50"/>
      <c r="AM845" s="126"/>
      <c r="AN845" s="223"/>
      <c r="AO845" s="728"/>
      <c r="AP845" s="260"/>
      <c r="AQ845" s="258"/>
      <c r="AR845" s="258"/>
      <c r="AS845" s="127"/>
    </row>
    <row r="846" spans="38:45" ht="0.75" customHeight="1">
      <c r="AL846" s="50"/>
      <c r="AM846" s="126"/>
      <c r="AN846" s="223"/>
      <c r="AO846" s="728"/>
      <c r="AP846" s="260"/>
      <c r="AQ846" s="258"/>
      <c r="AR846" s="258"/>
      <c r="AS846" s="127"/>
    </row>
    <row r="847" spans="38:45" ht="0.75" customHeight="1">
      <c r="AL847" s="50"/>
      <c r="AM847" s="126"/>
      <c r="AN847" s="223"/>
      <c r="AO847" s="728"/>
      <c r="AP847" s="260"/>
      <c r="AQ847" s="258"/>
      <c r="AR847" s="258"/>
      <c r="AS847" s="127"/>
    </row>
    <row r="848" spans="38:45" ht="0.75" customHeight="1">
      <c r="AL848" s="50"/>
      <c r="AM848" s="126"/>
      <c r="AN848" s="223"/>
      <c r="AO848" s="728"/>
      <c r="AP848" s="260"/>
      <c r="AQ848" s="258"/>
      <c r="AR848" s="258"/>
      <c r="AS848" s="127"/>
    </row>
    <row r="849" spans="38:45" ht="0.75" customHeight="1">
      <c r="AL849" s="50"/>
      <c r="AM849" s="126"/>
      <c r="AN849" s="223"/>
      <c r="AO849" s="728"/>
      <c r="AP849" s="260"/>
      <c r="AQ849" s="258"/>
      <c r="AR849" s="258"/>
      <c r="AS849" s="127"/>
    </row>
    <row r="850" spans="38:45" ht="0.75" customHeight="1">
      <c r="AL850" s="50"/>
      <c r="AM850" s="126"/>
      <c r="AN850" s="223"/>
      <c r="AO850" s="728"/>
      <c r="AP850" s="260"/>
      <c r="AQ850" s="258"/>
      <c r="AR850" s="258"/>
      <c r="AS850" s="127"/>
    </row>
    <row r="851" spans="38:45" hidden="1">
      <c r="AL851" s="50"/>
      <c r="AM851" s="126"/>
      <c r="AN851" s="236"/>
      <c r="AO851" s="224"/>
      <c r="AP851" s="260"/>
      <c r="AQ851" s="258"/>
      <c r="AR851" s="258"/>
      <c r="AS851" s="127"/>
    </row>
    <row r="852" spans="38:45" hidden="1">
      <c r="AL852" s="50"/>
      <c r="AM852" s="126"/>
      <c r="AN852" s="236"/>
      <c r="AO852" s="224"/>
      <c r="AP852" s="260"/>
      <c r="AQ852" s="258"/>
      <c r="AR852" s="258"/>
      <c r="AS852" s="127"/>
    </row>
    <row r="853" spans="38:45">
      <c r="AL853" s="50"/>
      <c r="AM853" s="126"/>
      <c r="AN853" s="236" t="s">
        <v>844</v>
      </c>
      <c r="AO853" s="235" t="s">
        <v>853</v>
      </c>
      <c r="AP853" s="257">
        <f t="shared" ref="AP853:AP864" si="4">SUM(AQ853:AR853)</f>
        <v>0</v>
      </c>
      <c r="AQ853" s="258"/>
      <c r="AR853" s="258"/>
      <c r="AS853" s="127"/>
    </row>
    <row r="854" spans="38:45">
      <c r="AL854" s="50"/>
      <c r="AM854" s="126"/>
      <c r="AN854" s="234" t="s">
        <v>854</v>
      </c>
      <c r="AO854" s="205" t="s">
        <v>76</v>
      </c>
      <c r="AP854" s="257">
        <f t="shared" si="4"/>
        <v>0</v>
      </c>
      <c r="AQ854" s="258"/>
      <c r="AR854" s="258"/>
      <c r="AS854" s="127"/>
    </row>
    <row r="855" spans="38:45">
      <c r="AL855" s="50"/>
      <c r="AM855" s="126"/>
      <c r="AN855" s="236" t="s">
        <v>850</v>
      </c>
      <c r="AO855" s="723" t="s">
        <v>2726</v>
      </c>
      <c r="AP855" s="257">
        <f t="shared" si="4"/>
        <v>0</v>
      </c>
      <c r="AQ855" s="258"/>
      <c r="AR855" s="258"/>
      <c r="AS855" s="127"/>
    </row>
    <row r="856" spans="38:45">
      <c r="AL856" s="50"/>
      <c r="AM856" s="126"/>
      <c r="AN856" s="236" t="s">
        <v>858</v>
      </c>
      <c r="AO856" s="205" t="s">
        <v>859</v>
      </c>
      <c r="AP856" s="257">
        <f t="shared" si="4"/>
        <v>0</v>
      </c>
      <c r="AQ856" s="258"/>
      <c r="AR856" s="258"/>
      <c r="AS856" s="127"/>
    </row>
    <row r="857" spans="38:45">
      <c r="AL857" s="50"/>
      <c r="AM857" s="126"/>
      <c r="AN857" s="236" t="s">
        <v>861</v>
      </c>
      <c r="AO857" s="205" t="s">
        <v>862</v>
      </c>
      <c r="AP857" s="257">
        <f t="shared" si="4"/>
        <v>0</v>
      </c>
      <c r="AQ857" s="258"/>
      <c r="AR857" s="258"/>
      <c r="AS857" s="127"/>
    </row>
    <row r="858" spans="38:45">
      <c r="AL858" s="50"/>
      <c r="AM858" s="126"/>
      <c r="AN858" s="236" t="s">
        <v>863</v>
      </c>
      <c r="AO858" s="205" t="s">
        <v>864</v>
      </c>
      <c r="AP858" s="257">
        <f t="shared" si="4"/>
        <v>0</v>
      </c>
      <c r="AQ858" s="258"/>
      <c r="AR858" s="258"/>
      <c r="AS858" s="127"/>
    </row>
    <row r="859" spans="38:45">
      <c r="AL859" s="50"/>
      <c r="AM859" s="126"/>
      <c r="AN859" s="236" t="s">
        <v>865</v>
      </c>
      <c r="AO859" s="205" t="s">
        <v>866</v>
      </c>
      <c r="AP859" s="257">
        <f t="shared" si="4"/>
        <v>0</v>
      </c>
      <c r="AQ859" s="258"/>
      <c r="AR859" s="258"/>
      <c r="AS859" s="127"/>
    </row>
    <row r="860" spans="38:45">
      <c r="AL860" s="50"/>
      <c r="AM860" s="126"/>
      <c r="AN860" s="236" t="s">
        <v>867</v>
      </c>
      <c r="AO860" s="205" t="s">
        <v>868</v>
      </c>
      <c r="AP860" s="257">
        <f t="shared" si="4"/>
        <v>0</v>
      </c>
      <c r="AQ860" s="258"/>
      <c r="AR860" s="258"/>
      <c r="AS860" s="127"/>
    </row>
    <row r="861" spans="38:45">
      <c r="AL861" s="50"/>
      <c r="AM861" s="126"/>
      <c r="AN861" s="236" t="s">
        <v>869</v>
      </c>
      <c r="AO861" s="229" t="s">
        <v>870</v>
      </c>
      <c r="AP861" s="257">
        <f t="shared" si="4"/>
        <v>0</v>
      </c>
      <c r="AQ861" s="258"/>
      <c r="AR861" s="258"/>
      <c r="AS861" s="127"/>
    </row>
    <row r="862" spans="38:45">
      <c r="AL862" s="50"/>
      <c r="AM862" s="126"/>
      <c r="AN862" s="236" t="s">
        <v>871</v>
      </c>
      <c r="AO862" s="229" t="s">
        <v>872</v>
      </c>
      <c r="AP862" s="257">
        <f t="shared" si="4"/>
        <v>0</v>
      </c>
      <c r="AQ862" s="258"/>
      <c r="AR862" s="258"/>
      <c r="AS862" s="127"/>
    </row>
    <row r="863" spans="38:45">
      <c r="AL863" s="53"/>
      <c r="AM863" s="126"/>
      <c r="AN863" s="236" t="s">
        <v>873</v>
      </c>
      <c r="AO863" s="229" t="s">
        <v>874</v>
      </c>
      <c r="AP863" s="257">
        <f t="shared" si="4"/>
        <v>0</v>
      </c>
      <c r="AQ863" s="258"/>
      <c r="AR863" s="258"/>
      <c r="AS863" s="127"/>
    </row>
    <row r="864" spans="38:45">
      <c r="AL864" s="53"/>
      <c r="AM864" s="126"/>
      <c r="AN864" s="725" t="s">
        <v>852</v>
      </c>
      <c r="AO864" s="724" t="s">
        <v>2727</v>
      </c>
      <c r="AP864" s="257">
        <f t="shared" si="4"/>
        <v>0</v>
      </c>
      <c r="AQ864" s="258"/>
      <c r="AR864" s="258"/>
      <c r="AS864" s="127"/>
    </row>
    <row r="865" spans="38:45" ht="0.75" customHeight="1">
      <c r="AL865" s="53"/>
      <c r="AM865" s="126"/>
      <c r="AN865" s="236"/>
      <c r="AO865" s="205"/>
      <c r="AP865" s="260"/>
      <c r="AQ865" s="258"/>
      <c r="AR865" s="258"/>
      <c r="AS865" s="127"/>
    </row>
    <row r="866" spans="38:45" ht="0.75" customHeight="1">
      <c r="AL866" s="53"/>
      <c r="AM866" s="126"/>
      <c r="AN866" s="236"/>
      <c r="AO866" s="205"/>
      <c r="AP866" s="260"/>
      <c r="AQ866" s="258"/>
      <c r="AR866" s="258"/>
      <c r="AS866" s="127"/>
    </row>
    <row r="867" spans="38:45" ht="0.75" customHeight="1">
      <c r="AL867" s="53"/>
      <c r="AM867" s="126"/>
      <c r="AN867" s="236"/>
      <c r="AO867" s="250"/>
      <c r="AP867" s="260"/>
      <c r="AQ867" s="258"/>
      <c r="AR867" s="258"/>
      <c r="AS867" s="127"/>
    </row>
    <row r="868" spans="38:45" ht="0.75" customHeight="1">
      <c r="AL868" s="53"/>
      <c r="AM868" s="126"/>
      <c r="AN868" s="236"/>
      <c r="AO868" s="250"/>
      <c r="AP868" s="260"/>
      <c r="AQ868" s="258"/>
      <c r="AR868" s="258"/>
      <c r="AS868" s="127"/>
    </row>
    <row r="869" spans="38:45" ht="0.75" customHeight="1">
      <c r="AL869" s="53"/>
      <c r="AM869" s="126"/>
      <c r="AN869" s="236"/>
      <c r="AO869" s="250"/>
      <c r="AP869" s="260"/>
      <c r="AQ869" s="258"/>
      <c r="AR869" s="258"/>
      <c r="AS869" s="127"/>
    </row>
    <row r="870" spans="38:45" ht="0.75" customHeight="1">
      <c r="AL870" s="53"/>
      <c r="AM870" s="126"/>
      <c r="AN870" s="236"/>
      <c r="AO870" s="205"/>
      <c r="AP870" s="260"/>
      <c r="AQ870" s="258"/>
      <c r="AR870" s="258"/>
      <c r="AS870" s="127"/>
    </row>
    <row r="871" spans="38:45" ht="0.75" customHeight="1">
      <c r="AL871" s="50"/>
      <c r="AM871" s="126"/>
      <c r="AN871" s="236"/>
      <c r="AO871" s="250"/>
      <c r="AP871" s="260"/>
      <c r="AQ871" s="258"/>
      <c r="AR871" s="258"/>
      <c r="AS871" s="127"/>
    </row>
    <row r="872" spans="38:45" ht="33.75">
      <c r="AL872" s="50" t="s">
        <v>2482</v>
      </c>
      <c r="AM872" s="126"/>
      <c r="AN872" s="236" t="s">
        <v>2460</v>
      </c>
      <c r="AO872" s="325" t="s">
        <v>336</v>
      </c>
      <c r="AP872" s="257">
        <f>SUMIF(AQ$8:AR$8,"NO_TRANSPORT",AQ872:AR872)</f>
        <v>0</v>
      </c>
      <c r="AQ872" s="258"/>
      <c r="AR872" s="258"/>
      <c r="AS872" s="127"/>
    </row>
    <row r="873" spans="38:45" ht="33.75">
      <c r="AL873" s="50"/>
      <c r="AM873" s="126"/>
      <c r="AN873" s="236" t="s">
        <v>2483</v>
      </c>
      <c r="AO873" s="483" t="s">
        <v>337</v>
      </c>
      <c r="AP873" s="257">
        <f>SUMIF(AQ$8:AR$8,"NO_TRANSPORT",AQ873:AR873)</f>
        <v>0</v>
      </c>
      <c r="AQ873" s="258"/>
      <c r="AR873" s="258"/>
      <c r="AS873" s="127"/>
    </row>
    <row r="874" spans="38:45">
      <c r="AL874" s="50"/>
      <c r="AM874" s="126"/>
      <c r="AN874" s="236" t="s">
        <v>2484</v>
      </c>
      <c r="AO874" s="235" t="s">
        <v>2967</v>
      </c>
      <c r="AP874" s="254"/>
      <c r="AQ874" s="258"/>
      <c r="AR874" s="258"/>
      <c r="AS874" s="127"/>
    </row>
    <row r="875" spans="38:45" ht="67.5">
      <c r="AL875" s="53"/>
      <c r="AM875" s="126"/>
      <c r="AN875" s="436" t="s">
        <v>3083</v>
      </c>
      <c r="AO875" s="485" t="s">
        <v>2303</v>
      </c>
      <c r="AP875" s="257">
        <f>SUMIF(AQ$8:AR$8,"NO_TRANSPORT",AQ875:AR875)</f>
        <v>0</v>
      </c>
      <c r="AQ875" s="258"/>
      <c r="AR875" s="258"/>
      <c r="AS875" s="127"/>
    </row>
    <row r="876" spans="38:45" ht="0.75" customHeight="1">
      <c r="AL876" s="53"/>
      <c r="AM876" s="126"/>
      <c r="AN876" s="223"/>
      <c r="AO876" s="728"/>
      <c r="AP876" s="260"/>
      <c r="AQ876" s="258"/>
      <c r="AR876" s="258"/>
      <c r="AS876" s="127"/>
    </row>
    <row r="877" spans="38:45" ht="22.5">
      <c r="AL877" s="53"/>
      <c r="AM877" s="126"/>
      <c r="AN877" s="236" t="s">
        <v>2490</v>
      </c>
      <c r="AO877" s="721" t="str">
        <f>"Общий доход организации от реализации потребителям без учёта НДС, исходя из утверждённых тарифов на " &amp; AN10</f>
        <v>Общий доход организации от реализации потребителям без учёта НДС, исходя из утверждённых тарифов на 01.01 - 30.06</v>
      </c>
      <c r="AP877" s="257">
        <f>SUM(AQ877:AR877)</f>
        <v>0</v>
      </c>
      <c r="AQ877" s="258"/>
      <c r="AR877" s="258"/>
      <c r="AS877" s="127"/>
    </row>
    <row r="878" spans="38:45" ht="22.5">
      <c r="AL878" s="53"/>
      <c r="AM878" s="126"/>
      <c r="AN878" s="236" t="s">
        <v>2491</v>
      </c>
      <c r="AO878" s="230" t="str">
        <f>"Полезный отпуск продукции на реализацию потребителям (Гкал) на " &amp; AN10</f>
        <v>Полезный отпуск продукции на реализацию потребителям (Гкал) на 01.01 - 30.06</v>
      </c>
      <c r="AP878" s="257">
        <f>SUMIF(AQ$8:AR$8,"NO_TRANSPORT",AQ878:AR878)</f>
        <v>0</v>
      </c>
      <c r="AQ878" s="258"/>
      <c r="AR878" s="258"/>
      <c r="AS878" s="127"/>
    </row>
    <row r="879" spans="38:45" ht="22.5">
      <c r="AL879" s="53"/>
      <c r="AM879" s="126"/>
      <c r="AN879" s="236" t="s">
        <v>2492</v>
      </c>
      <c r="AO879" s="230" t="str">
        <f>"Организации-перепродавцы / энергоснабжающие организации на " &amp; AN10</f>
        <v>Организации-перепродавцы / энергоснабжающие организации на 01.01 - 30.06</v>
      </c>
      <c r="AP879" s="257">
        <f>SUM(AQ879:AR879)</f>
        <v>0</v>
      </c>
      <c r="AQ879" s="258"/>
      <c r="AR879" s="258"/>
      <c r="AS879" s="127"/>
    </row>
    <row r="880" spans="38:45" ht="22.5">
      <c r="AL880" s="53"/>
      <c r="AM880" s="126"/>
      <c r="AN880" s="239" t="str">
        <f>AN879 &amp; ".1"</f>
        <v>22.1.1</v>
      </c>
      <c r="AO880" s="231" t="str">
        <f>"средневзвешенный тариф (" &amp; TRANSMISSION_TARIFF &amp; " - передача, руб./Гкал - остальные)"</f>
        <v>средневзвешенный тариф (руб/куб.м - передача, руб./Гкал - остальные)</v>
      </c>
      <c r="AP880" s="254"/>
      <c r="AQ880" s="258"/>
      <c r="AR880" s="258"/>
      <c r="AS880" s="127"/>
    </row>
    <row r="881" spans="38:45">
      <c r="AL881" s="53"/>
      <c r="AM881" s="126"/>
      <c r="AN881" s="239" t="str">
        <f>AN879 &amp; ".2"</f>
        <v>22.1.2</v>
      </c>
      <c r="AO881" s="231" t="s">
        <v>2493</v>
      </c>
      <c r="AP881" s="257">
        <f>SUMIF(AQ$8:AR$8,"NO_TRANSPORT",AQ881:AR881)</f>
        <v>0</v>
      </c>
      <c r="AQ881" s="258"/>
      <c r="AR881" s="258"/>
      <c r="AS881" s="127"/>
    </row>
    <row r="882" spans="38:45">
      <c r="AL882" s="53"/>
      <c r="AM882" s="126"/>
      <c r="AN882" s="236" t="s">
        <v>2494</v>
      </c>
      <c r="AO882" s="230" t="str">
        <f>"Бюджетные потребители на " &amp; AN10</f>
        <v>Бюджетные потребители на 01.01 - 30.06</v>
      </c>
      <c r="AP882" s="257">
        <f>SUM(AQ882:AR882)</f>
        <v>0</v>
      </c>
      <c r="AQ882" s="258"/>
      <c r="AR882" s="258"/>
      <c r="AS882" s="127"/>
    </row>
    <row r="883" spans="38:45" ht="22.5">
      <c r="AL883" s="53"/>
      <c r="AM883" s="126"/>
      <c r="AN883" s="239" t="str">
        <f>AN882 &amp; ".1"</f>
        <v>22.2.1</v>
      </c>
      <c r="AO883" s="231" t="str">
        <f>"средневзвешенный тариф (" &amp; TRANSMISSION_TARIFF &amp; " - передача, руб./Гкал - остальные)"</f>
        <v>средневзвешенный тариф (руб/куб.м - передача, руб./Гкал - остальные)</v>
      </c>
      <c r="AP883" s="254"/>
      <c r="AQ883" s="258"/>
      <c r="AR883" s="258"/>
      <c r="AS883" s="127"/>
    </row>
    <row r="884" spans="38:45">
      <c r="AL884" s="53"/>
      <c r="AM884" s="126"/>
      <c r="AN884" s="239" t="str">
        <f>AN882 &amp; ".2"</f>
        <v>22.2.2</v>
      </c>
      <c r="AO884" s="231" t="s">
        <v>2493</v>
      </c>
      <c r="AP884" s="257">
        <f>SUMIF(AQ$8:AR$8,"NO_TRANSPORT",AQ884:AR884)</f>
        <v>0</v>
      </c>
      <c r="AQ884" s="258"/>
      <c r="AR884" s="258"/>
      <c r="AS884" s="127"/>
    </row>
    <row r="885" spans="38:45">
      <c r="AL885" s="53"/>
      <c r="AM885" s="126"/>
      <c r="AN885" s="236" t="s">
        <v>2495</v>
      </c>
      <c r="AO885" s="230" t="str">
        <f>"Население на " &amp; AN10</f>
        <v>Население на 01.01 - 30.06</v>
      </c>
      <c r="AP885" s="257">
        <f>SUM(AQ885:AR885)</f>
        <v>0</v>
      </c>
      <c r="AQ885" s="258"/>
      <c r="AR885" s="258"/>
      <c r="AS885" s="127"/>
    </row>
    <row r="886" spans="38:45" ht="22.5">
      <c r="AL886" s="53"/>
      <c r="AM886" s="126"/>
      <c r="AN886" s="239" t="str">
        <f>AN885 &amp; ".1"</f>
        <v>22.3.1</v>
      </c>
      <c r="AO886" s="231" t="str">
        <f>"средневзвешенный тариф (" &amp; TRANSMISSION_TARIFF &amp; " - передача, руб./Гкал - остальные)"</f>
        <v>средневзвешенный тариф (руб/куб.м - передача, руб./Гкал - остальные)</v>
      </c>
      <c r="AP886" s="254"/>
      <c r="AQ886" s="258"/>
      <c r="AR886" s="258"/>
      <c r="AS886" s="127"/>
    </row>
    <row r="887" spans="38:45">
      <c r="AL887" s="53"/>
      <c r="AM887" s="126"/>
      <c r="AN887" s="239" t="str">
        <f>AN885 &amp; ".2"</f>
        <v>22.3.2</v>
      </c>
      <c r="AO887" s="231" t="s">
        <v>2493</v>
      </c>
      <c r="AP887" s="257">
        <f>SUMIF(AQ$8:AR$8,"NO_TRANSPORT",AQ887:AR887)</f>
        <v>0</v>
      </c>
      <c r="AQ887" s="258"/>
      <c r="AR887" s="258"/>
      <c r="AS887" s="127"/>
    </row>
    <row r="888" spans="38:45">
      <c r="AL888" s="53"/>
      <c r="AM888" s="126"/>
      <c r="AN888" s="236" t="s">
        <v>2496</v>
      </c>
      <c r="AO888" s="230" t="str">
        <f>"Прочие на " &amp; AN10</f>
        <v>Прочие на 01.01 - 30.06</v>
      </c>
      <c r="AP888" s="257">
        <f>SUM(AQ888:AR888)</f>
        <v>0</v>
      </c>
      <c r="AQ888" s="258"/>
      <c r="AR888" s="258"/>
      <c r="AS888" s="127"/>
    </row>
    <row r="889" spans="38:45" ht="22.5">
      <c r="AL889" s="53"/>
      <c r="AM889" s="126"/>
      <c r="AN889" s="239" t="str">
        <f>AN888 &amp; ".1"</f>
        <v>22.4.1</v>
      </c>
      <c r="AO889" s="231" t="str">
        <f>"средневзвешенный тариф (" &amp; TRANSMISSION_TARIFF &amp; " - передача, руб./Гкал - остальные)"</f>
        <v>средневзвешенный тариф (руб/куб.м - передача, руб./Гкал - остальные)</v>
      </c>
      <c r="AP889" s="254"/>
      <c r="AQ889" s="258"/>
      <c r="AR889" s="258"/>
      <c r="AS889" s="127"/>
    </row>
    <row r="890" spans="38:45">
      <c r="AL890" s="53"/>
      <c r="AM890" s="126"/>
      <c r="AN890" s="239" t="str">
        <f>AN888 &amp; ".2"</f>
        <v>22.4.2</v>
      </c>
      <c r="AO890" s="231" t="s">
        <v>2493</v>
      </c>
      <c r="AP890" s="257">
        <f>SUMIF(AQ$8:AR$8,"NO_TRANSPORT",AQ890:AR890)</f>
        <v>0</v>
      </c>
      <c r="AQ890" s="258"/>
      <c r="AR890" s="258"/>
      <c r="AS890" s="127"/>
    </row>
    <row r="891" spans="38:45" ht="0.75" customHeight="1">
      <c r="AL891" s="53"/>
      <c r="AM891" s="126"/>
      <c r="AN891" s="236"/>
      <c r="AO891" s="205"/>
      <c r="AP891" s="264"/>
      <c r="AQ891" s="258"/>
      <c r="AR891" s="258"/>
      <c r="AS891" s="127"/>
    </row>
    <row r="892" spans="38:45">
      <c r="AL892" s="53"/>
      <c r="AM892" s="126"/>
      <c r="AN892" s="722" t="s">
        <v>2725</v>
      </c>
      <c r="AO892" s="721" t="s">
        <v>2724</v>
      </c>
      <c r="AP892" s="257">
        <f>SUM(AQ892:AR892)</f>
        <v>0</v>
      </c>
      <c r="AQ892" s="258"/>
      <c r="AR892" s="258"/>
      <c r="AS892" s="127"/>
    </row>
    <row r="893" spans="38:45" hidden="1">
      <c r="AL893" s="53"/>
      <c r="AM893" s="126"/>
      <c r="AN893" s="236"/>
      <c r="AO893" s="231"/>
      <c r="AP893" s="260"/>
      <c r="AQ893" s="258"/>
      <c r="AR893" s="258"/>
      <c r="AS893" s="127"/>
    </row>
    <row r="894" spans="38:45" hidden="1">
      <c r="AL894" s="53"/>
      <c r="AM894" s="126"/>
      <c r="AN894" s="236"/>
      <c r="AO894" s="231"/>
      <c r="AP894" s="260"/>
      <c r="AQ894" s="258"/>
      <c r="AR894" s="258"/>
      <c r="AS894" s="127"/>
    </row>
    <row r="895" spans="38:45" hidden="1">
      <c r="AL895" s="53"/>
      <c r="AM895" s="126"/>
      <c r="AN895" s="236"/>
      <c r="AO895" s="231"/>
      <c r="AP895" s="260"/>
      <c r="AQ895" s="258"/>
      <c r="AR895" s="258"/>
      <c r="AS895" s="127"/>
    </row>
    <row r="896" spans="38:45" hidden="1">
      <c r="AL896" s="53"/>
      <c r="AM896" s="126"/>
      <c r="AN896" s="236"/>
      <c r="AO896" s="231"/>
      <c r="AP896" s="260"/>
      <c r="AQ896" s="258"/>
      <c r="AR896" s="258"/>
      <c r="AS896" s="127"/>
    </row>
    <row r="897" spans="10:45" hidden="1">
      <c r="AL897" s="53"/>
      <c r="AM897" s="126"/>
      <c r="AN897" s="236"/>
      <c r="AO897" s="231"/>
      <c r="AP897" s="260"/>
      <c r="AQ897" s="258"/>
      <c r="AR897" s="258"/>
      <c r="AS897" s="127"/>
    </row>
    <row r="898" spans="10:45" hidden="1">
      <c r="AL898" s="53"/>
      <c r="AM898" s="126"/>
      <c r="AN898" s="236"/>
      <c r="AO898" s="231"/>
      <c r="AP898" s="260"/>
      <c r="AQ898" s="258"/>
      <c r="AR898" s="258"/>
      <c r="AS898" s="127"/>
    </row>
    <row r="899" spans="10:45" s="48" customFormat="1" hidden="1">
      <c r="J899" s="213"/>
      <c r="K899" s="213"/>
      <c r="L899" s="213"/>
      <c r="M899" s="213"/>
      <c r="N899" s="213"/>
      <c r="O899" s="213"/>
      <c r="P899" s="213"/>
      <c r="Q899" s="213"/>
      <c r="R899" s="213"/>
      <c r="S899" s="213"/>
      <c r="T899" s="213"/>
      <c r="U899" s="213"/>
      <c r="V899" s="213"/>
      <c r="W899" s="213"/>
      <c r="X899" s="213"/>
      <c r="Y899" s="213"/>
      <c r="Z899" s="213"/>
      <c r="AA899" s="213"/>
      <c r="AB899" s="213"/>
      <c r="AC899" s="213"/>
      <c r="AD899" s="213"/>
      <c r="AE899" s="213"/>
      <c r="AF899" s="213"/>
      <c r="AG899" s="213"/>
      <c r="AH899" s="213"/>
      <c r="AI899" s="213"/>
      <c r="AJ899" s="213"/>
      <c r="AK899" s="213"/>
      <c r="AL899" s="213"/>
      <c r="AM899" s="213"/>
      <c r="AN899" s="283"/>
      <c r="AO899" s="284"/>
      <c r="AP899" s="285"/>
      <c r="AQ899" s="258"/>
      <c r="AR899" s="258"/>
    </row>
    <row r="900" spans="10:45" s="48" customFormat="1" hidden="1">
      <c r="J900" s="213"/>
      <c r="K900" s="213"/>
      <c r="L900" s="213"/>
      <c r="M900" s="213"/>
      <c r="N900" s="213"/>
      <c r="O900" s="213"/>
      <c r="P900" s="213"/>
      <c r="Q900" s="213"/>
      <c r="R900" s="213"/>
      <c r="S900" s="213"/>
      <c r="T900" s="213"/>
      <c r="U900" s="213"/>
      <c r="V900" s="213"/>
      <c r="W900" s="213"/>
      <c r="X900" s="213"/>
      <c r="Y900" s="213"/>
      <c r="Z900" s="213"/>
      <c r="AA900" s="213"/>
      <c r="AB900" s="213"/>
      <c r="AC900" s="213"/>
      <c r="AD900" s="213"/>
      <c r="AE900" s="213"/>
      <c r="AF900" s="213"/>
      <c r="AG900" s="213"/>
      <c r="AH900" s="213"/>
      <c r="AI900" s="213"/>
      <c r="AJ900" s="213"/>
      <c r="AK900" s="213"/>
      <c r="AL900" s="213"/>
      <c r="AM900" s="213"/>
      <c r="AN900" s="283"/>
      <c r="AO900" s="284"/>
      <c r="AP900" s="285"/>
      <c r="AQ900" s="258"/>
      <c r="AR900" s="258"/>
    </row>
    <row r="901" spans="10:45" s="48" customFormat="1" hidden="1">
      <c r="J901" s="213"/>
      <c r="K901" s="213"/>
      <c r="L901" s="213"/>
      <c r="M901" s="213"/>
      <c r="N901" s="213"/>
      <c r="O901" s="213"/>
      <c r="P901" s="213"/>
      <c r="Q901" s="213"/>
      <c r="R901" s="213"/>
      <c r="S901" s="213"/>
      <c r="T901" s="213"/>
      <c r="U901" s="213"/>
      <c r="V901" s="213"/>
      <c r="W901" s="213"/>
      <c r="X901" s="213"/>
      <c r="Y901" s="213"/>
      <c r="Z901" s="213"/>
      <c r="AA901" s="213"/>
      <c r="AB901" s="213"/>
      <c r="AC901" s="213"/>
      <c r="AD901" s="213"/>
      <c r="AE901" s="213"/>
      <c r="AF901" s="213"/>
      <c r="AG901" s="213"/>
      <c r="AH901" s="213"/>
      <c r="AI901" s="213"/>
      <c r="AJ901" s="213"/>
      <c r="AK901" s="213"/>
      <c r="AL901" s="213"/>
      <c r="AM901" s="213"/>
      <c r="AN901" s="283"/>
      <c r="AO901" s="284"/>
      <c r="AP901" s="285"/>
      <c r="AQ901" s="258"/>
      <c r="AR901" s="258"/>
    </row>
    <row r="902" spans="10:45" s="48" customFormat="1" hidden="1">
      <c r="J902" s="213"/>
      <c r="K902" s="213"/>
      <c r="L902" s="213"/>
      <c r="M902" s="213"/>
      <c r="N902" s="213"/>
      <c r="O902" s="213"/>
      <c r="P902" s="213"/>
      <c r="Q902" s="213"/>
      <c r="R902" s="213"/>
      <c r="S902" s="213"/>
      <c r="T902" s="213"/>
      <c r="U902" s="213"/>
      <c r="V902" s="213"/>
      <c r="W902" s="213"/>
      <c r="X902" s="213"/>
      <c r="Y902" s="213"/>
      <c r="Z902" s="213"/>
      <c r="AA902" s="213"/>
      <c r="AB902" s="213"/>
      <c r="AC902" s="213"/>
      <c r="AD902" s="213"/>
      <c r="AE902" s="213"/>
      <c r="AF902" s="213"/>
      <c r="AG902" s="213"/>
      <c r="AH902" s="213"/>
      <c r="AI902" s="213"/>
      <c r="AJ902" s="213"/>
      <c r="AK902" s="213"/>
      <c r="AL902" s="213"/>
      <c r="AM902" s="213"/>
      <c r="AN902" s="283"/>
      <c r="AO902" s="284"/>
      <c r="AP902" s="285"/>
      <c r="AQ902" s="258"/>
      <c r="AR902" s="258"/>
    </row>
    <row r="903" spans="10:45" s="48" customFormat="1" hidden="1">
      <c r="J903" s="213"/>
      <c r="K903" s="213"/>
      <c r="L903" s="213"/>
      <c r="M903" s="213"/>
      <c r="N903" s="213"/>
      <c r="O903" s="213"/>
      <c r="P903" s="213"/>
      <c r="Q903" s="213"/>
      <c r="R903" s="213"/>
      <c r="S903" s="213"/>
      <c r="T903" s="213"/>
      <c r="U903" s="213"/>
      <c r="V903" s="213"/>
      <c r="W903" s="213"/>
      <c r="X903" s="213"/>
      <c r="Y903" s="213"/>
      <c r="Z903" s="213"/>
      <c r="AA903" s="213"/>
      <c r="AB903" s="213"/>
      <c r="AC903" s="213"/>
      <c r="AD903" s="213"/>
      <c r="AE903" s="213"/>
      <c r="AF903" s="213"/>
      <c r="AG903" s="213"/>
      <c r="AH903" s="213"/>
      <c r="AI903" s="213"/>
      <c r="AJ903" s="213"/>
      <c r="AK903" s="213"/>
      <c r="AL903" s="213"/>
      <c r="AM903" s="213"/>
      <c r="AN903" s="283"/>
      <c r="AO903" s="284"/>
      <c r="AP903" s="285"/>
      <c r="AQ903" s="258"/>
      <c r="AR903" s="258"/>
    </row>
    <row r="904" spans="10:45" s="48" customFormat="1" hidden="1">
      <c r="J904" s="213"/>
      <c r="K904" s="213"/>
      <c r="L904" s="213"/>
      <c r="M904" s="213"/>
      <c r="N904" s="213"/>
      <c r="O904" s="213"/>
      <c r="P904" s="213"/>
      <c r="Q904" s="213"/>
      <c r="R904" s="213"/>
      <c r="S904" s="213"/>
      <c r="T904" s="213"/>
      <c r="U904" s="213"/>
      <c r="V904" s="213"/>
      <c r="W904" s="213"/>
      <c r="X904" s="213"/>
      <c r="Y904" s="213"/>
      <c r="Z904" s="213"/>
      <c r="AA904" s="213"/>
      <c r="AB904" s="213"/>
      <c r="AC904" s="213"/>
      <c r="AD904" s="213"/>
      <c r="AE904" s="213"/>
      <c r="AF904" s="213"/>
      <c r="AG904" s="213"/>
      <c r="AH904" s="213"/>
      <c r="AI904" s="213"/>
      <c r="AJ904" s="213"/>
      <c r="AK904" s="213"/>
      <c r="AL904" s="213"/>
      <c r="AM904" s="213"/>
      <c r="AN904" s="283"/>
      <c r="AO904" s="284"/>
      <c r="AP904" s="285"/>
      <c r="AQ904" s="258"/>
      <c r="AR904" s="258"/>
    </row>
    <row r="905" spans="10:45" s="48" customFormat="1" hidden="1">
      <c r="J905" s="213"/>
      <c r="K905" s="213"/>
      <c r="L905" s="213"/>
      <c r="M905" s="213"/>
      <c r="N905" s="213"/>
      <c r="O905" s="213"/>
      <c r="P905" s="213"/>
      <c r="Q905" s="213"/>
      <c r="R905" s="213"/>
      <c r="S905" s="213"/>
      <c r="T905" s="213"/>
      <c r="U905" s="213"/>
      <c r="V905" s="213"/>
      <c r="W905" s="213"/>
      <c r="X905" s="213"/>
      <c r="Y905" s="213"/>
      <c r="Z905" s="213"/>
      <c r="AA905" s="213"/>
      <c r="AB905" s="213"/>
      <c r="AC905" s="213"/>
      <c r="AD905" s="213"/>
      <c r="AE905" s="213"/>
      <c r="AF905" s="213"/>
      <c r="AG905" s="213"/>
      <c r="AH905" s="213"/>
      <c r="AI905" s="213"/>
      <c r="AJ905" s="213"/>
      <c r="AK905" s="213"/>
      <c r="AL905" s="213"/>
      <c r="AM905" s="213"/>
      <c r="AN905" s="283"/>
      <c r="AO905" s="284"/>
      <c r="AP905" s="285"/>
      <c r="AQ905" s="258"/>
      <c r="AR905" s="258"/>
    </row>
    <row r="906" spans="10:45" s="48" customFormat="1" hidden="1">
      <c r="J906" s="213"/>
      <c r="K906" s="213"/>
      <c r="L906" s="213"/>
      <c r="M906" s="213"/>
      <c r="N906" s="213"/>
      <c r="O906" s="213"/>
      <c r="P906" s="213"/>
      <c r="Q906" s="213"/>
      <c r="R906" s="213"/>
      <c r="S906" s="213"/>
      <c r="T906" s="213"/>
      <c r="U906" s="213"/>
      <c r="V906" s="213"/>
      <c r="W906" s="213"/>
      <c r="X906" s="213"/>
      <c r="Y906" s="213"/>
      <c r="Z906" s="213"/>
      <c r="AA906" s="213"/>
      <c r="AB906" s="213"/>
      <c r="AC906" s="213"/>
      <c r="AD906" s="213"/>
      <c r="AE906" s="213"/>
      <c r="AF906" s="213"/>
      <c r="AG906" s="213"/>
      <c r="AH906" s="213"/>
      <c r="AI906" s="213"/>
      <c r="AJ906" s="213"/>
      <c r="AK906" s="213"/>
      <c r="AL906" s="213"/>
      <c r="AM906" s="213"/>
      <c r="AN906" s="283"/>
      <c r="AO906" s="284"/>
      <c r="AP906" s="285"/>
      <c r="AQ906" s="258"/>
      <c r="AR906" s="258"/>
    </row>
    <row r="907" spans="10:45" s="48" customFormat="1" hidden="1">
      <c r="J907" s="213"/>
      <c r="K907" s="213"/>
      <c r="L907" s="213"/>
      <c r="M907" s="213"/>
      <c r="N907" s="213"/>
      <c r="O907" s="213"/>
      <c r="P907" s="213"/>
      <c r="Q907" s="213"/>
      <c r="R907" s="213"/>
      <c r="S907" s="213"/>
      <c r="T907" s="213"/>
      <c r="U907" s="213"/>
      <c r="V907" s="213"/>
      <c r="W907" s="213"/>
      <c r="X907" s="213"/>
      <c r="Y907" s="213"/>
      <c r="Z907" s="213"/>
      <c r="AA907" s="213"/>
      <c r="AB907" s="213"/>
      <c r="AC907" s="213"/>
      <c r="AD907" s="213"/>
      <c r="AE907" s="213"/>
      <c r="AF907" s="213"/>
      <c r="AG907" s="213"/>
      <c r="AH907" s="213"/>
      <c r="AI907" s="213"/>
      <c r="AJ907" s="213"/>
      <c r="AK907" s="213"/>
      <c r="AL907" s="213"/>
      <c r="AM907" s="213"/>
      <c r="AN907" s="283"/>
      <c r="AO907" s="284"/>
      <c r="AP907" s="285"/>
      <c r="AQ907" s="258"/>
      <c r="AR907" s="258"/>
    </row>
    <row r="908" spans="10:45" s="48" customFormat="1" hidden="1">
      <c r="J908" s="213"/>
      <c r="K908" s="213"/>
      <c r="L908" s="213"/>
      <c r="M908" s="213"/>
      <c r="N908" s="213"/>
      <c r="O908" s="213"/>
      <c r="P908" s="213"/>
      <c r="Q908" s="213"/>
      <c r="R908" s="213"/>
      <c r="S908" s="213"/>
      <c r="T908" s="213"/>
      <c r="U908" s="213"/>
      <c r="V908" s="213"/>
      <c r="W908" s="213"/>
      <c r="X908" s="213"/>
      <c r="Y908" s="213"/>
      <c r="Z908" s="213"/>
      <c r="AA908" s="213"/>
      <c r="AB908" s="213"/>
      <c r="AC908" s="213"/>
      <c r="AD908" s="213"/>
      <c r="AE908" s="213"/>
      <c r="AF908" s="213"/>
      <c r="AG908" s="213"/>
      <c r="AH908" s="213"/>
      <c r="AI908" s="213"/>
      <c r="AJ908" s="213"/>
      <c r="AK908" s="213"/>
      <c r="AL908" s="213"/>
      <c r="AM908" s="213"/>
      <c r="AN908" s="283"/>
      <c r="AO908" s="284"/>
      <c r="AP908" s="285"/>
      <c r="AQ908" s="258"/>
      <c r="AR908" s="258"/>
    </row>
    <row r="909" spans="10:45" s="48" customFormat="1" hidden="1">
      <c r="J909" s="213"/>
      <c r="K909" s="213"/>
      <c r="L909" s="213"/>
      <c r="M909" s="213"/>
      <c r="N909" s="213"/>
      <c r="O909" s="213"/>
      <c r="P909" s="213"/>
      <c r="Q909" s="213"/>
      <c r="R909" s="213"/>
      <c r="S909" s="213"/>
      <c r="T909" s="213"/>
      <c r="U909" s="213"/>
      <c r="V909" s="213"/>
      <c r="W909" s="213"/>
      <c r="X909" s="213"/>
      <c r="Y909" s="213"/>
      <c r="Z909" s="213"/>
      <c r="AA909" s="213"/>
      <c r="AB909" s="213"/>
      <c r="AC909" s="213"/>
      <c r="AD909" s="213"/>
      <c r="AE909" s="213"/>
      <c r="AF909" s="213"/>
      <c r="AG909" s="213"/>
      <c r="AH909" s="213"/>
      <c r="AI909" s="213"/>
      <c r="AJ909" s="213"/>
      <c r="AK909" s="213"/>
      <c r="AL909" s="213"/>
      <c r="AM909" s="213"/>
      <c r="AN909" s="283"/>
      <c r="AO909" s="284"/>
      <c r="AP909" s="285"/>
      <c r="AQ909" s="258"/>
      <c r="AR909" s="258"/>
    </row>
    <row r="910" spans="10:45" s="48" customFormat="1" hidden="1">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83"/>
      <c r="AO910" s="284"/>
      <c r="AP910" s="285"/>
      <c r="AQ910" s="258"/>
      <c r="AR910" s="258"/>
    </row>
    <row r="911" spans="10:45" s="48" customFormat="1" hidden="1">
      <c r="J911" s="213"/>
      <c r="K911" s="213"/>
      <c r="L911" s="213"/>
      <c r="M911" s="213"/>
      <c r="N911" s="213"/>
      <c r="O911" s="213"/>
      <c r="P911" s="213"/>
      <c r="Q911" s="213"/>
      <c r="R911" s="213"/>
      <c r="S911" s="213"/>
      <c r="T911" s="213"/>
      <c r="U911" s="213"/>
      <c r="V911" s="213"/>
      <c r="W911" s="213"/>
      <c r="X911" s="213"/>
      <c r="Y911" s="213"/>
      <c r="Z911" s="213"/>
      <c r="AA911" s="213"/>
      <c r="AB911" s="213"/>
      <c r="AC911" s="213"/>
      <c r="AD911" s="213"/>
      <c r="AE911" s="213"/>
      <c r="AF911" s="213"/>
      <c r="AG911" s="213"/>
      <c r="AH911" s="213"/>
      <c r="AI911" s="213"/>
      <c r="AJ911" s="213"/>
      <c r="AK911" s="213"/>
      <c r="AL911" s="213"/>
      <c r="AM911" s="213"/>
      <c r="AN911" s="283"/>
      <c r="AO911" s="284"/>
      <c r="AP911" s="285"/>
      <c r="AQ911" s="258"/>
      <c r="AR911" s="258"/>
    </row>
    <row r="912" spans="10:45" s="48" customFormat="1" hidden="1">
      <c r="J912" s="213"/>
      <c r="K912" s="213"/>
      <c r="L912" s="213"/>
      <c r="M912" s="213"/>
      <c r="N912" s="213"/>
      <c r="O912" s="213"/>
      <c r="P912" s="213"/>
      <c r="Q912" s="213"/>
      <c r="R912" s="213"/>
      <c r="S912" s="213"/>
      <c r="T912" s="213"/>
      <c r="U912" s="213"/>
      <c r="V912" s="213"/>
      <c r="W912" s="213"/>
      <c r="X912" s="213"/>
      <c r="Y912" s="213"/>
      <c r="Z912" s="213"/>
      <c r="AA912" s="213"/>
      <c r="AB912" s="213"/>
      <c r="AC912" s="213"/>
      <c r="AD912" s="213"/>
      <c r="AE912" s="213"/>
      <c r="AF912" s="213"/>
      <c r="AG912" s="213"/>
      <c r="AH912" s="213"/>
      <c r="AI912" s="213"/>
      <c r="AJ912" s="213"/>
      <c r="AK912" s="213"/>
      <c r="AL912" s="213"/>
      <c r="AM912" s="213"/>
      <c r="AN912" s="283"/>
      <c r="AO912" s="284"/>
      <c r="AP912" s="285"/>
      <c r="AQ912" s="258"/>
      <c r="AR912" s="258"/>
    </row>
    <row r="913" spans="10:44" s="48" customFormat="1" hidden="1">
      <c r="J913" s="213"/>
      <c r="K913" s="213"/>
      <c r="L913" s="213"/>
      <c r="M913" s="213"/>
      <c r="N913" s="213"/>
      <c r="O913" s="213"/>
      <c r="P913" s="213"/>
      <c r="Q913" s="213"/>
      <c r="R913" s="213"/>
      <c r="S913" s="213"/>
      <c r="T913" s="213"/>
      <c r="U913" s="213"/>
      <c r="V913" s="213"/>
      <c r="W913" s="213"/>
      <c r="X913" s="213"/>
      <c r="Y913" s="213"/>
      <c r="Z913" s="213"/>
      <c r="AA913" s="213"/>
      <c r="AB913" s="213"/>
      <c r="AC913" s="213"/>
      <c r="AD913" s="213"/>
      <c r="AE913" s="213"/>
      <c r="AF913" s="213"/>
      <c r="AG913" s="213"/>
      <c r="AH913" s="213"/>
      <c r="AI913" s="213"/>
      <c r="AJ913" s="213"/>
      <c r="AK913" s="213"/>
      <c r="AL913" s="213"/>
      <c r="AM913" s="213"/>
      <c r="AN913" s="283"/>
      <c r="AO913" s="284"/>
      <c r="AP913" s="285"/>
      <c r="AQ913" s="258"/>
      <c r="AR913" s="258"/>
    </row>
    <row r="914" spans="10:44" s="48" customFormat="1" hidden="1">
      <c r="J914" s="213"/>
      <c r="K914" s="213"/>
      <c r="L914" s="213"/>
      <c r="M914" s="213"/>
      <c r="N914" s="213"/>
      <c r="O914" s="213"/>
      <c r="P914" s="213"/>
      <c r="Q914" s="213"/>
      <c r="R914" s="213"/>
      <c r="S914" s="213"/>
      <c r="T914" s="213"/>
      <c r="U914" s="213"/>
      <c r="V914" s="213"/>
      <c r="W914" s="213"/>
      <c r="X914" s="213"/>
      <c r="Y914" s="213"/>
      <c r="Z914" s="213"/>
      <c r="AA914" s="213"/>
      <c r="AB914" s="213"/>
      <c r="AC914" s="213"/>
      <c r="AD914" s="213"/>
      <c r="AE914" s="213"/>
      <c r="AF914" s="213"/>
      <c r="AG914" s="213"/>
      <c r="AH914" s="213"/>
      <c r="AI914" s="213"/>
      <c r="AJ914" s="213"/>
      <c r="AK914" s="213"/>
      <c r="AL914" s="213"/>
      <c r="AM914" s="213"/>
      <c r="AN914" s="283"/>
      <c r="AO914" s="284"/>
      <c r="AP914" s="285"/>
      <c r="AQ914" s="258"/>
      <c r="AR914" s="258"/>
    </row>
    <row r="915" spans="10:44" s="48" customFormat="1" hidden="1">
      <c r="J915" s="213"/>
      <c r="K915" s="213"/>
      <c r="L915" s="213"/>
      <c r="M915" s="213"/>
      <c r="N915" s="213"/>
      <c r="O915" s="213"/>
      <c r="P915" s="213"/>
      <c r="Q915" s="213"/>
      <c r="R915" s="213"/>
      <c r="S915" s="213"/>
      <c r="T915" s="213"/>
      <c r="U915" s="213"/>
      <c r="V915" s="213"/>
      <c r="W915" s="213"/>
      <c r="X915" s="213"/>
      <c r="Y915" s="213"/>
      <c r="Z915" s="213"/>
      <c r="AA915" s="213"/>
      <c r="AB915" s="213"/>
      <c r="AC915" s="213"/>
      <c r="AD915" s="213"/>
      <c r="AE915" s="213"/>
      <c r="AF915" s="213"/>
      <c r="AG915" s="213"/>
      <c r="AH915" s="213"/>
      <c r="AI915" s="213"/>
      <c r="AJ915" s="213"/>
      <c r="AK915" s="213"/>
      <c r="AL915" s="213"/>
      <c r="AM915" s="213"/>
      <c r="AN915" s="283"/>
      <c r="AO915" s="284"/>
      <c r="AP915" s="285"/>
      <c r="AQ915" s="258"/>
      <c r="AR915" s="258"/>
    </row>
    <row r="916" spans="10:44" s="48" customFormat="1" hidden="1">
      <c r="J916" s="213"/>
      <c r="K916" s="213"/>
      <c r="L916" s="213"/>
      <c r="M916" s="213"/>
      <c r="N916" s="213"/>
      <c r="O916" s="213"/>
      <c r="P916" s="213"/>
      <c r="Q916" s="213"/>
      <c r="R916" s="213"/>
      <c r="S916" s="213"/>
      <c r="T916" s="213"/>
      <c r="U916" s="213"/>
      <c r="V916" s="213"/>
      <c r="W916" s="213"/>
      <c r="X916" s="213"/>
      <c r="Y916" s="213"/>
      <c r="Z916" s="213"/>
      <c r="AA916" s="213"/>
      <c r="AB916" s="213"/>
      <c r="AC916" s="213"/>
      <c r="AD916" s="213"/>
      <c r="AE916" s="213"/>
      <c r="AF916" s="213"/>
      <c r="AG916" s="213"/>
      <c r="AH916" s="213"/>
      <c r="AI916" s="213"/>
      <c r="AJ916" s="213"/>
      <c r="AK916" s="213"/>
      <c r="AL916" s="213"/>
      <c r="AM916" s="213"/>
      <c r="AN916" s="283"/>
      <c r="AO916" s="284"/>
      <c r="AP916" s="285"/>
      <c r="AQ916" s="258"/>
      <c r="AR916" s="258"/>
    </row>
    <row r="917" spans="10:44" s="48" customFormat="1" hidden="1">
      <c r="J917" s="213"/>
      <c r="K917" s="213"/>
      <c r="L917" s="213"/>
      <c r="M917" s="213"/>
      <c r="N917" s="213"/>
      <c r="O917" s="213"/>
      <c r="P917" s="213"/>
      <c r="Q917" s="213"/>
      <c r="R917" s="213"/>
      <c r="S917" s="213"/>
      <c r="T917" s="213"/>
      <c r="U917" s="213"/>
      <c r="V917" s="213"/>
      <c r="W917" s="213"/>
      <c r="X917" s="213"/>
      <c r="Y917" s="213"/>
      <c r="Z917" s="213"/>
      <c r="AA917" s="213"/>
      <c r="AB917" s="213"/>
      <c r="AC917" s="213"/>
      <c r="AD917" s="213"/>
      <c r="AE917" s="213"/>
      <c r="AF917" s="213"/>
      <c r="AG917" s="213"/>
      <c r="AH917" s="213"/>
      <c r="AI917" s="213"/>
      <c r="AJ917" s="213"/>
      <c r="AK917" s="213"/>
      <c r="AL917" s="213"/>
      <c r="AM917" s="213"/>
      <c r="AN917" s="283"/>
      <c r="AO917" s="284"/>
      <c r="AP917" s="285"/>
      <c r="AQ917" s="258"/>
      <c r="AR917" s="258"/>
    </row>
    <row r="918" spans="10:44" s="48" customFormat="1" ht="12" hidden="1" customHeight="1">
      <c r="J918" s="213"/>
      <c r="K918" s="213"/>
      <c r="L918" s="213"/>
      <c r="M918" s="213"/>
      <c r="N918" s="213"/>
      <c r="O918" s="213"/>
      <c r="P918" s="213"/>
      <c r="Q918" s="213"/>
      <c r="R918" s="213"/>
      <c r="S918" s="213"/>
      <c r="T918" s="213"/>
      <c r="U918" s="213"/>
      <c r="V918" s="213"/>
      <c r="W918" s="213"/>
      <c r="X918" s="213"/>
      <c r="Y918" s="213"/>
      <c r="Z918" s="213"/>
      <c r="AA918" s="213"/>
      <c r="AB918" s="213"/>
      <c r="AC918" s="213"/>
      <c r="AD918" s="213"/>
      <c r="AE918" s="213"/>
      <c r="AF918" s="213"/>
      <c r="AG918" s="213"/>
      <c r="AH918" s="213"/>
      <c r="AI918" s="213"/>
      <c r="AJ918" s="213"/>
      <c r="AK918" s="213"/>
      <c r="AL918" s="213"/>
      <c r="AM918" s="213"/>
      <c r="AN918" s="283"/>
      <c r="AO918" s="284"/>
      <c r="AP918" s="285"/>
      <c r="AQ918" s="258"/>
      <c r="AR918" s="258"/>
    </row>
    <row r="919" spans="10:44" s="48" customFormat="1" ht="12" hidden="1" customHeight="1">
      <c r="J919" s="213"/>
      <c r="K919" s="213"/>
      <c r="L919" s="213"/>
      <c r="M919" s="213"/>
      <c r="N919" s="213"/>
      <c r="O919" s="213"/>
      <c r="P919" s="213"/>
      <c r="Q919" s="213"/>
      <c r="R919" s="213"/>
      <c r="S919" s="213"/>
      <c r="T919" s="213"/>
      <c r="U919" s="213"/>
      <c r="V919" s="213"/>
      <c r="W919" s="213"/>
      <c r="X919" s="213"/>
      <c r="Y919" s="213"/>
      <c r="Z919" s="213"/>
      <c r="AA919" s="213"/>
      <c r="AB919" s="213"/>
      <c r="AC919" s="213"/>
      <c r="AD919" s="213"/>
      <c r="AE919" s="213"/>
      <c r="AF919" s="213"/>
      <c r="AG919" s="213"/>
      <c r="AH919" s="213"/>
      <c r="AI919" s="213"/>
      <c r="AJ919" s="213"/>
      <c r="AK919" s="213"/>
      <c r="AL919" s="213"/>
      <c r="AM919" s="213"/>
      <c r="AN919" s="283"/>
      <c r="AO919" s="284"/>
      <c r="AP919" s="285"/>
      <c r="AQ919" s="258"/>
      <c r="AR919" s="258"/>
    </row>
    <row r="920" spans="10:44" s="48" customFormat="1" ht="12" hidden="1" customHeight="1">
      <c r="J920" s="213"/>
      <c r="K920" s="213"/>
      <c r="L920" s="213"/>
      <c r="M920" s="213"/>
      <c r="N920" s="213"/>
      <c r="O920" s="213"/>
      <c r="P920" s="213"/>
      <c r="Q920" s="213"/>
      <c r="R920" s="213"/>
      <c r="S920" s="213"/>
      <c r="T920" s="213"/>
      <c r="U920" s="213"/>
      <c r="V920" s="213"/>
      <c r="W920" s="213"/>
      <c r="X920" s="213"/>
      <c r="Y920" s="213"/>
      <c r="Z920" s="213"/>
      <c r="AA920" s="213"/>
      <c r="AB920" s="213"/>
      <c r="AC920" s="213"/>
      <c r="AD920" s="213"/>
      <c r="AE920" s="213"/>
      <c r="AF920" s="213"/>
      <c r="AG920" s="213"/>
      <c r="AH920" s="213"/>
      <c r="AI920" s="213"/>
      <c r="AJ920" s="213"/>
      <c r="AK920" s="213"/>
      <c r="AL920" s="213"/>
      <c r="AM920" s="213"/>
      <c r="AN920" s="283"/>
      <c r="AO920" s="284"/>
      <c r="AP920" s="285"/>
      <c r="AQ920" s="258"/>
      <c r="AR920" s="258"/>
    </row>
    <row r="921" spans="10:44" s="48" customFormat="1" ht="12" hidden="1" customHeight="1">
      <c r="J921" s="213"/>
      <c r="K921" s="213"/>
      <c r="L921" s="213"/>
      <c r="M921" s="213"/>
      <c r="N921" s="213"/>
      <c r="O921" s="213"/>
      <c r="P921" s="213"/>
      <c r="Q921" s="213"/>
      <c r="R921" s="213"/>
      <c r="S921" s="213"/>
      <c r="T921" s="213"/>
      <c r="U921" s="213"/>
      <c r="V921" s="213"/>
      <c r="W921" s="213"/>
      <c r="X921" s="213"/>
      <c r="Y921" s="213"/>
      <c r="Z921" s="213"/>
      <c r="AA921" s="213"/>
      <c r="AB921" s="213"/>
      <c r="AC921" s="213"/>
      <c r="AD921" s="213"/>
      <c r="AE921" s="213"/>
      <c r="AF921" s="213"/>
      <c r="AG921" s="213"/>
      <c r="AH921" s="213"/>
      <c r="AI921" s="213"/>
      <c r="AJ921" s="213"/>
      <c r="AK921" s="213"/>
      <c r="AL921" s="213"/>
      <c r="AM921" s="213"/>
      <c r="AN921" s="283"/>
      <c r="AO921" s="284"/>
      <c r="AP921" s="285"/>
      <c r="AQ921" s="258"/>
      <c r="AR921" s="258"/>
    </row>
    <row r="922" spans="10:44" s="48" customFormat="1" ht="12" hidden="1" customHeight="1">
      <c r="J922" s="213"/>
      <c r="K922" s="213"/>
      <c r="L922" s="213"/>
      <c r="M922" s="213"/>
      <c r="N922" s="213"/>
      <c r="O922" s="213"/>
      <c r="P922" s="213"/>
      <c r="Q922" s="213"/>
      <c r="R922" s="213"/>
      <c r="S922" s="213"/>
      <c r="T922" s="213"/>
      <c r="U922" s="213"/>
      <c r="V922" s="213"/>
      <c r="W922" s="213"/>
      <c r="X922" s="213"/>
      <c r="Y922" s="213"/>
      <c r="Z922" s="213"/>
      <c r="AA922" s="213"/>
      <c r="AB922" s="213"/>
      <c r="AC922" s="213"/>
      <c r="AD922" s="213"/>
      <c r="AE922" s="213"/>
      <c r="AF922" s="213"/>
      <c r="AG922" s="213"/>
      <c r="AH922" s="213"/>
      <c r="AI922" s="213"/>
      <c r="AJ922" s="213"/>
      <c r="AK922" s="213"/>
      <c r="AL922" s="213"/>
      <c r="AM922" s="213"/>
      <c r="AN922" s="283"/>
      <c r="AO922" s="284"/>
      <c r="AP922" s="285"/>
      <c r="AQ922" s="258"/>
      <c r="AR922" s="258"/>
    </row>
    <row r="923" spans="10:44" s="48" customFormat="1" ht="12" hidden="1" customHeight="1">
      <c r="J923" s="213"/>
      <c r="K923" s="213"/>
      <c r="L923" s="213"/>
      <c r="M923" s="213"/>
      <c r="N923" s="213"/>
      <c r="O923" s="213"/>
      <c r="P923" s="213"/>
      <c r="Q923" s="213"/>
      <c r="R923" s="213"/>
      <c r="S923" s="213"/>
      <c r="T923" s="213"/>
      <c r="U923" s="213"/>
      <c r="V923" s="213"/>
      <c r="W923" s="213"/>
      <c r="X923" s="213"/>
      <c r="Y923" s="213"/>
      <c r="Z923" s="213"/>
      <c r="AA923" s="213"/>
      <c r="AB923" s="213"/>
      <c r="AC923" s="213"/>
      <c r="AD923" s="213"/>
      <c r="AE923" s="213"/>
      <c r="AF923" s="213"/>
      <c r="AG923" s="213"/>
      <c r="AH923" s="213"/>
      <c r="AI923" s="213"/>
      <c r="AJ923" s="213"/>
      <c r="AK923" s="213"/>
      <c r="AL923" s="213"/>
      <c r="AM923" s="213"/>
      <c r="AN923" s="283"/>
      <c r="AO923" s="284"/>
      <c r="AP923" s="285"/>
      <c r="AQ923" s="258"/>
      <c r="AR923" s="258"/>
    </row>
    <row r="924" spans="10:44" s="48" customFormat="1" ht="12" hidden="1" customHeight="1">
      <c r="J924" s="213"/>
      <c r="K924" s="213"/>
      <c r="L924" s="213"/>
      <c r="M924" s="213"/>
      <c r="N924" s="213"/>
      <c r="O924" s="213"/>
      <c r="P924" s="213"/>
      <c r="Q924" s="213"/>
      <c r="R924" s="213"/>
      <c r="S924" s="213"/>
      <c r="T924" s="213"/>
      <c r="U924" s="213"/>
      <c r="V924" s="213"/>
      <c r="W924" s="213"/>
      <c r="X924" s="213"/>
      <c r="Y924" s="213"/>
      <c r="Z924" s="213"/>
      <c r="AA924" s="213"/>
      <c r="AB924" s="213"/>
      <c r="AC924" s="213"/>
      <c r="AD924" s="213"/>
      <c r="AE924" s="213"/>
      <c r="AF924" s="213"/>
      <c r="AG924" s="213"/>
      <c r="AH924" s="213"/>
      <c r="AI924" s="213"/>
      <c r="AJ924" s="213"/>
      <c r="AK924" s="213"/>
      <c r="AL924" s="213"/>
      <c r="AM924" s="213"/>
      <c r="AN924" s="283"/>
      <c r="AO924" s="284"/>
      <c r="AP924" s="285"/>
      <c r="AQ924" s="258"/>
      <c r="AR924" s="258"/>
    </row>
    <row r="925" spans="10:44" s="48" customFormat="1" ht="12" hidden="1" customHeight="1">
      <c r="J925" s="213"/>
      <c r="K925" s="213"/>
      <c r="L925" s="213"/>
      <c r="M925" s="213"/>
      <c r="N925" s="213"/>
      <c r="O925" s="213"/>
      <c r="P925" s="213"/>
      <c r="Q925" s="213"/>
      <c r="R925" s="213"/>
      <c r="S925" s="213"/>
      <c r="T925" s="213"/>
      <c r="U925" s="213"/>
      <c r="V925" s="213"/>
      <c r="W925" s="213"/>
      <c r="X925" s="213"/>
      <c r="Y925" s="213"/>
      <c r="Z925" s="213"/>
      <c r="AA925" s="213"/>
      <c r="AB925" s="213"/>
      <c r="AC925" s="213"/>
      <c r="AD925" s="213"/>
      <c r="AE925" s="213"/>
      <c r="AF925" s="213"/>
      <c r="AG925" s="213"/>
      <c r="AH925" s="213"/>
      <c r="AI925" s="213"/>
      <c r="AJ925" s="213"/>
      <c r="AK925" s="213"/>
      <c r="AL925" s="213"/>
      <c r="AM925" s="213"/>
      <c r="AN925" s="283"/>
      <c r="AO925" s="284"/>
      <c r="AP925" s="285"/>
      <c r="AQ925" s="258"/>
      <c r="AR925" s="258"/>
    </row>
    <row r="926" spans="10:44" s="48" customFormat="1" ht="12" hidden="1" customHeight="1">
      <c r="J926" s="213"/>
      <c r="K926" s="213"/>
      <c r="L926" s="213"/>
      <c r="M926" s="213"/>
      <c r="N926" s="213"/>
      <c r="O926" s="213"/>
      <c r="P926" s="213"/>
      <c r="Q926" s="213"/>
      <c r="R926" s="213"/>
      <c r="S926" s="213"/>
      <c r="T926" s="213"/>
      <c r="U926" s="213"/>
      <c r="V926" s="213"/>
      <c r="W926" s="213"/>
      <c r="X926" s="213"/>
      <c r="Y926" s="213"/>
      <c r="Z926" s="213"/>
      <c r="AA926" s="213"/>
      <c r="AB926" s="213"/>
      <c r="AC926" s="213"/>
      <c r="AD926" s="213"/>
      <c r="AE926" s="213"/>
      <c r="AF926" s="213"/>
      <c r="AG926" s="213"/>
      <c r="AH926" s="213"/>
      <c r="AI926" s="213"/>
      <c r="AJ926" s="213"/>
      <c r="AK926" s="213"/>
      <c r="AL926" s="213"/>
      <c r="AM926" s="213"/>
      <c r="AN926" s="302"/>
      <c r="AO926" s="303"/>
      <c r="AP926" s="285"/>
      <c r="AQ926" s="258"/>
      <c r="AR926" s="258"/>
    </row>
    <row r="927" spans="10:44" s="48" customFormat="1" ht="12" hidden="1" customHeight="1">
      <c r="J927" s="213"/>
      <c r="K927" s="213"/>
      <c r="L927" s="213"/>
      <c r="M927" s="213"/>
      <c r="N927" s="213"/>
      <c r="O927" s="213"/>
      <c r="P927" s="213"/>
      <c r="Q927" s="213"/>
      <c r="R927" s="213"/>
      <c r="S927" s="213"/>
      <c r="T927" s="213"/>
      <c r="U927" s="213"/>
      <c r="V927" s="213"/>
      <c r="W927" s="213"/>
      <c r="X927" s="213"/>
      <c r="Y927" s="213"/>
      <c r="Z927" s="213"/>
      <c r="AA927" s="213"/>
      <c r="AB927" s="213"/>
      <c r="AC927" s="213"/>
      <c r="AD927" s="213"/>
      <c r="AE927" s="213"/>
      <c r="AF927" s="213"/>
      <c r="AG927" s="213"/>
      <c r="AH927" s="213"/>
      <c r="AI927" s="213"/>
      <c r="AJ927" s="213"/>
      <c r="AK927" s="213"/>
      <c r="AL927" s="213"/>
      <c r="AM927" s="213"/>
      <c r="AN927" s="302"/>
      <c r="AO927" s="303"/>
      <c r="AP927" s="285"/>
      <c r="AQ927" s="258"/>
      <c r="AR927" s="258"/>
    </row>
    <row r="928" spans="10:44" s="48" customFormat="1" ht="12" hidden="1" customHeight="1">
      <c r="J928" s="213"/>
      <c r="K928" s="213"/>
      <c r="L928" s="213"/>
      <c r="M928" s="213"/>
      <c r="N928" s="213"/>
      <c r="O928" s="213"/>
      <c r="P928" s="213"/>
      <c r="Q928" s="213"/>
      <c r="R928" s="213"/>
      <c r="S928" s="213"/>
      <c r="T928" s="213"/>
      <c r="U928" s="213"/>
      <c r="V928" s="213"/>
      <c r="W928" s="213"/>
      <c r="X928" s="213"/>
      <c r="Y928" s="213"/>
      <c r="Z928" s="213"/>
      <c r="AA928" s="213"/>
      <c r="AB928" s="213"/>
      <c r="AC928" s="213"/>
      <c r="AD928" s="213"/>
      <c r="AE928" s="213"/>
      <c r="AF928" s="213"/>
      <c r="AG928" s="213"/>
      <c r="AH928" s="213"/>
      <c r="AI928" s="213"/>
      <c r="AJ928" s="213"/>
      <c r="AK928" s="213"/>
      <c r="AL928" s="213"/>
      <c r="AM928" s="213"/>
      <c r="AN928" s="302"/>
      <c r="AO928" s="303"/>
      <c r="AP928" s="285"/>
      <c r="AQ928" s="258"/>
      <c r="AR928" s="258"/>
    </row>
    <row r="929" spans="10:44" s="48" customFormat="1" ht="12" hidden="1" customHeight="1">
      <c r="J929" s="213"/>
      <c r="K929" s="213"/>
      <c r="L929" s="213"/>
      <c r="M929" s="213"/>
      <c r="N929" s="213"/>
      <c r="O929" s="213"/>
      <c r="P929" s="213"/>
      <c r="Q929" s="213"/>
      <c r="R929" s="213"/>
      <c r="S929" s="213"/>
      <c r="T929" s="213"/>
      <c r="U929" s="213"/>
      <c r="V929" s="213"/>
      <c r="W929" s="213"/>
      <c r="X929" s="213"/>
      <c r="Y929" s="213"/>
      <c r="Z929" s="213"/>
      <c r="AA929" s="213"/>
      <c r="AB929" s="213"/>
      <c r="AC929" s="213"/>
      <c r="AD929" s="213"/>
      <c r="AE929" s="213"/>
      <c r="AF929" s="213"/>
      <c r="AG929" s="213"/>
      <c r="AH929" s="213"/>
      <c r="AI929" s="213"/>
      <c r="AJ929" s="213"/>
      <c r="AK929" s="213"/>
      <c r="AL929" s="213"/>
      <c r="AM929" s="213"/>
      <c r="AN929" s="302"/>
      <c r="AO929" s="303"/>
      <c r="AP929" s="285"/>
      <c r="AQ929" s="258"/>
      <c r="AR929" s="258"/>
    </row>
    <row r="930" spans="10:44" s="48" customFormat="1" ht="12" hidden="1" customHeight="1">
      <c r="J930" s="213"/>
      <c r="K930" s="213"/>
      <c r="L930" s="213"/>
      <c r="M930" s="213"/>
      <c r="N930" s="213"/>
      <c r="O930" s="213"/>
      <c r="P930" s="213"/>
      <c r="Q930" s="213"/>
      <c r="R930" s="213"/>
      <c r="S930" s="213"/>
      <c r="T930" s="213"/>
      <c r="U930" s="213"/>
      <c r="V930" s="213"/>
      <c r="W930" s="213"/>
      <c r="X930" s="213"/>
      <c r="Y930" s="213"/>
      <c r="Z930" s="213"/>
      <c r="AA930" s="213"/>
      <c r="AB930" s="213"/>
      <c r="AC930" s="213"/>
      <c r="AD930" s="213"/>
      <c r="AE930" s="213"/>
      <c r="AF930" s="213"/>
      <c r="AG930" s="213"/>
      <c r="AH930" s="213"/>
      <c r="AI930" s="213"/>
      <c r="AJ930" s="213"/>
      <c r="AK930" s="213"/>
      <c r="AL930" s="213"/>
      <c r="AM930" s="213"/>
      <c r="AN930" s="302"/>
      <c r="AO930" s="303"/>
      <c r="AP930" s="285"/>
      <c r="AQ930" s="258"/>
      <c r="AR930" s="258"/>
    </row>
    <row r="931" spans="10:44" s="48" customFormat="1" ht="12" hidden="1" customHeight="1">
      <c r="J931" s="213"/>
      <c r="K931" s="213"/>
      <c r="L931" s="213"/>
      <c r="M931" s="213"/>
      <c r="N931" s="213"/>
      <c r="O931" s="213"/>
      <c r="P931" s="213"/>
      <c r="Q931" s="213"/>
      <c r="R931" s="213"/>
      <c r="S931" s="213"/>
      <c r="T931" s="213"/>
      <c r="U931" s="213"/>
      <c r="V931" s="213"/>
      <c r="W931" s="213"/>
      <c r="X931" s="213"/>
      <c r="Y931" s="213"/>
      <c r="Z931" s="213"/>
      <c r="AA931" s="213"/>
      <c r="AB931" s="213"/>
      <c r="AC931" s="213"/>
      <c r="AD931" s="213"/>
      <c r="AE931" s="213"/>
      <c r="AF931" s="213"/>
      <c r="AG931" s="213"/>
      <c r="AH931" s="213"/>
      <c r="AI931" s="213"/>
      <c r="AJ931" s="213"/>
      <c r="AK931" s="213"/>
      <c r="AL931" s="213"/>
      <c r="AM931" s="213"/>
      <c r="AN931" s="302"/>
      <c r="AO931" s="303"/>
      <c r="AP931" s="285"/>
      <c r="AQ931" s="258"/>
      <c r="AR931" s="258"/>
    </row>
    <row r="932" spans="10:44" s="48" customFormat="1" ht="12" hidden="1" customHeight="1">
      <c r="J932" s="213"/>
      <c r="K932" s="213"/>
      <c r="L932" s="213"/>
      <c r="M932" s="213"/>
      <c r="N932" s="213"/>
      <c r="O932" s="213"/>
      <c r="P932" s="213"/>
      <c r="Q932" s="213"/>
      <c r="R932" s="213"/>
      <c r="S932" s="213"/>
      <c r="T932" s="213"/>
      <c r="U932" s="213"/>
      <c r="V932" s="213"/>
      <c r="W932" s="213"/>
      <c r="X932" s="213"/>
      <c r="Y932" s="213"/>
      <c r="Z932" s="213"/>
      <c r="AA932" s="213"/>
      <c r="AB932" s="213"/>
      <c r="AC932" s="213"/>
      <c r="AD932" s="213"/>
      <c r="AE932" s="213"/>
      <c r="AF932" s="213"/>
      <c r="AG932" s="213"/>
      <c r="AH932" s="213"/>
      <c r="AI932" s="213"/>
      <c r="AJ932" s="213"/>
      <c r="AK932" s="213"/>
      <c r="AL932" s="213"/>
      <c r="AM932" s="213"/>
      <c r="AN932" s="302"/>
      <c r="AO932" s="303"/>
      <c r="AP932" s="285"/>
      <c r="AQ932" s="258"/>
      <c r="AR932" s="258"/>
    </row>
    <row r="933" spans="10:44" s="48" customFormat="1" ht="12" hidden="1" customHeight="1">
      <c r="J933" s="213"/>
      <c r="K933" s="213"/>
      <c r="L933" s="213"/>
      <c r="M933" s="213"/>
      <c r="N933" s="213"/>
      <c r="O933" s="213"/>
      <c r="P933" s="213"/>
      <c r="Q933" s="213"/>
      <c r="R933" s="213"/>
      <c r="S933" s="213"/>
      <c r="T933" s="213"/>
      <c r="U933" s="213"/>
      <c r="V933" s="213"/>
      <c r="W933" s="213"/>
      <c r="X933" s="213"/>
      <c r="Y933" s="213"/>
      <c r="Z933" s="213"/>
      <c r="AA933" s="213"/>
      <c r="AB933" s="213"/>
      <c r="AC933" s="213"/>
      <c r="AD933" s="213"/>
      <c r="AE933" s="213"/>
      <c r="AF933" s="213"/>
      <c r="AG933" s="213"/>
      <c r="AH933" s="213"/>
      <c r="AI933" s="213"/>
      <c r="AJ933" s="213"/>
      <c r="AK933" s="213"/>
      <c r="AL933" s="213"/>
      <c r="AM933" s="213"/>
      <c r="AN933" s="302"/>
      <c r="AO933" s="303"/>
      <c r="AP933" s="285"/>
      <c r="AQ933" s="258"/>
      <c r="AR933" s="258"/>
    </row>
    <row r="934" spans="10:44" s="48" customFormat="1" ht="12" hidden="1" customHeight="1">
      <c r="J934" s="213"/>
      <c r="K934" s="213"/>
      <c r="L934" s="213"/>
      <c r="M934" s="213"/>
      <c r="N934" s="213"/>
      <c r="O934" s="213"/>
      <c r="P934" s="213"/>
      <c r="Q934" s="213"/>
      <c r="R934" s="213"/>
      <c r="S934" s="213"/>
      <c r="T934" s="213"/>
      <c r="U934" s="213"/>
      <c r="V934" s="213"/>
      <c r="W934" s="213"/>
      <c r="X934" s="213"/>
      <c r="Y934" s="213"/>
      <c r="Z934" s="213"/>
      <c r="AA934" s="213"/>
      <c r="AB934" s="213"/>
      <c r="AC934" s="213"/>
      <c r="AD934" s="213"/>
      <c r="AE934" s="213"/>
      <c r="AF934" s="213"/>
      <c r="AG934" s="213"/>
      <c r="AH934" s="213"/>
      <c r="AI934" s="213"/>
      <c r="AJ934" s="213"/>
      <c r="AK934" s="213"/>
      <c r="AL934" s="213"/>
      <c r="AM934" s="213"/>
      <c r="AN934" s="302"/>
      <c r="AO934" s="303"/>
      <c r="AP934" s="285"/>
      <c r="AQ934" s="258"/>
      <c r="AR934" s="258"/>
    </row>
    <row r="935" spans="10:44" s="48" customFormat="1" ht="12" hidden="1" customHeight="1">
      <c r="J935" s="213"/>
      <c r="K935" s="213"/>
      <c r="L935" s="213"/>
      <c r="M935" s="213"/>
      <c r="N935" s="213"/>
      <c r="O935" s="213"/>
      <c r="P935" s="213"/>
      <c r="Q935" s="213"/>
      <c r="R935" s="213"/>
      <c r="S935" s="213"/>
      <c r="T935" s="213"/>
      <c r="U935" s="213"/>
      <c r="V935" s="213"/>
      <c r="W935" s="213"/>
      <c r="X935" s="213"/>
      <c r="Y935" s="213"/>
      <c r="Z935" s="213"/>
      <c r="AA935" s="213"/>
      <c r="AB935" s="213"/>
      <c r="AC935" s="213"/>
      <c r="AD935" s="213"/>
      <c r="AE935" s="213"/>
      <c r="AF935" s="213"/>
      <c r="AG935" s="213"/>
      <c r="AH935" s="213"/>
      <c r="AI935" s="213"/>
      <c r="AJ935" s="213"/>
      <c r="AK935" s="213"/>
      <c r="AL935" s="213"/>
      <c r="AM935" s="213"/>
      <c r="AN935" s="302"/>
      <c r="AO935" s="303"/>
      <c r="AP935" s="285"/>
      <c r="AQ935" s="258"/>
      <c r="AR935" s="258"/>
    </row>
    <row r="936" spans="10:44" s="48" customFormat="1" ht="12" hidden="1" customHeight="1">
      <c r="J936" s="213"/>
      <c r="K936" s="213"/>
      <c r="L936" s="213"/>
      <c r="M936" s="213"/>
      <c r="N936" s="213"/>
      <c r="O936" s="213"/>
      <c r="P936" s="213"/>
      <c r="Q936" s="213"/>
      <c r="R936" s="213"/>
      <c r="S936" s="213"/>
      <c r="T936" s="213"/>
      <c r="U936" s="213"/>
      <c r="V936" s="213"/>
      <c r="W936" s="213"/>
      <c r="X936" s="213"/>
      <c r="Y936" s="213"/>
      <c r="Z936" s="213"/>
      <c r="AA936" s="213"/>
      <c r="AB936" s="213"/>
      <c r="AC936" s="213"/>
      <c r="AD936" s="213"/>
      <c r="AE936" s="213"/>
      <c r="AF936" s="213"/>
      <c r="AG936" s="213"/>
      <c r="AH936" s="213"/>
      <c r="AI936" s="213"/>
      <c r="AJ936" s="213"/>
      <c r="AK936" s="213"/>
      <c r="AL936" s="213"/>
      <c r="AM936" s="213"/>
      <c r="AN936" s="302"/>
      <c r="AO936" s="303"/>
      <c r="AP936" s="285"/>
      <c r="AQ936" s="258"/>
      <c r="AR936" s="258"/>
    </row>
    <row r="937" spans="10:44" s="48" customFormat="1" ht="12" hidden="1" customHeight="1">
      <c r="J937" s="213"/>
      <c r="K937" s="213"/>
      <c r="L937" s="213"/>
      <c r="M937" s="213"/>
      <c r="N937" s="213"/>
      <c r="O937" s="213"/>
      <c r="P937" s="213"/>
      <c r="Q937" s="213"/>
      <c r="R937" s="213"/>
      <c r="S937" s="213"/>
      <c r="T937" s="213"/>
      <c r="U937" s="213"/>
      <c r="V937" s="213"/>
      <c r="W937" s="213"/>
      <c r="X937" s="213"/>
      <c r="Y937" s="213"/>
      <c r="Z937" s="213"/>
      <c r="AA937" s="213"/>
      <c r="AB937" s="213"/>
      <c r="AC937" s="213"/>
      <c r="AD937" s="213"/>
      <c r="AE937" s="213"/>
      <c r="AF937" s="213"/>
      <c r="AG937" s="213"/>
      <c r="AH937" s="213"/>
      <c r="AI937" s="213"/>
      <c r="AJ937" s="213"/>
      <c r="AK937" s="213"/>
      <c r="AL937" s="213"/>
      <c r="AM937" s="213"/>
      <c r="AN937" s="302"/>
      <c r="AO937" s="303"/>
      <c r="AP937" s="285"/>
      <c r="AQ937" s="258"/>
      <c r="AR937" s="258"/>
    </row>
    <row r="938" spans="10:44" s="48" customFormat="1" ht="12" hidden="1" customHeight="1">
      <c r="J938" s="213"/>
      <c r="K938" s="213"/>
      <c r="L938" s="213"/>
      <c r="M938" s="213"/>
      <c r="N938" s="213"/>
      <c r="O938" s="213"/>
      <c r="P938" s="213"/>
      <c r="Q938" s="213"/>
      <c r="R938" s="213"/>
      <c r="S938" s="213"/>
      <c r="T938" s="213"/>
      <c r="U938" s="213"/>
      <c r="V938" s="213"/>
      <c r="W938" s="213"/>
      <c r="X938" s="213"/>
      <c r="Y938" s="213"/>
      <c r="Z938" s="213"/>
      <c r="AA938" s="213"/>
      <c r="AB938" s="213"/>
      <c r="AC938" s="213"/>
      <c r="AD938" s="213"/>
      <c r="AE938" s="213"/>
      <c r="AF938" s="213"/>
      <c r="AG938" s="213"/>
      <c r="AH938" s="213"/>
      <c r="AI938" s="213"/>
      <c r="AJ938" s="213"/>
      <c r="AK938" s="213"/>
      <c r="AL938" s="213"/>
      <c r="AM938" s="213"/>
      <c r="AN938" s="302"/>
      <c r="AO938" s="303"/>
      <c r="AP938" s="285"/>
      <c r="AQ938" s="258"/>
      <c r="AR938" s="258"/>
    </row>
    <row r="939" spans="10:44" s="48" customFormat="1" ht="12" hidden="1" customHeight="1">
      <c r="J939" s="213"/>
      <c r="K939" s="213"/>
      <c r="L939" s="213"/>
      <c r="M939" s="213"/>
      <c r="N939" s="213"/>
      <c r="O939" s="213"/>
      <c r="P939" s="213"/>
      <c r="Q939" s="213"/>
      <c r="R939" s="213"/>
      <c r="S939" s="213"/>
      <c r="T939" s="213"/>
      <c r="U939" s="213"/>
      <c r="V939" s="213"/>
      <c r="W939" s="213"/>
      <c r="X939" s="213"/>
      <c r="Y939" s="213"/>
      <c r="Z939" s="213"/>
      <c r="AA939" s="213"/>
      <c r="AB939" s="213"/>
      <c r="AC939" s="213"/>
      <c r="AD939" s="213"/>
      <c r="AE939" s="213"/>
      <c r="AF939" s="213"/>
      <c r="AG939" s="213"/>
      <c r="AH939" s="213"/>
      <c r="AI939" s="213"/>
      <c r="AJ939" s="213"/>
      <c r="AK939" s="213"/>
      <c r="AL939" s="213"/>
      <c r="AM939" s="213"/>
      <c r="AN939" s="302"/>
      <c r="AO939" s="303"/>
      <c r="AP939" s="285"/>
      <c r="AQ939" s="258"/>
      <c r="AR939" s="258"/>
    </row>
    <row r="940" spans="10:44" s="48" customFormat="1" ht="12" hidden="1" customHeight="1">
      <c r="J940" s="213"/>
      <c r="K940" s="213"/>
      <c r="L940" s="213"/>
      <c r="M940" s="213"/>
      <c r="N940" s="213"/>
      <c r="O940" s="213"/>
      <c r="P940" s="213"/>
      <c r="Q940" s="213"/>
      <c r="R940" s="213"/>
      <c r="S940" s="213"/>
      <c r="T940" s="213"/>
      <c r="U940" s="213"/>
      <c r="V940" s="213"/>
      <c r="W940" s="213"/>
      <c r="X940" s="213"/>
      <c r="Y940" s="213"/>
      <c r="Z940" s="213"/>
      <c r="AA940" s="213"/>
      <c r="AB940" s="213"/>
      <c r="AC940" s="213"/>
      <c r="AD940" s="213"/>
      <c r="AE940" s="213"/>
      <c r="AF940" s="213"/>
      <c r="AG940" s="213"/>
      <c r="AH940" s="213"/>
      <c r="AI940" s="213"/>
      <c r="AJ940" s="213"/>
      <c r="AK940" s="213"/>
      <c r="AL940" s="213"/>
      <c r="AM940" s="213"/>
      <c r="AN940" s="302"/>
      <c r="AO940" s="303"/>
      <c r="AP940" s="285"/>
      <c r="AQ940" s="258"/>
      <c r="AR940" s="258"/>
    </row>
    <row r="941" spans="10:44" s="48" customFormat="1" ht="12" hidden="1" customHeight="1">
      <c r="J941" s="213"/>
      <c r="K941" s="213"/>
      <c r="L941" s="213"/>
      <c r="M941" s="213"/>
      <c r="N941" s="213"/>
      <c r="O941" s="213"/>
      <c r="P941" s="213"/>
      <c r="Q941" s="213"/>
      <c r="R941" s="213"/>
      <c r="S941" s="213"/>
      <c r="T941" s="213"/>
      <c r="U941" s="213"/>
      <c r="V941" s="213"/>
      <c r="W941" s="213"/>
      <c r="X941" s="213"/>
      <c r="Y941" s="213"/>
      <c r="Z941" s="213"/>
      <c r="AA941" s="213"/>
      <c r="AB941" s="213"/>
      <c r="AC941" s="213"/>
      <c r="AD941" s="213"/>
      <c r="AE941" s="213"/>
      <c r="AF941" s="213"/>
      <c r="AG941" s="213"/>
      <c r="AH941" s="213"/>
      <c r="AI941" s="213"/>
      <c r="AJ941" s="213"/>
      <c r="AK941" s="213"/>
      <c r="AL941" s="213"/>
      <c r="AM941" s="213"/>
      <c r="AN941" s="302"/>
      <c r="AO941" s="303"/>
      <c r="AP941" s="285"/>
      <c r="AQ941" s="258"/>
      <c r="AR941" s="258"/>
    </row>
    <row r="942" spans="10:44" s="48" customFormat="1" ht="12" hidden="1" customHeight="1">
      <c r="J942" s="213"/>
      <c r="K942" s="213"/>
      <c r="L942" s="213"/>
      <c r="M942" s="213"/>
      <c r="N942" s="213"/>
      <c r="O942" s="213"/>
      <c r="P942" s="213"/>
      <c r="Q942" s="213"/>
      <c r="R942" s="213"/>
      <c r="S942" s="213"/>
      <c r="T942" s="213"/>
      <c r="U942" s="213"/>
      <c r="V942" s="213"/>
      <c r="W942" s="213"/>
      <c r="X942" s="213"/>
      <c r="Y942" s="213"/>
      <c r="Z942" s="213"/>
      <c r="AA942" s="213"/>
      <c r="AB942" s="213"/>
      <c r="AC942" s="213"/>
      <c r="AD942" s="213"/>
      <c r="AE942" s="213"/>
      <c r="AF942" s="213"/>
      <c r="AG942" s="213"/>
      <c r="AH942" s="213"/>
      <c r="AI942" s="213"/>
      <c r="AJ942" s="213"/>
      <c r="AK942" s="213"/>
      <c r="AL942" s="213"/>
      <c r="AM942" s="213"/>
      <c r="AN942" s="302"/>
      <c r="AO942" s="303"/>
      <c r="AP942" s="285"/>
      <c r="AQ942" s="258"/>
      <c r="AR942" s="258"/>
    </row>
    <row r="943" spans="10:44" s="48" customFormat="1" ht="12" hidden="1" customHeight="1">
      <c r="J943" s="213"/>
      <c r="K943" s="213"/>
      <c r="L943" s="213"/>
      <c r="M943" s="213"/>
      <c r="N943" s="213"/>
      <c r="O943" s="213"/>
      <c r="P943" s="213"/>
      <c r="Q943" s="213"/>
      <c r="R943" s="213"/>
      <c r="S943" s="213"/>
      <c r="T943" s="213"/>
      <c r="U943" s="213"/>
      <c r="V943" s="213"/>
      <c r="W943" s="213"/>
      <c r="X943" s="213"/>
      <c r="Y943" s="213"/>
      <c r="Z943" s="213"/>
      <c r="AA943" s="213"/>
      <c r="AB943" s="213"/>
      <c r="AC943" s="213"/>
      <c r="AD943" s="213"/>
      <c r="AE943" s="213"/>
      <c r="AF943" s="213"/>
      <c r="AG943" s="213"/>
      <c r="AH943" s="213"/>
      <c r="AI943" s="213"/>
      <c r="AJ943" s="213"/>
      <c r="AK943" s="213"/>
      <c r="AL943" s="213"/>
      <c r="AM943" s="213"/>
      <c r="AN943" s="302"/>
      <c r="AO943" s="303"/>
      <c r="AP943" s="285"/>
      <c r="AQ943" s="258"/>
      <c r="AR943" s="258"/>
    </row>
    <row r="944" spans="10:44" s="48" customFormat="1" ht="12" hidden="1" customHeight="1">
      <c r="J944" s="213"/>
      <c r="K944" s="213"/>
      <c r="L944" s="213"/>
      <c r="M944" s="213"/>
      <c r="N944" s="213"/>
      <c r="O944" s="213"/>
      <c r="P944" s="213"/>
      <c r="Q944" s="213"/>
      <c r="R944" s="213"/>
      <c r="S944" s="213"/>
      <c r="T944" s="213"/>
      <c r="U944" s="213"/>
      <c r="V944" s="213"/>
      <c r="W944" s="213"/>
      <c r="X944" s="213"/>
      <c r="Y944" s="213"/>
      <c r="Z944" s="213"/>
      <c r="AA944" s="213"/>
      <c r="AB944" s="213"/>
      <c r="AC944" s="213"/>
      <c r="AD944" s="213"/>
      <c r="AE944" s="213"/>
      <c r="AF944" s="213"/>
      <c r="AG944" s="213"/>
      <c r="AH944" s="213"/>
      <c r="AI944" s="213"/>
      <c r="AJ944" s="213"/>
      <c r="AK944" s="213"/>
      <c r="AL944" s="213"/>
      <c r="AM944" s="213"/>
      <c r="AN944" s="302"/>
      <c r="AO944" s="303"/>
      <c r="AP944" s="285"/>
      <c r="AQ944" s="258"/>
      <c r="AR944" s="258"/>
    </row>
    <row r="945" spans="10:44" s="48" customFormat="1" ht="12" hidden="1" customHeight="1">
      <c r="J945" s="213"/>
      <c r="K945" s="213"/>
      <c r="L945" s="213"/>
      <c r="M945" s="213"/>
      <c r="N945" s="213"/>
      <c r="O945" s="213"/>
      <c r="P945" s="213"/>
      <c r="Q945" s="213"/>
      <c r="R945" s="213"/>
      <c r="S945" s="213"/>
      <c r="T945" s="213"/>
      <c r="U945" s="213"/>
      <c r="V945" s="213"/>
      <c r="W945" s="213"/>
      <c r="X945" s="213"/>
      <c r="Y945" s="213"/>
      <c r="Z945" s="213"/>
      <c r="AA945" s="213"/>
      <c r="AB945" s="213"/>
      <c r="AC945" s="213"/>
      <c r="AD945" s="213"/>
      <c r="AE945" s="213"/>
      <c r="AF945" s="213"/>
      <c r="AG945" s="213"/>
      <c r="AH945" s="213"/>
      <c r="AI945" s="213"/>
      <c r="AJ945" s="213"/>
      <c r="AK945" s="213"/>
      <c r="AL945" s="213"/>
      <c r="AM945" s="213"/>
      <c r="AN945" s="302"/>
      <c r="AO945" s="303"/>
      <c r="AP945" s="285"/>
      <c r="AQ945" s="258"/>
      <c r="AR945" s="258"/>
    </row>
    <row r="946" spans="10:44" s="48" customFormat="1" ht="12" hidden="1" customHeight="1">
      <c r="J946" s="213"/>
      <c r="K946" s="213"/>
      <c r="L946" s="213"/>
      <c r="M946" s="213"/>
      <c r="N946" s="213"/>
      <c r="O946" s="213"/>
      <c r="P946" s="213"/>
      <c r="Q946" s="213"/>
      <c r="R946" s="213"/>
      <c r="S946" s="213"/>
      <c r="T946" s="213"/>
      <c r="U946" s="213"/>
      <c r="V946" s="213"/>
      <c r="W946" s="213"/>
      <c r="X946" s="213"/>
      <c r="Y946" s="213"/>
      <c r="Z946" s="213"/>
      <c r="AA946" s="213"/>
      <c r="AB946" s="213"/>
      <c r="AC946" s="213"/>
      <c r="AD946" s="213"/>
      <c r="AE946" s="213"/>
      <c r="AF946" s="213"/>
      <c r="AG946" s="213"/>
      <c r="AH946" s="213"/>
      <c r="AI946" s="213"/>
      <c r="AJ946" s="213"/>
      <c r="AK946" s="213"/>
      <c r="AL946" s="213"/>
      <c r="AM946" s="213"/>
      <c r="AN946" s="302"/>
      <c r="AO946" s="303"/>
      <c r="AP946" s="285"/>
      <c r="AQ946" s="258"/>
      <c r="AR946" s="258"/>
    </row>
    <row r="947" spans="10:44" s="48" customFormat="1" ht="12" hidden="1" customHeight="1">
      <c r="J947" s="213"/>
      <c r="K947" s="213"/>
      <c r="L947" s="213"/>
      <c r="M947" s="213"/>
      <c r="N947" s="213"/>
      <c r="O947" s="213"/>
      <c r="P947" s="213"/>
      <c r="Q947" s="213"/>
      <c r="R947" s="213"/>
      <c r="S947" s="213"/>
      <c r="T947" s="213"/>
      <c r="U947" s="213"/>
      <c r="V947" s="213"/>
      <c r="W947" s="213"/>
      <c r="X947" s="213"/>
      <c r="Y947" s="213"/>
      <c r="Z947" s="213"/>
      <c r="AA947" s="213"/>
      <c r="AB947" s="213"/>
      <c r="AC947" s="213"/>
      <c r="AD947" s="213"/>
      <c r="AE947" s="213"/>
      <c r="AF947" s="213"/>
      <c r="AG947" s="213"/>
      <c r="AH947" s="213"/>
      <c r="AI947" s="213"/>
      <c r="AJ947" s="213"/>
      <c r="AK947" s="213"/>
      <c r="AL947" s="213"/>
      <c r="AM947" s="213"/>
      <c r="AN947" s="302"/>
      <c r="AO947" s="303"/>
      <c r="AP947" s="285"/>
      <c r="AQ947" s="258"/>
      <c r="AR947" s="258"/>
    </row>
    <row r="948" spans="10:44" s="48" customFormat="1" ht="12" hidden="1" customHeight="1">
      <c r="J948" s="213"/>
      <c r="K948" s="213"/>
      <c r="L948" s="213"/>
      <c r="M948" s="213"/>
      <c r="N948" s="213"/>
      <c r="O948" s="213"/>
      <c r="P948" s="213"/>
      <c r="Q948" s="213"/>
      <c r="R948" s="213"/>
      <c r="S948" s="213"/>
      <c r="T948" s="213"/>
      <c r="U948" s="213"/>
      <c r="V948" s="213"/>
      <c r="W948" s="213"/>
      <c r="X948" s="213"/>
      <c r="Y948" s="213"/>
      <c r="Z948" s="213"/>
      <c r="AA948" s="213"/>
      <c r="AB948" s="213"/>
      <c r="AC948" s="213"/>
      <c r="AD948" s="213"/>
      <c r="AE948" s="213"/>
      <c r="AF948" s="213"/>
      <c r="AG948" s="213"/>
      <c r="AH948" s="213"/>
      <c r="AI948" s="213"/>
      <c r="AJ948" s="213"/>
      <c r="AK948" s="213"/>
      <c r="AL948" s="213"/>
      <c r="AM948" s="213"/>
      <c r="AN948" s="302"/>
      <c r="AO948" s="303"/>
      <c r="AP948" s="285"/>
      <c r="AQ948" s="258"/>
      <c r="AR948" s="258"/>
    </row>
    <row r="949" spans="10:44" s="48" customFormat="1" ht="12" hidden="1" customHeight="1">
      <c r="J949" s="213"/>
      <c r="K949" s="213"/>
      <c r="L949" s="213"/>
      <c r="M949" s="213"/>
      <c r="N949" s="213"/>
      <c r="O949" s="213"/>
      <c r="P949" s="213"/>
      <c r="Q949" s="213"/>
      <c r="R949" s="213"/>
      <c r="S949" s="213"/>
      <c r="T949" s="213"/>
      <c r="U949" s="213"/>
      <c r="V949" s="213"/>
      <c r="W949" s="213"/>
      <c r="X949" s="213"/>
      <c r="Y949" s="213"/>
      <c r="Z949" s="213"/>
      <c r="AA949" s="213"/>
      <c r="AB949" s="213"/>
      <c r="AC949" s="213"/>
      <c r="AD949" s="213"/>
      <c r="AE949" s="213"/>
      <c r="AF949" s="213"/>
      <c r="AG949" s="213"/>
      <c r="AH949" s="213"/>
      <c r="AI949" s="213"/>
      <c r="AJ949" s="213"/>
      <c r="AK949" s="213"/>
      <c r="AL949" s="213"/>
      <c r="AM949" s="213"/>
      <c r="AN949" s="302"/>
      <c r="AO949" s="303"/>
      <c r="AP949" s="285"/>
      <c r="AQ949" s="258"/>
      <c r="AR949" s="258"/>
    </row>
    <row r="950" spans="10:44" s="48" customFormat="1" ht="12" hidden="1" customHeight="1">
      <c r="J950" s="213"/>
      <c r="K950" s="213"/>
      <c r="L950" s="213"/>
      <c r="M950" s="213"/>
      <c r="N950" s="213"/>
      <c r="O950" s="213"/>
      <c r="P950" s="213"/>
      <c r="Q950" s="213"/>
      <c r="R950" s="213"/>
      <c r="S950" s="213"/>
      <c r="T950" s="213"/>
      <c r="U950" s="213"/>
      <c r="V950" s="213"/>
      <c r="W950" s="213"/>
      <c r="X950" s="213"/>
      <c r="Y950" s="213"/>
      <c r="Z950" s="213"/>
      <c r="AA950" s="213"/>
      <c r="AB950" s="213"/>
      <c r="AC950" s="213"/>
      <c r="AD950" s="213"/>
      <c r="AE950" s="213"/>
      <c r="AF950" s="213"/>
      <c r="AG950" s="213"/>
      <c r="AH950" s="213"/>
      <c r="AI950" s="213"/>
      <c r="AJ950" s="213"/>
      <c r="AK950" s="213"/>
      <c r="AL950" s="213"/>
      <c r="AM950" s="213"/>
      <c r="AN950" s="302"/>
      <c r="AO950" s="303"/>
      <c r="AP950" s="285"/>
      <c r="AQ950" s="258"/>
      <c r="AR950" s="258"/>
    </row>
    <row r="951" spans="10:44" s="48" customFormat="1" ht="12" hidden="1" customHeight="1">
      <c r="J951" s="213"/>
      <c r="K951" s="213"/>
      <c r="L951" s="213"/>
      <c r="M951" s="213"/>
      <c r="N951" s="213"/>
      <c r="O951" s="213"/>
      <c r="P951" s="213"/>
      <c r="Q951" s="213"/>
      <c r="R951" s="213"/>
      <c r="S951" s="213"/>
      <c r="T951" s="213"/>
      <c r="U951" s="213"/>
      <c r="V951" s="213"/>
      <c r="W951" s="213"/>
      <c r="X951" s="213"/>
      <c r="Y951" s="213"/>
      <c r="Z951" s="213"/>
      <c r="AA951" s="213"/>
      <c r="AB951" s="213"/>
      <c r="AC951" s="213"/>
      <c r="AD951" s="213"/>
      <c r="AE951" s="213"/>
      <c r="AF951" s="213"/>
      <c r="AG951" s="213"/>
      <c r="AH951" s="213"/>
      <c r="AI951" s="213"/>
      <c r="AJ951" s="213"/>
      <c r="AK951" s="213"/>
      <c r="AL951" s="213"/>
      <c r="AM951" s="213"/>
      <c r="AN951" s="302"/>
      <c r="AO951" s="303"/>
      <c r="AP951" s="285"/>
      <c r="AQ951" s="258"/>
      <c r="AR951" s="258"/>
    </row>
    <row r="952" spans="10:44" s="48" customFormat="1" ht="12" hidden="1" customHeight="1">
      <c r="J952" s="213"/>
      <c r="K952" s="213"/>
      <c r="L952" s="213"/>
      <c r="M952" s="213"/>
      <c r="N952" s="213"/>
      <c r="O952" s="213"/>
      <c r="P952" s="213"/>
      <c r="Q952" s="213"/>
      <c r="R952" s="213"/>
      <c r="S952" s="213"/>
      <c r="T952" s="213"/>
      <c r="U952" s="213"/>
      <c r="V952" s="213"/>
      <c r="W952" s="213"/>
      <c r="X952" s="213"/>
      <c r="Y952" s="213"/>
      <c r="Z952" s="213"/>
      <c r="AA952" s="213"/>
      <c r="AB952" s="213"/>
      <c r="AC952" s="213"/>
      <c r="AD952" s="213"/>
      <c r="AE952" s="213"/>
      <c r="AF952" s="213"/>
      <c r="AG952" s="213"/>
      <c r="AH952" s="213"/>
      <c r="AI952" s="213"/>
      <c r="AJ952" s="213"/>
      <c r="AK952" s="213"/>
      <c r="AL952" s="213"/>
      <c r="AM952" s="213"/>
      <c r="AN952" s="302"/>
      <c r="AO952" s="303"/>
      <c r="AP952" s="285"/>
      <c r="AQ952" s="258"/>
      <c r="AR952" s="258"/>
    </row>
    <row r="953" spans="10:44" s="48" customFormat="1" ht="12" hidden="1" customHeight="1">
      <c r="J953" s="213"/>
      <c r="K953" s="213"/>
      <c r="L953" s="213"/>
      <c r="M953" s="213"/>
      <c r="N953" s="213"/>
      <c r="O953" s="213"/>
      <c r="P953" s="213"/>
      <c r="Q953" s="213"/>
      <c r="R953" s="213"/>
      <c r="S953" s="213"/>
      <c r="T953" s="213"/>
      <c r="U953" s="213"/>
      <c r="V953" s="213"/>
      <c r="W953" s="213"/>
      <c r="X953" s="213"/>
      <c r="Y953" s="213"/>
      <c r="Z953" s="213"/>
      <c r="AA953" s="213"/>
      <c r="AB953" s="213"/>
      <c r="AC953" s="213"/>
      <c r="AD953" s="213"/>
      <c r="AE953" s="213"/>
      <c r="AF953" s="213"/>
      <c r="AG953" s="213"/>
      <c r="AH953" s="213"/>
      <c r="AI953" s="213"/>
      <c r="AJ953" s="213"/>
      <c r="AK953" s="213"/>
      <c r="AL953" s="213"/>
      <c r="AM953" s="213"/>
      <c r="AN953" s="302"/>
      <c r="AO953" s="303"/>
      <c r="AP953" s="285"/>
      <c r="AQ953" s="258"/>
      <c r="AR953" s="258"/>
    </row>
    <row r="954" spans="10:44" s="48" customFormat="1" ht="12" hidden="1" customHeight="1">
      <c r="J954" s="213"/>
      <c r="K954" s="213"/>
      <c r="L954" s="213"/>
      <c r="M954" s="213"/>
      <c r="N954" s="213"/>
      <c r="O954" s="213"/>
      <c r="P954" s="213"/>
      <c r="Q954" s="213"/>
      <c r="R954" s="213"/>
      <c r="S954" s="213"/>
      <c r="T954" s="213"/>
      <c r="U954" s="213"/>
      <c r="V954" s="213"/>
      <c r="W954" s="213"/>
      <c r="X954" s="213"/>
      <c r="Y954" s="213"/>
      <c r="Z954" s="213"/>
      <c r="AA954" s="213"/>
      <c r="AB954" s="213"/>
      <c r="AC954" s="213"/>
      <c r="AD954" s="213"/>
      <c r="AE954" s="213"/>
      <c r="AF954" s="213"/>
      <c r="AG954" s="213"/>
      <c r="AH954" s="213"/>
      <c r="AI954" s="213"/>
      <c r="AJ954" s="213"/>
      <c r="AK954" s="213"/>
      <c r="AL954" s="213"/>
      <c r="AM954" s="213"/>
      <c r="AN954" s="302"/>
      <c r="AO954" s="303"/>
      <c r="AP954" s="285"/>
      <c r="AQ954" s="258"/>
      <c r="AR954" s="258"/>
    </row>
    <row r="955" spans="10:44" s="48" customFormat="1" ht="12" hidden="1" customHeight="1">
      <c r="J955" s="213"/>
      <c r="K955" s="213"/>
      <c r="L955" s="213"/>
      <c r="M955" s="213"/>
      <c r="N955" s="213"/>
      <c r="O955" s="213"/>
      <c r="P955" s="213"/>
      <c r="Q955" s="213"/>
      <c r="R955" s="213"/>
      <c r="S955" s="213"/>
      <c r="T955" s="213"/>
      <c r="U955" s="213"/>
      <c r="V955" s="213"/>
      <c r="W955" s="213"/>
      <c r="X955" s="213"/>
      <c r="Y955" s="213"/>
      <c r="Z955" s="213"/>
      <c r="AA955" s="213"/>
      <c r="AB955" s="213"/>
      <c r="AC955" s="213"/>
      <c r="AD955" s="213"/>
      <c r="AE955" s="213"/>
      <c r="AF955" s="213"/>
      <c r="AG955" s="213"/>
      <c r="AH955" s="213"/>
      <c r="AI955" s="213"/>
      <c r="AJ955" s="213"/>
      <c r="AK955" s="213"/>
      <c r="AL955" s="213"/>
      <c r="AM955" s="213"/>
      <c r="AN955" s="302"/>
      <c r="AO955" s="303"/>
      <c r="AP955" s="285"/>
      <c r="AQ955" s="258"/>
      <c r="AR955" s="258"/>
    </row>
    <row r="956" spans="10:44" s="48" customFormat="1" ht="12" hidden="1" customHeight="1">
      <c r="J956" s="213"/>
      <c r="K956" s="213"/>
      <c r="L956" s="213"/>
      <c r="M956" s="213"/>
      <c r="N956" s="213"/>
      <c r="O956" s="213"/>
      <c r="P956" s="213"/>
      <c r="Q956" s="213"/>
      <c r="R956" s="213"/>
      <c r="S956" s="213"/>
      <c r="T956" s="213"/>
      <c r="U956" s="213"/>
      <c r="V956" s="213"/>
      <c r="W956" s="213"/>
      <c r="X956" s="213"/>
      <c r="Y956" s="213"/>
      <c r="Z956" s="213"/>
      <c r="AA956" s="213"/>
      <c r="AB956" s="213"/>
      <c r="AC956" s="213"/>
      <c r="AD956" s="213"/>
      <c r="AE956" s="213"/>
      <c r="AF956" s="213"/>
      <c r="AG956" s="213"/>
      <c r="AH956" s="213"/>
      <c r="AI956" s="213"/>
      <c r="AJ956" s="213"/>
      <c r="AK956" s="213"/>
      <c r="AL956" s="213"/>
      <c r="AM956" s="213"/>
      <c r="AN956" s="302"/>
      <c r="AO956" s="303"/>
      <c r="AP956" s="285"/>
      <c r="AQ956" s="258"/>
      <c r="AR956" s="258"/>
    </row>
    <row r="957" spans="10:44" s="48" customFormat="1" ht="12" hidden="1" customHeight="1">
      <c r="J957" s="213"/>
      <c r="K957" s="213"/>
      <c r="L957" s="213"/>
      <c r="M957" s="213"/>
      <c r="N957" s="213"/>
      <c r="O957" s="213"/>
      <c r="P957" s="213"/>
      <c r="Q957" s="213"/>
      <c r="R957" s="213"/>
      <c r="S957" s="213"/>
      <c r="T957" s="213"/>
      <c r="U957" s="213"/>
      <c r="V957" s="213"/>
      <c r="W957" s="213"/>
      <c r="X957" s="213"/>
      <c r="Y957" s="213"/>
      <c r="Z957" s="213"/>
      <c r="AA957" s="213"/>
      <c r="AB957" s="213"/>
      <c r="AC957" s="213"/>
      <c r="AD957" s="213"/>
      <c r="AE957" s="213"/>
      <c r="AF957" s="213"/>
      <c r="AG957" s="213"/>
      <c r="AH957" s="213"/>
      <c r="AI957" s="213"/>
      <c r="AJ957" s="213"/>
      <c r="AK957" s="213"/>
      <c r="AL957" s="213"/>
      <c r="AM957" s="213"/>
      <c r="AN957" s="302"/>
      <c r="AO957" s="303"/>
      <c r="AP957" s="285"/>
      <c r="AQ957" s="258"/>
      <c r="AR957" s="258"/>
    </row>
    <row r="958" spans="10:44" s="48" customFormat="1" ht="12" hidden="1" customHeight="1">
      <c r="J958" s="213"/>
      <c r="K958" s="213"/>
      <c r="L958" s="213"/>
      <c r="M958" s="213"/>
      <c r="N958" s="213"/>
      <c r="O958" s="213"/>
      <c r="P958" s="213"/>
      <c r="Q958" s="213"/>
      <c r="R958" s="213"/>
      <c r="S958" s="213"/>
      <c r="T958" s="213"/>
      <c r="U958" s="213"/>
      <c r="V958" s="213"/>
      <c r="W958" s="213"/>
      <c r="X958" s="213"/>
      <c r="Y958" s="213"/>
      <c r="Z958" s="213"/>
      <c r="AA958" s="213"/>
      <c r="AB958" s="213"/>
      <c r="AC958" s="213"/>
      <c r="AD958" s="213"/>
      <c r="AE958" s="213"/>
      <c r="AF958" s="213"/>
      <c r="AG958" s="213"/>
      <c r="AH958" s="213"/>
      <c r="AI958" s="213"/>
      <c r="AJ958" s="213"/>
      <c r="AK958" s="213"/>
      <c r="AL958" s="213"/>
      <c r="AM958" s="213"/>
      <c r="AN958" s="302"/>
      <c r="AO958" s="303"/>
      <c r="AP958" s="285"/>
      <c r="AQ958" s="258"/>
      <c r="AR958" s="258"/>
    </row>
    <row r="959" spans="10:44" s="48" customFormat="1" ht="12" hidden="1" customHeight="1">
      <c r="J959" s="213"/>
      <c r="K959" s="213"/>
      <c r="L959" s="213"/>
      <c r="M959" s="213"/>
      <c r="N959" s="213"/>
      <c r="O959" s="213"/>
      <c r="P959" s="213"/>
      <c r="Q959" s="213"/>
      <c r="R959" s="213"/>
      <c r="S959" s="213"/>
      <c r="T959" s="213"/>
      <c r="U959" s="213"/>
      <c r="V959" s="213"/>
      <c r="W959" s="213"/>
      <c r="X959" s="213"/>
      <c r="Y959" s="213"/>
      <c r="Z959" s="213"/>
      <c r="AA959" s="213"/>
      <c r="AB959" s="213"/>
      <c r="AC959" s="213"/>
      <c r="AD959" s="213"/>
      <c r="AE959" s="213"/>
      <c r="AF959" s="213"/>
      <c r="AG959" s="213"/>
      <c r="AH959" s="213"/>
      <c r="AI959" s="213"/>
      <c r="AJ959" s="213"/>
      <c r="AK959" s="213"/>
      <c r="AL959" s="213"/>
      <c r="AM959" s="213"/>
      <c r="AN959" s="302"/>
      <c r="AO959" s="303"/>
      <c r="AP959" s="285"/>
      <c r="AQ959" s="258"/>
      <c r="AR959" s="258"/>
    </row>
    <row r="960" spans="10:44" s="48" customFormat="1" ht="12" hidden="1" customHeight="1">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302"/>
      <c r="AO960" s="303"/>
      <c r="AP960" s="285"/>
      <c r="AQ960" s="258"/>
      <c r="AR960" s="258"/>
    </row>
    <row r="961" spans="10:44" s="48" customFormat="1" ht="12" hidden="1" customHeight="1">
      <c r="J961" s="213"/>
      <c r="K961" s="213"/>
      <c r="L961" s="213"/>
      <c r="M961" s="213"/>
      <c r="N961" s="213"/>
      <c r="O961" s="213"/>
      <c r="P961" s="213"/>
      <c r="Q961" s="213"/>
      <c r="R961" s="213"/>
      <c r="S961" s="213"/>
      <c r="T961" s="213"/>
      <c r="U961" s="213"/>
      <c r="V961" s="213"/>
      <c r="W961" s="213"/>
      <c r="X961" s="213"/>
      <c r="Y961" s="213"/>
      <c r="Z961" s="213"/>
      <c r="AA961" s="213"/>
      <c r="AB961" s="213"/>
      <c r="AC961" s="213"/>
      <c r="AD961" s="213"/>
      <c r="AE961" s="213"/>
      <c r="AF961" s="213"/>
      <c r="AG961" s="213"/>
      <c r="AH961" s="213"/>
      <c r="AI961" s="213"/>
      <c r="AJ961" s="213"/>
      <c r="AK961" s="213"/>
      <c r="AL961" s="213"/>
      <c r="AM961" s="213"/>
      <c r="AN961" s="302"/>
      <c r="AO961" s="303"/>
      <c r="AP961" s="285"/>
      <c r="AQ961" s="258"/>
      <c r="AR961" s="258"/>
    </row>
    <row r="962" spans="10:44" s="48" customFormat="1" ht="12" hidden="1" customHeight="1">
      <c r="J962" s="213"/>
      <c r="K962" s="213"/>
      <c r="L962" s="213"/>
      <c r="M962" s="213"/>
      <c r="N962" s="213"/>
      <c r="O962" s="213"/>
      <c r="P962" s="213"/>
      <c r="Q962" s="213"/>
      <c r="R962" s="213"/>
      <c r="S962" s="213"/>
      <c r="T962" s="213"/>
      <c r="U962" s="213"/>
      <c r="V962" s="213"/>
      <c r="W962" s="213"/>
      <c r="X962" s="213"/>
      <c r="Y962" s="213"/>
      <c r="Z962" s="213"/>
      <c r="AA962" s="213"/>
      <c r="AB962" s="213"/>
      <c r="AC962" s="213"/>
      <c r="AD962" s="213"/>
      <c r="AE962" s="213"/>
      <c r="AF962" s="213"/>
      <c r="AG962" s="213"/>
      <c r="AH962" s="213"/>
      <c r="AI962" s="213"/>
      <c r="AJ962" s="213"/>
      <c r="AK962" s="213"/>
      <c r="AL962" s="213"/>
      <c r="AM962" s="213"/>
      <c r="AN962" s="302"/>
      <c r="AO962" s="303"/>
      <c r="AP962" s="285"/>
      <c r="AQ962" s="258"/>
      <c r="AR962" s="258"/>
    </row>
    <row r="963" spans="10:44" s="48" customFormat="1" ht="12" hidden="1" customHeight="1">
      <c r="J963" s="213"/>
      <c r="K963" s="213"/>
      <c r="L963" s="213"/>
      <c r="M963" s="213"/>
      <c r="N963" s="213"/>
      <c r="O963" s="213"/>
      <c r="P963" s="213"/>
      <c r="Q963" s="213"/>
      <c r="R963" s="213"/>
      <c r="S963" s="213"/>
      <c r="T963" s="213"/>
      <c r="U963" s="213"/>
      <c r="V963" s="213"/>
      <c r="W963" s="213"/>
      <c r="X963" s="213"/>
      <c r="Y963" s="213"/>
      <c r="Z963" s="213"/>
      <c r="AA963" s="213"/>
      <c r="AB963" s="213"/>
      <c r="AC963" s="213"/>
      <c r="AD963" s="213"/>
      <c r="AE963" s="213"/>
      <c r="AF963" s="213"/>
      <c r="AG963" s="213"/>
      <c r="AH963" s="213"/>
      <c r="AI963" s="213"/>
      <c r="AJ963" s="213"/>
      <c r="AK963" s="213"/>
      <c r="AL963" s="213"/>
      <c r="AM963" s="213"/>
      <c r="AN963" s="302"/>
      <c r="AO963" s="303"/>
      <c r="AP963" s="285"/>
      <c r="AQ963" s="258"/>
      <c r="AR963" s="258"/>
    </row>
    <row r="964" spans="10:44" s="48" customFormat="1" ht="12" hidden="1" customHeight="1">
      <c r="J964" s="213"/>
      <c r="K964" s="213"/>
      <c r="L964" s="213"/>
      <c r="M964" s="213"/>
      <c r="N964" s="213"/>
      <c r="O964" s="213"/>
      <c r="P964" s="213"/>
      <c r="Q964" s="213"/>
      <c r="R964" s="213"/>
      <c r="S964" s="213"/>
      <c r="T964" s="213"/>
      <c r="U964" s="213"/>
      <c r="V964" s="213"/>
      <c r="W964" s="213"/>
      <c r="X964" s="213"/>
      <c r="Y964" s="213"/>
      <c r="Z964" s="213"/>
      <c r="AA964" s="213"/>
      <c r="AB964" s="213"/>
      <c r="AC964" s="213"/>
      <c r="AD964" s="213"/>
      <c r="AE964" s="213"/>
      <c r="AF964" s="213"/>
      <c r="AG964" s="213"/>
      <c r="AH964" s="213"/>
      <c r="AI964" s="213"/>
      <c r="AJ964" s="213"/>
      <c r="AK964" s="213"/>
      <c r="AL964" s="213"/>
      <c r="AM964" s="213"/>
      <c r="AN964" s="302"/>
      <c r="AO964" s="303"/>
      <c r="AP964" s="285"/>
      <c r="AQ964" s="258"/>
      <c r="AR964" s="258"/>
    </row>
    <row r="965" spans="10:44" s="48" customFormat="1" ht="12" hidden="1" customHeight="1">
      <c r="J965" s="213"/>
      <c r="K965" s="213"/>
      <c r="L965" s="213"/>
      <c r="M965" s="213"/>
      <c r="N965" s="213"/>
      <c r="O965" s="213"/>
      <c r="P965" s="213"/>
      <c r="Q965" s="213"/>
      <c r="R965" s="213"/>
      <c r="S965" s="213"/>
      <c r="T965" s="213"/>
      <c r="U965" s="213"/>
      <c r="V965" s="213"/>
      <c r="W965" s="213"/>
      <c r="X965" s="213"/>
      <c r="Y965" s="213"/>
      <c r="Z965" s="213"/>
      <c r="AA965" s="213"/>
      <c r="AB965" s="213"/>
      <c r="AC965" s="213"/>
      <c r="AD965" s="213"/>
      <c r="AE965" s="213"/>
      <c r="AF965" s="213"/>
      <c r="AG965" s="213"/>
      <c r="AH965" s="213"/>
      <c r="AI965" s="213"/>
      <c r="AJ965" s="213"/>
      <c r="AK965" s="213"/>
      <c r="AL965" s="213"/>
      <c r="AM965" s="213"/>
      <c r="AN965" s="302"/>
      <c r="AO965" s="303"/>
      <c r="AP965" s="285"/>
      <c r="AQ965" s="258"/>
      <c r="AR965" s="258"/>
    </row>
    <row r="966" spans="10:44" s="48" customFormat="1" ht="12" hidden="1" customHeight="1">
      <c r="J966" s="213"/>
      <c r="K966" s="213"/>
      <c r="L966" s="213"/>
      <c r="M966" s="213"/>
      <c r="N966" s="213"/>
      <c r="O966" s="213"/>
      <c r="P966" s="213"/>
      <c r="Q966" s="213"/>
      <c r="R966" s="213"/>
      <c r="S966" s="213"/>
      <c r="T966" s="213"/>
      <c r="U966" s="213"/>
      <c r="V966" s="213"/>
      <c r="W966" s="213"/>
      <c r="X966" s="213"/>
      <c r="Y966" s="213"/>
      <c r="Z966" s="213"/>
      <c r="AA966" s="213"/>
      <c r="AB966" s="213"/>
      <c r="AC966" s="213"/>
      <c r="AD966" s="213"/>
      <c r="AE966" s="213"/>
      <c r="AF966" s="213"/>
      <c r="AG966" s="213"/>
      <c r="AH966" s="213"/>
      <c r="AI966" s="213"/>
      <c r="AJ966" s="213"/>
      <c r="AK966" s="213"/>
      <c r="AL966" s="213"/>
      <c r="AM966" s="213"/>
      <c r="AN966" s="302"/>
      <c r="AO966" s="303"/>
      <c r="AP966" s="285"/>
      <c r="AQ966" s="258"/>
      <c r="AR966" s="258"/>
    </row>
    <row r="967" spans="10:44" s="48" customFormat="1" ht="12" hidden="1" customHeight="1">
      <c r="J967" s="213"/>
      <c r="K967" s="213"/>
      <c r="L967" s="213"/>
      <c r="M967" s="213"/>
      <c r="N967" s="213"/>
      <c r="O967" s="213"/>
      <c r="P967" s="213"/>
      <c r="Q967" s="213"/>
      <c r="R967" s="213"/>
      <c r="S967" s="213"/>
      <c r="T967" s="213"/>
      <c r="U967" s="213"/>
      <c r="V967" s="213"/>
      <c r="W967" s="213"/>
      <c r="X967" s="213"/>
      <c r="Y967" s="213"/>
      <c r="Z967" s="213"/>
      <c r="AA967" s="213"/>
      <c r="AB967" s="213"/>
      <c r="AC967" s="213"/>
      <c r="AD967" s="213"/>
      <c r="AE967" s="213"/>
      <c r="AF967" s="213"/>
      <c r="AG967" s="213"/>
      <c r="AH967" s="213"/>
      <c r="AI967" s="213"/>
      <c r="AJ967" s="213"/>
      <c r="AK967" s="213"/>
      <c r="AL967" s="213"/>
      <c r="AM967" s="213"/>
      <c r="AN967" s="302"/>
      <c r="AO967" s="303"/>
      <c r="AP967" s="285"/>
      <c r="AQ967" s="258"/>
      <c r="AR967" s="258"/>
    </row>
    <row r="968" spans="10:44" s="48" customFormat="1" ht="12" hidden="1" customHeight="1">
      <c r="J968" s="213"/>
      <c r="K968" s="213"/>
      <c r="L968" s="213"/>
      <c r="M968" s="213"/>
      <c r="N968" s="213"/>
      <c r="O968" s="213"/>
      <c r="P968" s="213"/>
      <c r="Q968" s="213"/>
      <c r="R968" s="213"/>
      <c r="S968" s="213"/>
      <c r="T968" s="213"/>
      <c r="U968" s="213"/>
      <c r="V968" s="213"/>
      <c r="W968" s="213"/>
      <c r="X968" s="213"/>
      <c r="Y968" s="213"/>
      <c r="Z968" s="213"/>
      <c r="AA968" s="213"/>
      <c r="AB968" s="213"/>
      <c r="AC968" s="213"/>
      <c r="AD968" s="213"/>
      <c r="AE968" s="213"/>
      <c r="AF968" s="213"/>
      <c r="AG968" s="213"/>
      <c r="AH968" s="213"/>
      <c r="AI968" s="213"/>
      <c r="AJ968" s="213"/>
      <c r="AK968" s="213"/>
      <c r="AL968" s="213"/>
      <c r="AM968" s="213"/>
      <c r="AN968" s="302"/>
      <c r="AO968" s="303"/>
      <c r="AP968" s="285"/>
      <c r="AQ968" s="258"/>
      <c r="AR968" s="258"/>
    </row>
    <row r="969" spans="10:44" s="48" customFormat="1" ht="12" hidden="1" customHeight="1">
      <c r="J969" s="213"/>
      <c r="K969" s="213"/>
      <c r="L969" s="213"/>
      <c r="M969" s="213"/>
      <c r="N969" s="213"/>
      <c r="O969" s="213"/>
      <c r="P969" s="213"/>
      <c r="Q969" s="213"/>
      <c r="R969" s="213"/>
      <c r="S969" s="213"/>
      <c r="T969" s="213"/>
      <c r="U969" s="213"/>
      <c r="V969" s="213"/>
      <c r="W969" s="213"/>
      <c r="X969" s="213"/>
      <c r="Y969" s="213"/>
      <c r="Z969" s="213"/>
      <c r="AA969" s="213"/>
      <c r="AB969" s="213"/>
      <c r="AC969" s="213"/>
      <c r="AD969" s="213"/>
      <c r="AE969" s="213"/>
      <c r="AF969" s="213"/>
      <c r="AG969" s="213"/>
      <c r="AH969" s="213"/>
      <c r="AI969" s="213"/>
      <c r="AJ969" s="213"/>
      <c r="AK969" s="213"/>
      <c r="AL969" s="213"/>
      <c r="AM969" s="213"/>
      <c r="AN969" s="302"/>
      <c r="AO969" s="303"/>
      <c r="AP969" s="285"/>
      <c r="AQ969" s="258"/>
      <c r="AR969" s="258"/>
    </row>
    <row r="970" spans="10:44" s="48" customFormat="1" ht="12" hidden="1" customHeight="1">
      <c r="J970" s="213"/>
      <c r="K970" s="213"/>
      <c r="L970" s="213"/>
      <c r="M970" s="213"/>
      <c r="N970" s="213"/>
      <c r="O970" s="213"/>
      <c r="P970" s="213"/>
      <c r="Q970" s="213"/>
      <c r="R970" s="213"/>
      <c r="S970" s="213"/>
      <c r="T970" s="213"/>
      <c r="U970" s="213"/>
      <c r="V970" s="213"/>
      <c r="W970" s="213"/>
      <c r="X970" s="213"/>
      <c r="Y970" s="213"/>
      <c r="Z970" s="213"/>
      <c r="AA970" s="213"/>
      <c r="AB970" s="213"/>
      <c r="AC970" s="213"/>
      <c r="AD970" s="213"/>
      <c r="AE970" s="213"/>
      <c r="AF970" s="213"/>
      <c r="AG970" s="213"/>
      <c r="AH970" s="213"/>
      <c r="AI970" s="213"/>
      <c r="AJ970" s="213"/>
      <c r="AK970" s="213"/>
      <c r="AL970" s="213"/>
      <c r="AM970" s="213"/>
      <c r="AN970" s="302"/>
      <c r="AO970" s="303"/>
      <c r="AP970" s="285"/>
      <c r="AQ970" s="258"/>
      <c r="AR970" s="258"/>
    </row>
    <row r="971" spans="10:44" s="48" customFormat="1" ht="12" hidden="1" customHeight="1">
      <c r="J971" s="213"/>
      <c r="K971" s="213"/>
      <c r="L971" s="213"/>
      <c r="M971" s="213"/>
      <c r="N971" s="213"/>
      <c r="O971" s="213"/>
      <c r="P971" s="213"/>
      <c r="Q971" s="213"/>
      <c r="R971" s="213"/>
      <c r="S971" s="213"/>
      <c r="T971" s="213"/>
      <c r="U971" s="213"/>
      <c r="V971" s="213"/>
      <c r="W971" s="213"/>
      <c r="X971" s="213"/>
      <c r="Y971" s="213"/>
      <c r="Z971" s="213"/>
      <c r="AA971" s="213"/>
      <c r="AB971" s="213"/>
      <c r="AC971" s="213"/>
      <c r="AD971" s="213"/>
      <c r="AE971" s="213"/>
      <c r="AF971" s="213"/>
      <c r="AG971" s="213"/>
      <c r="AH971" s="213"/>
      <c r="AI971" s="213"/>
      <c r="AJ971" s="213"/>
      <c r="AK971" s="213"/>
      <c r="AL971" s="213"/>
      <c r="AM971" s="213"/>
      <c r="AN971" s="302"/>
      <c r="AO971" s="303"/>
      <c r="AP971" s="285"/>
      <c r="AQ971" s="258"/>
      <c r="AR971" s="258"/>
    </row>
    <row r="972" spans="10:44" s="48" customFormat="1" ht="12" hidden="1" customHeight="1">
      <c r="J972" s="213"/>
      <c r="K972" s="213"/>
      <c r="L972" s="213"/>
      <c r="M972" s="213"/>
      <c r="N972" s="213"/>
      <c r="O972" s="213"/>
      <c r="P972" s="213"/>
      <c r="Q972" s="213"/>
      <c r="R972" s="213"/>
      <c r="S972" s="213"/>
      <c r="T972" s="213"/>
      <c r="U972" s="213"/>
      <c r="V972" s="213"/>
      <c r="W972" s="213"/>
      <c r="X972" s="213"/>
      <c r="Y972" s="213"/>
      <c r="Z972" s="213"/>
      <c r="AA972" s="213"/>
      <c r="AB972" s="213"/>
      <c r="AC972" s="213"/>
      <c r="AD972" s="213"/>
      <c r="AE972" s="213"/>
      <c r="AF972" s="213"/>
      <c r="AG972" s="213"/>
      <c r="AH972" s="213"/>
      <c r="AI972" s="213"/>
      <c r="AJ972" s="213"/>
      <c r="AK972" s="213"/>
      <c r="AL972" s="213"/>
      <c r="AM972" s="213"/>
      <c r="AN972" s="302"/>
      <c r="AO972" s="303"/>
      <c r="AP972" s="285"/>
      <c r="AQ972" s="258"/>
      <c r="AR972" s="258"/>
    </row>
    <row r="973" spans="10:44" s="48" customFormat="1" ht="12" hidden="1" customHeight="1">
      <c r="J973" s="213"/>
      <c r="K973" s="213"/>
      <c r="L973" s="213"/>
      <c r="M973" s="213"/>
      <c r="N973" s="213"/>
      <c r="O973" s="213"/>
      <c r="P973" s="213"/>
      <c r="Q973" s="213"/>
      <c r="R973" s="213"/>
      <c r="S973" s="213"/>
      <c r="T973" s="213"/>
      <c r="U973" s="213"/>
      <c r="V973" s="213"/>
      <c r="W973" s="213"/>
      <c r="X973" s="213"/>
      <c r="Y973" s="213"/>
      <c r="Z973" s="213"/>
      <c r="AA973" s="213"/>
      <c r="AB973" s="213"/>
      <c r="AC973" s="213"/>
      <c r="AD973" s="213"/>
      <c r="AE973" s="213"/>
      <c r="AF973" s="213"/>
      <c r="AG973" s="213"/>
      <c r="AH973" s="213"/>
      <c r="AI973" s="213"/>
      <c r="AJ973" s="213"/>
      <c r="AK973" s="213"/>
      <c r="AL973" s="213"/>
      <c r="AM973" s="213"/>
      <c r="AN973" s="302"/>
      <c r="AO973" s="303"/>
      <c r="AP973" s="285"/>
      <c r="AQ973" s="258"/>
      <c r="AR973" s="258"/>
    </row>
    <row r="974" spans="10:44" s="48" customFormat="1" ht="12" hidden="1" customHeight="1">
      <c r="J974" s="213"/>
      <c r="K974" s="213"/>
      <c r="L974" s="213"/>
      <c r="M974" s="213"/>
      <c r="N974" s="213"/>
      <c r="O974" s="213"/>
      <c r="P974" s="213"/>
      <c r="Q974" s="213"/>
      <c r="R974" s="213"/>
      <c r="S974" s="213"/>
      <c r="T974" s="213"/>
      <c r="U974" s="213"/>
      <c r="V974" s="213"/>
      <c r="W974" s="213"/>
      <c r="X974" s="213"/>
      <c r="Y974" s="213"/>
      <c r="Z974" s="213"/>
      <c r="AA974" s="213"/>
      <c r="AB974" s="213"/>
      <c r="AC974" s="213"/>
      <c r="AD974" s="213"/>
      <c r="AE974" s="213"/>
      <c r="AF974" s="213"/>
      <c r="AG974" s="213"/>
      <c r="AH974" s="213"/>
      <c r="AI974" s="213"/>
      <c r="AJ974" s="213"/>
      <c r="AK974" s="213"/>
      <c r="AL974" s="213"/>
      <c r="AM974" s="213"/>
      <c r="AN974" s="302"/>
      <c r="AO974" s="303"/>
      <c r="AP974" s="285"/>
      <c r="AQ974" s="258"/>
      <c r="AR974" s="258"/>
    </row>
    <row r="975" spans="10:44" s="48" customFormat="1" ht="12" hidden="1" customHeight="1">
      <c r="J975" s="213"/>
      <c r="K975" s="213"/>
      <c r="L975" s="213"/>
      <c r="M975" s="213"/>
      <c r="N975" s="213"/>
      <c r="O975" s="213"/>
      <c r="P975" s="213"/>
      <c r="Q975" s="213"/>
      <c r="R975" s="213"/>
      <c r="S975" s="213"/>
      <c r="T975" s="213"/>
      <c r="U975" s="213"/>
      <c r="V975" s="213"/>
      <c r="W975" s="213"/>
      <c r="X975" s="213"/>
      <c r="Y975" s="213"/>
      <c r="Z975" s="213"/>
      <c r="AA975" s="213"/>
      <c r="AB975" s="213"/>
      <c r="AC975" s="213"/>
      <c r="AD975" s="213"/>
      <c r="AE975" s="213"/>
      <c r="AF975" s="213"/>
      <c r="AG975" s="213"/>
      <c r="AH975" s="213"/>
      <c r="AI975" s="213"/>
      <c r="AJ975" s="213"/>
      <c r="AK975" s="213"/>
      <c r="AL975" s="213"/>
      <c r="AM975" s="213"/>
      <c r="AN975" s="302"/>
      <c r="AO975" s="303"/>
      <c r="AP975" s="285"/>
      <c r="AQ975" s="258"/>
      <c r="AR975" s="258"/>
    </row>
    <row r="976" spans="10:44" s="48" customFormat="1" ht="12" hidden="1" customHeight="1">
      <c r="J976" s="213"/>
      <c r="K976" s="213"/>
      <c r="L976" s="213"/>
      <c r="M976" s="213"/>
      <c r="N976" s="213"/>
      <c r="O976" s="213"/>
      <c r="P976" s="213"/>
      <c r="Q976" s="213"/>
      <c r="R976" s="213"/>
      <c r="S976" s="213"/>
      <c r="T976" s="213"/>
      <c r="U976" s="213"/>
      <c r="V976" s="213"/>
      <c r="W976" s="213"/>
      <c r="X976" s="213"/>
      <c r="Y976" s="213"/>
      <c r="Z976" s="213"/>
      <c r="AA976" s="213"/>
      <c r="AB976" s="213"/>
      <c r="AC976" s="213"/>
      <c r="AD976" s="213"/>
      <c r="AE976" s="213"/>
      <c r="AF976" s="213"/>
      <c r="AG976" s="213"/>
      <c r="AH976" s="213"/>
      <c r="AI976" s="213"/>
      <c r="AJ976" s="213"/>
      <c r="AK976" s="213"/>
      <c r="AL976" s="213"/>
      <c r="AM976" s="213"/>
      <c r="AN976" s="302"/>
      <c r="AO976" s="303"/>
      <c r="AP976" s="285"/>
      <c r="AQ976" s="258"/>
      <c r="AR976" s="258"/>
    </row>
    <row r="977" spans="10:44" s="48" customFormat="1" ht="12" hidden="1" customHeight="1">
      <c r="J977" s="213"/>
      <c r="K977" s="213"/>
      <c r="L977" s="213"/>
      <c r="M977" s="213"/>
      <c r="N977" s="213"/>
      <c r="O977" s="213"/>
      <c r="P977" s="213"/>
      <c r="Q977" s="213"/>
      <c r="R977" s="213"/>
      <c r="S977" s="213"/>
      <c r="T977" s="213"/>
      <c r="U977" s="213"/>
      <c r="V977" s="213"/>
      <c r="W977" s="213"/>
      <c r="X977" s="213"/>
      <c r="Y977" s="213"/>
      <c r="Z977" s="213"/>
      <c r="AA977" s="213"/>
      <c r="AB977" s="213"/>
      <c r="AC977" s="213"/>
      <c r="AD977" s="213"/>
      <c r="AE977" s="213"/>
      <c r="AF977" s="213"/>
      <c r="AG977" s="213"/>
      <c r="AH977" s="213"/>
      <c r="AI977" s="213"/>
      <c r="AJ977" s="213"/>
      <c r="AK977" s="213"/>
      <c r="AL977" s="213"/>
      <c r="AM977" s="213"/>
      <c r="AN977" s="302"/>
      <c r="AO977" s="303"/>
      <c r="AP977" s="285"/>
      <c r="AQ977" s="258"/>
      <c r="AR977" s="258"/>
    </row>
    <row r="978" spans="10:44" s="48" customFormat="1" ht="12" hidden="1" customHeight="1">
      <c r="J978" s="213"/>
      <c r="K978" s="213"/>
      <c r="L978" s="213"/>
      <c r="M978" s="213"/>
      <c r="N978" s="213"/>
      <c r="O978" s="213"/>
      <c r="P978" s="213"/>
      <c r="Q978" s="213"/>
      <c r="R978" s="213"/>
      <c r="S978" s="213"/>
      <c r="T978" s="213"/>
      <c r="U978" s="213"/>
      <c r="V978" s="213"/>
      <c r="W978" s="213"/>
      <c r="X978" s="213"/>
      <c r="Y978" s="213"/>
      <c r="Z978" s="213"/>
      <c r="AA978" s="213"/>
      <c r="AB978" s="213"/>
      <c r="AC978" s="213"/>
      <c r="AD978" s="213"/>
      <c r="AE978" s="213"/>
      <c r="AF978" s="213"/>
      <c r="AG978" s="213"/>
      <c r="AH978" s="213"/>
      <c r="AI978" s="213"/>
      <c r="AJ978" s="213"/>
      <c r="AK978" s="213"/>
      <c r="AL978" s="213"/>
      <c r="AM978" s="213"/>
      <c r="AN978" s="302"/>
      <c r="AO978" s="303"/>
      <c r="AP978" s="285"/>
      <c r="AQ978" s="258"/>
      <c r="AR978" s="258"/>
    </row>
    <row r="979" spans="10:44" s="48" customFormat="1" ht="12" hidden="1" customHeight="1">
      <c r="J979" s="213"/>
      <c r="K979" s="213"/>
      <c r="L979" s="213"/>
      <c r="M979" s="213"/>
      <c r="N979" s="213"/>
      <c r="O979" s="213"/>
      <c r="P979" s="213"/>
      <c r="Q979" s="213"/>
      <c r="R979" s="213"/>
      <c r="S979" s="213"/>
      <c r="T979" s="213"/>
      <c r="U979" s="213"/>
      <c r="V979" s="213"/>
      <c r="W979" s="213"/>
      <c r="X979" s="213"/>
      <c r="Y979" s="213"/>
      <c r="Z979" s="213"/>
      <c r="AA979" s="213"/>
      <c r="AB979" s="213"/>
      <c r="AC979" s="213"/>
      <c r="AD979" s="213"/>
      <c r="AE979" s="213"/>
      <c r="AF979" s="213"/>
      <c r="AG979" s="213"/>
      <c r="AH979" s="213"/>
      <c r="AI979" s="213"/>
      <c r="AJ979" s="213"/>
      <c r="AK979" s="213"/>
      <c r="AL979" s="213"/>
      <c r="AM979" s="213"/>
      <c r="AN979" s="302"/>
      <c r="AO979" s="303"/>
      <c r="AP979" s="285"/>
      <c r="AQ979" s="258"/>
      <c r="AR979" s="258"/>
    </row>
    <row r="980" spans="10:44" s="48" customFormat="1" ht="12" hidden="1" customHeight="1">
      <c r="J980" s="213"/>
      <c r="K980" s="213"/>
      <c r="L980" s="213"/>
      <c r="M980" s="213"/>
      <c r="N980" s="213"/>
      <c r="O980" s="213"/>
      <c r="P980" s="213"/>
      <c r="Q980" s="213"/>
      <c r="R980" s="213"/>
      <c r="S980" s="213"/>
      <c r="T980" s="213"/>
      <c r="U980" s="213"/>
      <c r="V980" s="213"/>
      <c r="W980" s="213"/>
      <c r="X980" s="213"/>
      <c r="Y980" s="213"/>
      <c r="Z980" s="213"/>
      <c r="AA980" s="213"/>
      <c r="AB980" s="213"/>
      <c r="AC980" s="213"/>
      <c r="AD980" s="213"/>
      <c r="AE980" s="213"/>
      <c r="AF980" s="213"/>
      <c r="AG980" s="213"/>
      <c r="AH980" s="213"/>
      <c r="AI980" s="213"/>
      <c r="AJ980" s="213"/>
      <c r="AK980" s="213"/>
      <c r="AL980" s="213"/>
      <c r="AM980" s="213"/>
      <c r="AN980" s="302"/>
      <c r="AO980" s="303"/>
      <c r="AP980" s="285"/>
      <c r="AQ980" s="258"/>
      <c r="AR980" s="258"/>
    </row>
    <row r="981" spans="10:44" s="48" customFormat="1" ht="12" hidden="1" customHeight="1">
      <c r="J981" s="213"/>
      <c r="K981" s="213"/>
      <c r="L981" s="213"/>
      <c r="M981" s="213"/>
      <c r="N981" s="213"/>
      <c r="O981" s="213"/>
      <c r="P981" s="213"/>
      <c r="Q981" s="213"/>
      <c r="R981" s="213"/>
      <c r="S981" s="213"/>
      <c r="T981" s="213"/>
      <c r="U981" s="213"/>
      <c r="V981" s="213"/>
      <c r="W981" s="213"/>
      <c r="X981" s="213"/>
      <c r="Y981" s="213"/>
      <c r="Z981" s="213"/>
      <c r="AA981" s="213"/>
      <c r="AB981" s="213"/>
      <c r="AC981" s="213"/>
      <c r="AD981" s="213"/>
      <c r="AE981" s="213"/>
      <c r="AF981" s="213"/>
      <c r="AG981" s="213"/>
      <c r="AH981" s="213"/>
      <c r="AI981" s="213"/>
      <c r="AJ981" s="213"/>
      <c r="AK981" s="213"/>
      <c r="AL981" s="213"/>
      <c r="AM981" s="213"/>
      <c r="AN981" s="302"/>
      <c r="AO981" s="303"/>
      <c r="AP981" s="285"/>
      <c r="AQ981" s="258"/>
      <c r="AR981" s="258"/>
    </row>
    <row r="982" spans="10:44" s="48" customFormat="1" ht="12" hidden="1" customHeight="1">
      <c r="J982" s="213"/>
      <c r="K982" s="213"/>
      <c r="L982" s="213"/>
      <c r="M982" s="213"/>
      <c r="N982" s="213"/>
      <c r="O982" s="213"/>
      <c r="P982" s="213"/>
      <c r="Q982" s="213"/>
      <c r="R982" s="213"/>
      <c r="S982" s="213"/>
      <c r="T982" s="213"/>
      <c r="U982" s="213"/>
      <c r="V982" s="213"/>
      <c r="W982" s="213"/>
      <c r="X982" s="213"/>
      <c r="Y982" s="213"/>
      <c r="Z982" s="213"/>
      <c r="AA982" s="213"/>
      <c r="AB982" s="213"/>
      <c r="AC982" s="213"/>
      <c r="AD982" s="213"/>
      <c r="AE982" s="213"/>
      <c r="AF982" s="213"/>
      <c r="AG982" s="213"/>
      <c r="AH982" s="213"/>
      <c r="AI982" s="213"/>
      <c r="AJ982" s="213"/>
      <c r="AK982" s="213"/>
      <c r="AL982" s="213"/>
      <c r="AM982" s="213"/>
      <c r="AN982" s="302"/>
      <c r="AO982" s="303"/>
      <c r="AP982" s="285"/>
      <c r="AQ982" s="258"/>
      <c r="AR982" s="258"/>
    </row>
    <row r="983" spans="10:44" s="48" customFormat="1" ht="12" hidden="1" customHeight="1">
      <c r="J983" s="213"/>
      <c r="K983" s="213"/>
      <c r="L983" s="213"/>
      <c r="M983" s="213"/>
      <c r="N983" s="213"/>
      <c r="O983" s="213"/>
      <c r="P983" s="213"/>
      <c r="Q983" s="213"/>
      <c r="R983" s="213"/>
      <c r="S983" s="213"/>
      <c r="T983" s="213"/>
      <c r="U983" s="213"/>
      <c r="V983" s="213"/>
      <c r="W983" s="213"/>
      <c r="X983" s="213"/>
      <c r="Y983" s="213"/>
      <c r="Z983" s="213"/>
      <c r="AA983" s="213"/>
      <c r="AB983" s="213"/>
      <c r="AC983" s="213"/>
      <c r="AD983" s="213"/>
      <c r="AE983" s="213"/>
      <c r="AF983" s="213"/>
      <c r="AG983" s="213"/>
      <c r="AH983" s="213"/>
      <c r="AI983" s="213"/>
      <c r="AJ983" s="213"/>
      <c r="AK983" s="213"/>
      <c r="AL983" s="213"/>
      <c r="AM983" s="213"/>
      <c r="AN983" s="302"/>
      <c r="AO983" s="303"/>
      <c r="AP983" s="285"/>
      <c r="AQ983" s="258"/>
      <c r="AR983" s="258"/>
    </row>
    <row r="984" spans="10:44" s="48" customFormat="1" ht="12" hidden="1" customHeight="1">
      <c r="J984" s="213"/>
      <c r="K984" s="213"/>
      <c r="L984" s="213"/>
      <c r="M984" s="213"/>
      <c r="N984" s="213"/>
      <c r="O984" s="213"/>
      <c r="P984" s="213"/>
      <c r="Q984" s="213"/>
      <c r="R984" s="213"/>
      <c r="S984" s="213"/>
      <c r="T984" s="213"/>
      <c r="U984" s="213"/>
      <c r="V984" s="213"/>
      <c r="W984" s="213"/>
      <c r="X984" s="213"/>
      <c r="Y984" s="213"/>
      <c r="Z984" s="213"/>
      <c r="AA984" s="213"/>
      <c r="AB984" s="213"/>
      <c r="AC984" s="213"/>
      <c r="AD984" s="213"/>
      <c r="AE984" s="213"/>
      <c r="AF984" s="213"/>
      <c r="AG984" s="213"/>
      <c r="AH984" s="213"/>
      <c r="AI984" s="213"/>
      <c r="AJ984" s="213"/>
      <c r="AK984" s="213"/>
      <c r="AL984" s="213"/>
      <c r="AM984" s="213"/>
      <c r="AN984" s="302"/>
      <c r="AO984" s="303"/>
      <c r="AP984" s="285"/>
      <c r="AQ984" s="258"/>
      <c r="AR984" s="258"/>
    </row>
    <row r="985" spans="10:44" s="48" customFormat="1" ht="12" hidden="1" customHeight="1">
      <c r="J985" s="213"/>
      <c r="K985" s="213"/>
      <c r="L985" s="213"/>
      <c r="M985" s="213"/>
      <c r="N985" s="213"/>
      <c r="O985" s="213"/>
      <c r="P985" s="213"/>
      <c r="Q985" s="213"/>
      <c r="R985" s="213"/>
      <c r="S985" s="213"/>
      <c r="T985" s="213"/>
      <c r="U985" s="213"/>
      <c r="V985" s="213"/>
      <c r="W985" s="213"/>
      <c r="X985" s="213"/>
      <c r="Y985" s="213"/>
      <c r="Z985" s="213"/>
      <c r="AA985" s="213"/>
      <c r="AB985" s="213"/>
      <c r="AC985" s="213"/>
      <c r="AD985" s="213"/>
      <c r="AE985" s="213"/>
      <c r="AF985" s="213"/>
      <c r="AG985" s="213"/>
      <c r="AH985" s="213"/>
      <c r="AI985" s="213"/>
      <c r="AJ985" s="213"/>
      <c r="AK985" s="213"/>
      <c r="AL985" s="213"/>
      <c r="AM985" s="213"/>
      <c r="AN985" s="302"/>
      <c r="AO985" s="303"/>
      <c r="AP985" s="285"/>
      <c r="AQ985" s="258"/>
      <c r="AR985" s="258"/>
    </row>
    <row r="986" spans="10:44" s="48" customFormat="1" ht="12" hidden="1" customHeight="1">
      <c r="J986" s="213"/>
      <c r="K986" s="213"/>
      <c r="L986" s="213"/>
      <c r="M986" s="213"/>
      <c r="N986" s="213"/>
      <c r="O986" s="213"/>
      <c r="P986" s="213"/>
      <c r="Q986" s="213"/>
      <c r="R986" s="213"/>
      <c r="S986" s="213"/>
      <c r="T986" s="213"/>
      <c r="U986" s="213"/>
      <c r="V986" s="213"/>
      <c r="W986" s="213"/>
      <c r="X986" s="213"/>
      <c r="Y986" s="213"/>
      <c r="Z986" s="213"/>
      <c r="AA986" s="213"/>
      <c r="AB986" s="213"/>
      <c r="AC986" s="213"/>
      <c r="AD986" s="213"/>
      <c r="AE986" s="213"/>
      <c r="AF986" s="213"/>
      <c r="AG986" s="213"/>
      <c r="AH986" s="213"/>
      <c r="AI986" s="213"/>
      <c r="AJ986" s="213"/>
      <c r="AK986" s="213"/>
      <c r="AL986" s="213"/>
      <c r="AM986" s="213"/>
      <c r="AN986" s="302"/>
      <c r="AO986" s="303"/>
      <c r="AP986" s="285"/>
      <c r="AQ986" s="258"/>
      <c r="AR986" s="258"/>
    </row>
    <row r="987" spans="10:44" s="48" customFormat="1" ht="12" hidden="1" customHeight="1">
      <c r="J987" s="213"/>
      <c r="K987" s="213"/>
      <c r="L987" s="213"/>
      <c r="M987" s="213"/>
      <c r="N987" s="213"/>
      <c r="O987" s="213"/>
      <c r="P987" s="213"/>
      <c r="Q987" s="213"/>
      <c r="R987" s="213"/>
      <c r="S987" s="213"/>
      <c r="T987" s="213"/>
      <c r="U987" s="213"/>
      <c r="V987" s="213"/>
      <c r="W987" s="213"/>
      <c r="X987" s="213"/>
      <c r="Y987" s="213"/>
      <c r="Z987" s="213"/>
      <c r="AA987" s="213"/>
      <c r="AB987" s="213"/>
      <c r="AC987" s="213"/>
      <c r="AD987" s="213"/>
      <c r="AE987" s="213"/>
      <c r="AF987" s="213"/>
      <c r="AG987" s="213"/>
      <c r="AH987" s="213"/>
      <c r="AI987" s="213"/>
      <c r="AJ987" s="213"/>
      <c r="AK987" s="213"/>
      <c r="AL987" s="213"/>
      <c r="AM987" s="213"/>
      <c r="AN987" s="302"/>
      <c r="AO987" s="303"/>
      <c r="AP987" s="285"/>
      <c r="AQ987" s="258"/>
      <c r="AR987" s="258"/>
    </row>
    <row r="988" spans="10:44" s="48" customFormat="1" ht="12" hidden="1" customHeight="1">
      <c r="J988" s="213"/>
      <c r="K988" s="213"/>
      <c r="L988" s="213"/>
      <c r="M988" s="213"/>
      <c r="N988" s="213"/>
      <c r="O988" s="213"/>
      <c r="P988" s="213"/>
      <c r="Q988" s="213"/>
      <c r="R988" s="213"/>
      <c r="S988" s="213"/>
      <c r="T988" s="213"/>
      <c r="U988" s="213"/>
      <c r="V988" s="213"/>
      <c r="W988" s="213"/>
      <c r="X988" s="213"/>
      <c r="Y988" s="213"/>
      <c r="Z988" s="213"/>
      <c r="AA988" s="213"/>
      <c r="AB988" s="213"/>
      <c r="AC988" s="213"/>
      <c r="AD988" s="213"/>
      <c r="AE988" s="213"/>
      <c r="AF988" s="213"/>
      <c r="AG988" s="213"/>
      <c r="AH988" s="213"/>
      <c r="AI988" s="213"/>
      <c r="AJ988" s="213"/>
      <c r="AK988" s="213"/>
      <c r="AL988" s="213"/>
      <c r="AM988" s="213"/>
      <c r="AN988" s="302"/>
      <c r="AO988" s="303"/>
      <c r="AP988" s="285"/>
      <c r="AQ988" s="258"/>
      <c r="AR988" s="258"/>
    </row>
    <row r="989" spans="10:44" s="48" customFormat="1" ht="12" hidden="1" customHeight="1">
      <c r="J989" s="213"/>
      <c r="K989" s="213"/>
      <c r="L989" s="213"/>
      <c r="M989" s="213"/>
      <c r="N989" s="213"/>
      <c r="O989" s="213"/>
      <c r="P989" s="213"/>
      <c r="Q989" s="213"/>
      <c r="R989" s="213"/>
      <c r="S989" s="213"/>
      <c r="T989" s="213"/>
      <c r="U989" s="213"/>
      <c r="V989" s="213"/>
      <c r="W989" s="213"/>
      <c r="X989" s="213"/>
      <c r="Y989" s="213"/>
      <c r="Z989" s="213"/>
      <c r="AA989" s="213"/>
      <c r="AB989" s="213"/>
      <c r="AC989" s="213"/>
      <c r="AD989" s="213"/>
      <c r="AE989" s="213"/>
      <c r="AF989" s="213"/>
      <c r="AG989" s="213"/>
      <c r="AH989" s="213"/>
      <c r="AI989" s="213"/>
      <c r="AJ989" s="213"/>
      <c r="AK989" s="213"/>
      <c r="AL989" s="213"/>
      <c r="AM989" s="213"/>
      <c r="AN989" s="302"/>
      <c r="AO989" s="303"/>
      <c r="AP989" s="285"/>
      <c r="AQ989" s="258"/>
      <c r="AR989" s="258"/>
    </row>
    <row r="990" spans="10:44" s="48" customFormat="1" ht="12" hidden="1" customHeight="1">
      <c r="J990" s="213"/>
      <c r="K990" s="213"/>
      <c r="L990" s="213"/>
      <c r="M990" s="213"/>
      <c r="N990" s="213"/>
      <c r="O990" s="213"/>
      <c r="P990" s="213"/>
      <c r="Q990" s="213"/>
      <c r="R990" s="213"/>
      <c r="S990" s="213"/>
      <c r="T990" s="213"/>
      <c r="U990" s="213"/>
      <c r="V990" s="213"/>
      <c r="W990" s="213"/>
      <c r="X990" s="213"/>
      <c r="Y990" s="213"/>
      <c r="Z990" s="213"/>
      <c r="AA990" s="213"/>
      <c r="AB990" s="213"/>
      <c r="AC990" s="213"/>
      <c r="AD990" s="213"/>
      <c r="AE990" s="213"/>
      <c r="AF990" s="213"/>
      <c r="AG990" s="213"/>
      <c r="AH990" s="213"/>
      <c r="AI990" s="213"/>
      <c r="AJ990" s="213"/>
      <c r="AK990" s="213"/>
      <c r="AL990" s="213"/>
      <c r="AM990" s="213"/>
      <c r="AN990" s="302"/>
      <c r="AO990" s="303"/>
      <c r="AP990" s="285"/>
      <c r="AQ990" s="258"/>
      <c r="AR990" s="258"/>
    </row>
    <row r="991" spans="10:44" s="48" customFormat="1" ht="12" hidden="1" customHeight="1">
      <c r="J991" s="213"/>
      <c r="K991" s="213"/>
      <c r="L991" s="213"/>
      <c r="M991" s="213"/>
      <c r="N991" s="213"/>
      <c r="O991" s="213"/>
      <c r="P991" s="213"/>
      <c r="Q991" s="213"/>
      <c r="R991" s="213"/>
      <c r="S991" s="213"/>
      <c r="T991" s="213"/>
      <c r="U991" s="213"/>
      <c r="V991" s="213"/>
      <c r="W991" s="213"/>
      <c r="X991" s="213"/>
      <c r="Y991" s="213"/>
      <c r="Z991" s="213"/>
      <c r="AA991" s="213"/>
      <c r="AB991" s="213"/>
      <c r="AC991" s="213"/>
      <c r="AD991" s="213"/>
      <c r="AE991" s="213"/>
      <c r="AF991" s="213"/>
      <c r="AG991" s="213"/>
      <c r="AH991" s="213"/>
      <c r="AI991" s="213"/>
      <c r="AJ991" s="213"/>
      <c r="AK991" s="213"/>
      <c r="AL991" s="213"/>
      <c r="AM991" s="213"/>
      <c r="AN991" s="302"/>
      <c r="AO991" s="303"/>
      <c r="AP991" s="285"/>
      <c r="AQ991" s="258"/>
      <c r="AR991" s="258"/>
    </row>
    <row r="992" spans="10:44" s="48" customFormat="1" ht="12" hidden="1" customHeight="1">
      <c r="J992" s="213"/>
      <c r="K992" s="213"/>
      <c r="L992" s="213"/>
      <c r="M992" s="213"/>
      <c r="N992" s="213"/>
      <c r="O992" s="213"/>
      <c r="P992" s="213"/>
      <c r="Q992" s="213"/>
      <c r="R992" s="213"/>
      <c r="S992" s="213"/>
      <c r="T992" s="213"/>
      <c r="U992" s="213"/>
      <c r="V992" s="213"/>
      <c r="W992" s="213"/>
      <c r="X992" s="213"/>
      <c r="Y992" s="213"/>
      <c r="Z992" s="213"/>
      <c r="AA992" s="213"/>
      <c r="AB992" s="213"/>
      <c r="AC992" s="213"/>
      <c r="AD992" s="213"/>
      <c r="AE992" s="213"/>
      <c r="AF992" s="213"/>
      <c r="AG992" s="213"/>
      <c r="AH992" s="213"/>
      <c r="AI992" s="213"/>
      <c r="AJ992" s="213"/>
      <c r="AK992" s="213"/>
      <c r="AL992" s="213"/>
      <c r="AM992" s="213"/>
      <c r="AN992" s="302"/>
      <c r="AO992" s="303"/>
      <c r="AP992" s="285"/>
      <c r="AQ992" s="258"/>
      <c r="AR992" s="258"/>
    </row>
    <row r="993" spans="10:44" s="48" customFormat="1" ht="12" hidden="1" customHeight="1">
      <c r="J993" s="213"/>
      <c r="K993" s="213"/>
      <c r="L993" s="213"/>
      <c r="M993" s="213"/>
      <c r="N993" s="213"/>
      <c r="O993" s="213"/>
      <c r="P993" s="213"/>
      <c r="Q993" s="213"/>
      <c r="R993" s="213"/>
      <c r="S993" s="213"/>
      <c r="T993" s="213"/>
      <c r="U993" s="213"/>
      <c r="V993" s="213"/>
      <c r="W993" s="213"/>
      <c r="X993" s="213"/>
      <c r="Y993" s="213"/>
      <c r="Z993" s="213"/>
      <c r="AA993" s="213"/>
      <c r="AB993" s="213"/>
      <c r="AC993" s="213"/>
      <c r="AD993" s="213"/>
      <c r="AE993" s="213"/>
      <c r="AF993" s="213"/>
      <c r="AG993" s="213"/>
      <c r="AH993" s="213"/>
      <c r="AI993" s="213"/>
      <c r="AJ993" s="213"/>
      <c r="AK993" s="213"/>
      <c r="AL993" s="213"/>
      <c r="AM993" s="213"/>
      <c r="AN993" s="302"/>
      <c r="AO993" s="303"/>
      <c r="AP993" s="285"/>
      <c r="AQ993" s="258"/>
      <c r="AR993" s="258"/>
    </row>
    <row r="994" spans="10:44" s="48" customFormat="1" ht="12" hidden="1" customHeight="1">
      <c r="J994" s="213"/>
      <c r="K994" s="213"/>
      <c r="L994" s="213"/>
      <c r="M994" s="213"/>
      <c r="N994" s="213"/>
      <c r="O994" s="213"/>
      <c r="P994" s="213"/>
      <c r="Q994" s="213"/>
      <c r="R994" s="213"/>
      <c r="S994" s="213"/>
      <c r="T994" s="213"/>
      <c r="U994" s="213"/>
      <c r="V994" s="213"/>
      <c r="W994" s="213"/>
      <c r="X994" s="213"/>
      <c r="Y994" s="213"/>
      <c r="Z994" s="213"/>
      <c r="AA994" s="213"/>
      <c r="AB994" s="213"/>
      <c r="AC994" s="213"/>
      <c r="AD994" s="213"/>
      <c r="AE994" s="213"/>
      <c r="AF994" s="213"/>
      <c r="AG994" s="213"/>
      <c r="AH994" s="213"/>
      <c r="AI994" s="213"/>
      <c r="AJ994" s="213"/>
      <c r="AK994" s="213"/>
      <c r="AL994" s="213"/>
      <c r="AM994" s="213"/>
      <c r="AN994" s="302"/>
      <c r="AO994" s="303"/>
      <c r="AP994" s="285"/>
      <c r="AQ994" s="258"/>
      <c r="AR994" s="258"/>
    </row>
    <row r="995" spans="10:44" s="48" customFormat="1" ht="12" hidden="1" customHeight="1">
      <c r="J995" s="213"/>
      <c r="K995" s="213"/>
      <c r="L995" s="213"/>
      <c r="M995" s="213"/>
      <c r="N995" s="213"/>
      <c r="O995" s="213"/>
      <c r="P995" s="213"/>
      <c r="Q995" s="213"/>
      <c r="R995" s="213"/>
      <c r="S995" s="213"/>
      <c r="T995" s="213"/>
      <c r="U995" s="213"/>
      <c r="V995" s="213"/>
      <c r="W995" s="213"/>
      <c r="X995" s="213"/>
      <c r="Y995" s="213"/>
      <c r="Z995" s="213"/>
      <c r="AA995" s="213"/>
      <c r="AB995" s="213"/>
      <c r="AC995" s="213"/>
      <c r="AD995" s="213"/>
      <c r="AE995" s="213"/>
      <c r="AF995" s="213"/>
      <c r="AG995" s="213"/>
      <c r="AH995" s="213"/>
      <c r="AI995" s="213"/>
      <c r="AJ995" s="213"/>
      <c r="AK995" s="213"/>
      <c r="AL995" s="213"/>
      <c r="AM995" s="213"/>
      <c r="AN995" s="302"/>
      <c r="AO995" s="303"/>
      <c r="AP995" s="285"/>
      <c r="AQ995" s="258"/>
      <c r="AR995" s="258"/>
    </row>
    <row r="996" spans="10:44" s="48" customFormat="1" ht="12" hidden="1" customHeight="1">
      <c r="J996" s="213"/>
      <c r="K996" s="213"/>
      <c r="L996" s="213"/>
      <c r="M996" s="213"/>
      <c r="N996" s="213"/>
      <c r="O996" s="213"/>
      <c r="P996" s="213"/>
      <c r="Q996" s="213"/>
      <c r="R996" s="213"/>
      <c r="S996" s="213"/>
      <c r="T996" s="213"/>
      <c r="U996" s="213"/>
      <c r="V996" s="213"/>
      <c r="W996" s="213"/>
      <c r="X996" s="213"/>
      <c r="Y996" s="213"/>
      <c r="Z996" s="213"/>
      <c r="AA996" s="213"/>
      <c r="AB996" s="213"/>
      <c r="AC996" s="213"/>
      <c r="AD996" s="213"/>
      <c r="AE996" s="213"/>
      <c r="AF996" s="213"/>
      <c r="AG996" s="213"/>
      <c r="AH996" s="213"/>
      <c r="AI996" s="213"/>
      <c r="AJ996" s="213"/>
      <c r="AK996" s="213"/>
      <c r="AL996" s="213"/>
      <c r="AM996" s="213"/>
      <c r="AN996" s="302"/>
      <c r="AO996" s="303"/>
      <c r="AP996" s="285"/>
      <c r="AQ996" s="258"/>
      <c r="AR996" s="258"/>
    </row>
    <row r="997" spans="10:44" s="48" customFormat="1" ht="12" hidden="1" customHeight="1">
      <c r="J997" s="213"/>
      <c r="K997" s="213"/>
      <c r="L997" s="213"/>
      <c r="M997" s="213"/>
      <c r="N997" s="213"/>
      <c r="O997" s="213"/>
      <c r="P997" s="213"/>
      <c r="Q997" s="213"/>
      <c r="R997" s="213"/>
      <c r="S997" s="213"/>
      <c r="T997" s="213"/>
      <c r="U997" s="213"/>
      <c r="V997" s="213"/>
      <c r="W997" s="213"/>
      <c r="X997" s="213"/>
      <c r="Y997" s="213"/>
      <c r="Z997" s="213"/>
      <c r="AA997" s="213"/>
      <c r="AB997" s="213"/>
      <c r="AC997" s="213"/>
      <c r="AD997" s="213"/>
      <c r="AE997" s="213"/>
      <c r="AF997" s="213"/>
      <c r="AG997" s="213"/>
      <c r="AH997" s="213"/>
      <c r="AI997" s="213"/>
      <c r="AJ997" s="213"/>
      <c r="AK997" s="213"/>
      <c r="AL997" s="213"/>
      <c r="AM997" s="213"/>
      <c r="AN997" s="302"/>
      <c r="AO997" s="303"/>
      <c r="AP997" s="285"/>
      <c r="AQ997" s="258"/>
      <c r="AR997" s="258"/>
    </row>
    <row r="998" spans="10:44" s="48" customFormat="1" ht="12" hidden="1" customHeight="1">
      <c r="J998" s="213"/>
      <c r="K998" s="213"/>
      <c r="L998" s="213"/>
      <c r="M998" s="213"/>
      <c r="N998" s="213"/>
      <c r="O998" s="213"/>
      <c r="P998" s="213"/>
      <c r="Q998" s="213"/>
      <c r="R998" s="213"/>
      <c r="S998" s="213"/>
      <c r="T998" s="213"/>
      <c r="U998" s="213"/>
      <c r="V998" s="213"/>
      <c r="W998" s="213"/>
      <c r="X998" s="213"/>
      <c r="Y998" s="213"/>
      <c r="Z998" s="213"/>
      <c r="AA998" s="213"/>
      <c r="AB998" s="213"/>
      <c r="AC998" s="213"/>
      <c r="AD998" s="213"/>
      <c r="AE998" s="213"/>
      <c r="AF998" s="213"/>
      <c r="AG998" s="213"/>
      <c r="AH998" s="213"/>
      <c r="AI998" s="213"/>
      <c r="AJ998" s="213"/>
      <c r="AK998" s="213"/>
      <c r="AL998" s="213"/>
      <c r="AM998" s="213"/>
      <c r="AN998" s="302"/>
      <c r="AO998" s="303"/>
      <c r="AP998" s="285"/>
      <c r="AQ998" s="258"/>
      <c r="AR998" s="258"/>
    </row>
    <row r="999" spans="10:44" s="48" customFormat="1" ht="12" hidden="1" customHeight="1">
      <c r="J999" s="213"/>
      <c r="K999" s="213"/>
      <c r="L999" s="213"/>
      <c r="M999" s="213"/>
      <c r="N999" s="213"/>
      <c r="O999" s="213"/>
      <c r="P999" s="213"/>
      <c r="Q999" s="213"/>
      <c r="R999" s="213"/>
      <c r="S999" s="213"/>
      <c r="T999" s="213"/>
      <c r="U999" s="213"/>
      <c r="V999" s="213"/>
      <c r="W999" s="213"/>
      <c r="X999" s="213"/>
      <c r="Y999" s="213"/>
      <c r="Z999" s="213"/>
      <c r="AA999" s="213"/>
      <c r="AB999" s="213"/>
      <c r="AC999" s="213"/>
      <c r="AD999" s="213"/>
      <c r="AE999" s="213"/>
      <c r="AF999" s="213"/>
      <c r="AG999" s="213"/>
      <c r="AH999" s="213"/>
      <c r="AI999" s="213"/>
      <c r="AJ999" s="213"/>
      <c r="AK999" s="213"/>
      <c r="AL999" s="213"/>
      <c r="AM999" s="213"/>
      <c r="AN999" s="302"/>
      <c r="AO999" s="303"/>
      <c r="AP999" s="285"/>
      <c r="AQ999" s="258"/>
      <c r="AR999" s="258"/>
    </row>
    <row r="1000" spans="10:44" s="48" customFormat="1" ht="0.75" customHeight="1">
      <c r="J1000" s="213"/>
      <c r="K1000" s="213"/>
      <c r="L1000" s="213"/>
      <c r="M1000" s="213"/>
      <c r="N1000" s="213"/>
      <c r="O1000" s="213"/>
      <c r="P1000" s="213"/>
      <c r="Q1000" s="213"/>
      <c r="R1000" s="213"/>
      <c r="S1000" s="213"/>
      <c r="T1000" s="213"/>
      <c r="U1000" s="213"/>
      <c r="V1000" s="213"/>
      <c r="W1000" s="213"/>
      <c r="X1000" s="213"/>
      <c r="Y1000" s="213"/>
      <c r="Z1000" s="213"/>
      <c r="AA1000" s="213"/>
      <c r="AB1000" s="213"/>
      <c r="AC1000" s="213"/>
      <c r="AD1000" s="213"/>
      <c r="AE1000" s="213"/>
      <c r="AF1000" s="213"/>
      <c r="AG1000" s="213"/>
      <c r="AH1000" s="213"/>
      <c r="AI1000" s="213"/>
      <c r="AJ1000" s="213"/>
      <c r="AK1000" s="213"/>
      <c r="AL1000" s="213"/>
      <c r="AM1000" s="213"/>
      <c r="AN1000" s="283"/>
      <c r="AO1000" s="215"/>
      <c r="AP1000" s="286"/>
      <c r="AQ1000" s="265"/>
      <c r="AR1000" s="265"/>
    </row>
    <row r="1001" spans="10:44" s="48" customFormat="1">
      <c r="J1001" s="213"/>
      <c r="K1001" s="213"/>
      <c r="L1001" s="213"/>
      <c r="M1001" s="213"/>
      <c r="N1001" s="213"/>
      <c r="O1001" s="213"/>
      <c r="P1001" s="213"/>
      <c r="Q1001" s="213"/>
      <c r="R1001" s="213"/>
      <c r="S1001" s="213"/>
      <c r="T1001" s="213"/>
      <c r="U1001" s="213"/>
      <c r="V1001" s="213"/>
      <c r="W1001" s="213"/>
      <c r="X1001" s="213"/>
      <c r="Y1001" s="213"/>
      <c r="Z1001" s="213"/>
      <c r="AA1001" s="213"/>
      <c r="AB1001" s="213"/>
      <c r="AC1001" s="213"/>
      <c r="AD1001" s="213"/>
      <c r="AE1001" s="213"/>
      <c r="AF1001" s="213"/>
      <c r="AG1001" s="213"/>
      <c r="AH1001" s="213"/>
      <c r="AI1001" s="213"/>
      <c r="AJ1001" s="213"/>
      <c r="AK1001" s="213"/>
      <c r="AL1001" s="213"/>
      <c r="AM1001" s="213"/>
      <c r="AN1001" s="199"/>
      <c r="AP1001" s="121"/>
      <c r="AQ1001" s="121"/>
    </row>
  </sheetData>
  <sheetProtection password="FA9C" sheet="1" objects="1" scenarios="1" formatColumns="0" formatRows="0"/>
  <mergeCells count="4">
    <mergeCell ref="AN9:AP9"/>
    <mergeCell ref="AN11:AN12"/>
    <mergeCell ref="AO11:AO12"/>
    <mergeCell ref="AP11:AP12"/>
  </mergeCells>
  <phoneticPr fontId="8"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sheetPr codeName="HEAT_ConR_PERIOD2">
    <tabColor rgb="FF7030A0"/>
    <outlinePr summaryBelow="0"/>
  </sheetPr>
  <dimension ref="A1:AU1001"/>
  <sheetViews>
    <sheetView showGridLines="0" topLeftCell="AL8" workbookViewId="0"/>
  </sheetViews>
  <sheetFormatPr defaultRowHeight="11.25"/>
  <cols>
    <col min="1" max="9" width="4.5703125" style="47" hidden="1" customWidth="1"/>
    <col min="10" max="10" width="4.5703125" hidden="1" customWidth="1"/>
    <col min="11" max="36" width="4.5703125" style="47" hidden="1" customWidth="1"/>
    <col min="37" max="37" width="2.7109375" style="47"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4" width="0.140625" style="47" customWidth="1"/>
    <col min="45" max="46" width="2.7109375" style="47" customWidth="1"/>
    <col min="47" max="16384" width="9.140625" style="47"/>
  </cols>
  <sheetData>
    <row r="1" spans="10:45" hidden="1"/>
    <row r="2" spans="10:45" hidden="1"/>
    <row r="3" spans="10:45" hidden="1"/>
    <row r="4" spans="10:45" hidden="1"/>
    <row r="5" spans="10:45" hidden="1"/>
    <row r="6" spans="10:45" hidden="1"/>
    <row r="7" spans="10:45" hidden="1"/>
    <row r="8" spans="10:45" s="314" customFormat="1">
      <c r="J8" s="313"/>
      <c r="AM8" s="617"/>
      <c r="AN8" s="637">
        <f>IF(TARIFF_SETUP_METHOD_CODE="BY_PSEUDO_YEARS",12,IF(TEMPLATE_CLAIM="P",6,2))</f>
        <v>2</v>
      </c>
      <c r="AO8" s="431" t="str">
        <f>"Необходимо указывать " &amp; IF(TARIFF_SETUP_METHOD_CODE="BY_PSEUDO_YEARS","общегодовые значения","значения по периодам")</f>
        <v>Необходимо указывать значения по периодам</v>
      </c>
      <c r="AP8" s="616" t="s">
        <v>2497</v>
      </c>
      <c r="AQ8" s="310"/>
      <c r="AR8" s="310"/>
      <c r="AS8" s="310"/>
    </row>
    <row r="9" spans="10:45"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на реализацию " &amp; RESOURCE_IDENTIFIER &amp; " конечным потребителям по муниципальному образованию - " &amp; IF(mo="","Не определено",mo)</f>
        <v>Фактические расходы организаций водоотведения на реализацию стоков конечным потребителям по муниципальному образованию - Село Булава</v>
      </c>
      <c r="AO9" s="917"/>
      <c r="AP9" s="917"/>
      <c r="AQ9" s="201"/>
      <c r="AR9" s="122"/>
      <c r="AS9" s="200"/>
    </row>
    <row r="10" spans="10:45" ht="12" customHeight="1">
      <c r="AM10" s="124"/>
      <c r="AN10" s="491" t="str">
        <f>IF(TEMPLATE_CLAIM="P","01.07 - 31.12","01.07 - 31.08")</f>
        <v>01.07 - 31.08</v>
      </c>
      <c r="AO10" s="221"/>
      <c r="AP10" s="122" t="s">
        <v>786</v>
      </c>
      <c r="AQ10" s="201"/>
      <c r="AR10" s="168" t="s">
        <v>720</v>
      </c>
      <c r="AS10" s="53"/>
    </row>
    <row r="11" spans="10:45" ht="12" customHeight="1">
      <c r="AL11" s="50"/>
      <c r="AM11" s="125"/>
      <c r="AN11" s="802" t="s">
        <v>641</v>
      </c>
      <c r="AO11" s="804" t="s">
        <v>787</v>
      </c>
      <c r="AP11" s="806" t="s">
        <v>778</v>
      </c>
      <c r="AQ11" s="206">
        <v>0</v>
      </c>
      <c r="AR11" s="206"/>
      <c r="AS11" s="220"/>
    </row>
    <row r="12" spans="10:45" ht="48" customHeight="1">
      <c r="AL12" s="50"/>
      <c r="AM12" s="125"/>
      <c r="AN12" s="802"/>
      <c r="AO12" s="804"/>
      <c r="AP12" s="806"/>
      <c r="AQ12" s="207"/>
      <c r="AR12" s="207"/>
      <c r="AS12" s="220"/>
    </row>
    <row r="13" spans="10:45" ht="11.25" customHeight="1">
      <c r="AL13" s="50"/>
      <c r="AM13" s="125"/>
      <c r="AN13" s="232"/>
      <c r="AO13" s="233" t="s">
        <v>788</v>
      </c>
      <c r="AP13" s="251"/>
      <c r="AQ13" s="207"/>
      <c r="AR13" s="207"/>
      <c r="AS13" s="220"/>
    </row>
    <row r="14" spans="10:45" ht="11.25" customHeight="1">
      <c r="AL14" s="50"/>
      <c r="AM14" s="125"/>
      <c r="AN14" s="232"/>
      <c r="AO14" s="490" t="str">
        <f>IF(CALC_IDENTIFIER="","",CALC_IDENTIFIER)</f>
        <v/>
      </c>
      <c r="AP14" s="251"/>
      <c r="AQ14" s="207"/>
      <c r="AR14" s="207"/>
      <c r="AS14" s="220"/>
    </row>
    <row r="15" spans="10:45">
      <c r="AL15" s="50"/>
      <c r="AM15" s="125"/>
      <c r="AN15" s="234" t="s">
        <v>642</v>
      </c>
      <c r="AO15" s="489" t="s">
        <v>789</v>
      </c>
      <c r="AP15" s="257">
        <f t="shared" ref="AP15:AP26" si="0">SUM(AQ15:AR15)</f>
        <v>0</v>
      </c>
      <c r="AQ15" s="258"/>
      <c r="AR15" s="258"/>
      <c r="AS15" s="127"/>
    </row>
    <row r="16" spans="10:45">
      <c r="AL16" s="50"/>
      <c r="AM16" s="125"/>
      <c r="AN16" s="234" t="s">
        <v>790</v>
      </c>
      <c r="AO16" s="224" t="s">
        <v>791</v>
      </c>
      <c r="AP16" s="257">
        <f t="shared" si="0"/>
        <v>0</v>
      </c>
      <c r="AQ16" s="258"/>
      <c r="AR16" s="258"/>
      <c r="AS16" s="127"/>
    </row>
    <row r="17" spans="1:47">
      <c r="AL17" s="50"/>
      <c r="AM17" s="125"/>
      <c r="AN17" s="236" t="s">
        <v>792</v>
      </c>
      <c r="AO17" s="237" t="s">
        <v>793</v>
      </c>
      <c r="AP17" s="257">
        <f t="shared" si="0"/>
        <v>0</v>
      </c>
      <c r="AQ17" s="258"/>
      <c r="AR17" s="258"/>
      <c r="AS17" s="127"/>
    </row>
    <row r="18" spans="1:47" hidden="1">
      <c r="AL18" s="50"/>
      <c r="AM18" s="125"/>
      <c r="AN18" s="222"/>
      <c r="AO18" s="715"/>
      <c r="AP18" s="260"/>
      <c r="AQ18" s="258"/>
      <c r="AR18" s="258"/>
      <c r="AS18" s="127"/>
    </row>
    <row r="19" spans="1:47" hidden="1">
      <c r="AL19" s="50"/>
      <c r="AM19" s="125"/>
      <c r="AN19" s="222"/>
      <c r="AO19" s="716"/>
      <c r="AP19" s="260"/>
      <c r="AQ19" s="258"/>
      <c r="AR19" s="258"/>
      <c r="AS19" s="127"/>
    </row>
    <row r="20" spans="1:47" ht="22.5">
      <c r="A20" s="51"/>
      <c r="B20" s="51"/>
      <c r="C20" s="51"/>
      <c r="D20" s="51"/>
      <c r="E20" s="51"/>
      <c r="F20" s="51"/>
      <c r="G20" s="51"/>
      <c r="H20" s="51"/>
      <c r="I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2"/>
      <c r="AM20" s="125"/>
      <c r="AN20" s="236" t="s">
        <v>63</v>
      </c>
      <c r="AO20" s="237" t="s">
        <v>64</v>
      </c>
      <c r="AP20" s="257">
        <f t="shared" si="0"/>
        <v>0</v>
      </c>
      <c r="AQ20" s="258"/>
      <c r="AR20" s="258"/>
      <c r="AS20" s="127"/>
    </row>
    <row r="21" spans="1:47">
      <c r="A21" s="51"/>
      <c r="B21" s="51"/>
      <c r="C21" s="51"/>
      <c r="D21" s="51"/>
      <c r="E21" s="51"/>
      <c r="F21" s="51"/>
      <c r="G21" s="51"/>
      <c r="H21" s="51"/>
      <c r="I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3"/>
      <c r="AM21" s="124"/>
      <c r="AN21" s="234" t="s">
        <v>751</v>
      </c>
      <c r="AO21" s="235" t="s">
        <v>65</v>
      </c>
      <c r="AP21" s="257">
        <f t="shared" si="0"/>
        <v>0</v>
      </c>
      <c r="AQ21" s="258"/>
      <c r="AR21" s="258"/>
      <c r="AS21" s="127"/>
    </row>
    <row r="22" spans="1:47">
      <c r="A22" s="51"/>
      <c r="B22" s="51"/>
      <c r="C22" s="51"/>
      <c r="D22" s="51"/>
      <c r="E22" s="51"/>
      <c r="F22" s="51"/>
      <c r="G22" s="51"/>
      <c r="H22" s="51"/>
      <c r="I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3"/>
      <c r="AM22" s="124"/>
      <c r="AN22" s="234" t="s">
        <v>66</v>
      </c>
      <c r="AO22" s="237" t="s">
        <v>67</v>
      </c>
      <c r="AP22" s="257">
        <f t="shared" si="0"/>
        <v>0</v>
      </c>
      <c r="AQ22" s="258"/>
      <c r="AR22" s="258"/>
      <c r="AS22" s="127"/>
    </row>
    <row r="23" spans="1:47">
      <c r="A23" s="51"/>
      <c r="B23" s="51"/>
      <c r="C23" s="51"/>
      <c r="D23" s="51"/>
      <c r="E23" s="51"/>
      <c r="F23" s="51"/>
      <c r="G23" s="51"/>
      <c r="H23" s="51"/>
      <c r="I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3"/>
      <c r="AM23" s="124"/>
      <c r="AN23" s="234" t="s">
        <v>69</v>
      </c>
      <c r="AO23" s="237" t="s">
        <v>70</v>
      </c>
      <c r="AP23" s="257">
        <f t="shared" si="0"/>
        <v>0</v>
      </c>
      <c r="AQ23" s="258"/>
      <c r="AR23" s="258"/>
      <c r="AS23" s="127"/>
    </row>
    <row r="24" spans="1:47">
      <c r="A24" s="51"/>
      <c r="B24" s="51"/>
      <c r="C24" s="51"/>
      <c r="D24" s="51"/>
      <c r="E24" s="51"/>
      <c r="F24" s="51"/>
      <c r="G24" s="51"/>
      <c r="H24" s="51"/>
      <c r="I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3"/>
      <c r="AM24" s="124"/>
      <c r="AN24" s="234" t="s">
        <v>72</v>
      </c>
      <c r="AO24" s="237" t="s">
        <v>73</v>
      </c>
      <c r="AP24" s="257">
        <f t="shared" si="0"/>
        <v>0</v>
      </c>
      <c r="AQ24" s="258"/>
      <c r="AR24" s="258"/>
      <c r="AS24" s="127"/>
    </row>
    <row r="25" spans="1:47">
      <c r="A25" s="51"/>
      <c r="B25" s="51"/>
      <c r="C25" s="51"/>
      <c r="D25" s="51"/>
      <c r="E25" s="51"/>
      <c r="F25" s="51"/>
      <c r="G25" s="51"/>
      <c r="H25" s="51"/>
      <c r="I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3"/>
      <c r="AM25" s="124"/>
      <c r="AN25" s="234" t="s">
        <v>752</v>
      </c>
      <c r="AO25" s="235" t="s">
        <v>74</v>
      </c>
      <c r="AP25" s="257">
        <f t="shared" si="0"/>
        <v>0</v>
      </c>
      <c r="AQ25" s="258"/>
      <c r="AR25" s="258"/>
      <c r="AS25" s="127"/>
    </row>
    <row r="26" spans="1:47">
      <c r="A26" s="51"/>
      <c r="B26" s="51"/>
      <c r="C26" s="51"/>
      <c r="D26" s="51"/>
      <c r="E26" s="51"/>
      <c r="F26" s="51"/>
      <c r="G26" s="51"/>
      <c r="H26" s="51"/>
      <c r="I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3"/>
      <c r="AM26" s="124"/>
      <c r="AN26" s="236" t="s">
        <v>760</v>
      </c>
      <c r="AO26" s="237" t="s">
        <v>76</v>
      </c>
      <c r="AP26" s="257">
        <f t="shared" si="0"/>
        <v>0</v>
      </c>
      <c r="AQ26" s="258"/>
      <c r="AR26" s="258"/>
      <c r="AS26" s="127"/>
    </row>
    <row r="27" spans="1:47" ht="22.5">
      <c r="A27" s="51"/>
      <c r="B27" s="51"/>
      <c r="C27" s="51"/>
      <c r="D27" s="51"/>
      <c r="E27" s="51"/>
      <c r="F27" s="51"/>
      <c r="G27" s="51"/>
      <c r="H27" s="51"/>
      <c r="I27" s="5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234" t="s">
        <v>753</v>
      </c>
      <c r="AO27" s="233" t="s">
        <v>211</v>
      </c>
      <c r="AP27" s="305">
        <f>SUM(AQ27:AR27)</f>
        <v>0</v>
      </c>
      <c r="AQ27" s="258"/>
      <c r="AR27" s="258"/>
      <c r="AS27" s="202"/>
      <c r="AT27" s="48"/>
      <c r="AU27" s="48"/>
    </row>
    <row r="28" spans="1:47">
      <c r="A28" s="51"/>
      <c r="B28" s="51"/>
      <c r="C28" s="51"/>
      <c r="D28" s="51"/>
      <c r="E28" s="51"/>
      <c r="F28" s="51"/>
      <c r="G28" s="51"/>
      <c r="H28" s="51"/>
      <c r="I28" s="5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451" t="s">
        <v>766</v>
      </c>
      <c r="AO28" s="453" t="s">
        <v>78</v>
      </c>
      <c r="AP28" s="305">
        <f>SUM(AQ28:AR28)</f>
        <v>0</v>
      </c>
      <c r="AQ28" s="258"/>
      <c r="AR28" s="258"/>
      <c r="AS28" s="202"/>
      <c r="AT28" s="48"/>
      <c r="AU28" s="48"/>
    </row>
    <row r="29" spans="1:47">
      <c r="A29" s="51"/>
      <c r="B29" s="51"/>
      <c r="C29" s="51"/>
      <c r="D29" s="51"/>
      <c r="E29" s="51"/>
      <c r="F29" s="51"/>
      <c r="G29" s="51"/>
      <c r="H29" s="51"/>
      <c r="I29" s="5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451" t="s">
        <v>768</v>
      </c>
      <c r="AO29" s="454" t="s">
        <v>212</v>
      </c>
      <c r="AP29" s="305">
        <f>SUM(AQ29:AR29)</f>
        <v>0</v>
      </c>
      <c r="AQ29" s="258"/>
      <c r="AR29" s="258"/>
      <c r="AS29" s="202"/>
      <c r="AT29" s="48"/>
      <c r="AU29" s="48"/>
    </row>
    <row r="30" spans="1:47">
      <c r="A30" s="51"/>
      <c r="B30" s="51"/>
      <c r="C30" s="51"/>
      <c r="D30" s="51"/>
      <c r="E30" s="51"/>
      <c r="F30" s="51"/>
      <c r="G30" s="51"/>
      <c r="H30" s="51"/>
      <c r="I30" s="5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451" t="s">
        <v>132</v>
      </c>
      <c r="AO30" s="455" t="s">
        <v>79</v>
      </c>
      <c r="AP30" s="305">
        <f>SUM(AQ30:AR30)</f>
        <v>0</v>
      </c>
      <c r="AQ30" s="258"/>
      <c r="AR30" s="258"/>
      <c r="AS30" s="202"/>
      <c r="AT30" s="48"/>
      <c r="AU30" s="48"/>
    </row>
    <row r="31" spans="1:47" hidden="1">
      <c r="A31" s="51"/>
      <c r="B31" s="51"/>
      <c r="C31" s="51"/>
      <c r="D31" s="51"/>
      <c r="E31" s="51"/>
      <c r="F31" s="51"/>
      <c r="G31" s="51"/>
      <c r="H31" s="51"/>
      <c r="I31" s="5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451"/>
      <c r="AO31" s="455"/>
      <c r="AP31" s="287"/>
      <c r="AQ31" s="258"/>
      <c r="AR31" s="258"/>
      <c r="AS31" s="202"/>
      <c r="AT31" s="48"/>
      <c r="AU31" s="48"/>
    </row>
    <row r="32" spans="1:47" hidden="1">
      <c r="A32" s="51"/>
      <c r="B32" s="51"/>
      <c r="C32" s="51"/>
      <c r="D32" s="51"/>
      <c r="E32" s="51"/>
      <c r="F32" s="51"/>
      <c r="G32" s="51"/>
      <c r="H32" s="51"/>
      <c r="I32" s="5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451"/>
      <c r="AO32" s="455"/>
      <c r="AP32" s="287"/>
      <c r="AQ32" s="258"/>
      <c r="AR32" s="258"/>
      <c r="AS32" s="202"/>
      <c r="AT32" s="48"/>
      <c r="AU32" s="48"/>
    </row>
    <row r="33" spans="1:47" hidden="1">
      <c r="A33" s="51"/>
      <c r="B33" s="51"/>
      <c r="C33" s="51"/>
      <c r="D33" s="51"/>
      <c r="E33" s="51"/>
      <c r="F33" s="51"/>
      <c r="G33" s="51"/>
      <c r="H33" s="51"/>
      <c r="I33" s="5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451"/>
      <c r="AO33" s="455"/>
      <c r="AP33" s="287"/>
      <c r="AQ33" s="258"/>
      <c r="AR33" s="258"/>
      <c r="AS33" s="202"/>
      <c r="AT33" s="48"/>
      <c r="AU33" s="48"/>
    </row>
    <row r="34" spans="1:47" hidden="1">
      <c r="A34" s="51"/>
      <c r="B34" s="51"/>
      <c r="C34" s="51"/>
      <c r="D34" s="51"/>
      <c r="E34" s="51"/>
      <c r="F34" s="51"/>
      <c r="G34" s="51"/>
      <c r="H34" s="51"/>
      <c r="I34" s="5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451"/>
      <c r="AO34" s="455"/>
      <c r="AP34" s="287"/>
      <c r="AQ34" s="258"/>
      <c r="AR34" s="258"/>
      <c r="AS34" s="202"/>
      <c r="AT34" s="48"/>
      <c r="AU34" s="48"/>
    </row>
    <row r="35" spans="1:47" hidden="1">
      <c r="A35" s="51"/>
      <c r="B35" s="51"/>
      <c r="C35" s="51"/>
      <c r="D35" s="51"/>
      <c r="E35" s="51"/>
      <c r="F35" s="51"/>
      <c r="G35" s="51"/>
      <c r="H35" s="51"/>
      <c r="I35" s="5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451"/>
      <c r="AO35" s="455"/>
      <c r="AP35" s="287"/>
      <c r="AQ35" s="258"/>
      <c r="AR35" s="258"/>
      <c r="AS35" s="202"/>
      <c r="AT35" s="48"/>
      <c r="AU35" s="48"/>
    </row>
    <row r="36" spans="1:47" hidden="1">
      <c r="A36" s="51"/>
      <c r="B36" s="51"/>
      <c r="C36" s="51"/>
      <c r="D36" s="51"/>
      <c r="E36" s="51"/>
      <c r="F36" s="51"/>
      <c r="G36" s="51"/>
      <c r="H36" s="51"/>
      <c r="I36" s="5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451"/>
      <c r="AO36" s="455"/>
      <c r="AP36" s="287"/>
      <c r="AQ36" s="258"/>
      <c r="AR36" s="258"/>
      <c r="AS36" s="202"/>
      <c r="AT36" s="48"/>
      <c r="AU36" s="48"/>
    </row>
    <row r="37" spans="1:47" hidden="1">
      <c r="A37" s="51"/>
      <c r="B37" s="51"/>
      <c r="C37" s="51"/>
      <c r="D37" s="51"/>
      <c r="E37" s="51"/>
      <c r="F37" s="51"/>
      <c r="G37" s="51"/>
      <c r="H37" s="51"/>
      <c r="I37" s="5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451"/>
      <c r="AO37" s="455"/>
      <c r="AP37" s="287"/>
      <c r="AQ37" s="258"/>
      <c r="AR37" s="258"/>
      <c r="AS37" s="202"/>
      <c r="AT37" s="48"/>
      <c r="AU37" s="48"/>
    </row>
    <row r="38" spans="1:47">
      <c r="A38" s="51"/>
      <c r="B38" s="51"/>
      <c r="C38" s="51"/>
      <c r="D38" s="51"/>
      <c r="E38" s="51"/>
      <c r="F38" s="51"/>
      <c r="G38" s="51"/>
      <c r="H38" s="51"/>
      <c r="I38" s="5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451" t="s">
        <v>80</v>
      </c>
      <c r="AO38" s="455" t="s">
        <v>81</v>
      </c>
      <c r="AP38" s="305">
        <f>SUM(AQ38:AR38)</f>
        <v>0</v>
      </c>
      <c r="AQ38" s="258"/>
      <c r="AR38" s="258"/>
      <c r="AS38" s="202"/>
      <c r="AT38" s="48"/>
      <c r="AU38" s="48"/>
    </row>
    <row r="39" spans="1:47" hidden="1">
      <c r="A39" s="51"/>
      <c r="B39" s="51"/>
      <c r="C39" s="51"/>
      <c r="D39" s="51"/>
      <c r="E39" s="51"/>
      <c r="F39" s="51"/>
      <c r="G39" s="51"/>
      <c r="H39" s="51"/>
      <c r="I39" s="5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451"/>
      <c r="AO39" s="455"/>
      <c r="AP39" s="287"/>
      <c r="AQ39" s="258"/>
      <c r="AR39" s="258"/>
      <c r="AS39" s="202"/>
      <c r="AT39" s="48"/>
      <c r="AU39" s="48"/>
    </row>
    <row r="40" spans="1:47" hidden="1">
      <c r="A40" s="51"/>
      <c r="B40" s="51"/>
      <c r="C40" s="51"/>
      <c r="D40" s="51"/>
      <c r="E40" s="51"/>
      <c r="F40" s="51"/>
      <c r="G40" s="51"/>
      <c r="H40" s="51"/>
      <c r="I40" s="5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451"/>
      <c r="AO40" s="455"/>
      <c r="AP40" s="287"/>
      <c r="AQ40" s="258"/>
      <c r="AR40" s="258"/>
      <c r="AS40" s="202"/>
      <c r="AT40" s="48"/>
      <c r="AU40" s="48"/>
    </row>
    <row r="41" spans="1:47" hidden="1">
      <c r="A41" s="51"/>
      <c r="B41" s="51"/>
      <c r="C41" s="51"/>
      <c r="D41" s="51"/>
      <c r="E41" s="51"/>
      <c r="F41" s="51"/>
      <c r="G41" s="51"/>
      <c r="H41" s="51"/>
      <c r="I41" s="5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451"/>
      <c r="AO41" s="455"/>
      <c r="AP41" s="287"/>
      <c r="AQ41" s="258"/>
      <c r="AR41" s="258"/>
      <c r="AS41" s="202"/>
      <c r="AT41" s="48"/>
      <c r="AU41" s="48"/>
    </row>
    <row r="42" spans="1:47" hidden="1">
      <c r="A42" s="51"/>
      <c r="B42" s="51"/>
      <c r="C42" s="51"/>
      <c r="D42" s="51"/>
      <c r="E42" s="51"/>
      <c r="F42" s="51"/>
      <c r="G42" s="51"/>
      <c r="H42" s="51"/>
      <c r="I42" s="5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451"/>
      <c r="AO42" s="455"/>
      <c r="AP42" s="287"/>
      <c r="AQ42" s="258"/>
      <c r="AR42" s="258"/>
      <c r="AS42" s="202"/>
      <c r="AT42" s="48"/>
      <c r="AU42" s="48"/>
    </row>
    <row r="43" spans="1:47" hidden="1">
      <c r="A43" s="51"/>
      <c r="B43" s="51"/>
      <c r="C43" s="51"/>
      <c r="D43" s="51"/>
      <c r="E43" s="51"/>
      <c r="F43" s="51"/>
      <c r="G43" s="51"/>
      <c r="H43" s="51"/>
      <c r="I43" s="5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451"/>
      <c r="AO43" s="455"/>
      <c r="AP43" s="287"/>
      <c r="AQ43" s="258"/>
      <c r="AR43" s="258"/>
      <c r="AS43" s="202"/>
      <c r="AT43" s="48"/>
      <c r="AU43" s="48"/>
    </row>
    <row r="44" spans="1:47" hidden="1">
      <c r="A44" s="51"/>
      <c r="B44" s="51"/>
      <c r="C44" s="51"/>
      <c r="D44" s="51"/>
      <c r="E44" s="51"/>
      <c r="F44" s="51"/>
      <c r="G44" s="51"/>
      <c r="H44" s="51"/>
      <c r="I44" s="5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451"/>
      <c r="AO44" s="455"/>
      <c r="AP44" s="287"/>
      <c r="AQ44" s="258"/>
      <c r="AR44" s="258"/>
      <c r="AS44" s="202"/>
      <c r="AT44" s="48"/>
      <c r="AU44" s="48"/>
    </row>
    <row r="45" spans="1:47" hidden="1">
      <c r="A45" s="51"/>
      <c r="B45" s="51"/>
      <c r="C45" s="51"/>
      <c r="D45" s="51"/>
      <c r="E45" s="51"/>
      <c r="F45" s="51"/>
      <c r="G45" s="51"/>
      <c r="H45" s="51"/>
      <c r="I45" s="5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451"/>
      <c r="AO45" s="455"/>
      <c r="AP45" s="287"/>
      <c r="AQ45" s="258"/>
      <c r="AR45" s="258"/>
      <c r="AS45" s="202"/>
      <c r="AT45" s="48"/>
      <c r="AU45" s="48"/>
    </row>
    <row r="46" spans="1:47">
      <c r="A46" s="51"/>
      <c r="B46" s="51"/>
      <c r="C46" s="51"/>
      <c r="D46" s="51"/>
      <c r="E46" s="51"/>
      <c r="F46" s="51"/>
      <c r="G46" s="51"/>
      <c r="H46" s="51"/>
      <c r="I46" s="5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451" t="s">
        <v>82</v>
      </c>
      <c r="AO46" s="455" t="s">
        <v>83</v>
      </c>
      <c r="AP46" s="305">
        <f t="shared" ref="AP46:AP59" si="1">SUM(AQ46:AR46)</f>
        <v>0</v>
      </c>
      <c r="AQ46" s="258"/>
      <c r="AR46" s="258"/>
      <c r="AS46" s="202"/>
      <c r="AT46" s="48"/>
      <c r="AU46" s="48"/>
    </row>
    <row r="47" spans="1:47">
      <c r="A47" s="51"/>
      <c r="B47" s="51"/>
      <c r="C47" s="51"/>
      <c r="D47" s="51"/>
      <c r="E47" s="51"/>
      <c r="F47" s="51"/>
      <c r="G47" s="51"/>
      <c r="H47" s="51"/>
      <c r="I47" s="5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451" t="s">
        <v>84</v>
      </c>
      <c r="AO47" s="457" t="s">
        <v>85</v>
      </c>
      <c r="AP47" s="305">
        <f t="shared" si="1"/>
        <v>0</v>
      </c>
      <c r="AQ47" s="258"/>
      <c r="AR47" s="258"/>
      <c r="AS47" s="202"/>
      <c r="AT47" s="48"/>
      <c r="AU47" s="48"/>
    </row>
    <row r="48" spans="1:47">
      <c r="A48" s="51"/>
      <c r="B48" s="51"/>
      <c r="C48" s="51"/>
      <c r="D48" s="51"/>
      <c r="E48" s="51"/>
      <c r="F48" s="51"/>
      <c r="G48" s="51"/>
      <c r="H48" s="51"/>
      <c r="I48" s="5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451" t="s">
        <v>86</v>
      </c>
      <c r="AO48" s="457" t="s">
        <v>87</v>
      </c>
      <c r="AP48" s="305">
        <f t="shared" si="1"/>
        <v>0</v>
      </c>
      <c r="AQ48" s="258"/>
      <c r="AR48" s="258"/>
      <c r="AS48" s="202"/>
      <c r="AT48" s="48"/>
      <c r="AU48" s="48"/>
    </row>
    <row r="49" spans="1:47">
      <c r="A49" s="51"/>
      <c r="B49" s="51"/>
      <c r="C49" s="51"/>
      <c r="D49" s="51"/>
      <c r="E49" s="51"/>
      <c r="F49" s="51"/>
      <c r="G49" s="51"/>
      <c r="H49" s="51"/>
      <c r="I49" s="5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451" t="s">
        <v>88</v>
      </c>
      <c r="AO49" s="457" t="s">
        <v>89</v>
      </c>
      <c r="AP49" s="305">
        <f t="shared" si="1"/>
        <v>0</v>
      </c>
      <c r="AQ49" s="258"/>
      <c r="AR49" s="258"/>
      <c r="AS49" s="202"/>
      <c r="AT49" s="48"/>
      <c r="AU49" s="48"/>
    </row>
    <row r="50" spans="1:47">
      <c r="A50" s="51"/>
      <c r="B50" s="51"/>
      <c r="C50" s="51"/>
      <c r="D50" s="51"/>
      <c r="E50" s="51"/>
      <c r="F50" s="51"/>
      <c r="G50" s="51"/>
      <c r="H50" s="51"/>
      <c r="I50" s="5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451" t="s">
        <v>90</v>
      </c>
      <c r="AO50" s="457" t="s">
        <v>91</v>
      </c>
      <c r="AP50" s="305">
        <f t="shared" si="1"/>
        <v>0</v>
      </c>
      <c r="AQ50" s="258"/>
      <c r="AR50" s="258"/>
      <c r="AS50" s="202"/>
      <c r="AT50" s="48"/>
      <c r="AU50" s="48"/>
    </row>
    <row r="51" spans="1:47">
      <c r="A51" s="51"/>
      <c r="B51" s="51"/>
      <c r="C51" s="51"/>
      <c r="D51" s="51"/>
      <c r="E51" s="51"/>
      <c r="F51" s="51"/>
      <c r="G51" s="51"/>
      <c r="H51" s="51"/>
      <c r="I51" s="5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451" t="s">
        <v>92</v>
      </c>
      <c r="AO51" s="457" t="s">
        <v>93</v>
      </c>
      <c r="AP51" s="305">
        <f t="shared" si="1"/>
        <v>0</v>
      </c>
      <c r="AQ51" s="258"/>
      <c r="AR51" s="258"/>
      <c r="AS51" s="202"/>
      <c r="AT51" s="48"/>
      <c r="AU51" s="48"/>
    </row>
    <row r="52" spans="1:47">
      <c r="A52" s="51"/>
      <c r="B52" s="51"/>
      <c r="C52" s="51"/>
      <c r="D52" s="51"/>
      <c r="E52" s="51"/>
      <c r="F52" s="51"/>
      <c r="G52" s="51"/>
      <c r="H52" s="51"/>
      <c r="I52" s="5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451" t="s">
        <v>94</v>
      </c>
      <c r="AO52" s="457" t="s">
        <v>95</v>
      </c>
      <c r="AP52" s="305">
        <f t="shared" si="1"/>
        <v>0</v>
      </c>
      <c r="AQ52" s="258"/>
      <c r="AR52" s="258"/>
      <c r="AS52" s="202"/>
      <c r="AT52" s="48"/>
      <c r="AU52" s="48"/>
    </row>
    <row r="53" spans="1:47">
      <c r="A53" s="51"/>
      <c r="B53" s="51"/>
      <c r="C53" s="51"/>
      <c r="D53" s="51"/>
      <c r="E53" s="51"/>
      <c r="F53" s="51"/>
      <c r="G53" s="51"/>
      <c r="H53" s="51"/>
      <c r="I53" s="5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451" t="s">
        <v>2975</v>
      </c>
      <c r="AO53" s="457" t="s">
        <v>2976</v>
      </c>
      <c r="AP53" s="305">
        <f t="shared" si="1"/>
        <v>0</v>
      </c>
      <c r="AQ53" s="258"/>
      <c r="AR53" s="258"/>
      <c r="AS53" s="202"/>
      <c r="AT53" s="48"/>
      <c r="AU53" s="48"/>
    </row>
    <row r="54" spans="1:47">
      <c r="A54" s="51"/>
      <c r="B54" s="51"/>
      <c r="C54" s="51"/>
      <c r="D54" s="51"/>
      <c r="E54" s="51"/>
      <c r="F54" s="51"/>
      <c r="G54" s="51"/>
      <c r="H54" s="51"/>
      <c r="I54" s="5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451" t="s">
        <v>2977</v>
      </c>
      <c r="AO54" s="457" t="s">
        <v>2978</v>
      </c>
      <c r="AP54" s="305">
        <f t="shared" si="1"/>
        <v>0</v>
      </c>
      <c r="AQ54" s="258"/>
      <c r="AR54" s="258"/>
      <c r="AS54" s="202"/>
      <c r="AT54" s="48"/>
      <c r="AU54" s="48"/>
    </row>
    <row r="55" spans="1:47">
      <c r="A55" s="51"/>
      <c r="B55" s="51"/>
      <c r="C55" s="51"/>
      <c r="D55" s="51"/>
      <c r="E55" s="51"/>
      <c r="F55" s="51"/>
      <c r="G55" s="51"/>
      <c r="H55" s="51"/>
      <c r="I55" s="5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451" t="s">
        <v>2979</v>
      </c>
      <c r="AO55" s="457" t="s">
        <v>2980</v>
      </c>
      <c r="AP55" s="305">
        <f t="shared" si="1"/>
        <v>0</v>
      </c>
      <c r="AQ55" s="258"/>
      <c r="AR55" s="258"/>
      <c r="AS55" s="202"/>
      <c r="AT55" s="48"/>
      <c r="AU55" s="48"/>
    </row>
    <row r="56" spans="1:47">
      <c r="A56" s="51"/>
      <c r="B56" s="51"/>
      <c r="C56" s="51"/>
      <c r="D56" s="51"/>
      <c r="E56" s="51"/>
      <c r="F56" s="51"/>
      <c r="G56" s="51"/>
      <c r="H56" s="51"/>
      <c r="I56" s="5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451" t="s">
        <v>2981</v>
      </c>
      <c r="AO56" s="457" t="s">
        <v>2982</v>
      </c>
      <c r="AP56" s="305">
        <f t="shared" si="1"/>
        <v>0</v>
      </c>
      <c r="AQ56" s="258"/>
      <c r="AR56" s="258"/>
      <c r="AS56" s="202"/>
      <c r="AT56" s="48"/>
      <c r="AU56" s="48"/>
    </row>
    <row r="57" spans="1:47">
      <c r="A57" s="51"/>
      <c r="B57" s="51"/>
      <c r="C57" s="51"/>
      <c r="D57" s="51"/>
      <c r="E57" s="51"/>
      <c r="F57" s="51"/>
      <c r="G57" s="51"/>
      <c r="H57" s="51"/>
      <c r="I57" s="5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451" t="s">
        <v>2983</v>
      </c>
      <c r="AO57" s="224" t="s">
        <v>2984</v>
      </c>
      <c r="AP57" s="305">
        <f t="shared" si="1"/>
        <v>0</v>
      </c>
      <c r="AQ57" s="258"/>
      <c r="AR57" s="258"/>
      <c r="AS57" s="202"/>
      <c r="AT57" s="48"/>
      <c r="AU57" s="48"/>
    </row>
    <row r="58" spans="1:47">
      <c r="A58" s="51"/>
      <c r="B58" s="51"/>
      <c r="C58" s="51"/>
      <c r="D58" s="51"/>
      <c r="E58" s="51"/>
      <c r="F58" s="51"/>
      <c r="G58" s="51"/>
      <c r="H58" s="51"/>
      <c r="I58" s="5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451" t="s">
        <v>2989</v>
      </c>
      <c r="AO58" s="224" t="s">
        <v>2990</v>
      </c>
      <c r="AP58" s="305">
        <f t="shared" si="1"/>
        <v>0</v>
      </c>
      <c r="AQ58" s="258"/>
      <c r="AR58" s="258"/>
      <c r="AS58" s="202"/>
      <c r="AT58" s="48"/>
      <c r="AU58" s="48"/>
    </row>
    <row r="59" spans="1:47">
      <c r="A59" s="51"/>
      <c r="B59" s="51"/>
      <c r="C59" s="51"/>
      <c r="D59" s="51"/>
      <c r="E59" s="51"/>
      <c r="F59" s="51"/>
      <c r="G59" s="51"/>
      <c r="H59" s="51"/>
      <c r="I59" s="5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451" t="s">
        <v>292</v>
      </c>
      <c r="AO59" s="442" t="s">
        <v>291</v>
      </c>
      <c r="AP59" s="305">
        <f t="shared" si="1"/>
        <v>0</v>
      </c>
      <c r="AQ59" s="258"/>
      <c r="AR59" s="258"/>
      <c r="AS59" s="202"/>
      <c r="AT59" s="48"/>
      <c r="AU59" s="48"/>
    </row>
    <row r="60" spans="1:47" hidden="1">
      <c r="A60" s="51"/>
      <c r="B60" s="51"/>
      <c r="C60" s="51"/>
      <c r="D60" s="51"/>
      <c r="E60" s="51"/>
      <c r="F60" s="51"/>
      <c r="G60" s="51"/>
      <c r="H60" s="51"/>
      <c r="I60" s="5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239"/>
      <c r="AO60" s="225"/>
      <c r="AP60" s="287"/>
      <c r="AQ60" s="258"/>
      <c r="AR60" s="258"/>
      <c r="AS60" s="202"/>
      <c r="AT60" s="48"/>
      <c r="AU60" s="48"/>
    </row>
    <row r="61" spans="1:47" hidden="1">
      <c r="A61" s="51"/>
      <c r="B61" s="51"/>
      <c r="C61" s="51"/>
      <c r="D61" s="51"/>
      <c r="E61" s="51"/>
      <c r="F61" s="51"/>
      <c r="G61" s="51"/>
      <c r="H61" s="51"/>
      <c r="I61" s="5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239"/>
      <c r="AO61" s="225"/>
      <c r="AP61" s="287"/>
      <c r="AQ61" s="258"/>
      <c r="AR61" s="258"/>
      <c r="AS61" s="202"/>
      <c r="AT61" s="48"/>
      <c r="AU61" s="48"/>
    </row>
    <row r="62" spans="1:47" hidden="1">
      <c r="A62" s="51"/>
      <c r="B62" s="51"/>
      <c r="C62" s="51"/>
      <c r="D62" s="51"/>
      <c r="E62" s="51"/>
      <c r="F62" s="51"/>
      <c r="G62" s="51"/>
      <c r="H62" s="51"/>
      <c r="I62" s="5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239"/>
      <c r="AO62" s="225"/>
      <c r="AP62" s="287"/>
      <c r="AQ62" s="258"/>
      <c r="AR62" s="258"/>
      <c r="AS62" s="202"/>
      <c r="AT62" s="48"/>
      <c r="AU62" s="48"/>
    </row>
    <row r="63" spans="1:47" hidden="1">
      <c r="A63" s="51"/>
      <c r="B63" s="51"/>
      <c r="C63" s="51"/>
      <c r="D63" s="51"/>
      <c r="E63" s="51"/>
      <c r="F63" s="51"/>
      <c r="G63" s="51"/>
      <c r="H63" s="51"/>
      <c r="I63" s="5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239"/>
      <c r="AO63" s="225"/>
      <c r="AP63" s="287"/>
      <c r="AQ63" s="258"/>
      <c r="AR63" s="258"/>
      <c r="AS63" s="202"/>
      <c r="AT63" s="48"/>
      <c r="AU63" s="48"/>
    </row>
    <row r="64" spans="1:47" hidden="1">
      <c r="A64" s="51"/>
      <c r="B64" s="51"/>
      <c r="C64" s="51"/>
      <c r="D64" s="51"/>
      <c r="E64" s="51"/>
      <c r="F64" s="51"/>
      <c r="G64" s="51"/>
      <c r="H64" s="51"/>
      <c r="I64" s="5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239"/>
      <c r="AO64" s="225"/>
      <c r="AP64" s="287"/>
      <c r="AQ64" s="258"/>
      <c r="AR64" s="258"/>
      <c r="AS64" s="202"/>
      <c r="AT64" s="48"/>
      <c r="AU64" s="48"/>
    </row>
    <row r="65" spans="1:47" hidden="1">
      <c r="A65" s="51"/>
      <c r="B65" s="51"/>
      <c r="C65" s="51"/>
      <c r="D65" s="51"/>
      <c r="E65" s="51"/>
      <c r="F65" s="51"/>
      <c r="G65" s="51"/>
      <c r="H65" s="51"/>
      <c r="I65" s="5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239"/>
      <c r="AO65" s="225"/>
      <c r="AP65" s="287"/>
      <c r="AQ65" s="258"/>
      <c r="AR65" s="258"/>
      <c r="AS65" s="202"/>
      <c r="AT65" s="48"/>
      <c r="AU65" s="48"/>
    </row>
    <row r="66" spans="1:47" hidden="1">
      <c r="A66" s="51"/>
      <c r="B66" s="51"/>
      <c r="C66" s="51"/>
      <c r="D66" s="51"/>
      <c r="E66" s="51"/>
      <c r="F66" s="51"/>
      <c r="G66" s="51"/>
      <c r="H66" s="51"/>
      <c r="I66" s="5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239"/>
      <c r="AO66" s="225"/>
      <c r="AP66" s="287"/>
      <c r="AQ66" s="258"/>
      <c r="AR66" s="258"/>
      <c r="AS66" s="202"/>
      <c r="AT66" s="48"/>
      <c r="AU66" s="48"/>
    </row>
    <row r="67" spans="1:47" hidden="1">
      <c r="A67" s="51"/>
      <c r="B67" s="51"/>
      <c r="C67" s="51"/>
      <c r="D67" s="51"/>
      <c r="E67" s="51"/>
      <c r="F67" s="51"/>
      <c r="G67" s="51"/>
      <c r="H67" s="51"/>
      <c r="I67" s="5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239"/>
      <c r="AO67" s="225"/>
      <c r="AP67" s="287"/>
      <c r="AQ67" s="258"/>
      <c r="AR67" s="258"/>
      <c r="AS67" s="202"/>
      <c r="AT67" s="48"/>
      <c r="AU67" s="48"/>
    </row>
    <row r="68" spans="1:47" hidden="1">
      <c r="A68" s="51"/>
      <c r="B68" s="51"/>
      <c r="C68" s="51"/>
      <c r="D68" s="51"/>
      <c r="E68" s="51"/>
      <c r="F68" s="51"/>
      <c r="G68" s="51"/>
      <c r="H68" s="51"/>
      <c r="I68" s="5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239"/>
      <c r="AO68" s="225"/>
      <c r="AP68" s="287"/>
      <c r="AQ68" s="258"/>
      <c r="AR68" s="258"/>
      <c r="AS68" s="202"/>
      <c r="AT68" s="48"/>
      <c r="AU68" s="48"/>
    </row>
    <row r="69" spans="1:47" hidden="1">
      <c r="A69" s="51"/>
      <c r="B69" s="51"/>
      <c r="C69" s="51"/>
      <c r="D69" s="51"/>
      <c r="E69" s="51"/>
      <c r="F69" s="51"/>
      <c r="G69" s="51"/>
      <c r="H69" s="51"/>
      <c r="I69" s="5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239"/>
      <c r="AO69" s="225"/>
      <c r="AP69" s="287"/>
      <c r="AQ69" s="258"/>
      <c r="AR69" s="258"/>
      <c r="AS69" s="202"/>
      <c r="AT69" s="48"/>
      <c r="AU69" s="48"/>
    </row>
    <row r="70" spans="1:47" hidden="1">
      <c r="A70" s="51"/>
      <c r="B70" s="51"/>
      <c r="C70" s="51"/>
      <c r="D70" s="51"/>
      <c r="E70" s="51"/>
      <c r="F70" s="51"/>
      <c r="G70" s="51"/>
      <c r="H70" s="51"/>
      <c r="I70" s="5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239"/>
      <c r="AO70" s="225"/>
      <c r="AP70" s="287"/>
      <c r="AQ70" s="258"/>
      <c r="AR70" s="258"/>
      <c r="AS70" s="202"/>
      <c r="AT70" s="48"/>
      <c r="AU70" s="48"/>
    </row>
    <row r="71" spans="1:47" hidden="1">
      <c r="A71" s="51"/>
      <c r="B71" s="51"/>
      <c r="C71" s="51"/>
      <c r="D71" s="51"/>
      <c r="E71" s="51"/>
      <c r="F71" s="51"/>
      <c r="G71" s="51"/>
      <c r="H71" s="51"/>
      <c r="I71" s="5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239"/>
      <c r="AO71" s="225"/>
      <c r="AP71" s="287"/>
      <c r="AQ71" s="258"/>
      <c r="AR71" s="258"/>
      <c r="AS71" s="202"/>
      <c r="AT71" s="48"/>
      <c r="AU71" s="48"/>
    </row>
    <row r="72" spans="1:47" hidden="1">
      <c r="A72" s="51"/>
      <c r="B72" s="51"/>
      <c r="C72" s="51"/>
      <c r="D72" s="51"/>
      <c r="E72" s="51"/>
      <c r="F72" s="51"/>
      <c r="G72" s="51"/>
      <c r="H72" s="51"/>
      <c r="I72" s="5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239"/>
      <c r="AO72" s="225"/>
      <c r="AP72" s="287"/>
      <c r="AQ72" s="258"/>
      <c r="AR72" s="258"/>
      <c r="AS72" s="202"/>
      <c r="AT72" s="48"/>
      <c r="AU72" s="48"/>
    </row>
    <row r="73" spans="1:47" hidden="1">
      <c r="A73" s="51"/>
      <c r="B73" s="51"/>
      <c r="C73" s="51"/>
      <c r="D73" s="51"/>
      <c r="E73" s="51"/>
      <c r="F73" s="51"/>
      <c r="G73" s="51"/>
      <c r="H73" s="51"/>
      <c r="I73" s="5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239"/>
      <c r="AO73" s="225"/>
      <c r="AP73" s="287"/>
      <c r="AQ73" s="258"/>
      <c r="AR73" s="258"/>
      <c r="AS73" s="202"/>
      <c r="AT73" s="48"/>
      <c r="AU73" s="48"/>
    </row>
    <row r="74" spans="1:47" hidden="1">
      <c r="A74" s="51"/>
      <c r="B74" s="51"/>
      <c r="C74" s="51"/>
      <c r="D74" s="51"/>
      <c r="E74" s="51"/>
      <c r="F74" s="51"/>
      <c r="G74" s="51"/>
      <c r="H74" s="51"/>
      <c r="I74" s="5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239"/>
      <c r="AO74" s="225"/>
      <c r="AP74" s="287"/>
      <c r="AQ74" s="258"/>
      <c r="AR74" s="258"/>
      <c r="AS74" s="202"/>
      <c r="AT74" s="48"/>
      <c r="AU74" s="48"/>
    </row>
    <row r="75" spans="1:47" hidden="1">
      <c r="A75" s="51"/>
      <c r="B75" s="51"/>
      <c r="C75" s="51"/>
      <c r="D75" s="51"/>
      <c r="E75" s="51"/>
      <c r="F75" s="51"/>
      <c r="G75" s="51"/>
      <c r="H75" s="51"/>
      <c r="I75" s="5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239"/>
      <c r="AO75" s="225"/>
      <c r="AP75" s="287"/>
      <c r="AQ75" s="258"/>
      <c r="AR75" s="258"/>
      <c r="AS75" s="202"/>
      <c r="AT75" s="48"/>
      <c r="AU75" s="48"/>
    </row>
    <row r="76" spans="1:47" hidden="1">
      <c r="A76" s="51"/>
      <c r="B76" s="51"/>
      <c r="C76" s="51"/>
      <c r="D76" s="51"/>
      <c r="E76" s="51"/>
      <c r="F76" s="51"/>
      <c r="G76" s="51"/>
      <c r="H76" s="51"/>
      <c r="I76" s="5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239"/>
      <c r="AO76" s="225"/>
      <c r="AP76" s="287"/>
      <c r="AQ76" s="258"/>
      <c r="AR76" s="258"/>
      <c r="AS76" s="202"/>
      <c r="AT76" s="48"/>
      <c r="AU76" s="48"/>
    </row>
    <row r="77" spans="1:47" hidden="1">
      <c r="A77" s="51"/>
      <c r="B77" s="51"/>
      <c r="C77" s="51"/>
      <c r="D77" s="51"/>
      <c r="E77" s="51"/>
      <c r="F77" s="51"/>
      <c r="G77" s="51"/>
      <c r="H77" s="51"/>
      <c r="I77" s="5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1"/>
      <c r="AN77" s="239"/>
      <c r="AO77" s="225"/>
      <c r="AP77" s="287"/>
      <c r="AQ77" s="258"/>
      <c r="AR77" s="258"/>
      <c r="AS77" s="202"/>
      <c r="AT77" s="48"/>
      <c r="AU77" s="48"/>
    </row>
    <row r="78" spans="1:47" hidden="1">
      <c r="A78" s="51"/>
      <c r="B78" s="51"/>
      <c r="C78" s="51"/>
      <c r="D78" s="51"/>
      <c r="E78" s="51"/>
      <c r="F78" s="51"/>
      <c r="G78" s="51"/>
      <c r="H78" s="51"/>
      <c r="I78" s="5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239"/>
      <c r="AO78" s="225"/>
      <c r="AP78" s="287"/>
      <c r="AQ78" s="258"/>
      <c r="AR78" s="258"/>
      <c r="AS78" s="202"/>
      <c r="AT78" s="48"/>
      <c r="AU78" s="48"/>
    </row>
    <row r="79" spans="1:47" hidden="1">
      <c r="A79" s="51"/>
      <c r="B79" s="51"/>
      <c r="C79" s="51"/>
      <c r="D79" s="51"/>
      <c r="E79" s="51"/>
      <c r="F79" s="51"/>
      <c r="G79" s="51"/>
      <c r="H79" s="51"/>
      <c r="I79" s="5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239"/>
      <c r="AO79" s="225"/>
      <c r="AP79" s="287"/>
      <c r="AQ79" s="258"/>
      <c r="AR79" s="258"/>
      <c r="AS79" s="202"/>
      <c r="AT79" s="48"/>
      <c r="AU79" s="48"/>
    </row>
    <row r="80" spans="1:47" hidden="1">
      <c r="A80" s="51"/>
      <c r="B80" s="51"/>
      <c r="C80" s="51"/>
      <c r="D80" s="51"/>
      <c r="E80" s="51"/>
      <c r="F80" s="51"/>
      <c r="G80" s="51"/>
      <c r="H80" s="51"/>
      <c r="I80" s="5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239"/>
      <c r="AO80" s="225"/>
      <c r="AP80" s="287"/>
      <c r="AQ80" s="258"/>
      <c r="AR80" s="258"/>
      <c r="AS80" s="202"/>
      <c r="AT80" s="48"/>
      <c r="AU80" s="48"/>
    </row>
    <row r="81" spans="1:47" hidden="1">
      <c r="A81" s="51"/>
      <c r="B81" s="51"/>
      <c r="C81" s="51"/>
      <c r="D81" s="51"/>
      <c r="E81" s="51"/>
      <c r="F81" s="51"/>
      <c r="G81" s="51"/>
      <c r="H81" s="51"/>
      <c r="I81" s="5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239"/>
      <c r="AO81" s="225"/>
      <c r="AP81" s="287"/>
      <c r="AQ81" s="258"/>
      <c r="AR81" s="258"/>
      <c r="AS81" s="202"/>
      <c r="AT81" s="48"/>
      <c r="AU81" s="48"/>
    </row>
    <row r="82" spans="1:47" hidden="1">
      <c r="A82" s="51"/>
      <c r="B82" s="51"/>
      <c r="C82" s="51"/>
      <c r="D82" s="51"/>
      <c r="E82" s="51"/>
      <c r="F82" s="51"/>
      <c r="G82" s="51"/>
      <c r="H82" s="51"/>
      <c r="I82" s="5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239"/>
      <c r="AO82" s="225"/>
      <c r="AP82" s="287"/>
      <c r="AQ82" s="258"/>
      <c r="AR82" s="258"/>
      <c r="AS82" s="202"/>
      <c r="AT82" s="48"/>
      <c r="AU82" s="48"/>
    </row>
    <row r="83" spans="1:47" hidden="1">
      <c r="A83" s="51"/>
      <c r="B83" s="51"/>
      <c r="C83" s="51"/>
      <c r="D83" s="51"/>
      <c r="E83" s="51"/>
      <c r="F83" s="51"/>
      <c r="G83" s="51"/>
      <c r="H83" s="51"/>
      <c r="I83" s="5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239"/>
      <c r="AO83" s="225"/>
      <c r="AP83" s="287"/>
      <c r="AQ83" s="258"/>
      <c r="AR83" s="258"/>
      <c r="AS83" s="202"/>
      <c r="AT83" s="48"/>
      <c r="AU83" s="48"/>
    </row>
    <row r="84" spans="1:47" hidden="1">
      <c r="A84" s="51"/>
      <c r="B84" s="51"/>
      <c r="C84" s="51"/>
      <c r="D84" s="51"/>
      <c r="E84" s="51"/>
      <c r="F84" s="51"/>
      <c r="G84" s="51"/>
      <c r="H84" s="51"/>
      <c r="I84" s="5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239"/>
      <c r="AO84" s="225"/>
      <c r="AP84" s="287"/>
      <c r="AQ84" s="258"/>
      <c r="AR84" s="258"/>
      <c r="AS84" s="202"/>
      <c r="AT84" s="48"/>
      <c r="AU84" s="48"/>
    </row>
    <row r="85" spans="1:47" hidden="1">
      <c r="A85" s="51"/>
      <c r="B85" s="51"/>
      <c r="C85" s="51"/>
      <c r="D85" s="51"/>
      <c r="E85" s="51"/>
      <c r="F85" s="51"/>
      <c r="G85" s="51"/>
      <c r="H85" s="51"/>
      <c r="I85" s="5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239"/>
      <c r="AO85" s="225"/>
      <c r="AP85" s="287"/>
      <c r="AQ85" s="258"/>
      <c r="AR85" s="258"/>
      <c r="AS85" s="202"/>
      <c r="AT85" s="48"/>
      <c r="AU85" s="48"/>
    </row>
    <row r="86" spans="1:47" hidden="1">
      <c r="A86" s="51"/>
      <c r="B86" s="51"/>
      <c r="C86" s="51"/>
      <c r="D86" s="51"/>
      <c r="E86" s="51"/>
      <c r="F86" s="51"/>
      <c r="G86" s="51"/>
      <c r="H86" s="51"/>
      <c r="I86" s="5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239"/>
      <c r="AO86" s="225"/>
      <c r="AP86" s="287"/>
      <c r="AQ86" s="258"/>
      <c r="AR86" s="258"/>
      <c r="AS86" s="202"/>
      <c r="AT86" s="48"/>
      <c r="AU86" s="48"/>
    </row>
    <row r="87" spans="1:47" hidden="1">
      <c r="A87" s="51"/>
      <c r="B87" s="51"/>
      <c r="C87" s="51"/>
      <c r="D87" s="51"/>
      <c r="E87" s="51"/>
      <c r="F87" s="51"/>
      <c r="G87" s="51"/>
      <c r="H87" s="51"/>
      <c r="I87" s="5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239"/>
      <c r="AO87" s="225"/>
      <c r="AP87" s="287"/>
      <c r="AQ87" s="258"/>
      <c r="AR87" s="258"/>
      <c r="AS87" s="202"/>
      <c r="AT87" s="48"/>
      <c r="AU87" s="48"/>
    </row>
    <row r="88" spans="1:47" hidden="1">
      <c r="A88" s="51"/>
      <c r="B88" s="51"/>
      <c r="C88" s="51"/>
      <c r="D88" s="51"/>
      <c r="E88" s="51"/>
      <c r="F88" s="51"/>
      <c r="G88" s="51"/>
      <c r="H88" s="51"/>
      <c r="I88" s="5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239"/>
      <c r="AO88" s="225"/>
      <c r="AP88" s="287"/>
      <c r="AQ88" s="258"/>
      <c r="AR88" s="258"/>
      <c r="AS88" s="202"/>
      <c r="AT88" s="48"/>
      <c r="AU88" s="48"/>
    </row>
    <row r="89" spans="1:47" hidden="1">
      <c r="A89" s="51"/>
      <c r="B89" s="51"/>
      <c r="C89" s="51"/>
      <c r="D89" s="51"/>
      <c r="E89" s="51"/>
      <c r="F89" s="51"/>
      <c r="G89" s="51"/>
      <c r="H89" s="51"/>
      <c r="I89" s="5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239"/>
      <c r="AO89" s="225"/>
      <c r="AP89" s="287"/>
      <c r="AQ89" s="258"/>
      <c r="AR89" s="258"/>
      <c r="AS89" s="202"/>
      <c r="AT89" s="48"/>
      <c r="AU89" s="48"/>
    </row>
    <row r="90" spans="1:47" hidden="1">
      <c r="A90" s="51"/>
      <c r="B90" s="51"/>
      <c r="C90" s="51"/>
      <c r="D90" s="51"/>
      <c r="E90" s="51"/>
      <c r="F90" s="51"/>
      <c r="G90" s="51"/>
      <c r="H90" s="51"/>
      <c r="I90" s="5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239"/>
      <c r="AO90" s="225"/>
      <c r="AP90" s="287"/>
      <c r="AQ90" s="258"/>
      <c r="AR90" s="258"/>
      <c r="AS90" s="202"/>
      <c r="AT90" s="48"/>
      <c r="AU90" s="48"/>
    </row>
    <row r="91" spans="1:47" hidden="1">
      <c r="A91" s="51"/>
      <c r="B91" s="51"/>
      <c r="C91" s="51"/>
      <c r="D91" s="51"/>
      <c r="E91" s="51"/>
      <c r="F91" s="51"/>
      <c r="G91" s="51"/>
      <c r="H91" s="51"/>
      <c r="I91" s="5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239"/>
      <c r="AO91" s="225"/>
      <c r="AP91" s="287"/>
      <c r="AQ91" s="258"/>
      <c r="AR91" s="258"/>
      <c r="AS91" s="202"/>
      <c r="AT91" s="48"/>
      <c r="AU91" s="48"/>
    </row>
    <row r="92" spans="1:47" hidden="1">
      <c r="A92" s="51"/>
      <c r="B92" s="51"/>
      <c r="C92" s="51"/>
      <c r="D92" s="51"/>
      <c r="E92" s="51"/>
      <c r="F92" s="51"/>
      <c r="G92" s="51"/>
      <c r="H92" s="51"/>
      <c r="I92" s="5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239"/>
      <c r="AO92" s="225"/>
      <c r="AP92" s="287"/>
      <c r="AQ92" s="258"/>
      <c r="AR92" s="258"/>
      <c r="AS92" s="202"/>
      <c r="AT92" s="48"/>
      <c r="AU92" s="48"/>
    </row>
    <row r="93" spans="1:47" hidden="1">
      <c r="A93" s="51"/>
      <c r="B93" s="51"/>
      <c r="C93" s="51"/>
      <c r="D93" s="51"/>
      <c r="E93" s="51"/>
      <c r="F93" s="51"/>
      <c r="G93" s="51"/>
      <c r="H93" s="51"/>
      <c r="I93" s="5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239"/>
      <c r="AO93" s="225"/>
      <c r="AP93" s="287"/>
      <c r="AQ93" s="258"/>
      <c r="AR93" s="258"/>
      <c r="AS93" s="202"/>
      <c r="AT93" s="48"/>
      <c r="AU93" s="48"/>
    </row>
    <row r="94" spans="1:47" hidden="1">
      <c r="A94" s="51"/>
      <c r="B94" s="51"/>
      <c r="C94" s="51"/>
      <c r="D94" s="51"/>
      <c r="E94" s="51"/>
      <c r="F94" s="51"/>
      <c r="G94" s="51"/>
      <c r="H94" s="51"/>
      <c r="I94" s="5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239"/>
      <c r="AO94" s="225"/>
      <c r="AP94" s="287"/>
      <c r="AQ94" s="258"/>
      <c r="AR94" s="258"/>
      <c r="AS94" s="202"/>
      <c r="AT94" s="48"/>
      <c r="AU94" s="48"/>
    </row>
    <row r="95" spans="1:47" hidden="1">
      <c r="A95" s="51"/>
      <c r="B95" s="51"/>
      <c r="C95" s="51"/>
      <c r="D95" s="51"/>
      <c r="E95" s="51"/>
      <c r="F95" s="51"/>
      <c r="G95" s="51"/>
      <c r="H95" s="51"/>
      <c r="I95" s="5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239"/>
      <c r="AO95" s="225"/>
      <c r="AP95" s="287"/>
      <c r="AQ95" s="258"/>
      <c r="AR95" s="258"/>
      <c r="AS95" s="202"/>
      <c r="AT95" s="48"/>
      <c r="AU95" s="48"/>
    </row>
    <row r="96" spans="1:47" hidden="1">
      <c r="A96" s="51"/>
      <c r="B96" s="51"/>
      <c r="C96" s="51"/>
      <c r="D96" s="51"/>
      <c r="E96" s="51"/>
      <c r="F96" s="51"/>
      <c r="G96" s="51"/>
      <c r="H96" s="51"/>
      <c r="I96" s="5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239"/>
      <c r="AO96" s="225"/>
      <c r="AP96" s="287"/>
      <c r="AQ96" s="258"/>
      <c r="AR96" s="258"/>
      <c r="AS96" s="202"/>
      <c r="AT96" s="48"/>
      <c r="AU96" s="48"/>
    </row>
    <row r="97" spans="1:47" hidden="1">
      <c r="A97" s="51"/>
      <c r="B97" s="51"/>
      <c r="C97" s="51"/>
      <c r="D97" s="51"/>
      <c r="E97" s="51"/>
      <c r="F97" s="51"/>
      <c r="G97" s="51"/>
      <c r="H97" s="51"/>
      <c r="I97" s="5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239"/>
      <c r="AO97" s="225"/>
      <c r="AP97" s="287"/>
      <c r="AQ97" s="258"/>
      <c r="AR97" s="258"/>
      <c r="AS97" s="202"/>
      <c r="AT97" s="48"/>
      <c r="AU97" s="48"/>
    </row>
    <row r="98" spans="1:47" hidden="1">
      <c r="A98" s="51"/>
      <c r="B98" s="51"/>
      <c r="C98" s="51"/>
      <c r="D98" s="51"/>
      <c r="E98" s="51"/>
      <c r="F98" s="51"/>
      <c r="G98" s="51"/>
      <c r="H98" s="51"/>
      <c r="I98" s="5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239"/>
      <c r="AO98" s="225"/>
      <c r="AP98" s="287"/>
      <c r="AQ98" s="258"/>
      <c r="AR98" s="258"/>
      <c r="AS98" s="202"/>
      <c r="AT98" s="48"/>
      <c r="AU98" s="48"/>
    </row>
    <row r="99" spans="1:47" hidden="1">
      <c r="A99" s="51"/>
      <c r="B99" s="51"/>
      <c r="C99" s="51"/>
      <c r="D99" s="51"/>
      <c r="E99" s="51"/>
      <c r="F99" s="51"/>
      <c r="G99" s="51"/>
      <c r="H99" s="51"/>
      <c r="I99" s="5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239"/>
      <c r="AO99" s="225"/>
      <c r="AP99" s="287"/>
      <c r="AQ99" s="258"/>
      <c r="AR99" s="258"/>
      <c r="AS99" s="202"/>
      <c r="AT99" s="48"/>
      <c r="AU99" s="48"/>
    </row>
    <row r="100" spans="1:47" hidden="1">
      <c r="A100" s="51"/>
      <c r="B100" s="51"/>
      <c r="C100" s="51"/>
      <c r="D100" s="51"/>
      <c r="E100" s="51"/>
      <c r="F100" s="51"/>
      <c r="G100" s="51"/>
      <c r="H100" s="51"/>
      <c r="I100" s="5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239"/>
      <c r="AO100" s="225"/>
      <c r="AP100" s="287"/>
      <c r="AQ100" s="258"/>
      <c r="AR100" s="258"/>
      <c r="AS100" s="202"/>
      <c r="AT100" s="48"/>
      <c r="AU100" s="48"/>
    </row>
    <row r="101" spans="1:47" hidden="1">
      <c r="A101" s="51"/>
      <c r="B101" s="51"/>
      <c r="C101" s="51"/>
      <c r="D101" s="51"/>
      <c r="E101" s="51"/>
      <c r="F101" s="51"/>
      <c r="G101" s="51"/>
      <c r="H101" s="51"/>
      <c r="I101" s="5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239"/>
      <c r="AO101" s="225"/>
      <c r="AP101" s="287"/>
      <c r="AQ101" s="258"/>
      <c r="AR101" s="258"/>
      <c r="AS101" s="202"/>
      <c r="AT101" s="48"/>
      <c r="AU101" s="48"/>
    </row>
    <row r="102" spans="1:47" hidden="1">
      <c r="A102" s="51"/>
      <c r="B102" s="51"/>
      <c r="C102" s="51"/>
      <c r="D102" s="51"/>
      <c r="E102" s="51"/>
      <c r="F102" s="51"/>
      <c r="G102" s="51"/>
      <c r="H102" s="51"/>
      <c r="I102" s="5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239"/>
      <c r="AO102" s="225"/>
      <c r="AP102" s="287"/>
      <c r="AQ102" s="258"/>
      <c r="AR102" s="258"/>
      <c r="AS102" s="202"/>
      <c r="AT102" s="48"/>
      <c r="AU102" s="48"/>
    </row>
    <row r="103" spans="1:47" hidden="1">
      <c r="A103" s="51"/>
      <c r="B103" s="51"/>
      <c r="C103" s="51"/>
      <c r="D103" s="51"/>
      <c r="E103" s="51"/>
      <c r="F103" s="51"/>
      <c r="G103" s="51"/>
      <c r="H103" s="51"/>
      <c r="I103" s="5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239"/>
      <c r="AO103" s="225"/>
      <c r="AP103" s="287"/>
      <c r="AQ103" s="258"/>
      <c r="AR103" s="258"/>
      <c r="AS103" s="202"/>
      <c r="AT103" s="48"/>
      <c r="AU103" s="48"/>
    </row>
    <row r="104" spans="1:47" hidden="1">
      <c r="A104" s="51"/>
      <c r="B104" s="51"/>
      <c r="C104" s="51"/>
      <c r="D104" s="51"/>
      <c r="E104" s="51"/>
      <c r="F104" s="51"/>
      <c r="G104" s="51"/>
      <c r="H104" s="51"/>
      <c r="I104" s="5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239"/>
      <c r="AO104" s="225"/>
      <c r="AP104" s="287"/>
      <c r="AQ104" s="258"/>
      <c r="AR104" s="258"/>
      <c r="AS104" s="202"/>
      <c r="AT104" s="48"/>
      <c r="AU104" s="48"/>
    </row>
    <row r="105" spans="1:47" hidden="1">
      <c r="A105" s="51"/>
      <c r="B105" s="51"/>
      <c r="C105" s="51"/>
      <c r="D105" s="51"/>
      <c r="E105" s="51"/>
      <c r="F105" s="51"/>
      <c r="G105" s="51"/>
      <c r="H105" s="51"/>
      <c r="I105" s="5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239"/>
      <c r="AO105" s="225"/>
      <c r="AP105" s="287"/>
      <c r="AQ105" s="258"/>
      <c r="AR105" s="258"/>
      <c r="AS105" s="202"/>
      <c r="AT105" s="48"/>
      <c r="AU105" s="48"/>
    </row>
    <row r="106" spans="1:47" hidden="1">
      <c r="A106" s="51"/>
      <c r="B106" s="51"/>
      <c r="C106" s="51"/>
      <c r="D106" s="51"/>
      <c r="E106" s="51"/>
      <c r="F106" s="51"/>
      <c r="G106" s="51"/>
      <c r="H106" s="51"/>
      <c r="I106" s="5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239"/>
      <c r="AO106" s="225"/>
      <c r="AP106" s="287"/>
      <c r="AQ106" s="258"/>
      <c r="AR106" s="258"/>
      <c r="AS106" s="202"/>
      <c r="AT106" s="48"/>
      <c r="AU106" s="48"/>
    </row>
    <row r="107" spans="1:47" hidden="1">
      <c r="A107" s="51"/>
      <c r="B107" s="51"/>
      <c r="C107" s="51"/>
      <c r="D107" s="51"/>
      <c r="E107" s="51"/>
      <c r="F107" s="51"/>
      <c r="G107" s="51"/>
      <c r="H107" s="51"/>
      <c r="I107" s="5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239"/>
      <c r="AO107" s="225"/>
      <c r="AP107" s="287"/>
      <c r="AQ107" s="258"/>
      <c r="AR107" s="258"/>
      <c r="AS107" s="202"/>
      <c r="AT107" s="48"/>
      <c r="AU107" s="48"/>
    </row>
    <row r="108" spans="1:47" hidden="1">
      <c r="A108" s="51"/>
      <c r="B108" s="51"/>
      <c r="C108" s="51"/>
      <c r="D108" s="51"/>
      <c r="E108" s="51"/>
      <c r="F108" s="51"/>
      <c r="G108" s="51"/>
      <c r="H108" s="51"/>
      <c r="I108" s="5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239"/>
      <c r="AO108" s="225"/>
      <c r="AP108" s="287"/>
      <c r="AQ108" s="258"/>
      <c r="AR108" s="258"/>
      <c r="AS108" s="202"/>
      <c r="AT108" s="48"/>
      <c r="AU108" s="48"/>
    </row>
    <row r="109" spans="1:47" hidden="1">
      <c r="A109" s="51"/>
      <c r="B109" s="51"/>
      <c r="C109" s="51"/>
      <c r="D109" s="51"/>
      <c r="E109" s="51"/>
      <c r="F109" s="51"/>
      <c r="G109" s="51"/>
      <c r="H109" s="51"/>
      <c r="I109" s="5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239"/>
      <c r="AO109" s="225"/>
      <c r="AP109" s="287"/>
      <c r="AQ109" s="258"/>
      <c r="AR109" s="258"/>
      <c r="AS109" s="202"/>
      <c r="AT109" s="48"/>
      <c r="AU109" s="48"/>
    </row>
    <row r="110" spans="1:47" hidden="1">
      <c r="A110" s="51"/>
      <c r="B110" s="51"/>
      <c r="C110" s="51"/>
      <c r="D110" s="51"/>
      <c r="E110" s="51"/>
      <c r="F110" s="51"/>
      <c r="G110" s="51"/>
      <c r="H110" s="51"/>
      <c r="I110" s="5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239"/>
      <c r="AO110" s="225"/>
      <c r="AP110" s="287"/>
      <c r="AQ110" s="258"/>
      <c r="AR110" s="258"/>
      <c r="AS110" s="202"/>
      <c r="AT110" s="48"/>
      <c r="AU110" s="48"/>
    </row>
    <row r="111" spans="1:47" hidden="1">
      <c r="A111" s="51"/>
      <c r="B111" s="51"/>
      <c r="C111" s="51"/>
      <c r="D111" s="51"/>
      <c r="E111" s="51"/>
      <c r="F111" s="51"/>
      <c r="G111" s="51"/>
      <c r="H111" s="51"/>
      <c r="I111" s="5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c r="AG111" s="121"/>
      <c r="AH111" s="121"/>
      <c r="AI111" s="121"/>
      <c r="AJ111" s="121"/>
      <c r="AK111" s="121"/>
      <c r="AL111" s="121"/>
      <c r="AM111" s="121"/>
      <c r="AN111" s="239"/>
      <c r="AO111" s="225"/>
      <c r="AP111" s="287"/>
      <c r="AQ111" s="258"/>
      <c r="AR111" s="258"/>
      <c r="AS111" s="202"/>
      <c r="AT111" s="48"/>
      <c r="AU111" s="48"/>
    </row>
    <row r="112" spans="1:47" hidden="1">
      <c r="A112" s="51"/>
      <c r="B112" s="51"/>
      <c r="C112" s="51"/>
      <c r="D112" s="51"/>
      <c r="E112" s="51"/>
      <c r="F112" s="51"/>
      <c r="G112" s="51"/>
      <c r="H112" s="51"/>
      <c r="I112" s="5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239"/>
      <c r="AO112" s="225"/>
      <c r="AP112" s="287"/>
      <c r="AQ112" s="258"/>
      <c r="AR112" s="258"/>
      <c r="AS112" s="202"/>
      <c r="AT112" s="48"/>
      <c r="AU112" s="48"/>
    </row>
    <row r="113" spans="1:47" hidden="1">
      <c r="A113" s="51"/>
      <c r="B113" s="51"/>
      <c r="C113" s="51"/>
      <c r="D113" s="51"/>
      <c r="E113" s="51"/>
      <c r="F113" s="51"/>
      <c r="G113" s="51"/>
      <c r="H113" s="51"/>
      <c r="I113" s="51"/>
      <c r="J113" s="121"/>
      <c r="K113" s="121"/>
      <c r="L113" s="121"/>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1"/>
      <c r="AK113" s="121"/>
      <c r="AL113" s="121"/>
      <c r="AM113" s="121"/>
      <c r="AN113" s="239"/>
      <c r="AO113" s="225"/>
      <c r="AP113" s="287"/>
      <c r="AQ113" s="258"/>
      <c r="AR113" s="258"/>
      <c r="AS113" s="202"/>
      <c r="AT113" s="48"/>
      <c r="AU113" s="48"/>
    </row>
    <row r="114" spans="1:47" hidden="1">
      <c r="A114" s="51"/>
      <c r="B114" s="51"/>
      <c r="C114" s="51"/>
      <c r="D114" s="51"/>
      <c r="E114" s="51"/>
      <c r="F114" s="51"/>
      <c r="G114" s="51"/>
      <c r="H114" s="51"/>
      <c r="I114" s="5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239"/>
      <c r="AO114" s="225"/>
      <c r="AP114" s="287"/>
      <c r="AQ114" s="258"/>
      <c r="AR114" s="258"/>
      <c r="AS114" s="202"/>
      <c r="AT114" s="48"/>
      <c r="AU114" s="48"/>
    </row>
    <row r="115" spans="1:47" hidden="1">
      <c r="A115" s="51"/>
      <c r="B115" s="51"/>
      <c r="C115" s="51"/>
      <c r="D115" s="51"/>
      <c r="E115" s="51"/>
      <c r="F115" s="51"/>
      <c r="G115" s="51"/>
      <c r="H115" s="51"/>
      <c r="I115" s="51"/>
      <c r="J115" s="121"/>
      <c r="K115" s="121"/>
      <c r="L115" s="121"/>
      <c r="M115" s="121"/>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239"/>
      <c r="AO115" s="225"/>
      <c r="AP115" s="287"/>
      <c r="AQ115" s="258"/>
      <c r="AR115" s="258"/>
      <c r="AS115" s="202"/>
      <c r="AT115" s="48"/>
      <c r="AU115" s="48"/>
    </row>
    <row r="116" spans="1:47" hidden="1">
      <c r="A116" s="51"/>
      <c r="B116" s="51"/>
      <c r="C116" s="51"/>
      <c r="D116" s="51"/>
      <c r="E116" s="51"/>
      <c r="F116" s="51"/>
      <c r="G116" s="51"/>
      <c r="H116" s="51"/>
      <c r="I116" s="5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239"/>
      <c r="AO116" s="225"/>
      <c r="AP116" s="287"/>
      <c r="AQ116" s="258"/>
      <c r="AR116" s="258"/>
      <c r="AS116" s="202"/>
      <c r="AT116" s="48"/>
      <c r="AU116" s="48"/>
    </row>
    <row r="117" spans="1:47" hidden="1">
      <c r="A117" s="51"/>
      <c r="B117" s="51"/>
      <c r="C117" s="51"/>
      <c r="D117" s="51"/>
      <c r="E117" s="51"/>
      <c r="F117" s="51"/>
      <c r="G117" s="51"/>
      <c r="H117" s="51"/>
      <c r="I117" s="51"/>
      <c r="J117" s="121"/>
      <c r="K117" s="121"/>
      <c r="L117" s="121"/>
      <c r="M117" s="121"/>
      <c r="N117" s="121"/>
      <c r="O117" s="121"/>
      <c r="P117" s="121"/>
      <c r="Q117" s="121"/>
      <c r="R117" s="121"/>
      <c r="S117" s="121"/>
      <c r="T117" s="121"/>
      <c r="U117" s="121"/>
      <c r="V117" s="121"/>
      <c r="W117" s="121"/>
      <c r="X117" s="121"/>
      <c r="Y117" s="121"/>
      <c r="Z117" s="121"/>
      <c r="AA117" s="121"/>
      <c r="AB117" s="121"/>
      <c r="AC117" s="121"/>
      <c r="AD117" s="121"/>
      <c r="AE117" s="121"/>
      <c r="AF117" s="121"/>
      <c r="AG117" s="121"/>
      <c r="AH117" s="121"/>
      <c r="AI117" s="121"/>
      <c r="AJ117" s="121"/>
      <c r="AK117" s="121"/>
      <c r="AL117" s="121"/>
      <c r="AM117" s="121"/>
      <c r="AN117" s="239"/>
      <c r="AO117" s="225"/>
      <c r="AP117" s="287"/>
      <c r="AQ117" s="258"/>
      <c r="AR117" s="258"/>
      <c r="AS117" s="202"/>
      <c r="AT117" s="48"/>
      <c r="AU117" s="48"/>
    </row>
    <row r="118" spans="1:47" hidden="1">
      <c r="A118" s="51"/>
      <c r="B118" s="51"/>
      <c r="C118" s="51"/>
      <c r="D118" s="51"/>
      <c r="E118" s="51"/>
      <c r="F118" s="51"/>
      <c r="G118" s="51"/>
      <c r="H118" s="51"/>
      <c r="I118" s="5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239"/>
      <c r="AO118" s="225"/>
      <c r="AP118" s="287"/>
      <c r="AQ118" s="258"/>
      <c r="AR118" s="258"/>
      <c r="AS118" s="202"/>
      <c r="AT118" s="48"/>
      <c r="AU118" s="48"/>
    </row>
    <row r="119" spans="1:47" hidden="1">
      <c r="A119" s="51"/>
      <c r="B119" s="51"/>
      <c r="C119" s="51"/>
      <c r="D119" s="51"/>
      <c r="E119" s="51"/>
      <c r="F119" s="51"/>
      <c r="G119" s="51"/>
      <c r="H119" s="51"/>
      <c r="I119" s="51"/>
      <c r="J119" s="121"/>
      <c r="K119" s="121"/>
      <c r="L119" s="121"/>
      <c r="M119" s="121"/>
      <c r="N119" s="12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21"/>
      <c r="AJ119" s="121"/>
      <c r="AK119" s="121"/>
      <c r="AL119" s="121"/>
      <c r="AM119" s="121"/>
      <c r="AN119" s="239"/>
      <c r="AO119" s="225"/>
      <c r="AP119" s="287"/>
      <c r="AQ119" s="258"/>
      <c r="AR119" s="258"/>
      <c r="AS119" s="202"/>
      <c r="AT119" s="48"/>
      <c r="AU119" s="48"/>
    </row>
    <row r="120" spans="1:47" hidden="1">
      <c r="A120" s="51"/>
      <c r="B120" s="51"/>
      <c r="C120" s="51"/>
      <c r="D120" s="51"/>
      <c r="E120" s="51"/>
      <c r="F120" s="51"/>
      <c r="G120" s="51"/>
      <c r="H120" s="51"/>
      <c r="I120" s="5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239"/>
      <c r="AO120" s="225"/>
      <c r="AP120" s="287"/>
      <c r="AQ120" s="258"/>
      <c r="AR120" s="258"/>
      <c r="AS120" s="202"/>
      <c r="AT120" s="48"/>
      <c r="AU120" s="48"/>
    </row>
    <row r="121" spans="1:47" hidden="1">
      <c r="A121" s="51"/>
      <c r="B121" s="51"/>
      <c r="C121" s="51"/>
      <c r="D121" s="51"/>
      <c r="E121" s="51"/>
      <c r="F121" s="51"/>
      <c r="G121" s="51"/>
      <c r="H121" s="51"/>
      <c r="I121" s="5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239"/>
      <c r="AO121" s="225"/>
      <c r="AP121" s="287"/>
      <c r="AQ121" s="258"/>
      <c r="AR121" s="258"/>
      <c r="AS121" s="202"/>
      <c r="AT121" s="48"/>
      <c r="AU121" s="48"/>
    </row>
    <row r="122" spans="1:47" hidden="1">
      <c r="A122" s="51"/>
      <c r="B122" s="51"/>
      <c r="C122" s="51"/>
      <c r="D122" s="51"/>
      <c r="E122" s="51"/>
      <c r="F122" s="51"/>
      <c r="G122" s="51"/>
      <c r="H122" s="51"/>
      <c r="I122" s="5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239"/>
      <c r="AO122" s="225"/>
      <c r="AP122" s="287"/>
      <c r="AQ122" s="258"/>
      <c r="AR122" s="258"/>
      <c r="AS122" s="202"/>
      <c r="AT122" s="48"/>
      <c r="AU122" s="48"/>
    </row>
    <row r="123" spans="1:47" hidden="1">
      <c r="A123" s="51"/>
      <c r="B123" s="51"/>
      <c r="C123" s="51"/>
      <c r="D123" s="51"/>
      <c r="E123" s="51"/>
      <c r="F123" s="51"/>
      <c r="G123" s="51"/>
      <c r="H123" s="51"/>
      <c r="I123" s="51"/>
      <c r="J123" s="121"/>
      <c r="K123" s="121"/>
      <c r="L123" s="121"/>
      <c r="M123" s="121"/>
      <c r="N123" s="121"/>
      <c r="O123" s="121"/>
      <c r="P123" s="121"/>
      <c r="Q123" s="121"/>
      <c r="R123" s="121"/>
      <c r="S123" s="121"/>
      <c r="T123" s="121"/>
      <c r="U123" s="121"/>
      <c r="V123" s="121"/>
      <c r="W123" s="121"/>
      <c r="X123" s="121"/>
      <c r="Y123" s="121"/>
      <c r="Z123" s="121"/>
      <c r="AA123" s="121"/>
      <c r="AB123" s="121"/>
      <c r="AC123" s="121"/>
      <c r="AD123" s="121"/>
      <c r="AE123" s="121"/>
      <c r="AF123" s="121"/>
      <c r="AG123" s="121"/>
      <c r="AH123" s="121"/>
      <c r="AI123" s="121"/>
      <c r="AJ123" s="121"/>
      <c r="AK123" s="121"/>
      <c r="AL123" s="121"/>
      <c r="AM123" s="121"/>
      <c r="AN123" s="239"/>
      <c r="AO123" s="225"/>
      <c r="AP123" s="287"/>
      <c r="AQ123" s="258"/>
      <c r="AR123" s="258"/>
      <c r="AS123" s="202"/>
      <c r="AT123" s="48"/>
      <c r="AU123" s="48"/>
    </row>
    <row r="124" spans="1:47" hidden="1">
      <c r="A124" s="51"/>
      <c r="B124" s="51"/>
      <c r="C124" s="51"/>
      <c r="D124" s="51"/>
      <c r="E124" s="51"/>
      <c r="F124" s="51"/>
      <c r="G124" s="51"/>
      <c r="H124" s="51"/>
      <c r="I124" s="5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239"/>
      <c r="AO124" s="225"/>
      <c r="AP124" s="287"/>
      <c r="AQ124" s="258"/>
      <c r="AR124" s="258"/>
      <c r="AS124" s="202"/>
      <c r="AT124" s="48"/>
      <c r="AU124" s="48"/>
    </row>
    <row r="125" spans="1:47" hidden="1">
      <c r="A125" s="51"/>
      <c r="B125" s="51"/>
      <c r="C125" s="51"/>
      <c r="D125" s="51"/>
      <c r="E125" s="51"/>
      <c r="F125" s="51"/>
      <c r="G125" s="51"/>
      <c r="H125" s="51"/>
      <c r="I125" s="51"/>
      <c r="J125" s="121"/>
      <c r="K125" s="121"/>
      <c r="L125" s="121"/>
      <c r="M125" s="121"/>
      <c r="N125" s="121"/>
      <c r="O125" s="121"/>
      <c r="P125" s="121"/>
      <c r="Q125" s="121"/>
      <c r="R125" s="121"/>
      <c r="S125" s="121"/>
      <c r="T125" s="121"/>
      <c r="U125" s="121"/>
      <c r="V125" s="121"/>
      <c r="W125" s="121"/>
      <c r="X125" s="121"/>
      <c r="Y125" s="121"/>
      <c r="Z125" s="121"/>
      <c r="AA125" s="121"/>
      <c r="AB125" s="121"/>
      <c r="AC125" s="121"/>
      <c r="AD125" s="121"/>
      <c r="AE125" s="121"/>
      <c r="AF125" s="121"/>
      <c r="AG125" s="121"/>
      <c r="AH125" s="121"/>
      <c r="AI125" s="121"/>
      <c r="AJ125" s="121"/>
      <c r="AK125" s="121"/>
      <c r="AL125" s="121"/>
      <c r="AM125" s="121"/>
      <c r="AN125" s="239"/>
      <c r="AO125" s="225"/>
      <c r="AP125" s="287"/>
      <c r="AQ125" s="258"/>
      <c r="AR125" s="258"/>
      <c r="AS125" s="202"/>
      <c r="AT125" s="48"/>
      <c r="AU125" s="48"/>
    </row>
    <row r="126" spans="1:47" hidden="1">
      <c r="A126" s="51"/>
      <c r="B126" s="51"/>
      <c r="C126" s="51"/>
      <c r="D126" s="51"/>
      <c r="E126" s="51"/>
      <c r="F126" s="51"/>
      <c r="G126" s="51"/>
      <c r="H126" s="51"/>
      <c r="I126" s="51"/>
      <c r="J126" s="121"/>
      <c r="K126" s="121"/>
      <c r="L126" s="121"/>
      <c r="M126" s="121"/>
      <c r="N126" s="121"/>
      <c r="O126" s="121"/>
      <c r="P126" s="121"/>
      <c r="Q126" s="121"/>
      <c r="R126" s="121"/>
      <c r="S126" s="121"/>
      <c r="T126" s="121"/>
      <c r="U126" s="121"/>
      <c r="V126" s="121"/>
      <c r="W126" s="121"/>
      <c r="X126" s="121"/>
      <c r="Y126" s="121"/>
      <c r="Z126" s="121"/>
      <c r="AA126" s="121"/>
      <c r="AB126" s="121"/>
      <c r="AC126" s="121"/>
      <c r="AD126" s="121"/>
      <c r="AE126" s="121"/>
      <c r="AF126" s="121"/>
      <c r="AG126" s="121"/>
      <c r="AH126" s="121"/>
      <c r="AI126" s="121"/>
      <c r="AJ126" s="121"/>
      <c r="AK126" s="121"/>
      <c r="AL126" s="121"/>
      <c r="AM126" s="121"/>
      <c r="AN126" s="239"/>
      <c r="AO126" s="225"/>
      <c r="AP126" s="287"/>
      <c r="AQ126" s="258"/>
      <c r="AR126" s="258"/>
      <c r="AS126" s="202"/>
      <c r="AT126" s="48"/>
      <c r="AU126" s="48"/>
    </row>
    <row r="127" spans="1:47" hidden="1">
      <c r="A127" s="51"/>
      <c r="B127" s="51"/>
      <c r="C127" s="51"/>
      <c r="D127" s="51"/>
      <c r="E127" s="51"/>
      <c r="F127" s="51"/>
      <c r="G127" s="51"/>
      <c r="H127" s="51"/>
      <c r="I127" s="51"/>
      <c r="J127" s="121"/>
      <c r="K127" s="121"/>
      <c r="L127" s="121"/>
      <c r="M127" s="121"/>
      <c r="N127" s="121"/>
      <c r="O127" s="121"/>
      <c r="P127" s="121"/>
      <c r="Q127" s="121"/>
      <c r="R127" s="121"/>
      <c r="S127" s="121"/>
      <c r="T127" s="121"/>
      <c r="U127" s="121"/>
      <c r="V127" s="121"/>
      <c r="W127" s="121"/>
      <c r="X127" s="121"/>
      <c r="Y127" s="121"/>
      <c r="Z127" s="121"/>
      <c r="AA127" s="121"/>
      <c r="AB127" s="121"/>
      <c r="AC127" s="121"/>
      <c r="AD127" s="121"/>
      <c r="AE127" s="121"/>
      <c r="AF127" s="121"/>
      <c r="AG127" s="121"/>
      <c r="AH127" s="121"/>
      <c r="AI127" s="121"/>
      <c r="AJ127" s="121"/>
      <c r="AK127" s="121"/>
      <c r="AL127" s="121"/>
      <c r="AM127" s="121"/>
      <c r="AN127" s="239"/>
      <c r="AO127" s="225"/>
      <c r="AP127" s="287"/>
      <c r="AQ127" s="258"/>
      <c r="AR127" s="258"/>
      <c r="AS127" s="202"/>
      <c r="AT127" s="48"/>
      <c r="AU127" s="48"/>
    </row>
    <row r="128" spans="1:47" hidden="1">
      <c r="A128" s="51"/>
      <c r="B128" s="51"/>
      <c r="C128" s="51"/>
      <c r="D128" s="51"/>
      <c r="E128" s="51"/>
      <c r="F128" s="51"/>
      <c r="G128" s="51"/>
      <c r="H128" s="51"/>
      <c r="I128" s="5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239"/>
      <c r="AO128" s="225"/>
      <c r="AP128" s="287"/>
      <c r="AQ128" s="258"/>
      <c r="AR128" s="258"/>
      <c r="AS128" s="202"/>
      <c r="AT128" s="48"/>
      <c r="AU128" s="48"/>
    </row>
    <row r="129" spans="1:47" hidden="1">
      <c r="A129" s="51"/>
      <c r="B129" s="51"/>
      <c r="C129" s="51"/>
      <c r="D129" s="51"/>
      <c r="E129" s="51"/>
      <c r="F129" s="51"/>
      <c r="G129" s="51"/>
      <c r="H129" s="51"/>
      <c r="I129" s="5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239"/>
      <c r="AO129" s="225"/>
      <c r="AP129" s="287"/>
      <c r="AQ129" s="258"/>
      <c r="AR129" s="258"/>
      <c r="AS129" s="202"/>
      <c r="AT129" s="48"/>
      <c r="AU129" s="48"/>
    </row>
    <row r="130" spans="1:47" hidden="1">
      <c r="A130" s="51"/>
      <c r="B130" s="51"/>
      <c r="C130" s="51"/>
      <c r="D130" s="51"/>
      <c r="E130" s="51"/>
      <c r="F130" s="51"/>
      <c r="G130" s="51"/>
      <c r="H130" s="51"/>
      <c r="I130" s="5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239"/>
      <c r="AO130" s="225"/>
      <c r="AP130" s="287"/>
      <c r="AQ130" s="258"/>
      <c r="AR130" s="258"/>
      <c r="AS130" s="202"/>
      <c r="AT130" s="48"/>
      <c r="AU130" s="48"/>
    </row>
    <row r="131" spans="1:47" hidden="1">
      <c r="A131" s="51"/>
      <c r="B131" s="51"/>
      <c r="C131" s="51"/>
      <c r="D131" s="51"/>
      <c r="E131" s="51"/>
      <c r="F131" s="51"/>
      <c r="G131" s="51"/>
      <c r="H131" s="51"/>
      <c r="I131" s="51"/>
      <c r="J131" s="121"/>
      <c r="K131" s="121"/>
      <c r="L131" s="121"/>
      <c r="M131" s="121"/>
      <c r="N131" s="121"/>
      <c r="O131" s="121"/>
      <c r="P131" s="121"/>
      <c r="Q131" s="121"/>
      <c r="R131" s="121"/>
      <c r="S131" s="121"/>
      <c r="T131" s="121"/>
      <c r="U131" s="121"/>
      <c r="V131" s="121"/>
      <c r="W131" s="121"/>
      <c r="X131" s="121"/>
      <c r="Y131" s="121"/>
      <c r="Z131" s="121"/>
      <c r="AA131" s="121"/>
      <c r="AB131" s="121"/>
      <c r="AC131" s="121"/>
      <c r="AD131" s="121"/>
      <c r="AE131" s="121"/>
      <c r="AF131" s="121"/>
      <c r="AG131" s="121"/>
      <c r="AH131" s="121"/>
      <c r="AI131" s="121"/>
      <c r="AJ131" s="121"/>
      <c r="AK131" s="121"/>
      <c r="AL131" s="121"/>
      <c r="AM131" s="121"/>
      <c r="AN131" s="239"/>
      <c r="AO131" s="225"/>
      <c r="AP131" s="287"/>
      <c r="AQ131" s="258"/>
      <c r="AR131" s="258"/>
      <c r="AS131" s="202"/>
      <c r="AT131" s="48"/>
      <c r="AU131" s="48"/>
    </row>
    <row r="132" spans="1:47" hidden="1">
      <c r="A132" s="51"/>
      <c r="B132" s="51"/>
      <c r="C132" s="51"/>
      <c r="D132" s="51"/>
      <c r="E132" s="51"/>
      <c r="F132" s="51"/>
      <c r="G132" s="51"/>
      <c r="H132" s="51"/>
      <c r="I132" s="5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239"/>
      <c r="AO132" s="225"/>
      <c r="AP132" s="287"/>
      <c r="AQ132" s="258"/>
      <c r="AR132" s="258"/>
      <c r="AS132" s="202"/>
      <c r="AT132" s="48"/>
      <c r="AU132" s="48"/>
    </row>
    <row r="133" spans="1:47" hidden="1">
      <c r="A133" s="51"/>
      <c r="B133" s="51"/>
      <c r="C133" s="51"/>
      <c r="D133" s="51"/>
      <c r="E133" s="51"/>
      <c r="F133" s="51"/>
      <c r="G133" s="51"/>
      <c r="H133" s="51"/>
      <c r="I133" s="5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1"/>
      <c r="AN133" s="239"/>
      <c r="AO133" s="225"/>
      <c r="AP133" s="287"/>
      <c r="AQ133" s="258"/>
      <c r="AR133" s="258"/>
      <c r="AS133" s="202"/>
      <c r="AT133" s="48"/>
      <c r="AU133" s="48"/>
    </row>
    <row r="134" spans="1:47" hidden="1">
      <c r="A134" s="51"/>
      <c r="B134" s="51"/>
      <c r="C134" s="51"/>
      <c r="D134" s="51"/>
      <c r="E134" s="51"/>
      <c r="F134" s="51"/>
      <c r="G134" s="51"/>
      <c r="H134" s="51"/>
      <c r="I134" s="5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239"/>
      <c r="AO134" s="225"/>
      <c r="AP134" s="287"/>
      <c r="AQ134" s="258"/>
      <c r="AR134" s="258"/>
      <c r="AS134" s="202"/>
      <c r="AT134" s="48"/>
      <c r="AU134" s="48"/>
    </row>
    <row r="135" spans="1:47" hidden="1">
      <c r="A135" s="51"/>
      <c r="B135" s="51"/>
      <c r="C135" s="51"/>
      <c r="D135" s="51"/>
      <c r="E135" s="51"/>
      <c r="F135" s="51"/>
      <c r="G135" s="51"/>
      <c r="H135" s="51"/>
      <c r="I135" s="51"/>
      <c r="J135" s="121"/>
      <c r="K135" s="121"/>
      <c r="L135" s="121"/>
      <c r="M135" s="121"/>
      <c r="N135" s="121"/>
      <c r="O135" s="121"/>
      <c r="P135" s="121"/>
      <c r="Q135" s="121"/>
      <c r="R135" s="121"/>
      <c r="S135" s="121"/>
      <c r="T135" s="121"/>
      <c r="U135" s="121"/>
      <c r="V135" s="121"/>
      <c r="W135" s="121"/>
      <c r="X135" s="121"/>
      <c r="Y135" s="121"/>
      <c r="Z135" s="121"/>
      <c r="AA135" s="121"/>
      <c r="AB135" s="121"/>
      <c r="AC135" s="121"/>
      <c r="AD135" s="121"/>
      <c r="AE135" s="121"/>
      <c r="AF135" s="121"/>
      <c r="AG135" s="121"/>
      <c r="AH135" s="121"/>
      <c r="AI135" s="121"/>
      <c r="AJ135" s="121"/>
      <c r="AK135" s="121"/>
      <c r="AL135" s="121"/>
      <c r="AM135" s="121"/>
      <c r="AN135" s="239"/>
      <c r="AO135" s="225"/>
      <c r="AP135" s="287"/>
      <c r="AQ135" s="258"/>
      <c r="AR135" s="258"/>
      <c r="AS135" s="202"/>
      <c r="AT135" s="48"/>
      <c r="AU135" s="48"/>
    </row>
    <row r="136" spans="1:47" s="121" customFormat="1" hidden="1">
      <c r="AN136" s="239"/>
      <c r="AO136" s="225"/>
      <c r="AP136" s="287"/>
      <c r="AQ136" s="258"/>
      <c r="AR136" s="258"/>
      <c r="AS136" s="202"/>
      <c r="AT136" s="213"/>
      <c r="AU136" s="213"/>
    </row>
    <row r="137" spans="1:47" s="121" customFormat="1" hidden="1">
      <c r="AN137" s="239"/>
      <c r="AO137" s="225"/>
      <c r="AP137" s="287"/>
      <c r="AQ137" s="258"/>
      <c r="AR137" s="258"/>
      <c r="AS137" s="202"/>
      <c r="AT137" s="213"/>
      <c r="AU137" s="213"/>
    </row>
    <row r="138" spans="1:47" s="121" customFormat="1" hidden="1">
      <c r="AN138" s="239"/>
      <c r="AO138" s="225"/>
      <c r="AP138" s="287"/>
      <c r="AQ138" s="258"/>
      <c r="AR138" s="258"/>
      <c r="AS138" s="202"/>
      <c r="AT138" s="213"/>
      <c r="AU138" s="213"/>
    </row>
    <row r="139" spans="1:47" s="121" customFormat="1" hidden="1">
      <c r="AN139" s="239"/>
      <c r="AO139" s="225"/>
      <c r="AP139" s="287"/>
      <c r="AQ139" s="258"/>
      <c r="AR139" s="258"/>
      <c r="AS139" s="202"/>
      <c r="AT139" s="213"/>
      <c r="AU139" s="213"/>
    </row>
    <row r="140" spans="1:47" hidden="1">
      <c r="A140" s="51"/>
      <c r="B140" s="51"/>
      <c r="C140" s="51"/>
      <c r="D140" s="51"/>
      <c r="E140" s="51"/>
      <c r="F140" s="51"/>
      <c r="G140" s="51"/>
      <c r="H140" s="51"/>
      <c r="I140" s="5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239"/>
      <c r="AO140" s="225"/>
      <c r="AP140" s="287"/>
      <c r="AQ140" s="258"/>
      <c r="AR140" s="258"/>
      <c r="AS140" s="202"/>
      <c r="AT140" s="48"/>
      <c r="AU140" s="48"/>
    </row>
    <row r="141" spans="1:47" hidden="1">
      <c r="A141" s="51"/>
      <c r="B141" s="51"/>
      <c r="C141" s="51"/>
      <c r="D141" s="51"/>
      <c r="E141" s="51"/>
      <c r="F141" s="51"/>
      <c r="G141" s="51"/>
      <c r="H141" s="51"/>
      <c r="I141" s="5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239"/>
      <c r="AO141" s="225"/>
      <c r="AP141" s="287"/>
      <c r="AQ141" s="258"/>
      <c r="AR141" s="258"/>
      <c r="AS141" s="202"/>
      <c r="AT141" s="48"/>
      <c r="AU141" s="48"/>
    </row>
    <row r="142" spans="1:47" s="121" customFormat="1" hidden="1">
      <c r="AN142" s="239"/>
      <c r="AO142" s="225"/>
      <c r="AP142" s="287"/>
      <c r="AQ142" s="258"/>
      <c r="AR142" s="258"/>
      <c r="AS142" s="202"/>
      <c r="AT142" s="213"/>
      <c r="AU142" s="213"/>
    </row>
    <row r="143" spans="1:47" s="121" customFormat="1" hidden="1">
      <c r="AN143" s="239"/>
      <c r="AO143" s="225"/>
      <c r="AP143" s="287"/>
      <c r="AQ143" s="258"/>
      <c r="AR143" s="258"/>
      <c r="AS143" s="202"/>
      <c r="AT143" s="213"/>
      <c r="AU143" s="213"/>
    </row>
    <row r="144" spans="1:47" s="121" customFormat="1" hidden="1">
      <c r="AN144" s="239"/>
      <c r="AO144" s="225"/>
      <c r="AP144" s="287"/>
      <c r="AQ144" s="258"/>
      <c r="AR144" s="258"/>
      <c r="AS144" s="202"/>
      <c r="AT144" s="213"/>
      <c r="AU144" s="213"/>
    </row>
    <row r="145" spans="1:47" s="121" customFormat="1" hidden="1">
      <c r="AN145" s="239"/>
      <c r="AO145" s="225"/>
      <c r="AP145" s="287"/>
      <c r="AQ145" s="258"/>
      <c r="AR145" s="258"/>
      <c r="AS145" s="202"/>
      <c r="AT145" s="213"/>
      <c r="AU145" s="213"/>
    </row>
    <row r="146" spans="1:47" s="121" customFormat="1" hidden="1">
      <c r="AN146" s="239"/>
      <c r="AO146" s="225"/>
      <c r="AP146" s="287"/>
      <c r="AQ146" s="258"/>
      <c r="AR146" s="258"/>
      <c r="AS146" s="202"/>
      <c r="AT146" s="213"/>
      <c r="AU146" s="213"/>
    </row>
    <row r="147" spans="1:47" s="121" customFormat="1" hidden="1">
      <c r="AN147" s="239"/>
      <c r="AO147" s="225"/>
      <c r="AP147" s="287"/>
      <c r="AQ147" s="258"/>
      <c r="AR147" s="258"/>
      <c r="AS147" s="202"/>
      <c r="AT147" s="213"/>
      <c r="AU147" s="213"/>
    </row>
    <row r="148" spans="1:47" hidden="1">
      <c r="A148" s="51"/>
      <c r="B148" s="51"/>
      <c r="C148" s="51"/>
      <c r="D148" s="51"/>
      <c r="E148" s="51"/>
      <c r="F148" s="51"/>
      <c r="G148" s="51"/>
      <c r="H148" s="51"/>
      <c r="I148" s="5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239"/>
      <c r="AO148" s="225"/>
      <c r="AP148" s="287"/>
      <c r="AQ148" s="258"/>
      <c r="AR148" s="258"/>
      <c r="AS148" s="202"/>
      <c r="AT148" s="48"/>
      <c r="AU148" s="48"/>
    </row>
    <row r="149" spans="1:47" s="121" customFormat="1" hidden="1">
      <c r="AN149" s="239"/>
      <c r="AO149" s="225"/>
      <c r="AP149" s="287"/>
      <c r="AQ149" s="258"/>
      <c r="AR149" s="258"/>
      <c r="AS149" s="202"/>
      <c r="AT149" s="213"/>
      <c r="AU149" s="213"/>
    </row>
    <row r="150" spans="1:47" s="121" customFormat="1" hidden="1">
      <c r="AN150" s="239"/>
      <c r="AO150" s="225"/>
      <c r="AP150" s="287"/>
      <c r="AQ150" s="258"/>
      <c r="AR150" s="258"/>
      <c r="AS150" s="202"/>
      <c r="AT150" s="213"/>
      <c r="AU150" s="213"/>
    </row>
    <row r="151" spans="1:47" s="121" customFormat="1" hidden="1">
      <c r="AN151" s="239"/>
      <c r="AO151" s="225"/>
      <c r="AP151" s="287"/>
      <c r="AQ151" s="258"/>
      <c r="AR151" s="258"/>
      <c r="AS151" s="202"/>
      <c r="AT151" s="213"/>
      <c r="AU151" s="213"/>
    </row>
    <row r="152" spans="1:47" s="121" customFormat="1" hidden="1">
      <c r="AN152" s="239"/>
      <c r="AO152" s="225"/>
      <c r="AP152" s="287"/>
      <c r="AQ152" s="258"/>
      <c r="AR152" s="258"/>
      <c r="AS152" s="202"/>
      <c r="AT152" s="213"/>
      <c r="AU152" s="213"/>
    </row>
    <row r="153" spans="1:47" s="121" customFormat="1" hidden="1">
      <c r="AN153" s="239"/>
      <c r="AO153" s="225"/>
      <c r="AP153" s="287"/>
      <c r="AQ153" s="258"/>
      <c r="AR153" s="258"/>
      <c r="AS153" s="202"/>
      <c r="AT153" s="213"/>
      <c r="AU153" s="213"/>
    </row>
    <row r="154" spans="1:47" s="121" customFormat="1" hidden="1">
      <c r="AN154" s="239"/>
      <c r="AO154" s="225"/>
      <c r="AP154" s="287"/>
      <c r="AQ154" s="258"/>
      <c r="AR154" s="258"/>
      <c r="AS154" s="202"/>
      <c r="AT154" s="213"/>
      <c r="AU154" s="213"/>
    </row>
    <row r="155" spans="1:47" hidden="1">
      <c r="A155" s="51"/>
      <c r="B155" s="51"/>
      <c r="C155" s="51"/>
      <c r="D155" s="51"/>
      <c r="E155" s="51"/>
      <c r="F155" s="51"/>
      <c r="G155" s="51"/>
      <c r="H155" s="51"/>
      <c r="I155" s="5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239"/>
      <c r="AO155" s="225"/>
      <c r="AP155" s="287"/>
      <c r="AQ155" s="258"/>
      <c r="AR155" s="258"/>
      <c r="AS155" s="202"/>
      <c r="AT155" s="48"/>
      <c r="AU155" s="48"/>
    </row>
    <row r="156" spans="1:47" hidden="1">
      <c r="A156" s="51"/>
      <c r="B156" s="51"/>
      <c r="C156" s="51"/>
      <c r="D156" s="51"/>
      <c r="E156" s="51"/>
      <c r="F156" s="51"/>
      <c r="G156" s="51"/>
      <c r="H156" s="51"/>
      <c r="I156" s="5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239"/>
      <c r="AO156" s="225"/>
      <c r="AP156" s="287"/>
      <c r="AQ156" s="258"/>
      <c r="AR156" s="258"/>
      <c r="AS156" s="202"/>
      <c r="AT156" s="48"/>
      <c r="AU156" s="48"/>
    </row>
    <row r="157" spans="1:47" s="121" customFormat="1" hidden="1">
      <c r="AN157" s="239"/>
      <c r="AO157" s="225"/>
      <c r="AP157" s="287"/>
      <c r="AQ157" s="258"/>
      <c r="AR157" s="258"/>
      <c r="AS157" s="202"/>
      <c r="AT157" s="213"/>
      <c r="AU157" s="213"/>
    </row>
    <row r="158" spans="1:47" s="121" customFormat="1" hidden="1">
      <c r="AN158" s="239"/>
      <c r="AO158" s="225"/>
      <c r="AP158" s="287"/>
      <c r="AQ158" s="258"/>
      <c r="AR158" s="258"/>
      <c r="AS158" s="202"/>
      <c r="AT158" s="213"/>
      <c r="AU158" s="213"/>
    </row>
    <row r="159" spans="1:47" s="121" customFormat="1" hidden="1">
      <c r="AN159" s="239"/>
      <c r="AO159" s="225"/>
      <c r="AP159" s="287"/>
      <c r="AQ159" s="258"/>
      <c r="AR159" s="258"/>
      <c r="AS159" s="202"/>
      <c r="AT159" s="213"/>
      <c r="AU159" s="213"/>
    </row>
    <row r="160" spans="1:47" s="121" customFormat="1" hidden="1">
      <c r="AN160" s="239"/>
      <c r="AO160" s="225"/>
      <c r="AP160" s="287"/>
      <c r="AQ160" s="258"/>
      <c r="AR160" s="258"/>
      <c r="AS160" s="202"/>
      <c r="AT160" s="213"/>
      <c r="AU160" s="213"/>
    </row>
    <row r="161" spans="1:47" hidden="1">
      <c r="A161" s="51"/>
      <c r="B161" s="51"/>
      <c r="C161" s="51"/>
      <c r="D161" s="51"/>
      <c r="E161" s="51"/>
      <c r="F161" s="51"/>
      <c r="G161" s="51"/>
      <c r="H161" s="51"/>
      <c r="I161" s="5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239"/>
      <c r="AO161" s="225"/>
      <c r="AP161" s="287"/>
      <c r="AQ161" s="258"/>
      <c r="AR161" s="258"/>
      <c r="AS161" s="202"/>
      <c r="AT161" s="48"/>
      <c r="AU161" s="48"/>
    </row>
    <row r="162" spans="1:47" s="121" customFormat="1" hidden="1">
      <c r="AN162" s="239"/>
      <c r="AO162" s="225"/>
      <c r="AP162" s="287"/>
      <c r="AQ162" s="258"/>
      <c r="AR162" s="258"/>
      <c r="AS162" s="202"/>
      <c r="AT162" s="213"/>
      <c r="AU162" s="213"/>
    </row>
    <row r="163" spans="1:47" s="121" customFormat="1" hidden="1">
      <c r="AN163" s="239"/>
      <c r="AO163" s="225"/>
      <c r="AP163" s="287"/>
      <c r="AQ163" s="258"/>
      <c r="AR163" s="258"/>
      <c r="AS163" s="202"/>
      <c r="AT163" s="213"/>
      <c r="AU163" s="213"/>
    </row>
    <row r="164" spans="1:47" s="121" customFormat="1" hidden="1">
      <c r="AN164" s="239"/>
      <c r="AO164" s="225"/>
      <c r="AP164" s="287"/>
      <c r="AQ164" s="258"/>
      <c r="AR164" s="258"/>
      <c r="AS164" s="202"/>
      <c r="AT164" s="213"/>
      <c r="AU164" s="213"/>
    </row>
    <row r="165" spans="1:47" s="121" customFormat="1" hidden="1">
      <c r="AN165" s="239"/>
      <c r="AO165" s="225"/>
      <c r="AP165" s="287"/>
      <c r="AQ165" s="258"/>
      <c r="AR165" s="258"/>
      <c r="AS165" s="202"/>
      <c r="AT165" s="213"/>
      <c r="AU165" s="213"/>
    </row>
    <row r="166" spans="1:47" hidden="1">
      <c r="A166" s="51"/>
      <c r="B166" s="51"/>
      <c r="C166" s="51"/>
      <c r="D166" s="51"/>
      <c r="E166" s="51"/>
      <c r="F166" s="51"/>
      <c r="G166" s="51"/>
      <c r="H166" s="51"/>
      <c r="I166" s="5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239"/>
      <c r="AO166" s="225"/>
      <c r="AP166" s="287"/>
      <c r="AQ166" s="258"/>
      <c r="AR166" s="258"/>
      <c r="AS166" s="202"/>
      <c r="AT166" s="48"/>
      <c r="AU166" s="48"/>
    </row>
    <row r="167" spans="1:47" s="121" customFormat="1" hidden="1">
      <c r="AN167" s="239"/>
      <c r="AO167" s="225"/>
      <c r="AP167" s="287"/>
      <c r="AQ167" s="258"/>
      <c r="AR167" s="258"/>
      <c r="AS167" s="202"/>
      <c r="AT167" s="213"/>
      <c r="AU167" s="213"/>
    </row>
    <row r="168" spans="1:47" s="121" customFormat="1" hidden="1">
      <c r="AN168" s="239"/>
      <c r="AO168" s="225"/>
      <c r="AP168" s="287"/>
      <c r="AQ168" s="258"/>
      <c r="AR168" s="258"/>
      <c r="AS168" s="202"/>
      <c r="AT168" s="213"/>
      <c r="AU168" s="213"/>
    </row>
    <row r="169" spans="1:47" s="121" customFormat="1" hidden="1">
      <c r="AN169" s="239"/>
      <c r="AO169" s="225"/>
      <c r="AP169" s="287"/>
      <c r="AQ169" s="258"/>
      <c r="AR169" s="258"/>
      <c r="AS169" s="202"/>
      <c r="AT169" s="213"/>
      <c r="AU169" s="213"/>
    </row>
    <row r="170" spans="1:47" s="121" customFormat="1" hidden="1">
      <c r="AN170" s="239"/>
      <c r="AO170" s="225"/>
      <c r="AP170" s="287"/>
      <c r="AQ170" s="258"/>
      <c r="AR170" s="258"/>
      <c r="AS170" s="202"/>
      <c r="AT170" s="213"/>
      <c r="AU170" s="213"/>
    </row>
    <row r="171" spans="1:47" hidden="1">
      <c r="A171" s="51"/>
      <c r="B171" s="51"/>
      <c r="C171" s="51"/>
      <c r="D171" s="51"/>
      <c r="E171" s="51"/>
      <c r="F171" s="51"/>
      <c r="G171" s="51"/>
      <c r="H171" s="51"/>
      <c r="I171" s="5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239"/>
      <c r="AO171" s="225"/>
      <c r="AP171" s="287"/>
      <c r="AQ171" s="258"/>
      <c r="AR171" s="258"/>
      <c r="AS171" s="202"/>
      <c r="AT171" s="48"/>
      <c r="AU171" s="48"/>
    </row>
    <row r="172" spans="1:47" s="121" customFormat="1" hidden="1">
      <c r="AN172" s="239"/>
      <c r="AO172" s="225"/>
      <c r="AP172" s="287"/>
      <c r="AQ172" s="258"/>
      <c r="AR172" s="258"/>
      <c r="AS172" s="202"/>
      <c r="AT172" s="213"/>
      <c r="AU172" s="213"/>
    </row>
    <row r="173" spans="1:47" s="121" customFormat="1" hidden="1">
      <c r="AN173" s="239"/>
      <c r="AO173" s="225"/>
      <c r="AP173" s="287"/>
      <c r="AQ173" s="258"/>
      <c r="AR173" s="258"/>
      <c r="AS173" s="202"/>
      <c r="AT173" s="213"/>
      <c r="AU173" s="213"/>
    </row>
    <row r="174" spans="1:47" s="121" customFormat="1" hidden="1">
      <c r="AN174" s="239"/>
      <c r="AO174" s="225"/>
      <c r="AP174" s="287"/>
      <c r="AQ174" s="258"/>
      <c r="AR174" s="258"/>
      <c r="AS174" s="202"/>
      <c r="AT174" s="213"/>
      <c r="AU174" s="213"/>
    </row>
    <row r="175" spans="1:47" s="121" customFormat="1" hidden="1">
      <c r="AN175" s="239"/>
      <c r="AO175" s="225"/>
      <c r="AP175" s="287"/>
      <c r="AQ175" s="258"/>
      <c r="AR175" s="258"/>
      <c r="AS175" s="202"/>
      <c r="AT175" s="213"/>
      <c r="AU175" s="213"/>
    </row>
    <row r="176" spans="1:47" hidden="1">
      <c r="A176" s="51"/>
      <c r="B176" s="51"/>
      <c r="C176" s="51"/>
      <c r="D176" s="51"/>
      <c r="E176" s="51"/>
      <c r="F176" s="51"/>
      <c r="G176" s="51"/>
      <c r="H176" s="51"/>
      <c r="I176" s="5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239"/>
      <c r="AO176" s="225"/>
      <c r="AP176" s="287"/>
      <c r="AQ176" s="258"/>
      <c r="AR176" s="258"/>
      <c r="AS176" s="202"/>
      <c r="AT176" s="48"/>
      <c r="AU176" s="48"/>
    </row>
    <row r="177" spans="1:47" s="121" customFormat="1" hidden="1">
      <c r="AN177" s="239"/>
      <c r="AO177" s="225"/>
      <c r="AP177" s="287"/>
      <c r="AQ177" s="258"/>
      <c r="AR177" s="258"/>
      <c r="AS177" s="202"/>
      <c r="AT177" s="213"/>
      <c r="AU177" s="213"/>
    </row>
    <row r="178" spans="1:47" s="121" customFormat="1" hidden="1">
      <c r="AN178" s="239"/>
      <c r="AO178" s="225"/>
      <c r="AP178" s="287"/>
      <c r="AQ178" s="258"/>
      <c r="AR178" s="258"/>
      <c r="AS178" s="202"/>
      <c r="AT178" s="213"/>
      <c r="AU178" s="213"/>
    </row>
    <row r="179" spans="1:47" s="121" customFormat="1" hidden="1">
      <c r="AN179" s="239"/>
      <c r="AO179" s="225"/>
      <c r="AP179" s="287"/>
      <c r="AQ179" s="258"/>
      <c r="AR179" s="258"/>
      <c r="AS179" s="202"/>
      <c r="AT179" s="213"/>
      <c r="AU179" s="213"/>
    </row>
    <row r="180" spans="1:47" s="121" customFormat="1" hidden="1">
      <c r="AN180" s="239"/>
      <c r="AO180" s="225"/>
      <c r="AP180" s="287"/>
      <c r="AQ180" s="258"/>
      <c r="AR180" s="258"/>
      <c r="AS180" s="202"/>
      <c r="AT180" s="213"/>
      <c r="AU180" s="213"/>
    </row>
    <row r="181" spans="1:47" hidden="1">
      <c r="A181" s="51"/>
      <c r="B181" s="51"/>
      <c r="C181" s="51"/>
      <c r="D181" s="51"/>
      <c r="E181" s="51"/>
      <c r="F181" s="51"/>
      <c r="G181" s="51"/>
      <c r="H181" s="51"/>
      <c r="I181" s="5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239"/>
      <c r="AO181" s="225"/>
      <c r="AP181" s="287"/>
      <c r="AQ181" s="258"/>
      <c r="AR181" s="258"/>
      <c r="AS181" s="202"/>
      <c r="AT181" s="48"/>
      <c r="AU181" s="48"/>
    </row>
    <row r="182" spans="1:47" s="121" customFormat="1" hidden="1">
      <c r="AN182" s="239"/>
      <c r="AO182" s="225"/>
      <c r="AP182" s="287"/>
      <c r="AQ182" s="258"/>
      <c r="AR182" s="258"/>
      <c r="AS182" s="202"/>
      <c r="AT182" s="213"/>
      <c r="AU182" s="213"/>
    </row>
    <row r="183" spans="1:47" s="121" customFormat="1" hidden="1">
      <c r="AN183" s="239"/>
      <c r="AO183" s="225"/>
      <c r="AP183" s="287"/>
      <c r="AQ183" s="258"/>
      <c r="AR183" s="258"/>
      <c r="AS183" s="202"/>
      <c r="AT183" s="213"/>
      <c r="AU183" s="213"/>
    </row>
    <row r="184" spans="1:47" s="121" customFormat="1" hidden="1">
      <c r="AN184" s="239"/>
      <c r="AO184" s="225"/>
      <c r="AP184" s="287"/>
      <c r="AQ184" s="258"/>
      <c r="AR184" s="258"/>
      <c r="AS184" s="202"/>
      <c r="AT184" s="213"/>
      <c r="AU184" s="213"/>
    </row>
    <row r="185" spans="1:47" s="121" customFormat="1" hidden="1">
      <c r="AN185" s="239"/>
      <c r="AO185" s="225"/>
      <c r="AP185" s="287"/>
      <c r="AQ185" s="258"/>
      <c r="AR185" s="258"/>
      <c r="AS185" s="202"/>
      <c r="AT185" s="213"/>
      <c r="AU185" s="213"/>
    </row>
    <row r="186" spans="1:47" hidden="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239"/>
      <c r="AO186" s="225"/>
      <c r="AP186" s="287"/>
      <c r="AQ186" s="258"/>
      <c r="AR186" s="258"/>
      <c r="AS186" s="202"/>
      <c r="AT186" s="48"/>
      <c r="AU186" s="48"/>
    </row>
    <row r="187" spans="1:47" s="121" customFormat="1" hidden="1">
      <c r="AN187" s="239"/>
      <c r="AO187" s="225"/>
      <c r="AP187" s="287"/>
      <c r="AQ187" s="258"/>
      <c r="AR187" s="258"/>
      <c r="AS187" s="202"/>
      <c r="AT187" s="213"/>
      <c r="AU187" s="213"/>
    </row>
    <row r="188" spans="1:47" s="121" customFormat="1" hidden="1">
      <c r="AN188" s="239"/>
      <c r="AO188" s="225"/>
      <c r="AP188" s="287"/>
      <c r="AQ188" s="258"/>
      <c r="AR188" s="258"/>
      <c r="AS188" s="202"/>
      <c r="AT188" s="213"/>
      <c r="AU188" s="213"/>
    </row>
    <row r="189" spans="1:47" s="121" customFormat="1" hidden="1">
      <c r="AN189" s="239"/>
      <c r="AO189" s="225"/>
      <c r="AP189" s="287"/>
      <c r="AQ189" s="258"/>
      <c r="AR189" s="258"/>
      <c r="AS189" s="202"/>
      <c r="AT189" s="213"/>
      <c r="AU189" s="213"/>
    </row>
    <row r="190" spans="1:47" s="121" customFormat="1" hidden="1" collapsed="1">
      <c r="AN190" s="239"/>
      <c r="AO190" s="225"/>
      <c r="AP190" s="287"/>
      <c r="AQ190" s="258"/>
      <c r="AR190" s="258"/>
      <c r="AS190" s="202"/>
      <c r="AT190" s="213"/>
      <c r="AU190" s="213"/>
    </row>
    <row r="191" spans="1:47" hidden="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239"/>
      <c r="AO191" s="225"/>
      <c r="AP191" s="287"/>
      <c r="AQ191" s="258"/>
      <c r="AR191" s="258"/>
      <c r="AS191" s="202"/>
      <c r="AT191" s="48"/>
      <c r="AU191" s="48"/>
    </row>
    <row r="192" spans="1:47" s="121" customFormat="1" hidden="1">
      <c r="AN192" s="239"/>
      <c r="AO192" s="225"/>
      <c r="AP192" s="287"/>
      <c r="AQ192" s="258"/>
      <c r="AR192" s="258"/>
      <c r="AS192" s="202"/>
      <c r="AT192" s="213"/>
      <c r="AU192" s="213"/>
    </row>
    <row r="193" spans="1:47" s="121" customFormat="1" hidden="1">
      <c r="AN193" s="239"/>
      <c r="AO193" s="225"/>
      <c r="AP193" s="287"/>
      <c r="AQ193" s="258"/>
      <c r="AR193" s="258"/>
      <c r="AS193" s="202"/>
      <c r="AT193" s="213"/>
      <c r="AU193" s="213"/>
    </row>
    <row r="194" spans="1:47" s="121" customFormat="1" hidden="1">
      <c r="AN194" s="239"/>
      <c r="AO194" s="225"/>
      <c r="AP194" s="287"/>
      <c r="AQ194" s="258"/>
      <c r="AR194" s="258"/>
      <c r="AS194" s="202"/>
      <c r="AT194" s="213"/>
      <c r="AU194" s="213"/>
    </row>
    <row r="195" spans="1:47" s="121" customFormat="1" hidden="1">
      <c r="AN195" s="239"/>
      <c r="AO195" s="225"/>
      <c r="AP195" s="287"/>
      <c r="AQ195" s="258"/>
      <c r="AR195" s="258"/>
      <c r="AS195" s="202"/>
      <c r="AT195" s="213"/>
      <c r="AU195" s="213"/>
    </row>
    <row r="196" spans="1:47" hidden="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239"/>
      <c r="AO196" s="225"/>
      <c r="AP196" s="287"/>
      <c r="AQ196" s="258"/>
      <c r="AR196" s="258"/>
      <c r="AS196" s="202"/>
      <c r="AT196" s="48"/>
      <c r="AU196" s="48"/>
    </row>
    <row r="197" spans="1:47" s="121" customFormat="1" hidden="1">
      <c r="AN197" s="239"/>
      <c r="AO197" s="225"/>
      <c r="AP197" s="287"/>
      <c r="AQ197" s="258"/>
      <c r="AR197" s="258"/>
      <c r="AS197" s="202"/>
      <c r="AT197" s="213"/>
      <c r="AU197" s="213"/>
    </row>
    <row r="198" spans="1:47" s="121" customFormat="1" hidden="1" collapsed="1">
      <c r="AN198" s="239"/>
      <c r="AO198" s="225"/>
      <c r="AP198" s="287"/>
      <c r="AQ198" s="258"/>
      <c r="AR198" s="258"/>
      <c r="AS198" s="202"/>
      <c r="AT198" s="213"/>
      <c r="AU198" s="213"/>
    </row>
    <row r="199" spans="1:47" s="121" customFormat="1" hidden="1">
      <c r="AN199" s="239"/>
      <c r="AO199" s="225"/>
      <c r="AP199" s="287"/>
      <c r="AQ199" s="258"/>
      <c r="AR199" s="258"/>
      <c r="AS199" s="202"/>
      <c r="AT199" s="213"/>
      <c r="AU199" s="213"/>
    </row>
    <row r="200" spans="1:47" s="121" customFormat="1" hidden="1">
      <c r="AN200" s="239"/>
      <c r="AO200" s="225"/>
      <c r="AP200" s="287"/>
      <c r="AQ200" s="258"/>
      <c r="AR200" s="258"/>
      <c r="AS200" s="202"/>
      <c r="AT200" s="213"/>
      <c r="AU200" s="213"/>
    </row>
    <row r="201" spans="1:47" hidden="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239"/>
      <c r="AO201" s="225"/>
      <c r="AP201" s="287"/>
      <c r="AQ201" s="258"/>
      <c r="AR201" s="258"/>
      <c r="AS201" s="202"/>
      <c r="AT201" s="48"/>
      <c r="AU201" s="48"/>
    </row>
    <row r="202" spans="1:47" s="121" customFormat="1" hidden="1" collapsed="1">
      <c r="AN202" s="239"/>
      <c r="AO202" s="225"/>
      <c r="AP202" s="287"/>
      <c r="AQ202" s="258"/>
      <c r="AR202" s="258"/>
      <c r="AS202" s="202"/>
      <c r="AT202" s="213"/>
      <c r="AU202" s="213"/>
    </row>
    <row r="203" spans="1:47" s="121" customFormat="1" hidden="1">
      <c r="AN203" s="239"/>
      <c r="AO203" s="225"/>
      <c r="AP203" s="287"/>
      <c r="AQ203" s="258"/>
      <c r="AR203" s="258"/>
      <c r="AS203" s="202"/>
      <c r="AT203" s="213"/>
      <c r="AU203" s="213"/>
    </row>
    <row r="204" spans="1:47" s="121" customFormat="1" hidden="1">
      <c r="AN204" s="239"/>
      <c r="AO204" s="225"/>
      <c r="AP204" s="287"/>
      <c r="AQ204" s="258"/>
      <c r="AR204" s="258"/>
      <c r="AS204" s="202"/>
      <c r="AT204" s="213"/>
      <c r="AU204" s="213"/>
    </row>
    <row r="205" spans="1:47" s="121" customFormat="1" hidden="1">
      <c r="AN205" s="239"/>
      <c r="AO205" s="225"/>
      <c r="AP205" s="287"/>
      <c r="AQ205" s="258"/>
      <c r="AR205" s="258"/>
      <c r="AS205" s="202"/>
      <c r="AT205" s="213"/>
      <c r="AU205" s="213"/>
    </row>
    <row r="206" spans="1:47" hidden="1" collapsed="1">
      <c r="A206" s="51"/>
      <c r="B206" s="51"/>
      <c r="C206" s="51"/>
      <c r="D206" s="51"/>
      <c r="E206" s="51"/>
      <c r="F206" s="51"/>
      <c r="G206" s="51"/>
      <c r="H206" s="51"/>
      <c r="I206" s="5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239"/>
      <c r="AO206" s="225"/>
      <c r="AP206" s="287"/>
      <c r="AQ206" s="258"/>
      <c r="AR206" s="258"/>
      <c r="AS206" s="202"/>
      <c r="AT206" s="48"/>
      <c r="AU206" s="48"/>
    </row>
    <row r="207" spans="1:47" hidden="1">
      <c r="A207" s="51"/>
      <c r="B207" s="51"/>
      <c r="C207" s="51"/>
      <c r="D207" s="51"/>
      <c r="E207" s="51"/>
      <c r="F207" s="51"/>
      <c r="G207" s="51"/>
      <c r="H207" s="51"/>
      <c r="I207" s="5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239"/>
      <c r="AO207" s="225"/>
      <c r="AP207" s="287"/>
      <c r="AQ207" s="258"/>
      <c r="AR207" s="258"/>
      <c r="AS207" s="202"/>
      <c r="AT207" s="48"/>
      <c r="AU207" s="48"/>
    </row>
    <row r="208" spans="1:47" hidden="1">
      <c r="A208" s="51"/>
      <c r="B208" s="51"/>
      <c r="C208" s="51"/>
      <c r="D208" s="51"/>
      <c r="E208" s="51"/>
      <c r="F208" s="51"/>
      <c r="G208" s="51"/>
      <c r="H208" s="51"/>
      <c r="I208" s="5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239"/>
      <c r="AO208" s="225"/>
      <c r="AP208" s="287"/>
      <c r="AQ208" s="258"/>
      <c r="AR208" s="258"/>
      <c r="AS208" s="202"/>
      <c r="AT208" s="48"/>
      <c r="AU208" s="48"/>
    </row>
    <row r="209" spans="40:47" s="121" customFormat="1" hidden="1">
      <c r="AN209" s="239"/>
      <c r="AO209" s="225"/>
      <c r="AP209" s="287"/>
      <c r="AQ209" s="258"/>
      <c r="AR209" s="258"/>
      <c r="AS209" s="202"/>
      <c r="AT209" s="213"/>
      <c r="AU209" s="213"/>
    </row>
    <row r="210" spans="40:47" s="121" customFormat="1" hidden="1">
      <c r="AN210" s="239"/>
      <c r="AO210" s="225"/>
      <c r="AP210" s="287"/>
      <c r="AQ210" s="258"/>
      <c r="AR210" s="258"/>
      <c r="AS210" s="202"/>
      <c r="AT210" s="213"/>
      <c r="AU210" s="213"/>
    </row>
    <row r="211" spans="40:47" s="121" customFormat="1" hidden="1">
      <c r="AN211" s="239"/>
      <c r="AO211" s="225"/>
      <c r="AP211" s="287"/>
      <c r="AQ211" s="258"/>
      <c r="AR211" s="258"/>
      <c r="AS211" s="202"/>
      <c r="AT211" s="213"/>
      <c r="AU211" s="213"/>
    </row>
    <row r="212" spans="40:47" s="121" customFormat="1" hidden="1">
      <c r="AN212" s="239"/>
      <c r="AO212" s="225"/>
      <c r="AP212" s="287"/>
      <c r="AQ212" s="258"/>
      <c r="AR212" s="258"/>
      <c r="AS212" s="202"/>
      <c r="AT212" s="213"/>
      <c r="AU212" s="213"/>
    </row>
    <row r="213" spans="40:47" s="121" customFormat="1" hidden="1">
      <c r="AN213" s="239"/>
      <c r="AO213" s="225"/>
      <c r="AP213" s="287"/>
      <c r="AQ213" s="258"/>
      <c r="AR213" s="258"/>
      <c r="AS213" s="202"/>
      <c r="AT213" s="213"/>
      <c r="AU213" s="213"/>
    </row>
    <row r="214" spans="40:47" s="121" customFormat="1" hidden="1">
      <c r="AN214" s="239"/>
      <c r="AO214" s="225"/>
      <c r="AP214" s="287"/>
      <c r="AQ214" s="258"/>
      <c r="AR214" s="258"/>
      <c r="AS214" s="202"/>
      <c r="AT214" s="213"/>
      <c r="AU214" s="213"/>
    </row>
    <row r="215" spans="40:47" s="121" customFormat="1" hidden="1">
      <c r="AN215" s="239"/>
      <c r="AO215" s="225"/>
      <c r="AP215" s="287"/>
      <c r="AQ215" s="258"/>
      <c r="AR215" s="258"/>
      <c r="AS215" s="202"/>
      <c r="AT215" s="213"/>
      <c r="AU215" s="213"/>
    </row>
    <row r="216" spans="40:47" s="121" customFormat="1" hidden="1">
      <c r="AN216" s="239"/>
      <c r="AO216" s="225"/>
      <c r="AP216" s="287"/>
      <c r="AQ216" s="258"/>
      <c r="AR216" s="258"/>
      <c r="AS216" s="202"/>
      <c r="AT216" s="213"/>
      <c r="AU216" s="213"/>
    </row>
    <row r="217" spans="40:47" s="121" customFormat="1" hidden="1">
      <c r="AN217" s="239"/>
      <c r="AO217" s="225"/>
      <c r="AP217" s="287"/>
      <c r="AQ217" s="258"/>
      <c r="AR217" s="258"/>
      <c r="AS217" s="202"/>
      <c r="AT217" s="213"/>
      <c r="AU217" s="213"/>
    </row>
    <row r="218" spans="40:47" s="121" customFormat="1" hidden="1">
      <c r="AN218" s="239"/>
      <c r="AO218" s="225"/>
      <c r="AP218" s="287"/>
      <c r="AQ218" s="258"/>
      <c r="AR218" s="258"/>
      <c r="AS218" s="202"/>
      <c r="AT218" s="213"/>
      <c r="AU218" s="213"/>
    </row>
    <row r="219" spans="40:47" s="121" customFormat="1" hidden="1">
      <c r="AN219" s="239"/>
      <c r="AO219" s="225"/>
      <c r="AP219" s="287"/>
      <c r="AQ219" s="258"/>
      <c r="AR219" s="258"/>
      <c r="AS219" s="202"/>
      <c r="AT219" s="213"/>
      <c r="AU219" s="213"/>
    </row>
    <row r="220" spans="40:47" s="121" customFormat="1" hidden="1">
      <c r="AN220" s="239"/>
      <c r="AO220" s="225"/>
      <c r="AP220" s="287"/>
      <c r="AQ220" s="258"/>
      <c r="AR220" s="258"/>
      <c r="AS220" s="202"/>
      <c r="AT220" s="213"/>
      <c r="AU220" s="213"/>
    </row>
    <row r="221" spans="40:47" s="121" customFormat="1" hidden="1">
      <c r="AN221" s="239"/>
      <c r="AO221" s="225"/>
      <c r="AP221" s="287"/>
      <c r="AQ221" s="258"/>
      <c r="AR221" s="258"/>
      <c r="AS221" s="202"/>
      <c r="AT221" s="213"/>
      <c r="AU221" s="213"/>
    </row>
    <row r="222" spans="40:47" s="121" customFormat="1" hidden="1">
      <c r="AN222" s="239"/>
      <c r="AO222" s="225"/>
      <c r="AP222" s="287"/>
      <c r="AQ222" s="258"/>
      <c r="AR222" s="258"/>
      <c r="AS222" s="202"/>
      <c r="AT222" s="213"/>
      <c r="AU222" s="213"/>
    </row>
    <row r="223" spans="40:47" s="121" customFormat="1" hidden="1">
      <c r="AN223" s="239"/>
      <c r="AO223" s="225"/>
      <c r="AP223" s="287"/>
      <c r="AQ223" s="258"/>
      <c r="AR223" s="258"/>
      <c r="AS223" s="202"/>
      <c r="AT223" s="213"/>
      <c r="AU223" s="213"/>
    </row>
    <row r="224" spans="40:47" s="121" customFormat="1" hidden="1">
      <c r="AN224" s="239"/>
      <c r="AO224" s="225"/>
      <c r="AP224" s="287"/>
      <c r="AQ224" s="258"/>
      <c r="AR224" s="258"/>
      <c r="AS224" s="202"/>
      <c r="AT224" s="213"/>
      <c r="AU224" s="213"/>
    </row>
    <row r="225" spans="40:47" s="121" customFormat="1" hidden="1">
      <c r="AN225" s="239"/>
      <c r="AO225" s="225"/>
      <c r="AP225" s="287"/>
      <c r="AQ225" s="258"/>
      <c r="AR225" s="258"/>
      <c r="AS225" s="202"/>
      <c r="AT225" s="213"/>
      <c r="AU225" s="213"/>
    </row>
    <row r="226" spans="40:47" s="121" customFormat="1" hidden="1">
      <c r="AN226" s="239"/>
      <c r="AO226" s="225"/>
      <c r="AP226" s="287"/>
      <c r="AQ226" s="258"/>
      <c r="AR226" s="258"/>
      <c r="AS226" s="202"/>
      <c r="AT226" s="213"/>
      <c r="AU226" s="213"/>
    </row>
    <row r="227" spans="40:47" s="121" customFormat="1" hidden="1">
      <c r="AN227" s="239"/>
      <c r="AO227" s="225"/>
      <c r="AP227" s="260"/>
      <c r="AQ227" s="258"/>
      <c r="AR227" s="258"/>
      <c r="AS227" s="202"/>
      <c r="AT227" s="213"/>
      <c r="AU227" s="213"/>
    </row>
    <row r="228" spans="40:47" s="121" customFormat="1" hidden="1">
      <c r="AN228" s="239"/>
      <c r="AO228" s="225"/>
      <c r="AP228" s="260"/>
      <c r="AQ228" s="258"/>
      <c r="AR228" s="258"/>
      <c r="AS228" s="202"/>
      <c r="AT228" s="213"/>
      <c r="AU228" s="213"/>
    </row>
    <row r="229" spans="40:47" s="121" customFormat="1" hidden="1">
      <c r="AN229" s="239"/>
      <c r="AO229" s="225"/>
      <c r="AP229" s="260"/>
      <c r="AQ229" s="258"/>
      <c r="AR229" s="258"/>
      <c r="AS229" s="202"/>
      <c r="AT229" s="213"/>
      <c r="AU229" s="213"/>
    </row>
    <row r="230" spans="40:47" s="121" customFormat="1" hidden="1">
      <c r="AN230" s="239"/>
      <c r="AO230" s="225"/>
      <c r="AP230" s="260"/>
      <c r="AQ230" s="258"/>
      <c r="AR230" s="258"/>
      <c r="AS230" s="202"/>
      <c r="AT230" s="213"/>
      <c r="AU230" s="213"/>
    </row>
    <row r="231" spans="40:47" s="121" customFormat="1" hidden="1">
      <c r="AN231" s="239"/>
      <c r="AO231" s="225"/>
      <c r="AP231" s="260"/>
      <c r="AQ231" s="258"/>
      <c r="AR231" s="258"/>
      <c r="AS231" s="202"/>
      <c r="AT231" s="213"/>
      <c r="AU231" s="213"/>
    </row>
    <row r="232" spans="40:47" s="121" customFormat="1" hidden="1">
      <c r="AN232" s="239"/>
      <c r="AO232" s="225"/>
      <c r="AP232" s="260"/>
      <c r="AQ232" s="258"/>
      <c r="AR232" s="258"/>
      <c r="AS232" s="202"/>
      <c r="AT232" s="213"/>
      <c r="AU232" s="213"/>
    </row>
    <row r="233" spans="40:47" s="121" customFormat="1" hidden="1">
      <c r="AN233" s="239"/>
      <c r="AO233" s="225"/>
      <c r="AP233" s="260"/>
      <c r="AQ233" s="258"/>
      <c r="AR233" s="258"/>
      <c r="AS233" s="202"/>
      <c r="AT233" s="213"/>
      <c r="AU233" s="213"/>
    </row>
    <row r="234" spans="40:47" s="121" customFormat="1" hidden="1">
      <c r="AN234" s="239"/>
      <c r="AO234" s="225"/>
      <c r="AP234" s="260"/>
      <c r="AQ234" s="258"/>
      <c r="AR234" s="258"/>
      <c r="AS234" s="202"/>
      <c r="AT234" s="213"/>
      <c r="AU234" s="213"/>
    </row>
    <row r="235" spans="40:47" s="121" customFormat="1" hidden="1">
      <c r="AN235" s="239"/>
      <c r="AO235" s="225"/>
      <c r="AP235" s="260"/>
      <c r="AQ235" s="258"/>
      <c r="AR235" s="258"/>
      <c r="AS235" s="202"/>
      <c r="AT235" s="213"/>
      <c r="AU235" s="213"/>
    </row>
    <row r="236" spans="40:47" s="121" customFormat="1" hidden="1">
      <c r="AN236" s="239"/>
      <c r="AO236" s="225"/>
      <c r="AP236" s="260"/>
      <c r="AQ236" s="258"/>
      <c r="AR236" s="258"/>
      <c r="AS236" s="202"/>
      <c r="AT236" s="213"/>
      <c r="AU236" s="213"/>
    </row>
    <row r="237" spans="40:47" s="121" customFormat="1" hidden="1">
      <c r="AN237" s="239"/>
      <c r="AO237" s="225"/>
      <c r="AP237" s="260"/>
      <c r="AQ237" s="258"/>
      <c r="AR237" s="258"/>
      <c r="AS237" s="202"/>
      <c r="AT237" s="213"/>
      <c r="AU237" s="213"/>
    </row>
    <row r="238" spans="40:47" s="121" customFormat="1" hidden="1">
      <c r="AN238" s="239"/>
      <c r="AO238" s="225"/>
      <c r="AP238" s="260"/>
      <c r="AQ238" s="258"/>
      <c r="AR238" s="258"/>
      <c r="AS238" s="202"/>
      <c r="AT238" s="213"/>
      <c r="AU238" s="213"/>
    </row>
    <row r="239" spans="40:47" s="121" customFormat="1" hidden="1">
      <c r="AN239" s="239"/>
      <c r="AO239" s="225"/>
      <c r="AP239" s="260"/>
      <c r="AQ239" s="258"/>
      <c r="AR239" s="258"/>
      <c r="AS239" s="202"/>
      <c r="AT239" s="213"/>
      <c r="AU239" s="213"/>
    </row>
    <row r="240" spans="40:47" s="121" customFormat="1" hidden="1">
      <c r="AN240" s="239"/>
      <c r="AO240" s="225"/>
      <c r="AP240" s="260"/>
      <c r="AQ240" s="258"/>
      <c r="AR240" s="258"/>
      <c r="AS240" s="202"/>
      <c r="AT240" s="213"/>
      <c r="AU240" s="213"/>
    </row>
    <row r="241" spans="40:47" s="121" customFormat="1" hidden="1">
      <c r="AN241" s="239"/>
      <c r="AO241" s="225"/>
      <c r="AP241" s="260"/>
      <c r="AQ241" s="258"/>
      <c r="AR241" s="258"/>
      <c r="AS241" s="202"/>
      <c r="AT241" s="213"/>
      <c r="AU241" s="213"/>
    </row>
    <row r="242" spans="40:47" s="121" customFormat="1" hidden="1">
      <c r="AN242" s="239"/>
      <c r="AO242" s="225"/>
      <c r="AP242" s="260"/>
      <c r="AQ242" s="258"/>
      <c r="AR242" s="258"/>
      <c r="AS242" s="202"/>
      <c r="AT242" s="213"/>
      <c r="AU242" s="213"/>
    </row>
    <row r="243" spans="40:47" s="121" customFormat="1" hidden="1">
      <c r="AN243" s="239"/>
      <c r="AO243" s="225"/>
      <c r="AP243" s="260"/>
      <c r="AQ243" s="258"/>
      <c r="AR243" s="258"/>
      <c r="AS243" s="202"/>
      <c r="AT243" s="213"/>
      <c r="AU243" s="213"/>
    </row>
    <row r="244" spans="40:47" s="121" customFormat="1" hidden="1">
      <c r="AN244" s="239"/>
      <c r="AO244" s="225"/>
      <c r="AP244" s="260"/>
      <c r="AQ244" s="258"/>
      <c r="AR244" s="258"/>
      <c r="AS244" s="202"/>
      <c r="AT244" s="213"/>
      <c r="AU244" s="213"/>
    </row>
    <row r="245" spans="40:47" s="121" customFormat="1" hidden="1">
      <c r="AN245" s="239"/>
      <c r="AO245" s="225"/>
      <c r="AP245" s="260"/>
      <c r="AQ245" s="258"/>
      <c r="AR245" s="258"/>
      <c r="AS245" s="202"/>
      <c r="AT245" s="213"/>
      <c r="AU245" s="213"/>
    </row>
    <row r="246" spans="40:47" s="121" customFormat="1" hidden="1">
      <c r="AN246" s="239"/>
      <c r="AO246" s="225"/>
      <c r="AP246" s="260"/>
      <c r="AQ246" s="258"/>
      <c r="AR246" s="258"/>
      <c r="AS246" s="202"/>
      <c r="AT246" s="213"/>
      <c r="AU246" s="213"/>
    </row>
    <row r="247" spans="40:47" s="121" customFormat="1" hidden="1">
      <c r="AN247" s="239"/>
      <c r="AO247" s="225"/>
      <c r="AP247" s="260"/>
      <c r="AQ247" s="258"/>
      <c r="AR247" s="258"/>
      <c r="AS247" s="202"/>
      <c r="AT247" s="213"/>
      <c r="AU247" s="213"/>
    </row>
    <row r="248" spans="40:47" s="121" customFormat="1" hidden="1">
      <c r="AN248" s="239"/>
      <c r="AO248" s="225"/>
      <c r="AP248" s="260"/>
      <c r="AQ248" s="258"/>
      <c r="AR248" s="258"/>
      <c r="AS248" s="202"/>
      <c r="AT248" s="213"/>
      <c r="AU248" s="213"/>
    </row>
    <row r="249" spans="40:47" s="121" customFormat="1" hidden="1">
      <c r="AN249" s="239"/>
      <c r="AO249" s="225"/>
      <c r="AP249" s="260"/>
      <c r="AQ249" s="258"/>
      <c r="AR249" s="258"/>
      <c r="AS249" s="202"/>
      <c r="AT249" s="213"/>
      <c r="AU249" s="213"/>
    </row>
    <row r="250" spans="40:47" s="121" customFormat="1" hidden="1">
      <c r="AN250" s="239"/>
      <c r="AO250" s="225"/>
      <c r="AP250" s="260"/>
      <c r="AQ250" s="258"/>
      <c r="AR250" s="258"/>
      <c r="AS250" s="202"/>
      <c r="AT250" s="213"/>
      <c r="AU250" s="213"/>
    </row>
    <row r="251" spans="40:47" s="121" customFormat="1" hidden="1">
      <c r="AN251" s="239"/>
      <c r="AO251" s="225"/>
      <c r="AP251" s="260"/>
      <c r="AQ251" s="258"/>
      <c r="AR251" s="258"/>
      <c r="AS251" s="202"/>
      <c r="AT251" s="213"/>
      <c r="AU251" s="213"/>
    </row>
    <row r="252" spans="40:47" s="121" customFormat="1" hidden="1">
      <c r="AN252" s="239"/>
      <c r="AO252" s="225"/>
      <c r="AP252" s="260"/>
      <c r="AQ252" s="258"/>
      <c r="AR252" s="258"/>
      <c r="AS252" s="202"/>
      <c r="AT252" s="213"/>
      <c r="AU252" s="213"/>
    </row>
    <row r="253" spans="40:47" s="121" customFormat="1" hidden="1">
      <c r="AN253" s="239"/>
      <c r="AO253" s="225"/>
      <c r="AP253" s="260"/>
      <c r="AQ253" s="258"/>
      <c r="AR253" s="258"/>
      <c r="AS253" s="202"/>
      <c r="AT253" s="213"/>
      <c r="AU253" s="213"/>
    </row>
    <row r="254" spans="40:47" s="121" customFormat="1" hidden="1">
      <c r="AN254" s="239"/>
      <c r="AO254" s="225"/>
      <c r="AP254" s="260"/>
      <c r="AQ254" s="258"/>
      <c r="AR254" s="258"/>
      <c r="AS254" s="202"/>
      <c r="AT254" s="213"/>
      <c r="AU254" s="213"/>
    </row>
    <row r="255" spans="40:47" s="121" customFormat="1" hidden="1">
      <c r="AN255" s="239"/>
      <c r="AO255" s="225"/>
      <c r="AP255" s="260"/>
      <c r="AQ255" s="258"/>
      <c r="AR255" s="258"/>
      <c r="AS255" s="202"/>
      <c r="AT255" s="213"/>
      <c r="AU255" s="213"/>
    </row>
    <row r="256" spans="40:47" s="121" customFormat="1" hidden="1">
      <c r="AN256" s="239"/>
      <c r="AO256" s="225"/>
      <c r="AP256" s="260"/>
      <c r="AQ256" s="258"/>
      <c r="AR256" s="258"/>
      <c r="AS256" s="202"/>
      <c r="AT256" s="213"/>
      <c r="AU256" s="213"/>
    </row>
    <row r="257" spans="40:47" s="121" customFormat="1" hidden="1">
      <c r="AN257" s="239"/>
      <c r="AO257" s="225"/>
      <c r="AP257" s="260"/>
      <c r="AQ257" s="258"/>
      <c r="AR257" s="258"/>
      <c r="AS257" s="202"/>
      <c r="AT257" s="213"/>
      <c r="AU257" s="213"/>
    </row>
    <row r="258" spans="40:47" s="121" customFormat="1" hidden="1">
      <c r="AN258" s="239"/>
      <c r="AO258" s="225"/>
      <c r="AP258" s="260"/>
      <c r="AQ258" s="258"/>
      <c r="AR258" s="258"/>
      <c r="AS258" s="202"/>
      <c r="AT258" s="213"/>
      <c r="AU258" s="213"/>
    </row>
    <row r="259" spans="40:47" s="121" customFormat="1" hidden="1">
      <c r="AN259" s="239"/>
      <c r="AO259" s="225"/>
      <c r="AP259" s="260"/>
      <c r="AQ259" s="258"/>
      <c r="AR259" s="258"/>
      <c r="AS259" s="202"/>
      <c r="AT259" s="213"/>
      <c r="AU259" s="213"/>
    </row>
    <row r="260" spans="40:47" s="121" customFormat="1" hidden="1">
      <c r="AN260" s="239"/>
      <c r="AO260" s="225"/>
      <c r="AP260" s="260"/>
      <c r="AQ260" s="258"/>
      <c r="AR260" s="258"/>
      <c r="AS260" s="202"/>
      <c r="AT260" s="213"/>
      <c r="AU260" s="213"/>
    </row>
    <row r="261" spans="40:47" s="121" customFormat="1" hidden="1">
      <c r="AN261" s="239"/>
      <c r="AO261" s="225"/>
      <c r="AP261" s="260"/>
      <c r="AQ261" s="258"/>
      <c r="AR261" s="258"/>
      <c r="AS261" s="202"/>
      <c r="AT261" s="213"/>
      <c r="AU261" s="213"/>
    </row>
    <row r="262" spans="40:47" s="121" customFormat="1" hidden="1">
      <c r="AN262" s="239"/>
      <c r="AO262" s="225"/>
      <c r="AP262" s="260"/>
      <c r="AQ262" s="258"/>
      <c r="AR262" s="258"/>
      <c r="AS262" s="202"/>
      <c r="AT262" s="213"/>
      <c r="AU262" s="213"/>
    </row>
    <row r="263" spans="40:47" s="121" customFormat="1" hidden="1">
      <c r="AN263" s="239"/>
      <c r="AO263" s="225"/>
      <c r="AP263" s="260"/>
      <c r="AQ263" s="258"/>
      <c r="AR263" s="258"/>
      <c r="AS263" s="202"/>
      <c r="AT263" s="213"/>
      <c r="AU263" s="213"/>
    </row>
    <row r="264" spans="40:47" s="121" customFormat="1" hidden="1">
      <c r="AN264" s="239"/>
      <c r="AO264" s="225"/>
      <c r="AP264" s="260"/>
      <c r="AQ264" s="258"/>
      <c r="AR264" s="258"/>
      <c r="AS264" s="202"/>
      <c r="AT264" s="213"/>
      <c r="AU264" s="213"/>
    </row>
    <row r="265" spans="40:47" s="121" customFormat="1" hidden="1">
      <c r="AN265" s="239"/>
      <c r="AO265" s="225"/>
      <c r="AP265" s="260"/>
      <c r="AQ265" s="258"/>
      <c r="AR265" s="258"/>
      <c r="AS265" s="202"/>
      <c r="AT265" s="213"/>
      <c r="AU265" s="213"/>
    </row>
    <row r="266" spans="40:47" s="121" customFormat="1" hidden="1">
      <c r="AN266" s="239"/>
      <c r="AO266" s="225"/>
      <c r="AP266" s="260"/>
      <c r="AQ266" s="258"/>
      <c r="AR266" s="258"/>
      <c r="AS266" s="202"/>
      <c r="AT266" s="213"/>
      <c r="AU266" s="213"/>
    </row>
    <row r="267" spans="40:47" s="121" customFormat="1" hidden="1">
      <c r="AN267" s="239"/>
      <c r="AO267" s="225"/>
      <c r="AP267" s="260"/>
      <c r="AQ267" s="258"/>
      <c r="AR267" s="258"/>
      <c r="AS267" s="202"/>
      <c r="AT267" s="213"/>
      <c r="AU267" s="213"/>
    </row>
    <row r="268" spans="40:47" s="121" customFormat="1" hidden="1">
      <c r="AN268" s="239"/>
      <c r="AO268" s="225"/>
      <c r="AP268" s="260"/>
      <c r="AQ268" s="258"/>
      <c r="AR268" s="258"/>
      <c r="AS268" s="202"/>
      <c r="AT268" s="213"/>
      <c r="AU268" s="213"/>
    </row>
    <row r="269" spans="40:47" s="121" customFormat="1" hidden="1">
      <c r="AN269" s="239"/>
      <c r="AO269" s="225"/>
      <c r="AP269" s="260"/>
      <c r="AQ269" s="258"/>
      <c r="AR269" s="258"/>
      <c r="AS269" s="202"/>
      <c r="AT269" s="213"/>
      <c r="AU269" s="213"/>
    </row>
    <row r="270" spans="40:47" s="121" customFormat="1" hidden="1">
      <c r="AN270" s="239"/>
      <c r="AO270" s="225"/>
      <c r="AP270" s="260"/>
      <c r="AQ270" s="258"/>
      <c r="AR270" s="258"/>
      <c r="AS270" s="202"/>
      <c r="AT270" s="213"/>
      <c r="AU270" s="213"/>
    </row>
    <row r="271" spans="40:47" s="121" customFormat="1" hidden="1">
      <c r="AN271" s="239"/>
      <c r="AO271" s="225"/>
      <c r="AP271" s="260"/>
      <c r="AQ271" s="258"/>
      <c r="AR271" s="258"/>
      <c r="AS271" s="202"/>
      <c r="AT271" s="213"/>
      <c r="AU271" s="213"/>
    </row>
    <row r="272" spans="40:47" s="121" customFormat="1" hidden="1">
      <c r="AN272" s="239"/>
      <c r="AO272" s="225"/>
      <c r="AP272" s="260"/>
      <c r="AQ272" s="258"/>
      <c r="AR272" s="258"/>
      <c r="AS272" s="202"/>
      <c r="AT272" s="213"/>
      <c r="AU272" s="213"/>
    </row>
    <row r="273" spans="40:47" s="121" customFormat="1" hidden="1">
      <c r="AN273" s="239"/>
      <c r="AO273" s="225"/>
      <c r="AP273" s="260"/>
      <c r="AQ273" s="258"/>
      <c r="AR273" s="258"/>
      <c r="AS273" s="202"/>
      <c r="AT273" s="213"/>
      <c r="AU273" s="213"/>
    </row>
    <row r="274" spans="40:47" s="121" customFormat="1" hidden="1">
      <c r="AN274" s="239"/>
      <c r="AO274" s="225"/>
      <c r="AP274" s="260"/>
      <c r="AQ274" s="258"/>
      <c r="AR274" s="258"/>
      <c r="AS274" s="202"/>
      <c r="AT274" s="213"/>
      <c r="AU274" s="213"/>
    </row>
    <row r="275" spans="40:47" s="121" customFormat="1" hidden="1">
      <c r="AN275" s="239"/>
      <c r="AO275" s="225"/>
      <c r="AP275" s="260"/>
      <c r="AQ275" s="258"/>
      <c r="AR275" s="258"/>
      <c r="AS275" s="202"/>
      <c r="AT275" s="213"/>
      <c r="AU275" s="213"/>
    </row>
    <row r="276" spans="40:47" s="121" customFormat="1" hidden="1">
      <c r="AN276" s="239"/>
      <c r="AO276" s="225"/>
      <c r="AP276" s="260"/>
      <c r="AQ276" s="258"/>
      <c r="AR276" s="258"/>
      <c r="AS276" s="202"/>
      <c r="AT276" s="213"/>
      <c r="AU276" s="213"/>
    </row>
    <row r="277" spans="40:47" s="121" customFormat="1" hidden="1">
      <c r="AN277" s="239"/>
      <c r="AO277" s="225"/>
      <c r="AP277" s="260"/>
      <c r="AQ277" s="258"/>
      <c r="AR277" s="258"/>
      <c r="AS277" s="202"/>
      <c r="AT277" s="213"/>
      <c r="AU277" s="213"/>
    </row>
    <row r="278" spans="40:47" s="121" customFormat="1" hidden="1">
      <c r="AN278" s="239"/>
      <c r="AO278" s="225"/>
      <c r="AP278" s="260"/>
      <c r="AQ278" s="258"/>
      <c r="AR278" s="258"/>
      <c r="AS278" s="202"/>
      <c r="AT278" s="213"/>
      <c r="AU278" s="213"/>
    </row>
    <row r="279" spans="40:47" s="121" customFormat="1" hidden="1">
      <c r="AN279" s="239"/>
      <c r="AO279" s="225"/>
      <c r="AP279" s="260"/>
      <c r="AQ279" s="258"/>
      <c r="AR279" s="258"/>
      <c r="AS279" s="202"/>
      <c r="AT279" s="213"/>
      <c r="AU279" s="213"/>
    </row>
    <row r="280" spans="40:47" s="121" customFormat="1" hidden="1">
      <c r="AN280" s="239"/>
      <c r="AO280" s="225"/>
      <c r="AP280" s="260"/>
      <c r="AQ280" s="258"/>
      <c r="AR280" s="258"/>
      <c r="AS280" s="202"/>
      <c r="AT280" s="213"/>
      <c r="AU280" s="213"/>
    </row>
    <row r="281" spans="40:47" s="121" customFormat="1" hidden="1">
      <c r="AN281" s="239"/>
      <c r="AO281" s="225"/>
      <c r="AP281" s="260"/>
      <c r="AQ281" s="258"/>
      <c r="AR281" s="258"/>
      <c r="AS281" s="202"/>
      <c r="AT281" s="213"/>
      <c r="AU281" s="213"/>
    </row>
    <row r="282" spans="40:47" s="121" customFormat="1" hidden="1">
      <c r="AN282" s="239"/>
      <c r="AO282" s="225"/>
      <c r="AP282" s="260"/>
      <c r="AQ282" s="258"/>
      <c r="AR282" s="258"/>
      <c r="AS282" s="202"/>
      <c r="AT282" s="213"/>
      <c r="AU282" s="213"/>
    </row>
    <row r="283" spans="40:47" s="121" customFormat="1" hidden="1">
      <c r="AN283" s="239"/>
      <c r="AO283" s="225"/>
      <c r="AP283" s="260"/>
      <c r="AQ283" s="258"/>
      <c r="AR283" s="258"/>
      <c r="AS283" s="202"/>
      <c r="AT283" s="213"/>
      <c r="AU283" s="213"/>
    </row>
    <row r="284" spans="40:47" s="121" customFormat="1" hidden="1">
      <c r="AN284" s="239"/>
      <c r="AO284" s="225"/>
      <c r="AP284" s="260"/>
      <c r="AQ284" s="258"/>
      <c r="AR284" s="258"/>
      <c r="AS284" s="202"/>
      <c r="AT284" s="213"/>
      <c r="AU284" s="213"/>
    </row>
    <row r="285" spans="40:47" s="121" customFormat="1" hidden="1">
      <c r="AN285" s="239"/>
      <c r="AO285" s="225"/>
      <c r="AP285" s="260"/>
      <c r="AQ285" s="258"/>
      <c r="AR285" s="258"/>
      <c r="AS285" s="202"/>
      <c r="AT285" s="213"/>
      <c r="AU285" s="213"/>
    </row>
    <row r="286" spans="40:47" s="121" customFormat="1" hidden="1">
      <c r="AN286" s="239"/>
      <c r="AO286" s="225"/>
      <c r="AP286" s="260"/>
      <c r="AQ286" s="258"/>
      <c r="AR286" s="258"/>
      <c r="AS286" s="202"/>
      <c r="AT286" s="213"/>
      <c r="AU286" s="213"/>
    </row>
    <row r="287" spans="40:47" s="121" customFormat="1" hidden="1">
      <c r="AN287" s="239"/>
      <c r="AO287" s="225"/>
      <c r="AP287" s="260"/>
      <c r="AQ287" s="258"/>
      <c r="AR287" s="258"/>
      <c r="AS287" s="202"/>
      <c r="AT287" s="213"/>
      <c r="AU287" s="213"/>
    </row>
    <row r="288" spans="40:47" s="121" customFormat="1" hidden="1">
      <c r="AN288" s="239"/>
      <c r="AO288" s="225"/>
      <c r="AP288" s="260"/>
      <c r="AQ288" s="258"/>
      <c r="AR288" s="258"/>
      <c r="AS288" s="202"/>
      <c r="AT288" s="213"/>
      <c r="AU288" s="213"/>
    </row>
    <row r="289" spans="40:47" s="121" customFormat="1" hidden="1">
      <c r="AN289" s="239"/>
      <c r="AO289" s="225"/>
      <c r="AP289" s="260"/>
      <c r="AQ289" s="258"/>
      <c r="AR289" s="258"/>
      <c r="AS289" s="202"/>
      <c r="AT289" s="213"/>
      <c r="AU289" s="213"/>
    </row>
    <row r="290" spans="40:47" s="121" customFormat="1" hidden="1">
      <c r="AN290" s="239"/>
      <c r="AO290" s="225"/>
      <c r="AP290" s="260"/>
      <c r="AQ290" s="258"/>
      <c r="AR290" s="258"/>
      <c r="AS290" s="202"/>
      <c r="AT290" s="213"/>
      <c r="AU290" s="213"/>
    </row>
    <row r="291" spans="40:47" s="121" customFormat="1" hidden="1">
      <c r="AN291" s="239"/>
      <c r="AO291" s="225"/>
      <c r="AP291" s="260"/>
      <c r="AQ291" s="258"/>
      <c r="AR291" s="258"/>
      <c r="AS291" s="202"/>
      <c r="AT291" s="213"/>
      <c r="AU291" s="213"/>
    </row>
    <row r="292" spans="40:47" s="121" customFormat="1" hidden="1">
      <c r="AN292" s="239"/>
      <c r="AO292" s="225"/>
      <c r="AP292" s="260"/>
      <c r="AQ292" s="258"/>
      <c r="AR292" s="258"/>
      <c r="AS292" s="202"/>
      <c r="AT292" s="213"/>
      <c r="AU292" s="213"/>
    </row>
    <row r="293" spans="40:47" s="121" customFormat="1" hidden="1">
      <c r="AN293" s="239"/>
      <c r="AO293" s="225"/>
      <c r="AP293" s="260"/>
      <c r="AQ293" s="258"/>
      <c r="AR293" s="258"/>
      <c r="AS293" s="202"/>
      <c r="AT293" s="213"/>
      <c r="AU293" s="213"/>
    </row>
    <row r="294" spans="40:47" s="121" customFormat="1" hidden="1">
      <c r="AN294" s="239"/>
      <c r="AO294" s="225"/>
      <c r="AP294" s="260"/>
      <c r="AQ294" s="258"/>
      <c r="AR294" s="258"/>
      <c r="AS294" s="202"/>
      <c r="AT294" s="213"/>
      <c r="AU294" s="213"/>
    </row>
    <row r="295" spans="40:47" s="121" customFormat="1" hidden="1">
      <c r="AN295" s="239"/>
      <c r="AO295" s="225"/>
      <c r="AP295" s="260"/>
      <c r="AQ295" s="258"/>
      <c r="AR295" s="258"/>
      <c r="AS295" s="202"/>
      <c r="AT295" s="213"/>
      <c r="AU295" s="213"/>
    </row>
    <row r="296" spans="40:47" s="121" customFormat="1" hidden="1">
      <c r="AN296" s="239"/>
      <c r="AO296" s="225"/>
      <c r="AP296" s="260"/>
      <c r="AQ296" s="258"/>
      <c r="AR296" s="258"/>
      <c r="AS296" s="202"/>
      <c r="AT296" s="213"/>
      <c r="AU296" s="213"/>
    </row>
    <row r="297" spans="40:47" s="121" customFormat="1" hidden="1">
      <c r="AN297" s="239"/>
      <c r="AO297" s="225"/>
      <c r="AP297" s="260"/>
      <c r="AQ297" s="258"/>
      <c r="AR297" s="258"/>
      <c r="AS297" s="202"/>
      <c r="AT297" s="213"/>
      <c r="AU297" s="213"/>
    </row>
    <row r="298" spans="40:47" s="121" customFormat="1" hidden="1">
      <c r="AN298" s="239"/>
      <c r="AO298" s="225"/>
      <c r="AP298" s="260"/>
      <c r="AQ298" s="258"/>
      <c r="AR298" s="258"/>
      <c r="AS298" s="202"/>
      <c r="AT298" s="213"/>
      <c r="AU298" s="213"/>
    </row>
    <row r="299" spans="40:47" s="121" customFormat="1" hidden="1">
      <c r="AN299" s="239"/>
      <c r="AO299" s="225"/>
      <c r="AP299" s="260"/>
      <c r="AQ299" s="258"/>
      <c r="AR299" s="258"/>
      <c r="AS299" s="202"/>
      <c r="AT299" s="213"/>
      <c r="AU299" s="213"/>
    </row>
    <row r="300" spans="40:47" s="121" customFormat="1" hidden="1">
      <c r="AN300" s="239"/>
      <c r="AO300" s="225"/>
      <c r="AP300" s="260"/>
      <c r="AQ300" s="258"/>
      <c r="AR300" s="258"/>
      <c r="AS300" s="202"/>
      <c r="AT300" s="213"/>
      <c r="AU300" s="213"/>
    </row>
    <row r="301" spans="40:47" s="121" customFormat="1" hidden="1">
      <c r="AN301" s="239"/>
      <c r="AO301" s="225"/>
      <c r="AP301" s="260"/>
      <c r="AQ301" s="258"/>
      <c r="AR301" s="258"/>
      <c r="AS301" s="202"/>
      <c r="AT301" s="213"/>
      <c r="AU301" s="213"/>
    </row>
    <row r="302" spans="40:47" s="121" customFormat="1" hidden="1">
      <c r="AN302" s="239"/>
      <c r="AO302" s="225"/>
      <c r="AP302" s="260"/>
      <c r="AQ302" s="258"/>
      <c r="AR302" s="258"/>
      <c r="AS302" s="202"/>
      <c r="AT302" s="213"/>
      <c r="AU302" s="213"/>
    </row>
    <row r="303" spans="40:47" s="121" customFormat="1" hidden="1">
      <c r="AN303" s="239"/>
      <c r="AO303" s="225"/>
      <c r="AP303" s="260"/>
      <c r="AQ303" s="258"/>
      <c r="AR303" s="258"/>
      <c r="AS303" s="202"/>
      <c r="AT303" s="213"/>
      <c r="AU303" s="213"/>
    </row>
    <row r="304" spans="40:47" s="121" customFormat="1" hidden="1">
      <c r="AN304" s="239"/>
      <c r="AO304" s="225"/>
      <c r="AP304" s="260"/>
      <c r="AQ304" s="258"/>
      <c r="AR304" s="258"/>
      <c r="AS304" s="202"/>
      <c r="AT304" s="213"/>
      <c r="AU304" s="213"/>
    </row>
    <row r="305" spans="40:47" s="121" customFormat="1" hidden="1">
      <c r="AN305" s="239"/>
      <c r="AO305" s="225"/>
      <c r="AP305" s="260"/>
      <c r="AQ305" s="258"/>
      <c r="AR305" s="258"/>
      <c r="AS305" s="202"/>
      <c r="AT305" s="213"/>
      <c r="AU305" s="213"/>
    </row>
    <row r="306" spans="40:47" s="121" customFormat="1" hidden="1">
      <c r="AN306" s="239"/>
      <c r="AO306" s="225"/>
      <c r="AP306" s="260"/>
      <c r="AQ306" s="258"/>
      <c r="AR306" s="258"/>
      <c r="AS306" s="202"/>
      <c r="AT306" s="213"/>
      <c r="AU306" s="213"/>
    </row>
    <row r="307" spans="40:47" s="121" customFormat="1" hidden="1">
      <c r="AN307" s="239"/>
      <c r="AO307" s="225"/>
      <c r="AP307" s="260"/>
      <c r="AQ307" s="258"/>
      <c r="AR307" s="258"/>
      <c r="AS307" s="202"/>
      <c r="AT307" s="213"/>
      <c r="AU307" s="213"/>
    </row>
    <row r="308" spans="40:47" s="121" customFormat="1" hidden="1">
      <c r="AN308" s="239"/>
      <c r="AO308" s="225"/>
      <c r="AP308" s="260"/>
      <c r="AQ308" s="258"/>
      <c r="AR308" s="258"/>
      <c r="AS308" s="202"/>
      <c r="AT308" s="213"/>
      <c r="AU308" s="213"/>
    </row>
    <row r="309" spans="40:47" s="121" customFormat="1" hidden="1">
      <c r="AN309" s="239"/>
      <c r="AO309" s="225"/>
      <c r="AP309" s="260"/>
      <c r="AQ309" s="258"/>
      <c r="AR309" s="258"/>
      <c r="AS309" s="202"/>
      <c r="AT309" s="213"/>
      <c r="AU309" s="213"/>
    </row>
    <row r="310" spans="40:47" s="121" customFormat="1" hidden="1">
      <c r="AN310" s="239"/>
      <c r="AO310" s="225"/>
      <c r="AP310" s="260"/>
      <c r="AQ310" s="258"/>
      <c r="AR310" s="258"/>
      <c r="AS310" s="202"/>
      <c r="AT310" s="213"/>
      <c r="AU310" s="213"/>
    </row>
    <row r="311" spans="40:47" s="121" customFormat="1" hidden="1">
      <c r="AN311" s="239"/>
      <c r="AO311" s="225"/>
      <c r="AP311" s="260"/>
      <c r="AQ311" s="258"/>
      <c r="AR311" s="258"/>
      <c r="AS311" s="202"/>
      <c r="AT311" s="213"/>
      <c r="AU311" s="213"/>
    </row>
    <row r="312" spans="40:47" s="121" customFormat="1" hidden="1">
      <c r="AN312" s="239"/>
      <c r="AO312" s="225"/>
      <c r="AP312" s="260"/>
      <c r="AQ312" s="258"/>
      <c r="AR312" s="258"/>
      <c r="AS312" s="202"/>
      <c r="AT312" s="213"/>
      <c r="AU312" s="213"/>
    </row>
    <row r="313" spans="40:47" s="121" customFormat="1" hidden="1">
      <c r="AN313" s="239"/>
      <c r="AO313" s="225"/>
      <c r="AP313" s="260"/>
      <c r="AQ313" s="258"/>
      <c r="AR313" s="258"/>
      <c r="AS313" s="202"/>
      <c r="AT313" s="213"/>
      <c r="AU313" s="213"/>
    </row>
    <row r="314" spans="40:47" s="121" customFormat="1" hidden="1">
      <c r="AN314" s="239"/>
      <c r="AO314" s="225"/>
      <c r="AP314" s="260"/>
      <c r="AQ314" s="258"/>
      <c r="AR314" s="258"/>
      <c r="AS314" s="202"/>
      <c r="AT314" s="213"/>
      <c r="AU314" s="213"/>
    </row>
    <row r="315" spans="40:47" s="121" customFormat="1" hidden="1">
      <c r="AN315" s="239"/>
      <c r="AO315" s="225"/>
      <c r="AP315" s="260"/>
      <c r="AQ315" s="258"/>
      <c r="AR315" s="258"/>
      <c r="AS315" s="202"/>
      <c r="AT315" s="213"/>
      <c r="AU315" s="213"/>
    </row>
    <row r="316" spans="40:47" s="121" customFormat="1" hidden="1">
      <c r="AN316" s="239"/>
      <c r="AO316" s="225"/>
      <c r="AP316" s="260"/>
      <c r="AQ316" s="258"/>
      <c r="AR316" s="258"/>
      <c r="AS316" s="202"/>
      <c r="AT316" s="213"/>
      <c r="AU316" s="213"/>
    </row>
    <row r="317" spans="40:47" s="121" customFormat="1" hidden="1">
      <c r="AN317" s="239"/>
      <c r="AO317" s="225"/>
      <c r="AP317" s="260"/>
      <c r="AQ317" s="258"/>
      <c r="AR317" s="258"/>
      <c r="AS317" s="202"/>
      <c r="AT317" s="213"/>
      <c r="AU317" s="213"/>
    </row>
    <row r="318" spans="40:47" s="121" customFormat="1" hidden="1">
      <c r="AN318" s="239"/>
      <c r="AO318" s="225"/>
      <c r="AP318" s="260"/>
      <c r="AQ318" s="258"/>
      <c r="AR318" s="258"/>
      <c r="AS318" s="202"/>
      <c r="AT318" s="213"/>
      <c r="AU318" s="213"/>
    </row>
    <row r="319" spans="40:47" s="121" customFormat="1" hidden="1">
      <c r="AN319" s="239"/>
      <c r="AO319" s="225"/>
      <c r="AP319" s="260"/>
      <c r="AQ319" s="258"/>
      <c r="AR319" s="258"/>
      <c r="AS319" s="202"/>
      <c r="AT319" s="213"/>
      <c r="AU319" s="213"/>
    </row>
    <row r="320" spans="40:47" s="121" customFormat="1" hidden="1">
      <c r="AN320" s="239"/>
      <c r="AO320" s="225"/>
      <c r="AP320" s="260"/>
      <c r="AQ320" s="258"/>
      <c r="AR320" s="258"/>
      <c r="AS320" s="202"/>
      <c r="AT320" s="213"/>
      <c r="AU320" s="213"/>
    </row>
    <row r="321" spans="40:47" s="121" customFormat="1" hidden="1">
      <c r="AN321" s="239"/>
      <c r="AO321" s="225"/>
      <c r="AP321" s="260"/>
      <c r="AQ321" s="258"/>
      <c r="AR321" s="258"/>
      <c r="AS321" s="202"/>
      <c r="AT321" s="213"/>
      <c r="AU321" s="213"/>
    </row>
    <row r="322" spans="40:47" s="121" customFormat="1" hidden="1">
      <c r="AN322" s="239"/>
      <c r="AO322" s="225"/>
      <c r="AP322" s="260"/>
      <c r="AQ322" s="258"/>
      <c r="AR322" s="258"/>
      <c r="AS322" s="202"/>
      <c r="AT322" s="213"/>
      <c r="AU322" s="213"/>
    </row>
    <row r="323" spans="40:47" s="121" customFormat="1" hidden="1">
      <c r="AN323" s="239"/>
      <c r="AO323" s="225"/>
      <c r="AP323" s="260"/>
      <c r="AQ323" s="258"/>
      <c r="AR323" s="258"/>
      <c r="AS323" s="202"/>
      <c r="AT323" s="213"/>
      <c r="AU323" s="213"/>
    </row>
    <row r="324" spans="40:47" s="121" customFormat="1" hidden="1">
      <c r="AN324" s="239"/>
      <c r="AO324" s="225"/>
      <c r="AP324" s="260"/>
      <c r="AQ324" s="258"/>
      <c r="AR324" s="258"/>
      <c r="AS324" s="202"/>
      <c r="AT324" s="213"/>
      <c r="AU324" s="213"/>
    </row>
    <row r="325" spans="40:47" s="121" customFormat="1" hidden="1">
      <c r="AN325" s="239"/>
      <c r="AO325" s="225"/>
      <c r="AP325" s="260"/>
      <c r="AQ325" s="258"/>
      <c r="AR325" s="258"/>
      <c r="AS325" s="202"/>
      <c r="AT325" s="213"/>
      <c r="AU325" s="213"/>
    </row>
    <row r="326" spans="40:47" s="121" customFormat="1" hidden="1">
      <c r="AN326" s="239"/>
      <c r="AO326" s="225"/>
      <c r="AP326" s="260"/>
      <c r="AQ326" s="258"/>
      <c r="AR326" s="258"/>
      <c r="AS326" s="202"/>
      <c r="AT326" s="213"/>
      <c r="AU326" s="213"/>
    </row>
    <row r="327" spans="40:47" s="121" customFormat="1" hidden="1">
      <c r="AN327" s="239"/>
      <c r="AO327" s="225"/>
      <c r="AP327" s="260"/>
      <c r="AQ327" s="258"/>
      <c r="AR327" s="258"/>
      <c r="AS327" s="202"/>
      <c r="AT327" s="213"/>
      <c r="AU327" s="213"/>
    </row>
    <row r="328" spans="40:47" s="121" customFormat="1" hidden="1">
      <c r="AN328" s="239"/>
      <c r="AO328" s="225"/>
      <c r="AP328" s="260"/>
      <c r="AQ328" s="258"/>
      <c r="AR328" s="258"/>
      <c r="AS328" s="202"/>
      <c r="AT328" s="213"/>
      <c r="AU328" s="213"/>
    </row>
    <row r="329" spans="40:47" s="121" customFormat="1" hidden="1">
      <c r="AN329" s="239"/>
      <c r="AO329" s="225"/>
      <c r="AP329" s="260"/>
      <c r="AQ329" s="258"/>
      <c r="AR329" s="258"/>
      <c r="AS329" s="202"/>
      <c r="AT329" s="213"/>
      <c r="AU329" s="213"/>
    </row>
    <row r="330" spans="40:47" s="121" customFormat="1" hidden="1">
      <c r="AN330" s="239"/>
      <c r="AO330" s="225"/>
      <c r="AP330" s="260"/>
      <c r="AQ330" s="258"/>
      <c r="AR330" s="258"/>
      <c r="AS330" s="202"/>
      <c r="AT330" s="213"/>
      <c r="AU330" s="213"/>
    </row>
    <row r="331" spans="40:47" s="121" customFormat="1" hidden="1">
      <c r="AN331" s="239"/>
      <c r="AO331" s="225"/>
      <c r="AP331" s="260"/>
      <c r="AQ331" s="258"/>
      <c r="AR331" s="258"/>
      <c r="AS331" s="202"/>
      <c r="AT331" s="213"/>
      <c r="AU331" s="213"/>
    </row>
    <row r="332" spans="40:47" s="121" customFormat="1" hidden="1">
      <c r="AN332" s="239"/>
      <c r="AO332" s="225"/>
      <c r="AP332" s="260"/>
      <c r="AQ332" s="258"/>
      <c r="AR332" s="258"/>
      <c r="AS332" s="202"/>
      <c r="AT332" s="213"/>
      <c r="AU332" s="213"/>
    </row>
    <row r="333" spans="40:47" s="121" customFormat="1" hidden="1">
      <c r="AN333" s="239"/>
      <c r="AO333" s="225"/>
      <c r="AP333" s="260"/>
      <c r="AQ333" s="258"/>
      <c r="AR333" s="258"/>
      <c r="AS333" s="202"/>
      <c r="AT333" s="213"/>
      <c r="AU333" s="213"/>
    </row>
    <row r="334" spans="40:47" s="121" customFormat="1" hidden="1">
      <c r="AN334" s="239"/>
      <c r="AO334" s="225"/>
      <c r="AP334" s="260"/>
      <c r="AQ334" s="258"/>
      <c r="AR334" s="258"/>
      <c r="AS334" s="202"/>
      <c r="AT334" s="213"/>
      <c r="AU334" s="213"/>
    </row>
    <row r="335" spans="40:47" s="121" customFormat="1" hidden="1">
      <c r="AN335" s="239"/>
      <c r="AO335" s="225"/>
      <c r="AP335" s="260"/>
      <c r="AQ335" s="258"/>
      <c r="AR335" s="258"/>
      <c r="AS335" s="202"/>
      <c r="AT335" s="213"/>
      <c r="AU335" s="213"/>
    </row>
    <row r="336" spans="40:47" s="121" customFormat="1" hidden="1">
      <c r="AN336" s="239"/>
      <c r="AO336" s="225"/>
      <c r="AP336" s="260"/>
      <c r="AQ336" s="258"/>
      <c r="AR336" s="258"/>
      <c r="AS336" s="202"/>
      <c r="AT336" s="213"/>
      <c r="AU336" s="213"/>
    </row>
    <row r="337" spans="40:47" s="121" customFormat="1" hidden="1">
      <c r="AN337" s="239"/>
      <c r="AO337" s="225"/>
      <c r="AP337" s="260"/>
      <c r="AQ337" s="258"/>
      <c r="AR337" s="258"/>
      <c r="AS337" s="202"/>
      <c r="AT337" s="213"/>
      <c r="AU337" s="213"/>
    </row>
    <row r="338" spans="40:47" s="121" customFormat="1" hidden="1">
      <c r="AN338" s="239"/>
      <c r="AO338" s="225"/>
      <c r="AP338" s="260"/>
      <c r="AQ338" s="258"/>
      <c r="AR338" s="258"/>
      <c r="AS338" s="202"/>
      <c r="AT338" s="213"/>
      <c r="AU338" s="213"/>
    </row>
    <row r="339" spans="40:47" s="121" customFormat="1" hidden="1">
      <c r="AN339" s="239"/>
      <c r="AO339" s="225"/>
      <c r="AP339" s="260"/>
      <c r="AQ339" s="258"/>
      <c r="AR339" s="258"/>
      <c r="AS339" s="202"/>
      <c r="AT339" s="213"/>
      <c r="AU339" s="213"/>
    </row>
    <row r="340" spans="40:47" s="121" customFormat="1" hidden="1">
      <c r="AN340" s="239"/>
      <c r="AO340" s="225"/>
      <c r="AP340" s="260"/>
      <c r="AQ340" s="258"/>
      <c r="AR340" s="258"/>
      <c r="AS340" s="202"/>
      <c r="AT340" s="213"/>
      <c r="AU340" s="213"/>
    </row>
    <row r="341" spans="40:47" s="121" customFormat="1" hidden="1">
      <c r="AN341" s="239"/>
      <c r="AO341" s="225"/>
      <c r="AP341" s="260"/>
      <c r="AQ341" s="258"/>
      <c r="AR341" s="258"/>
      <c r="AS341" s="202"/>
      <c r="AT341" s="213"/>
      <c r="AU341" s="213"/>
    </row>
    <row r="342" spans="40:47" s="121" customFormat="1" hidden="1">
      <c r="AN342" s="239"/>
      <c r="AO342" s="225"/>
      <c r="AP342" s="260"/>
      <c r="AQ342" s="258"/>
      <c r="AR342" s="258"/>
      <c r="AS342" s="202"/>
      <c r="AT342" s="213"/>
      <c r="AU342" s="213"/>
    </row>
    <row r="343" spans="40:47" s="121" customFormat="1" hidden="1">
      <c r="AN343" s="239"/>
      <c r="AO343" s="225"/>
      <c r="AP343" s="260"/>
      <c r="AQ343" s="258"/>
      <c r="AR343" s="258"/>
      <c r="AS343" s="202"/>
      <c r="AT343" s="213"/>
      <c r="AU343" s="213"/>
    </row>
    <row r="344" spans="40:47" s="121" customFormat="1" hidden="1">
      <c r="AN344" s="239"/>
      <c r="AO344" s="225"/>
      <c r="AP344" s="260"/>
      <c r="AQ344" s="258"/>
      <c r="AR344" s="258"/>
      <c r="AS344" s="202"/>
      <c r="AT344" s="213"/>
      <c r="AU344" s="213"/>
    </row>
    <row r="345" spans="40:47" s="121" customFormat="1" hidden="1">
      <c r="AN345" s="239"/>
      <c r="AO345" s="225"/>
      <c r="AP345" s="260"/>
      <c r="AQ345" s="258"/>
      <c r="AR345" s="258"/>
      <c r="AS345" s="202"/>
      <c r="AT345" s="213"/>
      <c r="AU345" s="213"/>
    </row>
    <row r="346" spans="40:47" s="121" customFormat="1" hidden="1">
      <c r="AN346" s="239"/>
      <c r="AO346" s="225"/>
      <c r="AP346" s="260"/>
      <c r="AQ346" s="258"/>
      <c r="AR346" s="258"/>
      <c r="AS346" s="202"/>
      <c r="AT346" s="213"/>
      <c r="AU346" s="213"/>
    </row>
    <row r="347" spans="40:47" s="121" customFormat="1" hidden="1">
      <c r="AN347" s="239"/>
      <c r="AO347" s="225"/>
      <c r="AP347" s="260"/>
      <c r="AQ347" s="258"/>
      <c r="AR347" s="258"/>
      <c r="AS347" s="202"/>
      <c r="AT347" s="213"/>
      <c r="AU347" s="213"/>
    </row>
    <row r="348" spans="40:47" s="121" customFormat="1" hidden="1">
      <c r="AN348" s="239"/>
      <c r="AO348" s="225"/>
      <c r="AP348" s="260"/>
      <c r="AQ348" s="258"/>
      <c r="AR348" s="258"/>
      <c r="AS348" s="202"/>
      <c r="AT348" s="213"/>
      <c r="AU348" s="213"/>
    </row>
    <row r="349" spans="40:47" s="121" customFormat="1" hidden="1">
      <c r="AN349" s="239"/>
      <c r="AO349" s="225"/>
      <c r="AP349" s="260"/>
      <c r="AQ349" s="258"/>
      <c r="AR349" s="258"/>
      <c r="AS349" s="202"/>
      <c r="AT349" s="213"/>
      <c r="AU349" s="213"/>
    </row>
    <row r="350" spans="40:47" s="121" customFormat="1" hidden="1">
      <c r="AN350" s="239"/>
      <c r="AO350" s="225"/>
      <c r="AP350" s="260"/>
      <c r="AQ350" s="258"/>
      <c r="AR350" s="258"/>
      <c r="AS350" s="202"/>
      <c r="AT350" s="213"/>
      <c r="AU350" s="213"/>
    </row>
    <row r="351" spans="40:47" s="121" customFormat="1" hidden="1">
      <c r="AN351" s="239"/>
      <c r="AO351" s="225"/>
      <c r="AP351" s="260"/>
      <c r="AQ351" s="258"/>
      <c r="AR351" s="258"/>
      <c r="AS351" s="202"/>
      <c r="AT351" s="213"/>
      <c r="AU351" s="213"/>
    </row>
    <row r="352" spans="40:47" s="121" customFormat="1" hidden="1">
      <c r="AN352" s="239"/>
      <c r="AO352" s="225"/>
      <c r="AP352" s="260"/>
      <c r="AQ352" s="258"/>
      <c r="AR352" s="258"/>
      <c r="AS352" s="202"/>
      <c r="AT352" s="213"/>
      <c r="AU352" s="213"/>
    </row>
    <row r="353" spans="40:47" s="121" customFormat="1" hidden="1">
      <c r="AN353" s="239"/>
      <c r="AO353" s="225"/>
      <c r="AP353" s="260"/>
      <c r="AQ353" s="258"/>
      <c r="AR353" s="258"/>
      <c r="AS353" s="202"/>
      <c r="AT353" s="213"/>
      <c r="AU353" s="213"/>
    </row>
    <row r="354" spans="40:47" s="121" customFormat="1" hidden="1">
      <c r="AN354" s="239"/>
      <c r="AO354" s="225"/>
      <c r="AP354" s="260"/>
      <c r="AQ354" s="258"/>
      <c r="AR354" s="258"/>
      <c r="AS354" s="202"/>
      <c r="AT354" s="213"/>
      <c r="AU354" s="213"/>
    </row>
    <row r="355" spans="40:47" s="121" customFormat="1" hidden="1">
      <c r="AN355" s="239"/>
      <c r="AO355" s="225"/>
      <c r="AP355" s="260"/>
      <c r="AQ355" s="258"/>
      <c r="AR355" s="258"/>
      <c r="AS355" s="202"/>
      <c r="AT355" s="213"/>
      <c r="AU355" s="213"/>
    </row>
    <row r="356" spans="40:47" s="121" customFormat="1" hidden="1">
      <c r="AN356" s="239"/>
      <c r="AO356" s="225"/>
      <c r="AP356" s="260"/>
      <c r="AQ356" s="258"/>
      <c r="AR356" s="258"/>
      <c r="AS356" s="202"/>
      <c r="AT356" s="213"/>
      <c r="AU356" s="213"/>
    </row>
    <row r="357" spans="40:47" s="121" customFormat="1" hidden="1">
      <c r="AN357" s="239"/>
      <c r="AO357" s="225"/>
      <c r="AP357" s="260"/>
      <c r="AQ357" s="258"/>
      <c r="AR357" s="258"/>
      <c r="AS357" s="202"/>
      <c r="AT357" s="213"/>
      <c r="AU357" s="213"/>
    </row>
    <row r="358" spans="40:47" s="121" customFormat="1" hidden="1">
      <c r="AN358" s="239"/>
      <c r="AO358" s="225"/>
      <c r="AP358" s="260"/>
      <c r="AQ358" s="258"/>
      <c r="AR358" s="258"/>
      <c r="AS358" s="202"/>
      <c r="AT358" s="213"/>
      <c r="AU358" s="213"/>
    </row>
    <row r="359" spans="40:47" s="121" customFormat="1" hidden="1">
      <c r="AN359" s="239"/>
      <c r="AO359" s="225"/>
      <c r="AP359" s="260"/>
      <c r="AQ359" s="258"/>
      <c r="AR359" s="258"/>
      <c r="AS359" s="202"/>
      <c r="AT359" s="213"/>
      <c r="AU359" s="213"/>
    </row>
    <row r="360" spans="40:47" s="121" customFormat="1" hidden="1">
      <c r="AN360" s="239"/>
      <c r="AO360" s="225"/>
      <c r="AP360" s="260"/>
      <c r="AQ360" s="258"/>
      <c r="AR360" s="258"/>
      <c r="AS360" s="202"/>
      <c r="AT360" s="213"/>
      <c r="AU360" s="213"/>
    </row>
    <row r="361" spans="40:47" s="121" customFormat="1" hidden="1">
      <c r="AN361" s="239"/>
      <c r="AO361" s="225"/>
      <c r="AP361" s="260"/>
      <c r="AQ361" s="258"/>
      <c r="AR361" s="258"/>
      <c r="AS361" s="202"/>
      <c r="AT361" s="213"/>
      <c r="AU361" s="213"/>
    </row>
    <row r="362" spans="40:47" s="121" customFormat="1" hidden="1">
      <c r="AN362" s="239"/>
      <c r="AO362" s="225"/>
      <c r="AP362" s="260"/>
      <c r="AQ362" s="258"/>
      <c r="AR362" s="258"/>
      <c r="AS362" s="202"/>
      <c r="AT362" s="213"/>
      <c r="AU362" s="213"/>
    </row>
    <row r="363" spans="40:47" s="121" customFormat="1" hidden="1">
      <c r="AN363" s="239"/>
      <c r="AO363" s="225"/>
      <c r="AP363" s="260"/>
      <c r="AQ363" s="258"/>
      <c r="AR363" s="258"/>
      <c r="AS363" s="202"/>
      <c r="AT363" s="213"/>
      <c r="AU363" s="213"/>
    </row>
    <row r="364" spans="40:47" s="121" customFormat="1" hidden="1">
      <c r="AN364" s="239"/>
      <c r="AO364" s="225"/>
      <c r="AP364" s="260"/>
      <c r="AQ364" s="258"/>
      <c r="AR364" s="258"/>
      <c r="AS364" s="202"/>
      <c r="AT364" s="213"/>
      <c r="AU364" s="213"/>
    </row>
    <row r="365" spans="40:47" s="121" customFormat="1" hidden="1">
      <c r="AN365" s="239"/>
      <c r="AO365" s="225"/>
      <c r="AP365" s="260"/>
      <c r="AQ365" s="258"/>
      <c r="AR365" s="258"/>
      <c r="AS365" s="202"/>
      <c r="AT365" s="213"/>
      <c r="AU365" s="213"/>
    </row>
    <row r="366" spans="40:47" s="121" customFormat="1" hidden="1">
      <c r="AN366" s="239"/>
      <c r="AO366" s="225"/>
      <c r="AP366" s="260"/>
      <c r="AQ366" s="258"/>
      <c r="AR366" s="258"/>
      <c r="AS366" s="202"/>
      <c r="AT366" s="213"/>
      <c r="AU366" s="213"/>
    </row>
    <row r="367" spans="40:47" s="121" customFormat="1" hidden="1">
      <c r="AN367" s="239"/>
      <c r="AO367" s="225"/>
      <c r="AP367" s="260"/>
      <c r="AQ367" s="258"/>
      <c r="AR367" s="258"/>
      <c r="AS367" s="202"/>
      <c r="AT367" s="213"/>
      <c r="AU367" s="213"/>
    </row>
    <row r="368" spans="40:47" s="121" customFormat="1" hidden="1">
      <c r="AN368" s="239"/>
      <c r="AO368" s="225"/>
      <c r="AP368" s="260"/>
      <c r="AQ368" s="258"/>
      <c r="AR368" s="258"/>
      <c r="AS368" s="202"/>
      <c r="AT368" s="213"/>
      <c r="AU368" s="213"/>
    </row>
    <row r="369" spans="40:47" s="121" customFormat="1" hidden="1">
      <c r="AN369" s="239"/>
      <c r="AO369" s="225"/>
      <c r="AP369" s="260"/>
      <c r="AQ369" s="258"/>
      <c r="AR369" s="258"/>
      <c r="AS369" s="202"/>
      <c r="AT369" s="213"/>
      <c r="AU369" s="213"/>
    </row>
    <row r="370" spans="40:47" s="121" customFormat="1" hidden="1">
      <c r="AN370" s="239"/>
      <c r="AO370" s="225"/>
      <c r="AP370" s="260"/>
      <c r="AQ370" s="258"/>
      <c r="AR370" s="258"/>
      <c r="AS370" s="202"/>
      <c r="AT370" s="213"/>
      <c r="AU370" s="213"/>
    </row>
    <row r="371" spans="40:47" s="121" customFormat="1" hidden="1">
      <c r="AN371" s="239"/>
      <c r="AO371" s="225"/>
      <c r="AP371" s="260"/>
      <c r="AQ371" s="258"/>
      <c r="AR371" s="258"/>
      <c r="AS371" s="202"/>
      <c r="AT371" s="213"/>
      <c r="AU371" s="213"/>
    </row>
    <row r="372" spans="40:47" s="121" customFormat="1" hidden="1">
      <c r="AN372" s="239"/>
      <c r="AO372" s="225"/>
      <c r="AP372" s="260"/>
      <c r="AQ372" s="258"/>
      <c r="AR372" s="258"/>
      <c r="AS372" s="202"/>
      <c r="AT372" s="213"/>
      <c r="AU372" s="213"/>
    </row>
    <row r="373" spans="40:47" s="121" customFormat="1" hidden="1">
      <c r="AN373" s="239"/>
      <c r="AO373" s="225"/>
      <c r="AP373" s="260"/>
      <c r="AQ373" s="258"/>
      <c r="AR373" s="258"/>
      <c r="AS373" s="202"/>
      <c r="AT373" s="213"/>
      <c r="AU373" s="213"/>
    </row>
    <row r="374" spans="40:47" s="121" customFormat="1" hidden="1">
      <c r="AN374" s="239"/>
      <c r="AO374" s="225"/>
      <c r="AP374" s="260"/>
      <c r="AQ374" s="258"/>
      <c r="AR374" s="258"/>
      <c r="AS374" s="202"/>
      <c r="AT374" s="213"/>
      <c r="AU374" s="213"/>
    </row>
    <row r="375" spans="40:47" s="121" customFormat="1" hidden="1">
      <c r="AN375" s="239"/>
      <c r="AO375" s="225"/>
      <c r="AP375" s="260"/>
      <c r="AQ375" s="258"/>
      <c r="AR375" s="258"/>
      <c r="AS375" s="202"/>
      <c r="AT375" s="213"/>
      <c r="AU375" s="213"/>
    </row>
    <row r="376" spans="40:47" s="121" customFormat="1" hidden="1">
      <c r="AN376" s="239"/>
      <c r="AO376" s="225"/>
      <c r="AP376" s="260"/>
      <c r="AQ376" s="258"/>
      <c r="AR376" s="258"/>
      <c r="AS376" s="202"/>
      <c r="AT376" s="213"/>
      <c r="AU376" s="213"/>
    </row>
    <row r="377" spans="40:47" s="121" customFormat="1" hidden="1">
      <c r="AN377" s="239"/>
      <c r="AO377" s="225"/>
      <c r="AP377" s="260"/>
      <c r="AQ377" s="258"/>
      <c r="AR377" s="258"/>
      <c r="AS377" s="202"/>
      <c r="AT377" s="213"/>
      <c r="AU377" s="213"/>
    </row>
    <row r="378" spans="40:47" s="121" customFormat="1" hidden="1">
      <c r="AN378" s="239"/>
      <c r="AO378" s="225"/>
      <c r="AP378" s="260"/>
      <c r="AQ378" s="258"/>
      <c r="AR378" s="258"/>
      <c r="AS378" s="202"/>
      <c r="AT378" s="213"/>
      <c r="AU378" s="213"/>
    </row>
    <row r="379" spans="40:47" s="121" customFormat="1" hidden="1">
      <c r="AN379" s="239"/>
      <c r="AO379" s="225"/>
      <c r="AP379" s="260"/>
      <c r="AQ379" s="258"/>
      <c r="AR379" s="258"/>
      <c r="AS379" s="202"/>
      <c r="AT379" s="213"/>
      <c r="AU379" s="213"/>
    </row>
    <row r="380" spans="40:47" s="121" customFormat="1" hidden="1">
      <c r="AN380" s="239"/>
      <c r="AO380" s="225"/>
      <c r="AP380" s="260"/>
      <c r="AQ380" s="258"/>
      <c r="AR380" s="258"/>
      <c r="AS380" s="202"/>
      <c r="AT380" s="213"/>
      <c r="AU380" s="213"/>
    </row>
    <row r="381" spans="40:47" s="121" customFormat="1" hidden="1">
      <c r="AN381" s="239"/>
      <c r="AO381" s="225"/>
      <c r="AP381" s="260"/>
      <c r="AQ381" s="258"/>
      <c r="AR381" s="258"/>
      <c r="AS381" s="202"/>
      <c r="AT381" s="213"/>
      <c r="AU381" s="213"/>
    </row>
    <row r="382" spans="40:47" s="121" customFormat="1" hidden="1">
      <c r="AN382" s="239"/>
      <c r="AO382" s="225"/>
      <c r="AP382" s="260"/>
      <c r="AQ382" s="258"/>
      <c r="AR382" s="258"/>
      <c r="AS382" s="202"/>
      <c r="AT382" s="213"/>
      <c r="AU382" s="213"/>
    </row>
    <row r="383" spans="40:47" s="121" customFormat="1" hidden="1">
      <c r="AN383" s="239"/>
      <c r="AO383" s="225"/>
      <c r="AP383" s="260"/>
      <c r="AQ383" s="258"/>
      <c r="AR383" s="258"/>
      <c r="AS383" s="202"/>
      <c r="AT383" s="213"/>
      <c r="AU383" s="213"/>
    </row>
    <row r="384" spans="40:47" s="121" customFormat="1" hidden="1">
      <c r="AN384" s="239"/>
      <c r="AO384" s="225"/>
      <c r="AP384" s="260"/>
      <c r="AQ384" s="258"/>
      <c r="AR384" s="258"/>
      <c r="AS384" s="202"/>
      <c r="AT384" s="213"/>
      <c r="AU384" s="213"/>
    </row>
    <row r="385" spans="40:47" s="121" customFormat="1" hidden="1">
      <c r="AN385" s="239"/>
      <c r="AO385" s="225"/>
      <c r="AP385" s="260"/>
      <c r="AQ385" s="258"/>
      <c r="AR385" s="258"/>
      <c r="AS385" s="202"/>
      <c r="AT385" s="213"/>
      <c r="AU385" s="213"/>
    </row>
    <row r="386" spans="40:47" s="121" customFormat="1" hidden="1">
      <c r="AN386" s="239"/>
      <c r="AO386" s="225"/>
      <c r="AP386" s="260"/>
      <c r="AQ386" s="258"/>
      <c r="AR386" s="258"/>
      <c r="AS386" s="202"/>
      <c r="AT386" s="213"/>
      <c r="AU386" s="213"/>
    </row>
    <row r="387" spans="40:47" s="121" customFormat="1" hidden="1">
      <c r="AN387" s="239"/>
      <c r="AO387" s="225"/>
      <c r="AP387" s="260"/>
      <c r="AQ387" s="258"/>
      <c r="AR387" s="258"/>
      <c r="AS387" s="202"/>
      <c r="AT387" s="213"/>
      <c r="AU387" s="213"/>
    </row>
    <row r="388" spans="40:47" s="121" customFormat="1" hidden="1">
      <c r="AN388" s="239"/>
      <c r="AO388" s="225"/>
      <c r="AP388" s="260"/>
      <c r="AQ388" s="258"/>
      <c r="AR388" s="258"/>
      <c r="AS388" s="202"/>
      <c r="AT388" s="213"/>
      <c r="AU388" s="213"/>
    </row>
    <row r="389" spans="40:47" s="121" customFormat="1" hidden="1">
      <c r="AN389" s="239"/>
      <c r="AO389" s="225"/>
      <c r="AP389" s="260"/>
      <c r="AQ389" s="258"/>
      <c r="AR389" s="258"/>
      <c r="AS389" s="202"/>
      <c r="AT389" s="213"/>
      <c r="AU389" s="213"/>
    </row>
    <row r="390" spans="40:47" s="121" customFormat="1" hidden="1">
      <c r="AN390" s="239"/>
      <c r="AO390" s="225"/>
      <c r="AP390" s="260"/>
      <c r="AQ390" s="258"/>
      <c r="AR390" s="258"/>
      <c r="AS390" s="202"/>
      <c r="AT390" s="213"/>
      <c r="AU390" s="213"/>
    </row>
    <row r="391" spans="40:47" s="121" customFormat="1" hidden="1">
      <c r="AN391" s="239"/>
      <c r="AO391" s="225"/>
      <c r="AP391" s="260"/>
      <c r="AQ391" s="258"/>
      <c r="AR391" s="258"/>
      <c r="AS391" s="202"/>
      <c r="AT391" s="213"/>
      <c r="AU391" s="213"/>
    </row>
    <row r="392" spans="40:47" s="121" customFormat="1" hidden="1">
      <c r="AN392" s="239"/>
      <c r="AO392" s="225"/>
      <c r="AP392" s="260"/>
      <c r="AQ392" s="258"/>
      <c r="AR392" s="258"/>
      <c r="AS392" s="202"/>
      <c r="AT392" s="213"/>
      <c r="AU392" s="213"/>
    </row>
    <row r="393" spans="40:47" s="121" customFormat="1" hidden="1">
      <c r="AN393" s="239"/>
      <c r="AO393" s="225"/>
      <c r="AP393" s="260"/>
      <c r="AQ393" s="258"/>
      <c r="AR393" s="258"/>
      <c r="AS393" s="202"/>
      <c r="AT393" s="213"/>
      <c r="AU393" s="213"/>
    </row>
    <row r="394" spans="40:47" s="121" customFormat="1" hidden="1">
      <c r="AN394" s="239"/>
      <c r="AO394" s="225"/>
      <c r="AP394" s="260"/>
      <c r="AQ394" s="258"/>
      <c r="AR394" s="258"/>
      <c r="AS394" s="202"/>
      <c r="AT394" s="213"/>
      <c r="AU394" s="213"/>
    </row>
    <row r="395" spans="40:47" s="121" customFormat="1" hidden="1">
      <c r="AN395" s="239"/>
      <c r="AO395" s="225"/>
      <c r="AP395" s="260"/>
      <c r="AQ395" s="258"/>
      <c r="AR395" s="258"/>
      <c r="AS395" s="202"/>
      <c r="AT395" s="213"/>
      <c r="AU395" s="213"/>
    </row>
    <row r="396" spans="40:47" s="121" customFormat="1" hidden="1">
      <c r="AN396" s="239"/>
      <c r="AO396" s="225"/>
      <c r="AP396" s="260"/>
      <c r="AQ396" s="258"/>
      <c r="AR396" s="258"/>
      <c r="AS396" s="202"/>
      <c r="AT396" s="213"/>
      <c r="AU396" s="213"/>
    </row>
    <row r="397" spans="40:47" s="121" customFormat="1" hidden="1">
      <c r="AN397" s="239"/>
      <c r="AO397" s="225"/>
      <c r="AP397" s="260"/>
      <c r="AQ397" s="258"/>
      <c r="AR397" s="258"/>
      <c r="AS397" s="202"/>
      <c r="AT397" s="213"/>
      <c r="AU397" s="213"/>
    </row>
    <row r="398" spans="40:47" s="121" customFormat="1" hidden="1">
      <c r="AN398" s="239"/>
      <c r="AO398" s="225"/>
      <c r="AP398" s="260"/>
      <c r="AQ398" s="258"/>
      <c r="AR398" s="258"/>
      <c r="AS398" s="202"/>
      <c r="AT398" s="213"/>
      <c r="AU398" s="213"/>
    </row>
    <row r="399" spans="40:47" s="121" customFormat="1" hidden="1">
      <c r="AN399" s="239"/>
      <c r="AO399" s="225"/>
      <c r="AP399" s="260"/>
      <c r="AQ399" s="258"/>
      <c r="AR399" s="258"/>
      <c r="AS399" s="202"/>
      <c r="AT399" s="213"/>
      <c r="AU399" s="213"/>
    </row>
    <row r="400" spans="40:47" s="121" customFormat="1" hidden="1">
      <c r="AN400" s="239"/>
      <c r="AO400" s="225"/>
      <c r="AP400" s="260"/>
      <c r="AQ400" s="258"/>
      <c r="AR400" s="258"/>
      <c r="AS400" s="202"/>
      <c r="AT400" s="213"/>
      <c r="AU400" s="213"/>
    </row>
    <row r="401" spans="40:47" s="121" customFormat="1" hidden="1">
      <c r="AN401" s="239"/>
      <c r="AO401" s="225"/>
      <c r="AP401" s="260"/>
      <c r="AQ401" s="258"/>
      <c r="AR401" s="258"/>
      <c r="AS401" s="202"/>
      <c r="AT401" s="213"/>
      <c r="AU401" s="213"/>
    </row>
    <row r="402" spans="40:47" s="121" customFormat="1" hidden="1">
      <c r="AN402" s="239"/>
      <c r="AO402" s="225"/>
      <c r="AP402" s="260"/>
      <c r="AQ402" s="258"/>
      <c r="AR402" s="258"/>
      <c r="AS402" s="202"/>
      <c r="AT402" s="213"/>
      <c r="AU402" s="213"/>
    </row>
    <row r="403" spans="40:47" s="121" customFormat="1" hidden="1">
      <c r="AN403" s="239"/>
      <c r="AO403" s="225"/>
      <c r="AP403" s="260"/>
      <c r="AQ403" s="258"/>
      <c r="AR403" s="258"/>
      <c r="AS403" s="202"/>
      <c r="AT403" s="213"/>
      <c r="AU403" s="213"/>
    </row>
    <row r="404" spans="40:47" s="121" customFormat="1" hidden="1">
      <c r="AN404" s="239"/>
      <c r="AO404" s="225"/>
      <c r="AP404" s="260"/>
      <c r="AQ404" s="258"/>
      <c r="AR404" s="258"/>
      <c r="AS404" s="202"/>
      <c r="AT404" s="213"/>
      <c r="AU404" s="213"/>
    </row>
    <row r="405" spans="40:47" s="121" customFormat="1" hidden="1">
      <c r="AN405" s="239"/>
      <c r="AO405" s="225"/>
      <c r="AP405" s="260"/>
      <c r="AQ405" s="258"/>
      <c r="AR405" s="258"/>
      <c r="AS405" s="202"/>
      <c r="AT405" s="213"/>
      <c r="AU405" s="213"/>
    </row>
    <row r="406" spans="40:47" s="121" customFormat="1" hidden="1">
      <c r="AN406" s="239"/>
      <c r="AO406" s="225"/>
      <c r="AP406" s="260"/>
      <c r="AQ406" s="258"/>
      <c r="AR406" s="258"/>
      <c r="AS406" s="202"/>
      <c r="AT406" s="213"/>
      <c r="AU406" s="213"/>
    </row>
    <row r="407" spans="40:47" s="121" customFormat="1" hidden="1">
      <c r="AN407" s="239"/>
      <c r="AO407" s="225"/>
      <c r="AP407" s="260"/>
      <c r="AQ407" s="258"/>
      <c r="AR407" s="258"/>
      <c r="AS407" s="202"/>
      <c r="AT407" s="213"/>
      <c r="AU407" s="213"/>
    </row>
    <row r="408" spans="40:47" s="121" customFormat="1" hidden="1">
      <c r="AN408" s="239"/>
      <c r="AO408" s="225"/>
      <c r="AP408" s="260"/>
      <c r="AQ408" s="258"/>
      <c r="AR408" s="258"/>
      <c r="AS408" s="202"/>
      <c r="AT408" s="213"/>
      <c r="AU408" s="213"/>
    </row>
    <row r="409" spans="40:47" s="121" customFormat="1" hidden="1">
      <c r="AN409" s="239"/>
      <c r="AO409" s="225"/>
      <c r="AP409" s="260"/>
      <c r="AQ409" s="258"/>
      <c r="AR409" s="258"/>
      <c r="AS409" s="202"/>
      <c r="AT409" s="213"/>
      <c r="AU409" s="213"/>
    </row>
    <row r="410" spans="40:47" s="121" customFormat="1" hidden="1">
      <c r="AN410" s="239"/>
      <c r="AO410" s="225"/>
      <c r="AP410" s="260"/>
      <c r="AQ410" s="258"/>
      <c r="AR410" s="258"/>
      <c r="AS410" s="202"/>
      <c r="AT410" s="213"/>
      <c r="AU410" s="213"/>
    </row>
    <row r="411" spans="40:47" s="121" customFormat="1" hidden="1">
      <c r="AN411" s="239"/>
      <c r="AO411" s="225"/>
      <c r="AP411" s="260"/>
      <c r="AQ411" s="258"/>
      <c r="AR411" s="258"/>
      <c r="AS411" s="202"/>
      <c r="AT411" s="213"/>
      <c r="AU411" s="213"/>
    </row>
    <row r="412" spans="40:47" s="121" customFormat="1" hidden="1">
      <c r="AN412" s="239"/>
      <c r="AO412" s="225"/>
      <c r="AP412" s="260"/>
      <c r="AQ412" s="258"/>
      <c r="AR412" s="258"/>
      <c r="AS412" s="202"/>
      <c r="AT412" s="213"/>
      <c r="AU412" s="213"/>
    </row>
    <row r="413" spans="40:47" s="121" customFormat="1" hidden="1">
      <c r="AN413" s="239"/>
      <c r="AO413" s="225"/>
      <c r="AP413" s="260"/>
      <c r="AQ413" s="258"/>
      <c r="AR413" s="258"/>
      <c r="AS413" s="202"/>
      <c r="AT413" s="213"/>
      <c r="AU413" s="213"/>
    </row>
    <row r="414" spans="40:47" s="121" customFormat="1" hidden="1">
      <c r="AN414" s="239"/>
      <c r="AO414" s="225"/>
      <c r="AP414" s="260"/>
      <c r="AQ414" s="258"/>
      <c r="AR414" s="258"/>
      <c r="AS414" s="202"/>
      <c r="AT414" s="213"/>
      <c r="AU414" s="213"/>
    </row>
    <row r="415" spans="40:47" s="121" customFormat="1" hidden="1">
      <c r="AN415" s="239"/>
      <c r="AO415" s="225"/>
      <c r="AP415" s="260"/>
      <c r="AQ415" s="258"/>
      <c r="AR415" s="258"/>
      <c r="AS415" s="202"/>
      <c r="AT415" s="213"/>
      <c r="AU415" s="213"/>
    </row>
    <row r="416" spans="40:47" s="121" customFormat="1" hidden="1">
      <c r="AN416" s="239"/>
      <c r="AO416" s="225"/>
      <c r="AP416" s="260"/>
      <c r="AQ416" s="258"/>
      <c r="AR416" s="258"/>
      <c r="AS416" s="202"/>
      <c r="AT416" s="213"/>
      <c r="AU416" s="213"/>
    </row>
    <row r="417" spans="40:47" s="121" customFormat="1" hidden="1">
      <c r="AN417" s="239"/>
      <c r="AO417" s="225"/>
      <c r="AP417" s="260"/>
      <c r="AQ417" s="258"/>
      <c r="AR417" s="258"/>
      <c r="AS417" s="202"/>
      <c r="AT417" s="213"/>
      <c r="AU417" s="213"/>
    </row>
    <row r="418" spans="40:47" s="121" customFormat="1" hidden="1">
      <c r="AN418" s="239"/>
      <c r="AO418" s="225"/>
      <c r="AP418" s="260"/>
      <c r="AQ418" s="258"/>
      <c r="AR418" s="258"/>
      <c r="AS418" s="202"/>
      <c r="AT418" s="213"/>
      <c r="AU418" s="213"/>
    </row>
    <row r="419" spans="40:47" s="121" customFormat="1" hidden="1">
      <c r="AN419" s="239"/>
      <c r="AO419" s="225"/>
      <c r="AP419" s="260"/>
      <c r="AQ419" s="258"/>
      <c r="AR419" s="258"/>
      <c r="AS419" s="202"/>
      <c r="AT419" s="213"/>
      <c r="AU419" s="213"/>
    </row>
    <row r="420" spans="40:47" s="121" customFormat="1" hidden="1">
      <c r="AN420" s="239"/>
      <c r="AO420" s="225"/>
      <c r="AP420" s="260"/>
      <c r="AQ420" s="258"/>
      <c r="AR420" s="258"/>
      <c r="AS420" s="202"/>
      <c r="AT420" s="213"/>
      <c r="AU420" s="213"/>
    </row>
    <row r="421" spans="40:47" s="121" customFormat="1" hidden="1">
      <c r="AN421" s="239"/>
      <c r="AO421" s="225"/>
      <c r="AP421" s="260"/>
      <c r="AQ421" s="258"/>
      <c r="AR421" s="258"/>
      <c r="AS421" s="202"/>
      <c r="AT421" s="213"/>
      <c r="AU421" s="213"/>
    </row>
    <row r="422" spans="40:47" s="121" customFormat="1" hidden="1">
      <c r="AN422" s="239"/>
      <c r="AO422" s="225"/>
      <c r="AP422" s="260"/>
      <c r="AQ422" s="258"/>
      <c r="AR422" s="258"/>
      <c r="AS422" s="202"/>
      <c r="AT422" s="213"/>
      <c r="AU422" s="213"/>
    </row>
    <row r="423" spans="40:47" s="121" customFormat="1" hidden="1">
      <c r="AN423" s="239"/>
      <c r="AO423" s="225"/>
      <c r="AP423" s="260"/>
      <c r="AQ423" s="258"/>
      <c r="AR423" s="258"/>
      <c r="AS423" s="202"/>
      <c r="AT423" s="213"/>
      <c r="AU423" s="213"/>
    </row>
    <row r="424" spans="40:47" s="121" customFormat="1" hidden="1">
      <c r="AN424" s="239"/>
      <c r="AO424" s="225"/>
      <c r="AP424" s="260"/>
      <c r="AQ424" s="258"/>
      <c r="AR424" s="258"/>
      <c r="AS424" s="202"/>
      <c r="AT424" s="213"/>
      <c r="AU424" s="213"/>
    </row>
    <row r="425" spans="40:47" s="121" customFormat="1" hidden="1">
      <c r="AN425" s="239"/>
      <c r="AO425" s="225"/>
      <c r="AP425" s="260"/>
      <c r="AQ425" s="258"/>
      <c r="AR425" s="258"/>
      <c r="AS425" s="202"/>
      <c r="AT425" s="213"/>
      <c r="AU425" s="213"/>
    </row>
    <row r="426" spans="40:47" s="121" customFormat="1" hidden="1">
      <c r="AN426" s="239"/>
      <c r="AO426" s="225"/>
      <c r="AP426" s="260"/>
      <c r="AQ426" s="258"/>
      <c r="AR426" s="258"/>
      <c r="AS426" s="202"/>
      <c r="AT426" s="213"/>
      <c r="AU426" s="213"/>
    </row>
    <row r="427" spans="40:47" s="121" customFormat="1" hidden="1">
      <c r="AN427" s="239"/>
      <c r="AO427" s="225"/>
      <c r="AP427" s="260"/>
      <c r="AQ427" s="258"/>
      <c r="AR427" s="258"/>
      <c r="AS427" s="202"/>
      <c r="AT427" s="213"/>
      <c r="AU427" s="213"/>
    </row>
    <row r="428" spans="40:47" s="121" customFormat="1" hidden="1">
      <c r="AN428" s="239"/>
      <c r="AO428" s="225"/>
      <c r="AP428" s="260"/>
      <c r="AQ428" s="258"/>
      <c r="AR428" s="258"/>
      <c r="AS428" s="202"/>
      <c r="AT428" s="213"/>
      <c r="AU428" s="213"/>
    </row>
    <row r="429" spans="40:47" s="121" customFormat="1" hidden="1">
      <c r="AN429" s="239"/>
      <c r="AO429" s="225"/>
      <c r="AP429" s="260"/>
      <c r="AQ429" s="258"/>
      <c r="AR429" s="258"/>
      <c r="AS429" s="202"/>
      <c r="AT429" s="213"/>
      <c r="AU429" s="213"/>
    </row>
    <row r="430" spans="40:47" s="121" customFormat="1" hidden="1">
      <c r="AN430" s="239"/>
      <c r="AO430" s="225"/>
      <c r="AP430" s="260"/>
      <c r="AQ430" s="258"/>
      <c r="AR430" s="258"/>
      <c r="AS430" s="202"/>
      <c r="AT430" s="213"/>
      <c r="AU430" s="213"/>
    </row>
    <row r="431" spans="40:47" s="121" customFormat="1" hidden="1">
      <c r="AN431" s="239"/>
      <c r="AO431" s="225"/>
      <c r="AP431" s="260"/>
      <c r="AQ431" s="258"/>
      <c r="AR431" s="258"/>
      <c r="AS431" s="202"/>
      <c r="AT431" s="213"/>
      <c r="AU431" s="213"/>
    </row>
    <row r="432" spans="40:47" s="121" customFormat="1" hidden="1">
      <c r="AN432" s="239"/>
      <c r="AO432" s="225"/>
      <c r="AP432" s="260"/>
      <c r="AQ432" s="258"/>
      <c r="AR432" s="258"/>
      <c r="AS432" s="202"/>
      <c r="AT432" s="213"/>
      <c r="AU432" s="213"/>
    </row>
    <row r="433" spans="40:47" s="121" customFormat="1" hidden="1">
      <c r="AN433" s="239"/>
      <c r="AO433" s="225"/>
      <c r="AP433" s="260"/>
      <c r="AQ433" s="258"/>
      <c r="AR433" s="258"/>
      <c r="AS433" s="202"/>
      <c r="AT433" s="213"/>
      <c r="AU433" s="213"/>
    </row>
    <row r="434" spans="40:47" s="121" customFormat="1" hidden="1">
      <c r="AN434" s="239"/>
      <c r="AO434" s="225"/>
      <c r="AP434" s="260"/>
      <c r="AQ434" s="258"/>
      <c r="AR434" s="258"/>
      <c r="AS434" s="202"/>
      <c r="AT434" s="213"/>
      <c r="AU434" s="213"/>
    </row>
    <row r="435" spans="40:47" s="121" customFormat="1" hidden="1">
      <c r="AN435" s="239"/>
      <c r="AO435" s="225"/>
      <c r="AP435" s="260"/>
      <c r="AQ435" s="258"/>
      <c r="AR435" s="258"/>
      <c r="AS435" s="202"/>
      <c r="AT435" s="213"/>
      <c r="AU435" s="213"/>
    </row>
    <row r="436" spans="40:47" s="121" customFormat="1" hidden="1">
      <c r="AN436" s="239"/>
      <c r="AO436" s="225"/>
      <c r="AP436" s="260"/>
      <c r="AQ436" s="258"/>
      <c r="AR436" s="258"/>
      <c r="AS436" s="202"/>
      <c r="AT436" s="213"/>
      <c r="AU436" s="213"/>
    </row>
    <row r="437" spans="40:47" s="121" customFormat="1" hidden="1">
      <c r="AN437" s="239"/>
      <c r="AO437" s="225"/>
      <c r="AP437" s="260"/>
      <c r="AQ437" s="258"/>
      <c r="AR437" s="258"/>
      <c r="AS437" s="202"/>
      <c r="AT437" s="213"/>
      <c r="AU437" s="213"/>
    </row>
    <row r="438" spans="40:47" s="121" customFormat="1" hidden="1">
      <c r="AN438" s="239"/>
      <c r="AO438" s="225"/>
      <c r="AP438" s="260"/>
      <c r="AQ438" s="258"/>
      <c r="AR438" s="258"/>
      <c r="AS438" s="202"/>
      <c r="AT438" s="213"/>
      <c r="AU438" s="213"/>
    </row>
    <row r="439" spans="40:47" s="121" customFormat="1" hidden="1">
      <c r="AN439" s="239"/>
      <c r="AO439" s="225"/>
      <c r="AP439" s="260"/>
      <c r="AQ439" s="258"/>
      <c r="AR439" s="258"/>
      <c r="AS439" s="202"/>
      <c r="AT439" s="213"/>
      <c r="AU439" s="213"/>
    </row>
    <row r="440" spans="40:47" s="121" customFormat="1" hidden="1">
      <c r="AN440" s="239"/>
      <c r="AO440" s="225"/>
      <c r="AP440" s="260"/>
      <c r="AQ440" s="258"/>
      <c r="AR440" s="258"/>
      <c r="AS440" s="202"/>
      <c r="AT440" s="213"/>
      <c r="AU440" s="213"/>
    </row>
    <row r="441" spans="40:47" s="121" customFormat="1" hidden="1">
      <c r="AN441" s="239"/>
      <c r="AO441" s="225"/>
      <c r="AP441" s="260"/>
      <c r="AQ441" s="258"/>
      <c r="AR441" s="258"/>
      <c r="AS441" s="202"/>
      <c r="AT441" s="213"/>
      <c r="AU441" s="213"/>
    </row>
    <row r="442" spans="40:47" s="121" customFormat="1" hidden="1">
      <c r="AN442" s="239"/>
      <c r="AO442" s="225"/>
      <c r="AP442" s="260"/>
      <c r="AQ442" s="258"/>
      <c r="AR442" s="258"/>
      <c r="AS442" s="202"/>
      <c r="AT442" s="213"/>
      <c r="AU442" s="213"/>
    </row>
    <row r="443" spans="40:47" s="121" customFormat="1" hidden="1">
      <c r="AN443" s="239"/>
      <c r="AO443" s="225"/>
      <c r="AP443" s="260"/>
      <c r="AQ443" s="258"/>
      <c r="AR443" s="258"/>
      <c r="AS443" s="202"/>
      <c r="AT443" s="213"/>
      <c r="AU443" s="213"/>
    </row>
    <row r="444" spans="40:47" s="121" customFormat="1" hidden="1">
      <c r="AN444" s="239"/>
      <c r="AO444" s="225"/>
      <c r="AP444" s="260"/>
      <c r="AQ444" s="258"/>
      <c r="AR444" s="258"/>
      <c r="AS444" s="202"/>
      <c r="AT444" s="213"/>
      <c r="AU444" s="213"/>
    </row>
    <row r="445" spans="40:47" s="121" customFormat="1" hidden="1">
      <c r="AN445" s="239"/>
      <c r="AO445" s="225"/>
      <c r="AP445" s="260"/>
      <c r="AQ445" s="258"/>
      <c r="AR445" s="258"/>
      <c r="AS445" s="202"/>
      <c r="AT445" s="213"/>
      <c r="AU445" s="213"/>
    </row>
    <row r="446" spans="40:47" s="121" customFormat="1" hidden="1">
      <c r="AN446" s="239"/>
      <c r="AO446" s="225"/>
      <c r="AP446" s="260"/>
      <c r="AQ446" s="258"/>
      <c r="AR446" s="258"/>
      <c r="AS446" s="202"/>
      <c r="AT446" s="213"/>
      <c r="AU446" s="213"/>
    </row>
    <row r="447" spans="40:47" s="121" customFormat="1" hidden="1">
      <c r="AN447" s="239"/>
      <c r="AO447" s="225"/>
      <c r="AP447" s="260"/>
      <c r="AQ447" s="258"/>
      <c r="AR447" s="258"/>
      <c r="AS447" s="202"/>
      <c r="AT447" s="213"/>
      <c r="AU447" s="213"/>
    </row>
    <row r="448" spans="40:47" s="121" customFormat="1" hidden="1">
      <c r="AN448" s="239"/>
      <c r="AO448" s="225"/>
      <c r="AP448" s="260"/>
      <c r="AQ448" s="258"/>
      <c r="AR448" s="258"/>
      <c r="AS448" s="202"/>
      <c r="AT448" s="213"/>
      <c r="AU448" s="213"/>
    </row>
    <row r="449" spans="40:47" s="121" customFormat="1" hidden="1">
      <c r="AN449" s="239"/>
      <c r="AO449" s="225"/>
      <c r="AP449" s="260"/>
      <c r="AQ449" s="258"/>
      <c r="AR449" s="258"/>
      <c r="AS449" s="202"/>
      <c r="AT449" s="213"/>
      <c r="AU449" s="213"/>
    </row>
    <row r="450" spans="40:47" s="121" customFormat="1" hidden="1">
      <c r="AN450" s="239"/>
      <c r="AO450" s="225"/>
      <c r="AP450" s="260"/>
      <c r="AQ450" s="258"/>
      <c r="AR450" s="258"/>
      <c r="AS450" s="202"/>
      <c r="AT450" s="213"/>
      <c r="AU450" s="213"/>
    </row>
    <row r="451" spans="40:47" s="121" customFormat="1" hidden="1">
      <c r="AN451" s="239"/>
      <c r="AO451" s="225"/>
      <c r="AP451" s="260"/>
      <c r="AQ451" s="258"/>
      <c r="AR451" s="258"/>
      <c r="AS451" s="202"/>
      <c r="AT451" s="213"/>
      <c r="AU451" s="213"/>
    </row>
    <row r="452" spans="40:47" s="121" customFormat="1" hidden="1">
      <c r="AN452" s="239"/>
      <c r="AO452" s="225"/>
      <c r="AP452" s="260"/>
      <c r="AQ452" s="258"/>
      <c r="AR452" s="258"/>
      <c r="AS452" s="202"/>
      <c r="AT452" s="213"/>
      <c r="AU452" s="213"/>
    </row>
    <row r="453" spans="40:47" s="121" customFormat="1" hidden="1">
      <c r="AN453" s="239"/>
      <c r="AO453" s="225"/>
      <c r="AP453" s="260"/>
      <c r="AQ453" s="258"/>
      <c r="AR453" s="258"/>
      <c r="AS453" s="202"/>
      <c r="AT453" s="213"/>
      <c r="AU453" s="213"/>
    </row>
    <row r="454" spans="40:47" s="121" customFormat="1" hidden="1">
      <c r="AN454" s="239"/>
      <c r="AO454" s="225"/>
      <c r="AP454" s="260"/>
      <c r="AQ454" s="258"/>
      <c r="AR454" s="258"/>
      <c r="AS454" s="202"/>
      <c r="AT454" s="213"/>
      <c r="AU454" s="213"/>
    </row>
    <row r="455" spans="40:47" s="121" customFormat="1" hidden="1">
      <c r="AN455" s="239"/>
      <c r="AO455" s="225"/>
      <c r="AP455" s="260"/>
      <c r="AQ455" s="258"/>
      <c r="AR455" s="258"/>
      <c r="AS455" s="202"/>
      <c r="AT455" s="213"/>
      <c r="AU455" s="213"/>
    </row>
    <row r="456" spans="40:47" s="121" customFormat="1" hidden="1">
      <c r="AN456" s="239"/>
      <c r="AO456" s="225"/>
      <c r="AP456" s="260"/>
      <c r="AQ456" s="258"/>
      <c r="AR456" s="258"/>
      <c r="AS456" s="202"/>
      <c r="AT456" s="213"/>
      <c r="AU456" s="213"/>
    </row>
    <row r="457" spans="40:47" s="121" customFormat="1" hidden="1">
      <c r="AN457" s="239"/>
      <c r="AO457" s="225"/>
      <c r="AP457" s="260"/>
      <c r="AQ457" s="258"/>
      <c r="AR457" s="258"/>
      <c r="AS457" s="202"/>
      <c r="AT457" s="213"/>
      <c r="AU457" s="213"/>
    </row>
    <row r="458" spans="40:47" s="121" customFormat="1" hidden="1">
      <c r="AN458" s="239"/>
      <c r="AO458" s="225"/>
      <c r="AP458" s="260"/>
      <c r="AQ458" s="258"/>
      <c r="AR458" s="258"/>
      <c r="AS458" s="202"/>
      <c r="AT458" s="213"/>
      <c r="AU458" s="213"/>
    </row>
    <row r="459" spans="40:47" s="121" customFormat="1" hidden="1">
      <c r="AN459" s="239"/>
      <c r="AO459" s="225"/>
      <c r="AP459" s="260"/>
      <c r="AQ459" s="258"/>
      <c r="AR459" s="258"/>
      <c r="AS459" s="202"/>
      <c r="AT459" s="213"/>
      <c r="AU459" s="213"/>
    </row>
    <row r="460" spans="40:47" s="121" customFormat="1" hidden="1">
      <c r="AN460" s="239"/>
      <c r="AO460" s="225"/>
      <c r="AP460" s="260"/>
      <c r="AQ460" s="258"/>
      <c r="AR460" s="258"/>
      <c r="AS460" s="202"/>
      <c r="AT460" s="213"/>
      <c r="AU460" s="213"/>
    </row>
    <row r="461" spans="40:47" s="121" customFormat="1" hidden="1">
      <c r="AN461" s="239"/>
      <c r="AO461" s="225"/>
      <c r="AP461" s="260"/>
      <c r="AQ461" s="258"/>
      <c r="AR461" s="258"/>
      <c r="AS461" s="202"/>
      <c r="AT461" s="213"/>
      <c r="AU461" s="213"/>
    </row>
    <row r="462" spans="40:47" s="121" customFormat="1" hidden="1">
      <c r="AN462" s="239"/>
      <c r="AO462" s="225"/>
      <c r="AP462" s="260"/>
      <c r="AQ462" s="258"/>
      <c r="AR462" s="258"/>
      <c r="AS462" s="202"/>
      <c r="AT462" s="213"/>
      <c r="AU462" s="213"/>
    </row>
    <row r="463" spans="40:47" s="121" customFormat="1" hidden="1">
      <c r="AN463" s="239"/>
      <c r="AO463" s="225"/>
      <c r="AP463" s="260"/>
      <c r="AQ463" s="258"/>
      <c r="AR463" s="258"/>
      <c r="AS463" s="202"/>
      <c r="AT463" s="213"/>
      <c r="AU463" s="213"/>
    </row>
    <row r="464" spans="40:47" s="121" customFormat="1" hidden="1">
      <c r="AN464" s="239"/>
      <c r="AO464" s="225"/>
      <c r="AP464" s="260"/>
      <c r="AQ464" s="258"/>
      <c r="AR464" s="258"/>
      <c r="AS464" s="202"/>
      <c r="AT464" s="213"/>
      <c r="AU464" s="213"/>
    </row>
    <row r="465" spans="40:47" s="121" customFormat="1" hidden="1">
      <c r="AN465" s="239"/>
      <c r="AO465" s="225"/>
      <c r="AP465" s="260"/>
      <c r="AQ465" s="258"/>
      <c r="AR465" s="258"/>
      <c r="AS465" s="202"/>
      <c r="AT465" s="213"/>
      <c r="AU465" s="213"/>
    </row>
    <row r="466" spans="40:47" s="121" customFormat="1" hidden="1">
      <c r="AN466" s="239"/>
      <c r="AO466" s="225"/>
      <c r="AP466" s="260"/>
      <c r="AQ466" s="258"/>
      <c r="AR466" s="258"/>
      <c r="AS466" s="202"/>
      <c r="AT466" s="213"/>
      <c r="AU466" s="213"/>
    </row>
    <row r="467" spans="40:47" s="121" customFormat="1" hidden="1">
      <c r="AN467" s="239"/>
      <c r="AO467" s="225"/>
      <c r="AP467" s="260"/>
      <c r="AQ467" s="258"/>
      <c r="AR467" s="258"/>
      <c r="AS467" s="202"/>
      <c r="AT467" s="213"/>
      <c r="AU467" s="213"/>
    </row>
    <row r="468" spans="40:47" s="121" customFormat="1" hidden="1">
      <c r="AN468" s="239"/>
      <c r="AO468" s="225"/>
      <c r="AP468" s="260"/>
      <c r="AQ468" s="258"/>
      <c r="AR468" s="258"/>
      <c r="AS468" s="202"/>
      <c r="AT468" s="213"/>
      <c r="AU468" s="213"/>
    </row>
    <row r="469" spans="40:47" s="121" customFormat="1" hidden="1">
      <c r="AN469" s="239"/>
      <c r="AO469" s="225"/>
      <c r="AP469" s="260"/>
      <c r="AQ469" s="258"/>
      <c r="AR469" s="258"/>
      <c r="AS469" s="202"/>
      <c r="AT469" s="213"/>
      <c r="AU469" s="213"/>
    </row>
    <row r="470" spans="40:47" s="121" customFormat="1" hidden="1">
      <c r="AN470" s="239"/>
      <c r="AO470" s="225"/>
      <c r="AP470" s="260"/>
      <c r="AQ470" s="258"/>
      <c r="AR470" s="258"/>
      <c r="AS470" s="202"/>
      <c r="AT470" s="213"/>
      <c r="AU470" s="213"/>
    </row>
    <row r="471" spans="40:47" s="121" customFormat="1" hidden="1">
      <c r="AN471" s="239"/>
      <c r="AO471" s="225"/>
      <c r="AP471" s="260"/>
      <c r="AQ471" s="258"/>
      <c r="AR471" s="258"/>
      <c r="AS471" s="202"/>
      <c r="AT471" s="213"/>
      <c r="AU471" s="213"/>
    </row>
    <row r="472" spans="40:47" s="121" customFormat="1" hidden="1">
      <c r="AN472" s="239"/>
      <c r="AO472" s="225"/>
      <c r="AP472" s="260"/>
      <c r="AQ472" s="258"/>
      <c r="AR472" s="258"/>
      <c r="AS472" s="202"/>
      <c r="AT472" s="213"/>
      <c r="AU472" s="213"/>
    </row>
    <row r="473" spans="40:47" s="121" customFormat="1" hidden="1">
      <c r="AN473" s="239"/>
      <c r="AO473" s="225"/>
      <c r="AP473" s="260"/>
      <c r="AQ473" s="258"/>
      <c r="AR473" s="258"/>
      <c r="AS473" s="202"/>
      <c r="AT473" s="213"/>
      <c r="AU473" s="213"/>
    </row>
    <row r="474" spans="40:47" s="121" customFormat="1" hidden="1">
      <c r="AN474" s="239"/>
      <c r="AO474" s="225"/>
      <c r="AP474" s="260"/>
      <c r="AQ474" s="258"/>
      <c r="AR474" s="258"/>
      <c r="AS474" s="202"/>
      <c r="AT474" s="213"/>
      <c r="AU474" s="213"/>
    </row>
    <row r="475" spans="40:47" s="121" customFormat="1" hidden="1">
      <c r="AN475" s="239"/>
      <c r="AO475" s="225"/>
      <c r="AP475" s="260"/>
      <c r="AQ475" s="258"/>
      <c r="AR475" s="258"/>
      <c r="AS475" s="202"/>
      <c r="AT475" s="213"/>
      <c r="AU475" s="213"/>
    </row>
    <row r="476" spans="40:47" s="121" customFormat="1" hidden="1">
      <c r="AN476" s="239"/>
      <c r="AO476" s="225"/>
      <c r="AP476" s="260"/>
      <c r="AQ476" s="258"/>
      <c r="AR476" s="258"/>
      <c r="AS476" s="202"/>
      <c r="AT476" s="213"/>
      <c r="AU476" s="213"/>
    </row>
    <row r="477" spans="40:47" s="121" customFormat="1" hidden="1">
      <c r="AN477" s="239"/>
      <c r="AO477" s="225"/>
      <c r="AP477" s="260"/>
      <c r="AQ477" s="258"/>
      <c r="AR477" s="258"/>
      <c r="AS477" s="202"/>
      <c r="AT477" s="213"/>
      <c r="AU477" s="213"/>
    </row>
    <row r="478" spans="40:47" s="121" customFormat="1" hidden="1">
      <c r="AN478" s="239"/>
      <c r="AO478" s="225"/>
      <c r="AP478" s="260"/>
      <c r="AQ478" s="258"/>
      <c r="AR478" s="258"/>
      <c r="AS478" s="202"/>
      <c r="AT478" s="213"/>
      <c r="AU478" s="213"/>
    </row>
    <row r="479" spans="40:47" s="121" customFormat="1" hidden="1">
      <c r="AN479" s="239"/>
      <c r="AO479" s="225"/>
      <c r="AP479" s="260"/>
      <c r="AQ479" s="258"/>
      <c r="AR479" s="258"/>
      <c r="AS479" s="202"/>
      <c r="AT479" s="213"/>
      <c r="AU479" s="213"/>
    </row>
    <row r="480" spans="40:47" s="121" customFormat="1" hidden="1">
      <c r="AN480" s="239"/>
      <c r="AO480" s="225"/>
      <c r="AP480" s="260"/>
      <c r="AQ480" s="258"/>
      <c r="AR480" s="258"/>
      <c r="AS480" s="202"/>
      <c r="AT480" s="213"/>
      <c r="AU480" s="213"/>
    </row>
    <row r="481" spans="40:47" s="121" customFormat="1" hidden="1">
      <c r="AN481" s="239"/>
      <c r="AO481" s="225"/>
      <c r="AP481" s="260"/>
      <c r="AQ481" s="258"/>
      <c r="AR481" s="258"/>
      <c r="AS481" s="202"/>
      <c r="AT481" s="213"/>
      <c r="AU481" s="213"/>
    </row>
    <row r="482" spans="40:47" s="121" customFormat="1" hidden="1">
      <c r="AN482" s="239"/>
      <c r="AO482" s="225"/>
      <c r="AP482" s="260"/>
      <c r="AQ482" s="258"/>
      <c r="AR482" s="258"/>
      <c r="AS482" s="202"/>
      <c r="AT482" s="213"/>
      <c r="AU482" s="213"/>
    </row>
    <row r="483" spans="40:47" s="121" customFormat="1" hidden="1">
      <c r="AN483" s="239"/>
      <c r="AO483" s="225"/>
      <c r="AP483" s="260"/>
      <c r="AQ483" s="258"/>
      <c r="AR483" s="258"/>
      <c r="AS483" s="202"/>
      <c r="AT483" s="213"/>
      <c r="AU483" s="213"/>
    </row>
    <row r="484" spans="40:47" s="121" customFormat="1" hidden="1">
      <c r="AN484" s="239"/>
      <c r="AO484" s="225"/>
      <c r="AP484" s="260"/>
      <c r="AQ484" s="258"/>
      <c r="AR484" s="258"/>
      <c r="AS484" s="202"/>
      <c r="AT484" s="213"/>
      <c r="AU484" s="213"/>
    </row>
    <row r="485" spans="40:47" s="121" customFormat="1" hidden="1">
      <c r="AN485" s="239"/>
      <c r="AO485" s="225"/>
      <c r="AP485" s="260"/>
      <c r="AQ485" s="258"/>
      <c r="AR485" s="258"/>
      <c r="AS485" s="202"/>
      <c r="AT485" s="213"/>
      <c r="AU485" s="213"/>
    </row>
    <row r="486" spans="40:47" s="121" customFormat="1" hidden="1">
      <c r="AN486" s="239"/>
      <c r="AO486" s="225"/>
      <c r="AP486" s="260"/>
      <c r="AQ486" s="258"/>
      <c r="AR486" s="258"/>
      <c r="AS486" s="202"/>
      <c r="AT486" s="213"/>
      <c r="AU486" s="213"/>
    </row>
    <row r="487" spans="40:47" s="121" customFormat="1" hidden="1">
      <c r="AN487" s="239"/>
      <c r="AO487" s="225"/>
      <c r="AP487" s="260"/>
      <c r="AQ487" s="258"/>
      <c r="AR487" s="258"/>
      <c r="AS487" s="202"/>
      <c r="AT487" s="213"/>
      <c r="AU487" s="213"/>
    </row>
    <row r="488" spans="40:47" s="121" customFormat="1" hidden="1">
      <c r="AN488" s="239"/>
      <c r="AO488" s="225"/>
      <c r="AP488" s="260"/>
      <c r="AQ488" s="258"/>
      <c r="AR488" s="258"/>
      <c r="AS488" s="202"/>
      <c r="AT488" s="213"/>
      <c r="AU488" s="213"/>
    </row>
    <row r="489" spans="40:47" s="121" customFormat="1" hidden="1">
      <c r="AN489" s="239"/>
      <c r="AO489" s="225"/>
      <c r="AP489" s="260"/>
      <c r="AQ489" s="258"/>
      <c r="AR489" s="258"/>
      <c r="AS489" s="202"/>
      <c r="AT489" s="213"/>
      <c r="AU489" s="213"/>
    </row>
    <row r="490" spans="40:47" s="121" customFormat="1" hidden="1">
      <c r="AN490" s="239"/>
      <c r="AO490" s="225"/>
      <c r="AP490" s="260"/>
      <c r="AQ490" s="258"/>
      <c r="AR490" s="258"/>
      <c r="AS490" s="202"/>
      <c r="AT490" s="213"/>
      <c r="AU490" s="213"/>
    </row>
    <row r="491" spans="40:47" s="121" customFormat="1" hidden="1">
      <c r="AN491" s="239"/>
      <c r="AO491" s="225"/>
      <c r="AP491" s="260"/>
      <c r="AQ491" s="258"/>
      <c r="AR491" s="258"/>
      <c r="AS491" s="202"/>
      <c r="AT491" s="213"/>
      <c r="AU491" s="213"/>
    </row>
    <row r="492" spans="40:47" s="121" customFormat="1" hidden="1">
      <c r="AN492" s="239"/>
      <c r="AO492" s="225"/>
      <c r="AP492" s="260"/>
      <c r="AQ492" s="258"/>
      <c r="AR492" s="258"/>
      <c r="AS492" s="202"/>
      <c r="AT492" s="213"/>
      <c r="AU492" s="213"/>
    </row>
    <row r="493" spans="40:47" s="121" customFormat="1" hidden="1">
      <c r="AN493" s="239"/>
      <c r="AO493" s="225"/>
      <c r="AP493" s="260"/>
      <c r="AQ493" s="258"/>
      <c r="AR493" s="258"/>
      <c r="AS493" s="202"/>
      <c r="AT493" s="213"/>
      <c r="AU493" s="213"/>
    </row>
    <row r="494" spans="40:47" s="121" customFormat="1" hidden="1">
      <c r="AN494" s="239"/>
      <c r="AO494" s="225"/>
      <c r="AP494" s="260"/>
      <c r="AQ494" s="258"/>
      <c r="AR494" s="258"/>
      <c r="AS494" s="202"/>
      <c r="AT494" s="213"/>
      <c r="AU494" s="213"/>
    </row>
    <row r="495" spans="40:47" s="121" customFormat="1" hidden="1">
      <c r="AN495" s="239"/>
      <c r="AO495" s="225"/>
      <c r="AP495" s="260"/>
      <c r="AQ495" s="258"/>
      <c r="AR495" s="258"/>
      <c r="AS495" s="202"/>
      <c r="AT495" s="213"/>
      <c r="AU495" s="213"/>
    </row>
    <row r="496" spans="40:47" s="121" customFormat="1" hidden="1">
      <c r="AN496" s="239"/>
      <c r="AO496" s="225"/>
      <c r="AP496" s="260"/>
      <c r="AQ496" s="258"/>
      <c r="AR496" s="258"/>
      <c r="AS496" s="202"/>
      <c r="AT496" s="213"/>
      <c r="AU496" s="213"/>
    </row>
    <row r="497" spans="40:47" s="121" customFormat="1" hidden="1">
      <c r="AN497" s="239"/>
      <c r="AO497" s="225"/>
      <c r="AP497" s="260"/>
      <c r="AQ497" s="258"/>
      <c r="AR497" s="258"/>
      <c r="AS497" s="202"/>
      <c r="AT497" s="213"/>
      <c r="AU497" s="213"/>
    </row>
    <row r="498" spans="40:47" s="121" customFormat="1" hidden="1">
      <c r="AN498" s="239"/>
      <c r="AO498" s="225"/>
      <c r="AP498" s="260"/>
      <c r="AQ498" s="258"/>
      <c r="AR498" s="258"/>
      <c r="AS498" s="202"/>
      <c r="AT498" s="213"/>
      <c r="AU498" s="213"/>
    </row>
    <row r="499" spans="40:47" s="121" customFormat="1" hidden="1">
      <c r="AN499" s="239"/>
      <c r="AO499" s="225"/>
      <c r="AP499" s="260"/>
      <c r="AQ499" s="258"/>
      <c r="AR499" s="258"/>
      <c r="AS499" s="202"/>
      <c r="AT499" s="213"/>
      <c r="AU499" s="213"/>
    </row>
    <row r="500" spans="40:47" s="121" customFormat="1" hidden="1">
      <c r="AN500" s="239"/>
      <c r="AO500" s="225"/>
      <c r="AP500" s="260"/>
      <c r="AQ500" s="258"/>
      <c r="AR500" s="258"/>
      <c r="AS500" s="202"/>
      <c r="AT500" s="213"/>
      <c r="AU500" s="213"/>
    </row>
    <row r="501" spans="40:47" s="121" customFormat="1" hidden="1">
      <c r="AN501" s="239"/>
      <c r="AO501" s="225"/>
      <c r="AP501" s="260"/>
      <c r="AQ501" s="258"/>
      <c r="AR501" s="258"/>
      <c r="AS501" s="202"/>
      <c r="AT501" s="213"/>
      <c r="AU501" s="213"/>
    </row>
    <row r="502" spans="40:47" s="121" customFormat="1" hidden="1">
      <c r="AN502" s="239"/>
      <c r="AO502" s="225"/>
      <c r="AP502" s="260"/>
      <c r="AQ502" s="258"/>
      <c r="AR502" s="258"/>
      <c r="AS502" s="202"/>
      <c r="AT502" s="213"/>
      <c r="AU502" s="213"/>
    </row>
    <row r="503" spans="40:47" s="121" customFormat="1" hidden="1">
      <c r="AN503" s="239"/>
      <c r="AO503" s="225"/>
      <c r="AP503" s="260"/>
      <c r="AQ503" s="258"/>
      <c r="AR503" s="258"/>
      <c r="AS503" s="202"/>
      <c r="AT503" s="213"/>
      <c r="AU503" s="213"/>
    </row>
    <row r="504" spans="40:47" s="121" customFormat="1" hidden="1">
      <c r="AN504" s="239"/>
      <c r="AO504" s="225"/>
      <c r="AP504" s="260"/>
      <c r="AQ504" s="258"/>
      <c r="AR504" s="258"/>
      <c r="AS504" s="202"/>
      <c r="AT504" s="213"/>
      <c r="AU504" s="213"/>
    </row>
    <row r="505" spans="40:47" s="121" customFormat="1" hidden="1">
      <c r="AN505" s="239"/>
      <c r="AO505" s="225"/>
      <c r="AP505" s="260"/>
      <c r="AQ505" s="258"/>
      <c r="AR505" s="258"/>
      <c r="AS505" s="202"/>
      <c r="AT505" s="213"/>
      <c r="AU505" s="213"/>
    </row>
    <row r="506" spans="40:47" s="121" customFormat="1" hidden="1">
      <c r="AN506" s="239"/>
      <c r="AO506" s="225"/>
      <c r="AP506" s="260"/>
      <c r="AQ506" s="258"/>
      <c r="AR506" s="258"/>
      <c r="AS506" s="202"/>
      <c r="AT506" s="213"/>
      <c r="AU506" s="213"/>
    </row>
    <row r="507" spans="40:47" s="121" customFormat="1" hidden="1">
      <c r="AN507" s="239"/>
      <c r="AO507" s="225"/>
      <c r="AP507" s="260"/>
      <c r="AQ507" s="258"/>
      <c r="AR507" s="258"/>
      <c r="AS507" s="202"/>
      <c r="AT507" s="213"/>
      <c r="AU507" s="213"/>
    </row>
    <row r="508" spans="40:47" s="121" customFormat="1" hidden="1">
      <c r="AN508" s="239"/>
      <c r="AO508" s="225"/>
      <c r="AP508" s="260"/>
      <c r="AQ508" s="258"/>
      <c r="AR508" s="258"/>
      <c r="AS508" s="202"/>
      <c r="AT508" s="213"/>
      <c r="AU508" s="213"/>
    </row>
    <row r="509" spans="40:47" s="121" customFormat="1" hidden="1">
      <c r="AN509" s="239"/>
      <c r="AO509" s="225"/>
      <c r="AP509" s="260"/>
      <c r="AQ509" s="258"/>
      <c r="AR509" s="258"/>
      <c r="AS509" s="202"/>
      <c r="AT509" s="213"/>
      <c r="AU509" s="213"/>
    </row>
    <row r="510" spans="40:47" s="121" customFormat="1" hidden="1">
      <c r="AN510" s="239"/>
      <c r="AO510" s="225"/>
      <c r="AP510" s="260"/>
      <c r="AQ510" s="258"/>
      <c r="AR510" s="258"/>
      <c r="AS510" s="202"/>
      <c r="AT510" s="213"/>
      <c r="AU510" s="213"/>
    </row>
    <row r="511" spans="40:47" s="121" customFormat="1" hidden="1">
      <c r="AN511" s="239"/>
      <c r="AO511" s="225"/>
      <c r="AP511" s="260"/>
      <c r="AQ511" s="258"/>
      <c r="AR511" s="258"/>
      <c r="AS511" s="202"/>
      <c r="AT511" s="213"/>
      <c r="AU511" s="213"/>
    </row>
    <row r="512" spans="40:47" s="121" customFormat="1" hidden="1">
      <c r="AN512" s="239"/>
      <c r="AO512" s="225"/>
      <c r="AP512" s="260"/>
      <c r="AQ512" s="258"/>
      <c r="AR512" s="258"/>
      <c r="AS512" s="202"/>
      <c r="AT512" s="213"/>
      <c r="AU512" s="213"/>
    </row>
    <row r="513" spans="40:47" s="121" customFormat="1" hidden="1">
      <c r="AN513" s="239"/>
      <c r="AO513" s="225"/>
      <c r="AP513" s="260"/>
      <c r="AQ513" s="258"/>
      <c r="AR513" s="258"/>
      <c r="AS513" s="202"/>
      <c r="AT513" s="213"/>
      <c r="AU513" s="213"/>
    </row>
    <row r="514" spans="40:47" s="121" customFormat="1" hidden="1">
      <c r="AN514" s="239"/>
      <c r="AO514" s="225"/>
      <c r="AP514" s="260"/>
      <c r="AQ514" s="258"/>
      <c r="AR514" s="258"/>
      <c r="AS514" s="202"/>
      <c r="AT514" s="213"/>
      <c r="AU514" s="213"/>
    </row>
    <row r="515" spans="40:47" s="121" customFormat="1" hidden="1">
      <c r="AN515" s="239"/>
      <c r="AO515" s="225"/>
      <c r="AP515" s="260"/>
      <c r="AQ515" s="258"/>
      <c r="AR515" s="258"/>
      <c r="AS515" s="202"/>
      <c r="AT515" s="213"/>
      <c r="AU515" s="213"/>
    </row>
    <row r="516" spans="40:47" s="121" customFormat="1" hidden="1">
      <c r="AN516" s="239"/>
      <c r="AO516" s="225"/>
      <c r="AP516" s="260"/>
      <c r="AQ516" s="258"/>
      <c r="AR516" s="258"/>
      <c r="AS516" s="202"/>
      <c r="AT516" s="213"/>
      <c r="AU516" s="213"/>
    </row>
    <row r="517" spans="40:47" s="121" customFormat="1" hidden="1">
      <c r="AN517" s="239"/>
      <c r="AO517" s="225"/>
      <c r="AP517" s="260"/>
      <c r="AQ517" s="258"/>
      <c r="AR517" s="258"/>
      <c r="AS517" s="202"/>
      <c r="AT517" s="213"/>
      <c r="AU517" s="213"/>
    </row>
    <row r="518" spans="40:47" s="121" customFormat="1" hidden="1">
      <c r="AN518" s="239"/>
      <c r="AO518" s="225"/>
      <c r="AP518" s="260"/>
      <c r="AQ518" s="258"/>
      <c r="AR518" s="258"/>
      <c r="AS518" s="202"/>
      <c r="AT518" s="213"/>
      <c r="AU518" s="213"/>
    </row>
    <row r="519" spans="40:47" s="121" customFormat="1" hidden="1">
      <c r="AN519" s="239"/>
      <c r="AO519" s="225"/>
      <c r="AP519" s="260"/>
      <c r="AQ519" s="258"/>
      <c r="AR519" s="258"/>
      <c r="AS519" s="202"/>
      <c r="AT519" s="213"/>
      <c r="AU519" s="213"/>
    </row>
    <row r="520" spans="40:47" s="121" customFormat="1" hidden="1">
      <c r="AN520" s="239"/>
      <c r="AO520" s="225"/>
      <c r="AP520" s="260"/>
      <c r="AQ520" s="258"/>
      <c r="AR520" s="258"/>
      <c r="AS520" s="202"/>
      <c r="AT520" s="213"/>
      <c r="AU520" s="213"/>
    </row>
    <row r="521" spans="40:47" s="121" customFormat="1" hidden="1">
      <c r="AN521" s="239"/>
      <c r="AO521" s="225"/>
      <c r="AP521" s="260"/>
      <c r="AQ521" s="258"/>
      <c r="AR521" s="258"/>
      <c r="AS521" s="202"/>
      <c r="AT521" s="213"/>
      <c r="AU521" s="213"/>
    </row>
    <row r="522" spans="40:47" s="121" customFormat="1" hidden="1">
      <c r="AN522" s="239"/>
      <c r="AO522" s="225"/>
      <c r="AP522" s="260"/>
      <c r="AQ522" s="258"/>
      <c r="AR522" s="258"/>
      <c r="AS522" s="202"/>
      <c r="AT522" s="213"/>
      <c r="AU522" s="213"/>
    </row>
    <row r="523" spans="40:47" s="121" customFormat="1" hidden="1">
      <c r="AN523" s="239"/>
      <c r="AO523" s="225"/>
      <c r="AP523" s="260"/>
      <c r="AQ523" s="258"/>
      <c r="AR523" s="258"/>
      <c r="AS523" s="202"/>
      <c r="AT523" s="213"/>
      <c r="AU523" s="213"/>
    </row>
    <row r="524" spans="40:47" s="121" customFormat="1" hidden="1">
      <c r="AN524" s="239"/>
      <c r="AO524" s="225"/>
      <c r="AP524" s="260"/>
      <c r="AQ524" s="258"/>
      <c r="AR524" s="258"/>
      <c r="AS524" s="202"/>
      <c r="AT524" s="213"/>
      <c r="AU524" s="213"/>
    </row>
    <row r="525" spans="40:47" s="121" customFormat="1" hidden="1">
      <c r="AN525" s="239"/>
      <c r="AO525" s="225"/>
      <c r="AP525" s="260"/>
      <c r="AQ525" s="258"/>
      <c r="AR525" s="258"/>
      <c r="AS525" s="202"/>
      <c r="AT525" s="213"/>
      <c r="AU525" s="213"/>
    </row>
    <row r="526" spans="40:47" s="121" customFormat="1" hidden="1">
      <c r="AN526" s="239"/>
      <c r="AO526" s="225"/>
      <c r="AP526" s="260"/>
      <c r="AQ526" s="258"/>
      <c r="AR526" s="258"/>
      <c r="AS526" s="202"/>
      <c r="AT526" s="213"/>
      <c r="AU526" s="213"/>
    </row>
    <row r="527" spans="40:47" s="121" customFormat="1" hidden="1">
      <c r="AN527" s="239"/>
      <c r="AO527" s="225"/>
      <c r="AP527" s="260"/>
      <c r="AQ527" s="258"/>
      <c r="AR527" s="258"/>
      <c r="AS527" s="202"/>
      <c r="AT527" s="213"/>
      <c r="AU527" s="213"/>
    </row>
    <row r="528" spans="40:47" s="121" customFormat="1" hidden="1">
      <c r="AN528" s="239"/>
      <c r="AO528" s="225"/>
      <c r="AP528" s="260"/>
      <c r="AQ528" s="258"/>
      <c r="AR528" s="258"/>
      <c r="AS528" s="202"/>
      <c r="AT528" s="213"/>
      <c r="AU528" s="213"/>
    </row>
    <row r="529" spans="40:47" s="121" customFormat="1" hidden="1">
      <c r="AN529" s="239"/>
      <c r="AO529" s="225"/>
      <c r="AP529" s="260"/>
      <c r="AQ529" s="258"/>
      <c r="AR529" s="258"/>
      <c r="AS529" s="202"/>
      <c r="AT529" s="213"/>
      <c r="AU529" s="213"/>
    </row>
    <row r="530" spans="40:47" s="121" customFormat="1" hidden="1">
      <c r="AN530" s="239"/>
      <c r="AO530" s="225"/>
      <c r="AP530" s="260"/>
      <c r="AQ530" s="258"/>
      <c r="AR530" s="258"/>
      <c r="AS530" s="202"/>
      <c r="AT530" s="213"/>
      <c r="AU530" s="213"/>
    </row>
    <row r="531" spans="40:47" s="121" customFormat="1" hidden="1">
      <c r="AN531" s="239"/>
      <c r="AO531" s="225"/>
      <c r="AP531" s="260"/>
      <c r="AQ531" s="258"/>
      <c r="AR531" s="258"/>
      <c r="AS531" s="202"/>
      <c r="AT531" s="213"/>
      <c r="AU531" s="213"/>
    </row>
    <row r="532" spans="40:47" s="121" customFormat="1" hidden="1">
      <c r="AN532" s="239"/>
      <c r="AO532" s="225"/>
      <c r="AP532" s="260"/>
      <c r="AQ532" s="258"/>
      <c r="AR532" s="258"/>
      <c r="AS532" s="202"/>
      <c r="AT532" s="213"/>
      <c r="AU532" s="213"/>
    </row>
    <row r="533" spans="40:47" s="121" customFormat="1" hidden="1">
      <c r="AN533" s="239"/>
      <c r="AO533" s="225"/>
      <c r="AP533" s="260"/>
      <c r="AQ533" s="258"/>
      <c r="AR533" s="258"/>
      <c r="AS533" s="202"/>
      <c r="AT533" s="213"/>
      <c r="AU533" s="213"/>
    </row>
    <row r="534" spans="40:47" s="121" customFormat="1" hidden="1">
      <c r="AN534" s="239"/>
      <c r="AO534" s="225"/>
      <c r="AP534" s="260"/>
      <c r="AQ534" s="258"/>
      <c r="AR534" s="258"/>
      <c r="AS534" s="202"/>
      <c r="AT534" s="213"/>
      <c r="AU534" s="213"/>
    </row>
    <row r="535" spans="40:47" s="121" customFormat="1" hidden="1">
      <c r="AN535" s="239"/>
      <c r="AO535" s="225"/>
      <c r="AP535" s="260"/>
      <c r="AQ535" s="258"/>
      <c r="AR535" s="258"/>
      <c r="AS535" s="202"/>
      <c r="AT535" s="213"/>
      <c r="AU535" s="213"/>
    </row>
    <row r="536" spans="40:47" s="121" customFormat="1" hidden="1">
      <c r="AN536" s="239"/>
      <c r="AO536" s="225"/>
      <c r="AP536" s="260"/>
      <c r="AQ536" s="258"/>
      <c r="AR536" s="258"/>
      <c r="AS536" s="202"/>
      <c r="AT536" s="213"/>
      <c r="AU536" s="213"/>
    </row>
    <row r="537" spans="40:47" s="121" customFormat="1" hidden="1">
      <c r="AN537" s="239"/>
      <c r="AO537" s="225"/>
      <c r="AP537" s="260"/>
      <c r="AQ537" s="258"/>
      <c r="AR537" s="258"/>
      <c r="AS537" s="202"/>
      <c r="AT537" s="213"/>
      <c r="AU537" s="213"/>
    </row>
    <row r="538" spans="40:47" s="121" customFormat="1" hidden="1">
      <c r="AN538" s="239"/>
      <c r="AO538" s="225"/>
      <c r="AP538" s="260"/>
      <c r="AQ538" s="258"/>
      <c r="AR538" s="258"/>
      <c r="AS538" s="202"/>
      <c r="AT538" s="213"/>
      <c r="AU538" s="213"/>
    </row>
    <row r="539" spans="40:47" s="121" customFormat="1" hidden="1">
      <c r="AN539" s="239"/>
      <c r="AO539" s="225"/>
      <c r="AP539" s="260"/>
      <c r="AQ539" s="258"/>
      <c r="AR539" s="258"/>
      <c r="AS539" s="202"/>
      <c r="AT539" s="213"/>
      <c r="AU539" s="213"/>
    </row>
    <row r="540" spans="40:47" s="121" customFormat="1" hidden="1">
      <c r="AN540" s="239"/>
      <c r="AO540" s="225"/>
      <c r="AP540" s="260"/>
      <c r="AQ540" s="258"/>
      <c r="AR540" s="258"/>
      <c r="AS540" s="202"/>
      <c r="AT540" s="213"/>
      <c r="AU540" s="213"/>
    </row>
    <row r="541" spans="40:47" s="121" customFormat="1" hidden="1">
      <c r="AN541" s="239"/>
      <c r="AO541" s="225"/>
      <c r="AP541" s="260"/>
      <c r="AQ541" s="258"/>
      <c r="AR541" s="258"/>
      <c r="AS541" s="202"/>
      <c r="AT541" s="213"/>
      <c r="AU541" s="213"/>
    </row>
    <row r="542" spans="40:47" s="121" customFormat="1" hidden="1">
      <c r="AN542" s="239"/>
      <c r="AO542" s="225"/>
      <c r="AP542" s="260"/>
      <c r="AQ542" s="258"/>
      <c r="AR542" s="258"/>
      <c r="AS542" s="202"/>
      <c r="AT542" s="213"/>
      <c r="AU542" s="213"/>
    </row>
    <row r="543" spans="40:47" s="121" customFormat="1" hidden="1">
      <c r="AN543" s="239"/>
      <c r="AO543" s="225"/>
      <c r="AP543" s="260"/>
      <c r="AQ543" s="258"/>
      <c r="AR543" s="258"/>
      <c r="AS543" s="202"/>
      <c r="AT543" s="213"/>
      <c r="AU543" s="213"/>
    </row>
    <row r="544" spans="40:47" s="121" customFormat="1" hidden="1">
      <c r="AN544" s="239"/>
      <c r="AO544" s="225"/>
      <c r="AP544" s="260"/>
      <c r="AQ544" s="258"/>
      <c r="AR544" s="258"/>
      <c r="AS544" s="202"/>
      <c r="AT544" s="213"/>
      <c r="AU544" s="213"/>
    </row>
    <row r="545" spans="40:47" s="121" customFormat="1" hidden="1">
      <c r="AN545" s="239"/>
      <c r="AO545" s="225"/>
      <c r="AP545" s="260"/>
      <c r="AQ545" s="258"/>
      <c r="AR545" s="258"/>
      <c r="AS545" s="202"/>
      <c r="AT545" s="213"/>
      <c r="AU545" s="213"/>
    </row>
    <row r="546" spans="40:47" s="121" customFormat="1" hidden="1">
      <c r="AN546" s="239"/>
      <c r="AO546" s="225"/>
      <c r="AP546" s="260"/>
      <c r="AQ546" s="258"/>
      <c r="AR546" s="258"/>
      <c r="AS546" s="202"/>
      <c r="AT546" s="213"/>
      <c r="AU546" s="213"/>
    </row>
    <row r="547" spans="40:47" s="121" customFormat="1" hidden="1">
      <c r="AN547" s="239"/>
      <c r="AO547" s="225"/>
      <c r="AP547" s="260"/>
      <c r="AQ547" s="258"/>
      <c r="AR547" s="258"/>
      <c r="AS547" s="202"/>
      <c r="AT547" s="213"/>
      <c r="AU547" s="213"/>
    </row>
    <row r="548" spans="40:47" s="121" customFormat="1" hidden="1">
      <c r="AN548" s="239"/>
      <c r="AO548" s="225"/>
      <c r="AP548" s="260"/>
      <c r="AQ548" s="258"/>
      <c r="AR548" s="258"/>
      <c r="AS548" s="202"/>
      <c r="AT548" s="213"/>
      <c r="AU548" s="213"/>
    </row>
    <row r="549" spans="40:47" s="121" customFormat="1" hidden="1">
      <c r="AN549" s="239"/>
      <c r="AO549" s="225"/>
      <c r="AP549" s="260"/>
      <c r="AQ549" s="258"/>
      <c r="AR549" s="258"/>
      <c r="AS549" s="202"/>
      <c r="AT549" s="213"/>
      <c r="AU549" s="213"/>
    </row>
    <row r="550" spans="40:47" s="121" customFormat="1" hidden="1">
      <c r="AN550" s="239"/>
      <c r="AO550" s="225"/>
      <c r="AP550" s="260"/>
      <c r="AQ550" s="258"/>
      <c r="AR550" s="258"/>
      <c r="AS550" s="202"/>
      <c r="AT550" s="213"/>
      <c r="AU550" s="213"/>
    </row>
    <row r="551" spans="40:47" s="121" customFormat="1" hidden="1">
      <c r="AN551" s="239"/>
      <c r="AO551" s="225"/>
      <c r="AP551" s="260"/>
      <c r="AQ551" s="258"/>
      <c r="AR551" s="258"/>
      <c r="AS551" s="202"/>
      <c r="AT551" s="213"/>
      <c r="AU551" s="213"/>
    </row>
    <row r="552" spans="40:47" s="121" customFormat="1" hidden="1">
      <c r="AN552" s="239"/>
      <c r="AO552" s="225"/>
      <c r="AP552" s="260"/>
      <c r="AQ552" s="258"/>
      <c r="AR552" s="258"/>
      <c r="AS552" s="202"/>
      <c r="AT552" s="213"/>
      <c r="AU552" s="213"/>
    </row>
    <row r="553" spans="40:47" s="121" customFormat="1" hidden="1">
      <c r="AN553" s="239"/>
      <c r="AO553" s="225"/>
      <c r="AP553" s="260"/>
      <c r="AQ553" s="258"/>
      <c r="AR553" s="258"/>
      <c r="AS553" s="202"/>
      <c r="AT553" s="213"/>
      <c r="AU553" s="213"/>
    </row>
    <row r="554" spans="40:47" s="121" customFormat="1" hidden="1">
      <c r="AN554" s="239"/>
      <c r="AO554" s="225"/>
      <c r="AP554" s="260"/>
      <c r="AQ554" s="258"/>
      <c r="AR554" s="258"/>
      <c r="AS554" s="202"/>
      <c r="AT554" s="213"/>
      <c r="AU554" s="213"/>
    </row>
    <row r="555" spans="40:47" s="121" customFormat="1" hidden="1">
      <c r="AN555" s="239"/>
      <c r="AO555" s="225"/>
      <c r="AP555" s="260"/>
      <c r="AQ555" s="258"/>
      <c r="AR555" s="258"/>
      <c r="AS555" s="202"/>
      <c r="AT555" s="213"/>
      <c r="AU555" s="213"/>
    </row>
    <row r="556" spans="40:47" s="121" customFormat="1" hidden="1">
      <c r="AN556" s="239"/>
      <c r="AO556" s="225"/>
      <c r="AP556" s="260"/>
      <c r="AQ556" s="258"/>
      <c r="AR556" s="258"/>
      <c r="AS556" s="202"/>
      <c r="AT556" s="213"/>
      <c r="AU556" s="213"/>
    </row>
    <row r="557" spans="40:47" s="121" customFormat="1" hidden="1">
      <c r="AN557" s="239"/>
      <c r="AO557" s="225"/>
      <c r="AP557" s="260"/>
      <c r="AQ557" s="258"/>
      <c r="AR557" s="258"/>
      <c r="AS557" s="202"/>
      <c r="AT557" s="213"/>
      <c r="AU557" s="213"/>
    </row>
    <row r="558" spans="40:47" s="121" customFormat="1" hidden="1">
      <c r="AN558" s="239"/>
      <c r="AO558" s="225"/>
      <c r="AP558" s="260"/>
      <c r="AQ558" s="258"/>
      <c r="AR558" s="258"/>
      <c r="AS558" s="202"/>
      <c r="AT558" s="213"/>
      <c r="AU558" s="213"/>
    </row>
    <row r="559" spans="40:47" s="121" customFormat="1" hidden="1">
      <c r="AN559" s="239"/>
      <c r="AO559" s="225"/>
      <c r="AP559" s="260"/>
      <c r="AQ559" s="258"/>
      <c r="AR559" s="258"/>
      <c r="AS559" s="202"/>
      <c r="AT559" s="213"/>
      <c r="AU559" s="213"/>
    </row>
    <row r="560" spans="40:47" s="121" customFormat="1" hidden="1">
      <c r="AN560" s="239"/>
      <c r="AO560" s="225"/>
      <c r="AP560" s="260"/>
      <c r="AQ560" s="258"/>
      <c r="AR560" s="258"/>
      <c r="AS560" s="202"/>
      <c r="AT560" s="213"/>
      <c r="AU560" s="213"/>
    </row>
    <row r="561" spans="40:47" s="121" customFormat="1" hidden="1">
      <c r="AN561" s="239"/>
      <c r="AO561" s="225"/>
      <c r="AP561" s="260"/>
      <c r="AQ561" s="258"/>
      <c r="AR561" s="258"/>
      <c r="AS561" s="202"/>
      <c r="AT561" s="213"/>
      <c r="AU561" s="213"/>
    </row>
    <row r="562" spans="40:47" s="121" customFormat="1" hidden="1">
      <c r="AN562" s="239"/>
      <c r="AO562" s="225"/>
      <c r="AP562" s="260"/>
      <c r="AQ562" s="258"/>
      <c r="AR562" s="258"/>
      <c r="AS562" s="202"/>
      <c r="AT562" s="213"/>
      <c r="AU562" s="213"/>
    </row>
    <row r="563" spans="40:47" s="121" customFormat="1" hidden="1">
      <c r="AN563" s="239"/>
      <c r="AO563" s="225"/>
      <c r="AP563" s="260"/>
      <c r="AQ563" s="258"/>
      <c r="AR563" s="258"/>
      <c r="AS563" s="202"/>
      <c r="AT563" s="213"/>
      <c r="AU563" s="213"/>
    </row>
    <row r="564" spans="40:47" s="121" customFormat="1" hidden="1">
      <c r="AN564" s="239"/>
      <c r="AO564" s="225"/>
      <c r="AP564" s="260"/>
      <c r="AQ564" s="258"/>
      <c r="AR564" s="258"/>
      <c r="AS564" s="202"/>
      <c r="AT564" s="213"/>
      <c r="AU564" s="213"/>
    </row>
    <row r="565" spans="40:47" s="121" customFormat="1" hidden="1">
      <c r="AN565" s="239"/>
      <c r="AO565" s="225"/>
      <c r="AP565" s="260"/>
      <c r="AQ565" s="258"/>
      <c r="AR565" s="258"/>
      <c r="AS565" s="202"/>
      <c r="AT565" s="213"/>
      <c r="AU565" s="213"/>
    </row>
    <row r="566" spans="40:47" s="121" customFormat="1" hidden="1">
      <c r="AN566" s="239"/>
      <c r="AO566" s="225"/>
      <c r="AP566" s="260"/>
      <c r="AQ566" s="258"/>
      <c r="AR566" s="258"/>
      <c r="AS566" s="202"/>
      <c r="AT566" s="213"/>
      <c r="AU566" s="213"/>
    </row>
    <row r="567" spans="40:47" s="121" customFormat="1" hidden="1">
      <c r="AN567" s="239"/>
      <c r="AO567" s="225"/>
      <c r="AP567" s="260"/>
      <c r="AQ567" s="258"/>
      <c r="AR567" s="258"/>
      <c r="AS567" s="202"/>
      <c r="AT567" s="213"/>
      <c r="AU567" s="213"/>
    </row>
    <row r="568" spans="40:47" s="121" customFormat="1" hidden="1">
      <c r="AN568" s="239"/>
      <c r="AO568" s="225"/>
      <c r="AP568" s="260"/>
      <c r="AQ568" s="258"/>
      <c r="AR568" s="258"/>
      <c r="AS568" s="202"/>
      <c r="AT568" s="213"/>
      <c r="AU568" s="213"/>
    </row>
    <row r="569" spans="40:47" s="121" customFormat="1" hidden="1">
      <c r="AN569" s="239"/>
      <c r="AO569" s="225"/>
      <c r="AP569" s="260"/>
      <c r="AQ569" s="258"/>
      <c r="AR569" s="258"/>
      <c r="AS569" s="202"/>
      <c r="AT569" s="213"/>
      <c r="AU569" s="213"/>
    </row>
    <row r="570" spans="40:47" s="121" customFormat="1" hidden="1">
      <c r="AN570" s="239"/>
      <c r="AO570" s="225"/>
      <c r="AP570" s="260"/>
      <c r="AQ570" s="258"/>
      <c r="AR570" s="258"/>
      <c r="AS570" s="202"/>
      <c r="AT570" s="213"/>
      <c r="AU570" s="213"/>
    </row>
    <row r="571" spans="40:47" s="121" customFormat="1" hidden="1">
      <c r="AN571" s="239"/>
      <c r="AO571" s="225"/>
      <c r="AP571" s="260"/>
      <c r="AQ571" s="258"/>
      <c r="AR571" s="258"/>
      <c r="AS571" s="202"/>
      <c r="AT571" s="213"/>
      <c r="AU571" s="213"/>
    </row>
    <row r="572" spans="40:47" s="121" customFormat="1" hidden="1">
      <c r="AN572" s="239"/>
      <c r="AO572" s="225"/>
      <c r="AP572" s="260"/>
      <c r="AQ572" s="258"/>
      <c r="AR572" s="258"/>
      <c r="AS572" s="202"/>
      <c r="AT572" s="213"/>
      <c r="AU572" s="213"/>
    </row>
    <row r="573" spans="40:47" s="121" customFormat="1" hidden="1">
      <c r="AN573" s="239"/>
      <c r="AO573" s="225"/>
      <c r="AP573" s="260"/>
      <c r="AQ573" s="258"/>
      <c r="AR573" s="258"/>
      <c r="AS573" s="202"/>
      <c r="AT573" s="213"/>
      <c r="AU573" s="213"/>
    </row>
    <row r="574" spans="40:47" s="121" customFormat="1" hidden="1">
      <c r="AN574" s="239"/>
      <c r="AO574" s="225"/>
      <c r="AP574" s="260"/>
      <c r="AQ574" s="258"/>
      <c r="AR574" s="258"/>
      <c r="AS574" s="202"/>
      <c r="AT574" s="213"/>
      <c r="AU574" s="213"/>
    </row>
    <row r="575" spans="40:47" s="121" customFormat="1" hidden="1">
      <c r="AN575" s="239"/>
      <c r="AO575" s="225"/>
      <c r="AP575" s="260"/>
      <c r="AQ575" s="258"/>
      <c r="AR575" s="258"/>
      <c r="AS575" s="202"/>
      <c r="AT575" s="213"/>
      <c r="AU575" s="213"/>
    </row>
    <row r="576" spans="40:47" s="121" customFormat="1" hidden="1">
      <c r="AN576" s="239"/>
      <c r="AO576" s="225"/>
      <c r="AP576" s="260"/>
      <c r="AQ576" s="258"/>
      <c r="AR576" s="258"/>
      <c r="AS576" s="202"/>
      <c r="AT576" s="213"/>
      <c r="AU576" s="213"/>
    </row>
    <row r="577" spans="40:47" s="121" customFormat="1" hidden="1">
      <c r="AN577" s="239"/>
      <c r="AO577" s="225"/>
      <c r="AP577" s="260"/>
      <c r="AQ577" s="258"/>
      <c r="AR577" s="258"/>
      <c r="AS577" s="202"/>
      <c r="AT577" s="213"/>
      <c r="AU577" s="213"/>
    </row>
    <row r="578" spans="40:47" s="121" customFormat="1" hidden="1">
      <c r="AN578" s="239"/>
      <c r="AO578" s="225"/>
      <c r="AP578" s="260"/>
      <c r="AQ578" s="258"/>
      <c r="AR578" s="258"/>
      <c r="AS578" s="202"/>
      <c r="AT578" s="213"/>
      <c r="AU578" s="213"/>
    </row>
    <row r="579" spans="40:47" s="121" customFormat="1" hidden="1">
      <c r="AN579" s="239"/>
      <c r="AO579" s="225"/>
      <c r="AP579" s="260"/>
      <c r="AQ579" s="258"/>
      <c r="AR579" s="258"/>
      <c r="AS579" s="202"/>
      <c r="AT579" s="213"/>
      <c r="AU579" s="213"/>
    </row>
    <row r="580" spans="40:47" s="121" customFormat="1" hidden="1">
      <c r="AN580" s="239"/>
      <c r="AO580" s="225"/>
      <c r="AP580" s="260"/>
      <c r="AQ580" s="258"/>
      <c r="AR580" s="258"/>
      <c r="AS580" s="202"/>
      <c r="AT580" s="213"/>
      <c r="AU580" s="213"/>
    </row>
    <row r="581" spans="40:47" s="121" customFormat="1" hidden="1">
      <c r="AN581" s="239"/>
      <c r="AO581" s="225"/>
      <c r="AP581" s="260"/>
      <c r="AQ581" s="258"/>
      <c r="AR581" s="258"/>
      <c r="AS581" s="202"/>
      <c r="AT581" s="213"/>
      <c r="AU581" s="213"/>
    </row>
    <row r="582" spans="40:47" s="121" customFormat="1" hidden="1">
      <c r="AN582" s="239"/>
      <c r="AO582" s="225"/>
      <c r="AP582" s="260"/>
      <c r="AQ582" s="258"/>
      <c r="AR582" s="258"/>
      <c r="AS582" s="202"/>
      <c r="AT582" s="213"/>
      <c r="AU582" s="213"/>
    </row>
    <row r="583" spans="40:47" s="121" customFormat="1" hidden="1">
      <c r="AN583" s="239"/>
      <c r="AO583" s="225"/>
      <c r="AP583" s="260"/>
      <c r="AQ583" s="258"/>
      <c r="AR583" s="258"/>
      <c r="AS583" s="202"/>
      <c r="AT583" s="213"/>
      <c r="AU583" s="213"/>
    </row>
    <row r="584" spans="40:47" s="121" customFormat="1" hidden="1">
      <c r="AN584" s="239"/>
      <c r="AO584" s="225"/>
      <c r="AP584" s="260"/>
      <c r="AQ584" s="258"/>
      <c r="AR584" s="258"/>
      <c r="AS584" s="202"/>
      <c r="AT584" s="213"/>
      <c r="AU584" s="213"/>
    </row>
    <row r="585" spans="40:47" s="121" customFormat="1" hidden="1">
      <c r="AN585" s="239"/>
      <c r="AO585" s="225"/>
      <c r="AP585" s="260"/>
      <c r="AQ585" s="258"/>
      <c r="AR585" s="258"/>
      <c r="AS585" s="202"/>
      <c r="AT585" s="213"/>
      <c r="AU585" s="213"/>
    </row>
    <row r="586" spans="40:47" s="121" customFormat="1" hidden="1">
      <c r="AN586" s="239"/>
      <c r="AO586" s="225"/>
      <c r="AP586" s="260"/>
      <c r="AQ586" s="258"/>
      <c r="AR586" s="258"/>
      <c r="AS586" s="202"/>
      <c r="AT586" s="213"/>
      <c r="AU586" s="213"/>
    </row>
    <row r="587" spans="40:47" s="121" customFormat="1" hidden="1">
      <c r="AN587" s="239"/>
      <c r="AO587" s="225"/>
      <c r="AP587" s="260"/>
      <c r="AQ587" s="258"/>
      <c r="AR587" s="258"/>
      <c r="AS587" s="202"/>
      <c r="AT587" s="213"/>
      <c r="AU587" s="213"/>
    </row>
    <row r="588" spans="40:47" s="121" customFormat="1" hidden="1">
      <c r="AN588" s="239"/>
      <c r="AO588" s="225"/>
      <c r="AP588" s="260"/>
      <c r="AQ588" s="258"/>
      <c r="AR588" s="258"/>
      <c r="AS588" s="202"/>
      <c r="AT588" s="213"/>
      <c r="AU588" s="213"/>
    </row>
    <row r="589" spans="40:47" s="121" customFormat="1" hidden="1">
      <c r="AN589" s="239"/>
      <c r="AO589" s="225"/>
      <c r="AP589" s="260"/>
      <c r="AQ589" s="258"/>
      <c r="AR589" s="258"/>
      <c r="AS589" s="202"/>
      <c r="AT589" s="213"/>
      <c r="AU589" s="213"/>
    </row>
    <row r="590" spans="40:47" s="121" customFormat="1" hidden="1">
      <c r="AN590" s="239"/>
      <c r="AO590" s="225"/>
      <c r="AP590" s="260"/>
      <c r="AQ590" s="258"/>
      <c r="AR590" s="258"/>
      <c r="AS590" s="202"/>
      <c r="AT590" s="213"/>
      <c r="AU590" s="213"/>
    </row>
    <row r="591" spans="40:47" s="121" customFormat="1" hidden="1">
      <c r="AN591" s="239"/>
      <c r="AO591" s="225"/>
      <c r="AP591" s="260"/>
      <c r="AQ591" s="258"/>
      <c r="AR591" s="258"/>
      <c r="AS591" s="202"/>
      <c r="AT591" s="213"/>
      <c r="AU591" s="213"/>
    </row>
    <row r="592" spans="40:47" s="121" customFormat="1" hidden="1">
      <c r="AN592" s="239"/>
      <c r="AO592" s="225"/>
      <c r="AP592" s="260"/>
      <c r="AQ592" s="258"/>
      <c r="AR592" s="258"/>
      <c r="AS592" s="202"/>
      <c r="AT592" s="213"/>
      <c r="AU592" s="213"/>
    </row>
    <row r="593" spans="40:47" s="121" customFormat="1" hidden="1">
      <c r="AN593" s="239"/>
      <c r="AO593" s="225"/>
      <c r="AP593" s="260"/>
      <c r="AQ593" s="258"/>
      <c r="AR593" s="258"/>
      <c r="AS593" s="202"/>
      <c r="AT593" s="213"/>
      <c r="AU593" s="213"/>
    </row>
    <row r="594" spans="40:47" s="121" customFormat="1" hidden="1">
      <c r="AN594" s="239"/>
      <c r="AO594" s="225"/>
      <c r="AP594" s="260"/>
      <c r="AQ594" s="258"/>
      <c r="AR594" s="258"/>
      <c r="AS594" s="202"/>
      <c r="AT594" s="213"/>
      <c r="AU594" s="213"/>
    </row>
    <row r="595" spans="40:47" s="121" customFormat="1" hidden="1">
      <c r="AN595" s="239"/>
      <c r="AO595" s="225"/>
      <c r="AP595" s="260"/>
      <c r="AQ595" s="258"/>
      <c r="AR595" s="258"/>
      <c r="AS595" s="202"/>
      <c r="AT595" s="213"/>
      <c r="AU595" s="213"/>
    </row>
    <row r="596" spans="40:47" s="121" customFormat="1" hidden="1">
      <c r="AN596" s="239"/>
      <c r="AO596" s="225"/>
      <c r="AP596" s="260"/>
      <c r="AQ596" s="258"/>
      <c r="AR596" s="258"/>
      <c r="AS596" s="202"/>
      <c r="AT596" s="213"/>
      <c r="AU596" s="213"/>
    </row>
    <row r="597" spans="40:47" s="121" customFormat="1" hidden="1">
      <c r="AN597" s="239"/>
      <c r="AO597" s="225"/>
      <c r="AP597" s="260"/>
      <c r="AQ597" s="258"/>
      <c r="AR597" s="258"/>
      <c r="AS597" s="202"/>
      <c r="AT597" s="213"/>
      <c r="AU597" s="213"/>
    </row>
    <row r="598" spans="40:47" s="121" customFormat="1" hidden="1">
      <c r="AN598" s="239"/>
      <c r="AO598" s="225"/>
      <c r="AP598" s="260"/>
      <c r="AQ598" s="258"/>
      <c r="AR598" s="258"/>
      <c r="AS598" s="202"/>
      <c r="AT598" s="213"/>
      <c r="AU598" s="213"/>
    </row>
    <row r="599" spans="40:47" s="121" customFormat="1" hidden="1">
      <c r="AN599" s="239"/>
      <c r="AO599" s="225"/>
      <c r="AP599" s="260"/>
      <c r="AQ599" s="258"/>
      <c r="AR599" s="258"/>
      <c r="AS599" s="202"/>
      <c r="AT599" s="213"/>
      <c r="AU599" s="213"/>
    </row>
    <row r="600" spans="40:47" s="121" customFormat="1" hidden="1">
      <c r="AN600" s="239"/>
      <c r="AO600" s="225"/>
      <c r="AP600" s="260"/>
      <c r="AQ600" s="258"/>
      <c r="AR600" s="258"/>
      <c r="AS600" s="202"/>
      <c r="AT600" s="213"/>
      <c r="AU600" s="213"/>
    </row>
    <row r="601" spans="40:47" s="121" customFormat="1" hidden="1">
      <c r="AN601" s="239"/>
      <c r="AO601" s="225"/>
      <c r="AP601" s="260"/>
      <c r="AQ601" s="258"/>
      <c r="AR601" s="258"/>
      <c r="AS601" s="202"/>
      <c r="AT601" s="213"/>
      <c r="AU601" s="213"/>
    </row>
    <row r="602" spans="40:47" s="121" customFormat="1" hidden="1">
      <c r="AN602" s="239"/>
      <c r="AO602" s="225"/>
      <c r="AP602" s="260"/>
      <c r="AQ602" s="258"/>
      <c r="AR602" s="258"/>
      <c r="AS602" s="202"/>
      <c r="AT602" s="213"/>
      <c r="AU602" s="213"/>
    </row>
    <row r="603" spans="40:47" s="121" customFormat="1" hidden="1">
      <c r="AN603" s="239"/>
      <c r="AO603" s="225"/>
      <c r="AP603" s="260"/>
      <c r="AQ603" s="258"/>
      <c r="AR603" s="258"/>
      <c r="AS603" s="202"/>
      <c r="AT603" s="213"/>
      <c r="AU603" s="213"/>
    </row>
    <row r="604" spans="40:47" s="121" customFormat="1" hidden="1">
      <c r="AN604" s="239"/>
      <c r="AO604" s="225"/>
      <c r="AP604" s="260"/>
      <c r="AQ604" s="258"/>
      <c r="AR604" s="258"/>
      <c r="AS604" s="202"/>
      <c r="AT604" s="213"/>
      <c r="AU604" s="213"/>
    </row>
    <row r="605" spans="40:47" s="121" customFormat="1" hidden="1">
      <c r="AN605" s="239"/>
      <c r="AO605" s="225"/>
      <c r="AP605" s="260"/>
      <c r="AQ605" s="258"/>
      <c r="AR605" s="258"/>
      <c r="AS605" s="202"/>
      <c r="AT605" s="213"/>
      <c r="AU605" s="213"/>
    </row>
    <row r="606" spans="40:47" s="121" customFormat="1" hidden="1">
      <c r="AN606" s="239"/>
      <c r="AO606" s="225"/>
      <c r="AP606" s="260"/>
      <c r="AQ606" s="258"/>
      <c r="AR606" s="258"/>
      <c r="AS606" s="202"/>
      <c r="AT606" s="213"/>
      <c r="AU606" s="213"/>
    </row>
    <row r="607" spans="40:47" s="121" customFormat="1" hidden="1">
      <c r="AN607" s="239"/>
      <c r="AO607" s="225"/>
      <c r="AP607" s="260"/>
      <c r="AQ607" s="258"/>
      <c r="AR607" s="258"/>
      <c r="AS607" s="202"/>
      <c r="AT607" s="213"/>
      <c r="AU607" s="213"/>
    </row>
    <row r="608" spans="40:47" s="121" customFormat="1" hidden="1">
      <c r="AN608" s="239"/>
      <c r="AO608" s="225"/>
      <c r="AP608" s="260"/>
      <c r="AQ608" s="258"/>
      <c r="AR608" s="258"/>
      <c r="AS608" s="202"/>
      <c r="AT608" s="213"/>
      <c r="AU608" s="213"/>
    </row>
    <row r="609" spans="40:47" s="121" customFormat="1" hidden="1">
      <c r="AN609" s="239"/>
      <c r="AO609" s="225"/>
      <c r="AP609" s="260"/>
      <c r="AQ609" s="258"/>
      <c r="AR609" s="258"/>
      <c r="AS609" s="202"/>
      <c r="AT609" s="213"/>
      <c r="AU609" s="213"/>
    </row>
    <row r="610" spans="40:47" s="121" customFormat="1" hidden="1">
      <c r="AN610" s="239"/>
      <c r="AO610" s="225"/>
      <c r="AP610" s="260"/>
      <c r="AQ610" s="258"/>
      <c r="AR610" s="258"/>
      <c r="AS610" s="202"/>
      <c r="AT610" s="213"/>
      <c r="AU610" s="213"/>
    </row>
    <row r="611" spans="40:47" s="121" customFormat="1" hidden="1">
      <c r="AN611" s="239"/>
      <c r="AO611" s="225"/>
      <c r="AP611" s="260"/>
      <c r="AQ611" s="258"/>
      <c r="AR611" s="258"/>
      <c r="AS611" s="202"/>
      <c r="AT611" s="213"/>
      <c r="AU611" s="213"/>
    </row>
    <row r="612" spans="40:47" s="121" customFormat="1" hidden="1">
      <c r="AN612" s="239"/>
      <c r="AO612" s="225"/>
      <c r="AP612" s="260"/>
      <c r="AQ612" s="258"/>
      <c r="AR612" s="258"/>
      <c r="AS612" s="202"/>
      <c r="AT612" s="213"/>
      <c r="AU612" s="213"/>
    </row>
    <row r="613" spans="40:47" s="121" customFormat="1" hidden="1">
      <c r="AN613" s="239"/>
      <c r="AO613" s="225"/>
      <c r="AP613" s="260"/>
      <c r="AQ613" s="258"/>
      <c r="AR613" s="258"/>
      <c r="AS613" s="202"/>
      <c r="AT613" s="213"/>
      <c r="AU613" s="213"/>
    </row>
    <row r="614" spans="40:47" s="121" customFormat="1" hidden="1">
      <c r="AN614" s="239"/>
      <c r="AO614" s="225"/>
      <c r="AP614" s="260"/>
      <c r="AQ614" s="258"/>
      <c r="AR614" s="258"/>
      <c r="AS614" s="202"/>
      <c r="AT614" s="213"/>
      <c r="AU614" s="213"/>
    </row>
    <row r="615" spans="40:47" s="121" customFormat="1" hidden="1">
      <c r="AN615" s="239"/>
      <c r="AO615" s="225"/>
      <c r="AP615" s="260"/>
      <c r="AQ615" s="258"/>
      <c r="AR615" s="258"/>
      <c r="AS615" s="202"/>
      <c r="AT615" s="213"/>
      <c r="AU615" s="213"/>
    </row>
    <row r="616" spans="40:47" s="121" customFormat="1" hidden="1">
      <c r="AN616" s="239"/>
      <c r="AO616" s="225"/>
      <c r="AP616" s="260"/>
      <c r="AQ616" s="258"/>
      <c r="AR616" s="258"/>
      <c r="AS616" s="202"/>
      <c r="AT616" s="213"/>
      <c r="AU616" s="213"/>
    </row>
    <row r="617" spans="40:47" s="121" customFormat="1" hidden="1">
      <c r="AN617" s="239"/>
      <c r="AO617" s="225"/>
      <c r="AP617" s="260"/>
      <c r="AQ617" s="258"/>
      <c r="AR617" s="258"/>
      <c r="AS617" s="202"/>
      <c r="AT617" s="213"/>
      <c r="AU617" s="213"/>
    </row>
    <row r="618" spans="40:47" s="121" customFormat="1" hidden="1">
      <c r="AN618" s="239"/>
      <c r="AO618" s="225"/>
      <c r="AP618" s="260"/>
      <c r="AQ618" s="258"/>
      <c r="AR618" s="258"/>
      <c r="AS618" s="202"/>
      <c r="AT618" s="213"/>
      <c r="AU618" s="213"/>
    </row>
    <row r="619" spans="40:47" s="121" customFormat="1" hidden="1">
      <c r="AN619" s="239"/>
      <c r="AO619" s="225"/>
      <c r="AP619" s="260"/>
      <c r="AQ619" s="258"/>
      <c r="AR619" s="258"/>
      <c r="AS619" s="202"/>
      <c r="AT619" s="213"/>
      <c r="AU619" s="213"/>
    </row>
    <row r="620" spans="40:47" s="121" customFormat="1" hidden="1">
      <c r="AN620" s="239"/>
      <c r="AO620" s="225"/>
      <c r="AP620" s="260"/>
      <c r="AQ620" s="258"/>
      <c r="AR620" s="258"/>
      <c r="AS620" s="202"/>
      <c r="AT620" s="213"/>
      <c r="AU620" s="213"/>
    </row>
    <row r="621" spans="40:47" s="121" customFormat="1" hidden="1">
      <c r="AN621" s="239"/>
      <c r="AO621" s="225"/>
      <c r="AP621" s="260"/>
      <c r="AQ621" s="258"/>
      <c r="AR621" s="258"/>
      <c r="AS621" s="202"/>
      <c r="AT621" s="213"/>
      <c r="AU621" s="213"/>
    </row>
    <row r="622" spans="40:47" s="121" customFormat="1" hidden="1">
      <c r="AN622" s="239"/>
      <c r="AO622" s="225"/>
      <c r="AP622" s="260"/>
      <c r="AQ622" s="258"/>
      <c r="AR622" s="258"/>
      <c r="AS622" s="202"/>
      <c r="AT622" s="213"/>
      <c r="AU622" s="213"/>
    </row>
    <row r="623" spans="40:47" s="121" customFormat="1" hidden="1">
      <c r="AN623" s="239"/>
      <c r="AO623" s="225"/>
      <c r="AP623" s="260"/>
      <c r="AQ623" s="258"/>
      <c r="AR623" s="258"/>
      <c r="AS623" s="202"/>
      <c r="AT623" s="213"/>
      <c r="AU623" s="213"/>
    </row>
    <row r="624" spans="40:47" s="121" customFormat="1" hidden="1">
      <c r="AN624" s="239"/>
      <c r="AO624" s="225"/>
      <c r="AP624" s="260"/>
      <c r="AQ624" s="258"/>
      <c r="AR624" s="258"/>
      <c r="AS624" s="202"/>
      <c r="AT624" s="213"/>
      <c r="AU624" s="213"/>
    </row>
    <row r="625" spans="40:47" s="121" customFormat="1" hidden="1">
      <c r="AN625" s="239"/>
      <c r="AO625" s="225"/>
      <c r="AP625" s="260"/>
      <c r="AQ625" s="258"/>
      <c r="AR625" s="258"/>
      <c r="AS625" s="202"/>
      <c r="AT625" s="213"/>
      <c r="AU625" s="213"/>
    </row>
    <row r="626" spans="40:47" s="121" customFormat="1" hidden="1">
      <c r="AN626" s="239"/>
      <c r="AO626" s="225"/>
      <c r="AP626" s="260"/>
      <c r="AQ626" s="258"/>
      <c r="AR626" s="258"/>
      <c r="AS626" s="202"/>
      <c r="AT626" s="213"/>
      <c r="AU626" s="213"/>
    </row>
    <row r="627" spans="40:47" s="121" customFormat="1" hidden="1">
      <c r="AN627" s="239"/>
      <c r="AO627" s="225"/>
      <c r="AP627" s="260"/>
      <c r="AQ627" s="258"/>
      <c r="AR627" s="258"/>
      <c r="AS627" s="202"/>
      <c r="AT627" s="213"/>
      <c r="AU627" s="213"/>
    </row>
    <row r="628" spans="40:47" s="121" customFormat="1" hidden="1">
      <c r="AN628" s="239"/>
      <c r="AO628" s="225"/>
      <c r="AP628" s="260"/>
      <c r="AQ628" s="258"/>
      <c r="AR628" s="258"/>
      <c r="AS628" s="202"/>
      <c r="AT628" s="213"/>
      <c r="AU628" s="213"/>
    </row>
    <row r="629" spans="40:47" s="121" customFormat="1" hidden="1">
      <c r="AN629" s="239"/>
      <c r="AO629" s="225"/>
      <c r="AP629" s="260"/>
      <c r="AQ629" s="258"/>
      <c r="AR629" s="258"/>
      <c r="AS629" s="202"/>
      <c r="AT629" s="213"/>
      <c r="AU629" s="213"/>
    </row>
    <row r="630" spans="40:47" s="121" customFormat="1" hidden="1">
      <c r="AN630" s="239"/>
      <c r="AO630" s="225"/>
      <c r="AP630" s="260"/>
      <c r="AQ630" s="258"/>
      <c r="AR630" s="258"/>
      <c r="AS630" s="202"/>
      <c r="AT630" s="213"/>
      <c r="AU630" s="213"/>
    </row>
    <row r="631" spans="40:47" s="121" customFormat="1" hidden="1">
      <c r="AN631" s="239"/>
      <c r="AO631" s="225"/>
      <c r="AP631" s="260"/>
      <c r="AQ631" s="258"/>
      <c r="AR631" s="258"/>
      <c r="AS631" s="202"/>
      <c r="AT631" s="213"/>
      <c r="AU631" s="213"/>
    </row>
    <row r="632" spans="40:47" s="121" customFormat="1" hidden="1">
      <c r="AN632" s="239"/>
      <c r="AO632" s="225"/>
      <c r="AP632" s="260"/>
      <c r="AQ632" s="258"/>
      <c r="AR632" s="258"/>
      <c r="AS632" s="202"/>
      <c r="AT632" s="213"/>
      <c r="AU632" s="213"/>
    </row>
    <row r="633" spans="40:47" s="121" customFormat="1" hidden="1">
      <c r="AN633" s="239"/>
      <c r="AO633" s="225"/>
      <c r="AP633" s="260"/>
      <c r="AQ633" s="258"/>
      <c r="AR633" s="258"/>
      <c r="AS633" s="202"/>
      <c r="AT633" s="213"/>
      <c r="AU633" s="213"/>
    </row>
    <row r="634" spans="40:47" s="121" customFormat="1" hidden="1">
      <c r="AN634" s="239"/>
      <c r="AO634" s="225"/>
      <c r="AP634" s="260"/>
      <c r="AQ634" s="258"/>
      <c r="AR634" s="258"/>
      <c r="AS634" s="202"/>
      <c r="AT634" s="213"/>
      <c r="AU634" s="213"/>
    </row>
    <row r="635" spans="40:47" s="121" customFormat="1" hidden="1">
      <c r="AN635" s="239"/>
      <c r="AO635" s="225"/>
      <c r="AP635" s="260"/>
      <c r="AQ635" s="258"/>
      <c r="AR635" s="258"/>
      <c r="AS635" s="202"/>
      <c r="AT635" s="213"/>
      <c r="AU635" s="213"/>
    </row>
    <row r="636" spans="40:47" s="121" customFormat="1" hidden="1">
      <c r="AN636" s="239"/>
      <c r="AO636" s="225"/>
      <c r="AP636" s="260"/>
      <c r="AQ636" s="258"/>
      <c r="AR636" s="258"/>
      <c r="AS636" s="202"/>
      <c r="AT636" s="213"/>
      <c r="AU636" s="213"/>
    </row>
    <row r="637" spans="40:47" s="121" customFormat="1" hidden="1">
      <c r="AN637" s="239"/>
      <c r="AO637" s="225"/>
      <c r="AP637" s="260"/>
      <c r="AQ637" s="258"/>
      <c r="AR637" s="258"/>
      <c r="AS637" s="202"/>
      <c r="AT637" s="213"/>
      <c r="AU637" s="213"/>
    </row>
    <row r="638" spans="40:47" s="121" customFormat="1" hidden="1">
      <c r="AN638" s="239"/>
      <c r="AO638" s="225"/>
      <c r="AP638" s="260"/>
      <c r="AQ638" s="258"/>
      <c r="AR638" s="258"/>
      <c r="AS638" s="202"/>
      <c r="AT638" s="213"/>
      <c r="AU638" s="213"/>
    </row>
    <row r="639" spans="40:47" s="121" customFormat="1" hidden="1">
      <c r="AN639" s="239"/>
      <c r="AO639" s="225"/>
      <c r="AP639" s="260"/>
      <c r="AQ639" s="258"/>
      <c r="AR639" s="258"/>
      <c r="AS639" s="202"/>
      <c r="AT639" s="213"/>
      <c r="AU639" s="213"/>
    </row>
    <row r="640" spans="40:47" s="121" customFormat="1" hidden="1">
      <c r="AN640" s="239"/>
      <c r="AO640" s="225"/>
      <c r="AP640" s="260"/>
      <c r="AQ640" s="258"/>
      <c r="AR640" s="258"/>
      <c r="AS640" s="202"/>
      <c r="AT640" s="213"/>
      <c r="AU640" s="213"/>
    </row>
    <row r="641" spans="40:47" s="121" customFormat="1" hidden="1">
      <c r="AN641" s="239"/>
      <c r="AO641" s="225"/>
      <c r="AP641" s="260"/>
      <c r="AQ641" s="258"/>
      <c r="AR641" s="258"/>
      <c r="AS641" s="202"/>
      <c r="AT641" s="213"/>
      <c r="AU641" s="213"/>
    </row>
    <row r="642" spans="40:47" s="121" customFormat="1" hidden="1">
      <c r="AN642" s="239"/>
      <c r="AO642" s="225"/>
      <c r="AP642" s="260"/>
      <c r="AQ642" s="258"/>
      <c r="AR642" s="258"/>
      <c r="AS642" s="202"/>
      <c r="AT642" s="213"/>
      <c r="AU642" s="213"/>
    </row>
    <row r="643" spans="40:47" s="121" customFormat="1" hidden="1">
      <c r="AN643" s="239"/>
      <c r="AO643" s="225"/>
      <c r="AP643" s="260"/>
      <c r="AQ643" s="258"/>
      <c r="AR643" s="258"/>
      <c r="AS643" s="202"/>
      <c r="AT643" s="213"/>
      <c r="AU643" s="213"/>
    </row>
    <row r="644" spans="40:47" s="121" customFormat="1" hidden="1">
      <c r="AN644" s="239"/>
      <c r="AO644" s="225"/>
      <c r="AP644" s="260"/>
      <c r="AQ644" s="258"/>
      <c r="AR644" s="258"/>
      <c r="AS644" s="202"/>
      <c r="AT644" s="213"/>
      <c r="AU644" s="213"/>
    </row>
    <row r="645" spans="40:47" s="121" customFormat="1" hidden="1">
      <c r="AN645" s="239"/>
      <c r="AO645" s="225"/>
      <c r="AP645" s="260"/>
      <c r="AQ645" s="258"/>
      <c r="AR645" s="258"/>
      <c r="AS645" s="202"/>
      <c r="AT645" s="213"/>
      <c r="AU645" s="213"/>
    </row>
    <row r="646" spans="40:47" s="121" customFormat="1" hidden="1">
      <c r="AN646" s="239"/>
      <c r="AO646" s="225"/>
      <c r="AP646" s="260"/>
      <c r="AQ646" s="258"/>
      <c r="AR646" s="258"/>
      <c r="AS646" s="202"/>
      <c r="AT646" s="213"/>
      <c r="AU646" s="213"/>
    </row>
    <row r="647" spans="40:47" s="121" customFormat="1" hidden="1">
      <c r="AN647" s="239"/>
      <c r="AO647" s="225"/>
      <c r="AP647" s="260"/>
      <c r="AQ647" s="258"/>
      <c r="AR647" s="258"/>
      <c r="AS647" s="202"/>
      <c r="AT647" s="213"/>
      <c r="AU647" s="213"/>
    </row>
    <row r="648" spans="40:47" s="121" customFormat="1" hidden="1">
      <c r="AN648" s="239"/>
      <c r="AO648" s="225"/>
      <c r="AP648" s="260"/>
      <c r="AQ648" s="258"/>
      <c r="AR648" s="258"/>
      <c r="AS648" s="202"/>
      <c r="AT648" s="213"/>
      <c r="AU648" s="213"/>
    </row>
    <row r="649" spans="40:47" s="121" customFormat="1" hidden="1">
      <c r="AN649" s="239"/>
      <c r="AO649" s="225"/>
      <c r="AP649" s="260"/>
      <c r="AQ649" s="258"/>
      <c r="AR649" s="258"/>
      <c r="AS649" s="202"/>
      <c r="AT649" s="213"/>
      <c r="AU649" s="213"/>
    </row>
    <row r="650" spans="40:47" s="121" customFormat="1" hidden="1">
      <c r="AN650" s="239"/>
      <c r="AO650" s="225"/>
      <c r="AP650" s="260"/>
      <c r="AQ650" s="258"/>
      <c r="AR650" s="258"/>
      <c r="AS650" s="202"/>
      <c r="AT650" s="213"/>
      <c r="AU650" s="213"/>
    </row>
    <row r="651" spans="40:47" s="121" customFormat="1" hidden="1">
      <c r="AN651" s="239"/>
      <c r="AO651" s="225"/>
      <c r="AP651" s="260"/>
      <c r="AQ651" s="258"/>
      <c r="AR651" s="258"/>
      <c r="AS651" s="202"/>
      <c r="AT651" s="213"/>
      <c r="AU651" s="213"/>
    </row>
    <row r="652" spans="40:47" s="121" customFormat="1" hidden="1">
      <c r="AN652" s="239"/>
      <c r="AO652" s="225"/>
      <c r="AP652" s="260"/>
      <c r="AQ652" s="258"/>
      <c r="AR652" s="258"/>
      <c r="AS652" s="202"/>
      <c r="AT652" s="213"/>
      <c r="AU652" s="213"/>
    </row>
    <row r="653" spans="40:47" s="121" customFormat="1" hidden="1">
      <c r="AN653" s="239"/>
      <c r="AO653" s="225"/>
      <c r="AP653" s="260"/>
      <c r="AQ653" s="258"/>
      <c r="AR653" s="258"/>
      <c r="AS653" s="202"/>
      <c r="AT653" s="213"/>
      <c r="AU653" s="213"/>
    </row>
    <row r="654" spans="40:47" s="121" customFormat="1" hidden="1">
      <c r="AN654" s="239"/>
      <c r="AO654" s="225"/>
      <c r="AP654" s="260"/>
      <c r="AQ654" s="258"/>
      <c r="AR654" s="258"/>
      <c r="AS654" s="202"/>
      <c r="AT654" s="213"/>
      <c r="AU654" s="213"/>
    </row>
    <row r="655" spans="40:47" s="121" customFormat="1" hidden="1">
      <c r="AN655" s="239"/>
      <c r="AO655" s="225"/>
      <c r="AP655" s="260"/>
      <c r="AQ655" s="258"/>
      <c r="AR655" s="258"/>
      <c r="AS655" s="202"/>
      <c r="AT655" s="213"/>
      <c r="AU655" s="213"/>
    </row>
    <row r="656" spans="40:47" s="121" customFormat="1" hidden="1">
      <c r="AN656" s="239"/>
      <c r="AO656" s="225"/>
      <c r="AP656" s="260"/>
      <c r="AQ656" s="258"/>
      <c r="AR656" s="258"/>
      <c r="AS656" s="202"/>
      <c r="AT656" s="213"/>
      <c r="AU656" s="213"/>
    </row>
    <row r="657" spans="40:47" s="121" customFormat="1" hidden="1">
      <c r="AN657" s="239"/>
      <c r="AO657" s="225"/>
      <c r="AP657" s="260"/>
      <c r="AQ657" s="258"/>
      <c r="AR657" s="258"/>
      <c r="AS657" s="202"/>
      <c r="AT657" s="213"/>
      <c r="AU657" s="213"/>
    </row>
    <row r="658" spans="40:47" s="121" customFormat="1" hidden="1">
      <c r="AN658" s="239"/>
      <c r="AO658" s="225"/>
      <c r="AP658" s="260"/>
      <c r="AQ658" s="258"/>
      <c r="AR658" s="258"/>
      <c r="AS658" s="202"/>
      <c r="AT658" s="213"/>
      <c r="AU658" s="213"/>
    </row>
    <row r="659" spans="40:47" s="121" customFormat="1" hidden="1">
      <c r="AN659" s="239"/>
      <c r="AO659" s="225"/>
      <c r="AP659" s="260"/>
      <c r="AQ659" s="258"/>
      <c r="AR659" s="258"/>
      <c r="AS659" s="202"/>
      <c r="AT659" s="213"/>
      <c r="AU659" s="213"/>
    </row>
    <row r="660" spans="40:47" s="121" customFormat="1" hidden="1">
      <c r="AN660" s="239"/>
      <c r="AO660" s="225"/>
      <c r="AP660" s="260"/>
      <c r="AQ660" s="258"/>
      <c r="AR660" s="258"/>
      <c r="AS660" s="202"/>
      <c r="AT660" s="213"/>
      <c r="AU660" s="213"/>
    </row>
    <row r="661" spans="40:47" s="121" customFormat="1" hidden="1">
      <c r="AN661" s="239"/>
      <c r="AO661" s="225"/>
      <c r="AP661" s="260"/>
      <c r="AQ661" s="258"/>
      <c r="AR661" s="258"/>
      <c r="AS661" s="202"/>
      <c r="AT661" s="213"/>
      <c r="AU661" s="213"/>
    </row>
    <row r="662" spans="40:47" s="121" customFormat="1" hidden="1">
      <c r="AN662" s="239"/>
      <c r="AO662" s="225"/>
      <c r="AP662" s="260"/>
      <c r="AQ662" s="258"/>
      <c r="AR662" s="258"/>
      <c r="AS662" s="202"/>
      <c r="AT662" s="213"/>
      <c r="AU662" s="213"/>
    </row>
    <row r="663" spans="40:47" s="121" customFormat="1" hidden="1">
      <c r="AN663" s="239"/>
      <c r="AO663" s="225"/>
      <c r="AP663" s="260"/>
      <c r="AQ663" s="258"/>
      <c r="AR663" s="258"/>
      <c r="AS663" s="202"/>
      <c r="AT663" s="213"/>
      <c r="AU663" s="213"/>
    </row>
    <row r="664" spans="40:47" s="121" customFormat="1" hidden="1">
      <c r="AN664" s="239"/>
      <c r="AO664" s="225"/>
      <c r="AP664" s="260"/>
      <c r="AQ664" s="258"/>
      <c r="AR664" s="258"/>
      <c r="AS664" s="202"/>
      <c r="AT664" s="213"/>
      <c r="AU664" s="213"/>
    </row>
    <row r="665" spans="40:47" s="121" customFormat="1" hidden="1">
      <c r="AN665" s="239"/>
      <c r="AO665" s="225"/>
      <c r="AP665" s="260"/>
      <c r="AQ665" s="258"/>
      <c r="AR665" s="258"/>
      <c r="AS665" s="202"/>
      <c r="AT665" s="213"/>
      <c r="AU665" s="213"/>
    </row>
    <row r="666" spans="40:47" s="121" customFormat="1" hidden="1">
      <c r="AN666" s="239"/>
      <c r="AO666" s="225"/>
      <c r="AP666" s="260"/>
      <c r="AQ666" s="258"/>
      <c r="AR666" s="258"/>
      <c r="AS666" s="202"/>
      <c r="AT666" s="213"/>
      <c r="AU666" s="213"/>
    </row>
    <row r="667" spans="40:47" s="121" customFormat="1" hidden="1">
      <c r="AN667" s="239"/>
      <c r="AO667" s="225"/>
      <c r="AP667" s="260"/>
      <c r="AQ667" s="258"/>
      <c r="AR667" s="258"/>
      <c r="AS667" s="202"/>
      <c r="AT667" s="213"/>
      <c r="AU667" s="213"/>
    </row>
    <row r="668" spans="40:47" s="121" customFormat="1" hidden="1">
      <c r="AN668" s="239"/>
      <c r="AO668" s="225"/>
      <c r="AP668" s="260"/>
      <c r="AQ668" s="258"/>
      <c r="AR668" s="258"/>
      <c r="AS668" s="202"/>
      <c r="AT668" s="213"/>
      <c r="AU668" s="213"/>
    </row>
    <row r="669" spans="40:47" s="121" customFormat="1" hidden="1">
      <c r="AN669" s="239"/>
      <c r="AO669" s="225"/>
      <c r="AP669" s="260"/>
      <c r="AQ669" s="258"/>
      <c r="AR669" s="258"/>
      <c r="AS669" s="202"/>
      <c r="AT669" s="213"/>
      <c r="AU669" s="213"/>
    </row>
    <row r="670" spans="40:47" s="121" customFormat="1" hidden="1">
      <c r="AN670" s="239"/>
      <c r="AO670" s="225"/>
      <c r="AP670" s="260"/>
      <c r="AQ670" s="258"/>
      <c r="AR670" s="258"/>
      <c r="AS670" s="202"/>
      <c r="AT670" s="213"/>
      <c r="AU670" s="213"/>
    </row>
    <row r="671" spans="40:47" s="121" customFormat="1" hidden="1">
      <c r="AN671" s="239"/>
      <c r="AO671" s="225"/>
      <c r="AP671" s="260"/>
      <c r="AQ671" s="258"/>
      <c r="AR671" s="258"/>
      <c r="AS671" s="202"/>
      <c r="AT671" s="213"/>
      <c r="AU671" s="213"/>
    </row>
    <row r="672" spans="40:47" s="121" customFormat="1" hidden="1">
      <c r="AN672" s="239"/>
      <c r="AO672" s="225"/>
      <c r="AP672" s="260"/>
      <c r="AQ672" s="258"/>
      <c r="AR672" s="258"/>
      <c r="AS672" s="202"/>
      <c r="AT672" s="213"/>
      <c r="AU672" s="213"/>
    </row>
    <row r="673" spans="40:47" s="121" customFormat="1" hidden="1">
      <c r="AN673" s="239"/>
      <c r="AO673" s="225"/>
      <c r="AP673" s="260"/>
      <c r="AQ673" s="258"/>
      <c r="AR673" s="258"/>
      <c r="AS673" s="202"/>
      <c r="AT673" s="213"/>
      <c r="AU673" s="213"/>
    </row>
    <row r="674" spans="40:47" s="121" customFormat="1" hidden="1">
      <c r="AN674" s="239"/>
      <c r="AO674" s="225"/>
      <c r="AP674" s="260"/>
      <c r="AQ674" s="258"/>
      <c r="AR674" s="258"/>
      <c r="AS674" s="202"/>
      <c r="AT674" s="213"/>
      <c r="AU674" s="213"/>
    </row>
    <row r="675" spans="40:47" s="121" customFormat="1" hidden="1">
      <c r="AN675" s="239"/>
      <c r="AO675" s="225"/>
      <c r="AP675" s="260"/>
      <c r="AQ675" s="258"/>
      <c r="AR675" s="258"/>
      <c r="AS675" s="202"/>
      <c r="AT675" s="213"/>
      <c r="AU675" s="213"/>
    </row>
    <row r="676" spans="40:47" s="121" customFormat="1" hidden="1">
      <c r="AN676" s="239"/>
      <c r="AO676" s="225"/>
      <c r="AP676" s="260"/>
      <c r="AQ676" s="258"/>
      <c r="AR676" s="258"/>
      <c r="AS676" s="202"/>
      <c r="AT676" s="213"/>
      <c r="AU676" s="213"/>
    </row>
    <row r="677" spans="40:47" s="121" customFormat="1" hidden="1">
      <c r="AN677" s="239"/>
      <c r="AO677" s="225"/>
      <c r="AP677" s="260"/>
      <c r="AQ677" s="258"/>
      <c r="AR677" s="258"/>
      <c r="AS677" s="202"/>
      <c r="AT677" s="213"/>
      <c r="AU677" s="213"/>
    </row>
    <row r="678" spans="40:47" s="121" customFormat="1" hidden="1">
      <c r="AN678" s="239"/>
      <c r="AO678" s="225"/>
      <c r="AP678" s="260"/>
      <c r="AQ678" s="258"/>
      <c r="AR678" s="258"/>
      <c r="AS678" s="202"/>
      <c r="AT678" s="213"/>
      <c r="AU678" s="213"/>
    </row>
    <row r="679" spans="40:47" s="121" customFormat="1" hidden="1">
      <c r="AN679" s="239"/>
      <c r="AO679" s="225"/>
      <c r="AP679" s="260"/>
      <c r="AQ679" s="258"/>
      <c r="AR679" s="258"/>
      <c r="AS679" s="202"/>
      <c r="AT679" s="213"/>
      <c r="AU679" s="213"/>
    </row>
    <row r="680" spans="40:47" s="121" customFormat="1" hidden="1">
      <c r="AN680" s="239"/>
      <c r="AO680" s="225"/>
      <c r="AP680" s="260"/>
      <c r="AQ680" s="258"/>
      <c r="AR680" s="258"/>
      <c r="AS680" s="202"/>
      <c r="AT680" s="213"/>
      <c r="AU680" s="213"/>
    </row>
    <row r="681" spans="40:47" s="121" customFormat="1" hidden="1">
      <c r="AN681" s="239"/>
      <c r="AO681" s="225"/>
      <c r="AP681" s="260"/>
      <c r="AQ681" s="258"/>
      <c r="AR681" s="258"/>
      <c r="AS681" s="202"/>
      <c r="AT681" s="213"/>
      <c r="AU681" s="213"/>
    </row>
    <row r="682" spans="40:47" s="121" customFormat="1" hidden="1">
      <c r="AN682" s="239"/>
      <c r="AO682" s="225"/>
      <c r="AP682" s="260"/>
      <c r="AQ682" s="258"/>
      <c r="AR682" s="258"/>
      <c r="AS682" s="202"/>
      <c r="AT682" s="213"/>
      <c r="AU682" s="213"/>
    </row>
    <row r="683" spans="40:47" s="121" customFormat="1" hidden="1">
      <c r="AN683" s="239"/>
      <c r="AO683" s="225"/>
      <c r="AP683" s="260"/>
      <c r="AQ683" s="258"/>
      <c r="AR683" s="258"/>
      <c r="AS683" s="202"/>
      <c r="AT683" s="213"/>
      <c r="AU683" s="213"/>
    </row>
    <row r="684" spans="40:47" s="121" customFormat="1" hidden="1">
      <c r="AN684" s="239"/>
      <c r="AO684" s="225"/>
      <c r="AP684" s="260"/>
      <c r="AQ684" s="258"/>
      <c r="AR684" s="258"/>
      <c r="AS684" s="202"/>
      <c r="AT684" s="213"/>
      <c r="AU684" s="213"/>
    </row>
    <row r="685" spans="40:47" s="121" customFormat="1" hidden="1">
      <c r="AN685" s="239"/>
      <c r="AO685" s="225"/>
      <c r="AP685" s="260"/>
      <c r="AQ685" s="258"/>
      <c r="AR685" s="258"/>
      <c r="AS685" s="202"/>
      <c r="AT685" s="213"/>
      <c r="AU685" s="213"/>
    </row>
    <row r="686" spans="40:47" s="121" customFormat="1" hidden="1">
      <c r="AN686" s="239"/>
      <c r="AO686" s="225"/>
      <c r="AP686" s="260"/>
      <c r="AQ686" s="258"/>
      <c r="AR686" s="258"/>
      <c r="AS686" s="202"/>
      <c r="AT686" s="213"/>
      <c r="AU686" s="213"/>
    </row>
    <row r="687" spans="40:47" s="121" customFormat="1" hidden="1">
      <c r="AN687" s="239"/>
      <c r="AO687" s="225"/>
      <c r="AP687" s="260"/>
      <c r="AQ687" s="258"/>
      <c r="AR687" s="258"/>
      <c r="AS687" s="202"/>
      <c r="AT687" s="213"/>
      <c r="AU687" s="213"/>
    </row>
    <row r="688" spans="40:47" s="121" customFormat="1" hidden="1">
      <c r="AN688" s="239"/>
      <c r="AO688" s="225"/>
      <c r="AP688" s="260"/>
      <c r="AQ688" s="258"/>
      <c r="AR688" s="258"/>
      <c r="AS688" s="202"/>
      <c r="AT688" s="213"/>
      <c r="AU688" s="213"/>
    </row>
    <row r="689" spans="40:47" s="121" customFormat="1" hidden="1">
      <c r="AN689" s="239"/>
      <c r="AO689" s="225"/>
      <c r="AP689" s="260"/>
      <c r="AQ689" s="258"/>
      <c r="AR689" s="258"/>
      <c r="AS689" s="202"/>
      <c r="AT689" s="213"/>
      <c r="AU689" s="213"/>
    </row>
    <row r="690" spans="40:47" s="121" customFormat="1" hidden="1">
      <c r="AN690" s="239"/>
      <c r="AO690" s="225"/>
      <c r="AP690" s="260"/>
      <c r="AQ690" s="258"/>
      <c r="AR690" s="258"/>
      <c r="AS690" s="202"/>
      <c r="AT690" s="213"/>
      <c r="AU690" s="213"/>
    </row>
    <row r="691" spans="40:47" s="121" customFormat="1" hidden="1">
      <c r="AN691" s="239"/>
      <c r="AO691" s="225"/>
      <c r="AP691" s="260"/>
      <c r="AQ691" s="258"/>
      <c r="AR691" s="258"/>
      <c r="AS691" s="202"/>
      <c r="AT691" s="213"/>
      <c r="AU691" s="213"/>
    </row>
    <row r="692" spans="40:47" s="121" customFormat="1" hidden="1">
      <c r="AN692" s="239"/>
      <c r="AO692" s="225"/>
      <c r="AP692" s="260"/>
      <c r="AQ692" s="258"/>
      <c r="AR692" s="258"/>
      <c r="AS692" s="202"/>
      <c r="AT692" s="213"/>
      <c r="AU692" s="213"/>
    </row>
    <row r="693" spans="40:47" s="121" customFormat="1" hidden="1">
      <c r="AN693" s="239"/>
      <c r="AO693" s="225"/>
      <c r="AP693" s="260"/>
      <c r="AQ693" s="258"/>
      <c r="AR693" s="258"/>
      <c r="AS693" s="202"/>
      <c r="AT693" s="213"/>
      <c r="AU693" s="213"/>
    </row>
    <row r="694" spans="40:47" s="121" customFormat="1" hidden="1">
      <c r="AN694" s="239"/>
      <c r="AO694" s="225"/>
      <c r="AP694" s="260"/>
      <c r="AQ694" s="258"/>
      <c r="AR694" s="258"/>
      <c r="AS694" s="202"/>
      <c r="AT694" s="213"/>
      <c r="AU694" s="213"/>
    </row>
    <row r="695" spans="40:47" s="121" customFormat="1" hidden="1">
      <c r="AN695" s="239"/>
      <c r="AO695" s="225"/>
      <c r="AP695" s="260"/>
      <c r="AQ695" s="258"/>
      <c r="AR695" s="258"/>
      <c r="AS695" s="202"/>
      <c r="AT695" s="213"/>
      <c r="AU695" s="213"/>
    </row>
    <row r="696" spans="40:47" s="121" customFormat="1" hidden="1">
      <c r="AN696" s="239"/>
      <c r="AO696" s="225"/>
      <c r="AP696" s="260"/>
      <c r="AQ696" s="258"/>
      <c r="AR696" s="258"/>
      <c r="AS696" s="202"/>
      <c r="AT696" s="213"/>
      <c r="AU696" s="213"/>
    </row>
    <row r="697" spans="40:47" s="121" customFormat="1" hidden="1">
      <c r="AN697" s="239"/>
      <c r="AO697" s="225"/>
      <c r="AP697" s="260"/>
      <c r="AQ697" s="258"/>
      <c r="AR697" s="258"/>
      <c r="AS697" s="202"/>
      <c r="AT697" s="213"/>
      <c r="AU697" s="213"/>
    </row>
    <row r="698" spans="40:47" s="121" customFormat="1" hidden="1">
      <c r="AN698" s="239"/>
      <c r="AO698" s="225"/>
      <c r="AP698" s="260"/>
      <c r="AQ698" s="258"/>
      <c r="AR698" s="258"/>
      <c r="AS698" s="202"/>
      <c r="AT698" s="213"/>
      <c r="AU698" s="213"/>
    </row>
    <row r="699" spans="40:47" s="121" customFormat="1" hidden="1">
      <c r="AN699" s="239"/>
      <c r="AO699" s="225"/>
      <c r="AP699" s="260"/>
      <c r="AQ699" s="258"/>
      <c r="AR699" s="258"/>
      <c r="AS699" s="202"/>
      <c r="AT699" s="213"/>
      <c r="AU699" s="213"/>
    </row>
    <row r="700" spans="40:47" s="121" customFormat="1">
      <c r="AN700" s="236" t="s">
        <v>2985</v>
      </c>
      <c r="AO700" s="225" t="s">
        <v>2986</v>
      </c>
      <c r="AP700" s="257">
        <f>SUM(AQ700:AR700)</f>
        <v>0</v>
      </c>
      <c r="AQ700" s="258"/>
      <c r="AR700" s="258"/>
      <c r="AS700" s="202"/>
      <c r="AT700" s="213"/>
      <c r="AU700" s="213"/>
    </row>
    <row r="701" spans="40:47" s="121" customFormat="1">
      <c r="AN701" s="236" t="s">
        <v>2987</v>
      </c>
      <c r="AO701" s="225" t="s">
        <v>2988</v>
      </c>
      <c r="AP701" s="257">
        <f>SUM(AQ701:AR701)</f>
        <v>0</v>
      </c>
      <c r="AQ701" s="258"/>
      <c r="AR701" s="258"/>
      <c r="AS701" s="202"/>
      <c r="AT701" s="213"/>
      <c r="AU701" s="213"/>
    </row>
    <row r="702" spans="40:47" s="121" customFormat="1" hidden="1" collapsed="1">
      <c r="AN702" s="239"/>
      <c r="AO702" s="226"/>
      <c r="AP702" s="260"/>
      <c r="AQ702" s="258"/>
      <c r="AR702" s="258"/>
      <c r="AS702" s="202"/>
      <c r="AT702" s="213"/>
      <c r="AU702" s="213"/>
    </row>
    <row r="703" spans="40:47" s="121" customFormat="1" hidden="1">
      <c r="AN703" s="239"/>
      <c r="AO703" s="227"/>
      <c r="AP703" s="260"/>
      <c r="AQ703" s="258"/>
      <c r="AR703" s="258"/>
      <c r="AS703" s="202"/>
      <c r="AT703" s="213"/>
      <c r="AU703" s="213"/>
    </row>
    <row r="704" spans="40:47" s="121" customFormat="1" hidden="1">
      <c r="AN704" s="239"/>
      <c r="AO704" s="227"/>
      <c r="AP704" s="260"/>
      <c r="AQ704" s="258"/>
      <c r="AR704" s="258"/>
      <c r="AS704" s="202"/>
      <c r="AT704" s="213"/>
      <c r="AU704" s="213"/>
    </row>
    <row r="705" spans="40:47" s="121" customFormat="1" hidden="1">
      <c r="AN705" s="239"/>
      <c r="AO705" s="226"/>
      <c r="AP705" s="260"/>
      <c r="AQ705" s="258"/>
      <c r="AR705" s="258"/>
      <c r="AS705" s="202"/>
      <c r="AT705" s="213"/>
      <c r="AU705" s="213"/>
    </row>
    <row r="706" spans="40:47" s="121" customFormat="1" hidden="1" collapsed="1">
      <c r="AN706" s="239"/>
      <c r="AO706" s="227"/>
      <c r="AP706" s="260"/>
      <c r="AQ706" s="258"/>
      <c r="AR706" s="258"/>
      <c r="AS706" s="202"/>
      <c r="AT706" s="213"/>
      <c r="AU706" s="213"/>
    </row>
    <row r="707" spans="40:47" s="121" customFormat="1" hidden="1">
      <c r="AN707" s="239"/>
      <c r="AO707" s="227"/>
      <c r="AP707" s="260"/>
      <c r="AQ707" s="258"/>
      <c r="AR707" s="258"/>
      <c r="AS707" s="202"/>
      <c r="AT707" s="213"/>
      <c r="AU707" s="213"/>
    </row>
    <row r="708" spans="40:47" s="121" customFormat="1" hidden="1">
      <c r="AN708" s="239"/>
      <c r="AO708" s="226"/>
      <c r="AP708" s="260"/>
      <c r="AQ708" s="258"/>
      <c r="AR708" s="258"/>
      <c r="AS708" s="202"/>
      <c r="AT708" s="213"/>
      <c r="AU708" s="213"/>
    </row>
    <row r="709" spans="40:47" s="121" customFormat="1" hidden="1">
      <c r="AN709" s="239"/>
      <c r="AO709" s="225"/>
      <c r="AP709" s="260"/>
      <c r="AQ709" s="258"/>
      <c r="AR709" s="258"/>
      <c r="AS709" s="202"/>
      <c r="AT709" s="213"/>
      <c r="AU709" s="213"/>
    </row>
    <row r="710" spans="40:47" s="121" customFormat="1" hidden="1" collapsed="1">
      <c r="AN710" s="239"/>
      <c r="AO710" s="225"/>
      <c r="AP710" s="260"/>
      <c r="AQ710" s="258"/>
      <c r="AR710" s="258"/>
      <c r="AS710" s="202"/>
      <c r="AT710" s="213"/>
      <c r="AU710" s="213"/>
    </row>
    <row r="711" spans="40:47" s="121" customFormat="1" hidden="1">
      <c r="AN711" s="239"/>
      <c r="AO711" s="225"/>
      <c r="AP711" s="260"/>
      <c r="AQ711" s="258"/>
      <c r="AR711" s="258"/>
      <c r="AS711" s="202"/>
      <c r="AT711" s="213"/>
      <c r="AU711" s="213"/>
    </row>
    <row r="712" spans="40:47" s="121" customFormat="1" hidden="1">
      <c r="AN712" s="239"/>
      <c r="AO712" s="225"/>
      <c r="AP712" s="260"/>
      <c r="AQ712" s="258"/>
      <c r="AR712" s="258"/>
      <c r="AS712" s="202"/>
      <c r="AT712" s="213"/>
      <c r="AU712" s="213"/>
    </row>
    <row r="713" spans="40:47" s="121" customFormat="1" hidden="1">
      <c r="AN713" s="239"/>
      <c r="AO713" s="225"/>
      <c r="AP713" s="260"/>
      <c r="AQ713" s="258"/>
      <c r="AR713" s="258"/>
      <c r="AS713" s="202"/>
      <c r="AT713" s="213"/>
      <c r="AU713" s="213"/>
    </row>
    <row r="714" spans="40:47" s="121" customFormat="1" hidden="1">
      <c r="AN714" s="239"/>
      <c r="AO714" s="225"/>
      <c r="AP714" s="260"/>
      <c r="AQ714" s="258"/>
      <c r="AR714" s="258"/>
      <c r="AS714" s="202"/>
      <c r="AT714" s="213"/>
      <c r="AU714" s="213"/>
    </row>
    <row r="715" spans="40:47" s="121" customFormat="1" hidden="1">
      <c r="AN715" s="239"/>
      <c r="AO715" s="225"/>
      <c r="AP715" s="260"/>
      <c r="AQ715" s="258"/>
      <c r="AR715" s="258"/>
      <c r="AS715" s="202"/>
      <c r="AT715" s="213"/>
      <c r="AU715" s="213"/>
    </row>
    <row r="716" spans="40:47" s="121" customFormat="1" hidden="1">
      <c r="AN716" s="239"/>
      <c r="AO716" s="225"/>
      <c r="AP716" s="260"/>
      <c r="AQ716" s="258"/>
      <c r="AR716" s="258"/>
      <c r="AS716" s="202"/>
      <c r="AT716" s="213"/>
      <c r="AU716" s="213"/>
    </row>
    <row r="717" spans="40:47" s="121" customFormat="1" hidden="1">
      <c r="AN717" s="239"/>
      <c r="AO717" s="225"/>
      <c r="AP717" s="260"/>
      <c r="AQ717" s="258"/>
      <c r="AR717" s="258"/>
      <c r="AS717" s="202"/>
      <c r="AT717" s="213"/>
      <c r="AU717" s="213"/>
    </row>
    <row r="718" spans="40:47" s="121" customFormat="1" hidden="1">
      <c r="AN718" s="239"/>
      <c r="AO718" s="225"/>
      <c r="AP718" s="260"/>
      <c r="AQ718" s="258"/>
      <c r="AR718" s="258"/>
      <c r="AS718" s="202"/>
      <c r="AT718" s="213"/>
      <c r="AU718" s="213"/>
    </row>
    <row r="719" spans="40:47" s="121" customFormat="1" hidden="1">
      <c r="AN719" s="239"/>
      <c r="AO719" s="225"/>
      <c r="AP719" s="260"/>
      <c r="AQ719" s="258"/>
      <c r="AR719" s="258"/>
      <c r="AS719" s="202"/>
      <c r="AT719" s="213"/>
      <c r="AU719" s="213"/>
    </row>
    <row r="720" spans="40:47" s="121" customFormat="1" hidden="1">
      <c r="AN720" s="239"/>
      <c r="AO720" s="225"/>
      <c r="AP720" s="260"/>
      <c r="AQ720" s="258"/>
      <c r="AR720" s="258"/>
      <c r="AS720" s="202"/>
      <c r="AT720" s="213"/>
      <c r="AU720" s="213"/>
    </row>
    <row r="721" spans="1:47" s="121" customFormat="1" hidden="1">
      <c r="AN721" s="239"/>
      <c r="AO721" s="225"/>
      <c r="AP721" s="260"/>
      <c r="AQ721" s="258"/>
      <c r="AR721" s="258"/>
      <c r="AS721" s="202"/>
      <c r="AT721" s="213"/>
      <c r="AU721" s="213"/>
    </row>
    <row r="722" spans="1:47" s="121" customFormat="1" hidden="1">
      <c r="AN722" s="239"/>
      <c r="AO722" s="225"/>
      <c r="AP722" s="260"/>
      <c r="AQ722" s="258"/>
      <c r="AR722" s="258"/>
      <c r="AS722" s="202"/>
      <c r="AT722" s="213"/>
      <c r="AU722" s="213"/>
    </row>
    <row r="723" spans="1:47" s="121" customFormat="1" hidden="1">
      <c r="AN723" s="239"/>
      <c r="AO723" s="225"/>
      <c r="AP723" s="260"/>
      <c r="AQ723" s="258"/>
      <c r="AR723" s="258"/>
      <c r="AS723" s="202"/>
      <c r="AT723" s="213"/>
      <c r="AU723" s="213"/>
    </row>
    <row r="724" spans="1:47" s="121" customFormat="1" hidden="1">
      <c r="AN724" s="239"/>
      <c r="AO724" s="225"/>
      <c r="AP724" s="260"/>
      <c r="AQ724" s="258"/>
      <c r="AR724" s="258"/>
      <c r="AS724" s="202"/>
      <c r="AT724" s="213"/>
      <c r="AU724" s="213"/>
    </row>
    <row r="725" spans="1:47" s="121" customFormat="1" hidden="1">
      <c r="AN725" s="239"/>
      <c r="AO725" s="225"/>
      <c r="AP725" s="260"/>
      <c r="AQ725" s="258"/>
      <c r="AR725" s="258"/>
      <c r="AS725" s="202"/>
      <c r="AT725" s="213"/>
      <c r="AU725" s="213"/>
    </row>
    <row r="726" spans="1:47" s="121" customFormat="1" hidden="1">
      <c r="AN726" s="239"/>
      <c r="AO726" s="225"/>
      <c r="AP726" s="260"/>
      <c r="AQ726" s="258"/>
      <c r="AR726" s="258"/>
      <c r="AS726" s="202"/>
      <c r="AT726" s="213"/>
      <c r="AU726" s="213"/>
    </row>
    <row r="727" spans="1:47">
      <c r="A727" s="51"/>
      <c r="B727" s="51"/>
      <c r="C727" s="51"/>
      <c r="D727" s="51"/>
      <c r="E727" s="51"/>
      <c r="F727" s="51"/>
      <c r="G727" s="51"/>
      <c r="H727" s="51"/>
      <c r="I727" s="51"/>
      <c r="J727" s="121"/>
      <c r="K727" s="121"/>
      <c r="L727" s="121"/>
      <c r="M727" s="121"/>
      <c r="N727" s="121"/>
      <c r="O727" s="121"/>
      <c r="P727" s="121"/>
      <c r="Q727" s="121"/>
      <c r="R727" s="121"/>
      <c r="S727" s="121"/>
      <c r="T727" s="121"/>
      <c r="U727" s="121"/>
      <c r="V727" s="121"/>
      <c r="W727" s="121"/>
      <c r="X727" s="121"/>
      <c r="Y727" s="121"/>
      <c r="Z727" s="121"/>
      <c r="AA727" s="121"/>
      <c r="AB727" s="121"/>
      <c r="AC727" s="121"/>
      <c r="AD727" s="121"/>
      <c r="AE727" s="121"/>
      <c r="AF727" s="121"/>
      <c r="AG727" s="121"/>
      <c r="AH727" s="121"/>
      <c r="AI727" s="121"/>
      <c r="AJ727" s="121"/>
      <c r="AK727" s="121"/>
      <c r="AL727" s="121"/>
      <c r="AM727" s="121"/>
      <c r="AN727" s="234" t="s">
        <v>769</v>
      </c>
      <c r="AO727" s="235" t="s">
        <v>2991</v>
      </c>
      <c r="AP727" s="257">
        <f>SUM(AQ727:AR727)</f>
        <v>0</v>
      </c>
      <c r="AQ727" s="258"/>
      <c r="AR727" s="258"/>
      <c r="AS727" s="202"/>
      <c r="AT727" s="48"/>
      <c r="AU727" s="48"/>
    </row>
    <row r="728" spans="1:47">
      <c r="A728" s="51"/>
      <c r="B728" s="51"/>
      <c r="C728" s="51"/>
      <c r="D728" s="51"/>
      <c r="E728" s="51"/>
      <c r="F728" s="51"/>
      <c r="G728" s="51"/>
      <c r="H728" s="51"/>
      <c r="I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3"/>
      <c r="AM728" s="124"/>
      <c r="AN728" s="234" t="s">
        <v>770</v>
      </c>
      <c r="AO728" s="442" t="s">
        <v>2992</v>
      </c>
      <c r="AP728" s="257">
        <f t="shared" ref="AP728:AP745" si="2">SUM(AQ728:AR728)</f>
        <v>0</v>
      </c>
      <c r="AQ728" s="258"/>
      <c r="AR728" s="258"/>
      <c r="AS728" s="127"/>
    </row>
    <row r="729" spans="1:47">
      <c r="A729" s="51"/>
      <c r="B729" s="51"/>
      <c r="C729" s="51"/>
      <c r="D729" s="51"/>
      <c r="E729" s="51"/>
      <c r="F729" s="51"/>
      <c r="G729" s="51"/>
      <c r="H729" s="51"/>
      <c r="I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3"/>
      <c r="AM729" s="124"/>
      <c r="AN729" s="236" t="s">
        <v>2993</v>
      </c>
      <c r="AO729" s="225" t="s">
        <v>2994</v>
      </c>
      <c r="AP729" s="257">
        <f t="shared" si="2"/>
        <v>0</v>
      </c>
      <c r="AQ729" s="258"/>
      <c r="AR729" s="258"/>
      <c r="AS729" s="127"/>
    </row>
    <row r="730" spans="1:47">
      <c r="A730" s="51"/>
      <c r="B730" s="51"/>
      <c r="C730" s="51"/>
      <c r="D730" s="51"/>
      <c r="E730" s="51"/>
      <c r="F730" s="51"/>
      <c r="G730" s="51"/>
      <c r="H730" s="51"/>
      <c r="I730" s="51"/>
      <c r="J730" s="121"/>
      <c r="K730" s="121"/>
      <c r="L730" s="121"/>
      <c r="M730" s="121"/>
      <c r="N730" s="121"/>
      <c r="O730" s="121"/>
      <c r="P730" s="121"/>
      <c r="Q730" s="121"/>
      <c r="R730" s="121"/>
      <c r="S730" s="121"/>
      <c r="T730" s="121"/>
      <c r="U730" s="121"/>
      <c r="V730" s="121"/>
      <c r="W730" s="121"/>
      <c r="X730" s="121"/>
      <c r="Y730" s="121"/>
      <c r="Z730" s="121"/>
      <c r="AA730" s="121"/>
      <c r="AB730" s="121"/>
      <c r="AC730" s="121"/>
      <c r="AD730" s="121"/>
      <c r="AE730" s="121"/>
      <c r="AF730" s="121"/>
      <c r="AG730" s="121"/>
      <c r="AH730" s="121"/>
      <c r="AI730" s="121"/>
      <c r="AJ730" s="121"/>
      <c r="AK730" s="121"/>
      <c r="AL730" s="121"/>
      <c r="AM730" s="121"/>
      <c r="AN730" s="236" t="s">
        <v>2995</v>
      </c>
      <c r="AO730" s="482" t="s">
        <v>2791</v>
      </c>
      <c r="AP730" s="257">
        <f t="shared" si="2"/>
        <v>0</v>
      </c>
      <c r="AQ730" s="258"/>
      <c r="AR730" s="258"/>
      <c r="AS730" s="202"/>
      <c r="AT730" s="48"/>
      <c r="AU730" s="48"/>
    </row>
    <row r="731" spans="1:47" hidden="1">
      <c r="A731" s="51"/>
      <c r="B731" s="51"/>
      <c r="C731" s="51"/>
      <c r="D731" s="51"/>
      <c r="E731" s="51"/>
      <c r="F731" s="51"/>
      <c r="G731" s="51"/>
      <c r="H731" s="51"/>
      <c r="I731" s="51"/>
      <c r="J731" s="121"/>
      <c r="K731" s="121"/>
      <c r="L731" s="121"/>
      <c r="M731" s="121"/>
      <c r="N731" s="121"/>
      <c r="O731" s="121"/>
      <c r="P731" s="121"/>
      <c r="Q731" s="121"/>
      <c r="R731" s="121"/>
      <c r="S731" s="121"/>
      <c r="T731" s="121"/>
      <c r="U731" s="121"/>
      <c r="V731" s="121"/>
      <c r="W731" s="121"/>
      <c r="X731" s="121"/>
      <c r="Y731" s="121"/>
      <c r="Z731" s="121"/>
      <c r="AA731" s="121"/>
      <c r="AB731" s="121"/>
      <c r="AC731" s="121"/>
      <c r="AD731" s="121"/>
      <c r="AE731" s="121"/>
      <c r="AF731" s="121"/>
      <c r="AG731" s="121"/>
      <c r="AH731" s="121"/>
      <c r="AI731" s="121"/>
      <c r="AJ731" s="121"/>
      <c r="AK731" s="121"/>
      <c r="AL731" s="121"/>
      <c r="AM731" s="121"/>
      <c r="AN731" s="594" t="str">
        <f>IF(TEMPLATE_CLAIM="P","5.1.1.1.1","")</f>
        <v/>
      </c>
      <c r="AO731" s="593" t="str">
        <f>IF(TEMPLATE_CLAIM="P","от станций с мощностью производства &gt;= 25 МВт","")</f>
        <v/>
      </c>
      <c r="AP731" s="257">
        <f t="shared" si="2"/>
        <v>0</v>
      </c>
      <c r="AQ731" s="258"/>
      <c r="AR731" s="258"/>
      <c r="AS731" s="202"/>
      <c r="AT731" s="48"/>
      <c r="AU731" s="48"/>
    </row>
    <row r="732" spans="1:47" hidden="1">
      <c r="A732" s="51"/>
      <c r="B732" s="51"/>
      <c r="C732" s="51"/>
      <c r="D732" s="51"/>
      <c r="E732" s="51"/>
      <c r="F732" s="51"/>
      <c r="G732" s="51"/>
      <c r="H732" s="51"/>
      <c r="I732" s="51"/>
      <c r="J732" s="121"/>
      <c r="K732" s="121"/>
      <c r="L732" s="121"/>
      <c r="M732" s="121"/>
      <c r="N732" s="121"/>
      <c r="O732" s="121"/>
      <c r="P732" s="121"/>
      <c r="Q732" s="121"/>
      <c r="R732" s="121"/>
      <c r="S732" s="121"/>
      <c r="T732" s="121"/>
      <c r="U732" s="121"/>
      <c r="V732" s="121"/>
      <c r="W732" s="121"/>
      <c r="X732" s="121"/>
      <c r="Y732" s="121"/>
      <c r="Z732" s="121"/>
      <c r="AA732" s="121"/>
      <c r="AB732" s="121"/>
      <c r="AC732" s="121"/>
      <c r="AD732" s="121"/>
      <c r="AE732" s="121"/>
      <c r="AF732" s="121"/>
      <c r="AG732" s="121"/>
      <c r="AH732" s="121"/>
      <c r="AI732" s="121"/>
      <c r="AJ732" s="121"/>
      <c r="AK732" s="121"/>
      <c r="AL732" s="121"/>
      <c r="AM732" s="121"/>
      <c r="AN732" s="594" t="str">
        <f>IF(TEMPLATE_CLAIM="P","5.1.1.1.2","")</f>
        <v/>
      </c>
      <c r="AO732" s="593" t="str">
        <f>IF(TEMPLATE_CLAIM="P","от станций с мощностью производства &lt; 25 МВт","")</f>
        <v/>
      </c>
      <c r="AP732" s="257">
        <f t="shared" si="2"/>
        <v>0</v>
      </c>
      <c r="AQ732" s="258"/>
      <c r="AR732" s="258"/>
      <c r="AS732" s="202"/>
      <c r="AT732" s="48"/>
      <c r="AU732" s="48"/>
    </row>
    <row r="733" spans="1:47" ht="0.75" hidden="1" customHeight="1">
      <c r="A733" s="51"/>
      <c r="B733" s="51"/>
      <c r="C733" s="51"/>
      <c r="D733" s="51"/>
      <c r="E733" s="51"/>
      <c r="F733" s="51"/>
      <c r="G733" s="51"/>
      <c r="H733" s="51"/>
      <c r="I733" s="51"/>
      <c r="J733" s="121"/>
      <c r="K733" s="121"/>
      <c r="L733" s="121"/>
      <c r="M733" s="121"/>
      <c r="N733" s="121"/>
      <c r="O733" s="121"/>
      <c r="P733" s="121"/>
      <c r="Q733" s="121"/>
      <c r="R733" s="121"/>
      <c r="S733" s="121"/>
      <c r="T733" s="121"/>
      <c r="U733" s="121"/>
      <c r="V733" s="121"/>
      <c r="W733" s="121"/>
      <c r="X733" s="121"/>
      <c r="Y733" s="121"/>
      <c r="Z733" s="121"/>
      <c r="AA733" s="121"/>
      <c r="AB733" s="121"/>
      <c r="AC733" s="121"/>
      <c r="AD733" s="121"/>
      <c r="AE733" s="121"/>
      <c r="AF733" s="121"/>
      <c r="AG733" s="121"/>
      <c r="AH733" s="121"/>
      <c r="AI733" s="121"/>
      <c r="AJ733" s="121"/>
      <c r="AK733" s="121"/>
      <c r="AL733" s="121"/>
      <c r="AM733" s="121"/>
      <c r="AN733" s="236"/>
      <c r="AO733" s="243"/>
      <c r="AP733" s="260"/>
      <c r="AQ733" s="258"/>
      <c r="AR733" s="258"/>
      <c r="AS733" s="202"/>
      <c r="AT733" s="48"/>
      <c r="AU733" s="48"/>
    </row>
    <row r="734" spans="1:47">
      <c r="A734" s="51"/>
      <c r="B734" s="51"/>
      <c r="C734" s="51"/>
      <c r="D734" s="51"/>
      <c r="E734" s="51"/>
      <c r="F734" s="51"/>
      <c r="G734" s="51"/>
      <c r="H734" s="51"/>
      <c r="I734" s="51"/>
      <c r="J734" s="121"/>
      <c r="K734" s="121"/>
      <c r="L734" s="121"/>
      <c r="M734" s="121"/>
      <c r="N734" s="121"/>
      <c r="O734" s="121"/>
      <c r="P734" s="121"/>
      <c r="Q734" s="121"/>
      <c r="R734" s="121"/>
      <c r="S734" s="121"/>
      <c r="T734" s="121"/>
      <c r="U734" s="121"/>
      <c r="V734" s="121"/>
      <c r="W734" s="121"/>
      <c r="X734" s="121"/>
      <c r="Y734" s="121"/>
      <c r="Z734" s="121"/>
      <c r="AA734" s="121"/>
      <c r="AB734" s="121"/>
      <c r="AC734" s="121"/>
      <c r="AD734" s="121"/>
      <c r="AE734" s="121"/>
      <c r="AF734" s="121"/>
      <c r="AG734" s="121"/>
      <c r="AH734" s="121"/>
      <c r="AI734" s="121"/>
      <c r="AJ734" s="121"/>
      <c r="AK734" s="121"/>
      <c r="AL734" s="121"/>
      <c r="AM734" s="121"/>
      <c r="AN734" s="236" t="s">
        <v>2998</v>
      </c>
      <c r="AO734" s="482" t="s">
        <v>755</v>
      </c>
      <c r="AP734" s="257">
        <f t="shared" si="2"/>
        <v>0</v>
      </c>
      <c r="AQ734" s="258"/>
      <c r="AR734" s="258"/>
      <c r="AS734" s="202"/>
      <c r="AT734" s="48"/>
      <c r="AU734" s="48"/>
    </row>
    <row r="735" spans="1:47" hidden="1">
      <c r="A735" s="51"/>
      <c r="B735" s="51"/>
      <c r="C735" s="51"/>
      <c r="D735" s="51"/>
      <c r="E735" s="51"/>
      <c r="F735" s="51"/>
      <c r="G735" s="51"/>
      <c r="H735" s="51"/>
      <c r="I735" s="51"/>
      <c r="J735" s="121"/>
      <c r="K735" s="121"/>
      <c r="L735" s="121"/>
      <c r="M735" s="121"/>
      <c r="N735" s="121"/>
      <c r="O735" s="121"/>
      <c r="P735" s="121"/>
      <c r="Q735" s="121"/>
      <c r="R735" s="121"/>
      <c r="S735" s="121"/>
      <c r="T735" s="121"/>
      <c r="U735" s="121"/>
      <c r="V735" s="121"/>
      <c r="W735" s="121"/>
      <c r="X735" s="121"/>
      <c r="Y735" s="121"/>
      <c r="Z735" s="121"/>
      <c r="AA735" s="121"/>
      <c r="AB735" s="121"/>
      <c r="AC735" s="121"/>
      <c r="AD735" s="121"/>
      <c r="AE735" s="121"/>
      <c r="AF735" s="121"/>
      <c r="AG735" s="121"/>
      <c r="AH735" s="121"/>
      <c r="AI735" s="121"/>
      <c r="AJ735" s="121"/>
      <c r="AK735" s="121"/>
      <c r="AL735" s="121"/>
      <c r="AM735" s="121"/>
      <c r="AN735" s="594" t="str">
        <f>IF(TEMPLATE_CLAIM="P","5.1.1.2.1","")</f>
        <v/>
      </c>
      <c r="AO735" s="593" t="str">
        <f>IF(TEMPLATE_CLAIM="P","от станций с мощностью производства &gt;= 25 МВт","")</f>
        <v/>
      </c>
      <c r="AP735" s="257">
        <f t="shared" si="2"/>
        <v>0</v>
      </c>
      <c r="AQ735" s="258"/>
      <c r="AR735" s="258"/>
      <c r="AS735" s="202"/>
      <c r="AT735" s="48"/>
      <c r="AU735" s="48"/>
    </row>
    <row r="736" spans="1:47" hidden="1">
      <c r="A736" s="51"/>
      <c r="B736" s="51"/>
      <c r="C736" s="51"/>
      <c r="D736" s="51"/>
      <c r="E736" s="51"/>
      <c r="F736" s="51"/>
      <c r="G736" s="51"/>
      <c r="H736" s="51"/>
      <c r="I736" s="51"/>
      <c r="J736" s="121"/>
      <c r="K736" s="121"/>
      <c r="L736" s="121"/>
      <c r="M736" s="121"/>
      <c r="N736" s="121"/>
      <c r="O736" s="121"/>
      <c r="P736" s="121"/>
      <c r="Q736" s="121"/>
      <c r="R736" s="121"/>
      <c r="S736" s="121"/>
      <c r="T736" s="121"/>
      <c r="U736" s="121"/>
      <c r="V736" s="121"/>
      <c r="W736" s="121"/>
      <c r="X736" s="121"/>
      <c r="Y736" s="121"/>
      <c r="Z736" s="121"/>
      <c r="AA736" s="121"/>
      <c r="AB736" s="121"/>
      <c r="AC736" s="121"/>
      <c r="AD736" s="121"/>
      <c r="AE736" s="121"/>
      <c r="AF736" s="121"/>
      <c r="AG736" s="121"/>
      <c r="AH736" s="121"/>
      <c r="AI736" s="121"/>
      <c r="AJ736" s="121"/>
      <c r="AK736" s="121"/>
      <c r="AL736" s="121"/>
      <c r="AM736" s="121"/>
      <c r="AN736" s="594" t="str">
        <f>IF(TEMPLATE_CLAIM="P","5.1.1.2.2","")</f>
        <v/>
      </c>
      <c r="AO736" s="593" t="str">
        <f>IF(TEMPLATE_CLAIM="P","от станций с мощностью производства &lt; 25 МВт","")</f>
        <v/>
      </c>
      <c r="AP736" s="257">
        <f t="shared" si="2"/>
        <v>0</v>
      </c>
      <c r="AQ736" s="258"/>
      <c r="AR736" s="258"/>
      <c r="AS736" s="202"/>
      <c r="AT736" s="48"/>
      <c r="AU736" s="48"/>
    </row>
    <row r="737" spans="1:47" ht="0.75" hidden="1" customHeight="1">
      <c r="A737" s="51"/>
      <c r="B737" s="51"/>
      <c r="C737" s="51"/>
      <c r="D737" s="51"/>
      <c r="E737" s="51"/>
      <c r="F737" s="51"/>
      <c r="G737" s="51"/>
      <c r="H737" s="51"/>
      <c r="I737" s="51"/>
      <c r="J737" s="121"/>
      <c r="K737" s="121"/>
      <c r="L737" s="121"/>
      <c r="M737" s="121"/>
      <c r="N737" s="121"/>
      <c r="O737" s="121"/>
      <c r="P737" s="121"/>
      <c r="Q737" s="121"/>
      <c r="R737" s="121"/>
      <c r="S737" s="121"/>
      <c r="T737" s="121"/>
      <c r="U737" s="121"/>
      <c r="V737" s="121"/>
      <c r="W737" s="121"/>
      <c r="X737" s="121"/>
      <c r="Y737" s="121"/>
      <c r="Z737" s="121"/>
      <c r="AA737" s="121"/>
      <c r="AB737" s="121"/>
      <c r="AC737" s="121"/>
      <c r="AD737" s="121"/>
      <c r="AE737" s="121"/>
      <c r="AF737" s="121"/>
      <c r="AG737" s="121"/>
      <c r="AH737" s="121"/>
      <c r="AI737" s="121"/>
      <c r="AJ737" s="121"/>
      <c r="AK737" s="121"/>
      <c r="AL737" s="121"/>
      <c r="AM737" s="121"/>
      <c r="AN737" s="436"/>
      <c r="AO737" s="243"/>
      <c r="AP737" s="260"/>
      <c r="AQ737" s="258"/>
      <c r="AR737" s="258"/>
      <c r="AS737" s="202"/>
      <c r="AT737" s="48"/>
      <c r="AU737" s="48"/>
    </row>
    <row r="738" spans="1:47">
      <c r="A738" s="51"/>
      <c r="B738" s="51"/>
      <c r="C738" s="51"/>
      <c r="D738" s="51"/>
      <c r="E738" s="51"/>
      <c r="F738" s="51"/>
      <c r="G738" s="51"/>
      <c r="H738" s="51"/>
      <c r="I738" s="51"/>
      <c r="J738" s="121"/>
      <c r="K738" s="121"/>
      <c r="L738" s="121"/>
      <c r="M738" s="121"/>
      <c r="N738" s="121"/>
      <c r="O738" s="121"/>
      <c r="P738" s="121"/>
      <c r="Q738" s="121"/>
      <c r="R738" s="121"/>
      <c r="S738" s="121"/>
      <c r="T738" s="121"/>
      <c r="U738" s="121"/>
      <c r="V738" s="121"/>
      <c r="W738" s="121"/>
      <c r="X738" s="121"/>
      <c r="Y738" s="121"/>
      <c r="Z738" s="121"/>
      <c r="AA738" s="121"/>
      <c r="AB738" s="121"/>
      <c r="AC738" s="121"/>
      <c r="AD738" s="121"/>
      <c r="AE738" s="121"/>
      <c r="AF738" s="121"/>
      <c r="AG738" s="121"/>
      <c r="AH738" s="121"/>
      <c r="AI738" s="121"/>
      <c r="AJ738" s="121"/>
      <c r="AK738" s="121"/>
      <c r="AL738" s="121"/>
      <c r="AM738" s="121"/>
      <c r="AN738" s="236" t="s">
        <v>2999</v>
      </c>
      <c r="AO738" s="482" t="s">
        <v>2792</v>
      </c>
      <c r="AP738" s="257">
        <f t="shared" si="2"/>
        <v>0</v>
      </c>
      <c r="AQ738" s="258"/>
      <c r="AR738" s="258"/>
      <c r="AS738" s="202"/>
      <c r="AT738" s="48"/>
      <c r="AU738" s="48"/>
    </row>
    <row r="739" spans="1:47" hidden="1">
      <c r="A739" s="51"/>
      <c r="B739" s="51"/>
      <c r="C739" s="51"/>
      <c r="D739" s="51"/>
      <c r="E739" s="51"/>
      <c r="F739" s="51"/>
      <c r="G739" s="51"/>
      <c r="H739" s="51"/>
      <c r="I739" s="51"/>
      <c r="J739" s="121"/>
      <c r="K739" s="121"/>
      <c r="L739" s="121"/>
      <c r="M739" s="121"/>
      <c r="N739" s="121"/>
      <c r="O739" s="121"/>
      <c r="P739" s="121"/>
      <c r="Q739" s="121"/>
      <c r="R739" s="121"/>
      <c r="S739" s="121"/>
      <c r="T739" s="121"/>
      <c r="U739" s="121"/>
      <c r="V739" s="121"/>
      <c r="W739" s="121"/>
      <c r="X739" s="121"/>
      <c r="Y739" s="121"/>
      <c r="Z739" s="121"/>
      <c r="AA739" s="121"/>
      <c r="AB739" s="121"/>
      <c r="AC739" s="121"/>
      <c r="AD739" s="121"/>
      <c r="AE739" s="121"/>
      <c r="AF739" s="121"/>
      <c r="AG739" s="121"/>
      <c r="AH739" s="121"/>
      <c r="AI739" s="121"/>
      <c r="AJ739" s="121"/>
      <c r="AK739" s="121"/>
      <c r="AL739" s="121"/>
      <c r="AM739" s="121"/>
      <c r="AN739" s="594" t="str">
        <f>IF(TEMPLATE_CLAIM="P","5.1.1.3.1","")</f>
        <v/>
      </c>
      <c r="AO739" s="593" t="str">
        <f>IF(TEMPLATE_CLAIM="P","от станций с мощностью производства &gt;= 25 МВт","")</f>
        <v/>
      </c>
      <c r="AP739" s="257">
        <f t="shared" si="2"/>
        <v>0</v>
      </c>
      <c r="AQ739" s="258"/>
      <c r="AR739" s="258"/>
      <c r="AS739" s="202"/>
      <c r="AT739" s="48"/>
      <c r="AU739" s="48"/>
    </row>
    <row r="740" spans="1:47" hidden="1">
      <c r="A740" s="51"/>
      <c r="B740" s="51"/>
      <c r="C740" s="51"/>
      <c r="D740" s="51"/>
      <c r="E740" s="51"/>
      <c r="F740" s="51"/>
      <c r="G740" s="51"/>
      <c r="H740" s="51"/>
      <c r="I740" s="51"/>
      <c r="J740" s="121"/>
      <c r="K740" s="121"/>
      <c r="L740" s="121"/>
      <c r="M740" s="121"/>
      <c r="N740" s="121"/>
      <c r="O740" s="121"/>
      <c r="P740" s="121"/>
      <c r="Q740" s="121"/>
      <c r="R740" s="121"/>
      <c r="S740" s="121"/>
      <c r="T740" s="121"/>
      <c r="U740" s="121"/>
      <c r="V740" s="121"/>
      <c r="W740" s="121"/>
      <c r="X740" s="121"/>
      <c r="Y740" s="121"/>
      <c r="Z740" s="121"/>
      <c r="AA740" s="121"/>
      <c r="AB740" s="121"/>
      <c r="AC740" s="121"/>
      <c r="AD740" s="121"/>
      <c r="AE740" s="121"/>
      <c r="AF740" s="121"/>
      <c r="AG740" s="121"/>
      <c r="AH740" s="121"/>
      <c r="AI740" s="121"/>
      <c r="AJ740" s="121"/>
      <c r="AK740" s="121"/>
      <c r="AL740" s="121"/>
      <c r="AM740" s="121"/>
      <c r="AN740" s="594" t="str">
        <f>IF(TEMPLATE_CLAIM="P","5.1.1.3.2","")</f>
        <v/>
      </c>
      <c r="AO740" s="593" t="str">
        <f>IF(TEMPLATE_CLAIM="P","от станций с мощностью производства &lt; 25 МВт","")</f>
        <v/>
      </c>
      <c r="AP740" s="257">
        <f t="shared" si="2"/>
        <v>0</v>
      </c>
      <c r="AQ740" s="258"/>
      <c r="AR740" s="258"/>
      <c r="AS740" s="202"/>
      <c r="AT740" s="48"/>
      <c r="AU740" s="48"/>
    </row>
    <row r="741" spans="1:47" hidden="1">
      <c r="A741" s="51"/>
      <c r="B741" s="51"/>
      <c r="C741" s="51"/>
      <c r="D741" s="51"/>
      <c r="E741" s="51"/>
      <c r="F741" s="51"/>
      <c r="G741" s="51"/>
      <c r="H741" s="51"/>
      <c r="I741" s="51"/>
      <c r="J741" s="121"/>
      <c r="K741" s="121"/>
      <c r="L741" s="121"/>
      <c r="M741" s="121"/>
      <c r="N741" s="121"/>
      <c r="O741" s="121"/>
      <c r="P741" s="121"/>
      <c r="Q741" s="121"/>
      <c r="R741" s="121"/>
      <c r="S741" s="121"/>
      <c r="T741" s="121"/>
      <c r="U741" s="121"/>
      <c r="V741" s="121"/>
      <c r="W741" s="121"/>
      <c r="X741" s="121"/>
      <c r="Y741" s="121"/>
      <c r="Z741" s="121"/>
      <c r="AA741" s="121"/>
      <c r="AB741" s="121"/>
      <c r="AC741" s="121"/>
      <c r="AD741" s="121"/>
      <c r="AE741" s="121"/>
      <c r="AF741" s="121"/>
      <c r="AG741" s="121"/>
      <c r="AH741" s="121"/>
      <c r="AI741" s="121"/>
      <c r="AJ741" s="121"/>
      <c r="AK741" s="121"/>
      <c r="AL741" s="121"/>
      <c r="AM741" s="121"/>
      <c r="AN741" s="594" t="str">
        <f>IF(TEMPLATE_CLAIM="P","5.1.1.3.3","")</f>
        <v/>
      </c>
      <c r="AO741" s="593" t="str">
        <f>IF(TEMPLATE_CLAIM="P","от котельных (некомбинированная выработка)","")</f>
        <v/>
      </c>
      <c r="AP741" s="257">
        <f t="shared" si="2"/>
        <v>0</v>
      </c>
      <c r="AQ741" s="258"/>
      <c r="AR741" s="258"/>
      <c r="AS741" s="202"/>
      <c r="AT741" s="48"/>
      <c r="AU741" s="48"/>
    </row>
    <row r="742" spans="1:47">
      <c r="A742" s="51"/>
      <c r="B742" s="51"/>
      <c r="C742" s="51"/>
      <c r="D742" s="51"/>
      <c r="E742" s="51"/>
      <c r="F742" s="51"/>
      <c r="G742" s="51"/>
      <c r="H742" s="51"/>
      <c r="I742" s="51"/>
      <c r="J742" s="121"/>
      <c r="K742" s="121"/>
      <c r="L742" s="121"/>
      <c r="M742" s="121"/>
      <c r="N742" s="121"/>
      <c r="O742" s="121"/>
      <c r="P742" s="121"/>
      <c r="Q742" s="121"/>
      <c r="R742" s="121"/>
      <c r="S742" s="121"/>
      <c r="T742" s="121"/>
      <c r="U742" s="121"/>
      <c r="V742" s="121"/>
      <c r="W742" s="121"/>
      <c r="X742" s="121"/>
      <c r="Y742" s="121"/>
      <c r="Z742" s="121"/>
      <c r="AA742" s="121"/>
      <c r="AB742" s="121"/>
      <c r="AC742" s="121"/>
      <c r="AD742" s="121"/>
      <c r="AE742" s="121"/>
      <c r="AF742" s="121"/>
      <c r="AG742" s="121"/>
      <c r="AH742" s="121"/>
      <c r="AI742" s="121"/>
      <c r="AJ742" s="121"/>
      <c r="AK742" s="121"/>
      <c r="AL742" s="121"/>
      <c r="AM742" s="121"/>
      <c r="AN742" s="236" t="s">
        <v>3002</v>
      </c>
      <c r="AO742" s="482" t="s">
        <v>756</v>
      </c>
      <c r="AP742" s="257">
        <f t="shared" si="2"/>
        <v>0</v>
      </c>
      <c r="AQ742" s="258"/>
      <c r="AR742" s="258"/>
      <c r="AS742" s="202"/>
      <c r="AT742" s="48"/>
      <c r="AU742" s="48"/>
    </row>
    <row r="743" spans="1:47" hidden="1">
      <c r="A743" s="51"/>
      <c r="B743" s="51"/>
      <c r="C743" s="51"/>
      <c r="D743" s="51"/>
      <c r="E743" s="51"/>
      <c r="F743" s="51"/>
      <c r="G743" s="51"/>
      <c r="H743" s="51"/>
      <c r="I743" s="51"/>
      <c r="J743" s="121"/>
      <c r="K743" s="121"/>
      <c r="L743" s="121"/>
      <c r="M743" s="121"/>
      <c r="N743" s="121"/>
      <c r="O743" s="121"/>
      <c r="P743" s="121"/>
      <c r="Q743" s="121"/>
      <c r="R743" s="121"/>
      <c r="S743" s="121"/>
      <c r="T743" s="121"/>
      <c r="U743" s="121"/>
      <c r="V743" s="121"/>
      <c r="W743" s="121"/>
      <c r="X743" s="121"/>
      <c r="Y743" s="121"/>
      <c r="Z743" s="121"/>
      <c r="AA743" s="121"/>
      <c r="AB743" s="121"/>
      <c r="AC743" s="121"/>
      <c r="AD743" s="121"/>
      <c r="AE743" s="121"/>
      <c r="AF743" s="121"/>
      <c r="AG743" s="121"/>
      <c r="AH743" s="121"/>
      <c r="AI743" s="121"/>
      <c r="AJ743" s="121"/>
      <c r="AK743" s="121"/>
      <c r="AL743" s="121"/>
      <c r="AM743" s="121"/>
      <c r="AN743" s="594" t="str">
        <f>IF(TEMPLATE_CLAIM="P","5.1.1.4.1","")</f>
        <v/>
      </c>
      <c r="AO743" s="593" t="str">
        <f>IF(TEMPLATE_CLAIM="P","от станций с мощностью производства &gt;= 25 МВт","")</f>
        <v/>
      </c>
      <c r="AP743" s="257">
        <f t="shared" si="2"/>
        <v>0</v>
      </c>
      <c r="AQ743" s="258"/>
      <c r="AR743" s="258"/>
      <c r="AS743" s="202"/>
      <c r="AT743" s="48"/>
      <c r="AU743" s="48"/>
    </row>
    <row r="744" spans="1:47" hidden="1">
      <c r="A744" s="51"/>
      <c r="B744" s="51"/>
      <c r="C744" s="51"/>
      <c r="D744" s="51"/>
      <c r="E744" s="51"/>
      <c r="F744" s="51"/>
      <c r="G744" s="51"/>
      <c r="H744" s="51"/>
      <c r="I744" s="51"/>
      <c r="J744" s="121"/>
      <c r="K744" s="121"/>
      <c r="L744" s="121"/>
      <c r="M744" s="121"/>
      <c r="N744" s="121"/>
      <c r="O744" s="121"/>
      <c r="P744" s="121"/>
      <c r="Q744" s="121"/>
      <c r="R744" s="121"/>
      <c r="S744" s="121"/>
      <c r="T744" s="121"/>
      <c r="U744" s="121"/>
      <c r="V744" s="121"/>
      <c r="W744" s="121"/>
      <c r="X744" s="121"/>
      <c r="Y744" s="121"/>
      <c r="Z744" s="121"/>
      <c r="AA744" s="121"/>
      <c r="AB744" s="121"/>
      <c r="AC744" s="121"/>
      <c r="AD744" s="121"/>
      <c r="AE744" s="121"/>
      <c r="AF744" s="121"/>
      <c r="AG744" s="121"/>
      <c r="AH744" s="121"/>
      <c r="AI744" s="121"/>
      <c r="AJ744" s="121"/>
      <c r="AK744" s="121"/>
      <c r="AL744" s="121"/>
      <c r="AM744" s="121"/>
      <c r="AN744" s="594" t="str">
        <f>IF(TEMPLATE_CLAIM="P","5.1.1.4.2","")</f>
        <v/>
      </c>
      <c r="AO744" s="593" t="str">
        <f>IF(TEMPLATE_CLAIM="P","от станций с мощностью производства &lt; 25 МВт","")</f>
        <v/>
      </c>
      <c r="AP744" s="257">
        <f t="shared" si="2"/>
        <v>0</v>
      </c>
      <c r="AQ744" s="258"/>
      <c r="AR744" s="258"/>
      <c r="AS744" s="202"/>
      <c r="AT744" s="48"/>
      <c r="AU744" s="48"/>
    </row>
    <row r="745" spans="1:47" hidden="1">
      <c r="A745" s="51"/>
      <c r="B745" s="51"/>
      <c r="C745" s="51"/>
      <c r="D745" s="51"/>
      <c r="E745" s="51"/>
      <c r="F745" s="51"/>
      <c r="G745" s="51"/>
      <c r="H745" s="51"/>
      <c r="I745" s="51"/>
      <c r="J745" s="121"/>
      <c r="K745" s="121"/>
      <c r="L745" s="121"/>
      <c r="M745" s="121"/>
      <c r="N745" s="121"/>
      <c r="O745" s="121"/>
      <c r="P745" s="121"/>
      <c r="Q745" s="121"/>
      <c r="R745" s="121"/>
      <c r="S745" s="121"/>
      <c r="T745" s="121"/>
      <c r="U745" s="121"/>
      <c r="V745" s="121"/>
      <c r="W745" s="121"/>
      <c r="X745" s="121"/>
      <c r="Y745" s="121"/>
      <c r="Z745" s="121"/>
      <c r="AA745" s="121"/>
      <c r="AB745" s="121"/>
      <c r="AC745" s="121"/>
      <c r="AD745" s="121"/>
      <c r="AE745" s="121"/>
      <c r="AF745" s="121"/>
      <c r="AG745" s="121"/>
      <c r="AH745" s="121"/>
      <c r="AI745" s="121"/>
      <c r="AJ745" s="121"/>
      <c r="AK745" s="121"/>
      <c r="AL745" s="121"/>
      <c r="AM745" s="121"/>
      <c r="AN745" s="594" t="str">
        <f>IF(TEMPLATE_CLAIM="P","5.1.1.4.3","")</f>
        <v/>
      </c>
      <c r="AO745" s="593" t="str">
        <f>IF(TEMPLATE_CLAIM="P","от котельных (некомбинированная выработка)","")</f>
        <v/>
      </c>
      <c r="AP745" s="257">
        <f t="shared" si="2"/>
        <v>0</v>
      </c>
      <c r="AQ745" s="258"/>
      <c r="AR745" s="258"/>
      <c r="AS745" s="202"/>
      <c r="AT745" s="48"/>
      <c r="AU745" s="48"/>
    </row>
    <row r="746" spans="1:47">
      <c r="A746" s="51"/>
      <c r="B746" s="51"/>
      <c r="C746" s="51"/>
      <c r="D746" s="51"/>
      <c r="E746" s="51"/>
      <c r="F746" s="51"/>
      <c r="G746" s="51"/>
      <c r="H746" s="51"/>
      <c r="I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3"/>
      <c r="AM746" s="124"/>
      <c r="AN746" s="234" t="s">
        <v>3003</v>
      </c>
      <c r="AO746" s="225" t="s">
        <v>3004</v>
      </c>
      <c r="AP746" s="257">
        <f>SUM(AQ746:AR746)</f>
        <v>0</v>
      </c>
      <c r="AQ746" s="258"/>
      <c r="AR746" s="258"/>
      <c r="AS746" s="127"/>
    </row>
    <row r="747" spans="1:47" ht="22.5">
      <c r="A747" s="51"/>
      <c r="B747" s="51"/>
      <c r="C747" s="51"/>
      <c r="D747" s="51"/>
      <c r="E747" s="51"/>
      <c r="F747" s="51"/>
      <c r="G747" s="51"/>
      <c r="H747" s="51"/>
      <c r="I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3"/>
      <c r="AM747" s="124"/>
      <c r="AN747" s="234" t="s">
        <v>3006</v>
      </c>
      <c r="AO747" s="225" t="s">
        <v>3007</v>
      </c>
      <c r="AP747" s="257">
        <f>SUM(AQ747:AR747)</f>
        <v>0</v>
      </c>
      <c r="AQ747" s="258"/>
      <c r="AR747" s="258"/>
      <c r="AS747" s="127"/>
    </row>
    <row r="748" spans="1:47">
      <c r="A748" s="51"/>
      <c r="B748" s="51"/>
      <c r="C748" s="51"/>
      <c r="D748" s="51"/>
      <c r="E748" s="51"/>
      <c r="F748" s="51"/>
      <c r="G748" s="51"/>
      <c r="H748" s="51"/>
      <c r="I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3"/>
      <c r="AM748" s="124"/>
      <c r="AN748" s="236" t="s">
        <v>3008</v>
      </c>
      <c r="AO748" s="242" t="s">
        <v>2986</v>
      </c>
      <c r="AP748" s="257">
        <f>SUM(AQ748:AR748)</f>
        <v>0</v>
      </c>
      <c r="AQ748" s="258"/>
      <c r="AR748" s="258"/>
      <c r="AS748" s="127"/>
    </row>
    <row r="749" spans="1:47">
      <c r="A749" s="51"/>
      <c r="B749" s="51"/>
      <c r="C749" s="51"/>
      <c r="D749" s="51"/>
      <c r="E749" s="51"/>
      <c r="F749" s="51"/>
      <c r="G749" s="51"/>
      <c r="H749" s="51"/>
      <c r="I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3"/>
      <c r="AM749" s="124"/>
      <c r="AN749" s="236" t="s">
        <v>3009</v>
      </c>
      <c r="AO749" s="242" t="s">
        <v>2988</v>
      </c>
      <c r="AP749" s="257">
        <f>SUM(AQ749:AR749)</f>
        <v>0</v>
      </c>
      <c r="AQ749" s="258"/>
      <c r="AR749" s="258"/>
      <c r="AS749" s="127"/>
    </row>
    <row r="750" spans="1:47" hidden="1">
      <c r="A750" s="51"/>
      <c r="B750" s="51"/>
      <c r="C750" s="51"/>
      <c r="D750" s="51"/>
      <c r="E750" s="51"/>
      <c r="F750" s="51"/>
      <c r="G750" s="51"/>
      <c r="H750" s="51"/>
      <c r="I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3"/>
      <c r="AM750" s="124"/>
      <c r="AN750" s="223"/>
      <c r="AO750" s="447"/>
      <c r="AP750" s="260"/>
      <c r="AQ750" s="258"/>
      <c r="AR750" s="258"/>
      <c r="AS750" s="127"/>
    </row>
    <row r="751" spans="1:47" hidden="1">
      <c r="A751" s="51"/>
      <c r="B751" s="51"/>
      <c r="C751" s="51"/>
      <c r="D751" s="51"/>
      <c r="E751" s="51"/>
      <c r="F751" s="51"/>
      <c r="G751" s="51"/>
      <c r="H751" s="51"/>
      <c r="I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3"/>
      <c r="AM751" s="124"/>
      <c r="AN751" s="223"/>
      <c r="AO751" s="717"/>
      <c r="AP751" s="260"/>
      <c r="AQ751" s="258"/>
      <c r="AR751" s="258"/>
      <c r="AS751" s="127"/>
    </row>
    <row r="752" spans="1:47" hidden="1">
      <c r="A752" s="51"/>
      <c r="B752" s="51"/>
      <c r="C752" s="51"/>
      <c r="D752" s="51"/>
      <c r="E752" s="51"/>
      <c r="F752" s="51"/>
      <c r="G752" s="51"/>
      <c r="H752" s="51"/>
      <c r="I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3"/>
      <c r="AM752" s="124"/>
      <c r="AN752" s="223"/>
      <c r="AO752" s="717"/>
      <c r="AP752" s="260"/>
      <c r="AQ752" s="258"/>
      <c r="AR752" s="258"/>
      <c r="AS752" s="127"/>
    </row>
    <row r="753" spans="1:45" hidden="1">
      <c r="A753" s="51"/>
      <c r="B753" s="51"/>
      <c r="C753" s="51"/>
      <c r="D753" s="51"/>
      <c r="E753" s="51"/>
      <c r="F753" s="51"/>
      <c r="G753" s="51"/>
      <c r="H753" s="51"/>
      <c r="I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3"/>
      <c r="AM753" s="124"/>
      <c r="AN753" s="223"/>
      <c r="AO753" s="718"/>
      <c r="AP753" s="260"/>
      <c r="AQ753" s="258"/>
      <c r="AR753" s="258"/>
      <c r="AS753" s="127"/>
    </row>
    <row r="754" spans="1:45" hidden="1">
      <c r="AL754" s="50"/>
      <c r="AM754" s="124"/>
      <c r="AN754" s="223"/>
      <c r="AO754" s="717"/>
      <c r="AP754" s="260"/>
      <c r="AQ754" s="258"/>
      <c r="AR754" s="258"/>
      <c r="AS754" s="127"/>
    </row>
    <row r="755" spans="1:45" hidden="1">
      <c r="AL755" s="50"/>
      <c r="AM755" s="124"/>
      <c r="AN755" s="223"/>
      <c r="AO755" s="717"/>
      <c r="AP755" s="260"/>
      <c r="AQ755" s="258"/>
      <c r="AR755" s="258"/>
      <c r="AS755" s="127"/>
    </row>
    <row r="756" spans="1:45" hidden="1">
      <c r="AL756" s="50"/>
      <c r="AM756" s="124"/>
      <c r="AN756" s="223"/>
      <c r="AO756" s="447"/>
      <c r="AP756" s="260"/>
      <c r="AQ756" s="258"/>
      <c r="AR756" s="258"/>
      <c r="AS756" s="127"/>
    </row>
    <row r="757" spans="1:45" hidden="1">
      <c r="AL757" s="50"/>
      <c r="AM757" s="125"/>
      <c r="AN757" s="223"/>
      <c r="AO757" s="717"/>
      <c r="AP757" s="260"/>
      <c r="AQ757" s="258"/>
      <c r="AR757" s="258"/>
      <c r="AS757" s="127"/>
    </row>
    <row r="758" spans="1:45" hidden="1">
      <c r="AL758" s="50"/>
      <c r="AM758" s="125"/>
      <c r="AN758" s="223"/>
      <c r="AO758" s="717"/>
      <c r="AP758" s="260"/>
      <c r="AQ758" s="258"/>
      <c r="AR758" s="258"/>
      <c r="AS758" s="127"/>
    </row>
    <row r="759" spans="1:45" hidden="1">
      <c r="AL759" s="50"/>
      <c r="AM759" s="125"/>
      <c r="AN759" s="223"/>
      <c r="AO759" s="718"/>
      <c r="AP759" s="260"/>
      <c r="AQ759" s="258"/>
      <c r="AR759" s="258"/>
      <c r="AS759" s="127"/>
    </row>
    <row r="760" spans="1:45" hidden="1">
      <c r="AL760" s="50"/>
      <c r="AM760" s="125"/>
      <c r="AN760" s="223"/>
      <c r="AO760" s="717"/>
      <c r="AP760" s="260"/>
      <c r="AQ760" s="258"/>
      <c r="AR760" s="258"/>
      <c r="AS760" s="127"/>
    </row>
    <row r="761" spans="1:45" hidden="1">
      <c r="AL761" s="50"/>
      <c r="AM761" s="125"/>
      <c r="AN761" s="223"/>
      <c r="AO761" s="717"/>
      <c r="AP761" s="260"/>
      <c r="AQ761" s="258"/>
      <c r="AR761" s="258"/>
      <c r="AS761" s="127"/>
    </row>
    <row r="762" spans="1:45" hidden="1">
      <c r="AL762" s="50"/>
      <c r="AM762" s="125"/>
      <c r="AN762" s="223"/>
      <c r="AO762" s="447"/>
      <c r="AP762" s="260"/>
      <c r="AQ762" s="258"/>
      <c r="AR762" s="258"/>
      <c r="AS762" s="127"/>
    </row>
    <row r="763" spans="1:45" hidden="1">
      <c r="AL763" s="50"/>
      <c r="AM763" s="125"/>
      <c r="AN763" s="223"/>
      <c r="AO763" s="717"/>
      <c r="AP763" s="260"/>
      <c r="AQ763" s="258"/>
      <c r="AR763" s="258"/>
      <c r="AS763" s="127"/>
    </row>
    <row r="764" spans="1:45" hidden="1">
      <c r="AL764" s="50"/>
      <c r="AM764" s="125"/>
      <c r="AN764" s="223"/>
      <c r="AO764" s="717"/>
      <c r="AP764" s="260"/>
      <c r="AQ764" s="258"/>
      <c r="AR764" s="258"/>
      <c r="AS764" s="127"/>
    </row>
    <row r="765" spans="1:45" hidden="1">
      <c r="AL765" s="50"/>
      <c r="AM765" s="125"/>
      <c r="AN765" s="223"/>
      <c r="AO765" s="718"/>
      <c r="AP765" s="260"/>
      <c r="AQ765" s="258"/>
      <c r="AR765" s="258"/>
      <c r="AS765" s="127"/>
    </row>
    <row r="766" spans="1:45" hidden="1">
      <c r="AL766" s="53"/>
      <c r="AM766" s="126"/>
      <c r="AN766" s="223"/>
      <c r="AO766" s="717"/>
      <c r="AP766" s="260"/>
      <c r="AQ766" s="258"/>
      <c r="AR766" s="258"/>
      <c r="AS766" s="127"/>
    </row>
    <row r="767" spans="1:45" hidden="1">
      <c r="AL767" s="53"/>
      <c r="AM767" s="126"/>
      <c r="AN767" s="223"/>
      <c r="AO767" s="717"/>
      <c r="AP767" s="260"/>
      <c r="AQ767" s="258"/>
      <c r="AR767" s="258"/>
      <c r="AS767" s="127"/>
    </row>
    <row r="768" spans="1:45" hidden="1">
      <c r="AL768" s="53"/>
      <c r="AM768" s="126"/>
      <c r="AN768" s="223"/>
      <c r="AO768" s="447"/>
      <c r="AP768" s="260"/>
      <c r="AQ768" s="258"/>
      <c r="AR768" s="258"/>
      <c r="AS768" s="127"/>
    </row>
    <row r="769" spans="38:45" hidden="1">
      <c r="AL769" s="53"/>
      <c r="AM769" s="126"/>
      <c r="AN769" s="223"/>
      <c r="AO769" s="717"/>
      <c r="AP769" s="260"/>
      <c r="AQ769" s="258"/>
      <c r="AR769" s="258"/>
      <c r="AS769" s="127"/>
    </row>
    <row r="770" spans="38:45" hidden="1">
      <c r="AL770" s="53"/>
      <c r="AM770" s="126"/>
      <c r="AN770" s="223"/>
      <c r="AO770" s="717"/>
      <c r="AP770" s="260"/>
      <c r="AQ770" s="258"/>
      <c r="AR770" s="258"/>
      <c r="AS770" s="127"/>
    </row>
    <row r="771" spans="38:45" hidden="1">
      <c r="AL771" s="53"/>
      <c r="AM771" s="126"/>
      <c r="AN771" s="223"/>
      <c r="AO771" s="718"/>
      <c r="AP771" s="260"/>
      <c r="AQ771" s="258"/>
      <c r="AR771" s="258"/>
      <c r="AS771" s="127"/>
    </row>
    <row r="772" spans="38:45" hidden="1">
      <c r="AL772" s="53"/>
      <c r="AM772" s="126"/>
      <c r="AN772" s="223"/>
      <c r="AO772" s="717"/>
      <c r="AP772" s="260"/>
      <c r="AQ772" s="258"/>
      <c r="AR772" s="258"/>
      <c r="AS772" s="127"/>
    </row>
    <row r="773" spans="38:45" hidden="1">
      <c r="AL773" s="53"/>
      <c r="AM773" s="126"/>
      <c r="AN773" s="223"/>
      <c r="AO773" s="717"/>
      <c r="AP773" s="260"/>
      <c r="AQ773" s="258"/>
      <c r="AR773" s="258"/>
      <c r="AS773" s="127"/>
    </row>
    <row r="774" spans="38:45">
      <c r="AL774" s="50"/>
      <c r="AM774" s="126"/>
      <c r="AN774" s="436" t="s">
        <v>771</v>
      </c>
      <c r="AO774" s="591" t="s">
        <v>3043</v>
      </c>
      <c r="AP774" s="257">
        <f>SUM(AQ774:AR774)</f>
        <v>0</v>
      </c>
      <c r="AQ774" s="258"/>
      <c r="AR774" s="258"/>
      <c r="AS774" s="127"/>
    </row>
    <row r="775" spans="38:45">
      <c r="AL775" s="50"/>
      <c r="AM775" s="126"/>
      <c r="AN775" s="436" t="s">
        <v>772</v>
      </c>
      <c r="AO775" s="592" t="s">
        <v>3044</v>
      </c>
      <c r="AP775" s="257">
        <f>SUM(AQ775:AR775)</f>
        <v>0</v>
      </c>
      <c r="AQ775" s="258"/>
      <c r="AR775" s="258"/>
      <c r="AS775" s="127"/>
    </row>
    <row r="776" spans="38:45">
      <c r="AL776" s="50"/>
      <c r="AM776" s="126"/>
      <c r="AN776" s="236" t="s">
        <v>773</v>
      </c>
      <c r="AO776" s="248" t="s">
        <v>3045</v>
      </c>
      <c r="AP776" s="257">
        <f>SUM(AQ776:AR776)</f>
        <v>0</v>
      </c>
      <c r="AQ776" s="258"/>
      <c r="AR776" s="258"/>
      <c r="AS776" s="127"/>
    </row>
    <row r="777" spans="38:45">
      <c r="AL777" s="50"/>
      <c r="AM777" s="126"/>
      <c r="AN777" s="236" t="s">
        <v>3046</v>
      </c>
      <c r="AO777" s="242" t="s">
        <v>2986</v>
      </c>
      <c r="AP777" s="257">
        <f>SUM(AQ777:AR777)</f>
        <v>0</v>
      </c>
      <c r="AQ777" s="258"/>
      <c r="AR777" s="258"/>
      <c r="AS777" s="127"/>
    </row>
    <row r="778" spans="38:45">
      <c r="AL778" s="50"/>
      <c r="AM778" s="126"/>
      <c r="AN778" s="236" t="s">
        <v>3047</v>
      </c>
      <c r="AO778" s="242" t="s">
        <v>2988</v>
      </c>
      <c r="AP778" s="257">
        <f>SUM(AQ778:AR778)</f>
        <v>0</v>
      </c>
      <c r="AQ778" s="258"/>
      <c r="AR778" s="258"/>
      <c r="AS778" s="127"/>
    </row>
    <row r="779" spans="38:45" hidden="1">
      <c r="AL779" s="50"/>
      <c r="AM779" s="126"/>
      <c r="AN779" s="223"/>
      <c r="AO779" s="447"/>
      <c r="AP779" s="260"/>
      <c r="AQ779" s="258"/>
      <c r="AR779" s="258"/>
      <c r="AS779" s="127"/>
    </row>
    <row r="780" spans="38:45" hidden="1">
      <c r="AL780" s="50"/>
      <c r="AM780" s="126"/>
      <c r="AN780" s="223"/>
      <c r="AO780" s="717"/>
      <c r="AP780" s="260"/>
      <c r="AQ780" s="258"/>
      <c r="AR780" s="258"/>
      <c r="AS780" s="127"/>
    </row>
    <row r="781" spans="38:45" hidden="1">
      <c r="AL781" s="50"/>
      <c r="AM781" s="126"/>
      <c r="AN781" s="223"/>
      <c r="AO781" s="717"/>
      <c r="AP781" s="260"/>
      <c r="AQ781" s="258"/>
      <c r="AR781" s="258"/>
      <c r="AS781" s="127"/>
    </row>
    <row r="782" spans="38:45" hidden="1">
      <c r="AL782" s="50"/>
      <c r="AM782" s="126"/>
      <c r="AN782" s="223"/>
      <c r="AO782" s="718"/>
      <c r="AP782" s="260"/>
      <c r="AQ782" s="258"/>
      <c r="AR782" s="258"/>
      <c r="AS782" s="127"/>
    </row>
    <row r="783" spans="38:45" hidden="1">
      <c r="AL783" s="50"/>
      <c r="AM783" s="126"/>
      <c r="AN783" s="223"/>
      <c r="AO783" s="717"/>
      <c r="AP783" s="260"/>
      <c r="AQ783" s="258"/>
      <c r="AR783" s="258"/>
      <c r="AS783" s="127"/>
    </row>
    <row r="784" spans="38:45" hidden="1">
      <c r="AL784" s="50"/>
      <c r="AM784" s="126"/>
      <c r="AN784" s="223"/>
      <c r="AO784" s="717"/>
      <c r="AP784" s="260"/>
      <c r="AQ784" s="258"/>
      <c r="AR784" s="258"/>
      <c r="AS784" s="127"/>
    </row>
    <row r="785" spans="38:45" hidden="1">
      <c r="AL785" s="50"/>
      <c r="AM785" s="126"/>
      <c r="AN785" s="223"/>
      <c r="AO785" s="447"/>
      <c r="AP785" s="260"/>
      <c r="AQ785" s="258"/>
      <c r="AR785" s="258"/>
      <c r="AS785" s="127"/>
    </row>
    <row r="786" spans="38:45" hidden="1">
      <c r="AL786" s="50"/>
      <c r="AM786" s="126"/>
      <c r="AN786" s="223"/>
      <c r="AO786" s="717"/>
      <c r="AP786" s="260"/>
      <c r="AQ786" s="258"/>
      <c r="AR786" s="258"/>
      <c r="AS786" s="127"/>
    </row>
    <row r="787" spans="38:45" hidden="1">
      <c r="AL787" s="50"/>
      <c r="AM787" s="126"/>
      <c r="AN787" s="223"/>
      <c r="AO787" s="717"/>
      <c r="AP787" s="260"/>
      <c r="AQ787" s="258"/>
      <c r="AR787" s="258"/>
      <c r="AS787" s="127"/>
    </row>
    <row r="788" spans="38:45" hidden="1">
      <c r="AL788" s="50"/>
      <c r="AM788" s="126"/>
      <c r="AN788" s="223"/>
      <c r="AO788" s="718"/>
      <c r="AP788" s="260"/>
      <c r="AQ788" s="258"/>
      <c r="AR788" s="258"/>
      <c r="AS788" s="127"/>
    </row>
    <row r="789" spans="38:45" hidden="1">
      <c r="AL789" s="50"/>
      <c r="AM789" s="126"/>
      <c r="AN789" s="223"/>
      <c r="AO789" s="717"/>
      <c r="AP789" s="260"/>
      <c r="AQ789" s="258"/>
      <c r="AR789" s="258"/>
      <c r="AS789" s="127"/>
    </row>
    <row r="790" spans="38:45" hidden="1">
      <c r="AL790" s="50"/>
      <c r="AM790" s="126"/>
      <c r="AN790" s="223"/>
      <c r="AO790" s="717"/>
      <c r="AP790" s="260"/>
      <c r="AQ790" s="258"/>
      <c r="AR790" s="258"/>
      <c r="AS790" s="127"/>
    </row>
    <row r="791" spans="38:45" hidden="1">
      <c r="AL791" s="50"/>
      <c r="AM791" s="126"/>
      <c r="AN791" s="223"/>
      <c r="AO791" s="447"/>
      <c r="AP791" s="260"/>
      <c r="AQ791" s="258"/>
      <c r="AR791" s="258"/>
      <c r="AS791" s="127"/>
    </row>
    <row r="792" spans="38:45" hidden="1">
      <c r="AL792" s="50"/>
      <c r="AM792" s="126"/>
      <c r="AN792" s="223"/>
      <c r="AO792" s="717"/>
      <c r="AP792" s="260"/>
      <c r="AQ792" s="258"/>
      <c r="AR792" s="258"/>
      <c r="AS792" s="127"/>
    </row>
    <row r="793" spans="38:45" hidden="1">
      <c r="AL793" s="50"/>
      <c r="AM793" s="126"/>
      <c r="AN793" s="223"/>
      <c r="AO793" s="717"/>
      <c r="AP793" s="260"/>
      <c r="AQ793" s="258"/>
      <c r="AR793" s="258"/>
      <c r="AS793" s="127"/>
    </row>
    <row r="794" spans="38:45" hidden="1">
      <c r="AL794" s="50"/>
      <c r="AM794" s="126"/>
      <c r="AN794" s="223"/>
      <c r="AO794" s="718"/>
      <c r="AP794" s="260"/>
      <c r="AQ794" s="258"/>
      <c r="AR794" s="258"/>
      <c r="AS794" s="127"/>
    </row>
    <row r="795" spans="38:45" hidden="1">
      <c r="AL795" s="50"/>
      <c r="AM795" s="126"/>
      <c r="AN795" s="223"/>
      <c r="AO795" s="717"/>
      <c r="AP795" s="260"/>
      <c r="AQ795" s="258"/>
      <c r="AR795" s="258"/>
      <c r="AS795" s="127"/>
    </row>
    <row r="796" spans="38:45" hidden="1">
      <c r="AL796" s="50"/>
      <c r="AM796" s="126"/>
      <c r="AN796" s="223"/>
      <c r="AO796" s="717"/>
      <c r="AP796" s="260"/>
      <c r="AQ796" s="258"/>
      <c r="AR796" s="258"/>
      <c r="AS796" s="127"/>
    </row>
    <row r="797" spans="38:45" hidden="1">
      <c r="AL797" s="50"/>
      <c r="AM797" s="126"/>
      <c r="AN797" s="223"/>
      <c r="AO797" s="447"/>
      <c r="AP797" s="260"/>
      <c r="AQ797" s="258"/>
      <c r="AR797" s="258"/>
      <c r="AS797" s="127"/>
    </row>
    <row r="798" spans="38:45" hidden="1">
      <c r="AL798" s="50"/>
      <c r="AM798" s="126"/>
      <c r="AN798" s="223"/>
      <c r="AO798" s="717"/>
      <c r="AP798" s="260"/>
      <c r="AQ798" s="258"/>
      <c r="AR798" s="258"/>
      <c r="AS798" s="127"/>
    </row>
    <row r="799" spans="38:45" hidden="1">
      <c r="AL799" s="50"/>
      <c r="AM799" s="126"/>
      <c r="AN799" s="223"/>
      <c r="AO799" s="717"/>
      <c r="AP799" s="260"/>
      <c r="AQ799" s="258"/>
      <c r="AR799" s="258"/>
      <c r="AS799" s="127"/>
    </row>
    <row r="800" spans="38:45" hidden="1">
      <c r="AL800" s="50"/>
      <c r="AM800" s="126"/>
      <c r="AN800" s="223"/>
      <c r="AO800" s="718"/>
      <c r="AP800" s="260"/>
      <c r="AQ800" s="258"/>
      <c r="AR800" s="258"/>
      <c r="AS800" s="127"/>
    </row>
    <row r="801" spans="38:45" hidden="1">
      <c r="AL801" s="50"/>
      <c r="AM801" s="126"/>
      <c r="AN801" s="223"/>
      <c r="AO801" s="717"/>
      <c r="AP801" s="260"/>
      <c r="AQ801" s="258"/>
      <c r="AR801" s="258"/>
      <c r="AS801" s="127"/>
    </row>
    <row r="802" spans="38:45" hidden="1">
      <c r="AL802" s="50"/>
      <c r="AM802" s="126"/>
      <c r="AN802" s="223"/>
      <c r="AO802" s="717"/>
      <c r="AP802" s="260"/>
      <c r="AQ802" s="258"/>
      <c r="AR802" s="258"/>
      <c r="AS802" s="127"/>
    </row>
    <row r="803" spans="38:45" ht="11.25" customHeight="1">
      <c r="AL803" s="50"/>
      <c r="AM803" s="126"/>
      <c r="AN803" s="234" t="s">
        <v>3072</v>
      </c>
      <c r="AO803" s="235" t="s">
        <v>799</v>
      </c>
      <c r="AP803" s="257">
        <f>SUM(AQ803:AR803)</f>
        <v>0</v>
      </c>
      <c r="AQ803" s="258"/>
      <c r="AR803" s="258"/>
      <c r="AS803" s="127"/>
    </row>
    <row r="804" spans="38:45" hidden="1">
      <c r="AL804" s="50"/>
      <c r="AM804" s="126"/>
      <c r="AN804" s="719"/>
      <c r="AO804" s="720"/>
      <c r="AP804" s="260"/>
      <c r="AQ804" s="258"/>
      <c r="AR804" s="258"/>
      <c r="AS804" s="127"/>
    </row>
    <row r="805" spans="38:45" hidden="1">
      <c r="AL805" s="50"/>
      <c r="AM805" s="126"/>
      <c r="AN805" s="719"/>
      <c r="AO805" s="720"/>
      <c r="AP805" s="260"/>
      <c r="AQ805" s="258"/>
      <c r="AR805" s="258"/>
      <c r="AS805" s="127"/>
    </row>
    <row r="806" spans="38:45" hidden="1">
      <c r="AL806" s="50"/>
      <c r="AM806" s="126"/>
      <c r="AN806" s="719"/>
      <c r="AO806" s="720"/>
      <c r="AP806" s="260"/>
      <c r="AQ806" s="258"/>
      <c r="AR806" s="258"/>
      <c r="AS806" s="127"/>
    </row>
    <row r="807" spans="38:45">
      <c r="AL807" s="50"/>
      <c r="AM807" s="126"/>
      <c r="AN807" s="236" t="s">
        <v>75</v>
      </c>
      <c r="AO807" s="224" t="s">
        <v>1832</v>
      </c>
      <c r="AP807" s="257">
        <f>SUM(AQ807:AR807)</f>
        <v>0</v>
      </c>
      <c r="AQ807" s="258"/>
      <c r="AR807" s="258"/>
      <c r="AS807" s="127"/>
    </row>
    <row r="808" spans="38:45" hidden="1">
      <c r="AL808" s="50"/>
      <c r="AM808" s="126"/>
      <c r="AN808" s="223"/>
      <c r="AO808" s="217"/>
      <c r="AP808" s="260"/>
      <c r="AQ808" s="258"/>
      <c r="AR808" s="258"/>
      <c r="AS808" s="127"/>
    </row>
    <row r="809" spans="38:45" hidden="1">
      <c r="AL809" s="50"/>
      <c r="AM809" s="126"/>
      <c r="AN809" s="223"/>
      <c r="AO809" s="217"/>
      <c r="AP809" s="260"/>
      <c r="AQ809" s="258"/>
      <c r="AR809" s="258"/>
      <c r="AS809" s="127"/>
    </row>
    <row r="810" spans="38:45" hidden="1">
      <c r="AL810" s="50"/>
      <c r="AM810" s="126"/>
      <c r="AN810" s="223"/>
      <c r="AO810" s="720"/>
      <c r="AP810" s="260"/>
      <c r="AQ810" s="258"/>
      <c r="AR810" s="258"/>
      <c r="AS810" s="127"/>
    </row>
    <row r="811" spans="38:45" hidden="1">
      <c r="AL811" s="50"/>
      <c r="AM811" s="126"/>
      <c r="AN811" s="223"/>
      <c r="AO811" s="720"/>
      <c r="AP811" s="260"/>
      <c r="AQ811" s="258"/>
      <c r="AR811" s="258"/>
      <c r="AS811" s="127"/>
    </row>
    <row r="812" spans="38:45" hidden="1">
      <c r="AL812" s="50"/>
      <c r="AM812" s="126"/>
      <c r="AN812" s="223"/>
      <c r="AO812" s="720"/>
      <c r="AP812" s="260"/>
      <c r="AQ812" s="258"/>
      <c r="AR812" s="258"/>
      <c r="AS812" s="127"/>
    </row>
    <row r="813" spans="38:45">
      <c r="AL813" s="50"/>
      <c r="AM813" s="126"/>
      <c r="AN813" s="236" t="s">
        <v>62</v>
      </c>
      <c r="AO813" s="224" t="s">
        <v>1838</v>
      </c>
      <c r="AP813" s="257">
        <f>SUM(AQ813:AR813)</f>
        <v>0</v>
      </c>
      <c r="AQ813" s="258"/>
      <c r="AR813" s="258"/>
      <c r="AS813" s="127"/>
    </row>
    <row r="814" spans="38:45" hidden="1">
      <c r="AL814" s="50"/>
      <c r="AM814" s="126"/>
      <c r="AN814" s="223"/>
      <c r="AO814" s="446"/>
      <c r="AP814" s="260"/>
      <c r="AQ814" s="258"/>
      <c r="AR814" s="258"/>
      <c r="AS814" s="127"/>
    </row>
    <row r="815" spans="38:45" hidden="1">
      <c r="AL815" s="50"/>
      <c r="AM815" s="126"/>
      <c r="AN815" s="223"/>
      <c r="AO815" s="446"/>
      <c r="AP815" s="260"/>
      <c r="AQ815" s="258"/>
      <c r="AR815" s="258"/>
      <c r="AS815" s="127"/>
    </row>
    <row r="816" spans="38:45" hidden="1">
      <c r="AL816" s="50"/>
      <c r="AM816" s="126"/>
      <c r="AN816" s="223"/>
      <c r="AO816" s="720"/>
      <c r="AP816" s="260"/>
      <c r="AQ816" s="258"/>
      <c r="AR816" s="258"/>
      <c r="AS816" s="127"/>
    </row>
    <row r="817" spans="38:45" hidden="1">
      <c r="AL817" s="50"/>
      <c r="AM817" s="126"/>
      <c r="AN817" s="223"/>
      <c r="AO817" s="720"/>
      <c r="AP817" s="260"/>
      <c r="AQ817" s="258"/>
      <c r="AR817" s="258"/>
      <c r="AS817" s="127"/>
    </row>
    <row r="818" spans="38:45" hidden="1">
      <c r="AL818" s="50"/>
      <c r="AM818" s="126"/>
      <c r="AN818" s="223"/>
      <c r="AO818" s="720"/>
      <c r="AP818" s="260"/>
      <c r="AQ818" s="258"/>
      <c r="AR818" s="258"/>
      <c r="AS818" s="127"/>
    </row>
    <row r="819" spans="38:45">
      <c r="AL819" s="50"/>
      <c r="AM819" s="126"/>
      <c r="AN819" s="236" t="s">
        <v>68</v>
      </c>
      <c r="AO819" s="224" t="s">
        <v>1843</v>
      </c>
      <c r="AP819" s="257">
        <f>SUM(AQ819:AR819)</f>
        <v>0</v>
      </c>
      <c r="AQ819" s="258"/>
      <c r="AR819" s="258"/>
      <c r="AS819" s="127"/>
    </row>
    <row r="820" spans="38:45" hidden="1">
      <c r="AL820" s="50"/>
      <c r="AM820" s="126"/>
      <c r="AN820" s="223"/>
      <c r="AO820" s="446"/>
      <c r="AP820" s="260"/>
      <c r="AQ820" s="258"/>
      <c r="AR820" s="258"/>
      <c r="AS820" s="127"/>
    </row>
    <row r="821" spans="38:45" hidden="1">
      <c r="AL821" s="50"/>
      <c r="AM821" s="126"/>
      <c r="AN821" s="223"/>
      <c r="AO821" s="446"/>
      <c r="AP821" s="260"/>
      <c r="AQ821" s="258"/>
      <c r="AR821" s="258"/>
      <c r="AS821" s="127"/>
    </row>
    <row r="822" spans="38:45">
      <c r="AL822" s="50"/>
      <c r="AM822" s="126"/>
      <c r="AN822" s="236" t="s">
        <v>1848</v>
      </c>
      <c r="AO822" s="224" t="s">
        <v>1849</v>
      </c>
      <c r="AP822" s="257">
        <f>SUM(AQ822:AR822)</f>
        <v>0</v>
      </c>
      <c r="AQ822" s="258"/>
      <c r="AR822" s="258"/>
      <c r="AS822" s="127"/>
    </row>
    <row r="823" spans="38:45" hidden="1">
      <c r="AL823" s="50"/>
      <c r="AM823" s="126"/>
      <c r="AN823" s="223"/>
      <c r="AO823" s="446"/>
      <c r="AP823" s="260"/>
      <c r="AQ823" s="258"/>
      <c r="AR823" s="258"/>
      <c r="AS823" s="127"/>
    </row>
    <row r="824" spans="38:45" hidden="1">
      <c r="AL824" s="50"/>
      <c r="AM824" s="126"/>
      <c r="AN824" s="223"/>
      <c r="AO824" s="217"/>
      <c r="AP824" s="260"/>
      <c r="AQ824" s="258"/>
      <c r="AR824" s="258"/>
      <c r="AS824" s="127"/>
    </row>
    <row r="825" spans="38:45" ht="22.5">
      <c r="AL825" s="50"/>
      <c r="AM825" s="126"/>
      <c r="AN825" s="236" t="s">
        <v>1855</v>
      </c>
      <c r="AO825" s="224" t="s">
        <v>1856</v>
      </c>
      <c r="AP825" s="257">
        <f>SUM(AQ825:AR825)</f>
        <v>0</v>
      </c>
      <c r="AQ825" s="258"/>
      <c r="AR825" s="258"/>
      <c r="AS825" s="127"/>
    </row>
    <row r="826" spans="38:45" hidden="1">
      <c r="AL826" s="50"/>
      <c r="AM826" s="126"/>
      <c r="AN826" s="223"/>
      <c r="AO826" s="446"/>
      <c r="AP826" s="260"/>
      <c r="AQ826" s="258"/>
      <c r="AR826" s="258"/>
      <c r="AS826" s="127"/>
    </row>
    <row r="827" spans="38:45" hidden="1">
      <c r="AL827" s="50"/>
      <c r="AM827" s="126"/>
      <c r="AN827" s="223"/>
      <c r="AO827" s="217"/>
      <c r="AP827" s="260"/>
      <c r="AQ827" s="258"/>
      <c r="AR827" s="258"/>
      <c r="AS827" s="127"/>
    </row>
    <row r="828" spans="38:45">
      <c r="AL828" s="50"/>
      <c r="AM828" s="126"/>
      <c r="AN828" s="234" t="s">
        <v>2412</v>
      </c>
      <c r="AO828" s="235" t="s">
        <v>2413</v>
      </c>
      <c r="AP828" s="257">
        <f t="shared" ref="AP828:AP844" si="3">SUM(AQ828:AR828)</f>
        <v>0</v>
      </c>
      <c r="AQ828" s="258"/>
      <c r="AR828" s="258"/>
      <c r="AS828" s="127"/>
    </row>
    <row r="829" spans="38:45" ht="22.5">
      <c r="AL829" s="50"/>
      <c r="AM829" s="126"/>
      <c r="AN829" s="236" t="s">
        <v>2414</v>
      </c>
      <c r="AO829" s="224" t="s">
        <v>2415</v>
      </c>
      <c r="AP829" s="257">
        <f t="shared" si="3"/>
        <v>0</v>
      </c>
      <c r="AQ829" s="258"/>
      <c r="AR829" s="258"/>
      <c r="AS829" s="127"/>
    </row>
    <row r="830" spans="38:45" ht="22.5">
      <c r="AL830" s="50"/>
      <c r="AM830" s="126"/>
      <c r="AN830" s="236" t="s">
        <v>2416</v>
      </c>
      <c r="AO830" s="224" t="s">
        <v>2417</v>
      </c>
      <c r="AP830" s="257">
        <f t="shared" si="3"/>
        <v>0</v>
      </c>
      <c r="AQ830" s="258"/>
      <c r="AR830" s="258"/>
      <c r="AS830" s="127"/>
    </row>
    <row r="831" spans="38:45" ht="22.5">
      <c r="AL831" s="50"/>
      <c r="AM831" s="126"/>
      <c r="AN831" s="236" t="s">
        <v>2419</v>
      </c>
      <c r="AO831" s="224" t="s">
        <v>2420</v>
      </c>
      <c r="AP831" s="257">
        <f t="shared" si="3"/>
        <v>0</v>
      </c>
      <c r="AQ831" s="258"/>
      <c r="AR831" s="258"/>
      <c r="AS831" s="127"/>
    </row>
    <row r="832" spans="38:45">
      <c r="AL832" s="50"/>
      <c r="AM832" s="126"/>
      <c r="AN832" s="236" t="s">
        <v>2422</v>
      </c>
      <c r="AO832" s="224" t="s">
        <v>2423</v>
      </c>
      <c r="AP832" s="257">
        <f t="shared" si="3"/>
        <v>0</v>
      </c>
      <c r="AQ832" s="258"/>
      <c r="AR832" s="258"/>
      <c r="AS832" s="127"/>
    </row>
    <row r="833" spans="38:45">
      <c r="AL833" s="50"/>
      <c r="AM833" s="126"/>
      <c r="AN833" s="236" t="s">
        <v>2425</v>
      </c>
      <c r="AO833" s="224" t="s">
        <v>2426</v>
      </c>
      <c r="AP833" s="257">
        <f t="shared" si="3"/>
        <v>0</v>
      </c>
      <c r="AQ833" s="258"/>
      <c r="AR833" s="258"/>
      <c r="AS833" s="127"/>
    </row>
    <row r="834" spans="38:45" ht="22.5">
      <c r="AL834" s="50"/>
      <c r="AM834" s="126"/>
      <c r="AN834" s="236" t="s">
        <v>2427</v>
      </c>
      <c r="AO834" s="235" t="s">
        <v>2428</v>
      </c>
      <c r="AP834" s="257">
        <f t="shared" si="3"/>
        <v>0</v>
      </c>
      <c r="AQ834" s="258"/>
      <c r="AR834" s="258"/>
      <c r="AS834" s="127"/>
    </row>
    <row r="835" spans="38:45" ht="33.75">
      <c r="AL835" s="50"/>
      <c r="AM835" s="126"/>
      <c r="AN835" s="234" t="s">
        <v>2429</v>
      </c>
      <c r="AO835" s="224" t="s">
        <v>2430</v>
      </c>
      <c r="AP835" s="257">
        <f t="shared" si="3"/>
        <v>0</v>
      </c>
      <c r="AQ835" s="258"/>
      <c r="AR835" s="258"/>
      <c r="AS835" s="127"/>
    </row>
    <row r="836" spans="38:45">
      <c r="AL836" s="50"/>
      <c r="AM836" s="126"/>
      <c r="AN836" s="234" t="s">
        <v>2431</v>
      </c>
      <c r="AO836" s="235" t="s">
        <v>2432</v>
      </c>
      <c r="AP836" s="257">
        <f t="shared" si="3"/>
        <v>0</v>
      </c>
      <c r="AQ836" s="258"/>
      <c r="AR836" s="258"/>
      <c r="AS836" s="127"/>
    </row>
    <row r="837" spans="38:45" ht="22.5">
      <c r="AL837" s="50"/>
      <c r="AM837" s="126"/>
      <c r="AN837" s="236" t="s">
        <v>1842</v>
      </c>
      <c r="AO837" s="224" t="s">
        <v>2433</v>
      </c>
      <c r="AP837" s="257">
        <f t="shared" si="3"/>
        <v>0</v>
      </c>
      <c r="AQ837" s="258"/>
      <c r="AR837" s="258"/>
      <c r="AS837" s="127"/>
    </row>
    <row r="838" spans="38:45">
      <c r="AL838" s="50"/>
      <c r="AM838" s="126"/>
      <c r="AN838" s="236" t="s">
        <v>2418</v>
      </c>
      <c r="AO838" s="224" t="s">
        <v>2434</v>
      </c>
      <c r="AP838" s="257">
        <f t="shared" si="3"/>
        <v>0</v>
      </c>
      <c r="AQ838" s="258"/>
      <c r="AR838" s="258"/>
      <c r="AS838" s="127"/>
    </row>
    <row r="839" spans="38:45">
      <c r="AL839" s="50"/>
      <c r="AM839" s="126"/>
      <c r="AN839" s="236" t="s">
        <v>2435</v>
      </c>
      <c r="AO839" s="224" t="s">
        <v>2436</v>
      </c>
      <c r="AP839" s="257">
        <f t="shared" si="3"/>
        <v>0</v>
      </c>
      <c r="AQ839" s="258"/>
      <c r="AR839" s="258"/>
      <c r="AS839" s="127"/>
    </row>
    <row r="840" spans="38:45" ht="22.5">
      <c r="AL840" s="50"/>
      <c r="AM840" s="126"/>
      <c r="AN840" s="236" t="s">
        <v>2437</v>
      </c>
      <c r="AO840" s="224" t="s">
        <v>2438</v>
      </c>
      <c r="AP840" s="257">
        <f t="shared" si="3"/>
        <v>0</v>
      </c>
      <c r="AQ840" s="258"/>
      <c r="AR840" s="258"/>
      <c r="AS840" s="127"/>
    </row>
    <row r="841" spans="38:45">
      <c r="AL841" s="50"/>
      <c r="AM841" s="126"/>
      <c r="AN841" s="236" t="s">
        <v>2439</v>
      </c>
      <c r="AO841" s="224" t="s">
        <v>2440</v>
      </c>
      <c r="AP841" s="257">
        <f t="shared" si="3"/>
        <v>0</v>
      </c>
      <c r="AQ841" s="258"/>
      <c r="AR841" s="258"/>
      <c r="AS841" s="127"/>
    </row>
    <row r="842" spans="38:45">
      <c r="AL842" s="50"/>
      <c r="AM842" s="126"/>
      <c r="AN842" s="236" t="s">
        <v>2441</v>
      </c>
      <c r="AO842" s="224" t="s">
        <v>2442</v>
      </c>
      <c r="AP842" s="257">
        <f t="shared" si="3"/>
        <v>0</v>
      </c>
      <c r="AQ842" s="258"/>
      <c r="AR842" s="258"/>
      <c r="AS842" s="127"/>
    </row>
    <row r="843" spans="38:45">
      <c r="AL843" s="50"/>
      <c r="AM843" s="126"/>
      <c r="AN843" s="236" t="s">
        <v>2443</v>
      </c>
      <c r="AO843" s="224" t="s">
        <v>2444</v>
      </c>
      <c r="AP843" s="257">
        <f t="shared" si="3"/>
        <v>0</v>
      </c>
      <c r="AQ843" s="258"/>
      <c r="AR843" s="258"/>
      <c r="AS843" s="127"/>
    </row>
    <row r="844" spans="38:45">
      <c r="AL844" s="50"/>
      <c r="AM844" s="126"/>
      <c r="AN844" s="236" t="s">
        <v>842</v>
      </c>
      <c r="AO844" s="224" t="s">
        <v>843</v>
      </c>
      <c r="AP844" s="257">
        <f t="shared" si="3"/>
        <v>0</v>
      </c>
      <c r="AQ844" s="258"/>
      <c r="AR844" s="258"/>
      <c r="AS844" s="127"/>
    </row>
    <row r="845" spans="38:45" ht="0.75" customHeight="1">
      <c r="AL845" s="50"/>
      <c r="AM845" s="126"/>
      <c r="AN845" s="223"/>
      <c r="AO845" s="728"/>
      <c r="AP845" s="260"/>
      <c r="AQ845" s="258"/>
      <c r="AR845" s="258"/>
      <c r="AS845" s="127"/>
    </row>
    <row r="846" spans="38:45" ht="0.75" customHeight="1">
      <c r="AL846" s="50"/>
      <c r="AM846" s="126"/>
      <c r="AN846" s="223"/>
      <c r="AO846" s="728"/>
      <c r="AP846" s="260"/>
      <c r="AQ846" s="258"/>
      <c r="AR846" s="258"/>
      <c r="AS846" s="127"/>
    </row>
    <row r="847" spans="38:45" ht="0.75" customHeight="1">
      <c r="AL847" s="50"/>
      <c r="AM847" s="126"/>
      <c r="AN847" s="223"/>
      <c r="AO847" s="728"/>
      <c r="AP847" s="260"/>
      <c r="AQ847" s="258"/>
      <c r="AR847" s="258"/>
      <c r="AS847" s="127"/>
    </row>
    <row r="848" spans="38:45" ht="0.75" customHeight="1">
      <c r="AL848" s="50"/>
      <c r="AM848" s="126"/>
      <c r="AN848" s="223"/>
      <c r="AO848" s="728"/>
      <c r="AP848" s="260"/>
      <c r="AQ848" s="258"/>
      <c r="AR848" s="258"/>
      <c r="AS848" s="127"/>
    </row>
    <row r="849" spans="38:45" ht="0.75" customHeight="1">
      <c r="AL849" s="50"/>
      <c r="AM849" s="126"/>
      <c r="AN849" s="223"/>
      <c r="AO849" s="728"/>
      <c r="AP849" s="260"/>
      <c r="AQ849" s="258"/>
      <c r="AR849" s="258"/>
      <c r="AS849" s="127"/>
    </row>
    <row r="850" spans="38:45" ht="0.75" customHeight="1">
      <c r="AL850" s="50"/>
      <c r="AM850" s="126"/>
      <c r="AN850" s="223"/>
      <c r="AO850" s="728"/>
      <c r="AP850" s="260"/>
      <c r="AQ850" s="258"/>
      <c r="AR850" s="258"/>
      <c r="AS850" s="127"/>
    </row>
    <row r="851" spans="38:45" hidden="1">
      <c r="AL851" s="50"/>
      <c r="AM851" s="126"/>
      <c r="AN851" s="236"/>
      <c r="AO851" s="224"/>
      <c r="AP851" s="260"/>
      <c r="AQ851" s="258"/>
      <c r="AR851" s="258"/>
      <c r="AS851" s="127"/>
    </row>
    <row r="852" spans="38:45" hidden="1">
      <c r="AL852" s="50"/>
      <c r="AM852" s="126"/>
      <c r="AN852" s="236"/>
      <c r="AO852" s="224"/>
      <c r="AP852" s="260"/>
      <c r="AQ852" s="258"/>
      <c r="AR852" s="258"/>
      <c r="AS852" s="127"/>
    </row>
    <row r="853" spans="38:45">
      <c r="AL853" s="50"/>
      <c r="AM853" s="126"/>
      <c r="AN853" s="236" t="s">
        <v>844</v>
      </c>
      <c r="AO853" s="235" t="s">
        <v>853</v>
      </c>
      <c r="AP853" s="257">
        <f t="shared" ref="AP853:AP864" si="4">SUM(AQ853:AR853)</f>
        <v>0</v>
      </c>
      <c r="AQ853" s="258"/>
      <c r="AR853" s="258"/>
      <c r="AS853" s="127"/>
    </row>
    <row r="854" spans="38:45">
      <c r="AL854" s="50"/>
      <c r="AM854" s="126"/>
      <c r="AN854" s="234" t="s">
        <v>854</v>
      </c>
      <c r="AO854" s="205" t="s">
        <v>76</v>
      </c>
      <c r="AP854" s="257">
        <f t="shared" si="4"/>
        <v>0</v>
      </c>
      <c r="AQ854" s="258"/>
      <c r="AR854" s="258"/>
      <c r="AS854" s="127"/>
    </row>
    <row r="855" spans="38:45">
      <c r="AL855" s="50"/>
      <c r="AM855" s="126"/>
      <c r="AN855" s="236" t="s">
        <v>850</v>
      </c>
      <c r="AO855" s="723" t="s">
        <v>2726</v>
      </c>
      <c r="AP855" s="257">
        <f t="shared" si="4"/>
        <v>0</v>
      </c>
      <c r="AQ855" s="258"/>
      <c r="AR855" s="258"/>
      <c r="AS855" s="127"/>
    </row>
    <row r="856" spans="38:45">
      <c r="AL856" s="50"/>
      <c r="AM856" s="126"/>
      <c r="AN856" s="236" t="s">
        <v>858</v>
      </c>
      <c r="AO856" s="205" t="s">
        <v>859</v>
      </c>
      <c r="AP856" s="257">
        <f t="shared" si="4"/>
        <v>0</v>
      </c>
      <c r="AQ856" s="258"/>
      <c r="AR856" s="258"/>
      <c r="AS856" s="127"/>
    </row>
    <row r="857" spans="38:45">
      <c r="AL857" s="50"/>
      <c r="AM857" s="126"/>
      <c r="AN857" s="236" t="s">
        <v>861</v>
      </c>
      <c r="AO857" s="205" t="s">
        <v>862</v>
      </c>
      <c r="AP857" s="257">
        <f t="shared" si="4"/>
        <v>0</v>
      </c>
      <c r="AQ857" s="258"/>
      <c r="AR857" s="258"/>
      <c r="AS857" s="127"/>
    </row>
    <row r="858" spans="38:45">
      <c r="AL858" s="50"/>
      <c r="AM858" s="126"/>
      <c r="AN858" s="236" t="s">
        <v>863</v>
      </c>
      <c r="AO858" s="205" t="s">
        <v>864</v>
      </c>
      <c r="AP858" s="257">
        <f t="shared" si="4"/>
        <v>0</v>
      </c>
      <c r="AQ858" s="258"/>
      <c r="AR858" s="258"/>
      <c r="AS858" s="127"/>
    </row>
    <row r="859" spans="38:45">
      <c r="AL859" s="50"/>
      <c r="AM859" s="126"/>
      <c r="AN859" s="236" t="s">
        <v>865</v>
      </c>
      <c r="AO859" s="205" t="s">
        <v>866</v>
      </c>
      <c r="AP859" s="257">
        <f t="shared" si="4"/>
        <v>0</v>
      </c>
      <c r="AQ859" s="258"/>
      <c r="AR859" s="258"/>
      <c r="AS859" s="127"/>
    </row>
    <row r="860" spans="38:45">
      <c r="AL860" s="50"/>
      <c r="AM860" s="126"/>
      <c r="AN860" s="236" t="s">
        <v>867</v>
      </c>
      <c r="AO860" s="205" t="s">
        <v>868</v>
      </c>
      <c r="AP860" s="257">
        <f t="shared" si="4"/>
        <v>0</v>
      </c>
      <c r="AQ860" s="258"/>
      <c r="AR860" s="258"/>
      <c r="AS860" s="127"/>
    </row>
    <row r="861" spans="38:45">
      <c r="AL861" s="50"/>
      <c r="AM861" s="126"/>
      <c r="AN861" s="236" t="s">
        <v>869</v>
      </c>
      <c r="AO861" s="229" t="s">
        <v>870</v>
      </c>
      <c r="AP861" s="257">
        <f t="shared" si="4"/>
        <v>0</v>
      </c>
      <c r="AQ861" s="258"/>
      <c r="AR861" s="258"/>
      <c r="AS861" s="127"/>
    </row>
    <row r="862" spans="38:45">
      <c r="AL862" s="50"/>
      <c r="AM862" s="126"/>
      <c r="AN862" s="236" t="s">
        <v>871</v>
      </c>
      <c r="AO862" s="229" t="s">
        <v>872</v>
      </c>
      <c r="AP862" s="257">
        <f t="shared" si="4"/>
        <v>0</v>
      </c>
      <c r="AQ862" s="258"/>
      <c r="AR862" s="258"/>
      <c r="AS862" s="127"/>
    </row>
    <row r="863" spans="38:45">
      <c r="AL863" s="53"/>
      <c r="AM863" s="126"/>
      <c r="AN863" s="236" t="s">
        <v>873</v>
      </c>
      <c r="AO863" s="229" t="s">
        <v>874</v>
      </c>
      <c r="AP863" s="257">
        <f t="shared" si="4"/>
        <v>0</v>
      </c>
      <c r="AQ863" s="258"/>
      <c r="AR863" s="258"/>
      <c r="AS863" s="127"/>
    </row>
    <row r="864" spans="38:45">
      <c r="AL864" s="53"/>
      <c r="AM864" s="126"/>
      <c r="AN864" s="725" t="s">
        <v>852</v>
      </c>
      <c r="AO864" s="724" t="s">
        <v>2727</v>
      </c>
      <c r="AP864" s="257">
        <f t="shared" si="4"/>
        <v>0</v>
      </c>
      <c r="AQ864" s="258"/>
      <c r="AR864" s="258"/>
      <c r="AS864" s="127"/>
    </row>
    <row r="865" spans="38:45" ht="0.75" customHeight="1">
      <c r="AL865" s="53"/>
      <c r="AM865" s="126"/>
      <c r="AN865" s="236"/>
      <c r="AO865" s="205"/>
      <c r="AP865" s="260"/>
      <c r="AQ865" s="258"/>
      <c r="AR865" s="258"/>
      <c r="AS865" s="127"/>
    </row>
    <row r="866" spans="38:45" ht="0.75" customHeight="1">
      <c r="AL866" s="53"/>
      <c r="AM866" s="126"/>
      <c r="AN866" s="236"/>
      <c r="AO866" s="205"/>
      <c r="AP866" s="260"/>
      <c r="AQ866" s="258"/>
      <c r="AR866" s="258"/>
      <c r="AS866" s="127"/>
    </row>
    <row r="867" spans="38:45" ht="0.75" customHeight="1">
      <c r="AL867" s="53"/>
      <c r="AM867" s="126"/>
      <c r="AN867" s="236"/>
      <c r="AO867" s="250"/>
      <c r="AP867" s="260"/>
      <c r="AQ867" s="258"/>
      <c r="AR867" s="258"/>
      <c r="AS867" s="127"/>
    </row>
    <row r="868" spans="38:45" ht="0.75" customHeight="1">
      <c r="AL868" s="53"/>
      <c r="AM868" s="126"/>
      <c r="AN868" s="236"/>
      <c r="AO868" s="250"/>
      <c r="AP868" s="260"/>
      <c r="AQ868" s="258"/>
      <c r="AR868" s="258"/>
      <c r="AS868" s="127"/>
    </row>
    <row r="869" spans="38:45" ht="0.75" customHeight="1">
      <c r="AL869" s="53"/>
      <c r="AM869" s="126"/>
      <c r="AN869" s="236"/>
      <c r="AO869" s="250"/>
      <c r="AP869" s="260"/>
      <c r="AQ869" s="258"/>
      <c r="AR869" s="258"/>
      <c r="AS869" s="127"/>
    </row>
    <row r="870" spans="38:45" ht="0.75" customHeight="1">
      <c r="AL870" s="53"/>
      <c r="AM870" s="126"/>
      <c r="AN870" s="236"/>
      <c r="AO870" s="205"/>
      <c r="AP870" s="260"/>
      <c r="AQ870" s="258"/>
      <c r="AR870" s="258"/>
      <c r="AS870" s="127"/>
    </row>
    <row r="871" spans="38:45" ht="0.75" customHeight="1">
      <c r="AL871" s="50"/>
      <c r="AM871" s="126"/>
      <c r="AN871" s="236"/>
      <c r="AO871" s="250"/>
      <c r="AP871" s="260"/>
      <c r="AQ871" s="258"/>
      <c r="AR871" s="258"/>
      <c r="AS871" s="127"/>
    </row>
    <row r="872" spans="38:45" ht="33.75">
      <c r="AL872" s="50" t="s">
        <v>2482</v>
      </c>
      <c r="AM872" s="126"/>
      <c r="AN872" s="236" t="s">
        <v>2460</v>
      </c>
      <c r="AO872" s="325" t="s">
        <v>336</v>
      </c>
      <c r="AP872" s="257">
        <f>SUMIF(AQ$8:AR$8,"NO_TRANSPORT",AQ872:AR872)</f>
        <v>0</v>
      </c>
      <c r="AQ872" s="258"/>
      <c r="AR872" s="258"/>
      <c r="AS872" s="127"/>
    </row>
    <row r="873" spans="38:45" ht="33.75">
      <c r="AL873" s="50"/>
      <c r="AM873" s="126"/>
      <c r="AN873" s="236" t="s">
        <v>2483</v>
      </c>
      <c r="AO873" s="483" t="s">
        <v>337</v>
      </c>
      <c r="AP873" s="257">
        <f>SUMIF(AQ$8:AR$8,"NO_TRANSPORT",AQ873:AR873)</f>
        <v>0</v>
      </c>
      <c r="AQ873" s="258"/>
      <c r="AR873" s="258"/>
      <c r="AS873" s="127"/>
    </row>
    <row r="874" spans="38:45">
      <c r="AL874" s="50"/>
      <c r="AM874" s="126"/>
      <c r="AN874" s="236" t="s">
        <v>2484</v>
      </c>
      <c r="AO874" s="235" t="s">
        <v>2967</v>
      </c>
      <c r="AP874" s="254"/>
      <c r="AQ874" s="258"/>
      <c r="AR874" s="258"/>
      <c r="AS874" s="127"/>
    </row>
    <row r="875" spans="38:45" ht="67.5">
      <c r="AL875" s="53"/>
      <c r="AM875" s="126"/>
      <c r="AN875" s="436" t="s">
        <v>3083</v>
      </c>
      <c r="AO875" s="485" t="s">
        <v>2303</v>
      </c>
      <c r="AP875" s="257">
        <f>SUMIF(AQ$8:AR$8,"NO_TRANSPORT",AQ875:AR875)</f>
        <v>0</v>
      </c>
      <c r="AQ875" s="258"/>
      <c r="AR875" s="258"/>
      <c r="AS875" s="127"/>
    </row>
    <row r="876" spans="38:45" ht="0.75" customHeight="1">
      <c r="AL876" s="53"/>
      <c r="AM876" s="126"/>
      <c r="AN876" s="223"/>
      <c r="AO876" s="728"/>
      <c r="AP876" s="260"/>
      <c r="AQ876" s="258"/>
      <c r="AR876" s="258"/>
      <c r="AS876" s="127"/>
    </row>
    <row r="877" spans="38:45" ht="22.5">
      <c r="AL877" s="53"/>
      <c r="AM877" s="126"/>
      <c r="AN877" s="236" t="s">
        <v>2490</v>
      </c>
      <c r="AO877" s="721" t="str">
        <f>"Общий доход организации от реализации потребителям без учёта НДС, исходя из утверждённых тарифов на " &amp; AN10</f>
        <v>Общий доход организации от реализации потребителям без учёта НДС, исходя из утверждённых тарифов на 01.07 - 31.08</v>
      </c>
      <c r="AP877" s="257">
        <f>SUM(AQ877:AR877)</f>
        <v>0</v>
      </c>
      <c r="AQ877" s="258"/>
      <c r="AR877" s="258"/>
      <c r="AS877" s="127"/>
    </row>
    <row r="878" spans="38:45" ht="22.5">
      <c r="AL878" s="53"/>
      <c r="AM878" s="126"/>
      <c r="AN878" s="236" t="s">
        <v>2491</v>
      </c>
      <c r="AO878" s="230" t="str">
        <f>"Полезный отпуск продукции на реализацию потребителям (Гкал) на " &amp; AN10</f>
        <v>Полезный отпуск продукции на реализацию потребителям (Гкал) на 01.07 - 31.08</v>
      </c>
      <c r="AP878" s="257">
        <f>SUMIF(AQ$8:AR$8,"NO_TRANSPORT",AQ878:AR878)</f>
        <v>0</v>
      </c>
      <c r="AQ878" s="258"/>
      <c r="AR878" s="258"/>
      <c r="AS878" s="127"/>
    </row>
    <row r="879" spans="38:45" ht="22.5">
      <c r="AL879" s="53"/>
      <c r="AM879" s="126"/>
      <c r="AN879" s="236" t="s">
        <v>2492</v>
      </c>
      <c r="AO879" s="230" t="str">
        <f>"Организации-перепродавцы / энергоснабжающие организации на " &amp; AN10</f>
        <v>Организации-перепродавцы / энергоснабжающие организации на 01.07 - 31.08</v>
      </c>
      <c r="AP879" s="257">
        <f>SUM(AQ879:AR879)</f>
        <v>0</v>
      </c>
      <c r="AQ879" s="258"/>
      <c r="AR879" s="258"/>
      <c r="AS879" s="127"/>
    </row>
    <row r="880" spans="38:45" ht="22.5">
      <c r="AL880" s="53"/>
      <c r="AM880" s="126"/>
      <c r="AN880" s="239" t="str">
        <f>AN879 &amp; ".1"</f>
        <v>22.1.1</v>
      </c>
      <c r="AO880" s="231" t="str">
        <f>"средневзвешенный тариф (" &amp; TRANSMISSION_TARIFF &amp; " - передача, руб./Гкал - остальные)"</f>
        <v>средневзвешенный тариф (руб/куб.м - передача, руб./Гкал - остальные)</v>
      </c>
      <c r="AP880" s="254"/>
      <c r="AQ880" s="258"/>
      <c r="AR880" s="258"/>
      <c r="AS880" s="127"/>
    </row>
    <row r="881" spans="38:45">
      <c r="AL881" s="53"/>
      <c r="AM881" s="126"/>
      <c r="AN881" s="239" t="str">
        <f>AN879 &amp; ".2"</f>
        <v>22.1.2</v>
      </c>
      <c r="AO881" s="231" t="s">
        <v>2493</v>
      </c>
      <c r="AP881" s="257">
        <f>SUMIF(AQ$8:AR$8,"NO_TRANSPORT",AQ881:AR881)</f>
        <v>0</v>
      </c>
      <c r="AQ881" s="258"/>
      <c r="AR881" s="258"/>
      <c r="AS881" s="127"/>
    </row>
    <row r="882" spans="38:45">
      <c r="AL882" s="53"/>
      <c r="AM882" s="126"/>
      <c r="AN882" s="236" t="s">
        <v>2494</v>
      </c>
      <c r="AO882" s="230" t="str">
        <f>"Бюджетные потребители на " &amp; AN10</f>
        <v>Бюджетные потребители на 01.07 - 31.08</v>
      </c>
      <c r="AP882" s="257">
        <f>SUM(AQ882:AR882)</f>
        <v>0</v>
      </c>
      <c r="AQ882" s="258"/>
      <c r="AR882" s="258"/>
      <c r="AS882" s="127"/>
    </row>
    <row r="883" spans="38:45" ht="22.5">
      <c r="AL883" s="53"/>
      <c r="AM883" s="126"/>
      <c r="AN883" s="239" t="str">
        <f>AN882 &amp; ".1"</f>
        <v>22.2.1</v>
      </c>
      <c r="AO883" s="231" t="str">
        <f>"средневзвешенный тариф (" &amp; TRANSMISSION_TARIFF &amp; " - передача, руб./Гкал - остальные)"</f>
        <v>средневзвешенный тариф (руб/куб.м - передача, руб./Гкал - остальные)</v>
      </c>
      <c r="AP883" s="254"/>
      <c r="AQ883" s="258"/>
      <c r="AR883" s="258"/>
      <c r="AS883" s="127"/>
    </row>
    <row r="884" spans="38:45">
      <c r="AL884" s="53"/>
      <c r="AM884" s="126"/>
      <c r="AN884" s="239" t="str">
        <f>AN882 &amp; ".2"</f>
        <v>22.2.2</v>
      </c>
      <c r="AO884" s="231" t="s">
        <v>2493</v>
      </c>
      <c r="AP884" s="257">
        <f>SUMIF(AQ$8:AR$8,"NO_TRANSPORT",AQ884:AR884)</f>
        <v>0</v>
      </c>
      <c r="AQ884" s="258"/>
      <c r="AR884" s="258"/>
      <c r="AS884" s="127"/>
    </row>
    <row r="885" spans="38:45">
      <c r="AL885" s="53"/>
      <c r="AM885" s="126"/>
      <c r="AN885" s="236" t="s">
        <v>2495</v>
      </c>
      <c r="AO885" s="230" t="str">
        <f>"Население на " &amp; AN10</f>
        <v>Население на 01.07 - 31.08</v>
      </c>
      <c r="AP885" s="257">
        <f>SUM(AQ885:AR885)</f>
        <v>0</v>
      </c>
      <c r="AQ885" s="258"/>
      <c r="AR885" s="258"/>
      <c r="AS885" s="127"/>
    </row>
    <row r="886" spans="38:45" ht="22.5">
      <c r="AL886" s="53"/>
      <c r="AM886" s="126"/>
      <c r="AN886" s="239" t="str">
        <f>AN885 &amp; ".1"</f>
        <v>22.3.1</v>
      </c>
      <c r="AO886" s="231" t="str">
        <f>"средневзвешенный тариф (" &amp; TRANSMISSION_TARIFF &amp; " - передача, руб./Гкал - остальные)"</f>
        <v>средневзвешенный тариф (руб/куб.м - передача, руб./Гкал - остальные)</v>
      </c>
      <c r="AP886" s="254"/>
      <c r="AQ886" s="258"/>
      <c r="AR886" s="258"/>
      <c r="AS886" s="127"/>
    </row>
    <row r="887" spans="38:45">
      <c r="AL887" s="53"/>
      <c r="AM887" s="126"/>
      <c r="AN887" s="239" t="str">
        <f>AN885 &amp; ".2"</f>
        <v>22.3.2</v>
      </c>
      <c r="AO887" s="231" t="s">
        <v>2493</v>
      </c>
      <c r="AP887" s="257">
        <f>SUMIF(AQ$8:AR$8,"NO_TRANSPORT",AQ887:AR887)</f>
        <v>0</v>
      </c>
      <c r="AQ887" s="258"/>
      <c r="AR887" s="258"/>
      <c r="AS887" s="127"/>
    </row>
    <row r="888" spans="38:45">
      <c r="AL888" s="53"/>
      <c r="AM888" s="126"/>
      <c r="AN888" s="236" t="s">
        <v>2496</v>
      </c>
      <c r="AO888" s="230" t="str">
        <f>"Прочие на " &amp; AN10</f>
        <v>Прочие на 01.07 - 31.08</v>
      </c>
      <c r="AP888" s="257">
        <f>SUM(AQ888:AR888)</f>
        <v>0</v>
      </c>
      <c r="AQ888" s="258"/>
      <c r="AR888" s="258"/>
      <c r="AS888" s="127"/>
    </row>
    <row r="889" spans="38:45" ht="22.5">
      <c r="AL889" s="53"/>
      <c r="AM889" s="126"/>
      <c r="AN889" s="239" t="str">
        <f>AN888 &amp; ".1"</f>
        <v>22.4.1</v>
      </c>
      <c r="AO889" s="231" t="str">
        <f>"средневзвешенный тариф (" &amp; TRANSMISSION_TARIFF &amp; " - передача, руб./Гкал - остальные)"</f>
        <v>средневзвешенный тариф (руб/куб.м - передача, руб./Гкал - остальные)</v>
      </c>
      <c r="AP889" s="254"/>
      <c r="AQ889" s="258"/>
      <c r="AR889" s="258"/>
      <c r="AS889" s="127"/>
    </row>
    <row r="890" spans="38:45">
      <c r="AL890" s="53"/>
      <c r="AM890" s="126"/>
      <c r="AN890" s="239" t="str">
        <f>AN888 &amp; ".2"</f>
        <v>22.4.2</v>
      </c>
      <c r="AO890" s="231" t="s">
        <v>2493</v>
      </c>
      <c r="AP890" s="257">
        <f>SUMIF(AQ$8:AR$8,"NO_TRANSPORT",AQ890:AR890)</f>
        <v>0</v>
      </c>
      <c r="AQ890" s="258"/>
      <c r="AR890" s="258"/>
      <c r="AS890" s="127"/>
    </row>
    <row r="891" spans="38:45" ht="0.75" customHeight="1">
      <c r="AL891" s="53"/>
      <c r="AM891" s="126"/>
      <c r="AN891" s="236"/>
      <c r="AO891" s="205"/>
      <c r="AP891" s="264"/>
      <c r="AQ891" s="258"/>
      <c r="AR891" s="258"/>
      <c r="AS891" s="127"/>
    </row>
    <row r="892" spans="38:45">
      <c r="AL892" s="53"/>
      <c r="AM892" s="126"/>
      <c r="AN892" s="722" t="s">
        <v>2725</v>
      </c>
      <c r="AO892" s="721" t="s">
        <v>2724</v>
      </c>
      <c r="AP892" s="257">
        <f>SUM(AQ892:AR892)</f>
        <v>0</v>
      </c>
      <c r="AQ892" s="258"/>
      <c r="AR892" s="258"/>
      <c r="AS892" s="127"/>
    </row>
    <row r="893" spans="38:45" hidden="1">
      <c r="AL893" s="53"/>
      <c r="AM893" s="126"/>
      <c r="AN893" s="236"/>
      <c r="AO893" s="231"/>
      <c r="AP893" s="260"/>
      <c r="AQ893" s="258"/>
      <c r="AR893" s="258"/>
      <c r="AS893" s="127"/>
    </row>
    <row r="894" spans="38:45" hidden="1">
      <c r="AL894" s="53"/>
      <c r="AM894" s="126"/>
      <c r="AN894" s="236"/>
      <c r="AO894" s="231"/>
      <c r="AP894" s="260"/>
      <c r="AQ894" s="258"/>
      <c r="AR894" s="258"/>
      <c r="AS894" s="127"/>
    </row>
    <row r="895" spans="38:45" hidden="1">
      <c r="AL895" s="53"/>
      <c r="AM895" s="126"/>
      <c r="AN895" s="236"/>
      <c r="AO895" s="231"/>
      <c r="AP895" s="260"/>
      <c r="AQ895" s="258"/>
      <c r="AR895" s="258"/>
      <c r="AS895" s="127"/>
    </row>
    <row r="896" spans="38:45" hidden="1">
      <c r="AL896" s="53"/>
      <c r="AM896" s="126"/>
      <c r="AN896" s="236"/>
      <c r="AO896" s="231"/>
      <c r="AP896" s="260"/>
      <c r="AQ896" s="258"/>
      <c r="AR896" s="258"/>
      <c r="AS896" s="127"/>
    </row>
    <row r="897" spans="10:45" hidden="1">
      <c r="AL897" s="53"/>
      <c r="AM897" s="126"/>
      <c r="AN897" s="236"/>
      <c r="AO897" s="231"/>
      <c r="AP897" s="260"/>
      <c r="AQ897" s="258"/>
      <c r="AR897" s="258"/>
      <c r="AS897" s="127"/>
    </row>
    <row r="898" spans="10:45" hidden="1">
      <c r="AL898" s="53"/>
      <c r="AM898" s="126"/>
      <c r="AN898" s="236"/>
      <c r="AO898" s="231"/>
      <c r="AP898" s="260"/>
      <c r="AQ898" s="258"/>
      <c r="AR898" s="258"/>
      <c r="AS898" s="127"/>
    </row>
    <row r="899" spans="10:45" s="48" customFormat="1" hidden="1">
      <c r="J899" s="213"/>
      <c r="K899" s="213"/>
      <c r="L899" s="213"/>
      <c r="M899" s="213"/>
      <c r="N899" s="213"/>
      <c r="O899" s="213"/>
      <c r="P899" s="213"/>
      <c r="Q899" s="213"/>
      <c r="R899" s="213"/>
      <c r="S899" s="213"/>
      <c r="T899" s="213"/>
      <c r="U899" s="213"/>
      <c r="V899" s="213"/>
      <c r="W899" s="213"/>
      <c r="X899" s="213"/>
      <c r="Y899" s="213"/>
      <c r="Z899" s="213"/>
      <c r="AA899" s="213"/>
      <c r="AB899" s="213"/>
      <c r="AC899" s="213"/>
      <c r="AD899" s="213"/>
      <c r="AE899" s="213"/>
      <c r="AF899" s="213"/>
      <c r="AG899" s="213"/>
      <c r="AH899" s="213"/>
      <c r="AI899" s="213"/>
      <c r="AJ899" s="213"/>
      <c r="AK899" s="213"/>
      <c r="AL899" s="213"/>
      <c r="AM899" s="213"/>
      <c r="AN899" s="283"/>
      <c r="AO899" s="284"/>
      <c r="AP899" s="285"/>
      <c r="AQ899" s="258"/>
      <c r="AR899" s="258"/>
    </row>
    <row r="900" spans="10:45" s="48" customFormat="1" hidden="1">
      <c r="J900" s="213"/>
      <c r="K900" s="213"/>
      <c r="L900" s="213"/>
      <c r="M900" s="213"/>
      <c r="N900" s="213"/>
      <c r="O900" s="213"/>
      <c r="P900" s="213"/>
      <c r="Q900" s="213"/>
      <c r="R900" s="213"/>
      <c r="S900" s="213"/>
      <c r="T900" s="213"/>
      <c r="U900" s="213"/>
      <c r="V900" s="213"/>
      <c r="W900" s="213"/>
      <c r="X900" s="213"/>
      <c r="Y900" s="213"/>
      <c r="Z900" s="213"/>
      <c r="AA900" s="213"/>
      <c r="AB900" s="213"/>
      <c r="AC900" s="213"/>
      <c r="AD900" s="213"/>
      <c r="AE900" s="213"/>
      <c r="AF900" s="213"/>
      <c r="AG900" s="213"/>
      <c r="AH900" s="213"/>
      <c r="AI900" s="213"/>
      <c r="AJ900" s="213"/>
      <c r="AK900" s="213"/>
      <c r="AL900" s="213"/>
      <c r="AM900" s="213"/>
      <c r="AN900" s="283"/>
      <c r="AO900" s="284"/>
      <c r="AP900" s="285"/>
      <c r="AQ900" s="258"/>
      <c r="AR900" s="258"/>
    </row>
    <row r="901" spans="10:45" s="48" customFormat="1" hidden="1">
      <c r="J901" s="213"/>
      <c r="K901" s="213"/>
      <c r="L901" s="213"/>
      <c r="M901" s="213"/>
      <c r="N901" s="213"/>
      <c r="O901" s="213"/>
      <c r="P901" s="213"/>
      <c r="Q901" s="213"/>
      <c r="R901" s="213"/>
      <c r="S901" s="213"/>
      <c r="T901" s="213"/>
      <c r="U901" s="213"/>
      <c r="V901" s="213"/>
      <c r="W901" s="213"/>
      <c r="X901" s="213"/>
      <c r="Y901" s="213"/>
      <c r="Z901" s="213"/>
      <c r="AA901" s="213"/>
      <c r="AB901" s="213"/>
      <c r="AC901" s="213"/>
      <c r="AD901" s="213"/>
      <c r="AE901" s="213"/>
      <c r="AF901" s="213"/>
      <c r="AG901" s="213"/>
      <c r="AH901" s="213"/>
      <c r="AI901" s="213"/>
      <c r="AJ901" s="213"/>
      <c r="AK901" s="213"/>
      <c r="AL901" s="213"/>
      <c r="AM901" s="213"/>
      <c r="AN901" s="283"/>
      <c r="AO901" s="284"/>
      <c r="AP901" s="285"/>
      <c r="AQ901" s="258"/>
      <c r="AR901" s="258"/>
    </row>
    <row r="902" spans="10:45" s="48" customFormat="1" hidden="1">
      <c r="J902" s="213"/>
      <c r="K902" s="213"/>
      <c r="L902" s="213"/>
      <c r="M902" s="213"/>
      <c r="N902" s="213"/>
      <c r="O902" s="213"/>
      <c r="P902" s="213"/>
      <c r="Q902" s="213"/>
      <c r="R902" s="213"/>
      <c r="S902" s="213"/>
      <c r="T902" s="213"/>
      <c r="U902" s="213"/>
      <c r="V902" s="213"/>
      <c r="W902" s="213"/>
      <c r="X902" s="213"/>
      <c r="Y902" s="213"/>
      <c r="Z902" s="213"/>
      <c r="AA902" s="213"/>
      <c r="AB902" s="213"/>
      <c r="AC902" s="213"/>
      <c r="AD902" s="213"/>
      <c r="AE902" s="213"/>
      <c r="AF902" s="213"/>
      <c r="AG902" s="213"/>
      <c r="AH902" s="213"/>
      <c r="AI902" s="213"/>
      <c r="AJ902" s="213"/>
      <c r="AK902" s="213"/>
      <c r="AL902" s="213"/>
      <c r="AM902" s="213"/>
      <c r="AN902" s="283"/>
      <c r="AO902" s="284"/>
      <c r="AP902" s="285"/>
      <c r="AQ902" s="258"/>
      <c r="AR902" s="258"/>
    </row>
    <row r="903" spans="10:45" s="48" customFormat="1" hidden="1">
      <c r="J903" s="213"/>
      <c r="K903" s="213"/>
      <c r="L903" s="213"/>
      <c r="M903" s="213"/>
      <c r="N903" s="213"/>
      <c r="O903" s="213"/>
      <c r="P903" s="213"/>
      <c r="Q903" s="213"/>
      <c r="R903" s="213"/>
      <c r="S903" s="213"/>
      <c r="T903" s="213"/>
      <c r="U903" s="213"/>
      <c r="V903" s="213"/>
      <c r="W903" s="213"/>
      <c r="X903" s="213"/>
      <c r="Y903" s="213"/>
      <c r="Z903" s="213"/>
      <c r="AA903" s="213"/>
      <c r="AB903" s="213"/>
      <c r="AC903" s="213"/>
      <c r="AD903" s="213"/>
      <c r="AE903" s="213"/>
      <c r="AF903" s="213"/>
      <c r="AG903" s="213"/>
      <c r="AH903" s="213"/>
      <c r="AI903" s="213"/>
      <c r="AJ903" s="213"/>
      <c r="AK903" s="213"/>
      <c r="AL903" s="213"/>
      <c r="AM903" s="213"/>
      <c r="AN903" s="283"/>
      <c r="AO903" s="284"/>
      <c r="AP903" s="285"/>
      <c r="AQ903" s="258"/>
      <c r="AR903" s="258"/>
    </row>
    <row r="904" spans="10:45" s="48" customFormat="1" hidden="1">
      <c r="J904" s="213"/>
      <c r="K904" s="213"/>
      <c r="L904" s="213"/>
      <c r="M904" s="213"/>
      <c r="N904" s="213"/>
      <c r="O904" s="213"/>
      <c r="P904" s="213"/>
      <c r="Q904" s="213"/>
      <c r="R904" s="213"/>
      <c r="S904" s="213"/>
      <c r="T904" s="213"/>
      <c r="U904" s="213"/>
      <c r="V904" s="213"/>
      <c r="W904" s="213"/>
      <c r="X904" s="213"/>
      <c r="Y904" s="213"/>
      <c r="Z904" s="213"/>
      <c r="AA904" s="213"/>
      <c r="AB904" s="213"/>
      <c r="AC904" s="213"/>
      <c r="AD904" s="213"/>
      <c r="AE904" s="213"/>
      <c r="AF904" s="213"/>
      <c r="AG904" s="213"/>
      <c r="AH904" s="213"/>
      <c r="AI904" s="213"/>
      <c r="AJ904" s="213"/>
      <c r="AK904" s="213"/>
      <c r="AL904" s="213"/>
      <c r="AM904" s="213"/>
      <c r="AN904" s="283"/>
      <c r="AO904" s="284"/>
      <c r="AP904" s="285"/>
      <c r="AQ904" s="258"/>
      <c r="AR904" s="258"/>
    </row>
    <row r="905" spans="10:45" s="48" customFormat="1" hidden="1">
      <c r="J905" s="213"/>
      <c r="K905" s="213"/>
      <c r="L905" s="213"/>
      <c r="M905" s="213"/>
      <c r="N905" s="213"/>
      <c r="O905" s="213"/>
      <c r="P905" s="213"/>
      <c r="Q905" s="213"/>
      <c r="R905" s="213"/>
      <c r="S905" s="213"/>
      <c r="T905" s="213"/>
      <c r="U905" s="213"/>
      <c r="V905" s="213"/>
      <c r="W905" s="213"/>
      <c r="X905" s="213"/>
      <c r="Y905" s="213"/>
      <c r="Z905" s="213"/>
      <c r="AA905" s="213"/>
      <c r="AB905" s="213"/>
      <c r="AC905" s="213"/>
      <c r="AD905" s="213"/>
      <c r="AE905" s="213"/>
      <c r="AF905" s="213"/>
      <c r="AG905" s="213"/>
      <c r="AH905" s="213"/>
      <c r="AI905" s="213"/>
      <c r="AJ905" s="213"/>
      <c r="AK905" s="213"/>
      <c r="AL905" s="213"/>
      <c r="AM905" s="213"/>
      <c r="AN905" s="283"/>
      <c r="AO905" s="284"/>
      <c r="AP905" s="285"/>
      <c r="AQ905" s="258"/>
      <c r="AR905" s="258"/>
    </row>
    <row r="906" spans="10:45" s="48" customFormat="1" hidden="1">
      <c r="J906" s="213"/>
      <c r="K906" s="213"/>
      <c r="L906" s="213"/>
      <c r="M906" s="213"/>
      <c r="N906" s="213"/>
      <c r="O906" s="213"/>
      <c r="P906" s="213"/>
      <c r="Q906" s="213"/>
      <c r="R906" s="213"/>
      <c r="S906" s="213"/>
      <c r="T906" s="213"/>
      <c r="U906" s="213"/>
      <c r="V906" s="213"/>
      <c r="W906" s="213"/>
      <c r="X906" s="213"/>
      <c r="Y906" s="213"/>
      <c r="Z906" s="213"/>
      <c r="AA906" s="213"/>
      <c r="AB906" s="213"/>
      <c r="AC906" s="213"/>
      <c r="AD906" s="213"/>
      <c r="AE906" s="213"/>
      <c r="AF906" s="213"/>
      <c r="AG906" s="213"/>
      <c r="AH906" s="213"/>
      <c r="AI906" s="213"/>
      <c r="AJ906" s="213"/>
      <c r="AK906" s="213"/>
      <c r="AL906" s="213"/>
      <c r="AM906" s="213"/>
      <c r="AN906" s="283"/>
      <c r="AO906" s="284"/>
      <c r="AP906" s="285"/>
      <c r="AQ906" s="258"/>
      <c r="AR906" s="258"/>
    </row>
    <row r="907" spans="10:45" s="48" customFormat="1" hidden="1">
      <c r="J907" s="213"/>
      <c r="K907" s="213"/>
      <c r="L907" s="213"/>
      <c r="M907" s="213"/>
      <c r="N907" s="213"/>
      <c r="O907" s="213"/>
      <c r="P907" s="213"/>
      <c r="Q907" s="213"/>
      <c r="R907" s="213"/>
      <c r="S907" s="213"/>
      <c r="T907" s="213"/>
      <c r="U907" s="213"/>
      <c r="V907" s="213"/>
      <c r="W907" s="213"/>
      <c r="X907" s="213"/>
      <c r="Y907" s="213"/>
      <c r="Z907" s="213"/>
      <c r="AA907" s="213"/>
      <c r="AB907" s="213"/>
      <c r="AC907" s="213"/>
      <c r="AD907" s="213"/>
      <c r="AE907" s="213"/>
      <c r="AF907" s="213"/>
      <c r="AG907" s="213"/>
      <c r="AH907" s="213"/>
      <c r="AI907" s="213"/>
      <c r="AJ907" s="213"/>
      <c r="AK907" s="213"/>
      <c r="AL907" s="213"/>
      <c r="AM907" s="213"/>
      <c r="AN907" s="283"/>
      <c r="AO907" s="284"/>
      <c r="AP907" s="285"/>
      <c r="AQ907" s="258"/>
      <c r="AR907" s="258"/>
    </row>
    <row r="908" spans="10:45" s="48" customFormat="1" hidden="1">
      <c r="J908" s="213"/>
      <c r="K908" s="213"/>
      <c r="L908" s="213"/>
      <c r="M908" s="213"/>
      <c r="N908" s="213"/>
      <c r="O908" s="213"/>
      <c r="P908" s="213"/>
      <c r="Q908" s="213"/>
      <c r="R908" s="213"/>
      <c r="S908" s="213"/>
      <c r="T908" s="213"/>
      <c r="U908" s="213"/>
      <c r="V908" s="213"/>
      <c r="W908" s="213"/>
      <c r="X908" s="213"/>
      <c r="Y908" s="213"/>
      <c r="Z908" s="213"/>
      <c r="AA908" s="213"/>
      <c r="AB908" s="213"/>
      <c r="AC908" s="213"/>
      <c r="AD908" s="213"/>
      <c r="AE908" s="213"/>
      <c r="AF908" s="213"/>
      <c r="AG908" s="213"/>
      <c r="AH908" s="213"/>
      <c r="AI908" s="213"/>
      <c r="AJ908" s="213"/>
      <c r="AK908" s="213"/>
      <c r="AL908" s="213"/>
      <c r="AM908" s="213"/>
      <c r="AN908" s="283"/>
      <c r="AO908" s="284"/>
      <c r="AP908" s="285"/>
      <c r="AQ908" s="258"/>
      <c r="AR908" s="258"/>
    </row>
    <row r="909" spans="10:45" s="48" customFormat="1" hidden="1">
      <c r="J909" s="213"/>
      <c r="K909" s="213"/>
      <c r="L909" s="213"/>
      <c r="M909" s="213"/>
      <c r="N909" s="213"/>
      <c r="O909" s="213"/>
      <c r="P909" s="213"/>
      <c r="Q909" s="213"/>
      <c r="R909" s="213"/>
      <c r="S909" s="213"/>
      <c r="T909" s="213"/>
      <c r="U909" s="213"/>
      <c r="V909" s="213"/>
      <c r="W909" s="213"/>
      <c r="X909" s="213"/>
      <c r="Y909" s="213"/>
      <c r="Z909" s="213"/>
      <c r="AA909" s="213"/>
      <c r="AB909" s="213"/>
      <c r="AC909" s="213"/>
      <c r="AD909" s="213"/>
      <c r="AE909" s="213"/>
      <c r="AF909" s="213"/>
      <c r="AG909" s="213"/>
      <c r="AH909" s="213"/>
      <c r="AI909" s="213"/>
      <c r="AJ909" s="213"/>
      <c r="AK909" s="213"/>
      <c r="AL909" s="213"/>
      <c r="AM909" s="213"/>
      <c r="AN909" s="283"/>
      <c r="AO909" s="284"/>
      <c r="AP909" s="285"/>
      <c r="AQ909" s="258"/>
      <c r="AR909" s="258"/>
    </row>
    <row r="910" spans="10:45" s="48" customFormat="1" hidden="1">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83"/>
      <c r="AO910" s="284"/>
      <c r="AP910" s="285"/>
      <c r="AQ910" s="258"/>
      <c r="AR910" s="258"/>
    </row>
    <row r="911" spans="10:45" s="48" customFormat="1" hidden="1">
      <c r="J911" s="213"/>
      <c r="K911" s="213"/>
      <c r="L911" s="213"/>
      <c r="M911" s="213"/>
      <c r="N911" s="213"/>
      <c r="O911" s="213"/>
      <c r="P911" s="213"/>
      <c r="Q911" s="213"/>
      <c r="R911" s="213"/>
      <c r="S911" s="213"/>
      <c r="T911" s="213"/>
      <c r="U911" s="213"/>
      <c r="V911" s="213"/>
      <c r="W911" s="213"/>
      <c r="X911" s="213"/>
      <c r="Y911" s="213"/>
      <c r="Z911" s="213"/>
      <c r="AA911" s="213"/>
      <c r="AB911" s="213"/>
      <c r="AC911" s="213"/>
      <c r="AD911" s="213"/>
      <c r="AE911" s="213"/>
      <c r="AF911" s="213"/>
      <c r="AG911" s="213"/>
      <c r="AH911" s="213"/>
      <c r="AI911" s="213"/>
      <c r="AJ911" s="213"/>
      <c r="AK911" s="213"/>
      <c r="AL911" s="213"/>
      <c r="AM911" s="213"/>
      <c r="AN911" s="283"/>
      <c r="AO911" s="284"/>
      <c r="AP911" s="285"/>
      <c r="AQ911" s="258"/>
      <c r="AR911" s="258"/>
    </row>
    <row r="912" spans="10:45" s="48" customFormat="1" hidden="1">
      <c r="J912" s="213"/>
      <c r="K912" s="213"/>
      <c r="L912" s="213"/>
      <c r="M912" s="213"/>
      <c r="N912" s="213"/>
      <c r="O912" s="213"/>
      <c r="P912" s="213"/>
      <c r="Q912" s="213"/>
      <c r="R912" s="213"/>
      <c r="S912" s="213"/>
      <c r="T912" s="213"/>
      <c r="U912" s="213"/>
      <c r="V912" s="213"/>
      <c r="W912" s="213"/>
      <c r="X912" s="213"/>
      <c r="Y912" s="213"/>
      <c r="Z912" s="213"/>
      <c r="AA912" s="213"/>
      <c r="AB912" s="213"/>
      <c r="AC912" s="213"/>
      <c r="AD912" s="213"/>
      <c r="AE912" s="213"/>
      <c r="AF912" s="213"/>
      <c r="AG912" s="213"/>
      <c r="AH912" s="213"/>
      <c r="AI912" s="213"/>
      <c r="AJ912" s="213"/>
      <c r="AK912" s="213"/>
      <c r="AL912" s="213"/>
      <c r="AM912" s="213"/>
      <c r="AN912" s="283"/>
      <c r="AO912" s="284"/>
      <c r="AP912" s="285"/>
      <c r="AQ912" s="258"/>
      <c r="AR912" s="258"/>
    </row>
    <row r="913" spans="10:44" s="48" customFormat="1" hidden="1">
      <c r="J913" s="213"/>
      <c r="K913" s="213"/>
      <c r="L913" s="213"/>
      <c r="M913" s="213"/>
      <c r="N913" s="213"/>
      <c r="O913" s="213"/>
      <c r="P913" s="213"/>
      <c r="Q913" s="213"/>
      <c r="R913" s="213"/>
      <c r="S913" s="213"/>
      <c r="T913" s="213"/>
      <c r="U913" s="213"/>
      <c r="V913" s="213"/>
      <c r="W913" s="213"/>
      <c r="X913" s="213"/>
      <c r="Y913" s="213"/>
      <c r="Z913" s="213"/>
      <c r="AA913" s="213"/>
      <c r="AB913" s="213"/>
      <c r="AC913" s="213"/>
      <c r="AD913" s="213"/>
      <c r="AE913" s="213"/>
      <c r="AF913" s="213"/>
      <c r="AG913" s="213"/>
      <c r="AH913" s="213"/>
      <c r="AI913" s="213"/>
      <c r="AJ913" s="213"/>
      <c r="AK913" s="213"/>
      <c r="AL913" s="213"/>
      <c r="AM913" s="213"/>
      <c r="AN913" s="283"/>
      <c r="AO913" s="284"/>
      <c r="AP913" s="285"/>
      <c r="AQ913" s="258"/>
      <c r="AR913" s="258"/>
    </row>
    <row r="914" spans="10:44" s="48" customFormat="1" hidden="1">
      <c r="J914" s="213"/>
      <c r="K914" s="213"/>
      <c r="L914" s="213"/>
      <c r="M914" s="213"/>
      <c r="N914" s="213"/>
      <c r="O914" s="213"/>
      <c r="P914" s="213"/>
      <c r="Q914" s="213"/>
      <c r="R914" s="213"/>
      <c r="S914" s="213"/>
      <c r="T914" s="213"/>
      <c r="U914" s="213"/>
      <c r="V914" s="213"/>
      <c r="W914" s="213"/>
      <c r="X914" s="213"/>
      <c r="Y914" s="213"/>
      <c r="Z914" s="213"/>
      <c r="AA914" s="213"/>
      <c r="AB914" s="213"/>
      <c r="AC914" s="213"/>
      <c r="AD914" s="213"/>
      <c r="AE914" s="213"/>
      <c r="AF914" s="213"/>
      <c r="AG914" s="213"/>
      <c r="AH914" s="213"/>
      <c r="AI914" s="213"/>
      <c r="AJ914" s="213"/>
      <c r="AK914" s="213"/>
      <c r="AL914" s="213"/>
      <c r="AM914" s="213"/>
      <c r="AN914" s="283"/>
      <c r="AO914" s="284"/>
      <c r="AP914" s="285"/>
      <c r="AQ914" s="258"/>
      <c r="AR914" s="258"/>
    </row>
    <row r="915" spans="10:44" s="48" customFormat="1" hidden="1">
      <c r="J915" s="213"/>
      <c r="K915" s="213"/>
      <c r="L915" s="213"/>
      <c r="M915" s="213"/>
      <c r="N915" s="213"/>
      <c r="O915" s="213"/>
      <c r="P915" s="213"/>
      <c r="Q915" s="213"/>
      <c r="R915" s="213"/>
      <c r="S915" s="213"/>
      <c r="T915" s="213"/>
      <c r="U915" s="213"/>
      <c r="V915" s="213"/>
      <c r="W915" s="213"/>
      <c r="X915" s="213"/>
      <c r="Y915" s="213"/>
      <c r="Z915" s="213"/>
      <c r="AA915" s="213"/>
      <c r="AB915" s="213"/>
      <c r="AC915" s="213"/>
      <c r="AD915" s="213"/>
      <c r="AE915" s="213"/>
      <c r="AF915" s="213"/>
      <c r="AG915" s="213"/>
      <c r="AH915" s="213"/>
      <c r="AI915" s="213"/>
      <c r="AJ915" s="213"/>
      <c r="AK915" s="213"/>
      <c r="AL915" s="213"/>
      <c r="AM915" s="213"/>
      <c r="AN915" s="283"/>
      <c r="AO915" s="284"/>
      <c r="AP915" s="285"/>
      <c r="AQ915" s="258"/>
      <c r="AR915" s="258"/>
    </row>
    <row r="916" spans="10:44" s="48" customFormat="1" hidden="1">
      <c r="J916" s="213"/>
      <c r="K916" s="213"/>
      <c r="L916" s="213"/>
      <c r="M916" s="213"/>
      <c r="N916" s="213"/>
      <c r="O916" s="213"/>
      <c r="P916" s="213"/>
      <c r="Q916" s="213"/>
      <c r="R916" s="213"/>
      <c r="S916" s="213"/>
      <c r="T916" s="213"/>
      <c r="U916" s="213"/>
      <c r="V916" s="213"/>
      <c r="W916" s="213"/>
      <c r="X916" s="213"/>
      <c r="Y916" s="213"/>
      <c r="Z916" s="213"/>
      <c r="AA916" s="213"/>
      <c r="AB916" s="213"/>
      <c r="AC916" s="213"/>
      <c r="AD916" s="213"/>
      <c r="AE916" s="213"/>
      <c r="AF916" s="213"/>
      <c r="AG916" s="213"/>
      <c r="AH916" s="213"/>
      <c r="AI916" s="213"/>
      <c r="AJ916" s="213"/>
      <c r="AK916" s="213"/>
      <c r="AL916" s="213"/>
      <c r="AM916" s="213"/>
      <c r="AN916" s="283"/>
      <c r="AO916" s="284"/>
      <c r="AP916" s="285"/>
      <c r="AQ916" s="258"/>
      <c r="AR916" s="258"/>
    </row>
    <row r="917" spans="10:44" s="48" customFormat="1" hidden="1">
      <c r="J917" s="213"/>
      <c r="K917" s="213"/>
      <c r="L917" s="213"/>
      <c r="M917" s="213"/>
      <c r="N917" s="213"/>
      <c r="O917" s="213"/>
      <c r="P917" s="213"/>
      <c r="Q917" s="213"/>
      <c r="R917" s="213"/>
      <c r="S917" s="213"/>
      <c r="T917" s="213"/>
      <c r="U917" s="213"/>
      <c r="V917" s="213"/>
      <c r="W917" s="213"/>
      <c r="X917" s="213"/>
      <c r="Y917" s="213"/>
      <c r="Z917" s="213"/>
      <c r="AA917" s="213"/>
      <c r="AB917" s="213"/>
      <c r="AC917" s="213"/>
      <c r="AD917" s="213"/>
      <c r="AE917" s="213"/>
      <c r="AF917" s="213"/>
      <c r="AG917" s="213"/>
      <c r="AH917" s="213"/>
      <c r="AI917" s="213"/>
      <c r="AJ917" s="213"/>
      <c r="AK917" s="213"/>
      <c r="AL917" s="213"/>
      <c r="AM917" s="213"/>
      <c r="AN917" s="283"/>
      <c r="AO917" s="284"/>
      <c r="AP917" s="285"/>
      <c r="AQ917" s="258"/>
      <c r="AR917" s="258"/>
    </row>
    <row r="918" spans="10:44" s="48" customFormat="1" ht="12" hidden="1" customHeight="1">
      <c r="J918" s="213"/>
      <c r="K918" s="213"/>
      <c r="L918" s="213"/>
      <c r="M918" s="213"/>
      <c r="N918" s="213"/>
      <c r="O918" s="213"/>
      <c r="P918" s="213"/>
      <c r="Q918" s="213"/>
      <c r="R918" s="213"/>
      <c r="S918" s="213"/>
      <c r="T918" s="213"/>
      <c r="U918" s="213"/>
      <c r="V918" s="213"/>
      <c r="W918" s="213"/>
      <c r="X918" s="213"/>
      <c r="Y918" s="213"/>
      <c r="Z918" s="213"/>
      <c r="AA918" s="213"/>
      <c r="AB918" s="213"/>
      <c r="AC918" s="213"/>
      <c r="AD918" s="213"/>
      <c r="AE918" s="213"/>
      <c r="AF918" s="213"/>
      <c r="AG918" s="213"/>
      <c r="AH918" s="213"/>
      <c r="AI918" s="213"/>
      <c r="AJ918" s="213"/>
      <c r="AK918" s="213"/>
      <c r="AL918" s="213"/>
      <c r="AM918" s="213"/>
      <c r="AN918" s="283"/>
      <c r="AO918" s="284"/>
      <c r="AP918" s="285"/>
      <c r="AQ918" s="258"/>
      <c r="AR918" s="258"/>
    </row>
    <row r="919" spans="10:44" s="48" customFormat="1" ht="12" hidden="1" customHeight="1">
      <c r="J919" s="213"/>
      <c r="K919" s="213"/>
      <c r="L919" s="213"/>
      <c r="M919" s="213"/>
      <c r="N919" s="213"/>
      <c r="O919" s="213"/>
      <c r="P919" s="213"/>
      <c r="Q919" s="213"/>
      <c r="R919" s="213"/>
      <c r="S919" s="213"/>
      <c r="T919" s="213"/>
      <c r="U919" s="213"/>
      <c r="V919" s="213"/>
      <c r="W919" s="213"/>
      <c r="X919" s="213"/>
      <c r="Y919" s="213"/>
      <c r="Z919" s="213"/>
      <c r="AA919" s="213"/>
      <c r="AB919" s="213"/>
      <c r="AC919" s="213"/>
      <c r="AD919" s="213"/>
      <c r="AE919" s="213"/>
      <c r="AF919" s="213"/>
      <c r="AG919" s="213"/>
      <c r="AH919" s="213"/>
      <c r="AI919" s="213"/>
      <c r="AJ919" s="213"/>
      <c r="AK919" s="213"/>
      <c r="AL919" s="213"/>
      <c r="AM919" s="213"/>
      <c r="AN919" s="283"/>
      <c r="AO919" s="284"/>
      <c r="AP919" s="285"/>
      <c r="AQ919" s="258"/>
      <c r="AR919" s="258"/>
    </row>
    <row r="920" spans="10:44" s="48" customFormat="1" ht="12" hidden="1" customHeight="1">
      <c r="J920" s="213"/>
      <c r="K920" s="213"/>
      <c r="L920" s="213"/>
      <c r="M920" s="213"/>
      <c r="N920" s="213"/>
      <c r="O920" s="213"/>
      <c r="P920" s="213"/>
      <c r="Q920" s="213"/>
      <c r="R920" s="213"/>
      <c r="S920" s="213"/>
      <c r="T920" s="213"/>
      <c r="U920" s="213"/>
      <c r="V920" s="213"/>
      <c r="W920" s="213"/>
      <c r="X920" s="213"/>
      <c r="Y920" s="213"/>
      <c r="Z920" s="213"/>
      <c r="AA920" s="213"/>
      <c r="AB920" s="213"/>
      <c r="AC920" s="213"/>
      <c r="AD920" s="213"/>
      <c r="AE920" s="213"/>
      <c r="AF920" s="213"/>
      <c r="AG920" s="213"/>
      <c r="AH920" s="213"/>
      <c r="AI920" s="213"/>
      <c r="AJ920" s="213"/>
      <c r="AK920" s="213"/>
      <c r="AL920" s="213"/>
      <c r="AM920" s="213"/>
      <c r="AN920" s="283"/>
      <c r="AO920" s="284"/>
      <c r="AP920" s="285"/>
      <c r="AQ920" s="258"/>
      <c r="AR920" s="258"/>
    </row>
    <row r="921" spans="10:44" s="48" customFormat="1" ht="12" hidden="1" customHeight="1">
      <c r="J921" s="213"/>
      <c r="K921" s="213"/>
      <c r="L921" s="213"/>
      <c r="M921" s="213"/>
      <c r="N921" s="213"/>
      <c r="O921" s="213"/>
      <c r="P921" s="213"/>
      <c r="Q921" s="213"/>
      <c r="R921" s="213"/>
      <c r="S921" s="213"/>
      <c r="T921" s="213"/>
      <c r="U921" s="213"/>
      <c r="V921" s="213"/>
      <c r="W921" s="213"/>
      <c r="X921" s="213"/>
      <c r="Y921" s="213"/>
      <c r="Z921" s="213"/>
      <c r="AA921" s="213"/>
      <c r="AB921" s="213"/>
      <c r="AC921" s="213"/>
      <c r="AD921" s="213"/>
      <c r="AE921" s="213"/>
      <c r="AF921" s="213"/>
      <c r="AG921" s="213"/>
      <c r="AH921" s="213"/>
      <c r="AI921" s="213"/>
      <c r="AJ921" s="213"/>
      <c r="AK921" s="213"/>
      <c r="AL921" s="213"/>
      <c r="AM921" s="213"/>
      <c r="AN921" s="283"/>
      <c r="AO921" s="284"/>
      <c r="AP921" s="285"/>
      <c r="AQ921" s="258"/>
      <c r="AR921" s="258"/>
    </row>
    <row r="922" spans="10:44" s="48" customFormat="1" ht="12" hidden="1" customHeight="1">
      <c r="J922" s="213"/>
      <c r="K922" s="213"/>
      <c r="L922" s="213"/>
      <c r="M922" s="213"/>
      <c r="N922" s="213"/>
      <c r="O922" s="213"/>
      <c r="P922" s="213"/>
      <c r="Q922" s="213"/>
      <c r="R922" s="213"/>
      <c r="S922" s="213"/>
      <c r="T922" s="213"/>
      <c r="U922" s="213"/>
      <c r="V922" s="213"/>
      <c r="W922" s="213"/>
      <c r="X922" s="213"/>
      <c r="Y922" s="213"/>
      <c r="Z922" s="213"/>
      <c r="AA922" s="213"/>
      <c r="AB922" s="213"/>
      <c r="AC922" s="213"/>
      <c r="AD922" s="213"/>
      <c r="AE922" s="213"/>
      <c r="AF922" s="213"/>
      <c r="AG922" s="213"/>
      <c r="AH922" s="213"/>
      <c r="AI922" s="213"/>
      <c r="AJ922" s="213"/>
      <c r="AK922" s="213"/>
      <c r="AL922" s="213"/>
      <c r="AM922" s="213"/>
      <c r="AN922" s="283"/>
      <c r="AO922" s="284"/>
      <c r="AP922" s="285"/>
      <c r="AQ922" s="258"/>
      <c r="AR922" s="258"/>
    </row>
    <row r="923" spans="10:44" s="48" customFormat="1" ht="12" hidden="1" customHeight="1">
      <c r="J923" s="213"/>
      <c r="K923" s="213"/>
      <c r="L923" s="213"/>
      <c r="M923" s="213"/>
      <c r="N923" s="213"/>
      <c r="O923" s="213"/>
      <c r="P923" s="213"/>
      <c r="Q923" s="213"/>
      <c r="R923" s="213"/>
      <c r="S923" s="213"/>
      <c r="T923" s="213"/>
      <c r="U923" s="213"/>
      <c r="V923" s="213"/>
      <c r="W923" s="213"/>
      <c r="X923" s="213"/>
      <c r="Y923" s="213"/>
      <c r="Z923" s="213"/>
      <c r="AA923" s="213"/>
      <c r="AB923" s="213"/>
      <c r="AC923" s="213"/>
      <c r="AD923" s="213"/>
      <c r="AE923" s="213"/>
      <c r="AF923" s="213"/>
      <c r="AG923" s="213"/>
      <c r="AH923" s="213"/>
      <c r="AI923" s="213"/>
      <c r="AJ923" s="213"/>
      <c r="AK923" s="213"/>
      <c r="AL923" s="213"/>
      <c r="AM923" s="213"/>
      <c r="AN923" s="283"/>
      <c r="AO923" s="284"/>
      <c r="AP923" s="285"/>
      <c r="AQ923" s="258"/>
      <c r="AR923" s="258"/>
    </row>
    <row r="924" spans="10:44" s="48" customFormat="1" ht="12" hidden="1" customHeight="1">
      <c r="J924" s="213"/>
      <c r="K924" s="213"/>
      <c r="L924" s="213"/>
      <c r="M924" s="213"/>
      <c r="N924" s="213"/>
      <c r="O924" s="213"/>
      <c r="P924" s="213"/>
      <c r="Q924" s="213"/>
      <c r="R924" s="213"/>
      <c r="S924" s="213"/>
      <c r="T924" s="213"/>
      <c r="U924" s="213"/>
      <c r="V924" s="213"/>
      <c r="W924" s="213"/>
      <c r="X924" s="213"/>
      <c r="Y924" s="213"/>
      <c r="Z924" s="213"/>
      <c r="AA924" s="213"/>
      <c r="AB924" s="213"/>
      <c r="AC924" s="213"/>
      <c r="AD924" s="213"/>
      <c r="AE924" s="213"/>
      <c r="AF924" s="213"/>
      <c r="AG924" s="213"/>
      <c r="AH924" s="213"/>
      <c r="AI924" s="213"/>
      <c r="AJ924" s="213"/>
      <c r="AK924" s="213"/>
      <c r="AL924" s="213"/>
      <c r="AM924" s="213"/>
      <c r="AN924" s="283"/>
      <c r="AO924" s="284"/>
      <c r="AP924" s="285"/>
      <c r="AQ924" s="258"/>
      <c r="AR924" s="258"/>
    </row>
    <row r="925" spans="10:44" s="48" customFormat="1" ht="12" hidden="1" customHeight="1">
      <c r="J925" s="213"/>
      <c r="K925" s="213"/>
      <c r="L925" s="213"/>
      <c r="M925" s="213"/>
      <c r="N925" s="213"/>
      <c r="O925" s="213"/>
      <c r="P925" s="213"/>
      <c r="Q925" s="213"/>
      <c r="R925" s="213"/>
      <c r="S925" s="213"/>
      <c r="T925" s="213"/>
      <c r="U925" s="213"/>
      <c r="V925" s="213"/>
      <c r="W925" s="213"/>
      <c r="X925" s="213"/>
      <c r="Y925" s="213"/>
      <c r="Z925" s="213"/>
      <c r="AA925" s="213"/>
      <c r="AB925" s="213"/>
      <c r="AC925" s="213"/>
      <c r="AD925" s="213"/>
      <c r="AE925" s="213"/>
      <c r="AF925" s="213"/>
      <c r="AG925" s="213"/>
      <c r="AH925" s="213"/>
      <c r="AI925" s="213"/>
      <c r="AJ925" s="213"/>
      <c r="AK925" s="213"/>
      <c r="AL925" s="213"/>
      <c r="AM925" s="213"/>
      <c r="AN925" s="283"/>
      <c r="AO925" s="284"/>
      <c r="AP925" s="285"/>
      <c r="AQ925" s="258"/>
      <c r="AR925" s="258"/>
    </row>
    <row r="926" spans="10:44" s="48" customFormat="1" ht="12" hidden="1" customHeight="1">
      <c r="J926" s="213"/>
      <c r="K926" s="213"/>
      <c r="L926" s="213"/>
      <c r="M926" s="213"/>
      <c r="N926" s="213"/>
      <c r="O926" s="213"/>
      <c r="P926" s="213"/>
      <c r="Q926" s="213"/>
      <c r="R926" s="213"/>
      <c r="S926" s="213"/>
      <c r="T926" s="213"/>
      <c r="U926" s="213"/>
      <c r="V926" s="213"/>
      <c r="W926" s="213"/>
      <c r="X926" s="213"/>
      <c r="Y926" s="213"/>
      <c r="Z926" s="213"/>
      <c r="AA926" s="213"/>
      <c r="AB926" s="213"/>
      <c r="AC926" s="213"/>
      <c r="AD926" s="213"/>
      <c r="AE926" s="213"/>
      <c r="AF926" s="213"/>
      <c r="AG926" s="213"/>
      <c r="AH926" s="213"/>
      <c r="AI926" s="213"/>
      <c r="AJ926" s="213"/>
      <c r="AK926" s="213"/>
      <c r="AL926" s="213"/>
      <c r="AM926" s="213"/>
      <c r="AN926" s="302"/>
      <c r="AO926" s="303"/>
      <c r="AP926" s="285"/>
      <c r="AQ926" s="258"/>
      <c r="AR926" s="258"/>
    </row>
    <row r="927" spans="10:44" s="48" customFormat="1" ht="12" hidden="1" customHeight="1">
      <c r="J927" s="213"/>
      <c r="K927" s="213"/>
      <c r="L927" s="213"/>
      <c r="M927" s="213"/>
      <c r="N927" s="213"/>
      <c r="O927" s="213"/>
      <c r="P927" s="213"/>
      <c r="Q927" s="213"/>
      <c r="R927" s="213"/>
      <c r="S927" s="213"/>
      <c r="T927" s="213"/>
      <c r="U927" s="213"/>
      <c r="V927" s="213"/>
      <c r="W927" s="213"/>
      <c r="X927" s="213"/>
      <c r="Y927" s="213"/>
      <c r="Z927" s="213"/>
      <c r="AA927" s="213"/>
      <c r="AB927" s="213"/>
      <c r="AC927" s="213"/>
      <c r="AD927" s="213"/>
      <c r="AE927" s="213"/>
      <c r="AF927" s="213"/>
      <c r="AG927" s="213"/>
      <c r="AH927" s="213"/>
      <c r="AI927" s="213"/>
      <c r="AJ927" s="213"/>
      <c r="AK927" s="213"/>
      <c r="AL927" s="213"/>
      <c r="AM927" s="213"/>
      <c r="AN927" s="302"/>
      <c r="AO927" s="303"/>
      <c r="AP927" s="285"/>
      <c r="AQ927" s="258"/>
      <c r="AR927" s="258"/>
    </row>
    <row r="928" spans="10:44" s="48" customFormat="1" ht="12" hidden="1" customHeight="1">
      <c r="J928" s="213"/>
      <c r="K928" s="213"/>
      <c r="L928" s="213"/>
      <c r="M928" s="213"/>
      <c r="N928" s="213"/>
      <c r="O928" s="213"/>
      <c r="P928" s="213"/>
      <c r="Q928" s="213"/>
      <c r="R928" s="213"/>
      <c r="S928" s="213"/>
      <c r="T928" s="213"/>
      <c r="U928" s="213"/>
      <c r="V928" s="213"/>
      <c r="W928" s="213"/>
      <c r="X928" s="213"/>
      <c r="Y928" s="213"/>
      <c r="Z928" s="213"/>
      <c r="AA928" s="213"/>
      <c r="AB928" s="213"/>
      <c r="AC928" s="213"/>
      <c r="AD928" s="213"/>
      <c r="AE928" s="213"/>
      <c r="AF928" s="213"/>
      <c r="AG928" s="213"/>
      <c r="AH928" s="213"/>
      <c r="AI928" s="213"/>
      <c r="AJ928" s="213"/>
      <c r="AK928" s="213"/>
      <c r="AL928" s="213"/>
      <c r="AM928" s="213"/>
      <c r="AN928" s="302"/>
      <c r="AO928" s="303"/>
      <c r="AP928" s="285"/>
      <c r="AQ928" s="258"/>
      <c r="AR928" s="258"/>
    </row>
    <row r="929" spans="10:44" s="48" customFormat="1" ht="12" hidden="1" customHeight="1">
      <c r="J929" s="213"/>
      <c r="K929" s="213"/>
      <c r="L929" s="213"/>
      <c r="M929" s="213"/>
      <c r="N929" s="213"/>
      <c r="O929" s="213"/>
      <c r="P929" s="213"/>
      <c r="Q929" s="213"/>
      <c r="R929" s="213"/>
      <c r="S929" s="213"/>
      <c r="T929" s="213"/>
      <c r="U929" s="213"/>
      <c r="V929" s="213"/>
      <c r="W929" s="213"/>
      <c r="X929" s="213"/>
      <c r="Y929" s="213"/>
      <c r="Z929" s="213"/>
      <c r="AA929" s="213"/>
      <c r="AB929" s="213"/>
      <c r="AC929" s="213"/>
      <c r="AD929" s="213"/>
      <c r="AE929" s="213"/>
      <c r="AF929" s="213"/>
      <c r="AG929" s="213"/>
      <c r="AH929" s="213"/>
      <c r="AI929" s="213"/>
      <c r="AJ929" s="213"/>
      <c r="AK929" s="213"/>
      <c r="AL929" s="213"/>
      <c r="AM929" s="213"/>
      <c r="AN929" s="302"/>
      <c r="AO929" s="303"/>
      <c r="AP929" s="285"/>
      <c r="AQ929" s="258"/>
      <c r="AR929" s="258"/>
    </row>
    <row r="930" spans="10:44" s="48" customFormat="1" ht="12" hidden="1" customHeight="1">
      <c r="J930" s="213"/>
      <c r="K930" s="213"/>
      <c r="L930" s="213"/>
      <c r="M930" s="213"/>
      <c r="N930" s="213"/>
      <c r="O930" s="213"/>
      <c r="P930" s="213"/>
      <c r="Q930" s="213"/>
      <c r="R930" s="213"/>
      <c r="S930" s="213"/>
      <c r="T930" s="213"/>
      <c r="U930" s="213"/>
      <c r="V930" s="213"/>
      <c r="W930" s="213"/>
      <c r="X930" s="213"/>
      <c r="Y930" s="213"/>
      <c r="Z930" s="213"/>
      <c r="AA930" s="213"/>
      <c r="AB930" s="213"/>
      <c r="AC930" s="213"/>
      <c r="AD930" s="213"/>
      <c r="AE930" s="213"/>
      <c r="AF930" s="213"/>
      <c r="AG930" s="213"/>
      <c r="AH930" s="213"/>
      <c r="AI930" s="213"/>
      <c r="AJ930" s="213"/>
      <c r="AK930" s="213"/>
      <c r="AL930" s="213"/>
      <c r="AM930" s="213"/>
      <c r="AN930" s="302"/>
      <c r="AO930" s="303"/>
      <c r="AP930" s="285"/>
      <c r="AQ930" s="258"/>
      <c r="AR930" s="258"/>
    </row>
    <row r="931" spans="10:44" s="48" customFormat="1" ht="12" hidden="1" customHeight="1">
      <c r="J931" s="213"/>
      <c r="K931" s="213"/>
      <c r="L931" s="213"/>
      <c r="M931" s="213"/>
      <c r="N931" s="213"/>
      <c r="O931" s="213"/>
      <c r="P931" s="213"/>
      <c r="Q931" s="213"/>
      <c r="R931" s="213"/>
      <c r="S931" s="213"/>
      <c r="T931" s="213"/>
      <c r="U931" s="213"/>
      <c r="V931" s="213"/>
      <c r="W931" s="213"/>
      <c r="X931" s="213"/>
      <c r="Y931" s="213"/>
      <c r="Z931" s="213"/>
      <c r="AA931" s="213"/>
      <c r="AB931" s="213"/>
      <c r="AC931" s="213"/>
      <c r="AD931" s="213"/>
      <c r="AE931" s="213"/>
      <c r="AF931" s="213"/>
      <c r="AG931" s="213"/>
      <c r="AH931" s="213"/>
      <c r="AI931" s="213"/>
      <c r="AJ931" s="213"/>
      <c r="AK931" s="213"/>
      <c r="AL931" s="213"/>
      <c r="AM931" s="213"/>
      <c r="AN931" s="302"/>
      <c r="AO931" s="303"/>
      <c r="AP931" s="285"/>
      <c r="AQ931" s="258"/>
      <c r="AR931" s="258"/>
    </row>
    <row r="932" spans="10:44" s="48" customFormat="1" ht="12" hidden="1" customHeight="1">
      <c r="J932" s="213"/>
      <c r="K932" s="213"/>
      <c r="L932" s="213"/>
      <c r="M932" s="213"/>
      <c r="N932" s="213"/>
      <c r="O932" s="213"/>
      <c r="P932" s="213"/>
      <c r="Q932" s="213"/>
      <c r="R932" s="213"/>
      <c r="S932" s="213"/>
      <c r="T932" s="213"/>
      <c r="U932" s="213"/>
      <c r="V932" s="213"/>
      <c r="W932" s="213"/>
      <c r="X932" s="213"/>
      <c r="Y932" s="213"/>
      <c r="Z932" s="213"/>
      <c r="AA932" s="213"/>
      <c r="AB932" s="213"/>
      <c r="AC932" s="213"/>
      <c r="AD932" s="213"/>
      <c r="AE932" s="213"/>
      <c r="AF932" s="213"/>
      <c r="AG932" s="213"/>
      <c r="AH932" s="213"/>
      <c r="AI932" s="213"/>
      <c r="AJ932" s="213"/>
      <c r="AK932" s="213"/>
      <c r="AL932" s="213"/>
      <c r="AM932" s="213"/>
      <c r="AN932" s="302"/>
      <c r="AO932" s="303"/>
      <c r="AP932" s="285"/>
      <c r="AQ932" s="258"/>
      <c r="AR932" s="258"/>
    </row>
    <row r="933" spans="10:44" s="48" customFormat="1" ht="12" hidden="1" customHeight="1">
      <c r="J933" s="213"/>
      <c r="K933" s="213"/>
      <c r="L933" s="213"/>
      <c r="M933" s="213"/>
      <c r="N933" s="213"/>
      <c r="O933" s="213"/>
      <c r="P933" s="213"/>
      <c r="Q933" s="213"/>
      <c r="R933" s="213"/>
      <c r="S933" s="213"/>
      <c r="T933" s="213"/>
      <c r="U933" s="213"/>
      <c r="V933" s="213"/>
      <c r="W933" s="213"/>
      <c r="X933" s="213"/>
      <c r="Y933" s="213"/>
      <c r="Z933" s="213"/>
      <c r="AA933" s="213"/>
      <c r="AB933" s="213"/>
      <c r="AC933" s="213"/>
      <c r="AD933" s="213"/>
      <c r="AE933" s="213"/>
      <c r="AF933" s="213"/>
      <c r="AG933" s="213"/>
      <c r="AH933" s="213"/>
      <c r="AI933" s="213"/>
      <c r="AJ933" s="213"/>
      <c r="AK933" s="213"/>
      <c r="AL933" s="213"/>
      <c r="AM933" s="213"/>
      <c r="AN933" s="302"/>
      <c r="AO933" s="303"/>
      <c r="AP933" s="285"/>
      <c r="AQ933" s="258"/>
      <c r="AR933" s="258"/>
    </row>
    <row r="934" spans="10:44" s="48" customFormat="1" ht="12" hidden="1" customHeight="1">
      <c r="J934" s="213"/>
      <c r="K934" s="213"/>
      <c r="L934" s="213"/>
      <c r="M934" s="213"/>
      <c r="N934" s="213"/>
      <c r="O934" s="213"/>
      <c r="P934" s="213"/>
      <c r="Q934" s="213"/>
      <c r="R934" s="213"/>
      <c r="S934" s="213"/>
      <c r="T934" s="213"/>
      <c r="U934" s="213"/>
      <c r="V934" s="213"/>
      <c r="W934" s="213"/>
      <c r="X934" s="213"/>
      <c r="Y934" s="213"/>
      <c r="Z934" s="213"/>
      <c r="AA934" s="213"/>
      <c r="AB934" s="213"/>
      <c r="AC934" s="213"/>
      <c r="AD934" s="213"/>
      <c r="AE934" s="213"/>
      <c r="AF934" s="213"/>
      <c r="AG934" s="213"/>
      <c r="AH934" s="213"/>
      <c r="AI934" s="213"/>
      <c r="AJ934" s="213"/>
      <c r="AK934" s="213"/>
      <c r="AL934" s="213"/>
      <c r="AM934" s="213"/>
      <c r="AN934" s="302"/>
      <c r="AO934" s="303"/>
      <c r="AP934" s="285"/>
      <c r="AQ934" s="258"/>
      <c r="AR934" s="258"/>
    </row>
    <row r="935" spans="10:44" s="48" customFormat="1" ht="12" hidden="1" customHeight="1">
      <c r="J935" s="213"/>
      <c r="K935" s="213"/>
      <c r="L935" s="213"/>
      <c r="M935" s="213"/>
      <c r="N935" s="213"/>
      <c r="O935" s="213"/>
      <c r="P935" s="213"/>
      <c r="Q935" s="213"/>
      <c r="R935" s="213"/>
      <c r="S935" s="213"/>
      <c r="T935" s="213"/>
      <c r="U935" s="213"/>
      <c r="V935" s="213"/>
      <c r="W935" s="213"/>
      <c r="X935" s="213"/>
      <c r="Y935" s="213"/>
      <c r="Z935" s="213"/>
      <c r="AA935" s="213"/>
      <c r="AB935" s="213"/>
      <c r="AC935" s="213"/>
      <c r="AD935" s="213"/>
      <c r="AE935" s="213"/>
      <c r="AF935" s="213"/>
      <c r="AG935" s="213"/>
      <c r="AH935" s="213"/>
      <c r="AI935" s="213"/>
      <c r="AJ935" s="213"/>
      <c r="AK935" s="213"/>
      <c r="AL935" s="213"/>
      <c r="AM935" s="213"/>
      <c r="AN935" s="302"/>
      <c r="AO935" s="303"/>
      <c r="AP935" s="285"/>
      <c r="AQ935" s="258"/>
      <c r="AR935" s="258"/>
    </row>
    <row r="936" spans="10:44" s="48" customFormat="1" ht="12" hidden="1" customHeight="1">
      <c r="J936" s="213"/>
      <c r="K936" s="213"/>
      <c r="L936" s="213"/>
      <c r="M936" s="213"/>
      <c r="N936" s="213"/>
      <c r="O936" s="213"/>
      <c r="P936" s="213"/>
      <c r="Q936" s="213"/>
      <c r="R936" s="213"/>
      <c r="S936" s="213"/>
      <c r="T936" s="213"/>
      <c r="U936" s="213"/>
      <c r="V936" s="213"/>
      <c r="W936" s="213"/>
      <c r="X936" s="213"/>
      <c r="Y936" s="213"/>
      <c r="Z936" s="213"/>
      <c r="AA936" s="213"/>
      <c r="AB936" s="213"/>
      <c r="AC936" s="213"/>
      <c r="AD936" s="213"/>
      <c r="AE936" s="213"/>
      <c r="AF936" s="213"/>
      <c r="AG936" s="213"/>
      <c r="AH936" s="213"/>
      <c r="AI936" s="213"/>
      <c r="AJ936" s="213"/>
      <c r="AK936" s="213"/>
      <c r="AL936" s="213"/>
      <c r="AM936" s="213"/>
      <c r="AN936" s="302"/>
      <c r="AO936" s="303"/>
      <c r="AP936" s="285"/>
      <c r="AQ936" s="258"/>
      <c r="AR936" s="258"/>
    </row>
    <row r="937" spans="10:44" s="48" customFormat="1" ht="12" hidden="1" customHeight="1">
      <c r="J937" s="213"/>
      <c r="K937" s="213"/>
      <c r="L937" s="213"/>
      <c r="M937" s="213"/>
      <c r="N937" s="213"/>
      <c r="O937" s="213"/>
      <c r="P937" s="213"/>
      <c r="Q937" s="213"/>
      <c r="R937" s="213"/>
      <c r="S937" s="213"/>
      <c r="T937" s="213"/>
      <c r="U937" s="213"/>
      <c r="V937" s="213"/>
      <c r="W937" s="213"/>
      <c r="X937" s="213"/>
      <c r="Y937" s="213"/>
      <c r="Z937" s="213"/>
      <c r="AA937" s="213"/>
      <c r="AB937" s="213"/>
      <c r="AC937" s="213"/>
      <c r="AD937" s="213"/>
      <c r="AE937" s="213"/>
      <c r="AF937" s="213"/>
      <c r="AG937" s="213"/>
      <c r="AH937" s="213"/>
      <c r="AI937" s="213"/>
      <c r="AJ937" s="213"/>
      <c r="AK937" s="213"/>
      <c r="AL937" s="213"/>
      <c r="AM937" s="213"/>
      <c r="AN937" s="302"/>
      <c r="AO937" s="303"/>
      <c r="AP937" s="285"/>
      <c r="AQ937" s="258"/>
      <c r="AR937" s="258"/>
    </row>
    <row r="938" spans="10:44" s="48" customFormat="1" ht="12" hidden="1" customHeight="1">
      <c r="J938" s="213"/>
      <c r="K938" s="213"/>
      <c r="L938" s="213"/>
      <c r="M938" s="213"/>
      <c r="N938" s="213"/>
      <c r="O938" s="213"/>
      <c r="P938" s="213"/>
      <c r="Q938" s="213"/>
      <c r="R938" s="213"/>
      <c r="S938" s="213"/>
      <c r="T938" s="213"/>
      <c r="U938" s="213"/>
      <c r="V938" s="213"/>
      <c r="W938" s="213"/>
      <c r="X938" s="213"/>
      <c r="Y938" s="213"/>
      <c r="Z938" s="213"/>
      <c r="AA938" s="213"/>
      <c r="AB938" s="213"/>
      <c r="AC938" s="213"/>
      <c r="AD938" s="213"/>
      <c r="AE938" s="213"/>
      <c r="AF938" s="213"/>
      <c r="AG938" s="213"/>
      <c r="AH938" s="213"/>
      <c r="AI938" s="213"/>
      <c r="AJ938" s="213"/>
      <c r="AK938" s="213"/>
      <c r="AL938" s="213"/>
      <c r="AM938" s="213"/>
      <c r="AN938" s="302"/>
      <c r="AO938" s="303"/>
      <c r="AP938" s="285"/>
      <c r="AQ938" s="258"/>
      <c r="AR938" s="258"/>
    </row>
    <row r="939" spans="10:44" s="48" customFormat="1" ht="12" hidden="1" customHeight="1">
      <c r="J939" s="213"/>
      <c r="K939" s="213"/>
      <c r="L939" s="213"/>
      <c r="M939" s="213"/>
      <c r="N939" s="213"/>
      <c r="O939" s="213"/>
      <c r="P939" s="213"/>
      <c r="Q939" s="213"/>
      <c r="R939" s="213"/>
      <c r="S939" s="213"/>
      <c r="T939" s="213"/>
      <c r="U939" s="213"/>
      <c r="V939" s="213"/>
      <c r="W939" s="213"/>
      <c r="X939" s="213"/>
      <c r="Y939" s="213"/>
      <c r="Z939" s="213"/>
      <c r="AA939" s="213"/>
      <c r="AB939" s="213"/>
      <c r="AC939" s="213"/>
      <c r="AD939" s="213"/>
      <c r="AE939" s="213"/>
      <c r="AF939" s="213"/>
      <c r="AG939" s="213"/>
      <c r="AH939" s="213"/>
      <c r="AI939" s="213"/>
      <c r="AJ939" s="213"/>
      <c r="AK939" s="213"/>
      <c r="AL939" s="213"/>
      <c r="AM939" s="213"/>
      <c r="AN939" s="302"/>
      <c r="AO939" s="303"/>
      <c r="AP939" s="285"/>
      <c r="AQ939" s="258"/>
      <c r="AR939" s="258"/>
    </row>
    <row r="940" spans="10:44" s="48" customFormat="1" ht="12" hidden="1" customHeight="1">
      <c r="J940" s="213"/>
      <c r="K940" s="213"/>
      <c r="L940" s="213"/>
      <c r="M940" s="213"/>
      <c r="N940" s="213"/>
      <c r="O940" s="213"/>
      <c r="P940" s="213"/>
      <c r="Q940" s="213"/>
      <c r="R940" s="213"/>
      <c r="S940" s="213"/>
      <c r="T940" s="213"/>
      <c r="U940" s="213"/>
      <c r="V940" s="213"/>
      <c r="W940" s="213"/>
      <c r="X940" s="213"/>
      <c r="Y940" s="213"/>
      <c r="Z940" s="213"/>
      <c r="AA940" s="213"/>
      <c r="AB940" s="213"/>
      <c r="AC940" s="213"/>
      <c r="AD940" s="213"/>
      <c r="AE940" s="213"/>
      <c r="AF940" s="213"/>
      <c r="AG940" s="213"/>
      <c r="AH940" s="213"/>
      <c r="AI940" s="213"/>
      <c r="AJ940" s="213"/>
      <c r="AK940" s="213"/>
      <c r="AL940" s="213"/>
      <c r="AM940" s="213"/>
      <c r="AN940" s="302"/>
      <c r="AO940" s="303"/>
      <c r="AP940" s="285"/>
      <c r="AQ940" s="258"/>
      <c r="AR940" s="258"/>
    </row>
    <row r="941" spans="10:44" s="48" customFormat="1" ht="12" hidden="1" customHeight="1">
      <c r="J941" s="213"/>
      <c r="K941" s="213"/>
      <c r="L941" s="213"/>
      <c r="M941" s="213"/>
      <c r="N941" s="213"/>
      <c r="O941" s="213"/>
      <c r="P941" s="213"/>
      <c r="Q941" s="213"/>
      <c r="R941" s="213"/>
      <c r="S941" s="213"/>
      <c r="T941" s="213"/>
      <c r="U941" s="213"/>
      <c r="V941" s="213"/>
      <c r="W941" s="213"/>
      <c r="X941" s="213"/>
      <c r="Y941" s="213"/>
      <c r="Z941" s="213"/>
      <c r="AA941" s="213"/>
      <c r="AB941" s="213"/>
      <c r="AC941" s="213"/>
      <c r="AD941" s="213"/>
      <c r="AE941" s="213"/>
      <c r="AF941" s="213"/>
      <c r="AG941" s="213"/>
      <c r="AH941" s="213"/>
      <c r="AI941" s="213"/>
      <c r="AJ941" s="213"/>
      <c r="AK941" s="213"/>
      <c r="AL941" s="213"/>
      <c r="AM941" s="213"/>
      <c r="AN941" s="302"/>
      <c r="AO941" s="303"/>
      <c r="AP941" s="285"/>
      <c r="AQ941" s="258"/>
      <c r="AR941" s="258"/>
    </row>
    <row r="942" spans="10:44" s="48" customFormat="1" ht="12" hidden="1" customHeight="1">
      <c r="J942" s="213"/>
      <c r="K942" s="213"/>
      <c r="L942" s="213"/>
      <c r="M942" s="213"/>
      <c r="N942" s="213"/>
      <c r="O942" s="213"/>
      <c r="P942" s="213"/>
      <c r="Q942" s="213"/>
      <c r="R942" s="213"/>
      <c r="S942" s="213"/>
      <c r="T942" s="213"/>
      <c r="U942" s="213"/>
      <c r="V942" s="213"/>
      <c r="W942" s="213"/>
      <c r="X942" s="213"/>
      <c r="Y942" s="213"/>
      <c r="Z942" s="213"/>
      <c r="AA942" s="213"/>
      <c r="AB942" s="213"/>
      <c r="AC942" s="213"/>
      <c r="AD942" s="213"/>
      <c r="AE942" s="213"/>
      <c r="AF942" s="213"/>
      <c r="AG942" s="213"/>
      <c r="AH942" s="213"/>
      <c r="AI942" s="213"/>
      <c r="AJ942" s="213"/>
      <c r="AK942" s="213"/>
      <c r="AL942" s="213"/>
      <c r="AM942" s="213"/>
      <c r="AN942" s="302"/>
      <c r="AO942" s="303"/>
      <c r="AP942" s="285"/>
      <c r="AQ942" s="258"/>
      <c r="AR942" s="258"/>
    </row>
    <row r="943" spans="10:44" s="48" customFormat="1" ht="12" hidden="1" customHeight="1">
      <c r="J943" s="213"/>
      <c r="K943" s="213"/>
      <c r="L943" s="213"/>
      <c r="M943" s="213"/>
      <c r="N943" s="213"/>
      <c r="O943" s="213"/>
      <c r="P943" s="213"/>
      <c r="Q943" s="213"/>
      <c r="R943" s="213"/>
      <c r="S943" s="213"/>
      <c r="T943" s="213"/>
      <c r="U943" s="213"/>
      <c r="V943" s="213"/>
      <c r="W943" s="213"/>
      <c r="X943" s="213"/>
      <c r="Y943" s="213"/>
      <c r="Z943" s="213"/>
      <c r="AA943" s="213"/>
      <c r="AB943" s="213"/>
      <c r="AC943" s="213"/>
      <c r="AD943" s="213"/>
      <c r="AE943" s="213"/>
      <c r="AF943" s="213"/>
      <c r="AG943" s="213"/>
      <c r="AH943" s="213"/>
      <c r="AI943" s="213"/>
      <c r="AJ943" s="213"/>
      <c r="AK943" s="213"/>
      <c r="AL943" s="213"/>
      <c r="AM943" s="213"/>
      <c r="AN943" s="302"/>
      <c r="AO943" s="303"/>
      <c r="AP943" s="285"/>
      <c r="AQ943" s="258"/>
      <c r="AR943" s="258"/>
    </row>
    <row r="944" spans="10:44" s="48" customFormat="1" ht="12" hidden="1" customHeight="1">
      <c r="J944" s="213"/>
      <c r="K944" s="213"/>
      <c r="L944" s="213"/>
      <c r="M944" s="213"/>
      <c r="N944" s="213"/>
      <c r="O944" s="213"/>
      <c r="P944" s="213"/>
      <c r="Q944" s="213"/>
      <c r="R944" s="213"/>
      <c r="S944" s="213"/>
      <c r="T944" s="213"/>
      <c r="U944" s="213"/>
      <c r="V944" s="213"/>
      <c r="W944" s="213"/>
      <c r="X944" s="213"/>
      <c r="Y944" s="213"/>
      <c r="Z944" s="213"/>
      <c r="AA944" s="213"/>
      <c r="AB944" s="213"/>
      <c r="AC944" s="213"/>
      <c r="AD944" s="213"/>
      <c r="AE944" s="213"/>
      <c r="AF944" s="213"/>
      <c r="AG944" s="213"/>
      <c r="AH944" s="213"/>
      <c r="AI944" s="213"/>
      <c r="AJ944" s="213"/>
      <c r="AK944" s="213"/>
      <c r="AL944" s="213"/>
      <c r="AM944" s="213"/>
      <c r="AN944" s="302"/>
      <c r="AO944" s="303"/>
      <c r="AP944" s="285"/>
      <c r="AQ944" s="258"/>
      <c r="AR944" s="258"/>
    </row>
    <row r="945" spans="10:44" s="48" customFormat="1" ht="12" hidden="1" customHeight="1">
      <c r="J945" s="213"/>
      <c r="K945" s="213"/>
      <c r="L945" s="213"/>
      <c r="M945" s="213"/>
      <c r="N945" s="213"/>
      <c r="O945" s="213"/>
      <c r="P945" s="213"/>
      <c r="Q945" s="213"/>
      <c r="R945" s="213"/>
      <c r="S945" s="213"/>
      <c r="T945" s="213"/>
      <c r="U945" s="213"/>
      <c r="V945" s="213"/>
      <c r="W945" s="213"/>
      <c r="X945" s="213"/>
      <c r="Y945" s="213"/>
      <c r="Z945" s="213"/>
      <c r="AA945" s="213"/>
      <c r="AB945" s="213"/>
      <c r="AC945" s="213"/>
      <c r="AD945" s="213"/>
      <c r="AE945" s="213"/>
      <c r="AF945" s="213"/>
      <c r="AG945" s="213"/>
      <c r="AH945" s="213"/>
      <c r="AI945" s="213"/>
      <c r="AJ945" s="213"/>
      <c r="AK945" s="213"/>
      <c r="AL945" s="213"/>
      <c r="AM945" s="213"/>
      <c r="AN945" s="302"/>
      <c r="AO945" s="303"/>
      <c r="AP945" s="285"/>
      <c r="AQ945" s="258"/>
      <c r="AR945" s="258"/>
    </row>
    <row r="946" spans="10:44" s="48" customFormat="1" ht="12" hidden="1" customHeight="1">
      <c r="J946" s="213"/>
      <c r="K946" s="213"/>
      <c r="L946" s="213"/>
      <c r="M946" s="213"/>
      <c r="N946" s="213"/>
      <c r="O946" s="213"/>
      <c r="P946" s="213"/>
      <c r="Q946" s="213"/>
      <c r="R946" s="213"/>
      <c r="S946" s="213"/>
      <c r="T946" s="213"/>
      <c r="U946" s="213"/>
      <c r="V946" s="213"/>
      <c r="W946" s="213"/>
      <c r="X946" s="213"/>
      <c r="Y946" s="213"/>
      <c r="Z946" s="213"/>
      <c r="AA946" s="213"/>
      <c r="AB946" s="213"/>
      <c r="AC946" s="213"/>
      <c r="AD946" s="213"/>
      <c r="AE946" s="213"/>
      <c r="AF946" s="213"/>
      <c r="AG946" s="213"/>
      <c r="AH946" s="213"/>
      <c r="AI946" s="213"/>
      <c r="AJ946" s="213"/>
      <c r="AK946" s="213"/>
      <c r="AL946" s="213"/>
      <c r="AM946" s="213"/>
      <c r="AN946" s="302"/>
      <c r="AO946" s="303"/>
      <c r="AP946" s="285"/>
      <c r="AQ946" s="258"/>
      <c r="AR946" s="258"/>
    </row>
    <row r="947" spans="10:44" s="48" customFormat="1" ht="12" hidden="1" customHeight="1">
      <c r="J947" s="213"/>
      <c r="K947" s="213"/>
      <c r="L947" s="213"/>
      <c r="M947" s="213"/>
      <c r="N947" s="213"/>
      <c r="O947" s="213"/>
      <c r="P947" s="213"/>
      <c r="Q947" s="213"/>
      <c r="R947" s="213"/>
      <c r="S947" s="213"/>
      <c r="T947" s="213"/>
      <c r="U947" s="213"/>
      <c r="V947" s="213"/>
      <c r="W947" s="213"/>
      <c r="X947" s="213"/>
      <c r="Y947" s="213"/>
      <c r="Z947" s="213"/>
      <c r="AA947" s="213"/>
      <c r="AB947" s="213"/>
      <c r="AC947" s="213"/>
      <c r="AD947" s="213"/>
      <c r="AE947" s="213"/>
      <c r="AF947" s="213"/>
      <c r="AG947" s="213"/>
      <c r="AH947" s="213"/>
      <c r="AI947" s="213"/>
      <c r="AJ947" s="213"/>
      <c r="AK947" s="213"/>
      <c r="AL947" s="213"/>
      <c r="AM947" s="213"/>
      <c r="AN947" s="302"/>
      <c r="AO947" s="303"/>
      <c r="AP947" s="285"/>
      <c r="AQ947" s="258"/>
      <c r="AR947" s="258"/>
    </row>
    <row r="948" spans="10:44" s="48" customFormat="1" ht="12" hidden="1" customHeight="1">
      <c r="J948" s="213"/>
      <c r="K948" s="213"/>
      <c r="L948" s="213"/>
      <c r="M948" s="213"/>
      <c r="N948" s="213"/>
      <c r="O948" s="213"/>
      <c r="P948" s="213"/>
      <c r="Q948" s="213"/>
      <c r="R948" s="213"/>
      <c r="S948" s="213"/>
      <c r="T948" s="213"/>
      <c r="U948" s="213"/>
      <c r="V948" s="213"/>
      <c r="W948" s="213"/>
      <c r="X948" s="213"/>
      <c r="Y948" s="213"/>
      <c r="Z948" s="213"/>
      <c r="AA948" s="213"/>
      <c r="AB948" s="213"/>
      <c r="AC948" s="213"/>
      <c r="AD948" s="213"/>
      <c r="AE948" s="213"/>
      <c r="AF948" s="213"/>
      <c r="AG948" s="213"/>
      <c r="AH948" s="213"/>
      <c r="AI948" s="213"/>
      <c r="AJ948" s="213"/>
      <c r="AK948" s="213"/>
      <c r="AL948" s="213"/>
      <c r="AM948" s="213"/>
      <c r="AN948" s="302"/>
      <c r="AO948" s="303"/>
      <c r="AP948" s="285"/>
      <c r="AQ948" s="258"/>
      <c r="AR948" s="258"/>
    </row>
    <row r="949" spans="10:44" s="48" customFormat="1" ht="12" hidden="1" customHeight="1">
      <c r="J949" s="213"/>
      <c r="K949" s="213"/>
      <c r="L949" s="213"/>
      <c r="M949" s="213"/>
      <c r="N949" s="213"/>
      <c r="O949" s="213"/>
      <c r="P949" s="213"/>
      <c r="Q949" s="213"/>
      <c r="R949" s="213"/>
      <c r="S949" s="213"/>
      <c r="T949" s="213"/>
      <c r="U949" s="213"/>
      <c r="V949" s="213"/>
      <c r="W949" s="213"/>
      <c r="X949" s="213"/>
      <c r="Y949" s="213"/>
      <c r="Z949" s="213"/>
      <c r="AA949" s="213"/>
      <c r="AB949" s="213"/>
      <c r="AC949" s="213"/>
      <c r="AD949" s="213"/>
      <c r="AE949" s="213"/>
      <c r="AF949" s="213"/>
      <c r="AG949" s="213"/>
      <c r="AH949" s="213"/>
      <c r="AI949" s="213"/>
      <c r="AJ949" s="213"/>
      <c r="AK949" s="213"/>
      <c r="AL949" s="213"/>
      <c r="AM949" s="213"/>
      <c r="AN949" s="302"/>
      <c r="AO949" s="303"/>
      <c r="AP949" s="285"/>
      <c r="AQ949" s="258"/>
      <c r="AR949" s="258"/>
    </row>
    <row r="950" spans="10:44" s="48" customFormat="1" ht="12" hidden="1" customHeight="1">
      <c r="J950" s="213"/>
      <c r="K950" s="213"/>
      <c r="L950" s="213"/>
      <c r="M950" s="213"/>
      <c r="N950" s="213"/>
      <c r="O950" s="213"/>
      <c r="P950" s="213"/>
      <c r="Q950" s="213"/>
      <c r="R950" s="213"/>
      <c r="S950" s="213"/>
      <c r="T950" s="213"/>
      <c r="U950" s="213"/>
      <c r="V950" s="213"/>
      <c r="W950" s="213"/>
      <c r="X950" s="213"/>
      <c r="Y950" s="213"/>
      <c r="Z950" s="213"/>
      <c r="AA950" s="213"/>
      <c r="AB950" s="213"/>
      <c r="AC950" s="213"/>
      <c r="AD950" s="213"/>
      <c r="AE950" s="213"/>
      <c r="AF950" s="213"/>
      <c r="AG950" s="213"/>
      <c r="AH950" s="213"/>
      <c r="AI950" s="213"/>
      <c r="AJ950" s="213"/>
      <c r="AK950" s="213"/>
      <c r="AL950" s="213"/>
      <c r="AM950" s="213"/>
      <c r="AN950" s="302"/>
      <c r="AO950" s="303"/>
      <c r="AP950" s="285"/>
      <c r="AQ950" s="258"/>
      <c r="AR950" s="258"/>
    </row>
    <row r="951" spans="10:44" s="48" customFormat="1" ht="12" hidden="1" customHeight="1">
      <c r="J951" s="213"/>
      <c r="K951" s="213"/>
      <c r="L951" s="213"/>
      <c r="M951" s="213"/>
      <c r="N951" s="213"/>
      <c r="O951" s="213"/>
      <c r="P951" s="213"/>
      <c r="Q951" s="213"/>
      <c r="R951" s="213"/>
      <c r="S951" s="213"/>
      <c r="T951" s="213"/>
      <c r="U951" s="213"/>
      <c r="V951" s="213"/>
      <c r="W951" s="213"/>
      <c r="X951" s="213"/>
      <c r="Y951" s="213"/>
      <c r="Z951" s="213"/>
      <c r="AA951" s="213"/>
      <c r="AB951" s="213"/>
      <c r="AC951" s="213"/>
      <c r="AD951" s="213"/>
      <c r="AE951" s="213"/>
      <c r="AF951" s="213"/>
      <c r="AG951" s="213"/>
      <c r="AH951" s="213"/>
      <c r="AI951" s="213"/>
      <c r="AJ951" s="213"/>
      <c r="AK951" s="213"/>
      <c r="AL951" s="213"/>
      <c r="AM951" s="213"/>
      <c r="AN951" s="302"/>
      <c r="AO951" s="303"/>
      <c r="AP951" s="285"/>
      <c r="AQ951" s="258"/>
      <c r="AR951" s="258"/>
    </row>
    <row r="952" spans="10:44" s="48" customFormat="1" ht="12" hidden="1" customHeight="1">
      <c r="J952" s="213"/>
      <c r="K952" s="213"/>
      <c r="L952" s="213"/>
      <c r="M952" s="213"/>
      <c r="N952" s="213"/>
      <c r="O952" s="213"/>
      <c r="P952" s="213"/>
      <c r="Q952" s="213"/>
      <c r="R952" s="213"/>
      <c r="S952" s="213"/>
      <c r="T952" s="213"/>
      <c r="U952" s="213"/>
      <c r="V952" s="213"/>
      <c r="W952" s="213"/>
      <c r="X952" s="213"/>
      <c r="Y952" s="213"/>
      <c r="Z952" s="213"/>
      <c r="AA952" s="213"/>
      <c r="AB952" s="213"/>
      <c r="AC952" s="213"/>
      <c r="AD952" s="213"/>
      <c r="AE952" s="213"/>
      <c r="AF952" s="213"/>
      <c r="AG952" s="213"/>
      <c r="AH952" s="213"/>
      <c r="AI952" s="213"/>
      <c r="AJ952" s="213"/>
      <c r="AK952" s="213"/>
      <c r="AL952" s="213"/>
      <c r="AM952" s="213"/>
      <c r="AN952" s="302"/>
      <c r="AO952" s="303"/>
      <c r="AP952" s="285"/>
      <c r="AQ952" s="258"/>
      <c r="AR952" s="258"/>
    </row>
    <row r="953" spans="10:44" s="48" customFormat="1" ht="12" hidden="1" customHeight="1">
      <c r="J953" s="213"/>
      <c r="K953" s="213"/>
      <c r="L953" s="213"/>
      <c r="M953" s="213"/>
      <c r="N953" s="213"/>
      <c r="O953" s="213"/>
      <c r="P953" s="213"/>
      <c r="Q953" s="213"/>
      <c r="R953" s="213"/>
      <c r="S953" s="213"/>
      <c r="T953" s="213"/>
      <c r="U953" s="213"/>
      <c r="V953" s="213"/>
      <c r="W953" s="213"/>
      <c r="X953" s="213"/>
      <c r="Y953" s="213"/>
      <c r="Z953" s="213"/>
      <c r="AA953" s="213"/>
      <c r="AB953" s="213"/>
      <c r="AC953" s="213"/>
      <c r="AD953" s="213"/>
      <c r="AE953" s="213"/>
      <c r="AF953" s="213"/>
      <c r="AG953" s="213"/>
      <c r="AH953" s="213"/>
      <c r="AI953" s="213"/>
      <c r="AJ953" s="213"/>
      <c r="AK953" s="213"/>
      <c r="AL953" s="213"/>
      <c r="AM953" s="213"/>
      <c r="AN953" s="302"/>
      <c r="AO953" s="303"/>
      <c r="AP953" s="285"/>
      <c r="AQ953" s="258"/>
      <c r="AR953" s="258"/>
    </row>
    <row r="954" spans="10:44" s="48" customFormat="1" ht="12" hidden="1" customHeight="1">
      <c r="J954" s="213"/>
      <c r="K954" s="213"/>
      <c r="L954" s="213"/>
      <c r="M954" s="213"/>
      <c r="N954" s="213"/>
      <c r="O954" s="213"/>
      <c r="P954" s="213"/>
      <c r="Q954" s="213"/>
      <c r="R954" s="213"/>
      <c r="S954" s="213"/>
      <c r="T954" s="213"/>
      <c r="U954" s="213"/>
      <c r="V954" s="213"/>
      <c r="W954" s="213"/>
      <c r="X954" s="213"/>
      <c r="Y954" s="213"/>
      <c r="Z954" s="213"/>
      <c r="AA954" s="213"/>
      <c r="AB954" s="213"/>
      <c r="AC954" s="213"/>
      <c r="AD954" s="213"/>
      <c r="AE954" s="213"/>
      <c r="AF954" s="213"/>
      <c r="AG954" s="213"/>
      <c r="AH954" s="213"/>
      <c r="AI954" s="213"/>
      <c r="AJ954" s="213"/>
      <c r="AK954" s="213"/>
      <c r="AL954" s="213"/>
      <c r="AM954" s="213"/>
      <c r="AN954" s="302"/>
      <c r="AO954" s="303"/>
      <c r="AP954" s="285"/>
      <c r="AQ954" s="258"/>
      <c r="AR954" s="258"/>
    </row>
    <row r="955" spans="10:44" s="48" customFormat="1" ht="12" hidden="1" customHeight="1">
      <c r="J955" s="213"/>
      <c r="K955" s="213"/>
      <c r="L955" s="213"/>
      <c r="M955" s="213"/>
      <c r="N955" s="213"/>
      <c r="O955" s="213"/>
      <c r="P955" s="213"/>
      <c r="Q955" s="213"/>
      <c r="R955" s="213"/>
      <c r="S955" s="213"/>
      <c r="T955" s="213"/>
      <c r="U955" s="213"/>
      <c r="V955" s="213"/>
      <c r="W955" s="213"/>
      <c r="X955" s="213"/>
      <c r="Y955" s="213"/>
      <c r="Z955" s="213"/>
      <c r="AA955" s="213"/>
      <c r="AB955" s="213"/>
      <c r="AC955" s="213"/>
      <c r="AD955" s="213"/>
      <c r="AE955" s="213"/>
      <c r="AF955" s="213"/>
      <c r="AG955" s="213"/>
      <c r="AH955" s="213"/>
      <c r="AI955" s="213"/>
      <c r="AJ955" s="213"/>
      <c r="AK955" s="213"/>
      <c r="AL955" s="213"/>
      <c r="AM955" s="213"/>
      <c r="AN955" s="302"/>
      <c r="AO955" s="303"/>
      <c r="AP955" s="285"/>
      <c r="AQ955" s="258"/>
      <c r="AR955" s="258"/>
    </row>
    <row r="956" spans="10:44" s="48" customFormat="1" ht="12" hidden="1" customHeight="1">
      <c r="J956" s="213"/>
      <c r="K956" s="213"/>
      <c r="L956" s="213"/>
      <c r="M956" s="213"/>
      <c r="N956" s="213"/>
      <c r="O956" s="213"/>
      <c r="P956" s="213"/>
      <c r="Q956" s="213"/>
      <c r="R956" s="213"/>
      <c r="S956" s="213"/>
      <c r="T956" s="213"/>
      <c r="U956" s="213"/>
      <c r="V956" s="213"/>
      <c r="W956" s="213"/>
      <c r="X956" s="213"/>
      <c r="Y956" s="213"/>
      <c r="Z956" s="213"/>
      <c r="AA956" s="213"/>
      <c r="AB956" s="213"/>
      <c r="AC956" s="213"/>
      <c r="AD956" s="213"/>
      <c r="AE956" s="213"/>
      <c r="AF956" s="213"/>
      <c r="AG956" s="213"/>
      <c r="AH956" s="213"/>
      <c r="AI956" s="213"/>
      <c r="AJ956" s="213"/>
      <c r="AK956" s="213"/>
      <c r="AL956" s="213"/>
      <c r="AM956" s="213"/>
      <c r="AN956" s="302"/>
      <c r="AO956" s="303"/>
      <c r="AP956" s="285"/>
      <c r="AQ956" s="258"/>
      <c r="AR956" s="258"/>
    </row>
    <row r="957" spans="10:44" s="48" customFormat="1" ht="12" hidden="1" customHeight="1">
      <c r="J957" s="213"/>
      <c r="K957" s="213"/>
      <c r="L957" s="213"/>
      <c r="M957" s="213"/>
      <c r="N957" s="213"/>
      <c r="O957" s="213"/>
      <c r="P957" s="213"/>
      <c r="Q957" s="213"/>
      <c r="R957" s="213"/>
      <c r="S957" s="213"/>
      <c r="T957" s="213"/>
      <c r="U957" s="213"/>
      <c r="V957" s="213"/>
      <c r="W957" s="213"/>
      <c r="X957" s="213"/>
      <c r="Y957" s="213"/>
      <c r="Z957" s="213"/>
      <c r="AA957" s="213"/>
      <c r="AB957" s="213"/>
      <c r="AC957" s="213"/>
      <c r="AD957" s="213"/>
      <c r="AE957" s="213"/>
      <c r="AF957" s="213"/>
      <c r="AG957" s="213"/>
      <c r="AH957" s="213"/>
      <c r="AI957" s="213"/>
      <c r="AJ957" s="213"/>
      <c r="AK957" s="213"/>
      <c r="AL957" s="213"/>
      <c r="AM957" s="213"/>
      <c r="AN957" s="302"/>
      <c r="AO957" s="303"/>
      <c r="AP957" s="285"/>
      <c r="AQ957" s="258"/>
      <c r="AR957" s="258"/>
    </row>
    <row r="958" spans="10:44" s="48" customFormat="1" ht="12" hidden="1" customHeight="1">
      <c r="J958" s="213"/>
      <c r="K958" s="213"/>
      <c r="L958" s="213"/>
      <c r="M958" s="213"/>
      <c r="N958" s="213"/>
      <c r="O958" s="213"/>
      <c r="P958" s="213"/>
      <c r="Q958" s="213"/>
      <c r="R958" s="213"/>
      <c r="S958" s="213"/>
      <c r="T958" s="213"/>
      <c r="U958" s="213"/>
      <c r="V958" s="213"/>
      <c r="W958" s="213"/>
      <c r="X958" s="213"/>
      <c r="Y958" s="213"/>
      <c r="Z958" s="213"/>
      <c r="AA958" s="213"/>
      <c r="AB958" s="213"/>
      <c r="AC958" s="213"/>
      <c r="AD958" s="213"/>
      <c r="AE958" s="213"/>
      <c r="AF958" s="213"/>
      <c r="AG958" s="213"/>
      <c r="AH958" s="213"/>
      <c r="AI958" s="213"/>
      <c r="AJ958" s="213"/>
      <c r="AK958" s="213"/>
      <c r="AL958" s="213"/>
      <c r="AM958" s="213"/>
      <c r="AN958" s="302"/>
      <c r="AO958" s="303"/>
      <c r="AP958" s="285"/>
      <c r="AQ958" s="258"/>
      <c r="AR958" s="258"/>
    </row>
    <row r="959" spans="10:44" s="48" customFormat="1" ht="12" hidden="1" customHeight="1">
      <c r="J959" s="213"/>
      <c r="K959" s="213"/>
      <c r="L959" s="213"/>
      <c r="M959" s="213"/>
      <c r="N959" s="213"/>
      <c r="O959" s="213"/>
      <c r="P959" s="213"/>
      <c r="Q959" s="213"/>
      <c r="R959" s="213"/>
      <c r="S959" s="213"/>
      <c r="T959" s="213"/>
      <c r="U959" s="213"/>
      <c r="V959" s="213"/>
      <c r="W959" s="213"/>
      <c r="X959" s="213"/>
      <c r="Y959" s="213"/>
      <c r="Z959" s="213"/>
      <c r="AA959" s="213"/>
      <c r="AB959" s="213"/>
      <c r="AC959" s="213"/>
      <c r="AD959" s="213"/>
      <c r="AE959" s="213"/>
      <c r="AF959" s="213"/>
      <c r="AG959" s="213"/>
      <c r="AH959" s="213"/>
      <c r="AI959" s="213"/>
      <c r="AJ959" s="213"/>
      <c r="AK959" s="213"/>
      <c r="AL959" s="213"/>
      <c r="AM959" s="213"/>
      <c r="AN959" s="302"/>
      <c r="AO959" s="303"/>
      <c r="AP959" s="285"/>
      <c r="AQ959" s="258"/>
      <c r="AR959" s="258"/>
    </row>
    <row r="960" spans="10:44" s="48" customFormat="1" ht="12" hidden="1" customHeight="1">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302"/>
      <c r="AO960" s="303"/>
      <c r="AP960" s="285"/>
      <c r="AQ960" s="258"/>
      <c r="AR960" s="258"/>
    </row>
    <row r="961" spans="10:44" s="48" customFormat="1" ht="12" hidden="1" customHeight="1">
      <c r="J961" s="213"/>
      <c r="K961" s="213"/>
      <c r="L961" s="213"/>
      <c r="M961" s="213"/>
      <c r="N961" s="213"/>
      <c r="O961" s="213"/>
      <c r="P961" s="213"/>
      <c r="Q961" s="213"/>
      <c r="R961" s="213"/>
      <c r="S961" s="213"/>
      <c r="T961" s="213"/>
      <c r="U961" s="213"/>
      <c r="V961" s="213"/>
      <c r="W961" s="213"/>
      <c r="X961" s="213"/>
      <c r="Y961" s="213"/>
      <c r="Z961" s="213"/>
      <c r="AA961" s="213"/>
      <c r="AB961" s="213"/>
      <c r="AC961" s="213"/>
      <c r="AD961" s="213"/>
      <c r="AE961" s="213"/>
      <c r="AF961" s="213"/>
      <c r="AG961" s="213"/>
      <c r="AH961" s="213"/>
      <c r="AI961" s="213"/>
      <c r="AJ961" s="213"/>
      <c r="AK961" s="213"/>
      <c r="AL961" s="213"/>
      <c r="AM961" s="213"/>
      <c r="AN961" s="302"/>
      <c r="AO961" s="303"/>
      <c r="AP961" s="285"/>
      <c r="AQ961" s="258"/>
      <c r="AR961" s="258"/>
    </row>
    <row r="962" spans="10:44" s="48" customFormat="1" ht="12" hidden="1" customHeight="1">
      <c r="J962" s="213"/>
      <c r="K962" s="213"/>
      <c r="L962" s="213"/>
      <c r="M962" s="213"/>
      <c r="N962" s="213"/>
      <c r="O962" s="213"/>
      <c r="P962" s="213"/>
      <c r="Q962" s="213"/>
      <c r="R962" s="213"/>
      <c r="S962" s="213"/>
      <c r="T962" s="213"/>
      <c r="U962" s="213"/>
      <c r="V962" s="213"/>
      <c r="W962" s="213"/>
      <c r="X962" s="213"/>
      <c r="Y962" s="213"/>
      <c r="Z962" s="213"/>
      <c r="AA962" s="213"/>
      <c r="AB962" s="213"/>
      <c r="AC962" s="213"/>
      <c r="AD962" s="213"/>
      <c r="AE962" s="213"/>
      <c r="AF962" s="213"/>
      <c r="AG962" s="213"/>
      <c r="AH962" s="213"/>
      <c r="AI962" s="213"/>
      <c r="AJ962" s="213"/>
      <c r="AK962" s="213"/>
      <c r="AL962" s="213"/>
      <c r="AM962" s="213"/>
      <c r="AN962" s="302"/>
      <c r="AO962" s="303"/>
      <c r="AP962" s="285"/>
      <c r="AQ962" s="258"/>
      <c r="AR962" s="258"/>
    </row>
    <row r="963" spans="10:44" s="48" customFormat="1" ht="12" hidden="1" customHeight="1">
      <c r="J963" s="213"/>
      <c r="K963" s="213"/>
      <c r="L963" s="213"/>
      <c r="M963" s="213"/>
      <c r="N963" s="213"/>
      <c r="O963" s="213"/>
      <c r="P963" s="213"/>
      <c r="Q963" s="213"/>
      <c r="R963" s="213"/>
      <c r="S963" s="213"/>
      <c r="T963" s="213"/>
      <c r="U963" s="213"/>
      <c r="V963" s="213"/>
      <c r="W963" s="213"/>
      <c r="X963" s="213"/>
      <c r="Y963" s="213"/>
      <c r="Z963" s="213"/>
      <c r="AA963" s="213"/>
      <c r="AB963" s="213"/>
      <c r="AC963" s="213"/>
      <c r="AD963" s="213"/>
      <c r="AE963" s="213"/>
      <c r="AF963" s="213"/>
      <c r="AG963" s="213"/>
      <c r="AH963" s="213"/>
      <c r="AI963" s="213"/>
      <c r="AJ963" s="213"/>
      <c r="AK963" s="213"/>
      <c r="AL963" s="213"/>
      <c r="AM963" s="213"/>
      <c r="AN963" s="302"/>
      <c r="AO963" s="303"/>
      <c r="AP963" s="285"/>
      <c r="AQ963" s="258"/>
      <c r="AR963" s="258"/>
    </row>
    <row r="964" spans="10:44" s="48" customFormat="1" ht="12" hidden="1" customHeight="1">
      <c r="J964" s="213"/>
      <c r="K964" s="213"/>
      <c r="L964" s="213"/>
      <c r="M964" s="213"/>
      <c r="N964" s="213"/>
      <c r="O964" s="213"/>
      <c r="P964" s="213"/>
      <c r="Q964" s="213"/>
      <c r="R964" s="213"/>
      <c r="S964" s="213"/>
      <c r="T964" s="213"/>
      <c r="U964" s="213"/>
      <c r="V964" s="213"/>
      <c r="W964" s="213"/>
      <c r="X964" s="213"/>
      <c r="Y964" s="213"/>
      <c r="Z964" s="213"/>
      <c r="AA964" s="213"/>
      <c r="AB964" s="213"/>
      <c r="AC964" s="213"/>
      <c r="AD964" s="213"/>
      <c r="AE964" s="213"/>
      <c r="AF964" s="213"/>
      <c r="AG964" s="213"/>
      <c r="AH964" s="213"/>
      <c r="AI964" s="213"/>
      <c r="AJ964" s="213"/>
      <c r="AK964" s="213"/>
      <c r="AL964" s="213"/>
      <c r="AM964" s="213"/>
      <c r="AN964" s="302"/>
      <c r="AO964" s="303"/>
      <c r="AP964" s="285"/>
      <c r="AQ964" s="258"/>
      <c r="AR964" s="258"/>
    </row>
    <row r="965" spans="10:44" s="48" customFormat="1" ht="12" hidden="1" customHeight="1">
      <c r="J965" s="213"/>
      <c r="K965" s="213"/>
      <c r="L965" s="213"/>
      <c r="M965" s="213"/>
      <c r="N965" s="213"/>
      <c r="O965" s="213"/>
      <c r="P965" s="213"/>
      <c r="Q965" s="213"/>
      <c r="R965" s="213"/>
      <c r="S965" s="213"/>
      <c r="T965" s="213"/>
      <c r="U965" s="213"/>
      <c r="V965" s="213"/>
      <c r="W965" s="213"/>
      <c r="X965" s="213"/>
      <c r="Y965" s="213"/>
      <c r="Z965" s="213"/>
      <c r="AA965" s="213"/>
      <c r="AB965" s="213"/>
      <c r="AC965" s="213"/>
      <c r="AD965" s="213"/>
      <c r="AE965" s="213"/>
      <c r="AF965" s="213"/>
      <c r="AG965" s="213"/>
      <c r="AH965" s="213"/>
      <c r="AI965" s="213"/>
      <c r="AJ965" s="213"/>
      <c r="AK965" s="213"/>
      <c r="AL965" s="213"/>
      <c r="AM965" s="213"/>
      <c r="AN965" s="302"/>
      <c r="AO965" s="303"/>
      <c r="AP965" s="285"/>
      <c r="AQ965" s="258"/>
      <c r="AR965" s="258"/>
    </row>
    <row r="966" spans="10:44" s="48" customFormat="1" ht="12" hidden="1" customHeight="1">
      <c r="J966" s="213"/>
      <c r="K966" s="213"/>
      <c r="L966" s="213"/>
      <c r="M966" s="213"/>
      <c r="N966" s="213"/>
      <c r="O966" s="213"/>
      <c r="P966" s="213"/>
      <c r="Q966" s="213"/>
      <c r="R966" s="213"/>
      <c r="S966" s="213"/>
      <c r="T966" s="213"/>
      <c r="U966" s="213"/>
      <c r="V966" s="213"/>
      <c r="W966" s="213"/>
      <c r="X966" s="213"/>
      <c r="Y966" s="213"/>
      <c r="Z966" s="213"/>
      <c r="AA966" s="213"/>
      <c r="AB966" s="213"/>
      <c r="AC966" s="213"/>
      <c r="AD966" s="213"/>
      <c r="AE966" s="213"/>
      <c r="AF966" s="213"/>
      <c r="AG966" s="213"/>
      <c r="AH966" s="213"/>
      <c r="AI966" s="213"/>
      <c r="AJ966" s="213"/>
      <c r="AK966" s="213"/>
      <c r="AL966" s="213"/>
      <c r="AM966" s="213"/>
      <c r="AN966" s="302"/>
      <c r="AO966" s="303"/>
      <c r="AP966" s="285"/>
      <c r="AQ966" s="258"/>
      <c r="AR966" s="258"/>
    </row>
    <row r="967" spans="10:44" s="48" customFormat="1" ht="12" hidden="1" customHeight="1">
      <c r="J967" s="213"/>
      <c r="K967" s="213"/>
      <c r="L967" s="213"/>
      <c r="M967" s="213"/>
      <c r="N967" s="213"/>
      <c r="O967" s="213"/>
      <c r="P967" s="213"/>
      <c r="Q967" s="213"/>
      <c r="R967" s="213"/>
      <c r="S967" s="213"/>
      <c r="T967" s="213"/>
      <c r="U967" s="213"/>
      <c r="V967" s="213"/>
      <c r="W967" s="213"/>
      <c r="X967" s="213"/>
      <c r="Y967" s="213"/>
      <c r="Z967" s="213"/>
      <c r="AA967" s="213"/>
      <c r="AB967" s="213"/>
      <c r="AC967" s="213"/>
      <c r="AD967" s="213"/>
      <c r="AE967" s="213"/>
      <c r="AF967" s="213"/>
      <c r="AG967" s="213"/>
      <c r="AH967" s="213"/>
      <c r="AI967" s="213"/>
      <c r="AJ967" s="213"/>
      <c r="AK967" s="213"/>
      <c r="AL967" s="213"/>
      <c r="AM967" s="213"/>
      <c r="AN967" s="302"/>
      <c r="AO967" s="303"/>
      <c r="AP967" s="285"/>
      <c r="AQ967" s="258"/>
      <c r="AR967" s="258"/>
    </row>
    <row r="968" spans="10:44" s="48" customFormat="1" ht="12" hidden="1" customHeight="1">
      <c r="J968" s="213"/>
      <c r="K968" s="213"/>
      <c r="L968" s="213"/>
      <c r="M968" s="213"/>
      <c r="N968" s="213"/>
      <c r="O968" s="213"/>
      <c r="P968" s="213"/>
      <c r="Q968" s="213"/>
      <c r="R968" s="213"/>
      <c r="S968" s="213"/>
      <c r="T968" s="213"/>
      <c r="U968" s="213"/>
      <c r="V968" s="213"/>
      <c r="W968" s="213"/>
      <c r="X968" s="213"/>
      <c r="Y968" s="213"/>
      <c r="Z968" s="213"/>
      <c r="AA968" s="213"/>
      <c r="AB968" s="213"/>
      <c r="AC968" s="213"/>
      <c r="AD968" s="213"/>
      <c r="AE968" s="213"/>
      <c r="AF968" s="213"/>
      <c r="AG968" s="213"/>
      <c r="AH968" s="213"/>
      <c r="AI968" s="213"/>
      <c r="AJ968" s="213"/>
      <c r="AK968" s="213"/>
      <c r="AL968" s="213"/>
      <c r="AM968" s="213"/>
      <c r="AN968" s="302"/>
      <c r="AO968" s="303"/>
      <c r="AP968" s="285"/>
      <c r="AQ968" s="258"/>
      <c r="AR968" s="258"/>
    </row>
    <row r="969" spans="10:44" s="48" customFormat="1" ht="12" hidden="1" customHeight="1">
      <c r="J969" s="213"/>
      <c r="K969" s="213"/>
      <c r="L969" s="213"/>
      <c r="M969" s="213"/>
      <c r="N969" s="213"/>
      <c r="O969" s="213"/>
      <c r="P969" s="213"/>
      <c r="Q969" s="213"/>
      <c r="R969" s="213"/>
      <c r="S969" s="213"/>
      <c r="T969" s="213"/>
      <c r="U969" s="213"/>
      <c r="V969" s="213"/>
      <c r="W969" s="213"/>
      <c r="X969" s="213"/>
      <c r="Y969" s="213"/>
      <c r="Z969" s="213"/>
      <c r="AA969" s="213"/>
      <c r="AB969" s="213"/>
      <c r="AC969" s="213"/>
      <c r="AD969" s="213"/>
      <c r="AE969" s="213"/>
      <c r="AF969" s="213"/>
      <c r="AG969" s="213"/>
      <c r="AH969" s="213"/>
      <c r="AI969" s="213"/>
      <c r="AJ969" s="213"/>
      <c r="AK969" s="213"/>
      <c r="AL969" s="213"/>
      <c r="AM969" s="213"/>
      <c r="AN969" s="302"/>
      <c r="AO969" s="303"/>
      <c r="AP969" s="285"/>
      <c r="AQ969" s="258"/>
      <c r="AR969" s="258"/>
    </row>
    <row r="970" spans="10:44" s="48" customFormat="1" ht="12" hidden="1" customHeight="1">
      <c r="J970" s="213"/>
      <c r="K970" s="213"/>
      <c r="L970" s="213"/>
      <c r="M970" s="213"/>
      <c r="N970" s="213"/>
      <c r="O970" s="213"/>
      <c r="P970" s="213"/>
      <c r="Q970" s="213"/>
      <c r="R970" s="213"/>
      <c r="S970" s="213"/>
      <c r="T970" s="213"/>
      <c r="U970" s="213"/>
      <c r="V970" s="213"/>
      <c r="W970" s="213"/>
      <c r="X970" s="213"/>
      <c r="Y970" s="213"/>
      <c r="Z970" s="213"/>
      <c r="AA970" s="213"/>
      <c r="AB970" s="213"/>
      <c r="AC970" s="213"/>
      <c r="AD970" s="213"/>
      <c r="AE970" s="213"/>
      <c r="AF970" s="213"/>
      <c r="AG970" s="213"/>
      <c r="AH970" s="213"/>
      <c r="AI970" s="213"/>
      <c r="AJ970" s="213"/>
      <c r="AK970" s="213"/>
      <c r="AL970" s="213"/>
      <c r="AM970" s="213"/>
      <c r="AN970" s="302"/>
      <c r="AO970" s="303"/>
      <c r="AP970" s="285"/>
      <c r="AQ970" s="258"/>
      <c r="AR970" s="258"/>
    </row>
    <row r="971" spans="10:44" s="48" customFormat="1" ht="12" hidden="1" customHeight="1">
      <c r="J971" s="213"/>
      <c r="K971" s="213"/>
      <c r="L971" s="213"/>
      <c r="M971" s="213"/>
      <c r="N971" s="213"/>
      <c r="O971" s="213"/>
      <c r="P971" s="213"/>
      <c r="Q971" s="213"/>
      <c r="R971" s="213"/>
      <c r="S971" s="213"/>
      <c r="T971" s="213"/>
      <c r="U971" s="213"/>
      <c r="V971" s="213"/>
      <c r="W971" s="213"/>
      <c r="X971" s="213"/>
      <c r="Y971" s="213"/>
      <c r="Z971" s="213"/>
      <c r="AA971" s="213"/>
      <c r="AB971" s="213"/>
      <c r="AC971" s="213"/>
      <c r="AD971" s="213"/>
      <c r="AE971" s="213"/>
      <c r="AF971" s="213"/>
      <c r="AG971" s="213"/>
      <c r="AH971" s="213"/>
      <c r="AI971" s="213"/>
      <c r="AJ971" s="213"/>
      <c r="AK971" s="213"/>
      <c r="AL971" s="213"/>
      <c r="AM971" s="213"/>
      <c r="AN971" s="302"/>
      <c r="AO971" s="303"/>
      <c r="AP971" s="285"/>
      <c r="AQ971" s="258"/>
      <c r="AR971" s="258"/>
    </row>
    <row r="972" spans="10:44" s="48" customFormat="1" ht="12" hidden="1" customHeight="1">
      <c r="J972" s="213"/>
      <c r="K972" s="213"/>
      <c r="L972" s="213"/>
      <c r="M972" s="213"/>
      <c r="N972" s="213"/>
      <c r="O972" s="213"/>
      <c r="P972" s="213"/>
      <c r="Q972" s="213"/>
      <c r="R972" s="213"/>
      <c r="S972" s="213"/>
      <c r="T972" s="213"/>
      <c r="U972" s="213"/>
      <c r="V972" s="213"/>
      <c r="W972" s="213"/>
      <c r="X972" s="213"/>
      <c r="Y972" s="213"/>
      <c r="Z972" s="213"/>
      <c r="AA972" s="213"/>
      <c r="AB972" s="213"/>
      <c r="AC972" s="213"/>
      <c r="AD972" s="213"/>
      <c r="AE972" s="213"/>
      <c r="AF972" s="213"/>
      <c r="AG972" s="213"/>
      <c r="AH972" s="213"/>
      <c r="AI972" s="213"/>
      <c r="AJ972" s="213"/>
      <c r="AK972" s="213"/>
      <c r="AL972" s="213"/>
      <c r="AM972" s="213"/>
      <c r="AN972" s="302"/>
      <c r="AO972" s="303"/>
      <c r="AP972" s="285"/>
      <c r="AQ972" s="258"/>
      <c r="AR972" s="258"/>
    </row>
    <row r="973" spans="10:44" s="48" customFormat="1" ht="12" hidden="1" customHeight="1">
      <c r="J973" s="213"/>
      <c r="K973" s="213"/>
      <c r="L973" s="213"/>
      <c r="M973" s="213"/>
      <c r="N973" s="213"/>
      <c r="O973" s="213"/>
      <c r="P973" s="213"/>
      <c r="Q973" s="213"/>
      <c r="R973" s="213"/>
      <c r="S973" s="213"/>
      <c r="T973" s="213"/>
      <c r="U973" s="213"/>
      <c r="V973" s="213"/>
      <c r="W973" s="213"/>
      <c r="X973" s="213"/>
      <c r="Y973" s="213"/>
      <c r="Z973" s="213"/>
      <c r="AA973" s="213"/>
      <c r="AB973" s="213"/>
      <c r="AC973" s="213"/>
      <c r="AD973" s="213"/>
      <c r="AE973" s="213"/>
      <c r="AF973" s="213"/>
      <c r="AG973" s="213"/>
      <c r="AH973" s="213"/>
      <c r="AI973" s="213"/>
      <c r="AJ973" s="213"/>
      <c r="AK973" s="213"/>
      <c r="AL973" s="213"/>
      <c r="AM973" s="213"/>
      <c r="AN973" s="302"/>
      <c r="AO973" s="303"/>
      <c r="AP973" s="285"/>
      <c r="AQ973" s="258"/>
      <c r="AR973" s="258"/>
    </row>
    <row r="974" spans="10:44" s="48" customFormat="1" ht="12" hidden="1" customHeight="1">
      <c r="J974" s="213"/>
      <c r="K974" s="213"/>
      <c r="L974" s="213"/>
      <c r="M974" s="213"/>
      <c r="N974" s="213"/>
      <c r="O974" s="213"/>
      <c r="P974" s="213"/>
      <c r="Q974" s="213"/>
      <c r="R974" s="213"/>
      <c r="S974" s="213"/>
      <c r="T974" s="213"/>
      <c r="U974" s="213"/>
      <c r="V974" s="213"/>
      <c r="W974" s="213"/>
      <c r="X974" s="213"/>
      <c r="Y974" s="213"/>
      <c r="Z974" s="213"/>
      <c r="AA974" s="213"/>
      <c r="AB974" s="213"/>
      <c r="AC974" s="213"/>
      <c r="AD974" s="213"/>
      <c r="AE974" s="213"/>
      <c r="AF974" s="213"/>
      <c r="AG974" s="213"/>
      <c r="AH974" s="213"/>
      <c r="AI974" s="213"/>
      <c r="AJ974" s="213"/>
      <c r="AK974" s="213"/>
      <c r="AL974" s="213"/>
      <c r="AM974" s="213"/>
      <c r="AN974" s="302"/>
      <c r="AO974" s="303"/>
      <c r="AP974" s="285"/>
      <c r="AQ974" s="258"/>
      <c r="AR974" s="258"/>
    </row>
    <row r="975" spans="10:44" s="48" customFormat="1" ht="12" hidden="1" customHeight="1">
      <c r="J975" s="213"/>
      <c r="K975" s="213"/>
      <c r="L975" s="213"/>
      <c r="M975" s="213"/>
      <c r="N975" s="213"/>
      <c r="O975" s="213"/>
      <c r="P975" s="213"/>
      <c r="Q975" s="213"/>
      <c r="R975" s="213"/>
      <c r="S975" s="213"/>
      <c r="T975" s="213"/>
      <c r="U975" s="213"/>
      <c r="V975" s="213"/>
      <c r="W975" s="213"/>
      <c r="X975" s="213"/>
      <c r="Y975" s="213"/>
      <c r="Z975" s="213"/>
      <c r="AA975" s="213"/>
      <c r="AB975" s="213"/>
      <c r="AC975" s="213"/>
      <c r="AD975" s="213"/>
      <c r="AE975" s="213"/>
      <c r="AF975" s="213"/>
      <c r="AG975" s="213"/>
      <c r="AH975" s="213"/>
      <c r="AI975" s="213"/>
      <c r="AJ975" s="213"/>
      <c r="AK975" s="213"/>
      <c r="AL975" s="213"/>
      <c r="AM975" s="213"/>
      <c r="AN975" s="302"/>
      <c r="AO975" s="303"/>
      <c r="AP975" s="285"/>
      <c r="AQ975" s="258"/>
      <c r="AR975" s="258"/>
    </row>
    <row r="976" spans="10:44" s="48" customFormat="1" ht="12" hidden="1" customHeight="1">
      <c r="J976" s="213"/>
      <c r="K976" s="213"/>
      <c r="L976" s="213"/>
      <c r="M976" s="213"/>
      <c r="N976" s="213"/>
      <c r="O976" s="213"/>
      <c r="P976" s="213"/>
      <c r="Q976" s="213"/>
      <c r="R976" s="213"/>
      <c r="S976" s="213"/>
      <c r="T976" s="213"/>
      <c r="U976" s="213"/>
      <c r="V976" s="213"/>
      <c r="W976" s="213"/>
      <c r="X976" s="213"/>
      <c r="Y976" s="213"/>
      <c r="Z976" s="213"/>
      <c r="AA976" s="213"/>
      <c r="AB976" s="213"/>
      <c r="AC976" s="213"/>
      <c r="AD976" s="213"/>
      <c r="AE976" s="213"/>
      <c r="AF976" s="213"/>
      <c r="AG976" s="213"/>
      <c r="AH976" s="213"/>
      <c r="AI976" s="213"/>
      <c r="AJ976" s="213"/>
      <c r="AK976" s="213"/>
      <c r="AL976" s="213"/>
      <c r="AM976" s="213"/>
      <c r="AN976" s="302"/>
      <c r="AO976" s="303"/>
      <c r="AP976" s="285"/>
      <c r="AQ976" s="258"/>
      <c r="AR976" s="258"/>
    </row>
    <row r="977" spans="10:44" s="48" customFormat="1" ht="12" hidden="1" customHeight="1">
      <c r="J977" s="213"/>
      <c r="K977" s="213"/>
      <c r="L977" s="213"/>
      <c r="M977" s="213"/>
      <c r="N977" s="213"/>
      <c r="O977" s="213"/>
      <c r="P977" s="213"/>
      <c r="Q977" s="213"/>
      <c r="R977" s="213"/>
      <c r="S977" s="213"/>
      <c r="T977" s="213"/>
      <c r="U977" s="213"/>
      <c r="V977" s="213"/>
      <c r="W977" s="213"/>
      <c r="X977" s="213"/>
      <c r="Y977" s="213"/>
      <c r="Z977" s="213"/>
      <c r="AA977" s="213"/>
      <c r="AB977" s="213"/>
      <c r="AC977" s="213"/>
      <c r="AD977" s="213"/>
      <c r="AE977" s="213"/>
      <c r="AF977" s="213"/>
      <c r="AG977" s="213"/>
      <c r="AH977" s="213"/>
      <c r="AI977" s="213"/>
      <c r="AJ977" s="213"/>
      <c r="AK977" s="213"/>
      <c r="AL977" s="213"/>
      <c r="AM977" s="213"/>
      <c r="AN977" s="302"/>
      <c r="AO977" s="303"/>
      <c r="AP977" s="285"/>
      <c r="AQ977" s="258"/>
      <c r="AR977" s="258"/>
    </row>
    <row r="978" spans="10:44" s="48" customFormat="1" ht="12" hidden="1" customHeight="1">
      <c r="J978" s="213"/>
      <c r="K978" s="213"/>
      <c r="L978" s="213"/>
      <c r="M978" s="213"/>
      <c r="N978" s="213"/>
      <c r="O978" s="213"/>
      <c r="P978" s="213"/>
      <c r="Q978" s="213"/>
      <c r="R978" s="213"/>
      <c r="S978" s="213"/>
      <c r="T978" s="213"/>
      <c r="U978" s="213"/>
      <c r="V978" s="213"/>
      <c r="W978" s="213"/>
      <c r="X978" s="213"/>
      <c r="Y978" s="213"/>
      <c r="Z978" s="213"/>
      <c r="AA978" s="213"/>
      <c r="AB978" s="213"/>
      <c r="AC978" s="213"/>
      <c r="AD978" s="213"/>
      <c r="AE978" s="213"/>
      <c r="AF978" s="213"/>
      <c r="AG978" s="213"/>
      <c r="AH978" s="213"/>
      <c r="AI978" s="213"/>
      <c r="AJ978" s="213"/>
      <c r="AK978" s="213"/>
      <c r="AL978" s="213"/>
      <c r="AM978" s="213"/>
      <c r="AN978" s="302"/>
      <c r="AO978" s="303"/>
      <c r="AP978" s="285"/>
      <c r="AQ978" s="258"/>
      <c r="AR978" s="258"/>
    </row>
    <row r="979" spans="10:44" s="48" customFormat="1" ht="12" hidden="1" customHeight="1">
      <c r="J979" s="213"/>
      <c r="K979" s="213"/>
      <c r="L979" s="213"/>
      <c r="M979" s="213"/>
      <c r="N979" s="213"/>
      <c r="O979" s="213"/>
      <c r="P979" s="213"/>
      <c r="Q979" s="213"/>
      <c r="R979" s="213"/>
      <c r="S979" s="213"/>
      <c r="T979" s="213"/>
      <c r="U979" s="213"/>
      <c r="V979" s="213"/>
      <c r="W979" s="213"/>
      <c r="X979" s="213"/>
      <c r="Y979" s="213"/>
      <c r="Z979" s="213"/>
      <c r="AA979" s="213"/>
      <c r="AB979" s="213"/>
      <c r="AC979" s="213"/>
      <c r="AD979" s="213"/>
      <c r="AE979" s="213"/>
      <c r="AF979" s="213"/>
      <c r="AG979" s="213"/>
      <c r="AH979" s="213"/>
      <c r="AI979" s="213"/>
      <c r="AJ979" s="213"/>
      <c r="AK979" s="213"/>
      <c r="AL979" s="213"/>
      <c r="AM979" s="213"/>
      <c r="AN979" s="302"/>
      <c r="AO979" s="303"/>
      <c r="AP979" s="285"/>
      <c r="AQ979" s="258"/>
      <c r="AR979" s="258"/>
    </row>
    <row r="980" spans="10:44" s="48" customFormat="1" ht="12" hidden="1" customHeight="1">
      <c r="J980" s="213"/>
      <c r="K980" s="213"/>
      <c r="L980" s="213"/>
      <c r="M980" s="213"/>
      <c r="N980" s="213"/>
      <c r="O980" s="213"/>
      <c r="P980" s="213"/>
      <c r="Q980" s="213"/>
      <c r="R980" s="213"/>
      <c r="S980" s="213"/>
      <c r="T980" s="213"/>
      <c r="U980" s="213"/>
      <c r="V980" s="213"/>
      <c r="W980" s="213"/>
      <c r="X980" s="213"/>
      <c r="Y980" s="213"/>
      <c r="Z980" s="213"/>
      <c r="AA980" s="213"/>
      <c r="AB980" s="213"/>
      <c r="AC980" s="213"/>
      <c r="AD980" s="213"/>
      <c r="AE980" s="213"/>
      <c r="AF980" s="213"/>
      <c r="AG980" s="213"/>
      <c r="AH980" s="213"/>
      <c r="AI980" s="213"/>
      <c r="AJ980" s="213"/>
      <c r="AK980" s="213"/>
      <c r="AL980" s="213"/>
      <c r="AM980" s="213"/>
      <c r="AN980" s="302"/>
      <c r="AO980" s="303"/>
      <c r="AP980" s="285"/>
      <c r="AQ980" s="258"/>
      <c r="AR980" s="258"/>
    </row>
    <row r="981" spans="10:44" s="48" customFormat="1" ht="12" hidden="1" customHeight="1">
      <c r="J981" s="213"/>
      <c r="K981" s="213"/>
      <c r="L981" s="213"/>
      <c r="M981" s="213"/>
      <c r="N981" s="213"/>
      <c r="O981" s="213"/>
      <c r="P981" s="213"/>
      <c r="Q981" s="213"/>
      <c r="R981" s="213"/>
      <c r="S981" s="213"/>
      <c r="T981" s="213"/>
      <c r="U981" s="213"/>
      <c r="V981" s="213"/>
      <c r="W981" s="213"/>
      <c r="X981" s="213"/>
      <c r="Y981" s="213"/>
      <c r="Z981" s="213"/>
      <c r="AA981" s="213"/>
      <c r="AB981" s="213"/>
      <c r="AC981" s="213"/>
      <c r="AD981" s="213"/>
      <c r="AE981" s="213"/>
      <c r="AF981" s="213"/>
      <c r="AG981" s="213"/>
      <c r="AH981" s="213"/>
      <c r="AI981" s="213"/>
      <c r="AJ981" s="213"/>
      <c r="AK981" s="213"/>
      <c r="AL981" s="213"/>
      <c r="AM981" s="213"/>
      <c r="AN981" s="302"/>
      <c r="AO981" s="303"/>
      <c r="AP981" s="285"/>
      <c r="AQ981" s="258"/>
      <c r="AR981" s="258"/>
    </row>
    <row r="982" spans="10:44" s="48" customFormat="1" ht="12" hidden="1" customHeight="1">
      <c r="J982" s="213"/>
      <c r="K982" s="213"/>
      <c r="L982" s="213"/>
      <c r="M982" s="213"/>
      <c r="N982" s="213"/>
      <c r="O982" s="213"/>
      <c r="P982" s="213"/>
      <c r="Q982" s="213"/>
      <c r="R982" s="213"/>
      <c r="S982" s="213"/>
      <c r="T982" s="213"/>
      <c r="U982" s="213"/>
      <c r="V982" s="213"/>
      <c r="W982" s="213"/>
      <c r="X982" s="213"/>
      <c r="Y982" s="213"/>
      <c r="Z982" s="213"/>
      <c r="AA982" s="213"/>
      <c r="AB982" s="213"/>
      <c r="AC982" s="213"/>
      <c r="AD982" s="213"/>
      <c r="AE982" s="213"/>
      <c r="AF982" s="213"/>
      <c r="AG982" s="213"/>
      <c r="AH982" s="213"/>
      <c r="AI982" s="213"/>
      <c r="AJ982" s="213"/>
      <c r="AK982" s="213"/>
      <c r="AL982" s="213"/>
      <c r="AM982" s="213"/>
      <c r="AN982" s="302"/>
      <c r="AO982" s="303"/>
      <c r="AP982" s="285"/>
      <c r="AQ982" s="258"/>
      <c r="AR982" s="258"/>
    </row>
    <row r="983" spans="10:44" s="48" customFormat="1" ht="12" hidden="1" customHeight="1">
      <c r="J983" s="213"/>
      <c r="K983" s="213"/>
      <c r="L983" s="213"/>
      <c r="M983" s="213"/>
      <c r="N983" s="213"/>
      <c r="O983" s="213"/>
      <c r="P983" s="213"/>
      <c r="Q983" s="213"/>
      <c r="R983" s="213"/>
      <c r="S983" s="213"/>
      <c r="T983" s="213"/>
      <c r="U983" s="213"/>
      <c r="V983" s="213"/>
      <c r="W983" s="213"/>
      <c r="X983" s="213"/>
      <c r="Y983" s="213"/>
      <c r="Z983" s="213"/>
      <c r="AA983" s="213"/>
      <c r="AB983" s="213"/>
      <c r="AC983" s="213"/>
      <c r="AD983" s="213"/>
      <c r="AE983" s="213"/>
      <c r="AF983" s="213"/>
      <c r="AG983" s="213"/>
      <c r="AH983" s="213"/>
      <c r="AI983" s="213"/>
      <c r="AJ983" s="213"/>
      <c r="AK983" s="213"/>
      <c r="AL983" s="213"/>
      <c r="AM983" s="213"/>
      <c r="AN983" s="302"/>
      <c r="AO983" s="303"/>
      <c r="AP983" s="285"/>
      <c r="AQ983" s="258"/>
      <c r="AR983" s="258"/>
    </row>
    <row r="984" spans="10:44" s="48" customFormat="1" ht="12" hidden="1" customHeight="1">
      <c r="J984" s="213"/>
      <c r="K984" s="213"/>
      <c r="L984" s="213"/>
      <c r="M984" s="213"/>
      <c r="N984" s="213"/>
      <c r="O984" s="213"/>
      <c r="P984" s="213"/>
      <c r="Q984" s="213"/>
      <c r="R984" s="213"/>
      <c r="S984" s="213"/>
      <c r="T984" s="213"/>
      <c r="U984" s="213"/>
      <c r="V984" s="213"/>
      <c r="W984" s="213"/>
      <c r="X984" s="213"/>
      <c r="Y984" s="213"/>
      <c r="Z984" s="213"/>
      <c r="AA984" s="213"/>
      <c r="AB984" s="213"/>
      <c r="AC984" s="213"/>
      <c r="AD984" s="213"/>
      <c r="AE984" s="213"/>
      <c r="AF984" s="213"/>
      <c r="AG984" s="213"/>
      <c r="AH984" s="213"/>
      <c r="AI984" s="213"/>
      <c r="AJ984" s="213"/>
      <c r="AK984" s="213"/>
      <c r="AL984" s="213"/>
      <c r="AM984" s="213"/>
      <c r="AN984" s="302"/>
      <c r="AO984" s="303"/>
      <c r="AP984" s="285"/>
      <c r="AQ984" s="258"/>
      <c r="AR984" s="258"/>
    </row>
    <row r="985" spans="10:44" s="48" customFormat="1" ht="12" hidden="1" customHeight="1">
      <c r="J985" s="213"/>
      <c r="K985" s="213"/>
      <c r="L985" s="213"/>
      <c r="M985" s="213"/>
      <c r="N985" s="213"/>
      <c r="O985" s="213"/>
      <c r="P985" s="213"/>
      <c r="Q985" s="213"/>
      <c r="R985" s="213"/>
      <c r="S985" s="213"/>
      <c r="T985" s="213"/>
      <c r="U985" s="213"/>
      <c r="V985" s="213"/>
      <c r="W985" s="213"/>
      <c r="X985" s="213"/>
      <c r="Y985" s="213"/>
      <c r="Z985" s="213"/>
      <c r="AA985" s="213"/>
      <c r="AB985" s="213"/>
      <c r="AC985" s="213"/>
      <c r="AD985" s="213"/>
      <c r="AE985" s="213"/>
      <c r="AF985" s="213"/>
      <c r="AG985" s="213"/>
      <c r="AH985" s="213"/>
      <c r="AI985" s="213"/>
      <c r="AJ985" s="213"/>
      <c r="AK985" s="213"/>
      <c r="AL985" s="213"/>
      <c r="AM985" s="213"/>
      <c r="AN985" s="302"/>
      <c r="AO985" s="303"/>
      <c r="AP985" s="285"/>
      <c r="AQ985" s="258"/>
      <c r="AR985" s="258"/>
    </row>
    <row r="986" spans="10:44" s="48" customFormat="1" ht="12" hidden="1" customHeight="1">
      <c r="J986" s="213"/>
      <c r="K986" s="213"/>
      <c r="L986" s="213"/>
      <c r="M986" s="213"/>
      <c r="N986" s="213"/>
      <c r="O986" s="213"/>
      <c r="P986" s="213"/>
      <c r="Q986" s="213"/>
      <c r="R986" s="213"/>
      <c r="S986" s="213"/>
      <c r="T986" s="213"/>
      <c r="U986" s="213"/>
      <c r="V986" s="213"/>
      <c r="W986" s="213"/>
      <c r="X986" s="213"/>
      <c r="Y986" s="213"/>
      <c r="Z986" s="213"/>
      <c r="AA986" s="213"/>
      <c r="AB986" s="213"/>
      <c r="AC986" s="213"/>
      <c r="AD986" s="213"/>
      <c r="AE986" s="213"/>
      <c r="AF986" s="213"/>
      <c r="AG986" s="213"/>
      <c r="AH986" s="213"/>
      <c r="AI986" s="213"/>
      <c r="AJ986" s="213"/>
      <c r="AK986" s="213"/>
      <c r="AL986" s="213"/>
      <c r="AM986" s="213"/>
      <c r="AN986" s="302"/>
      <c r="AO986" s="303"/>
      <c r="AP986" s="285"/>
      <c r="AQ986" s="258"/>
      <c r="AR986" s="258"/>
    </row>
    <row r="987" spans="10:44" s="48" customFormat="1" ht="12" hidden="1" customHeight="1">
      <c r="J987" s="213"/>
      <c r="K987" s="213"/>
      <c r="L987" s="213"/>
      <c r="M987" s="213"/>
      <c r="N987" s="213"/>
      <c r="O987" s="213"/>
      <c r="P987" s="213"/>
      <c r="Q987" s="213"/>
      <c r="R987" s="213"/>
      <c r="S987" s="213"/>
      <c r="T987" s="213"/>
      <c r="U987" s="213"/>
      <c r="V987" s="213"/>
      <c r="W987" s="213"/>
      <c r="X987" s="213"/>
      <c r="Y987" s="213"/>
      <c r="Z987" s="213"/>
      <c r="AA987" s="213"/>
      <c r="AB987" s="213"/>
      <c r="AC987" s="213"/>
      <c r="AD987" s="213"/>
      <c r="AE987" s="213"/>
      <c r="AF987" s="213"/>
      <c r="AG987" s="213"/>
      <c r="AH987" s="213"/>
      <c r="AI987" s="213"/>
      <c r="AJ987" s="213"/>
      <c r="AK987" s="213"/>
      <c r="AL987" s="213"/>
      <c r="AM987" s="213"/>
      <c r="AN987" s="302"/>
      <c r="AO987" s="303"/>
      <c r="AP987" s="285"/>
      <c r="AQ987" s="258"/>
      <c r="AR987" s="258"/>
    </row>
    <row r="988" spans="10:44" s="48" customFormat="1" ht="12" hidden="1" customHeight="1">
      <c r="J988" s="213"/>
      <c r="K988" s="213"/>
      <c r="L988" s="213"/>
      <c r="M988" s="213"/>
      <c r="N988" s="213"/>
      <c r="O988" s="213"/>
      <c r="P988" s="213"/>
      <c r="Q988" s="213"/>
      <c r="R988" s="213"/>
      <c r="S988" s="213"/>
      <c r="T988" s="213"/>
      <c r="U988" s="213"/>
      <c r="V988" s="213"/>
      <c r="W988" s="213"/>
      <c r="X988" s="213"/>
      <c r="Y988" s="213"/>
      <c r="Z988" s="213"/>
      <c r="AA988" s="213"/>
      <c r="AB988" s="213"/>
      <c r="AC988" s="213"/>
      <c r="AD988" s="213"/>
      <c r="AE988" s="213"/>
      <c r="AF988" s="213"/>
      <c r="AG988" s="213"/>
      <c r="AH988" s="213"/>
      <c r="AI988" s="213"/>
      <c r="AJ988" s="213"/>
      <c r="AK988" s="213"/>
      <c r="AL988" s="213"/>
      <c r="AM988" s="213"/>
      <c r="AN988" s="302"/>
      <c r="AO988" s="303"/>
      <c r="AP988" s="285"/>
      <c r="AQ988" s="258"/>
      <c r="AR988" s="258"/>
    </row>
    <row r="989" spans="10:44" s="48" customFormat="1" ht="12" hidden="1" customHeight="1">
      <c r="J989" s="213"/>
      <c r="K989" s="213"/>
      <c r="L989" s="213"/>
      <c r="M989" s="213"/>
      <c r="N989" s="213"/>
      <c r="O989" s="213"/>
      <c r="P989" s="213"/>
      <c r="Q989" s="213"/>
      <c r="R989" s="213"/>
      <c r="S989" s="213"/>
      <c r="T989" s="213"/>
      <c r="U989" s="213"/>
      <c r="V989" s="213"/>
      <c r="W989" s="213"/>
      <c r="X989" s="213"/>
      <c r="Y989" s="213"/>
      <c r="Z989" s="213"/>
      <c r="AA989" s="213"/>
      <c r="AB989" s="213"/>
      <c r="AC989" s="213"/>
      <c r="AD989" s="213"/>
      <c r="AE989" s="213"/>
      <c r="AF989" s="213"/>
      <c r="AG989" s="213"/>
      <c r="AH989" s="213"/>
      <c r="AI989" s="213"/>
      <c r="AJ989" s="213"/>
      <c r="AK989" s="213"/>
      <c r="AL989" s="213"/>
      <c r="AM989" s="213"/>
      <c r="AN989" s="302"/>
      <c r="AO989" s="303"/>
      <c r="AP989" s="285"/>
      <c r="AQ989" s="258"/>
      <c r="AR989" s="258"/>
    </row>
    <row r="990" spans="10:44" s="48" customFormat="1" ht="12" hidden="1" customHeight="1">
      <c r="J990" s="213"/>
      <c r="K990" s="213"/>
      <c r="L990" s="213"/>
      <c r="M990" s="213"/>
      <c r="N990" s="213"/>
      <c r="O990" s="213"/>
      <c r="P990" s="213"/>
      <c r="Q990" s="213"/>
      <c r="R990" s="213"/>
      <c r="S990" s="213"/>
      <c r="T990" s="213"/>
      <c r="U990" s="213"/>
      <c r="V990" s="213"/>
      <c r="W990" s="213"/>
      <c r="X990" s="213"/>
      <c r="Y990" s="213"/>
      <c r="Z990" s="213"/>
      <c r="AA990" s="213"/>
      <c r="AB990" s="213"/>
      <c r="AC990" s="213"/>
      <c r="AD990" s="213"/>
      <c r="AE990" s="213"/>
      <c r="AF990" s="213"/>
      <c r="AG990" s="213"/>
      <c r="AH990" s="213"/>
      <c r="AI990" s="213"/>
      <c r="AJ990" s="213"/>
      <c r="AK990" s="213"/>
      <c r="AL990" s="213"/>
      <c r="AM990" s="213"/>
      <c r="AN990" s="302"/>
      <c r="AO990" s="303"/>
      <c r="AP990" s="285"/>
      <c r="AQ990" s="258"/>
      <c r="AR990" s="258"/>
    </row>
    <row r="991" spans="10:44" s="48" customFormat="1" ht="12" hidden="1" customHeight="1">
      <c r="J991" s="213"/>
      <c r="K991" s="213"/>
      <c r="L991" s="213"/>
      <c r="M991" s="213"/>
      <c r="N991" s="213"/>
      <c r="O991" s="213"/>
      <c r="P991" s="213"/>
      <c r="Q991" s="213"/>
      <c r="R991" s="213"/>
      <c r="S991" s="213"/>
      <c r="T991" s="213"/>
      <c r="U991" s="213"/>
      <c r="V991" s="213"/>
      <c r="W991" s="213"/>
      <c r="X991" s="213"/>
      <c r="Y991" s="213"/>
      <c r="Z991" s="213"/>
      <c r="AA991" s="213"/>
      <c r="AB991" s="213"/>
      <c r="AC991" s="213"/>
      <c r="AD991" s="213"/>
      <c r="AE991" s="213"/>
      <c r="AF991" s="213"/>
      <c r="AG991" s="213"/>
      <c r="AH991" s="213"/>
      <c r="AI991" s="213"/>
      <c r="AJ991" s="213"/>
      <c r="AK991" s="213"/>
      <c r="AL991" s="213"/>
      <c r="AM991" s="213"/>
      <c r="AN991" s="302"/>
      <c r="AO991" s="303"/>
      <c r="AP991" s="285"/>
      <c r="AQ991" s="258"/>
      <c r="AR991" s="258"/>
    </row>
    <row r="992" spans="10:44" s="48" customFormat="1" ht="12" hidden="1" customHeight="1">
      <c r="J992" s="213"/>
      <c r="K992" s="213"/>
      <c r="L992" s="213"/>
      <c r="M992" s="213"/>
      <c r="N992" s="213"/>
      <c r="O992" s="213"/>
      <c r="P992" s="213"/>
      <c r="Q992" s="213"/>
      <c r="R992" s="213"/>
      <c r="S992" s="213"/>
      <c r="T992" s="213"/>
      <c r="U992" s="213"/>
      <c r="V992" s="213"/>
      <c r="W992" s="213"/>
      <c r="X992" s="213"/>
      <c r="Y992" s="213"/>
      <c r="Z992" s="213"/>
      <c r="AA992" s="213"/>
      <c r="AB992" s="213"/>
      <c r="AC992" s="213"/>
      <c r="AD992" s="213"/>
      <c r="AE992" s="213"/>
      <c r="AF992" s="213"/>
      <c r="AG992" s="213"/>
      <c r="AH992" s="213"/>
      <c r="AI992" s="213"/>
      <c r="AJ992" s="213"/>
      <c r="AK992" s="213"/>
      <c r="AL992" s="213"/>
      <c r="AM992" s="213"/>
      <c r="AN992" s="302"/>
      <c r="AO992" s="303"/>
      <c r="AP992" s="285"/>
      <c r="AQ992" s="258"/>
      <c r="AR992" s="258"/>
    </row>
    <row r="993" spans="10:44" s="48" customFormat="1" ht="12" hidden="1" customHeight="1">
      <c r="J993" s="213"/>
      <c r="K993" s="213"/>
      <c r="L993" s="213"/>
      <c r="M993" s="213"/>
      <c r="N993" s="213"/>
      <c r="O993" s="213"/>
      <c r="P993" s="213"/>
      <c r="Q993" s="213"/>
      <c r="R993" s="213"/>
      <c r="S993" s="213"/>
      <c r="T993" s="213"/>
      <c r="U993" s="213"/>
      <c r="V993" s="213"/>
      <c r="W993" s="213"/>
      <c r="X993" s="213"/>
      <c r="Y993" s="213"/>
      <c r="Z993" s="213"/>
      <c r="AA993" s="213"/>
      <c r="AB993" s="213"/>
      <c r="AC993" s="213"/>
      <c r="AD993" s="213"/>
      <c r="AE993" s="213"/>
      <c r="AF993" s="213"/>
      <c r="AG993" s="213"/>
      <c r="AH993" s="213"/>
      <c r="AI993" s="213"/>
      <c r="AJ993" s="213"/>
      <c r="AK993" s="213"/>
      <c r="AL993" s="213"/>
      <c r="AM993" s="213"/>
      <c r="AN993" s="302"/>
      <c r="AO993" s="303"/>
      <c r="AP993" s="285"/>
      <c r="AQ993" s="258"/>
      <c r="AR993" s="258"/>
    </row>
    <row r="994" spans="10:44" s="48" customFormat="1" ht="12" hidden="1" customHeight="1">
      <c r="J994" s="213"/>
      <c r="K994" s="213"/>
      <c r="L994" s="213"/>
      <c r="M994" s="213"/>
      <c r="N994" s="213"/>
      <c r="O994" s="213"/>
      <c r="P994" s="213"/>
      <c r="Q994" s="213"/>
      <c r="R994" s="213"/>
      <c r="S994" s="213"/>
      <c r="T994" s="213"/>
      <c r="U994" s="213"/>
      <c r="V994" s="213"/>
      <c r="W994" s="213"/>
      <c r="X994" s="213"/>
      <c r="Y994" s="213"/>
      <c r="Z994" s="213"/>
      <c r="AA994" s="213"/>
      <c r="AB994" s="213"/>
      <c r="AC994" s="213"/>
      <c r="AD994" s="213"/>
      <c r="AE994" s="213"/>
      <c r="AF994" s="213"/>
      <c r="AG994" s="213"/>
      <c r="AH994" s="213"/>
      <c r="AI994" s="213"/>
      <c r="AJ994" s="213"/>
      <c r="AK994" s="213"/>
      <c r="AL994" s="213"/>
      <c r="AM994" s="213"/>
      <c r="AN994" s="302"/>
      <c r="AO994" s="303"/>
      <c r="AP994" s="285"/>
      <c r="AQ994" s="258"/>
      <c r="AR994" s="258"/>
    </row>
    <row r="995" spans="10:44" s="48" customFormat="1" ht="12" hidden="1" customHeight="1">
      <c r="J995" s="213"/>
      <c r="K995" s="213"/>
      <c r="L995" s="213"/>
      <c r="M995" s="213"/>
      <c r="N995" s="213"/>
      <c r="O995" s="213"/>
      <c r="P995" s="213"/>
      <c r="Q995" s="213"/>
      <c r="R995" s="213"/>
      <c r="S995" s="213"/>
      <c r="T995" s="213"/>
      <c r="U995" s="213"/>
      <c r="V995" s="213"/>
      <c r="W995" s="213"/>
      <c r="X995" s="213"/>
      <c r="Y995" s="213"/>
      <c r="Z995" s="213"/>
      <c r="AA995" s="213"/>
      <c r="AB995" s="213"/>
      <c r="AC995" s="213"/>
      <c r="AD995" s="213"/>
      <c r="AE995" s="213"/>
      <c r="AF995" s="213"/>
      <c r="AG995" s="213"/>
      <c r="AH995" s="213"/>
      <c r="AI995" s="213"/>
      <c r="AJ995" s="213"/>
      <c r="AK995" s="213"/>
      <c r="AL995" s="213"/>
      <c r="AM995" s="213"/>
      <c r="AN995" s="302"/>
      <c r="AO995" s="303"/>
      <c r="AP995" s="285"/>
      <c r="AQ995" s="258"/>
      <c r="AR995" s="258"/>
    </row>
    <row r="996" spans="10:44" s="48" customFormat="1" ht="12" hidden="1" customHeight="1">
      <c r="J996" s="213"/>
      <c r="K996" s="213"/>
      <c r="L996" s="213"/>
      <c r="M996" s="213"/>
      <c r="N996" s="213"/>
      <c r="O996" s="213"/>
      <c r="P996" s="213"/>
      <c r="Q996" s="213"/>
      <c r="R996" s="213"/>
      <c r="S996" s="213"/>
      <c r="T996" s="213"/>
      <c r="U996" s="213"/>
      <c r="V996" s="213"/>
      <c r="W996" s="213"/>
      <c r="X996" s="213"/>
      <c r="Y996" s="213"/>
      <c r="Z996" s="213"/>
      <c r="AA996" s="213"/>
      <c r="AB996" s="213"/>
      <c r="AC996" s="213"/>
      <c r="AD996" s="213"/>
      <c r="AE996" s="213"/>
      <c r="AF996" s="213"/>
      <c r="AG996" s="213"/>
      <c r="AH996" s="213"/>
      <c r="AI996" s="213"/>
      <c r="AJ996" s="213"/>
      <c r="AK996" s="213"/>
      <c r="AL996" s="213"/>
      <c r="AM996" s="213"/>
      <c r="AN996" s="302"/>
      <c r="AO996" s="303"/>
      <c r="AP996" s="285"/>
      <c r="AQ996" s="258"/>
      <c r="AR996" s="258"/>
    </row>
    <row r="997" spans="10:44" s="48" customFormat="1" ht="12" hidden="1" customHeight="1">
      <c r="J997" s="213"/>
      <c r="K997" s="213"/>
      <c r="L997" s="213"/>
      <c r="M997" s="213"/>
      <c r="N997" s="213"/>
      <c r="O997" s="213"/>
      <c r="P997" s="213"/>
      <c r="Q997" s="213"/>
      <c r="R997" s="213"/>
      <c r="S997" s="213"/>
      <c r="T997" s="213"/>
      <c r="U997" s="213"/>
      <c r="V997" s="213"/>
      <c r="W997" s="213"/>
      <c r="X997" s="213"/>
      <c r="Y997" s="213"/>
      <c r="Z997" s="213"/>
      <c r="AA997" s="213"/>
      <c r="AB997" s="213"/>
      <c r="AC997" s="213"/>
      <c r="AD997" s="213"/>
      <c r="AE997" s="213"/>
      <c r="AF997" s="213"/>
      <c r="AG997" s="213"/>
      <c r="AH997" s="213"/>
      <c r="AI997" s="213"/>
      <c r="AJ997" s="213"/>
      <c r="AK997" s="213"/>
      <c r="AL997" s="213"/>
      <c r="AM997" s="213"/>
      <c r="AN997" s="302"/>
      <c r="AO997" s="303"/>
      <c r="AP997" s="285"/>
      <c r="AQ997" s="258"/>
      <c r="AR997" s="258"/>
    </row>
    <row r="998" spans="10:44" s="48" customFormat="1" ht="12" hidden="1" customHeight="1">
      <c r="J998" s="213"/>
      <c r="K998" s="213"/>
      <c r="L998" s="213"/>
      <c r="M998" s="213"/>
      <c r="N998" s="213"/>
      <c r="O998" s="213"/>
      <c r="P998" s="213"/>
      <c r="Q998" s="213"/>
      <c r="R998" s="213"/>
      <c r="S998" s="213"/>
      <c r="T998" s="213"/>
      <c r="U998" s="213"/>
      <c r="V998" s="213"/>
      <c r="W998" s="213"/>
      <c r="X998" s="213"/>
      <c r="Y998" s="213"/>
      <c r="Z998" s="213"/>
      <c r="AA998" s="213"/>
      <c r="AB998" s="213"/>
      <c r="AC998" s="213"/>
      <c r="AD998" s="213"/>
      <c r="AE998" s="213"/>
      <c r="AF998" s="213"/>
      <c r="AG998" s="213"/>
      <c r="AH998" s="213"/>
      <c r="AI998" s="213"/>
      <c r="AJ998" s="213"/>
      <c r="AK998" s="213"/>
      <c r="AL998" s="213"/>
      <c r="AM998" s="213"/>
      <c r="AN998" s="302"/>
      <c r="AO998" s="303"/>
      <c r="AP998" s="285"/>
      <c r="AQ998" s="258"/>
      <c r="AR998" s="258"/>
    </row>
    <row r="999" spans="10:44" s="48" customFormat="1" ht="12" hidden="1" customHeight="1">
      <c r="J999" s="213"/>
      <c r="K999" s="213"/>
      <c r="L999" s="213"/>
      <c r="M999" s="213"/>
      <c r="N999" s="213"/>
      <c r="O999" s="213"/>
      <c r="P999" s="213"/>
      <c r="Q999" s="213"/>
      <c r="R999" s="213"/>
      <c r="S999" s="213"/>
      <c r="T999" s="213"/>
      <c r="U999" s="213"/>
      <c r="V999" s="213"/>
      <c r="W999" s="213"/>
      <c r="X999" s="213"/>
      <c r="Y999" s="213"/>
      <c r="Z999" s="213"/>
      <c r="AA999" s="213"/>
      <c r="AB999" s="213"/>
      <c r="AC999" s="213"/>
      <c r="AD999" s="213"/>
      <c r="AE999" s="213"/>
      <c r="AF999" s="213"/>
      <c r="AG999" s="213"/>
      <c r="AH999" s="213"/>
      <c r="AI999" s="213"/>
      <c r="AJ999" s="213"/>
      <c r="AK999" s="213"/>
      <c r="AL999" s="213"/>
      <c r="AM999" s="213"/>
      <c r="AN999" s="302"/>
      <c r="AO999" s="303"/>
      <c r="AP999" s="285"/>
      <c r="AQ999" s="258"/>
      <c r="AR999" s="258"/>
    </row>
    <row r="1000" spans="10:44" s="48" customFormat="1" ht="0.75" customHeight="1">
      <c r="J1000" s="213"/>
      <c r="K1000" s="213"/>
      <c r="L1000" s="213"/>
      <c r="M1000" s="213"/>
      <c r="N1000" s="213"/>
      <c r="O1000" s="213"/>
      <c r="P1000" s="213"/>
      <c r="Q1000" s="213"/>
      <c r="R1000" s="213"/>
      <c r="S1000" s="213"/>
      <c r="T1000" s="213"/>
      <c r="U1000" s="213"/>
      <c r="V1000" s="213"/>
      <c r="W1000" s="213"/>
      <c r="X1000" s="213"/>
      <c r="Y1000" s="213"/>
      <c r="Z1000" s="213"/>
      <c r="AA1000" s="213"/>
      <c r="AB1000" s="213"/>
      <c r="AC1000" s="213"/>
      <c r="AD1000" s="213"/>
      <c r="AE1000" s="213"/>
      <c r="AF1000" s="213"/>
      <c r="AG1000" s="213"/>
      <c r="AH1000" s="213"/>
      <c r="AI1000" s="213"/>
      <c r="AJ1000" s="213"/>
      <c r="AK1000" s="213"/>
      <c r="AL1000" s="213"/>
      <c r="AM1000" s="213"/>
      <c r="AN1000" s="283"/>
      <c r="AO1000" s="215"/>
      <c r="AP1000" s="286"/>
      <c r="AQ1000" s="265"/>
      <c r="AR1000" s="265"/>
    </row>
    <row r="1001" spans="10:44" s="48" customFormat="1">
      <c r="J1001" s="213"/>
      <c r="K1001" s="213"/>
      <c r="L1001" s="213"/>
      <c r="M1001" s="213"/>
      <c r="N1001" s="213"/>
      <c r="O1001" s="213"/>
      <c r="P1001" s="213"/>
      <c r="Q1001" s="213"/>
      <c r="R1001" s="213"/>
      <c r="S1001" s="213"/>
      <c r="T1001" s="213"/>
      <c r="U1001" s="213"/>
      <c r="V1001" s="213"/>
      <c r="W1001" s="213"/>
      <c r="X1001" s="213"/>
      <c r="Y1001" s="213"/>
      <c r="Z1001" s="213"/>
      <c r="AA1001" s="213"/>
      <c r="AB1001" s="213"/>
      <c r="AC1001" s="213"/>
      <c r="AD1001" s="213"/>
      <c r="AE1001" s="213"/>
      <c r="AF1001" s="213"/>
      <c r="AG1001" s="213"/>
      <c r="AH1001" s="213"/>
      <c r="AI1001" s="213"/>
      <c r="AJ1001" s="213"/>
      <c r="AK1001" s="213"/>
      <c r="AL1001" s="213"/>
      <c r="AM1001" s="213"/>
      <c r="AN1001" s="199"/>
      <c r="AP1001" s="121"/>
      <c r="AQ1001" s="121"/>
    </row>
  </sheetData>
  <sheetProtection password="FA9C" sheet="1" objects="1" scenarios="1" formatColumns="0" formatRows="0"/>
  <mergeCells count="4">
    <mergeCell ref="AN9:AP9"/>
    <mergeCell ref="AN11:AN12"/>
    <mergeCell ref="AO11:AO12"/>
    <mergeCell ref="AP11:AP12"/>
  </mergeCells>
  <phoneticPr fontId="8"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_UPDATE_INSTRUCTION">
    <tabColor indexed="24"/>
  </sheetPr>
  <dimension ref="A1:O30"/>
  <sheetViews>
    <sheetView showGridLines="0" topLeftCell="C2" workbookViewId="0"/>
  </sheetViews>
  <sheetFormatPr defaultRowHeight="11.25"/>
  <cols>
    <col min="1" max="2" width="2.7109375" style="169" hidden="1" customWidth="1"/>
    <col min="3" max="3" width="5.28515625" style="169" customWidth="1"/>
    <col min="4" max="6" width="9.7109375" style="169" customWidth="1"/>
    <col min="7" max="7" width="7.42578125" style="169" customWidth="1"/>
    <col min="8" max="15" width="9.7109375" style="169" customWidth="1"/>
    <col min="16" max="16" width="8.7109375" style="169" customWidth="1"/>
    <col min="17" max="16384" width="9.140625" style="169"/>
  </cols>
  <sheetData>
    <row r="1" spans="1:15" hidden="1">
      <c r="A1" s="171"/>
      <c r="N1" s="170"/>
      <c r="O1" s="170"/>
    </row>
    <row r="2" spans="1:15" ht="12.75" customHeight="1">
      <c r="B2" s="170"/>
      <c r="C2" s="170"/>
      <c r="D2" s="170"/>
      <c r="E2" s="170"/>
      <c r="F2" s="170"/>
      <c r="G2" s="170"/>
      <c r="H2" s="170"/>
      <c r="I2" s="170"/>
      <c r="J2" s="170"/>
      <c r="K2" s="170"/>
      <c r="L2" s="170"/>
      <c r="M2" s="170"/>
      <c r="N2" s="172"/>
      <c r="O2" s="172"/>
    </row>
    <row r="3" spans="1:15" ht="18" customHeight="1">
      <c r="B3" s="170"/>
      <c r="D3" s="761" t="s">
        <v>645</v>
      </c>
      <c r="E3" s="762"/>
      <c r="F3" s="762"/>
      <c r="G3" s="762"/>
      <c r="H3" s="762"/>
      <c r="I3" s="762"/>
      <c r="J3" s="762"/>
      <c r="K3" s="762"/>
      <c r="L3" s="762"/>
      <c r="M3" s="762"/>
      <c r="N3" s="762"/>
      <c r="O3" s="763"/>
    </row>
    <row r="4" spans="1:15" ht="6.75" customHeight="1">
      <c r="B4" s="170"/>
      <c r="C4" s="170"/>
      <c r="D4" s="702"/>
      <c r="E4" s="702"/>
      <c r="F4" s="702"/>
      <c r="G4" s="702"/>
      <c r="H4" s="702"/>
      <c r="I4" s="702"/>
      <c r="J4" s="702"/>
      <c r="K4" s="702"/>
      <c r="L4" s="702"/>
      <c r="M4" s="702"/>
      <c r="N4" s="702"/>
      <c r="O4" s="702"/>
    </row>
    <row r="5" spans="1:15" ht="12.75">
      <c r="B5" s="170"/>
      <c r="C5" s="170"/>
      <c r="D5" s="764" t="s">
        <v>681</v>
      </c>
      <c r="E5" s="764"/>
      <c r="F5" s="764"/>
      <c r="G5" s="764"/>
      <c r="H5" s="764"/>
      <c r="I5" s="764"/>
      <c r="J5" s="764"/>
      <c r="K5" s="764"/>
      <c r="L5" s="764"/>
      <c r="M5" s="764"/>
      <c r="N5" s="764"/>
      <c r="O5" s="764"/>
    </row>
    <row r="6" spans="1:15" ht="13.15" customHeight="1">
      <c r="B6" s="170"/>
      <c r="C6" s="170"/>
      <c r="D6" s="764" t="s">
        <v>689</v>
      </c>
      <c r="E6" s="764"/>
      <c r="F6" s="764"/>
      <c r="G6" s="764"/>
      <c r="H6" s="764"/>
      <c r="I6" s="764"/>
      <c r="J6" s="764"/>
      <c r="K6" s="764"/>
      <c r="L6" s="764"/>
      <c r="M6" s="764"/>
      <c r="N6" s="764"/>
      <c r="O6" s="764"/>
    </row>
    <row r="7" spans="1:15" ht="13.15" customHeight="1">
      <c r="B7" s="170"/>
      <c r="C7" s="170"/>
      <c r="D7" s="764" t="s">
        <v>683</v>
      </c>
      <c r="E7" s="764"/>
      <c r="F7" s="764"/>
      <c r="G7" s="764"/>
      <c r="H7" s="764"/>
      <c r="I7" s="764"/>
      <c r="J7" s="764"/>
      <c r="K7" s="764"/>
      <c r="L7" s="764"/>
      <c r="M7" s="764"/>
      <c r="N7" s="764"/>
      <c r="O7" s="764"/>
    </row>
    <row r="8" spans="1:15" ht="13.15" customHeight="1">
      <c r="B8" s="170"/>
      <c r="C8" s="170"/>
      <c r="D8" s="764" t="s">
        <v>684</v>
      </c>
      <c r="E8" s="764"/>
      <c r="F8" s="764"/>
      <c r="G8" s="764"/>
      <c r="H8" s="764"/>
      <c r="I8" s="764"/>
      <c r="J8" s="764"/>
      <c r="K8" s="764"/>
      <c r="L8" s="764"/>
      <c r="M8" s="764"/>
      <c r="N8" s="764"/>
      <c r="O8" s="764"/>
    </row>
    <row r="9" spans="1:15" ht="24" customHeight="1">
      <c r="B9" s="170"/>
      <c r="C9" s="170"/>
      <c r="D9" s="760" t="s">
        <v>661</v>
      </c>
      <c r="E9" s="760"/>
      <c r="F9" s="760"/>
      <c r="G9" s="760"/>
      <c r="H9" s="760"/>
      <c r="I9" s="760"/>
      <c r="J9" s="760"/>
      <c r="K9" s="760"/>
      <c r="L9" s="760"/>
      <c r="M9" s="760"/>
      <c r="N9" s="760"/>
      <c r="O9" s="760"/>
    </row>
    <row r="10" spans="1:15" ht="26.45" customHeight="1">
      <c r="B10" s="170"/>
      <c r="C10" s="170"/>
      <c r="D10" s="760" t="s">
        <v>662</v>
      </c>
      <c r="E10" s="760"/>
      <c r="F10" s="760"/>
      <c r="G10" s="760"/>
      <c r="H10" s="760"/>
      <c r="I10" s="760"/>
      <c r="J10" s="760"/>
      <c r="K10" s="760"/>
      <c r="L10" s="760"/>
      <c r="M10" s="760"/>
      <c r="N10" s="760"/>
      <c r="O10" s="760"/>
    </row>
    <row r="11" spans="1:15" ht="24" customHeight="1">
      <c r="B11" s="170"/>
      <c r="C11" s="170"/>
      <c r="D11" s="768" t="s">
        <v>2448</v>
      </c>
      <c r="E11" s="764"/>
      <c r="F11" s="764"/>
      <c r="G11" s="764"/>
      <c r="H11" s="764"/>
      <c r="I11" s="764"/>
      <c r="J11" s="764"/>
      <c r="K11" s="764"/>
      <c r="L11" s="764"/>
      <c r="M11" s="764"/>
      <c r="N11" s="764"/>
      <c r="O11" s="764"/>
    </row>
    <row r="12" spans="1:15" ht="12.75" hidden="1">
      <c r="B12" s="170"/>
      <c r="C12" s="170"/>
      <c r="D12" s="765"/>
      <c r="E12" s="765"/>
      <c r="F12" s="765"/>
      <c r="G12" s="765"/>
      <c r="H12" s="765"/>
      <c r="I12" s="765"/>
      <c r="J12" s="765"/>
      <c r="K12" s="765"/>
      <c r="L12" s="765"/>
      <c r="M12" s="765"/>
      <c r="N12" s="765"/>
      <c r="O12" s="765"/>
    </row>
    <row r="13" spans="1:15" ht="12.75" hidden="1">
      <c r="B13" s="170"/>
      <c r="C13" s="170"/>
      <c r="D13" s="765"/>
      <c r="E13" s="765"/>
      <c r="F13" s="765"/>
      <c r="G13" s="765"/>
      <c r="H13" s="765"/>
      <c r="I13" s="765"/>
      <c r="J13" s="765"/>
      <c r="K13" s="765"/>
      <c r="L13" s="765"/>
      <c r="M13" s="765"/>
      <c r="N13" s="765"/>
      <c r="O13" s="765"/>
    </row>
    <row r="14" spans="1:15" ht="12.75" hidden="1">
      <c r="B14" s="170"/>
      <c r="C14" s="170"/>
      <c r="D14" s="765"/>
      <c r="E14" s="765"/>
      <c r="F14" s="765"/>
      <c r="G14" s="765"/>
      <c r="H14" s="765"/>
      <c r="I14" s="765"/>
      <c r="J14" s="765"/>
      <c r="K14" s="765"/>
      <c r="L14" s="765"/>
      <c r="M14" s="765"/>
      <c r="N14" s="765"/>
      <c r="O14" s="765"/>
    </row>
    <row r="15" spans="1:15" ht="12.75" hidden="1">
      <c r="B15" s="170"/>
      <c r="C15" s="170"/>
      <c r="D15" s="703"/>
      <c r="E15" s="703"/>
      <c r="F15" s="703"/>
      <c r="G15" s="703"/>
      <c r="H15" s="703"/>
      <c r="I15" s="703"/>
      <c r="J15" s="703"/>
      <c r="K15" s="703"/>
      <c r="L15" s="703"/>
      <c r="M15" s="703"/>
      <c r="N15" s="703"/>
      <c r="O15" s="703"/>
    </row>
    <row r="16" spans="1:15" ht="12.75" hidden="1">
      <c r="B16" s="170"/>
      <c r="C16" s="170"/>
      <c r="D16" s="765"/>
      <c r="E16" s="765"/>
      <c r="F16" s="765"/>
      <c r="G16" s="765"/>
      <c r="H16" s="765"/>
      <c r="I16" s="765"/>
      <c r="J16" s="765"/>
      <c r="K16" s="765"/>
      <c r="L16" s="765"/>
      <c r="M16" s="765"/>
      <c r="N16" s="765"/>
      <c r="O16" s="765"/>
    </row>
    <row r="17" spans="2:15" ht="12.75" hidden="1">
      <c r="B17" s="170"/>
      <c r="C17" s="170"/>
      <c r="D17" s="702"/>
      <c r="E17" s="702"/>
      <c r="F17" s="702"/>
      <c r="G17" s="702"/>
      <c r="H17" s="702"/>
      <c r="I17" s="702"/>
      <c r="J17" s="702"/>
      <c r="K17" s="702"/>
      <c r="L17" s="702"/>
      <c r="M17" s="702"/>
      <c r="N17" s="702"/>
      <c r="O17" s="702"/>
    </row>
    <row r="18" spans="2:15" ht="12.75" hidden="1">
      <c r="B18" s="170"/>
      <c r="C18" s="170"/>
      <c r="D18" s="702"/>
      <c r="E18" s="702"/>
      <c r="F18" s="702"/>
      <c r="G18" s="702"/>
      <c r="H18" s="702"/>
      <c r="I18" s="702"/>
      <c r="J18" s="702"/>
      <c r="K18" s="702"/>
      <c r="L18" s="702"/>
      <c r="M18" s="702"/>
      <c r="N18" s="702"/>
      <c r="O18" s="702"/>
    </row>
    <row r="19" spans="2:15" ht="11.25" hidden="1" customHeight="1">
      <c r="B19" s="170"/>
      <c r="C19" s="170"/>
      <c r="D19" s="702"/>
      <c r="E19" s="702"/>
      <c r="F19" s="702"/>
      <c r="G19" s="702"/>
      <c r="H19" s="702"/>
      <c r="I19" s="702"/>
      <c r="J19" s="702"/>
      <c r="K19" s="702"/>
      <c r="L19" s="702"/>
      <c r="M19" s="702"/>
      <c r="N19" s="702"/>
      <c r="O19" s="702"/>
    </row>
    <row r="20" spans="2:15" ht="12.75" hidden="1">
      <c r="B20" s="170"/>
      <c r="C20" s="170"/>
      <c r="D20" s="702"/>
      <c r="E20" s="702"/>
      <c r="F20" s="702"/>
      <c r="G20" s="702"/>
      <c r="H20" s="702"/>
      <c r="I20" s="702"/>
      <c r="J20" s="702"/>
      <c r="K20" s="702"/>
      <c r="L20" s="702"/>
      <c r="M20" s="702"/>
      <c r="N20" s="702"/>
      <c r="O20" s="702"/>
    </row>
    <row r="21" spans="2:15" ht="12.75" hidden="1">
      <c r="D21" s="703"/>
      <c r="E21" s="703"/>
      <c r="F21" s="703"/>
      <c r="G21" s="703"/>
      <c r="H21" s="703"/>
      <c r="I21" s="703"/>
      <c r="J21" s="703"/>
      <c r="K21" s="703"/>
      <c r="L21" s="703"/>
      <c r="M21" s="703"/>
      <c r="N21" s="703"/>
      <c r="O21" s="703"/>
    </row>
    <row r="22" spans="2:15" ht="12" customHeight="1">
      <c r="B22" s="170"/>
      <c r="C22" s="170"/>
      <c r="D22" s="702"/>
      <c r="E22" s="702"/>
      <c r="F22" s="702"/>
      <c r="G22" s="702"/>
      <c r="H22" s="702"/>
      <c r="I22" s="702"/>
      <c r="J22" s="702"/>
      <c r="K22" s="702"/>
      <c r="L22" s="702"/>
      <c r="M22" s="702"/>
      <c r="N22" s="702"/>
      <c r="O22" s="702"/>
    </row>
    <row r="23" spans="2:15" ht="54" customHeight="1">
      <c r="B23" s="170"/>
      <c r="D23" s="766" t="s">
        <v>649</v>
      </c>
      <c r="E23" s="766"/>
      <c r="F23" s="766"/>
      <c r="G23" s="766"/>
      <c r="H23" s="766"/>
      <c r="I23" s="767"/>
      <c r="J23" s="767"/>
      <c r="K23" s="767"/>
      <c r="L23" s="767"/>
      <c r="M23" s="767"/>
      <c r="N23" s="767"/>
      <c r="O23" s="767"/>
    </row>
    <row r="24" spans="2:15" ht="47.45" customHeight="1">
      <c r="B24" s="170"/>
      <c r="C24" s="170"/>
      <c r="D24" s="170"/>
      <c r="E24" s="170"/>
      <c r="F24" s="170"/>
      <c r="G24" s="170"/>
      <c r="H24" s="170"/>
      <c r="I24" s="170"/>
      <c r="J24" s="170"/>
      <c r="K24" s="170"/>
      <c r="L24" s="170"/>
      <c r="M24" s="170"/>
      <c r="N24" s="170"/>
      <c r="O24" s="170"/>
    </row>
    <row r="30" spans="2:15" s="175" customFormat="1">
      <c r="B30" s="173"/>
      <c r="C30" s="174"/>
      <c r="D30" s="174"/>
    </row>
  </sheetData>
  <sheetProtection password="FA9C" sheet="1" objects="1" scenarios="1" formatColumns="0" formatRows="0"/>
  <mergeCells count="14">
    <mergeCell ref="D16:O16"/>
    <mergeCell ref="D23:H23"/>
    <mergeCell ref="I23:O23"/>
    <mergeCell ref="D10:O10"/>
    <mergeCell ref="D12:O12"/>
    <mergeCell ref="D13:O13"/>
    <mergeCell ref="D14:O14"/>
    <mergeCell ref="D11:O11"/>
    <mergeCell ref="D9:O9"/>
    <mergeCell ref="D3:O3"/>
    <mergeCell ref="D5:O5"/>
    <mergeCell ref="D6:O6"/>
    <mergeCell ref="D7:O7"/>
    <mergeCell ref="D8:O8"/>
  </mergeCells>
  <phoneticPr fontId="0" type="noConversion"/>
  <pageMargins left="0.75" right="0.75" top="1" bottom="1" header="0.5" footer="0.5"/>
  <pageSetup paperSize="9" orientation="portrait" r:id="rId1"/>
  <headerFooter alignWithMargins="0"/>
  <drawing r:id="rId2"/>
  <legacyDrawing r:id="rId3"/>
  <controls>
    <control shapeId="1000449" r:id="rId4" name="chkGetUpdates"/>
    <control shapeId="1000450" r:id="rId5" name="chkNoUpdates"/>
  </controls>
</worksheet>
</file>

<file path=xl/worksheets/sheet20.xml><?xml version="1.0" encoding="utf-8"?>
<worksheet xmlns="http://schemas.openxmlformats.org/spreadsheetml/2006/main" xmlns:r="http://schemas.openxmlformats.org/officeDocument/2006/relationships">
  <sheetPr codeName="HEAT_ConR_PERIOD3">
    <tabColor rgb="FF7030A0"/>
    <outlinePr summaryBelow="0"/>
  </sheetPr>
  <dimension ref="A1:AU1001"/>
  <sheetViews>
    <sheetView showGridLines="0" topLeftCell="AL8" workbookViewId="0"/>
  </sheetViews>
  <sheetFormatPr defaultRowHeight="11.25"/>
  <cols>
    <col min="1" max="9" width="4.5703125" style="47" hidden="1" customWidth="1"/>
    <col min="10" max="10" width="4.5703125" hidden="1" customWidth="1"/>
    <col min="11" max="36" width="4.5703125" style="47" hidden="1" customWidth="1"/>
    <col min="37" max="37" width="2.7109375" style="47"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4" width="0.140625" style="47" customWidth="1"/>
    <col min="45" max="46" width="2.7109375" style="47" customWidth="1"/>
    <col min="47" max="16384" width="9.140625" style="47"/>
  </cols>
  <sheetData>
    <row r="1" spans="10:45" hidden="1"/>
    <row r="2" spans="10:45" hidden="1"/>
    <row r="3" spans="10:45" hidden="1"/>
    <row r="4" spans="10:45" hidden="1"/>
    <row r="5" spans="10:45" hidden="1"/>
    <row r="6" spans="10:45" hidden="1"/>
    <row r="7" spans="10:45" hidden="1"/>
    <row r="8" spans="10:45" s="314" customFormat="1">
      <c r="J8" s="313"/>
      <c r="AM8" s="617"/>
      <c r="AN8" s="637">
        <f>IF(TARIFF_SETUP_METHOD_CODE="BY_PSEUDO_YEARS",12,4)</f>
        <v>4</v>
      </c>
      <c r="AO8" s="431" t="str">
        <f>"Необходимо указывать " &amp; IF(TARIFF_SETUP_METHOD_CODE="BY_PSEUDO_YEARS","общегодовые значения","значения по периодам")</f>
        <v>Необходимо указывать значения по периодам</v>
      </c>
      <c r="AP8" s="616" t="s">
        <v>2498</v>
      </c>
      <c r="AQ8" s="310"/>
      <c r="AR8" s="310"/>
      <c r="AS8" s="310"/>
    </row>
    <row r="9" spans="10:45"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на реализацию " &amp; RESOURCE_IDENTIFIER &amp; " конечным потребителям по муниципальному образованию - " &amp; IF(mo="","Не определено",mo)</f>
        <v>Фактические расходы организаций водоотведения на реализацию стоков конечным потребителям по муниципальному образованию - Село Булава</v>
      </c>
      <c r="AO9" s="917"/>
      <c r="AP9" s="917"/>
      <c r="AQ9" s="201"/>
      <c r="AR9" s="122"/>
      <c r="AS9" s="200"/>
    </row>
    <row r="10" spans="10:45" ht="12" customHeight="1">
      <c r="AM10" s="124"/>
      <c r="AN10" s="430" t="s">
        <v>2499</v>
      </c>
      <c r="AO10" s="221"/>
      <c r="AP10" s="122" t="s">
        <v>786</v>
      </c>
      <c r="AQ10" s="201"/>
      <c r="AR10" s="168" t="s">
        <v>720</v>
      </c>
      <c r="AS10" s="53"/>
    </row>
    <row r="11" spans="10:45" ht="12" customHeight="1">
      <c r="AL11" s="50"/>
      <c r="AM11" s="125"/>
      <c r="AN11" s="802" t="s">
        <v>641</v>
      </c>
      <c r="AO11" s="804" t="s">
        <v>787</v>
      </c>
      <c r="AP11" s="806" t="s">
        <v>778</v>
      </c>
      <c r="AQ11" s="206">
        <v>0</v>
      </c>
      <c r="AR11" s="206"/>
      <c r="AS11" s="220"/>
    </row>
    <row r="12" spans="10:45" ht="48" customHeight="1">
      <c r="AL12" s="50"/>
      <c r="AM12" s="125"/>
      <c r="AN12" s="802"/>
      <c r="AO12" s="804"/>
      <c r="AP12" s="806"/>
      <c r="AQ12" s="207"/>
      <c r="AR12" s="207"/>
      <c r="AS12" s="220"/>
    </row>
    <row r="13" spans="10:45" ht="11.25" customHeight="1">
      <c r="AL13" s="50"/>
      <c r="AM13" s="125"/>
      <c r="AN13" s="232"/>
      <c r="AO13" s="233" t="s">
        <v>788</v>
      </c>
      <c r="AP13" s="251"/>
      <c r="AQ13" s="207"/>
      <c r="AR13" s="207"/>
      <c r="AS13" s="220"/>
    </row>
    <row r="14" spans="10:45" ht="11.25" customHeight="1">
      <c r="AL14" s="50"/>
      <c r="AM14" s="125"/>
      <c r="AN14" s="232"/>
      <c r="AO14" s="490" t="str">
        <f>IF(CALC_IDENTIFIER="","",CALC_IDENTIFIER)</f>
        <v/>
      </c>
      <c r="AP14" s="251"/>
      <c r="AQ14" s="207"/>
      <c r="AR14" s="207"/>
      <c r="AS14" s="220"/>
    </row>
    <row r="15" spans="10:45">
      <c r="AL15" s="50"/>
      <c r="AM15" s="125"/>
      <c r="AN15" s="234" t="s">
        <v>642</v>
      </c>
      <c r="AO15" s="489" t="s">
        <v>789</v>
      </c>
      <c r="AP15" s="257">
        <f t="shared" ref="AP15:AP26" si="0">SUM(AQ15:AR15)</f>
        <v>0</v>
      </c>
      <c r="AQ15" s="258"/>
      <c r="AR15" s="258"/>
      <c r="AS15" s="127"/>
    </row>
    <row r="16" spans="10:45">
      <c r="AL16" s="50"/>
      <c r="AM16" s="125"/>
      <c r="AN16" s="234" t="s">
        <v>790</v>
      </c>
      <c r="AO16" s="224" t="s">
        <v>791</v>
      </c>
      <c r="AP16" s="257">
        <f t="shared" si="0"/>
        <v>0</v>
      </c>
      <c r="AQ16" s="258"/>
      <c r="AR16" s="258"/>
      <c r="AS16" s="127"/>
    </row>
    <row r="17" spans="1:47">
      <c r="AL17" s="50"/>
      <c r="AM17" s="125"/>
      <c r="AN17" s="236" t="s">
        <v>792</v>
      </c>
      <c r="AO17" s="237" t="s">
        <v>793</v>
      </c>
      <c r="AP17" s="257">
        <f t="shared" si="0"/>
        <v>0</v>
      </c>
      <c r="AQ17" s="258"/>
      <c r="AR17" s="258"/>
      <c r="AS17" s="127"/>
    </row>
    <row r="18" spans="1:47" hidden="1">
      <c r="AL18" s="50"/>
      <c r="AM18" s="125"/>
      <c r="AN18" s="222"/>
      <c r="AO18" s="715"/>
      <c r="AP18" s="260"/>
      <c r="AQ18" s="258"/>
      <c r="AR18" s="258"/>
      <c r="AS18" s="127"/>
    </row>
    <row r="19" spans="1:47" hidden="1">
      <c r="AL19" s="50"/>
      <c r="AM19" s="125"/>
      <c r="AN19" s="222"/>
      <c r="AO19" s="716"/>
      <c r="AP19" s="260"/>
      <c r="AQ19" s="258"/>
      <c r="AR19" s="258"/>
      <c r="AS19" s="127"/>
    </row>
    <row r="20" spans="1:47" ht="22.5">
      <c r="A20" s="51"/>
      <c r="B20" s="51"/>
      <c r="C20" s="51"/>
      <c r="D20" s="51"/>
      <c r="E20" s="51"/>
      <c r="F20" s="51"/>
      <c r="G20" s="51"/>
      <c r="H20" s="51"/>
      <c r="I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2"/>
      <c r="AM20" s="125"/>
      <c r="AN20" s="236" t="s">
        <v>63</v>
      </c>
      <c r="AO20" s="237" t="s">
        <v>64</v>
      </c>
      <c r="AP20" s="257">
        <f t="shared" si="0"/>
        <v>0</v>
      </c>
      <c r="AQ20" s="258"/>
      <c r="AR20" s="258"/>
      <c r="AS20" s="127"/>
    </row>
    <row r="21" spans="1:47">
      <c r="A21" s="51"/>
      <c r="B21" s="51"/>
      <c r="C21" s="51"/>
      <c r="D21" s="51"/>
      <c r="E21" s="51"/>
      <c r="F21" s="51"/>
      <c r="G21" s="51"/>
      <c r="H21" s="51"/>
      <c r="I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3"/>
      <c r="AM21" s="124"/>
      <c r="AN21" s="234" t="s">
        <v>751</v>
      </c>
      <c r="AO21" s="235" t="s">
        <v>65</v>
      </c>
      <c r="AP21" s="257">
        <f t="shared" si="0"/>
        <v>0</v>
      </c>
      <c r="AQ21" s="258"/>
      <c r="AR21" s="258"/>
      <c r="AS21" s="127"/>
    </row>
    <row r="22" spans="1:47">
      <c r="A22" s="51"/>
      <c r="B22" s="51"/>
      <c r="C22" s="51"/>
      <c r="D22" s="51"/>
      <c r="E22" s="51"/>
      <c r="F22" s="51"/>
      <c r="G22" s="51"/>
      <c r="H22" s="51"/>
      <c r="I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3"/>
      <c r="AM22" s="124"/>
      <c r="AN22" s="234" t="s">
        <v>66</v>
      </c>
      <c r="AO22" s="237" t="s">
        <v>67</v>
      </c>
      <c r="AP22" s="257">
        <f t="shared" si="0"/>
        <v>0</v>
      </c>
      <c r="AQ22" s="258"/>
      <c r="AR22" s="258"/>
      <c r="AS22" s="127"/>
    </row>
    <row r="23" spans="1:47">
      <c r="A23" s="51"/>
      <c r="B23" s="51"/>
      <c r="C23" s="51"/>
      <c r="D23" s="51"/>
      <c r="E23" s="51"/>
      <c r="F23" s="51"/>
      <c r="G23" s="51"/>
      <c r="H23" s="51"/>
      <c r="I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3"/>
      <c r="AM23" s="124"/>
      <c r="AN23" s="234" t="s">
        <v>69</v>
      </c>
      <c r="AO23" s="237" t="s">
        <v>70</v>
      </c>
      <c r="AP23" s="257">
        <f t="shared" si="0"/>
        <v>0</v>
      </c>
      <c r="AQ23" s="258"/>
      <c r="AR23" s="258"/>
      <c r="AS23" s="127"/>
    </row>
    <row r="24" spans="1:47">
      <c r="A24" s="51"/>
      <c r="B24" s="51"/>
      <c r="C24" s="51"/>
      <c r="D24" s="51"/>
      <c r="E24" s="51"/>
      <c r="F24" s="51"/>
      <c r="G24" s="51"/>
      <c r="H24" s="51"/>
      <c r="I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3"/>
      <c r="AM24" s="124"/>
      <c r="AN24" s="234" t="s">
        <v>72</v>
      </c>
      <c r="AO24" s="237" t="s">
        <v>73</v>
      </c>
      <c r="AP24" s="257">
        <f t="shared" si="0"/>
        <v>0</v>
      </c>
      <c r="AQ24" s="258"/>
      <c r="AR24" s="258"/>
      <c r="AS24" s="127"/>
    </row>
    <row r="25" spans="1:47">
      <c r="A25" s="51"/>
      <c r="B25" s="51"/>
      <c r="C25" s="51"/>
      <c r="D25" s="51"/>
      <c r="E25" s="51"/>
      <c r="F25" s="51"/>
      <c r="G25" s="51"/>
      <c r="H25" s="51"/>
      <c r="I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3"/>
      <c r="AM25" s="124"/>
      <c r="AN25" s="234" t="s">
        <v>752</v>
      </c>
      <c r="AO25" s="235" t="s">
        <v>74</v>
      </c>
      <c r="AP25" s="257">
        <f t="shared" si="0"/>
        <v>0</v>
      </c>
      <c r="AQ25" s="258"/>
      <c r="AR25" s="258"/>
      <c r="AS25" s="127"/>
    </row>
    <row r="26" spans="1:47">
      <c r="A26" s="51"/>
      <c r="B26" s="51"/>
      <c r="C26" s="51"/>
      <c r="D26" s="51"/>
      <c r="E26" s="51"/>
      <c r="F26" s="51"/>
      <c r="G26" s="51"/>
      <c r="H26" s="51"/>
      <c r="I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3"/>
      <c r="AM26" s="124"/>
      <c r="AN26" s="236" t="s">
        <v>760</v>
      </c>
      <c r="AO26" s="237" t="s">
        <v>76</v>
      </c>
      <c r="AP26" s="257">
        <f t="shared" si="0"/>
        <v>0</v>
      </c>
      <c r="AQ26" s="258"/>
      <c r="AR26" s="258"/>
      <c r="AS26" s="127"/>
    </row>
    <row r="27" spans="1:47" ht="22.5">
      <c r="A27" s="51"/>
      <c r="B27" s="51"/>
      <c r="C27" s="51"/>
      <c r="D27" s="51"/>
      <c r="E27" s="51"/>
      <c r="F27" s="51"/>
      <c r="G27" s="51"/>
      <c r="H27" s="51"/>
      <c r="I27" s="5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234" t="s">
        <v>753</v>
      </c>
      <c r="AO27" s="233" t="s">
        <v>211</v>
      </c>
      <c r="AP27" s="305">
        <f>SUM(AQ27:AR27)</f>
        <v>0</v>
      </c>
      <c r="AQ27" s="258"/>
      <c r="AR27" s="258"/>
      <c r="AS27" s="202"/>
      <c r="AT27" s="48"/>
      <c r="AU27" s="48"/>
    </row>
    <row r="28" spans="1:47">
      <c r="A28" s="51"/>
      <c r="B28" s="51"/>
      <c r="C28" s="51"/>
      <c r="D28" s="51"/>
      <c r="E28" s="51"/>
      <c r="F28" s="51"/>
      <c r="G28" s="51"/>
      <c r="H28" s="51"/>
      <c r="I28" s="5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451" t="s">
        <v>766</v>
      </c>
      <c r="AO28" s="453" t="s">
        <v>78</v>
      </c>
      <c r="AP28" s="305">
        <f>SUM(AQ28:AR28)</f>
        <v>0</v>
      </c>
      <c r="AQ28" s="258"/>
      <c r="AR28" s="258"/>
      <c r="AS28" s="202"/>
      <c r="AT28" s="48"/>
      <c r="AU28" s="48"/>
    </row>
    <row r="29" spans="1:47">
      <c r="A29" s="51"/>
      <c r="B29" s="51"/>
      <c r="C29" s="51"/>
      <c r="D29" s="51"/>
      <c r="E29" s="51"/>
      <c r="F29" s="51"/>
      <c r="G29" s="51"/>
      <c r="H29" s="51"/>
      <c r="I29" s="5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451" t="s">
        <v>768</v>
      </c>
      <c r="AO29" s="454" t="s">
        <v>212</v>
      </c>
      <c r="AP29" s="305">
        <f>SUM(AQ29:AR29)</f>
        <v>0</v>
      </c>
      <c r="AQ29" s="258"/>
      <c r="AR29" s="258"/>
      <c r="AS29" s="202"/>
      <c r="AT29" s="48"/>
      <c r="AU29" s="48"/>
    </row>
    <row r="30" spans="1:47">
      <c r="A30" s="51"/>
      <c r="B30" s="51"/>
      <c r="C30" s="51"/>
      <c r="D30" s="51"/>
      <c r="E30" s="51"/>
      <c r="F30" s="51"/>
      <c r="G30" s="51"/>
      <c r="H30" s="51"/>
      <c r="I30" s="5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451" t="s">
        <v>132</v>
      </c>
      <c r="AO30" s="455" t="s">
        <v>79</v>
      </c>
      <c r="AP30" s="305">
        <f>SUM(AQ30:AR30)</f>
        <v>0</v>
      </c>
      <c r="AQ30" s="258"/>
      <c r="AR30" s="258"/>
      <c r="AS30" s="202"/>
      <c r="AT30" s="48"/>
      <c r="AU30" s="48"/>
    </row>
    <row r="31" spans="1:47" hidden="1">
      <c r="A31" s="51"/>
      <c r="B31" s="51"/>
      <c r="C31" s="51"/>
      <c r="D31" s="51"/>
      <c r="E31" s="51"/>
      <c r="F31" s="51"/>
      <c r="G31" s="51"/>
      <c r="H31" s="51"/>
      <c r="I31" s="5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451"/>
      <c r="AO31" s="455"/>
      <c r="AP31" s="287"/>
      <c r="AQ31" s="258"/>
      <c r="AR31" s="258"/>
      <c r="AS31" s="202"/>
      <c r="AT31" s="48"/>
      <c r="AU31" s="48"/>
    </row>
    <row r="32" spans="1:47" hidden="1">
      <c r="A32" s="51"/>
      <c r="B32" s="51"/>
      <c r="C32" s="51"/>
      <c r="D32" s="51"/>
      <c r="E32" s="51"/>
      <c r="F32" s="51"/>
      <c r="G32" s="51"/>
      <c r="H32" s="51"/>
      <c r="I32" s="5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451"/>
      <c r="AO32" s="455"/>
      <c r="AP32" s="287"/>
      <c r="AQ32" s="258"/>
      <c r="AR32" s="258"/>
      <c r="AS32" s="202"/>
      <c r="AT32" s="48"/>
      <c r="AU32" s="48"/>
    </row>
    <row r="33" spans="1:47" hidden="1">
      <c r="A33" s="51"/>
      <c r="B33" s="51"/>
      <c r="C33" s="51"/>
      <c r="D33" s="51"/>
      <c r="E33" s="51"/>
      <c r="F33" s="51"/>
      <c r="G33" s="51"/>
      <c r="H33" s="51"/>
      <c r="I33" s="5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451"/>
      <c r="AO33" s="455"/>
      <c r="AP33" s="287"/>
      <c r="AQ33" s="258"/>
      <c r="AR33" s="258"/>
      <c r="AS33" s="202"/>
      <c r="AT33" s="48"/>
      <c r="AU33" s="48"/>
    </row>
    <row r="34" spans="1:47" hidden="1">
      <c r="A34" s="51"/>
      <c r="B34" s="51"/>
      <c r="C34" s="51"/>
      <c r="D34" s="51"/>
      <c r="E34" s="51"/>
      <c r="F34" s="51"/>
      <c r="G34" s="51"/>
      <c r="H34" s="51"/>
      <c r="I34" s="5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451"/>
      <c r="AO34" s="455"/>
      <c r="AP34" s="287"/>
      <c r="AQ34" s="258"/>
      <c r="AR34" s="258"/>
      <c r="AS34" s="202"/>
      <c r="AT34" s="48"/>
      <c r="AU34" s="48"/>
    </row>
    <row r="35" spans="1:47" hidden="1">
      <c r="A35" s="51"/>
      <c r="B35" s="51"/>
      <c r="C35" s="51"/>
      <c r="D35" s="51"/>
      <c r="E35" s="51"/>
      <c r="F35" s="51"/>
      <c r="G35" s="51"/>
      <c r="H35" s="51"/>
      <c r="I35" s="5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451"/>
      <c r="AO35" s="455"/>
      <c r="AP35" s="287"/>
      <c r="AQ35" s="258"/>
      <c r="AR35" s="258"/>
      <c r="AS35" s="202"/>
      <c r="AT35" s="48"/>
      <c r="AU35" s="48"/>
    </row>
    <row r="36" spans="1:47" hidden="1">
      <c r="A36" s="51"/>
      <c r="B36" s="51"/>
      <c r="C36" s="51"/>
      <c r="D36" s="51"/>
      <c r="E36" s="51"/>
      <c r="F36" s="51"/>
      <c r="G36" s="51"/>
      <c r="H36" s="51"/>
      <c r="I36" s="5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451"/>
      <c r="AO36" s="455"/>
      <c r="AP36" s="287"/>
      <c r="AQ36" s="258"/>
      <c r="AR36" s="258"/>
      <c r="AS36" s="202"/>
      <c r="AT36" s="48"/>
      <c r="AU36" s="48"/>
    </row>
    <row r="37" spans="1:47" hidden="1">
      <c r="A37" s="51"/>
      <c r="B37" s="51"/>
      <c r="C37" s="51"/>
      <c r="D37" s="51"/>
      <c r="E37" s="51"/>
      <c r="F37" s="51"/>
      <c r="G37" s="51"/>
      <c r="H37" s="51"/>
      <c r="I37" s="5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451"/>
      <c r="AO37" s="455"/>
      <c r="AP37" s="287"/>
      <c r="AQ37" s="258"/>
      <c r="AR37" s="258"/>
      <c r="AS37" s="202"/>
      <c r="AT37" s="48"/>
      <c r="AU37" s="48"/>
    </row>
    <row r="38" spans="1:47">
      <c r="A38" s="51"/>
      <c r="B38" s="51"/>
      <c r="C38" s="51"/>
      <c r="D38" s="51"/>
      <c r="E38" s="51"/>
      <c r="F38" s="51"/>
      <c r="G38" s="51"/>
      <c r="H38" s="51"/>
      <c r="I38" s="5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451" t="s">
        <v>80</v>
      </c>
      <c r="AO38" s="455" t="s">
        <v>81</v>
      </c>
      <c r="AP38" s="305">
        <f>SUM(AQ38:AR38)</f>
        <v>0</v>
      </c>
      <c r="AQ38" s="258"/>
      <c r="AR38" s="258"/>
      <c r="AS38" s="202"/>
      <c r="AT38" s="48"/>
      <c r="AU38" s="48"/>
    </row>
    <row r="39" spans="1:47" hidden="1">
      <c r="A39" s="51"/>
      <c r="B39" s="51"/>
      <c r="C39" s="51"/>
      <c r="D39" s="51"/>
      <c r="E39" s="51"/>
      <c r="F39" s="51"/>
      <c r="G39" s="51"/>
      <c r="H39" s="51"/>
      <c r="I39" s="5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451"/>
      <c r="AO39" s="455"/>
      <c r="AP39" s="287"/>
      <c r="AQ39" s="258"/>
      <c r="AR39" s="258"/>
      <c r="AS39" s="202"/>
      <c r="AT39" s="48"/>
      <c r="AU39" s="48"/>
    </row>
    <row r="40" spans="1:47" hidden="1">
      <c r="A40" s="51"/>
      <c r="B40" s="51"/>
      <c r="C40" s="51"/>
      <c r="D40" s="51"/>
      <c r="E40" s="51"/>
      <c r="F40" s="51"/>
      <c r="G40" s="51"/>
      <c r="H40" s="51"/>
      <c r="I40" s="5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451"/>
      <c r="AO40" s="455"/>
      <c r="AP40" s="287"/>
      <c r="AQ40" s="258"/>
      <c r="AR40" s="258"/>
      <c r="AS40" s="202"/>
      <c r="AT40" s="48"/>
      <c r="AU40" s="48"/>
    </row>
    <row r="41" spans="1:47" hidden="1">
      <c r="A41" s="51"/>
      <c r="B41" s="51"/>
      <c r="C41" s="51"/>
      <c r="D41" s="51"/>
      <c r="E41" s="51"/>
      <c r="F41" s="51"/>
      <c r="G41" s="51"/>
      <c r="H41" s="51"/>
      <c r="I41" s="5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451"/>
      <c r="AO41" s="455"/>
      <c r="AP41" s="287"/>
      <c r="AQ41" s="258"/>
      <c r="AR41" s="258"/>
      <c r="AS41" s="202"/>
      <c r="AT41" s="48"/>
      <c r="AU41" s="48"/>
    </row>
    <row r="42" spans="1:47" hidden="1">
      <c r="A42" s="51"/>
      <c r="B42" s="51"/>
      <c r="C42" s="51"/>
      <c r="D42" s="51"/>
      <c r="E42" s="51"/>
      <c r="F42" s="51"/>
      <c r="G42" s="51"/>
      <c r="H42" s="51"/>
      <c r="I42" s="5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451"/>
      <c r="AO42" s="455"/>
      <c r="AP42" s="287"/>
      <c r="AQ42" s="258"/>
      <c r="AR42" s="258"/>
      <c r="AS42" s="202"/>
      <c r="AT42" s="48"/>
      <c r="AU42" s="48"/>
    </row>
    <row r="43" spans="1:47" hidden="1">
      <c r="A43" s="51"/>
      <c r="B43" s="51"/>
      <c r="C43" s="51"/>
      <c r="D43" s="51"/>
      <c r="E43" s="51"/>
      <c r="F43" s="51"/>
      <c r="G43" s="51"/>
      <c r="H43" s="51"/>
      <c r="I43" s="5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451"/>
      <c r="AO43" s="455"/>
      <c r="AP43" s="287"/>
      <c r="AQ43" s="258"/>
      <c r="AR43" s="258"/>
      <c r="AS43" s="202"/>
      <c r="AT43" s="48"/>
      <c r="AU43" s="48"/>
    </row>
    <row r="44" spans="1:47" hidden="1">
      <c r="A44" s="51"/>
      <c r="B44" s="51"/>
      <c r="C44" s="51"/>
      <c r="D44" s="51"/>
      <c r="E44" s="51"/>
      <c r="F44" s="51"/>
      <c r="G44" s="51"/>
      <c r="H44" s="51"/>
      <c r="I44" s="5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451"/>
      <c r="AO44" s="455"/>
      <c r="AP44" s="287"/>
      <c r="AQ44" s="258"/>
      <c r="AR44" s="258"/>
      <c r="AS44" s="202"/>
      <c r="AT44" s="48"/>
      <c r="AU44" s="48"/>
    </row>
    <row r="45" spans="1:47" hidden="1">
      <c r="A45" s="51"/>
      <c r="B45" s="51"/>
      <c r="C45" s="51"/>
      <c r="D45" s="51"/>
      <c r="E45" s="51"/>
      <c r="F45" s="51"/>
      <c r="G45" s="51"/>
      <c r="H45" s="51"/>
      <c r="I45" s="5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451"/>
      <c r="AO45" s="455"/>
      <c r="AP45" s="287"/>
      <c r="AQ45" s="258"/>
      <c r="AR45" s="258"/>
      <c r="AS45" s="202"/>
      <c r="AT45" s="48"/>
      <c r="AU45" s="48"/>
    </row>
    <row r="46" spans="1:47">
      <c r="A46" s="51"/>
      <c r="B46" s="51"/>
      <c r="C46" s="51"/>
      <c r="D46" s="51"/>
      <c r="E46" s="51"/>
      <c r="F46" s="51"/>
      <c r="G46" s="51"/>
      <c r="H46" s="51"/>
      <c r="I46" s="5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451" t="s">
        <v>82</v>
      </c>
      <c r="AO46" s="455" t="s">
        <v>83</v>
      </c>
      <c r="AP46" s="305">
        <f t="shared" ref="AP46:AP59" si="1">SUM(AQ46:AR46)</f>
        <v>0</v>
      </c>
      <c r="AQ46" s="258"/>
      <c r="AR46" s="258"/>
      <c r="AS46" s="202"/>
      <c r="AT46" s="48"/>
      <c r="AU46" s="48"/>
    </row>
    <row r="47" spans="1:47">
      <c r="A47" s="51"/>
      <c r="B47" s="51"/>
      <c r="C47" s="51"/>
      <c r="D47" s="51"/>
      <c r="E47" s="51"/>
      <c r="F47" s="51"/>
      <c r="G47" s="51"/>
      <c r="H47" s="51"/>
      <c r="I47" s="5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451" t="s">
        <v>84</v>
      </c>
      <c r="AO47" s="457" t="s">
        <v>85</v>
      </c>
      <c r="AP47" s="305">
        <f t="shared" si="1"/>
        <v>0</v>
      </c>
      <c r="AQ47" s="258"/>
      <c r="AR47" s="258"/>
      <c r="AS47" s="202"/>
      <c r="AT47" s="48"/>
      <c r="AU47" s="48"/>
    </row>
    <row r="48" spans="1:47">
      <c r="A48" s="51"/>
      <c r="B48" s="51"/>
      <c r="C48" s="51"/>
      <c r="D48" s="51"/>
      <c r="E48" s="51"/>
      <c r="F48" s="51"/>
      <c r="G48" s="51"/>
      <c r="H48" s="51"/>
      <c r="I48" s="5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451" t="s">
        <v>86</v>
      </c>
      <c r="AO48" s="457" t="s">
        <v>87</v>
      </c>
      <c r="AP48" s="305">
        <f t="shared" si="1"/>
        <v>0</v>
      </c>
      <c r="AQ48" s="258"/>
      <c r="AR48" s="258"/>
      <c r="AS48" s="202"/>
      <c r="AT48" s="48"/>
      <c r="AU48" s="48"/>
    </row>
    <row r="49" spans="1:47">
      <c r="A49" s="51"/>
      <c r="B49" s="51"/>
      <c r="C49" s="51"/>
      <c r="D49" s="51"/>
      <c r="E49" s="51"/>
      <c r="F49" s="51"/>
      <c r="G49" s="51"/>
      <c r="H49" s="51"/>
      <c r="I49" s="5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451" t="s">
        <v>88</v>
      </c>
      <c r="AO49" s="457" t="s">
        <v>89</v>
      </c>
      <c r="AP49" s="305">
        <f t="shared" si="1"/>
        <v>0</v>
      </c>
      <c r="AQ49" s="258"/>
      <c r="AR49" s="258"/>
      <c r="AS49" s="202"/>
      <c r="AT49" s="48"/>
      <c r="AU49" s="48"/>
    </row>
    <row r="50" spans="1:47">
      <c r="A50" s="51"/>
      <c r="B50" s="51"/>
      <c r="C50" s="51"/>
      <c r="D50" s="51"/>
      <c r="E50" s="51"/>
      <c r="F50" s="51"/>
      <c r="G50" s="51"/>
      <c r="H50" s="51"/>
      <c r="I50" s="5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451" t="s">
        <v>90</v>
      </c>
      <c r="AO50" s="457" t="s">
        <v>91</v>
      </c>
      <c r="AP50" s="305">
        <f t="shared" si="1"/>
        <v>0</v>
      </c>
      <c r="AQ50" s="258"/>
      <c r="AR50" s="258"/>
      <c r="AS50" s="202"/>
      <c r="AT50" s="48"/>
      <c r="AU50" s="48"/>
    </row>
    <row r="51" spans="1:47">
      <c r="A51" s="51"/>
      <c r="B51" s="51"/>
      <c r="C51" s="51"/>
      <c r="D51" s="51"/>
      <c r="E51" s="51"/>
      <c r="F51" s="51"/>
      <c r="G51" s="51"/>
      <c r="H51" s="51"/>
      <c r="I51" s="5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451" t="s">
        <v>92</v>
      </c>
      <c r="AO51" s="457" t="s">
        <v>93</v>
      </c>
      <c r="AP51" s="305">
        <f t="shared" si="1"/>
        <v>0</v>
      </c>
      <c r="AQ51" s="258"/>
      <c r="AR51" s="258"/>
      <c r="AS51" s="202"/>
      <c r="AT51" s="48"/>
      <c r="AU51" s="48"/>
    </row>
    <row r="52" spans="1:47">
      <c r="A52" s="51"/>
      <c r="B52" s="51"/>
      <c r="C52" s="51"/>
      <c r="D52" s="51"/>
      <c r="E52" s="51"/>
      <c r="F52" s="51"/>
      <c r="G52" s="51"/>
      <c r="H52" s="51"/>
      <c r="I52" s="5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451" t="s">
        <v>94</v>
      </c>
      <c r="AO52" s="457" t="s">
        <v>95</v>
      </c>
      <c r="AP52" s="305">
        <f t="shared" si="1"/>
        <v>0</v>
      </c>
      <c r="AQ52" s="258"/>
      <c r="AR52" s="258"/>
      <c r="AS52" s="202"/>
      <c r="AT52" s="48"/>
      <c r="AU52" s="48"/>
    </row>
    <row r="53" spans="1:47">
      <c r="A53" s="51"/>
      <c r="B53" s="51"/>
      <c r="C53" s="51"/>
      <c r="D53" s="51"/>
      <c r="E53" s="51"/>
      <c r="F53" s="51"/>
      <c r="G53" s="51"/>
      <c r="H53" s="51"/>
      <c r="I53" s="5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451" t="s">
        <v>2975</v>
      </c>
      <c r="AO53" s="457" t="s">
        <v>2976</v>
      </c>
      <c r="AP53" s="305">
        <f t="shared" si="1"/>
        <v>0</v>
      </c>
      <c r="AQ53" s="258"/>
      <c r="AR53" s="258"/>
      <c r="AS53" s="202"/>
      <c r="AT53" s="48"/>
      <c r="AU53" s="48"/>
    </row>
    <row r="54" spans="1:47">
      <c r="A54" s="51"/>
      <c r="B54" s="51"/>
      <c r="C54" s="51"/>
      <c r="D54" s="51"/>
      <c r="E54" s="51"/>
      <c r="F54" s="51"/>
      <c r="G54" s="51"/>
      <c r="H54" s="51"/>
      <c r="I54" s="5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451" t="s">
        <v>2977</v>
      </c>
      <c r="AO54" s="457" t="s">
        <v>2978</v>
      </c>
      <c r="AP54" s="305">
        <f t="shared" si="1"/>
        <v>0</v>
      </c>
      <c r="AQ54" s="258"/>
      <c r="AR54" s="258"/>
      <c r="AS54" s="202"/>
      <c r="AT54" s="48"/>
      <c r="AU54" s="48"/>
    </row>
    <row r="55" spans="1:47">
      <c r="A55" s="51"/>
      <c r="B55" s="51"/>
      <c r="C55" s="51"/>
      <c r="D55" s="51"/>
      <c r="E55" s="51"/>
      <c r="F55" s="51"/>
      <c r="G55" s="51"/>
      <c r="H55" s="51"/>
      <c r="I55" s="5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451" t="s">
        <v>2979</v>
      </c>
      <c r="AO55" s="457" t="s">
        <v>2980</v>
      </c>
      <c r="AP55" s="305">
        <f t="shared" si="1"/>
        <v>0</v>
      </c>
      <c r="AQ55" s="258"/>
      <c r="AR55" s="258"/>
      <c r="AS55" s="202"/>
      <c r="AT55" s="48"/>
      <c r="AU55" s="48"/>
    </row>
    <row r="56" spans="1:47">
      <c r="A56" s="51"/>
      <c r="B56" s="51"/>
      <c r="C56" s="51"/>
      <c r="D56" s="51"/>
      <c r="E56" s="51"/>
      <c r="F56" s="51"/>
      <c r="G56" s="51"/>
      <c r="H56" s="51"/>
      <c r="I56" s="5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451" t="s">
        <v>2981</v>
      </c>
      <c r="AO56" s="457" t="s">
        <v>2982</v>
      </c>
      <c r="AP56" s="305">
        <f t="shared" si="1"/>
        <v>0</v>
      </c>
      <c r="AQ56" s="258"/>
      <c r="AR56" s="258"/>
      <c r="AS56" s="202"/>
      <c r="AT56" s="48"/>
      <c r="AU56" s="48"/>
    </row>
    <row r="57" spans="1:47">
      <c r="A57" s="51"/>
      <c r="B57" s="51"/>
      <c r="C57" s="51"/>
      <c r="D57" s="51"/>
      <c r="E57" s="51"/>
      <c r="F57" s="51"/>
      <c r="G57" s="51"/>
      <c r="H57" s="51"/>
      <c r="I57" s="5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451" t="s">
        <v>2983</v>
      </c>
      <c r="AO57" s="224" t="s">
        <v>2984</v>
      </c>
      <c r="AP57" s="305">
        <f t="shared" si="1"/>
        <v>0</v>
      </c>
      <c r="AQ57" s="258"/>
      <c r="AR57" s="258"/>
      <c r="AS57" s="202"/>
      <c r="AT57" s="48"/>
      <c r="AU57" s="48"/>
    </row>
    <row r="58" spans="1:47">
      <c r="A58" s="51"/>
      <c r="B58" s="51"/>
      <c r="C58" s="51"/>
      <c r="D58" s="51"/>
      <c r="E58" s="51"/>
      <c r="F58" s="51"/>
      <c r="G58" s="51"/>
      <c r="H58" s="51"/>
      <c r="I58" s="5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451" t="s">
        <v>2989</v>
      </c>
      <c r="AO58" s="224" t="s">
        <v>2990</v>
      </c>
      <c r="AP58" s="305">
        <f t="shared" si="1"/>
        <v>0</v>
      </c>
      <c r="AQ58" s="258"/>
      <c r="AR58" s="258"/>
      <c r="AS58" s="202"/>
      <c r="AT58" s="48"/>
      <c r="AU58" s="48"/>
    </row>
    <row r="59" spans="1:47">
      <c r="A59" s="51"/>
      <c r="B59" s="51"/>
      <c r="C59" s="51"/>
      <c r="D59" s="51"/>
      <c r="E59" s="51"/>
      <c r="F59" s="51"/>
      <c r="G59" s="51"/>
      <c r="H59" s="51"/>
      <c r="I59" s="5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451" t="s">
        <v>292</v>
      </c>
      <c r="AO59" s="442" t="s">
        <v>291</v>
      </c>
      <c r="AP59" s="305">
        <f t="shared" si="1"/>
        <v>0</v>
      </c>
      <c r="AQ59" s="258"/>
      <c r="AR59" s="258"/>
      <c r="AS59" s="202"/>
      <c r="AT59" s="48"/>
      <c r="AU59" s="48"/>
    </row>
    <row r="60" spans="1:47" hidden="1">
      <c r="A60" s="51"/>
      <c r="B60" s="51"/>
      <c r="C60" s="51"/>
      <c r="D60" s="51"/>
      <c r="E60" s="51"/>
      <c r="F60" s="51"/>
      <c r="G60" s="51"/>
      <c r="H60" s="51"/>
      <c r="I60" s="5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239"/>
      <c r="AO60" s="225"/>
      <c r="AP60" s="287"/>
      <c r="AQ60" s="258"/>
      <c r="AR60" s="258"/>
      <c r="AS60" s="202"/>
      <c r="AT60" s="48"/>
      <c r="AU60" s="48"/>
    </row>
    <row r="61" spans="1:47" hidden="1">
      <c r="A61" s="51"/>
      <c r="B61" s="51"/>
      <c r="C61" s="51"/>
      <c r="D61" s="51"/>
      <c r="E61" s="51"/>
      <c r="F61" s="51"/>
      <c r="G61" s="51"/>
      <c r="H61" s="51"/>
      <c r="I61" s="5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239"/>
      <c r="AO61" s="225"/>
      <c r="AP61" s="287"/>
      <c r="AQ61" s="258"/>
      <c r="AR61" s="258"/>
      <c r="AS61" s="202"/>
      <c r="AT61" s="48"/>
      <c r="AU61" s="48"/>
    </row>
    <row r="62" spans="1:47" hidden="1">
      <c r="A62" s="51"/>
      <c r="B62" s="51"/>
      <c r="C62" s="51"/>
      <c r="D62" s="51"/>
      <c r="E62" s="51"/>
      <c r="F62" s="51"/>
      <c r="G62" s="51"/>
      <c r="H62" s="51"/>
      <c r="I62" s="5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239"/>
      <c r="AO62" s="225"/>
      <c r="AP62" s="287"/>
      <c r="AQ62" s="258"/>
      <c r="AR62" s="258"/>
      <c r="AS62" s="202"/>
      <c r="AT62" s="48"/>
      <c r="AU62" s="48"/>
    </row>
    <row r="63" spans="1:47" hidden="1">
      <c r="A63" s="51"/>
      <c r="B63" s="51"/>
      <c r="C63" s="51"/>
      <c r="D63" s="51"/>
      <c r="E63" s="51"/>
      <c r="F63" s="51"/>
      <c r="G63" s="51"/>
      <c r="H63" s="51"/>
      <c r="I63" s="5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239"/>
      <c r="AO63" s="225"/>
      <c r="AP63" s="287"/>
      <c r="AQ63" s="258"/>
      <c r="AR63" s="258"/>
      <c r="AS63" s="202"/>
      <c r="AT63" s="48"/>
      <c r="AU63" s="48"/>
    </row>
    <row r="64" spans="1:47" hidden="1">
      <c r="A64" s="51"/>
      <c r="B64" s="51"/>
      <c r="C64" s="51"/>
      <c r="D64" s="51"/>
      <c r="E64" s="51"/>
      <c r="F64" s="51"/>
      <c r="G64" s="51"/>
      <c r="H64" s="51"/>
      <c r="I64" s="5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239"/>
      <c r="AO64" s="225"/>
      <c r="AP64" s="287"/>
      <c r="AQ64" s="258"/>
      <c r="AR64" s="258"/>
      <c r="AS64" s="202"/>
      <c r="AT64" s="48"/>
      <c r="AU64" s="48"/>
    </row>
    <row r="65" spans="1:47" hidden="1">
      <c r="A65" s="51"/>
      <c r="B65" s="51"/>
      <c r="C65" s="51"/>
      <c r="D65" s="51"/>
      <c r="E65" s="51"/>
      <c r="F65" s="51"/>
      <c r="G65" s="51"/>
      <c r="H65" s="51"/>
      <c r="I65" s="5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239"/>
      <c r="AO65" s="225"/>
      <c r="AP65" s="287"/>
      <c r="AQ65" s="258"/>
      <c r="AR65" s="258"/>
      <c r="AS65" s="202"/>
      <c r="AT65" s="48"/>
      <c r="AU65" s="48"/>
    </row>
    <row r="66" spans="1:47" hidden="1">
      <c r="A66" s="51"/>
      <c r="B66" s="51"/>
      <c r="C66" s="51"/>
      <c r="D66" s="51"/>
      <c r="E66" s="51"/>
      <c r="F66" s="51"/>
      <c r="G66" s="51"/>
      <c r="H66" s="51"/>
      <c r="I66" s="5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239"/>
      <c r="AO66" s="225"/>
      <c r="AP66" s="287"/>
      <c r="AQ66" s="258"/>
      <c r="AR66" s="258"/>
      <c r="AS66" s="202"/>
      <c r="AT66" s="48"/>
      <c r="AU66" s="48"/>
    </row>
    <row r="67" spans="1:47" hidden="1">
      <c r="A67" s="51"/>
      <c r="B67" s="51"/>
      <c r="C67" s="51"/>
      <c r="D67" s="51"/>
      <c r="E67" s="51"/>
      <c r="F67" s="51"/>
      <c r="G67" s="51"/>
      <c r="H67" s="51"/>
      <c r="I67" s="5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239"/>
      <c r="AO67" s="225"/>
      <c r="AP67" s="287"/>
      <c r="AQ67" s="258"/>
      <c r="AR67" s="258"/>
      <c r="AS67" s="202"/>
      <c r="AT67" s="48"/>
      <c r="AU67" s="48"/>
    </row>
    <row r="68" spans="1:47" hidden="1">
      <c r="A68" s="51"/>
      <c r="B68" s="51"/>
      <c r="C68" s="51"/>
      <c r="D68" s="51"/>
      <c r="E68" s="51"/>
      <c r="F68" s="51"/>
      <c r="G68" s="51"/>
      <c r="H68" s="51"/>
      <c r="I68" s="5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239"/>
      <c r="AO68" s="225"/>
      <c r="AP68" s="287"/>
      <c r="AQ68" s="258"/>
      <c r="AR68" s="258"/>
      <c r="AS68" s="202"/>
      <c r="AT68" s="48"/>
      <c r="AU68" s="48"/>
    </row>
    <row r="69" spans="1:47" hidden="1">
      <c r="A69" s="51"/>
      <c r="B69" s="51"/>
      <c r="C69" s="51"/>
      <c r="D69" s="51"/>
      <c r="E69" s="51"/>
      <c r="F69" s="51"/>
      <c r="G69" s="51"/>
      <c r="H69" s="51"/>
      <c r="I69" s="5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239"/>
      <c r="AO69" s="225"/>
      <c r="AP69" s="287"/>
      <c r="AQ69" s="258"/>
      <c r="AR69" s="258"/>
      <c r="AS69" s="202"/>
      <c r="AT69" s="48"/>
      <c r="AU69" s="48"/>
    </row>
    <row r="70" spans="1:47" hidden="1">
      <c r="A70" s="51"/>
      <c r="B70" s="51"/>
      <c r="C70" s="51"/>
      <c r="D70" s="51"/>
      <c r="E70" s="51"/>
      <c r="F70" s="51"/>
      <c r="G70" s="51"/>
      <c r="H70" s="51"/>
      <c r="I70" s="5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239"/>
      <c r="AO70" s="225"/>
      <c r="AP70" s="287"/>
      <c r="AQ70" s="258"/>
      <c r="AR70" s="258"/>
      <c r="AS70" s="202"/>
      <c r="AT70" s="48"/>
      <c r="AU70" s="48"/>
    </row>
    <row r="71" spans="1:47" hidden="1">
      <c r="A71" s="51"/>
      <c r="B71" s="51"/>
      <c r="C71" s="51"/>
      <c r="D71" s="51"/>
      <c r="E71" s="51"/>
      <c r="F71" s="51"/>
      <c r="G71" s="51"/>
      <c r="H71" s="51"/>
      <c r="I71" s="5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239"/>
      <c r="AO71" s="225"/>
      <c r="AP71" s="287"/>
      <c r="AQ71" s="258"/>
      <c r="AR71" s="258"/>
      <c r="AS71" s="202"/>
      <c r="AT71" s="48"/>
      <c r="AU71" s="48"/>
    </row>
    <row r="72" spans="1:47" hidden="1">
      <c r="A72" s="51"/>
      <c r="B72" s="51"/>
      <c r="C72" s="51"/>
      <c r="D72" s="51"/>
      <c r="E72" s="51"/>
      <c r="F72" s="51"/>
      <c r="G72" s="51"/>
      <c r="H72" s="51"/>
      <c r="I72" s="5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239"/>
      <c r="AO72" s="225"/>
      <c r="AP72" s="287"/>
      <c r="AQ72" s="258"/>
      <c r="AR72" s="258"/>
      <c r="AS72" s="202"/>
      <c r="AT72" s="48"/>
      <c r="AU72" s="48"/>
    </row>
    <row r="73" spans="1:47" hidden="1">
      <c r="A73" s="51"/>
      <c r="B73" s="51"/>
      <c r="C73" s="51"/>
      <c r="D73" s="51"/>
      <c r="E73" s="51"/>
      <c r="F73" s="51"/>
      <c r="G73" s="51"/>
      <c r="H73" s="51"/>
      <c r="I73" s="5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239"/>
      <c r="AO73" s="225"/>
      <c r="AP73" s="287"/>
      <c r="AQ73" s="258"/>
      <c r="AR73" s="258"/>
      <c r="AS73" s="202"/>
      <c r="AT73" s="48"/>
      <c r="AU73" s="48"/>
    </row>
    <row r="74" spans="1:47" hidden="1">
      <c r="A74" s="51"/>
      <c r="B74" s="51"/>
      <c r="C74" s="51"/>
      <c r="D74" s="51"/>
      <c r="E74" s="51"/>
      <c r="F74" s="51"/>
      <c r="G74" s="51"/>
      <c r="H74" s="51"/>
      <c r="I74" s="5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239"/>
      <c r="AO74" s="225"/>
      <c r="AP74" s="287"/>
      <c r="AQ74" s="258"/>
      <c r="AR74" s="258"/>
      <c r="AS74" s="202"/>
      <c r="AT74" s="48"/>
      <c r="AU74" s="48"/>
    </row>
    <row r="75" spans="1:47" hidden="1">
      <c r="A75" s="51"/>
      <c r="B75" s="51"/>
      <c r="C75" s="51"/>
      <c r="D75" s="51"/>
      <c r="E75" s="51"/>
      <c r="F75" s="51"/>
      <c r="G75" s="51"/>
      <c r="H75" s="51"/>
      <c r="I75" s="5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239"/>
      <c r="AO75" s="225"/>
      <c r="AP75" s="287"/>
      <c r="AQ75" s="258"/>
      <c r="AR75" s="258"/>
      <c r="AS75" s="202"/>
      <c r="AT75" s="48"/>
      <c r="AU75" s="48"/>
    </row>
    <row r="76" spans="1:47" hidden="1">
      <c r="A76" s="51"/>
      <c r="B76" s="51"/>
      <c r="C76" s="51"/>
      <c r="D76" s="51"/>
      <c r="E76" s="51"/>
      <c r="F76" s="51"/>
      <c r="G76" s="51"/>
      <c r="H76" s="51"/>
      <c r="I76" s="5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239"/>
      <c r="AO76" s="225"/>
      <c r="AP76" s="287"/>
      <c r="AQ76" s="258"/>
      <c r="AR76" s="258"/>
      <c r="AS76" s="202"/>
      <c r="AT76" s="48"/>
      <c r="AU76" s="48"/>
    </row>
    <row r="77" spans="1:47" hidden="1">
      <c r="A77" s="51"/>
      <c r="B77" s="51"/>
      <c r="C77" s="51"/>
      <c r="D77" s="51"/>
      <c r="E77" s="51"/>
      <c r="F77" s="51"/>
      <c r="G77" s="51"/>
      <c r="H77" s="51"/>
      <c r="I77" s="5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1"/>
      <c r="AN77" s="239"/>
      <c r="AO77" s="225"/>
      <c r="AP77" s="287"/>
      <c r="AQ77" s="258"/>
      <c r="AR77" s="258"/>
      <c r="AS77" s="202"/>
      <c r="AT77" s="48"/>
      <c r="AU77" s="48"/>
    </row>
    <row r="78" spans="1:47" hidden="1">
      <c r="A78" s="51"/>
      <c r="B78" s="51"/>
      <c r="C78" s="51"/>
      <c r="D78" s="51"/>
      <c r="E78" s="51"/>
      <c r="F78" s="51"/>
      <c r="G78" s="51"/>
      <c r="H78" s="51"/>
      <c r="I78" s="5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239"/>
      <c r="AO78" s="225"/>
      <c r="AP78" s="287"/>
      <c r="AQ78" s="258"/>
      <c r="AR78" s="258"/>
      <c r="AS78" s="202"/>
      <c r="AT78" s="48"/>
      <c r="AU78" s="48"/>
    </row>
    <row r="79" spans="1:47" hidden="1">
      <c r="A79" s="51"/>
      <c r="B79" s="51"/>
      <c r="C79" s="51"/>
      <c r="D79" s="51"/>
      <c r="E79" s="51"/>
      <c r="F79" s="51"/>
      <c r="G79" s="51"/>
      <c r="H79" s="51"/>
      <c r="I79" s="5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239"/>
      <c r="AO79" s="225"/>
      <c r="AP79" s="287"/>
      <c r="AQ79" s="258"/>
      <c r="AR79" s="258"/>
      <c r="AS79" s="202"/>
      <c r="AT79" s="48"/>
      <c r="AU79" s="48"/>
    </row>
    <row r="80" spans="1:47" hidden="1">
      <c r="A80" s="51"/>
      <c r="B80" s="51"/>
      <c r="C80" s="51"/>
      <c r="D80" s="51"/>
      <c r="E80" s="51"/>
      <c r="F80" s="51"/>
      <c r="G80" s="51"/>
      <c r="H80" s="51"/>
      <c r="I80" s="5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239"/>
      <c r="AO80" s="225"/>
      <c r="AP80" s="287"/>
      <c r="AQ80" s="258"/>
      <c r="AR80" s="258"/>
      <c r="AS80" s="202"/>
      <c r="AT80" s="48"/>
      <c r="AU80" s="48"/>
    </row>
    <row r="81" spans="1:47" hidden="1">
      <c r="A81" s="51"/>
      <c r="B81" s="51"/>
      <c r="C81" s="51"/>
      <c r="D81" s="51"/>
      <c r="E81" s="51"/>
      <c r="F81" s="51"/>
      <c r="G81" s="51"/>
      <c r="H81" s="51"/>
      <c r="I81" s="5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239"/>
      <c r="AO81" s="225"/>
      <c r="AP81" s="287"/>
      <c r="AQ81" s="258"/>
      <c r="AR81" s="258"/>
      <c r="AS81" s="202"/>
      <c r="AT81" s="48"/>
      <c r="AU81" s="48"/>
    </row>
    <row r="82" spans="1:47" hidden="1">
      <c r="A82" s="51"/>
      <c r="B82" s="51"/>
      <c r="C82" s="51"/>
      <c r="D82" s="51"/>
      <c r="E82" s="51"/>
      <c r="F82" s="51"/>
      <c r="G82" s="51"/>
      <c r="H82" s="51"/>
      <c r="I82" s="5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239"/>
      <c r="AO82" s="225"/>
      <c r="AP82" s="287"/>
      <c r="AQ82" s="258"/>
      <c r="AR82" s="258"/>
      <c r="AS82" s="202"/>
      <c r="AT82" s="48"/>
      <c r="AU82" s="48"/>
    </row>
    <row r="83" spans="1:47" hidden="1">
      <c r="A83" s="51"/>
      <c r="B83" s="51"/>
      <c r="C83" s="51"/>
      <c r="D83" s="51"/>
      <c r="E83" s="51"/>
      <c r="F83" s="51"/>
      <c r="G83" s="51"/>
      <c r="H83" s="51"/>
      <c r="I83" s="5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239"/>
      <c r="AO83" s="225"/>
      <c r="AP83" s="287"/>
      <c r="AQ83" s="258"/>
      <c r="AR83" s="258"/>
      <c r="AS83" s="202"/>
      <c r="AT83" s="48"/>
      <c r="AU83" s="48"/>
    </row>
    <row r="84" spans="1:47" hidden="1">
      <c r="A84" s="51"/>
      <c r="B84" s="51"/>
      <c r="C84" s="51"/>
      <c r="D84" s="51"/>
      <c r="E84" s="51"/>
      <c r="F84" s="51"/>
      <c r="G84" s="51"/>
      <c r="H84" s="51"/>
      <c r="I84" s="5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239"/>
      <c r="AO84" s="225"/>
      <c r="AP84" s="287"/>
      <c r="AQ84" s="258"/>
      <c r="AR84" s="258"/>
      <c r="AS84" s="202"/>
      <c r="AT84" s="48"/>
      <c r="AU84" s="48"/>
    </row>
    <row r="85" spans="1:47" hidden="1">
      <c r="A85" s="51"/>
      <c r="B85" s="51"/>
      <c r="C85" s="51"/>
      <c r="D85" s="51"/>
      <c r="E85" s="51"/>
      <c r="F85" s="51"/>
      <c r="G85" s="51"/>
      <c r="H85" s="51"/>
      <c r="I85" s="5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239"/>
      <c r="AO85" s="225"/>
      <c r="AP85" s="287"/>
      <c r="AQ85" s="258"/>
      <c r="AR85" s="258"/>
      <c r="AS85" s="202"/>
      <c r="AT85" s="48"/>
      <c r="AU85" s="48"/>
    </row>
    <row r="86" spans="1:47" hidden="1">
      <c r="A86" s="51"/>
      <c r="B86" s="51"/>
      <c r="C86" s="51"/>
      <c r="D86" s="51"/>
      <c r="E86" s="51"/>
      <c r="F86" s="51"/>
      <c r="G86" s="51"/>
      <c r="H86" s="51"/>
      <c r="I86" s="5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239"/>
      <c r="AO86" s="225"/>
      <c r="AP86" s="287"/>
      <c r="AQ86" s="258"/>
      <c r="AR86" s="258"/>
      <c r="AS86" s="202"/>
      <c r="AT86" s="48"/>
      <c r="AU86" s="48"/>
    </row>
    <row r="87" spans="1:47" hidden="1">
      <c r="A87" s="51"/>
      <c r="B87" s="51"/>
      <c r="C87" s="51"/>
      <c r="D87" s="51"/>
      <c r="E87" s="51"/>
      <c r="F87" s="51"/>
      <c r="G87" s="51"/>
      <c r="H87" s="51"/>
      <c r="I87" s="5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239"/>
      <c r="AO87" s="225"/>
      <c r="AP87" s="287"/>
      <c r="AQ87" s="258"/>
      <c r="AR87" s="258"/>
      <c r="AS87" s="202"/>
      <c r="AT87" s="48"/>
      <c r="AU87" s="48"/>
    </row>
    <row r="88" spans="1:47" hidden="1">
      <c r="A88" s="51"/>
      <c r="B88" s="51"/>
      <c r="C88" s="51"/>
      <c r="D88" s="51"/>
      <c r="E88" s="51"/>
      <c r="F88" s="51"/>
      <c r="G88" s="51"/>
      <c r="H88" s="51"/>
      <c r="I88" s="5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239"/>
      <c r="AO88" s="225"/>
      <c r="AP88" s="287"/>
      <c r="AQ88" s="258"/>
      <c r="AR88" s="258"/>
      <c r="AS88" s="202"/>
      <c r="AT88" s="48"/>
      <c r="AU88" s="48"/>
    </row>
    <row r="89" spans="1:47" hidden="1">
      <c r="A89" s="51"/>
      <c r="B89" s="51"/>
      <c r="C89" s="51"/>
      <c r="D89" s="51"/>
      <c r="E89" s="51"/>
      <c r="F89" s="51"/>
      <c r="G89" s="51"/>
      <c r="H89" s="51"/>
      <c r="I89" s="5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239"/>
      <c r="AO89" s="225"/>
      <c r="AP89" s="287"/>
      <c r="AQ89" s="258"/>
      <c r="AR89" s="258"/>
      <c r="AS89" s="202"/>
      <c r="AT89" s="48"/>
      <c r="AU89" s="48"/>
    </row>
    <row r="90" spans="1:47" hidden="1">
      <c r="A90" s="51"/>
      <c r="B90" s="51"/>
      <c r="C90" s="51"/>
      <c r="D90" s="51"/>
      <c r="E90" s="51"/>
      <c r="F90" s="51"/>
      <c r="G90" s="51"/>
      <c r="H90" s="51"/>
      <c r="I90" s="5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239"/>
      <c r="AO90" s="225"/>
      <c r="AP90" s="287"/>
      <c r="AQ90" s="258"/>
      <c r="AR90" s="258"/>
      <c r="AS90" s="202"/>
      <c r="AT90" s="48"/>
      <c r="AU90" s="48"/>
    </row>
    <row r="91" spans="1:47" hidden="1">
      <c r="A91" s="51"/>
      <c r="B91" s="51"/>
      <c r="C91" s="51"/>
      <c r="D91" s="51"/>
      <c r="E91" s="51"/>
      <c r="F91" s="51"/>
      <c r="G91" s="51"/>
      <c r="H91" s="51"/>
      <c r="I91" s="5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239"/>
      <c r="AO91" s="225"/>
      <c r="AP91" s="287"/>
      <c r="AQ91" s="258"/>
      <c r="AR91" s="258"/>
      <c r="AS91" s="202"/>
      <c r="AT91" s="48"/>
      <c r="AU91" s="48"/>
    </row>
    <row r="92" spans="1:47" hidden="1">
      <c r="A92" s="51"/>
      <c r="B92" s="51"/>
      <c r="C92" s="51"/>
      <c r="D92" s="51"/>
      <c r="E92" s="51"/>
      <c r="F92" s="51"/>
      <c r="G92" s="51"/>
      <c r="H92" s="51"/>
      <c r="I92" s="5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239"/>
      <c r="AO92" s="225"/>
      <c r="AP92" s="287"/>
      <c r="AQ92" s="258"/>
      <c r="AR92" s="258"/>
      <c r="AS92" s="202"/>
      <c r="AT92" s="48"/>
      <c r="AU92" s="48"/>
    </row>
    <row r="93" spans="1:47" hidden="1">
      <c r="A93" s="51"/>
      <c r="B93" s="51"/>
      <c r="C93" s="51"/>
      <c r="D93" s="51"/>
      <c r="E93" s="51"/>
      <c r="F93" s="51"/>
      <c r="G93" s="51"/>
      <c r="H93" s="51"/>
      <c r="I93" s="5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239"/>
      <c r="AO93" s="225"/>
      <c r="AP93" s="287"/>
      <c r="AQ93" s="258"/>
      <c r="AR93" s="258"/>
      <c r="AS93" s="202"/>
      <c r="AT93" s="48"/>
      <c r="AU93" s="48"/>
    </row>
    <row r="94" spans="1:47" hidden="1">
      <c r="A94" s="51"/>
      <c r="B94" s="51"/>
      <c r="C94" s="51"/>
      <c r="D94" s="51"/>
      <c r="E94" s="51"/>
      <c r="F94" s="51"/>
      <c r="G94" s="51"/>
      <c r="H94" s="51"/>
      <c r="I94" s="5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239"/>
      <c r="AO94" s="225"/>
      <c r="AP94" s="287"/>
      <c r="AQ94" s="258"/>
      <c r="AR94" s="258"/>
      <c r="AS94" s="202"/>
      <c r="AT94" s="48"/>
      <c r="AU94" s="48"/>
    </row>
    <row r="95" spans="1:47" hidden="1">
      <c r="A95" s="51"/>
      <c r="B95" s="51"/>
      <c r="C95" s="51"/>
      <c r="D95" s="51"/>
      <c r="E95" s="51"/>
      <c r="F95" s="51"/>
      <c r="G95" s="51"/>
      <c r="H95" s="51"/>
      <c r="I95" s="5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239"/>
      <c r="AO95" s="225"/>
      <c r="AP95" s="287"/>
      <c r="AQ95" s="258"/>
      <c r="AR95" s="258"/>
      <c r="AS95" s="202"/>
      <c r="AT95" s="48"/>
      <c r="AU95" s="48"/>
    </row>
    <row r="96" spans="1:47" hidden="1">
      <c r="A96" s="51"/>
      <c r="B96" s="51"/>
      <c r="C96" s="51"/>
      <c r="D96" s="51"/>
      <c r="E96" s="51"/>
      <c r="F96" s="51"/>
      <c r="G96" s="51"/>
      <c r="H96" s="51"/>
      <c r="I96" s="5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239"/>
      <c r="AO96" s="225"/>
      <c r="AP96" s="287"/>
      <c r="AQ96" s="258"/>
      <c r="AR96" s="258"/>
      <c r="AS96" s="202"/>
      <c r="AT96" s="48"/>
      <c r="AU96" s="48"/>
    </row>
    <row r="97" spans="1:47" hidden="1">
      <c r="A97" s="51"/>
      <c r="B97" s="51"/>
      <c r="C97" s="51"/>
      <c r="D97" s="51"/>
      <c r="E97" s="51"/>
      <c r="F97" s="51"/>
      <c r="G97" s="51"/>
      <c r="H97" s="51"/>
      <c r="I97" s="5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239"/>
      <c r="AO97" s="225"/>
      <c r="AP97" s="287"/>
      <c r="AQ97" s="258"/>
      <c r="AR97" s="258"/>
      <c r="AS97" s="202"/>
      <c r="AT97" s="48"/>
      <c r="AU97" s="48"/>
    </row>
    <row r="98" spans="1:47" hidden="1">
      <c r="A98" s="51"/>
      <c r="B98" s="51"/>
      <c r="C98" s="51"/>
      <c r="D98" s="51"/>
      <c r="E98" s="51"/>
      <c r="F98" s="51"/>
      <c r="G98" s="51"/>
      <c r="H98" s="51"/>
      <c r="I98" s="5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239"/>
      <c r="AO98" s="225"/>
      <c r="AP98" s="287"/>
      <c r="AQ98" s="258"/>
      <c r="AR98" s="258"/>
      <c r="AS98" s="202"/>
      <c r="AT98" s="48"/>
      <c r="AU98" s="48"/>
    </row>
    <row r="99" spans="1:47" hidden="1">
      <c r="A99" s="51"/>
      <c r="B99" s="51"/>
      <c r="C99" s="51"/>
      <c r="D99" s="51"/>
      <c r="E99" s="51"/>
      <c r="F99" s="51"/>
      <c r="G99" s="51"/>
      <c r="H99" s="51"/>
      <c r="I99" s="5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239"/>
      <c r="AO99" s="225"/>
      <c r="AP99" s="287"/>
      <c r="AQ99" s="258"/>
      <c r="AR99" s="258"/>
      <c r="AS99" s="202"/>
      <c r="AT99" s="48"/>
      <c r="AU99" s="48"/>
    </row>
    <row r="100" spans="1:47" hidden="1">
      <c r="A100" s="51"/>
      <c r="B100" s="51"/>
      <c r="C100" s="51"/>
      <c r="D100" s="51"/>
      <c r="E100" s="51"/>
      <c r="F100" s="51"/>
      <c r="G100" s="51"/>
      <c r="H100" s="51"/>
      <c r="I100" s="5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239"/>
      <c r="AO100" s="225"/>
      <c r="AP100" s="287"/>
      <c r="AQ100" s="258"/>
      <c r="AR100" s="258"/>
      <c r="AS100" s="202"/>
      <c r="AT100" s="48"/>
      <c r="AU100" s="48"/>
    </row>
    <row r="101" spans="1:47" hidden="1">
      <c r="A101" s="51"/>
      <c r="B101" s="51"/>
      <c r="C101" s="51"/>
      <c r="D101" s="51"/>
      <c r="E101" s="51"/>
      <c r="F101" s="51"/>
      <c r="G101" s="51"/>
      <c r="H101" s="51"/>
      <c r="I101" s="5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239"/>
      <c r="AO101" s="225"/>
      <c r="AP101" s="287"/>
      <c r="AQ101" s="258"/>
      <c r="AR101" s="258"/>
      <c r="AS101" s="202"/>
      <c r="AT101" s="48"/>
      <c r="AU101" s="48"/>
    </row>
    <row r="102" spans="1:47" hidden="1">
      <c r="A102" s="51"/>
      <c r="B102" s="51"/>
      <c r="C102" s="51"/>
      <c r="D102" s="51"/>
      <c r="E102" s="51"/>
      <c r="F102" s="51"/>
      <c r="G102" s="51"/>
      <c r="H102" s="51"/>
      <c r="I102" s="5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239"/>
      <c r="AO102" s="225"/>
      <c r="AP102" s="287"/>
      <c r="AQ102" s="258"/>
      <c r="AR102" s="258"/>
      <c r="AS102" s="202"/>
      <c r="AT102" s="48"/>
      <c r="AU102" s="48"/>
    </row>
    <row r="103" spans="1:47" hidden="1">
      <c r="A103" s="51"/>
      <c r="B103" s="51"/>
      <c r="C103" s="51"/>
      <c r="D103" s="51"/>
      <c r="E103" s="51"/>
      <c r="F103" s="51"/>
      <c r="G103" s="51"/>
      <c r="H103" s="51"/>
      <c r="I103" s="5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239"/>
      <c r="AO103" s="225"/>
      <c r="AP103" s="287"/>
      <c r="AQ103" s="258"/>
      <c r="AR103" s="258"/>
      <c r="AS103" s="202"/>
      <c r="AT103" s="48"/>
      <c r="AU103" s="48"/>
    </row>
    <row r="104" spans="1:47" hidden="1">
      <c r="A104" s="51"/>
      <c r="B104" s="51"/>
      <c r="C104" s="51"/>
      <c r="D104" s="51"/>
      <c r="E104" s="51"/>
      <c r="F104" s="51"/>
      <c r="G104" s="51"/>
      <c r="H104" s="51"/>
      <c r="I104" s="5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239"/>
      <c r="AO104" s="225"/>
      <c r="AP104" s="287"/>
      <c r="AQ104" s="258"/>
      <c r="AR104" s="258"/>
      <c r="AS104" s="202"/>
      <c r="AT104" s="48"/>
      <c r="AU104" s="48"/>
    </row>
    <row r="105" spans="1:47" hidden="1">
      <c r="A105" s="51"/>
      <c r="B105" s="51"/>
      <c r="C105" s="51"/>
      <c r="D105" s="51"/>
      <c r="E105" s="51"/>
      <c r="F105" s="51"/>
      <c r="G105" s="51"/>
      <c r="H105" s="51"/>
      <c r="I105" s="5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239"/>
      <c r="AO105" s="225"/>
      <c r="AP105" s="287"/>
      <c r="AQ105" s="258"/>
      <c r="AR105" s="258"/>
      <c r="AS105" s="202"/>
      <c r="AT105" s="48"/>
      <c r="AU105" s="48"/>
    </row>
    <row r="106" spans="1:47" hidden="1">
      <c r="A106" s="51"/>
      <c r="B106" s="51"/>
      <c r="C106" s="51"/>
      <c r="D106" s="51"/>
      <c r="E106" s="51"/>
      <c r="F106" s="51"/>
      <c r="G106" s="51"/>
      <c r="H106" s="51"/>
      <c r="I106" s="5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239"/>
      <c r="AO106" s="225"/>
      <c r="AP106" s="287"/>
      <c r="AQ106" s="258"/>
      <c r="AR106" s="258"/>
      <c r="AS106" s="202"/>
      <c r="AT106" s="48"/>
      <c r="AU106" s="48"/>
    </row>
    <row r="107" spans="1:47" hidden="1">
      <c r="A107" s="51"/>
      <c r="B107" s="51"/>
      <c r="C107" s="51"/>
      <c r="D107" s="51"/>
      <c r="E107" s="51"/>
      <c r="F107" s="51"/>
      <c r="G107" s="51"/>
      <c r="H107" s="51"/>
      <c r="I107" s="5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239"/>
      <c r="AO107" s="225"/>
      <c r="AP107" s="287"/>
      <c r="AQ107" s="258"/>
      <c r="AR107" s="258"/>
      <c r="AS107" s="202"/>
      <c r="AT107" s="48"/>
      <c r="AU107" s="48"/>
    </row>
    <row r="108" spans="1:47" hidden="1">
      <c r="A108" s="51"/>
      <c r="B108" s="51"/>
      <c r="C108" s="51"/>
      <c r="D108" s="51"/>
      <c r="E108" s="51"/>
      <c r="F108" s="51"/>
      <c r="G108" s="51"/>
      <c r="H108" s="51"/>
      <c r="I108" s="5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239"/>
      <c r="AO108" s="225"/>
      <c r="AP108" s="287"/>
      <c r="AQ108" s="258"/>
      <c r="AR108" s="258"/>
      <c r="AS108" s="202"/>
      <c r="AT108" s="48"/>
      <c r="AU108" s="48"/>
    </row>
    <row r="109" spans="1:47" hidden="1">
      <c r="A109" s="51"/>
      <c r="B109" s="51"/>
      <c r="C109" s="51"/>
      <c r="D109" s="51"/>
      <c r="E109" s="51"/>
      <c r="F109" s="51"/>
      <c r="G109" s="51"/>
      <c r="H109" s="51"/>
      <c r="I109" s="5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239"/>
      <c r="AO109" s="225"/>
      <c r="AP109" s="287"/>
      <c r="AQ109" s="258"/>
      <c r="AR109" s="258"/>
      <c r="AS109" s="202"/>
      <c r="AT109" s="48"/>
      <c r="AU109" s="48"/>
    </row>
    <row r="110" spans="1:47" hidden="1">
      <c r="A110" s="51"/>
      <c r="B110" s="51"/>
      <c r="C110" s="51"/>
      <c r="D110" s="51"/>
      <c r="E110" s="51"/>
      <c r="F110" s="51"/>
      <c r="G110" s="51"/>
      <c r="H110" s="51"/>
      <c r="I110" s="5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239"/>
      <c r="AO110" s="225"/>
      <c r="AP110" s="287"/>
      <c r="AQ110" s="258"/>
      <c r="AR110" s="258"/>
      <c r="AS110" s="202"/>
      <c r="AT110" s="48"/>
      <c r="AU110" s="48"/>
    </row>
    <row r="111" spans="1:47" hidden="1">
      <c r="A111" s="51"/>
      <c r="B111" s="51"/>
      <c r="C111" s="51"/>
      <c r="D111" s="51"/>
      <c r="E111" s="51"/>
      <c r="F111" s="51"/>
      <c r="G111" s="51"/>
      <c r="H111" s="51"/>
      <c r="I111" s="5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c r="AG111" s="121"/>
      <c r="AH111" s="121"/>
      <c r="AI111" s="121"/>
      <c r="AJ111" s="121"/>
      <c r="AK111" s="121"/>
      <c r="AL111" s="121"/>
      <c r="AM111" s="121"/>
      <c r="AN111" s="239"/>
      <c r="AO111" s="225"/>
      <c r="AP111" s="287"/>
      <c r="AQ111" s="258"/>
      <c r="AR111" s="258"/>
      <c r="AS111" s="202"/>
      <c r="AT111" s="48"/>
      <c r="AU111" s="48"/>
    </row>
    <row r="112" spans="1:47" hidden="1">
      <c r="A112" s="51"/>
      <c r="B112" s="51"/>
      <c r="C112" s="51"/>
      <c r="D112" s="51"/>
      <c r="E112" s="51"/>
      <c r="F112" s="51"/>
      <c r="G112" s="51"/>
      <c r="H112" s="51"/>
      <c r="I112" s="5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239"/>
      <c r="AO112" s="225"/>
      <c r="AP112" s="287"/>
      <c r="AQ112" s="258"/>
      <c r="AR112" s="258"/>
      <c r="AS112" s="202"/>
      <c r="AT112" s="48"/>
      <c r="AU112" s="48"/>
    </row>
    <row r="113" spans="1:47" hidden="1">
      <c r="A113" s="51"/>
      <c r="B113" s="51"/>
      <c r="C113" s="51"/>
      <c r="D113" s="51"/>
      <c r="E113" s="51"/>
      <c r="F113" s="51"/>
      <c r="G113" s="51"/>
      <c r="H113" s="51"/>
      <c r="I113" s="51"/>
      <c r="J113" s="121"/>
      <c r="K113" s="121"/>
      <c r="L113" s="121"/>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1"/>
      <c r="AK113" s="121"/>
      <c r="AL113" s="121"/>
      <c r="AM113" s="121"/>
      <c r="AN113" s="239"/>
      <c r="AO113" s="225"/>
      <c r="AP113" s="287"/>
      <c r="AQ113" s="258"/>
      <c r="AR113" s="258"/>
      <c r="AS113" s="202"/>
      <c r="AT113" s="48"/>
      <c r="AU113" s="48"/>
    </row>
    <row r="114" spans="1:47" hidden="1">
      <c r="A114" s="51"/>
      <c r="B114" s="51"/>
      <c r="C114" s="51"/>
      <c r="D114" s="51"/>
      <c r="E114" s="51"/>
      <c r="F114" s="51"/>
      <c r="G114" s="51"/>
      <c r="H114" s="51"/>
      <c r="I114" s="5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239"/>
      <c r="AO114" s="225"/>
      <c r="AP114" s="287"/>
      <c r="AQ114" s="258"/>
      <c r="AR114" s="258"/>
      <c r="AS114" s="202"/>
      <c r="AT114" s="48"/>
      <c r="AU114" s="48"/>
    </row>
    <row r="115" spans="1:47" hidden="1">
      <c r="A115" s="51"/>
      <c r="B115" s="51"/>
      <c r="C115" s="51"/>
      <c r="D115" s="51"/>
      <c r="E115" s="51"/>
      <c r="F115" s="51"/>
      <c r="G115" s="51"/>
      <c r="H115" s="51"/>
      <c r="I115" s="51"/>
      <c r="J115" s="121"/>
      <c r="K115" s="121"/>
      <c r="L115" s="121"/>
      <c r="M115" s="121"/>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239"/>
      <c r="AO115" s="225"/>
      <c r="AP115" s="287"/>
      <c r="AQ115" s="258"/>
      <c r="AR115" s="258"/>
      <c r="AS115" s="202"/>
      <c r="AT115" s="48"/>
      <c r="AU115" s="48"/>
    </row>
    <row r="116" spans="1:47" hidden="1">
      <c r="A116" s="51"/>
      <c r="B116" s="51"/>
      <c r="C116" s="51"/>
      <c r="D116" s="51"/>
      <c r="E116" s="51"/>
      <c r="F116" s="51"/>
      <c r="G116" s="51"/>
      <c r="H116" s="51"/>
      <c r="I116" s="5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239"/>
      <c r="AO116" s="225"/>
      <c r="AP116" s="287"/>
      <c r="AQ116" s="258"/>
      <c r="AR116" s="258"/>
      <c r="AS116" s="202"/>
      <c r="AT116" s="48"/>
      <c r="AU116" s="48"/>
    </row>
    <row r="117" spans="1:47" hidden="1">
      <c r="A117" s="51"/>
      <c r="B117" s="51"/>
      <c r="C117" s="51"/>
      <c r="D117" s="51"/>
      <c r="E117" s="51"/>
      <c r="F117" s="51"/>
      <c r="G117" s="51"/>
      <c r="H117" s="51"/>
      <c r="I117" s="51"/>
      <c r="J117" s="121"/>
      <c r="K117" s="121"/>
      <c r="L117" s="121"/>
      <c r="M117" s="121"/>
      <c r="N117" s="121"/>
      <c r="O117" s="121"/>
      <c r="P117" s="121"/>
      <c r="Q117" s="121"/>
      <c r="R117" s="121"/>
      <c r="S117" s="121"/>
      <c r="T117" s="121"/>
      <c r="U117" s="121"/>
      <c r="V117" s="121"/>
      <c r="W117" s="121"/>
      <c r="X117" s="121"/>
      <c r="Y117" s="121"/>
      <c r="Z117" s="121"/>
      <c r="AA117" s="121"/>
      <c r="AB117" s="121"/>
      <c r="AC117" s="121"/>
      <c r="AD117" s="121"/>
      <c r="AE117" s="121"/>
      <c r="AF117" s="121"/>
      <c r="AG117" s="121"/>
      <c r="AH117" s="121"/>
      <c r="AI117" s="121"/>
      <c r="AJ117" s="121"/>
      <c r="AK117" s="121"/>
      <c r="AL117" s="121"/>
      <c r="AM117" s="121"/>
      <c r="AN117" s="239"/>
      <c r="AO117" s="225"/>
      <c r="AP117" s="287"/>
      <c r="AQ117" s="258"/>
      <c r="AR117" s="258"/>
      <c r="AS117" s="202"/>
      <c r="AT117" s="48"/>
      <c r="AU117" s="48"/>
    </row>
    <row r="118" spans="1:47" hidden="1">
      <c r="A118" s="51"/>
      <c r="B118" s="51"/>
      <c r="C118" s="51"/>
      <c r="D118" s="51"/>
      <c r="E118" s="51"/>
      <c r="F118" s="51"/>
      <c r="G118" s="51"/>
      <c r="H118" s="51"/>
      <c r="I118" s="5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239"/>
      <c r="AO118" s="225"/>
      <c r="AP118" s="287"/>
      <c r="AQ118" s="258"/>
      <c r="AR118" s="258"/>
      <c r="AS118" s="202"/>
      <c r="AT118" s="48"/>
      <c r="AU118" s="48"/>
    </row>
    <row r="119" spans="1:47" hidden="1">
      <c r="A119" s="51"/>
      <c r="B119" s="51"/>
      <c r="C119" s="51"/>
      <c r="D119" s="51"/>
      <c r="E119" s="51"/>
      <c r="F119" s="51"/>
      <c r="G119" s="51"/>
      <c r="H119" s="51"/>
      <c r="I119" s="51"/>
      <c r="J119" s="121"/>
      <c r="K119" s="121"/>
      <c r="L119" s="121"/>
      <c r="M119" s="121"/>
      <c r="N119" s="12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21"/>
      <c r="AJ119" s="121"/>
      <c r="AK119" s="121"/>
      <c r="AL119" s="121"/>
      <c r="AM119" s="121"/>
      <c r="AN119" s="239"/>
      <c r="AO119" s="225"/>
      <c r="AP119" s="287"/>
      <c r="AQ119" s="258"/>
      <c r="AR119" s="258"/>
      <c r="AS119" s="202"/>
      <c r="AT119" s="48"/>
      <c r="AU119" s="48"/>
    </row>
    <row r="120" spans="1:47" hidden="1">
      <c r="A120" s="51"/>
      <c r="B120" s="51"/>
      <c r="C120" s="51"/>
      <c r="D120" s="51"/>
      <c r="E120" s="51"/>
      <c r="F120" s="51"/>
      <c r="G120" s="51"/>
      <c r="H120" s="51"/>
      <c r="I120" s="5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239"/>
      <c r="AO120" s="225"/>
      <c r="AP120" s="287"/>
      <c r="AQ120" s="258"/>
      <c r="AR120" s="258"/>
      <c r="AS120" s="202"/>
      <c r="AT120" s="48"/>
      <c r="AU120" s="48"/>
    </row>
    <row r="121" spans="1:47" hidden="1">
      <c r="A121" s="51"/>
      <c r="B121" s="51"/>
      <c r="C121" s="51"/>
      <c r="D121" s="51"/>
      <c r="E121" s="51"/>
      <c r="F121" s="51"/>
      <c r="G121" s="51"/>
      <c r="H121" s="51"/>
      <c r="I121" s="5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239"/>
      <c r="AO121" s="225"/>
      <c r="AP121" s="287"/>
      <c r="AQ121" s="258"/>
      <c r="AR121" s="258"/>
      <c r="AS121" s="202"/>
      <c r="AT121" s="48"/>
      <c r="AU121" s="48"/>
    </row>
    <row r="122" spans="1:47" hidden="1">
      <c r="A122" s="51"/>
      <c r="B122" s="51"/>
      <c r="C122" s="51"/>
      <c r="D122" s="51"/>
      <c r="E122" s="51"/>
      <c r="F122" s="51"/>
      <c r="G122" s="51"/>
      <c r="H122" s="51"/>
      <c r="I122" s="5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239"/>
      <c r="AO122" s="225"/>
      <c r="AP122" s="287"/>
      <c r="AQ122" s="258"/>
      <c r="AR122" s="258"/>
      <c r="AS122" s="202"/>
      <c r="AT122" s="48"/>
      <c r="AU122" s="48"/>
    </row>
    <row r="123" spans="1:47" hidden="1">
      <c r="A123" s="51"/>
      <c r="B123" s="51"/>
      <c r="C123" s="51"/>
      <c r="D123" s="51"/>
      <c r="E123" s="51"/>
      <c r="F123" s="51"/>
      <c r="G123" s="51"/>
      <c r="H123" s="51"/>
      <c r="I123" s="51"/>
      <c r="J123" s="121"/>
      <c r="K123" s="121"/>
      <c r="L123" s="121"/>
      <c r="M123" s="121"/>
      <c r="N123" s="121"/>
      <c r="O123" s="121"/>
      <c r="P123" s="121"/>
      <c r="Q123" s="121"/>
      <c r="R123" s="121"/>
      <c r="S123" s="121"/>
      <c r="T123" s="121"/>
      <c r="U123" s="121"/>
      <c r="V123" s="121"/>
      <c r="W123" s="121"/>
      <c r="X123" s="121"/>
      <c r="Y123" s="121"/>
      <c r="Z123" s="121"/>
      <c r="AA123" s="121"/>
      <c r="AB123" s="121"/>
      <c r="AC123" s="121"/>
      <c r="AD123" s="121"/>
      <c r="AE123" s="121"/>
      <c r="AF123" s="121"/>
      <c r="AG123" s="121"/>
      <c r="AH123" s="121"/>
      <c r="AI123" s="121"/>
      <c r="AJ123" s="121"/>
      <c r="AK123" s="121"/>
      <c r="AL123" s="121"/>
      <c r="AM123" s="121"/>
      <c r="AN123" s="239"/>
      <c r="AO123" s="225"/>
      <c r="AP123" s="287"/>
      <c r="AQ123" s="258"/>
      <c r="AR123" s="258"/>
      <c r="AS123" s="202"/>
      <c r="AT123" s="48"/>
      <c r="AU123" s="48"/>
    </row>
    <row r="124" spans="1:47" hidden="1">
      <c r="A124" s="51"/>
      <c r="B124" s="51"/>
      <c r="C124" s="51"/>
      <c r="D124" s="51"/>
      <c r="E124" s="51"/>
      <c r="F124" s="51"/>
      <c r="G124" s="51"/>
      <c r="H124" s="51"/>
      <c r="I124" s="5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239"/>
      <c r="AO124" s="225"/>
      <c r="AP124" s="287"/>
      <c r="AQ124" s="258"/>
      <c r="AR124" s="258"/>
      <c r="AS124" s="202"/>
      <c r="AT124" s="48"/>
      <c r="AU124" s="48"/>
    </row>
    <row r="125" spans="1:47" hidden="1">
      <c r="A125" s="51"/>
      <c r="B125" s="51"/>
      <c r="C125" s="51"/>
      <c r="D125" s="51"/>
      <c r="E125" s="51"/>
      <c r="F125" s="51"/>
      <c r="G125" s="51"/>
      <c r="H125" s="51"/>
      <c r="I125" s="51"/>
      <c r="J125" s="121"/>
      <c r="K125" s="121"/>
      <c r="L125" s="121"/>
      <c r="M125" s="121"/>
      <c r="N125" s="121"/>
      <c r="O125" s="121"/>
      <c r="P125" s="121"/>
      <c r="Q125" s="121"/>
      <c r="R125" s="121"/>
      <c r="S125" s="121"/>
      <c r="T125" s="121"/>
      <c r="U125" s="121"/>
      <c r="V125" s="121"/>
      <c r="W125" s="121"/>
      <c r="X125" s="121"/>
      <c r="Y125" s="121"/>
      <c r="Z125" s="121"/>
      <c r="AA125" s="121"/>
      <c r="AB125" s="121"/>
      <c r="AC125" s="121"/>
      <c r="AD125" s="121"/>
      <c r="AE125" s="121"/>
      <c r="AF125" s="121"/>
      <c r="AG125" s="121"/>
      <c r="AH125" s="121"/>
      <c r="AI125" s="121"/>
      <c r="AJ125" s="121"/>
      <c r="AK125" s="121"/>
      <c r="AL125" s="121"/>
      <c r="AM125" s="121"/>
      <c r="AN125" s="239"/>
      <c r="AO125" s="225"/>
      <c r="AP125" s="287"/>
      <c r="AQ125" s="258"/>
      <c r="AR125" s="258"/>
      <c r="AS125" s="202"/>
      <c r="AT125" s="48"/>
      <c r="AU125" s="48"/>
    </row>
    <row r="126" spans="1:47" hidden="1">
      <c r="A126" s="51"/>
      <c r="B126" s="51"/>
      <c r="C126" s="51"/>
      <c r="D126" s="51"/>
      <c r="E126" s="51"/>
      <c r="F126" s="51"/>
      <c r="G126" s="51"/>
      <c r="H126" s="51"/>
      <c r="I126" s="51"/>
      <c r="J126" s="121"/>
      <c r="K126" s="121"/>
      <c r="L126" s="121"/>
      <c r="M126" s="121"/>
      <c r="N126" s="121"/>
      <c r="O126" s="121"/>
      <c r="P126" s="121"/>
      <c r="Q126" s="121"/>
      <c r="R126" s="121"/>
      <c r="S126" s="121"/>
      <c r="T126" s="121"/>
      <c r="U126" s="121"/>
      <c r="V126" s="121"/>
      <c r="W126" s="121"/>
      <c r="X126" s="121"/>
      <c r="Y126" s="121"/>
      <c r="Z126" s="121"/>
      <c r="AA126" s="121"/>
      <c r="AB126" s="121"/>
      <c r="AC126" s="121"/>
      <c r="AD126" s="121"/>
      <c r="AE126" s="121"/>
      <c r="AF126" s="121"/>
      <c r="AG126" s="121"/>
      <c r="AH126" s="121"/>
      <c r="AI126" s="121"/>
      <c r="AJ126" s="121"/>
      <c r="AK126" s="121"/>
      <c r="AL126" s="121"/>
      <c r="AM126" s="121"/>
      <c r="AN126" s="239"/>
      <c r="AO126" s="225"/>
      <c r="AP126" s="287"/>
      <c r="AQ126" s="258"/>
      <c r="AR126" s="258"/>
      <c r="AS126" s="202"/>
      <c r="AT126" s="48"/>
      <c r="AU126" s="48"/>
    </row>
    <row r="127" spans="1:47" hidden="1">
      <c r="A127" s="51"/>
      <c r="B127" s="51"/>
      <c r="C127" s="51"/>
      <c r="D127" s="51"/>
      <c r="E127" s="51"/>
      <c r="F127" s="51"/>
      <c r="G127" s="51"/>
      <c r="H127" s="51"/>
      <c r="I127" s="51"/>
      <c r="J127" s="121"/>
      <c r="K127" s="121"/>
      <c r="L127" s="121"/>
      <c r="M127" s="121"/>
      <c r="N127" s="121"/>
      <c r="O127" s="121"/>
      <c r="P127" s="121"/>
      <c r="Q127" s="121"/>
      <c r="R127" s="121"/>
      <c r="S127" s="121"/>
      <c r="T127" s="121"/>
      <c r="U127" s="121"/>
      <c r="V127" s="121"/>
      <c r="W127" s="121"/>
      <c r="X127" s="121"/>
      <c r="Y127" s="121"/>
      <c r="Z127" s="121"/>
      <c r="AA127" s="121"/>
      <c r="AB127" s="121"/>
      <c r="AC127" s="121"/>
      <c r="AD127" s="121"/>
      <c r="AE127" s="121"/>
      <c r="AF127" s="121"/>
      <c r="AG127" s="121"/>
      <c r="AH127" s="121"/>
      <c r="AI127" s="121"/>
      <c r="AJ127" s="121"/>
      <c r="AK127" s="121"/>
      <c r="AL127" s="121"/>
      <c r="AM127" s="121"/>
      <c r="AN127" s="239"/>
      <c r="AO127" s="225"/>
      <c r="AP127" s="287"/>
      <c r="AQ127" s="258"/>
      <c r="AR127" s="258"/>
      <c r="AS127" s="202"/>
      <c r="AT127" s="48"/>
      <c r="AU127" s="48"/>
    </row>
    <row r="128" spans="1:47" hidden="1">
      <c r="A128" s="51"/>
      <c r="B128" s="51"/>
      <c r="C128" s="51"/>
      <c r="D128" s="51"/>
      <c r="E128" s="51"/>
      <c r="F128" s="51"/>
      <c r="G128" s="51"/>
      <c r="H128" s="51"/>
      <c r="I128" s="5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239"/>
      <c r="AO128" s="225"/>
      <c r="AP128" s="287"/>
      <c r="AQ128" s="258"/>
      <c r="AR128" s="258"/>
      <c r="AS128" s="202"/>
      <c r="AT128" s="48"/>
      <c r="AU128" s="48"/>
    </row>
    <row r="129" spans="1:47" hidden="1">
      <c r="A129" s="51"/>
      <c r="B129" s="51"/>
      <c r="C129" s="51"/>
      <c r="D129" s="51"/>
      <c r="E129" s="51"/>
      <c r="F129" s="51"/>
      <c r="G129" s="51"/>
      <c r="H129" s="51"/>
      <c r="I129" s="5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239"/>
      <c r="AO129" s="225"/>
      <c r="AP129" s="287"/>
      <c r="AQ129" s="258"/>
      <c r="AR129" s="258"/>
      <c r="AS129" s="202"/>
      <c r="AT129" s="48"/>
      <c r="AU129" s="48"/>
    </row>
    <row r="130" spans="1:47" hidden="1">
      <c r="A130" s="51"/>
      <c r="B130" s="51"/>
      <c r="C130" s="51"/>
      <c r="D130" s="51"/>
      <c r="E130" s="51"/>
      <c r="F130" s="51"/>
      <c r="G130" s="51"/>
      <c r="H130" s="51"/>
      <c r="I130" s="5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239"/>
      <c r="AO130" s="225"/>
      <c r="AP130" s="287"/>
      <c r="AQ130" s="258"/>
      <c r="AR130" s="258"/>
      <c r="AS130" s="202"/>
      <c r="AT130" s="48"/>
      <c r="AU130" s="48"/>
    </row>
    <row r="131" spans="1:47" hidden="1">
      <c r="A131" s="51"/>
      <c r="B131" s="51"/>
      <c r="C131" s="51"/>
      <c r="D131" s="51"/>
      <c r="E131" s="51"/>
      <c r="F131" s="51"/>
      <c r="G131" s="51"/>
      <c r="H131" s="51"/>
      <c r="I131" s="51"/>
      <c r="J131" s="121"/>
      <c r="K131" s="121"/>
      <c r="L131" s="121"/>
      <c r="M131" s="121"/>
      <c r="N131" s="121"/>
      <c r="O131" s="121"/>
      <c r="P131" s="121"/>
      <c r="Q131" s="121"/>
      <c r="R131" s="121"/>
      <c r="S131" s="121"/>
      <c r="T131" s="121"/>
      <c r="U131" s="121"/>
      <c r="V131" s="121"/>
      <c r="W131" s="121"/>
      <c r="X131" s="121"/>
      <c r="Y131" s="121"/>
      <c r="Z131" s="121"/>
      <c r="AA131" s="121"/>
      <c r="AB131" s="121"/>
      <c r="AC131" s="121"/>
      <c r="AD131" s="121"/>
      <c r="AE131" s="121"/>
      <c r="AF131" s="121"/>
      <c r="AG131" s="121"/>
      <c r="AH131" s="121"/>
      <c r="AI131" s="121"/>
      <c r="AJ131" s="121"/>
      <c r="AK131" s="121"/>
      <c r="AL131" s="121"/>
      <c r="AM131" s="121"/>
      <c r="AN131" s="239"/>
      <c r="AO131" s="225"/>
      <c r="AP131" s="287"/>
      <c r="AQ131" s="258"/>
      <c r="AR131" s="258"/>
      <c r="AS131" s="202"/>
      <c r="AT131" s="48"/>
      <c r="AU131" s="48"/>
    </row>
    <row r="132" spans="1:47" hidden="1">
      <c r="A132" s="51"/>
      <c r="B132" s="51"/>
      <c r="C132" s="51"/>
      <c r="D132" s="51"/>
      <c r="E132" s="51"/>
      <c r="F132" s="51"/>
      <c r="G132" s="51"/>
      <c r="H132" s="51"/>
      <c r="I132" s="5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239"/>
      <c r="AO132" s="225"/>
      <c r="AP132" s="287"/>
      <c r="AQ132" s="258"/>
      <c r="AR132" s="258"/>
      <c r="AS132" s="202"/>
      <c r="AT132" s="48"/>
      <c r="AU132" s="48"/>
    </row>
    <row r="133" spans="1:47" hidden="1">
      <c r="A133" s="51"/>
      <c r="B133" s="51"/>
      <c r="C133" s="51"/>
      <c r="D133" s="51"/>
      <c r="E133" s="51"/>
      <c r="F133" s="51"/>
      <c r="G133" s="51"/>
      <c r="H133" s="51"/>
      <c r="I133" s="5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1"/>
      <c r="AN133" s="239"/>
      <c r="AO133" s="225"/>
      <c r="AP133" s="287"/>
      <c r="AQ133" s="258"/>
      <c r="AR133" s="258"/>
      <c r="AS133" s="202"/>
      <c r="AT133" s="48"/>
      <c r="AU133" s="48"/>
    </row>
    <row r="134" spans="1:47" hidden="1">
      <c r="A134" s="51"/>
      <c r="B134" s="51"/>
      <c r="C134" s="51"/>
      <c r="D134" s="51"/>
      <c r="E134" s="51"/>
      <c r="F134" s="51"/>
      <c r="G134" s="51"/>
      <c r="H134" s="51"/>
      <c r="I134" s="5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239"/>
      <c r="AO134" s="225"/>
      <c r="AP134" s="287"/>
      <c r="AQ134" s="258"/>
      <c r="AR134" s="258"/>
      <c r="AS134" s="202"/>
      <c r="AT134" s="48"/>
      <c r="AU134" s="48"/>
    </row>
    <row r="135" spans="1:47" hidden="1">
      <c r="A135" s="51"/>
      <c r="B135" s="51"/>
      <c r="C135" s="51"/>
      <c r="D135" s="51"/>
      <c r="E135" s="51"/>
      <c r="F135" s="51"/>
      <c r="G135" s="51"/>
      <c r="H135" s="51"/>
      <c r="I135" s="51"/>
      <c r="J135" s="121"/>
      <c r="K135" s="121"/>
      <c r="L135" s="121"/>
      <c r="M135" s="121"/>
      <c r="N135" s="121"/>
      <c r="O135" s="121"/>
      <c r="P135" s="121"/>
      <c r="Q135" s="121"/>
      <c r="R135" s="121"/>
      <c r="S135" s="121"/>
      <c r="T135" s="121"/>
      <c r="U135" s="121"/>
      <c r="V135" s="121"/>
      <c r="W135" s="121"/>
      <c r="X135" s="121"/>
      <c r="Y135" s="121"/>
      <c r="Z135" s="121"/>
      <c r="AA135" s="121"/>
      <c r="AB135" s="121"/>
      <c r="AC135" s="121"/>
      <c r="AD135" s="121"/>
      <c r="AE135" s="121"/>
      <c r="AF135" s="121"/>
      <c r="AG135" s="121"/>
      <c r="AH135" s="121"/>
      <c r="AI135" s="121"/>
      <c r="AJ135" s="121"/>
      <c r="AK135" s="121"/>
      <c r="AL135" s="121"/>
      <c r="AM135" s="121"/>
      <c r="AN135" s="239"/>
      <c r="AO135" s="225"/>
      <c r="AP135" s="287"/>
      <c r="AQ135" s="258"/>
      <c r="AR135" s="258"/>
      <c r="AS135" s="202"/>
      <c r="AT135" s="48"/>
      <c r="AU135" s="48"/>
    </row>
    <row r="136" spans="1:47" s="121" customFormat="1" hidden="1">
      <c r="AN136" s="239"/>
      <c r="AO136" s="225"/>
      <c r="AP136" s="287"/>
      <c r="AQ136" s="258"/>
      <c r="AR136" s="258"/>
      <c r="AS136" s="202"/>
      <c r="AT136" s="213"/>
      <c r="AU136" s="213"/>
    </row>
    <row r="137" spans="1:47" s="121" customFormat="1" hidden="1">
      <c r="AN137" s="239"/>
      <c r="AO137" s="225"/>
      <c r="AP137" s="287"/>
      <c r="AQ137" s="258"/>
      <c r="AR137" s="258"/>
      <c r="AS137" s="202"/>
      <c r="AT137" s="213"/>
      <c r="AU137" s="213"/>
    </row>
    <row r="138" spans="1:47" s="121" customFormat="1" hidden="1">
      <c r="AN138" s="239"/>
      <c r="AO138" s="225"/>
      <c r="AP138" s="287"/>
      <c r="AQ138" s="258"/>
      <c r="AR138" s="258"/>
      <c r="AS138" s="202"/>
      <c r="AT138" s="213"/>
      <c r="AU138" s="213"/>
    </row>
    <row r="139" spans="1:47" s="121" customFormat="1" hidden="1">
      <c r="AN139" s="239"/>
      <c r="AO139" s="225"/>
      <c r="AP139" s="287"/>
      <c r="AQ139" s="258"/>
      <c r="AR139" s="258"/>
      <c r="AS139" s="202"/>
      <c r="AT139" s="213"/>
      <c r="AU139" s="213"/>
    </row>
    <row r="140" spans="1:47" hidden="1">
      <c r="A140" s="51"/>
      <c r="B140" s="51"/>
      <c r="C140" s="51"/>
      <c r="D140" s="51"/>
      <c r="E140" s="51"/>
      <c r="F140" s="51"/>
      <c r="G140" s="51"/>
      <c r="H140" s="51"/>
      <c r="I140" s="5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239"/>
      <c r="AO140" s="225"/>
      <c r="AP140" s="287"/>
      <c r="AQ140" s="258"/>
      <c r="AR140" s="258"/>
      <c r="AS140" s="202"/>
      <c r="AT140" s="48"/>
      <c r="AU140" s="48"/>
    </row>
    <row r="141" spans="1:47" hidden="1">
      <c r="A141" s="51"/>
      <c r="B141" s="51"/>
      <c r="C141" s="51"/>
      <c r="D141" s="51"/>
      <c r="E141" s="51"/>
      <c r="F141" s="51"/>
      <c r="G141" s="51"/>
      <c r="H141" s="51"/>
      <c r="I141" s="5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239"/>
      <c r="AO141" s="225"/>
      <c r="AP141" s="287"/>
      <c r="AQ141" s="258"/>
      <c r="AR141" s="258"/>
      <c r="AS141" s="202"/>
      <c r="AT141" s="48"/>
      <c r="AU141" s="48"/>
    </row>
    <row r="142" spans="1:47" s="121" customFormat="1" hidden="1">
      <c r="AN142" s="239"/>
      <c r="AO142" s="225"/>
      <c r="AP142" s="287"/>
      <c r="AQ142" s="258"/>
      <c r="AR142" s="258"/>
      <c r="AS142" s="202"/>
      <c r="AT142" s="213"/>
      <c r="AU142" s="213"/>
    </row>
    <row r="143" spans="1:47" s="121" customFormat="1" hidden="1">
      <c r="AN143" s="239"/>
      <c r="AO143" s="225"/>
      <c r="AP143" s="287"/>
      <c r="AQ143" s="258"/>
      <c r="AR143" s="258"/>
      <c r="AS143" s="202"/>
      <c r="AT143" s="213"/>
      <c r="AU143" s="213"/>
    </row>
    <row r="144" spans="1:47" s="121" customFormat="1" hidden="1">
      <c r="AN144" s="239"/>
      <c r="AO144" s="225"/>
      <c r="AP144" s="287"/>
      <c r="AQ144" s="258"/>
      <c r="AR144" s="258"/>
      <c r="AS144" s="202"/>
      <c r="AT144" s="213"/>
      <c r="AU144" s="213"/>
    </row>
    <row r="145" spans="1:47" s="121" customFormat="1" hidden="1">
      <c r="AN145" s="239"/>
      <c r="AO145" s="225"/>
      <c r="AP145" s="287"/>
      <c r="AQ145" s="258"/>
      <c r="AR145" s="258"/>
      <c r="AS145" s="202"/>
      <c r="AT145" s="213"/>
      <c r="AU145" s="213"/>
    </row>
    <row r="146" spans="1:47" s="121" customFormat="1" hidden="1">
      <c r="AN146" s="239"/>
      <c r="AO146" s="225"/>
      <c r="AP146" s="287"/>
      <c r="AQ146" s="258"/>
      <c r="AR146" s="258"/>
      <c r="AS146" s="202"/>
      <c r="AT146" s="213"/>
      <c r="AU146" s="213"/>
    </row>
    <row r="147" spans="1:47" s="121" customFormat="1" hidden="1">
      <c r="AN147" s="239"/>
      <c r="AO147" s="225"/>
      <c r="AP147" s="287"/>
      <c r="AQ147" s="258"/>
      <c r="AR147" s="258"/>
      <c r="AS147" s="202"/>
      <c r="AT147" s="213"/>
      <c r="AU147" s="213"/>
    </row>
    <row r="148" spans="1:47" hidden="1">
      <c r="A148" s="51"/>
      <c r="B148" s="51"/>
      <c r="C148" s="51"/>
      <c r="D148" s="51"/>
      <c r="E148" s="51"/>
      <c r="F148" s="51"/>
      <c r="G148" s="51"/>
      <c r="H148" s="51"/>
      <c r="I148" s="5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239"/>
      <c r="AO148" s="225"/>
      <c r="AP148" s="287"/>
      <c r="AQ148" s="258"/>
      <c r="AR148" s="258"/>
      <c r="AS148" s="202"/>
      <c r="AT148" s="48"/>
      <c r="AU148" s="48"/>
    </row>
    <row r="149" spans="1:47" s="121" customFormat="1" hidden="1">
      <c r="AN149" s="239"/>
      <c r="AO149" s="225"/>
      <c r="AP149" s="287"/>
      <c r="AQ149" s="258"/>
      <c r="AR149" s="258"/>
      <c r="AS149" s="202"/>
      <c r="AT149" s="213"/>
      <c r="AU149" s="213"/>
    </row>
    <row r="150" spans="1:47" s="121" customFormat="1" hidden="1">
      <c r="AN150" s="239"/>
      <c r="AO150" s="225"/>
      <c r="AP150" s="287"/>
      <c r="AQ150" s="258"/>
      <c r="AR150" s="258"/>
      <c r="AS150" s="202"/>
      <c r="AT150" s="213"/>
      <c r="AU150" s="213"/>
    </row>
    <row r="151" spans="1:47" s="121" customFormat="1" hidden="1">
      <c r="AN151" s="239"/>
      <c r="AO151" s="225"/>
      <c r="AP151" s="287"/>
      <c r="AQ151" s="258"/>
      <c r="AR151" s="258"/>
      <c r="AS151" s="202"/>
      <c r="AT151" s="213"/>
      <c r="AU151" s="213"/>
    </row>
    <row r="152" spans="1:47" s="121" customFormat="1" hidden="1">
      <c r="AN152" s="239"/>
      <c r="AO152" s="225"/>
      <c r="AP152" s="287"/>
      <c r="AQ152" s="258"/>
      <c r="AR152" s="258"/>
      <c r="AS152" s="202"/>
      <c r="AT152" s="213"/>
      <c r="AU152" s="213"/>
    </row>
    <row r="153" spans="1:47" s="121" customFormat="1" hidden="1">
      <c r="AN153" s="239"/>
      <c r="AO153" s="225"/>
      <c r="AP153" s="287"/>
      <c r="AQ153" s="258"/>
      <c r="AR153" s="258"/>
      <c r="AS153" s="202"/>
      <c r="AT153" s="213"/>
      <c r="AU153" s="213"/>
    </row>
    <row r="154" spans="1:47" s="121" customFormat="1" hidden="1">
      <c r="AN154" s="239"/>
      <c r="AO154" s="225"/>
      <c r="AP154" s="287"/>
      <c r="AQ154" s="258"/>
      <c r="AR154" s="258"/>
      <c r="AS154" s="202"/>
      <c r="AT154" s="213"/>
      <c r="AU154" s="213"/>
    </row>
    <row r="155" spans="1:47" hidden="1">
      <c r="A155" s="51"/>
      <c r="B155" s="51"/>
      <c r="C155" s="51"/>
      <c r="D155" s="51"/>
      <c r="E155" s="51"/>
      <c r="F155" s="51"/>
      <c r="G155" s="51"/>
      <c r="H155" s="51"/>
      <c r="I155" s="5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239"/>
      <c r="AO155" s="225"/>
      <c r="AP155" s="287"/>
      <c r="AQ155" s="258"/>
      <c r="AR155" s="258"/>
      <c r="AS155" s="202"/>
      <c r="AT155" s="48"/>
      <c r="AU155" s="48"/>
    </row>
    <row r="156" spans="1:47" hidden="1">
      <c r="A156" s="51"/>
      <c r="B156" s="51"/>
      <c r="C156" s="51"/>
      <c r="D156" s="51"/>
      <c r="E156" s="51"/>
      <c r="F156" s="51"/>
      <c r="G156" s="51"/>
      <c r="H156" s="51"/>
      <c r="I156" s="5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239"/>
      <c r="AO156" s="225"/>
      <c r="AP156" s="287"/>
      <c r="AQ156" s="258"/>
      <c r="AR156" s="258"/>
      <c r="AS156" s="202"/>
      <c r="AT156" s="48"/>
      <c r="AU156" s="48"/>
    </row>
    <row r="157" spans="1:47" s="121" customFormat="1" hidden="1">
      <c r="AN157" s="239"/>
      <c r="AO157" s="225"/>
      <c r="AP157" s="287"/>
      <c r="AQ157" s="258"/>
      <c r="AR157" s="258"/>
      <c r="AS157" s="202"/>
      <c r="AT157" s="213"/>
      <c r="AU157" s="213"/>
    </row>
    <row r="158" spans="1:47" s="121" customFormat="1" hidden="1">
      <c r="AN158" s="239"/>
      <c r="AO158" s="225"/>
      <c r="AP158" s="287"/>
      <c r="AQ158" s="258"/>
      <c r="AR158" s="258"/>
      <c r="AS158" s="202"/>
      <c r="AT158" s="213"/>
      <c r="AU158" s="213"/>
    </row>
    <row r="159" spans="1:47" s="121" customFormat="1" hidden="1">
      <c r="AN159" s="239"/>
      <c r="AO159" s="225"/>
      <c r="AP159" s="287"/>
      <c r="AQ159" s="258"/>
      <c r="AR159" s="258"/>
      <c r="AS159" s="202"/>
      <c r="AT159" s="213"/>
      <c r="AU159" s="213"/>
    </row>
    <row r="160" spans="1:47" s="121" customFormat="1" hidden="1">
      <c r="AN160" s="239"/>
      <c r="AO160" s="225"/>
      <c r="AP160" s="287"/>
      <c r="AQ160" s="258"/>
      <c r="AR160" s="258"/>
      <c r="AS160" s="202"/>
      <c r="AT160" s="213"/>
      <c r="AU160" s="213"/>
    </row>
    <row r="161" spans="1:47" hidden="1">
      <c r="A161" s="51"/>
      <c r="B161" s="51"/>
      <c r="C161" s="51"/>
      <c r="D161" s="51"/>
      <c r="E161" s="51"/>
      <c r="F161" s="51"/>
      <c r="G161" s="51"/>
      <c r="H161" s="51"/>
      <c r="I161" s="5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239"/>
      <c r="AO161" s="225"/>
      <c r="AP161" s="287"/>
      <c r="AQ161" s="258"/>
      <c r="AR161" s="258"/>
      <c r="AS161" s="202"/>
      <c r="AT161" s="48"/>
      <c r="AU161" s="48"/>
    </row>
    <row r="162" spans="1:47" s="121" customFormat="1" hidden="1">
      <c r="AN162" s="239"/>
      <c r="AO162" s="225"/>
      <c r="AP162" s="287"/>
      <c r="AQ162" s="258"/>
      <c r="AR162" s="258"/>
      <c r="AS162" s="202"/>
      <c r="AT162" s="213"/>
      <c r="AU162" s="213"/>
    </row>
    <row r="163" spans="1:47" s="121" customFormat="1" hidden="1">
      <c r="AN163" s="239"/>
      <c r="AO163" s="225"/>
      <c r="AP163" s="287"/>
      <c r="AQ163" s="258"/>
      <c r="AR163" s="258"/>
      <c r="AS163" s="202"/>
      <c r="AT163" s="213"/>
      <c r="AU163" s="213"/>
    </row>
    <row r="164" spans="1:47" s="121" customFormat="1" hidden="1">
      <c r="AN164" s="239"/>
      <c r="AO164" s="225"/>
      <c r="AP164" s="287"/>
      <c r="AQ164" s="258"/>
      <c r="AR164" s="258"/>
      <c r="AS164" s="202"/>
      <c r="AT164" s="213"/>
      <c r="AU164" s="213"/>
    </row>
    <row r="165" spans="1:47" s="121" customFormat="1" hidden="1">
      <c r="AN165" s="239"/>
      <c r="AO165" s="225"/>
      <c r="AP165" s="287"/>
      <c r="AQ165" s="258"/>
      <c r="AR165" s="258"/>
      <c r="AS165" s="202"/>
      <c r="AT165" s="213"/>
      <c r="AU165" s="213"/>
    </row>
    <row r="166" spans="1:47" hidden="1">
      <c r="A166" s="51"/>
      <c r="B166" s="51"/>
      <c r="C166" s="51"/>
      <c r="D166" s="51"/>
      <c r="E166" s="51"/>
      <c r="F166" s="51"/>
      <c r="G166" s="51"/>
      <c r="H166" s="51"/>
      <c r="I166" s="5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239"/>
      <c r="AO166" s="225"/>
      <c r="AP166" s="287"/>
      <c r="AQ166" s="258"/>
      <c r="AR166" s="258"/>
      <c r="AS166" s="202"/>
      <c r="AT166" s="48"/>
      <c r="AU166" s="48"/>
    </row>
    <row r="167" spans="1:47" s="121" customFormat="1" hidden="1">
      <c r="AN167" s="239"/>
      <c r="AO167" s="225"/>
      <c r="AP167" s="287"/>
      <c r="AQ167" s="258"/>
      <c r="AR167" s="258"/>
      <c r="AS167" s="202"/>
      <c r="AT167" s="213"/>
      <c r="AU167" s="213"/>
    </row>
    <row r="168" spans="1:47" s="121" customFormat="1" hidden="1">
      <c r="AN168" s="239"/>
      <c r="AO168" s="225"/>
      <c r="AP168" s="287"/>
      <c r="AQ168" s="258"/>
      <c r="AR168" s="258"/>
      <c r="AS168" s="202"/>
      <c r="AT168" s="213"/>
      <c r="AU168" s="213"/>
    </row>
    <row r="169" spans="1:47" s="121" customFormat="1" hidden="1">
      <c r="AN169" s="239"/>
      <c r="AO169" s="225"/>
      <c r="AP169" s="287"/>
      <c r="AQ169" s="258"/>
      <c r="AR169" s="258"/>
      <c r="AS169" s="202"/>
      <c r="AT169" s="213"/>
      <c r="AU169" s="213"/>
    </row>
    <row r="170" spans="1:47" s="121" customFormat="1" hidden="1">
      <c r="AN170" s="239"/>
      <c r="AO170" s="225"/>
      <c r="AP170" s="287"/>
      <c r="AQ170" s="258"/>
      <c r="AR170" s="258"/>
      <c r="AS170" s="202"/>
      <c r="AT170" s="213"/>
      <c r="AU170" s="213"/>
    </row>
    <row r="171" spans="1:47" hidden="1">
      <c r="A171" s="51"/>
      <c r="B171" s="51"/>
      <c r="C171" s="51"/>
      <c r="D171" s="51"/>
      <c r="E171" s="51"/>
      <c r="F171" s="51"/>
      <c r="G171" s="51"/>
      <c r="H171" s="51"/>
      <c r="I171" s="5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239"/>
      <c r="AO171" s="225"/>
      <c r="AP171" s="287"/>
      <c r="AQ171" s="258"/>
      <c r="AR171" s="258"/>
      <c r="AS171" s="202"/>
      <c r="AT171" s="48"/>
      <c r="AU171" s="48"/>
    </row>
    <row r="172" spans="1:47" s="121" customFormat="1" hidden="1">
      <c r="AN172" s="239"/>
      <c r="AO172" s="225"/>
      <c r="AP172" s="287"/>
      <c r="AQ172" s="258"/>
      <c r="AR172" s="258"/>
      <c r="AS172" s="202"/>
      <c r="AT172" s="213"/>
      <c r="AU172" s="213"/>
    </row>
    <row r="173" spans="1:47" s="121" customFormat="1" hidden="1">
      <c r="AN173" s="239"/>
      <c r="AO173" s="225"/>
      <c r="AP173" s="287"/>
      <c r="AQ173" s="258"/>
      <c r="AR173" s="258"/>
      <c r="AS173" s="202"/>
      <c r="AT173" s="213"/>
      <c r="AU173" s="213"/>
    </row>
    <row r="174" spans="1:47" s="121" customFormat="1" hidden="1">
      <c r="AN174" s="239"/>
      <c r="AO174" s="225"/>
      <c r="AP174" s="287"/>
      <c r="AQ174" s="258"/>
      <c r="AR174" s="258"/>
      <c r="AS174" s="202"/>
      <c r="AT174" s="213"/>
      <c r="AU174" s="213"/>
    </row>
    <row r="175" spans="1:47" s="121" customFormat="1" hidden="1">
      <c r="AN175" s="239"/>
      <c r="AO175" s="225"/>
      <c r="AP175" s="287"/>
      <c r="AQ175" s="258"/>
      <c r="AR175" s="258"/>
      <c r="AS175" s="202"/>
      <c r="AT175" s="213"/>
      <c r="AU175" s="213"/>
    </row>
    <row r="176" spans="1:47" hidden="1">
      <c r="A176" s="51"/>
      <c r="B176" s="51"/>
      <c r="C176" s="51"/>
      <c r="D176" s="51"/>
      <c r="E176" s="51"/>
      <c r="F176" s="51"/>
      <c r="G176" s="51"/>
      <c r="H176" s="51"/>
      <c r="I176" s="5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239"/>
      <c r="AO176" s="225"/>
      <c r="AP176" s="287"/>
      <c r="AQ176" s="258"/>
      <c r="AR176" s="258"/>
      <c r="AS176" s="202"/>
      <c r="AT176" s="48"/>
      <c r="AU176" s="48"/>
    </row>
    <row r="177" spans="1:47" s="121" customFormat="1" hidden="1">
      <c r="AN177" s="239"/>
      <c r="AO177" s="225"/>
      <c r="AP177" s="287"/>
      <c r="AQ177" s="258"/>
      <c r="AR177" s="258"/>
      <c r="AS177" s="202"/>
      <c r="AT177" s="213"/>
      <c r="AU177" s="213"/>
    </row>
    <row r="178" spans="1:47" s="121" customFormat="1" hidden="1">
      <c r="AN178" s="239"/>
      <c r="AO178" s="225"/>
      <c r="AP178" s="287"/>
      <c r="AQ178" s="258"/>
      <c r="AR178" s="258"/>
      <c r="AS178" s="202"/>
      <c r="AT178" s="213"/>
      <c r="AU178" s="213"/>
    </row>
    <row r="179" spans="1:47" s="121" customFormat="1" hidden="1">
      <c r="AN179" s="239"/>
      <c r="AO179" s="225"/>
      <c r="AP179" s="287"/>
      <c r="AQ179" s="258"/>
      <c r="AR179" s="258"/>
      <c r="AS179" s="202"/>
      <c r="AT179" s="213"/>
      <c r="AU179" s="213"/>
    </row>
    <row r="180" spans="1:47" s="121" customFormat="1" hidden="1">
      <c r="AN180" s="239"/>
      <c r="AO180" s="225"/>
      <c r="AP180" s="287"/>
      <c r="AQ180" s="258"/>
      <c r="AR180" s="258"/>
      <c r="AS180" s="202"/>
      <c r="AT180" s="213"/>
      <c r="AU180" s="213"/>
    </row>
    <row r="181" spans="1:47" hidden="1">
      <c r="A181" s="51"/>
      <c r="B181" s="51"/>
      <c r="C181" s="51"/>
      <c r="D181" s="51"/>
      <c r="E181" s="51"/>
      <c r="F181" s="51"/>
      <c r="G181" s="51"/>
      <c r="H181" s="51"/>
      <c r="I181" s="5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239"/>
      <c r="AO181" s="225"/>
      <c r="AP181" s="287"/>
      <c r="AQ181" s="258"/>
      <c r="AR181" s="258"/>
      <c r="AS181" s="202"/>
      <c r="AT181" s="48"/>
      <c r="AU181" s="48"/>
    </row>
    <row r="182" spans="1:47" s="121" customFormat="1" hidden="1">
      <c r="AN182" s="239"/>
      <c r="AO182" s="225"/>
      <c r="AP182" s="287"/>
      <c r="AQ182" s="258"/>
      <c r="AR182" s="258"/>
      <c r="AS182" s="202"/>
      <c r="AT182" s="213"/>
      <c r="AU182" s="213"/>
    </row>
    <row r="183" spans="1:47" s="121" customFormat="1" hidden="1">
      <c r="AN183" s="239"/>
      <c r="AO183" s="225"/>
      <c r="AP183" s="287"/>
      <c r="AQ183" s="258"/>
      <c r="AR183" s="258"/>
      <c r="AS183" s="202"/>
      <c r="AT183" s="213"/>
      <c r="AU183" s="213"/>
    </row>
    <row r="184" spans="1:47" s="121" customFormat="1" hidden="1">
      <c r="AN184" s="239"/>
      <c r="AO184" s="225"/>
      <c r="AP184" s="287"/>
      <c r="AQ184" s="258"/>
      <c r="AR184" s="258"/>
      <c r="AS184" s="202"/>
      <c r="AT184" s="213"/>
      <c r="AU184" s="213"/>
    </row>
    <row r="185" spans="1:47" s="121" customFormat="1" hidden="1">
      <c r="AN185" s="239"/>
      <c r="AO185" s="225"/>
      <c r="AP185" s="287"/>
      <c r="AQ185" s="258"/>
      <c r="AR185" s="258"/>
      <c r="AS185" s="202"/>
      <c r="AT185" s="213"/>
      <c r="AU185" s="213"/>
    </row>
    <row r="186" spans="1:47" hidden="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239"/>
      <c r="AO186" s="225"/>
      <c r="AP186" s="287"/>
      <c r="AQ186" s="258"/>
      <c r="AR186" s="258"/>
      <c r="AS186" s="202"/>
      <c r="AT186" s="48"/>
      <c r="AU186" s="48"/>
    </row>
    <row r="187" spans="1:47" s="121" customFormat="1" hidden="1">
      <c r="AN187" s="239"/>
      <c r="AO187" s="225"/>
      <c r="AP187" s="287"/>
      <c r="AQ187" s="258"/>
      <c r="AR187" s="258"/>
      <c r="AS187" s="202"/>
      <c r="AT187" s="213"/>
      <c r="AU187" s="213"/>
    </row>
    <row r="188" spans="1:47" s="121" customFormat="1" hidden="1">
      <c r="AN188" s="239"/>
      <c r="AO188" s="225"/>
      <c r="AP188" s="287"/>
      <c r="AQ188" s="258"/>
      <c r="AR188" s="258"/>
      <c r="AS188" s="202"/>
      <c r="AT188" s="213"/>
      <c r="AU188" s="213"/>
    </row>
    <row r="189" spans="1:47" s="121" customFormat="1" hidden="1">
      <c r="AN189" s="239"/>
      <c r="AO189" s="225"/>
      <c r="AP189" s="287"/>
      <c r="AQ189" s="258"/>
      <c r="AR189" s="258"/>
      <c r="AS189" s="202"/>
      <c r="AT189" s="213"/>
      <c r="AU189" s="213"/>
    </row>
    <row r="190" spans="1:47" s="121" customFormat="1" hidden="1" collapsed="1">
      <c r="AN190" s="239"/>
      <c r="AO190" s="225"/>
      <c r="AP190" s="287"/>
      <c r="AQ190" s="258"/>
      <c r="AR190" s="258"/>
      <c r="AS190" s="202"/>
      <c r="AT190" s="213"/>
      <c r="AU190" s="213"/>
    </row>
    <row r="191" spans="1:47" hidden="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239"/>
      <c r="AO191" s="225"/>
      <c r="AP191" s="287"/>
      <c r="AQ191" s="258"/>
      <c r="AR191" s="258"/>
      <c r="AS191" s="202"/>
      <c r="AT191" s="48"/>
      <c r="AU191" s="48"/>
    </row>
    <row r="192" spans="1:47" s="121" customFormat="1" hidden="1">
      <c r="AN192" s="239"/>
      <c r="AO192" s="225"/>
      <c r="AP192" s="287"/>
      <c r="AQ192" s="258"/>
      <c r="AR192" s="258"/>
      <c r="AS192" s="202"/>
      <c r="AT192" s="213"/>
      <c r="AU192" s="213"/>
    </row>
    <row r="193" spans="1:47" s="121" customFormat="1" hidden="1">
      <c r="AN193" s="239"/>
      <c r="AO193" s="225"/>
      <c r="AP193" s="287"/>
      <c r="AQ193" s="258"/>
      <c r="AR193" s="258"/>
      <c r="AS193" s="202"/>
      <c r="AT193" s="213"/>
      <c r="AU193" s="213"/>
    </row>
    <row r="194" spans="1:47" s="121" customFormat="1" hidden="1">
      <c r="AN194" s="239"/>
      <c r="AO194" s="225"/>
      <c r="AP194" s="287"/>
      <c r="AQ194" s="258"/>
      <c r="AR194" s="258"/>
      <c r="AS194" s="202"/>
      <c r="AT194" s="213"/>
      <c r="AU194" s="213"/>
    </row>
    <row r="195" spans="1:47" s="121" customFormat="1" hidden="1">
      <c r="AN195" s="239"/>
      <c r="AO195" s="225"/>
      <c r="AP195" s="287"/>
      <c r="AQ195" s="258"/>
      <c r="AR195" s="258"/>
      <c r="AS195" s="202"/>
      <c r="AT195" s="213"/>
      <c r="AU195" s="213"/>
    </row>
    <row r="196" spans="1:47" hidden="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239"/>
      <c r="AO196" s="225"/>
      <c r="AP196" s="287"/>
      <c r="AQ196" s="258"/>
      <c r="AR196" s="258"/>
      <c r="AS196" s="202"/>
      <c r="AT196" s="48"/>
      <c r="AU196" s="48"/>
    </row>
    <row r="197" spans="1:47" s="121" customFormat="1" hidden="1">
      <c r="AN197" s="239"/>
      <c r="AO197" s="225"/>
      <c r="AP197" s="287"/>
      <c r="AQ197" s="258"/>
      <c r="AR197" s="258"/>
      <c r="AS197" s="202"/>
      <c r="AT197" s="213"/>
      <c r="AU197" s="213"/>
    </row>
    <row r="198" spans="1:47" s="121" customFormat="1" hidden="1" collapsed="1">
      <c r="AN198" s="239"/>
      <c r="AO198" s="225"/>
      <c r="AP198" s="287"/>
      <c r="AQ198" s="258"/>
      <c r="AR198" s="258"/>
      <c r="AS198" s="202"/>
      <c r="AT198" s="213"/>
      <c r="AU198" s="213"/>
    </row>
    <row r="199" spans="1:47" s="121" customFormat="1" hidden="1">
      <c r="AN199" s="239"/>
      <c r="AO199" s="225"/>
      <c r="AP199" s="287"/>
      <c r="AQ199" s="258"/>
      <c r="AR199" s="258"/>
      <c r="AS199" s="202"/>
      <c r="AT199" s="213"/>
      <c r="AU199" s="213"/>
    </row>
    <row r="200" spans="1:47" s="121" customFormat="1" hidden="1">
      <c r="AN200" s="239"/>
      <c r="AO200" s="225"/>
      <c r="AP200" s="287"/>
      <c r="AQ200" s="258"/>
      <c r="AR200" s="258"/>
      <c r="AS200" s="202"/>
      <c r="AT200" s="213"/>
      <c r="AU200" s="213"/>
    </row>
    <row r="201" spans="1:47" hidden="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239"/>
      <c r="AO201" s="225"/>
      <c r="AP201" s="287"/>
      <c r="AQ201" s="258"/>
      <c r="AR201" s="258"/>
      <c r="AS201" s="202"/>
      <c r="AT201" s="48"/>
      <c r="AU201" s="48"/>
    </row>
    <row r="202" spans="1:47" s="121" customFormat="1" hidden="1" collapsed="1">
      <c r="AN202" s="239"/>
      <c r="AO202" s="225"/>
      <c r="AP202" s="287"/>
      <c r="AQ202" s="258"/>
      <c r="AR202" s="258"/>
      <c r="AS202" s="202"/>
      <c r="AT202" s="213"/>
      <c r="AU202" s="213"/>
    </row>
    <row r="203" spans="1:47" s="121" customFormat="1" hidden="1">
      <c r="AN203" s="239"/>
      <c r="AO203" s="225"/>
      <c r="AP203" s="287"/>
      <c r="AQ203" s="258"/>
      <c r="AR203" s="258"/>
      <c r="AS203" s="202"/>
      <c r="AT203" s="213"/>
      <c r="AU203" s="213"/>
    </row>
    <row r="204" spans="1:47" s="121" customFormat="1" hidden="1">
      <c r="AN204" s="239"/>
      <c r="AO204" s="225"/>
      <c r="AP204" s="287"/>
      <c r="AQ204" s="258"/>
      <c r="AR204" s="258"/>
      <c r="AS204" s="202"/>
      <c r="AT204" s="213"/>
      <c r="AU204" s="213"/>
    </row>
    <row r="205" spans="1:47" s="121" customFormat="1" hidden="1">
      <c r="AN205" s="239"/>
      <c r="AO205" s="225"/>
      <c r="AP205" s="287"/>
      <c r="AQ205" s="258"/>
      <c r="AR205" s="258"/>
      <c r="AS205" s="202"/>
      <c r="AT205" s="213"/>
      <c r="AU205" s="213"/>
    </row>
    <row r="206" spans="1:47" hidden="1" collapsed="1">
      <c r="A206" s="51"/>
      <c r="B206" s="51"/>
      <c r="C206" s="51"/>
      <c r="D206" s="51"/>
      <c r="E206" s="51"/>
      <c r="F206" s="51"/>
      <c r="G206" s="51"/>
      <c r="H206" s="51"/>
      <c r="I206" s="5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239"/>
      <c r="AO206" s="225"/>
      <c r="AP206" s="287"/>
      <c r="AQ206" s="258"/>
      <c r="AR206" s="258"/>
      <c r="AS206" s="202"/>
      <c r="AT206" s="48"/>
      <c r="AU206" s="48"/>
    </row>
    <row r="207" spans="1:47" hidden="1">
      <c r="A207" s="51"/>
      <c r="B207" s="51"/>
      <c r="C207" s="51"/>
      <c r="D207" s="51"/>
      <c r="E207" s="51"/>
      <c r="F207" s="51"/>
      <c r="G207" s="51"/>
      <c r="H207" s="51"/>
      <c r="I207" s="5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239"/>
      <c r="AO207" s="225"/>
      <c r="AP207" s="287"/>
      <c r="AQ207" s="258"/>
      <c r="AR207" s="258"/>
      <c r="AS207" s="202"/>
      <c r="AT207" s="48"/>
      <c r="AU207" s="48"/>
    </row>
    <row r="208" spans="1:47" hidden="1">
      <c r="A208" s="51"/>
      <c r="B208" s="51"/>
      <c r="C208" s="51"/>
      <c r="D208" s="51"/>
      <c r="E208" s="51"/>
      <c r="F208" s="51"/>
      <c r="G208" s="51"/>
      <c r="H208" s="51"/>
      <c r="I208" s="5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239"/>
      <c r="AO208" s="225"/>
      <c r="AP208" s="287"/>
      <c r="AQ208" s="258"/>
      <c r="AR208" s="258"/>
      <c r="AS208" s="202"/>
      <c r="AT208" s="48"/>
      <c r="AU208" s="48"/>
    </row>
    <row r="209" spans="40:47" s="121" customFormat="1" hidden="1">
      <c r="AN209" s="239"/>
      <c r="AO209" s="225"/>
      <c r="AP209" s="287"/>
      <c r="AQ209" s="258"/>
      <c r="AR209" s="258"/>
      <c r="AS209" s="202"/>
      <c r="AT209" s="213"/>
      <c r="AU209" s="213"/>
    </row>
    <row r="210" spans="40:47" s="121" customFormat="1" hidden="1">
      <c r="AN210" s="239"/>
      <c r="AO210" s="225"/>
      <c r="AP210" s="287"/>
      <c r="AQ210" s="258"/>
      <c r="AR210" s="258"/>
      <c r="AS210" s="202"/>
      <c r="AT210" s="213"/>
      <c r="AU210" s="213"/>
    </row>
    <row r="211" spans="40:47" s="121" customFormat="1" hidden="1">
      <c r="AN211" s="239"/>
      <c r="AO211" s="225"/>
      <c r="AP211" s="287"/>
      <c r="AQ211" s="258"/>
      <c r="AR211" s="258"/>
      <c r="AS211" s="202"/>
      <c r="AT211" s="213"/>
      <c r="AU211" s="213"/>
    </row>
    <row r="212" spans="40:47" s="121" customFormat="1" hidden="1">
      <c r="AN212" s="239"/>
      <c r="AO212" s="225"/>
      <c r="AP212" s="287"/>
      <c r="AQ212" s="258"/>
      <c r="AR212" s="258"/>
      <c r="AS212" s="202"/>
      <c r="AT212" s="213"/>
      <c r="AU212" s="213"/>
    </row>
    <row r="213" spans="40:47" s="121" customFormat="1" hidden="1">
      <c r="AN213" s="239"/>
      <c r="AO213" s="225"/>
      <c r="AP213" s="287"/>
      <c r="AQ213" s="258"/>
      <c r="AR213" s="258"/>
      <c r="AS213" s="202"/>
      <c r="AT213" s="213"/>
      <c r="AU213" s="213"/>
    </row>
    <row r="214" spans="40:47" s="121" customFormat="1" hidden="1">
      <c r="AN214" s="239"/>
      <c r="AO214" s="225"/>
      <c r="AP214" s="287"/>
      <c r="AQ214" s="258"/>
      <c r="AR214" s="258"/>
      <c r="AS214" s="202"/>
      <c r="AT214" s="213"/>
      <c r="AU214" s="213"/>
    </row>
    <row r="215" spans="40:47" s="121" customFormat="1" hidden="1">
      <c r="AN215" s="239"/>
      <c r="AO215" s="225"/>
      <c r="AP215" s="287"/>
      <c r="AQ215" s="258"/>
      <c r="AR215" s="258"/>
      <c r="AS215" s="202"/>
      <c r="AT215" s="213"/>
      <c r="AU215" s="213"/>
    </row>
    <row r="216" spans="40:47" s="121" customFormat="1" hidden="1">
      <c r="AN216" s="239"/>
      <c r="AO216" s="225"/>
      <c r="AP216" s="287"/>
      <c r="AQ216" s="258"/>
      <c r="AR216" s="258"/>
      <c r="AS216" s="202"/>
      <c r="AT216" s="213"/>
      <c r="AU216" s="213"/>
    </row>
    <row r="217" spans="40:47" s="121" customFormat="1" hidden="1">
      <c r="AN217" s="239"/>
      <c r="AO217" s="225"/>
      <c r="AP217" s="287"/>
      <c r="AQ217" s="258"/>
      <c r="AR217" s="258"/>
      <c r="AS217" s="202"/>
      <c r="AT217" s="213"/>
      <c r="AU217" s="213"/>
    </row>
    <row r="218" spans="40:47" s="121" customFormat="1" hidden="1">
      <c r="AN218" s="239"/>
      <c r="AO218" s="225"/>
      <c r="AP218" s="287"/>
      <c r="AQ218" s="258"/>
      <c r="AR218" s="258"/>
      <c r="AS218" s="202"/>
      <c r="AT218" s="213"/>
      <c r="AU218" s="213"/>
    </row>
    <row r="219" spans="40:47" s="121" customFormat="1" hidden="1">
      <c r="AN219" s="239"/>
      <c r="AO219" s="225"/>
      <c r="AP219" s="287"/>
      <c r="AQ219" s="258"/>
      <c r="AR219" s="258"/>
      <c r="AS219" s="202"/>
      <c r="AT219" s="213"/>
      <c r="AU219" s="213"/>
    </row>
    <row r="220" spans="40:47" s="121" customFormat="1" hidden="1">
      <c r="AN220" s="239"/>
      <c r="AO220" s="225"/>
      <c r="AP220" s="287"/>
      <c r="AQ220" s="258"/>
      <c r="AR220" s="258"/>
      <c r="AS220" s="202"/>
      <c r="AT220" s="213"/>
      <c r="AU220" s="213"/>
    </row>
    <row r="221" spans="40:47" s="121" customFormat="1" hidden="1">
      <c r="AN221" s="239"/>
      <c r="AO221" s="225"/>
      <c r="AP221" s="287"/>
      <c r="AQ221" s="258"/>
      <c r="AR221" s="258"/>
      <c r="AS221" s="202"/>
      <c r="AT221" s="213"/>
      <c r="AU221" s="213"/>
    </row>
    <row r="222" spans="40:47" s="121" customFormat="1" hidden="1">
      <c r="AN222" s="239"/>
      <c r="AO222" s="225"/>
      <c r="AP222" s="287"/>
      <c r="AQ222" s="258"/>
      <c r="AR222" s="258"/>
      <c r="AS222" s="202"/>
      <c r="AT222" s="213"/>
      <c r="AU222" s="213"/>
    </row>
    <row r="223" spans="40:47" s="121" customFormat="1" hidden="1">
      <c r="AN223" s="239"/>
      <c r="AO223" s="225"/>
      <c r="AP223" s="287"/>
      <c r="AQ223" s="258"/>
      <c r="AR223" s="258"/>
      <c r="AS223" s="202"/>
      <c r="AT223" s="213"/>
      <c r="AU223" s="213"/>
    </row>
    <row r="224" spans="40:47" s="121" customFormat="1" hidden="1">
      <c r="AN224" s="239"/>
      <c r="AO224" s="225"/>
      <c r="AP224" s="287"/>
      <c r="AQ224" s="258"/>
      <c r="AR224" s="258"/>
      <c r="AS224" s="202"/>
      <c r="AT224" s="213"/>
      <c r="AU224" s="213"/>
    </row>
    <row r="225" spans="40:47" s="121" customFormat="1" hidden="1">
      <c r="AN225" s="239"/>
      <c r="AO225" s="225"/>
      <c r="AP225" s="287"/>
      <c r="AQ225" s="258"/>
      <c r="AR225" s="258"/>
      <c r="AS225" s="202"/>
      <c r="AT225" s="213"/>
      <c r="AU225" s="213"/>
    </row>
    <row r="226" spans="40:47" s="121" customFormat="1" hidden="1">
      <c r="AN226" s="239"/>
      <c r="AO226" s="225"/>
      <c r="AP226" s="287"/>
      <c r="AQ226" s="258"/>
      <c r="AR226" s="258"/>
      <c r="AS226" s="202"/>
      <c r="AT226" s="213"/>
      <c r="AU226" s="213"/>
    </row>
    <row r="227" spans="40:47" s="121" customFormat="1" hidden="1">
      <c r="AN227" s="239"/>
      <c r="AO227" s="225"/>
      <c r="AP227" s="260"/>
      <c r="AQ227" s="258"/>
      <c r="AR227" s="258"/>
      <c r="AS227" s="202"/>
      <c r="AT227" s="213"/>
      <c r="AU227" s="213"/>
    </row>
    <row r="228" spans="40:47" s="121" customFormat="1" hidden="1">
      <c r="AN228" s="239"/>
      <c r="AO228" s="225"/>
      <c r="AP228" s="260"/>
      <c r="AQ228" s="258"/>
      <c r="AR228" s="258"/>
      <c r="AS228" s="202"/>
      <c r="AT228" s="213"/>
      <c r="AU228" s="213"/>
    </row>
    <row r="229" spans="40:47" s="121" customFormat="1" hidden="1">
      <c r="AN229" s="239"/>
      <c r="AO229" s="225"/>
      <c r="AP229" s="260"/>
      <c r="AQ229" s="258"/>
      <c r="AR229" s="258"/>
      <c r="AS229" s="202"/>
      <c r="AT229" s="213"/>
      <c r="AU229" s="213"/>
    </row>
    <row r="230" spans="40:47" s="121" customFormat="1" hidden="1">
      <c r="AN230" s="239"/>
      <c r="AO230" s="225"/>
      <c r="AP230" s="260"/>
      <c r="AQ230" s="258"/>
      <c r="AR230" s="258"/>
      <c r="AS230" s="202"/>
      <c r="AT230" s="213"/>
      <c r="AU230" s="213"/>
    </row>
    <row r="231" spans="40:47" s="121" customFormat="1" hidden="1">
      <c r="AN231" s="239"/>
      <c r="AO231" s="225"/>
      <c r="AP231" s="260"/>
      <c r="AQ231" s="258"/>
      <c r="AR231" s="258"/>
      <c r="AS231" s="202"/>
      <c r="AT231" s="213"/>
      <c r="AU231" s="213"/>
    </row>
    <row r="232" spans="40:47" s="121" customFormat="1" hidden="1">
      <c r="AN232" s="239"/>
      <c r="AO232" s="225"/>
      <c r="AP232" s="260"/>
      <c r="AQ232" s="258"/>
      <c r="AR232" s="258"/>
      <c r="AS232" s="202"/>
      <c r="AT232" s="213"/>
      <c r="AU232" s="213"/>
    </row>
    <row r="233" spans="40:47" s="121" customFormat="1" hidden="1">
      <c r="AN233" s="239"/>
      <c r="AO233" s="225"/>
      <c r="AP233" s="260"/>
      <c r="AQ233" s="258"/>
      <c r="AR233" s="258"/>
      <c r="AS233" s="202"/>
      <c r="AT233" s="213"/>
      <c r="AU233" s="213"/>
    </row>
    <row r="234" spans="40:47" s="121" customFormat="1" hidden="1">
      <c r="AN234" s="239"/>
      <c r="AO234" s="225"/>
      <c r="AP234" s="260"/>
      <c r="AQ234" s="258"/>
      <c r="AR234" s="258"/>
      <c r="AS234" s="202"/>
      <c r="AT234" s="213"/>
      <c r="AU234" s="213"/>
    </row>
    <row r="235" spans="40:47" s="121" customFormat="1" hidden="1">
      <c r="AN235" s="239"/>
      <c r="AO235" s="225"/>
      <c r="AP235" s="260"/>
      <c r="AQ235" s="258"/>
      <c r="AR235" s="258"/>
      <c r="AS235" s="202"/>
      <c r="AT235" s="213"/>
      <c r="AU235" s="213"/>
    </row>
    <row r="236" spans="40:47" s="121" customFormat="1" hidden="1">
      <c r="AN236" s="239"/>
      <c r="AO236" s="225"/>
      <c r="AP236" s="260"/>
      <c r="AQ236" s="258"/>
      <c r="AR236" s="258"/>
      <c r="AS236" s="202"/>
      <c r="AT236" s="213"/>
      <c r="AU236" s="213"/>
    </row>
    <row r="237" spans="40:47" s="121" customFormat="1" hidden="1">
      <c r="AN237" s="239"/>
      <c r="AO237" s="225"/>
      <c r="AP237" s="260"/>
      <c r="AQ237" s="258"/>
      <c r="AR237" s="258"/>
      <c r="AS237" s="202"/>
      <c r="AT237" s="213"/>
      <c r="AU237" s="213"/>
    </row>
    <row r="238" spans="40:47" s="121" customFormat="1" hidden="1">
      <c r="AN238" s="239"/>
      <c r="AO238" s="225"/>
      <c r="AP238" s="260"/>
      <c r="AQ238" s="258"/>
      <c r="AR238" s="258"/>
      <c r="AS238" s="202"/>
      <c r="AT238" s="213"/>
      <c r="AU238" s="213"/>
    </row>
    <row r="239" spans="40:47" s="121" customFormat="1" hidden="1">
      <c r="AN239" s="239"/>
      <c r="AO239" s="225"/>
      <c r="AP239" s="260"/>
      <c r="AQ239" s="258"/>
      <c r="AR239" s="258"/>
      <c r="AS239" s="202"/>
      <c r="AT239" s="213"/>
      <c r="AU239" s="213"/>
    </row>
    <row r="240" spans="40:47" s="121" customFormat="1" hidden="1">
      <c r="AN240" s="239"/>
      <c r="AO240" s="225"/>
      <c r="AP240" s="260"/>
      <c r="AQ240" s="258"/>
      <c r="AR240" s="258"/>
      <c r="AS240" s="202"/>
      <c r="AT240" s="213"/>
      <c r="AU240" s="213"/>
    </row>
    <row r="241" spans="40:47" s="121" customFormat="1" hidden="1">
      <c r="AN241" s="239"/>
      <c r="AO241" s="225"/>
      <c r="AP241" s="260"/>
      <c r="AQ241" s="258"/>
      <c r="AR241" s="258"/>
      <c r="AS241" s="202"/>
      <c r="AT241" s="213"/>
      <c r="AU241" s="213"/>
    </row>
    <row r="242" spans="40:47" s="121" customFormat="1" hidden="1">
      <c r="AN242" s="239"/>
      <c r="AO242" s="225"/>
      <c r="AP242" s="260"/>
      <c r="AQ242" s="258"/>
      <c r="AR242" s="258"/>
      <c r="AS242" s="202"/>
      <c r="AT242" s="213"/>
      <c r="AU242" s="213"/>
    </row>
    <row r="243" spans="40:47" s="121" customFormat="1" hidden="1">
      <c r="AN243" s="239"/>
      <c r="AO243" s="225"/>
      <c r="AP243" s="260"/>
      <c r="AQ243" s="258"/>
      <c r="AR243" s="258"/>
      <c r="AS243" s="202"/>
      <c r="AT243" s="213"/>
      <c r="AU243" s="213"/>
    </row>
    <row r="244" spans="40:47" s="121" customFormat="1" hidden="1">
      <c r="AN244" s="239"/>
      <c r="AO244" s="225"/>
      <c r="AP244" s="260"/>
      <c r="AQ244" s="258"/>
      <c r="AR244" s="258"/>
      <c r="AS244" s="202"/>
      <c r="AT244" s="213"/>
      <c r="AU244" s="213"/>
    </row>
    <row r="245" spans="40:47" s="121" customFormat="1" hidden="1">
      <c r="AN245" s="239"/>
      <c r="AO245" s="225"/>
      <c r="AP245" s="260"/>
      <c r="AQ245" s="258"/>
      <c r="AR245" s="258"/>
      <c r="AS245" s="202"/>
      <c r="AT245" s="213"/>
      <c r="AU245" s="213"/>
    </row>
    <row r="246" spans="40:47" s="121" customFormat="1" hidden="1">
      <c r="AN246" s="239"/>
      <c r="AO246" s="225"/>
      <c r="AP246" s="260"/>
      <c r="AQ246" s="258"/>
      <c r="AR246" s="258"/>
      <c r="AS246" s="202"/>
      <c r="AT246" s="213"/>
      <c r="AU246" s="213"/>
    </row>
    <row r="247" spans="40:47" s="121" customFormat="1" hidden="1">
      <c r="AN247" s="239"/>
      <c r="AO247" s="225"/>
      <c r="AP247" s="260"/>
      <c r="AQ247" s="258"/>
      <c r="AR247" s="258"/>
      <c r="AS247" s="202"/>
      <c r="AT247" s="213"/>
      <c r="AU247" s="213"/>
    </row>
    <row r="248" spans="40:47" s="121" customFormat="1" hidden="1">
      <c r="AN248" s="239"/>
      <c r="AO248" s="225"/>
      <c r="AP248" s="260"/>
      <c r="AQ248" s="258"/>
      <c r="AR248" s="258"/>
      <c r="AS248" s="202"/>
      <c r="AT248" s="213"/>
      <c r="AU248" s="213"/>
    </row>
    <row r="249" spans="40:47" s="121" customFormat="1" hidden="1">
      <c r="AN249" s="239"/>
      <c r="AO249" s="225"/>
      <c r="AP249" s="260"/>
      <c r="AQ249" s="258"/>
      <c r="AR249" s="258"/>
      <c r="AS249" s="202"/>
      <c r="AT249" s="213"/>
      <c r="AU249" s="213"/>
    </row>
    <row r="250" spans="40:47" s="121" customFormat="1" hidden="1">
      <c r="AN250" s="239"/>
      <c r="AO250" s="225"/>
      <c r="AP250" s="260"/>
      <c r="AQ250" s="258"/>
      <c r="AR250" s="258"/>
      <c r="AS250" s="202"/>
      <c r="AT250" s="213"/>
      <c r="AU250" s="213"/>
    </row>
    <row r="251" spans="40:47" s="121" customFormat="1" hidden="1">
      <c r="AN251" s="239"/>
      <c r="AO251" s="225"/>
      <c r="AP251" s="260"/>
      <c r="AQ251" s="258"/>
      <c r="AR251" s="258"/>
      <c r="AS251" s="202"/>
      <c r="AT251" s="213"/>
      <c r="AU251" s="213"/>
    </row>
    <row r="252" spans="40:47" s="121" customFormat="1" hidden="1">
      <c r="AN252" s="239"/>
      <c r="AO252" s="225"/>
      <c r="AP252" s="260"/>
      <c r="AQ252" s="258"/>
      <c r="AR252" s="258"/>
      <c r="AS252" s="202"/>
      <c r="AT252" s="213"/>
      <c r="AU252" s="213"/>
    </row>
    <row r="253" spans="40:47" s="121" customFormat="1" hidden="1">
      <c r="AN253" s="239"/>
      <c r="AO253" s="225"/>
      <c r="AP253" s="260"/>
      <c r="AQ253" s="258"/>
      <c r="AR253" s="258"/>
      <c r="AS253" s="202"/>
      <c r="AT253" s="213"/>
      <c r="AU253" s="213"/>
    </row>
    <row r="254" spans="40:47" s="121" customFormat="1" hidden="1">
      <c r="AN254" s="239"/>
      <c r="AO254" s="225"/>
      <c r="AP254" s="260"/>
      <c r="AQ254" s="258"/>
      <c r="AR254" s="258"/>
      <c r="AS254" s="202"/>
      <c r="AT254" s="213"/>
      <c r="AU254" s="213"/>
    </row>
    <row r="255" spans="40:47" s="121" customFormat="1" hidden="1">
      <c r="AN255" s="239"/>
      <c r="AO255" s="225"/>
      <c r="AP255" s="260"/>
      <c r="AQ255" s="258"/>
      <c r="AR255" s="258"/>
      <c r="AS255" s="202"/>
      <c r="AT255" s="213"/>
      <c r="AU255" s="213"/>
    </row>
    <row r="256" spans="40:47" s="121" customFormat="1" hidden="1">
      <c r="AN256" s="239"/>
      <c r="AO256" s="225"/>
      <c r="AP256" s="260"/>
      <c r="AQ256" s="258"/>
      <c r="AR256" s="258"/>
      <c r="AS256" s="202"/>
      <c r="AT256" s="213"/>
      <c r="AU256" s="213"/>
    </row>
    <row r="257" spans="40:47" s="121" customFormat="1" hidden="1">
      <c r="AN257" s="239"/>
      <c r="AO257" s="225"/>
      <c r="AP257" s="260"/>
      <c r="AQ257" s="258"/>
      <c r="AR257" s="258"/>
      <c r="AS257" s="202"/>
      <c r="AT257" s="213"/>
      <c r="AU257" s="213"/>
    </row>
    <row r="258" spans="40:47" s="121" customFormat="1" hidden="1">
      <c r="AN258" s="239"/>
      <c r="AO258" s="225"/>
      <c r="AP258" s="260"/>
      <c r="AQ258" s="258"/>
      <c r="AR258" s="258"/>
      <c r="AS258" s="202"/>
      <c r="AT258" s="213"/>
      <c r="AU258" s="213"/>
    </row>
    <row r="259" spans="40:47" s="121" customFormat="1" hidden="1">
      <c r="AN259" s="239"/>
      <c r="AO259" s="225"/>
      <c r="AP259" s="260"/>
      <c r="AQ259" s="258"/>
      <c r="AR259" s="258"/>
      <c r="AS259" s="202"/>
      <c r="AT259" s="213"/>
      <c r="AU259" s="213"/>
    </row>
    <row r="260" spans="40:47" s="121" customFormat="1" hidden="1">
      <c r="AN260" s="239"/>
      <c r="AO260" s="225"/>
      <c r="AP260" s="260"/>
      <c r="AQ260" s="258"/>
      <c r="AR260" s="258"/>
      <c r="AS260" s="202"/>
      <c r="AT260" s="213"/>
      <c r="AU260" s="213"/>
    </row>
    <row r="261" spans="40:47" s="121" customFormat="1" hidden="1">
      <c r="AN261" s="239"/>
      <c r="AO261" s="225"/>
      <c r="AP261" s="260"/>
      <c r="AQ261" s="258"/>
      <c r="AR261" s="258"/>
      <c r="AS261" s="202"/>
      <c r="AT261" s="213"/>
      <c r="AU261" s="213"/>
    </row>
    <row r="262" spans="40:47" s="121" customFormat="1" hidden="1">
      <c r="AN262" s="239"/>
      <c r="AO262" s="225"/>
      <c r="AP262" s="260"/>
      <c r="AQ262" s="258"/>
      <c r="AR262" s="258"/>
      <c r="AS262" s="202"/>
      <c r="AT262" s="213"/>
      <c r="AU262" s="213"/>
    </row>
    <row r="263" spans="40:47" s="121" customFormat="1" hidden="1">
      <c r="AN263" s="239"/>
      <c r="AO263" s="225"/>
      <c r="AP263" s="260"/>
      <c r="AQ263" s="258"/>
      <c r="AR263" s="258"/>
      <c r="AS263" s="202"/>
      <c r="AT263" s="213"/>
      <c r="AU263" s="213"/>
    </row>
    <row r="264" spans="40:47" s="121" customFormat="1" hidden="1">
      <c r="AN264" s="239"/>
      <c r="AO264" s="225"/>
      <c r="AP264" s="260"/>
      <c r="AQ264" s="258"/>
      <c r="AR264" s="258"/>
      <c r="AS264" s="202"/>
      <c r="AT264" s="213"/>
      <c r="AU264" s="213"/>
    </row>
    <row r="265" spans="40:47" s="121" customFormat="1" hidden="1">
      <c r="AN265" s="239"/>
      <c r="AO265" s="225"/>
      <c r="AP265" s="260"/>
      <c r="AQ265" s="258"/>
      <c r="AR265" s="258"/>
      <c r="AS265" s="202"/>
      <c r="AT265" s="213"/>
      <c r="AU265" s="213"/>
    </row>
    <row r="266" spans="40:47" s="121" customFormat="1" hidden="1">
      <c r="AN266" s="239"/>
      <c r="AO266" s="225"/>
      <c r="AP266" s="260"/>
      <c r="AQ266" s="258"/>
      <c r="AR266" s="258"/>
      <c r="AS266" s="202"/>
      <c r="AT266" s="213"/>
      <c r="AU266" s="213"/>
    </row>
    <row r="267" spans="40:47" s="121" customFormat="1" hidden="1">
      <c r="AN267" s="239"/>
      <c r="AO267" s="225"/>
      <c r="AP267" s="260"/>
      <c r="AQ267" s="258"/>
      <c r="AR267" s="258"/>
      <c r="AS267" s="202"/>
      <c r="AT267" s="213"/>
      <c r="AU267" s="213"/>
    </row>
    <row r="268" spans="40:47" s="121" customFormat="1" hidden="1">
      <c r="AN268" s="239"/>
      <c r="AO268" s="225"/>
      <c r="AP268" s="260"/>
      <c r="AQ268" s="258"/>
      <c r="AR268" s="258"/>
      <c r="AS268" s="202"/>
      <c r="AT268" s="213"/>
      <c r="AU268" s="213"/>
    </row>
    <row r="269" spans="40:47" s="121" customFormat="1" hidden="1">
      <c r="AN269" s="239"/>
      <c r="AO269" s="225"/>
      <c r="AP269" s="260"/>
      <c r="AQ269" s="258"/>
      <c r="AR269" s="258"/>
      <c r="AS269" s="202"/>
      <c r="AT269" s="213"/>
      <c r="AU269" s="213"/>
    </row>
    <row r="270" spans="40:47" s="121" customFormat="1" hidden="1">
      <c r="AN270" s="239"/>
      <c r="AO270" s="225"/>
      <c r="AP270" s="260"/>
      <c r="AQ270" s="258"/>
      <c r="AR270" s="258"/>
      <c r="AS270" s="202"/>
      <c r="AT270" s="213"/>
      <c r="AU270" s="213"/>
    </row>
    <row r="271" spans="40:47" s="121" customFormat="1" hidden="1">
      <c r="AN271" s="239"/>
      <c r="AO271" s="225"/>
      <c r="AP271" s="260"/>
      <c r="AQ271" s="258"/>
      <c r="AR271" s="258"/>
      <c r="AS271" s="202"/>
      <c r="AT271" s="213"/>
      <c r="AU271" s="213"/>
    </row>
    <row r="272" spans="40:47" s="121" customFormat="1" hidden="1">
      <c r="AN272" s="239"/>
      <c r="AO272" s="225"/>
      <c r="AP272" s="260"/>
      <c r="AQ272" s="258"/>
      <c r="AR272" s="258"/>
      <c r="AS272" s="202"/>
      <c r="AT272" s="213"/>
      <c r="AU272" s="213"/>
    </row>
    <row r="273" spans="40:47" s="121" customFormat="1" hidden="1">
      <c r="AN273" s="239"/>
      <c r="AO273" s="225"/>
      <c r="AP273" s="260"/>
      <c r="AQ273" s="258"/>
      <c r="AR273" s="258"/>
      <c r="AS273" s="202"/>
      <c r="AT273" s="213"/>
      <c r="AU273" s="213"/>
    </row>
    <row r="274" spans="40:47" s="121" customFormat="1" hidden="1">
      <c r="AN274" s="239"/>
      <c r="AO274" s="225"/>
      <c r="AP274" s="260"/>
      <c r="AQ274" s="258"/>
      <c r="AR274" s="258"/>
      <c r="AS274" s="202"/>
      <c r="AT274" s="213"/>
      <c r="AU274" s="213"/>
    </row>
    <row r="275" spans="40:47" s="121" customFormat="1" hidden="1">
      <c r="AN275" s="239"/>
      <c r="AO275" s="225"/>
      <c r="AP275" s="260"/>
      <c r="AQ275" s="258"/>
      <c r="AR275" s="258"/>
      <c r="AS275" s="202"/>
      <c r="AT275" s="213"/>
      <c r="AU275" s="213"/>
    </row>
    <row r="276" spans="40:47" s="121" customFormat="1" hidden="1">
      <c r="AN276" s="239"/>
      <c r="AO276" s="225"/>
      <c r="AP276" s="260"/>
      <c r="AQ276" s="258"/>
      <c r="AR276" s="258"/>
      <c r="AS276" s="202"/>
      <c r="AT276" s="213"/>
      <c r="AU276" s="213"/>
    </row>
    <row r="277" spans="40:47" s="121" customFormat="1" hidden="1">
      <c r="AN277" s="239"/>
      <c r="AO277" s="225"/>
      <c r="AP277" s="260"/>
      <c r="AQ277" s="258"/>
      <c r="AR277" s="258"/>
      <c r="AS277" s="202"/>
      <c r="AT277" s="213"/>
      <c r="AU277" s="213"/>
    </row>
    <row r="278" spans="40:47" s="121" customFormat="1" hidden="1">
      <c r="AN278" s="239"/>
      <c r="AO278" s="225"/>
      <c r="AP278" s="260"/>
      <c r="AQ278" s="258"/>
      <c r="AR278" s="258"/>
      <c r="AS278" s="202"/>
      <c r="AT278" s="213"/>
      <c r="AU278" s="213"/>
    </row>
    <row r="279" spans="40:47" s="121" customFormat="1" hidden="1">
      <c r="AN279" s="239"/>
      <c r="AO279" s="225"/>
      <c r="AP279" s="260"/>
      <c r="AQ279" s="258"/>
      <c r="AR279" s="258"/>
      <c r="AS279" s="202"/>
      <c r="AT279" s="213"/>
      <c r="AU279" s="213"/>
    </row>
    <row r="280" spans="40:47" s="121" customFormat="1" hidden="1">
      <c r="AN280" s="239"/>
      <c r="AO280" s="225"/>
      <c r="AP280" s="260"/>
      <c r="AQ280" s="258"/>
      <c r="AR280" s="258"/>
      <c r="AS280" s="202"/>
      <c r="AT280" s="213"/>
      <c r="AU280" s="213"/>
    </row>
    <row r="281" spans="40:47" s="121" customFormat="1" hidden="1">
      <c r="AN281" s="239"/>
      <c r="AO281" s="225"/>
      <c r="AP281" s="260"/>
      <c r="AQ281" s="258"/>
      <c r="AR281" s="258"/>
      <c r="AS281" s="202"/>
      <c r="AT281" s="213"/>
      <c r="AU281" s="213"/>
    </row>
    <row r="282" spans="40:47" s="121" customFormat="1" hidden="1">
      <c r="AN282" s="239"/>
      <c r="AO282" s="225"/>
      <c r="AP282" s="260"/>
      <c r="AQ282" s="258"/>
      <c r="AR282" s="258"/>
      <c r="AS282" s="202"/>
      <c r="AT282" s="213"/>
      <c r="AU282" s="213"/>
    </row>
    <row r="283" spans="40:47" s="121" customFormat="1" hidden="1">
      <c r="AN283" s="239"/>
      <c r="AO283" s="225"/>
      <c r="AP283" s="260"/>
      <c r="AQ283" s="258"/>
      <c r="AR283" s="258"/>
      <c r="AS283" s="202"/>
      <c r="AT283" s="213"/>
      <c r="AU283" s="213"/>
    </row>
    <row r="284" spans="40:47" s="121" customFormat="1" hidden="1">
      <c r="AN284" s="239"/>
      <c r="AO284" s="225"/>
      <c r="AP284" s="260"/>
      <c r="AQ284" s="258"/>
      <c r="AR284" s="258"/>
      <c r="AS284" s="202"/>
      <c r="AT284" s="213"/>
      <c r="AU284" s="213"/>
    </row>
    <row r="285" spans="40:47" s="121" customFormat="1" hidden="1">
      <c r="AN285" s="239"/>
      <c r="AO285" s="225"/>
      <c r="AP285" s="260"/>
      <c r="AQ285" s="258"/>
      <c r="AR285" s="258"/>
      <c r="AS285" s="202"/>
      <c r="AT285" s="213"/>
      <c r="AU285" s="213"/>
    </row>
    <row r="286" spans="40:47" s="121" customFormat="1" hidden="1">
      <c r="AN286" s="239"/>
      <c r="AO286" s="225"/>
      <c r="AP286" s="260"/>
      <c r="AQ286" s="258"/>
      <c r="AR286" s="258"/>
      <c r="AS286" s="202"/>
      <c r="AT286" s="213"/>
      <c r="AU286" s="213"/>
    </row>
    <row r="287" spans="40:47" s="121" customFormat="1" hidden="1">
      <c r="AN287" s="239"/>
      <c r="AO287" s="225"/>
      <c r="AP287" s="260"/>
      <c r="AQ287" s="258"/>
      <c r="AR287" s="258"/>
      <c r="AS287" s="202"/>
      <c r="AT287" s="213"/>
      <c r="AU287" s="213"/>
    </row>
    <row r="288" spans="40:47" s="121" customFormat="1" hidden="1">
      <c r="AN288" s="239"/>
      <c r="AO288" s="225"/>
      <c r="AP288" s="260"/>
      <c r="AQ288" s="258"/>
      <c r="AR288" s="258"/>
      <c r="AS288" s="202"/>
      <c r="AT288" s="213"/>
      <c r="AU288" s="213"/>
    </row>
    <row r="289" spans="40:47" s="121" customFormat="1" hidden="1">
      <c r="AN289" s="239"/>
      <c r="AO289" s="225"/>
      <c r="AP289" s="260"/>
      <c r="AQ289" s="258"/>
      <c r="AR289" s="258"/>
      <c r="AS289" s="202"/>
      <c r="AT289" s="213"/>
      <c r="AU289" s="213"/>
    </row>
    <row r="290" spans="40:47" s="121" customFormat="1" hidden="1">
      <c r="AN290" s="239"/>
      <c r="AO290" s="225"/>
      <c r="AP290" s="260"/>
      <c r="AQ290" s="258"/>
      <c r="AR290" s="258"/>
      <c r="AS290" s="202"/>
      <c r="AT290" s="213"/>
      <c r="AU290" s="213"/>
    </row>
    <row r="291" spans="40:47" s="121" customFormat="1" hidden="1">
      <c r="AN291" s="239"/>
      <c r="AO291" s="225"/>
      <c r="AP291" s="260"/>
      <c r="AQ291" s="258"/>
      <c r="AR291" s="258"/>
      <c r="AS291" s="202"/>
      <c r="AT291" s="213"/>
      <c r="AU291" s="213"/>
    </row>
    <row r="292" spans="40:47" s="121" customFormat="1" hidden="1">
      <c r="AN292" s="239"/>
      <c r="AO292" s="225"/>
      <c r="AP292" s="260"/>
      <c r="AQ292" s="258"/>
      <c r="AR292" s="258"/>
      <c r="AS292" s="202"/>
      <c r="AT292" s="213"/>
      <c r="AU292" s="213"/>
    </row>
    <row r="293" spans="40:47" s="121" customFormat="1" hidden="1">
      <c r="AN293" s="239"/>
      <c r="AO293" s="225"/>
      <c r="AP293" s="260"/>
      <c r="AQ293" s="258"/>
      <c r="AR293" s="258"/>
      <c r="AS293" s="202"/>
      <c r="AT293" s="213"/>
      <c r="AU293" s="213"/>
    </row>
    <row r="294" spans="40:47" s="121" customFormat="1" hidden="1">
      <c r="AN294" s="239"/>
      <c r="AO294" s="225"/>
      <c r="AP294" s="260"/>
      <c r="AQ294" s="258"/>
      <c r="AR294" s="258"/>
      <c r="AS294" s="202"/>
      <c r="AT294" s="213"/>
      <c r="AU294" s="213"/>
    </row>
    <row r="295" spans="40:47" s="121" customFormat="1" hidden="1">
      <c r="AN295" s="239"/>
      <c r="AO295" s="225"/>
      <c r="AP295" s="260"/>
      <c r="AQ295" s="258"/>
      <c r="AR295" s="258"/>
      <c r="AS295" s="202"/>
      <c r="AT295" s="213"/>
      <c r="AU295" s="213"/>
    </row>
    <row r="296" spans="40:47" s="121" customFormat="1" hidden="1">
      <c r="AN296" s="239"/>
      <c r="AO296" s="225"/>
      <c r="AP296" s="260"/>
      <c r="AQ296" s="258"/>
      <c r="AR296" s="258"/>
      <c r="AS296" s="202"/>
      <c r="AT296" s="213"/>
      <c r="AU296" s="213"/>
    </row>
    <row r="297" spans="40:47" s="121" customFormat="1" hidden="1">
      <c r="AN297" s="239"/>
      <c r="AO297" s="225"/>
      <c r="AP297" s="260"/>
      <c r="AQ297" s="258"/>
      <c r="AR297" s="258"/>
      <c r="AS297" s="202"/>
      <c r="AT297" s="213"/>
      <c r="AU297" s="213"/>
    </row>
    <row r="298" spans="40:47" s="121" customFormat="1" hidden="1">
      <c r="AN298" s="239"/>
      <c r="AO298" s="225"/>
      <c r="AP298" s="260"/>
      <c r="AQ298" s="258"/>
      <c r="AR298" s="258"/>
      <c r="AS298" s="202"/>
      <c r="AT298" s="213"/>
      <c r="AU298" s="213"/>
    </row>
    <row r="299" spans="40:47" s="121" customFormat="1" hidden="1">
      <c r="AN299" s="239"/>
      <c r="AO299" s="225"/>
      <c r="AP299" s="260"/>
      <c r="AQ299" s="258"/>
      <c r="AR299" s="258"/>
      <c r="AS299" s="202"/>
      <c r="AT299" s="213"/>
      <c r="AU299" s="213"/>
    </row>
    <row r="300" spans="40:47" s="121" customFormat="1" hidden="1">
      <c r="AN300" s="239"/>
      <c r="AO300" s="225"/>
      <c r="AP300" s="260"/>
      <c r="AQ300" s="258"/>
      <c r="AR300" s="258"/>
      <c r="AS300" s="202"/>
      <c r="AT300" s="213"/>
      <c r="AU300" s="213"/>
    </row>
    <row r="301" spans="40:47" s="121" customFormat="1" hidden="1">
      <c r="AN301" s="239"/>
      <c r="AO301" s="225"/>
      <c r="AP301" s="260"/>
      <c r="AQ301" s="258"/>
      <c r="AR301" s="258"/>
      <c r="AS301" s="202"/>
      <c r="AT301" s="213"/>
      <c r="AU301" s="213"/>
    </row>
    <row r="302" spans="40:47" s="121" customFormat="1" hidden="1">
      <c r="AN302" s="239"/>
      <c r="AO302" s="225"/>
      <c r="AP302" s="260"/>
      <c r="AQ302" s="258"/>
      <c r="AR302" s="258"/>
      <c r="AS302" s="202"/>
      <c r="AT302" s="213"/>
      <c r="AU302" s="213"/>
    </row>
    <row r="303" spans="40:47" s="121" customFormat="1" hidden="1">
      <c r="AN303" s="239"/>
      <c r="AO303" s="225"/>
      <c r="AP303" s="260"/>
      <c r="AQ303" s="258"/>
      <c r="AR303" s="258"/>
      <c r="AS303" s="202"/>
      <c r="AT303" s="213"/>
      <c r="AU303" s="213"/>
    </row>
    <row r="304" spans="40:47" s="121" customFormat="1" hidden="1">
      <c r="AN304" s="239"/>
      <c r="AO304" s="225"/>
      <c r="AP304" s="260"/>
      <c r="AQ304" s="258"/>
      <c r="AR304" s="258"/>
      <c r="AS304" s="202"/>
      <c r="AT304" s="213"/>
      <c r="AU304" s="213"/>
    </row>
    <row r="305" spans="40:47" s="121" customFormat="1" hidden="1">
      <c r="AN305" s="239"/>
      <c r="AO305" s="225"/>
      <c r="AP305" s="260"/>
      <c r="AQ305" s="258"/>
      <c r="AR305" s="258"/>
      <c r="AS305" s="202"/>
      <c r="AT305" s="213"/>
      <c r="AU305" s="213"/>
    </row>
    <row r="306" spans="40:47" s="121" customFormat="1" hidden="1">
      <c r="AN306" s="239"/>
      <c r="AO306" s="225"/>
      <c r="AP306" s="260"/>
      <c r="AQ306" s="258"/>
      <c r="AR306" s="258"/>
      <c r="AS306" s="202"/>
      <c r="AT306" s="213"/>
      <c r="AU306" s="213"/>
    </row>
    <row r="307" spans="40:47" s="121" customFormat="1" hidden="1">
      <c r="AN307" s="239"/>
      <c r="AO307" s="225"/>
      <c r="AP307" s="260"/>
      <c r="AQ307" s="258"/>
      <c r="AR307" s="258"/>
      <c r="AS307" s="202"/>
      <c r="AT307" s="213"/>
      <c r="AU307" s="213"/>
    </row>
    <row r="308" spans="40:47" s="121" customFormat="1" hidden="1">
      <c r="AN308" s="239"/>
      <c r="AO308" s="225"/>
      <c r="AP308" s="260"/>
      <c r="AQ308" s="258"/>
      <c r="AR308" s="258"/>
      <c r="AS308" s="202"/>
      <c r="AT308" s="213"/>
      <c r="AU308" s="213"/>
    </row>
    <row r="309" spans="40:47" s="121" customFormat="1" hidden="1">
      <c r="AN309" s="239"/>
      <c r="AO309" s="225"/>
      <c r="AP309" s="260"/>
      <c r="AQ309" s="258"/>
      <c r="AR309" s="258"/>
      <c r="AS309" s="202"/>
      <c r="AT309" s="213"/>
      <c r="AU309" s="213"/>
    </row>
    <row r="310" spans="40:47" s="121" customFormat="1" hidden="1">
      <c r="AN310" s="239"/>
      <c r="AO310" s="225"/>
      <c r="AP310" s="260"/>
      <c r="AQ310" s="258"/>
      <c r="AR310" s="258"/>
      <c r="AS310" s="202"/>
      <c r="AT310" s="213"/>
      <c r="AU310" s="213"/>
    </row>
    <row r="311" spans="40:47" s="121" customFormat="1" hidden="1">
      <c r="AN311" s="239"/>
      <c r="AO311" s="225"/>
      <c r="AP311" s="260"/>
      <c r="AQ311" s="258"/>
      <c r="AR311" s="258"/>
      <c r="AS311" s="202"/>
      <c r="AT311" s="213"/>
      <c r="AU311" s="213"/>
    </row>
    <row r="312" spans="40:47" s="121" customFormat="1" hidden="1">
      <c r="AN312" s="239"/>
      <c r="AO312" s="225"/>
      <c r="AP312" s="260"/>
      <c r="AQ312" s="258"/>
      <c r="AR312" s="258"/>
      <c r="AS312" s="202"/>
      <c r="AT312" s="213"/>
      <c r="AU312" s="213"/>
    </row>
    <row r="313" spans="40:47" s="121" customFormat="1" hidden="1">
      <c r="AN313" s="239"/>
      <c r="AO313" s="225"/>
      <c r="AP313" s="260"/>
      <c r="AQ313" s="258"/>
      <c r="AR313" s="258"/>
      <c r="AS313" s="202"/>
      <c r="AT313" s="213"/>
      <c r="AU313" s="213"/>
    </row>
    <row r="314" spans="40:47" s="121" customFormat="1" hidden="1">
      <c r="AN314" s="239"/>
      <c r="AO314" s="225"/>
      <c r="AP314" s="260"/>
      <c r="AQ314" s="258"/>
      <c r="AR314" s="258"/>
      <c r="AS314" s="202"/>
      <c r="AT314" s="213"/>
      <c r="AU314" s="213"/>
    </row>
    <row r="315" spans="40:47" s="121" customFormat="1" hidden="1">
      <c r="AN315" s="239"/>
      <c r="AO315" s="225"/>
      <c r="AP315" s="260"/>
      <c r="AQ315" s="258"/>
      <c r="AR315" s="258"/>
      <c r="AS315" s="202"/>
      <c r="AT315" s="213"/>
      <c r="AU315" s="213"/>
    </row>
    <row r="316" spans="40:47" s="121" customFormat="1" hidden="1">
      <c r="AN316" s="239"/>
      <c r="AO316" s="225"/>
      <c r="AP316" s="260"/>
      <c r="AQ316" s="258"/>
      <c r="AR316" s="258"/>
      <c r="AS316" s="202"/>
      <c r="AT316" s="213"/>
      <c r="AU316" s="213"/>
    </row>
    <row r="317" spans="40:47" s="121" customFormat="1" hidden="1">
      <c r="AN317" s="239"/>
      <c r="AO317" s="225"/>
      <c r="AP317" s="260"/>
      <c r="AQ317" s="258"/>
      <c r="AR317" s="258"/>
      <c r="AS317" s="202"/>
      <c r="AT317" s="213"/>
      <c r="AU317" s="213"/>
    </row>
    <row r="318" spans="40:47" s="121" customFormat="1" hidden="1">
      <c r="AN318" s="239"/>
      <c r="AO318" s="225"/>
      <c r="AP318" s="260"/>
      <c r="AQ318" s="258"/>
      <c r="AR318" s="258"/>
      <c r="AS318" s="202"/>
      <c r="AT318" s="213"/>
      <c r="AU318" s="213"/>
    </row>
    <row r="319" spans="40:47" s="121" customFormat="1" hidden="1">
      <c r="AN319" s="239"/>
      <c r="AO319" s="225"/>
      <c r="AP319" s="260"/>
      <c r="AQ319" s="258"/>
      <c r="AR319" s="258"/>
      <c r="AS319" s="202"/>
      <c r="AT319" s="213"/>
      <c r="AU319" s="213"/>
    </row>
    <row r="320" spans="40:47" s="121" customFormat="1" hidden="1">
      <c r="AN320" s="239"/>
      <c r="AO320" s="225"/>
      <c r="AP320" s="260"/>
      <c r="AQ320" s="258"/>
      <c r="AR320" s="258"/>
      <c r="AS320" s="202"/>
      <c r="AT320" s="213"/>
      <c r="AU320" s="213"/>
    </row>
    <row r="321" spans="40:47" s="121" customFormat="1" hidden="1">
      <c r="AN321" s="239"/>
      <c r="AO321" s="225"/>
      <c r="AP321" s="260"/>
      <c r="AQ321" s="258"/>
      <c r="AR321" s="258"/>
      <c r="AS321" s="202"/>
      <c r="AT321" s="213"/>
      <c r="AU321" s="213"/>
    </row>
    <row r="322" spans="40:47" s="121" customFormat="1" hidden="1">
      <c r="AN322" s="239"/>
      <c r="AO322" s="225"/>
      <c r="AP322" s="260"/>
      <c r="AQ322" s="258"/>
      <c r="AR322" s="258"/>
      <c r="AS322" s="202"/>
      <c r="AT322" s="213"/>
      <c r="AU322" s="213"/>
    </row>
    <row r="323" spans="40:47" s="121" customFormat="1" hidden="1">
      <c r="AN323" s="239"/>
      <c r="AO323" s="225"/>
      <c r="AP323" s="260"/>
      <c r="AQ323" s="258"/>
      <c r="AR323" s="258"/>
      <c r="AS323" s="202"/>
      <c r="AT323" s="213"/>
      <c r="AU323" s="213"/>
    </row>
    <row r="324" spans="40:47" s="121" customFormat="1" hidden="1">
      <c r="AN324" s="239"/>
      <c r="AO324" s="225"/>
      <c r="AP324" s="260"/>
      <c r="AQ324" s="258"/>
      <c r="AR324" s="258"/>
      <c r="AS324" s="202"/>
      <c r="AT324" s="213"/>
      <c r="AU324" s="213"/>
    </row>
    <row r="325" spans="40:47" s="121" customFormat="1" hidden="1">
      <c r="AN325" s="239"/>
      <c r="AO325" s="225"/>
      <c r="AP325" s="260"/>
      <c r="AQ325" s="258"/>
      <c r="AR325" s="258"/>
      <c r="AS325" s="202"/>
      <c r="AT325" s="213"/>
      <c r="AU325" s="213"/>
    </row>
    <row r="326" spans="40:47" s="121" customFormat="1" hidden="1">
      <c r="AN326" s="239"/>
      <c r="AO326" s="225"/>
      <c r="AP326" s="260"/>
      <c r="AQ326" s="258"/>
      <c r="AR326" s="258"/>
      <c r="AS326" s="202"/>
      <c r="AT326" s="213"/>
      <c r="AU326" s="213"/>
    </row>
    <row r="327" spans="40:47" s="121" customFormat="1" hidden="1">
      <c r="AN327" s="239"/>
      <c r="AO327" s="225"/>
      <c r="AP327" s="260"/>
      <c r="AQ327" s="258"/>
      <c r="AR327" s="258"/>
      <c r="AS327" s="202"/>
      <c r="AT327" s="213"/>
      <c r="AU327" s="213"/>
    </row>
    <row r="328" spans="40:47" s="121" customFormat="1" hidden="1">
      <c r="AN328" s="239"/>
      <c r="AO328" s="225"/>
      <c r="AP328" s="260"/>
      <c r="AQ328" s="258"/>
      <c r="AR328" s="258"/>
      <c r="AS328" s="202"/>
      <c r="AT328" s="213"/>
      <c r="AU328" s="213"/>
    </row>
    <row r="329" spans="40:47" s="121" customFormat="1" hidden="1">
      <c r="AN329" s="239"/>
      <c r="AO329" s="225"/>
      <c r="AP329" s="260"/>
      <c r="AQ329" s="258"/>
      <c r="AR329" s="258"/>
      <c r="AS329" s="202"/>
      <c r="AT329" s="213"/>
      <c r="AU329" s="213"/>
    </row>
    <row r="330" spans="40:47" s="121" customFormat="1" hidden="1">
      <c r="AN330" s="239"/>
      <c r="AO330" s="225"/>
      <c r="AP330" s="260"/>
      <c r="AQ330" s="258"/>
      <c r="AR330" s="258"/>
      <c r="AS330" s="202"/>
      <c r="AT330" s="213"/>
      <c r="AU330" s="213"/>
    </row>
    <row r="331" spans="40:47" s="121" customFormat="1" hidden="1">
      <c r="AN331" s="239"/>
      <c r="AO331" s="225"/>
      <c r="AP331" s="260"/>
      <c r="AQ331" s="258"/>
      <c r="AR331" s="258"/>
      <c r="AS331" s="202"/>
      <c r="AT331" s="213"/>
      <c r="AU331" s="213"/>
    </row>
    <row r="332" spans="40:47" s="121" customFormat="1" hidden="1">
      <c r="AN332" s="239"/>
      <c r="AO332" s="225"/>
      <c r="AP332" s="260"/>
      <c r="AQ332" s="258"/>
      <c r="AR332" s="258"/>
      <c r="AS332" s="202"/>
      <c r="AT332" s="213"/>
      <c r="AU332" s="213"/>
    </row>
    <row r="333" spans="40:47" s="121" customFormat="1" hidden="1">
      <c r="AN333" s="239"/>
      <c r="AO333" s="225"/>
      <c r="AP333" s="260"/>
      <c r="AQ333" s="258"/>
      <c r="AR333" s="258"/>
      <c r="AS333" s="202"/>
      <c r="AT333" s="213"/>
      <c r="AU333" s="213"/>
    </row>
    <row r="334" spans="40:47" s="121" customFormat="1" hidden="1">
      <c r="AN334" s="239"/>
      <c r="AO334" s="225"/>
      <c r="AP334" s="260"/>
      <c r="AQ334" s="258"/>
      <c r="AR334" s="258"/>
      <c r="AS334" s="202"/>
      <c r="AT334" s="213"/>
      <c r="AU334" s="213"/>
    </row>
    <row r="335" spans="40:47" s="121" customFormat="1" hidden="1">
      <c r="AN335" s="239"/>
      <c r="AO335" s="225"/>
      <c r="AP335" s="260"/>
      <c r="AQ335" s="258"/>
      <c r="AR335" s="258"/>
      <c r="AS335" s="202"/>
      <c r="AT335" s="213"/>
      <c r="AU335" s="213"/>
    </row>
    <row r="336" spans="40:47" s="121" customFormat="1" hidden="1">
      <c r="AN336" s="239"/>
      <c r="AO336" s="225"/>
      <c r="AP336" s="260"/>
      <c r="AQ336" s="258"/>
      <c r="AR336" s="258"/>
      <c r="AS336" s="202"/>
      <c r="AT336" s="213"/>
      <c r="AU336" s="213"/>
    </row>
    <row r="337" spans="40:47" s="121" customFormat="1" hidden="1">
      <c r="AN337" s="239"/>
      <c r="AO337" s="225"/>
      <c r="AP337" s="260"/>
      <c r="AQ337" s="258"/>
      <c r="AR337" s="258"/>
      <c r="AS337" s="202"/>
      <c r="AT337" s="213"/>
      <c r="AU337" s="213"/>
    </row>
    <row r="338" spans="40:47" s="121" customFormat="1" hidden="1">
      <c r="AN338" s="239"/>
      <c r="AO338" s="225"/>
      <c r="AP338" s="260"/>
      <c r="AQ338" s="258"/>
      <c r="AR338" s="258"/>
      <c r="AS338" s="202"/>
      <c r="AT338" s="213"/>
      <c r="AU338" s="213"/>
    </row>
    <row r="339" spans="40:47" s="121" customFormat="1" hidden="1">
      <c r="AN339" s="239"/>
      <c r="AO339" s="225"/>
      <c r="AP339" s="260"/>
      <c r="AQ339" s="258"/>
      <c r="AR339" s="258"/>
      <c r="AS339" s="202"/>
      <c r="AT339" s="213"/>
      <c r="AU339" s="213"/>
    </row>
    <row r="340" spans="40:47" s="121" customFormat="1" hidden="1">
      <c r="AN340" s="239"/>
      <c r="AO340" s="225"/>
      <c r="AP340" s="260"/>
      <c r="AQ340" s="258"/>
      <c r="AR340" s="258"/>
      <c r="AS340" s="202"/>
      <c r="AT340" s="213"/>
      <c r="AU340" s="213"/>
    </row>
    <row r="341" spans="40:47" s="121" customFormat="1" hidden="1">
      <c r="AN341" s="239"/>
      <c r="AO341" s="225"/>
      <c r="AP341" s="260"/>
      <c r="AQ341" s="258"/>
      <c r="AR341" s="258"/>
      <c r="AS341" s="202"/>
      <c r="AT341" s="213"/>
      <c r="AU341" s="213"/>
    </row>
    <row r="342" spans="40:47" s="121" customFormat="1" hidden="1">
      <c r="AN342" s="239"/>
      <c r="AO342" s="225"/>
      <c r="AP342" s="260"/>
      <c r="AQ342" s="258"/>
      <c r="AR342" s="258"/>
      <c r="AS342" s="202"/>
      <c r="AT342" s="213"/>
      <c r="AU342" s="213"/>
    </row>
    <row r="343" spans="40:47" s="121" customFormat="1" hidden="1">
      <c r="AN343" s="239"/>
      <c r="AO343" s="225"/>
      <c r="AP343" s="260"/>
      <c r="AQ343" s="258"/>
      <c r="AR343" s="258"/>
      <c r="AS343" s="202"/>
      <c r="AT343" s="213"/>
      <c r="AU343" s="213"/>
    </row>
    <row r="344" spans="40:47" s="121" customFormat="1" hidden="1">
      <c r="AN344" s="239"/>
      <c r="AO344" s="225"/>
      <c r="AP344" s="260"/>
      <c r="AQ344" s="258"/>
      <c r="AR344" s="258"/>
      <c r="AS344" s="202"/>
      <c r="AT344" s="213"/>
      <c r="AU344" s="213"/>
    </row>
    <row r="345" spans="40:47" s="121" customFormat="1" hidden="1">
      <c r="AN345" s="239"/>
      <c r="AO345" s="225"/>
      <c r="AP345" s="260"/>
      <c r="AQ345" s="258"/>
      <c r="AR345" s="258"/>
      <c r="AS345" s="202"/>
      <c r="AT345" s="213"/>
      <c r="AU345" s="213"/>
    </row>
    <row r="346" spans="40:47" s="121" customFormat="1" hidden="1">
      <c r="AN346" s="239"/>
      <c r="AO346" s="225"/>
      <c r="AP346" s="260"/>
      <c r="AQ346" s="258"/>
      <c r="AR346" s="258"/>
      <c r="AS346" s="202"/>
      <c r="AT346" s="213"/>
      <c r="AU346" s="213"/>
    </row>
    <row r="347" spans="40:47" s="121" customFormat="1" hidden="1">
      <c r="AN347" s="239"/>
      <c r="AO347" s="225"/>
      <c r="AP347" s="260"/>
      <c r="AQ347" s="258"/>
      <c r="AR347" s="258"/>
      <c r="AS347" s="202"/>
      <c r="AT347" s="213"/>
      <c r="AU347" s="213"/>
    </row>
    <row r="348" spans="40:47" s="121" customFormat="1" hidden="1">
      <c r="AN348" s="239"/>
      <c r="AO348" s="225"/>
      <c r="AP348" s="260"/>
      <c r="AQ348" s="258"/>
      <c r="AR348" s="258"/>
      <c r="AS348" s="202"/>
      <c r="AT348" s="213"/>
      <c r="AU348" s="213"/>
    </row>
    <row r="349" spans="40:47" s="121" customFormat="1" hidden="1">
      <c r="AN349" s="239"/>
      <c r="AO349" s="225"/>
      <c r="AP349" s="260"/>
      <c r="AQ349" s="258"/>
      <c r="AR349" s="258"/>
      <c r="AS349" s="202"/>
      <c r="AT349" s="213"/>
      <c r="AU349" s="213"/>
    </row>
    <row r="350" spans="40:47" s="121" customFormat="1" hidden="1">
      <c r="AN350" s="239"/>
      <c r="AO350" s="225"/>
      <c r="AP350" s="260"/>
      <c r="AQ350" s="258"/>
      <c r="AR350" s="258"/>
      <c r="AS350" s="202"/>
      <c r="AT350" s="213"/>
      <c r="AU350" s="213"/>
    </row>
    <row r="351" spans="40:47" s="121" customFormat="1" hidden="1">
      <c r="AN351" s="239"/>
      <c r="AO351" s="225"/>
      <c r="AP351" s="260"/>
      <c r="AQ351" s="258"/>
      <c r="AR351" s="258"/>
      <c r="AS351" s="202"/>
      <c r="AT351" s="213"/>
      <c r="AU351" s="213"/>
    </row>
    <row r="352" spans="40:47" s="121" customFormat="1" hidden="1">
      <c r="AN352" s="239"/>
      <c r="AO352" s="225"/>
      <c r="AP352" s="260"/>
      <c r="AQ352" s="258"/>
      <c r="AR352" s="258"/>
      <c r="AS352" s="202"/>
      <c r="AT352" s="213"/>
      <c r="AU352" s="213"/>
    </row>
    <row r="353" spans="40:47" s="121" customFormat="1" hidden="1">
      <c r="AN353" s="239"/>
      <c r="AO353" s="225"/>
      <c r="AP353" s="260"/>
      <c r="AQ353" s="258"/>
      <c r="AR353" s="258"/>
      <c r="AS353" s="202"/>
      <c r="AT353" s="213"/>
      <c r="AU353" s="213"/>
    </row>
    <row r="354" spans="40:47" s="121" customFormat="1" hidden="1">
      <c r="AN354" s="239"/>
      <c r="AO354" s="225"/>
      <c r="AP354" s="260"/>
      <c r="AQ354" s="258"/>
      <c r="AR354" s="258"/>
      <c r="AS354" s="202"/>
      <c r="AT354" s="213"/>
      <c r="AU354" s="213"/>
    </row>
    <row r="355" spans="40:47" s="121" customFormat="1" hidden="1">
      <c r="AN355" s="239"/>
      <c r="AO355" s="225"/>
      <c r="AP355" s="260"/>
      <c r="AQ355" s="258"/>
      <c r="AR355" s="258"/>
      <c r="AS355" s="202"/>
      <c r="AT355" s="213"/>
      <c r="AU355" s="213"/>
    </row>
    <row r="356" spans="40:47" s="121" customFormat="1" hidden="1">
      <c r="AN356" s="239"/>
      <c r="AO356" s="225"/>
      <c r="AP356" s="260"/>
      <c r="AQ356" s="258"/>
      <c r="AR356" s="258"/>
      <c r="AS356" s="202"/>
      <c r="AT356" s="213"/>
      <c r="AU356" s="213"/>
    </row>
    <row r="357" spans="40:47" s="121" customFormat="1" hidden="1">
      <c r="AN357" s="239"/>
      <c r="AO357" s="225"/>
      <c r="AP357" s="260"/>
      <c r="AQ357" s="258"/>
      <c r="AR357" s="258"/>
      <c r="AS357" s="202"/>
      <c r="AT357" s="213"/>
      <c r="AU357" s="213"/>
    </row>
    <row r="358" spans="40:47" s="121" customFormat="1" hidden="1">
      <c r="AN358" s="239"/>
      <c r="AO358" s="225"/>
      <c r="AP358" s="260"/>
      <c r="AQ358" s="258"/>
      <c r="AR358" s="258"/>
      <c r="AS358" s="202"/>
      <c r="AT358" s="213"/>
      <c r="AU358" s="213"/>
    </row>
    <row r="359" spans="40:47" s="121" customFormat="1" hidden="1">
      <c r="AN359" s="239"/>
      <c r="AO359" s="225"/>
      <c r="AP359" s="260"/>
      <c r="AQ359" s="258"/>
      <c r="AR359" s="258"/>
      <c r="AS359" s="202"/>
      <c r="AT359" s="213"/>
      <c r="AU359" s="213"/>
    </row>
    <row r="360" spans="40:47" s="121" customFormat="1" hidden="1">
      <c r="AN360" s="239"/>
      <c r="AO360" s="225"/>
      <c r="AP360" s="260"/>
      <c r="AQ360" s="258"/>
      <c r="AR360" s="258"/>
      <c r="AS360" s="202"/>
      <c r="AT360" s="213"/>
      <c r="AU360" s="213"/>
    </row>
    <row r="361" spans="40:47" s="121" customFormat="1" hidden="1">
      <c r="AN361" s="239"/>
      <c r="AO361" s="225"/>
      <c r="AP361" s="260"/>
      <c r="AQ361" s="258"/>
      <c r="AR361" s="258"/>
      <c r="AS361" s="202"/>
      <c r="AT361" s="213"/>
      <c r="AU361" s="213"/>
    </row>
    <row r="362" spans="40:47" s="121" customFormat="1" hidden="1">
      <c r="AN362" s="239"/>
      <c r="AO362" s="225"/>
      <c r="AP362" s="260"/>
      <c r="AQ362" s="258"/>
      <c r="AR362" s="258"/>
      <c r="AS362" s="202"/>
      <c r="AT362" s="213"/>
      <c r="AU362" s="213"/>
    </row>
    <row r="363" spans="40:47" s="121" customFormat="1" hidden="1">
      <c r="AN363" s="239"/>
      <c r="AO363" s="225"/>
      <c r="AP363" s="260"/>
      <c r="AQ363" s="258"/>
      <c r="AR363" s="258"/>
      <c r="AS363" s="202"/>
      <c r="AT363" s="213"/>
      <c r="AU363" s="213"/>
    </row>
    <row r="364" spans="40:47" s="121" customFormat="1" hidden="1">
      <c r="AN364" s="239"/>
      <c r="AO364" s="225"/>
      <c r="AP364" s="260"/>
      <c r="AQ364" s="258"/>
      <c r="AR364" s="258"/>
      <c r="AS364" s="202"/>
      <c r="AT364" s="213"/>
      <c r="AU364" s="213"/>
    </row>
    <row r="365" spans="40:47" s="121" customFormat="1" hidden="1">
      <c r="AN365" s="239"/>
      <c r="AO365" s="225"/>
      <c r="AP365" s="260"/>
      <c r="AQ365" s="258"/>
      <c r="AR365" s="258"/>
      <c r="AS365" s="202"/>
      <c r="AT365" s="213"/>
      <c r="AU365" s="213"/>
    </row>
    <row r="366" spans="40:47" s="121" customFormat="1" hidden="1">
      <c r="AN366" s="239"/>
      <c r="AO366" s="225"/>
      <c r="AP366" s="260"/>
      <c r="AQ366" s="258"/>
      <c r="AR366" s="258"/>
      <c r="AS366" s="202"/>
      <c r="AT366" s="213"/>
      <c r="AU366" s="213"/>
    </row>
    <row r="367" spans="40:47" s="121" customFormat="1" hidden="1">
      <c r="AN367" s="239"/>
      <c r="AO367" s="225"/>
      <c r="AP367" s="260"/>
      <c r="AQ367" s="258"/>
      <c r="AR367" s="258"/>
      <c r="AS367" s="202"/>
      <c r="AT367" s="213"/>
      <c r="AU367" s="213"/>
    </row>
    <row r="368" spans="40:47" s="121" customFormat="1" hidden="1">
      <c r="AN368" s="239"/>
      <c r="AO368" s="225"/>
      <c r="AP368" s="260"/>
      <c r="AQ368" s="258"/>
      <c r="AR368" s="258"/>
      <c r="AS368" s="202"/>
      <c r="AT368" s="213"/>
      <c r="AU368" s="213"/>
    </row>
    <row r="369" spans="40:47" s="121" customFormat="1" hidden="1">
      <c r="AN369" s="239"/>
      <c r="AO369" s="225"/>
      <c r="AP369" s="260"/>
      <c r="AQ369" s="258"/>
      <c r="AR369" s="258"/>
      <c r="AS369" s="202"/>
      <c r="AT369" s="213"/>
      <c r="AU369" s="213"/>
    </row>
    <row r="370" spans="40:47" s="121" customFormat="1" hidden="1">
      <c r="AN370" s="239"/>
      <c r="AO370" s="225"/>
      <c r="AP370" s="260"/>
      <c r="AQ370" s="258"/>
      <c r="AR370" s="258"/>
      <c r="AS370" s="202"/>
      <c r="AT370" s="213"/>
      <c r="AU370" s="213"/>
    </row>
    <row r="371" spans="40:47" s="121" customFormat="1" hidden="1">
      <c r="AN371" s="239"/>
      <c r="AO371" s="225"/>
      <c r="AP371" s="260"/>
      <c r="AQ371" s="258"/>
      <c r="AR371" s="258"/>
      <c r="AS371" s="202"/>
      <c r="AT371" s="213"/>
      <c r="AU371" s="213"/>
    </row>
    <row r="372" spans="40:47" s="121" customFormat="1" hidden="1">
      <c r="AN372" s="239"/>
      <c r="AO372" s="225"/>
      <c r="AP372" s="260"/>
      <c r="AQ372" s="258"/>
      <c r="AR372" s="258"/>
      <c r="AS372" s="202"/>
      <c r="AT372" s="213"/>
      <c r="AU372" s="213"/>
    </row>
    <row r="373" spans="40:47" s="121" customFormat="1" hidden="1">
      <c r="AN373" s="239"/>
      <c r="AO373" s="225"/>
      <c r="AP373" s="260"/>
      <c r="AQ373" s="258"/>
      <c r="AR373" s="258"/>
      <c r="AS373" s="202"/>
      <c r="AT373" s="213"/>
      <c r="AU373" s="213"/>
    </row>
    <row r="374" spans="40:47" s="121" customFormat="1" hidden="1">
      <c r="AN374" s="239"/>
      <c r="AO374" s="225"/>
      <c r="AP374" s="260"/>
      <c r="AQ374" s="258"/>
      <c r="AR374" s="258"/>
      <c r="AS374" s="202"/>
      <c r="AT374" s="213"/>
      <c r="AU374" s="213"/>
    </row>
    <row r="375" spans="40:47" s="121" customFormat="1" hidden="1">
      <c r="AN375" s="239"/>
      <c r="AO375" s="225"/>
      <c r="AP375" s="260"/>
      <c r="AQ375" s="258"/>
      <c r="AR375" s="258"/>
      <c r="AS375" s="202"/>
      <c r="AT375" s="213"/>
      <c r="AU375" s="213"/>
    </row>
    <row r="376" spans="40:47" s="121" customFormat="1" hidden="1">
      <c r="AN376" s="239"/>
      <c r="AO376" s="225"/>
      <c r="AP376" s="260"/>
      <c r="AQ376" s="258"/>
      <c r="AR376" s="258"/>
      <c r="AS376" s="202"/>
      <c r="AT376" s="213"/>
      <c r="AU376" s="213"/>
    </row>
    <row r="377" spans="40:47" s="121" customFormat="1" hidden="1">
      <c r="AN377" s="239"/>
      <c r="AO377" s="225"/>
      <c r="AP377" s="260"/>
      <c r="AQ377" s="258"/>
      <c r="AR377" s="258"/>
      <c r="AS377" s="202"/>
      <c r="AT377" s="213"/>
      <c r="AU377" s="213"/>
    </row>
    <row r="378" spans="40:47" s="121" customFormat="1" hidden="1">
      <c r="AN378" s="239"/>
      <c r="AO378" s="225"/>
      <c r="AP378" s="260"/>
      <c r="AQ378" s="258"/>
      <c r="AR378" s="258"/>
      <c r="AS378" s="202"/>
      <c r="AT378" s="213"/>
      <c r="AU378" s="213"/>
    </row>
    <row r="379" spans="40:47" s="121" customFormat="1" hidden="1">
      <c r="AN379" s="239"/>
      <c r="AO379" s="225"/>
      <c r="AP379" s="260"/>
      <c r="AQ379" s="258"/>
      <c r="AR379" s="258"/>
      <c r="AS379" s="202"/>
      <c r="AT379" s="213"/>
      <c r="AU379" s="213"/>
    </row>
    <row r="380" spans="40:47" s="121" customFormat="1" hidden="1">
      <c r="AN380" s="239"/>
      <c r="AO380" s="225"/>
      <c r="AP380" s="260"/>
      <c r="AQ380" s="258"/>
      <c r="AR380" s="258"/>
      <c r="AS380" s="202"/>
      <c r="AT380" s="213"/>
      <c r="AU380" s="213"/>
    </row>
    <row r="381" spans="40:47" s="121" customFormat="1" hidden="1">
      <c r="AN381" s="239"/>
      <c r="AO381" s="225"/>
      <c r="AP381" s="260"/>
      <c r="AQ381" s="258"/>
      <c r="AR381" s="258"/>
      <c r="AS381" s="202"/>
      <c r="AT381" s="213"/>
      <c r="AU381" s="213"/>
    </row>
    <row r="382" spans="40:47" s="121" customFormat="1" hidden="1">
      <c r="AN382" s="239"/>
      <c r="AO382" s="225"/>
      <c r="AP382" s="260"/>
      <c r="AQ382" s="258"/>
      <c r="AR382" s="258"/>
      <c r="AS382" s="202"/>
      <c r="AT382" s="213"/>
      <c r="AU382" s="213"/>
    </row>
    <row r="383" spans="40:47" s="121" customFormat="1" hidden="1">
      <c r="AN383" s="239"/>
      <c r="AO383" s="225"/>
      <c r="AP383" s="260"/>
      <c r="AQ383" s="258"/>
      <c r="AR383" s="258"/>
      <c r="AS383" s="202"/>
      <c r="AT383" s="213"/>
      <c r="AU383" s="213"/>
    </row>
    <row r="384" spans="40:47" s="121" customFormat="1" hidden="1">
      <c r="AN384" s="239"/>
      <c r="AO384" s="225"/>
      <c r="AP384" s="260"/>
      <c r="AQ384" s="258"/>
      <c r="AR384" s="258"/>
      <c r="AS384" s="202"/>
      <c r="AT384" s="213"/>
      <c r="AU384" s="213"/>
    </row>
    <row r="385" spans="40:47" s="121" customFormat="1" hidden="1">
      <c r="AN385" s="239"/>
      <c r="AO385" s="225"/>
      <c r="AP385" s="260"/>
      <c r="AQ385" s="258"/>
      <c r="AR385" s="258"/>
      <c r="AS385" s="202"/>
      <c r="AT385" s="213"/>
      <c r="AU385" s="213"/>
    </row>
    <row r="386" spans="40:47" s="121" customFormat="1" hidden="1">
      <c r="AN386" s="239"/>
      <c r="AO386" s="225"/>
      <c r="AP386" s="260"/>
      <c r="AQ386" s="258"/>
      <c r="AR386" s="258"/>
      <c r="AS386" s="202"/>
      <c r="AT386" s="213"/>
      <c r="AU386" s="213"/>
    </row>
    <row r="387" spans="40:47" s="121" customFormat="1" hidden="1">
      <c r="AN387" s="239"/>
      <c r="AO387" s="225"/>
      <c r="AP387" s="260"/>
      <c r="AQ387" s="258"/>
      <c r="AR387" s="258"/>
      <c r="AS387" s="202"/>
      <c r="AT387" s="213"/>
      <c r="AU387" s="213"/>
    </row>
    <row r="388" spans="40:47" s="121" customFormat="1" hidden="1">
      <c r="AN388" s="239"/>
      <c r="AO388" s="225"/>
      <c r="AP388" s="260"/>
      <c r="AQ388" s="258"/>
      <c r="AR388" s="258"/>
      <c r="AS388" s="202"/>
      <c r="AT388" s="213"/>
      <c r="AU388" s="213"/>
    </row>
    <row r="389" spans="40:47" s="121" customFormat="1" hidden="1">
      <c r="AN389" s="239"/>
      <c r="AO389" s="225"/>
      <c r="AP389" s="260"/>
      <c r="AQ389" s="258"/>
      <c r="AR389" s="258"/>
      <c r="AS389" s="202"/>
      <c r="AT389" s="213"/>
      <c r="AU389" s="213"/>
    </row>
    <row r="390" spans="40:47" s="121" customFormat="1" hidden="1">
      <c r="AN390" s="239"/>
      <c r="AO390" s="225"/>
      <c r="AP390" s="260"/>
      <c r="AQ390" s="258"/>
      <c r="AR390" s="258"/>
      <c r="AS390" s="202"/>
      <c r="AT390" s="213"/>
      <c r="AU390" s="213"/>
    </row>
    <row r="391" spans="40:47" s="121" customFormat="1" hidden="1">
      <c r="AN391" s="239"/>
      <c r="AO391" s="225"/>
      <c r="AP391" s="260"/>
      <c r="AQ391" s="258"/>
      <c r="AR391" s="258"/>
      <c r="AS391" s="202"/>
      <c r="AT391" s="213"/>
      <c r="AU391" s="213"/>
    </row>
    <row r="392" spans="40:47" s="121" customFormat="1" hidden="1">
      <c r="AN392" s="239"/>
      <c r="AO392" s="225"/>
      <c r="AP392" s="260"/>
      <c r="AQ392" s="258"/>
      <c r="AR392" s="258"/>
      <c r="AS392" s="202"/>
      <c r="AT392" s="213"/>
      <c r="AU392" s="213"/>
    </row>
    <row r="393" spans="40:47" s="121" customFormat="1" hidden="1">
      <c r="AN393" s="239"/>
      <c r="AO393" s="225"/>
      <c r="AP393" s="260"/>
      <c r="AQ393" s="258"/>
      <c r="AR393" s="258"/>
      <c r="AS393" s="202"/>
      <c r="AT393" s="213"/>
      <c r="AU393" s="213"/>
    </row>
    <row r="394" spans="40:47" s="121" customFormat="1" hidden="1">
      <c r="AN394" s="239"/>
      <c r="AO394" s="225"/>
      <c r="AP394" s="260"/>
      <c r="AQ394" s="258"/>
      <c r="AR394" s="258"/>
      <c r="AS394" s="202"/>
      <c r="AT394" s="213"/>
      <c r="AU394" s="213"/>
    </row>
    <row r="395" spans="40:47" s="121" customFormat="1" hidden="1">
      <c r="AN395" s="239"/>
      <c r="AO395" s="225"/>
      <c r="AP395" s="260"/>
      <c r="AQ395" s="258"/>
      <c r="AR395" s="258"/>
      <c r="AS395" s="202"/>
      <c r="AT395" s="213"/>
      <c r="AU395" s="213"/>
    </row>
    <row r="396" spans="40:47" s="121" customFormat="1" hidden="1">
      <c r="AN396" s="239"/>
      <c r="AO396" s="225"/>
      <c r="AP396" s="260"/>
      <c r="AQ396" s="258"/>
      <c r="AR396" s="258"/>
      <c r="AS396" s="202"/>
      <c r="AT396" s="213"/>
      <c r="AU396" s="213"/>
    </row>
    <row r="397" spans="40:47" s="121" customFormat="1" hidden="1">
      <c r="AN397" s="239"/>
      <c r="AO397" s="225"/>
      <c r="AP397" s="260"/>
      <c r="AQ397" s="258"/>
      <c r="AR397" s="258"/>
      <c r="AS397" s="202"/>
      <c r="AT397" s="213"/>
      <c r="AU397" s="213"/>
    </row>
    <row r="398" spans="40:47" s="121" customFormat="1" hidden="1">
      <c r="AN398" s="239"/>
      <c r="AO398" s="225"/>
      <c r="AP398" s="260"/>
      <c r="AQ398" s="258"/>
      <c r="AR398" s="258"/>
      <c r="AS398" s="202"/>
      <c r="AT398" s="213"/>
      <c r="AU398" s="213"/>
    </row>
    <row r="399" spans="40:47" s="121" customFormat="1" hidden="1">
      <c r="AN399" s="239"/>
      <c r="AO399" s="225"/>
      <c r="AP399" s="260"/>
      <c r="AQ399" s="258"/>
      <c r="AR399" s="258"/>
      <c r="AS399" s="202"/>
      <c r="AT399" s="213"/>
      <c r="AU399" s="213"/>
    </row>
    <row r="400" spans="40:47" s="121" customFormat="1" hidden="1">
      <c r="AN400" s="239"/>
      <c r="AO400" s="225"/>
      <c r="AP400" s="260"/>
      <c r="AQ400" s="258"/>
      <c r="AR400" s="258"/>
      <c r="AS400" s="202"/>
      <c r="AT400" s="213"/>
      <c r="AU400" s="213"/>
    </row>
    <row r="401" spans="40:47" s="121" customFormat="1" hidden="1">
      <c r="AN401" s="239"/>
      <c r="AO401" s="225"/>
      <c r="AP401" s="260"/>
      <c r="AQ401" s="258"/>
      <c r="AR401" s="258"/>
      <c r="AS401" s="202"/>
      <c r="AT401" s="213"/>
      <c r="AU401" s="213"/>
    </row>
    <row r="402" spans="40:47" s="121" customFormat="1" hidden="1">
      <c r="AN402" s="239"/>
      <c r="AO402" s="225"/>
      <c r="AP402" s="260"/>
      <c r="AQ402" s="258"/>
      <c r="AR402" s="258"/>
      <c r="AS402" s="202"/>
      <c r="AT402" s="213"/>
      <c r="AU402" s="213"/>
    </row>
    <row r="403" spans="40:47" s="121" customFormat="1" hidden="1">
      <c r="AN403" s="239"/>
      <c r="AO403" s="225"/>
      <c r="AP403" s="260"/>
      <c r="AQ403" s="258"/>
      <c r="AR403" s="258"/>
      <c r="AS403" s="202"/>
      <c r="AT403" s="213"/>
      <c r="AU403" s="213"/>
    </row>
    <row r="404" spans="40:47" s="121" customFormat="1" hidden="1">
      <c r="AN404" s="239"/>
      <c r="AO404" s="225"/>
      <c r="AP404" s="260"/>
      <c r="AQ404" s="258"/>
      <c r="AR404" s="258"/>
      <c r="AS404" s="202"/>
      <c r="AT404" s="213"/>
      <c r="AU404" s="213"/>
    </row>
    <row r="405" spans="40:47" s="121" customFormat="1" hidden="1">
      <c r="AN405" s="239"/>
      <c r="AO405" s="225"/>
      <c r="AP405" s="260"/>
      <c r="AQ405" s="258"/>
      <c r="AR405" s="258"/>
      <c r="AS405" s="202"/>
      <c r="AT405" s="213"/>
      <c r="AU405" s="213"/>
    </row>
    <row r="406" spans="40:47" s="121" customFormat="1" hidden="1">
      <c r="AN406" s="239"/>
      <c r="AO406" s="225"/>
      <c r="AP406" s="260"/>
      <c r="AQ406" s="258"/>
      <c r="AR406" s="258"/>
      <c r="AS406" s="202"/>
      <c r="AT406" s="213"/>
      <c r="AU406" s="213"/>
    </row>
    <row r="407" spans="40:47" s="121" customFormat="1" hidden="1">
      <c r="AN407" s="239"/>
      <c r="AO407" s="225"/>
      <c r="AP407" s="260"/>
      <c r="AQ407" s="258"/>
      <c r="AR407" s="258"/>
      <c r="AS407" s="202"/>
      <c r="AT407" s="213"/>
      <c r="AU407" s="213"/>
    </row>
    <row r="408" spans="40:47" s="121" customFormat="1" hidden="1">
      <c r="AN408" s="239"/>
      <c r="AO408" s="225"/>
      <c r="AP408" s="260"/>
      <c r="AQ408" s="258"/>
      <c r="AR408" s="258"/>
      <c r="AS408" s="202"/>
      <c r="AT408" s="213"/>
      <c r="AU408" s="213"/>
    </row>
    <row r="409" spans="40:47" s="121" customFormat="1" hidden="1">
      <c r="AN409" s="239"/>
      <c r="AO409" s="225"/>
      <c r="AP409" s="260"/>
      <c r="AQ409" s="258"/>
      <c r="AR409" s="258"/>
      <c r="AS409" s="202"/>
      <c r="AT409" s="213"/>
      <c r="AU409" s="213"/>
    </row>
    <row r="410" spans="40:47" s="121" customFormat="1" hidden="1">
      <c r="AN410" s="239"/>
      <c r="AO410" s="225"/>
      <c r="AP410" s="260"/>
      <c r="AQ410" s="258"/>
      <c r="AR410" s="258"/>
      <c r="AS410" s="202"/>
      <c r="AT410" s="213"/>
      <c r="AU410" s="213"/>
    </row>
    <row r="411" spans="40:47" s="121" customFormat="1" hidden="1">
      <c r="AN411" s="239"/>
      <c r="AO411" s="225"/>
      <c r="AP411" s="260"/>
      <c r="AQ411" s="258"/>
      <c r="AR411" s="258"/>
      <c r="AS411" s="202"/>
      <c r="AT411" s="213"/>
      <c r="AU411" s="213"/>
    </row>
    <row r="412" spans="40:47" s="121" customFormat="1" hidden="1">
      <c r="AN412" s="239"/>
      <c r="AO412" s="225"/>
      <c r="AP412" s="260"/>
      <c r="AQ412" s="258"/>
      <c r="AR412" s="258"/>
      <c r="AS412" s="202"/>
      <c r="AT412" s="213"/>
      <c r="AU412" s="213"/>
    </row>
    <row r="413" spans="40:47" s="121" customFormat="1" hidden="1">
      <c r="AN413" s="239"/>
      <c r="AO413" s="225"/>
      <c r="AP413" s="260"/>
      <c r="AQ413" s="258"/>
      <c r="AR413" s="258"/>
      <c r="AS413" s="202"/>
      <c r="AT413" s="213"/>
      <c r="AU413" s="213"/>
    </row>
    <row r="414" spans="40:47" s="121" customFormat="1" hidden="1">
      <c r="AN414" s="239"/>
      <c r="AO414" s="225"/>
      <c r="AP414" s="260"/>
      <c r="AQ414" s="258"/>
      <c r="AR414" s="258"/>
      <c r="AS414" s="202"/>
      <c r="AT414" s="213"/>
      <c r="AU414" s="213"/>
    </row>
    <row r="415" spans="40:47" s="121" customFormat="1" hidden="1">
      <c r="AN415" s="239"/>
      <c r="AO415" s="225"/>
      <c r="AP415" s="260"/>
      <c r="AQ415" s="258"/>
      <c r="AR415" s="258"/>
      <c r="AS415" s="202"/>
      <c r="AT415" s="213"/>
      <c r="AU415" s="213"/>
    </row>
    <row r="416" spans="40:47" s="121" customFormat="1" hidden="1">
      <c r="AN416" s="239"/>
      <c r="AO416" s="225"/>
      <c r="AP416" s="260"/>
      <c r="AQ416" s="258"/>
      <c r="AR416" s="258"/>
      <c r="AS416" s="202"/>
      <c r="AT416" s="213"/>
      <c r="AU416" s="213"/>
    </row>
    <row r="417" spans="40:47" s="121" customFormat="1" hidden="1">
      <c r="AN417" s="239"/>
      <c r="AO417" s="225"/>
      <c r="AP417" s="260"/>
      <c r="AQ417" s="258"/>
      <c r="AR417" s="258"/>
      <c r="AS417" s="202"/>
      <c r="AT417" s="213"/>
      <c r="AU417" s="213"/>
    </row>
    <row r="418" spans="40:47" s="121" customFormat="1" hidden="1">
      <c r="AN418" s="239"/>
      <c r="AO418" s="225"/>
      <c r="AP418" s="260"/>
      <c r="AQ418" s="258"/>
      <c r="AR418" s="258"/>
      <c r="AS418" s="202"/>
      <c r="AT418" s="213"/>
      <c r="AU418" s="213"/>
    </row>
    <row r="419" spans="40:47" s="121" customFormat="1" hidden="1">
      <c r="AN419" s="239"/>
      <c r="AO419" s="225"/>
      <c r="AP419" s="260"/>
      <c r="AQ419" s="258"/>
      <c r="AR419" s="258"/>
      <c r="AS419" s="202"/>
      <c r="AT419" s="213"/>
      <c r="AU419" s="213"/>
    </row>
    <row r="420" spans="40:47" s="121" customFormat="1" hidden="1">
      <c r="AN420" s="239"/>
      <c r="AO420" s="225"/>
      <c r="AP420" s="260"/>
      <c r="AQ420" s="258"/>
      <c r="AR420" s="258"/>
      <c r="AS420" s="202"/>
      <c r="AT420" s="213"/>
      <c r="AU420" s="213"/>
    </row>
    <row r="421" spans="40:47" s="121" customFormat="1" hidden="1">
      <c r="AN421" s="239"/>
      <c r="AO421" s="225"/>
      <c r="AP421" s="260"/>
      <c r="AQ421" s="258"/>
      <c r="AR421" s="258"/>
      <c r="AS421" s="202"/>
      <c r="AT421" s="213"/>
      <c r="AU421" s="213"/>
    </row>
    <row r="422" spans="40:47" s="121" customFormat="1" hidden="1">
      <c r="AN422" s="239"/>
      <c r="AO422" s="225"/>
      <c r="AP422" s="260"/>
      <c r="AQ422" s="258"/>
      <c r="AR422" s="258"/>
      <c r="AS422" s="202"/>
      <c r="AT422" s="213"/>
      <c r="AU422" s="213"/>
    </row>
    <row r="423" spans="40:47" s="121" customFormat="1" hidden="1">
      <c r="AN423" s="239"/>
      <c r="AO423" s="225"/>
      <c r="AP423" s="260"/>
      <c r="AQ423" s="258"/>
      <c r="AR423" s="258"/>
      <c r="AS423" s="202"/>
      <c r="AT423" s="213"/>
      <c r="AU423" s="213"/>
    </row>
    <row r="424" spans="40:47" s="121" customFormat="1" hidden="1">
      <c r="AN424" s="239"/>
      <c r="AO424" s="225"/>
      <c r="AP424" s="260"/>
      <c r="AQ424" s="258"/>
      <c r="AR424" s="258"/>
      <c r="AS424" s="202"/>
      <c r="AT424" s="213"/>
      <c r="AU424" s="213"/>
    </row>
    <row r="425" spans="40:47" s="121" customFormat="1" hidden="1">
      <c r="AN425" s="239"/>
      <c r="AO425" s="225"/>
      <c r="AP425" s="260"/>
      <c r="AQ425" s="258"/>
      <c r="AR425" s="258"/>
      <c r="AS425" s="202"/>
      <c r="AT425" s="213"/>
      <c r="AU425" s="213"/>
    </row>
    <row r="426" spans="40:47" s="121" customFormat="1" hidden="1">
      <c r="AN426" s="239"/>
      <c r="AO426" s="225"/>
      <c r="AP426" s="260"/>
      <c r="AQ426" s="258"/>
      <c r="AR426" s="258"/>
      <c r="AS426" s="202"/>
      <c r="AT426" s="213"/>
      <c r="AU426" s="213"/>
    </row>
    <row r="427" spans="40:47" s="121" customFormat="1" hidden="1">
      <c r="AN427" s="239"/>
      <c r="AO427" s="225"/>
      <c r="AP427" s="260"/>
      <c r="AQ427" s="258"/>
      <c r="AR427" s="258"/>
      <c r="AS427" s="202"/>
      <c r="AT427" s="213"/>
      <c r="AU427" s="213"/>
    </row>
    <row r="428" spans="40:47" s="121" customFormat="1" hidden="1">
      <c r="AN428" s="239"/>
      <c r="AO428" s="225"/>
      <c r="AP428" s="260"/>
      <c r="AQ428" s="258"/>
      <c r="AR428" s="258"/>
      <c r="AS428" s="202"/>
      <c r="AT428" s="213"/>
      <c r="AU428" s="213"/>
    </row>
    <row r="429" spans="40:47" s="121" customFormat="1" hidden="1">
      <c r="AN429" s="239"/>
      <c r="AO429" s="225"/>
      <c r="AP429" s="260"/>
      <c r="AQ429" s="258"/>
      <c r="AR429" s="258"/>
      <c r="AS429" s="202"/>
      <c r="AT429" s="213"/>
      <c r="AU429" s="213"/>
    </row>
    <row r="430" spans="40:47" s="121" customFormat="1" hidden="1">
      <c r="AN430" s="239"/>
      <c r="AO430" s="225"/>
      <c r="AP430" s="260"/>
      <c r="AQ430" s="258"/>
      <c r="AR430" s="258"/>
      <c r="AS430" s="202"/>
      <c r="AT430" s="213"/>
      <c r="AU430" s="213"/>
    </row>
    <row r="431" spans="40:47" s="121" customFormat="1" hidden="1">
      <c r="AN431" s="239"/>
      <c r="AO431" s="225"/>
      <c r="AP431" s="260"/>
      <c r="AQ431" s="258"/>
      <c r="AR431" s="258"/>
      <c r="AS431" s="202"/>
      <c r="AT431" s="213"/>
      <c r="AU431" s="213"/>
    </row>
    <row r="432" spans="40:47" s="121" customFormat="1" hidden="1">
      <c r="AN432" s="239"/>
      <c r="AO432" s="225"/>
      <c r="AP432" s="260"/>
      <c r="AQ432" s="258"/>
      <c r="AR432" s="258"/>
      <c r="AS432" s="202"/>
      <c r="AT432" s="213"/>
      <c r="AU432" s="213"/>
    </row>
    <row r="433" spans="40:47" s="121" customFormat="1" hidden="1">
      <c r="AN433" s="239"/>
      <c r="AO433" s="225"/>
      <c r="AP433" s="260"/>
      <c r="AQ433" s="258"/>
      <c r="AR433" s="258"/>
      <c r="AS433" s="202"/>
      <c r="AT433" s="213"/>
      <c r="AU433" s="213"/>
    </row>
    <row r="434" spans="40:47" s="121" customFormat="1" hidden="1">
      <c r="AN434" s="239"/>
      <c r="AO434" s="225"/>
      <c r="AP434" s="260"/>
      <c r="AQ434" s="258"/>
      <c r="AR434" s="258"/>
      <c r="AS434" s="202"/>
      <c r="AT434" s="213"/>
      <c r="AU434" s="213"/>
    </row>
    <row r="435" spans="40:47" s="121" customFormat="1" hidden="1">
      <c r="AN435" s="239"/>
      <c r="AO435" s="225"/>
      <c r="AP435" s="260"/>
      <c r="AQ435" s="258"/>
      <c r="AR435" s="258"/>
      <c r="AS435" s="202"/>
      <c r="AT435" s="213"/>
      <c r="AU435" s="213"/>
    </row>
    <row r="436" spans="40:47" s="121" customFormat="1" hidden="1">
      <c r="AN436" s="239"/>
      <c r="AO436" s="225"/>
      <c r="AP436" s="260"/>
      <c r="AQ436" s="258"/>
      <c r="AR436" s="258"/>
      <c r="AS436" s="202"/>
      <c r="AT436" s="213"/>
      <c r="AU436" s="213"/>
    </row>
    <row r="437" spans="40:47" s="121" customFormat="1" hidden="1">
      <c r="AN437" s="239"/>
      <c r="AO437" s="225"/>
      <c r="AP437" s="260"/>
      <c r="AQ437" s="258"/>
      <c r="AR437" s="258"/>
      <c r="AS437" s="202"/>
      <c r="AT437" s="213"/>
      <c r="AU437" s="213"/>
    </row>
    <row r="438" spans="40:47" s="121" customFormat="1" hidden="1">
      <c r="AN438" s="239"/>
      <c r="AO438" s="225"/>
      <c r="AP438" s="260"/>
      <c r="AQ438" s="258"/>
      <c r="AR438" s="258"/>
      <c r="AS438" s="202"/>
      <c r="AT438" s="213"/>
      <c r="AU438" s="213"/>
    </row>
    <row r="439" spans="40:47" s="121" customFormat="1" hidden="1">
      <c r="AN439" s="239"/>
      <c r="AO439" s="225"/>
      <c r="AP439" s="260"/>
      <c r="AQ439" s="258"/>
      <c r="AR439" s="258"/>
      <c r="AS439" s="202"/>
      <c r="AT439" s="213"/>
      <c r="AU439" s="213"/>
    </row>
    <row r="440" spans="40:47" s="121" customFormat="1" hidden="1">
      <c r="AN440" s="239"/>
      <c r="AO440" s="225"/>
      <c r="AP440" s="260"/>
      <c r="AQ440" s="258"/>
      <c r="AR440" s="258"/>
      <c r="AS440" s="202"/>
      <c r="AT440" s="213"/>
      <c r="AU440" s="213"/>
    </row>
    <row r="441" spans="40:47" s="121" customFormat="1" hidden="1">
      <c r="AN441" s="239"/>
      <c r="AO441" s="225"/>
      <c r="AP441" s="260"/>
      <c r="AQ441" s="258"/>
      <c r="AR441" s="258"/>
      <c r="AS441" s="202"/>
      <c r="AT441" s="213"/>
      <c r="AU441" s="213"/>
    </row>
    <row r="442" spans="40:47" s="121" customFormat="1" hidden="1">
      <c r="AN442" s="239"/>
      <c r="AO442" s="225"/>
      <c r="AP442" s="260"/>
      <c r="AQ442" s="258"/>
      <c r="AR442" s="258"/>
      <c r="AS442" s="202"/>
      <c r="AT442" s="213"/>
      <c r="AU442" s="213"/>
    </row>
    <row r="443" spans="40:47" s="121" customFormat="1" hidden="1">
      <c r="AN443" s="239"/>
      <c r="AO443" s="225"/>
      <c r="AP443" s="260"/>
      <c r="AQ443" s="258"/>
      <c r="AR443" s="258"/>
      <c r="AS443" s="202"/>
      <c r="AT443" s="213"/>
      <c r="AU443" s="213"/>
    </row>
    <row r="444" spans="40:47" s="121" customFormat="1" hidden="1">
      <c r="AN444" s="239"/>
      <c r="AO444" s="225"/>
      <c r="AP444" s="260"/>
      <c r="AQ444" s="258"/>
      <c r="AR444" s="258"/>
      <c r="AS444" s="202"/>
      <c r="AT444" s="213"/>
      <c r="AU444" s="213"/>
    </row>
    <row r="445" spans="40:47" s="121" customFormat="1" hidden="1">
      <c r="AN445" s="239"/>
      <c r="AO445" s="225"/>
      <c r="AP445" s="260"/>
      <c r="AQ445" s="258"/>
      <c r="AR445" s="258"/>
      <c r="AS445" s="202"/>
      <c r="AT445" s="213"/>
      <c r="AU445" s="213"/>
    </row>
    <row r="446" spans="40:47" s="121" customFormat="1" hidden="1">
      <c r="AN446" s="239"/>
      <c r="AO446" s="225"/>
      <c r="AP446" s="260"/>
      <c r="AQ446" s="258"/>
      <c r="AR446" s="258"/>
      <c r="AS446" s="202"/>
      <c r="AT446" s="213"/>
      <c r="AU446" s="213"/>
    </row>
    <row r="447" spans="40:47" s="121" customFormat="1" hidden="1">
      <c r="AN447" s="239"/>
      <c r="AO447" s="225"/>
      <c r="AP447" s="260"/>
      <c r="AQ447" s="258"/>
      <c r="AR447" s="258"/>
      <c r="AS447" s="202"/>
      <c r="AT447" s="213"/>
      <c r="AU447" s="213"/>
    </row>
    <row r="448" spans="40:47" s="121" customFormat="1" hidden="1">
      <c r="AN448" s="239"/>
      <c r="AO448" s="225"/>
      <c r="AP448" s="260"/>
      <c r="AQ448" s="258"/>
      <c r="AR448" s="258"/>
      <c r="AS448" s="202"/>
      <c r="AT448" s="213"/>
      <c r="AU448" s="213"/>
    </row>
    <row r="449" spans="40:47" s="121" customFormat="1" hidden="1">
      <c r="AN449" s="239"/>
      <c r="AO449" s="225"/>
      <c r="AP449" s="260"/>
      <c r="AQ449" s="258"/>
      <c r="AR449" s="258"/>
      <c r="AS449" s="202"/>
      <c r="AT449" s="213"/>
      <c r="AU449" s="213"/>
    </row>
    <row r="450" spans="40:47" s="121" customFormat="1" hidden="1">
      <c r="AN450" s="239"/>
      <c r="AO450" s="225"/>
      <c r="AP450" s="260"/>
      <c r="AQ450" s="258"/>
      <c r="AR450" s="258"/>
      <c r="AS450" s="202"/>
      <c r="AT450" s="213"/>
      <c r="AU450" s="213"/>
    </row>
    <row r="451" spans="40:47" s="121" customFormat="1" hidden="1">
      <c r="AN451" s="239"/>
      <c r="AO451" s="225"/>
      <c r="AP451" s="260"/>
      <c r="AQ451" s="258"/>
      <c r="AR451" s="258"/>
      <c r="AS451" s="202"/>
      <c r="AT451" s="213"/>
      <c r="AU451" s="213"/>
    </row>
    <row r="452" spans="40:47" s="121" customFormat="1" hidden="1">
      <c r="AN452" s="239"/>
      <c r="AO452" s="225"/>
      <c r="AP452" s="260"/>
      <c r="AQ452" s="258"/>
      <c r="AR452" s="258"/>
      <c r="AS452" s="202"/>
      <c r="AT452" s="213"/>
      <c r="AU452" s="213"/>
    </row>
    <row r="453" spans="40:47" s="121" customFormat="1" hidden="1">
      <c r="AN453" s="239"/>
      <c r="AO453" s="225"/>
      <c r="AP453" s="260"/>
      <c r="AQ453" s="258"/>
      <c r="AR453" s="258"/>
      <c r="AS453" s="202"/>
      <c r="AT453" s="213"/>
      <c r="AU453" s="213"/>
    </row>
    <row r="454" spans="40:47" s="121" customFormat="1" hidden="1">
      <c r="AN454" s="239"/>
      <c r="AO454" s="225"/>
      <c r="AP454" s="260"/>
      <c r="AQ454" s="258"/>
      <c r="AR454" s="258"/>
      <c r="AS454" s="202"/>
      <c r="AT454" s="213"/>
      <c r="AU454" s="213"/>
    </row>
    <row r="455" spans="40:47" s="121" customFormat="1" hidden="1">
      <c r="AN455" s="239"/>
      <c r="AO455" s="225"/>
      <c r="AP455" s="260"/>
      <c r="AQ455" s="258"/>
      <c r="AR455" s="258"/>
      <c r="AS455" s="202"/>
      <c r="AT455" s="213"/>
      <c r="AU455" s="213"/>
    </row>
    <row r="456" spans="40:47" s="121" customFormat="1" hidden="1">
      <c r="AN456" s="239"/>
      <c r="AO456" s="225"/>
      <c r="AP456" s="260"/>
      <c r="AQ456" s="258"/>
      <c r="AR456" s="258"/>
      <c r="AS456" s="202"/>
      <c r="AT456" s="213"/>
      <c r="AU456" s="213"/>
    </row>
    <row r="457" spans="40:47" s="121" customFormat="1" hidden="1">
      <c r="AN457" s="239"/>
      <c r="AO457" s="225"/>
      <c r="AP457" s="260"/>
      <c r="AQ457" s="258"/>
      <c r="AR457" s="258"/>
      <c r="AS457" s="202"/>
      <c r="AT457" s="213"/>
      <c r="AU457" s="213"/>
    </row>
    <row r="458" spans="40:47" s="121" customFormat="1" hidden="1">
      <c r="AN458" s="239"/>
      <c r="AO458" s="225"/>
      <c r="AP458" s="260"/>
      <c r="AQ458" s="258"/>
      <c r="AR458" s="258"/>
      <c r="AS458" s="202"/>
      <c r="AT458" s="213"/>
      <c r="AU458" s="213"/>
    </row>
    <row r="459" spans="40:47" s="121" customFormat="1" hidden="1">
      <c r="AN459" s="239"/>
      <c r="AO459" s="225"/>
      <c r="AP459" s="260"/>
      <c r="AQ459" s="258"/>
      <c r="AR459" s="258"/>
      <c r="AS459" s="202"/>
      <c r="AT459" s="213"/>
      <c r="AU459" s="213"/>
    </row>
    <row r="460" spans="40:47" s="121" customFormat="1" hidden="1">
      <c r="AN460" s="239"/>
      <c r="AO460" s="225"/>
      <c r="AP460" s="260"/>
      <c r="AQ460" s="258"/>
      <c r="AR460" s="258"/>
      <c r="AS460" s="202"/>
      <c r="AT460" s="213"/>
      <c r="AU460" s="213"/>
    </row>
    <row r="461" spans="40:47" s="121" customFormat="1" hidden="1">
      <c r="AN461" s="239"/>
      <c r="AO461" s="225"/>
      <c r="AP461" s="260"/>
      <c r="AQ461" s="258"/>
      <c r="AR461" s="258"/>
      <c r="AS461" s="202"/>
      <c r="AT461" s="213"/>
      <c r="AU461" s="213"/>
    </row>
    <row r="462" spans="40:47" s="121" customFormat="1" hidden="1">
      <c r="AN462" s="239"/>
      <c r="AO462" s="225"/>
      <c r="AP462" s="260"/>
      <c r="AQ462" s="258"/>
      <c r="AR462" s="258"/>
      <c r="AS462" s="202"/>
      <c r="AT462" s="213"/>
      <c r="AU462" s="213"/>
    </row>
    <row r="463" spans="40:47" s="121" customFormat="1" hidden="1">
      <c r="AN463" s="239"/>
      <c r="AO463" s="225"/>
      <c r="AP463" s="260"/>
      <c r="AQ463" s="258"/>
      <c r="AR463" s="258"/>
      <c r="AS463" s="202"/>
      <c r="AT463" s="213"/>
      <c r="AU463" s="213"/>
    </row>
    <row r="464" spans="40:47" s="121" customFormat="1" hidden="1">
      <c r="AN464" s="239"/>
      <c r="AO464" s="225"/>
      <c r="AP464" s="260"/>
      <c r="AQ464" s="258"/>
      <c r="AR464" s="258"/>
      <c r="AS464" s="202"/>
      <c r="AT464" s="213"/>
      <c r="AU464" s="213"/>
    </row>
    <row r="465" spans="40:47" s="121" customFormat="1" hidden="1">
      <c r="AN465" s="239"/>
      <c r="AO465" s="225"/>
      <c r="AP465" s="260"/>
      <c r="AQ465" s="258"/>
      <c r="AR465" s="258"/>
      <c r="AS465" s="202"/>
      <c r="AT465" s="213"/>
      <c r="AU465" s="213"/>
    </row>
    <row r="466" spans="40:47" s="121" customFormat="1" hidden="1">
      <c r="AN466" s="239"/>
      <c r="AO466" s="225"/>
      <c r="AP466" s="260"/>
      <c r="AQ466" s="258"/>
      <c r="AR466" s="258"/>
      <c r="AS466" s="202"/>
      <c r="AT466" s="213"/>
      <c r="AU466" s="213"/>
    </row>
    <row r="467" spans="40:47" s="121" customFormat="1" hidden="1">
      <c r="AN467" s="239"/>
      <c r="AO467" s="225"/>
      <c r="AP467" s="260"/>
      <c r="AQ467" s="258"/>
      <c r="AR467" s="258"/>
      <c r="AS467" s="202"/>
      <c r="AT467" s="213"/>
      <c r="AU467" s="213"/>
    </row>
    <row r="468" spans="40:47" s="121" customFormat="1" hidden="1">
      <c r="AN468" s="239"/>
      <c r="AO468" s="225"/>
      <c r="AP468" s="260"/>
      <c r="AQ468" s="258"/>
      <c r="AR468" s="258"/>
      <c r="AS468" s="202"/>
      <c r="AT468" s="213"/>
      <c r="AU468" s="213"/>
    </row>
    <row r="469" spans="40:47" s="121" customFormat="1" hidden="1">
      <c r="AN469" s="239"/>
      <c r="AO469" s="225"/>
      <c r="AP469" s="260"/>
      <c r="AQ469" s="258"/>
      <c r="AR469" s="258"/>
      <c r="AS469" s="202"/>
      <c r="AT469" s="213"/>
      <c r="AU469" s="213"/>
    </row>
    <row r="470" spans="40:47" s="121" customFormat="1" hidden="1">
      <c r="AN470" s="239"/>
      <c r="AO470" s="225"/>
      <c r="AP470" s="260"/>
      <c r="AQ470" s="258"/>
      <c r="AR470" s="258"/>
      <c r="AS470" s="202"/>
      <c r="AT470" s="213"/>
      <c r="AU470" s="213"/>
    </row>
    <row r="471" spans="40:47" s="121" customFormat="1" hidden="1">
      <c r="AN471" s="239"/>
      <c r="AO471" s="225"/>
      <c r="AP471" s="260"/>
      <c r="AQ471" s="258"/>
      <c r="AR471" s="258"/>
      <c r="AS471" s="202"/>
      <c r="AT471" s="213"/>
      <c r="AU471" s="213"/>
    </row>
    <row r="472" spans="40:47" s="121" customFormat="1" hidden="1">
      <c r="AN472" s="239"/>
      <c r="AO472" s="225"/>
      <c r="AP472" s="260"/>
      <c r="AQ472" s="258"/>
      <c r="AR472" s="258"/>
      <c r="AS472" s="202"/>
      <c r="AT472" s="213"/>
      <c r="AU472" s="213"/>
    </row>
    <row r="473" spans="40:47" s="121" customFormat="1" hidden="1">
      <c r="AN473" s="239"/>
      <c r="AO473" s="225"/>
      <c r="AP473" s="260"/>
      <c r="AQ473" s="258"/>
      <c r="AR473" s="258"/>
      <c r="AS473" s="202"/>
      <c r="AT473" s="213"/>
      <c r="AU473" s="213"/>
    </row>
    <row r="474" spans="40:47" s="121" customFormat="1" hidden="1">
      <c r="AN474" s="239"/>
      <c r="AO474" s="225"/>
      <c r="AP474" s="260"/>
      <c r="AQ474" s="258"/>
      <c r="AR474" s="258"/>
      <c r="AS474" s="202"/>
      <c r="AT474" s="213"/>
      <c r="AU474" s="213"/>
    </row>
    <row r="475" spans="40:47" s="121" customFormat="1" hidden="1">
      <c r="AN475" s="239"/>
      <c r="AO475" s="225"/>
      <c r="AP475" s="260"/>
      <c r="AQ475" s="258"/>
      <c r="AR475" s="258"/>
      <c r="AS475" s="202"/>
      <c r="AT475" s="213"/>
      <c r="AU475" s="213"/>
    </row>
    <row r="476" spans="40:47" s="121" customFormat="1" hidden="1">
      <c r="AN476" s="239"/>
      <c r="AO476" s="225"/>
      <c r="AP476" s="260"/>
      <c r="AQ476" s="258"/>
      <c r="AR476" s="258"/>
      <c r="AS476" s="202"/>
      <c r="AT476" s="213"/>
      <c r="AU476" s="213"/>
    </row>
    <row r="477" spans="40:47" s="121" customFormat="1" hidden="1">
      <c r="AN477" s="239"/>
      <c r="AO477" s="225"/>
      <c r="AP477" s="260"/>
      <c r="AQ477" s="258"/>
      <c r="AR477" s="258"/>
      <c r="AS477" s="202"/>
      <c r="AT477" s="213"/>
      <c r="AU477" s="213"/>
    </row>
    <row r="478" spans="40:47" s="121" customFormat="1" hidden="1">
      <c r="AN478" s="239"/>
      <c r="AO478" s="225"/>
      <c r="AP478" s="260"/>
      <c r="AQ478" s="258"/>
      <c r="AR478" s="258"/>
      <c r="AS478" s="202"/>
      <c r="AT478" s="213"/>
      <c r="AU478" s="213"/>
    </row>
    <row r="479" spans="40:47" s="121" customFormat="1" hidden="1">
      <c r="AN479" s="239"/>
      <c r="AO479" s="225"/>
      <c r="AP479" s="260"/>
      <c r="AQ479" s="258"/>
      <c r="AR479" s="258"/>
      <c r="AS479" s="202"/>
      <c r="AT479" s="213"/>
      <c r="AU479" s="213"/>
    </row>
    <row r="480" spans="40:47" s="121" customFormat="1" hidden="1">
      <c r="AN480" s="239"/>
      <c r="AO480" s="225"/>
      <c r="AP480" s="260"/>
      <c r="AQ480" s="258"/>
      <c r="AR480" s="258"/>
      <c r="AS480" s="202"/>
      <c r="AT480" s="213"/>
      <c r="AU480" s="213"/>
    </row>
    <row r="481" spans="40:47" s="121" customFormat="1" hidden="1">
      <c r="AN481" s="239"/>
      <c r="AO481" s="225"/>
      <c r="AP481" s="260"/>
      <c r="AQ481" s="258"/>
      <c r="AR481" s="258"/>
      <c r="AS481" s="202"/>
      <c r="AT481" s="213"/>
      <c r="AU481" s="213"/>
    </row>
    <row r="482" spans="40:47" s="121" customFormat="1" hidden="1">
      <c r="AN482" s="239"/>
      <c r="AO482" s="225"/>
      <c r="AP482" s="260"/>
      <c r="AQ482" s="258"/>
      <c r="AR482" s="258"/>
      <c r="AS482" s="202"/>
      <c r="AT482" s="213"/>
      <c r="AU482" s="213"/>
    </row>
    <row r="483" spans="40:47" s="121" customFormat="1" hidden="1">
      <c r="AN483" s="239"/>
      <c r="AO483" s="225"/>
      <c r="AP483" s="260"/>
      <c r="AQ483" s="258"/>
      <c r="AR483" s="258"/>
      <c r="AS483" s="202"/>
      <c r="AT483" s="213"/>
      <c r="AU483" s="213"/>
    </row>
    <row r="484" spans="40:47" s="121" customFormat="1" hidden="1">
      <c r="AN484" s="239"/>
      <c r="AO484" s="225"/>
      <c r="AP484" s="260"/>
      <c r="AQ484" s="258"/>
      <c r="AR484" s="258"/>
      <c r="AS484" s="202"/>
      <c r="AT484" s="213"/>
      <c r="AU484" s="213"/>
    </row>
    <row r="485" spans="40:47" s="121" customFormat="1" hidden="1">
      <c r="AN485" s="239"/>
      <c r="AO485" s="225"/>
      <c r="AP485" s="260"/>
      <c r="AQ485" s="258"/>
      <c r="AR485" s="258"/>
      <c r="AS485" s="202"/>
      <c r="AT485" s="213"/>
      <c r="AU485" s="213"/>
    </row>
    <row r="486" spans="40:47" s="121" customFormat="1" hidden="1">
      <c r="AN486" s="239"/>
      <c r="AO486" s="225"/>
      <c r="AP486" s="260"/>
      <c r="AQ486" s="258"/>
      <c r="AR486" s="258"/>
      <c r="AS486" s="202"/>
      <c r="AT486" s="213"/>
      <c r="AU486" s="213"/>
    </row>
    <row r="487" spans="40:47" s="121" customFormat="1" hidden="1">
      <c r="AN487" s="239"/>
      <c r="AO487" s="225"/>
      <c r="AP487" s="260"/>
      <c r="AQ487" s="258"/>
      <c r="AR487" s="258"/>
      <c r="AS487" s="202"/>
      <c r="AT487" s="213"/>
      <c r="AU487" s="213"/>
    </row>
    <row r="488" spans="40:47" s="121" customFormat="1" hidden="1">
      <c r="AN488" s="239"/>
      <c r="AO488" s="225"/>
      <c r="AP488" s="260"/>
      <c r="AQ488" s="258"/>
      <c r="AR488" s="258"/>
      <c r="AS488" s="202"/>
      <c r="AT488" s="213"/>
      <c r="AU488" s="213"/>
    </row>
    <row r="489" spans="40:47" s="121" customFormat="1" hidden="1">
      <c r="AN489" s="239"/>
      <c r="AO489" s="225"/>
      <c r="AP489" s="260"/>
      <c r="AQ489" s="258"/>
      <c r="AR489" s="258"/>
      <c r="AS489" s="202"/>
      <c r="AT489" s="213"/>
      <c r="AU489" s="213"/>
    </row>
    <row r="490" spans="40:47" s="121" customFormat="1" hidden="1">
      <c r="AN490" s="239"/>
      <c r="AO490" s="225"/>
      <c r="AP490" s="260"/>
      <c r="AQ490" s="258"/>
      <c r="AR490" s="258"/>
      <c r="AS490" s="202"/>
      <c r="AT490" s="213"/>
      <c r="AU490" s="213"/>
    </row>
    <row r="491" spans="40:47" s="121" customFormat="1" hidden="1">
      <c r="AN491" s="239"/>
      <c r="AO491" s="225"/>
      <c r="AP491" s="260"/>
      <c r="AQ491" s="258"/>
      <c r="AR491" s="258"/>
      <c r="AS491" s="202"/>
      <c r="AT491" s="213"/>
      <c r="AU491" s="213"/>
    </row>
    <row r="492" spans="40:47" s="121" customFormat="1" hidden="1">
      <c r="AN492" s="239"/>
      <c r="AO492" s="225"/>
      <c r="AP492" s="260"/>
      <c r="AQ492" s="258"/>
      <c r="AR492" s="258"/>
      <c r="AS492" s="202"/>
      <c r="AT492" s="213"/>
      <c r="AU492" s="213"/>
    </row>
    <row r="493" spans="40:47" s="121" customFormat="1" hidden="1">
      <c r="AN493" s="239"/>
      <c r="AO493" s="225"/>
      <c r="AP493" s="260"/>
      <c r="AQ493" s="258"/>
      <c r="AR493" s="258"/>
      <c r="AS493" s="202"/>
      <c r="AT493" s="213"/>
      <c r="AU493" s="213"/>
    </row>
    <row r="494" spans="40:47" s="121" customFormat="1" hidden="1">
      <c r="AN494" s="239"/>
      <c r="AO494" s="225"/>
      <c r="AP494" s="260"/>
      <c r="AQ494" s="258"/>
      <c r="AR494" s="258"/>
      <c r="AS494" s="202"/>
      <c r="AT494" s="213"/>
      <c r="AU494" s="213"/>
    </row>
    <row r="495" spans="40:47" s="121" customFormat="1" hidden="1">
      <c r="AN495" s="239"/>
      <c r="AO495" s="225"/>
      <c r="AP495" s="260"/>
      <c r="AQ495" s="258"/>
      <c r="AR495" s="258"/>
      <c r="AS495" s="202"/>
      <c r="AT495" s="213"/>
      <c r="AU495" s="213"/>
    </row>
    <row r="496" spans="40:47" s="121" customFormat="1" hidden="1">
      <c r="AN496" s="239"/>
      <c r="AO496" s="225"/>
      <c r="AP496" s="260"/>
      <c r="AQ496" s="258"/>
      <c r="AR496" s="258"/>
      <c r="AS496" s="202"/>
      <c r="AT496" s="213"/>
      <c r="AU496" s="213"/>
    </row>
    <row r="497" spans="40:47" s="121" customFormat="1" hidden="1">
      <c r="AN497" s="239"/>
      <c r="AO497" s="225"/>
      <c r="AP497" s="260"/>
      <c r="AQ497" s="258"/>
      <c r="AR497" s="258"/>
      <c r="AS497" s="202"/>
      <c r="AT497" s="213"/>
      <c r="AU497" s="213"/>
    </row>
    <row r="498" spans="40:47" s="121" customFormat="1" hidden="1">
      <c r="AN498" s="239"/>
      <c r="AO498" s="225"/>
      <c r="AP498" s="260"/>
      <c r="AQ498" s="258"/>
      <c r="AR498" s="258"/>
      <c r="AS498" s="202"/>
      <c r="AT498" s="213"/>
      <c r="AU498" s="213"/>
    </row>
    <row r="499" spans="40:47" s="121" customFormat="1" hidden="1">
      <c r="AN499" s="239"/>
      <c r="AO499" s="225"/>
      <c r="AP499" s="260"/>
      <c r="AQ499" s="258"/>
      <c r="AR499" s="258"/>
      <c r="AS499" s="202"/>
      <c r="AT499" s="213"/>
      <c r="AU499" s="213"/>
    </row>
    <row r="500" spans="40:47" s="121" customFormat="1" hidden="1">
      <c r="AN500" s="239"/>
      <c r="AO500" s="225"/>
      <c r="AP500" s="260"/>
      <c r="AQ500" s="258"/>
      <c r="AR500" s="258"/>
      <c r="AS500" s="202"/>
      <c r="AT500" s="213"/>
      <c r="AU500" s="213"/>
    </row>
    <row r="501" spans="40:47" s="121" customFormat="1" hidden="1">
      <c r="AN501" s="239"/>
      <c r="AO501" s="225"/>
      <c r="AP501" s="260"/>
      <c r="AQ501" s="258"/>
      <c r="AR501" s="258"/>
      <c r="AS501" s="202"/>
      <c r="AT501" s="213"/>
      <c r="AU501" s="213"/>
    </row>
    <row r="502" spans="40:47" s="121" customFormat="1" hidden="1">
      <c r="AN502" s="239"/>
      <c r="AO502" s="225"/>
      <c r="AP502" s="260"/>
      <c r="AQ502" s="258"/>
      <c r="AR502" s="258"/>
      <c r="AS502" s="202"/>
      <c r="AT502" s="213"/>
      <c r="AU502" s="213"/>
    </row>
    <row r="503" spans="40:47" s="121" customFormat="1" hidden="1">
      <c r="AN503" s="239"/>
      <c r="AO503" s="225"/>
      <c r="AP503" s="260"/>
      <c r="AQ503" s="258"/>
      <c r="AR503" s="258"/>
      <c r="AS503" s="202"/>
      <c r="AT503" s="213"/>
      <c r="AU503" s="213"/>
    </row>
    <row r="504" spans="40:47" s="121" customFormat="1" hidden="1">
      <c r="AN504" s="239"/>
      <c r="AO504" s="225"/>
      <c r="AP504" s="260"/>
      <c r="AQ504" s="258"/>
      <c r="AR504" s="258"/>
      <c r="AS504" s="202"/>
      <c r="AT504" s="213"/>
      <c r="AU504" s="213"/>
    </row>
    <row r="505" spans="40:47" s="121" customFormat="1" hidden="1">
      <c r="AN505" s="239"/>
      <c r="AO505" s="225"/>
      <c r="AP505" s="260"/>
      <c r="AQ505" s="258"/>
      <c r="AR505" s="258"/>
      <c r="AS505" s="202"/>
      <c r="AT505" s="213"/>
      <c r="AU505" s="213"/>
    </row>
    <row r="506" spans="40:47" s="121" customFormat="1" hidden="1">
      <c r="AN506" s="239"/>
      <c r="AO506" s="225"/>
      <c r="AP506" s="260"/>
      <c r="AQ506" s="258"/>
      <c r="AR506" s="258"/>
      <c r="AS506" s="202"/>
      <c r="AT506" s="213"/>
      <c r="AU506" s="213"/>
    </row>
    <row r="507" spans="40:47" s="121" customFormat="1" hidden="1">
      <c r="AN507" s="239"/>
      <c r="AO507" s="225"/>
      <c r="AP507" s="260"/>
      <c r="AQ507" s="258"/>
      <c r="AR507" s="258"/>
      <c r="AS507" s="202"/>
      <c r="AT507" s="213"/>
      <c r="AU507" s="213"/>
    </row>
    <row r="508" spans="40:47" s="121" customFormat="1" hidden="1">
      <c r="AN508" s="239"/>
      <c r="AO508" s="225"/>
      <c r="AP508" s="260"/>
      <c r="AQ508" s="258"/>
      <c r="AR508" s="258"/>
      <c r="AS508" s="202"/>
      <c r="AT508" s="213"/>
      <c r="AU508" s="213"/>
    </row>
    <row r="509" spans="40:47" s="121" customFormat="1" hidden="1">
      <c r="AN509" s="239"/>
      <c r="AO509" s="225"/>
      <c r="AP509" s="260"/>
      <c r="AQ509" s="258"/>
      <c r="AR509" s="258"/>
      <c r="AS509" s="202"/>
      <c r="AT509" s="213"/>
      <c r="AU509" s="213"/>
    </row>
    <row r="510" spans="40:47" s="121" customFormat="1" hidden="1">
      <c r="AN510" s="239"/>
      <c r="AO510" s="225"/>
      <c r="AP510" s="260"/>
      <c r="AQ510" s="258"/>
      <c r="AR510" s="258"/>
      <c r="AS510" s="202"/>
      <c r="AT510" s="213"/>
      <c r="AU510" s="213"/>
    </row>
    <row r="511" spans="40:47" s="121" customFormat="1" hidden="1">
      <c r="AN511" s="239"/>
      <c r="AO511" s="225"/>
      <c r="AP511" s="260"/>
      <c r="AQ511" s="258"/>
      <c r="AR511" s="258"/>
      <c r="AS511" s="202"/>
      <c r="AT511" s="213"/>
      <c r="AU511" s="213"/>
    </row>
    <row r="512" spans="40:47" s="121" customFormat="1" hidden="1">
      <c r="AN512" s="239"/>
      <c r="AO512" s="225"/>
      <c r="AP512" s="260"/>
      <c r="AQ512" s="258"/>
      <c r="AR512" s="258"/>
      <c r="AS512" s="202"/>
      <c r="AT512" s="213"/>
      <c r="AU512" s="213"/>
    </row>
    <row r="513" spans="40:47" s="121" customFormat="1" hidden="1">
      <c r="AN513" s="239"/>
      <c r="AO513" s="225"/>
      <c r="AP513" s="260"/>
      <c r="AQ513" s="258"/>
      <c r="AR513" s="258"/>
      <c r="AS513" s="202"/>
      <c r="AT513" s="213"/>
      <c r="AU513" s="213"/>
    </row>
    <row r="514" spans="40:47" s="121" customFormat="1" hidden="1">
      <c r="AN514" s="239"/>
      <c r="AO514" s="225"/>
      <c r="AP514" s="260"/>
      <c r="AQ514" s="258"/>
      <c r="AR514" s="258"/>
      <c r="AS514" s="202"/>
      <c r="AT514" s="213"/>
      <c r="AU514" s="213"/>
    </row>
    <row r="515" spans="40:47" s="121" customFormat="1" hidden="1">
      <c r="AN515" s="239"/>
      <c r="AO515" s="225"/>
      <c r="AP515" s="260"/>
      <c r="AQ515" s="258"/>
      <c r="AR515" s="258"/>
      <c r="AS515" s="202"/>
      <c r="AT515" s="213"/>
      <c r="AU515" s="213"/>
    </row>
    <row r="516" spans="40:47" s="121" customFormat="1" hidden="1">
      <c r="AN516" s="239"/>
      <c r="AO516" s="225"/>
      <c r="AP516" s="260"/>
      <c r="AQ516" s="258"/>
      <c r="AR516" s="258"/>
      <c r="AS516" s="202"/>
      <c r="AT516" s="213"/>
      <c r="AU516" s="213"/>
    </row>
    <row r="517" spans="40:47" s="121" customFormat="1" hidden="1">
      <c r="AN517" s="239"/>
      <c r="AO517" s="225"/>
      <c r="AP517" s="260"/>
      <c r="AQ517" s="258"/>
      <c r="AR517" s="258"/>
      <c r="AS517" s="202"/>
      <c r="AT517" s="213"/>
      <c r="AU517" s="213"/>
    </row>
    <row r="518" spans="40:47" s="121" customFormat="1" hidden="1">
      <c r="AN518" s="239"/>
      <c r="AO518" s="225"/>
      <c r="AP518" s="260"/>
      <c r="AQ518" s="258"/>
      <c r="AR518" s="258"/>
      <c r="AS518" s="202"/>
      <c r="AT518" s="213"/>
      <c r="AU518" s="213"/>
    </row>
    <row r="519" spans="40:47" s="121" customFormat="1" hidden="1">
      <c r="AN519" s="239"/>
      <c r="AO519" s="225"/>
      <c r="AP519" s="260"/>
      <c r="AQ519" s="258"/>
      <c r="AR519" s="258"/>
      <c r="AS519" s="202"/>
      <c r="AT519" s="213"/>
      <c r="AU519" s="213"/>
    </row>
    <row r="520" spans="40:47" s="121" customFormat="1" hidden="1">
      <c r="AN520" s="239"/>
      <c r="AO520" s="225"/>
      <c r="AP520" s="260"/>
      <c r="AQ520" s="258"/>
      <c r="AR520" s="258"/>
      <c r="AS520" s="202"/>
      <c r="AT520" s="213"/>
      <c r="AU520" s="213"/>
    </row>
    <row r="521" spans="40:47" s="121" customFormat="1" hidden="1">
      <c r="AN521" s="239"/>
      <c r="AO521" s="225"/>
      <c r="AP521" s="260"/>
      <c r="AQ521" s="258"/>
      <c r="AR521" s="258"/>
      <c r="AS521" s="202"/>
      <c r="AT521" s="213"/>
      <c r="AU521" s="213"/>
    </row>
    <row r="522" spans="40:47" s="121" customFormat="1" hidden="1">
      <c r="AN522" s="239"/>
      <c r="AO522" s="225"/>
      <c r="AP522" s="260"/>
      <c r="AQ522" s="258"/>
      <c r="AR522" s="258"/>
      <c r="AS522" s="202"/>
      <c r="AT522" s="213"/>
      <c r="AU522" s="213"/>
    </row>
    <row r="523" spans="40:47" s="121" customFormat="1" hidden="1">
      <c r="AN523" s="239"/>
      <c r="AO523" s="225"/>
      <c r="AP523" s="260"/>
      <c r="AQ523" s="258"/>
      <c r="AR523" s="258"/>
      <c r="AS523" s="202"/>
      <c r="AT523" s="213"/>
      <c r="AU523" s="213"/>
    </row>
    <row r="524" spans="40:47" s="121" customFormat="1" hidden="1">
      <c r="AN524" s="239"/>
      <c r="AO524" s="225"/>
      <c r="AP524" s="260"/>
      <c r="AQ524" s="258"/>
      <c r="AR524" s="258"/>
      <c r="AS524" s="202"/>
      <c r="AT524" s="213"/>
      <c r="AU524" s="213"/>
    </row>
    <row r="525" spans="40:47" s="121" customFormat="1" hidden="1">
      <c r="AN525" s="239"/>
      <c r="AO525" s="225"/>
      <c r="AP525" s="260"/>
      <c r="AQ525" s="258"/>
      <c r="AR525" s="258"/>
      <c r="AS525" s="202"/>
      <c r="AT525" s="213"/>
      <c r="AU525" s="213"/>
    </row>
    <row r="526" spans="40:47" s="121" customFormat="1" hidden="1">
      <c r="AN526" s="239"/>
      <c r="AO526" s="225"/>
      <c r="AP526" s="260"/>
      <c r="AQ526" s="258"/>
      <c r="AR526" s="258"/>
      <c r="AS526" s="202"/>
      <c r="AT526" s="213"/>
      <c r="AU526" s="213"/>
    </row>
    <row r="527" spans="40:47" s="121" customFormat="1" hidden="1">
      <c r="AN527" s="239"/>
      <c r="AO527" s="225"/>
      <c r="AP527" s="260"/>
      <c r="AQ527" s="258"/>
      <c r="AR527" s="258"/>
      <c r="AS527" s="202"/>
      <c r="AT527" s="213"/>
      <c r="AU527" s="213"/>
    </row>
    <row r="528" spans="40:47" s="121" customFormat="1" hidden="1">
      <c r="AN528" s="239"/>
      <c r="AO528" s="225"/>
      <c r="AP528" s="260"/>
      <c r="AQ528" s="258"/>
      <c r="AR528" s="258"/>
      <c r="AS528" s="202"/>
      <c r="AT528" s="213"/>
      <c r="AU528" s="213"/>
    </row>
    <row r="529" spans="40:47" s="121" customFormat="1" hidden="1">
      <c r="AN529" s="239"/>
      <c r="AO529" s="225"/>
      <c r="AP529" s="260"/>
      <c r="AQ529" s="258"/>
      <c r="AR529" s="258"/>
      <c r="AS529" s="202"/>
      <c r="AT529" s="213"/>
      <c r="AU529" s="213"/>
    </row>
    <row r="530" spans="40:47" s="121" customFormat="1" hidden="1">
      <c r="AN530" s="239"/>
      <c r="AO530" s="225"/>
      <c r="AP530" s="260"/>
      <c r="AQ530" s="258"/>
      <c r="AR530" s="258"/>
      <c r="AS530" s="202"/>
      <c r="AT530" s="213"/>
      <c r="AU530" s="213"/>
    </row>
    <row r="531" spans="40:47" s="121" customFormat="1" hidden="1">
      <c r="AN531" s="239"/>
      <c r="AO531" s="225"/>
      <c r="AP531" s="260"/>
      <c r="AQ531" s="258"/>
      <c r="AR531" s="258"/>
      <c r="AS531" s="202"/>
      <c r="AT531" s="213"/>
      <c r="AU531" s="213"/>
    </row>
    <row r="532" spans="40:47" s="121" customFormat="1" hidden="1">
      <c r="AN532" s="239"/>
      <c r="AO532" s="225"/>
      <c r="AP532" s="260"/>
      <c r="AQ532" s="258"/>
      <c r="AR532" s="258"/>
      <c r="AS532" s="202"/>
      <c r="AT532" s="213"/>
      <c r="AU532" s="213"/>
    </row>
    <row r="533" spans="40:47" s="121" customFormat="1" hidden="1">
      <c r="AN533" s="239"/>
      <c r="AO533" s="225"/>
      <c r="AP533" s="260"/>
      <c r="AQ533" s="258"/>
      <c r="AR533" s="258"/>
      <c r="AS533" s="202"/>
      <c r="AT533" s="213"/>
      <c r="AU533" s="213"/>
    </row>
    <row r="534" spans="40:47" s="121" customFormat="1" hidden="1">
      <c r="AN534" s="239"/>
      <c r="AO534" s="225"/>
      <c r="AP534" s="260"/>
      <c r="AQ534" s="258"/>
      <c r="AR534" s="258"/>
      <c r="AS534" s="202"/>
      <c r="AT534" s="213"/>
      <c r="AU534" s="213"/>
    </row>
    <row r="535" spans="40:47" s="121" customFormat="1" hidden="1">
      <c r="AN535" s="239"/>
      <c r="AO535" s="225"/>
      <c r="AP535" s="260"/>
      <c r="AQ535" s="258"/>
      <c r="AR535" s="258"/>
      <c r="AS535" s="202"/>
      <c r="AT535" s="213"/>
      <c r="AU535" s="213"/>
    </row>
    <row r="536" spans="40:47" s="121" customFormat="1" hidden="1">
      <c r="AN536" s="239"/>
      <c r="AO536" s="225"/>
      <c r="AP536" s="260"/>
      <c r="AQ536" s="258"/>
      <c r="AR536" s="258"/>
      <c r="AS536" s="202"/>
      <c r="AT536" s="213"/>
      <c r="AU536" s="213"/>
    </row>
    <row r="537" spans="40:47" s="121" customFormat="1" hidden="1">
      <c r="AN537" s="239"/>
      <c r="AO537" s="225"/>
      <c r="AP537" s="260"/>
      <c r="AQ537" s="258"/>
      <c r="AR537" s="258"/>
      <c r="AS537" s="202"/>
      <c r="AT537" s="213"/>
      <c r="AU537" s="213"/>
    </row>
    <row r="538" spans="40:47" s="121" customFormat="1" hidden="1">
      <c r="AN538" s="239"/>
      <c r="AO538" s="225"/>
      <c r="AP538" s="260"/>
      <c r="AQ538" s="258"/>
      <c r="AR538" s="258"/>
      <c r="AS538" s="202"/>
      <c r="AT538" s="213"/>
      <c r="AU538" s="213"/>
    </row>
    <row r="539" spans="40:47" s="121" customFormat="1" hidden="1">
      <c r="AN539" s="239"/>
      <c r="AO539" s="225"/>
      <c r="AP539" s="260"/>
      <c r="AQ539" s="258"/>
      <c r="AR539" s="258"/>
      <c r="AS539" s="202"/>
      <c r="AT539" s="213"/>
      <c r="AU539" s="213"/>
    </row>
    <row r="540" spans="40:47" s="121" customFormat="1" hidden="1">
      <c r="AN540" s="239"/>
      <c r="AO540" s="225"/>
      <c r="AP540" s="260"/>
      <c r="AQ540" s="258"/>
      <c r="AR540" s="258"/>
      <c r="AS540" s="202"/>
      <c r="AT540" s="213"/>
      <c r="AU540" s="213"/>
    </row>
    <row r="541" spans="40:47" s="121" customFormat="1" hidden="1">
      <c r="AN541" s="239"/>
      <c r="AO541" s="225"/>
      <c r="AP541" s="260"/>
      <c r="AQ541" s="258"/>
      <c r="AR541" s="258"/>
      <c r="AS541" s="202"/>
      <c r="AT541" s="213"/>
      <c r="AU541" s="213"/>
    </row>
    <row r="542" spans="40:47" s="121" customFormat="1" hidden="1">
      <c r="AN542" s="239"/>
      <c r="AO542" s="225"/>
      <c r="AP542" s="260"/>
      <c r="AQ542" s="258"/>
      <c r="AR542" s="258"/>
      <c r="AS542" s="202"/>
      <c r="AT542" s="213"/>
      <c r="AU542" s="213"/>
    </row>
    <row r="543" spans="40:47" s="121" customFormat="1" hidden="1">
      <c r="AN543" s="239"/>
      <c r="AO543" s="225"/>
      <c r="AP543" s="260"/>
      <c r="AQ543" s="258"/>
      <c r="AR543" s="258"/>
      <c r="AS543" s="202"/>
      <c r="AT543" s="213"/>
      <c r="AU543" s="213"/>
    </row>
    <row r="544" spans="40:47" s="121" customFormat="1" hidden="1">
      <c r="AN544" s="239"/>
      <c r="AO544" s="225"/>
      <c r="AP544" s="260"/>
      <c r="AQ544" s="258"/>
      <c r="AR544" s="258"/>
      <c r="AS544" s="202"/>
      <c r="AT544" s="213"/>
      <c r="AU544" s="213"/>
    </row>
    <row r="545" spans="40:47" s="121" customFormat="1" hidden="1">
      <c r="AN545" s="239"/>
      <c r="AO545" s="225"/>
      <c r="AP545" s="260"/>
      <c r="AQ545" s="258"/>
      <c r="AR545" s="258"/>
      <c r="AS545" s="202"/>
      <c r="AT545" s="213"/>
      <c r="AU545" s="213"/>
    </row>
    <row r="546" spans="40:47" s="121" customFormat="1" hidden="1">
      <c r="AN546" s="239"/>
      <c r="AO546" s="225"/>
      <c r="AP546" s="260"/>
      <c r="AQ546" s="258"/>
      <c r="AR546" s="258"/>
      <c r="AS546" s="202"/>
      <c r="AT546" s="213"/>
      <c r="AU546" s="213"/>
    </row>
    <row r="547" spans="40:47" s="121" customFormat="1" hidden="1">
      <c r="AN547" s="239"/>
      <c r="AO547" s="225"/>
      <c r="AP547" s="260"/>
      <c r="AQ547" s="258"/>
      <c r="AR547" s="258"/>
      <c r="AS547" s="202"/>
      <c r="AT547" s="213"/>
      <c r="AU547" s="213"/>
    </row>
    <row r="548" spans="40:47" s="121" customFormat="1" hidden="1">
      <c r="AN548" s="239"/>
      <c r="AO548" s="225"/>
      <c r="AP548" s="260"/>
      <c r="AQ548" s="258"/>
      <c r="AR548" s="258"/>
      <c r="AS548" s="202"/>
      <c r="AT548" s="213"/>
      <c r="AU548" s="213"/>
    </row>
    <row r="549" spans="40:47" s="121" customFormat="1" hidden="1">
      <c r="AN549" s="239"/>
      <c r="AO549" s="225"/>
      <c r="AP549" s="260"/>
      <c r="AQ549" s="258"/>
      <c r="AR549" s="258"/>
      <c r="AS549" s="202"/>
      <c r="AT549" s="213"/>
      <c r="AU549" s="213"/>
    </row>
    <row r="550" spans="40:47" s="121" customFormat="1" hidden="1">
      <c r="AN550" s="239"/>
      <c r="AO550" s="225"/>
      <c r="AP550" s="260"/>
      <c r="AQ550" s="258"/>
      <c r="AR550" s="258"/>
      <c r="AS550" s="202"/>
      <c r="AT550" s="213"/>
      <c r="AU550" s="213"/>
    </row>
    <row r="551" spans="40:47" s="121" customFormat="1" hidden="1">
      <c r="AN551" s="239"/>
      <c r="AO551" s="225"/>
      <c r="AP551" s="260"/>
      <c r="AQ551" s="258"/>
      <c r="AR551" s="258"/>
      <c r="AS551" s="202"/>
      <c r="AT551" s="213"/>
      <c r="AU551" s="213"/>
    </row>
    <row r="552" spans="40:47" s="121" customFormat="1" hidden="1">
      <c r="AN552" s="239"/>
      <c r="AO552" s="225"/>
      <c r="AP552" s="260"/>
      <c r="AQ552" s="258"/>
      <c r="AR552" s="258"/>
      <c r="AS552" s="202"/>
      <c r="AT552" s="213"/>
      <c r="AU552" s="213"/>
    </row>
    <row r="553" spans="40:47" s="121" customFormat="1" hidden="1">
      <c r="AN553" s="239"/>
      <c r="AO553" s="225"/>
      <c r="AP553" s="260"/>
      <c r="AQ553" s="258"/>
      <c r="AR553" s="258"/>
      <c r="AS553" s="202"/>
      <c r="AT553" s="213"/>
      <c r="AU553" s="213"/>
    </row>
    <row r="554" spans="40:47" s="121" customFormat="1" hidden="1">
      <c r="AN554" s="239"/>
      <c r="AO554" s="225"/>
      <c r="AP554" s="260"/>
      <c r="AQ554" s="258"/>
      <c r="AR554" s="258"/>
      <c r="AS554" s="202"/>
      <c r="AT554" s="213"/>
      <c r="AU554" s="213"/>
    </row>
    <row r="555" spans="40:47" s="121" customFormat="1" hidden="1">
      <c r="AN555" s="239"/>
      <c r="AO555" s="225"/>
      <c r="AP555" s="260"/>
      <c r="AQ555" s="258"/>
      <c r="AR555" s="258"/>
      <c r="AS555" s="202"/>
      <c r="AT555" s="213"/>
      <c r="AU555" s="213"/>
    </row>
    <row r="556" spans="40:47" s="121" customFormat="1" hidden="1">
      <c r="AN556" s="239"/>
      <c r="AO556" s="225"/>
      <c r="AP556" s="260"/>
      <c r="AQ556" s="258"/>
      <c r="AR556" s="258"/>
      <c r="AS556" s="202"/>
      <c r="AT556" s="213"/>
      <c r="AU556" s="213"/>
    </row>
    <row r="557" spans="40:47" s="121" customFormat="1" hidden="1">
      <c r="AN557" s="239"/>
      <c r="AO557" s="225"/>
      <c r="AP557" s="260"/>
      <c r="AQ557" s="258"/>
      <c r="AR557" s="258"/>
      <c r="AS557" s="202"/>
      <c r="AT557" s="213"/>
      <c r="AU557" s="213"/>
    </row>
    <row r="558" spans="40:47" s="121" customFormat="1" hidden="1">
      <c r="AN558" s="239"/>
      <c r="AO558" s="225"/>
      <c r="AP558" s="260"/>
      <c r="AQ558" s="258"/>
      <c r="AR558" s="258"/>
      <c r="AS558" s="202"/>
      <c r="AT558" s="213"/>
      <c r="AU558" s="213"/>
    </row>
    <row r="559" spans="40:47" s="121" customFormat="1" hidden="1">
      <c r="AN559" s="239"/>
      <c r="AO559" s="225"/>
      <c r="AP559" s="260"/>
      <c r="AQ559" s="258"/>
      <c r="AR559" s="258"/>
      <c r="AS559" s="202"/>
      <c r="AT559" s="213"/>
      <c r="AU559" s="213"/>
    </row>
    <row r="560" spans="40:47" s="121" customFormat="1" hidden="1">
      <c r="AN560" s="239"/>
      <c r="AO560" s="225"/>
      <c r="AP560" s="260"/>
      <c r="AQ560" s="258"/>
      <c r="AR560" s="258"/>
      <c r="AS560" s="202"/>
      <c r="AT560" s="213"/>
      <c r="AU560" s="213"/>
    </row>
    <row r="561" spans="40:47" s="121" customFormat="1" hidden="1">
      <c r="AN561" s="239"/>
      <c r="AO561" s="225"/>
      <c r="AP561" s="260"/>
      <c r="AQ561" s="258"/>
      <c r="AR561" s="258"/>
      <c r="AS561" s="202"/>
      <c r="AT561" s="213"/>
      <c r="AU561" s="213"/>
    </row>
    <row r="562" spans="40:47" s="121" customFormat="1" hidden="1">
      <c r="AN562" s="239"/>
      <c r="AO562" s="225"/>
      <c r="AP562" s="260"/>
      <c r="AQ562" s="258"/>
      <c r="AR562" s="258"/>
      <c r="AS562" s="202"/>
      <c r="AT562" s="213"/>
      <c r="AU562" s="213"/>
    </row>
    <row r="563" spans="40:47" s="121" customFormat="1" hidden="1">
      <c r="AN563" s="239"/>
      <c r="AO563" s="225"/>
      <c r="AP563" s="260"/>
      <c r="AQ563" s="258"/>
      <c r="AR563" s="258"/>
      <c r="AS563" s="202"/>
      <c r="AT563" s="213"/>
      <c r="AU563" s="213"/>
    </row>
    <row r="564" spans="40:47" s="121" customFormat="1" hidden="1">
      <c r="AN564" s="239"/>
      <c r="AO564" s="225"/>
      <c r="AP564" s="260"/>
      <c r="AQ564" s="258"/>
      <c r="AR564" s="258"/>
      <c r="AS564" s="202"/>
      <c r="AT564" s="213"/>
      <c r="AU564" s="213"/>
    </row>
    <row r="565" spans="40:47" s="121" customFormat="1" hidden="1">
      <c r="AN565" s="239"/>
      <c r="AO565" s="225"/>
      <c r="AP565" s="260"/>
      <c r="AQ565" s="258"/>
      <c r="AR565" s="258"/>
      <c r="AS565" s="202"/>
      <c r="AT565" s="213"/>
      <c r="AU565" s="213"/>
    </row>
    <row r="566" spans="40:47" s="121" customFormat="1" hidden="1">
      <c r="AN566" s="239"/>
      <c r="AO566" s="225"/>
      <c r="AP566" s="260"/>
      <c r="AQ566" s="258"/>
      <c r="AR566" s="258"/>
      <c r="AS566" s="202"/>
      <c r="AT566" s="213"/>
      <c r="AU566" s="213"/>
    </row>
    <row r="567" spans="40:47" s="121" customFormat="1" hidden="1">
      <c r="AN567" s="239"/>
      <c r="AO567" s="225"/>
      <c r="AP567" s="260"/>
      <c r="AQ567" s="258"/>
      <c r="AR567" s="258"/>
      <c r="AS567" s="202"/>
      <c r="AT567" s="213"/>
      <c r="AU567" s="213"/>
    </row>
    <row r="568" spans="40:47" s="121" customFormat="1" hidden="1">
      <c r="AN568" s="239"/>
      <c r="AO568" s="225"/>
      <c r="AP568" s="260"/>
      <c r="AQ568" s="258"/>
      <c r="AR568" s="258"/>
      <c r="AS568" s="202"/>
      <c r="AT568" s="213"/>
      <c r="AU568" s="213"/>
    </row>
    <row r="569" spans="40:47" s="121" customFormat="1" hidden="1">
      <c r="AN569" s="239"/>
      <c r="AO569" s="225"/>
      <c r="AP569" s="260"/>
      <c r="AQ569" s="258"/>
      <c r="AR569" s="258"/>
      <c r="AS569" s="202"/>
      <c r="AT569" s="213"/>
      <c r="AU569" s="213"/>
    </row>
    <row r="570" spans="40:47" s="121" customFormat="1" hidden="1">
      <c r="AN570" s="239"/>
      <c r="AO570" s="225"/>
      <c r="AP570" s="260"/>
      <c r="AQ570" s="258"/>
      <c r="AR570" s="258"/>
      <c r="AS570" s="202"/>
      <c r="AT570" s="213"/>
      <c r="AU570" s="213"/>
    </row>
    <row r="571" spans="40:47" s="121" customFormat="1" hidden="1">
      <c r="AN571" s="239"/>
      <c r="AO571" s="225"/>
      <c r="AP571" s="260"/>
      <c r="AQ571" s="258"/>
      <c r="AR571" s="258"/>
      <c r="AS571" s="202"/>
      <c r="AT571" s="213"/>
      <c r="AU571" s="213"/>
    </row>
    <row r="572" spans="40:47" s="121" customFormat="1" hidden="1">
      <c r="AN572" s="239"/>
      <c r="AO572" s="225"/>
      <c r="AP572" s="260"/>
      <c r="AQ572" s="258"/>
      <c r="AR572" s="258"/>
      <c r="AS572" s="202"/>
      <c r="AT572" s="213"/>
      <c r="AU572" s="213"/>
    </row>
    <row r="573" spans="40:47" s="121" customFormat="1" hidden="1">
      <c r="AN573" s="239"/>
      <c r="AO573" s="225"/>
      <c r="AP573" s="260"/>
      <c r="AQ573" s="258"/>
      <c r="AR573" s="258"/>
      <c r="AS573" s="202"/>
      <c r="AT573" s="213"/>
      <c r="AU573" s="213"/>
    </row>
    <row r="574" spans="40:47" s="121" customFormat="1" hidden="1">
      <c r="AN574" s="239"/>
      <c r="AO574" s="225"/>
      <c r="AP574" s="260"/>
      <c r="AQ574" s="258"/>
      <c r="AR574" s="258"/>
      <c r="AS574" s="202"/>
      <c r="AT574" s="213"/>
      <c r="AU574" s="213"/>
    </row>
    <row r="575" spans="40:47" s="121" customFormat="1" hidden="1">
      <c r="AN575" s="239"/>
      <c r="AO575" s="225"/>
      <c r="AP575" s="260"/>
      <c r="AQ575" s="258"/>
      <c r="AR575" s="258"/>
      <c r="AS575" s="202"/>
      <c r="AT575" s="213"/>
      <c r="AU575" s="213"/>
    </row>
    <row r="576" spans="40:47" s="121" customFormat="1" hidden="1">
      <c r="AN576" s="239"/>
      <c r="AO576" s="225"/>
      <c r="AP576" s="260"/>
      <c r="AQ576" s="258"/>
      <c r="AR576" s="258"/>
      <c r="AS576" s="202"/>
      <c r="AT576" s="213"/>
      <c r="AU576" s="213"/>
    </row>
    <row r="577" spans="40:47" s="121" customFormat="1" hidden="1">
      <c r="AN577" s="239"/>
      <c r="AO577" s="225"/>
      <c r="AP577" s="260"/>
      <c r="AQ577" s="258"/>
      <c r="AR577" s="258"/>
      <c r="AS577" s="202"/>
      <c r="AT577" s="213"/>
      <c r="AU577" s="213"/>
    </row>
    <row r="578" spans="40:47" s="121" customFormat="1" hidden="1">
      <c r="AN578" s="239"/>
      <c r="AO578" s="225"/>
      <c r="AP578" s="260"/>
      <c r="AQ578" s="258"/>
      <c r="AR578" s="258"/>
      <c r="AS578" s="202"/>
      <c r="AT578" s="213"/>
      <c r="AU578" s="213"/>
    </row>
    <row r="579" spans="40:47" s="121" customFormat="1" hidden="1">
      <c r="AN579" s="239"/>
      <c r="AO579" s="225"/>
      <c r="AP579" s="260"/>
      <c r="AQ579" s="258"/>
      <c r="AR579" s="258"/>
      <c r="AS579" s="202"/>
      <c r="AT579" s="213"/>
      <c r="AU579" s="213"/>
    </row>
    <row r="580" spans="40:47" s="121" customFormat="1" hidden="1">
      <c r="AN580" s="239"/>
      <c r="AO580" s="225"/>
      <c r="AP580" s="260"/>
      <c r="AQ580" s="258"/>
      <c r="AR580" s="258"/>
      <c r="AS580" s="202"/>
      <c r="AT580" s="213"/>
      <c r="AU580" s="213"/>
    </row>
    <row r="581" spans="40:47" s="121" customFormat="1" hidden="1">
      <c r="AN581" s="239"/>
      <c r="AO581" s="225"/>
      <c r="AP581" s="260"/>
      <c r="AQ581" s="258"/>
      <c r="AR581" s="258"/>
      <c r="AS581" s="202"/>
      <c r="AT581" s="213"/>
      <c r="AU581" s="213"/>
    </row>
    <row r="582" spans="40:47" s="121" customFormat="1" hidden="1">
      <c r="AN582" s="239"/>
      <c r="AO582" s="225"/>
      <c r="AP582" s="260"/>
      <c r="AQ582" s="258"/>
      <c r="AR582" s="258"/>
      <c r="AS582" s="202"/>
      <c r="AT582" s="213"/>
      <c r="AU582" s="213"/>
    </row>
    <row r="583" spans="40:47" s="121" customFormat="1" hidden="1">
      <c r="AN583" s="239"/>
      <c r="AO583" s="225"/>
      <c r="AP583" s="260"/>
      <c r="AQ583" s="258"/>
      <c r="AR583" s="258"/>
      <c r="AS583" s="202"/>
      <c r="AT583" s="213"/>
      <c r="AU583" s="213"/>
    </row>
    <row r="584" spans="40:47" s="121" customFormat="1" hidden="1">
      <c r="AN584" s="239"/>
      <c r="AO584" s="225"/>
      <c r="AP584" s="260"/>
      <c r="AQ584" s="258"/>
      <c r="AR584" s="258"/>
      <c r="AS584" s="202"/>
      <c r="AT584" s="213"/>
      <c r="AU584" s="213"/>
    </row>
    <row r="585" spans="40:47" s="121" customFormat="1" hidden="1">
      <c r="AN585" s="239"/>
      <c r="AO585" s="225"/>
      <c r="AP585" s="260"/>
      <c r="AQ585" s="258"/>
      <c r="AR585" s="258"/>
      <c r="AS585" s="202"/>
      <c r="AT585" s="213"/>
      <c r="AU585" s="213"/>
    </row>
    <row r="586" spans="40:47" s="121" customFormat="1" hidden="1">
      <c r="AN586" s="239"/>
      <c r="AO586" s="225"/>
      <c r="AP586" s="260"/>
      <c r="AQ586" s="258"/>
      <c r="AR586" s="258"/>
      <c r="AS586" s="202"/>
      <c r="AT586" s="213"/>
      <c r="AU586" s="213"/>
    </row>
    <row r="587" spans="40:47" s="121" customFormat="1" hidden="1">
      <c r="AN587" s="239"/>
      <c r="AO587" s="225"/>
      <c r="AP587" s="260"/>
      <c r="AQ587" s="258"/>
      <c r="AR587" s="258"/>
      <c r="AS587" s="202"/>
      <c r="AT587" s="213"/>
      <c r="AU587" s="213"/>
    </row>
    <row r="588" spans="40:47" s="121" customFormat="1" hidden="1">
      <c r="AN588" s="239"/>
      <c r="AO588" s="225"/>
      <c r="AP588" s="260"/>
      <c r="AQ588" s="258"/>
      <c r="AR588" s="258"/>
      <c r="AS588" s="202"/>
      <c r="AT588" s="213"/>
      <c r="AU588" s="213"/>
    </row>
    <row r="589" spans="40:47" s="121" customFormat="1" hidden="1">
      <c r="AN589" s="239"/>
      <c r="AO589" s="225"/>
      <c r="AP589" s="260"/>
      <c r="AQ589" s="258"/>
      <c r="AR589" s="258"/>
      <c r="AS589" s="202"/>
      <c r="AT589" s="213"/>
      <c r="AU589" s="213"/>
    </row>
    <row r="590" spans="40:47" s="121" customFormat="1" hidden="1">
      <c r="AN590" s="239"/>
      <c r="AO590" s="225"/>
      <c r="AP590" s="260"/>
      <c r="AQ590" s="258"/>
      <c r="AR590" s="258"/>
      <c r="AS590" s="202"/>
      <c r="AT590" s="213"/>
      <c r="AU590" s="213"/>
    </row>
    <row r="591" spans="40:47" s="121" customFormat="1" hidden="1">
      <c r="AN591" s="239"/>
      <c r="AO591" s="225"/>
      <c r="AP591" s="260"/>
      <c r="AQ591" s="258"/>
      <c r="AR591" s="258"/>
      <c r="AS591" s="202"/>
      <c r="AT591" s="213"/>
      <c r="AU591" s="213"/>
    </row>
    <row r="592" spans="40:47" s="121" customFormat="1" hidden="1">
      <c r="AN592" s="239"/>
      <c r="AO592" s="225"/>
      <c r="AP592" s="260"/>
      <c r="AQ592" s="258"/>
      <c r="AR592" s="258"/>
      <c r="AS592" s="202"/>
      <c r="AT592" s="213"/>
      <c r="AU592" s="213"/>
    </row>
    <row r="593" spans="40:47" s="121" customFormat="1" hidden="1">
      <c r="AN593" s="239"/>
      <c r="AO593" s="225"/>
      <c r="AP593" s="260"/>
      <c r="AQ593" s="258"/>
      <c r="AR593" s="258"/>
      <c r="AS593" s="202"/>
      <c r="AT593" s="213"/>
      <c r="AU593" s="213"/>
    </row>
    <row r="594" spans="40:47" s="121" customFormat="1" hidden="1">
      <c r="AN594" s="239"/>
      <c r="AO594" s="225"/>
      <c r="AP594" s="260"/>
      <c r="AQ594" s="258"/>
      <c r="AR594" s="258"/>
      <c r="AS594" s="202"/>
      <c r="AT594" s="213"/>
      <c r="AU594" s="213"/>
    </row>
    <row r="595" spans="40:47" s="121" customFormat="1" hidden="1">
      <c r="AN595" s="239"/>
      <c r="AO595" s="225"/>
      <c r="AP595" s="260"/>
      <c r="AQ595" s="258"/>
      <c r="AR595" s="258"/>
      <c r="AS595" s="202"/>
      <c r="AT595" s="213"/>
      <c r="AU595" s="213"/>
    </row>
    <row r="596" spans="40:47" s="121" customFormat="1" hidden="1">
      <c r="AN596" s="239"/>
      <c r="AO596" s="225"/>
      <c r="AP596" s="260"/>
      <c r="AQ596" s="258"/>
      <c r="AR596" s="258"/>
      <c r="AS596" s="202"/>
      <c r="AT596" s="213"/>
      <c r="AU596" s="213"/>
    </row>
    <row r="597" spans="40:47" s="121" customFormat="1" hidden="1">
      <c r="AN597" s="239"/>
      <c r="AO597" s="225"/>
      <c r="AP597" s="260"/>
      <c r="AQ597" s="258"/>
      <c r="AR597" s="258"/>
      <c r="AS597" s="202"/>
      <c r="AT597" s="213"/>
      <c r="AU597" s="213"/>
    </row>
    <row r="598" spans="40:47" s="121" customFormat="1" hidden="1">
      <c r="AN598" s="239"/>
      <c r="AO598" s="225"/>
      <c r="AP598" s="260"/>
      <c r="AQ598" s="258"/>
      <c r="AR598" s="258"/>
      <c r="AS598" s="202"/>
      <c r="AT598" s="213"/>
      <c r="AU598" s="213"/>
    </row>
    <row r="599" spans="40:47" s="121" customFormat="1" hidden="1">
      <c r="AN599" s="239"/>
      <c r="AO599" s="225"/>
      <c r="AP599" s="260"/>
      <c r="AQ599" s="258"/>
      <c r="AR599" s="258"/>
      <c r="AS599" s="202"/>
      <c r="AT599" s="213"/>
      <c r="AU599" s="213"/>
    </row>
    <row r="600" spans="40:47" s="121" customFormat="1" hidden="1">
      <c r="AN600" s="239"/>
      <c r="AO600" s="225"/>
      <c r="AP600" s="260"/>
      <c r="AQ600" s="258"/>
      <c r="AR600" s="258"/>
      <c r="AS600" s="202"/>
      <c r="AT600" s="213"/>
      <c r="AU600" s="213"/>
    </row>
    <row r="601" spans="40:47" s="121" customFormat="1" hidden="1">
      <c r="AN601" s="239"/>
      <c r="AO601" s="225"/>
      <c r="AP601" s="260"/>
      <c r="AQ601" s="258"/>
      <c r="AR601" s="258"/>
      <c r="AS601" s="202"/>
      <c r="AT601" s="213"/>
      <c r="AU601" s="213"/>
    </row>
    <row r="602" spans="40:47" s="121" customFormat="1" hidden="1">
      <c r="AN602" s="239"/>
      <c r="AO602" s="225"/>
      <c r="AP602" s="260"/>
      <c r="AQ602" s="258"/>
      <c r="AR602" s="258"/>
      <c r="AS602" s="202"/>
      <c r="AT602" s="213"/>
      <c r="AU602" s="213"/>
    </row>
    <row r="603" spans="40:47" s="121" customFormat="1" hidden="1">
      <c r="AN603" s="239"/>
      <c r="AO603" s="225"/>
      <c r="AP603" s="260"/>
      <c r="AQ603" s="258"/>
      <c r="AR603" s="258"/>
      <c r="AS603" s="202"/>
      <c r="AT603" s="213"/>
      <c r="AU603" s="213"/>
    </row>
    <row r="604" spans="40:47" s="121" customFormat="1" hidden="1">
      <c r="AN604" s="239"/>
      <c r="AO604" s="225"/>
      <c r="AP604" s="260"/>
      <c r="AQ604" s="258"/>
      <c r="AR604" s="258"/>
      <c r="AS604" s="202"/>
      <c r="AT604" s="213"/>
      <c r="AU604" s="213"/>
    </row>
    <row r="605" spans="40:47" s="121" customFormat="1" hidden="1">
      <c r="AN605" s="239"/>
      <c r="AO605" s="225"/>
      <c r="AP605" s="260"/>
      <c r="AQ605" s="258"/>
      <c r="AR605" s="258"/>
      <c r="AS605" s="202"/>
      <c r="AT605" s="213"/>
      <c r="AU605" s="213"/>
    </row>
    <row r="606" spans="40:47" s="121" customFormat="1" hidden="1">
      <c r="AN606" s="239"/>
      <c r="AO606" s="225"/>
      <c r="AP606" s="260"/>
      <c r="AQ606" s="258"/>
      <c r="AR606" s="258"/>
      <c r="AS606" s="202"/>
      <c r="AT606" s="213"/>
      <c r="AU606" s="213"/>
    </row>
    <row r="607" spans="40:47" s="121" customFormat="1" hidden="1">
      <c r="AN607" s="239"/>
      <c r="AO607" s="225"/>
      <c r="AP607" s="260"/>
      <c r="AQ607" s="258"/>
      <c r="AR607" s="258"/>
      <c r="AS607" s="202"/>
      <c r="AT607" s="213"/>
      <c r="AU607" s="213"/>
    </row>
    <row r="608" spans="40:47" s="121" customFormat="1" hidden="1">
      <c r="AN608" s="239"/>
      <c r="AO608" s="225"/>
      <c r="AP608" s="260"/>
      <c r="AQ608" s="258"/>
      <c r="AR608" s="258"/>
      <c r="AS608" s="202"/>
      <c r="AT608" s="213"/>
      <c r="AU608" s="213"/>
    </row>
    <row r="609" spans="40:47" s="121" customFormat="1" hidden="1">
      <c r="AN609" s="239"/>
      <c r="AO609" s="225"/>
      <c r="AP609" s="260"/>
      <c r="AQ609" s="258"/>
      <c r="AR609" s="258"/>
      <c r="AS609" s="202"/>
      <c r="AT609" s="213"/>
      <c r="AU609" s="213"/>
    </row>
    <row r="610" spans="40:47" s="121" customFormat="1" hidden="1">
      <c r="AN610" s="239"/>
      <c r="AO610" s="225"/>
      <c r="AP610" s="260"/>
      <c r="AQ610" s="258"/>
      <c r="AR610" s="258"/>
      <c r="AS610" s="202"/>
      <c r="AT610" s="213"/>
      <c r="AU610" s="213"/>
    </row>
    <row r="611" spans="40:47" s="121" customFormat="1" hidden="1">
      <c r="AN611" s="239"/>
      <c r="AO611" s="225"/>
      <c r="AP611" s="260"/>
      <c r="AQ611" s="258"/>
      <c r="AR611" s="258"/>
      <c r="AS611" s="202"/>
      <c r="AT611" s="213"/>
      <c r="AU611" s="213"/>
    </row>
    <row r="612" spans="40:47" s="121" customFormat="1" hidden="1">
      <c r="AN612" s="239"/>
      <c r="AO612" s="225"/>
      <c r="AP612" s="260"/>
      <c r="AQ612" s="258"/>
      <c r="AR612" s="258"/>
      <c r="AS612" s="202"/>
      <c r="AT612" s="213"/>
      <c r="AU612" s="213"/>
    </row>
    <row r="613" spans="40:47" s="121" customFormat="1" hidden="1">
      <c r="AN613" s="239"/>
      <c r="AO613" s="225"/>
      <c r="AP613" s="260"/>
      <c r="AQ613" s="258"/>
      <c r="AR613" s="258"/>
      <c r="AS613" s="202"/>
      <c r="AT613" s="213"/>
      <c r="AU613" s="213"/>
    </row>
    <row r="614" spans="40:47" s="121" customFormat="1" hidden="1">
      <c r="AN614" s="239"/>
      <c r="AO614" s="225"/>
      <c r="AP614" s="260"/>
      <c r="AQ614" s="258"/>
      <c r="AR614" s="258"/>
      <c r="AS614" s="202"/>
      <c r="AT614" s="213"/>
      <c r="AU614" s="213"/>
    </row>
    <row r="615" spans="40:47" s="121" customFormat="1" hidden="1">
      <c r="AN615" s="239"/>
      <c r="AO615" s="225"/>
      <c r="AP615" s="260"/>
      <c r="AQ615" s="258"/>
      <c r="AR615" s="258"/>
      <c r="AS615" s="202"/>
      <c r="AT615" s="213"/>
      <c r="AU615" s="213"/>
    </row>
    <row r="616" spans="40:47" s="121" customFormat="1" hidden="1">
      <c r="AN616" s="239"/>
      <c r="AO616" s="225"/>
      <c r="AP616" s="260"/>
      <c r="AQ616" s="258"/>
      <c r="AR616" s="258"/>
      <c r="AS616" s="202"/>
      <c r="AT616" s="213"/>
      <c r="AU616" s="213"/>
    </row>
    <row r="617" spans="40:47" s="121" customFormat="1" hidden="1">
      <c r="AN617" s="239"/>
      <c r="AO617" s="225"/>
      <c r="AP617" s="260"/>
      <c r="AQ617" s="258"/>
      <c r="AR617" s="258"/>
      <c r="AS617" s="202"/>
      <c r="AT617" s="213"/>
      <c r="AU617" s="213"/>
    </row>
    <row r="618" spans="40:47" s="121" customFormat="1" hidden="1">
      <c r="AN618" s="239"/>
      <c r="AO618" s="225"/>
      <c r="AP618" s="260"/>
      <c r="AQ618" s="258"/>
      <c r="AR618" s="258"/>
      <c r="AS618" s="202"/>
      <c r="AT618" s="213"/>
      <c r="AU618" s="213"/>
    </row>
    <row r="619" spans="40:47" s="121" customFormat="1" hidden="1">
      <c r="AN619" s="239"/>
      <c r="AO619" s="225"/>
      <c r="AP619" s="260"/>
      <c r="AQ619" s="258"/>
      <c r="AR619" s="258"/>
      <c r="AS619" s="202"/>
      <c r="AT619" s="213"/>
      <c r="AU619" s="213"/>
    </row>
    <row r="620" spans="40:47" s="121" customFormat="1" hidden="1">
      <c r="AN620" s="239"/>
      <c r="AO620" s="225"/>
      <c r="AP620" s="260"/>
      <c r="AQ620" s="258"/>
      <c r="AR620" s="258"/>
      <c r="AS620" s="202"/>
      <c r="AT620" s="213"/>
      <c r="AU620" s="213"/>
    </row>
    <row r="621" spans="40:47" s="121" customFormat="1" hidden="1">
      <c r="AN621" s="239"/>
      <c r="AO621" s="225"/>
      <c r="AP621" s="260"/>
      <c r="AQ621" s="258"/>
      <c r="AR621" s="258"/>
      <c r="AS621" s="202"/>
      <c r="AT621" s="213"/>
      <c r="AU621" s="213"/>
    </row>
    <row r="622" spans="40:47" s="121" customFormat="1" hidden="1">
      <c r="AN622" s="239"/>
      <c r="AO622" s="225"/>
      <c r="AP622" s="260"/>
      <c r="AQ622" s="258"/>
      <c r="AR622" s="258"/>
      <c r="AS622" s="202"/>
      <c r="AT622" s="213"/>
      <c r="AU622" s="213"/>
    </row>
    <row r="623" spans="40:47" s="121" customFormat="1" hidden="1">
      <c r="AN623" s="239"/>
      <c r="AO623" s="225"/>
      <c r="AP623" s="260"/>
      <c r="AQ623" s="258"/>
      <c r="AR623" s="258"/>
      <c r="AS623" s="202"/>
      <c r="AT623" s="213"/>
      <c r="AU623" s="213"/>
    </row>
    <row r="624" spans="40:47" s="121" customFormat="1" hidden="1">
      <c r="AN624" s="239"/>
      <c r="AO624" s="225"/>
      <c r="AP624" s="260"/>
      <c r="AQ624" s="258"/>
      <c r="AR624" s="258"/>
      <c r="AS624" s="202"/>
      <c r="AT624" s="213"/>
      <c r="AU624" s="213"/>
    </row>
    <row r="625" spans="40:47" s="121" customFormat="1" hidden="1">
      <c r="AN625" s="239"/>
      <c r="AO625" s="225"/>
      <c r="AP625" s="260"/>
      <c r="AQ625" s="258"/>
      <c r="AR625" s="258"/>
      <c r="AS625" s="202"/>
      <c r="AT625" s="213"/>
      <c r="AU625" s="213"/>
    </row>
    <row r="626" spans="40:47" s="121" customFormat="1" hidden="1">
      <c r="AN626" s="239"/>
      <c r="AO626" s="225"/>
      <c r="AP626" s="260"/>
      <c r="AQ626" s="258"/>
      <c r="AR626" s="258"/>
      <c r="AS626" s="202"/>
      <c r="AT626" s="213"/>
      <c r="AU626" s="213"/>
    </row>
    <row r="627" spans="40:47" s="121" customFormat="1" hidden="1">
      <c r="AN627" s="239"/>
      <c r="AO627" s="225"/>
      <c r="AP627" s="260"/>
      <c r="AQ627" s="258"/>
      <c r="AR627" s="258"/>
      <c r="AS627" s="202"/>
      <c r="AT627" s="213"/>
      <c r="AU627" s="213"/>
    </row>
    <row r="628" spans="40:47" s="121" customFormat="1" hidden="1">
      <c r="AN628" s="239"/>
      <c r="AO628" s="225"/>
      <c r="AP628" s="260"/>
      <c r="AQ628" s="258"/>
      <c r="AR628" s="258"/>
      <c r="AS628" s="202"/>
      <c r="AT628" s="213"/>
      <c r="AU628" s="213"/>
    </row>
    <row r="629" spans="40:47" s="121" customFormat="1" hidden="1">
      <c r="AN629" s="239"/>
      <c r="AO629" s="225"/>
      <c r="AP629" s="260"/>
      <c r="AQ629" s="258"/>
      <c r="AR629" s="258"/>
      <c r="AS629" s="202"/>
      <c r="AT629" s="213"/>
      <c r="AU629" s="213"/>
    </row>
    <row r="630" spans="40:47" s="121" customFormat="1" hidden="1">
      <c r="AN630" s="239"/>
      <c r="AO630" s="225"/>
      <c r="AP630" s="260"/>
      <c r="AQ630" s="258"/>
      <c r="AR630" s="258"/>
      <c r="AS630" s="202"/>
      <c r="AT630" s="213"/>
      <c r="AU630" s="213"/>
    </row>
    <row r="631" spans="40:47" s="121" customFormat="1" hidden="1">
      <c r="AN631" s="239"/>
      <c r="AO631" s="225"/>
      <c r="AP631" s="260"/>
      <c r="AQ631" s="258"/>
      <c r="AR631" s="258"/>
      <c r="AS631" s="202"/>
      <c r="AT631" s="213"/>
      <c r="AU631" s="213"/>
    </row>
    <row r="632" spans="40:47" s="121" customFormat="1" hidden="1">
      <c r="AN632" s="239"/>
      <c r="AO632" s="225"/>
      <c r="AP632" s="260"/>
      <c r="AQ632" s="258"/>
      <c r="AR632" s="258"/>
      <c r="AS632" s="202"/>
      <c r="AT632" s="213"/>
      <c r="AU632" s="213"/>
    </row>
    <row r="633" spans="40:47" s="121" customFormat="1" hidden="1">
      <c r="AN633" s="239"/>
      <c r="AO633" s="225"/>
      <c r="AP633" s="260"/>
      <c r="AQ633" s="258"/>
      <c r="AR633" s="258"/>
      <c r="AS633" s="202"/>
      <c r="AT633" s="213"/>
      <c r="AU633" s="213"/>
    </row>
    <row r="634" spans="40:47" s="121" customFormat="1" hidden="1">
      <c r="AN634" s="239"/>
      <c r="AO634" s="225"/>
      <c r="AP634" s="260"/>
      <c r="AQ634" s="258"/>
      <c r="AR634" s="258"/>
      <c r="AS634" s="202"/>
      <c r="AT634" s="213"/>
      <c r="AU634" s="213"/>
    </row>
    <row r="635" spans="40:47" s="121" customFormat="1" hidden="1">
      <c r="AN635" s="239"/>
      <c r="AO635" s="225"/>
      <c r="AP635" s="260"/>
      <c r="AQ635" s="258"/>
      <c r="AR635" s="258"/>
      <c r="AS635" s="202"/>
      <c r="AT635" s="213"/>
      <c r="AU635" s="213"/>
    </row>
    <row r="636" spans="40:47" s="121" customFormat="1" hidden="1">
      <c r="AN636" s="239"/>
      <c r="AO636" s="225"/>
      <c r="AP636" s="260"/>
      <c r="AQ636" s="258"/>
      <c r="AR636" s="258"/>
      <c r="AS636" s="202"/>
      <c r="AT636" s="213"/>
      <c r="AU636" s="213"/>
    </row>
    <row r="637" spans="40:47" s="121" customFormat="1" hidden="1">
      <c r="AN637" s="239"/>
      <c r="AO637" s="225"/>
      <c r="AP637" s="260"/>
      <c r="AQ637" s="258"/>
      <c r="AR637" s="258"/>
      <c r="AS637" s="202"/>
      <c r="AT637" s="213"/>
      <c r="AU637" s="213"/>
    </row>
    <row r="638" spans="40:47" s="121" customFormat="1" hidden="1">
      <c r="AN638" s="239"/>
      <c r="AO638" s="225"/>
      <c r="AP638" s="260"/>
      <c r="AQ638" s="258"/>
      <c r="AR638" s="258"/>
      <c r="AS638" s="202"/>
      <c r="AT638" s="213"/>
      <c r="AU638" s="213"/>
    </row>
    <row r="639" spans="40:47" s="121" customFormat="1" hidden="1">
      <c r="AN639" s="239"/>
      <c r="AO639" s="225"/>
      <c r="AP639" s="260"/>
      <c r="AQ639" s="258"/>
      <c r="AR639" s="258"/>
      <c r="AS639" s="202"/>
      <c r="AT639" s="213"/>
      <c r="AU639" s="213"/>
    </row>
    <row r="640" spans="40:47" s="121" customFormat="1" hidden="1">
      <c r="AN640" s="239"/>
      <c r="AO640" s="225"/>
      <c r="AP640" s="260"/>
      <c r="AQ640" s="258"/>
      <c r="AR640" s="258"/>
      <c r="AS640" s="202"/>
      <c r="AT640" s="213"/>
      <c r="AU640" s="213"/>
    </row>
    <row r="641" spans="40:47" s="121" customFormat="1" hidden="1">
      <c r="AN641" s="239"/>
      <c r="AO641" s="225"/>
      <c r="AP641" s="260"/>
      <c r="AQ641" s="258"/>
      <c r="AR641" s="258"/>
      <c r="AS641" s="202"/>
      <c r="AT641" s="213"/>
      <c r="AU641" s="213"/>
    </row>
    <row r="642" spans="40:47" s="121" customFormat="1" hidden="1">
      <c r="AN642" s="239"/>
      <c r="AO642" s="225"/>
      <c r="AP642" s="260"/>
      <c r="AQ642" s="258"/>
      <c r="AR642" s="258"/>
      <c r="AS642" s="202"/>
      <c r="AT642" s="213"/>
      <c r="AU642" s="213"/>
    </row>
    <row r="643" spans="40:47" s="121" customFormat="1" hidden="1">
      <c r="AN643" s="239"/>
      <c r="AO643" s="225"/>
      <c r="AP643" s="260"/>
      <c r="AQ643" s="258"/>
      <c r="AR643" s="258"/>
      <c r="AS643" s="202"/>
      <c r="AT643" s="213"/>
      <c r="AU643" s="213"/>
    </row>
    <row r="644" spans="40:47" s="121" customFormat="1" hidden="1">
      <c r="AN644" s="239"/>
      <c r="AO644" s="225"/>
      <c r="AP644" s="260"/>
      <c r="AQ644" s="258"/>
      <c r="AR644" s="258"/>
      <c r="AS644" s="202"/>
      <c r="AT644" s="213"/>
      <c r="AU644" s="213"/>
    </row>
    <row r="645" spans="40:47" s="121" customFormat="1" hidden="1">
      <c r="AN645" s="239"/>
      <c r="AO645" s="225"/>
      <c r="AP645" s="260"/>
      <c r="AQ645" s="258"/>
      <c r="AR645" s="258"/>
      <c r="AS645" s="202"/>
      <c r="AT645" s="213"/>
      <c r="AU645" s="213"/>
    </row>
    <row r="646" spans="40:47" s="121" customFormat="1" hidden="1">
      <c r="AN646" s="239"/>
      <c r="AO646" s="225"/>
      <c r="AP646" s="260"/>
      <c r="AQ646" s="258"/>
      <c r="AR646" s="258"/>
      <c r="AS646" s="202"/>
      <c r="AT646" s="213"/>
      <c r="AU646" s="213"/>
    </row>
    <row r="647" spans="40:47" s="121" customFormat="1" hidden="1">
      <c r="AN647" s="239"/>
      <c r="AO647" s="225"/>
      <c r="AP647" s="260"/>
      <c r="AQ647" s="258"/>
      <c r="AR647" s="258"/>
      <c r="AS647" s="202"/>
      <c r="AT647" s="213"/>
      <c r="AU647" s="213"/>
    </row>
    <row r="648" spans="40:47" s="121" customFormat="1" hidden="1">
      <c r="AN648" s="239"/>
      <c r="AO648" s="225"/>
      <c r="AP648" s="260"/>
      <c r="AQ648" s="258"/>
      <c r="AR648" s="258"/>
      <c r="AS648" s="202"/>
      <c r="AT648" s="213"/>
      <c r="AU648" s="213"/>
    </row>
    <row r="649" spans="40:47" s="121" customFormat="1" hidden="1">
      <c r="AN649" s="239"/>
      <c r="AO649" s="225"/>
      <c r="AP649" s="260"/>
      <c r="AQ649" s="258"/>
      <c r="AR649" s="258"/>
      <c r="AS649" s="202"/>
      <c r="AT649" s="213"/>
      <c r="AU649" s="213"/>
    </row>
    <row r="650" spans="40:47" s="121" customFormat="1" hidden="1">
      <c r="AN650" s="239"/>
      <c r="AO650" s="225"/>
      <c r="AP650" s="260"/>
      <c r="AQ650" s="258"/>
      <c r="AR650" s="258"/>
      <c r="AS650" s="202"/>
      <c r="AT650" s="213"/>
      <c r="AU650" s="213"/>
    </row>
    <row r="651" spans="40:47" s="121" customFormat="1" hidden="1">
      <c r="AN651" s="239"/>
      <c r="AO651" s="225"/>
      <c r="AP651" s="260"/>
      <c r="AQ651" s="258"/>
      <c r="AR651" s="258"/>
      <c r="AS651" s="202"/>
      <c r="AT651" s="213"/>
      <c r="AU651" s="213"/>
    </row>
    <row r="652" spans="40:47" s="121" customFormat="1" hidden="1">
      <c r="AN652" s="239"/>
      <c r="AO652" s="225"/>
      <c r="AP652" s="260"/>
      <c r="AQ652" s="258"/>
      <c r="AR652" s="258"/>
      <c r="AS652" s="202"/>
      <c r="AT652" s="213"/>
      <c r="AU652" s="213"/>
    </row>
    <row r="653" spans="40:47" s="121" customFormat="1" hidden="1">
      <c r="AN653" s="239"/>
      <c r="AO653" s="225"/>
      <c r="AP653" s="260"/>
      <c r="AQ653" s="258"/>
      <c r="AR653" s="258"/>
      <c r="AS653" s="202"/>
      <c r="AT653" s="213"/>
      <c r="AU653" s="213"/>
    </row>
    <row r="654" spans="40:47" s="121" customFormat="1" hidden="1">
      <c r="AN654" s="239"/>
      <c r="AO654" s="225"/>
      <c r="AP654" s="260"/>
      <c r="AQ654" s="258"/>
      <c r="AR654" s="258"/>
      <c r="AS654" s="202"/>
      <c r="AT654" s="213"/>
      <c r="AU654" s="213"/>
    </row>
    <row r="655" spans="40:47" s="121" customFormat="1" hidden="1">
      <c r="AN655" s="239"/>
      <c r="AO655" s="225"/>
      <c r="AP655" s="260"/>
      <c r="AQ655" s="258"/>
      <c r="AR655" s="258"/>
      <c r="AS655" s="202"/>
      <c r="AT655" s="213"/>
      <c r="AU655" s="213"/>
    </row>
    <row r="656" spans="40:47" s="121" customFormat="1" hidden="1">
      <c r="AN656" s="239"/>
      <c r="AO656" s="225"/>
      <c r="AP656" s="260"/>
      <c r="AQ656" s="258"/>
      <c r="AR656" s="258"/>
      <c r="AS656" s="202"/>
      <c r="AT656" s="213"/>
      <c r="AU656" s="213"/>
    </row>
    <row r="657" spans="40:47" s="121" customFormat="1" hidden="1">
      <c r="AN657" s="239"/>
      <c r="AO657" s="225"/>
      <c r="AP657" s="260"/>
      <c r="AQ657" s="258"/>
      <c r="AR657" s="258"/>
      <c r="AS657" s="202"/>
      <c r="AT657" s="213"/>
      <c r="AU657" s="213"/>
    </row>
    <row r="658" spans="40:47" s="121" customFormat="1" hidden="1">
      <c r="AN658" s="239"/>
      <c r="AO658" s="225"/>
      <c r="AP658" s="260"/>
      <c r="AQ658" s="258"/>
      <c r="AR658" s="258"/>
      <c r="AS658" s="202"/>
      <c r="AT658" s="213"/>
      <c r="AU658" s="213"/>
    </row>
    <row r="659" spans="40:47" s="121" customFormat="1" hidden="1">
      <c r="AN659" s="239"/>
      <c r="AO659" s="225"/>
      <c r="AP659" s="260"/>
      <c r="AQ659" s="258"/>
      <c r="AR659" s="258"/>
      <c r="AS659" s="202"/>
      <c r="AT659" s="213"/>
      <c r="AU659" s="213"/>
    </row>
    <row r="660" spans="40:47" s="121" customFormat="1" hidden="1">
      <c r="AN660" s="239"/>
      <c r="AO660" s="225"/>
      <c r="AP660" s="260"/>
      <c r="AQ660" s="258"/>
      <c r="AR660" s="258"/>
      <c r="AS660" s="202"/>
      <c r="AT660" s="213"/>
      <c r="AU660" s="213"/>
    </row>
    <row r="661" spans="40:47" s="121" customFormat="1" hidden="1">
      <c r="AN661" s="239"/>
      <c r="AO661" s="225"/>
      <c r="AP661" s="260"/>
      <c r="AQ661" s="258"/>
      <c r="AR661" s="258"/>
      <c r="AS661" s="202"/>
      <c r="AT661" s="213"/>
      <c r="AU661" s="213"/>
    </row>
    <row r="662" spans="40:47" s="121" customFormat="1" hidden="1">
      <c r="AN662" s="239"/>
      <c r="AO662" s="225"/>
      <c r="AP662" s="260"/>
      <c r="AQ662" s="258"/>
      <c r="AR662" s="258"/>
      <c r="AS662" s="202"/>
      <c r="AT662" s="213"/>
      <c r="AU662" s="213"/>
    </row>
    <row r="663" spans="40:47" s="121" customFormat="1" hidden="1">
      <c r="AN663" s="239"/>
      <c r="AO663" s="225"/>
      <c r="AP663" s="260"/>
      <c r="AQ663" s="258"/>
      <c r="AR663" s="258"/>
      <c r="AS663" s="202"/>
      <c r="AT663" s="213"/>
      <c r="AU663" s="213"/>
    </row>
    <row r="664" spans="40:47" s="121" customFormat="1" hidden="1">
      <c r="AN664" s="239"/>
      <c r="AO664" s="225"/>
      <c r="AP664" s="260"/>
      <c r="AQ664" s="258"/>
      <c r="AR664" s="258"/>
      <c r="AS664" s="202"/>
      <c r="AT664" s="213"/>
      <c r="AU664" s="213"/>
    </row>
    <row r="665" spans="40:47" s="121" customFormat="1" hidden="1">
      <c r="AN665" s="239"/>
      <c r="AO665" s="225"/>
      <c r="AP665" s="260"/>
      <c r="AQ665" s="258"/>
      <c r="AR665" s="258"/>
      <c r="AS665" s="202"/>
      <c r="AT665" s="213"/>
      <c r="AU665" s="213"/>
    </row>
    <row r="666" spans="40:47" s="121" customFormat="1" hidden="1">
      <c r="AN666" s="239"/>
      <c r="AO666" s="225"/>
      <c r="AP666" s="260"/>
      <c r="AQ666" s="258"/>
      <c r="AR666" s="258"/>
      <c r="AS666" s="202"/>
      <c r="AT666" s="213"/>
      <c r="AU666" s="213"/>
    </row>
    <row r="667" spans="40:47" s="121" customFormat="1" hidden="1">
      <c r="AN667" s="239"/>
      <c r="AO667" s="225"/>
      <c r="AP667" s="260"/>
      <c r="AQ667" s="258"/>
      <c r="AR667" s="258"/>
      <c r="AS667" s="202"/>
      <c r="AT667" s="213"/>
      <c r="AU667" s="213"/>
    </row>
    <row r="668" spans="40:47" s="121" customFormat="1" hidden="1">
      <c r="AN668" s="239"/>
      <c r="AO668" s="225"/>
      <c r="AP668" s="260"/>
      <c r="AQ668" s="258"/>
      <c r="AR668" s="258"/>
      <c r="AS668" s="202"/>
      <c r="AT668" s="213"/>
      <c r="AU668" s="213"/>
    </row>
    <row r="669" spans="40:47" s="121" customFormat="1" hidden="1">
      <c r="AN669" s="239"/>
      <c r="AO669" s="225"/>
      <c r="AP669" s="260"/>
      <c r="AQ669" s="258"/>
      <c r="AR669" s="258"/>
      <c r="AS669" s="202"/>
      <c r="AT669" s="213"/>
      <c r="AU669" s="213"/>
    </row>
    <row r="670" spans="40:47" s="121" customFormat="1" hidden="1">
      <c r="AN670" s="239"/>
      <c r="AO670" s="225"/>
      <c r="AP670" s="260"/>
      <c r="AQ670" s="258"/>
      <c r="AR670" s="258"/>
      <c r="AS670" s="202"/>
      <c r="AT670" s="213"/>
      <c r="AU670" s="213"/>
    </row>
    <row r="671" spans="40:47" s="121" customFormat="1" hidden="1">
      <c r="AN671" s="239"/>
      <c r="AO671" s="225"/>
      <c r="AP671" s="260"/>
      <c r="AQ671" s="258"/>
      <c r="AR671" s="258"/>
      <c r="AS671" s="202"/>
      <c r="AT671" s="213"/>
      <c r="AU671" s="213"/>
    </row>
    <row r="672" spans="40:47" s="121" customFormat="1" hidden="1">
      <c r="AN672" s="239"/>
      <c r="AO672" s="225"/>
      <c r="AP672" s="260"/>
      <c r="AQ672" s="258"/>
      <c r="AR672" s="258"/>
      <c r="AS672" s="202"/>
      <c r="AT672" s="213"/>
      <c r="AU672" s="213"/>
    </row>
    <row r="673" spans="40:47" s="121" customFormat="1" hidden="1">
      <c r="AN673" s="239"/>
      <c r="AO673" s="225"/>
      <c r="AP673" s="260"/>
      <c r="AQ673" s="258"/>
      <c r="AR673" s="258"/>
      <c r="AS673" s="202"/>
      <c r="AT673" s="213"/>
      <c r="AU673" s="213"/>
    </row>
    <row r="674" spans="40:47" s="121" customFormat="1" hidden="1">
      <c r="AN674" s="239"/>
      <c r="AO674" s="225"/>
      <c r="AP674" s="260"/>
      <c r="AQ674" s="258"/>
      <c r="AR674" s="258"/>
      <c r="AS674" s="202"/>
      <c r="AT674" s="213"/>
      <c r="AU674" s="213"/>
    </row>
    <row r="675" spans="40:47" s="121" customFormat="1" hidden="1">
      <c r="AN675" s="239"/>
      <c r="AO675" s="225"/>
      <c r="AP675" s="260"/>
      <c r="AQ675" s="258"/>
      <c r="AR675" s="258"/>
      <c r="AS675" s="202"/>
      <c r="AT675" s="213"/>
      <c r="AU675" s="213"/>
    </row>
    <row r="676" spans="40:47" s="121" customFormat="1" hidden="1">
      <c r="AN676" s="239"/>
      <c r="AO676" s="225"/>
      <c r="AP676" s="260"/>
      <c r="AQ676" s="258"/>
      <c r="AR676" s="258"/>
      <c r="AS676" s="202"/>
      <c r="AT676" s="213"/>
      <c r="AU676" s="213"/>
    </row>
    <row r="677" spans="40:47" s="121" customFormat="1" hidden="1">
      <c r="AN677" s="239"/>
      <c r="AO677" s="225"/>
      <c r="AP677" s="260"/>
      <c r="AQ677" s="258"/>
      <c r="AR677" s="258"/>
      <c r="AS677" s="202"/>
      <c r="AT677" s="213"/>
      <c r="AU677" s="213"/>
    </row>
    <row r="678" spans="40:47" s="121" customFormat="1" hidden="1">
      <c r="AN678" s="239"/>
      <c r="AO678" s="225"/>
      <c r="AP678" s="260"/>
      <c r="AQ678" s="258"/>
      <c r="AR678" s="258"/>
      <c r="AS678" s="202"/>
      <c r="AT678" s="213"/>
      <c r="AU678" s="213"/>
    </row>
    <row r="679" spans="40:47" s="121" customFormat="1" hidden="1">
      <c r="AN679" s="239"/>
      <c r="AO679" s="225"/>
      <c r="AP679" s="260"/>
      <c r="AQ679" s="258"/>
      <c r="AR679" s="258"/>
      <c r="AS679" s="202"/>
      <c r="AT679" s="213"/>
      <c r="AU679" s="213"/>
    </row>
    <row r="680" spans="40:47" s="121" customFormat="1" hidden="1">
      <c r="AN680" s="239"/>
      <c r="AO680" s="225"/>
      <c r="AP680" s="260"/>
      <c r="AQ680" s="258"/>
      <c r="AR680" s="258"/>
      <c r="AS680" s="202"/>
      <c r="AT680" s="213"/>
      <c r="AU680" s="213"/>
    </row>
    <row r="681" spans="40:47" s="121" customFormat="1" hidden="1">
      <c r="AN681" s="239"/>
      <c r="AO681" s="225"/>
      <c r="AP681" s="260"/>
      <c r="AQ681" s="258"/>
      <c r="AR681" s="258"/>
      <c r="AS681" s="202"/>
      <c r="AT681" s="213"/>
      <c r="AU681" s="213"/>
    </row>
    <row r="682" spans="40:47" s="121" customFormat="1" hidden="1">
      <c r="AN682" s="239"/>
      <c r="AO682" s="225"/>
      <c r="AP682" s="260"/>
      <c r="AQ682" s="258"/>
      <c r="AR682" s="258"/>
      <c r="AS682" s="202"/>
      <c r="AT682" s="213"/>
      <c r="AU682" s="213"/>
    </row>
    <row r="683" spans="40:47" s="121" customFormat="1" hidden="1">
      <c r="AN683" s="239"/>
      <c r="AO683" s="225"/>
      <c r="AP683" s="260"/>
      <c r="AQ683" s="258"/>
      <c r="AR683" s="258"/>
      <c r="AS683" s="202"/>
      <c r="AT683" s="213"/>
      <c r="AU683" s="213"/>
    </row>
    <row r="684" spans="40:47" s="121" customFormat="1" hidden="1">
      <c r="AN684" s="239"/>
      <c r="AO684" s="225"/>
      <c r="AP684" s="260"/>
      <c r="AQ684" s="258"/>
      <c r="AR684" s="258"/>
      <c r="AS684" s="202"/>
      <c r="AT684" s="213"/>
      <c r="AU684" s="213"/>
    </row>
    <row r="685" spans="40:47" s="121" customFormat="1" hidden="1">
      <c r="AN685" s="239"/>
      <c r="AO685" s="225"/>
      <c r="AP685" s="260"/>
      <c r="AQ685" s="258"/>
      <c r="AR685" s="258"/>
      <c r="AS685" s="202"/>
      <c r="AT685" s="213"/>
      <c r="AU685" s="213"/>
    </row>
    <row r="686" spans="40:47" s="121" customFormat="1" hidden="1">
      <c r="AN686" s="239"/>
      <c r="AO686" s="225"/>
      <c r="AP686" s="260"/>
      <c r="AQ686" s="258"/>
      <c r="AR686" s="258"/>
      <c r="AS686" s="202"/>
      <c r="AT686" s="213"/>
      <c r="AU686" s="213"/>
    </row>
    <row r="687" spans="40:47" s="121" customFormat="1" hidden="1">
      <c r="AN687" s="239"/>
      <c r="AO687" s="225"/>
      <c r="AP687" s="260"/>
      <c r="AQ687" s="258"/>
      <c r="AR687" s="258"/>
      <c r="AS687" s="202"/>
      <c r="AT687" s="213"/>
      <c r="AU687" s="213"/>
    </row>
    <row r="688" spans="40:47" s="121" customFormat="1" hidden="1">
      <c r="AN688" s="239"/>
      <c r="AO688" s="225"/>
      <c r="AP688" s="260"/>
      <c r="AQ688" s="258"/>
      <c r="AR688" s="258"/>
      <c r="AS688" s="202"/>
      <c r="AT688" s="213"/>
      <c r="AU688" s="213"/>
    </row>
    <row r="689" spans="40:47" s="121" customFormat="1" hidden="1">
      <c r="AN689" s="239"/>
      <c r="AO689" s="225"/>
      <c r="AP689" s="260"/>
      <c r="AQ689" s="258"/>
      <c r="AR689" s="258"/>
      <c r="AS689" s="202"/>
      <c r="AT689" s="213"/>
      <c r="AU689" s="213"/>
    </row>
    <row r="690" spans="40:47" s="121" customFormat="1" hidden="1">
      <c r="AN690" s="239"/>
      <c r="AO690" s="225"/>
      <c r="AP690" s="260"/>
      <c r="AQ690" s="258"/>
      <c r="AR690" s="258"/>
      <c r="AS690" s="202"/>
      <c r="AT690" s="213"/>
      <c r="AU690" s="213"/>
    </row>
    <row r="691" spans="40:47" s="121" customFormat="1" hidden="1">
      <c r="AN691" s="239"/>
      <c r="AO691" s="225"/>
      <c r="AP691" s="260"/>
      <c r="AQ691" s="258"/>
      <c r="AR691" s="258"/>
      <c r="AS691" s="202"/>
      <c r="AT691" s="213"/>
      <c r="AU691" s="213"/>
    </row>
    <row r="692" spans="40:47" s="121" customFormat="1" hidden="1">
      <c r="AN692" s="239"/>
      <c r="AO692" s="225"/>
      <c r="AP692" s="260"/>
      <c r="AQ692" s="258"/>
      <c r="AR692" s="258"/>
      <c r="AS692" s="202"/>
      <c r="AT692" s="213"/>
      <c r="AU692" s="213"/>
    </row>
    <row r="693" spans="40:47" s="121" customFormat="1" hidden="1">
      <c r="AN693" s="239"/>
      <c r="AO693" s="225"/>
      <c r="AP693" s="260"/>
      <c r="AQ693" s="258"/>
      <c r="AR693" s="258"/>
      <c r="AS693" s="202"/>
      <c r="AT693" s="213"/>
      <c r="AU693" s="213"/>
    </row>
    <row r="694" spans="40:47" s="121" customFormat="1" hidden="1">
      <c r="AN694" s="239"/>
      <c r="AO694" s="225"/>
      <c r="AP694" s="260"/>
      <c r="AQ694" s="258"/>
      <c r="AR694" s="258"/>
      <c r="AS694" s="202"/>
      <c r="AT694" s="213"/>
      <c r="AU694" s="213"/>
    </row>
    <row r="695" spans="40:47" s="121" customFormat="1" hidden="1">
      <c r="AN695" s="239"/>
      <c r="AO695" s="225"/>
      <c r="AP695" s="260"/>
      <c r="AQ695" s="258"/>
      <c r="AR695" s="258"/>
      <c r="AS695" s="202"/>
      <c r="AT695" s="213"/>
      <c r="AU695" s="213"/>
    </row>
    <row r="696" spans="40:47" s="121" customFormat="1" hidden="1">
      <c r="AN696" s="239"/>
      <c r="AO696" s="225"/>
      <c r="AP696" s="260"/>
      <c r="AQ696" s="258"/>
      <c r="AR696" s="258"/>
      <c r="AS696" s="202"/>
      <c r="AT696" s="213"/>
      <c r="AU696" s="213"/>
    </row>
    <row r="697" spans="40:47" s="121" customFormat="1" hidden="1">
      <c r="AN697" s="239"/>
      <c r="AO697" s="225"/>
      <c r="AP697" s="260"/>
      <c r="AQ697" s="258"/>
      <c r="AR697" s="258"/>
      <c r="AS697" s="202"/>
      <c r="AT697" s="213"/>
      <c r="AU697" s="213"/>
    </row>
    <row r="698" spans="40:47" s="121" customFormat="1" hidden="1">
      <c r="AN698" s="239"/>
      <c r="AO698" s="225"/>
      <c r="AP698" s="260"/>
      <c r="AQ698" s="258"/>
      <c r="AR698" s="258"/>
      <c r="AS698" s="202"/>
      <c r="AT698" s="213"/>
      <c r="AU698" s="213"/>
    </row>
    <row r="699" spans="40:47" s="121" customFormat="1" hidden="1">
      <c r="AN699" s="239"/>
      <c r="AO699" s="225"/>
      <c r="AP699" s="260"/>
      <c r="AQ699" s="258"/>
      <c r="AR699" s="258"/>
      <c r="AS699" s="202"/>
      <c r="AT699" s="213"/>
      <c r="AU699" s="213"/>
    </row>
    <row r="700" spans="40:47" s="121" customFormat="1">
      <c r="AN700" s="236" t="s">
        <v>2985</v>
      </c>
      <c r="AO700" s="225" t="s">
        <v>2986</v>
      </c>
      <c r="AP700" s="257">
        <f>SUM(AQ700:AR700)</f>
        <v>0</v>
      </c>
      <c r="AQ700" s="258"/>
      <c r="AR700" s="258"/>
      <c r="AS700" s="202"/>
      <c r="AT700" s="213"/>
      <c r="AU700" s="213"/>
    </row>
    <row r="701" spans="40:47" s="121" customFormat="1">
      <c r="AN701" s="236" t="s">
        <v>2987</v>
      </c>
      <c r="AO701" s="225" t="s">
        <v>2988</v>
      </c>
      <c r="AP701" s="257">
        <f>SUM(AQ701:AR701)</f>
        <v>0</v>
      </c>
      <c r="AQ701" s="258"/>
      <c r="AR701" s="258"/>
      <c r="AS701" s="202"/>
      <c r="AT701" s="213"/>
      <c r="AU701" s="213"/>
    </row>
    <row r="702" spans="40:47" s="121" customFormat="1" hidden="1" collapsed="1">
      <c r="AN702" s="239"/>
      <c r="AO702" s="226"/>
      <c r="AP702" s="260"/>
      <c r="AQ702" s="258"/>
      <c r="AR702" s="258"/>
      <c r="AS702" s="202"/>
      <c r="AT702" s="213"/>
      <c r="AU702" s="213"/>
    </row>
    <row r="703" spans="40:47" s="121" customFormat="1" hidden="1">
      <c r="AN703" s="239"/>
      <c r="AO703" s="227"/>
      <c r="AP703" s="260"/>
      <c r="AQ703" s="258"/>
      <c r="AR703" s="258"/>
      <c r="AS703" s="202"/>
      <c r="AT703" s="213"/>
      <c r="AU703" s="213"/>
    </row>
    <row r="704" spans="40:47" s="121" customFormat="1" hidden="1">
      <c r="AN704" s="239"/>
      <c r="AO704" s="227"/>
      <c r="AP704" s="260"/>
      <c r="AQ704" s="258"/>
      <c r="AR704" s="258"/>
      <c r="AS704" s="202"/>
      <c r="AT704" s="213"/>
      <c r="AU704" s="213"/>
    </row>
    <row r="705" spans="40:47" s="121" customFormat="1" hidden="1">
      <c r="AN705" s="239"/>
      <c r="AO705" s="226"/>
      <c r="AP705" s="260"/>
      <c r="AQ705" s="258"/>
      <c r="AR705" s="258"/>
      <c r="AS705" s="202"/>
      <c r="AT705" s="213"/>
      <c r="AU705" s="213"/>
    </row>
    <row r="706" spans="40:47" s="121" customFormat="1" hidden="1" collapsed="1">
      <c r="AN706" s="239"/>
      <c r="AO706" s="227"/>
      <c r="AP706" s="260"/>
      <c r="AQ706" s="258"/>
      <c r="AR706" s="258"/>
      <c r="AS706" s="202"/>
      <c r="AT706" s="213"/>
      <c r="AU706" s="213"/>
    </row>
    <row r="707" spans="40:47" s="121" customFormat="1" hidden="1">
      <c r="AN707" s="239"/>
      <c r="AO707" s="227"/>
      <c r="AP707" s="260"/>
      <c r="AQ707" s="258"/>
      <c r="AR707" s="258"/>
      <c r="AS707" s="202"/>
      <c r="AT707" s="213"/>
      <c r="AU707" s="213"/>
    </row>
    <row r="708" spans="40:47" s="121" customFormat="1" hidden="1">
      <c r="AN708" s="239"/>
      <c r="AO708" s="226"/>
      <c r="AP708" s="260"/>
      <c r="AQ708" s="258"/>
      <c r="AR708" s="258"/>
      <c r="AS708" s="202"/>
      <c r="AT708" s="213"/>
      <c r="AU708" s="213"/>
    </row>
    <row r="709" spans="40:47" s="121" customFormat="1" hidden="1">
      <c r="AN709" s="239"/>
      <c r="AO709" s="225"/>
      <c r="AP709" s="260"/>
      <c r="AQ709" s="258"/>
      <c r="AR709" s="258"/>
      <c r="AS709" s="202"/>
      <c r="AT709" s="213"/>
      <c r="AU709" s="213"/>
    </row>
    <row r="710" spans="40:47" s="121" customFormat="1" hidden="1" collapsed="1">
      <c r="AN710" s="239"/>
      <c r="AO710" s="225"/>
      <c r="AP710" s="260"/>
      <c r="AQ710" s="258"/>
      <c r="AR710" s="258"/>
      <c r="AS710" s="202"/>
      <c r="AT710" s="213"/>
      <c r="AU710" s="213"/>
    </row>
    <row r="711" spans="40:47" s="121" customFormat="1" hidden="1">
      <c r="AN711" s="239"/>
      <c r="AO711" s="225"/>
      <c r="AP711" s="260"/>
      <c r="AQ711" s="258"/>
      <c r="AR711" s="258"/>
      <c r="AS711" s="202"/>
      <c r="AT711" s="213"/>
      <c r="AU711" s="213"/>
    </row>
    <row r="712" spans="40:47" s="121" customFormat="1" hidden="1">
      <c r="AN712" s="239"/>
      <c r="AO712" s="225"/>
      <c r="AP712" s="260"/>
      <c r="AQ712" s="258"/>
      <c r="AR712" s="258"/>
      <c r="AS712" s="202"/>
      <c r="AT712" s="213"/>
      <c r="AU712" s="213"/>
    </row>
    <row r="713" spans="40:47" s="121" customFormat="1" hidden="1">
      <c r="AN713" s="239"/>
      <c r="AO713" s="225"/>
      <c r="AP713" s="260"/>
      <c r="AQ713" s="258"/>
      <c r="AR713" s="258"/>
      <c r="AS713" s="202"/>
      <c r="AT713" s="213"/>
      <c r="AU713" s="213"/>
    </row>
    <row r="714" spans="40:47" s="121" customFormat="1" hidden="1">
      <c r="AN714" s="239"/>
      <c r="AO714" s="225"/>
      <c r="AP714" s="260"/>
      <c r="AQ714" s="258"/>
      <c r="AR714" s="258"/>
      <c r="AS714" s="202"/>
      <c r="AT714" s="213"/>
      <c r="AU714" s="213"/>
    </row>
    <row r="715" spans="40:47" s="121" customFormat="1" hidden="1">
      <c r="AN715" s="239"/>
      <c r="AO715" s="225"/>
      <c r="AP715" s="260"/>
      <c r="AQ715" s="258"/>
      <c r="AR715" s="258"/>
      <c r="AS715" s="202"/>
      <c r="AT715" s="213"/>
      <c r="AU715" s="213"/>
    </row>
    <row r="716" spans="40:47" s="121" customFormat="1" hidden="1">
      <c r="AN716" s="239"/>
      <c r="AO716" s="225"/>
      <c r="AP716" s="260"/>
      <c r="AQ716" s="258"/>
      <c r="AR716" s="258"/>
      <c r="AS716" s="202"/>
      <c r="AT716" s="213"/>
      <c r="AU716" s="213"/>
    </row>
    <row r="717" spans="40:47" s="121" customFormat="1" hidden="1">
      <c r="AN717" s="239"/>
      <c r="AO717" s="225"/>
      <c r="AP717" s="260"/>
      <c r="AQ717" s="258"/>
      <c r="AR717" s="258"/>
      <c r="AS717" s="202"/>
      <c r="AT717" s="213"/>
      <c r="AU717" s="213"/>
    </row>
    <row r="718" spans="40:47" s="121" customFormat="1" hidden="1">
      <c r="AN718" s="239"/>
      <c r="AO718" s="225"/>
      <c r="AP718" s="260"/>
      <c r="AQ718" s="258"/>
      <c r="AR718" s="258"/>
      <c r="AS718" s="202"/>
      <c r="AT718" s="213"/>
      <c r="AU718" s="213"/>
    </row>
    <row r="719" spans="40:47" s="121" customFormat="1" hidden="1">
      <c r="AN719" s="239"/>
      <c r="AO719" s="225"/>
      <c r="AP719" s="260"/>
      <c r="AQ719" s="258"/>
      <c r="AR719" s="258"/>
      <c r="AS719" s="202"/>
      <c r="AT719" s="213"/>
      <c r="AU719" s="213"/>
    </row>
    <row r="720" spans="40:47" s="121" customFormat="1" hidden="1">
      <c r="AN720" s="239"/>
      <c r="AO720" s="225"/>
      <c r="AP720" s="260"/>
      <c r="AQ720" s="258"/>
      <c r="AR720" s="258"/>
      <c r="AS720" s="202"/>
      <c r="AT720" s="213"/>
      <c r="AU720" s="213"/>
    </row>
    <row r="721" spans="1:47" s="121" customFormat="1" hidden="1">
      <c r="AN721" s="239"/>
      <c r="AO721" s="225"/>
      <c r="AP721" s="260"/>
      <c r="AQ721" s="258"/>
      <c r="AR721" s="258"/>
      <c r="AS721" s="202"/>
      <c r="AT721" s="213"/>
      <c r="AU721" s="213"/>
    </row>
    <row r="722" spans="1:47" s="121" customFormat="1" hidden="1">
      <c r="AN722" s="239"/>
      <c r="AO722" s="225"/>
      <c r="AP722" s="260"/>
      <c r="AQ722" s="258"/>
      <c r="AR722" s="258"/>
      <c r="AS722" s="202"/>
      <c r="AT722" s="213"/>
      <c r="AU722" s="213"/>
    </row>
    <row r="723" spans="1:47" s="121" customFormat="1" hidden="1">
      <c r="AN723" s="239"/>
      <c r="AO723" s="225"/>
      <c r="AP723" s="260"/>
      <c r="AQ723" s="258"/>
      <c r="AR723" s="258"/>
      <c r="AS723" s="202"/>
      <c r="AT723" s="213"/>
      <c r="AU723" s="213"/>
    </row>
    <row r="724" spans="1:47" s="121" customFormat="1" hidden="1">
      <c r="AN724" s="239"/>
      <c r="AO724" s="225"/>
      <c r="AP724" s="260"/>
      <c r="AQ724" s="258"/>
      <c r="AR724" s="258"/>
      <c r="AS724" s="202"/>
      <c r="AT724" s="213"/>
      <c r="AU724" s="213"/>
    </row>
    <row r="725" spans="1:47" s="121" customFormat="1" hidden="1">
      <c r="AN725" s="239"/>
      <c r="AO725" s="225"/>
      <c r="AP725" s="260"/>
      <c r="AQ725" s="258"/>
      <c r="AR725" s="258"/>
      <c r="AS725" s="202"/>
      <c r="AT725" s="213"/>
      <c r="AU725" s="213"/>
    </row>
    <row r="726" spans="1:47" s="121" customFormat="1" hidden="1">
      <c r="AN726" s="239"/>
      <c r="AO726" s="225"/>
      <c r="AP726" s="260"/>
      <c r="AQ726" s="258"/>
      <c r="AR726" s="258"/>
      <c r="AS726" s="202"/>
      <c r="AT726" s="213"/>
      <c r="AU726" s="213"/>
    </row>
    <row r="727" spans="1:47">
      <c r="A727" s="51"/>
      <c r="B727" s="51"/>
      <c r="C727" s="51"/>
      <c r="D727" s="51"/>
      <c r="E727" s="51"/>
      <c r="F727" s="51"/>
      <c r="G727" s="51"/>
      <c r="H727" s="51"/>
      <c r="I727" s="51"/>
      <c r="J727" s="121"/>
      <c r="K727" s="121"/>
      <c r="L727" s="121"/>
      <c r="M727" s="121"/>
      <c r="N727" s="121"/>
      <c r="O727" s="121"/>
      <c r="P727" s="121"/>
      <c r="Q727" s="121"/>
      <c r="R727" s="121"/>
      <c r="S727" s="121"/>
      <c r="T727" s="121"/>
      <c r="U727" s="121"/>
      <c r="V727" s="121"/>
      <c r="W727" s="121"/>
      <c r="X727" s="121"/>
      <c r="Y727" s="121"/>
      <c r="Z727" s="121"/>
      <c r="AA727" s="121"/>
      <c r="AB727" s="121"/>
      <c r="AC727" s="121"/>
      <c r="AD727" s="121"/>
      <c r="AE727" s="121"/>
      <c r="AF727" s="121"/>
      <c r="AG727" s="121"/>
      <c r="AH727" s="121"/>
      <c r="AI727" s="121"/>
      <c r="AJ727" s="121"/>
      <c r="AK727" s="121"/>
      <c r="AL727" s="121"/>
      <c r="AM727" s="121"/>
      <c r="AN727" s="234" t="s">
        <v>769</v>
      </c>
      <c r="AO727" s="235" t="s">
        <v>2991</v>
      </c>
      <c r="AP727" s="257">
        <f>SUM(AQ727:AR727)</f>
        <v>0</v>
      </c>
      <c r="AQ727" s="258"/>
      <c r="AR727" s="258"/>
      <c r="AS727" s="202"/>
      <c r="AT727" s="48"/>
      <c r="AU727" s="48"/>
    </row>
    <row r="728" spans="1:47">
      <c r="A728" s="51"/>
      <c r="B728" s="51"/>
      <c r="C728" s="51"/>
      <c r="D728" s="51"/>
      <c r="E728" s="51"/>
      <c r="F728" s="51"/>
      <c r="G728" s="51"/>
      <c r="H728" s="51"/>
      <c r="I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3"/>
      <c r="AM728" s="124"/>
      <c r="AN728" s="234" t="s">
        <v>770</v>
      </c>
      <c r="AO728" s="442" t="s">
        <v>2992</v>
      </c>
      <c r="AP728" s="257">
        <f t="shared" ref="AP728:AP745" si="2">SUM(AQ728:AR728)</f>
        <v>0</v>
      </c>
      <c r="AQ728" s="258"/>
      <c r="AR728" s="258"/>
      <c r="AS728" s="127"/>
    </row>
    <row r="729" spans="1:47">
      <c r="A729" s="51"/>
      <c r="B729" s="51"/>
      <c r="C729" s="51"/>
      <c r="D729" s="51"/>
      <c r="E729" s="51"/>
      <c r="F729" s="51"/>
      <c r="G729" s="51"/>
      <c r="H729" s="51"/>
      <c r="I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3"/>
      <c r="AM729" s="124"/>
      <c r="AN729" s="236" t="s">
        <v>2993</v>
      </c>
      <c r="AO729" s="225" t="s">
        <v>2994</v>
      </c>
      <c r="AP729" s="257">
        <f t="shared" si="2"/>
        <v>0</v>
      </c>
      <c r="AQ729" s="258"/>
      <c r="AR729" s="258"/>
      <c r="AS729" s="127"/>
    </row>
    <row r="730" spans="1:47">
      <c r="A730" s="51"/>
      <c r="B730" s="51"/>
      <c r="C730" s="51"/>
      <c r="D730" s="51"/>
      <c r="E730" s="51"/>
      <c r="F730" s="51"/>
      <c r="G730" s="51"/>
      <c r="H730" s="51"/>
      <c r="I730" s="51"/>
      <c r="J730" s="121"/>
      <c r="K730" s="121"/>
      <c r="L730" s="121"/>
      <c r="M730" s="121"/>
      <c r="N730" s="121"/>
      <c r="O730" s="121"/>
      <c r="P730" s="121"/>
      <c r="Q730" s="121"/>
      <c r="R730" s="121"/>
      <c r="S730" s="121"/>
      <c r="T730" s="121"/>
      <c r="U730" s="121"/>
      <c r="V730" s="121"/>
      <c r="W730" s="121"/>
      <c r="X730" s="121"/>
      <c r="Y730" s="121"/>
      <c r="Z730" s="121"/>
      <c r="AA730" s="121"/>
      <c r="AB730" s="121"/>
      <c r="AC730" s="121"/>
      <c r="AD730" s="121"/>
      <c r="AE730" s="121"/>
      <c r="AF730" s="121"/>
      <c r="AG730" s="121"/>
      <c r="AH730" s="121"/>
      <c r="AI730" s="121"/>
      <c r="AJ730" s="121"/>
      <c r="AK730" s="121"/>
      <c r="AL730" s="121"/>
      <c r="AM730" s="121"/>
      <c r="AN730" s="236" t="s">
        <v>2995</v>
      </c>
      <c r="AO730" s="482" t="s">
        <v>2791</v>
      </c>
      <c r="AP730" s="257">
        <f t="shared" si="2"/>
        <v>0</v>
      </c>
      <c r="AQ730" s="258"/>
      <c r="AR730" s="258"/>
      <c r="AS730" s="202"/>
      <c r="AT730" s="48"/>
      <c r="AU730" s="48"/>
    </row>
    <row r="731" spans="1:47" hidden="1">
      <c r="A731" s="51"/>
      <c r="B731" s="51"/>
      <c r="C731" s="51"/>
      <c r="D731" s="51"/>
      <c r="E731" s="51"/>
      <c r="F731" s="51"/>
      <c r="G731" s="51"/>
      <c r="H731" s="51"/>
      <c r="I731" s="51"/>
      <c r="J731" s="121"/>
      <c r="K731" s="121"/>
      <c r="L731" s="121"/>
      <c r="M731" s="121"/>
      <c r="N731" s="121"/>
      <c r="O731" s="121"/>
      <c r="P731" s="121"/>
      <c r="Q731" s="121"/>
      <c r="R731" s="121"/>
      <c r="S731" s="121"/>
      <c r="T731" s="121"/>
      <c r="U731" s="121"/>
      <c r="V731" s="121"/>
      <c r="W731" s="121"/>
      <c r="X731" s="121"/>
      <c r="Y731" s="121"/>
      <c r="Z731" s="121"/>
      <c r="AA731" s="121"/>
      <c r="AB731" s="121"/>
      <c r="AC731" s="121"/>
      <c r="AD731" s="121"/>
      <c r="AE731" s="121"/>
      <c r="AF731" s="121"/>
      <c r="AG731" s="121"/>
      <c r="AH731" s="121"/>
      <c r="AI731" s="121"/>
      <c r="AJ731" s="121"/>
      <c r="AK731" s="121"/>
      <c r="AL731" s="121"/>
      <c r="AM731" s="121"/>
      <c r="AN731" s="594" t="str">
        <f>IF(TEMPLATE_CLAIM="P","5.1.1.1.1","")</f>
        <v/>
      </c>
      <c r="AO731" s="593" t="str">
        <f>IF(TEMPLATE_CLAIM="P","от станций с мощностью производства &gt;= 25 МВт","")</f>
        <v/>
      </c>
      <c r="AP731" s="257">
        <f t="shared" si="2"/>
        <v>0</v>
      </c>
      <c r="AQ731" s="258"/>
      <c r="AR731" s="258"/>
      <c r="AS731" s="202"/>
      <c r="AT731" s="48"/>
      <c r="AU731" s="48"/>
    </row>
    <row r="732" spans="1:47" hidden="1">
      <c r="A732" s="51"/>
      <c r="B732" s="51"/>
      <c r="C732" s="51"/>
      <c r="D732" s="51"/>
      <c r="E732" s="51"/>
      <c r="F732" s="51"/>
      <c r="G732" s="51"/>
      <c r="H732" s="51"/>
      <c r="I732" s="51"/>
      <c r="J732" s="121"/>
      <c r="K732" s="121"/>
      <c r="L732" s="121"/>
      <c r="M732" s="121"/>
      <c r="N732" s="121"/>
      <c r="O732" s="121"/>
      <c r="P732" s="121"/>
      <c r="Q732" s="121"/>
      <c r="R732" s="121"/>
      <c r="S732" s="121"/>
      <c r="T732" s="121"/>
      <c r="U732" s="121"/>
      <c r="V732" s="121"/>
      <c r="W732" s="121"/>
      <c r="X732" s="121"/>
      <c r="Y732" s="121"/>
      <c r="Z732" s="121"/>
      <c r="AA732" s="121"/>
      <c r="AB732" s="121"/>
      <c r="AC732" s="121"/>
      <c r="AD732" s="121"/>
      <c r="AE732" s="121"/>
      <c r="AF732" s="121"/>
      <c r="AG732" s="121"/>
      <c r="AH732" s="121"/>
      <c r="AI732" s="121"/>
      <c r="AJ732" s="121"/>
      <c r="AK732" s="121"/>
      <c r="AL732" s="121"/>
      <c r="AM732" s="121"/>
      <c r="AN732" s="594" t="str">
        <f>IF(TEMPLATE_CLAIM="P","5.1.1.1.2","")</f>
        <v/>
      </c>
      <c r="AO732" s="593" t="str">
        <f>IF(TEMPLATE_CLAIM="P","от станций с мощностью производства &lt; 25 МВт","")</f>
        <v/>
      </c>
      <c r="AP732" s="257">
        <f t="shared" si="2"/>
        <v>0</v>
      </c>
      <c r="AQ732" s="258"/>
      <c r="AR732" s="258"/>
      <c r="AS732" s="202"/>
      <c r="AT732" s="48"/>
      <c r="AU732" s="48"/>
    </row>
    <row r="733" spans="1:47" ht="0.75" hidden="1" customHeight="1">
      <c r="A733" s="51"/>
      <c r="B733" s="51"/>
      <c r="C733" s="51"/>
      <c r="D733" s="51"/>
      <c r="E733" s="51"/>
      <c r="F733" s="51"/>
      <c r="G733" s="51"/>
      <c r="H733" s="51"/>
      <c r="I733" s="51"/>
      <c r="J733" s="121"/>
      <c r="K733" s="121"/>
      <c r="L733" s="121"/>
      <c r="M733" s="121"/>
      <c r="N733" s="121"/>
      <c r="O733" s="121"/>
      <c r="P733" s="121"/>
      <c r="Q733" s="121"/>
      <c r="R733" s="121"/>
      <c r="S733" s="121"/>
      <c r="T733" s="121"/>
      <c r="U733" s="121"/>
      <c r="V733" s="121"/>
      <c r="W733" s="121"/>
      <c r="X733" s="121"/>
      <c r="Y733" s="121"/>
      <c r="Z733" s="121"/>
      <c r="AA733" s="121"/>
      <c r="AB733" s="121"/>
      <c r="AC733" s="121"/>
      <c r="AD733" s="121"/>
      <c r="AE733" s="121"/>
      <c r="AF733" s="121"/>
      <c r="AG733" s="121"/>
      <c r="AH733" s="121"/>
      <c r="AI733" s="121"/>
      <c r="AJ733" s="121"/>
      <c r="AK733" s="121"/>
      <c r="AL733" s="121"/>
      <c r="AM733" s="121"/>
      <c r="AN733" s="236"/>
      <c r="AO733" s="243"/>
      <c r="AP733" s="260"/>
      <c r="AQ733" s="258"/>
      <c r="AR733" s="258"/>
      <c r="AS733" s="202"/>
      <c r="AT733" s="48"/>
      <c r="AU733" s="48"/>
    </row>
    <row r="734" spans="1:47">
      <c r="A734" s="51"/>
      <c r="B734" s="51"/>
      <c r="C734" s="51"/>
      <c r="D734" s="51"/>
      <c r="E734" s="51"/>
      <c r="F734" s="51"/>
      <c r="G734" s="51"/>
      <c r="H734" s="51"/>
      <c r="I734" s="51"/>
      <c r="J734" s="121"/>
      <c r="K734" s="121"/>
      <c r="L734" s="121"/>
      <c r="M734" s="121"/>
      <c r="N734" s="121"/>
      <c r="O734" s="121"/>
      <c r="P734" s="121"/>
      <c r="Q734" s="121"/>
      <c r="R734" s="121"/>
      <c r="S734" s="121"/>
      <c r="T734" s="121"/>
      <c r="U734" s="121"/>
      <c r="V734" s="121"/>
      <c r="W734" s="121"/>
      <c r="X734" s="121"/>
      <c r="Y734" s="121"/>
      <c r="Z734" s="121"/>
      <c r="AA734" s="121"/>
      <c r="AB734" s="121"/>
      <c r="AC734" s="121"/>
      <c r="AD734" s="121"/>
      <c r="AE734" s="121"/>
      <c r="AF734" s="121"/>
      <c r="AG734" s="121"/>
      <c r="AH734" s="121"/>
      <c r="AI734" s="121"/>
      <c r="AJ734" s="121"/>
      <c r="AK734" s="121"/>
      <c r="AL734" s="121"/>
      <c r="AM734" s="121"/>
      <c r="AN734" s="236" t="s">
        <v>2998</v>
      </c>
      <c r="AO734" s="482" t="s">
        <v>755</v>
      </c>
      <c r="AP734" s="257">
        <f t="shared" si="2"/>
        <v>0</v>
      </c>
      <c r="AQ734" s="258"/>
      <c r="AR734" s="258"/>
      <c r="AS734" s="202"/>
      <c r="AT734" s="48"/>
      <c r="AU734" s="48"/>
    </row>
    <row r="735" spans="1:47" hidden="1">
      <c r="A735" s="51"/>
      <c r="B735" s="51"/>
      <c r="C735" s="51"/>
      <c r="D735" s="51"/>
      <c r="E735" s="51"/>
      <c r="F735" s="51"/>
      <c r="G735" s="51"/>
      <c r="H735" s="51"/>
      <c r="I735" s="51"/>
      <c r="J735" s="121"/>
      <c r="K735" s="121"/>
      <c r="L735" s="121"/>
      <c r="M735" s="121"/>
      <c r="N735" s="121"/>
      <c r="O735" s="121"/>
      <c r="P735" s="121"/>
      <c r="Q735" s="121"/>
      <c r="R735" s="121"/>
      <c r="S735" s="121"/>
      <c r="T735" s="121"/>
      <c r="U735" s="121"/>
      <c r="V735" s="121"/>
      <c r="W735" s="121"/>
      <c r="X735" s="121"/>
      <c r="Y735" s="121"/>
      <c r="Z735" s="121"/>
      <c r="AA735" s="121"/>
      <c r="AB735" s="121"/>
      <c r="AC735" s="121"/>
      <c r="AD735" s="121"/>
      <c r="AE735" s="121"/>
      <c r="AF735" s="121"/>
      <c r="AG735" s="121"/>
      <c r="AH735" s="121"/>
      <c r="AI735" s="121"/>
      <c r="AJ735" s="121"/>
      <c r="AK735" s="121"/>
      <c r="AL735" s="121"/>
      <c r="AM735" s="121"/>
      <c r="AN735" s="594" t="str">
        <f>IF(TEMPLATE_CLAIM="P","5.1.1.2.1","")</f>
        <v/>
      </c>
      <c r="AO735" s="593" t="str">
        <f>IF(TEMPLATE_CLAIM="P","от станций с мощностью производства &gt;= 25 МВт","")</f>
        <v/>
      </c>
      <c r="AP735" s="257">
        <f t="shared" si="2"/>
        <v>0</v>
      </c>
      <c r="AQ735" s="258"/>
      <c r="AR735" s="258"/>
      <c r="AS735" s="202"/>
      <c r="AT735" s="48"/>
      <c r="AU735" s="48"/>
    </row>
    <row r="736" spans="1:47" hidden="1">
      <c r="A736" s="51"/>
      <c r="B736" s="51"/>
      <c r="C736" s="51"/>
      <c r="D736" s="51"/>
      <c r="E736" s="51"/>
      <c r="F736" s="51"/>
      <c r="G736" s="51"/>
      <c r="H736" s="51"/>
      <c r="I736" s="51"/>
      <c r="J736" s="121"/>
      <c r="K736" s="121"/>
      <c r="L736" s="121"/>
      <c r="M736" s="121"/>
      <c r="N736" s="121"/>
      <c r="O736" s="121"/>
      <c r="P736" s="121"/>
      <c r="Q736" s="121"/>
      <c r="R736" s="121"/>
      <c r="S736" s="121"/>
      <c r="T736" s="121"/>
      <c r="U736" s="121"/>
      <c r="V736" s="121"/>
      <c r="W736" s="121"/>
      <c r="X736" s="121"/>
      <c r="Y736" s="121"/>
      <c r="Z736" s="121"/>
      <c r="AA736" s="121"/>
      <c r="AB736" s="121"/>
      <c r="AC736" s="121"/>
      <c r="AD736" s="121"/>
      <c r="AE736" s="121"/>
      <c r="AF736" s="121"/>
      <c r="AG736" s="121"/>
      <c r="AH736" s="121"/>
      <c r="AI736" s="121"/>
      <c r="AJ736" s="121"/>
      <c r="AK736" s="121"/>
      <c r="AL736" s="121"/>
      <c r="AM736" s="121"/>
      <c r="AN736" s="594" t="str">
        <f>IF(TEMPLATE_CLAIM="P","5.1.1.2.2","")</f>
        <v/>
      </c>
      <c r="AO736" s="593" t="str">
        <f>IF(TEMPLATE_CLAIM="P","от станций с мощностью производства &lt; 25 МВт","")</f>
        <v/>
      </c>
      <c r="AP736" s="257">
        <f t="shared" si="2"/>
        <v>0</v>
      </c>
      <c r="AQ736" s="258"/>
      <c r="AR736" s="258"/>
      <c r="AS736" s="202"/>
      <c r="AT736" s="48"/>
      <c r="AU736" s="48"/>
    </row>
    <row r="737" spans="1:47" ht="0.75" hidden="1" customHeight="1">
      <c r="A737" s="51"/>
      <c r="B737" s="51"/>
      <c r="C737" s="51"/>
      <c r="D737" s="51"/>
      <c r="E737" s="51"/>
      <c r="F737" s="51"/>
      <c r="G737" s="51"/>
      <c r="H737" s="51"/>
      <c r="I737" s="51"/>
      <c r="J737" s="121"/>
      <c r="K737" s="121"/>
      <c r="L737" s="121"/>
      <c r="M737" s="121"/>
      <c r="N737" s="121"/>
      <c r="O737" s="121"/>
      <c r="P737" s="121"/>
      <c r="Q737" s="121"/>
      <c r="R737" s="121"/>
      <c r="S737" s="121"/>
      <c r="T737" s="121"/>
      <c r="U737" s="121"/>
      <c r="V737" s="121"/>
      <c r="W737" s="121"/>
      <c r="X737" s="121"/>
      <c r="Y737" s="121"/>
      <c r="Z737" s="121"/>
      <c r="AA737" s="121"/>
      <c r="AB737" s="121"/>
      <c r="AC737" s="121"/>
      <c r="AD737" s="121"/>
      <c r="AE737" s="121"/>
      <c r="AF737" s="121"/>
      <c r="AG737" s="121"/>
      <c r="AH737" s="121"/>
      <c r="AI737" s="121"/>
      <c r="AJ737" s="121"/>
      <c r="AK737" s="121"/>
      <c r="AL737" s="121"/>
      <c r="AM737" s="121"/>
      <c r="AN737" s="436"/>
      <c r="AO737" s="243"/>
      <c r="AP737" s="260"/>
      <c r="AQ737" s="258"/>
      <c r="AR737" s="258"/>
      <c r="AS737" s="202"/>
      <c r="AT737" s="48"/>
      <c r="AU737" s="48"/>
    </row>
    <row r="738" spans="1:47">
      <c r="A738" s="51"/>
      <c r="B738" s="51"/>
      <c r="C738" s="51"/>
      <c r="D738" s="51"/>
      <c r="E738" s="51"/>
      <c r="F738" s="51"/>
      <c r="G738" s="51"/>
      <c r="H738" s="51"/>
      <c r="I738" s="51"/>
      <c r="J738" s="121"/>
      <c r="K738" s="121"/>
      <c r="L738" s="121"/>
      <c r="M738" s="121"/>
      <c r="N738" s="121"/>
      <c r="O738" s="121"/>
      <c r="P738" s="121"/>
      <c r="Q738" s="121"/>
      <c r="R738" s="121"/>
      <c r="S738" s="121"/>
      <c r="T738" s="121"/>
      <c r="U738" s="121"/>
      <c r="V738" s="121"/>
      <c r="W738" s="121"/>
      <c r="X738" s="121"/>
      <c r="Y738" s="121"/>
      <c r="Z738" s="121"/>
      <c r="AA738" s="121"/>
      <c r="AB738" s="121"/>
      <c r="AC738" s="121"/>
      <c r="AD738" s="121"/>
      <c r="AE738" s="121"/>
      <c r="AF738" s="121"/>
      <c r="AG738" s="121"/>
      <c r="AH738" s="121"/>
      <c r="AI738" s="121"/>
      <c r="AJ738" s="121"/>
      <c r="AK738" s="121"/>
      <c r="AL738" s="121"/>
      <c r="AM738" s="121"/>
      <c r="AN738" s="236" t="s">
        <v>2999</v>
      </c>
      <c r="AO738" s="482" t="s">
        <v>2792</v>
      </c>
      <c r="AP738" s="257">
        <f t="shared" si="2"/>
        <v>0</v>
      </c>
      <c r="AQ738" s="258"/>
      <c r="AR738" s="258"/>
      <c r="AS738" s="202"/>
      <c r="AT738" s="48"/>
      <c r="AU738" s="48"/>
    </row>
    <row r="739" spans="1:47" hidden="1">
      <c r="A739" s="51"/>
      <c r="B739" s="51"/>
      <c r="C739" s="51"/>
      <c r="D739" s="51"/>
      <c r="E739" s="51"/>
      <c r="F739" s="51"/>
      <c r="G739" s="51"/>
      <c r="H739" s="51"/>
      <c r="I739" s="51"/>
      <c r="J739" s="121"/>
      <c r="K739" s="121"/>
      <c r="L739" s="121"/>
      <c r="M739" s="121"/>
      <c r="N739" s="121"/>
      <c r="O739" s="121"/>
      <c r="P739" s="121"/>
      <c r="Q739" s="121"/>
      <c r="R739" s="121"/>
      <c r="S739" s="121"/>
      <c r="T739" s="121"/>
      <c r="U739" s="121"/>
      <c r="V739" s="121"/>
      <c r="W739" s="121"/>
      <c r="X739" s="121"/>
      <c r="Y739" s="121"/>
      <c r="Z739" s="121"/>
      <c r="AA739" s="121"/>
      <c r="AB739" s="121"/>
      <c r="AC739" s="121"/>
      <c r="AD739" s="121"/>
      <c r="AE739" s="121"/>
      <c r="AF739" s="121"/>
      <c r="AG739" s="121"/>
      <c r="AH739" s="121"/>
      <c r="AI739" s="121"/>
      <c r="AJ739" s="121"/>
      <c r="AK739" s="121"/>
      <c r="AL739" s="121"/>
      <c r="AM739" s="121"/>
      <c r="AN739" s="594" t="str">
        <f>IF(TEMPLATE_CLAIM="P","5.1.1.3.1","")</f>
        <v/>
      </c>
      <c r="AO739" s="593" t="str">
        <f>IF(TEMPLATE_CLAIM="P","от станций с мощностью производства &gt;= 25 МВт","")</f>
        <v/>
      </c>
      <c r="AP739" s="257">
        <f t="shared" si="2"/>
        <v>0</v>
      </c>
      <c r="AQ739" s="258"/>
      <c r="AR739" s="258"/>
      <c r="AS739" s="202"/>
      <c r="AT739" s="48"/>
      <c r="AU739" s="48"/>
    </row>
    <row r="740" spans="1:47" hidden="1">
      <c r="A740" s="51"/>
      <c r="B740" s="51"/>
      <c r="C740" s="51"/>
      <c r="D740" s="51"/>
      <c r="E740" s="51"/>
      <c r="F740" s="51"/>
      <c r="G740" s="51"/>
      <c r="H740" s="51"/>
      <c r="I740" s="51"/>
      <c r="J740" s="121"/>
      <c r="K740" s="121"/>
      <c r="L740" s="121"/>
      <c r="M740" s="121"/>
      <c r="N740" s="121"/>
      <c r="O740" s="121"/>
      <c r="P740" s="121"/>
      <c r="Q740" s="121"/>
      <c r="R740" s="121"/>
      <c r="S740" s="121"/>
      <c r="T740" s="121"/>
      <c r="U740" s="121"/>
      <c r="V740" s="121"/>
      <c r="W740" s="121"/>
      <c r="X740" s="121"/>
      <c r="Y740" s="121"/>
      <c r="Z740" s="121"/>
      <c r="AA740" s="121"/>
      <c r="AB740" s="121"/>
      <c r="AC740" s="121"/>
      <c r="AD740" s="121"/>
      <c r="AE740" s="121"/>
      <c r="AF740" s="121"/>
      <c r="AG740" s="121"/>
      <c r="AH740" s="121"/>
      <c r="AI740" s="121"/>
      <c r="AJ740" s="121"/>
      <c r="AK740" s="121"/>
      <c r="AL740" s="121"/>
      <c r="AM740" s="121"/>
      <c r="AN740" s="594" t="str">
        <f>IF(TEMPLATE_CLAIM="P","5.1.1.3.2","")</f>
        <v/>
      </c>
      <c r="AO740" s="593" t="str">
        <f>IF(TEMPLATE_CLAIM="P","от станций с мощностью производства &lt; 25 МВт","")</f>
        <v/>
      </c>
      <c r="AP740" s="257">
        <f t="shared" si="2"/>
        <v>0</v>
      </c>
      <c r="AQ740" s="258"/>
      <c r="AR740" s="258"/>
      <c r="AS740" s="202"/>
      <c r="AT740" s="48"/>
      <c r="AU740" s="48"/>
    </row>
    <row r="741" spans="1:47" hidden="1">
      <c r="A741" s="51"/>
      <c r="B741" s="51"/>
      <c r="C741" s="51"/>
      <c r="D741" s="51"/>
      <c r="E741" s="51"/>
      <c r="F741" s="51"/>
      <c r="G741" s="51"/>
      <c r="H741" s="51"/>
      <c r="I741" s="51"/>
      <c r="J741" s="121"/>
      <c r="K741" s="121"/>
      <c r="L741" s="121"/>
      <c r="M741" s="121"/>
      <c r="N741" s="121"/>
      <c r="O741" s="121"/>
      <c r="P741" s="121"/>
      <c r="Q741" s="121"/>
      <c r="R741" s="121"/>
      <c r="S741" s="121"/>
      <c r="T741" s="121"/>
      <c r="U741" s="121"/>
      <c r="V741" s="121"/>
      <c r="W741" s="121"/>
      <c r="X741" s="121"/>
      <c r="Y741" s="121"/>
      <c r="Z741" s="121"/>
      <c r="AA741" s="121"/>
      <c r="AB741" s="121"/>
      <c r="AC741" s="121"/>
      <c r="AD741" s="121"/>
      <c r="AE741" s="121"/>
      <c r="AF741" s="121"/>
      <c r="AG741" s="121"/>
      <c r="AH741" s="121"/>
      <c r="AI741" s="121"/>
      <c r="AJ741" s="121"/>
      <c r="AK741" s="121"/>
      <c r="AL741" s="121"/>
      <c r="AM741" s="121"/>
      <c r="AN741" s="594" t="str">
        <f>IF(TEMPLATE_CLAIM="P","5.1.1.3.3","")</f>
        <v/>
      </c>
      <c r="AO741" s="593" t="str">
        <f>IF(TEMPLATE_CLAIM="P","от котельных (некомбинированная выработка)","")</f>
        <v/>
      </c>
      <c r="AP741" s="257">
        <f t="shared" si="2"/>
        <v>0</v>
      </c>
      <c r="AQ741" s="258"/>
      <c r="AR741" s="258"/>
      <c r="AS741" s="202"/>
      <c r="AT741" s="48"/>
      <c r="AU741" s="48"/>
    </row>
    <row r="742" spans="1:47">
      <c r="A742" s="51"/>
      <c r="B742" s="51"/>
      <c r="C742" s="51"/>
      <c r="D742" s="51"/>
      <c r="E742" s="51"/>
      <c r="F742" s="51"/>
      <c r="G742" s="51"/>
      <c r="H742" s="51"/>
      <c r="I742" s="51"/>
      <c r="J742" s="121"/>
      <c r="K742" s="121"/>
      <c r="L742" s="121"/>
      <c r="M742" s="121"/>
      <c r="N742" s="121"/>
      <c r="O742" s="121"/>
      <c r="P742" s="121"/>
      <c r="Q742" s="121"/>
      <c r="R742" s="121"/>
      <c r="S742" s="121"/>
      <c r="T742" s="121"/>
      <c r="U742" s="121"/>
      <c r="V742" s="121"/>
      <c r="W742" s="121"/>
      <c r="X742" s="121"/>
      <c r="Y742" s="121"/>
      <c r="Z742" s="121"/>
      <c r="AA742" s="121"/>
      <c r="AB742" s="121"/>
      <c r="AC742" s="121"/>
      <c r="AD742" s="121"/>
      <c r="AE742" s="121"/>
      <c r="AF742" s="121"/>
      <c r="AG742" s="121"/>
      <c r="AH742" s="121"/>
      <c r="AI742" s="121"/>
      <c r="AJ742" s="121"/>
      <c r="AK742" s="121"/>
      <c r="AL742" s="121"/>
      <c r="AM742" s="121"/>
      <c r="AN742" s="236" t="s">
        <v>3002</v>
      </c>
      <c r="AO742" s="482" t="s">
        <v>756</v>
      </c>
      <c r="AP742" s="257">
        <f t="shared" si="2"/>
        <v>0</v>
      </c>
      <c r="AQ742" s="258"/>
      <c r="AR742" s="258"/>
      <c r="AS742" s="202"/>
      <c r="AT742" s="48"/>
      <c r="AU742" s="48"/>
    </row>
    <row r="743" spans="1:47" hidden="1">
      <c r="A743" s="51"/>
      <c r="B743" s="51"/>
      <c r="C743" s="51"/>
      <c r="D743" s="51"/>
      <c r="E743" s="51"/>
      <c r="F743" s="51"/>
      <c r="G743" s="51"/>
      <c r="H743" s="51"/>
      <c r="I743" s="51"/>
      <c r="J743" s="121"/>
      <c r="K743" s="121"/>
      <c r="L743" s="121"/>
      <c r="M743" s="121"/>
      <c r="N743" s="121"/>
      <c r="O743" s="121"/>
      <c r="P743" s="121"/>
      <c r="Q743" s="121"/>
      <c r="R743" s="121"/>
      <c r="S743" s="121"/>
      <c r="T743" s="121"/>
      <c r="U743" s="121"/>
      <c r="V743" s="121"/>
      <c r="W743" s="121"/>
      <c r="X743" s="121"/>
      <c r="Y743" s="121"/>
      <c r="Z743" s="121"/>
      <c r="AA743" s="121"/>
      <c r="AB743" s="121"/>
      <c r="AC743" s="121"/>
      <c r="AD743" s="121"/>
      <c r="AE743" s="121"/>
      <c r="AF743" s="121"/>
      <c r="AG743" s="121"/>
      <c r="AH743" s="121"/>
      <c r="AI743" s="121"/>
      <c r="AJ743" s="121"/>
      <c r="AK743" s="121"/>
      <c r="AL743" s="121"/>
      <c r="AM743" s="121"/>
      <c r="AN743" s="594" t="str">
        <f>IF(TEMPLATE_CLAIM="P","5.1.1.4.1","")</f>
        <v/>
      </c>
      <c r="AO743" s="593" t="str">
        <f>IF(TEMPLATE_CLAIM="P","от станций с мощностью производства &gt;= 25 МВт","")</f>
        <v/>
      </c>
      <c r="AP743" s="257">
        <f t="shared" si="2"/>
        <v>0</v>
      </c>
      <c r="AQ743" s="258"/>
      <c r="AR743" s="258"/>
      <c r="AS743" s="202"/>
      <c r="AT743" s="48"/>
      <c r="AU743" s="48"/>
    </row>
    <row r="744" spans="1:47" hidden="1">
      <c r="A744" s="51"/>
      <c r="B744" s="51"/>
      <c r="C744" s="51"/>
      <c r="D744" s="51"/>
      <c r="E744" s="51"/>
      <c r="F744" s="51"/>
      <c r="G744" s="51"/>
      <c r="H744" s="51"/>
      <c r="I744" s="51"/>
      <c r="J744" s="121"/>
      <c r="K744" s="121"/>
      <c r="L744" s="121"/>
      <c r="M744" s="121"/>
      <c r="N744" s="121"/>
      <c r="O744" s="121"/>
      <c r="P744" s="121"/>
      <c r="Q744" s="121"/>
      <c r="R744" s="121"/>
      <c r="S744" s="121"/>
      <c r="T744" s="121"/>
      <c r="U744" s="121"/>
      <c r="V744" s="121"/>
      <c r="W744" s="121"/>
      <c r="X744" s="121"/>
      <c r="Y744" s="121"/>
      <c r="Z744" s="121"/>
      <c r="AA744" s="121"/>
      <c r="AB744" s="121"/>
      <c r="AC744" s="121"/>
      <c r="AD744" s="121"/>
      <c r="AE744" s="121"/>
      <c r="AF744" s="121"/>
      <c r="AG744" s="121"/>
      <c r="AH744" s="121"/>
      <c r="AI744" s="121"/>
      <c r="AJ744" s="121"/>
      <c r="AK744" s="121"/>
      <c r="AL744" s="121"/>
      <c r="AM744" s="121"/>
      <c r="AN744" s="594" t="str">
        <f>IF(TEMPLATE_CLAIM="P","5.1.1.4.2","")</f>
        <v/>
      </c>
      <c r="AO744" s="593" t="str">
        <f>IF(TEMPLATE_CLAIM="P","от станций с мощностью производства &lt; 25 МВт","")</f>
        <v/>
      </c>
      <c r="AP744" s="257">
        <f t="shared" si="2"/>
        <v>0</v>
      </c>
      <c r="AQ744" s="258"/>
      <c r="AR744" s="258"/>
      <c r="AS744" s="202"/>
      <c r="AT744" s="48"/>
      <c r="AU744" s="48"/>
    </row>
    <row r="745" spans="1:47" hidden="1">
      <c r="A745" s="51"/>
      <c r="B745" s="51"/>
      <c r="C745" s="51"/>
      <c r="D745" s="51"/>
      <c r="E745" s="51"/>
      <c r="F745" s="51"/>
      <c r="G745" s="51"/>
      <c r="H745" s="51"/>
      <c r="I745" s="51"/>
      <c r="J745" s="121"/>
      <c r="K745" s="121"/>
      <c r="L745" s="121"/>
      <c r="M745" s="121"/>
      <c r="N745" s="121"/>
      <c r="O745" s="121"/>
      <c r="P745" s="121"/>
      <c r="Q745" s="121"/>
      <c r="R745" s="121"/>
      <c r="S745" s="121"/>
      <c r="T745" s="121"/>
      <c r="U745" s="121"/>
      <c r="V745" s="121"/>
      <c r="W745" s="121"/>
      <c r="X745" s="121"/>
      <c r="Y745" s="121"/>
      <c r="Z745" s="121"/>
      <c r="AA745" s="121"/>
      <c r="AB745" s="121"/>
      <c r="AC745" s="121"/>
      <c r="AD745" s="121"/>
      <c r="AE745" s="121"/>
      <c r="AF745" s="121"/>
      <c r="AG745" s="121"/>
      <c r="AH745" s="121"/>
      <c r="AI745" s="121"/>
      <c r="AJ745" s="121"/>
      <c r="AK745" s="121"/>
      <c r="AL745" s="121"/>
      <c r="AM745" s="121"/>
      <c r="AN745" s="594" t="str">
        <f>IF(TEMPLATE_CLAIM="P","5.1.1.4.3","")</f>
        <v/>
      </c>
      <c r="AO745" s="593" t="str">
        <f>IF(TEMPLATE_CLAIM="P","от котельных (некомбинированная выработка)","")</f>
        <v/>
      </c>
      <c r="AP745" s="257">
        <f t="shared" si="2"/>
        <v>0</v>
      </c>
      <c r="AQ745" s="258"/>
      <c r="AR745" s="258"/>
      <c r="AS745" s="202"/>
      <c r="AT745" s="48"/>
      <c r="AU745" s="48"/>
    </row>
    <row r="746" spans="1:47">
      <c r="A746" s="51"/>
      <c r="B746" s="51"/>
      <c r="C746" s="51"/>
      <c r="D746" s="51"/>
      <c r="E746" s="51"/>
      <c r="F746" s="51"/>
      <c r="G746" s="51"/>
      <c r="H746" s="51"/>
      <c r="I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3"/>
      <c r="AM746" s="124"/>
      <c r="AN746" s="234" t="s">
        <v>3003</v>
      </c>
      <c r="AO746" s="225" t="s">
        <v>3004</v>
      </c>
      <c r="AP746" s="257">
        <f>SUM(AQ746:AR746)</f>
        <v>0</v>
      </c>
      <c r="AQ746" s="258"/>
      <c r="AR746" s="258"/>
      <c r="AS746" s="127"/>
    </row>
    <row r="747" spans="1:47" ht="22.5">
      <c r="A747" s="51"/>
      <c r="B747" s="51"/>
      <c r="C747" s="51"/>
      <c r="D747" s="51"/>
      <c r="E747" s="51"/>
      <c r="F747" s="51"/>
      <c r="G747" s="51"/>
      <c r="H747" s="51"/>
      <c r="I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3"/>
      <c r="AM747" s="124"/>
      <c r="AN747" s="234" t="s">
        <v>3006</v>
      </c>
      <c r="AO747" s="225" t="s">
        <v>3007</v>
      </c>
      <c r="AP747" s="257">
        <f>SUM(AQ747:AR747)</f>
        <v>0</v>
      </c>
      <c r="AQ747" s="258"/>
      <c r="AR747" s="258"/>
      <c r="AS747" s="127"/>
    </row>
    <row r="748" spans="1:47">
      <c r="A748" s="51"/>
      <c r="B748" s="51"/>
      <c r="C748" s="51"/>
      <c r="D748" s="51"/>
      <c r="E748" s="51"/>
      <c r="F748" s="51"/>
      <c r="G748" s="51"/>
      <c r="H748" s="51"/>
      <c r="I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3"/>
      <c r="AM748" s="124"/>
      <c r="AN748" s="236" t="s">
        <v>3008</v>
      </c>
      <c r="AO748" s="242" t="s">
        <v>2986</v>
      </c>
      <c r="AP748" s="257">
        <f>SUM(AQ748:AR748)</f>
        <v>0</v>
      </c>
      <c r="AQ748" s="258"/>
      <c r="AR748" s="258"/>
      <c r="AS748" s="127"/>
    </row>
    <row r="749" spans="1:47">
      <c r="A749" s="51"/>
      <c r="B749" s="51"/>
      <c r="C749" s="51"/>
      <c r="D749" s="51"/>
      <c r="E749" s="51"/>
      <c r="F749" s="51"/>
      <c r="G749" s="51"/>
      <c r="H749" s="51"/>
      <c r="I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3"/>
      <c r="AM749" s="124"/>
      <c r="AN749" s="236" t="s">
        <v>3009</v>
      </c>
      <c r="AO749" s="242" t="s">
        <v>2988</v>
      </c>
      <c r="AP749" s="257">
        <f>SUM(AQ749:AR749)</f>
        <v>0</v>
      </c>
      <c r="AQ749" s="258"/>
      <c r="AR749" s="258"/>
      <c r="AS749" s="127"/>
    </row>
    <row r="750" spans="1:47" hidden="1">
      <c r="A750" s="51"/>
      <c r="B750" s="51"/>
      <c r="C750" s="51"/>
      <c r="D750" s="51"/>
      <c r="E750" s="51"/>
      <c r="F750" s="51"/>
      <c r="G750" s="51"/>
      <c r="H750" s="51"/>
      <c r="I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3"/>
      <c r="AM750" s="124"/>
      <c r="AN750" s="223"/>
      <c r="AO750" s="447"/>
      <c r="AP750" s="260"/>
      <c r="AQ750" s="258"/>
      <c r="AR750" s="258"/>
      <c r="AS750" s="127"/>
    </row>
    <row r="751" spans="1:47" hidden="1">
      <c r="A751" s="51"/>
      <c r="B751" s="51"/>
      <c r="C751" s="51"/>
      <c r="D751" s="51"/>
      <c r="E751" s="51"/>
      <c r="F751" s="51"/>
      <c r="G751" s="51"/>
      <c r="H751" s="51"/>
      <c r="I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3"/>
      <c r="AM751" s="124"/>
      <c r="AN751" s="223"/>
      <c r="AO751" s="717"/>
      <c r="AP751" s="260"/>
      <c r="AQ751" s="258"/>
      <c r="AR751" s="258"/>
      <c r="AS751" s="127"/>
    </row>
    <row r="752" spans="1:47" hidden="1">
      <c r="A752" s="51"/>
      <c r="B752" s="51"/>
      <c r="C752" s="51"/>
      <c r="D752" s="51"/>
      <c r="E752" s="51"/>
      <c r="F752" s="51"/>
      <c r="G752" s="51"/>
      <c r="H752" s="51"/>
      <c r="I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3"/>
      <c r="AM752" s="124"/>
      <c r="AN752" s="223"/>
      <c r="AO752" s="717"/>
      <c r="AP752" s="260"/>
      <c r="AQ752" s="258"/>
      <c r="AR752" s="258"/>
      <c r="AS752" s="127"/>
    </row>
    <row r="753" spans="1:45" hidden="1">
      <c r="A753" s="51"/>
      <c r="B753" s="51"/>
      <c r="C753" s="51"/>
      <c r="D753" s="51"/>
      <c r="E753" s="51"/>
      <c r="F753" s="51"/>
      <c r="G753" s="51"/>
      <c r="H753" s="51"/>
      <c r="I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3"/>
      <c r="AM753" s="124"/>
      <c r="AN753" s="223"/>
      <c r="AO753" s="718"/>
      <c r="AP753" s="260"/>
      <c r="AQ753" s="258"/>
      <c r="AR753" s="258"/>
      <c r="AS753" s="127"/>
    </row>
    <row r="754" spans="1:45" hidden="1">
      <c r="AL754" s="50"/>
      <c r="AM754" s="124"/>
      <c r="AN754" s="223"/>
      <c r="AO754" s="717"/>
      <c r="AP754" s="260"/>
      <c r="AQ754" s="258"/>
      <c r="AR754" s="258"/>
      <c r="AS754" s="127"/>
    </row>
    <row r="755" spans="1:45" hidden="1">
      <c r="AL755" s="50"/>
      <c r="AM755" s="124"/>
      <c r="AN755" s="223"/>
      <c r="AO755" s="717"/>
      <c r="AP755" s="260"/>
      <c r="AQ755" s="258"/>
      <c r="AR755" s="258"/>
      <c r="AS755" s="127"/>
    </row>
    <row r="756" spans="1:45" hidden="1">
      <c r="AL756" s="50"/>
      <c r="AM756" s="124"/>
      <c r="AN756" s="223"/>
      <c r="AO756" s="447"/>
      <c r="AP756" s="260"/>
      <c r="AQ756" s="258"/>
      <c r="AR756" s="258"/>
      <c r="AS756" s="127"/>
    </row>
    <row r="757" spans="1:45" hidden="1">
      <c r="AL757" s="50"/>
      <c r="AM757" s="125"/>
      <c r="AN757" s="223"/>
      <c r="AO757" s="717"/>
      <c r="AP757" s="260"/>
      <c r="AQ757" s="258"/>
      <c r="AR757" s="258"/>
      <c r="AS757" s="127"/>
    </row>
    <row r="758" spans="1:45" hidden="1">
      <c r="AL758" s="50"/>
      <c r="AM758" s="125"/>
      <c r="AN758" s="223"/>
      <c r="AO758" s="717"/>
      <c r="AP758" s="260"/>
      <c r="AQ758" s="258"/>
      <c r="AR758" s="258"/>
      <c r="AS758" s="127"/>
    </row>
    <row r="759" spans="1:45" hidden="1">
      <c r="AL759" s="50"/>
      <c r="AM759" s="125"/>
      <c r="AN759" s="223"/>
      <c r="AO759" s="718"/>
      <c r="AP759" s="260"/>
      <c r="AQ759" s="258"/>
      <c r="AR759" s="258"/>
      <c r="AS759" s="127"/>
    </row>
    <row r="760" spans="1:45" hidden="1">
      <c r="AL760" s="50"/>
      <c r="AM760" s="125"/>
      <c r="AN760" s="223"/>
      <c r="AO760" s="717"/>
      <c r="AP760" s="260"/>
      <c r="AQ760" s="258"/>
      <c r="AR760" s="258"/>
      <c r="AS760" s="127"/>
    </row>
    <row r="761" spans="1:45" hidden="1">
      <c r="AL761" s="50"/>
      <c r="AM761" s="125"/>
      <c r="AN761" s="223"/>
      <c r="AO761" s="717"/>
      <c r="AP761" s="260"/>
      <c r="AQ761" s="258"/>
      <c r="AR761" s="258"/>
      <c r="AS761" s="127"/>
    </row>
    <row r="762" spans="1:45" hidden="1">
      <c r="AL762" s="50"/>
      <c r="AM762" s="125"/>
      <c r="AN762" s="223"/>
      <c r="AO762" s="447"/>
      <c r="AP762" s="260"/>
      <c r="AQ762" s="258"/>
      <c r="AR762" s="258"/>
      <c r="AS762" s="127"/>
    </row>
    <row r="763" spans="1:45" hidden="1">
      <c r="AL763" s="50"/>
      <c r="AM763" s="125"/>
      <c r="AN763" s="223"/>
      <c r="AO763" s="717"/>
      <c r="AP763" s="260"/>
      <c r="AQ763" s="258"/>
      <c r="AR763" s="258"/>
      <c r="AS763" s="127"/>
    </row>
    <row r="764" spans="1:45" hidden="1">
      <c r="AL764" s="50"/>
      <c r="AM764" s="125"/>
      <c r="AN764" s="223"/>
      <c r="AO764" s="717"/>
      <c r="AP764" s="260"/>
      <c r="AQ764" s="258"/>
      <c r="AR764" s="258"/>
      <c r="AS764" s="127"/>
    </row>
    <row r="765" spans="1:45" hidden="1">
      <c r="AL765" s="50"/>
      <c r="AM765" s="125"/>
      <c r="AN765" s="223"/>
      <c r="AO765" s="718"/>
      <c r="AP765" s="260"/>
      <c r="AQ765" s="258"/>
      <c r="AR765" s="258"/>
      <c r="AS765" s="127"/>
    </row>
    <row r="766" spans="1:45" hidden="1">
      <c r="AL766" s="53"/>
      <c r="AM766" s="126"/>
      <c r="AN766" s="223"/>
      <c r="AO766" s="717"/>
      <c r="AP766" s="260"/>
      <c r="AQ766" s="258"/>
      <c r="AR766" s="258"/>
      <c r="AS766" s="127"/>
    </row>
    <row r="767" spans="1:45" hidden="1">
      <c r="AL767" s="53"/>
      <c r="AM767" s="126"/>
      <c r="AN767" s="223"/>
      <c r="AO767" s="717"/>
      <c r="AP767" s="260"/>
      <c r="AQ767" s="258"/>
      <c r="AR767" s="258"/>
      <c r="AS767" s="127"/>
    </row>
    <row r="768" spans="1:45" hidden="1">
      <c r="AL768" s="53"/>
      <c r="AM768" s="126"/>
      <c r="AN768" s="223"/>
      <c r="AO768" s="447"/>
      <c r="AP768" s="260"/>
      <c r="AQ768" s="258"/>
      <c r="AR768" s="258"/>
      <c r="AS768" s="127"/>
    </row>
    <row r="769" spans="38:45" hidden="1">
      <c r="AL769" s="53"/>
      <c r="AM769" s="126"/>
      <c r="AN769" s="223"/>
      <c r="AO769" s="717"/>
      <c r="AP769" s="260"/>
      <c r="AQ769" s="258"/>
      <c r="AR769" s="258"/>
      <c r="AS769" s="127"/>
    </row>
    <row r="770" spans="38:45" hidden="1">
      <c r="AL770" s="53"/>
      <c r="AM770" s="126"/>
      <c r="AN770" s="223"/>
      <c r="AO770" s="717"/>
      <c r="AP770" s="260"/>
      <c r="AQ770" s="258"/>
      <c r="AR770" s="258"/>
      <c r="AS770" s="127"/>
    </row>
    <row r="771" spans="38:45" hidden="1">
      <c r="AL771" s="53"/>
      <c r="AM771" s="126"/>
      <c r="AN771" s="223"/>
      <c r="AO771" s="718"/>
      <c r="AP771" s="260"/>
      <c r="AQ771" s="258"/>
      <c r="AR771" s="258"/>
      <c r="AS771" s="127"/>
    </row>
    <row r="772" spans="38:45" hidden="1">
      <c r="AL772" s="53"/>
      <c r="AM772" s="126"/>
      <c r="AN772" s="223"/>
      <c r="AO772" s="717"/>
      <c r="AP772" s="260"/>
      <c r="AQ772" s="258"/>
      <c r="AR772" s="258"/>
      <c r="AS772" s="127"/>
    </row>
    <row r="773" spans="38:45" hidden="1">
      <c r="AL773" s="53"/>
      <c r="AM773" s="126"/>
      <c r="AN773" s="223"/>
      <c r="AO773" s="717"/>
      <c r="AP773" s="260"/>
      <c r="AQ773" s="258"/>
      <c r="AR773" s="258"/>
      <c r="AS773" s="127"/>
    </row>
    <row r="774" spans="38:45">
      <c r="AL774" s="50"/>
      <c r="AM774" s="126"/>
      <c r="AN774" s="436" t="s">
        <v>771</v>
      </c>
      <c r="AO774" s="591" t="s">
        <v>3043</v>
      </c>
      <c r="AP774" s="257">
        <f>SUM(AQ774:AR774)</f>
        <v>0</v>
      </c>
      <c r="AQ774" s="258"/>
      <c r="AR774" s="258"/>
      <c r="AS774" s="127"/>
    </row>
    <row r="775" spans="38:45">
      <c r="AL775" s="50"/>
      <c r="AM775" s="126"/>
      <c r="AN775" s="436" t="s">
        <v>772</v>
      </c>
      <c r="AO775" s="592" t="s">
        <v>3044</v>
      </c>
      <c r="AP775" s="257">
        <f>SUM(AQ775:AR775)</f>
        <v>0</v>
      </c>
      <c r="AQ775" s="258"/>
      <c r="AR775" s="258"/>
      <c r="AS775" s="127"/>
    </row>
    <row r="776" spans="38:45">
      <c r="AL776" s="50"/>
      <c r="AM776" s="126"/>
      <c r="AN776" s="236" t="s">
        <v>773</v>
      </c>
      <c r="AO776" s="248" t="s">
        <v>3045</v>
      </c>
      <c r="AP776" s="257">
        <f>SUM(AQ776:AR776)</f>
        <v>0</v>
      </c>
      <c r="AQ776" s="258"/>
      <c r="AR776" s="258"/>
      <c r="AS776" s="127"/>
    </row>
    <row r="777" spans="38:45">
      <c r="AL777" s="50"/>
      <c r="AM777" s="126"/>
      <c r="AN777" s="236" t="s">
        <v>3046</v>
      </c>
      <c r="AO777" s="242" t="s">
        <v>2986</v>
      </c>
      <c r="AP777" s="257">
        <f>SUM(AQ777:AR777)</f>
        <v>0</v>
      </c>
      <c r="AQ777" s="258"/>
      <c r="AR777" s="258"/>
      <c r="AS777" s="127"/>
    </row>
    <row r="778" spans="38:45">
      <c r="AL778" s="50"/>
      <c r="AM778" s="126"/>
      <c r="AN778" s="236" t="s">
        <v>3047</v>
      </c>
      <c r="AO778" s="242" t="s">
        <v>2988</v>
      </c>
      <c r="AP778" s="257">
        <f>SUM(AQ778:AR778)</f>
        <v>0</v>
      </c>
      <c r="AQ778" s="258"/>
      <c r="AR778" s="258"/>
      <c r="AS778" s="127"/>
    </row>
    <row r="779" spans="38:45" hidden="1">
      <c r="AL779" s="50"/>
      <c r="AM779" s="126"/>
      <c r="AN779" s="223"/>
      <c r="AO779" s="447"/>
      <c r="AP779" s="260"/>
      <c r="AQ779" s="258"/>
      <c r="AR779" s="258"/>
      <c r="AS779" s="127"/>
    </row>
    <row r="780" spans="38:45" hidden="1">
      <c r="AL780" s="50"/>
      <c r="AM780" s="126"/>
      <c r="AN780" s="223"/>
      <c r="AO780" s="717"/>
      <c r="AP780" s="260"/>
      <c r="AQ780" s="258"/>
      <c r="AR780" s="258"/>
      <c r="AS780" s="127"/>
    </row>
    <row r="781" spans="38:45" hidden="1">
      <c r="AL781" s="50"/>
      <c r="AM781" s="126"/>
      <c r="AN781" s="223"/>
      <c r="AO781" s="717"/>
      <c r="AP781" s="260"/>
      <c r="AQ781" s="258"/>
      <c r="AR781" s="258"/>
      <c r="AS781" s="127"/>
    </row>
    <row r="782" spans="38:45" hidden="1">
      <c r="AL782" s="50"/>
      <c r="AM782" s="126"/>
      <c r="AN782" s="223"/>
      <c r="AO782" s="718"/>
      <c r="AP782" s="260"/>
      <c r="AQ782" s="258"/>
      <c r="AR782" s="258"/>
      <c r="AS782" s="127"/>
    </row>
    <row r="783" spans="38:45" hidden="1">
      <c r="AL783" s="50"/>
      <c r="AM783" s="126"/>
      <c r="AN783" s="223"/>
      <c r="AO783" s="717"/>
      <c r="AP783" s="260"/>
      <c r="AQ783" s="258"/>
      <c r="AR783" s="258"/>
      <c r="AS783" s="127"/>
    </row>
    <row r="784" spans="38:45" hidden="1">
      <c r="AL784" s="50"/>
      <c r="AM784" s="126"/>
      <c r="AN784" s="223"/>
      <c r="AO784" s="717"/>
      <c r="AP784" s="260"/>
      <c r="AQ784" s="258"/>
      <c r="AR784" s="258"/>
      <c r="AS784" s="127"/>
    </row>
    <row r="785" spans="38:45" hidden="1">
      <c r="AL785" s="50"/>
      <c r="AM785" s="126"/>
      <c r="AN785" s="223"/>
      <c r="AO785" s="447"/>
      <c r="AP785" s="260"/>
      <c r="AQ785" s="258"/>
      <c r="AR785" s="258"/>
      <c r="AS785" s="127"/>
    </row>
    <row r="786" spans="38:45" hidden="1">
      <c r="AL786" s="50"/>
      <c r="AM786" s="126"/>
      <c r="AN786" s="223"/>
      <c r="AO786" s="717"/>
      <c r="AP786" s="260"/>
      <c r="AQ786" s="258"/>
      <c r="AR786" s="258"/>
      <c r="AS786" s="127"/>
    </row>
    <row r="787" spans="38:45" hidden="1">
      <c r="AL787" s="50"/>
      <c r="AM787" s="126"/>
      <c r="AN787" s="223"/>
      <c r="AO787" s="717"/>
      <c r="AP787" s="260"/>
      <c r="AQ787" s="258"/>
      <c r="AR787" s="258"/>
      <c r="AS787" s="127"/>
    </row>
    <row r="788" spans="38:45" hidden="1">
      <c r="AL788" s="50"/>
      <c r="AM788" s="126"/>
      <c r="AN788" s="223"/>
      <c r="AO788" s="718"/>
      <c r="AP788" s="260"/>
      <c r="AQ788" s="258"/>
      <c r="AR788" s="258"/>
      <c r="AS788" s="127"/>
    </row>
    <row r="789" spans="38:45" hidden="1">
      <c r="AL789" s="50"/>
      <c r="AM789" s="126"/>
      <c r="AN789" s="223"/>
      <c r="AO789" s="717"/>
      <c r="AP789" s="260"/>
      <c r="AQ789" s="258"/>
      <c r="AR789" s="258"/>
      <c r="AS789" s="127"/>
    </row>
    <row r="790" spans="38:45" hidden="1">
      <c r="AL790" s="50"/>
      <c r="AM790" s="126"/>
      <c r="AN790" s="223"/>
      <c r="AO790" s="717"/>
      <c r="AP790" s="260"/>
      <c r="AQ790" s="258"/>
      <c r="AR790" s="258"/>
      <c r="AS790" s="127"/>
    </row>
    <row r="791" spans="38:45" hidden="1">
      <c r="AL791" s="50"/>
      <c r="AM791" s="126"/>
      <c r="AN791" s="223"/>
      <c r="AO791" s="447"/>
      <c r="AP791" s="260"/>
      <c r="AQ791" s="258"/>
      <c r="AR791" s="258"/>
      <c r="AS791" s="127"/>
    </row>
    <row r="792" spans="38:45" hidden="1">
      <c r="AL792" s="50"/>
      <c r="AM792" s="126"/>
      <c r="AN792" s="223"/>
      <c r="AO792" s="717"/>
      <c r="AP792" s="260"/>
      <c r="AQ792" s="258"/>
      <c r="AR792" s="258"/>
      <c r="AS792" s="127"/>
    </row>
    <row r="793" spans="38:45" hidden="1">
      <c r="AL793" s="50"/>
      <c r="AM793" s="126"/>
      <c r="AN793" s="223"/>
      <c r="AO793" s="717"/>
      <c r="AP793" s="260"/>
      <c r="AQ793" s="258"/>
      <c r="AR793" s="258"/>
      <c r="AS793" s="127"/>
    </row>
    <row r="794" spans="38:45" hidden="1">
      <c r="AL794" s="50"/>
      <c r="AM794" s="126"/>
      <c r="AN794" s="223"/>
      <c r="AO794" s="718"/>
      <c r="AP794" s="260"/>
      <c r="AQ794" s="258"/>
      <c r="AR794" s="258"/>
      <c r="AS794" s="127"/>
    </row>
    <row r="795" spans="38:45" hidden="1">
      <c r="AL795" s="50"/>
      <c r="AM795" s="126"/>
      <c r="AN795" s="223"/>
      <c r="AO795" s="717"/>
      <c r="AP795" s="260"/>
      <c r="AQ795" s="258"/>
      <c r="AR795" s="258"/>
      <c r="AS795" s="127"/>
    </row>
    <row r="796" spans="38:45" hidden="1">
      <c r="AL796" s="50"/>
      <c r="AM796" s="126"/>
      <c r="AN796" s="223"/>
      <c r="AO796" s="717"/>
      <c r="AP796" s="260"/>
      <c r="AQ796" s="258"/>
      <c r="AR796" s="258"/>
      <c r="AS796" s="127"/>
    </row>
    <row r="797" spans="38:45" hidden="1">
      <c r="AL797" s="50"/>
      <c r="AM797" s="126"/>
      <c r="AN797" s="223"/>
      <c r="AO797" s="447"/>
      <c r="AP797" s="260"/>
      <c r="AQ797" s="258"/>
      <c r="AR797" s="258"/>
      <c r="AS797" s="127"/>
    </row>
    <row r="798" spans="38:45" hidden="1">
      <c r="AL798" s="50"/>
      <c r="AM798" s="126"/>
      <c r="AN798" s="223"/>
      <c r="AO798" s="717"/>
      <c r="AP798" s="260"/>
      <c r="AQ798" s="258"/>
      <c r="AR798" s="258"/>
      <c r="AS798" s="127"/>
    </row>
    <row r="799" spans="38:45" hidden="1">
      <c r="AL799" s="50"/>
      <c r="AM799" s="126"/>
      <c r="AN799" s="223"/>
      <c r="AO799" s="717"/>
      <c r="AP799" s="260"/>
      <c r="AQ799" s="258"/>
      <c r="AR799" s="258"/>
      <c r="AS799" s="127"/>
    </row>
    <row r="800" spans="38:45" hidden="1">
      <c r="AL800" s="50"/>
      <c r="AM800" s="126"/>
      <c r="AN800" s="223"/>
      <c r="AO800" s="718"/>
      <c r="AP800" s="260"/>
      <c r="AQ800" s="258"/>
      <c r="AR800" s="258"/>
      <c r="AS800" s="127"/>
    </row>
    <row r="801" spans="38:45" hidden="1">
      <c r="AL801" s="50"/>
      <c r="AM801" s="126"/>
      <c r="AN801" s="223"/>
      <c r="AO801" s="717"/>
      <c r="AP801" s="260"/>
      <c r="AQ801" s="258"/>
      <c r="AR801" s="258"/>
      <c r="AS801" s="127"/>
    </row>
    <row r="802" spans="38:45" hidden="1">
      <c r="AL802" s="50"/>
      <c r="AM802" s="126"/>
      <c r="AN802" s="223"/>
      <c r="AO802" s="717"/>
      <c r="AP802" s="260"/>
      <c r="AQ802" s="258"/>
      <c r="AR802" s="258"/>
      <c r="AS802" s="127"/>
    </row>
    <row r="803" spans="38:45" ht="11.25" customHeight="1">
      <c r="AL803" s="50"/>
      <c r="AM803" s="126"/>
      <c r="AN803" s="234" t="s">
        <v>3072</v>
      </c>
      <c r="AO803" s="235" t="s">
        <v>799</v>
      </c>
      <c r="AP803" s="257">
        <f>SUM(AQ803:AR803)</f>
        <v>0</v>
      </c>
      <c r="AQ803" s="258"/>
      <c r="AR803" s="258"/>
      <c r="AS803" s="127"/>
    </row>
    <row r="804" spans="38:45" hidden="1">
      <c r="AL804" s="50"/>
      <c r="AM804" s="126"/>
      <c r="AN804" s="719"/>
      <c r="AO804" s="720"/>
      <c r="AP804" s="260"/>
      <c r="AQ804" s="258"/>
      <c r="AR804" s="258"/>
      <c r="AS804" s="127"/>
    </row>
    <row r="805" spans="38:45" hidden="1">
      <c r="AL805" s="50"/>
      <c r="AM805" s="126"/>
      <c r="AN805" s="719"/>
      <c r="AO805" s="720"/>
      <c r="AP805" s="260"/>
      <c r="AQ805" s="258"/>
      <c r="AR805" s="258"/>
      <c r="AS805" s="127"/>
    </row>
    <row r="806" spans="38:45" hidden="1">
      <c r="AL806" s="50"/>
      <c r="AM806" s="126"/>
      <c r="AN806" s="719"/>
      <c r="AO806" s="720"/>
      <c r="AP806" s="260"/>
      <c r="AQ806" s="258"/>
      <c r="AR806" s="258"/>
      <c r="AS806" s="127"/>
    </row>
    <row r="807" spans="38:45">
      <c r="AL807" s="50"/>
      <c r="AM807" s="126"/>
      <c r="AN807" s="236" t="s">
        <v>75</v>
      </c>
      <c r="AO807" s="224" t="s">
        <v>1832</v>
      </c>
      <c r="AP807" s="257">
        <f>SUM(AQ807:AR807)</f>
        <v>0</v>
      </c>
      <c r="AQ807" s="258"/>
      <c r="AR807" s="258"/>
      <c r="AS807" s="127"/>
    </row>
    <row r="808" spans="38:45" hidden="1">
      <c r="AL808" s="50"/>
      <c r="AM808" s="126"/>
      <c r="AN808" s="223"/>
      <c r="AO808" s="217"/>
      <c r="AP808" s="260"/>
      <c r="AQ808" s="258"/>
      <c r="AR808" s="258"/>
      <c r="AS808" s="127"/>
    </row>
    <row r="809" spans="38:45" hidden="1">
      <c r="AL809" s="50"/>
      <c r="AM809" s="126"/>
      <c r="AN809" s="223"/>
      <c r="AO809" s="217"/>
      <c r="AP809" s="260"/>
      <c r="AQ809" s="258"/>
      <c r="AR809" s="258"/>
      <c r="AS809" s="127"/>
    </row>
    <row r="810" spans="38:45" hidden="1">
      <c r="AL810" s="50"/>
      <c r="AM810" s="126"/>
      <c r="AN810" s="223"/>
      <c r="AO810" s="720"/>
      <c r="AP810" s="260"/>
      <c r="AQ810" s="258"/>
      <c r="AR810" s="258"/>
      <c r="AS810" s="127"/>
    </row>
    <row r="811" spans="38:45" hidden="1">
      <c r="AL811" s="50"/>
      <c r="AM811" s="126"/>
      <c r="AN811" s="223"/>
      <c r="AO811" s="720"/>
      <c r="AP811" s="260"/>
      <c r="AQ811" s="258"/>
      <c r="AR811" s="258"/>
      <c r="AS811" s="127"/>
    </row>
    <row r="812" spans="38:45" hidden="1">
      <c r="AL812" s="50"/>
      <c r="AM812" s="126"/>
      <c r="AN812" s="223"/>
      <c r="AO812" s="720"/>
      <c r="AP812" s="260"/>
      <c r="AQ812" s="258"/>
      <c r="AR812" s="258"/>
      <c r="AS812" s="127"/>
    </row>
    <row r="813" spans="38:45">
      <c r="AL813" s="50"/>
      <c r="AM813" s="126"/>
      <c r="AN813" s="236" t="s">
        <v>62</v>
      </c>
      <c r="AO813" s="224" t="s">
        <v>1838</v>
      </c>
      <c r="AP813" s="257">
        <f>SUM(AQ813:AR813)</f>
        <v>0</v>
      </c>
      <c r="AQ813" s="258"/>
      <c r="AR813" s="258"/>
      <c r="AS813" s="127"/>
    </row>
    <row r="814" spans="38:45" hidden="1">
      <c r="AL814" s="50"/>
      <c r="AM814" s="126"/>
      <c r="AN814" s="223"/>
      <c r="AO814" s="446"/>
      <c r="AP814" s="260"/>
      <c r="AQ814" s="258"/>
      <c r="AR814" s="258"/>
      <c r="AS814" s="127"/>
    </row>
    <row r="815" spans="38:45" hidden="1">
      <c r="AL815" s="50"/>
      <c r="AM815" s="126"/>
      <c r="AN815" s="223"/>
      <c r="AO815" s="446"/>
      <c r="AP815" s="260"/>
      <c r="AQ815" s="258"/>
      <c r="AR815" s="258"/>
      <c r="AS815" s="127"/>
    </row>
    <row r="816" spans="38:45" hidden="1">
      <c r="AL816" s="50"/>
      <c r="AM816" s="126"/>
      <c r="AN816" s="223"/>
      <c r="AO816" s="720"/>
      <c r="AP816" s="260"/>
      <c r="AQ816" s="258"/>
      <c r="AR816" s="258"/>
      <c r="AS816" s="127"/>
    </row>
    <row r="817" spans="38:45" hidden="1">
      <c r="AL817" s="50"/>
      <c r="AM817" s="126"/>
      <c r="AN817" s="223"/>
      <c r="AO817" s="720"/>
      <c r="AP817" s="260"/>
      <c r="AQ817" s="258"/>
      <c r="AR817" s="258"/>
      <c r="AS817" s="127"/>
    </row>
    <row r="818" spans="38:45" hidden="1">
      <c r="AL818" s="50"/>
      <c r="AM818" s="126"/>
      <c r="AN818" s="223"/>
      <c r="AO818" s="720"/>
      <c r="AP818" s="260"/>
      <c r="AQ818" s="258"/>
      <c r="AR818" s="258"/>
      <c r="AS818" s="127"/>
    </row>
    <row r="819" spans="38:45">
      <c r="AL819" s="50"/>
      <c r="AM819" s="126"/>
      <c r="AN819" s="236" t="s">
        <v>68</v>
      </c>
      <c r="AO819" s="224" t="s">
        <v>1843</v>
      </c>
      <c r="AP819" s="257">
        <f>SUM(AQ819:AR819)</f>
        <v>0</v>
      </c>
      <c r="AQ819" s="258"/>
      <c r="AR819" s="258"/>
      <c r="AS819" s="127"/>
    </row>
    <row r="820" spans="38:45" hidden="1">
      <c r="AL820" s="50"/>
      <c r="AM820" s="126"/>
      <c r="AN820" s="223"/>
      <c r="AO820" s="446"/>
      <c r="AP820" s="260"/>
      <c r="AQ820" s="258"/>
      <c r="AR820" s="258"/>
      <c r="AS820" s="127"/>
    </row>
    <row r="821" spans="38:45" hidden="1">
      <c r="AL821" s="50"/>
      <c r="AM821" s="126"/>
      <c r="AN821" s="223"/>
      <c r="AO821" s="446"/>
      <c r="AP821" s="260"/>
      <c r="AQ821" s="258"/>
      <c r="AR821" s="258"/>
      <c r="AS821" s="127"/>
    </row>
    <row r="822" spans="38:45">
      <c r="AL822" s="50"/>
      <c r="AM822" s="126"/>
      <c r="AN822" s="236" t="s">
        <v>1848</v>
      </c>
      <c r="AO822" s="224" t="s">
        <v>1849</v>
      </c>
      <c r="AP822" s="257">
        <f>SUM(AQ822:AR822)</f>
        <v>0</v>
      </c>
      <c r="AQ822" s="258"/>
      <c r="AR822" s="258"/>
      <c r="AS822" s="127"/>
    </row>
    <row r="823" spans="38:45" hidden="1">
      <c r="AL823" s="50"/>
      <c r="AM823" s="126"/>
      <c r="AN823" s="223"/>
      <c r="AO823" s="446"/>
      <c r="AP823" s="260"/>
      <c r="AQ823" s="258"/>
      <c r="AR823" s="258"/>
      <c r="AS823" s="127"/>
    </row>
    <row r="824" spans="38:45" hidden="1">
      <c r="AL824" s="50"/>
      <c r="AM824" s="126"/>
      <c r="AN824" s="223"/>
      <c r="AO824" s="217"/>
      <c r="AP824" s="260"/>
      <c r="AQ824" s="258"/>
      <c r="AR824" s="258"/>
      <c r="AS824" s="127"/>
    </row>
    <row r="825" spans="38:45" ht="22.5">
      <c r="AL825" s="50"/>
      <c r="AM825" s="126"/>
      <c r="AN825" s="236" t="s">
        <v>1855</v>
      </c>
      <c r="AO825" s="224" t="s">
        <v>1856</v>
      </c>
      <c r="AP825" s="257">
        <f>SUM(AQ825:AR825)</f>
        <v>0</v>
      </c>
      <c r="AQ825" s="258"/>
      <c r="AR825" s="258"/>
      <c r="AS825" s="127"/>
    </row>
    <row r="826" spans="38:45" hidden="1">
      <c r="AL826" s="50"/>
      <c r="AM826" s="126"/>
      <c r="AN826" s="223"/>
      <c r="AO826" s="446"/>
      <c r="AP826" s="260"/>
      <c r="AQ826" s="258"/>
      <c r="AR826" s="258"/>
      <c r="AS826" s="127"/>
    </row>
    <row r="827" spans="38:45" hidden="1">
      <c r="AL827" s="50"/>
      <c r="AM827" s="126"/>
      <c r="AN827" s="223"/>
      <c r="AO827" s="217"/>
      <c r="AP827" s="260"/>
      <c r="AQ827" s="258"/>
      <c r="AR827" s="258"/>
      <c r="AS827" s="127"/>
    </row>
    <row r="828" spans="38:45">
      <c r="AL828" s="50"/>
      <c r="AM828" s="126"/>
      <c r="AN828" s="234" t="s">
        <v>2412</v>
      </c>
      <c r="AO828" s="235" t="s">
        <v>2413</v>
      </c>
      <c r="AP828" s="257">
        <f t="shared" ref="AP828:AP844" si="3">SUM(AQ828:AR828)</f>
        <v>0</v>
      </c>
      <c r="AQ828" s="258"/>
      <c r="AR828" s="258"/>
      <c r="AS828" s="127"/>
    </row>
    <row r="829" spans="38:45" ht="22.5">
      <c r="AL829" s="50"/>
      <c r="AM829" s="126"/>
      <c r="AN829" s="236" t="s">
        <v>2414</v>
      </c>
      <c r="AO829" s="224" t="s">
        <v>2415</v>
      </c>
      <c r="AP829" s="257">
        <f t="shared" si="3"/>
        <v>0</v>
      </c>
      <c r="AQ829" s="258"/>
      <c r="AR829" s="258"/>
      <c r="AS829" s="127"/>
    </row>
    <row r="830" spans="38:45" ht="22.5">
      <c r="AL830" s="50"/>
      <c r="AM830" s="126"/>
      <c r="AN830" s="236" t="s">
        <v>2416</v>
      </c>
      <c r="AO830" s="224" t="s">
        <v>2417</v>
      </c>
      <c r="AP830" s="257">
        <f t="shared" si="3"/>
        <v>0</v>
      </c>
      <c r="AQ830" s="258"/>
      <c r="AR830" s="258"/>
      <c r="AS830" s="127"/>
    </row>
    <row r="831" spans="38:45" ht="22.5">
      <c r="AL831" s="50"/>
      <c r="AM831" s="126"/>
      <c r="AN831" s="236" t="s">
        <v>2419</v>
      </c>
      <c r="AO831" s="224" t="s">
        <v>2420</v>
      </c>
      <c r="AP831" s="257">
        <f t="shared" si="3"/>
        <v>0</v>
      </c>
      <c r="AQ831" s="258"/>
      <c r="AR831" s="258"/>
      <c r="AS831" s="127"/>
    </row>
    <row r="832" spans="38:45">
      <c r="AL832" s="50"/>
      <c r="AM832" s="126"/>
      <c r="AN832" s="236" t="s">
        <v>2422</v>
      </c>
      <c r="AO832" s="224" t="s">
        <v>2423</v>
      </c>
      <c r="AP832" s="257">
        <f t="shared" si="3"/>
        <v>0</v>
      </c>
      <c r="AQ832" s="258"/>
      <c r="AR832" s="258"/>
      <c r="AS832" s="127"/>
    </row>
    <row r="833" spans="38:45">
      <c r="AL833" s="50"/>
      <c r="AM833" s="126"/>
      <c r="AN833" s="236" t="s">
        <v>2425</v>
      </c>
      <c r="AO833" s="224" t="s">
        <v>2426</v>
      </c>
      <c r="AP833" s="257">
        <f t="shared" si="3"/>
        <v>0</v>
      </c>
      <c r="AQ833" s="258"/>
      <c r="AR833" s="258"/>
      <c r="AS833" s="127"/>
    </row>
    <row r="834" spans="38:45" ht="22.5">
      <c r="AL834" s="50"/>
      <c r="AM834" s="126"/>
      <c r="AN834" s="236" t="s">
        <v>2427</v>
      </c>
      <c r="AO834" s="235" t="s">
        <v>2428</v>
      </c>
      <c r="AP834" s="257">
        <f t="shared" si="3"/>
        <v>0</v>
      </c>
      <c r="AQ834" s="258"/>
      <c r="AR834" s="258"/>
      <c r="AS834" s="127"/>
    </row>
    <row r="835" spans="38:45" ht="33.75">
      <c r="AL835" s="50"/>
      <c r="AM835" s="126"/>
      <c r="AN835" s="234" t="s">
        <v>2429</v>
      </c>
      <c r="AO835" s="224" t="s">
        <v>2430</v>
      </c>
      <c r="AP835" s="257">
        <f t="shared" si="3"/>
        <v>0</v>
      </c>
      <c r="AQ835" s="258"/>
      <c r="AR835" s="258"/>
      <c r="AS835" s="127"/>
    </row>
    <row r="836" spans="38:45">
      <c r="AL836" s="50"/>
      <c r="AM836" s="126"/>
      <c r="AN836" s="234" t="s">
        <v>2431</v>
      </c>
      <c r="AO836" s="235" t="s">
        <v>2432</v>
      </c>
      <c r="AP836" s="257">
        <f t="shared" si="3"/>
        <v>0</v>
      </c>
      <c r="AQ836" s="258"/>
      <c r="AR836" s="258"/>
      <c r="AS836" s="127"/>
    </row>
    <row r="837" spans="38:45" ht="22.5">
      <c r="AL837" s="50"/>
      <c r="AM837" s="126"/>
      <c r="AN837" s="236" t="s">
        <v>1842</v>
      </c>
      <c r="AO837" s="224" t="s">
        <v>2433</v>
      </c>
      <c r="AP837" s="257">
        <f t="shared" si="3"/>
        <v>0</v>
      </c>
      <c r="AQ837" s="258"/>
      <c r="AR837" s="258"/>
      <c r="AS837" s="127"/>
    </row>
    <row r="838" spans="38:45">
      <c r="AL838" s="50"/>
      <c r="AM838" s="126"/>
      <c r="AN838" s="236" t="s">
        <v>2418</v>
      </c>
      <c r="AO838" s="224" t="s">
        <v>2434</v>
      </c>
      <c r="AP838" s="257">
        <f t="shared" si="3"/>
        <v>0</v>
      </c>
      <c r="AQ838" s="258"/>
      <c r="AR838" s="258"/>
      <c r="AS838" s="127"/>
    </row>
    <row r="839" spans="38:45">
      <c r="AL839" s="50"/>
      <c r="AM839" s="126"/>
      <c r="AN839" s="236" t="s">
        <v>2435</v>
      </c>
      <c r="AO839" s="224" t="s">
        <v>2436</v>
      </c>
      <c r="AP839" s="257">
        <f t="shared" si="3"/>
        <v>0</v>
      </c>
      <c r="AQ839" s="258"/>
      <c r="AR839" s="258"/>
      <c r="AS839" s="127"/>
    </row>
    <row r="840" spans="38:45" ht="22.5">
      <c r="AL840" s="50"/>
      <c r="AM840" s="126"/>
      <c r="AN840" s="236" t="s">
        <v>2437</v>
      </c>
      <c r="AO840" s="224" t="s">
        <v>2438</v>
      </c>
      <c r="AP840" s="257">
        <f t="shared" si="3"/>
        <v>0</v>
      </c>
      <c r="AQ840" s="258"/>
      <c r="AR840" s="258"/>
      <c r="AS840" s="127"/>
    </row>
    <row r="841" spans="38:45">
      <c r="AL841" s="50"/>
      <c r="AM841" s="126"/>
      <c r="AN841" s="236" t="s">
        <v>2439</v>
      </c>
      <c r="AO841" s="224" t="s">
        <v>2440</v>
      </c>
      <c r="AP841" s="257">
        <f t="shared" si="3"/>
        <v>0</v>
      </c>
      <c r="AQ841" s="258"/>
      <c r="AR841" s="258"/>
      <c r="AS841" s="127"/>
    </row>
    <row r="842" spans="38:45">
      <c r="AL842" s="50"/>
      <c r="AM842" s="126"/>
      <c r="AN842" s="236" t="s">
        <v>2441</v>
      </c>
      <c r="AO842" s="224" t="s">
        <v>2442</v>
      </c>
      <c r="AP842" s="257">
        <f t="shared" si="3"/>
        <v>0</v>
      </c>
      <c r="AQ842" s="258"/>
      <c r="AR842" s="258"/>
      <c r="AS842" s="127"/>
    </row>
    <row r="843" spans="38:45">
      <c r="AL843" s="50"/>
      <c r="AM843" s="126"/>
      <c r="AN843" s="236" t="s">
        <v>2443</v>
      </c>
      <c r="AO843" s="224" t="s">
        <v>2444</v>
      </c>
      <c r="AP843" s="257">
        <f t="shared" si="3"/>
        <v>0</v>
      </c>
      <c r="AQ843" s="258"/>
      <c r="AR843" s="258"/>
      <c r="AS843" s="127"/>
    </row>
    <row r="844" spans="38:45">
      <c r="AL844" s="50"/>
      <c r="AM844" s="126"/>
      <c r="AN844" s="236" t="s">
        <v>842</v>
      </c>
      <c r="AO844" s="224" t="s">
        <v>843</v>
      </c>
      <c r="AP844" s="257">
        <f t="shared" si="3"/>
        <v>0</v>
      </c>
      <c r="AQ844" s="258"/>
      <c r="AR844" s="258"/>
      <c r="AS844" s="127"/>
    </row>
    <row r="845" spans="38:45" ht="0.75" customHeight="1">
      <c r="AL845" s="50"/>
      <c r="AM845" s="126"/>
      <c r="AN845" s="223"/>
      <c r="AO845" s="728"/>
      <c r="AP845" s="260"/>
      <c r="AQ845" s="258"/>
      <c r="AR845" s="258"/>
      <c r="AS845" s="127"/>
    </row>
    <row r="846" spans="38:45" ht="0.75" customHeight="1">
      <c r="AL846" s="50"/>
      <c r="AM846" s="126"/>
      <c r="AN846" s="223"/>
      <c r="AO846" s="728"/>
      <c r="AP846" s="260"/>
      <c r="AQ846" s="258"/>
      <c r="AR846" s="258"/>
      <c r="AS846" s="127"/>
    </row>
    <row r="847" spans="38:45" ht="0.75" customHeight="1">
      <c r="AL847" s="50"/>
      <c r="AM847" s="126"/>
      <c r="AN847" s="223"/>
      <c r="AO847" s="728"/>
      <c r="AP847" s="260"/>
      <c r="AQ847" s="258"/>
      <c r="AR847" s="258"/>
      <c r="AS847" s="127"/>
    </row>
    <row r="848" spans="38:45" ht="0.75" customHeight="1">
      <c r="AL848" s="50"/>
      <c r="AM848" s="126"/>
      <c r="AN848" s="223"/>
      <c r="AO848" s="728"/>
      <c r="AP848" s="260"/>
      <c r="AQ848" s="258"/>
      <c r="AR848" s="258"/>
      <c r="AS848" s="127"/>
    </row>
    <row r="849" spans="38:45" ht="0.75" customHeight="1">
      <c r="AL849" s="50"/>
      <c r="AM849" s="126"/>
      <c r="AN849" s="223"/>
      <c r="AO849" s="728"/>
      <c r="AP849" s="260"/>
      <c r="AQ849" s="258"/>
      <c r="AR849" s="258"/>
      <c r="AS849" s="127"/>
    </row>
    <row r="850" spans="38:45" ht="0.75" customHeight="1">
      <c r="AL850" s="50"/>
      <c r="AM850" s="126"/>
      <c r="AN850" s="223"/>
      <c r="AO850" s="728"/>
      <c r="AP850" s="260"/>
      <c r="AQ850" s="258"/>
      <c r="AR850" s="258"/>
      <c r="AS850" s="127"/>
    </row>
    <row r="851" spans="38:45" hidden="1">
      <c r="AL851" s="50"/>
      <c r="AM851" s="126"/>
      <c r="AN851" s="236"/>
      <c r="AO851" s="224"/>
      <c r="AP851" s="260"/>
      <c r="AQ851" s="258"/>
      <c r="AR851" s="258"/>
      <c r="AS851" s="127"/>
    </row>
    <row r="852" spans="38:45" hidden="1">
      <c r="AL852" s="50"/>
      <c r="AM852" s="126"/>
      <c r="AN852" s="236"/>
      <c r="AO852" s="224"/>
      <c r="AP852" s="260"/>
      <c r="AQ852" s="258"/>
      <c r="AR852" s="258"/>
      <c r="AS852" s="127"/>
    </row>
    <row r="853" spans="38:45">
      <c r="AL853" s="50"/>
      <c r="AM853" s="126"/>
      <c r="AN853" s="236" t="s">
        <v>844</v>
      </c>
      <c r="AO853" s="235" t="s">
        <v>853</v>
      </c>
      <c r="AP853" s="257">
        <f t="shared" ref="AP853:AP864" si="4">SUM(AQ853:AR853)</f>
        <v>0</v>
      </c>
      <c r="AQ853" s="258"/>
      <c r="AR853" s="258"/>
      <c r="AS853" s="127"/>
    </row>
    <row r="854" spans="38:45">
      <c r="AL854" s="50"/>
      <c r="AM854" s="126"/>
      <c r="AN854" s="234" t="s">
        <v>854</v>
      </c>
      <c r="AO854" s="205" t="s">
        <v>76</v>
      </c>
      <c r="AP854" s="257">
        <f t="shared" si="4"/>
        <v>0</v>
      </c>
      <c r="AQ854" s="258"/>
      <c r="AR854" s="258"/>
      <c r="AS854" s="127"/>
    </row>
    <row r="855" spans="38:45">
      <c r="AL855" s="50"/>
      <c r="AM855" s="126"/>
      <c r="AN855" s="236" t="s">
        <v>850</v>
      </c>
      <c r="AO855" s="723" t="s">
        <v>2726</v>
      </c>
      <c r="AP855" s="257">
        <f t="shared" si="4"/>
        <v>0</v>
      </c>
      <c r="AQ855" s="258"/>
      <c r="AR855" s="258"/>
      <c r="AS855" s="127"/>
    </row>
    <row r="856" spans="38:45">
      <c r="AL856" s="50"/>
      <c r="AM856" s="126"/>
      <c r="AN856" s="236" t="s">
        <v>858</v>
      </c>
      <c r="AO856" s="205" t="s">
        <v>859</v>
      </c>
      <c r="AP856" s="257">
        <f t="shared" si="4"/>
        <v>0</v>
      </c>
      <c r="AQ856" s="258"/>
      <c r="AR856" s="258"/>
      <c r="AS856" s="127"/>
    </row>
    <row r="857" spans="38:45">
      <c r="AL857" s="50"/>
      <c r="AM857" s="126"/>
      <c r="AN857" s="236" t="s">
        <v>861</v>
      </c>
      <c r="AO857" s="205" t="s">
        <v>862</v>
      </c>
      <c r="AP857" s="257">
        <f t="shared" si="4"/>
        <v>0</v>
      </c>
      <c r="AQ857" s="258"/>
      <c r="AR857" s="258"/>
      <c r="AS857" s="127"/>
    </row>
    <row r="858" spans="38:45">
      <c r="AL858" s="50"/>
      <c r="AM858" s="126"/>
      <c r="AN858" s="236" t="s">
        <v>863</v>
      </c>
      <c r="AO858" s="205" t="s">
        <v>864</v>
      </c>
      <c r="AP858" s="257">
        <f t="shared" si="4"/>
        <v>0</v>
      </c>
      <c r="AQ858" s="258"/>
      <c r="AR858" s="258"/>
      <c r="AS858" s="127"/>
    </row>
    <row r="859" spans="38:45">
      <c r="AL859" s="50"/>
      <c r="AM859" s="126"/>
      <c r="AN859" s="236" t="s">
        <v>865</v>
      </c>
      <c r="AO859" s="205" t="s">
        <v>866</v>
      </c>
      <c r="AP859" s="257">
        <f t="shared" si="4"/>
        <v>0</v>
      </c>
      <c r="AQ859" s="258"/>
      <c r="AR859" s="258"/>
      <c r="AS859" s="127"/>
    </row>
    <row r="860" spans="38:45">
      <c r="AL860" s="50"/>
      <c r="AM860" s="126"/>
      <c r="AN860" s="236" t="s">
        <v>867</v>
      </c>
      <c r="AO860" s="205" t="s">
        <v>868</v>
      </c>
      <c r="AP860" s="257">
        <f t="shared" si="4"/>
        <v>0</v>
      </c>
      <c r="AQ860" s="258"/>
      <c r="AR860" s="258"/>
      <c r="AS860" s="127"/>
    </row>
    <row r="861" spans="38:45">
      <c r="AL861" s="50"/>
      <c r="AM861" s="126"/>
      <c r="AN861" s="236" t="s">
        <v>869</v>
      </c>
      <c r="AO861" s="229" t="s">
        <v>870</v>
      </c>
      <c r="AP861" s="257">
        <f t="shared" si="4"/>
        <v>0</v>
      </c>
      <c r="AQ861" s="258"/>
      <c r="AR861" s="258"/>
      <c r="AS861" s="127"/>
    </row>
    <row r="862" spans="38:45">
      <c r="AL862" s="50"/>
      <c r="AM862" s="126"/>
      <c r="AN862" s="236" t="s">
        <v>871</v>
      </c>
      <c r="AO862" s="229" t="s">
        <v>872</v>
      </c>
      <c r="AP862" s="257">
        <f t="shared" si="4"/>
        <v>0</v>
      </c>
      <c r="AQ862" s="258"/>
      <c r="AR862" s="258"/>
      <c r="AS862" s="127"/>
    </row>
    <row r="863" spans="38:45">
      <c r="AL863" s="53"/>
      <c r="AM863" s="126"/>
      <c r="AN863" s="236" t="s">
        <v>873</v>
      </c>
      <c r="AO863" s="229" t="s">
        <v>874</v>
      </c>
      <c r="AP863" s="257">
        <f t="shared" si="4"/>
        <v>0</v>
      </c>
      <c r="AQ863" s="258"/>
      <c r="AR863" s="258"/>
      <c r="AS863" s="127"/>
    </row>
    <row r="864" spans="38:45">
      <c r="AL864" s="53"/>
      <c r="AM864" s="126"/>
      <c r="AN864" s="725" t="s">
        <v>852</v>
      </c>
      <c r="AO864" s="724" t="s">
        <v>2727</v>
      </c>
      <c r="AP864" s="257">
        <f t="shared" si="4"/>
        <v>0</v>
      </c>
      <c r="AQ864" s="258"/>
      <c r="AR864" s="258"/>
      <c r="AS864" s="127"/>
    </row>
    <row r="865" spans="38:45" ht="0.75" customHeight="1">
      <c r="AL865" s="53"/>
      <c r="AM865" s="126"/>
      <c r="AN865" s="236"/>
      <c r="AO865" s="205"/>
      <c r="AP865" s="260"/>
      <c r="AQ865" s="258"/>
      <c r="AR865" s="258"/>
      <c r="AS865" s="127"/>
    </row>
    <row r="866" spans="38:45" ht="0.75" customHeight="1">
      <c r="AL866" s="53"/>
      <c r="AM866" s="126"/>
      <c r="AN866" s="236"/>
      <c r="AO866" s="205"/>
      <c r="AP866" s="260"/>
      <c r="AQ866" s="258"/>
      <c r="AR866" s="258"/>
      <c r="AS866" s="127"/>
    </row>
    <row r="867" spans="38:45" ht="0.75" customHeight="1">
      <c r="AL867" s="53"/>
      <c r="AM867" s="126"/>
      <c r="AN867" s="236"/>
      <c r="AO867" s="250"/>
      <c r="AP867" s="260"/>
      <c r="AQ867" s="258"/>
      <c r="AR867" s="258"/>
      <c r="AS867" s="127"/>
    </row>
    <row r="868" spans="38:45" ht="0.75" customHeight="1">
      <c r="AL868" s="53"/>
      <c r="AM868" s="126"/>
      <c r="AN868" s="236"/>
      <c r="AO868" s="250"/>
      <c r="AP868" s="260"/>
      <c r="AQ868" s="258"/>
      <c r="AR868" s="258"/>
      <c r="AS868" s="127"/>
    </row>
    <row r="869" spans="38:45" ht="0.75" customHeight="1">
      <c r="AL869" s="53"/>
      <c r="AM869" s="126"/>
      <c r="AN869" s="236"/>
      <c r="AO869" s="250"/>
      <c r="AP869" s="260"/>
      <c r="AQ869" s="258"/>
      <c r="AR869" s="258"/>
      <c r="AS869" s="127"/>
    </row>
    <row r="870" spans="38:45" ht="0.75" customHeight="1">
      <c r="AL870" s="53"/>
      <c r="AM870" s="126"/>
      <c r="AN870" s="236"/>
      <c r="AO870" s="205"/>
      <c r="AP870" s="260"/>
      <c r="AQ870" s="258"/>
      <c r="AR870" s="258"/>
      <c r="AS870" s="127"/>
    </row>
    <row r="871" spans="38:45" ht="0.75" customHeight="1">
      <c r="AL871" s="50"/>
      <c r="AM871" s="126"/>
      <c r="AN871" s="236"/>
      <c r="AO871" s="250"/>
      <c r="AP871" s="260"/>
      <c r="AQ871" s="258"/>
      <c r="AR871" s="258"/>
      <c r="AS871" s="127"/>
    </row>
    <row r="872" spans="38:45" ht="33.75">
      <c r="AL872" s="50" t="s">
        <v>2482</v>
      </c>
      <c r="AM872" s="126"/>
      <c r="AN872" s="236" t="s">
        <v>2460</v>
      </c>
      <c r="AO872" s="325" t="s">
        <v>336</v>
      </c>
      <c r="AP872" s="257">
        <f>SUMIF(AQ$8:AR$8,"NO_TRANSPORT",AQ872:AR872)</f>
        <v>0</v>
      </c>
      <c r="AQ872" s="258"/>
      <c r="AR872" s="258"/>
      <c r="AS872" s="127"/>
    </row>
    <row r="873" spans="38:45" ht="33.75">
      <c r="AL873" s="50"/>
      <c r="AM873" s="126"/>
      <c r="AN873" s="236" t="s">
        <v>2483</v>
      </c>
      <c r="AO873" s="483" t="s">
        <v>337</v>
      </c>
      <c r="AP873" s="257">
        <f>SUMIF(AQ$8:AR$8,"NO_TRANSPORT",AQ873:AR873)</f>
        <v>0</v>
      </c>
      <c r="AQ873" s="258"/>
      <c r="AR873" s="258"/>
      <c r="AS873" s="127"/>
    </row>
    <row r="874" spans="38:45">
      <c r="AL874" s="50"/>
      <c r="AM874" s="126"/>
      <c r="AN874" s="236" t="s">
        <v>2484</v>
      </c>
      <c r="AO874" s="235" t="s">
        <v>2967</v>
      </c>
      <c r="AP874" s="254"/>
      <c r="AQ874" s="258"/>
      <c r="AR874" s="258"/>
      <c r="AS874" s="127"/>
    </row>
    <row r="875" spans="38:45" ht="67.5">
      <c r="AL875" s="53"/>
      <c r="AM875" s="126"/>
      <c r="AN875" s="436" t="s">
        <v>3083</v>
      </c>
      <c r="AO875" s="485" t="s">
        <v>2303</v>
      </c>
      <c r="AP875" s="257">
        <f>SUMIF(AQ$8:AR$8,"NO_TRANSPORT",AQ875:AR875)</f>
        <v>0</v>
      </c>
      <c r="AQ875" s="258"/>
      <c r="AR875" s="258"/>
      <c r="AS875" s="127"/>
    </row>
    <row r="876" spans="38:45" ht="0.75" customHeight="1">
      <c r="AL876" s="53"/>
      <c r="AM876" s="126"/>
      <c r="AN876" s="223"/>
      <c r="AO876" s="728"/>
      <c r="AP876" s="260"/>
      <c r="AQ876" s="258"/>
      <c r="AR876" s="258"/>
      <c r="AS876" s="127"/>
    </row>
    <row r="877" spans="38:45" ht="22.5">
      <c r="AL877" s="53"/>
      <c r="AM877" s="126"/>
      <c r="AN877" s="236" t="s">
        <v>2490</v>
      </c>
      <c r="AO877" s="721" t="str">
        <f>"Общий доход организации от реализации потребителям без учёта НДС, исходя из утверждённых тарифов на " &amp; AN10</f>
        <v>Общий доход организации от реализации потребителям без учёта НДС, исходя из утверждённых тарифов на 01.09 - 31.12</v>
      </c>
      <c r="AP877" s="257">
        <f>SUM(AQ877:AR877)</f>
        <v>0</v>
      </c>
      <c r="AQ877" s="258"/>
      <c r="AR877" s="258"/>
      <c r="AS877" s="127"/>
    </row>
    <row r="878" spans="38:45" ht="22.5">
      <c r="AL878" s="53"/>
      <c r="AM878" s="126"/>
      <c r="AN878" s="236" t="s">
        <v>2491</v>
      </c>
      <c r="AO878" s="230" t="str">
        <f>"Полезный отпуск продукции на реализацию потребителям (Гкал) на " &amp; AN10</f>
        <v>Полезный отпуск продукции на реализацию потребителям (Гкал) на 01.09 - 31.12</v>
      </c>
      <c r="AP878" s="257">
        <f>SUMIF(AQ$8:AR$8,"NO_TRANSPORT",AQ878:AR878)</f>
        <v>0</v>
      </c>
      <c r="AQ878" s="258"/>
      <c r="AR878" s="258"/>
      <c r="AS878" s="127"/>
    </row>
    <row r="879" spans="38:45" ht="22.5">
      <c r="AL879" s="53"/>
      <c r="AM879" s="126"/>
      <c r="AN879" s="236" t="s">
        <v>2492</v>
      </c>
      <c r="AO879" s="230" t="str">
        <f>"Организации-перепродавцы / энергоснабжающие организации на " &amp; AN10</f>
        <v>Организации-перепродавцы / энергоснабжающие организации на 01.09 - 31.12</v>
      </c>
      <c r="AP879" s="257">
        <f>SUM(AQ879:AR879)</f>
        <v>0</v>
      </c>
      <c r="AQ879" s="258"/>
      <c r="AR879" s="258"/>
      <c r="AS879" s="127"/>
    </row>
    <row r="880" spans="38:45" ht="22.5">
      <c r="AL880" s="53"/>
      <c r="AM880" s="126"/>
      <c r="AN880" s="239" t="str">
        <f>AN879 &amp; ".1"</f>
        <v>22.1.1</v>
      </c>
      <c r="AO880" s="231" t="str">
        <f>"средневзвешенный тариф (" &amp; TRANSMISSION_TARIFF &amp; " - передача, руб./Гкал - остальные)"</f>
        <v>средневзвешенный тариф (руб/куб.м - передача, руб./Гкал - остальные)</v>
      </c>
      <c r="AP880" s="254"/>
      <c r="AQ880" s="258"/>
      <c r="AR880" s="258"/>
      <c r="AS880" s="127"/>
    </row>
    <row r="881" spans="38:45">
      <c r="AL881" s="53"/>
      <c r="AM881" s="126"/>
      <c r="AN881" s="239" t="str">
        <f>AN879 &amp; ".2"</f>
        <v>22.1.2</v>
      </c>
      <c r="AO881" s="231" t="s">
        <v>2493</v>
      </c>
      <c r="AP881" s="257">
        <f>SUMIF(AQ$8:AR$8,"NO_TRANSPORT",AQ881:AR881)</f>
        <v>0</v>
      </c>
      <c r="AQ881" s="258"/>
      <c r="AR881" s="258"/>
      <c r="AS881" s="127"/>
    </row>
    <row r="882" spans="38:45">
      <c r="AL882" s="53"/>
      <c r="AM882" s="126"/>
      <c r="AN882" s="236" t="s">
        <v>2494</v>
      </c>
      <c r="AO882" s="230" t="str">
        <f>"Бюджетные потребители на " &amp; AN10</f>
        <v>Бюджетные потребители на 01.09 - 31.12</v>
      </c>
      <c r="AP882" s="257">
        <f>SUM(AQ882:AR882)</f>
        <v>0</v>
      </c>
      <c r="AQ882" s="258"/>
      <c r="AR882" s="258"/>
      <c r="AS882" s="127"/>
    </row>
    <row r="883" spans="38:45" ht="22.5">
      <c r="AL883" s="53"/>
      <c r="AM883" s="126"/>
      <c r="AN883" s="239" t="str">
        <f>AN882 &amp; ".1"</f>
        <v>22.2.1</v>
      </c>
      <c r="AO883" s="231" t="str">
        <f>"средневзвешенный тариф (" &amp; TRANSMISSION_TARIFF &amp; " - передача, руб./Гкал - остальные)"</f>
        <v>средневзвешенный тариф (руб/куб.м - передача, руб./Гкал - остальные)</v>
      </c>
      <c r="AP883" s="254"/>
      <c r="AQ883" s="258"/>
      <c r="AR883" s="258"/>
      <c r="AS883" s="127"/>
    </row>
    <row r="884" spans="38:45">
      <c r="AL884" s="53"/>
      <c r="AM884" s="126"/>
      <c r="AN884" s="239" t="str">
        <f>AN882 &amp; ".2"</f>
        <v>22.2.2</v>
      </c>
      <c r="AO884" s="231" t="s">
        <v>2493</v>
      </c>
      <c r="AP884" s="257">
        <f>SUMIF(AQ$8:AR$8,"NO_TRANSPORT",AQ884:AR884)</f>
        <v>0</v>
      </c>
      <c r="AQ884" s="258"/>
      <c r="AR884" s="258"/>
      <c r="AS884" s="127"/>
    </row>
    <row r="885" spans="38:45">
      <c r="AL885" s="53"/>
      <c r="AM885" s="126"/>
      <c r="AN885" s="236" t="s">
        <v>2495</v>
      </c>
      <c r="AO885" s="230" t="str">
        <f>"Население на " &amp; AN10</f>
        <v>Население на 01.09 - 31.12</v>
      </c>
      <c r="AP885" s="257">
        <f>SUM(AQ885:AR885)</f>
        <v>0</v>
      </c>
      <c r="AQ885" s="258"/>
      <c r="AR885" s="258"/>
      <c r="AS885" s="127"/>
    </row>
    <row r="886" spans="38:45" ht="22.5">
      <c r="AL886" s="53"/>
      <c r="AM886" s="126"/>
      <c r="AN886" s="239" t="str">
        <f>AN885 &amp; ".1"</f>
        <v>22.3.1</v>
      </c>
      <c r="AO886" s="231" t="str">
        <f>"средневзвешенный тариф (" &amp; TRANSMISSION_TARIFF &amp; " - передача, руб./Гкал - остальные)"</f>
        <v>средневзвешенный тариф (руб/куб.м - передача, руб./Гкал - остальные)</v>
      </c>
      <c r="AP886" s="254"/>
      <c r="AQ886" s="258"/>
      <c r="AR886" s="258"/>
      <c r="AS886" s="127"/>
    </row>
    <row r="887" spans="38:45">
      <c r="AL887" s="53"/>
      <c r="AM887" s="126"/>
      <c r="AN887" s="239" t="str">
        <f>AN885 &amp; ".2"</f>
        <v>22.3.2</v>
      </c>
      <c r="AO887" s="231" t="s">
        <v>2493</v>
      </c>
      <c r="AP887" s="257">
        <f>SUMIF(AQ$8:AR$8,"NO_TRANSPORT",AQ887:AR887)</f>
        <v>0</v>
      </c>
      <c r="AQ887" s="258"/>
      <c r="AR887" s="258"/>
      <c r="AS887" s="127"/>
    </row>
    <row r="888" spans="38:45">
      <c r="AL888" s="53"/>
      <c r="AM888" s="126"/>
      <c r="AN888" s="236" t="s">
        <v>2496</v>
      </c>
      <c r="AO888" s="230" t="str">
        <f>"Прочие на " &amp; AN10</f>
        <v>Прочие на 01.09 - 31.12</v>
      </c>
      <c r="AP888" s="257">
        <f>SUM(AQ888:AR888)</f>
        <v>0</v>
      </c>
      <c r="AQ888" s="258"/>
      <c r="AR888" s="258"/>
      <c r="AS888" s="127"/>
    </row>
    <row r="889" spans="38:45" ht="22.5">
      <c r="AL889" s="53"/>
      <c r="AM889" s="126"/>
      <c r="AN889" s="239" t="str">
        <f>AN888 &amp; ".1"</f>
        <v>22.4.1</v>
      </c>
      <c r="AO889" s="231" t="str">
        <f>"средневзвешенный тариф (" &amp; TRANSMISSION_TARIFF &amp; " - передача, руб./Гкал - остальные)"</f>
        <v>средневзвешенный тариф (руб/куб.м - передача, руб./Гкал - остальные)</v>
      </c>
      <c r="AP889" s="254"/>
      <c r="AQ889" s="258"/>
      <c r="AR889" s="258"/>
      <c r="AS889" s="127"/>
    </row>
    <row r="890" spans="38:45">
      <c r="AL890" s="53"/>
      <c r="AM890" s="126"/>
      <c r="AN890" s="239" t="str">
        <f>AN888 &amp; ".2"</f>
        <v>22.4.2</v>
      </c>
      <c r="AO890" s="231" t="s">
        <v>2493</v>
      </c>
      <c r="AP890" s="257">
        <f>SUMIF(AQ$8:AR$8,"NO_TRANSPORT",AQ890:AR890)</f>
        <v>0</v>
      </c>
      <c r="AQ890" s="258"/>
      <c r="AR890" s="258"/>
      <c r="AS890" s="127"/>
    </row>
    <row r="891" spans="38:45" ht="0.75" customHeight="1">
      <c r="AL891" s="53"/>
      <c r="AM891" s="126"/>
      <c r="AN891" s="236"/>
      <c r="AO891" s="205"/>
      <c r="AP891" s="264"/>
      <c r="AQ891" s="258"/>
      <c r="AR891" s="258"/>
      <c r="AS891" s="127"/>
    </row>
    <row r="892" spans="38:45">
      <c r="AL892" s="53"/>
      <c r="AM892" s="126"/>
      <c r="AN892" s="722" t="s">
        <v>2725</v>
      </c>
      <c r="AO892" s="721" t="s">
        <v>2724</v>
      </c>
      <c r="AP892" s="257">
        <f>SUM(AQ892:AR892)</f>
        <v>0</v>
      </c>
      <c r="AQ892" s="258"/>
      <c r="AR892" s="258"/>
      <c r="AS892" s="127"/>
    </row>
    <row r="893" spans="38:45" hidden="1">
      <c r="AL893" s="53"/>
      <c r="AM893" s="126"/>
      <c r="AN893" s="236"/>
      <c r="AO893" s="231"/>
      <c r="AP893" s="260"/>
      <c r="AQ893" s="258"/>
      <c r="AR893" s="258"/>
      <c r="AS893" s="127"/>
    </row>
    <row r="894" spans="38:45" hidden="1">
      <c r="AL894" s="53"/>
      <c r="AM894" s="126"/>
      <c r="AN894" s="236"/>
      <c r="AO894" s="231"/>
      <c r="AP894" s="260"/>
      <c r="AQ894" s="258"/>
      <c r="AR894" s="258"/>
      <c r="AS894" s="127"/>
    </row>
    <row r="895" spans="38:45" hidden="1">
      <c r="AL895" s="53"/>
      <c r="AM895" s="126"/>
      <c r="AN895" s="236"/>
      <c r="AO895" s="231"/>
      <c r="AP895" s="260"/>
      <c r="AQ895" s="258"/>
      <c r="AR895" s="258"/>
      <c r="AS895" s="127"/>
    </row>
    <row r="896" spans="38:45" hidden="1">
      <c r="AL896" s="53"/>
      <c r="AM896" s="126"/>
      <c r="AN896" s="236"/>
      <c r="AO896" s="231"/>
      <c r="AP896" s="260"/>
      <c r="AQ896" s="258"/>
      <c r="AR896" s="258"/>
      <c r="AS896" s="127"/>
    </row>
    <row r="897" spans="10:45" hidden="1">
      <c r="AL897" s="53"/>
      <c r="AM897" s="126"/>
      <c r="AN897" s="236"/>
      <c r="AO897" s="231"/>
      <c r="AP897" s="260"/>
      <c r="AQ897" s="258"/>
      <c r="AR897" s="258"/>
      <c r="AS897" s="127"/>
    </row>
    <row r="898" spans="10:45" hidden="1">
      <c r="AL898" s="53"/>
      <c r="AM898" s="126"/>
      <c r="AN898" s="236"/>
      <c r="AO898" s="231"/>
      <c r="AP898" s="260"/>
      <c r="AQ898" s="258"/>
      <c r="AR898" s="258"/>
      <c r="AS898" s="127"/>
    </row>
    <row r="899" spans="10:45" s="48" customFormat="1" hidden="1">
      <c r="J899" s="213"/>
      <c r="K899" s="213"/>
      <c r="L899" s="213"/>
      <c r="M899" s="213"/>
      <c r="N899" s="213"/>
      <c r="O899" s="213"/>
      <c r="P899" s="213"/>
      <c r="Q899" s="213"/>
      <c r="R899" s="213"/>
      <c r="S899" s="213"/>
      <c r="T899" s="213"/>
      <c r="U899" s="213"/>
      <c r="V899" s="213"/>
      <c r="W899" s="213"/>
      <c r="X899" s="213"/>
      <c r="Y899" s="213"/>
      <c r="Z899" s="213"/>
      <c r="AA899" s="213"/>
      <c r="AB899" s="213"/>
      <c r="AC899" s="213"/>
      <c r="AD899" s="213"/>
      <c r="AE899" s="213"/>
      <c r="AF899" s="213"/>
      <c r="AG899" s="213"/>
      <c r="AH899" s="213"/>
      <c r="AI899" s="213"/>
      <c r="AJ899" s="213"/>
      <c r="AK899" s="213"/>
      <c r="AL899" s="213"/>
      <c r="AM899" s="213"/>
      <c r="AN899" s="283"/>
      <c r="AO899" s="284"/>
      <c r="AP899" s="285"/>
      <c r="AQ899" s="258"/>
      <c r="AR899" s="258"/>
    </row>
    <row r="900" spans="10:45" s="48" customFormat="1" hidden="1">
      <c r="J900" s="213"/>
      <c r="K900" s="213"/>
      <c r="L900" s="213"/>
      <c r="M900" s="213"/>
      <c r="N900" s="213"/>
      <c r="O900" s="213"/>
      <c r="P900" s="213"/>
      <c r="Q900" s="213"/>
      <c r="R900" s="213"/>
      <c r="S900" s="213"/>
      <c r="T900" s="213"/>
      <c r="U900" s="213"/>
      <c r="V900" s="213"/>
      <c r="W900" s="213"/>
      <c r="X900" s="213"/>
      <c r="Y900" s="213"/>
      <c r="Z900" s="213"/>
      <c r="AA900" s="213"/>
      <c r="AB900" s="213"/>
      <c r="AC900" s="213"/>
      <c r="AD900" s="213"/>
      <c r="AE900" s="213"/>
      <c r="AF900" s="213"/>
      <c r="AG900" s="213"/>
      <c r="AH900" s="213"/>
      <c r="AI900" s="213"/>
      <c r="AJ900" s="213"/>
      <c r="AK900" s="213"/>
      <c r="AL900" s="213"/>
      <c r="AM900" s="213"/>
      <c r="AN900" s="283"/>
      <c r="AO900" s="284"/>
      <c r="AP900" s="285"/>
      <c r="AQ900" s="258"/>
      <c r="AR900" s="258"/>
    </row>
    <row r="901" spans="10:45" s="48" customFormat="1" hidden="1">
      <c r="J901" s="213"/>
      <c r="K901" s="213"/>
      <c r="L901" s="213"/>
      <c r="M901" s="213"/>
      <c r="N901" s="213"/>
      <c r="O901" s="213"/>
      <c r="P901" s="213"/>
      <c r="Q901" s="213"/>
      <c r="R901" s="213"/>
      <c r="S901" s="213"/>
      <c r="T901" s="213"/>
      <c r="U901" s="213"/>
      <c r="V901" s="213"/>
      <c r="W901" s="213"/>
      <c r="X901" s="213"/>
      <c r="Y901" s="213"/>
      <c r="Z901" s="213"/>
      <c r="AA901" s="213"/>
      <c r="AB901" s="213"/>
      <c r="AC901" s="213"/>
      <c r="AD901" s="213"/>
      <c r="AE901" s="213"/>
      <c r="AF901" s="213"/>
      <c r="AG901" s="213"/>
      <c r="AH901" s="213"/>
      <c r="AI901" s="213"/>
      <c r="AJ901" s="213"/>
      <c r="AK901" s="213"/>
      <c r="AL901" s="213"/>
      <c r="AM901" s="213"/>
      <c r="AN901" s="283"/>
      <c r="AO901" s="284"/>
      <c r="AP901" s="285"/>
      <c r="AQ901" s="258"/>
      <c r="AR901" s="258"/>
    </row>
    <row r="902" spans="10:45" s="48" customFormat="1" hidden="1">
      <c r="J902" s="213"/>
      <c r="K902" s="213"/>
      <c r="L902" s="213"/>
      <c r="M902" s="213"/>
      <c r="N902" s="213"/>
      <c r="O902" s="213"/>
      <c r="P902" s="213"/>
      <c r="Q902" s="213"/>
      <c r="R902" s="213"/>
      <c r="S902" s="213"/>
      <c r="T902" s="213"/>
      <c r="U902" s="213"/>
      <c r="V902" s="213"/>
      <c r="W902" s="213"/>
      <c r="X902" s="213"/>
      <c r="Y902" s="213"/>
      <c r="Z902" s="213"/>
      <c r="AA902" s="213"/>
      <c r="AB902" s="213"/>
      <c r="AC902" s="213"/>
      <c r="AD902" s="213"/>
      <c r="AE902" s="213"/>
      <c r="AF902" s="213"/>
      <c r="AG902" s="213"/>
      <c r="AH902" s="213"/>
      <c r="AI902" s="213"/>
      <c r="AJ902" s="213"/>
      <c r="AK902" s="213"/>
      <c r="AL902" s="213"/>
      <c r="AM902" s="213"/>
      <c r="AN902" s="283"/>
      <c r="AO902" s="284"/>
      <c r="AP902" s="285"/>
      <c r="AQ902" s="258"/>
      <c r="AR902" s="258"/>
    </row>
    <row r="903" spans="10:45" s="48" customFormat="1" hidden="1">
      <c r="J903" s="213"/>
      <c r="K903" s="213"/>
      <c r="L903" s="213"/>
      <c r="M903" s="213"/>
      <c r="N903" s="213"/>
      <c r="O903" s="213"/>
      <c r="P903" s="213"/>
      <c r="Q903" s="213"/>
      <c r="R903" s="213"/>
      <c r="S903" s="213"/>
      <c r="T903" s="213"/>
      <c r="U903" s="213"/>
      <c r="V903" s="213"/>
      <c r="W903" s="213"/>
      <c r="X903" s="213"/>
      <c r="Y903" s="213"/>
      <c r="Z903" s="213"/>
      <c r="AA903" s="213"/>
      <c r="AB903" s="213"/>
      <c r="AC903" s="213"/>
      <c r="AD903" s="213"/>
      <c r="AE903" s="213"/>
      <c r="AF903" s="213"/>
      <c r="AG903" s="213"/>
      <c r="AH903" s="213"/>
      <c r="AI903" s="213"/>
      <c r="AJ903" s="213"/>
      <c r="AK903" s="213"/>
      <c r="AL903" s="213"/>
      <c r="AM903" s="213"/>
      <c r="AN903" s="283"/>
      <c r="AO903" s="284"/>
      <c r="AP903" s="285"/>
      <c r="AQ903" s="258"/>
      <c r="AR903" s="258"/>
    </row>
    <row r="904" spans="10:45" s="48" customFormat="1" hidden="1">
      <c r="J904" s="213"/>
      <c r="K904" s="213"/>
      <c r="L904" s="213"/>
      <c r="M904" s="213"/>
      <c r="N904" s="213"/>
      <c r="O904" s="213"/>
      <c r="P904" s="213"/>
      <c r="Q904" s="213"/>
      <c r="R904" s="213"/>
      <c r="S904" s="213"/>
      <c r="T904" s="213"/>
      <c r="U904" s="213"/>
      <c r="V904" s="213"/>
      <c r="W904" s="213"/>
      <c r="X904" s="213"/>
      <c r="Y904" s="213"/>
      <c r="Z904" s="213"/>
      <c r="AA904" s="213"/>
      <c r="AB904" s="213"/>
      <c r="AC904" s="213"/>
      <c r="AD904" s="213"/>
      <c r="AE904" s="213"/>
      <c r="AF904" s="213"/>
      <c r="AG904" s="213"/>
      <c r="AH904" s="213"/>
      <c r="AI904" s="213"/>
      <c r="AJ904" s="213"/>
      <c r="AK904" s="213"/>
      <c r="AL904" s="213"/>
      <c r="AM904" s="213"/>
      <c r="AN904" s="283"/>
      <c r="AO904" s="284"/>
      <c r="AP904" s="285"/>
      <c r="AQ904" s="258"/>
      <c r="AR904" s="258"/>
    </row>
    <row r="905" spans="10:45" s="48" customFormat="1" hidden="1">
      <c r="J905" s="213"/>
      <c r="K905" s="213"/>
      <c r="L905" s="213"/>
      <c r="M905" s="213"/>
      <c r="N905" s="213"/>
      <c r="O905" s="213"/>
      <c r="P905" s="213"/>
      <c r="Q905" s="213"/>
      <c r="R905" s="213"/>
      <c r="S905" s="213"/>
      <c r="T905" s="213"/>
      <c r="U905" s="213"/>
      <c r="V905" s="213"/>
      <c r="W905" s="213"/>
      <c r="X905" s="213"/>
      <c r="Y905" s="213"/>
      <c r="Z905" s="213"/>
      <c r="AA905" s="213"/>
      <c r="AB905" s="213"/>
      <c r="AC905" s="213"/>
      <c r="AD905" s="213"/>
      <c r="AE905" s="213"/>
      <c r="AF905" s="213"/>
      <c r="AG905" s="213"/>
      <c r="AH905" s="213"/>
      <c r="AI905" s="213"/>
      <c r="AJ905" s="213"/>
      <c r="AK905" s="213"/>
      <c r="AL905" s="213"/>
      <c r="AM905" s="213"/>
      <c r="AN905" s="283"/>
      <c r="AO905" s="284"/>
      <c r="AP905" s="285"/>
      <c r="AQ905" s="258"/>
      <c r="AR905" s="258"/>
    </row>
    <row r="906" spans="10:45" s="48" customFormat="1" hidden="1">
      <c r="J906" s="213"/>
      <c r="K906" s="213"/>
      <c r="L906" s="213"/>
      <c r="M906" s="213"/>
      <c r="N906" s="213"/>
      <c r="O906" s="213"/>
      <c r="P906" s="213"/>
      <c r="Q906" s="213"/>
      <c r="R906" s="213"/>
      <c r="S906" s="213"/>
      <c r="T906" s="213"/>
      <c r="U906" s="213"/>
      <c r="V906" s="213"/>
      <c r="W906" s="213"/>
      <c r="X906" s="213"/>
      <c r="Y906" s="213"/>
      <c r="Z906" s="213"/>
      <c r="AA906" s="213"/>
      <c r="AB906" s="213"/>
      <c r="AC906" s="213"/>
      <c r="AD906" s="213"/>
      <c r="AE906" s="213"/>
      <c r="AF906" s="213"/>
      <c r="AG906" s="213"/>
      <c r="AH906" s="213"/>
      <c r="AI906" s="213"/>
      <c r="AJ906" s="213"/>
      <c r="AK906" s="213"/>
      <c r="AL906" s="213"/>
      <c r="AM906" s="213"/>
      <c r="AN906" s="283"/>
      <c r="AO906" s="284"/>
      <c r="AP906" s="285"/>
      <c r="AQ906" s="258"/>
      <c r="AR906" s="258"/>
    </row>
    <row r="907" spans="10:45" s="48" customFormat="1" hidden="1">
      <c r="J907" s="213"/>
      <c r="K907" s="213"/>
      <c r="L907" s="213"/>
      <c r="M907" s="213"/>
      <c r="N907" s="213"/>
      <c r="O907" s="213"/>
      <c r="P907" s="213"/>
      <c r="Q907" s="213"/>
      <c r="R907" s="213"/>
      <c r="S907" s="213"/>
      <c r="T907" s="213"/>
      <c r="U907" s="213"/>
      <c r="V907" s="213"/>
      <c r="W907" s="213"/>
      <c r="X907" s="213"/>
      <c r="Y907" s="213"/>
      <c r="Z907" s="213"/>
      <c r="AA907" s="213"/>
      <c r="AB907" s="213"/>
      <c r="AC907" s="213"/>
      <c r="AD907" s="213"/>
      <c r="AE907" s="213"/>
      <c r="AF907" s="213"/>
      <c r="AG907" s="213"/>
      <c r="AH907" s="213"/>
      <c r="AI907" s="213"/>
      <c r="AJ907" s="213"/>
      <c r="AK907" s="213"/>
      <c r="AL907" s="213"/>
      <c r="AM907" s="213"/>
      <c r="AN907" s="283"/>
      <c r="AO907" s="284"/>
      <c r="AP907" s="285"/>
      <c r="AQ907" s="258"/>
      <c r="AR907" s="258"/>
    </row>
    <row r="908" spans="10:45" s="48" customFormat="1" hidden="1">
      <c r="J908" s="213"/>
      <c r="K908" s="213"/>
      <c r="L908" s="213"/>
      <c r="M908" s="213"/>
      <c r="N908" s="213"/>
      <c r="O908" s="213"/>
      <c r="P908" s="213"/>
      <c r="Q908" s="213"/>
      <c r="R908" s="213"/>
      <c r="S908" s="213"/>
      <c r="T908" s="213"/>
      <c r="U908" s="213"/>
      <c r="V908" s="213"/>
      <c r="W908" s="213"/>
      <c r="X908" s="213"/>
      <c r="Y908" s="213"/>
      <c r="Z908" s="213"/>
      <c r="AA908" s="213"/>
      <c r="AB908" s="213"/>
      <c r="AC908" s="213"/>
      <c r="AD908" s="213"/>
      <c r="AE908" s="213"/>
      <c r="AF908" s="213"/>
      <c r="AG908" s="213"/>
      <c r="AH908" s="213"/>
      <c r="AI908" s="213"/>
      <c r="AJ908" s="213"/>
      <c r="AK908" s="213"/>
      <c r="AL908" s="213"/>
      <c r="AM908" s="213"/>
      <c r="AN908" s="283"/>
      <c r="AO908" s="284"/>
      <c r="AP908" s="285"/>
      <c r="AQ908" s="258"/>
      <c r="AR908" s="258"/>
    </row>
    <row r="909" spans="10:45" s="48" customFormat="1" hidden="1">
      <c r="J909" s="213"/>
      <c r="K909" s="213"/>
      <c r="L909" s="213"/>
      <c r="M909" s="213"/>
      <c r="N909" s="213"/>
      <c r="O909" s="213"/>
      <c r="P909" s="213"/>
      <c r="Q909" s="213"/>
      <c r="R909" s="213"/>
      <c r="S909" s="213"/>
      <c r="T909" s="213"/>
      <c r="U909" s="213"/>
      <c r="V909" s="213"/>
      <c r="W909" s="213"/>
      <c r="X909" s="213"/>
      <c r="Y909" s="213"/>
      <c r="Z909" s="213"/>
      <c r="AA909" s="213"/>
      <c r="AB909" s="213"/>
      <c r="AC909" s="213"/>
      <c r="AD909" s="213"/>
      <c r="AE909" s="213"/>
      <c r="AF909" s="213"/>
      <c r="AG909" s="213"/>
      <c r="AH909" s="213"/>
      <c r="AI909" s="213"/>
      <c r="AJ909" s="213"/>
      <c r="AK909" s="213"/>
      <c r="AL909" s="213"/>
      <c r="AM909" s="213"/>
      <c r="AN909" s="283"/>
      <c r="AO909" s="284"/>
      <c r="AP909" s="285"/>
      <c r="AQ909" s="258"/>
      <c r="AR909" s="258"/>
    </row>
    <row r="910" spans="10:45" s="48" customFormat="1" hidden="1">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83"/>
      <c r="AO910" s="284"/>
      <c r="AP910" s="285"/>
      <c r="AQ910" s="258"/>
      <c r="AR910" s="258"/>
    </row>
    <row r="911" spans="10:45" s="48" customFormat="1" hidden="1">
      <c r="J911" s="213"/>
      <c r="K911" s="213"/>
      <c r="L911" s="213"/>
      <c r="M911" s="213"/>
      <c r="N911" s="213"/>
      <c r="O911" s="213"/>
      <c r="P911" s="213"/>
      <c r="Q911" s="213"/>
      <c r="R911" s="213"/>
      <c r="S911" s="213"/>
      <c r="T911" s="213"/>
      <c r="U911" s="213"/>
      <c r="V911" s="213"/>
      <c r="W911" s="213"/>
      <c r="X911" s="213"/>
      <c r="Y911" s="213"/>
      <c r="Z911" s="213"/>
      <c r="AA911" s="213"/>
      <c r="AB911" s="213"/>
      <c r="AC911" s="213"/>
      <c r="AD911" s="213"/>
      <c r="AE911" s="213"/>
      <c r="AF911" s="213"/>
      <c r="AG911" s="213"/>
      <c r="AH911" s="213"/>
      <c r="AI911" s="213"/>
      <c r="AJ911" s="213"/>
      <c r="AK911" s="213"/>
      <c r="AL911" s="213"/>
      <c r="AM911" s="213"/>
      <c r="AN911" s="283"/>
      <c r="AO911" s="284"/>
      <c r="AP911" s="285"/>
      <c r="AQ911" s="258"/>
      <c r="AR911" s="258"/>
    </row>
    <row r="912" spans="10:45" s="48" customFormat="1" hidden="1">
      <c r="J912" s="213"/>
      <c r="K912" s="213"/>
      <c r="L912" s="213"/>
      <c r="M912" s="213"/>
      <c r="N912" s="213"/>
      <c r="O912" s="213"/>
      <c r="P912" s="213"/>
      <c r="Q912" s="213"/>
      <c r="R912" s="213"/>
      <c r="S912" s="213"/>
      <c r="T912" s="213"/>
      <c r="U912" s="213"/>
      <c r="V912" s="213"/>
      <c r="W912" s="213"/>
      <c r="X912" s="213"/>
      <c r="Y912" s="213"/>
      <c r="Z912" s="213"/>
      <c r="AA912" s="213"/>
      <c r="AB912" s="213"/>
      <c r="AC912" s="213"/>
      <c r="AD912" s="213"/>
      <c r="AE912" s="213"/>
      <c r="AF912" s="213"/>
      <c r="AG912" s="213"/>
      <c r="AH912" s="213"/>
      <c r="AI912" s="213"/>
      <c r="AJ912" s="213"/>
      <c r="AK912" s="213"/>
      <c r="AL912" s="213"/>
      <c r="AM912" s="213"/>
      <c r="AN912" s="283"/>
      <c r="AO912" s="284"/>
      <c r="AP912" s="285"/>
      <c r="AQ912" s="258"/>
      <c r="AR912" s="258"/>
    </row>
    <row r="913" spans="10:44" s="48" customFormat="1" hidden="1">
      <c r="J913" s="213"/>
      <c r="K913" s="213"/>
      <c r="L913" s="213"/>
      <c r="M913" s="213"/>
      <c r="N913" s="213"/>
      <c r="O913" s="213"/>
      <c r="P913" s="213"/>
      <c r="Q913" s="213"/>
      <c r="R913" s="213"/>
      <c r="S913" s="213"/>
      <c r="T913" s="213"/>
      <c r="U913" s="213"/>
      <c r="V913" s="213"/>
      <c r="W913" s="213"/>
      <c r="X913" s="213"/>
      <c r="Y913" s="213"/>
      <c r="Z913" s="213"/>
      <c r="AA913" s="213"/>
      <c r="AB913" s="213"/>
      <c r="AC913" s="213"/>
      <c r="AD913" s="213"/>
      <c r="AE913" s="213"/>
      <c r="AF913" s="213"/>
      <c r="AG913" s="213"/>
      <c r="AH913" s="213"/>
      <c r="AI913" s="213"/>
      <c r="AJ913" s="213"/>
      <c r="AK913" s="213"/>
      <c r="AL913" s="213"/>
      <c r="AM913" s="213"/>
      <c r="AN913" s="283"/>
      <c r="AO913" s="284"/>
      <c r="AP913" s="285"/>
      <c r="AQ913" s="258"/>
      <c r="AR913" s="258"/>
    </row>
    <row r="914" spans="10:44" s="48" customFormat="1" hidden="1">
      <c r="J914" s="213"/>
      <c r="K914" s="213"/>
      <c r="L914" s="213"/>
      <c r="M914" s="213"/>
      <c r="N914" s="213"/>
      <c r="O914" s="213"/>
      <c r="P914" s="213"/>
      <c r="Q914" s="213"/>
      <c r="R914" s="213"/>
      <c r="S914" s="213"/>
      <c r="T914" s="213"/>
      <c r="U914" s="213"/>
      <c r="V914" s="213"/>
      <c r="W914" s="213"/>
      <c r="X914" s="213"/>
      <c r="Y914" s="213"/>
      <c r="Z914" s="213"/>
      <c r="AA914" s="213"/>
      <c r="AB914" s="213"/>
      <c r="AC914" s="213"/>
      <c r="AD914" s="213"/>
      <c r="AE914" s="213"/>
      <c r="AF914" s="213"/>
      <c r="AG914" s="213"/>
      <c r="AH914" s="213"/>
      <c r="AI914" s="213"/>
      <c r="AJ914" s="213"/>
      <c r="AK914" s="213"/>
      <c r="AL914" s="213"/>
      <c r="AM914" s="213"/>
      <c r="AN914" s="283"/>
      <c r="AO914" s="284"/>
      <c r="AP914" s="285"/>
      <c r="AQ914" s="258"/>
      <c r="AR914" s="258"/>
    </row>
    <row r="915" spans="10:44" s="48" customFormat="1" hidden="1">
      <c r="J915" s="213"/>
      <c r="K915" s="213"/>
      <c r="L915" s="213"/>
      <c r="M915" s="213"/>
      <c r="N915" s="213"/>
      <c r="O915" s="213"/>
      <c r="P915" s="213"/>
      <c r="Q915" s="213"/>
      <c r="R915" s="213"/>
      <c r="S915" s="213"/>
      <c r="T915" s="213"/>
      <c r="U915" s="213"/>
      <c r="V915" s="213"/>
      <c r="W915" s="213"/>
      <c r="X915" s="213"/>
      <c r="Y915" s="213"/>
      <c r="Z915" s="213"/>
      <c r="AA915" s="213"/>
      <c r="AB915" s="213"/>
      <c r="AC915" s="213"/>
      <c r="AD915" s="213"/>
      <c r="AE915" s="213"/>
      <c r="AF915" s="213"/>
      <c r="AG915" s="213"/>
      <c r="AH915" s="213"/>
      <c r="AI915" s="213"/>
      <c r="AJ915" s="213"/>
      <c r="AK915" s="213"/>
      <c r="AL915" s="213"/>
      <c r="AM915" s="213"/>
      <c r="AN915" s="283"/>
      <c r="AO915" s="284"/>
      <c r="AP915" s="285"/>
      <c r="AQ915" s="258"/>
      <c r="AR915" s="258"/>
    </row>
    <row r="916" spans="10:44" s="48" customFormat="1" hidden="1">
      <c r="J916" s="213"/>
      <c r="K916" s="213"/>
      <c r="L916" s="213"/>
      <c r="M916" s="213"/>
      <c r="N916" s="213"/>
      <c r="O916" s="213"/>
      <c r="P916" s="213"/>
      <c r="Q916" s="213"/>
      <c r="R916" s="213"/>
      <c r="S916" s="213"/>
      <c r="T916" s="213"/>
      <c r="U916" s="213"/>
      <c r="V916" s="213"/>
      <c r="W916" s="213"/>
      <c r="X916" s="213"/>
      <c r="Y916" s="213"/>
      <c r="Z916" s="213"/>
      <c r="AA916" s="213"/>
      <c r="AB916" s="213"/>
      <c r="AC916" s="213"/>
      <c r="AD916" s="213"/>
      <c r="AE916" s="213"/>
      <c r="AF916" s="213"/>
      <c r="AG916" s="213"/>
      <c r="AH916" s="213"/>
      <c r="AI916" s="213"/>
      <c r="AJ916" s="213"/>
      <c r="AK916" s="213"/>
      <c r="AL916" s="213"/>
      <c r="AM916" s="213"/>
      <c r="AN916" s="283"/>
      <c r="AO916" s="284"/>
      <c r="AP916" s="285"/>
      <c r="AQ916" s="258"/>
      <c r="AR916" s="258"/>
    </row>
    <row r="917" spans="10:44" s="48" customFormat="1" hidden="1">
      <c r="J917" s="213"/>
      <c r="K917" s="213"/>
      <c r="L917" s="213"/>
      <c r="M917" s="213"/>
      <c r="N917" s="213"/>
      <c r="O917" s="213"/>
      <c r="P917" s="213"/>
      <c r="Q917" s="213"/>
      <c r="R917" s="213"/>
      <c r="S917" s="213"/>
      <c r="T917" s="213"/>
      <c r="U917" s="213"/>
      <c r="V917" s="213"/>
      <c r="W917" s="213"/>
      <c r="X917" s="213"/>
      <c r="Y917" s="213"/>
      <c r="Z917" s="213"/>
      <c r="AA917" s="213"/>
      <c r="AB917" s="213"/>
      <c r="AC917" s="213"/>
      <c r="AD917" s="213"/>
      <c r="AE917" s="213"/>
      <c r="AF917" s="213"/>
      <c r="AG917" s="213"/>
      <c r="AH917" s="213"/>
      <c r="AI917" s="213"/>
      <c r="AJ917" s="213"/>
      <c r="AK917" s="213"/>
      <c r="AL917" s="213"/>
      <c r="AM917" s="213"/>
      <c r="AN917" s="283"/>
      <c r="AO917" s="284"/>
      <c r="AP917" s="285"/>
      <c r="AQ917" s="258"/>
      <c r="AR917" s="258"/>
    </row>
    <row r="918" spans="10:44" s="48" customFormat="1" ht="12" hidden="1" customHeight="1">
      <c r="J918" s="213"/>
      <c r="K918" s="213"/>
      <c r="L918" s="213"/>
      <c r="M918" s="213"/>
      <c r="N918" s="213"/>
      <c r="O918" s="213"/>
      <c r="P918" s="213"/>
      <c r="Q918" s="213"/>
      <c r="R918" s="213"/>
      <c r="S918" s="213"/>
      <c r="T918" s="213"/>
      <c r="U918" s="213"/>
      <c r="V918" s="213"/>
      <c r="W918" s="213"/>
      <c r="X918" s="213"/>
      <c r="Y918" s="213"/>
      <c r="Z918" s="213"/>
      <c r="AA918" s="213"/>
      <c r="AB918" s="213"/>
      <c r="AC918" s="213"/>
      <c r="AD918" s="213"/>
      <c r="AE918" s="213"/>
      <c r="AF918" s="213"/>
      <c r="AG918" s="213"/>
      <c r="AH918" s="213"/>
      <c r="AI918" s="213"/>
      <c r="AJ918" s="213"/>
      <c r="AK918" s="213"/>
      <c r="AL918" s="213"/>
      <c r="AM918" s="213"/>
      <c r="AN918" s="283"/>
      <c r="AO918" s="284"/>
      <c r="AP918" s="285"/>
      <c r="AQ918" s="258"/>
      <c r="AR918" s="258"/>
    </row>
    <row r="919" spans="10:44" s="48" customFormat="1" ht="12" hidden="1" customHeight="1">
      <c r="J919" s="213"/>
      <c r="K919" s="213"/>
      <c r="L919" s="213"/>
      <c r="M919" s="213"/>
      <c r="N919" s="213"/>
      <c r="O919" s="213"/>
      <c r="P919" s="213"/>
      <c r="Q919" s="213"/>
      <c r="R919" s="213"/>
      <c r="S919" s="213"/>
      <c r="T919" s="213"/>
      <c r="U919" s="213"/>
      <c r="V919" s="213"/>
      <c r="W919" s="213"/>
      <c r="X919" s="213"/>
      <c r="Y919" s="213"/>
      <c r="Z919" s="213"/>
      <c r="AA919" s="213"/>
      <c r="AB919" s="213"/>
      <c r="AC919" s="213"/>
      <c r="AD919" s="213"/>
      <c r="AE919" s="213"/>
      <c r="AF919" s="213"/>
      <c r="AG919" s="213"/>
      <c r="AH919" s="213"/>
      <c r="AI919" s="213"/>
      <c r="AJ919" s="213"/>
      <c r="AK919" s="213"/>
      <c r="AL919" s="213"/>
      <c r="AM919" s="213"/>
      <c r="AN919" s="283"/>
      <c r="AO919" s="284"/>
      <c r="AP919" s="285"/>
      <c r="AQ919" s="258"/>
      <c r="AR919" s="258"/>
    </row>
    <row r="920" spans="10:44" s="48" customFormat="1" ht="12" hidden="1" customHeight="1">
      <c r="J920" s="213"/>
      <c r="K920" s="213"/>
      <c r="L920" s="213"/>
      <c r="M920" s="213"/>
      <c r="N920" s="213"/>
      <c r="O920" s="213"/>
      <c r="P920" s="213"/>
      <c r="Q920" s="213"/>
      <c r="R920" s="213"/>
      <c r="S920" s="213"/>
      <c r="T920" s="213"/>
      <c r="U920" s="213"/>
      <c r="V920" s="213"/>
      <c r="W920" s="213"/>
      <c r="X920" s="213"/>
      <c r="Y920" s="213"/>
      <c r="Z920" s="213"/>
      <c r="AA920" s="213"/>
      <c r="AB920" s="213"/>
      <c r="AC920" s="213"/>
      <c r="AD920" s="213"/>
      <c r="AE920" s="213"/>
      <c r="AF920" s="213"/>
      <c r="AG920" s="213"/>
      <c r="AH920" s="213"/>
      <c r="AI920" s="213"/>
      <c r="AJ920" s="213"/>
      <c r="AK920" s="213"/>
      <c r="AL920" s="213"/>
      <c r="AM920" s="213"/>
      <c r="AN920" s="283"/>
      <c r="AO920" s="284"/>
      <c r="AP920" s="285"/>
      <c r="AQ920" s="258"/>
      <c r="AR920" s="258"/>
    </row>
    <row r="921" spans="10:44" s="48" customFormat="1" ht="12" hidden="1" customHeight="1">
      <c r="J921" s="213"/>
      <c r="K921" s="213"/>
      <c r="L921" s="213"/>
      <c r="M921" s="213"/>
      <c r="N921" s="213"/>
      <c r="O921" s="213"/>
      <c r="P921" s="213"/>
      <c r="Q921" s="213"/>
      <c r="R921" s="213"/>
      <c r="S921" s="213"/>
      <c r="T921" s="213"/>
      <c r="U921" s="213"/>
      <c r="V921" s="213"/>
      <c r="W921" s="213"/>
      <c r="X921" s="213"/>
      <c r="Y921" s="213"/>
      <c r="Z921" s="213"/>
      <c r="AA921" s="213"/>
      <c r="AB921" s="213"/>
      <c r="AC921" s="213"/>
      <c r="AD921" s="213"/>
      <c r="AE921" s="213"/>
      <c r="AF921" s="213"/>
      <c r="AG921" s="213"/>
      <c r="AH921" s="213"/>
      <c r="AI921" s="213"/>
      <c r="AJ921" s="213"/>
      <c r="AK921" s="213"/>
      <c r="AL921" s="213"/>
      <c r="AM921" s="213"/>
      <c r="AN921" s="283"/>
      <c r="AO921" s="284"/>
      <c r="AP921" s="285"/>
      <c r="AQ921" s="258"/>
      <c r="AR921" s="258"/>
    </row>
    <row r="922" spans="10:44" s="48" customFormat="1" ht="12" hidden="1" customHeight="1">
      <c r="J922" s="213"/>
      <c r="K922" s="213"/>
      <c r="L922" s="213"/>
      <c r="M922" s="213"/>
      <c r="N922" s="213"/>
      <c r="O922" s="213"/>
      <c r="P922" s="213"/>
      <c r="Q922" s="213"/>
      <c r="R922" s="213"/>
      <c r="S922" s="213"/>
      <c r="T922" s="213"/>
      <c r="U922" s="213"/>
      <c r="V922" s="213"/>
      <c r="W922" s="213"/>
      <c r="X922" s="213"/>
      <c r="Y922" s="213"/>
      <c r="Z922" s="213"/>
      <c r="AA922" s="213"/>
      <c r="AB922" s="213"/>
      <c r="AC922" s="213"/>
      <c r="AD922" s="213"/>
      <c r="AE922" s="213"/>
      <c r="AF922" s="213"/>
      <c r="AG922" s="213"/>
      <c r="AH922" s="213"/>
      <c r="AI922" s="213"/>
      <c r="AJ922" s="213"/>
      <c r="AK922" s="213"/>
      <c r="AL922" s="213"/>
      <c r="AM922" s="213"/>
      <c r="AN922" s="283"/>
      <c r="AO922" s="284"/>
      <c r="AP922" s="285"/>
      <c r="AQ922" s="258"/>
      <c r="AR922" s="258"/>
    </row>
    <row r="923" spans="10:44" s="48" customFormat="1" ht="12" hidden="1" customHeight="1">
      <c r="J923" s="213"/>
      <c r="K923" s="213"/>
      <c r="L923" s="213"/>
      <c r="M923" s="213"/>
      <c r="N923" s="213"/>
      <c r="O923" s="213"/>
      <c r="P923" s="213"/>
      <c r="Q923" s="213"/>
      <c r="R923" s="213"/>
      <c r="S923" s="213"/>
      <c r="T923" s="213"/>
      <c r="U923" s="213"/>
      <c r="V923" s="213"/>
      <c r="W923" s="213"/>
      <c r="X923" s="213"/>
      <c r="Y923" s="213"/>
      <c r="Z923" s="213"/>
      <c r="AA923" s="213"/>
      <c r="AB923" s="213"/>
      <c r="AC923" s="213"/>
      <c r="AD923" s="213"/>
      <c r="AE923" s="213"/>
      <c r="AF923" s="213"/>
      <c r="AG923" s="213"/>
      <c r="AH923" s="213"/>
      <c r="AI923" s="213"/>
      <c r="AJ923" s="213"/>
      <c r="AK923" s="213"/>
      <c r="AL923" s="213"/>
      <c r="AM923" s="213"/>
      <c r="AN923" s="283"/>
      <c r="AO923" s="284"/>
      <c r="AP923" s="285"/>
      <c r="AQ923" s="258"/>
      <c r="AR923" s="258"/>
    </row>
    <row r="924" spans="10:44" s="48" customFormat="1" ht="12" hidden="1" customHeight="1">
      <c r="J924" s="213"/>
      <c r="K924" s="213"/>
      <c r="L924" s="213"/>
      <c r="M924" s="213"/>
      <c r="N924" s="213"/>
      <c r="O924" s="213"/>
      <c r="P924" s="213"/>
      <c r="Q924" s="213"/>
      <c r="R924" s="213"/>
      <c r="S924" s="213"/>
      <c r="T924" s="213"/>
      <c r="U924" s="213"/>
      <c r="V924" s="213"/>
      <c r="W924" s="213"/>
      <c r="X924" s="213"/>
      <c r="Y924" s="213"/>
      <c r="Z924" s="213"/>
      <c r="AA924" s="213"/>
      <c r="AB924" s="213"/>
      <c r="AC924" s="213"/>
      <c r="AD924" s="213"/>
      <c r="AE924" s="213"/>
      <c r="AF924" s="213"/>
      <c r="AG924" s="213"/>
      <c r="AH924" s="213"/>
      <c r="AI924" s="213"/>
      <c r="AJ924" s="213"/>
      <c r="AK924" s="213"/>
      <c r="AL924" s="213"/>
      <c r="AM924" s="213"/>
      <c r="AN924" s="283"/>
      <c r="AO924" s="284"/>
      <c r="AP924" s="285"/>
      <c r="AQ924" s="258"/>
      <c r="AR924" s="258"/>
    </row>
    <row r="925" spans="10:44" s="48" customFormat="1" ht="12" hidden="1" customHeight="1">
      <c r="J925" s="213"/>
      <c r="K925" s="213"/>
      <c r="L925" s="213"/>
      <c r="M925" s="213"/>
      <c r="N925" s="213"/>
      <c r="O925" s="213"/>
      <c r="P925" s="213"/>
      <c r="Q925" s="213"/>
      <c r="R925" s="213"/>
      <c r="S925" s="213"/>
      <c r="T925" s="213"/>
      <c r="U925" s="213"/>
      <c r="V925" s="213"/>
      <c r="W925" s="213"/>
      <c r="X925" s="213"/>
      <c r="Y925" s="213"/>
      <c r="Z925" s="213"/>
      <c r="AA925" s="213"/>
      <c r="AB925" s="213"/>
      <c r="AC925" s="213"/>
      <c r="AD925" s="213"/>
      <c r="AE925" s="213"/>
      <c r="AF925" s="213"/>
      <c r="AG925" s="213"/>
      <c r="AH925" s="213"/>
      <c r="AI925" s="213"/>
      <c r="AJ925" s="213"/>
      <c r="AK925" s="213"/>
      <c r="AL925" s="213"/>
      <c r="AM925" s="213"/>
      <c r="AN925" s="283"/>
      <c r="AO925" s="284"/>
      <c r="AP925" s="285"/>
      <c r="AQ925" s="258"/>
      <c r="AR925" s="258"/>
    </row>
    <row r="926" spans="10:44" s="48" customFormat="1" ht="12" hidden="1" customHeight="1">
      <c r="J926" s="213"/>
      <c r="K926" s="213"/>
      <c r="L926" s="213"/>
      <c r="M926" s="213"/>
      <c r="N926" s="213"/>
      <c r="O926" s="213"/>
      <c r="P926" s="213"/>
      <c r="Q926" s="213"/>
      <c r="R926" s="213"/>
      <c r="S926" s="213"/>
      <c r="T926" s="213"/>
      <c r="U926" s="213"/>
      <c r="V926" s="213"/>
      <c r="W926" s="213"/>
      <c r="X926" s="213"/>
      <c r="Y926" s="213"/>
      <c r="Z926" s="213"/>
      <c r="AA926" s="213"/>
      <c r="AB926" s="213"/>
      <c r="AC926" s="213"/>
      <c r="AD926" s="213"/>
      <c r="AE926" s="213"/>
      <c r="AF926" s="213"/>
      <c r="AG926" s="213"/>
      <c r="AH926" s="213"/>
      <c r="AI926" s="213"/>
      <c r="AJ926" s="213"/>
      <c r="AK926" s="213"/>
      <c r="AL926" s="213"/>
      <c r="AM926" s="213"/>
      <c r="AN926" s="302"/>
      <c r="AO926" s="303"/>
      <c r="AP926" s="285"/>
      <c r="AQ926" s="258"/>
      <c r="AR926" s="258"/>
    </row>
    <row r="927" spans="10:44" s="48" customFormat="1" ht="12" hidden="1" customHeight="1">
      <c r="J927" s="213"/>
      <c r="K927" s="213"/>
      <c r="L927" s="213"/>
      <c r="M927" s="213"/>
      <c r="N927" s="213"/>
      <c r="O927" s="213"/>
      <c r="P927" s="213"/>
      <c r="Q927" s="213"/>
      <c r="R927" s="213"/>
      <c r="S927" s="213"/>
      <c r="T927" s="213"/>
      <c r="U927" s="213"/>
      <c r="V927" s="213"/>
      <c r="W927" s="213"/>
      <c r="X927" s="213"/>
      <c r="Y927" s="213"/>
      <c r="Z927" s="213"/>
      <c r="AA927" s="213"/>
      <c r="AB927" s="213"/>
      <c r="AC927" s="213"/>
      <c r="AD927" s="213"/>
      <c r="AE927" s="213"/>
      <c r="AF927" s="213"/>
      <c r="AG927" s="213"/>
      <c r="AH927" s="213"/>
      <c r="AI927" s="213"/>
      <c r="AJ927" s="213"/>
      <c r="AK927" s="213"/>
      <c r="AL927" s="213"/>
      <c r="AM927" s="213"/>
      <c r="AN927" s="302"/>
      <c r="AO927" s="303"/>
      <c r="AP927" s="285"/>
      <c r="AQ927" s="258"/>
      <c r="AR927" s="258"/>
    </row>
    <row r="928" spans="10:44" s="48" customFormat="1" ht="12" hidden="1" customHeight="1">
      <c r="J928" s="213"/>
      <c r="K928" s="213"/>
      <c r="L928" s="213"/>
      <c r="M928" s="213"/>
      <c r="N928" s="213"/>
      <c r="O928" s="213"/>
      <c r="P928" s="213"/>
      <c r="Q928" s="213"/>
      <c r="R928" s="213"/>
      <c r="S928" s="213"/>
      <c r="T928" s="213"/>
      <c r="U928" s="213"/>
      <c r="V928" s="213"/>
      <c r="W928" s="213"/>
      <c r="X928" s="213"/>
      <c r="Y928" s="213"/>
      <c r="Z928" s="213"/>
      <c r="AA928" s="213"/>
      <c r="AB928" s="213"/>
      <c r="AC928" s="213"/>
      <c r="AD928" s="213"/>
      <c r="AE928" s="213"/>
      <c r="AF928" s="213"/>
      <c r="AG928" s="213"/>
      <c r="AH928" s="213"/>
      <c r="AI928" s="213"/>
      <c r="AJ928" s="213"/>
      <c r="AK928" s="213"/>
      <c r="AL928" s="213"/>
      <c r="AM928" s="213"/>
      <c r="AN928" s="302"/>
      <c r="AO928" s="303"/>
      <c r="AP928" s="285"/>
      <c r="AQ928" s="258"/>
      <c r="AR928" s="258"/>
    </row>
    <row r="929" spans="10:44" s="48" customFormat="1" ht="12" hidden="1" customHeight="1">
      <c r="J929" s="213"/>
      <c r="K929" s="213"/>
      <c r="L929" s="213"/>
      <c r="M929" s="213"/>
      <c r="N929" s="213"/>
      <c r="O929" s="213"/>
      <c r="P929" s="213"/>
      <c r="Q929" s="213"/>
      <c r="R929" s="213"/>
      <c r="S929" s="213"/>
      <c r="T929" s="213"/>
      <c r="U929" s="213"/>
      <c r="V929" s="213"/>
      <c r="W929" s="213"/>
      <c r="X929" s="213"/>
      <c r="Y929" s="213"/>
      <c r="Z929" s="213"/>
      <c r="AA929" s="213"/>
      <c r="AB929" s="213"/>
      <c r="AC929" s="213"/>
      <c r="AD929" s="213"/>
      <c r="AE929" s="213"/>
      <c r="AF929" s="213"/>
      <c r="AG929" s="213"/>
      <c r="AH929" s="213"/>
      <c r="AI929" s="213"/>
      <c r="AJ929" s="213"/>
      <c r="AK929" s="213"/>
      <c r="AL929" s="213"/>
      <c r="AM929" s="213"/>
      <c r="AN929" s="302"/>
      <c r="AO929" s="303"/>
      <c r="AP929" s="285"/>
      <c r="AQ929" s="258"/>
      <c r="AR929" s="258"/>
    </row>
    <row r="930" spans="10:44" s="48" customFormat="1" ht="12" hidden="1" customHeight="1">
      <c r="J930" s="213"/>
      <c r="K930" s="213"/>
      <c r="L930" s="213"/>
      <c r="M930" s="213"/>
      <c r="N930" s="213"/>
      <c r="O930" s="213"/>
      <c r="P930" s="213"/>
      <c r="Q930" s="213"/>
      <c r="R930" s="213"/>
      <c r="S930" s="213"/>
      <c r="T930" s="213"/>
      <c r="U930" s="213"/>
      <c r="V930" s="213"/>
      <c r="W930" s="213"/>
      <c r="X930" s="213"/>
      <c r="Y930" s="213"/>
      <c r="Z930" s="213"/>
      <c r="AA930" s="213"/>
      <c r="AB930" s="213"/>
      <c r="AC930" s="213"/>
      <c r="AD930" s="213"/>
      <c r="AE930" s="213"/>
      <c r="AF930" s="213"/>
      <c r="AG930" s="213"/>
      <c r="AH930" s="213"/>
      <c r="AI930" s="213"/>
      <c r="AJ930" s="213"/>
      <c r="AK930" s="213"/>
      <c r="AL930" s="213"/>
      <c r="AM930" s="213"/>
      <c r="AN930" s="302"/>
      <c r="AO930" s="303"/>
      <c r="AP930" s="285"/>
      <c r="AQ930" s="258"/>
      <c r="AR930" s="258"/>
    </row>
    <row r="931" spans="10:44" s="48" customFormat="1" ht="12" hidden="1" customHeight="1">
      <c r="J931" s="213"/>
      <c r="K931" s="213"/>
      <c r="L931" s="213"/>
      <c r="M931" s="213"/>
      <c r="N931" s="213"/>
      <c r="O931" s="213"/>
      <c r="P931" s="213"/>
      <c r="Q931" s="213"/>
      <c r="R931" s="213"/>
      <c r="S931" s="213"/>
      <c r="T931" s="213"/>
      <c r="U931" s="213"/>
      <c r="V931" s="213"/>
      <c r="W931" s="213"/>
      <c r="X931" s="213"/>
      <c r="Y931" s="213"/>
      <c r="Z931" s="213"/>
      <c r="AA931" s="213"/>
      <c r="AB931" s="213"/>
      <c r="AC931" s="213"/>
      <c r="AD931" s="213"/>
      <c r="AE931" s="213"/>
      <c r="AF931" s="213"/>
      <c r="AG931" s="213"/>
      <c r="AH931" s="213"/>
      <c r="AI931" s="213"/>
      <c r="AJ931" s="213"/>
      <c r="AK931" s="213"/>
      <c r="AL931" s="213"/>
      <c r="AM931" s="213"/>
      <c r="AN931" s="302"/>
      <c r="AO931" s="303"/>
      <c r="AP931" s="285"/>
      <c r="AQ931" s="258"/>
      <c r="AR931" s="258"/>
    </row>
    <row r="932" spans="10:44" s="48" customFormat="1" ht="12" hidden="1" customHeight="1">
      <c r="J932" s="213"/>
      <c r="K932" s="213"/>
      <c r="L932" s="213"/>
      <c r="M932" s="213"/>
      <c r="N932" s="213"/>
      <c r="O932" s="213"/>
      <c r="P932" s="213"/>
      <c r="Q932" s="213"/>
      <c r="R932" s="213"/>
      <c r="S932" s="213"/>
      <c r="T932" s="213"/>
      <c r="U932" s="213"/>
      <c r="V932" s="213"/>
      <c r="W932" s="213"/>
      <c r="X932" s="213"/>
      <c r="Y932" s="213"/>
      <c r="Z932" s="213"/>
      <c r="AA932" s="213"/>
      <c r="AB932" s="213"/>
      <c r="AC932" s="213"/>
      <c r="AD932" s="213"/>
      <c r="AE932" s="213"/>
      <c r="AF932" s="213"/>
      <c r="AG932" s="213"/>
      <c r="AH932" s="213"/>
      <c r="AI932" s="213"/>
      <c r="AJ932" s="213"/>
      <c r="AK932" s="213"/>
      <c r="AL932" s="213"/>
      <c r="AM932" s="213"/>
      <c r="AN932" s="302"/>
      <c r="AO932" s="303"/>
      <c r="AP932" s="285"/>
      <c r="AQ932" s="258"/>
      <c r="AR932" s="258"/>
    </row>
    <row r="933" spans="10:44" s="48" customFormat="1" ht="12" hidden="1" customHeight="1">
      <c r="J933" s="213"/>
      <c r="K933" s="213"/>
      <c r="L933" s="213"/>
      <c r="M933" s="213"/>
      <c r="N933" s="213"/>
      <c r="O933" s="213"/>
      <c r="P933" s="213"/>
      <c r="Q933" s="213"/>
      <c r="R933" s="213"/>
      <c r="S933" s="213"/>
      <c r="T933" s="213"/>
      <c r="U933" s="213"/>
      <c r="V933" s="213"/>
      <c r="W933" s="213"/>
      <c r="X933" s="213"/>
      <c r="Y933" s="213"/>
      <c r="Z933" s="213"/>
      <c r="AA933" s="213"/>
      <c r="AB933" s="213"/>
      <c r="AC933" s="213"/>
      <c r="AD933" s="213"/>
      <c r="AE933" s="213"/>
      <c r="AF933" s="213"/>
      <c r="AG933" s="213"/>
      <c r="AH933" s="213"/>
      <c r="AI933" s="213"/>
      <c r="AJ933" s="213"/>
      <c r="AK933" s="213"/>
      <c r="AL933" s="213"/>
      <c r="AM933" s="213"/>
      <c r="AN933" s="302"/>
      <c r="AO933" s="303"/>
      <c r="AP933" s="285"/>
      <c r="AQ933" s="258"/>
      <c r="AR933" s="258"/>
    </row>
    <row r="934" spans="10:44" s="48" customFormat="1" ht="12" hidden="1" customHeight="1">
      <c r="J934" s="213"/>
      <c r="K934" s="213"/>
      <c r="L934" s="213"/>
      <c r="M934" s="213"/>
      <c r="N934" s="213"/>
      <c r="O934" s="213"/>
      <c r="P934" s="213"/>
      <c r="Q934" s="213"/>
      <c r="R934" s="213"/>
      <c r="S934" s="213"/>
      <c r="T934" s="213"/>
      <c r="U934" s="213"/>
      <c r="V934" s="213"/>
      <c r="W934" s="213"/>
      <c r="X934" s="213"/>
      <c r="Y934" s="213"/>
      <c r="Z934" s="213"/>
      <c r="AA934" s="213"/>
      <c r="AB934" s="213"/>
      <c r="AC934" s="213"/>
      <c r="AD934" s="213"/>
      <c r="AE934" s="213"/>
      <c r="AF934" s="213"/>
      <c r="AG934" s="213"/>
      <c r="AH934" s="213"/>
      <c r="AI934" s="213"/>
      <c r="AJ934" s="213"/>
      <c r="AK934" s="213"/>
      <c r="AL934" s="213"/>
      <c r="AM934" s="213"/>
      <c r="AN934" s="302"/>
      <c r="AO934" s="303"/>
      <c r="AP934" s="285"/>
      <c r="AQ934" s="258"/>
      <c r="AR934" s="258"/>
    </row>
    <row r="935" spans="10:44" s="48" customFormat="1" ht="12" hidden="1" customHeight="1">
      <c r="J935" s="213"/>
      <c r="K935" s="213"/>
      <c r="L935" s="213"/>
      <c r="M935" s="213"/>
      <c r="N935" s="213"/>
      <c r="O935" s="213"/>
      <c r="P935" s="213"/>
      <c r="Q935" s="213"/>
      <c r="R935" s="213"/>
      <c r="S935" s="213"/>
      <c r="T935" s="213"/>
      <c r="U935" s="213"/>
      <c r="V935" s="213"/>
      <c r="W935" s="213"/>
      <c r="X935" s="213"/>
      <c r="Y935" s="213"/>
      <c r="Z935" s="213"/>
      <c r="AA935" s="213"/>
      <c r="AB935" s="213"/>
      <c r="AC935" s="213"/>
      <c r="AD935" s="213"/>
      <c r="AE935" s="213"/>
      <c r="AF935" s="213"/>
      <c r="AG935" s="213"/>
      <c r="AH935" s="213"/>
      <c r="AI935" s="213"/>
      <c r="AJ935" s="213"/>
      <c r="AK935" s="213"/>
      <c r="AL935" s="213"/>
      <c r="AM935" s="213"/>
      <c r="AN935" s="302"/>
      <c r="AO935" s="303"/>
      <c r="AP935" s="285"/>
      <c r="AQ935" s="258"/>
      <c r="AR935" s="258"/>
    </row>
    <row r="936" spans="10:44" s="48" customFormat="1" ht="12" hidden="1" customHeight="1">
      <c r="J936" s="213"/>
      <c r="K936" s="213"/>
      <c r="L936" s="213"/>
      <c r="M936" s="213"/>
      <c r="N936" s="213"/>
      <c r="O936" s="213"/>
      <c r="P936" s="213"/>
      <c r="Q936" s="213"/>
      <c r="R936" s="213"/>
      <c r="S936" s="213"/>
      <c r="T936" s="213"/>
      <c r="U936" s="213"/>
      <c r="V936" s="213"/>
      <c r="W936" s="213"/>
      <c r="X936" s="213"/>
      <c r="Y936" s="213"/>
      <c r="Z936" s="213"/>
      <c r="AA936" s="213"/>
      <c r="AB936" s="213"/>
      <c r="AC936" s="213"/>
      <c r="AD936" s="213"/>
      <c r="AE936" s="213"/>
      <c r="AF936" s="213"/>
      <c r="AG936" s="213"/>
      <c r="AH936" s="213"/>
      <c r="AI936" s="213"/>
      <c r="AJ936" s="213"/>
      <c r="AK936" s="213"/>
      <c r="AL936" s="213"/>
      <c r="AM936" s="213"/>
      <c r="AN936" s="302"/>
      <c r="AO936" s="303"/>
      <c r="AP936" s="285"/>
      <c r="AQ936" s="258"/>
      <c r="AR936" s="258"/>
    </row>
    <row r="937" spans="10:44" s="48" customFormat="1" ht="12" hidden="1" customHeight="1">
      <c r="J937" s="213"/>
      <c r="K937" s="213"/>
      <c r="L937" s="213"/>
      <c r="M937" s="213"/>
      <c r="N937" s="213"/>
      <c r="O937" s="213"/>
      <c r="P937" s="213"/>
      <c r="Q937" s="213"/>
      <c r="R937" s="213"/>
      <c r="S937" s="213"/>
      <c r="T937" s="213"/>
      <c r="U937" s="213"/>
      <c r="V937" s="213"/>
      <c r="W937" s="213"/>
      <c r="X937" s="213"/>
      <c r="Y937" s="213"/>
      <c r="Z937" s="213"/>
      <c r="AA937" s="213"/>
      <c r="AB937" s="213"/>
      <c r="AC937" s="213"/>
      <c r="AD937" s="213"/>
      <c r="AE937" s="213"/>
      <c r="AF937" s="213"/>
      <c r="AG937" s="213"/>
      <c r="AH937" s="213"/>
      <c r="AI937" s="213"/>
      <c r="AJ937" s="213"/>
      <c r="AK937" s="213"/>
      <c r="AL937" s="213"/>
      <c r="AM937" s="213"/>
      <c r="AN937" s="302"/>
      <c r="AO937" s="303"/>
      <c r="AP937" s="285"/>
      <c r="AQ937" s="258"/>
      <c r="AR937" s="258"/>
    </row>
    <row r="938" spans="10:44" s="48" customFormat="1" ht="12" hidden="1" customHeight="1">
      <c r="J938" s="213"/>
      <c r="K938" s="213"/>
      <c r="L938" s="213"/>
      <c r="M938" s="213"/>
      <c r="N938" s="213"/>
      <c r="O938" s="213"/>
      <c r="P938" s="213"/>
      <c r="Q938" s="213"/>
      <c r="R938" s="213"/>
      <c r="S938" s="213"/>
      <c r="T938" s="213"/>
      <c r="U938" s="213"/>
      <c r="V938" s="213"/>
      <c r="W938" s="213"/>
      <c r="X938" s="213"/>
      <c r="Y938" s="213"/>
      <c r="Z938" s="213"/>
      <c r="AA938" s="213"/>
      <c r="AB938" s="213"/>
      <c r="AC938" s="213"/>
      <c r="AD938" s="213"/>
      <c r="AE938" s="213"/>
      <c r="AF938" s="213"/>
      <c r="AG938" s="213"/>
      <c r="AH938" s="213"/>
      <c r="AI938" s="213"/>
      <c r="AJ938" s="213"/>
      <c r="AK938" s="213"/>
      <c r="AL938" s="213"/>
      <c r="AM938" s="213"/>
      <c r="AN938" s="302"/>
      <c r="AO938" s="303"/>
      <c r="AP938" s="285"/>
      <c r="AQ938" s="258"/>
      <c r="AR938" s="258"/>
    </row>
    <row r="939" spans="10:44" s="48" customFormat="1" ht="12" hidden="1" customHeight="1">
      <c r="J939" s="213"/>
      <c r="K939" s="213"/>
      <c r="L939" s="213"/>
      <c r="M939" s="213"/>
      <c r="N939" s="213"/>
      <c r="O939" s="213"/>
      <c r="P939" s="213"/>
      <c r="Q939" s="213"/>
      <c r="R939" s="213"/>
      <c r="S939" s="213"/>
      <c r="T939" s="213"/>
      <c r="U939" s="213"/>
      <c r="V939" s="213"/>
      <c r="W939" s="213"/>
      <c r="X939" s="213"/>
      <c r="Y939" s="213"/>
      <c r="Z939" s="213"/>
      <c r="AA939" s="213"/>
      <c r="AB939" s="213"/>
      <c r="AC939" s="213"/>
      <c r="AD939" s="213"/>
      <c r="AE939" s="213"/>
      <c r="AF939" s="213"/>
      <c r="AG939" s="213"/>
      <c r="AH939" s="213"/>
      <c r="AI939" s="213"/>
      <c r="AJ939" s="213"/>
      <c r="AK939" s="213"/>
      <c r="AL939" s="213"/>
      <c r="AM939" s="213"/>
      <c r="AN939" s="302"/>
      <c r="AO939" s="303"/>
      <c r="AP939" s="285"/>
      <c r="AQ939" s="258"/>
      <c r="AR939" s="258"/>
    </row>
    <row r="940" spans="10:44" s="48" customFormat="1" ht="12" hidden="1" customHeight="1">
      <c r="J940" s="213"/>
      <c r="K940" s="213"/>
      <c r="L940" s="213"/>
      <c r="M940" s="213"/>
      <c r="N940" s="213"/>
      <c r="O940" s="213"/>
      <c r="P940" s="213"/>
      <c r="Q940" s="213"/>
      <c r="R940" s="213"/>
      <c r="S940" s="213"/>
      <c r="T940" s="213"/>
      <c r="U940" s="213"/>
      <c r="V940" s="213"/>
      <c r="W940" s="213"/>
      <c r="X940" s="213"/>
      <c r="Y940" s="213"/>
      <c r="Z940" s="213"/>
      <c r="AA940" s="213"/>
      <c r="AB940" s="213"/>
      <c r="AC940" s="213"/>
      <c r="AD940" s="213"/>
      <c r="AE940" s="213"/>
      <c r="AF940" s="213"/>
      <c r="AG940" s="213"/>
      <c r="AH940" s="213"/>
      <c r="AI940" s="213"/>
      <c r="AJ940" s="213"/>
      <c r="AK940" s="213"/>
      <c r="AL940" s="213"/>
      <c r="AM940" s="213"/>
      <c r="AN940" s="302"/>
      <c r="AO940" s="303"/>
      <c r="AP940" s="285"/>
      <c r="AQ940" s="258"/>
      <c r="AR940" s="258"/>
    </row>
    <row r="941" spans="10:44" s="48" customFormat="1" ht="12" hidden="1" customHeight="1">
      <c r="J941" s="213"/>
      <c r="K941" s="213"/>
      <c r="L941" s="213"/>
      <c r="M941" s="213"/>
      <c r="N941" s="213"/>
      <c r="O941" s="213"/>
      <c r="P941" s="213"/>
      <c r="Q941" s="213"/>
      <c r="R941" s="213"/>
      <c r="S941" s="213"/>
      <c r="T941" s="213"/>
      <c r="U941" s="213"/>
      <c r="V941" s="213"/>
      <c r="W941" s="213"/>
      <c r="X941" s="213"/>
      <c r="Y941" s="213"/>
      <c r="Z941" s="213"/>
      <c r="AA941" s="213"/>
      <c r="AB941" s="213"/>
      <c r="AC941" s="213"/>
      <c r="AD941" s="213"/>
      <c r="AE941" s="213"/>
      <c r="AF941" s="213"/>
      <c r="AG941" s="213"/>
      <c r="AH941" s="213"/>
      <c r="AI941" s="213"/>
      <c r="AJ941" s="213"/>
      <c r="AK941" s="213"/>
      <c r="AL941" s="213"/>
      <c r="AM941" s="213"/>
      <c r="AN941" s="302"/>
      <c r="AO941" s="303"/>
      <c r="AP941" s="285"/>
      <c r="AQ941" s="258"/>
      <c r="AR941" s="258"/>
    </row>
    <row r="942" spans="10:44" s="48" customFormat="1" ht="12" hidden="1" customHeight="1">
      <c r="J942" s="213"/>
      <c r="K942" s="213"/>
      <c r="L942" s="213"/>
      <c r="M942" s="213"/>
      <c r="N942" s="213"/>
      <c r="O942" s="213"/>
      <c r="P942" s="213"/>
      <c r="Q942" s="213"/>
      <c r="R942" s="213"/>
      <c r="S942" s="213"/>
      <c r="T942" s="213"/>
      <c r="U942" s="213"/>
      <c r="V942" s="213"/>
      <c r="W942" s="213"/>
      <c r="X942" s="213"/>
      <c r="Y942" s="213"/>
      <c r="Z942" s="213"/>
      <c r="AA942" s="213"/>
      <c r="AB942" s="213"/>
      <c r="AC942" s="213"/>
      <c r="AD942" s="213"/>
      <c r="AE942" s="213"/>
      <c r="AF942" s="213"/>
      <c r="AG942" s="213"/>
      <c r="AH942" s="213"/>
      <c r="AI942" s="213"/>
      <c r="AJ942" s="213"/>
      <c r="AK942" s="213"/>
      <c r="AL942" s="213"/>
      <c r="AM942" s="213"/>
      <c r="AN942" s="302"/>
      <c r="AO942" s="303"/>
      <c r="AP942" s="285"/>
      <c r="AQ942" s="258"/>
      <c r="AR942" s="258"/>
    </row>
    <row r="943" spans="10:44" s="48" customFormat="1" ht="12" hidden="1" customHeight="1">
      <c r="J943" s="213"/>
      <c r="K943" s="213"/>
      <c r="L943" s="213"/>
      <c r="M943" s="213"/>
      <c r="N943" s="213"/>
      <c r="O943" s="213"/>
      <c r="P943" s="213"/>
      <c r="Q943" s="213"/>
      <c r="R943" s="213"/>
      <c r="S943" s="213"/>
      <c r="T943" s="213"/>
      <c r="U943" s="213"/>
      <c r="V943" s="213"/>
      <c r="W943" s="213"/>
      <c r="X943" s="213"/>
      <c r="Y943" s="213"/>
      <c r="Z943" s="213"/>
      <c r="AA943" s="213"/>
      <c r="AB943" s="213"/>
      <c r="AC943" s="213"/>
      <c r="AD943" s="213"/>
      <c r="AE943" s="213"/>
      <c r="AF943" s="213"/>
      <c r="AG943" s="213"/>
      <c r="AH943" s="213"/>
      <c r="AI943" s="213"/>
      <c r="AJ943" s="213"/>
      <c r="AK943" s="213"/>
      <c r="AL943" s="213"/>
      <c r="AM943" s="213"/>
      <c r="AN943" s="302"/>
      <c r="AO943" s="303"/>
      <c r="AP943" s="285"/>
      <c r="AQ943" s="258"/>
      <c r="AR943" s="258"/>
    </row>
    <row r="944" spans="10:44" s="48" customFormat="1" ht="12" hidden="1" customHeight="1">
      <c r="J944" s="213"/>
      <c r="K944" s="213"/>
      <c r="L944" s="213"/>
      <c r="M944" s="213"/>
      <c r="N944" s="213"/>
      <c r="O944" s="213"/>
      <c r="P944" s="213"/>
      <c r="Q944" s="213"/>
      <c r="R944" s="213"/>
      <c r="S944" s="213"/>
      <c r="T944" s="213"/>
      <c r="U944" s="213"/>
      <c r="V944" s="213"/>
      <c r="W944" s="213"/>
      <c r="X944" s="213"/>
      <c r="Y944" s="213"/>
      <c r="Z944" s="213"/>
      <c r="AA944" s="213"/>
      <c r="AB944" s="213"/>
      <c r="AC944" s="213"/>
      <c r="AD944" s="213"/>
      <c r="AE944" s="213"/>
      <c r="AF944" s="213"/>
      <c r="AG944" s="213"/>
      <c r="AH944" s="213"/>
      <c r="AI944" s="213"/>
      <c r="AJ944" s="213"/>
      <c r="AK944" s="213"/>
      <c r="AL944" s="213"/>
      <c r="AM944" s="213"/>
      <c r="AN944" s="302"/>
      <c r="AO944" s="303"/>
      <c r="AP944" s="285"/>
      <c r="AQ944" s="258"/>
      <c r="AR944" s="258"/>
    </row>
    <row r="945" spans="10:44" s="48" customFormat="1" ht="12" hidden="1" customHeight="1">
      <c r="J945" s="213"/>
      <c r="K945" s="213"/>
      <c r="L945" s="213"/>
      <c r="M945" s="213"/>
      <c r="N945" s="213"/>
      <c r="O945" s="213"/>
      <c r="P945" s="213"/>
      <c r="Q945" s="213"/>
      <c r="R945" s="213"/>
      <c r="S945" s="213"/>
      <c r="T945" s="213"/>
      <c r="U945" s="213"/>
      <c r="V945" s="213"/>
      <c r="W945" s="213"/>
      <c r="X945" s="213"/>
      <c r="Y945" s="213"/>
      <c r="Z945" s="213"/>
      <c r="AA945" s="213"/>
      <c r="AB945" s="213"/>
      <c r="AC945" s="213"/>
      <c r="AD945" s="213"/>
      <c r="AE945" s="213"/>
      <c r="AF945" s="213"/>
      <c r="AG945" s="213"/>
      <c r="AH945" s="213"/>
      <c r="AI945" s="213"/>
      <c r="AJ945" s="213"/>
      <c r="AK945" s="213"/>
      <c r="AL945" s="213"/>
      <c r="AM945" s="213"/>
      <c r="AN945" s="302"/>
      <c r="AO945" s="303"/>
      <c r="AP945" s="285"/>
      <c r="AQ945" s="258"/>
      <c r="AR945" s="258"/>
    </row>
    <row r="946" spans="10:44" s="48" customFormat="1" ht="12" hidden="1" customHeight="1">
      <c r="J946" s="213"/>
      <c r="K946" s="213"/>
      <c r="L946" s="213"/>
      <c r="M946" s="213"/>
      <c r="N946" s="213"/>
      <c r="O946" s="213"/>
      <c r="P946" s="213"/>
      <c r="Q946" s="213"/>
      <c r="R946" s="213"/>
      <c r="S946" s="213"/>
      <c r="T946" s="213"/>
      <c r="U946" s="213"/>
      <c r="V946" s="213"/>
      <c r="W946" s="213"/>
      <c r="X946" s="213"/>
      <c r="Y946" s="213"/>
      <c r="Z946" s="213"/>
      <c r="AA946" s="213"/>
      <c r="AB946" s="213"/>
      <c r="AC946" s="213"/>
      <c r="AD946" s="213"/>
      <c r="AE946" s="213"/>
      <c r="AF946" s="213"/>
      <c r="AG946" s="213"/>
      <c r="AH946" s="213"/>
      <c r="AI946" s="213"/>
      <c r="AJ946" s="213"/>
      <c r="AK946" s="213"/>
      <c r="AL946" s="213"/>
      <c r="AM946" s="213"/>
      <c r="AN946" s="302"/>
      <c r="AO946" s="303"/>
      <c r="AP946" s="285"/>
      <c r="AQ946" s="258"/>
      <c r="AR946" s="258"/>
    </row>
    <row r="947" spans="10:44" s="48" customFormat="1" ht="12" hidden="1" customHeight="1">
      <c r="J947" s="213"/>
      <c r="K947" s="213"/>
      <c r="L947" s="213"/>
      <c r="M947" s="213"/>
      <c r="N947" s="213"/>
      <c r="O947" s="213"/>
      <c r="P947" s="213"/>
      <c r="Q947" s="213"/>
      <c r="R947" s="213"/>
      <c r="S947" s="213"/>
      <c r="T947" s="213"/>
      <c r="U947" s="213"/>
      <c r="V947" s="213"/>
      <c r="W947" s="213"/>
      <c r="X947" s="213"/>
      <c r="Y947" s="213"/>
      <c r="Z947" s="213"/>
      <c r="AA947" s="213"/>
      <c r="AB947" s="213"/>
      <c r="AC947" s="213"/>
      <c r="AD947" s="213"/>
      <c r="AE947" s="213"/>
      <c r="AF947" s="213"/>
      <c r="AG947" s="213"/>
      <c r="AH947" s="213"/>
      <c r="AI947" s="213"/>
      <c r="AJ947" s="213"/>
      <c r="AK947" s="213"/>
      <c r="AL947" s="213"/>
      <c r="AM947" s="213"/>
      <c r="AN947" s="302"/>
      <c r="AO947" s="303"/>
      <c r="AP947" s="285"/>
      <c r="AQ947" s="258"/>
      <c r="AR947" s="258"/>
    </row>
    <row r="948" spans="10:44" s="48" customFormat="1" ht="12" hidden="1" customHeight="1">
      <c r="J948" s="213"/>
      <c r="K948" s="213"/>
      <c r="L948" s="213"/>
      <c r="M948" s="213"/>
      <c r="N948" s="213"/>
      <c r="O948" s="213"/>
      <c r="P948" s="213"/>
      <c r="Q948" s="213"/>
      <c r="R948" s="213"/>
      <c r="S948" s="213"/>
      <c r="T948" s="213"/>
      <c r="U948" s="213"/>
      <c r="V948" s="213"/>
      <c r="W948" s="213"/>
      <c r="X948" s="213"/>
      <c r="Y948" s="213"/>
      <c r="Z948" s="213"/>
      <c r="AA948" s="213"/>
      <c r="AB948" s="213"/>
      <c r="AC948" s="213"/>
      <c r="AD948" s="213"/>
      <c r="AE948" s="213"/>
      <c r="AF948" s="213"/>
      <c r="AG948" s="213"/>
      <c r="AH948" s="213"/>
      <c r="AI948" s="213"/>
      <c r="AJ948" s="213"/>
      <c r="AK948" s="213"/>
      <c r="AL948" s="213"/>
      <c r="AM948" s="213"/>
      <c r="AN948" s="302"/>
      <c r="AO948" s="303"/>
      <c r="AP948" s="285"/>
      <c r="AQ948" s="258"/>
      <c r="AR948" s="258"/>
    </row>
    <row r="949" spans="10:44" s="48" customFormat="1" ht="12" hidden="1" customHeight="1">
      <c r="J949" s="213"/>
      <c r="K949" s="213"/>
      <c r="L949" s="213"/>
      <c r="M949" s="213"/>
      <c r="N949" s="213"/>
      <c r="O949" s="213"/>
      <c r="P949" s="213"/>
      <c r="Q949" s="213"/>
      <c r="R949" s="213"/>
      <c r="S949" s="213"/>
      <c r="T949" s="213"/>
      <c r="U949" s="213"/>
      <c r="V949" s="213"/>
      <c r="W949" s="213"/>
      <c r="X949" s="213"/>
      <c r="Y949" s="213"/>
      <c r="Z949" s="213"/>
      <c r="AA949" s="213"/>
      <c r="AB949" s="213"/>
      <c r="AC949" s="213"/>
      <c r="AD949" s="213"/>
      <c r="AE949" s="213"/>
      <c r="AF949" s="213"/>
      <c r="AG949" s="213"/>
      <c r="AH949" s="213"/>
      <c r="AI949" s="213"/>
      <c r="AJ949" s="213"/>
      <c r="AK949" s="213"/>
      <c r="AL949" s="213"/>
      <c r="AM949" s="213"/>
      <c r="AN949" s="302"/>
      <c r="AO949" s="303"/>
      <c r="AP949" s="285"/>
      <c r="AQ949" s="258"/>
      <c r="AR949" s="258"/>
    </row>
    <row r="950" spans="10:44" s="48" customFormat="1" ht="12" hidden="1" customHeight="1">
      <c r="J950" s="213"/>
      <c r="K950" s="213"/>
      <c r="L950" s="213"/>
      <c r="M950" s="213"/>
      <c r="N950" s="213"/>
      <c r="O950" s="213"/>
      <c r="P950" s="213"/>
      <c r="Q950" s="213"/>
      <c r="R950" s="213"/>
      <c r="S950" s="213"/>
      <c r="T950" s="213"/>
      <c r="U950" s="213"/>
      <c r="V950" s="213"/>
      <c r="W950" s="213"/>
      <c r="X950" s="213"/>
      <c r="Y950" s="213"/>
      <c r="Z950" s="213"/>
      <c r="AA950" s="213"/>
      <c r="AB950" s="213"/>
      <c r="AC950" s="213"/>
      <c r="AD950" s="213"/>
      <c r="AE950" s="213"/>
      <c r="AF950" s="213"/>
      <c r="AG950" s="213"/>
      <c r="AH950" s="213"/>
      <c r="AI950" s="213"/>
      <c r="AJ950" s="213"/>
      <c r="AK950" s="213"/>
      <c r="AL950" s="213"/>
      <c r="AM950" s="213"/>
      <c r="AN950" s="302"/>
      <c r="AO950" s="303"/>
      <c r="AP950" s="285"/>
      <c r="AQ950" s="258"/>
      <c r="AR950" s="258"/>
    </row>
    <row r="951" spans="10:44" s="48" customFormat="1" ht="12" hidden="1" customHeight="1">
      <c r="J951" s="213"/>
      <c r="K951" s="213"/>
      <c r="L951" s="213"/>
      <c r="M951" s="213"/>
      <c r="N951" s="213"/>
      <c r="O951" s="213"/>
      <c r="P951" s="213"/>
      <c r="Q951" s="213"/>
      <c r="R951" s="213"/>
      <c r="S951" s="213"/>
      <c r="T951" s="213"/>
      <c r="U951" s="213"/>
      <c r="V951" s="213"/>
      <c r="W951" s="213"/>
      <c r="X951" s="213"/>
      <c r="Y951" s="213"/>
      <c r="Z951" s="213"/>
      <c r="AA951" s="213"/>
      <c r="AB951" s="213"/>
      <c r="AC951" s="213"/>
      <c r="AD951" s="213"/>
      <c r="AE951" s="213"/>
      <c r="AF951" s="213"/>
      <c r="AG951" s="213"/>
      <c r="AH951" s="213"/>
      <c r="AI951" s="213"/>
      <c r="AJ951" s="213"/>
      <c r="AK951" s="213"/>
      <c r="AL951" s="213"/>
      <c r="AM951" s="213"/>
      <c r="AN951" s="302"/>
      <c r="AO951" s="303"/>
      <c r="AP951" s="285"/>
      <c r="AQ951" s="258"/>
      <c r="AR951" s="258"/>
    </row>
    <row r="952" spans="10:44" s="48" customFormat="1" ht="12" hidden="1" customHeight="1">
      <c r="J952" s="213"/>
      <c r="K952" s="213"/>
      <c r="L952" s="213"/>
      <c r="M952" s="213"/>
      <c r="N952" s="213"/>
      <c r="O952" s="213"/>
      <c r="P952" s="213"/>
      <c r="Q952" s="213"/>
      <c r="R952" s="213"/>
      <c r="S952" s="213"/>
      <c r="T952" s="213"/>
      <c r="U952" s="213"/>
      <c r="V952" s="213"/>
      <c r="W952" s="213"/>
      <c r="X952" s="213"/>
      <c r="Y952" s="213"/>
      <c r="Z952" s="213"/>
      <c r="AA952" s="213"/>
      <c r="AB952" s="213"/>
      <c r="AC952" s="213"/>
      <c r="AD952" s="213"/>
      <c r="AE952" s="213"/>
      <c r="AF952" s="213"/>
      <c r="AG952" s="213"/>
      <c r="AH952" s="213"/>
      <c r="AI952" s="213"/>
      <c r="AJ952" s="213"/>
      <c r="AK952" s="213"/>
      <c r="AL952" s="213"/>
      <c r="AM952" s="213"/>
      <c r="AN952" s="302"/>
      <c r="AO952" s="303"/>
      <c r="AP952" s="285"/>
      <c r="AQ952" s="258"/>
      <c r="AR952" s="258"/>
    </row>
    <row r="953" spans="10:44" s="48" customFormat="1" ht="12" hidden="1" customHeight="1">
      <c r="J953" s="213"/>
      <c r="K953" s="213"/>
      <c r="L953" s="213"/>
      <c r="M953" s="213"/>
      <c r="N953" s="213"/>
      <c r="O953" s="213"/>
      <c r="P953" s="213"/>
      <c r="Q953" s="213"/>
      <c r="R953" s="213"/>
      <c r="S953" s="213"/>
      <c r="T953" s="213"/>
      <c r="U953" s="213"/>
      <c r="V953" s="213"/>
      <c r="W953" s="213"/>
      <c r="X953" s="213"/>
      <c r="Y953" s="213"/>
      <c r="Z953" s="213"/>
      <c r="AA953" s="213"/>
      <c r="AB953" s="213"/>
      <c r="AC953" s="213"/>
      <c r="AD953" s="213"/>
      <c r="AE953" s="213"/>
      <c r="AF953" s="213"/>
      <c r="AG953" s="213"/>
      <c r="AH953" s="213"/>
      <c r="AI953" s="213"/>
      <c r="AJ953" s="213"/>
      <c r="AK953" s="213"/>
      <c r="AL953" s="213"/>
      <c r="AM953" s="213"/>
      <c r="AN953" s="302"/>
      <c r="AO953" s="303"/>
      <c r="AP953" s="285"/>
      <c r="AQ953" s="258"/>
      <c r="AR953" s="258"/>
    </row>
    <row r="954" spans="10:44" s="48" customFormat="1" ht="12" hidden="1" customHeight="1">
      <c r="J954" s="213"/>
      <c r="K954" s="213"/>
      <c r="L954" s="213"/>
      <c r="M954" s="213"/>
      <c r="N954" s="213"/>
      <c r="O954" s="213"/>
      <c r="P954" s="213"/>
      <c r="Q954" s="213"/>
      <c r="R954" s="213"/>
      <c r="S954" s="213"/>
      <c r="T954" s="213"/>
      <c r="U954" s="213"/>
      <c r="V954" s="213"/>
      <c r="W954" s="213"/>
      <c r="X954" s="213"/>
      <c r="Y954" s="213"/>
      <c r="Z954" s="213"/>
      <c r="AA954" s="213"/>
      <c r="AB954" s="213"/>
      <c r="AC954" s="213"/>
      <c r="AD954" s="213"/>
      <c r="AE954" s="213"/>
      <c r="AF954" s="213"/>
      <c r="AG954" s="213"/>
      <c r="AH954" s="213"/>
      <c r="AI954" s="213"/>
      <c r="AJ954" s="213"/>
      <c r="AK954" s="213"/>
      <c r="AL954" s="213"/>
      <c r="AM954" s="213"/>
      <c r="AN954" s="302"/>
      <c r="AO954" s="303"/>
      <c r="AP954" s="285"/>
      <c r="AQ954" s="258"/>
      <c r="AR954" s="258"/>
    </row>
    <row r="955" spans="10:44" s="48" customFormat="1" ht="12" hidden="1" customHeight="1">
      <c r="J955" s="213"/>
      <c r="K955" s="213"/>
      <c r="L955" s="213"/>
      <c r="M955" s="213"/>
      <c r="N955" s="213"/>
      <c r="O955" s="213"/>
      <c r="P955" s="213"/>
      <c r="Q955" s="213"/>
      <c r="R955" s="213"/>
      <c r="S955" s="213"/>
      <c r="T955" s="213"/>
      <c r="U955" s="213"/>
      <c r="V955" s="213"/>
      <c r="W955" s="213"/>
      <c r="X955" s="213"/>
      <c r="Y955" s="213"/>
      <c r="Z955" s="213"/>
      <c r="AA955" s="213"/>
      <c r="AB955" s="213"/>
      <c r="AC955" s="213"/>
      <c r="AD955" s="213"/>
      <c r="AE955" s="213"/>
      <c r="AF955" s="213"/>
      <c r="AG955" s="213"/>
      <c r="AH955" s="213"/>
      <c r="AI955" s="213"/>
      <c r="AJ955" s="213"/>
      <c r="AK955" s="213"/>
      <c r="AL955" s="213"/>
      <c r="AM955" s="213"/>
      <c r="AN955" s="302"/>
      <c r="AO955" s="303"/>
      <c r="AP955" s="285"/>
      <c r="AQ955" s="258"/>
      <c r="AR955" s="258"/>
    </row>
    <row r="956" spans="10:44" s="48" customFormat="1" ht="12" hidden="1" customHeight="1">
      <c r="J956" s="213"/>
      <c r="K956" s="213"/>
      <c r="L956" s="213"/>
      <c r="M956" s="213"/>
      <c r="N956" s="213"/>
      <c r="O956" s="213"/>
      <c r="P956" s="213"/>
      <c r="Q956" s="213"/>
      <c r="R956" s="213"/>
      <c r="S956" s="213"/>
      <c r="T956" s="213"/>
      <c r="U956" s="213"/>
      <c r="V956" s="213"/>
      <c r="W956" s="213"/>
      <c r="X956" s="213"/>
      <c r="Y956" s="213"/>
      <c r="Z956" s="213"/>
      <c r="AA956" s="213"/>
      <c r="AB956" s="213"/>
      <c r="AC956" s="213"/>
      <c r="AD956" s="213"/>
      <c r="AE956" s="213"/>
      <c r="AF956" s="213"/>
      <c r="AG956" s="213"/>
      <c r="AH956" s="213"/>
      <c r="AI956" s="213"/>
      <c r="AJ956" s="213"/>
      <c r="AK956" s="213"/>
      <c r="AL956" s="213"/>
      <c r="AM956" s="213"/>
      <c r="AN956" s="302"/>
      <c r="AO956" s="303"/>
      <c r="AP956" s="285"/>
      <c r="AQ956" s="258"/>
      <c r="AR956" s="258"/>
    </row>
    <row r="957" spans="10:44" s="48" customFormat="1" ht="12" hidden="1" customHeight="1">
      <c r="J957" s="213"/>
      <c r="K957" s="213"/>
      <c r="L957" s="213"/>
      <c r="M957" s="213"/>
      <c r="N957" s="213"/>
      <c r="O957" s="213"/>
      <c r="P957" s="213"/>
      <c r="Q957" s="213"/>
      <c r="R957" s="213"/>
      <c r="S957" s="213"/>
      <c r="T957" s="213"/>
      <c r="U957" s="213"/>
      <c r="V957" s="213"/>
      <c r="W957" s="213"/>
      <c r="X957" s="213"/>
      <c r="Y957" s="213"/>
      <c r="Z957" s="213"/>
      <c r="AA957" s="213"/>
      <c r="AB957" s="213"/>
      <c r="AC957" s="213"/>
      <c r="AD957" s="213"/>
      <c r="AE957" s="213"/>
      <c r="AF957" s="213"/>
      <c r="AG957" s="213"/>
      <c r="AH957" s="213"/>
      <c r="AI957" s="213"/>
      <c r="AJ957" s="213"/>
      <c r="AK957" s="213"/>
      <c r="AL957" s="213"/>
      <c r="AM957" s="213"/>
      <c r="AN957" s="302"/>
      <c r="AO957" s="303"/>
      <c r="AP957" s="285"/>
      <c r="AQ957" s="258"/>
      <c r="AR957" s="258"/>
    </row>
    <row r="958" spans="10:44" s="48" customFormat="1" ht="12" hidden="1" customHeight="1">
      <c r="J958" s="213"/>
      <c r="K958" s="213"/>
      <c r="L958" s="213"/>
      <c r="M958" s="213"/>
      <c r="N958" s="213"/>
      <c r="O958" s="213"/>
      <c r="P958" s="213"/>
      <c r="Q958" s="213"/>
      <c r="R958" s="213"/>
      <c r="S958" s="213"/>
      <c r="T958" s="213"/>
      <c r="U958" s="213"/>
      <c r="V958" s="213"/>
      <c r="W958" s="213"/>
      <c r="X958" s="213"/>
      <c r="Y958" s="213"/>
      <c r="Z958" s="213"/>
      <c r="AA958" s="213"/>
      <c r="AB958" s="213"/>
      <c r="AC958" s="213"/>
      <c r="AD958" s="213"/>
      <c r="AE958" s="213"/>
      <c r="AF958" s="213"/>
      <c r="AG958" s="213"/>
      <c r="AH958" s="213"/>
      <c r="AI958" s="213"/>
      <c r="AJ958" s="213"/>
      <c r="AK958" s="213"/>
      <c r="AL958" s="213"/>
      <c r="AM958" s="213"/>
      <c r="AN958" s="302"/>
      <c r="AO958" s="303"/>
      <c r="AP958" s="285"/>
      <c r="AQ958" s="258"/>
      <c r="AR958" s="258"/>
    </row>
    <row r="959" spans="10:44" s="48" customFormat="1" ht="12" hidden="1" customHeight="1">
      <c r="J959" s="213"/>
      <c r="K959" s="213"/>
      <c r="L959" s="213"/>
      <c r="M959" s="213"/>
      <c r="N959" s="213"/>
      <c r="O959" s="213"/>
      <c r="P959" s="213"/>
      <c r="Q959" s="213"/>
      <c r="R959" s="213"/>
      <c r="S959" s="213"/>
      <c r="T959" s="213"/>
      <c r="U959" s="213"/>
      <c r="V959" s="213"/>
      <c r="W959" s="213"/>
      <c r="X959" s="213"/>
      <c r="Y959" s="213"/>
      <c r="Z959" s="213"/>
      <c r="AA959" s="213"/>
      <c r="AB959" s="213"/>
      <c r="AC959" s="213"/>
      <c r="AD959" s="213"/>
      <c r="AE959" s="213"/>
      <c r="AF959" s="213"/>
      <c r="AG959" s="213"/>
      <c r="AH959" s="213"/>
      <c r="AI959" s="213"/>
      <c r="AJ959" s="213"/>
      <c r="AK959" s="213"/>
      <c r="AL959" s="213"/>
      <c r="AM959" s="213"/>
      <c r="AN959" s="302"/>
      <c r="AO959" s="303"/>
      <c r="AP959" s="285"/>
      <c r="AQ959" s="258"/>
      <c r="AR959" s="258"/>
    </row>
    <row r="960" spans="10:44" s="48" customFormat="1" ht="12" hidden="1" customHeight="1">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302"/>
      <c r="AO960" s="303"/>
      <c r="AP960" s="285"/>
      <c r="AQ960" s="258"/>
      <c r="AR960" s="258"/>
    </row>
    <row r="961" spans="10:44" s="48" customFormat="1" ht="12" hidden="1" customHeight="1">
      <c r="J961" s="213"/>
      <c r="K961" s="213"/>
      <c r="L961" s="213"/>
      <c r="M961" s="213"/>
      <c r="N961" s="213"/>
      <c r="O961" s="213"/>
      <c r="P961" s="213"/>
      <c r="Q961" s="213"/>
      <c r="R961" s="213"/>
      <c r="S961" s="213"/>
      <c r="T961" s="213"/>
      <c r="U961" s="213"/>
      <c r="V961" s="213"/>
      <c r="W961" s="213"/>
      <c r="X961" s="213"/>
      <c r="Y961" s="213"/>
      <c r="Z961" s="213"/>
      <c r="AA961" s="213"/>
      <c r="AB961" s="213"/>
      <c r="AC961" s="213"/>
      <c r="AD961" s="213"/>
      <c r="AE961" s="213"/>
      <c r="AF961" s="213"/>
      <c r="AG961" s="213"/>
      <c r="AH961" s="213"/>
      <c r="AI961" s="213"/>
      <c r="AJ961" s="213"/>
      <c r="AK961" s="213"/>
      <c r="AL961" s="213"/>
      <c r="AM961" s="213"/>
      <c r="AN961" s="302"/>
      <c r="AO961" s="303"/>
      <c r="AP961" s="285"/>
      <c r="AQ961" s="258"/>
      <c r="AR961" s="258"/>
    </row>
    <row r="962" spans="10:44" s="48" customFormat="1" ht="12" hidden="1" customHeight="1">
      <c r="J962" s="213"/>
      <c r="K962" s="213"/>
      <c r="L962" s="213"/>
      <c r="M962" s="213"/>
      <c r="N962" s="213"/>
      <c r="O962" s="213"/>
      <c r="P962" s="213"/>
      <c r="Q962" s="213"/>
      <c r="R962" s="213"/>
      <c r="S962" s="213"/>
      <c r="T962" s="213"/>
      <c r="U962" s="213"/>
      <c r="V962" s="213"/>
      <c r="W962" s="213"/>
      <c r="X962" s="213"/>
      <c r="Y962" s="213"/>
      <c r="Z962" s="213"/>
      <c r="AA962" s="213"/>
      <c r="AB962" s="213"/>
      <c r="AC962" s="213"/>
      <c r="AD962" s="213"/>
      <c r="AE962" s="213"/>
      <c r="AF962" s="213"/>
      <c r="AG962" s="213"/>
      <c r="AH962" s="213"/>
      <c r="AI962" s="213"/>
      <c r="AJ962" s="213"/>
      <c r="AK962" s="213"/>
      <c r="AL962" s="213"/>
      <c r="AM962" s="213"/>
      <c r="AN962" s="302"/>
      <c r="AO962" s="303"/>
      <c r="AP962" s="285"/>
      <c r="AQ962" s="258"/>
      <c r="AR962" s="258"/>
    </row>
    <row r="963" spans="10:44" s="48" customFormat="1" ht="12" hidden="1" customHeight="1">
      <c r="J963" s="213"/>
      <c r="K963" s="213"/>
      <c r="L963" s="213"/>
      <c r="M963" s="213"/>
      <c r="N963" s="213"/>
      <c r="O963" s="213"/>
      <c r="P963" s="213"/>
      <c r="Q963" s="213"/>
      <c r="R963" s="213"/>
      <c r="S963" s="213"/>
      <c r="T963" s="213"/>
      <c r="U963" s="213"/>
      <c r="V963" s="213"/>
      <c r="W963" s="213"/>
      <c r="X963" s="213"/>
      <c r="Y963" s="213"/>
      <c r="Z963" s="213"/>
      <c r="AA963" s="213"/>
      <c r="AB963" s="213"/>
      <c r="AC963" s="213"/>
      <c r="AD963" s="213"/>
      <c r="AE963" s="213"/>
      <c r="AF963" s="213"/>
      <c r="AG963" s="213"/>
      <c r="AH963" s="213"/>
      <c r="AI963" s="213"/>
      <c r="AJ963" s="213"/>
      <c r="AK963" s="213"/>
      <c r="AL963" s="213"/>
      <c r="AM963" s="213"/>
      <c r="AN963" s="302"/>
      <c r="AO963" s="303"/>
      <c r="AP963" s="285"/>
      <c r="AQ963" s="258"/>
      <c r="AR963" s="258"/>
    </row>
    <row r="964" spans="10:44" s="48" customFormat="1" ht="12" hidden="1" customHeight="1">
      <c r="J964" s="213"/>
      <c r="K964" s="213"/>
      <c r="L964" s="213"/>
      <c r="M964" s="213"/>
      <c r="N964" s="213"/>
      <c r="O964" s="213"/>
      <c r="P964" s="213"/>
      <c r="Q964" s="213"/>
      <c r="R964" s="213"/>
      <c r="S964" s="213"/>
      <c r="T964" s="213"/>
      <c r="U964" s="213"/>
      <c r="V964" s="213"/>
      <c r="W964" s="213"/>
      <c r="X964" s="213"/>
      <c r="Y964" s="213"/>
      <c r="Z964" s="213"/>
      <c r="AA964" s="213"/>
      <c r="AB964" s="213"/>
      <c r="AC964" s="213"/>
      <c r="AD964" s="213"/>
      <c r="AE964" s="213"/>
      <c r="AF964" s="213"/>
      <c r="AG964" s="213"/>
      <c r="AH964" s="213"/>
      <c r="AI964" s="213"/>
      <c r="AJ964" s="213"/>
      <c r="AK964" s="213"/>
      <c r="AL964" s="213"/>
      <c r="AM964" s="213"/>
      <c r="AN964" s="302"/>
      <c r="AO964" s="303"/>
      <c r="AP964" s="285"/>
      <c r="AQ964" s="258"/>
      <c r="AR964" s="258"/>
    </row>
    <row r="965" spans="10:44" s="48" customFormat="1" ht="12" hidden="1" customHeight="1">
      <c r="J965" s="213"/>
      <c r="K965" s="213"/>
      <c r="L965" s="213"/>
      <c r="M965" s="213"/>
      <c r="N965" s="213"/>
      <c r="O965" s="213"/>
      <c r="P965" s="213"/>
      <c r="Q965" s="213"/>
      <c r="R965" s="213"/>
      <c r="S965" s="213"/>
      <c r="T965" s="213"/>
      <c r="U965" s="213"/>
      <c r="V965" s="213"/>
      <c r="W965" s="213"/>
      <c r="X965" s="213"/>
      <c r="Y965" s="213"/>
      <c r="Z965" s="213"/>
      <c r="AA965" s="213"/>
      <c r="AB965" s="213"/>
      <c r="AC965" s="213"/>
      <c r="AD965" s="213"/>
      <c r="AE965" s="213"/>
      <c r="AF965" s="213"/>
      <c r="AG965" s="213"/>
      <c r="AH965" s="213"/>
      <c r="AI965" s="213"/>
      <c r="AJ965" s="213"/>
      <c r="AK965" s="213"/>
      <c r="AL965" s="213"/>
      <c r="AM965" s="213"/>
      <c r="AN965" s="302"/>
      <c r="AO965" s="303"/>
      <c r="AP965" s="285"/>
      <c r="AQ965" s="258"/>
      <c r="AR965" s="258"/>
    </row>
    <row r="966" spans="10:44" s="48" customFormat="1" ht="12" hidden="1" customHeight="1">
      <c r="J966" s="213"/>
      <c r="K966" s="213"/>
      <c r="L966" s="213"/>
      <c r="M966" s="213"/>
      <c r="N966" s="213"/>
      <c r="O966" s="213"/>
      <c r="P966" s="213"/>
      <c r="Q966" s="213"/>
      <c r="R966" s="213"/>
      <c r="S966" s="213"/>
      <c r="T966" s="213"/>
      <c r="U966" s="213"/>
      <c r="V966" s="213"/>
      <c r="W966" s="213"/>
      <c r="X966" s="213"/>
      <c r="Y966" s="213"/>
      <c r="Z966" s="213"/>
      <c r="AA966" s="213"/>
      <c r="AB966" s="213"/>
      <c r="AC966" s="213"/>
      <c r="AD966" s="213"/>
      <c r="AE966" s="213"/>
      <c r="AF966" s="213"/>
      <c r="AG966" s="213"/>
      <c r="AH966" s="213"/>
      <c r="AI966" s="213"/>
      <c r="AJ966" s="213"/>
      <c r="AK966" s="213"/>
      <c r="AL966" s="213"/>
      <c r="AM966" s="213"/>
      <c r="AN966" s="302"/>
      <c r="AO966" s="303"/>
      <c r="AP966" s="285"/>
      <c r="AQ966" s="258"/>
      <c r="AR966" s="258"/>
    </row>
    <row r="967" spans="10:44" s="48" customFormat="1" ht="12" hidden="1" customHeight="1">
      <c r="J967" s="213"/>
      <c r="K967" s="213"/>
      <c r="L967" s="213"/>
      <c r="M967" s="213"/>
      <c r="N967" s="213"/>
      <c r="O967" s="213"/>
      <c r="P967" s="213"/>
      <c r="Q967" s="213"/>
      <c r="R967" s="213"/>
      <c r="S967" s="213"/>
      <c r="T967" s="213"/>
      <c r="U967" s="213"/>
      <c r="V967" s="213"/>
      <c r="W967" s="213"/>
      <c r="X967" s="213"/>
      <c r="Y967" s="213"/>
      <c r="Z967" s="213"/>
      <c r="AA967" s="213"/>
      <c r="AB967" s="213"/>
      <c r="AC967" s="213"/>
      <c r="AD967" s="213"/>
      <c r="AE967" s="213"/>
      <c r="AF967" s="213"/>
      <c r="AG967" s="213"/>
      <c r="AH967" s="213"/>
      <c r="AI967" s="213"/>
      <c r="AJ967" s="213"/>
      <c r="AK967" s="213"/>
      <c r="AL967" s="213"/>
      <c r="AM967" s="213"/>
      <c r="AN967" s="302"/>
      <c r="AO967" s="303"/>
      <c r="AP967" s="285"/>
      <c r="AQ967" s="258"/>
      <c r="AR967" s="258"/>
    </row>
    <row r="968" spans="10:44" s="48" customFormat="1" ht="12" hidden="1" customHeight="1">
      <c r="J968" s="213"/>
      <c r="K968" s="213"/>
      <c r="L968" s="213"/>
      <c r="M968" s="213"/>
      <c r="N968" s="213"/>
      <c r="O968" s="213"/>
      <c r="P968" s="213"/>
      <c r="Q968" s="213"/>
      <c r="R968" s="213"/>
      <c r="S968" s="213"/>
      <c r="T968" s="213"/>
      <c r="U968" s="213"/>
      <c r="V968" s="213"/>
      <c r="W968" s="213"/>
      <c r="X968" s="213"/>
      <c r="Y968" s="213"/>
      <c r="Z968" s="213"/>
      <c r="AA968" s="213"/>
      <c r="AB968" s="213"/>
      <c r="AC968" s="213"/>
      <c r="AD968" s="213"/>
      <c r="AE968" s="213"/>
      <c r="AF968" s="213"/>
      <c r="AG968" s="213"/>
      <c r="AH968" s="213"/>
      <c r="AI968" s="213"/>
      <c r="AJ968" s="213"/>
      <c r="AK968" s="213"/>
      <c r="AL968" s="213"/>
      <c r="AM968" s="213"/>
      <c r="AN968" s="302"/>
      <c r="AO968" s="303"/>
      <c r="AP968" s="285"/>
      <c r="AQ968" s="258"/>
      <c r="AR968" s="258"/>
    </row>
    <row r="969" spans="10:44" s="48" customFormat="1" ht="12" hidden="1" customHeight="1">
      <c r="J969" s="213"/>
      <c r="K969" s="213"/>
      <c r="L969" s="213"/>
      <c r="M969" s="213"/>
      <c r="N969" s="213"/>
      <c r="O969" s="213"/>
      <c r="P969" s="213"/>
      <c r="Q969" s="213"/>
      <c r="R969" s="213"/>
      <c r="S969" s="213"/>
      <c r="T969" s="213"/>
      <c r="U969" s="213"/>
      <c r="V969" s="213"/>
      <c r="W969" s="213"/>
      <c r="X969" s="213"/>
      <c r="Y969" s="213"/>
      <c r="Z969" s="213"/>
      <c r="AA969" s="213"/>
      <c r="AB969" s="213"/>
      <c r="AC969" s="213"/>
      <c r="AD969" s="213"/>
      <c r="AE969" s="213"/>
      <c r="AF969" s="213"/>
      <c r="AG969" s="213"/>
      <c r="AH969" s="213"/>
      <c r="AI969" s="213"/>
      <c r="AJ969" s="213"/>
      <c r="AK969" s="213"/>
      <c r="AL969" s="213"/>
      <c r="AM969" s="213"/>
      <c r="AN969" s="302"/>
      <c r="AO969" s="303"/>
      <c r="AP969" s="285"/>
      <c r="AQ969" s="258"/>
      <c r="AR969" s="258"/>
    </row>
    <row r="970" spans="10:44" s="48" customFormat="1" ht="12" hidden="1" customHeight="1">
      <c r="J970" s="213"/>
      <c r="K970" s="213"/>
      <c r="L970" s="213"/>
      <c r="M970" s="213"/>
      <c r="N970" s="213"/>
      <c r="O970" s="213"/>
      <c r="P970" s="213"/>
      <c r="Q970" s="213"/>
      <c r="R970" s="213"/>
      <c r="S970" s="213"/>
      <c r="T970" s="213"/>
      <c r="U970" s="213"/>
      <c r="V970" s="213"/>
      <c r="W970" s="213"/>
      <c r="X970" s="213"/>
      <c r="Y970" s="213"/>
      <c r="Z970" s="213"/>
      <c r="AA970" s="213"/>
      <c r="AB970" s="213"/>
      <c r="AC970" s="213"/>
      <c r="AD970" s="213"/>
      <c r="AE970" s="213"/>
      <c r="AF970" s="213"/>
      <c r="AG970" s="213"/>
      <c r="AH970" s="213"/>
      <c r="AI970" s="213"/>
      <c r="AJ970" s="213"/>
      <c r="AK970" s="213"/>
      <c r="AL970" s="213"/>
      <c r="AM970" s="213"/>
      <c r="AN970" s="302"/>
      <c r="AO970" s="303"/>
      <c r="AP970" s="285"/>
      <c r="AQ970" s="258"/>
      <c r="AR970" s="258"/>
    </row>
    <row r="971" spans="10:44" s="48" customFormat="1" ht="12" hidden="1" customHeight="1">
      <c r="J971" s="213"/>
      <c r="K971" s="213"/>
      <c r="L971" s="213"/>
      <c r="M971" s="213"/>
      <c r="N971" s="213"/>
      <c r="O971" s="213"/>
      <c r="P971" s="213"/>
      <c r="Q971" s="213"/>
      <c r="R971" s="213"/>
      <c r="S971" s="213"/>
      <c r="T971" s="213"/>
      <c r="U971" s="213"/>
      <c r="V971" s="213"/>
      <c r="W971" s="213"/>
      <c r="X971" s="213"/>
      <c r="Y971" s="213"/>
      <c r="Z971" s="213"/>
      <c r="AA971" s="213"/>
      <c r="AB971" s="213"/>
      <c r="AC971" s="213"/>
      <c r="AD971" s="213"/>
      <c r="AE971" s="213"/>
      <c r="AF971" s="213"/>
      <c r="AG971" s="213"/>
      <c r="AH971" s="213"/>
      <c r="AI971" s="213"/>
      <c r="AJ971" s="213"/>
      <c r="AK971" s="213"/>
      <c r="AL971" s="213"/>
      <c r="AM971" s="213"/>
      <c r="AN971" s="302"/>
      <c r="AO971" s="303"/>
      <c r="AP971" s="285"/>
      <c r="AQ971" s="258"/>
      <c r="AR971" s="258"/>
    </row>
    <row r="972" spans="10:44" s="48" customFormat="1" ht="12" hidden="1" customHeight="1">
      <c r="J972" s="213"/>
      <c r="K972" s="213"/>
      <c r="L972" s="213"/>
      <c r="M972" s="213"/>
      <c r="N972" s="213"/>
      <c r="O972" s="213"/>
      <c r="P972" s="213"/>
      <c r="Q972" s="213"/>
      <c r="R972" s="213"/>
      <c r="S972" s="213"/>
      <c r="T972" s="213"/>
      <c r="U972" s="213"/>
      <c r="V972" s="213"/>
      <c r="W972" s="213"/>
      <c r="X972" s="213"/>
      <c r="Y972" s="213"/>
      <c r="Z972" s="213"/>
      <c r="AA972" s="213"/>
      <c r="AB972" s="213"/>
      <c r="AC972" s="213"/>
      <c r="AD972" s="213"/>
      <c r="AE972" s="213"/>
      <c r="AF972" s="213"/>
      <c r="AG972" s="213"/>
      <c r="AH972" s="213"/>
      <c r="AI972" s="213"/>
      <c r="AJ972" s="213"/>
      <c r="AK972" s="213"/>
      <c r="AL972" s="213"/>
      <c r="AM972" s="213"/>
      <c r="AN972" s="302"/>
      <c r="AO972" s="303"/>
      <c r="AP972" s="285"/>
      <c r="AQ972" s="258"/>
      <c r="AR972" s="258"/>
    </row>
    <row r="973" spans="10:44" s="48" customFormat="1" ht="12" hidden="1" customHeight="1">
      <c r="J973" s="213"/>
      <c r="K973" s="213"/>
      <c r="L973" s="213"/>
      <c r="M973" s="213"/>
      <c r="N973" s="213"/>
      <c r="O973" s="213"/>
      <c r="P973" s="213"/>
      <c r="Q973" s="213"/>
      <c r="R973" s="213"/>
      <c r="S973" s="213"/>
      <c r="T973" s="213"/>
      <c r="U973" s="213"/>
      <c r="V973" s="213"/>
      <c r="W973" s="213"/>
      <c r="X973" s="213"/>
      <c r="Y973" s="213"/>
      <c r="Z973" s="213"/>
      <c r="AA973" s="213"/>
      <c r="AB973" s="213"/>
      <c r="AC973" s="213"/>
      <c r="AD973" s="213"/>
      <c r="AE973" s="213"/>
      <c r="AF973" s="213"/>
      <c r="AG973" s="213"/>
      <c r="AH973" s="213"/>
      <c r="AI973" s="213"/>
      <c r="AJ973" s="213"/>
      <c r="AK973" s="213"/>
      <c r="AL973" s="213"/>
      <c r="AM973" s="213"/>
      <c r="AN973" s="302"/>
      <c r="AO973" s="303"/>
      <c r="AP973" s="285"/>
      <c r="AQ973" s="258"/>
      <c r="AR973" s="258"/>
    </row>
    <row r="974" spans="10:44" s="48" customFormat="1" ht="12" hidden="1" customHeight="1">
      <c r="J974" s="213"/>
      <c r="K974" s="213"/>
      <c r="L974" s="213"/>
      <c r="M974" s="213"/>
      <c r="N974" s="213"/>
      <c r="O974" s="213"/>
      <c r="P974" s="213"/>
      <c r="Q974" s="213"/>
      <c r="R974" s="213"/>
      <c r="S974" s="213"/>
      <c r="T974" s="213"/>
      <c r="U974" s="213"/>
      <c r="V974" s="213"/>
      <c r="W974" s="213"/>
      <c r="X974" s="213"/>
      <c r="Y974" s="213"/>
      <c r="Z974" s="213"/>
      <c r="AA974" s="213"/>
      <c r="AB974" s="213"/>
      <c r="AC974" s="213"/>
      <c r="AD974" s="213"/>
      <c r="AE974" s="213"/>
      <c r="AF974" s="213"/>
      <c r="AG974" s="213"/>
      <c r="AH974" s="213"/>
      <c r="AI974" s="213"/>
      <c r="AJ974" s="213"/>
      <c r="AK974" s="213"/>
      <c r="AL974" s="213"/>
      <c r="AM974" s="213"/>
      <c r="AN974" s="302"/>
      <c r="AO974" s="303"/>
      <c r="AP974" s="285"/>
      <c r="AQ974" s="258"/>
      <c r="AR974" s="258"/>
    </row>
    <row r="975" spans="10:44" s="48" customFormat="1" ht="12" hidden="1" customHeight="1">
      <c r="J975" s="213"/>
      <c r="K975" s="213"/>
      <c r="L975" s="213"/>
      <c r="M975" s="213"/>
      <c r="N975" s="213"/>
      <c r="O975" s="213"/>
      <c r="P975" s="213"/>
      <c r="Q975" s="213"/>
      <c r="R975" s="213"/>
      <c r="S975" s="213"/>
      <c r="T975" s="213"/>
      <c r="U975" s="213"/>
      <c r="V975" s="213"/>
      <c r="W975" s="213"/>
      <c r="X975" s="213"/>
      <c r="Y975" s="213"/>
      <c r="Z975" s="213"/>
      <c r="AA975" s="213"/>
      <c r="AB975" s="213"/>
      <c r="AC975" s="213"/>
      <c r="AD975" s="213"/>
      <c r="AE975" s="213"/>
      <c r="AF975" s="213"/>
      <c r="AG975" s="213"/>
      <c r="AH975" s="213"/>
      <c r="AI975" s="213"/>
      <c r="AJ975" s="213"/>
      <c r="AK975" s="213"/>
      <c r="AL975" s="213"/>
      <c r="AM975" s="213"/>
      <c r="AN975" s="302"/>
      <c r="AO975" s="303"/>
      <c r="AP975" s="285"/>
      <c r="AQ975" s="258"/>
      <c r="AR975" s="258"/>
    </row>
    <row r="976" spans="10:44" s="48" customFormat="1" ht="12" hidden="1" customHeight="1">
      <c r="J976" s="213"/>
      <c r="K976" s="213"/>
      <c r="L976" s="213"/>
      <c r="M976" s="213"/>
      <c r="N976" s="213"/>
      <c r="O976" s="213"/>
      <c r="P976" s="213"/>
      <c r="Q976" s="213"/>
      <c r="R976" s="213"/>
      <c r="S976" s="213"/>
      <c r="T976" s="213"/>
      <c r="U976" s="213"/>
      <c r="V976" s="213"/>
      <c r="W976" s="213"/>
      <c r="X976" s="213"/>
      <c r="Y976" s="213"/>
      <c r="Z976" s="213"/>
      <c r="AA976" s="213"/>
      <c r="AB976" s="213"/>
      <c r="AC976" s="213"/>
      <c r="AD976" s="213"/>
      <c r="AE976" s="213"/>
      <c r="AF976" s="213"/>
      <c r="AG976" s="213"/>
      <c r="AH976" s="213"/>
      <c r="AI976" s="213"/>
      <c r="AJ976" s="213"/>
      <c r="AK976" s="213"/>
      <c r="AL976" s="213"/>
      <c r="AM976" s="213"/>
      <c r="AN976" s="302"/>
      <c r="AO976" s="303"/>
      <c r="AP976" s="285"/>
      <c r="AQ976" s="258"/>
      <c r="AR976" s="258"/>
    </row>
    <row r="977" spans="10:44" s="48" customFormat="1" ht="12" hidden="1" customHeight="1">
      <c r="J977" s="213"/>
      <c r="K977" s="213"/>
      <c r="L977" s="213"/>
      <c r="M977" s="213"/>
      <c r="N977" s="213"/>
      <c r="O977" s="213"/>
      <c r="P977" s="213"/>
      <c r="Q977" s="213"/>
      <c r="R977" s="213"/>
      <c r="S977" s="213"/>
      <c r="T977" s="213"/>
      <c r="U977" s="213"/>
      <c r="V977" s="213"/>
      <c r="W977" s="213"/>
      <c r="X977" s="213"/>
      <c r="Y977" s="213"/>
      <c r="Z977" s="213"/>
      <c r="AA977" s="213"/>
      <c r="AB977" s="213"/>
      <c r="AC977" s="213"/>
      <c r="AD977" s="213"/>
      <c r="AE977" s="213"/>
      <c r="AF977" s="213"/>
      <c r="AG977" s="213"/>
      <c r="AH977" s="213"/>
      <c r="AI977" s="213"/>
      <c r="AJ977" s="213"/>
      <c r="AK977" s="213"/>
      <c r="AL977" s="213"/>
      <c r="AM977" s="213"/>
      <c r="AN977" s="302"/>
      <c r="AO977" s="303"/>
      <c r="AP977" s="285"/>
      <c r="AQ977" s="258"/>
      <c r="AR977" s="258"/>
    </row>
    <row r="978" spans="10:44" s="48" customFormat="1" ht="12" hidden="1" customHeight="1">
      <c r="J978" s="213"/>
      <c r="K978" s="213"/>
      <c r="L978" s="213"/>
      <c r="M978" s="213"/>
      <c r="N978" s="213"/>
      <c r="O978" s="213"/>
      <c r="P978" s="213"/>
      <c r="Q978" s="213"/>
      <c r="R978" s="213"/>
      <c r="S978" s="213"/>
      <c r="T978" s="213"/>
      <c r="U978" s="213"/>
      <c r="V978" s="213"/>
      <c r="W978" s="213"/>
      <c r="X978" s="213"/>
      <c r="Y978" s="213"/>
      <c r="Z978" s="213"/>
      <c r="AA978" s="213"/>
      <c r="AB978" s="213"/>
      <c r="AC978" s="213"/>
      <c r="AD978" s="213"/>
      <c r="AE978" s="213"/>
      <c r="AF978" s="213"/>
      <c r="AG978" s="213"/>
      <c r="AH978" s="213"/>
      <c r="AI978" s="213"/>
      <c r="AJ978" s="213"/>
      <c r="AK978" s="213"/>
      <c r="AL978" s="213"/>
      <c r="AM978" s="213"/>
      <c r="AN978" s="302"/>
      <c r="AO978" s="303"/>
      <c r="AP978" s="285"/>
      <c r="AQ978" s="258"/>
      <c r="AR978" s="258"/>
    </row>
    <row r="979" spans="10:44" s="48" customFormat="1" ht="12" hidden="1" customHeight="1">
      <c r="J979" s="213"/>
      <c r="K979" s="213"/>
      <c r="L979" s="213"/>
      <c r="M979" s="213"/>
      <c r="N979" s="213"/>
      <c r="O979" s="213"/>
      <c r="P979" s="213"/>
      <c r="Q979" s="213"/>
      <c r="R979" s="213"/>
      <c r="S979" s="213"/>
      <c r="T979" s="213"/>
      <c r="U979" s="213"/>
      <c r="V979" s="213"/>
      <c r="W979" s="213"/>
      <c r="X979" s="213"/>
      <c r="Y979" s="213"/>
      <c r="Z979" s="213"/>
      <c r="AA979" s="213"/>
      <c r="AB979" s="213"/>
      <c r="AC979" s="213"/>
      <c r="AD979" s="213"/>
      <c r="AE979" s="213"/>
      <c r="AF979" s="213"/>
      <c r="AG979" s="213"/>
      <c r="AH979" s="213"/>
      <c r="AI979" s="213"/>
      <c r="AJ979" s="213"/>
      <c r="AK979" s="213"/>
      <c r="AL979" s="213"/>
      <c r="AM979" s="213"/>
      <c r="AN979" s="302"/>
      <c r="AO979" s="303"/>
      <c r="AP979" s="285"/>
      <c r="AQ979" s="258"/>
      <c r="AR979" s="258"/>
    </row>
    <row r="980" spans="10:44" s="48" customFormat="1" ht="12" hidden="1" customHeight="1">
      <c r="J980" s="213"/>
      <c r="K980" s="213"/>
      <c r="L980" s="213"/>
      <c r="M980" s="213"/>
      <c r="N980" s="213"/>
      <c r="O980" s="213"/>
      <c r="P980" s="213"/>
      <c r="Q980" s="213"/>
      <c r="R980" s="213"/>
      <c r="S980" s="213"/>
      <c r="T980" s="213"/>
      <c r="U980" s="213"/>
      <c r="V980" s="213"/>
      <c r="W980" s="213"/>
      <c r="X980" s="213"/>
      <c r="Y980" s="213"/>
      <c r="Z980" s="213"/>
      <c r="AA980" s="213"/>
      <c r="AB980" s="213"/>
      <c r="AC980" s="213"/>
      <c r="AD980" s="213"/>
      <c r="AE980" s="213"/>
      <c r="AF980" s="213"/>
      <c r="AG980" s="213"/>
      <c r="AH980" s="213"/>
      <c r="AI980" s="213"/>
      <c r="AJ980" s="213"/>
      <c r="AK980" s="213"/>
      <c r="AL980" s="213"/>
      <c r="AM980" s="213"/>
      <c r="AN980" s="302"/>
      <c r="AO980" s="303"/>
      <c r="AP980" s="285"/>
      <c r="AQ980" s="258"/>
      <c r="AR980" s="258"/>
    </row>
    <row r="981" spans="10:44" s="48" customFormat="1" ht="12" hidden="1" customHeight="1">
      <c r="J981" s="213"/>
      <c r="K981" s="213"/>
      <c r="L981" s="213"/>
      <c r="M981" s="213"/>
      <c r="N981" s="213"/>
      <c r="O981" s="213"/>
      <c r="P981" s="213"/>
      <c r="Q981" s="213"/>
      <c r="R981" s="213"/>
      <c r="S981" s="213"/>
      <c r="T981" s="213"/>
      <c r="U981" s="213"/>
      <c r="V981" s="213"/>
      <c r="W981" s="213"/>
      <c r="X981" s="213"/>
      <c r="Y981" s="213"/>
      <c r="Z981" s="213"/>
      <c r="AA981" s="213"/>
      <c r="AB981" s="213"/>
      <c r="AC981" s="213"/>
      <c r="AD981" s="213"/>
      <c r="AE981" s="213"/>
      <c r="AF981" s="213"/>
      <c r="AG981" s="213"/>
      <c r="AH981" s="213"/>
      <c r="AI981" s="213"/>
      <c r="AJ981" s="213"/>
      <c r="AK981" s="213"/>
      <c r="AL981" s="213"/>
      <c r="AM981" s="213"/>
      <c r="AN981" s="302"/>
      <c r="AO981" s="303"/>
      <c r="AP981" s="285"/>
      <c r="AQ981" s="258"/>
      <c r="AR981" s="258"/>
    </row>
    <row r="982" spans="10:44" s="48" customFormat="1" ht="12" hidden="1" customHeight="1">
      <c r="J982" s="213"/>
      <c r="K982" s="213"/>
      <c r="L982" s="213"/>
      <c r="M982" s="213"/>
      <c r="N982" s="213"/>
      <c r="O982" s="213"/>
      <c r="P982" s="213"/>
      <c r="Q982" s="213"/>
      <c r="R982" s="213"/>
      <c r="S982" s="213"/>
      <c r="T982" s="213"/>
      <c r="U982" s="213"/>
      <c r="V982" s="213"/>
      <c r="W982" s="213"/>
      <c r="X982" s="213"/>
      <c r="Y982" s="213"/>
      <c r="Z982" s="213"/>
      <c r="AA982" s="213"/>
      <c r="AB982" s="213"/>
      <c r="AC982" s="213"/>
      <c r="AD982" s="213"/>
      <c r="AE982" s="213"/>
      <c r="AF982" s="213"/>
      <c r="AG982" s="213"/>
      <c r="AH982" s="213"/>
      <c r="AI982" s="213"/>
      <c r="AJ982" s="213"/>
      <c r="AK982" s="213"/>
      <c r="AL982" s="213"/>
      <c r="AM982" s="213"/>
      <c r="AN982" s="302"/>
      <c r="AO982" s="303"/>
      <c r="AP982" s="285"/>
      <c r="AQ982" s="258"/>
      <c r="AR982" s="258"/>
    </row>
    <row r="983" spans="10:44" s="48" customFormat="1" ht="12" hidden="1" customHeight="1">
      <c r="J983" s="213"/>
      <c r="K983" s="213"/>
      <c r="L983" s="213"/>
      <c r="M983" s="213"/>
      <c r="N983" s="213"/>
      <c r="O983" s="213"/>
      <c r="P983" s="213"/>
      <c r="Q983" s="213"/>
      <c r="R983" s="213"/>
      <c r="S983" s="213"/>
      <c r="T983" s="213"/>
      <c r="U983" s="213"/>
      <c r="V983" s="213"/>
      <c r="W983" s="213"/>
      <c r="X983" s="213"/>
      <c r="Y983" s="213"/>
      <c r="Z983" s="213"/>
      <c r="AA983" s="213"/>
      <c r="AB983" s="213"/>
      <c r="AC983" s="213"/>
      <c r="AD983" s="213"/>
      <c r="AE983" s="213"/>
      <c r="AF983" s="213"/>
      <c r="AG983" s="213"/>
      <c r="AH983" s="213"/>
      <c r="AI983" s="213"/>
      <c r="AJ983" s="213"/>
      <c r="AK983" s="213"/>
      <c r="AL983" s="213"/>
      <c r="AM983" s="213"/>
      <c r="AN983" s="302"/>
      <c r="AO983" s="303"/>
      <c r="AP983" s="285"/>
      <c r="AQ983" s="258"/>
      <c r="AR983" s="258"/>
    </row>
    <row r="984" spans="10:44" s="48" customFormat="1" ht="12" hidden="1" customHeight="1">
      <c r="J984" s="213"/>
      <c r="K984" s="213"/>
      <c r="L984" s="213"/>
      <c r="M984" s="213"/>
      <c r="N984" s="213"/>
      <c r="O984" s="213"/>
      <c r="P984" s="213"/>
      <c r="Q984" s="213"/>
      <c r="R984" s="213"/>
      <c r="S984" s="213"/>
      <c r="T984" s="213"/>
      <c r="U984" s="213"/>
      <c r="V984" s="213"/>
      <c r="W984" s="213"/>
      <c r="X984" s="213"/>
      <c r="Y984" s="213"/>
      <c r="Z984" s="213"/>
      <c r="AA984" s="213"/>
      <c r="AB984" s="213"/>
      <c r="AC984" s="213"/>
      <c r="AD984" s="213"/>
      <c r="AE984" s="213"/>
      <c r="AF984" s="213"/>
      <c r="AG984" s="213"/>
      <c r="AH984" s="213"/>
      <c r="AI984" s="213"/>
      <c r="AJ984" s="213"/>
      <c r="AK984" s="213"/>
      <c r="AL984" s="213"/>
      <c r="AM984" s="213"/>
      <c r="AN984" s="302"/>
      <c r="AO984" s="303"/>
      <c r="AP984" s="285"/>
      <c r="AQ984" s="258"/>
      <c r="AR984" s="258"/>
    </row>
    <row r="985" spans="10:44" s="48" customFormat="1" ht="12" hidden="1" customHeight="1">
      <c r="J985" s="213"/>
      <c r="K985" s="213"/>
      <c r="L985" s="213"/>
      <c r="M985" s="213"/>
      <c r="N985" s="213"/>
      <c r="O985" s="213"/>
      <c r="P985" s="213"/>
      <c r="Q985" s="213"/>
      <c r="R985" s="213"/>
      <c r="S985" s="213"/>
      <c r="T985" s="213"/>
      <c r="U985" s="213"/>
      <c r="V985" s="213"/>
      <c r="W985" s="213"/>
      <c r="X985" s="213"/>
      <c r="Y985" s="213"/>
      <c r="Z985" s="213"/>
      <c r="AA985" s="213"/>
      <c r="AB985" s="213"/>
      <c r="AC985" s="213"/>
      <c r="AD985" s="213"/>
      <c r="AE985" s="213"/>
      <c r="AF985" s="213"/>
      <c r="AG985" s="213"/>
      <c r="AH985" s="213"/>
      <c r="AI985" s="213"/>
      <c r="AJ985" s="213"/>
      <c r="AK985" s="213"/>
      <c r="AL985" s="213"/>
      <c r="AM985" s="213"/>
      <c r="AN985" s="302"/>
      <c r="AO985" s="303"/>
      <c r="AP985" s="285"/>
      <c r="AQ985" s="258"/>
      <c r="AR985" s="258"/>
    </row>
    <row r="986" spans="10:44" s="48" customFormat="1" ht="12" hidden="1" customHeight="1">
      <c r="J986" s="213"/>
      <c r="K986" s="213"/>
      <c r="L986" s="213"/>
      <c r="M986" s="213"/>
      <c r="N986" s="213"/>
      <c r="O986" s="213"/>
      <c r="P986" s="213"/>
      <c r="Q986" s="213"/>
      <c r="R986" s="213"/>
      <c r="S986" s="213"/>
      <c r="T986" s="213"/>
      <c r="U986" s="213"/>
      <c r="V986" s="213"/>
      <c r="W986" s="213"/>
      <c r="X986" s="213"/>
      <c r="Y986" s="213"/>
      <c r="Z986" s="213"/>
      <c r="AA986" s="213"/>
      <c r="AB986" s="213"/>
      <c r="AC986" s="213"/>
      <c r="AD986" s="213"/>
      <c r="AE986" s="213"/>
      <c r="AF986" s="213"/>
      <c r="AG986" s="213"/>
      <c r="AH986" s="213"/>
      <c r="AI986" s="213"/>
      <c r="AJ986" s="213"/>
      <c r="AK986" s="213"/>
      <c r="AL986" s="213"/>
      <c r="AM986" s="213"/>
      <c r="AN986" s="302"/>
      <c r="AO986" s="303"/>
      <c r="AP986" s="285"/>
      <c r="AQ986" s="258"/>
      <c r="AR986" s="258"/>
    </row>
    <row r="987" spans="10:44" s="48" customFormat="1" ht="12" hidden="1" customHeight="1">
      <c r="J987" s="213"/>
      <c r="K987" s="213"/>
      <c r="L987" s="213"/>
      <c r="M987" s="213"/>
      <c r="N987" s="213"/>
      <c r="O987" s="213"/>
      <c r="P987" s="213"/>
      <c r="Q987" s="213"/>
      <c r="R987" s="213"/>
      <c r="S987" s="213"/>
      <c r="T987" s="213"/>
      <c r="U987" s="213"/>
      <c r="V987" s="213"/>
      <c r="W987" s="213"/>
      <c r="X987" s="213"/>
      <c r="Y987" s="213"/>
      <c r="Z987" s="213"/>
      <c r="AA987" s="213"/>
      <c r="AB987" s="213"/>
      <c r="AC987" s="213"/>
      <c r="AD987" s="213"/>
      <c r="AE987" s="213"/>
      <c r="AF987" s="213"/>
      <c r="AG987" s="213"/>
      <c r="AH987" s="213"/>
      <c r="AI987" s="213"/>
      <c r="AJ987" s="213"/>
      <c r="AK987" s="213"/>
      <c r="AL987" s="213"/>
      <c r="AM987" s="213"/>
      <c r="AN987" s="302"/>
      <c r="AO987" s="303"/>
      <c r="AP987" s="285"/>
      <c r="AQ987" s="258"/>
      <c r="AR987" s="258"/>
    </row>
    <row r="988" spans="10:44" s="48" customFormat="1" ht="12" hidden="1" customHeight="1">
      <c r="J988" s="213"/>
      <c r="K988" s="213"/>
      <c r="L988" s="213"/>
      <c r="M988" s="213"/>
      <c r="N988" s="213"/>
      <c r="O988" s="213"/>
      <c r="P988" s="213"/>
      <c r="Q988" s="213"/>
      <c r="R988" s="213"/>
      <c r="S988" s="213"/>
      <c r="T988" s="213"/>
      <c r="U988" s="213"/>
      <c r="V988" s="213"/>
      <c r="W988" s="213"/>
      <c r="X988" s="213"/>
      <c r="Y988" s="213"/>
      <c r="Z988" s="213"/>
      <c r="AA988" s="213"/>
      <c r="AB988" s="213"/>
      <c r="AC988" s="213"/>
      <c r="AD988" s="213"/>
      <c r="AE988" s="213"/>
      <c r="AF988" s="213"/>
      <c r="AG988" s="213"/>
      <c r="AH988" s="213"/>
      <c r="AI988" s="213"/>
      <c r="AJ988" s="213"/>
      <c r="AK988" s="213"/>
      <c r="AL988" s="213"/>
      <c r="AM988" s="213"/>
      <c r="AN988" s="302"/>
      <c r="AO988" s="303"/>
      <c r="AP988" s="285"/>
      <c r="AQ988" s="258"/>
      <c r="AR988" s="258"/>
    </row>
    <row r="989" spans="10:44" s="48" customFormat="1" ht="12" hidden="1" customHeight="1">
      <c r="J989" s="213"/>
      <c r="K989" s="213"/>
      <c r="L989" s="213"/>
      <c r="M989" s="213"/>
      <c r="N989" s="213"/>
      <c r="O989" s="213"/>
      <c r="P989" s="213"/>
      <c r="Q989" s="213"/>
      <c r="R989" s="213"/>
      <c r="S989" s="213"/>
      <c r="T989" s="213"/>
      <c r="U989" s="213"/>
      <c r="V989" s="213"/>
      <c r="W989" s="213"/>
      <c r="X989" s="213"/>
      <c r="Y989" s="213"/>
      <c r="Z989" s="213"/>
      <c r="AA989" s="213"/>
      <c r="AB989" s="213"/>
      <c r="AC989" s="213"/>
      <c r="AD989" s="213"/>
      <c r="AE989" s="213"/>
      <c r="AF989" s="213"/>
      <c r="AG989" s="213"/>
      <c r="AH989" s="213"/>
      <c r="AI989" s="213"/>
      <c r="AJ989" s="213"/>
      <c r="AK989" s="213"/>
      <c r="AL989" s="213"/>
      <c r="AM989" s="213"/>
      <c r="AN989" s="302"/>
      <c r="AO989" s="303"/>
      <c r="AP989" s="285"/>
      <c r="AQ989" s="258"/>
      <c r="AR989" s="258"/>
    </row>
    <row r="990" spans="10:44" s="48" customFormat="1" ht="12" hidden="1" customHeight="1">
      <c r="J990" s="213"/>
      <c r="K990" s="213"/>
      <c r="L990" s="213"/>
      <c r="M990" s="213"/>
      <c r="N990" s="213"/>
      <c r="O990" s="213"/>
      <c r="P990" s="213"/>
      <c r="Q990" s="213"/>
      <c r="R990" s="213"/>
      <c r="S990" s="213"/>
      <c r="T990" s="213"/>
      <c r="U990" s="213"/>
      <c r="V990" s="213"/>
      <c r="W990" s="213"/>
      <c r="X990" s="213"/>
      <c r="Y990" s="213"/>
      <c r="Z990" s="213"/>
      <c r="AA990" s="213"/>
      <c r="AB990" s="213"/>
      <c r="AC990" s="213"/>
      <c r="AD990" s="213"/>
      <c r="AE990" s="213"/>
      <c r="AF990" s="213"/>
      <c r="AG990" s="213"/>
      <c r="AH990" s="213"/>
      <c r="AI990" s="213"/>
      <c r="AJ990" s="213"/>
      <c r="AK990" s="213"/>
      <c r="AL990" s="213"/>
      <c r="AM990" s="213"/>
      <c r="AN990" s="302"/>
      <c r="AO990" s="303"/>
      <c r="AP990" s="285"/>
      <c r="AQ990" s="258"/>
      <c r="AR990" s="258"/>
    </row>
    <row r="991" spans="10:44" s="48" customFormat="1" ht="12" hidden="1" customHeight="1">
      <c r="J991" s="213"/>
      <c r="K991" s="213"/>
      <c r="L991" s="213"/>
      <c r="M991" s="213"/>
      <c r="N991" s="213"/>
      <c r="O991" s="213"/>
      <c r="P991" s="213"/>
      <c r="Q991" s="213"/>
      <c r="R991" s="213"/>
      <c r="S991" s="213"/>
      <c r="T991" s="213"/>
      <c r="U991" s="213"/>
      <c r="V991" s="213"/>
      <c r="W991" s="213"/>
      <c r="X991" s="213"/>
      <c r="Y991" s="213"/>
      <c r="Z991" s="213"/>
      <c r="AA991" s="213"/>
      <c r="AB991" s="213"/>
      <c r="AC991" s="213"/>
      <c r="AD991" s="213"/>
      <c r="AE991" s="213"/>
      <c r="AF991" s="213"/>
      <c r="AG991" s="213"/>
      <c r="AH991" s="213"/>
      <c r="AI991" s="213"/>
      <c r="AJ991" s="213"/>
      <c r="AK991" s="213"/>
      <c r="AL991" s="213"/>
      <c r="AM991" s="213"/>
      <c r="AN991" s="302"/>
      <c r="AO991" s="303"/>
      <c r="AP991" s="285"/>
      <c r="AQ991" s="258"/>
      <c r="AR991" s="258"/>
    </row>
    <row r="992" spans="10:44" s="48" customFormat="1" ht="12" hidden="1" customHeight="1">
      <c r="J992" s="213"/>
      <c r="K992" s="213"/>
      <c r="L992" s="213"/>
      <c r="M992" s="213"/>
      <c r="N992" s="213"/>
      <c r="O992" s="213"/>
      <c r="P992" s="213"/>
      <c r="Q992" s="213"/>
      <c r="R992" s="213"/>
      <c r="S992" s="213"/>
      <c r="T992" s="213"/>
      <c r="U992" s="213"/>
      <c r="V992" s="213"/>
      <c r="W992" s="213"/>
      <c r="X992" s="213"/>
      <c r="Y992" s="213"/>
      <c r="Z992" s="213"/>
      <c r="AA992" s="213"/>
      <c r="AB992" s="213"/>
      <c r="AC992" s="213"/>
      <c r="AD992" s="213"/>
      <c r="AE992" s="213"/>
      <c r="AF992" s="213"/>
      <c r="AG992" s="213"/>
      <c r="AH992" s="213"/>
      <c r="AI992" s="213"/>
      <c r="AJ992" s="213"/>
      <c r="AK992" s="213"/>
      <c r="AL992" s="213"/>
      <c r="AM992" s="213"/>
      <c r="AN992" s="302"/>
      <c r="AO992" s="303"/>
      <c r="AP992" s="285"/>
      <c r="AQ992" s="258"/>
      <c r="AR992" s="258"/>
    </row>
    <row r="993" spans="10:44" s="48" customFormat="1" ht="12" hidden="1" customHeight="1">
      <c r="J993" s="213"/>
      <c r="K993" s="213"/>
      <c r="L993" s="213"/>
      <c r="M993" s="213"/>
      <c r="N993" s="213"/>
      <c r="O993" s="213"/>
      <c r="P993" s="213"/>
      <c r="Q993" s="213"/>
      <c r="R993" s="213"/>
      <c r="S993" s="213"/>
      <c r="T993" s="213"/>
      <c r="U993" s="213"/>
      <c r="V993" s="213"/>
      <c r="W993" s="213"/>
      <c r="X993" s="213"/>
      <c r="Y993" s="213"/>
      <c r="Z993" s="213"/>
      <c r="AA993" s="213"/>
      <c r="AB993" s="213"/>
      <c r="AC993" s="213"/>
      <c r="AD993" s="213"/>
      <c r="AE993" s="213"/>
      <c r="AF993" s="213"/>
      <c r="AG993" s="213"/>
      <c r="AH993" s="213"/>
      <c r="AI993" s="213"/>
      <c r="AJ993" s="213"/>
      <c r="AK993" s="213"/>
      <c r="AL993" s="213"/>
      <c r="AM993" s="213"/>
      <c r="AN993" s="302"/>
      <c r="AO993" s="303"/>
      <c r="AP993" s="285"/>
      <c r="AQ993" s="258"/>
      <c r="AR993" s="258"/>
    </row>
    <row r="994" spans="10:44" s="48" customFormat="1" ht="12" hidden="1" customHeight="1">
      <c r="J994" s="213"/>
      <c r="K994" s="213"/>
      <c r="L994" s="213"/>
      <c r="M994" s="213"/>
      <c r="N994" s="213"/>
      <c r="O994" s="213"/>
      <c r="P994" s="213"/>
      <c r="Q994" s="213"/>
      <c r="R994" s="213"/>
      <c r="S994" s="213"/>
      <c r="T994" s="213"/>
      <c r="U994" s="213"/>
      <c r="V994" s="213"/>
      <c r="W994" s="213"/>
      <c r="X994" s="213"/>
      <c r="Y994" s="213"/>
      <c r="Z994" s="213"/>
      <c r="AA994" s="213"/>
      <c r="AB994" s="213"/>
      <c r="AC994" s="213"/>
      <c r="AD994" s="213"/>
      <c r="AE994" s="213"/>
      <c r="AF994" s="213"/>
      <c r="AG994" s="213"/>
      <c r="AH994" s="213"/>
      <c r="AI994" s="213"/>
      <c r="AJ994" s="213"/>
      <c r="AK994" s="213"/>
      <c r="AL994" s="213"/>
      <c r="AM994" s="213"/>
      <c r="AN994" s="302"/>
      <c r="AO994" s="303"/>
      <c r="AP994" s="285"/>
      <c r="AQ994" s="258"/>
      <c r="AR994" s="258"/>
    </row>
    <row r="995" spans="10:44" s="48" customFormat="1" ht="12" hidden="1" customHeight="1">
      <c r="J995" s="213"/>
      <c r="K995" s="213"/>
      <c r="L995" s="213"/>
      <c r="M995" s="213"/>
      <c r="N995" s="213"/>
      <c r="O995" s="213"/>
      <c r="P995" s="213"/>
      <c r="Q995" s="213"/>
      <c r="R995" s="213"/>
      <c r="S995" s="213"/>
      <c r="T995" s="213"/>
      <c r="U995" s="213"/>
      <c r="V995" s="213"/>
      <c r="W995" s="213"/>
      <c r="X995" s="213"/>
      <c r="Y995" s="213"/>
      <c r="Z995" s="213"/>
      <c r="AA995" s="213"/>
      <c r="AB995" s="213"/>
      <c r="AC995" s="213"/>
      <c r="AD995" s="213"/>
      <c r="AE995" s="213"/>
      <c r="AF995" s="213"/>
      <c r="AG995" s="213"/>
      <c r="AH995" s="213"/>
      <c r="AI995" s="213"/>
      <c r="AJ995" s="213"/>
      <c r="AK995" s="213"/>
      <c r="AL995" s="213"/>
      <c r="AM995" s="213"/>
      <c r="AN995" s="302"/>
      <c r="AO995" s="303"/>
      <c r="AP995" s="285"/>
      <c r="AQ995" s="258"/>
      <c r="AR995" s="258"/>
    </row>
    <row r="996" spans="10:44" s="48" customFormat="1" ht="12" hidden="1" customHeight="1">
      <c r="J996" s="213"/>
      <c r="K996" s="213"/>
      <c r="L996" s="213"/>
      <c r="M996" s="213"/>
      <c r="N996" s="213"/>
      <c r="O996" s="213"/>
      <c r="P996" s="213"/>
      <c r="Q996" s="213"/>
      <c r="R996" s="213"/>
      <c r="S996" s="213"/>
      <c r="T996" s="213"/>
      <c r="U996" s="213"/>
      <c r="V996" s="213"/>
      <c r="W996" s="213"/>
      <c r="X996" s="213"/>
      <c r="Y996" s="213"/>
      <c r="Z996" s="213"/>
      <c r="AA996" s="213"/>
      <c r="AB996" s="213"/>
      <c r="AC996" s="213"/>
      <c r="AD996" s="213"/>
      <c r="AE996" s="213"/>
      <c r="AF996" s="213"/>
      <c r="AG996" s="213"/>
      <c r="AH996" s="213"/>
      <c r="AI996" s="213"/>
      <c r="AJ996" s="213"/>
      <c r="AK996" s="213"/>
      <c r="AL996" s="213"/>
      <c r="AM996" s="213"/>
      <c r="AN996" s="302"/>
      <c r="AO996" s="303"/>
      <c r="AP996" s="285"/>
      <c r="AQ996" s="258"/>
      <c r="AR996" s="258"/>
    </row>
    <row r="997" spans="10:44" s="48" customFormat="1" ht="12" hidden="1" customHeight="1">
      <c r="J997" s="213"/>
      <c r="K997" s="213"/>
      <c r="L997" s="213"/>
      <c r="M997" s="213"/>
      <c r="N997" s="213"/>
      <c r="O997" s="213"/>
      <c r="P997" s="213"/>
      <c r="Q997" s="213"/>
      <c r="R997" s="213"/>
      <c r="S997" s="213"/>
      <c r="T997" s="213"/>
      <c r="U997" s="213"/>
      <c r="V997" s="213"/>
      <c r="W997" s="213"/>
      <c r="X997" s="213"/>
      <c r="Y997" s="213"/>
      <c r="Z997" s="213"/>
      <c r="AA997" s="213"/>
      <c r="AB997" s="213"/>
      <c r="AC997" s="213"/>
      <c r="AD997" s="213"/>
      <c r="AE997" s="213"/>
      <c r="AF997" s="213"/>
      <c r="AG997" s="213"/>
      <c r="AH997" s="213"/>
      <c r="AI997" s="213"/>
      <c r="AJ997" s="213"/>
      <c r="AK997" s="213"/>
      <c r="AL997" s="213"/>
      <c r="AM997" s="213"/>
      <c r="AN997" s="302"/>
      <c r="AO997" s="303"/>
      <c r="AP997" s="285"/>
      <c r="AQ997" s="258"/>
      <c r="AR997" s="258"/>
    </row>
    <row r="998" spans="10:44" s="48" customFormat="1" ht="12" hidden="1" customHeight="1">
      <c r="J998" s="213"/>
      <c r="K998" s="213"/>
      <c r="L998" s="213"/>
      <c r="M998" s="213"/>
      <c r="N998" s="213"/>
      <c r="O998" s="213"/>
      <c r="P998" s="213"/>
      <c r="Q998" s="213"/>
      <c r="R998" s="213"/>
      <c r="S998" s="213"/>
      <c r="T998" s="213"/>
      <c r="U998" s="213"/>
      <c r="V998" s="213"/>
      <c r="W998" s="213"/>
      <c r="X998" s="213"/>
      <c r="Y998" s="213"/>
      <c r="Z998" s="213"/>
      <c r="AA998" s="213"/>
      <c r="AB998" s="213"/>
      <c r="AC998" s="213"/>
      <c r="AD998" s="213"/>
      <c r="AE998" s="213"/>
      <c r="AF998" s="213"/>
      <c r="AG998" s="213"/>
      <c r="AH998" s="213"/>
      <c r="AI998" s="213"/>
      <c r="AJ998" s="213"/>
      <c r="AK998" s="213"/>
      <c r="AL998" s="213"/>
      <c r="AM998" s="213"/>
      <c r="AN998" s="302"/>
      <c r="AO998" s="303"/>
      <c r="AP998" s="285"/>
      <c r="AQ998" s="258"/>
      <c r="AR998" s="258"/>
    </row>
    <row r="999" spans="10:44" s="48" customFormat="1" ht="12" hidden="1" customHeight="1">
      <c r="J999" s="213"/>
      <c r="K999" s="213"/>
      <c r="L999" s="213"/>
      <c r="M999" s="213"/>
      <c r="N999" s="213"/>
      <c r="O999" s="213"/>
      <c r="P999" s="213"/>
      <c r="Q999" s="213"/>
      <c r="R999" s="213"/>
      <c r="S999" s="213"/>
      <c r="T999" s="213"/>
      <c r="U999" s="213"/>
      <c r="V999" s="213"/>
      <c r="W999" s="213"/>
      <c r="X999" s="213"/>
      <c r="Y999" s="213"/>
      <c r="Z999" s="213"/>
      <c r="AA999" s="213"/>
      <c r="AB999" s="213"/>
      <c r="AC999" s="213"/>
      <c r="AD999" s="213"/>
      <c r="AE999" s="213"/>
      <c r="AF999" s="213"/>
      <c r="AG999" s="213"/>
      <c r="AH999" s="213"/>
      <c r="AI999" s="213"/>
      <c r="AJ999" s="213"/>
      <c r="AK999" s="213"/>
      <c r="AL999" s="213"/>
      <c r="AM999" s="213"/>
      <c r="AN999" s="302"/>
      <c r="AO999" s="303"/>
      <c r="AP999" s="285"/>
      <c r="AQ999" s="258"/>
      <c r="AR999" s="258"/>
    </row>
    <row r="1000" spans="10:44" s="48" customFormat="1" ht="0.75" customHeight="1">
      <c r="J1000" s="213"/>
      <c r="K1000" s="213"/>
      <c r="L1000" s="213"/>
      <c r="M1000" s="213"/>
      <c r="N1000" s="213"/>
      <c r="O1000" s="213"/>
      <c r="P1000" s="213"/>
      <c r="Q1000" s="213"/>
      <c r="R1000" s="213"/>
      <c r="S1000" s="213"/>
      <c r="T1000" s="213"/>
      <c r="U1000" s="213"/>
      <c r="V1000" s="213"/>
      <c r="W1000" s="213"/>
      <c r="X1000" s="213"/>
      <c r="Y1000" s="213"/>
      <c r="Z1000" s="213"/>
      <c r="AA1000" s="213"/>
      <c r="AB1000" s="213"/>
      <c r="AC1000" s="213"/>
      <c r="AD1000" s="213"/>
      <c r="AE1000" s="213"/>
      <c r="AF1000" s="213"/>
      <c r="AG1000" s="213"/>
      <c r="AH1000" s="213"/>
      <c r="AI1000" s="213"/>
      <c r="AJ1000" s="213"/>
      <c r="AK1000" s="213"/>
      <c r="AL1000" s="213"/>
      <c r="AM1000" s="213"/>
      <c r="AN1000" s="283"/>
      <c r="AO1000" s="215"/>
      <c r="AP1000" s="286"/>
      <c r="AQ1000" s="265"/>
      <c r="AR1000" s="265"/>
    </row>
    <row r="1001" spans="10:44" s="48" customFormat="1">
      <c r="J1001" s="213"/>
      <c r="K1001" s="213"/>
      <c r="L1001" s="213"/>
      <c r="M1001" s="213"/>
      <c r="N1001" s="213"/>
      <c r="O1001" s="213"/>
      <c r="P1001" s="213"/>
      <c r="Q1001" s="213"/>
      <c r="R1001" s="213"/>
      <c r="S1001" s="213"/>
      <c r="T1001" s="213"/>
      <c r="U1001" s="213"/>
      <c r="V1001" s="213"/>
      <c r="W1001" s="213"/>
      <c r="X1001" s="213"/>
      <c r="Y1001" s="213"/>
      <c r="Z1001" s="213"/>
      <c r="AA1001" s="213"/>
      <c r="AB1001" s="213"/>
      <c r="AC1001" s="213"/>
      <c r="AD1001" s="213"/>
      <c r="AE1001" s="213"/>
      <c r="AF1001" s="213"/>
      <c r="AG1001" s="213"/>
      <c r="AH1001" s="213"/>
      <c r="AI1001" s="213"/>
      <c r="AJ1001" s="213"/>
      <c r="AK1001" s="213"/>
      <c r="AL1001" s="213"/>
      <c r="AM1001" s="213"/>
      <c r="AN1001" s="199"/>
      <c r="AP1001" s="121"/>
      <c r="AQ1001" s="121"/>
    </row>
  </sheetData>
  <sheetProtection password="FA9C" sheet="1" objects="1" scenarios="1" formatColumns="0" formatRows="0"/>
  <mergeCells count="4">
    <mergeCell ref="AN9:AP9"/>
    <mergeCell ref="AN11:AN12"/>
    <mergeCell ref="AO11:AO12"/>
    <mergeCell ref="AP11:AP12"/>
  </mergeCells>
  <phoneticPr fontId="8"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sheetPr codeName="HEAT_FUEL_PERIOD1">
    <tabColor rgb="FFFFFF00"/>
    <outlinePr summaryBelow="0"/>
  </sheetPr>
  <dimension ref="A1:AS1001"/>
  <sheetViews>
    <sheetView showGridLines="0" topLeftCell="AK8" workbookViewId="0"/>
  </sheetViews>
  <sheetFormatPr defaultRowHeight="11.25"/>
  <cols>
    <col min="1" max="36" width="2.7109375" hidden="1" customWidth="1"/>
    <col min="37" max="38" width="2.7109375" customWidth="1"/>
    <col min="39" max="39" width="13.7109375" customWidth="1"/>
    <col min="40" max="40" width="60.7109375" customWidth="1"/>
    <col min="41" max="41" width="12.7109375" customWidth="1"/>
    <col min="42" max="42" width="17.7109375" customWidth="1"/>
    <col min="43" max="44" width="0.140625" customWidth="1"/>
    <col min="45" max="46" width="2.7109375" customWidth="1"/>
  </cols>
  <sheetData>
    <row r="1" spans="1:45" s="47" customFormat="1" ht="12" hidden="1" customHeight="1">
      <c r="J1" s="121"/>
      <c r="AM1" s="48"/>
      <c r="AN1" s="49"/>
    </row>
    <row r="2" spans="1:45" s="47" customFormat="1" ht="12" hidden="1" customHeight="1">
      <c r="J2" s="121"/>
      <c r="AM2" s="48"/>
      <c r="AN2" s="49"/>
    </row>
    <row r="3" spans="1:45" s="47" customFormat="1" ht="12" hidden="1" customHeight="1">
      <c r="J3" s="121"/>
      <c r="AM3" s="48"/>
      <c r="AN3" s="49"/>
    </row>
    <row r="4" spans="1:45" s="47" customFormat="1" ht="12" hidden="1" customHeight="1">
      <c r="J4" s="121"/>
      <c r="AM4" s="48"/>
      <c r="AN4" s="49"/>
    </row>
    <row r="5" spans="1:45" s="47" customFormat="1" ht="12" hidden="1" customHeight="1">
      <c r="J5" s="121"/>
      <c r="AM5" s="48"/>
      <c r="AN5" s="49"/>
    </row>
    <row r="6" spans="1:45" s="47" customFormat="1" ht="12" hidden="1" customHeight="1">
      <c r="J6" s="121"/>
      <c r="AM6" s="48"/>
      <c r="AN6" s="49"/>
    </row>
    <row r="7" spans="1:45" s="47" customFormat="1" ht="12" hidden="1" customHeight="1">
      <c r="J7" s="121"/>
      <c r="AM7" s="48"/>
      <c r="AN7" s="49"/>
    </row>
    <row r="8" spans="1:45" s="314" customFormat="1" ht="12" customHeight="1">
      <c r="J8" s="313"/>
      <c r="AM8" s="637">
        <f>IF(TARIFF_SETUP_METHOD_CODE="BY_PSEUDO_YEARS",12,6)</f>
        <v>6</v>
      </c>
      <c r="AN8" s="431" t="str">
        <f>"Необходимо указывать " &amp; IF(TARIFF_SETUP_METHOD_CODE="BY_PSEUDO_YEARS","общегодовые значения","значения по периодам")</f>
        <v>Необходимо указывать значения по периодам</v>
      </c>
      <c r="AP8" s="616" t="s">
        <v>785</v>
      </c>
      <c r="AQ8" s="310"/>
      <c r="AR8" s="310"/>
      <c r="AS8" s="310"/>
    </row>
    <row r="9" spans="1:45"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918" t="str">
        <f>"Фактические расходы организаций " &amp; TEMPLATE_SPHERE &amp; " на топливо на технологические цели по муниципальному образованию - " &amp; IF(mo="","Не определено",mo)</f>
        <v>Фактические расходы организаций водоотведения на топливо на технологические цели по муниципальному образованию - Село Булава</v>
      </c>
      <c r="AN9" s="919"/>
      <c r="AO9" s="919"/>
      <c r="AP9" s="920"/>
      <c r="AQ9" s="201"/>
      <c r="AR9" s="122"/>
      <c r="AS9" s="200"/>
    </row>
    <row r="10" spans="1:45" s="200" customFormat="1" ht="12" customHeight="1">
      <c r="A10" s="191"/>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M10" s="430" t="s">
        <v>2489</v>
      </c>
      <c r="AN10" s="430"/>
      <c r="AO10" s="209"/>
      <c r="AP10" s="214"/>
      <c r="AQ10" s="201"/>
      <c r="AR10" s="168" t="s">
        <v>720</v>
      </c>
    </row>
    <row r="11" spans="1:45" s="47" customFormat="1" ht="12" customHeight="1">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50"/>
      <c r="AM11" s="802" t="s">
        <v>641</v>
      </c>
      <c r="AN11" s="804" t="s">
        <v>787</v>
      </c>
      <c r="AO11" s="821" t="s">
        <v>284</v>
      </c>
      <c r="AP11" s="806" t="s">
        <v>778</v>
      </c>
      <c r="AQ11" s="206">
        <v>0</v>
      </c>
      <c r="AR11" s="206"/>
      <c r="AS11" s="220"/>
    </row>
    <row r="12" spans="1:45" s="47" customFormat="1" ht="48" customHeight="1">
      <c r="A12" s="121"/>
      <c r="B12" s="121"/>
      <c r="C12" s="121"/>
      <c r="D12" s="121"/>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50"/>
      <c r="AM12" s="802"/>
      <c r="AN12" s="804"/>
      <c r="AO12" s="804"/>
      <c r="AP12" s="806"/>
      <c r="AQ12" s="207"/>
      <c r="AR12" s="207"/>
      <c r="AS12" s="220"/>
    </row>
    <row r="13" spans="1:45" s="121" customFormat="1" ht="11.25" hidden="1" customHeight="1">
      <c r="AM13" s="256"/>
      <c r="AN13" s="256"/>
      <c r="AO13" s="256"/>
      <c r="AP13" s="253"/>
      <c r="AQ13" s="207"/>
      <c r="AR13" s="207"/>
      <c r="AS13" s="127"/>
    </row>
    <row r="14" spans="1:45" s="121" customFormat="1" ht="11.25" hidden="1" customHeight="1">
      <c r="AM14" s="256"/>
      <c r="AN14" s="256"/>
      <c r="AO14" s="256"/>
      <c r="AP14" s="253"/>
      <c r="AQ14" s="207"/>
      <c r="AR14" s="207"/>
      <c r="AS14" s="127"/>
    </row>
    <row r="15" spans="1:45" s="121" customFormat="1" ht="11.25" hidden="1" customHeight="1">
      <c r="AM15" s="256"/>
      <c r="AN15" s="256"/>
      <c r="AO15" s="256"/>
      <c r="AP15" s="253"/>
      <c r="AQ15" s="207"/>
      <c r="AR15" s="207"/>
      <c r="AS15" s="127"/>
    </row>
    <row r="16" spans="1:45" s="121" customFormat="1" ht="11.25" hidden="1" customHeight="1">
      <c r="AM16" s="256"/>
      <c r="AN16" s="256"/>
      <c r="AO16" s="256"/>
      <c r="AP16" s="253"/>
      <c r="AQ16" s="207"/>
      <c r="AR16" s="207"/>
      <c r="AS16" s="127"/>
    </row>
    <row r="17" spans="39:45" s="121" customFormat="1" ht="11.25" hidden="1" customHeight="1">
      <c r="AM17" s="256"/>
      <c r="AN17" s="256"/>
      <c r="AO17" s="256"/>
      <c r="AP17" s="253"/>
      <c r="AQ17" s="207"/>
      <c r="AR17" s="207"/>
      <c r="AS17" s="127"/>
    </row>
    <row r="18" spans="39:45" s="121" customFormat="1" ht="11.25" hidden="1" customHeight="1">
      <c r="AM18" s="256"/>
      <c r="AN18" s="256"/>
      <c r="AO18" s="256"/>
      <c r="AP18" s="253"/>
      <c r="AQ18" s="207"/>
      <c r="AR18" s="207"/>
      <c r="AS18" s="127"/>
    </row>
    <row r="19" spans="39:45" s="121" customFormat="1" ht="11.25" hidden="1" customHeight="1">
      <c r="AM19" s="256"/>
      <c r="AN19" s="256"/>
      <c r="AO19" s="256"/>
      <c r="AP19" s="253"/>
      <c r="AQ19" s="207"/>
      <c r="AR19" s="207"/>
      <c r="AS19" s="127"/>
    </row>
    <row r="20" spans="39:45" s="121" customFormat="1" ht="11.25" hidden="1" customHeight="1">
      <c r="AM20" s="256"/>
      <c r="AN20" s="256"/>
      <c r="AO20" s="256"/>
      <c r="AP20" s="253"/>
      <c r="AQ20" s="207"/>
      <c r="AR20" s="207"/>
      <c r="AS20" s="127"/>
    </row>
    <row r="21" spans="39:45" s="121" customFormat="1" ht="11.25" hidden="1" customHeight="1">
      <c r="AM21" s="256"/>
      <c r="AN21" s="256"/>
      <c r="AO21" s="256"/>
      <c r="AP21" s="253"/>
      <c r="AQ21" s="207"/>
      <c r="AR21" s="207"/>
      <c r="AS21" s="127"/>
    </row>
    <row r="22" spans="39:45" s="121" customFormat="1" ht="11.25" hidden="1" customHeight="1">
      <c r="AM22" s="256"/>
      <c r="AN22" s="256"/>
      <c r="AO22" s="256"/>
      <c r="AP22" s="253"/>
      <c r="AQ22" s="207"/>
      <c r="AR22" s="207"/>
      <c r="AS22" s="127"/>
    </row>
    <row r="23" spans="39:45" s="121" customFormat="1" ht="11.25" hidden="1" customHeight="1">
      <c r="AM23" s="256"/>
      <c r="AN23" s="256"/>
      <c r="AO23" s="256"/>
      <c r="AP23" s="253"/>
      <c r="AQ23" s="207"/>
      <c r="AR23" s="207"/>
      <c r="AS23" s="127"/>
    </row>
    <row r="24" spans="39:45" s="121" customFormat="1" ht="11.25" hidden="1" customHeight="1">
      <c r="AM24" s="256"/>
      <c r="AN24" s="256"/>
      <c r="AO24" s="256"/>
      <c r="AP24" s="253"/>
      <c r="AQ24" s="207"/>
      <c r="AR24" s="207"/>
      <c r="AS24" s="127"/>
    </row>
    <row r="25" spans="39:45" s="121" customFormat="1" ht="11.25" hidden="1" customHeight="1">
      <c r="AM25" s="256"/>
      <c r="AN25" s="256"/>
      <c r="AO25" s="256"/>
      <c r="AP25" s="253"/>
      <c r="AQ25" s="207"/>
      <c r="AR25" s="207"/>
      <c r="AS25" s="127"/>
    </row>
    <row r="26" spans="39:45" s="121" customFormat="1" ht="11.25" hidden="1" customHeight="1">
      <c r="AM26" s="256"/>
      <c r="AN26" s="256"/>
      <c r="AO26" s="256"/>
      <c r="AP26" s="253"/>
      <c r="AQ26" s="207"/>
      <c r="AR26" s="207"/>
      <c r="AS26" s="127"/>
    </row>
    <row r="27" spans="39:45" ht="22.5">
      <c r="AM27" s="449" t="s">
        <v>753</v>
      </c>
      <c r="AN27" s="450" t="s">
        <v>211</v>
      </c>
      <c r="AO27" s="473" t="s">
        <v>786</v>
      </c>
      <c r="AP27" s="305">
        <f>SUM(AQ27:AR27)</f>
        <v>0</v>
      </c>
      <c r="AQ27" s="207"/>
      <c r="AR27" s="207"/>
    </row>
    <row r="28" spans="39:45">
      <c r="AM28" s="451" t="s">
        <v>766</v>
      </c>
      <c r="AN28" s="453" t="s">
        <v>78</v>
      </c>
      <c r="AO28" s="473" t="s">
        <v>786</v>
      </c>
      <c r="AP28" s="305">
        <f>SUM(AQ28:AR28)</f>
        <v>0</v>
      </c>
      <c r="AQ28" s="207"/>
      <c r="AR28" s="207"/>
    </row>
    <row r="29" spans="39:45">
      <c r="AM29" s="451" t="s">
        <v>768</v>
      </c>
      <c r="AN29" s="454" t="s">
        <v>212</v>
      </c>
      <c r="AO29" s="473" t="s">
        <v>786</v>
      </c>
      <c r="AP29" s="305">
        <f>SUM(AQ29:AR29)</f>
        <v>0</v>
      </c>
      <c r="AQ29" s="207"/>
      <c r="AR29" s="207"/>
    </row>
    <row r="30" spans="39:45">
      <c r="AM30" s="451" t="s">
        <v>132</v>
      </c>
      <c r="AN30" s="455" t="s">
        <v>79</v>
      </c>
      <c r="AO30" s="473" t="s">
        <v>786</v>
      </c>
      <c r="AP30" s="305">
        <f>SUM(AQ30:AR30)</f>
        <v>0</v>
      </c>
      <c r="AQ30" s="207"/>
      <c r="AR30" s="207"/>
    </row>
    <row r="31" spans="39:45" ht="11.25" hidden="1" customHeight="1">
      <c r="AM31" s="451"/>
      <c r="AN31" s="455"/>
      <c r="AO31" s="473"/>
      <c r="AP31" s="456"/>
      <c r="AQ31" s="207"/>
      <c r="AR31" s="207"/>
    </row>
    <row r="32" spans="39:45" ht="11.25" hidden="1" customHeight="1">
      <c r="AM32" s="451"/>
      <c r="AN32" s="455"/>
      <c r="AO32" s="473"/>
      <c r="AP32" s="456"/>
      <c r="AQ32" s="207"/>
      <c r="AR32" s="207"/>
    </row>
    <row r="33" spans="39:44" ht="11.25" hidden="1" customHeight="1">
      <c r="AM33" s="451"/>
      <c r="AN33" s="455"/>
      <c r="AO33" s="473"/>
      <c r="AP33" s="456"/>
      <c r="AQ33" s="207"/>
      <c r="AR33" s="207"/>
    </row>
    <row r="34" spans="39:44" ht="11.25" hidden="1" customHeight="1">
      <c r="AM34" s="451"/>
      <c r="AN34" s="455"/>
      <c r="AO34" s="473"/>
      <c r="AP34" s="456"/>
      <c r="AQ34" s="207"/>
      <c r="AR34" s="207"/>
    </row>
    <row r="35" spans="39:44" ht="11.25" hidden="1" customHeight="1">
      <c r="AM35" s="451"/>
      <c r="AN35" s="455"/>
      <c r="AO35" s="473"/>
      <c r="AP35" s="456"/>
      <c r="AQ35" s="207"/>
      <c r="AR35" s="207"/>
    </row>
    <row r="36" spans="39:44" ht="11.25" hidden="1" customHeight="1">
      <c r="AM36" s="451"/>
      <c r="AN36" s="455"/>
      <c r="AO36" s="473"/>
      <c r="AP36" s="456"/>
      <c r="AQ36" s="207"/>
      <c r="AR36" s="207"/>
    </row>
    <row r="37" spans="39:44" ht="11.25" hidden="1" customHeight="1">
      <c r="AM37" s="451"/>
      <c r="AN37" s="455"/>
      <c r="AO37" s="473"/>
      <c r="AP37" s="456"/>
      <c r="AQ37" s="207"/>
      <c r="AR37" s="207"/>
    </row>
    <row r="38" spans="39:44">
      <c r="AM38" s="451" t="s">
        <v>80</v>
      </c>
      <c r="AN38" s="455" t="s">
        <v>81</v>
      </c>
      <c r="AO38" s="473" t="s">
        <v>786</v>
      </c>
      <c r="AP38" s="305">
        <f>SUM(AQ38:AR38)</f>
        <v>0</v>
      </c>
      <c r="AQ38" s="207"/>
      <c r="AR38" s="207"/>
    </row>
    <row r="39" spans="39:44" ht="11.25" hidden="1" customHeight="1">
      <c r="AM39" s="451"/>
      <c r="AN39" s="455"/>
      <c r="AO39" s="473"/>
      <c r="AP39" s="456"/>
      <c r="AQ39" s="207"/>
      <c r="AR39" s="207"/>
    </row>
    <row r="40" spans="39:44" ht="11.25" hidden="1" customHeight="1">
      <c r="AM40" s="451"/>
      <c r="AN40" s="455"/>
      <c r="AO40" s="473"/>
      <c r="AP40" s="456"/>
      <c r="AQ40" s="207"/>
      <c r="AR40" s="207"/>
    </row>
    <row r="41" spans="39:44" ht="11.25" hidden="1" customHeight="1">
      <c r="AM41" s="451"/>
      <c r="AN41" s="455"/>
      <c r="AO41" s="473"/>
      <c r="AP41" s="456"/>
      <c r="AQ41" s="207"/>
      <c r="AR41" s="207"/>
    </row>
    <row r="42" spans="39:44" ht="11.25" hidden="1" customHeight="1">
      <c r="AM42" s="451"/>
      <c r="AN42" s="455"/>
      <c r="AO42" s="473"/>
      <c r="AP42" s="456"/>
      <c r="AQ42" s="207"/>
      <c r="AR42" s="207"/>
    </row>
    <row r="43" spans="39:44" ht="11.25" hidden="1" customHeight="1">
      <c r="AM43" s="451"/>
      <c r="AN43" s="455"/>
      <c r="AO43" s="473"/>
      <c r="AP43" s="456"/>
      <c r="AQ43" s="207"/>
      <c r="AR43" s="207"/>
    </row>
    <row r="44" spans="39:44" ht="11.25" hidden="1" customHeight="1">
      <c r="AM44" s="451"/>
      <c r="AN44" s="455"/>
      <c r="AO44" s="473"/>
      <c r="AP44" s="456"/>
      <c r="AQ44" s="207"/>
      <c r="AR44" s="207"/>
    </row>
    <row r="45" spans="39:44" ht="11.25" hidden="1" customHeight="1">
      <c r="AM45" s="451"/>
      <c r="AN45" s="455"/>
      <c r="AO45" s="473"/>
      <c r="AP45" s="456"/>
      <c r="AQ45" s="207"/>
      <c r="AR45" s="207"/>
    </row>
    <row r="46" spans="39:44">
      <c r="AM46" s="451" t="s">
        <v>82</v>
      </c>
      <c r="AN46" s="455" t="s">
        <v>83</v>
      </c>
      <c r="AO46" s="473" t="s">
        <v>786</v>
      </c>
      <c r="AP46" s="305">
        <f t="shared" ref="AP46:AP58" si="0">SUM(AQ46:AR46)</f>
        <v>0</v>
      </c>
      <c r="AQ46" s="207"/>
      <c r="AR46" s="207"/>
    </row>
    <row r="47" spans="39:44">
      <c r="AM47" s="451" t="s">
        <v>84</v>
      </c>
      <c r="AN47" s="457" t="s">
        <v>85</v>
      </c>
      <c r="AO47" s="473" t="s">
        <v>786</v>
      </c>
      <c r="AP47" s="305">
        <f t="shared" si="0"/>
        <v>0</v>
      </c>
      <c r="AQ47" s="207"/>
      <c r="AR47" s="207"/>
    </row>
    <row r="48" spans="39:44">
      <c r="AM48" s="451" t="s">
        <v>86</v>
      </c>
      <c r="AN48" s="457" t="s">
        <v>87</v>
      </c>
      <c r="AO48" s="473" t="s">
        <v>786</v>
      </c>
      <c r="AP48" s="305">
        <f t="shared" si="0"/>
        <v>0</v>
      </c>
      <c r="AQ48" s="207"/>
      <c r="AR48" s="207"/>
    </row>
    <row r="49" spans="39:44">
      <c r="AM49" s="451" t="s">
        <v>88</v>
      </c>
      <c r="AN49" s="457" t="s">
        <v>89</v>
      </c>
      <c r="AO49" s="473" t="s">
        <v>786</v>
      </c>
      <c r="AP49" s="305">
        <f t="shared" si="0"/>
        <v>0</v>
      </c>
      <c r="AQ49" s="207"/>
      <c r="AR49" s="207"/>
    </row>
    <row r="50" spans="39:44">
      <c r="AM50" s="451" t="s">
        <v>90</v>
      </c>
      <c r="AN50" s="457" t="s">
        <v>91</v>
      </c>
      <c r="AO50" s="473" t="s">
        <v>786</v>
      </c>
      <c r="AP50" s="305">
        <f t="shared" si="0"/>
        <v>0</v>
      </c>
      <c r="AQ50" s="207"/>
      <c r="AR50" s="207"/>
    </row>
    <row r="51" spans="39:44">
      <c r="AM51" s="451" t="s">
        <v>92</v>
      </c>
      <c r="AN51" s="457" t="s">
        <v>93</v>
      </c>
      <c r="AO51" s="473" t="s">
        <v>786</v>
      </c>
      <c r="AP51" s="305">
        <f t="shared" si="0"/>
        <v>0</v>
      </c>
      <c r="AQ51" s="207"/>
      <c r="AR51" s="207"/>
    </row>
    <row r="52" spans="39:44">
      <c r="AM52" s="451" t="s">
        <v>94</v>
      </c>
      <c r="AN52" s="457" t="s">
        <v>95</v>
      </c>
      <c r="AO52" s="473" t="s">
        <v>786</v>
      </c>
      <c r="AP52" s="305">
        <f t="shared" si="0"/>
        <v>0</v>
      </c>
      <c r="AQ52" s="207"/>
      <c r="AR52" s="207"/>
    </row>
    <row r="53" spans="39:44">
      <c r="AM53" s="451" t="s">
        <v>2975</v>
      </c>
      <c r="AN53" s="457" t="s">
        <v>2976</v>
      </c>
      <c r="AO53" s="473" t="s">
        <v>786</v>
      </c>
      <c r="AP53" s="305">
        <f t="shared" si="0"/>
        <v>0</v>
      </c>
      <c r="AQ53" s="207"/>
      <c r="AR53" s="207"/>
    </row>
    <row r="54" spans="39:44">
      <c r="AM54" s="451" t="s">
        <v>2977</v>
      </c>
      <c r="AN54" s="457" t="s">
        <v>2978</v>
      </c>
      <c r="AO54" s="473" t="s">
        <v>786</v>
      </c>
      <c r="AP54" s="305">
        <f t="shared" si="0"/>
        <v>0</v>
      </c>
      <c r="AQ54" s="207"/>
      <c r="AR54" s="207"/>
    </row>
    <row r="55" spans="39:44">
      <c r="AM55" s="451" t="s">
        <v>2979</v>
      </c>
      <c r="AN55" s="457" t="s">
        <v>2980</v>
      </c>
      <c r="AO55" s="473" t="s">
        <v>786</v>
      </c>
      <c r="AP55" s="305">
        <f t="shared" si="0"/>
        <v>0</v>
      </c>
      <c r="AQ55" s="207"/>
      <c r="AR55" s="207"/>
    </row>
    <row r="56" spans="39:44">
      <c r="AM56" s="451" t="s">
        <v>2981</v>
      </c>
      <c r="AN56" s="457" t="s">
        <v>2982</v>
      </c>
      <c r="AO56" s="473" t="s">
        <v>786</v>
      </c>
      <c r="AP56" s="305">
        <f t="shared" si="0"/>
        <v>0</v>
      </c>
      <c r="AQ56" s="207"/>
      <c r="AR56" s="207"/>
    </row>
    <row r="57" spans="39:44">
      <c r="AM57" s="451" t="s">
        <v>2983</v>
      </c>
      <c r="AN57" s="224" t="s">
        <v>2984</v>
      </c>
      <c r="AO57" s="473" t="s">
        <v>786</v>
      </c>
      <c r="AP57" s="305">
        <f t="shared" si="0"/>
        <v>0</v>
      </c>
      <c r="AQ57" s="207"/>
      <c r="AR57" s="207"/>
    </row>
    <row r="58" spans="39:44">
      <c r="AM58" s="451" t="s">
        <v>2989</v>
      </c>
      <c r="AN58" s="224" t="s">
        <v>2990</v>
      </c>
      <c r="AO58" s="473" t="s">
        <v>786</v>
      </c>
      <c r="AP58" s="305">
        <f t="shared" si="0"/>
        <v>0</v>
      </c>
      <c r="AQ58" s="207"/>
      <c r="AR58" s="207"/>
    </row>
    <row r="59" spans="39:44">
      <c r="AM59" s="451" t="s">
        <v>292</v>
      </c>
      <c r="AN59" s="442" t="s">
        <v>291</v>
      </c>
      <c r="AO59" s="473" t="s">
        <v>786</v>
      </c>
      <c r="AP59" s="305">
        <f>SUM(AQ59:AR59)</f>
        <v>0</v>
      </c>
      <c r="AQ59" s="207"/>
      <c r="AR59" s="207"/>
    </row>
    <row r="60" spans="39:44">
      <c r="AM60" s="449" t="s">
        <v>257</v>
      </c>
      <c r="AN60" s="450" t="s">
        <v>213</v>
      </c>
      <c r="AO60" s="473" t="s">
        <v>214</v>
      </c>
      <c r="AP60" s="459">
        <f>IF(AP126=0,0,AP27/AP126)</f>
        <v>0</v>
      </c>
      <c r="AQ60" s="207"/>
      <c r="AR60" s="207"/>
    </row>
    <row r="61" spans="39:44">
      <c r="AM61" s="461" t="str">
        <f>AM60 &amp; ".1"</f>
        <v>4.0.1.1.1</v>
      </c>
      <c r="AN61" s="453" t="s">
        <v>78</v>
      </c>
      <c r="AO61" s="473" t="s">
        <v>214</v>
      </c>
      <c r="AP61" s="459">
        <f>IF(AP127=0,0,AP28/AP127)</f>
        <v>0</v>
      </c>
      <c r="AQ61" s="207"/>
      <c r="AR61" s="207"/>
    </row>
    <row r="62" spans="39:44">
      <c r="AM62" s="461" t="str">
        <f>AM60 &amp; ".2"</f>
        <v>4.0.1.1.2</v>
      </c>
      <c r="AN62" s="454" t="s">
        <v>212</v>
      </c>
      <c r="AO62" s="473" t="s">
        <v>214</v>
      </c>
      <c r="AP62" s="459">
        <f>IF(AP128=0,0,AP29/AP128)</f>
        <v>0</v>
      </c>
      <c r="AQ62" s="207"/>
      <c r="AR62" s="207"/>
    </row>
    <row r="63" spans="39:44">
      <c r="AM63" s="461" t="str">
        <f>AM60 &amp; ".2.1"</f>
        <v>4.0.1.1.2.1</v>
      </c>
      <c r="AN63" s="455" t="s">
        <v>79</v>
      </c>
      <c r="AO63" s="473" t="s">
        <v>214</v>
      </c>
      <c r="AP63" s="459">
        <f>IF(AP129=0,0,AP30/AP129)</f>
        <v>0</v>
      </c>
      <c r="AQ63" s="207"/>
      <c r="AR63" s="207"/>
    </row>
    <row r="64" spans="39:44" ht="11.25" hidden="1" customHeight="1">
      <c r="AM64" s="451"/>
      <c r="AN64" s="455"/>
      <c r="AO64" s="473"/>
      <c r="AP64" s="456"/>
      <c r="AQ64" s="207"/>
      <c r="AR64" s="207"/>
    </row>
    <row r="65" spans="39:44" ht="11.25" hidden="1" customHeight="1">
      <c r="AM65" s="451"/>
      <c r="AN65" s="455"/>
      <c r="AO65" s="473"/>
      <c r="AP65" s="456"/>
      <c r="AQ65" s="207"/>
      <c r="AR65" s="207"/>
    </row>
    <row r="66" spans="39:44" ht="11.25" hidden="1" customHeight="1">
      <c r="AM66" s="451"/>
      <c r="AN66" s="455"/>
      <c r="AO66" s="473"/>
      <c r="AP66" s="456"/>
      <c r="AQ66" s="207"/>
      <c r="AR66" s="207"/>
    </row>
    <row r="67" spans="39:44" ht="11.25" hidden="1" customHeight="1">
      <c r="AM67" s="451"/>
      <c r="AN67" s="455"/>
      <c r="AO67" s="473"/>
      <c r="AP67" s="456"/>
      <c r="AQ67" s="207"/>
      <c r="AR67" s="207"/>
    </row>
    <row r="68" spans="39:44" ht="11.25" hidden="1" customHeight="1">
      <c r="AM68" s="451"/>
      <c r="AN68" s="455"/>
      <c r="AO68" s="473"/>
      <c r="AP68" s="456"/>
      <c r="AQ68" s="207"/>
      <c r="AR68" s="207"/>
    </row>
    <row r="69" spans="39:44" ht="11.25" hidden="1" customHeight="1">
      <c r="AM69" s="451"/>
      <c r="AN69" s="455"/>
      <c r="AO69" s="473"/>
      <c r="AP69" s="456"/>
      <c r="AQ69" s="207"/>
      <c r="AR69" s="207"/>
    </row>
    <row r="70" spans="39:44" ht="11.25" hidden="1" customHeight="1">
      <c r="AM70" s="451"/>
      <c r="AN70" s="455"/>
      <c r="AO70" s="473"/>
      <c r="AP70" s="456"/>
      <c r="AQ70" s="207"/>
      <c r="AR70" s="207"/>
    </row>
    <row r="71" spans="39:44">
      <c r="AM71" s="461" t="str">
        <f>AM60 &amp; ".2.2"</f>
        <v>4.0.1.1.2.2</v>
      </c>
      <c r="AN71" s="455" t="s">
        <v>81</v>
      </c>
      <c r="AO71" s="473" t="s">
        <v>214</v>
      </c>
      <c r="AP71" s="459">
        <f>IF(AP137=0,0,AP38/AP137)</f>
        <v>0</v>
      </c>
      <c r="AQ71" s="207"/>
      <c r="AR71" s="207"/>
    </row>
    <row r="72" spans="39:44" ht="11.25" hidden="1" customHeight="1">
      <c r="AM72" s="451"/>
      <c r="AN72" s="455"/>
      <c r="AO72" s="473"/>
      <c r="AP72" s="456"/>
      <c r="AQ72" s="207"/>
      <c r="AR72" s="207"/>
    </row>
    <row r="73" spans="39:44" ht="11.25" hidden="1" customHeight="1">
      <c r="AM73" s="451"/>
      <c r="AN73" s="455"/>
      <c r="AO73" s="473"/>
      <c r="AP73" s="456"/>
      <c r="AQ73" s="207"/>
      <c r="AR73" s="207"/>
    </row>
    <row r="74" spans="39:44" ht="11.25" hidden="1" customHeight="1">
      <c r="AM74" s="451"/>
      <c r="AN74" s="455"/>
      <c r="AO74" s="473"/>
      <c r="AP74" s="456"/>
      <c r="AQ74" s="207"/>
      <c r="AR74" s="207"/>
    </row>
    <row r="75" spans="39:44" ht="11.25" hidden="1" customHeight="1">
      <c r="AM75" s="451"/>
      <c r="AN75" s="455"/>
      <c r="AO75" s="473"/>
      <c r="AP75" s="456"/>
      <c r="AQ75" s="207"/>
      <c r="AR75" s="207"/>
    </row>
    <row r="76" spans="39:44" ht="11.25" hidden="1" customHeight="1">
      <c r="AM76" s="451"/>
      <c r="AN76" s="455"/>
      <c r="AO76" s="473"/>
      <c r="AP76" s="456"/>
      <c r="AQ76" s="207"/>
      <c r="AR76" s="207"/>
    </row>
    <row r="77" spans="39:44" ht="11.25" hidden="1" customHeight="1">
      <c r="AM77" s="451"/>
      <c r="AN77" s="455"/>
      <c r="AO77" s="473"/>
      <c r="AP77" s="456"/>
      <c r="AQ77" s="207"/>
      <c r="AR77" s="207"/>
    </row>
    <row r="78" spans="39:44" ht="11.25" hidden="1" customHeight="1">
      <c r="AM78" s="451"/>
      <c r="AN78" s="455"/>
      <c r="AO78" s="473"/>
      <c r="AP78" s="456"/>
      <c r="AQ78" s="207"/>
      <c r="AR78" s="207"/>
    </row>
    <row r="79" spans="39:44">
      <c r="AM79" s="461" t="str">
        <f>AM60 &amp; ".2.3"</f>
        <v>4.0.1.1.2.3</v>
      </c>
      <c r="AN79" s="455" t="s">
        <v>83</v>
      </c>
      <c r="AO79" s="473" t="s">
        <v>214</v>
      </c>
      <c r="AP79" s="459">
        <f t="shared" ref="AP79:AP89" si="1">IF(AP145=0,0,AP46/AP145)</f>
        <v>0</v>
      </c>
      <c r="AQ79" s="207"/>
      <c r="AR79" s="207"/>
    </row>
    <row r="80" spans="39:44">
      <c r="AM80" s="461" t="str">
        <f>AM60 &amp; ".3"</f>
        <v>4.0.1.1.3</v>
      </c>
      <c r="AN80" s="457" t="s">
        <v>85</v>
      </c>
      <c r="AO80" s="473" t="s">
        <v>214</v>
      </c>
      <c r="AP80" s="460">
        <f t="shared" si="1"/>
        <v>0</v>
      </c>
      <c r="AQ80" s="207"/>
      <c r="AR80" s="207"/>
    </row>
    <row r="81" spans="39:44">
      <c r="AM81" s="461" t="str">
        <f>AM60 &amp; ".4"</f>
        <v>4.0.1.1.4</v>
      </c>
      <c r="AN81" s="457" t="s">
        <v>87</v>
      </c>
      <c r="AO81" s="473" t="s">
        <v>214</v>
      </c>
      <c r="AP81" s="460">
        <f t="shared" si="1"/>
        <v>0</v>
      </c>
      <c r="AQ81" s="207"/>
      <c r="AR81" s="207"/>
    </row>
    <row r="82" spans="39:44">
      <c r="AM82" s="461" t="str">
        <f>AM60&amp;".5"</f>
        <v>4.0.1.1.5</v>
      </c>
      <c r="AN82" s="457" t="s">
        <v>89</v>
      </c>
      <c r="AO82" s="473" t="s">
        <v>214</v>
      </c>
      <c r="AP82" s="460">
        <f t="shared" si="1"/>
        <v>0</v>
      </c>
      <c r="AQ82" s="207"/>
      <c r="AR82" s="207"/>
    </row>
    <row r="83" spans="39:44">
      <c r="AM83" s="461" t="str">
        <f>AM60 &amp; ".6"</f>
        <v>4.0.1.1.6</v>
      </c>
      <c r="AN83" s="457" t="s">
        <v>91</v>
      </c>
      <c r="AO83" s="473" t="s">
        <v>214</v>
      </c>
      <c r="AP83" s="460">
        <f t="shared" si="1"/>
        <v>0</v>
      </c>
      <c r="AQ83" s="207"/>
      <c r="AR83" s="207"/>
    </row>
    <row r="84" spans="39:44">
      <c r="AM84" s="461" t="str">
        <f>AM60 &amp; ".7"</f>
        <v>4.0.1.1.7</v>
      </c>
      <c r="AN84" s="457" t="s">
        <v>93</v>
      </c>
      <c r="AO84" s="473" t="s">
        <v>214</v>
      </c>
      <c r="AP84" s="460">
        <f t="shared" si="1"/>
        <v>0</v>
      </c>
      <c r="AQ84" s="207"/>
      <c r="AR84" s="207"/>
    </row>
    <row r="85" spans="39:44">
      <c r="AM85" s="461" t="str">
        <f>AM60 &amp; ".8"</f>
        <v>4.0.1.1.8</v>
      </c>
      <c r="AN85" s="457" t="s">
        <v>95</v>
      </c>
      <c r="AO85" s="473" t="s">
        <v>214</v>
      </c>
      <c r="AP85" s="460">
        <f t="shared" si="1"/>
        <v>0</v>
      </c>
      <c r="AQ85" s="207"/>
      <c r="AR85" s="207"/>
    </row>
    <row r="86" spans="39:44">
      <c r="AM86" s="461" t="str">
        <f>AM60 &amp; ".9"</f>
        <v>4.0.1.1.9</v>
      </c>
      <c r="AN86" s="457" t="s">
        <v>2976</v>
      </c>
      <c r="AO86" s="473" t="s">
        <v>214</v>
      </c>
      <c r="AP86" s="460">
        <f t="shared" si="1"/>
        <v>0</v>
      </c>
      <c r="AQ86" s="207"/>
      <c r="AR86" s="207"/>
    </row>
    <row r="87" spans="39:44">
      <c r="AM87" s="461" t="str">
        <f>AM60 &amp; ".10"</f>
        <v>4.0.1.1.10</v>
      </c>
      <c r="AN87" s="457" t="s">
        <v>2978</v>
      </c>
      <c r="AO87" s="473" t="s">
        <v>214</v>
      </c>
      <c r="AP87" s="460">
        <f t="shared" si="1"/>
        <v>0</v>
      </c>
      <c r="AQ87" s="207"/>
      <c r="AR87" s="207"/>
    </row>
    <row r="88" spans="39:44">
      <c r="AM88" s="461" t="str">
        <f>AM60 &amp; ".11"</f>
        <v>4.0.1.1.11</v>
      </c>
      <c r="AN88" s="457" t="s">
        <v>2980</v>
      </c>
      <c r="AO88" s="473" t="s">
        <v>214</v>
      </c>
      <c r="AP88" s="460">
        <f t="shared" si="1"/>
        <v>0</v>
      </c>
      <c r="AQ88" s="207"/>
      <c r="AR88" s="207"/>
    </row>
    <row r="89" spans="39:44">
      <c r="AM89" s="461" t="str">
        <f>AM60 &amp; ".12"</f>
        <v>4.0.1.1.12</v>
      </c>
      <c r="AN89" s="457" t="s">
        <v>2982</v>
      </c>
      <c r="AO89" s="473" t="s">
        <v>214</v>
      </c>
      <c r="AP89" s="460">
        <f t="shared" si="1"/>
        <v>0</v>
      </c>
      <c r="AQ89" s="207"/>
      <c r="AR89" s="207"/>
    </row>
    <row r="90" spans="39:44" ht="11.25" hidden="1" customHeight="1">
      <c r="AM90" s="451"/>
      <c r="AN90" s="455"/>
      <c r="AO90" s="473"/>
      <c r="AP90" s="456"/>
      <c r="AQ90" s="207"/>
      <c r="AR90" s="207"/>
    </row>
    <row r="91" spans="39:44" ht="11.25" hidden="1" customHeight="1">
      <c r="AM91" s="451"/>
      <c r="AN91" s="455"/>
      <c r="AO91" s="473"/>
      <c r="AP91" s="456"/>
      <c r="AQ91" s="207"/>
      <c r="AR91" s="207"/>
    </row>
    <row r="92" spans="39:44">
      <c r="AM92" s="461" t="str">
        <f>AM60 &amp; ".15"</f>
        <v>4.0.1.1.15</v>
      </c>
      <c r="AN92" s="457" t="s">
        <v>291</v>
      </c>
      <c r="AO92" s="473" t="s">
        <v>214</v>
      </c>
      <c r="AP92" s="460">
        <f>IF(AP158=0,0,AP59/AP158)</f>
        <v>0</v>
      </c>
      <c r="AQ92" s="207"/>
      <c r="AR92" s="207"/>
    </row>
    <row r="93" spans="39:44">
      <c r="AM93" s="449" t="s">
        <v>258</v>
      </c>
      <c r="AN93" s="450" t="s">
        <v>215</v>
      </c>
      <c r="AO93" s="473"/>
      <c r="AP93" s="456"/>
      <c r="AQ93" s="207"/>
      <c r="AR93" s="207"/>
    </row>
    <row r="94" spans="39:44">
      <c r="AM94" s="461" t="str">
        <f>AM93 &amp; ".1"</f>
        <v>4.0.1.2.1</v>
      </c>
      <c r="AN94" s="453" t="s">
        <v>78</v>
      </c>
      <c r="AO94" s="473" t="s">
        <v>216</v>
      </c>
      <c r="AP94" s="452">
        <f>AP262+AP401+AP500+AP599</f>
        <v>0</v>
      </c>
      <c r="AQ94" s="207"/>
      <c r="AR94" s="207"/>
    </row>
    <row r="95" spans="39:44" ht="12.75">
      <c r="AM95" s="461" t="str">
        <f>AM93 &amp; ".2"</f>
        <v>4.0.1.2.2</v>
      </c>
      <c r="AN95" s="454" t="s">
        <v>212</v>
      </c>
      <c r="AO95" s="473" t="s">
        <v>285</v>
      </c>
      <c r="AP95" s="452">
        <f>IF(AP227=0,0,AP29/AP227*1000)</f>
        <v>0</v>
      </c>
      <c r="AQ95" s="207"/>
      <c r="AR95" s="207"/>
    </row>
    <row r="96" spans="39:44" ht="12.75">
      <c r="AM96" s="461" t="str">
        <f>AM93 &amp; ".2.1"</f>
        <v>4.0.1.2.2.1</v>
      </c>
      <c r="AN96" s="455" t="s">
        <v>79</v>
      </c>
      <c r="AO96" s="473" t="s">
        <v>285</v>
      </c>
      <c r="AP96" s="452">
        <f>IF(AP228=0,0,AP30/AP228*1000)</f>
        <v>0</v>
      </c>
      <c r="AQ96" s="207"/>
      <c r="AR96" s="207"/>
    </row>
    <row r="97" spans="39:44" ht="11.25" hidden="1" customHeight="1">
      <c r="AM97" s="451"/>
      <c r="AN97" s="455"/>
      <c r="AO97" s="473"/>
      <c r="AP97" s="456"/>
      <c r="AQ97" s="207"/>
      <c r="AR97" s="207"/>
    </row>
    <row r="98" spans="39:44" ht="11.25" hidden="1" customHeight="1">
      <c r="AM98" s="451"/>
      <c r="AN98" s="455"/>
      <c r="AO98" s="473"/>
      <c r="AP98" s="456"/>
      <c r="AQ98" s="207"/>
      <c r="AR98" s="207"/>
    </row>
    <row r="99" spans="39:44" ht="11.25" hidden="1" customHeight="1">
      <c r="AM99" s="451"/>
      <c r="AN99" s="455"/>
      <c r="AO99" s="473"/>
      <c r="AP99" s="456"/>
      <c r="AQ99" s="207"/>
      <c r="AR99" s="207"/>
    </row>
    <row r="100" spans="39:44" ht="11.25" hidden="1" customHeight="1">
      <c r="AM100" s="451"/>
      <c r="AN100" s="455"/>
      <c r="AO100" s="473"/>
      <c r="AP100" s="456"/>
      <c r="AQ100" s="207"/>
      <c r="AR100" s="207"/>
    </row>
    <row r="101" spans="39:44" ht="11.25" hidden="1" customHeight="1">
      <c r="AM101" s="451"/>
      <c r="AN101" s="455"/>
      <c r="AO101" s="473"/>
      <c r="AP101" s="456"/>
      <c r="AQ101" s="207"/>
      <c r="AR101" s="207"/>
    </row>
    <row r="102" spans="39:44" ht="11.25" hidden="1" customHeight="1">
      <c r="AM102" s="451"/>
      <c r="AN102" s="455"/>
      <c r="AO102" s="473"/>
      <c r="AP102" s="456"/>
      <c r="AQ102" s="207"/>
      <c r="AR102" s="207"/>
    </row>
    <row r="103" spans="39:44" ht="11.25" hidden="1" customHeight="1">
      <c r="AM103" s="451"/>
      <c r="AN103" s="455"/>
      <c r="AO103" s="473"/>
      <c r="AP103" s="456"/>
      <c r="AQ103" s="207"/>
      <c r="AR103" s="207"/>
    </row>
    <row r="104" spans="39:44" ht="12.75">
      <c r="AM104" s="461" t="str">
        <f>AM93 &amp; ".2.2"</f>
        <v>4.0.1.2.2.2</v>
      </c>
      <c r="AN104" s="455" t="s">
        <v>81</v>
      </c>
      <c r="AO104" s="473" t="s">
        <v>285</v>
      </c>
      <c r="AP104" s="452">
        <f>IF(AP236=0,0,AP38/AP236*1000)</f>
        <v>0</v>
      </c>
      <c r="AQ104" s="207"/>
      <c r="AR104" s="207"/>
    </row>
    <row r="105" spans="39:44" ht="11.25" hidden="1" customHeight="1">
      <c r="AM105" s="451"/>
      <c r="AN105" s="455"/>
      <c r="AO105" s="473"/>
      <c r="AP105" s="456"/>
      <c r="AQ105" s="207"/>
      <c r="AR105" s="207"/>
    </row>
    <row r="106" spans="39:44" ht="11.25" hidden="1" customHeight="1">
      <c r="AM106" s="451"/>
      <c r="AN106" s="455"/>
      <c r="AO106" s="473"/>
      <c r="AP106" s="456"/>
      <c r="AQ106" s="207"/>
      <c r="AR106" s="207"/>
    </row>
    <row r="107" spans="39:44" ht="11.25" hidden="1" customHeight="1">
      <c r="AM107" s="451"/>
      <c r="AN107" s="455"/>
      <c r="AO107" s="473"/>
      <c r="AP107" s="456"/>
      <c r="AQ107" s="207"/>
      <c r="AR107" s="207"/>
    </row>
    <row r="108" spans="39:44" ht="11.25" hidden="1" customHeight="1">
      <c r="AM108" s="451"/>
      <c r="AN108" s="455"/>
      <c r="AO108" s="473"/>
      <c r="AP108" s="456"/>
      <c r="AQ108" s="207"/>
      <c r="AR108" s="207"/>
    </row>
    <row r="109" spans="39:44" ht="11.25" hidden="1" customHeight="1">
      <c r="AM109" s="451"/>
      <c r="AN109" s="455"/>
      <c r="AO109" s="473"/>
      <c r="AP109" s="456"/>
      <c r="AQ109" s="207"/>
      <c r="AR109" s="207"/>
    </row>
    <row r="110" spans="39:44" ht="11.25" hidden="1" customHeight="1">
      <c r="AM110" s="451"/>
      <c r="AN110" s="455"/>
      <c r="AO110" s="473"/>
      <c r="AP110" s="456"/>
      <c r="AQ110" s="207"/>
      <c r="AR110" s="207"/>
    </row>
    <row r="111" spans="39:44" ht="11.25" hidden="1" customHeight="1">
      <c r="AM111" s="451"/>
      <c r="AN111" s="455"/>
      <c r="AO111" s="473"/>
      <c r="AP111" s="456"/>
      <c r="AQ111" s="207"/>
      <c r="AR111" s="207"/>
    </row>
    <row r="112" spans="39:44" ht="12.75">
      <c r="AM112" s="461" t="str">
        <f>AM93 &amp; ".2.3"</f>
        <v>4.0.1.2.2.3</v>
      </c>
      <c r="AN112" s="455" t="s">
        <v>83</v>
      </c>
      <c r="AO112" s="473" t="s">
        <v>285</v>
      </c>
      <c r="AP112" s="452">
        <f>IF(AP244=0,0,AP46/AP244*1000)</f>
        <v>0</v>
      </c>
      <c r="AQ112" s="207"/>
      <c r="AR112" s="207"/>
    </row>
    <row r="113" spans="39:44">
      <c r="AM113" s="461" t="str">
        <f>AM93 &amp; ".3"</f>
        <v>4.0.1.2.3</v>
      </c>
      <c r="AN113" s="457" t="s">
        <v>85</v>
      </c>
      <c r="AO113" s="473" t="s">
        <v>216</v>
      </c>
      <c r="AP113" s="452">
        <f t="shared" ref="AP113:AP122" si="2">AP281+AP420+AP519+AP618</f>
        <v>0</v>
      </c>
      <c r="AQ113" s="207"/>
      <c r="AR113" s="207"/>
    </row>
    <row r="114" spans="39:44">
      <c r="AM114" s="461" t="str">
        <f>AM93 &amp; ".4"</f>
        <v>4.0.1.2.4</v>
      </c>
      <c r="AN114" s="457" t="s">
        <v>87</v>
      </c>
      <c r="AO114" s="473" t="s">
        <v>216</v>
      </c>
      <c r="AP114" s="452">
        <f t="shared" si="2"/>
        <v>0</v>
      </c>
      <c r="AQ114" s="207"/>
      <c r="AR114" s="207"/>
    </row>
    <row r="115" spans="39:44">
      <c r="AM115" s="461" t="str">
        <f>AM93&amp;".5"</f>
        <v>4.0.1.2.5</v>
      </c>
      <c r="AN115" s="457" t="s">
        <v>89</v>
      </c>
      <c r="AO115" s="473" t="s">
        <v>216</v>
      </c>
      <c r="AP115" s="452">
        <f t="shared" si="2"/>
        <v>0</v>
      </c>
      <c r="AQ115" s="207"/>
      <c r="AR115" s="207"/>
    </row>
    <row r="116" spans="39:44">
      <c r="AM116" s="461" t="str">
        <f>AM93 &amp; ".6"</f>
        <v>4.0.1.2.6</v>
      </c>
      <c r="AN116" s="457" t="s">
        <v>91</v>
      </c>
      <c r="AO116" s="473" t="s">
        <v>216</v>
      </c>
      <c r="AP116" s="452">
        <f t="shared" si="2"/>
        <v>0</v>
      </c>
      <c r="AQ116" s="207"/>
      <c r="AR116" s="207"/>
    </row>
    <row r="117" spans="39:44">
      <c r="AM117" s="461" t="str">
        <f>AM93 &amp; ".7"</f>
        <v>4.0.1.2.7</v>
      </c>
      <c r="AN117" s="457" t="s">
        <v>93</v>
      </c>
      <c r="AO117" s="473" t="s">
        <v>216</v>
      </c>
      <c r="AP117" s="452">
        <f t="shared" si="2"/>
        <v>0</v>
      </c>
      <c r="AQ117" s="207"/>
      <c r="AR117" s="207"/>
    </row>
    <row r="118" spans="39:44">
      <c r="AM118" s="461" t="str">
        <f>AM93 &amp; ".8"</f>
        <v>4.0.1.2.8</v>
      </c>
      <c r="AN118" s="457" t="s">
        <v>95</v>
      </c>
      <c r="AO118" s="473" t="s">
        <v>216</v>
      </c>
      <c r="AP118" s="452">
        <f t="shared" si="2"/>
        <v>0</v>
      </c>
      <c r="AQ118" s="207"/>
      <c r="AR118" s="207"/>
    </row>
    <row r="119" spans="39:44">
      <c r="AM119" s="461" t="str">
        <f>AM93 &amp; ".9"</f>
        <v>4.0.1.2.9</v>
      </c>
      <c r="AN119" s="457" t="s">
        <v>2976</v>
      </c>
      <c r="AO119" s="473" t="s">
        <v>216</v>
      </c>
      <c r="AP119" s="452">
        <f t="shared" si="2"/>
        <v>0</v>
      </c>
      <c r="AQ119" s="207"/>
      <c r="AR119" s="207"/>
    </row>
    <row r="120" spans="39:44">
      <c r="AM120" s="461" t="str">
        <f>AM93 &amp; ".10"</f>
        <v>4.0.1.2.10</v>
      </c>
      <c r="AN120" s="457" t="s">
        <v>2978</v>
      </c>
      <c r="AO120" s="473" t="s">
        <v>216</v>
      </c>
      <c r="AP120" s="452">
        <f t="shared" si="2"/>
        <v>0</v>
      </c>
      <c r="AQ120" s="207"/>
      <c r="AR120" s="207"/>
    </row>
    <row r="121" spans="39:44">
      <c r="AM121" s="461" t="str">
        <f>AM93 &amp; ".11"</f>
        <v>4.0.1.2.11</v>
      </c>
      <c r="AN121" s="457" t="s">
        <v>2980</v>
      </c>
      <c r="AO121" s="473" t="s">
        <v>216</v>
      </c>
      <c r="AP121" s="452">
        <f t="shared" si="2"/>
        <v>0</v>
      </c>
      <c r="AQ121" s="207"/>
      <c r="AR121" s="207"/>
    </row>
    <row r="122" spans="39:44">
      <c r="AM122" s="461" t="str">
        <f>AM93 &amp; ".12"</f>
        <v>4.0.1.2.12</v>
      </c>
      <c r="AN122" s="457" t="s">
        <v>2982</v>
      </c>
      <c r="AO122" s="473" t="s">
        <v>216</v>
      </c>
      <c r="AP122" s="452">
        <f t="shared" si="2"/>
        <v>0</v>
      </c>
      <c r="AQ122" s="207"/>
      <c r="AR122" s="207"/>
    </row>
    <row r="123" spans="39:44" ht="11.25" hidden="1" customHeight="1">
      <c r="AM123" s="451"/>
      <c r="AN123" s="455"/>
      <c r="AO123" s="473"/>
      <c r="AP123" s="456"/>
      <c r="AQ123" s="207"/>
      <c r="AR123" s="207"/>
    </row>
    <row r="124" spans="39:44" ht="11.25" hidden="1" customHeight="1">
      <c r="AM124" s="451"/>
      <c r="AN124" s="455"/>
      <c r="AO124" s="473"/>
      <c r="AP124" s="456"/>
      <c r="AQ124" s="207"/>
      <c r="AR124" s="207"/>
    </row>
    <row r="125" spans="39:44">
      <c r="AM125" s="461" t="str">
        <f>AM93 &amp; ".15"</f>
        <v>4.0.1.2.15</v>
      </c>
      <c r="AN125" s="457" t="s">
        <v>291</v>
      </c>
      <c r="AO125" s="473" t="s">
        <v>216</v>
      </c>
      <c r="AP125" s="452">
        <f>AP293+AP432+AP531+AP630</f>
        <v>0</v>
      </c>
      <c r="AQ125" s="207"/>
      <c r="AR125" s="207"/>
    </row>
    <row r="126" spans="39:44">
      <c r="AM126" s="449" t="s">
        <v>259</v>
      </c>
      <c r="AN126" s="463" t="s">
        <v>217</v>
      </c>
      <c r="AO126" s="473" t="s">
        <v>218</v>
      </c>
      <c r="AP126" s="305">
        <f>SUM(AQ126:AR126)</f>
        <v>0</v>
      </c>
      <c r="AQ126" s="207"/>
      <c r="AR126" s="207"/>
    </row>
    <row r="127" spans="39:44">
      <c r="AM127" s="461" t="str">
        <f>AM126 &amp; ".1"</f>
        <v>4.0.1.3.1</v>
      </c>
      <c r="AN127" s="453" t="s">
        <v>78</v>
      </c>
      <c r="AO127" s="473" t="s">
        <v>218</v>
      </c>
      <c r="AP127" s="305">
        <f>SUM(AQ127:AR127)</f>
        <v>0</v>
      </c>
      <c r="AQ127" s="207"/>
      <c r="AR127" s="207"/>
    </row>
    <row r="128" spans="39:44">
      <c r="AM128" s="461" t="str">
        <f>AM126 &amp; ".2"</f>
        <v>4.0.1.3.2</v>
      </c>
      <c r="AN128" s="454" t="s">
        <v>212</v>
      </c>
      <c r="AO128" s="473" t="s">
        <v>218</v>
      </c>
      <c r="AP128" s="305">
        <f>SUM(AQ128:AR128)</f>
        <v>0</v>
      </c>
      <c r="AQ128" s="207"/>
      <c r="AR128" s="207"/>
    </row>
    <row r="129" spans="39:44">
      <c r="AM129" s="461" t="str">
        <f>AM126 &amp; ".2.1"</f>
        <v>4.0.1.3.2.1</v>
      </c>
      <c r="AN129" s="455" t="s">
        <v>79</v>
      </c>
      <c r="AO129" s="473" t="s">
        <v>218</v>
      </c>
      <c r="AP129" s="305">
        <f>SUM(AQ129:AR129)</f>
        <v>0</v>
      </c>
      <c r="AQ129" s="207"/>
      <c r="AR129" s="207"/>
    </row>
    <row r="130" spans="39:44" ht="11.25" hidden="1" customHeight="1">
      <c r="AM130" s="451"/>
      <c r="AN130" s="455"/>
      <c r="AO130" s="473"/>
      <c r="AP130" s="456"/>
      <c r="AQ130" s="207"/>
      <c r="AR130" s="207"/>
    </row>
    <row r="131" spans="39:44" ht="11.25" hidden="1" customHeight="1">
      <c r="AM131" s="451"/>
      <c r="AN131" s="455"/>
      <c r="AO131" s="473"/>
      <c r="AP131" s="456"/>
      <c r="AQ131" s="207"/>
      <c r="AR131" s="207"/>
    </row>
    <row r="132" spans="39:44" ht="11.25" hidden="1" customHeight="1">
      <c r="AM132" s="451"/>
      <c r="AN132" s="455"/>
      <c r="AO132" s="473"/>
      <c r="AP132" s="456"/>
      <c r="AQ132" s="207"/>
      <c r="AR132" s="207"/>
    </row>
    <row r="133" spans="39:44" ht="11.25" hidden="1" customHeight="1">
      <c r="AM133" s="451"/>
      <c r="AN133" s="455"/>
      <c r="AO133" s="473"/>
      <c r="AP133" s="456"/>
      <c r="AQ133" s="207"/>
      <c r="AR133" s="207"/>
    </row>
    <row r="134" spans="39:44" ht="11.25" hidden="1" customHeight="1">
      <c r="AM134" s="451"/>
      <c r="AN134" s="455"/>
      <c r="AO134" s="473"/>
      <c r="AP134" s="456"/>
      <c r="AQ134" s="207"/>
      <c r="AR134" s="207"/>
    </row>
    <row r="135" spans="39:44" ht="11.25" hidden="1" customHeight="1">
      <c r="AM135" s="451"/>
      <c r="AN135" s="455"/>
      <c r="AO135" s="473"/>
      <c r="AP135" s="456"/>
      <c r="AQ135" s="207"/>
      <c r="AR135" s="207"/>
    </row>
    <row r="136" spans="39:44" ht="11.25" hidden="1" customHeight="1">
      <c r="AM136" s="451"/>
      <c r="AN136" s="455"/>
      <c r="AO136" s="473"/>
      <c r="AP136" s="456"/>
      <c r="AQ136" s="207"/>
      <c r="AR136" s="207"/>
    </row>
    <row r="137" spans="39:44">
      <c r="AM137" s="461" t="str">
        <f>AM126 &amp; ".2.2"</f>
        <v>4.0.1.3.2.2</v>
      </c>
      <c r="AN137" s="455" t="s">
        <v>81</v>
      </c>
      <c r="AO137" s="473" t="s">
        <v>218</v>
      </c>
      <c r="AP137" s="305">
        <f>SUM(AQ137:AR137)</f>
        <v>0</v>
      </c>
      <c r="AQ137" s="207"/>
      <c r="AR137" s="207"/>
    </row>
    <row r="138" spans="39:44" ht="11.25" hidden="1" customHeight="1">
      <c r="AM138" s="451"/>
      <c r="AN138" s="455"/>
      <c r="AO138" s="473"/>
      <c r="AP138" s="456"/>
      <c r="AQ138" s="207"/>
      <c r="AR138" s="207"/>
    </row>
    <row r="139" spans="39:44" ht="11.25" hidden="1" customHeight="1">
      <c r="AM139" s="451"/>
      <c r="AN139" s="455"/>
      <c r="AO139" s="473"/>
      <c r="AP139" s="456"/>
      <c r="AQ139" s="207"/>
      <c r="AR139" s="207"/>
    </row>
    <row r="140" spans="39:44" ht="11.25" hidden="1" customHeight="1">
      <c r="AM140" s="451"/>
      <c r="AN140" s="455"/>
      <c r="AO140" s="473"/>
      <c r="AP140" s="456"/>
      <c r="AQ140" s="207"/>
      <c r="AR140" s="207"/>
    </row>
    <row r="141" spans="39:44" ht="11.25" hidden="1" customHeight="1">
      <c r="AM141" s="451"/>
      <c r="AN141" s="455"/>
      <c r="AO141" s="473"/>
      <c r="AP141" s="456"/>
      <c r="AQ141" s="207"/>
      <c r="AR141" s="207"/>
    </row>
    <row r="142" spans="39:44" ht="11.25" hidden="1" customHeight="1">
      <c r="AM142" s="451"/>
      <c r="AN142" s="455"/>
      <c r="AO142" s="473"/>
      <c r="AP142" s="456"/>
      <c r="AQ142" s="207"/>
      <c r="AR142" s="207"/>
    </row>
    <row r="143" spans="39:44" ht="11.25" hidden="1" customHeight="1">
      <c r="AM143" s="451"/>
      <c r="AN143" s="455"/>
      <c r="AO143" s="473"/>
      <c r="AP143" s="456"/>
      <c r="AQ143" s="207"/>
      <c r="AR143" s="207"/>
    </row>
    <row r="144" spans="39:44" ht="11.25" hidden="1" customHeight="1">
      <c r="AM144" s="451"/>
      <c r="AN144" s="455"/>
      <c r="AO144" s="473"/>
      <c r="AP144" s="456"/>
      <c r="AQ144" s="207"/>
      <c r="AR144" s="207"/>
    </row>
    <row r="145" spans="39:44">
      <c r="AM145" s="461" t="str">
        <f>AM126 &amp; ".2.3"</f>
        <v>4.0.1.3.2.3</v>
      </c>
      <c r="AN145" s="455" t="s">
        <v>83</v>
      </c>
      <c r="AO145" s="473" t="s">
        <v>218</v>
      </c>
      <c r="AP145" s="305">
        <f t="shared" ref="AP145:AP155" si="3">SUM(AQ145:AR145)</f>
        <v>0</v>
      </c>
      <c r="AQ145" s="207"/>
      <c r="AR145" s="207"/>
    </row>
    <row r="146" spans="39:44">
      <c r="AM146" s="461" t="str">
        <f>AM126 &amp; ".3"</f>
        <v>4.0.1.3.3</v>
      </c>
      <c r="AN146" s="457" t="s">
        <v>85</v>
      </c>
      <c r="AO146" s="473" t="s">
        <v>218</v>
      </c>
      <c r="AP146" s="305">
        <f t="shared" si="3"/>
        <v>0</v>
      </c>
      <c r="AQ146" s="207"/>
      <c r="AR146" s="207"/>
    </row>
    <row r="147" spans="39:44">
      <c r="AM147" s="461" t="str">
        <f>AM126 &amp; ".4"</f>
        <v>4.0.1.3.4</v>
      </c>
      <c r="AN147" s="457" t="s">
        <v>87</v>
      </c>
      <c r="AO147" s="473" t="s">
        <v>218</v>
      </c>
      <c r="AP147" s="305">
        <f t="shared" si="3"/>
        <v>0</v>
      </c>
      <c r="AQ147" s="207"/>
      <c r="AR147" s="207"/>
    </row>
    <row r="148" spans="39:44">
      <c r="AM148" s="461" t="str">
        <f>AM126&amp;".5"</f>
        <v>4.0.1.3.5</v>
      </c>
      <c r="AN148" s="457" t="s">
        <v>89</v>
      </c>
      <c r="AO148" s="473" t="s">
        <v>218</v>
      </c>
      <c r="AP148" s="305">
        <f t="shared" si="3"/>
        <v>0</v>
      </c>
      <c r="AQ148" s="207"/>
      <c r="AR148" s="207"/>
    </row>
    <row r="149" spans="39:44">
      <c r="AM149" s="461" t="str">
        <f>AM126 &amp; ".6"</f>
        <v>4.0.1.3.6</v>
      </c>
      <c r="AN149" s="457" t="s">
        <v>91</v>
      </c>
      <c r="AO149" s="473" t="s">
        <v>218</v>
      </c>
      <c r="AP149" s="305">
        <f t="shared" si="3"/>
        <v>0</v>
      </c>
      <c r="AQ149" s="207"/>
      <c r="AR149" s="207"/>
    </row>
    <row r="150" spans="39:44">
      <c r="AM150" s="461" t="str">
        <f>AM126 &amp; ".7"</f>
        <v>4.0.1.3.7</v>
      </c>
      <c r="AN150" s="457" t="s">
        <v>93</v>
      </c>
      <c r="AO150" s="473" t="s">
        <v>218</v>
      </c>
      <c r="AP150" s="305">
        <f t="shared" si="3"/>
        <v>0</v>
      </c>
      <c r="AQ150" s="207"/>
      <c r="AR150" s="207"/>
    </row>
    <row r="151" spans="39:44">
      <c r="AM151" s="461" t="str">
        <f>AM126 &amp; ".8"</f>
        <v>4.0.1.3.8</v>
      </c>
      <c r="AN151" s="457" t="s">
        <v>95</v>
      </c>
      <c r="AO151" s="473" t="s">
        <v>218</v>
      </c>
      <c r="AP151" s="305">
        <f t="shared" si="3"/>
        <v>0</v>
      </c>
      <c r="AQ151" s="207"/>
      <c r="AR151" s="207"/>
    </row>
    <row r="152" spans="39:44">
      <c r="AM152" s="461" t="str">
        <f>AM126 &amp; ".9"</f>
        <v>4.0.1.3.9</v>
      </c>
      <c r="AN152" s="457" t="s">
        <v>2976</v>
      </c>
      <c r="AO152" s="473" t="s">
        <v>218</v>
      </c>
      <c r="AP152" s="305">
        <f t="shared" si="3"/>
        <v>0</v>
      </c>
      <c r="AQ152" s="207"/>
      <c r="AR152" s="207"/>
    </row>
    <row r="153" spans="39:44">
      <c r="AM153" s="461" t="str">
        <f>AM126 &amp; ".10"</f>
        <v>4.0.1.3.10</v>
      </c>
      <c r="AN153" s="457" t="s">
        <v>2978</v>
      </c>
      <c r="AO153" s="473" t="s">
        <v>218</v>
      </c>
      <c r="AP153" s="305">
        <f t="shared" si="3"/>
        <v>0</v>
      </c>
      <c r="AQ153" s="207"/>
      <c r="AR153" s="207"/>
    </row>
    <row r="154" spans="39:44">
      <c r="AM154" s="461" t="str">
        <f>AM126 &amp; ".11"</f>
        <v>4.0.1.3.11</v>
      </c>
      <c r="AN154" s="457" t="s">
        <v>2980</v>
      </c>
      <c r="AO154" s="473" t="s">
        <v>218</v>
      </c>
      <c r="AP154" s="305">
        <f t="shared" si="3"/>
        <v>0</v>
      </c>
      <c r="AQ154" s="207"/>
      <c r="AR154" s="207"/>
    </row>
    <row r="155" spans="39:44">
      <c r="AM155" s="461" t="str">
        <f>AM126 &amp; ".12"</f>
        <v>4.0.1.3.12</v>
      </c>
      <c r="AN155" s="457" t="s">
        <v>2982</v>
      </c>
      <c r="AO155" s="473" t="s">
        <v>218</v>
      </c>
      <c r="AP155" s="305">
        <f t="shared" si="3"/>
        <v>0</v>
      </c>
      <c r="AQ155" s="207"/>
      <c r="AR155" s="207"/>
    </row>
    <row r="156" spans="39:44" ht="11.25" hidden="1" customHeight="1">
      <c r="AM156" s="451"/>
      <c r="AN156" s="455"/>
      <c r="AO156" s="473"/>
      <c r="AP156" s="456"/>
      <c r="AQ156" s="207"/>
      <c r="AR156" s="207"/>
    </row>
    <row r="157" spans="39:44" ht="11.25" hidden="1" customHeight="1">
      <c r="AM157" s="451"/>
      <c r="AN157" s="455"/>
      <c r="AO157" s="473"/>
      <c r="AP157" s="456"/>
      <c r="AQ157" s="207"/>
      <c r="AR157" s="207"/>
    </row>
    <row r="158" spans="39:44">
      <c r="AM158" s="461" t="str">
        <f>AM126 &amp; ".15"</f>
        <v>4.0.1.3.15</v>
      </c>
      <c r="AN158" s="457" t="s">
        <v>291</v>
      </c>
      <c r="AO158" s="473" t="s">
        <v>218</v>
      </c>
      <c r="AP158" s="305">
        <f>SUM(AQ158:AR158)</f>
        <v>0</v>
      </c>
      <c r="AQ158" s="207"/>
      <c r="AR158" s="207"/>
    </row>
    <row r="159" spans="39:44">
      <c r="AM159" s="449" t="s">
        <v>260</v>
      </c>
      <c r="AN159" s="463" t="s">
        <v>219</v>
      </c>
      <c r="AO159" s="473" t="s">
        <v>220</v>
      </c>
      <c r="AP159" s="452">
        <f>SUM(AP160,AP161,AP179:AP188,AP191)</f>
        <v>0</v>
      </c>
      <c r="AQ159" s="207"/>
      <c r="AR159" s="207"/>
    </row>
    <row r="160" spans="39:44">
      <c r="AM160" s="461" t="str">
        <f>AM159 &amp; ".1"</f>
        <v>4.0.1.4.1</v>
      </c>
      <c r="AN160" s="453" t="s">
        <v>78</v>
      </c>
      <c r="AO160" s="473" t="s">
        <v>220</v>
      </c>
      <c r="AP160" s="464">
        <f>IF(AP$126=0,0,AP127/AP$126*100)</f>
        <v>0</v>
      </c>
      <c r="AQ160" s="207"/>
      <c r="AR160" s="207"/>
    </row>
    <row r="161" spans="39:44">
      <c r="AM161" s="461" t="str">
        <f>AM159 &amp; ".2"</f>
        <v>4.0.1.4.2</v>
      </c>
      <c r="AN161" s="454" t="s">
        <v>212</v>
      </c>
      <c r="AO161" s="473" t="s">
        <v>220</v>
      </c>
      <c r="AP161" s="452">
        <f>SUM(AP162:AP178)</f>
        <v>0</v>
      </c>
      <c r="AQ161" s="207"/>
      <c r="AR161" s="207"/>
    </row>
    <row r="162" spans="39:44">
      <c r="AM162" s="461" t="str">
        <f>AM159 &amp; ".2.1"</f>
        <v>4.0.1.4.2.1</v>
      </c>
      <c r="AN162" s="455" t="s">
        <v>79</v>
      </c>
      <c r="AO162" s="473" t="s">
        <v>220</v>
      </c>
      <c r="AP162" s="464">
        <f>IF(AP$126=0,0,AP129/AP$126*100)</f>
        <v>0</v>
      </c>
      <c r="AQ162" s="207"/>
      <c r="AR162" s="207"/>
    </row>
    <row r="163" spans="39:44" ht="11.25" hidden="1" customHeight="1">
      <c r="AM163" s="451"/>
      <c r="AN163" s="455"/>
      <c r="AO163" s="473"/>
      <c r="AP163" s="456"/>
      <c r="AQ163" s="207"/>
      <c r="AR163" s="207"/>
    </row>
    <row r="164" spans="39:44" ht="11.25" hidden="1" customHeight="1">
      <c r="AM164" s="451"/>
      <c r="AN164" s="455"/>
      <c r="AO164" s="473"/>
      <c r="AP164" s="456"/>
      <c r="AQ164" s="207"/>
      <c r="AR164" s="207"/>
    </row>
    <row r="165" spans="39:44" ht="11.25" hidden="1" customHeight="1">
      <c r="AM165" s="451"/>
      <c r="AN165" s="455"/>
      <c r="AO165" s="473"/>
      <c r="AP165" s="456"/>
      <c r="AQ165" s="207"/>
      <c r="AR165" s="207"/>
    </row>
    <row r="166" spans="39:44" ht="11.25" hidden="1" customHeight="1">
      <c r="AM166" s="451"/>
      <c r="AN166" s="455"/>
      <c r="AO166" s="473"/>
      <c r="AP166" s="456"/>
      <c r="AQ166" s="207"/>
      <c r="AR166" s="207"/>
    </row>
    <row r="167" spans="39:44" ht="11.25" hidden="1" customHeight="1">
      <c r="AM167" s="451"/>
      <c r="AN167" s="455"/>
      <c r="AO167" s="473"/>
      <c r="AP167" s="456"/>
      <c r="AQ167" s="207"/>
      <c r="AR167" s="207"/>
    </row>
    <row r="168" spans="39:44" ht="11.25" hidden="1" customHeight="1">
      <c r="AM168" s="451"/>
      <c r="AN168" s="455"/>
      <c r="AO168" s="473"/>
      <c r="AP168" s="456"/>
      <c r="AQ168" s="207"/>
      <c r="AR168" s="207"/>
    </row>
    <row r="169" spans="39:44" ht="11.25" hidden="1" customHeight="1">
      <c r="AM169" s="451"/>
      <c r="AN169" s="455"/>
      <c r="AO169" s="473"/>
      <c r="AP169" s="456"/>
      <c r="AQ169" s="207"/>
      <c r="AR169" s="207"/>
    </row>
    <row r="170" spans="39:44">
      <c r="AM170" s="461" t="str">
        <f>AM159 &amp; ".2.2"</f>
        <v>4.0.1.4.2.2</v>
      </c>
      <c r="AN170" s="455" t="s">
        <v>81</v>
      </c>
      <c r="AO170" s="473" t="s">
        <v>220</v>
      </c>
      <c r="AP170" s="464">
        <f>IF(AP$126=0,0,AP137/AP$126*100)</f>
        <v>0</v>
      </c>
      <c r="AQ170" s="207"/>
      <c r="AR170" s="207"/>
    </row>
    <row r="171" spans="39:44" ht="11.25" hidden="1" customHeight="1">
      <c r="AM171" s="451"/>
      <c r="AN171" s="455"/>
      <c r="AO171" s="473"/>
      <c r="AP171" s="456"/>
      <c r="AQ171" s="207"/>
      <c r="AR171" s="207"/>
    </row>
    <row r="172" spans="39:44" ht="11.25" hidden="1" customHeight="1">
      <c r="AM172" s="451"/>
      <c r="AN172" s="455"/>
      <c r="AO172" s="473"/>
      <c r="AP172" s="456"/>
      <c r="AQ172" s="207"/>
      <c r="AR172" s="207"/>
    </row>
    <row r="173" spans="39:44" ht="11.25" hidden="1" customHeight="1">
      <c r="AM173" s="451"/>
      <c r="AN173" s="455"/>
      <c r="AO173" s="473"/>
      <c r="AP173" s="456"/>
      <c r="AQ173" s="207"/>
      <c r="AR173" s="207"/>
    </row>
    <row r="174" spans="39:44" ht="11.25" hidden="1" customHeight="1">
      <c r="AM174" s="451"/>
      <c r="AN174" s="455"/>
      <c r="AO174" s="473"/>
      <c r="AP174" s="456"/>
      <c r="AQ174" s="207"/>
      <c r="AR174" s="207"/>
    </row>
    <row r="175" spans="39:44" ht="11.25" hidden="1" customHeight="1">
      <c r="AM175" s="451"/>
      <c r="AN175" s="455"/>
      <c r="AO175" s="473"/>
      <c r="AP175" s="456"/>
      <c r="AQ175" s="207"/>
      <c r="AR175" s="207"/>
    </row>
    <row r="176" spans="39:44" ht="11.25" hidden="1" customHeight="1">
      <c r="AM176" s="451"/>
      <c r="AN176" s="455"/>
      <c r="AO176" s="473"/>
      <c r="AP176" s="456"/>
      <c r="AQ176" s="207"/>
      <c r="AR176" s="207"/>
    </row>
    <row r="177" spans="39:44" ht="11.25" hidden="1" customHeight="1">
      <c r="AM177" s="451"/>
      <c r="AN177" s="455"/>
      <c r="AO177" s="473"/>
      <c r="AP177" s="456"/>
      <c r="AQ177" s="207"/>
      <c r="AR177" s="207"/>
    </row>
    <row r="178" spans="39:44">
      <c r="AM178" s="461" t="str">
        <f>AM159 &amp; ".2.3"</f>
        <v>4.0.1.4.2.3</v>
      </c>
      <c r="AN178" s="455" t="s">
        <v>83</v>
      </c>
      <c r="AO178" s="473" t="s">
        <v>220</v>
      </c>
      <c r="AP178" s="464">
        <f t="shared" ref="AP178:AP188" si="4">IF(AP$126=0,0,AP145/AP$126*100)</f>
        <v>0</v>
      </c>
      <c r="AQ178" s="207"/>
      <c r="AR178" s="207"/>
    </row>
    <row r="179" spans="39:44">
      <c r="AM179" s="461" t="str">
        <f>AM159 &amp; ".3"</f>
        <v>4.0.1.4.3</v>
      </c>
      <c r="AN179" s="457" t="s">
        <v>85</v>
      </c>
      <c r="AO179" s="473" t="s">
        <v>220</v>
      </c>
      <c r="AP179" s="460">
        <f t="shared" si="4"/>
        <v>0</v>
      </c>
      <c r="AQ179" s="207"/>
      <c r="AR179" s="207"/>
    </row>
    <row r="180" spans="39:44">
      <c r="AM180" s="461" t="str">
        <f>AM159 &amp; ".4"</f>
        <v>4.0.1.4.4</v>
      </c>
      <c r="AN180" s="457" t="s">
        <v>87</v>
      </c>
      <c r="AO180" s="473" t="s">
        <v>220</v>
      </c>
      <c r="AP180" s="460">
        <f t="shared" si="4"/>
        <v>0</v>
      </c>
      <c r="AQ180" s="207"/>
      <c r="AR180" s="207"/>
    </row>
    <row r="181" spans="39:44">
      <c r="AM181" s="461" t="str">
        <f>AM159&amp;".5"</f>
        <v>4.0.1.4.5</v>
      </c>
      <c r="AN181" s="457" t="s">
        <v>89</v>
      </c>
      <c r="AO181" s="473" t="s">
        <v>220</v>
      </c>
      <c r="AP181" s="460">
        <f t="shared" si="4"/>
        <v>0</v>
      </c>
      <c r="AQ181" s="207"/>
      <c r="AR181" s="207"/>
    </row>
    <row r="182" spans="39:44">
      <c r="AM182" s="461" t="str">
        <f>AM159 &amp; ".6"</f>
        <v>4.0.1.4.6</v>
      </c>
      <c r="AN182" s="457" t="s">
        <v>91</v>
      </c>
      <c r="AO182" s="473" t="s">
        <v>220</v>
      </c>
      <c r="AP182" s="460">
        <f t="shared" si="4"/>
        <v>0</v>
      </c>
      <c r="AQ182" s="207"/>
      <c r="AR182" s="207"/>
    </row>
    <row r="183" spans="39:44">
      <c r="AM183" s="461" t="str">
        <f>AM159 &amp; ".7"</f>
        <v>4.0.1.4.7</v>
      </c>
      <c r="AN183" s="457" t="s">
        <v>93</v>
      </c>
      <c r="AO183" s="473" t="s">
        <v>220</v>
      </c>
      <c r="AP183" s="460">
        <f t="shared" si="4"/>
        <v>0</v>
      </c>
      <c r="AQ183" s="207"/>
      <c r="AR183" s="207"/>
    </row>
    <row r="184" spans="39:44">
      <c r="AM184" s="461" t="str">
        <f>AM159 &amp; ".8"</f>
        <v>4.0.1.4.8</v>
      </c>
      <c r="AN184" s="457" t="s">
        <v>95</v>
      </c>
      <c r="AO184" s="473" t="s">
        <v>220</v>
      </c>
      <c r="AP184" s="460">
        <f t="shared" si="4"/>
        <v>0</v>
      </c>
      <c r="AQ184" s="207"/>
      <c r="AR184" s="207"/>
    </row>
    <row r="185" spans="39:44">
      <c r="AM185" s="461" t="str">
        <f>AM159 &amp; ".9"</f>
        <v>4.0.1.4.9</v>
      </c>
      <c r="AN185" s="457" t="s">
        <v>2976</v>
      </c>
      <c r="AO185" s="473" t="s">
        <v>220</v>
      </c>
      <c r="AP185" s="460">
        <f t="shared" si="4"/>
        <v>0</v>
      </c>
      <c r="AQ185" s="207"/>
      <c r="AR185" s="207"/>
    </row>
    <row r="186" spans="39:44">
      <c r="AM186" s="461" t="str">
        <f>AM159 &amp; ".10"</f>
        <v>4.0.1.4.10</v>
      </c>
      <c r="AN186" s="457" t="s">
        <v>2978</v>
      </c>
      <c r="AO186" s="473" t="s">
        <v>220</v>
      </c>
      <c r="AP186" s="460">
        <f t="shared" si="4"/>
        <v>0</v>
      </c>
      <c r="AQ186" s="207"/>
      <c r="AR186" s="207"/>
    </row>
    <row r="187" spans="39:44">
      <c r="AM187" s="461" t="str">
        <f>AM159 &amp; ".11"</f>
        <v>4.0.1.4.11</v>
      </c>
      <c r="AN187" s="457" t="s">
        <v>2980</v>
      </c>
      <c r="AO187" s="473" t="s">
        <v>220</v>
      </c>
      <c r="AP187" s="460">
        <f t="shared" si="4"/>
        <v>0</v>
      </c>
      <c r="AQ187" s="207"/>
      <c r="AR187" s="207"/>
    </row>
    <row r="188" spans="39:44">
      <c r="AM188" s="461" t="str">
        <f>AM159 &amp; ".12"</f>
        <v>4.0.1.4.12</v>
      </c>
      <c r="AN188" s="457" t="s">
        <v>2982</v>
      </c>
      <c r="AO188" s="473" t="s">
        <v>220</v>
      </c>
      <c r="AP188" s="460">
        <f t="shared" si="4"/>
        <v>0</v>
      </c>
      <c r="AQ188" s="207"/>
      <c r="AR188" s="207"/>
    </row>
    <row r="189" spans="39:44" ht="11.25" hidden="1" customHeight="1">
      <c r="AM189" s="451"/>
      <c r="AN189" s="455"/>
      <c r="AO189" s="473"/>
      <c r="AP189" s="456"/>
      <c r="AQ189" s="207"/>
      <c r="AR189" s="207"/>
    </row>
    <row r="190" spans="39:44" ht="11.25" hidden="1" customHeight="1">
      <c r="AM190" s="451"/>
      <c r="AN190" s="455"/>
      <c r="AO190" s="473"/>
      <c r="AP190" s="456"/>
      <c r="AQ190" s="207"/>
      <c r="AR190" s="207"/>
    </row>
    <row r="191" spans="39:44">
      <c r="AM191" s="461" t="str">
        <f>AM159 &amp; ".15"</f>
        <v>4.0.1.4.15</v>
      </c>
      <c r="AN191" s="457" t="s">
        <v>291</v>
      </c>
      <c r="AO191" s="473" t="s">
        <v>220</v>
      </c>
      <c r="AP191" s="460">
        <f>IF(AP$126=0,0,AP158/AP$126*100)</f>
        <v>0</v>
      </c>
      <c r="AQ191" s="207"/>
      <c r="AR191" s="207"/>
    </row>
    <row r="192" spans="39:44">
      <c r="AM192" s="449" t="s">
        <v>261</v>
      </c>
      <c r="AN192" s="463" t="s">
        <v>221</v>
      </c>
      <c r="AO192" s="473"/>
      <c r="AP192" s="456"/>
      <c r="AQ192" s="207"/>
      <c r="AR192" s="207"/>
    </row>
    <row r="193" spans="39:44">
      <c r="AM193" s="461" t="str">
        <f>AM192 &amp; ".1"</f>
        <v>4.0.1.5.1</v>
      </c>
      <c r="AN193" s="453" t="s">
        <v>78</v>
      </c>
      <c r="AO193" s="473"/>
      <c r="AP193" s="451"/>
      <c r="AQ193" s="207"/>
      <c r="AR193" s="207"/>
    </row>
    <row r="194" spans="39:44">
      <c r="AM194" s="461" t="str">
        <f>AM192 &amp; ".2"</f>
        <v>4.0.1.5.2</v>
      </c>
      <c r="AN194" s="454" t="s">
        <v>212</v>
      </c>
      <c r="AO194" s="473"/>
      <c r="AP194" s="451"/>
      <c r="AQ194" s="207"/>
      <c r="AR194" s="207"/>
    </row>
    <row r="195" spans="39:44">
      <c r="AM195" s="461" t="str">
        <f>AM192 &amp; ".2.1"</f>
        <v>4.0.1.5.2.1</v>
      </c>
      <c r="AN195" s="455" t="s">
        <v>79</v>
      </c>
      <c r="AO195" s="473"/>
      <c r="AP195" s="451"/>
      <c r="AQ195" s="207"/>
      <c r="AR195" s="207"/>
    </row>
    <row r="196" spans="39:44" ht="11.25" hidden="1" customHeight="1">
      <c r="AM196" s="451"/>
      <c r="AN196" s="455"/>
      <c r="AO196" s="473"/>
      <c r="AP196" s="456"/>
      <c r="AQ196" s="207"/>
      <c r="AR196" s="207"/>
    </row>
    <row r="197" spans="39:44" ht="11.25" hidden="1" customHeight="1">
      <c r="AM197" s="451"/>
      <c r="AN197" s="455"/>
      <c r="AO197" s="473"/>
      <c r="AP197" s="456"/>
      <c r="AQ197" s="207"/>
      <c r="AR197" s="207"/>
    </row>
    <row r="198" spans="39:44" ht="11.25" hidden="1" customHeight="1">
      <c r="AM198" s="451"/>
      <c r="AN198" s="455"/>
      <c r="AO198" s="473"/>
      <c r="AP198" s="456"/>
      <c r="AQ198" s="207"/>
      <c r="AR198" s="207"/>
    </row>
    <row r="199" spans="39:44" ht="11.25" hidden="1" customHeight="1">
      <c r="AM199" s="451"/>
      <c r="AN199" s="455"/>
      <c r="AO199" s="473"/>
      <c r="AP199" s="456"/>
      <c r="AQ199" s="207"/>
      <c r="AR199" s="207"/>
    </row>
    <row r="200" spans="39:44" ht="11.25" hidden="1" customHeight="1">
      <c r="AM200" s="451"/>
      <c r="AN200" s="455"/>
      <c r="AO200" s="473"/>
      <c r="AP200" s="456"/>
      <c r="AQ200" s="207"/>
      <c r="AR200" s="207"/>
    </row>
    <row r="201" spans="39:44" ht="11.25" hidden="1" customHeight="1">
      <c r="AM201" s="451"/>
      <c r="AN201" s="455"/>
      <c r="AO201" s="473"/>
      <c r="AP201" s="456"/>
      <c r="AQ201" s="207"/>
      <c r="AR201" s="207"/>
    </row>
    <row r="202" spans="39:44" ht="11.25" hidden="1" customHeight="1">
      <c r="AM202" s="451"/>
      <c r="AN202" s="455"/>
      <c r="AO202" s="473"/>
      <c r="AP202" s="456"/>
      <c r="AQ202" s="207"/>
      <c r="AR202" s="207"/>
    </row>
    <row r="203" spans="39:44">
      <c r="AM203" s="461" t="str">
        <f>AM192 &amp; ".2.2"</f>
        <v>4.0.1.5.2.2</v>
      </c>
      <c r="AN203" s="455" t="s">
        <v>81</v>
      </c>
      <c r="AO203" s="473"/>
      <c r="AP203" s="451"/>
      <c r="AQ203" s="207"/>
      <c r="AR203" s="207"/>
    </row>
    <row r="204" spans="39:44" ht="11.25" hidden="1" customHeight="1">
      <c r="AM204" s="451"/>
      <c r="AN204" s="455"/>
      <c r="AO204" s="473"/>
      <c r="AP204" s="456"/>
      <c r="AQ204" s="207"/>
      <c r="AR204" s="207"/>
    </row>
    <row r="205" spans="39:44" ht="11.25" hidden="1" customHeight="1">
      <c r="AM205" s="451"/>
      <c r="AN205" s="455"/>
      <c r="AO205" s="473"/>
      <c r="AP205" s="456"/>
      <c r="AQ205" s="207"/>
      <c r="AR205" s="207"/>
    </row>
    <row r="206" spans="39:44" ht="11.25" hidden="1" customHeight="1">
      <c r="AM206" s="451"/>
      <c r="AN206" s="455"/>
      <c r="AO206" s="473"/>
      <c r="AP206" s="456"/>
      <c r="AQ206" s="207"/>
      <c r="AR206" s="207"/>
    </row>
    <row r="207" spans="39:44" ht="11.25" hidden="1" customHeight="1">
      <c r="AM207" s="451"/>
      <c r="AN207" s="455"/>
      <c r="AO207" s="473"/>
      <c r="AP207" s="456"/>
      <c r="AQ207" s="207"/>
      <c r="AR207" s="207"/>
    </row>
    <row r="208" spans="39:44" ht="11.25" hidden="1" customHeight="1">
      <c r="AM208" s="451"/>
      <c r="AN208" s="455"/>
      <c r="AO208" s="473"/>
      <c r="AP208" s="456"/>
      <c r="AQ208" s="207"/>
      <c r="AR208" s="207"/>
    </row>
    <row r="209" spans="39:44" ht="11.25" hidden="1" customHeight="1">
      <c r="AM209" s="451"/>
      <c r="AN209" s="455"/>
      <c r="AO209" s="473"/>
      <c r="AP209" s="456"/>
      <c r="AQ209" s="207"/>
      <c r="AR209" s="207"/>
    </row>
    <row r="210" spans="39:44" ht="11.25" hidden="1" customHeight="1">
      <c r="AM210" s="451"/>
      <c r="AN210" s="455"/>
      <c r="AO210" s="473"/>
      <c r="AP210" s="456"/>
      <c r="AQ210" s="207"/>
      <c r="AR210" s="207"/>
    </row>
    <row r="211" spans="39:44">
      <c r="AM211" s="461" t="str">
        <f>AM192 &amp; ".2.3"</f>
        <v>4.0.1.5.2.3</v>
      </c>
      <c r="AN211" s="455" t="s">
        <v>83</v>
      </c>
      <c r="AO211" s="473"/>
      <c r="AP211" s="451"/>
      <c r="AQ211" s="207"/>
      <c r="AR211" s="207"/>
    </row>
    <row r="212" spans="39:44">
      <c r="AM212" s="461" t="str">
        <f>AM192 &amp; ".3"</f>
        <v>4.0.1.5.3</v>
      </c>
      <c r="AN212" s="457" t="s">
        <v>85</v>
      </c>
      <c r="AO212" s="473"/>
      <c r="AP212" s="451"/>
      <c r="AQ212" s="207"/>
      <c r="AR212" s="207"/>
    </row>
    <row r="213" spans="39:44">
      <c r="AM213" s="461" t="str">
        <f>AM192 &amp; ".4"</f>
        <v>4.0.1.5.4</v>
      </c>
      <c r="AN213" s="457" t="s">
        <v>87</v>
      </c>
      <c r="AO213" s="473"/>
      <c r="AP213" s="451"/>
      <c r="AQ213" s="207"/>
      <c r="AR213" s="207"/>
    </row>
    <row r="214" spans="39:44">
      <c r="AM214" s="461" t="str">
        <f>AM192&amp;".5"</f>
        <v>4.0.1.5.5</v>
      </c>
      <c r="AN214" s="457" t="s">
        <v>89</v>
      </c>
      <c r="AO214" s="473"/>
      <c r="AP214" s="451"/>
      <c r="AQ214" s="207"/>
      <c r="AR214" s="207"/>
    </row>
    <row r="215" spans="39:44">
      <c r="AM215" s="461" t="str">
        <f>AM192 &amp; ".6"</f>
        <v>4.0.1.5.6</v>
      </c>
      <c r="AN215" s="457" t="s">
        <v>91</v>
      </c>
      <c r="AO215" s="473"/>
      <c r="AP215" s="451"/>
      <c r="AQ215" s="207"/>
      <c r="AR215" s="207"/>
    </row>
    <row r="216" spans="39:44">
      <c r="AM216" s="461" t="str">
        <f>AM192 &amp; ".7"</f>
        <v>4.0.1.5.7</v>
      </c>
      <c r="AN216" s="457" t="s">
        <v>93</v>
      </c>
      <c r="AO216" s="473"/>
      <c r="AP216" s="451"/>
      <c r="AQ216" s="207"/>
      <c r="AR216" s="207"/>
    </row>
    <row r="217" spans="39:44">
      <c r="AM217" s="461" t="str">
        <f>AM192 &amp; ".8"</f>
        <v>4.0.1.5.8</v>
      </c>
      <c r="AN217" s="457" t="s">
        <v>95</v>
      </c>
      <c r="AO217" s="473"/>
      <c r="AP217" s="451"/>
      <c r="AQ217" s="207"/>
      <c r="AR217" s="207"/>
    </row>
    <row r="218" spans="39:44">
      <c r="AM218" s="461" t="str">
        <f>AM192 &amp; ".9"</f>
        <v>4.0.1.5.9</v>
      </c>
      <c r="AN218" s="457" t="s">
        <v>2976</v>
      </c>
      <c r="AO218" s="473"/>
      <c r="AP218" s="451"/>
      <c r="AQ218" s="207"/>
      <c r="AR218" s="207"/>
    </row>
    <row r="219" spans="39:44">
      <c r="AM219" s="461" t="str">
        <f>AM192 &amp; ".10"</f>
        <v>4.0.1.5.10</v>
      </c>
      <c r="AN219" s="457" t="s">
        <v>2978</v>
      </c>
      <c r="AO219" s="473"/>
      <c r="AP219" s="451"/>
      <c r="AQ219" s="207"/>
      <c r="AR219" s="207"/>
    </row>
    <row r="220" spans="39:44">
      <c r="AM220" s="461" t="str">
        <f>AM192 &amp; ".11"</f>
        <v>4.0.1.5.11</v>
      </c>
      <c r="AN220" s="457" t="s">
        <v>2980</v>
      </c>
      <c r="AO220" s="473"/>
      <c r="AP220" s="451"/>
      <c r="AQ220" s="207"/>
      <c r="AR220" s="207"/>
    </row>
    <row r="221" spans="39:44">
      <c r="AM221" s="461" t="str">
        <f>AM192 &amp; ".12"</f>
        <v>4.0.1.5.12</v>
      </c>
      <c r="AN221" s="457" t="s">
        <v>2982</v>
      </c>
      <c r="AO221" s="473"/>
      <c r="AP221" s="451"/>
      <c r="AQ221" s="207"/>
      <c r="AR221" s="207"/>
    </row>
    <row r="222" spans="39:44" ht="11.25" hidden="1" customHeight="1">
      <c r="AM222" s="451"/>
      <c r="AN222" s="455"/>
      <c r="AO222" s="473"/>
      <c r="AP222" s="456"/>
      <c r="AQ222" s="207"/>
      <c r="AR222" s="207"/>
    </row>
    <row r="223" spans="39:44" ht="11.25" hidden="1" customHeight="1">
      <c r="AM223" s="451"/>
      <c r="AN223" s="455"/>
      <c r="AO223" s="473"/>
      <c r="AP223" s="456"/>
      <c r="AQ223" s="207"/>
      <c r="AR223" s="207"/>
    </row>
    <row r="224" spans="39:44">
      <c r="AM224" s="461" t="str">
        <f>AM192 &amp; ".15"</f>
        <v>4.0.1.5.15</v>
      </c>
      <c r="AN224" s="457" t="s">
        <v>291</v>
      </c>
      <c r="AO224" s="473"/>
      <c r="AP224" s="451"/>
      <c r="AQ224" s="207"/>
      <c r="AR224" s="207"/>
    </row>
    <row r="225" spans="39:44">
      <c r="AM225" s="449" t="s">
        <v>262</v>
      </c>
      <c r="AN225" s="450" t="s">
        <v>222</v>
      </c>
      <c r="AO225" s="473"/>
      <c r="AP225" s="456"/>
      <c r="AQ225" s="207"/>
      <c r="AR225" s="207"/>
    </row>
    <row r="226" spans="39:44">
      <c r="AM226" s="461" t="str">
        <f>AM225 &amp; ".1"</f>
        <v>4.0.1.6.1</v>
      </c>
      <c r="AN226" s="453" t="s">
        <v>78</v>
      </c>
      <c r="AO226" s="473" t="s">
        <v>223</v>
      </c>
      <c r="AP226" s="305">
        <f t="shared" ref="AP226:AP254" si="5">SUM(AQ226:AR226)</f>
        <v>0</v>
      </c>
      <c r="AQ226" s="207"/>
      <c r="AR226" s="207"/>
    </row>
    <row r="227" spans="39:44" ht="12.75">
      <c r="AM227" s="461" t="str">
        <f>AM225 &amp; ".2"</f>
        <v>4.0.1.6.2</v>
      </c>
      <c r="AN227" s="454" t="s">
        <v>212</v>
      </c>
      <c r="AO227" s="473" t="s">
        <v>286</v>
      </c>
      <c r="AP227" s="305">
        <f t="shared" si="5"/>
        <v>0</v>
      </c>
      <c r="AQ227" s="207"/>
      <c r="AR227" s="207"/>
    </row>
    <row r="228" spans="39:44" ht="12.75">
      <c r="AM228" s="461" t="str">
        <f>AM225 &amp; ".2.1"</f>
        <v>4.0.1.6.2.1</v>
      </c>
      <c r="AN228" s="455" t="s">
        <v>79</v>
      </c>
      <c r="AO228" s="473" t="s">
        <v>286</v>
      </c>
      <c r="AP228" s="305">
        <f t="shared" si="5"/>
        <v>0</v>
      </c>
      <c r="AQ228" s="207"/>
      <c r="AR228" s="207"/>
    </row>
    <row r="229" spans="39:44" ht="12.75">
      <c r="AM229" s="461" t="str">
        <f>AM228 &amp; ".1"</f>
        <v>4.0.1.6.2.1.1</v>
      </c>
      <c r="AN229" s="242" t="s">
        <v>2510</v>
      </c>
      <c r="AO229" s="473" t="s">
        <v>286</v>
      </c>
      <c r="AP229" s="305">
        <f t="shared" si="5"/>
        <v>0</v>
      </c>
      <c r="AQ229" s="207"/>
      <c r="AR229" s="207"/>
    </row>
    <row r="230" spans="39:44" ht="12.75">
      <c r="AM230" s="461" t="str">
        <f>AM228 &amp; ".2"</f>
        <v>4.0.1.6.2.1.2</v>
      </c>
      <c r="AN230" s="242" t="s">
        <v>2785</v>
      </c>
      <c r="AO230" s="473" t="s">
        <v>286</v>
      </c>
      <c r="AP230" s="305">
        <f t="shared" si="5"/>
        <v>0</v>
      </c>
      <c r="AQ230" s="207"/>
      <c r="AR230" s="207"/>
    </row>
    <row r="231" spans="39:44" ht="12.75">
      <c r="AM231" s="461" t="str">
        <f>AM228 &amp; ".3"</f>
        <v>4.0.1.6.2.1.3</v>
      </c>
      <c r="AN231" s="242" t="s">
        <v>2786</v>
      </c>
      <c r="AO231" s="473" t="s">
        <v>286</v>
      </c>
      <c r="AP231" s="305">
        <f t="shared" si="5"/>
        <v>0</v>
      </c>
      <c r="AQ231" s="207"/>
      <c r="AR231" s="207"/>
    </row>
    <row r="232" spans="39:44" ht="12.75">
      <c r="AM232" s="461" t="str">
        <f>AM228 &amp; ".4"</f>
        <v>4.0.1.6.2.1.4</v>
      </c>
      <c r="AN232" s="242" t="s">
        <v>2787</v>
      </c>
      <c r="AO232" s="473" t="s">
        <v>286</v>
      </c>
      <c r="AP232" s="305">
        <f t="shared" si="5"/>
        <v>0</v>
      </c>
      <c r="AQ232" s="207"/>
      <c r="AR232" s="207"/>
    </row>
    <row r="233" spans="39:44" ht="12.75">
      <c r="AM233" s="461" t="str">
        <f>AM228 &amp; ".5"</f>
        <v>4.0.1.6.2.1.5</v>
      </c>
      <c r="AN233" s="242" t="s">
        <v>2788</v>
      </c>
      <c r="AO233" s="473" t="s">
        <v>286</v>
      </c>
      <c r="AP233" s="305">
        <f>SUM(AQ233:AR233)</f>
        <v>0</v>
      </c>
      <c r="AQ233" s="207"/>
      <c r="AR233" s="207"/>
    </row>
    <row r="234" spans="39:44" ht="12.75">
      <c r="AM234" s="461" t="str">
        <f>AM228 &amp; ".6"</f>
        <v>4.0.1.6.2.1.6</v>
      </c>
      <c r="AN234" s="242" t="s">
        <v>2789</v>
      </c>
      <c r="AO234" s="473" t="s">
        <v>286</v>
      </c>
      <c r="AP234" s="305">
        <f t="shared" si="5"/>
        <v>0</v>
      </c>
      <c r="AQ234" s="207"/>
      <c r="AR234" s="207"/>
    </row>
    <row r="235" spans="39:44" ht="12.75">
      <c r="AM235" s="461" t="str">
        <f>AM228 &amp; ".7"</f>
        <v>4.0.1.6.2.1.7</v>
      </c>
      <c r="AN235" s="635" t="s">
        <v>2177</v>
      </c>
      <c r="AO235" s="473" t="s">
        <v>286</v>
      </c>
      <c r="AP235" s="305">
        <f t="shared" si="5"/>
        <v>0</v>
      </c>
      <c r="AQ235" s="207"/>
      <c r="AR235" s="207"/>
    </row>
    <row r="236" spans="39:44" ht="12.75">
      <c r="AM236" s="461" t="str">
        <f>AM225 &amp; ".2.2"</f>
        <v>4.0.1.6.2.2</v>
      </c>
      <c r="AN236" s="455" t="s">
        <v>81</v>
      </c>
      <c r="AO236" s="473" t="s">
        <v>286</v>
      </c>
      <c r="AP236" s="305">
        <f t="shared" si="5"/>
        <v>0</v>
      </c>
      <c r="AQ236" s="207"/>
      <c r="AR236" s="207"/>
    </row>
    <row r="237" spans="39:44" ht="12.75">
      <c r="AM237" s="461" t="str">
        <f>AM236 &amp; ".1"</f>
        <v>4.0.1.6.2.2.1</v>
      </c>
      <c r="AN237" s="242" t="s">
        <v>2510</v>
      </c>
      <c r="AO237" s="473" t="s">
        <v>286</v>
      </c>
      <c r="AP237" s="305">
        <f t="shared" si="5"/>
        <v>0</v>
      </c>
      <c r="AQ237" s="207"/>
      <c r="AR237" s="207"/>
    </row>
    <row r="238" spans="39:44" ht="12.75">
      <c r="AM238" s="461" t="str">
        <f>AM236 &amp; ".2"</f>
        <v>4.0.1.6.2.2.2</v>
      </c>
      <c r="AN238" s="242" t="s">
        <v>2785</v>
      </c>
      <c r="AO238" s="473" t="s">
        <v>286</v>
      </c>
      <c r="AP238" s="305">
        <f t="shared" si="5"/>
        <v>0</v>
      </c>
      <c r="AQ238" s="207"/>
      <c r="AR238" s="207"/>
    </row>
    <row r="239" spans="39:44" ht="12.75">
      <c r="AM239" s="461" t="str">
        <f>AM236 &amp; ".3"</f>
        <v>4.0.1.6.2.2.3</v>
      </c>
      <c r="AN239" s="242" t="s">
        <v>2786</v>
      </c>
      <c r="AO239" s="473" t="s">
        <v>286</v>
      </c>
      <c r="AP239" s="305">
        <f t="shared" si="5"/>
        <v>0</v>
      </c>
      <c r="AQ239" s="207"/>
      <c r="AR239" s="207"/>
    </row>
    <row r="240" spans="39:44" ht="12.75">
      <c r="AM240" s="461" t="str">
        <f>AM236 &amp; ".4"</f>
        <v>4.0.1.6.2.2.4</v>
      </c>
      <c r="AN240" s="242" t="s">
        <v>2787</v>
      </c>
      <c r="AO240" s="473" t="s">
        <v>286</v>
      </c>
      <c r="AP240" s="305">
        <f t="shared" si="5"/>
        <v>0</v>
      </c>
      <c r="AQ240" s="207"/>
      <c r="AR240" s="207"/>
    </row>
    <row r="241" spans="39:44" ht="12.75">
      <c r="AM241" s="461" t="str">
        <f>AM236 &amp; ".5"</f>
        <v>4.0.1.6.2.2.5</v>
      </c>
      <c r="AN241" s="242" t="s">
        <v>2788</v>
      </c>
      <c r="AO241" s="473" t="s">
        <v>286</v>
      </c>
      <c r="AP241" s="305">
        <f t="shared" si="5"/>
        <v>0</v>
      </c>
      <c r="AQ241" s="207"/>
      <c r="AR241" s="207"/>
    </row>
    <row r="242" spans="39:44" ht="12.75">
      <c r="AM242" s="461" t="str">
        <f>AM236 &amp; ".6"</f>
        <v>4.0.1.6.2.2.6</v>
      </c>
      <c r="AN242" s="242" t="s">
        <v>2789</v>
      </c>
      <c r="AO242" s="473" t="s">
        <v>286</v>
      </c>
      <c r="AP242" s="305">
        <f t="shared" si="5"/>
        <v>0</v>
      </c>
      <c r="AQ242" s="207"/>
      <c r="AR242" s="207"/>
    </row>
    <row r="243" spans="39:44" ht="12.75">
      <c r="AM243" s="461" t="str">
        <f>AM236 &amp; ".7"</f>
        <v>4.0.1.6.2.2.7</v>
      </c>
      <c r="AN243" s="635" t="s">
        <v>2177</v>
      </c>
      <c r="AO243" s="473" t="s">
        <v>286</v>
      </c>
      <c r="AP243" s="305">
        <f t="shared" si="5"/>
        <v>0</v>
      </c>
      <c r="AQ243" s="207"/>
      <c r="AR243" s="207"/>
    </row>
    <row r="244" spans="39:44" ht="12.75">
      <c r="AM244" s="461" t="str">
        <f>AM225 &amp; ".2.3"</f>
        <v>4.0.1.6.2.3</v>
      </c>
      <c r="AN244" s="455" t="s">
        <v>83</v>
      </c>
      <c r="AO244" s="473" t="s">
        <v>286</v>
      </c>
      <c r="AP244" s="305">
        <f t="shared" si="5"/>
        <v>0</v>
      </c>
      <c r="AQ244" s="207"/>
      <c r="AR244" s="207"/>
    </row>
    <row r="245" spans="39:44">
      <c r="AM245" s="461" t="str">
        <f>AM225 &amp; ".3"</f>
        <v>4.0.1.6.3</v>
      </c>
      <c r="AN245" s="457" t="s">
        <v>85</v>
      </c>
      <c r="AO245" s="473" t="s">
        <v>223</v>
      </c>
      <c r="AP245" s="305">
        <f t="shared" si="5"/>
        <v>0</v>
      </c>
      <c r="AQ245" s="207"/>
      <c r="AR245" s="207"/>
    </row>
    <row r="246" spans="39:44">
      <c r="AM246" s="461" t="str">
        <f>AM225 &amp; ".4"</f>
        <v>4.0.1.6.4</v>
      </c>
      <c r="AN246" s="457" t="s">
        <v>87</v>
      </c>
      <c r="AO246" s="473" t="s">
        <v>223</v>
      </c>
      <c r="AP246" s="305">
        <f t="shared" si="5"/>
        <v>0</v>
      </c>
      <c r="AQ246" s="207"/>
      <c r="AR246" s="207"/>
    </row>
    <row r="247" spans="39:44">
      <c r="AM247" s="461" t="str">
        <f>AM225&amp;".5"</f>
        <v>4.0.1.6.5</v>
      </c>
      <c r="AN247" s="457" t="s">
        <v>89</v>
      </c>
      <c r="AO247" s="473" t="s">
        <v>223</v>
      </c>
      <c r="AP247" s="305">
        <f t="shared" si="5"/>
        <v>0</v>
      </c>
      <c r="AQ247" s="207"/>
      <c r="AR247" s="207"/>
    </row>
    <row r="248" spans="39:44">
      <c r="AM248" s="461" t="str">
        <f>AM225 &amp; ".6"</f>
        <v>4.0.1.6.6</v>
      </c>
      <c r="AN248" s="457" t="s">
        <v>91</v>
      </c>
      <c r="AO248" s="473" t="s">
        <v>223</v>
      </c>
      <c r="AP248" s="305">
        <f t="shared" si="5"/>
        <v>0</v>
      </c>
      <c r="AQ248" s="207"/>
      <c r="AR248" s="207"/>
    </row>
    <row r="249" spans="39:44">
      <c r="AM249" s="461" t="str">
        <f>AM225 &amp; ".7"</f>
        <v>4.0.1.6.7</v>
      </c>
      <c r="AN249" s="457" t="s">
        <v>93</v>
      </c>
      <c r="AO249" s="473" t="s">
        <v>223</v>
      </c>
      <c r="AP249" s="305">
        <f t="shared" si="5"/>
        <v>0</v>
      </c>
      <c r="AQ249" s="207"/>
      <c r="AR249" s="207"/>
    </row>
    <row r="250" spans="39:44">
      <c r="AM250" s="461" t="str">
        <f>AM225 &amp; ".8"</f>
        <v>4.0.1.6.8</v>
      </c>
      <c r="AN250" s="457" t="s">
        <v>95</v>
      </c>
      <c r="AO250" s="473" t="s">
        <v>223</v>
      </c>
      <c r="AP250" s="305">
        <f t="shared" si="5"/>
        <v>0</v>
      </c>
      <c r="AQ250" s="207"/>
      <c r="AR250" s="207"/>
    </row>
    <row r="251" spans="39:44">
      <c r="AM251" s="461" t="str">
        <f>AM225 &amp; ".9"</f>
        <v>4.0.1.6.9</v>
      </c>
      <c r="AN251" s="457" t="s">
        <v>2976</v>
      </c>
      <c r="AO251" s="473" t="s">
        <v>223</v>
      </c>
      <c r="AP251" s="305">
        <f t="shared" si="5"/>
        <v>0</v>
      </c>
      <c r="AQ251" s="207"/>
      <c r="AR251" s="207"/>
    </row>
    <row r="252" spans="39:44">
      <c r="AM252" s="461" t="str">
        <f>AM225 &amp; ".10"</f>
        <v>4.0.1.6.10</v>
      </c>
      <c r="AN252" s="457" t="s">
        <v>2978</v>
      </c>
      <c r="AO252" s="473" t="s">
        <v>223</v>
      </c>
      <c r="AP252" s="305">
        <f t="shared" si="5"/>
        <v>0</v>
      </c>
      <c r="AQ252" s="207"/>
      <c r="AR252" s="207"/>
    </row>
    <row r="253" spans="39:44">
      <c r="AM253" s="461" t="str">
        <f>AM225 &amp; ".11"</f>
        <v>4.0.1.6.11</v>
      </c>
      <c r="AN253" s="457" t="s">
        <v>2980</v>
      </c>
      <c r="AO253" s="473" t="s">
        <v>223</v>
      </c>
      <c r="AP253" s="305">
        <f t="shared" si="5"/>
        <v>0</v>
      </c>
      <c r="AQ253" s="207"/>
      <c r="AR253" s="207"/>
    </row>
    <row r="254" spans="39:44">
      <c r="AM254" s="461" t="str">
        <f>AM225 &amp; ".12"</f>
        <v>4.0.1.6.12</v>
      </c>
      <c r="AN254" s="457" t="s">
        <v>2982</v>
      </c>
      <c r="AO254" s="473" t="s">
        <v>223</v>
      </c>
      <c r="AP254" s="305">
        <f t="shared" si="5"/>
        <v>0</v>
      </c>
      <c r="AQ254" s="207"/>
      <c r="AR254" s="207"/>
    </row>
    <row r="255" spans="39:44" ht="11.25" hidden="1" customHeight="1">
      <c r="AM255" s="451"/>
      <c r="AN255" s="455"/>
      <c r="AO255" s="473"/>
      <c r="AP255" s="456"/>
      <c r="AQ255" s="207"/>
      <c r="AR255" s="207"/>
    </row>
    <row r="256" spans="39:44" ht="11.25" hidden="1" customHeight="1">
      <c r="AM256" s="451"/>
      <c r="AN256" s="455"/>
      <c r="AO256" s="473"/>
      <c r="AP256" s="456"/>
      <c r="AQ256" s="207"/>
      <c r="AR256" s="207"/>
    </row>
    <row r="257" spans="39:44">
      <c r="AM257" s="461" t="str">
        <f>AM225 &amp; ".15"</f>
        <v>4.0.1.6.15</v>
      </c>
      <c r="AN257" s="457" t="s">
        <v>291</v>
      </c>
      <c r="AO257" s="473" t="s">
        <v>223</v>
      </c>
      <c r="AP257" s="305">
        <f>SUM(AQ257:AR257)</f>
        <v>0</v>
      </c>
      <c r="AQ257" s="207"/>
      <c r="AR257" s="207"/>
    </row>
    <row r="258" spans="39:44" ht="11.25" hidden="1" customHeight="1">
      <c r="AM258" s="451"/>
      <c r="AN258" s="455"/>
      <c r="AO258" s="473"/>
      <c r="AP258" s="456"/>
      <c r="AQ258" s="207"/>
      <c r="AR258" s="207"/>
    </row>
    <row r="259" spans="39:44">
      <c r="AM259" s="468"/>
      <c r="AN259" s="467" t="s">
        <v>224</v>
      </c>
      <c r="AO259" s="474"/>
      <c r="AP259" s="456"/>
      <c r="AQ259" s="207"/>
      <c r="AR259" s="207"/>
    </row>
    <row r="260" spans="39:44" ht="11.25" hidden="1" customHeight="1">
      <c r="AM260" s="461"/>
      <c r="AN260" s="457"/>
      <c r="AO260" s="473"/>
      <c r="AP260" s="456"/>
      <c r="AQ260" s="207"/>
      <c r="AR260" s="207"/>
    </row>
    <row r="261" spans="39:44">
      <c r="AM261" s="449" t="s">
        <v>263</v>
      </c>
      <c r="AN261" s="450" t="s">
        <v>225</v>
      </c>
      <c r="AO261" s="473"/>
      <c r="AP261" s="456"/>
      <c r="AQ261" s="207"/>
      <c r="AR261" s="207"/>
    </row>
    <row r="262" spans="39:44">
      <c r="AM262" s="461" t="str">
        <f>AM261 &amp; ".1"</f>
        <v>4.0.2.1.1</v>
      </c>
      <c r="AN262" s="466" t="s">
        <v>78</v>
      </c>
      <c r="AO262" s="473" t="s">
        <v>216</v>
      </c>
      <c r="AP262" s="305">
        <f>IF(AP226=0,0,AP295/AP226*1000)</f>
        <v>0</v>
      </c>
      <c r="AQ262" s="207"/>
      <c r="AR262" s="207"/>
    </row>
    <row r="263" spans="39:44" ht="12.75">
      <c r="AM263" s="461" t="str">
        <f>AM261 &amp; ".2"</f>
        <v>4.0.2.1.2</v>
      </c>
      <c r="AN263" s="454" t="s">
        <v>212</v>
      </c>
      <c r="AO263" s="473" t="s">
        <v>285</v>
      </c>
      <c r="AP263" s="305">
        <f>IF(AP227=0,0,AP296/AP227*1000)</f>
        <v>0</v>
      </c>
      <c r="AQ263" s="207"/>
      <c r="AR263" s="207"/>
    </row>
    <row r="264" spans="39:44" ht="12.75">
      <c r="AM264" s="461" t="str">
        <f>AM261 &amp; ".2.1"</f>
        <v>4.0.2.1.2.1</v>
      </c>
      <c r="AN264" s="455" t="s">
        <v>79</v>
      </c>
      <c r="AO264" s="473" t="s">
        <v>285</v>
      </c>
      <c r="AP264" s="305">
        <f>IF(AP228=0,0,AP297/AP228*1000)</f>
        <v>0</v>
      </c>
      <c r="AQ264" s="207"/>
      <c r="AR264" s="207"/>
    </row>
    <row r="265" spans="39:44" ht="11.25" hidden="1" customHeight="1">
      <c r="AM265" s="451"/>
      <c r="AN265" s="455"/>
      <c r="AO265" s="473"/>
      <c r="AP265" s="456"/>
      <c r="AQ265" s="207"/>
      <c r="AR265" s="207"/>
    </row>
    <row r="266" spans="39:44" ht="11.25" hidden="1" customHeight="1">
      <c r="AM266" s="451"/>
      <c r="AN266" s="455"/>
      <c r="AO266" s="473"/>
      <c r="AP266" s="456"/>
      <c r="AQ266" s="207"/>
      <c r="AR266" s="207"/>
    </row>
    <row r="267" spans="39:44" ht="11.25" hidden="1" customHeight="1">
      <c r="AM267" s="451"/>
      <c r="AN267" s="455"/>
      <c r="AO267" s="473"/>
      <c r="AP267" s="456"/>
      <c r="AQ267" s="207"/>
      <c r="AR267" s="207"/>
    </row>
    <row r="268" spans="39:44" ht="11.25" hidden="1" customHeight="1">
      <c r="AM268" s="451"/>
      <c r="AN268" s="455"/>
      <c r="AO268" s="473"/>
      <c r="AP268" s="456"/>
      <c r="AQ268" s="207"/>
      <c r="AR268" s="207"/>
    </row>
    <row r="269" spans="39:44" ht="11.25" hidden="1" customHeight="1">
      <c r="AM269" s="451"/>
      <c r="AN269" s="455"/>
      <c r="AO269" s="473"/>
      <c r="AP269" s="456"/>
      <c r="AQ269" s="207"/>
      <c r="AR269" s="207"/>
    </row>
    <row r="270" spans="39:44" ht="11.25" hidden="1" customHeight="1">
      <c r="AM270" s="451"/>
      <c r="AN270" s="455"/>
      <c r="AO270" s="473"/>
      <c r="AP270" s="456"/>
      <c r="AQ270" s="207"/>
      <c r="AR270" s="207"/>
    </row>
    <row r="271" spans="39:44" ht="11.25" hidden="1" customHeight="1">
      <c r="AM271" s="451"/>
      <c r="AN271" s="455"/>
      <c r="AO271" s="473"/>
      <c r="AP271" s="456"/>
      <c r="AQ271" s="207"/>
      <c r="AR271" s="207"/>
    </row>
    <row r="272" spans="39:44" ht="12.75">
      <c r="AM272" s="461" t="str">
        <f>AM261 &amp; ".2.2"</f>
        <v>4.0.2.1.2.2</v>
      </c>
      <c r="AN272" s="455" t="s">
        <v>81</v>
      </c>
      <c r="AO272" s="473" t="s">
        <v>285</v>
      </c>
      <c r="AP272" s="305">
        <f>IF(AP236=0,0,AP305/AP236*1000)</f>
        <v>0</v>
      </c>
      <c r="AQ272" s="207"/>
      <c r="AR272" s="207"/>
    </row>
    <row r="273" spans="39:44" ht="11.25" hidden="1" customHeight="1">
      <c r="AM273" s="451"/>
      <c r="AN273" s="455"/>
      <c r="AO273" s="473"/>
      <c r="AP273" s="456"/>
      <c r="AQ273" s="207"/>
      <c r="AR273" s="207"/>
    </row>
    <row r="274" spans="39:44" ht="11.25" hidden="1" customHeight="1">
      <c r="AM274" s="451"/>
      <c r="AN274" s="455"/>
      <c r="AO274" s="473"/>
      <c r="AP274" s="456"/>
      <c r="AQ274" s="207"/>
      <c r="AR274" s="207"/>
    </row>
    <row r="275" spans="39:44" ht="11.25" hidden="1" customHeight="1">
      <c r="AM275" s="451"/>
      <c r="AN275" s="455"/>
      <c r="AO275" s="473"/>
      <c r="AP275" s="456"/>
      <c r="AQ275" s="207"/>
      <c r="AR275" s="207"/>
    </row>
    <row r="276" spans="39:44" ht="11.25" hidden="1" customHeight="1">
      <c r="AM276" s="451"/>
      <c r="AN276" s="455"/>
      <c r="AO276" s="473"/>
      <c r="AP276" s="456"/>
      <c r="AQ276" s="207"/>
      <c r="AR276" s="207"/>
    </row>
    <row r="277" spans="39:44" ht="11.25" hidden="1" customHeight="1">
      <c r="AM277" s="451"/>
      <c r="AN277" s="455"/>
      <c r="AO277" s="473"/>
      <c r="AP277" s="456"/>
      <c r="AQ277" s="207"/>
      <c r="AR277" s="207"/>
    </row>
    <row r="278" spans="39:44" ht="11.25" hidden="1" customHeight="1">
      <c r="AM278" s="451"/>
      <c r="AN278" s="455"/>
      <c r="AO278" s="473"/>
      <c r="AP278" s="456"/>
      <c r="AQ278" s="207"/>
      <c r="AR278" s="207"/>
    </row>
    <row r="279" spans="39:44" ht="11.25" hidden="1" customHeight="1">
      <c r="AM279" s="451"/>
      <c r="AN279" s="455"/>
      <c r="AO279" s="473"/>
      <c r="AP279" s="456"/>
      <c r="AQ279" s="207"/>
      <c r="AR279" s="207"/>
    </row>
    <row r="280" spans="39:44" ht="12.75">
      <c r="AM280" s="461" t="str">
        <f>AM261 &amp; ".2.3"</f>
        <v>4.0.2.1.2.3</v>
      </c>
      <c r="AN280" s="455" t="s">
        <v>83</v>
      </c>
      <c r="AO280" s="473" t="s">
        <v>285</v>
      </c>
      <c r="AP280" s="305">
        <f t="shared" ref="AP280:AP290" si="6">IF(AP244=0,0,AP313/AP244*1000)</f>
        <v>0</v>
      </c>
      <c r="AQ280" s="207"/>
      <c r="AR280" s="207"/>
    </row>
    <row r="281" spans="39:44">
      <c r="AM281" s="461" t="str">
        <f>AM261 &amp; ".3"</f>
        <v>4.0.2.1.3</v>
      </c>
      <c r="AN281" s="457" t="s">
        <v>85</v>
      </c>
      <c r="AO281" s="473" t="s">
        <v>216</v>
      </c>
      <c r="AP281" s="305">
        <f t="shared" si="6"/>
        <v>0</v>
      </c>
      <c r="AQ281" s="207"/>
      <c r="AR281" s="207"/>
    </row>
    <row r="282" spans="39:44">
      <c r="AM282" s="461" t="str">
        <f>AM261 &amp; ".4"</f>
        <v>4.0.2.1.4</v>
      </c>
      <c r="AN282" s="457" t="s">
        <v>87</v>
      </c>
      <c r="AO282" s="473" t="s">
        <v>216</v>
      </c>
      <c r="AP282" s="305">
        <f t="shared" si="6"/>
        <v>0</v>
      </c>
      <c r="AQ282" s="207"/>
      <c r="AR282" s="207"/>
    </row>
    <row r="283" spans="39:44">
      <c r="AM283" s="461" t="str">
        <f>AM261&amp;".5"</f>
        <v>4.0.2.1.5</v>
      </c>
      <c r="AN283" s="457" t="s">
        <v>89</v>
      </c>
      <c r="AO283" s="473" t="s">
        <v>216</v>
      </c>
      <c r="AP283" s="305">
        <f t="shared" si="6"/>
        <v>0</v>
      </c>
      <c r="AQ283" s="207"/>
      <c r="AR283" s="207"/>
    </row>
    <row r="284" spans="39:44">
      <c r="AM284" s="461" t="str">
        <f>AM261 &amp; ".6"</f>
        <v>4.0.2.1.6</v>
      </c>
      <c r="AN284" s="457" t="s">
        <v>91</v>
      </c>
      <c r="AO284" s="473" t="s">
        <v>216</v>
      </c>
      <c r="AP284" s="305">
        <f t="shared" si="6"/>
        <v>0</v>
      </c>
      <c r="AQ284" s="207"/>
      <c r="AR284" s="207"/>
    </row>
    <row r="285" spans="39:44">
      <c r="AM285" s="461" t="str">
        <f>AM261 &amp; ".7"</f>
        <v>4.0.2.1.7</v>
      </c>
      <c r="AN285" s="457" t="s">
        <v>93</v>
      </c>
      <c r="AO285" s="473" t="s">
        <v>216</v>
      </c>
      <c r="AP285" s="305">
        <f t="shared" si="6"/>
        <v>0</v>
      </c>
      <c r="AQ285" s="207"/>
      <c r="AR285" s="207"/>
    </row>
    <row r="286" spans="39:44">
      <c r="AM286" s="461" t="str">
        <f>AM261 &amp; ".8"</f>
        <v>4.0.2.1.8</v>
      </c>
      <c r="AN286" s="457" t="s">
        <v>95</v>
      </c>
      <c r="AO286" s="473" t="s">
        <v>216</v>
      </c>
      <c r="AP286" s="305">
        <f t="shared" si="6"/>
        <v>0</v>
      </c>
      <c r="AQ286" s="207"/>
      <c r="AR286" s="207"/>
    </row>
    <row r="287" spans="39:44">
      <c r="AM287" s="461" t="str">
        <f>AM261 &amp; ".9"</f>
        <v>4.0.2.1.9</v>
      </c>
      <c r="AN287" s="457" t="s">
        <v>2976</v>
      </c>
      <c r="AO287" s="473" t="s">
        <v>216</v>
      </c>
      <c r="AP287" s="305">
        <f t="shared" si="6"/>
        <v>0</v>
      </c>
      <c r="AQ287" s="207"/>
      <c r="AR287" s="207"/>
    </row>
    <row r="288" spans="39:44">
      <c r="AM288" s="461" t="str">
        <f>AM261 &amp; ".10"</f>
        <v>4.0.2.1.10</v>
      </c>
      <c r="AN288" s="457" t="s">
        <v>2978</v>
      </c>
      <c r="AO288" s="473" t="s">
        <v>216</v>
      </c>
      <c r="AP288" s="305">
        <f t="shared" si="6"/>
        <v>0</v>
      </c>
      <c r="AQ288" s="207"/>
      <c r="AR288" s="207"/>
    </row>
    <row r="289" spans="39:44">
      <c r="AM289" s="461" t="str">
        <f>AM261 &amp; ".11"</f>
        <v>4.0.2.1.11</v>
      </c>
      <c r="AN289" s="457" t="s">
        <v>2980</v>
      </c>
      <c r="AO289" s="473" t="s">
        <v>216</v>
      </c>
      <c r="AP289" s="305">
        <f t="shared" si="6"/>
        <v>0</v>
      </c>
      <c r="AQ289" s="207"/>
      <c r="AR289" s="207"/>
    </row>
    <row r="290" spans="39:44">
      <c r="AM290" s="461" t="str">
        <f>AM261 &amp; ".12"</f>
        <v>4.0.2.1.12</v>
      </c>
      <c r="AN290" s="457" t="s">
        <v>2982</v>
      </c>
      <c r="AO290" s="473" t="s">
        <v>216</v>
      </c>
      <c r="AP290" s="305">
        <f t="shared" si="6"/>
        <v>0</v>
      </c>
      <c r="AQ290" s="207"/>
      <c r="AR290" s="207"/>
    </row>
    <row r="291" spans="39:44" ht="11.25" hidden="1" customHeight="1">
      <c r="AM291" s="451"/>
      <c r="AN291" s="455"/>
      <c r="AO291" s="473"/>
      <c r="AP291" s="456"/>
      <c r="AQ291" s="207"/>
      <c r="AR291" s="207"/>
    </row>
    <row r="292" spans="39:44" ht="11.25" hidden="1" customHeight="1">
      <c r="AM292" s="451"/>
      <c r="AN292" s="455"/>
      <c r="AO292" s="473"/>
      <c r="AP292" s="456"/>
      <c r="AQ292" s="207"/>
      <c r="AR292" s="207"/>
    </row>
    <row r="293" spans="39:44">
      <c r="AM293" s="461" t="str">
        <f>AM261 &amp; ".15"</f>
        <v>4.0.2.1.15</v>
      </c>
      <c r="AN293" s="457" t="s">
        <v>291</v>
      </c>
      <c r="AO293" s="473" t="s">
        <v>216</v>
      </c>
      <c r="AP293" s="305">
        <f>IF(AP257=0,0,AP326/AP257*1000)</f>
        <v>0</v>
      </c>
      <c r="AQ293" s="207"/>
      <c r="AR293" s="207"/>
    </row>
    <row r="294" spans="39:44" ht="22.5">
      <c r="AM294" s="449" t="s">
        <v>264</v>
      </c>
      <c r="AN294" s="450" t="s">
        <v>226</v>
      </c>
      <c r="AO294" s="473" t="s">
        <v>786</v>
      </c>
      <c r="AP294" s="305">
        <f>SUM(AQ294:AR294)</f>
        <v>0</v>
      </c>
      <c r="AQ294" s="207"/>
      <c r="AR294" s="207"/>
    </row>
    <row r="295" spans="39:44">
      <c r="AM295" s="461" t="str">
        <f>AM294 &amp; ".1"</f>
        <v>4.0.2.2.1</v>
      </c>
      <c r="AN295" s="453" t="s">
        <v>78</v>
      </c>
      <c r="AO295" s="473" t="s">
        <v>786</v>
      </c>
      <c r="AP295" s="305">
        <f>SUM(AQ295:AR295)</f>
        <v>0</v>
      </c>
      <c r="AQ295" s="207"/>
      <c r="AR295" s="207"/>
    </row>
    <row r="296" spans="39:44">
      <c r="AM296" s="461" t="str">
        <f>AM294 &amp; ".2"</f>
        <v>4.0.2.2.2</v>
      </c>
      <c r="AN296" s="454" t="s">
        <v>212</v>
      </c>
      <c r="AO296" s="473" t="s">
        <v>786</v>
      </c>
      <c r="AP296" s="305">
        <f>SUM(AQ296:AR296)</f>
        <v>0</v>
      </c>
      <c r="AQ296" s="207"/>
      <c r="AR296" s="207"/>
    </row>
    <row r="297" spans="39:44">
      <c r="AM297" s="461" t="str">
        <f>AM294 &amp; ".2.1"</f>
        <v>4.0.2.2.2.1</v>
      </c>
      <c r="AN297" s="455" t="s">
        <v>79</v>
      </c>
      <c r="AO297" s="473" t="s">
        <v>786</v>
      </c>
      <c r="AP297" s="305">
        <f>SUM(AQ297:AR297)</f>
        <v>0</v>
      </c>
      <c r="AQ297" s="207"/>
      <c r="AR297" s="207"/>
    </row>
    <row r="298" spans="39:44" ht="11.25" hidden="1" customHeight="1">
      <c r="AM298" s="451"/>
      <c r="AN298" s="455"/>
      <c r="AO298" s="473"/>
      <c r="AP298" s="456"/>
      <c r="AQ298" s="207"/>
      <c r="AR298" s="207"/>
    </row>
    <row r="299" spans="39:44" ht="11.25" hidden="1" customHeight="1">
      <c r="AM299" s="451"/>
      <c r="AN299" s="455"/>
      <c r="AO299" s="473"/>
      <c r="AP299" s="456"/>
      <c r="AQ299" s="207"/>
      <c r="AR299" s="207"/>
    </row>
    <row r="300" spans="39:44" ht="11.25" hidden="1" customHeight="1">
      <c r="AM300" s="451"/>
      <c r="AN300" s="455"/>
      <c r="AO300" s="473"/>
      <c r="AP300" s="456"/>
      <c r="AQ300" s="207"/>
      <c r="AR300" s="207"/>
    </row>
    <row r="301" spans="39:44" ht="11.25" hidden="1" customHeight="1">
      <c r="AM301" s="451"/>
      <c r="AN301" s="455"/>
      <c r="AO301" s="473"/>
      <c r="AP301" s="456"/>
      <c r="AQ301" s="207"/>
      <c r="AR301" s="207"/>
    </row>
    <row r="302" spans="39:44" ht="11.25" hidden="1" customHeight="1">
      <c r="AM302" s="451"/>
      <c r="AN302" s="455"/>
      <c r="AO302" s="473"/>
      <c r="AP302" s="456"/>
      <c r="AQ302" s="207"/>
      <c r="AR302" s="207"/>
    </row>
    <row r="303" spans="39:44" ht="11.25" hidden="1" customHeight="1">
      <c r="AM303" s="451"/>
      <c r="AN303" s="455"/>
      <c r="AO303" s="473"/>
      <c r="AP303" s="456"/>
      <c r="AQ303" s="207"/>
      <c r="AR303" s="207"/>
    </row>
    <row r="304" spans="39:44" ht="11.25" hidden="1" customHeight="1">
      <c r="AM304" s="451"/>
      <c r="AN304" s="455"/>
      <c r="AO304" s="473"/>
      <c r="AP304" s="456"/>
      <c r="AQ304" s="207"/>
      <c r="AR304" s="207"/>
    </row>
    <row r="305" spans="39:44">
      <c r="AM305" s="461" t="str">
        <f>AM294 &amp; ".2.2"</f>
        <v>4.0.2.2.2.2</v>
      </c>
      <c r="AN305" s="455" t="s">
        <v>81</v>
      </c>
      <c r="AO305" s="473" t="s">
        <v>786</v>
      </c>
      <c r="AP305" s="305">
        <f>SUM(AQ305:AR305)</f>
        <v>0</v>
      </c>
      <c r="AQ305" s="207"/>
      <c r="AR305" s="207"/>
    </row>
    <row r="306" spans="39:44" ht="11.25" hidden="1" customHeight="1">
      <c r="AM306" s="451"/>
      <c r="AN306" s="455"/>
      <c r="AO306" s="473"/>
      <c r="AP306" s="456"/>
      <c r="AQ306" s="207"/>
      <c r="AR306" s="207"/>
    </row>
    <row r="307" spans="39:44" ht="11.25" hidden="1" customHeight="1">
      <c r="AM307" s="451"/>
      <c r="AN307" s="455"/>
      <c r="AO307" s="473"/>
      <c r="AP307" s="456"/>
      <c r="AQ307" s="207"/>
      <c r="AR307" s="207"/>
    </row>
    <row r="308" spans="39:44" ht="11.25" hidden="1" customHeight="1">
      <c r="AM308" s="451"/>
      <c r="AN308" s="455"/>
      <c r="AO308" s="473"/>
      <c r="AP308" s="456"/>
      <c r="AQ308" s="207"/>
      <c r="AR308" s="207"/>
    </row>
    <row r="309" spans="39:44" ht="11.25" hidden="1" customHeight="1">
      <c r="AM309" s="451"/>
      <c r="AN309" s="455"/>
      <c r="AO309" s="473"/>
      <c r="AP309" s="456"/>
      <c r="AQ309" s="207"/>
      <c r="AR309" s="207"/>
    </row>
    <row r="310" spans="39:44" ht="11.25" hidden="1" customHeight="1">
      <c r="AM310" s="451"/>
      <c r="AN310" s="455"/>
      <c r="AO310" s="473"/>
      <c r="AP310" s="456"/>
      <c r="AQ310" s="207"/>
      <c r="AR310" s="207"/>
    </row>
    <row r="311" spans="39:44" ht="11.25" hidden="1" customHeight="1">
      <c r="AM311" s="451"/>
      <c r="AN311" s="455"/>
      <c r="AO311" s="473"/>
      <c r="AP311" s="456"/>
      <c r="AQ311" s="207"/>
      <c r="AR311" s="207"/>
    </row>
    <row r="312" spans="39:44" ht="11.25" hidden="1" customHeight="1">
      <c r="AM312" s="451"/>
      <c r="AN312" s="455"/>
      <c r="AO312" s="473"/>
      <c r="AP312" s="456"/>
      <c r="AQ312" s="207"/>
      <c r="AR312" s="207"/>
    </row>
    <row r="313" spans="39:44">
      <c r="AM313" s="461" t="str">
        <f>AM294 &amp; ".2.3"</f>
        <v>4.0.2.2.2.3</v>
      </c>
      <c r="AN313" s="455" t="s">
        <v>83</v>
      </c>
      <c r="AO313" s="473" t="s">
        <v>786</v>
      </c>
      <c r="AP313" s="305">
        <f t="shared" ref="AP313:AP323" si="7">SUM(AQ313:AR313)</f>
        <v>0</v>
      </c>
      <c r="AQ313" s="207"/>
      <c r="AR313" s="207"/>
    </row>
    <row r="314" spans="39:44">
      <c r="AM314" s="461" t="str">
        <f>AM294 &amp; ".3"</f>
        <v>4.0.2.2.3</v>
      </c>
      <c r="AN314" s="457" t="s">
        <v>85</v>
      </c>
      <c r="AO314" s="473" t="s">
        <v>786</v>
      </c>
      <c r="AP314" s="305">
        <f t="shared" si="7"/>
        <v>0</v>
      </c>
      <c r="AQ314" s="207"/>
      <c r="AR314" s="207"/>
    </row>
    <row r="315" spans="39:44">
      <c r="AM315" s="461" t="str">
        <f>AM294 &amp; ".4"</f>
        <v>4.0.2.2.4</v>
      </c>
      <c r="AN315" s="457" t="s">
        <v>87</v>
      </c>
      <c r="AO315" s="473" t="s">
        <v>786</v>
      </c>
      <c r="AP315" s="305">
        <f t="shared" si="7"/>
        <v>0</v>
      </c>
      <c r="AQ315" s="207"/>
      <c r="AR315" s="207"/>
    </row>
    <row r="316" spans="39:44">
      <c r="AM316" s="461" t="str">
        <f>AM294&amp;".5"</f>
        <v>4.0.2.2.5</v>
      </c>
      <c r="AN316" s="457" t="s">
        <v>89</v>
      </c>
      <c r="AO316" s="473" t="s">
        <v>786</v>
      </c>
      <c r="AP316" s="305">
        <f t="shared" si="7"/>
        <v>0</v>
      </c>
      <c r="AQ316" s="207"/>
      <c r="AR316" s="207"/>
    </row>
    <row r="317" spans="39:44">
      <c r="AM317" s="461" t="str">
        <f>AM294 &amp; ".6"</f>
        <v>4.0.2.2.6</v>
      </c>
      <c r="AN317" s="457" t="s">
        <v>91</v>
      </c>
      <c r="AO317" s="473" t="s">
        <v>786</v>
      </c>
      <c r="AP317" s="305">
        <f t="shared" si="7"/>
        <v>0</v>
      </c>
      <c r="AQ317" s="207"/>
      <c r="AR317" s="207"/>
    </row>
    <row r="318" spans="39:44">
      <c r="AM318" s="461" t="str">
        <f>AM294 &amp; ".7"</f>
        <v>4.0.2.2.7</v>
      </c>
      <c r="AN318" s="457" t="s">
        <v>93</v>
      </c>
      <c r="AO318" s="473" t="s">
        <v>786</v>
      </c>
      <c r="AP318" s="305">
        <f t="shared" si="7"/>
        <v>0</v>
      </c>
      <c r="AQ318" s="207"/>
      <c r="AR318" s="207"/>
    </row>
    <row r="319" spans="39:44">
      <c r="AM319" s="461" t="str">
        <f>AM294 &amp; ".8"</f>
        <v>4.0.2.2.8</v>
      </c>
      <c r="AN319" s="457" t="s">
        <v>95</v>
      </c>
      <c r="AO319" s="473" t="s">
        <v>786</v>
      </c>
      <c r="AP319" s="305">
        <f t="shared" si="7"/>
        <v>0</v>
      </c>
      <c r="AQ319" s="207"/>
      <c r="AR319" s="207"/>
    </row>
    <row r="320" spans="39:44">
      <c r="AM320" s="461" t="str">
        <f>AM294 &amp; ".9"</f>
        <v>4.0.2.2.9</v>
      </c>
      <c r="AN320" s="457" t="s">
        <v>2976</v>
      </c>
      <c r="AO320" s="473" t="s">
        <v>786</v>
      </c>
      <c r="AP320" s="305">
        <f t="shared" si="7"/>
        <v>0</v>
      </c>
      <c r="AQ320" s="207"/>
      <c r="AR320" s="207"/>
    </row>
    <row r="321" spans="39:44">
      <c r="AM321" s="461" t="str">
        <f>AM294 &amp; ".10"</f>
        <v>4.0.2.2.10</v>
      </c>
      <c r="AN321" s="457" t="s">
        <v>2978</v>
      </c>
      <c r="AO321" s="473" t="s">
        <v>786</v>
      </c>
      <c r="AP321" s="305">
        <f t="shared" si="7"/>
        <v>0</v>
      </c>
      <c r="AQ321" s="207"/>
      <c r="AR321" s="207"/>
    </row>
    <row r="322" spans="39:44">
      <c r="AM322" s="461" t="str">
        <f>AM294 &amp; ".11"</f>
        <v>4.0.2.2.11</v>
      </c>
      <c r="AN322" s="457" t="s">
        <v>2980</v>
      </c>
      <c r="AO322" s="473" t="s">
        <v>786</v>
      </c>
      <c r="AP322" s="305">
        <f t="shared" si="7"/>
        <v>0</v>
      </c>
      <c r="AQ322" s="207"/>
      <c r="AR322" s="207"/>
    </row>
    <row r="323" spans="39:44">
      <c r="AM323" s="461" t="str">
        <f>AM294 &amp; ".12"</f>
        <v>4.0.2.2.12</v>
      </c>
      <c r="AN323" s="457" t="s">
        <v>2982</v>
      </c>
      <c r="AO323" s="473" t="s">
        <v>786</v>
      </c>
      <c r="AP323" s="305">
        <f t="shared" si="7"/>
        <v>0</v>
      </c>
      <c r="AQ323" s="207"/>
      <c r="AR323" s="207"/>
    </row>
    <row r="324" spans="39:44" ht="11.25" hidden="1" customHeight="1">
      <c r="AM324" s="451"/>
      <c r="AN324" s="455"/>
      <c r="AO324" s="473"/>
      <c r="AP324" s="456"/>
      <c r="AQ324" s="207"/>
      <c r="AR324" s="207"/>
    </row>
    <row r="325" spans="39:44" ht="11.25" hidden="1" customHeight="1">
      <c r="AM325" s="451"/>
      <c r="AN325" s="455"/>
      <c r="AO325" s="473"/>
      <c r="AP325" s="456"/>
      <c r="AQ325" s="207"/>
      <c r="AR325" s="207"/>
    </row>
    <row r="326" spans="39:44">
      <c r="AM326" s="461" t="str">
        <f>AM294 &amp; ".15"</f>
        <v>4.0.2.2.15</v>
      </c>
      <c r="AN326" s="457" t="s">
        <v>291</v>
      </c>
      <c r="AO326" s="473" t="s">
        <v>786</v>
      </c>
      <c r="AP326" s="305">
        <f>SUM(AQ326:AR326)</f>
        <v>0</v>
      </c>
      <c r="AQ326" s="207"/>
      <c r="AR326" s="207"/>
    </row>
    <row r="327" spans="39:44" ht="11.25" hidden="1" customHeight="1">
      <c r="AM327" s="451"/>
      <c r="AN327" s="455"/>
      <c r="AO327" s="473"/>
      <c r="AP327" s="456"/>
      <c r="AQ327" s="207"/>
      <c r="AR327" s="207"/>
    </row>
    <row r="328" spans="39:44">
      <c r="AM328" s="468"/>
      <c r="AN328" s="467" t="s">
        <v>227</v>
      </c>
      <c r="AO328" s="474"/>
      <c r="AP328" s="456"/>
      <c r="AQ328" s="207"/>
      <c r="AR328" s="207"/>
    </row>
    <row r="329" spans="39:44" ht="11.25" hidden="1" customHeight="1">
      <c r="AM329" s="461"/>
      <c r="AN329" s="457"/>
      <c r="AO329" s="473"/>
      <c r="AP329" s="456"/>
      <c r="AQ329" s="207"/>
      <c r="AR329" s="207"/>
    </row>
    <row r="330" spans="39:44" ht="22.5">
      <c r="AM330" s="449" t="s">
        <v>265</v>
      </c>
      <c r="AN330" s="450" t="s">
        <v>228</v>
      </c>
      <c r="AO330" s="473"/>
      <c r="AP330" s="456"/>
      <c r="AQ330" s="207"/>
      <c r="AR330" s="207"/>
    </row>
    <row r="331" spans="39:44" ht="12.75">
      <c r="AM331" s="461" t="str">
        <f>AM330 &amp; ".1"</f>
        <v>4.0.3.1.1.1.1</v>
      </c>
      <c r="AN331" s="448" t="s">
        <v>2504</v>
      </c>
      <c r="AO331" s="473" t="s">
        <v>285</v>
      </c>
      <c r="AP331" s="305">
        <f t="shared" ref="AP331:AP337" si="8">IF(AP229=0,0,AP347/AP229*1000)</f>
        <v>0</v>
      </c>
      <c r="AQ331" s="207"/>
      <c r="AR331" s="207"/>
    </row>
    <row r="332" spans="39:44" ht="12.75">
      <c r="AM332" s="461" t="str">
        <f>AM330 &amp; ".2"</f>
        <v>4.0.3.1.1.1.2</v>
      </c>
      <c r="AN332" s="448" t="s">
        <v>2505</v>
      </c>
      <c r="AO332" s="473" t="s">
        <v>285</v>
      </c>
      <c r="AP332" s="305">
        <f t="shared" si="8"/>
        <v>0</v>
      </c>
      <c r="AQ332" s="207"/>
      <c r="AR332" s="207"/>
    </row>
    <row r="333" spans="39:44" ht="12.75">
      <c r="AM333" s="461" t="str">
        <f>AM330 &amp; ".3"</f>
        <v>4.0.3.1.1.1.3</v>
      </c>
      <c r="AN333" s="448" t="s">
        <v>2506</v>
      </c>
      <c r="AO333" s="473" t="s">
        <v>285</v>
      </c>
      <c r="AP333" s="305">
        <f t="shared" si="8"/>
        <v>0</v>
      </c>
      <c r="AQ333" s="207"/>
      <c r="AR333" s="207"/>
    </row>
    <row r="334" spans="39:44" ht="12.75">
      <c r="AM334" s="461" t="str">
        <f>AM330 &amp; ".4"</f>
        <v>4.0.3.1.1.1.4</v>
      </c>
      <c r="AN334" s="448" t="s">
        <v>2507</v>
      </c>
      <c r="AO334" s="473" t="s">
        <v>285</v>
      </c>
      <c r="AP334" s="305">
        <f t="shared" si="8"/>
        <v>0</v>
      </c>
      <c r="AQ334" s="207"/>
      <c r="AR334" s="207"/>
    </row>
    <row r="335" spans="39:44" ht="12.75">
      <c r="AM335" s="461" t="str">
        <f>AM330 &amp; ".5"</f>
        <v>4.0.3.1.1.1.5</v>
      </c>
      <c r="AN335" s="448" t="s">
        <v>2508</v>
      </c>
      <c r="AO335" s="473" t="s">
        <v>285</v>
      </c>
      <c r="AP335" s="305">
        <f t="shared" si="8"/>
        <v>0</v>
      </c>
      <c r="AQ335" s="207"/>
      <c r="AR335" s="207"/>
    </row>
    <row r="336" spans="39:44" ht="12.75">
      <c r="AM336" s="461" t="str">
        <f>AM330 &amp; ".6"</f>
        <v>4.0.3.1.1.1.6</v>
      </c>
      <c r="AN336" s="448" t="s">
        <v>2509</v>
      </c>
      <c r="AO336" s="473" t="s">
        <v>285</v>
      </c>
      <c r="AP336" s="305">
        <f t="shared" si="8"/>
        <v>0</v>
      </c>
      <c r="AQ336" s="207"/>
      <c r="AR336" s="207"/>
    </row>
    <row r="337" spans="39:44" ht="12.75">
      <c r="AM337" s="461" t="str">
        <f>AM330 &amp; ".7"</f>
        <v>4.0.3.1.1.1.7</v>
      </c>
      <c r="AN337" s="448" t="s">
        <v>2178</v>
      </c>
      <c r="AO337" s="473" t="s">
        <v>285</v>
      </c>
      <c r="AP337" s="305">
        <f t="shared" si="8"/>
        <v>0</v>
      </c>
      <c r="AQ337" s="207"/>
      <c r="AR337" s="207"/>
    </row>
    <row r="338" spans="39:44" ht="22.5">
      <c r="AM338" s="449" t="s">
        <v>266</v>
      </c>
      <c r="AN338" s="450" t="s">
        <v>229</v>
      </c>
      <c r="AO338" s="473"/>
      <c r="AP338" s="456"/>
      <c r="AQ338" s="207"/>
      <c r="AR338" s="207"/>
    </row>
    <row r="339" spans="39:44" ht="12.75">
      <c r="AM339" s="461" t="str">
        <f>AM338 &amp; ".1"</f>
        <v>4.0.3.1.1.2.1</v>
      </c>
      <c r="AN339" s="448" t="s">
        <v>2504</v>
      </c>
      <c r="AO339" s="473" t="s">
        <v>285</v>
      </c>
      <c r="AP339" s="305">
        <f>IF(AP229=0,0,AP355/AP229*1000)</f>
        <v>0</v>
      </c>
      <c r="AQ339" s="207"/>
      <c r="AR339" s="207"/>
    </row>
    <row r="340" spans="39:44" ht="12.75">
      <c r="AM340" s="461" t="str">
        <f>AM338 &amp; ".2"</f>
        <v>4.0.3.1.1.2.2</v>
      </c>
      <c r="AN340" s="448" t="s">
        <v>2505</v>
      </c>
      <c r="AO340" s="473" t="s">
        <v>285</v>
      </c>
      <c r="AP340" s="305">
        <f t="shared" ref="AP340:AP345" si="9">IF(AP230=0,0,AP356/AP230*1000)</f>
        <v>0</v>
      </c>
      <c r="AQ340" s="207"/>
      <c r="AR340" s="207"/>
    </row>
    <row r="341" spans="39:44" ht="12.75">
      <c r="AM341" s="461" t="str">
        <f>AM338 &amp; ".3"</f>
        <v>4.0.3.1.1.2.3</v>
      </c>
      <c r="AN341" s="448" t="s">
        <v>2506</v>
      </c>
      <c r="AO341" s="473" t="s">
        <v>285</v>
      </c>
      <c r="AP341" s="305">
        <f t="shared" si="9"/>
        <v>0</v>
      </c>
      <c r="AQ341" s="207"/>
      <c r="AR341" s="207"/>
    </row>
    <row r="342" spans="39:44" ht="12.75">
      <c r="AM342" s="461" t="str">
        <f>AM338 &amp; ".4"</f>
        <v>4.0.3.1.1.2.4</v>
      </c>
      <c r="AN342" s="448" t="s">
        <v>2507</v>
      </c>
      <c r="AO342" s="473" t="s">
        <v>285</v>
      </c>
      <c r="AP342" s="305">
        <f t="shared" si="9"/>
        <v>0</v>
      </c>
      <c r="AQ342" s="207"/>
      <c r="AR342" s="207"/>
    </row>
    <row r="343" spans="39:44" ht="12.75">
      <c r="AM343" s="461" t="str">
        <f>AM338 &amp; ".5"</f>
        <v>4.0.3.1.1.2.5</v>
      </c>
      <c r="AN343" s="448" t="s">
        <v>2508</v>
      </c>
      <c r="AO343" s="473" t="s">
        <v>285</v>
      </c>
      <c r="AP343" s="305">
        <f t="shared" si="9"/>
        <v>0</v>
      </c>
      <c r="AQ343" s="207"/>
      <c r="AR343" s="207"/>
    </row>
    <row r="344" spans="39:44" ht="12.75">
      <c r="AM344" s="461" t="str">
        <f>AM338 &amp; ".6"</f>
        <v>4.0.3.1.1.2.6</v>
      </c>
      <c r="AN344" s="448" t="s">
        <v>2509</v>
      </c>
      <c r="AO344" s="473" t="s">
        <v>285</v>
      </c>
      <c r="AP344" s="305">
        <f t="shared" si="9"/>
        <v>0</v>
      </c>
      <c r="AQ344" s="207"/>
      <c r="AR344" s="207"/>
    </row>
    <row r="345" spans="39:44" ht="12.75">
      <c r="AM345" s="461" t="str">
        <f>AM338 &amp; ".7"</f>
        <v>4.0.3.1.1.2.7</v>
      </c>
      <c r="AN345" s="448" t="s">
        <v>2178</v>
      </c>
      <c r="AO345" s="473" t="s">
        <v>285</v>
      </c>
      <c r="AP345" s="305">
        <f t="shared" si="9"/>
        <v>0</v>
      </c>
      <c r="AQ345" s="207"/>
      <c r="AR345" s="207"/>
    </row>
    <row r="346" spans="39:44" ht="22.5">
      <c r="AM346" s="449" t="s">
        <v>267</v>
      </c>
      <c r="AN346" s="450" t="s">
        <v>230</v>
      </c>
      <c r="AO346" s="473" t="s">
        <v>786</v>
      </c>
      <c r="AP346" s="305">
        <f>SUM(AQ346:AR346)</f>
        <v>0</v>
      </c>
      <c r="AQ346" s="207"/>
      <c r="AR346" s="207"/>
    </row>
    <row r="347" spans="39:44" ht="12.75">
      <c r="AM347" s="461" t="str">
        <f>AM346 &amp; ".1"</f>
        <v>4.0.3.1.1.3.1</v>
      </c>
      <c r="AN347" s="448" t="s">
        <v>2504</v>
      </c>
      <c r="AO347" s="473" t="s">
        <v>786</v>
      </c>
      <c r="AP347" s="305">
        <f t="shared" ref="AP347:AP364" si="10">SUM(AQ347:AR347)</f>
        <v>0</v>
      </c>
      <c r="AQ347" s="207"/>
      <c r="AR347" s="207"/>
    </row>
    <row r="348" spans="39:44" ht="12.75">
      <c r="AM348" s="461" t="str">
        <f>AM346 &amp; ".2"</f>
        <v>4.0.3.1.1.3.2</v>
      </c>
      <c r="AN348" s="448" t="s">
        <v>2505</v>
      </c>
      <c r="AO348" s="473" t="s">
        <v>786</v>
      </c>
      <c r="AP348" s="305">
        <f t="shared" si="10"/>
        <v>0</v>
      </c>
      <c r="AQ348" s="207"/>
      <c r="AR348" s="207"/>
    </row>
    <row r="349" spans="39:44" ht="12.75">
      <c r="AM349" s="461" t="str">
        <f>AM346 &amp; ".3"</f>
        <v>4.0.3.1.1.3.3</v>
      </c>
      <c r="AN349" s="448" t="s">
        <v>2506</v>
      </c>
      <c r="AO349" s="473" t="s">
        <v>786</v>
      </c>
      <c r="AP349" s="305">
        <f t="shared" si="10"/>
        <v>0</v>
      </c>
      <c r="AQ349" s="207"/>
      <c r="AR349" s="207"/>
    </row>
    <row r="350" spans="39:44" ht="12.75">
      <c r="AM350" s="461" t="str">
        <f>AM346 &amp; ".4"</f>
        <v>4.0.3.1.1.3.4</v>
      </c>
      <c r="AN350" s="448" t="s">
        <v>2507</v>
      </c>
      <c r="AO350" s="473" t="s">
        <v>786</v>
      </c>
      <c r="AP350" s="305">
        <f t="shared" si="10"/>
        <v>0</v>
      </c>
      <c r="AQ350" s="207"/>
      <c r="AR350" s="207"/>
    </row>
    <row r="351" spans="39:44" ht="12.75">
      <c r="AM351" s="461" t="str">
        <f>AM346 &amp; ".5"</f>
        <v>4.0.3.1.1.3.5</v>
      </c>
      <c r="AN351" s="448" t="s">
        <v>2508</v>
      </c>
      <c r="AO351" s="473" t="s">
        <v>786</v>
      </c>
      <c r="AP351" s="305">
        <f t="shared" si="10"/>
        <v>0</v>
      </c>
      <c r="AQ351" s="207"/>
      <c r="AR351" s="207"/>
    </row>
    <row r="352" spans="39:44" ht="12.75">
      <c r="AM352" s="461" t="str">
        <f>AM346 &amp; ".6"</f>
        <v>4.0.3.1.1.3.6</v>
      </c>
      <c r="AN352" s="448" t="s">
        <v>2509</v>
      </c>
      <c r="AO352" s="473" t="s">
        <v>786</v>
      </c>
      <c r="AP352" s="305">
        <f t="shared" si="10"/>
        <v>0</v>
      </c>
      <c r="AQ352" s="207"/>
      <c r="AR352" s="207"/>
    </row>
    <row r="353" spans="39:44" ht="12.75">
      <c r="AM353" s="461" t="str">
        <f>AM346 &amp; ".7"</f>
        <v>4.0.3.1.1.3.7</v>
      </c>
      <c r="AN353" s="448" t="s">
        <v>2178</v>
      </c>
      <c r="AO353" s="473" t="s">
        <v>786</v>
      </c>
      <c r="AP353" s="305">
        <f t="shared" si="10"/>
        <v>0</v>
      </c>
      <c r="AQ353" s="207"/>
      <c r="AR353" s="207"/>
    </row>
    <row r="354" spans="39:44" ht="22.5">
      <c r="AM354" s="449" t="s">
        <v>268</v>
      </c>
      <c r="AN354" s="450" t="s">
        <v>231</v>
      </c>
      <c r="AO354" s="473" t="s">
        <v>786</v>
      </c>
      <c r="AP354" s="305">
        <f t="shared" si="10"/>
        <v>0</v>
      </c>
      <c r="AQ354" s="207"/>
      <c r="AR354" s="207"/>
    </row>
    <row r="355" spans="39:44" ht="12.75">
      <c r="AM355" s="461" t="str">
        <f>AM354 &amp; ".1"</f>
        <v>4.0.3.1.1.4.1</v>
      </c>
      <c r="AN355" s="448" t="s">
        <v>2504</v>
      </c>
      <c r="AO355" s="473" t="s">
        <v>786</v>
      </c>
      <c r="AP355" s="305">
        <f t="shared" si="10"/>
        <v>0</v>
      </c>
      <c r="AQ355" s="207"/>
      <c r="AR355" s="207"/>
    </row>
    <row r="356" spans="39:44" ht="12.75">
      <c r="AM356" s="461" t="str">
        <f>AM354 &amp; ".2"</f>
        <v>4.0.3.1.1.4.2</v>
      </c>
      <c r="AN356" s="448" t="s">
        <v>2505</v>
      </c>
      <c r="AO356" s="473" t="s">
        <v>786</v>
      </c>
      <c r="AP356" s="305">
        <f t="shared" si="10"/>
        <v>0</v>
      </c>
      <c r="AQ356" s="207"/>
      <c r="AR356" s="207"/>
    </row>
    <row r="357" spans="39:44" ht="12.75">
      <c r="AM357" s="461" t="str">
        <f>AM354 &amp; ".3"</f>
        <v>4.0.3.1.1.4.3</v>
      </c>
      <c r="AN357" s="448" t="s">
        <v>2506</v>
      </c>
      <c r="AO357" s="473" t="s">
        <v>786</v>
      </c>
      <c r="AP357" s="305">
        <f t="shared" si="10"/>
        <v>0</v>
      </c>
      <c r="AQ357" s="207"/>
      <c r="AR357" s="207"/>
    </row>
    <row r="358" spans="39:44" ht="12.75">
      <c r="AM358" s="461" t="str">
        <f>AM354 &amp; ".4"</f>
        <v>4.0.3.1.1.4.4</v>
      </c>
      <c r="AN358" s="448" t="s">
        <v>2507</v>
      </c>
      <c r="AO358" s="473" t="s">
        <v>786</v>
      </c>
      <c r="AP358" s="305">
        <f t="shared" si="10"/>
        <v>0</v>
      </c>
      <c r="AQ358" s="207"/>
      <c r="AR358" s="207"/>
    </row>
    <row r="359" spans="39:44" ht="12.75">
      <c r="AM359" s="461" t="str">
        <f>AM354 &amp; ".5"</f>
        <v>4.0.3.1.1.4.5</v>
      </c>
      <c r="AN359" s="448" t="s">
        <v>2508</v>
      </c>
      <c r="AO359" s="473" t="s">
        <v>786</v>
      </c>
      <c r="AP359" s="305">
        <f t="shared" si="10"/>
        <v>0</v>
      </c>
      <c r="AQ359" s="207"/>
      <c r="AR359" s="207"/>
    </row>
    <row r="360" spans="39:44" ht="12.75">
      <c r="AM360" s="461" t="str">
        <f>AM354 &amp; ".6"</f>
        <v>4.0.3.1.1.4.6</v>
      </c>
      <c r="AN360" s="448" t="s">
        <v>2509</v>
      </c>
      <c r="AO360" s="473" t="s">
        <v>786</v>
      </c>
      <c r="AP360" s="305">
        <f t="shared" si="10"/>
        <v>0</v>
      </c>
      <c r="AQ360" s="207"/>
      <c r="AR360" s="207"/>
    </row>
    <row r="361" spans="39:44" ht="12.75">
      <c r="AM361" s="461" t="str">
        <f>AM354 &amp; ".7"</f>
        <v>4.0.3.1.1.4.7</v>
      </c>
      <c r="AN361" s="448" t="s">
        <v>2178</v>
      </c>
      <c r="AO361" s="473" t="s">
        <v>786</v>
      </c>
      <c r="AP361" s="305">
        <f t="shared" si="10"/>
        <v>0</v>
      </c>
      <c r="AQ361" s="207"/>
      <c r="AR361" s="207"/>
    </row>
    <row r="362" spans="39:44" ht="22.5">
      <c r="AM362" s="449" t="s">
        <v>269</v>
      </c>
      <c r="AN362" s="450" t="s">
        <v>232</v>
      </c>
      <c r="AO362" s="473" t="s">
        <v>786</v>
      </c>
      <c r="AP362" s="305">
        <f t="shared" si="10"/>
        <v>0</v>
      </c>
      <c r="AQ362" s="207"/>
      <c r="AR362" s="207"/>
    </row>
    <row r="363" spans="39:44" ht="12.75">
      <c r="AM363" s="461" t="str">
        <f>AM362 &amp; ".1"</f>
        <v>4.0.3.1.1.5.1</v>
      </c>
      <c r="AN363" s="225" t="s">
        <v>233</v>
      </c>
      <c r="AO363" s="473" t="s">
        <v>285</v>
      </c>
      <c r="AP363" s="305">
        <f>IF(AP364=0,0,AP362/AP364*1000)</f>
        <v>0</v>
      </c>
      <c r="AQ363" s="207"/>
      <c r="AR363" s="207"/>
    </row>
    <row r="364" spans="39:44" ht="12.75">
      <c r="AM364" s="461" t="str">
        <f>AM362 &amp; ".2"</f>
        <v>4.0.3.1.1.5.2</v>
      </c>
      <c r="AN364" s="225" t="s">
        <v>234</v>
      </c>
      <c r="AO364" s="473" t="s">
        <v>286</v>
      </c>
      <c r="AP364" s="305">
        <f t="shared" si="10"/>
        <v>0</v>
      </c>
      <c r="AQ364" s="207"/>
      <c r="AR364" s="207"/>
    </row>
    <row r="365" spans="39:44" ht="22.5">
      <c r="AM365" s="449" t="s">
        <v>270</v>
      </c>
      <c r="AN365" s="450" t="s">
        <v>235</v>
      </c>
      <c r="AO365" s="473"/>
      <c r="AP365" s="456"/>
      <c r="AQ365" s="207"/>
      <c r="AR365" s="207"/>
    </row>
    <row r="366" spans="39:44" ht="12.75">
      <c r="AM366" s="461" t="str">
        <f>AM365 &amp; ".1"</f>
        <v>4.0.3.1.2.1.1</v>
      </c>
      <c r="AN366" s="448" t="s">
        <v>2504</v>
      </c>
      <c r="AO366" s="473" t="s">
        <v>285</v>
      </c>
      <c r="AP366" s="305">
        <f t="shared" ref="AP366:AP372" si="11">IF(AP237=0,0,AP382/AP237*1000)</f>
        <v>0</v>
      </c>
      <c r="AQ366" s="207"/>
      <c r="AR366" s="207"/>
    </row>
    <row r="367" spans="39:44" ht="12.75">
      <c r="AM367" s="461" t="str">
        <f>AM365 &amp; ".2"</f>
        <v>4.0.3.1.2.1.2</v>
      </c>
      <c r="AN367" s="448" t="s">
        <v>2505</v>
      </c>
      <c r="AO367" s="473" t="s">
        <v>285</v>
      </c>
      <c r="AP367" s="305">
        <f t="shared" si="11"/>
        <v>0</v>
      </c>
      <c r="AQ367" s="207"/>
      <c r="AR367" s="207"/>
    </row>
    <row r="368" spans="39:44" ht="12.75">
      <c r="AM368" s="461" t="str">
        <f>AM365 &amp; ".3"</f>
        <v>4.0.3.1.2.1.3</v>
      </c>
      <c r="AN368" s="448" t="s">
        <v>2506</v>
      </c>
      <c r="AO368" s="473" t="s">
        <v>285</v>
      </c>
      <c r="AP368" s="305">
        <f t="shared" si="11"/>
        <v>0</v>
      </c>
      <c r="AQ368" s="207"/>
      <c r="AR368" s="207"/>
    </row>
    <row r="369" spans="39:44" ht="12.75">
      <c r="AM369" s="461" t="str">
        <f>AM365 &amp; ".4"</f>
        <v>4.0.3.1.2.1.4</v>
      </c>
      <c r="AN369" s="448" t="s">
        <v>2507</v>
      </c>
      <c r="AO369" s="473" t="s">
        <v>285</v>
      </c>
      <c r="AP369" s="305">
        <f t="shared" si="11"/>
        <v>0</v>
      </c>
      <c r="AQ369" s="207"/>
      <c r="AR369" s="207"/>
    </row>
    <row r="370" spans="39:44" ht="12.75">
      <c r="AM370" s="461" t="str">
        <f>AM365 &amp; ".5"</f>
        <v>4.0.3.1.2.1.5</v>
      </c>
      <c r="AN370" s="448" t="s">
        <v>2508</v>
      </c>
      <c r="AO370" s="473" t="s">
        <v>285</v>
      </c>
      <c r="AP370" s="305">
        <f t="shared" si="11"/>
        <v>0</v>
      </c>
      <c r="AQ370" s="207"/>
      <c r="AR370" s="207"/>
    </row>
    <row r="371" spans="39:44" ht="12.75">
      <c r="AM371" s="461" t="str">
        <f>AM365 &amp; ".6"</f>
        <v>4.0.3.1.2.1.6</v>
      </c>
      <c r="AN371" s="448" t="s">
        <v>2509</v>
      </c>
      <c r="AO371" s="473" t="s">
        <v>285</v>
      </c>
      <c r="AP371" s="305">
        <f t="shared" si="11"/>
        <v>0</v>
      </c>
      <c r="AQ371" s="207"/>
      <c r="AR371" s="207"/>
    </row>
    <row r="372" spans="39:44" ht="12.75">
      <c r="AM372" s="461" t="str">
        <f>AM365 &amp; ".7"</f>
        <v>4.0.3.1.2.1.7</v>
      </c>
      <c r="AN372" s="448" t="s">
        <v>2178</v>
      </c>
      <c r="AO372" s="473" t="s">
        <v>285</v>
      </c>
      <c r="AP372" s="305">
        <f t="shared" si="11"/>
        <v>0</v>
      </c>
      <c r="AQ372" s="207"/>
      <c r="AR372" s="207"/>
    </row>
    <row r="373" spans="39:44" ht="22.5">
      <c r="AM373" s="449" t="s">
        <v>271</v>
      </c>
      <c r="AN373" s="450" t="s">
        <v>236</v>
      </c>
      <c r="AO373" s="473"/>
      <c r="AP373" s="456"/>
      <c r="AQ373" s="207"/>
      <c r="AR373" s="207"/>
    </row>
    <row r="374" spans="39:44" ht="12.75">
      <c r="AM374" s="461" t="str">
        <f>AM373 &amp; ".1"</f>
        <v>4.0.3.1.2.2.1</v>
      </c>
      <c r="AN374" s="448" t="s">
        <v>2504</v>
      </c>
      <c r="AO374" s="473" t="s">
        <v>285</v>
      </c>
      <c r="AP374" s="305">
        <f t="shared" ref="AP374:AP380" si="12">IF(AP237=0,0,AP390/AP237*1000)</f>
        <v>0</v>
      </c>
      <c r="AQ374" s="207"/>
      <c r="AR374" s="207"/>
    </row>
    <row r="375" spans="39:44" ht="12.75">
      <c r="AM375" s="461" t="str">
        <f>AM373 &amp; ".2"</f>
        <v>4.0.3.1.2.2.2</v>
      </c>
      <c r="AN375" s="448" t="s">
        <v>2505</v>
      </c>
      <c r="AO375" s="473" t="s">
        <v>285</v>
      </c>
      <c r="AP375" s="305">
        <f t="shared" si="12"/>
        <v>0</v>
      </c>
      <c r="AQ375" s="207"/>
      <c r="AR375" s="207"/>
    </row>
    <row r="376" spans="39:44" ht="12.75">
      <c r="AM376" s="461" t="str">
        <f>AM373 &amp; ".3"</f>
        <v>4.0.3.1.2.2.3</v>
      </c>
      <c r="AN376" s="448" t="s">
        <v>2506</v>
      </c>
      <c r="AO376" s="473" t="s">
        <v>285</v>
      </c>
      <c r="AP376" s="305">
        <f t="shared" si="12"/>
        <v>0</v>
      </c>
      <c r="AQ376" s="207"/>
      <c r="AR376" s="207"/>
    </row>
    <row r="377" spans="39:44" ht="12.75">
      <c r="AM377" s="461" t="str">
        <f>AM373 &amp; ".4"</f>
        <v>4.0.3.1.2.2.4</v>
      </c>
      <c r="AN377" s="448" t="s">
        <v>2507</v>
      </c>
      <c r="AO377" s="473" t="s">
        <v>285</v>
      </c>
      <c r="AP377" s="305">
        <f t="shared" si="12"/>
        <v>0</v>
      </c>
      <c r="AQ377" s="207"/>
      <c r="AR377" s="207"/>
    </row>
    <row r="378" spans="39:44" ht="12.75">
      <c r="AM378" s="461" t="str">
        <f>AM373 &amp; ".5"</f>
        <v>4.0.3.1.2.2.5</v>
      </c>
      <c r="AN378" s="448" t="s">
        <v>2508</v>
      </c>
      <c r="AO378" s="473" t="s">
        <v>285</v>
      </c>
      <c r="AP378" s="305">
        <f t="shared" si="12"/>
        <v>0</v>
      </c>
      <c r="AQ378" s="207"/>
      <c r="AR378" s="207"/>
    </row>
    <row r="379" spans="39:44" ht="12.75">
      <c r="AM379" s="461" t="str">
        <f>AM373 &amp; ".6"</f>
        <v>4.0.3.1.2.2.6</v>
      </c>
      <c r="AN379" s="448" t="s">
        <v>2509</v>
      </c>
      <c r="AO379" s="473" t="s">
        <v>285</v>
      </c>
      <c r="AP379" s="305">
        <f t="shared" si="12"/>
        <v>0</v>
      </c>
      <c r="AQ379" s="207"/>
      <c r="AR379" s="207"/>
    </row>
    <row r="380" spans="39:44" ht="12.75">
      <c r="AM380" s="461" t="str">
        <f>AM373 &amp; ".7"</f>
        <v>4.0.3.1.2.2.7</v>
      </c>
      <c r="AN380" s="448" t="s">
        <v>2178</v>
      </c>
      <c r="AO380" s="473" t="s">
        <v>285</v>
      </c>
      <c r="AP380" s="305">
        <f t="shared" si="12"/>
        <v>0</v>
      </c>
      <c r="AQ380" s="207"/>
      <c r="AR380" s="207"/>
    </row>
    <row r="381" spans="39:44" ht="22.5">
      <c r="AM381" s="449" t="s">
        <v>272</v>
      </c>
      <c r="AN381" s="450" t="s">
        <v>237</v>
      </c>
      <c r="AO381" s="473" t="s">
        <v>786</v>
      </c>
      <c r="AP381" s="305">
        <f t="shared" ref="AP381:AP399" si="13">SUM(AQ381:AR381)</f>
        <v>0</v>
      </c>
      <c r="AQ381" s="207"/>
      <c r="AR381" s="207"/>
    </row>
    <row r="382" spans="39:44" ht="12.75">
      <c r="AM382" s="461" t="str">
        <f>AM381 &amp; ".1"</f>
        <v>4.0.3.1.2.3.1</v>
      </c>
      <c r="AN382" s="448" t="s">
        <v>2504</v>
      </c>
      <c r="AO382" s="473" t="s">
        <v>786</v>
      </c>
      <c r="AP382" s="305">
        <f t="shared" si="13"/>
        <v>0</v>
      </c>
      <c r="AQ382" s="207"/>
      <c r="AR382" s="207"/>
    </row>
    <row r="383" spans="39:44" ht="12.75">
      <c r="AM383" s="461" t="str">
        <f>AM381 &amp; ".2"</f>
        <v>4.0.3.1.2.3.2</v>
      </c>
      <c r="AN383" s="448" t="s">
        <v>2505</v>
      </c>
      <c r="AO383" s="473" t="s">
        <v>786</v>
      </c>
      <c r="AP383" s="305">
        <f t="shared" si="13"/>
        <v>0</v>
      </c>
      <c r="AQ383" s="207"/>
      <c r="AR383" s="207"/>
    </row>
    <row r="384" spans="39:44" ht="12.75">
      <c r="AM384" s="461" t="str">
        <f>AM381 &amp; ".3"</f>
        <v>4.0.3.1.2.3.3</v>
      </c>
      <c r="AN384" s="448" t="s">
        <v>2506</v>
      </c>
      <c r="AO384" s="473" t="s">
        <v>786</v>
      </c>
      <c r="AP384" s="305">
        <f t="shared" si="13"/>
        <v>0</v>
      </c>
      <c r="AQ384" s="207"/>
      <c r="AR384" s="207"/>
    </row>
    <row r="385" spans="39:44" ht="12.75">
      <c r="AM385" s="461" t="str">
        <f>AM381 &amp; ".4"</f>
        <v>4.0.3.1.2.3.4</v>
      </c>
      <c r="AN385" s="448" t="s">
        <v>2507</v>
      </c>
      <c r="AO385" s="473" t="s">
        <v>786</v>
      </c>
      <c r="AP385" s="305">
        <f t="shared" si="13"/>
        <v>0</v>
      </c>
      <c r="AQ385" s="207"/>
      <c r="AR385" s="207"/>
    </row>
    <row r="386" spans="39:44" ht="12.75">
      <c r="AM386" s="461" t="str">
        <f>AM381 &amp; ".5"</f>
        <v>4.0.3.1.2.3.5</v>
      </c>
      <c r="AN386" s="448" t="s">
        <v>2508</v>
      </c>
      <c r="AO386" s="473" t="s">
        <v>786</v>
      </c>
      <c r="AP386" s="305">
        <f t="shared" si="13"/>
        <v>0</v>
      </c>
      <c r="AQ386" s="207"/>
      <c r="AR386" s="207"/>
    </row>
    <row r="387" spans="39:44" ht="12.75">
      <c r="AM387" s="461" t="str">
        <f>AM381 &amp; ".6"</f>
        <v>4.0.3.1.2.3.6</v>
      </c>
      <c r="AN387" s="448" t="s">
        <v>2509</v>
      </c>
      <c r="AO387" s="473" t="s">
        <v>786</v>
      </c>
      <c r="AP387" s="305">
        <f t="shared" si="13"/>
        <v>0</v>
      </c>
      <c r="AQ387" s="207"/>
      <c r="AR387" s="207"/>
    </row>
    <row r="388" spans="39:44" ht="12.75">
      <c r="AM388" s="461" t="str">
        <f>AM381 &amp; ".7"</f>
        <v>4.0.3.1.2.3.7</v>
      </c>
      <c r="AN388" s="448" t="s">
        <v>2178</v>
      </c>
      <c r="AO388" s="473" t="s">
        <v>786</v>
      </c>
      <c r="AP388" s="305">
        <f t="shared" si="13"/>
        <v>0</v>
      </c>
      <c r="AQ388" s="207"/>
      <c r="AR388" s="207"/>
    </row>
    <row r="389" spans="39:44" ht="22.5">
      <c r="AM389" s="449" t="s">
        <v>274</v>
      </c>
      <c r="AN389" s="450" t="s">
        <v>238</v>
      </c>
      <c r="AO389" s="473" t="s">
        <v>786</v>
      </c>
      <c r="AP389" s="305">
        <f t="shared" si="13"/>
        <v>0</v>
      </c>
      <c r="AQ389" s="207"/>
      <c r="AR389" s="207"/>
    </row>
    <row r="390" spans="39:44" ht="12.75">
      <c r="AM390" s="461" t="str">
        <f>AM389 &amp; ".1"</f>
        <v>4.0.3.1.2.4.1</v>
      </c>
      <c r="AN390" s="448" t="s">
        <v>2504</v>
      </c>
      <c r="AO390" s="473" t="s">
        <v>786</v>
      </c>
      <c r="AP390" s="305">
        <f t="shared" si="13"/>
        <v>0</v>
      </c>
      <c r="AQ390" s="207"/>
      <c r="AR390" s="207"/>
    </row>
    <row r="391" spans="39:44" ht="12.75">
      <c r="AM391" s="461" t="str">
        <f>AM389 &amp; ".2"</f>
        <v>4.0.3.1.2.4.2</v>
      </c>
      <c r="AN391" s="448" t="s">
        <v>2505</v>
      </c>
      <c r="AO391" s="473" t="s">
        <v>786</v>
      </c>
      <c r="AP391" s="305">
        <f t="shared" si="13"/>
        <v>0</v>
      </c>
      <c r="AQ391" s="207"/>
      <c r="AR391" s="207"/>
    </row>
    <row r="392" spans="39:44" ht="12.75">
      <c r="AM392" s="461" t="str">
        <f>AM389 &amp; ".3"</f>
        <v>4.0.3.1.2.4.3</v>
      </c>
      <c r="AN392" s="448" t="s">
        <v>2506</v>
      </c>
      <c r="AO392" s="473" t="s">
        <v>786</v>
      </c>
      <c r="AP392" s="305">
        <f t="shared" si="13"/>
        <v>0</v>
      </c>
      <c r="AQ392" s="207"/>
      <c r="AR392" s="207"/>
    </row>
    <row r="393" spans="39:44" ht="12.75">
      <c r="AM393" s="461" t="str">
        <f>AM389 &amp; ".4"</f>
        <v>4.0.3.1.2.4.4</v>
      </c>
      <c r="AN393" s="448" t="s">
        <v>2507</v>
      </c>
      <c r="AO393" s="473" t="s">
        <v>786</v>
      </c>
      <c r="AP393" s="305">
        <f t="shared" si="13"/>
        <v>0</v>
      </c>
      <c r="AQ393" s="207"/>
      <c r="AR393" s="207"/>
    </row>
    <row r="394" spans="39:44" ht="12.75">
      <c r="AM394" s="461" t="str">
        <f>AM389 &amp; ".5"</f>
        <v>4.0.3.1.2.4.5</v>
      </c>
      <c r="AN394" s="448" t="s">
        <v>2508</v>
      </c>
      <c r="AO394" s="473" t="s">
        <v>786</v>
      </c>
      <c r="AP394" s="305">
        <f t="shared" si="13"/>
        <v>0</v>
      </c>
      <c r="AQ394" s="207"/>
      <c r="AR394" s="207"/>
    </row>
    <row r="395" spans="39:44" ht="12.75">
      <c r="AM395" s="461" t="str">
        <f>AM389 &amp; ".6"</f>
        <v>4.0.3.1.2.4.6</v>
      </c>
      <c r="AN395" s="448" t="s">
        <v>2509</v>
      </c>
      <c r="AO395" s="473" t="s">
        <v>786</v>
      </c>
      <c r="AP395" s="305">
        <f t="shared" si="13"/>
        <v>0</v>
      </c>
      <c r="AQ395" s="207"/>
      <c r="AR395" s="207"/>
    </row>
    <row r="396" spans="39:44" ht="12.75">
      <c r="AM396" s="461" t="str">
        <f>AM389 &amp; ".7"</f>
        <v>4.0.3.1.2.4.7</v>
      </c>
      <c r="AN396" s="448" t="s">
        <v>2178</v>
      </c>
      <c r="AO396" s="473" t="s">
        <v>786</v>
      </c>
      <c r="AP396" s="305">
        <f t="shared" si="13"/>
        <v>0</v>
      </c>
      <c r="AQ396" s="207"/>
      <c r="AR396" s="207"/>
    </row>
    <row r="397" spans="39:44" ht="22.5">
      <c r="AM397" s="449" t="s">
        <v>273</v>
      </c>
      <c r="AN397" s="450" t="s">
        <v>239</v>
      </c>
      <c r="AO397" s="473" t="s">
        <v>786</v>
      </c>
      <c r="AP397" s="305">
        <f t="shared" si="13"/>
        <v>0</v>
      </c>
      <c r="AQ397" s="207"/>
      <c r="AR397" s="207"/>
    </row>
    <row r="398" spans="39:44" ht="12.75">
      <c r="AM398" s="461" t="str">
        <f>AM397 &amp; ".1"</f>
        <v>4.0.3.1.2.5.1</v>
      </c>
      <c r="AN398" s="225" t="s">
        <v>233</v>
      </c>
      <c r="AO398" s="473" t="s">
        <v>285</v>
      </c>
      <c r="AP398" s="305">
        <f>IF(AP399=0,0,AP397/AP399*1000)</f>
        <v>0</v>
      </c>
      <c r="AQ398" s="207"/>
      <c r="AR398" s="207"/>
    </row>
    <row r="399" spans="39:44" ht="12.75">
      <c r="AM399" s="461" t="str">
        <f>AM397 &amp; ".2"</f>
        <v>4.0.3.1.2.5.2</v>
      </c>
      <c r="AN399" s="225" t="s">
        <v>234</v>
      </c>
      <c r="AO399" s="473" t="s">
        <v>286</v>
      </c>
      <c r="AP399" s="305">
        <f t="shared" si="13"/>
        <v>0</v>
      </c>
      <c r="AQ399" s="207"/>
      <c r="AR399" s="207"/>
    </row>
    <row r="400" spans="39:44" ht="22.5">
      <c r="AM400" s="449" t="s">
        <v>277</v>
      </c>
      <c r="AN400" s="450" t="s">
        <v>240</v>
      </c>
      <c r="AO400" s="473"/>
      <c r="AP400" s="456"/>
      <c r="AQ400" s="207"/>
      <c r="AR400" s="207"/>
    </row>
    <row r="401" spans="39:44">
      <c r="AM401" s="461" t="str">
        <f>AM400 &amp; ".1"</f>
        <v>4.0.3.2.1.1</v>
      </c>
      <c r="AN401" s="453" t="s">
        <v>78</v>
      </c>
      <c r="AO401" s="473" t="s">
        <v>216</v>
      </c>
      <c r="AP401" s="305">
        <f>IF(AP434=0,0,AP467/AP434*1000)</f>
        <v>0</v>
      </c>
      <c r="AQ401" s="207"/>
      <c r="AR401" s="207"/>
    </row>
    <row r="402" spans="39:44" ht="11.25" hidden="1" customHeight="1">
      <c r="AM402" s="461"/>
      <c r="AN402" s="454"/>
      <c r="AO402" s="473"/>
      <c r="AP402" s="456"/>
      <c r="AQ402" s="207"/>
      <c r="AR402" s="207"/>
    </row>
    <row r="403" spans="39:44" ht="11.25" hidden="1" customHeight="1">
      <c r="AM403" s="461"/>
      <c r="AN403" s="454"/>
      <c r="AO403" s="473"/>
      <c r="AP403" s="456"/>
      <c r="AQ403" s="207"/>
      <c r="AR403" s="207"/>
    </row>
    <row r="404" spans="39:44" ht="11.25" hidden="1" customHeight="1">
      <c r="AM404" s="451"/>
      <c r="AN404" s="454"/>
      <c r="AO404" s="473"/>
      <c r="AP404" s="456"/>
      <c r="AQ404" s="207"/>
      <c r="AR404" s="207"/>
    </row>
    <row r="405" spans="39:44" ht="11.25" hidden="1" customHeight="1">
      <c r="AM405" s="451"/>
      <c r="AN405" s="454"/>
      <c r="AO405" s="473"/>
      <c r="AP405" s="456"/>
      <c r="AQ405" s="207"/>
      <c r="AR405" s="207"/>
    </row>
    <row r="406" spans="39:44" ht="11.25" hidden="1" customHeight="1">
      <c r="AM406" s="451"/>
      <c r="AN406" s="454"/>
      <c r="AO406" s="473"/>
      <c r="AP406" s="456"/>
      <c r="AQ406" s="207"/>
      <c r="AR406" s="207"/>
    </row>
    <row r="407" spans="39:44" ht="11.25" hidden="1" customHeight="1">
      <c r="AM407" s="451"/>
      <c r="AN407" s="454"/>
      <c r="AO407" s="473"/>
      <c r="AP407" s="456"/>
      <c r="AQ407" s="207"/>
      <c r="AR407" s="207"/>
    </row>
    <row r="408" spans="39:44" ht="11.25" hidden="1" customHeight="1">
      <c r="AM408" s="451"/>
      <c r="AN408" s="454"/>
      <c r="AO408" s="473"/>
      <c r="AP408" s="456"/>
      <c r="AQ408" s="207"/>
      <c r="AR408" s="207"/>
    </row>
    <row r="409" spans="39:44" ht="11.25" hidden="1" customHeight="1">
      <c r="AM409" s="451"/>
      <c r="AN409" s="454"/>
      <c r="AO409" s="473"/>
      <c r="AP409" s="456"/>
      <c r="AQ409" s="207"/>
      <c r="AR409" s="207"/>
    </row>
    <row r="410" spans="39:44" ht="11.25" hidden="1" customHeight="1">
      <c r="AM410" s="451"/>
      <c r="AN410" s="454"/>
      <c r="AO410" s="473"/>
      <c r="AP410" s="456"/>
      <c r="AQ410" s="207"/>
      <c r="AR410" s="207"/>
    </row>
    <row r="411" spans="39:44" ht="11.25" hidden="1" customHeight="1">
      <c r="AM411" s="461"/>
      <c r="AN411" s="454"/>
      <c r="AO411" s="473"/>
      <c r="AP411" s="456"/>
      <c r="AQ411" s="207"/>
      <c r="AR411" s="207"/>
    </row>
    <row r="412" spans="39:44" ht="11.25" hidden="1" customHeight="1">
      <c r="AM412" s="451"/>
      <c r="AN412" s="454"/>
      <c r="AO412" s="473"/>
      <c r="AP412" s="456"/>
      <c r="AQ412" s="207"/>
      <c r="AR412" s="207"/>
    </row>
    <row r="413" spans="39:44" ht="11.25" hidden="1" customHeight="1">
      <c r="AM413" s="451"/>
      <c r="AN413" s="454"/>
      <c r="AO413" s="473"/>
      <c r="AP413" s="456"/>
      <c r="AQ413" s="207"/>
      <c r="AR413" s="207"/>
    </row>
    <row r="414" spans="39:44" ht="11.25" hidden="1" customHeight="1">
      <c r="AM414" s="451"/>
      <c r="AN414" s="454"/>
      <c r="AO414" s="473"/>
      <c r="AP414" s="456"/>
      <c r="AQ414" s="207"/>
      <c r="AR414" s="207"/>
    </row>
    <row r="415" spans="39:44" ht="11.25" hidden="1" customHeight="1">
      <c r="AM415" s="451"/>
      <c r="AN415" s="454"/>
      <c r="AO415" s="473"/>
      <c r="AP415" s="456"/>
      <c r="AQ415" s="207"/>
      <c r="AR415" s="207"/>
    </row>
    <row r="416" spans="39:44" ht="11.25" hidden="1" customHeight="1">
      <c r="AM416" s="451"/>
      <c r="AN416" s="454"/>
      <c r="AO416" s="473"/>
      <c r="AP416" s="456"/>
      <c r="AQ416" s="207"/>
      <c r="AR416" s="207"/>
    </row>
    <row r="417" spans="39:44" ht="11.25" hidden="1" customHeight="1">
      <c r="AM417" s="451"/>
      <c r="AN417" s="455"/>
      <c r="AO417" s="473"/>
      <c r="AP417" s="456"/>
      <c r="AQ417" s="207"/>
      <c r="AR417" s="207"/>
    </row>
    <row r="418" spans="39:44" ht="11.25" hidden="1" customHeight="1">
      <c r="AM418" s="451"/>
      <c r="AN418" s="455"/>
      <c r="AO418" s="473"/>
      <c r="AP418" s="456"/>
      <c r="AQ418" s="207"/>
      <c r="AR418" s="207"/>
    </row>
    <row r="419" spans="39:44" ht="11.25" hidden="1" customHeight="1">
      <c r="AM419" s="461"/>
      <c r="AN419" s="455"/>
      <c r="AO419" s="473"/>
      <c r="AP419" s="456"/>
      <c r="AQ419" s="207"/>
      <c r="AR419" s="207"/>
    </row>
    <row r="420" spans="39:44">
      <c r="AM420" s="461" t="str">
        <f>AM400 &amp; ".3"</f>
        <v>4.0.3.2.1.3</v>
      </c>
      <c r="AN420" s="457" t="s">
        <v>85</v>
      </c>
      <c r="AO420" s="473" t="s">
        <v>216</v>
      </c>
      <c r="AP420" s="305">
        <f t="shared" ref="AP420:AP429" si="14">IF(AP453=0,0,AP486/AP453*1000)</f>
        <v>0</v>
      </c>
      <c r="AQ420" s="207"/>
      <c r="AR420" s="207"/>
    </row>
    <row r="421" spans="39:44">
      <c r="AM421" s="461" t="str">
        <f>AM400 &amp; ".4"</f>
        <v>4.0.3.2.1.4</v>
      </c>
      <c r="AN421" s="457" t="s">
        <v>87</v>
      </c>
      <c r="AO421" s="473" t="s">
        <v>216</v>
      </c>
      <c r="AP421" s="305">
        <f t="shared" si="14"/>
        <v>0</v>
      </c>
      <c r="AQ421" s="207"/>
      <c r="AR421" s="207"/>
    </row>
    <row r="422" spans="39:44">
      <c r="AM422" s="461" t="str">
        <f>AM400&amp;".5"</f>
        <v>4.0.3.2.1.5</v>
      </c>
      <c r="AN422" s="457" t="s">
        <v>89</v>
      </c>
      <c r="AO422" s="473" t="s">
        <v>216</v>
      </c>
      <c r="AP422" s="305">
        <f t="shared" si="14"/>
        <v>0</v>
      </c>
      <c r="AQ422" s="207"/>
      <c r="AR422" s="207"/>
    </row>
    <row r="423" spans="39:44">
      <c r="AM423" s="461" t="str">
        <f>AM400 &amp; ".6"</f>
        <v>4.0.3.2.1.6</v>
      </c>
      <c r="AN423" s="457" t="s">
        <v>91</v>
      </c>
      <c r="AO423" s="473" t="s">
        <v>216</v>
      </c>
      <c r="AP423" s="305">
        <f t="shared" si="14"/>
        <v>0</v>
      </c>
      <c r="AQ423" s="207"/>
      <c r="AR423" s="207"/>
    </row>
    <row r="424" spans="39:44">
      <c r="AM424" s="461" t="str">
        <f>AM400 &amp; ".7"</f>
        <v>4.0.3.2.1.7</v>
      </c>
      <c r="AN424" s="457" t="s">
        <v>93</v>
      </c>
      <c r="AO424" s="473" t="s">
        <v>216</v>
      </c>
      <c r="AP424" s="305">
        <f t="shared" si="14"/>
        <v>0</v>
      </c>
      <c r="AQ424" s="207"/>
      <c r="AR424" s="207"/>
    </row>
    <row r="425" spans="39:44">
      <c r="AM425" s="461" t="str">
        <f>AM400 &amp; ".8"</f>
        <v>4.0.3.2.1.8</v>
      </c>
      <c r="AN425" s="457" t="s">
        <v>95</v>
      </c>
      <c r="AO425" s="473" t="s">
        <v>216</v>
      </c>
      <c r="AP425" s="305">
        <f t="shared" si="14"/>
        <v>0</v>
      </c>
      <c r="AQ425" s="207"/>
      <c r="AR425" s="207"/>
    </row>
    <row r="426" spans="39:44">
      <c r="AM426" s="461" t="str">
        <f>AM400 &amp; ".9"</f>
        <v>4.0.3.2.1.9</v>
      </c>
      <c r="AN426" s="457" t="s">
        <v>2976</v>
      </c>
      <c r="AO426" s="473" t="s">
        <v>216</v>
      </c>
      <c r="AP426" s="305">
        <f t="shared" si="14"/>
        <v>0</v>
      </c>
      <c r="AQ426" s="207"/>
      <c r="AR426" s="207"/>
    </row>
    <row r="427" spans="39:44">
      <c r="AM427" s="461" t="str">
        <f>AM400 &amp; ".10"</f>
        <v>4.0.3.2.1.10</v>
      </c>
      <c r="AN427" s="457" t="s">
        <v>2978</v>
      </c>
      <c r="AO427" s="473" t="s">
        <v>216</v>
      </c>
      <c r="AP427" s="305">
        <f t="shared" si="14"/>
        <v>0</v>
      </c>
      <c r="AQ427" s="207"/>
      <c r="AR427" s="207"/>
    </row>
    <row r="428" spans="39:44">
      <c r="AM428" s="461" t="str">
        <f>AM400 &amp; ".11"</f>
        <v>4.0.3.2.1.11</v>
      </c>
      <c r="AN428" s="457" t="s">
        <v>2980</v>
      </c>
      <c r="AO428" s="473" t="s">
        <v>216</v>
      </c>
      <c r="AP428" s="305">
        <f t="shared" si="14"/>
        <v>0</v>
      </c>
      <c r="AQ428" s="207"/>
      <c r="AR428" s="207"/>
    </row>
    <row r="429" spans="39:44">
      <c r="AM429" s="461" t="str">
        <f>AM400 &amp; ".12"</f>
        <v>4.0.3.2.1.12</v>
      </c>
      <c r="AN429" s="457" t="s">
        <v>2982</v>
      </c>
      <c r="AO429" s="473" t="s">
        <v>216</v>
      </c>
      <c r="AP429" s="305">
        <f t="shared" si="14"/>
        <v>0</v>
      </c>
      <c r="AQ429" s="207"/>
      <c r="AR429" s="207"/>
    </row>
    <row r="430" spans="39:44" ht="11.25" hidden="1" customHeight="1">
      <c r="AM430" s="451"/>
      <c r="AN430" s="454"/>
      <c r="AO430" s="473"/>
      <c r="AP430" s="456"/>
      <c r="AQ430" s="207"/>
      <c r="AR430" s="207"/>
    </row>
    <row r="431" spans="39:44" ht="11.25" hidden="1" customHeight="1">
      <c r="AM431" s="451"/>
      <c r="AN431" s="454"/>
      <c r="AO431" s="473"/>
      <c r="AP431" s="456"/>
      <c r="AQ431" s="207"/>
      <c r="AR431" s="207"/>
    </row>
    <row r="432" spans="39:44">
      <c r="AM432" s="461" t="str">
        <f>AM400 &amp; ".15"</f>
        <v>4.0.3.2.1.15</v>
      </c>
      <c r="AN432" s="457" t="s">
        <v>291</v>
      </c>
      <c r="AO432" s="473" t="s">
        <v>216</v>
      </c>
      <c r="AP432" s="305">
        <f>IF(AP465=0,0,AP498/AP465*1000)</f>
        <v>0</v>
      </c>
      <c r="AQ432" s="207"/>
      <c r="AR432" s="207"/>
    </row>
    <row r="433" spans="39:44" ht="22.5">
      <c r="AM433" s="449" t="s">
        <v>275</v>
      </c>
      <c r="AN433" s="450" t="s">
        <v>241</v>
      </c>
      <c r="AO433" s="473"/>
      <c r="AP433" s="456"/>
      <c r="AQ433" s="207"/>
      <c r="AR433" s="207"/>
    </row>
    <row r="434" spans="39:44">
      <c r="AM434" s="461" t="str">
        <f>AM433 &amp; ".1"</f>
        <v>4.0.3.2.2.1</v>
      </c>
      <c r="AN434" s="453" t="s">
        <v>78</v>
      </c>
      <c r="AO434" s="473" t="s">
        <v>223</v>
      </c>
      <c r="AP434" s="305">
        <f>SUM(AQ434:AR434)</f>
        <v>0</v>
      </c>
      <c r="AQ434" s="207"/>
      <c r="AR434" s="207"/>
    </row>
    <row r="435" spans="39:44" ht="11.25" hidden="1" customHeight="1">
      <c r="AM435" s="461"/>
      <c r="AN435" s="454"/>
      <c r="AO435" s="473"/>
      <c r="AP435" s="456"/>
      <c r="AQ435" s="207"/>
      <c r="AR435" s="207"/>
    </row>
    <row r="436" spans="39:44" ht="11.25" hidden="1" customHeight="1">
      <c r="AM436" s="461"/>
      <c r="AN436" s="454"/>
      <c r="AO436" s="473"/>
      <c r="AP436" s="456"/>
      <c r="AQ436" s="207"/>
      <c r="AR436" s="207"/>
    </row>
    <row r="437" spans="39:44" ht="11.25" hidden="1" customHeight="1">
      <c r="AM437" s="451"/>
      <c r="AN437" s="454"/>
      <c r="AO437" s="473"/>
      <c r="AP437" s="456"/>
      <c r="AQ437" s="207"/>
      <c r="AR437" s="207"/>
    </row>
    <row r="438" spans="39:44" ht="11.25" hidden="1" customHeight="1">
      <c r="AM438" s="451"/>
      <c r="AN438" s="454"/>
      <c r="AO438" s="473"/>
      <c r="AP438" s="456"/>
      <c r="AQ438" s="207"/>
      <c r="AR438" s="207"/>
    </row>
    <row r="439" spans="39:44" ht="11.25" hidden="1" customHeight="1">
      <c r="AM439" s="451"/>
      <c r="AN439" s="454"/>
      <c r="AO439" s="473"/>
      <c r="AP439" s="456"/>
      <c r="AQ439" s="207"/>
      <c r="AR439" s="207"/>
    </row>
    <row r="440" spans="39:44" ht="11.25" hidden="1" customHeight="1">
      <c r="AM440" s="451"/>
      <c r="AN440" s="454"/>
      <c r="AO440" s="473"/>
      <c r="AP440" s="456"/>
      <c r="AQ440" s="207"/>
      <c r="AR440" s="207"/>
    </row>
    <row r="441" spans="39:44" ht="11.25" hidden="1" customHeight="1">
      <c r="AM441" s="451"/>
      <c r="AN441" s="454"/>
      <c r="AO441" s="473"/>
      <c r="AP441" s="456"/>
      <c r="AQ441" s="207"/>
      <c r="AR441" s="207"/>
    </row>
    <row r="442" spans="39:44" ht="11.25" hidden="1" customHeight="1">
      <c r="AM442" s="451"/>
      <c r="AN442" s="454"/>
      <c r="AO442" s="473"/>
      <c r="AP442" s="456"/>
      <c r="AQ442" s="207"/>
      <c r="AR442" s="207"/>
    </row>
    <row r="443" spans="39:44" ht="11.25" hidden="1" customHeight="1">
      <c r="AM443" s="451"/>
      <c r="AN443" s="454"/>
      <c r="AO443" s="473"/>
      <c r="AP443" s="456"/>
      <c r="AQ443" s="207"/>
      <c r="AR443" s="207"/>
    </row>
    <row r="444" spans="39:44" ht="11.25" hidden="1" customHeight="1">
      <c r="AM444" s="461"/>
      <c r="AN444" s="454"/>
      <c r="AO444" s="473"/>
      <c r="AP444" s="456"/>
      <c r="AQ444" s="207"/>
      <c r="AR444" s="207"/>
    </row>
    <row r="445" spans="39:44" ht="11.25" hidden="1" customHeight="1">
      <c r="AM445" s="451"/>
      <c r="AN445" s="454"/>
      <c r="AO445" s="473"/>
      <c r="AP445" s="456"/>
      <c r="AQ445" s="207"/>
      <c r="AR445" s="207"/>
    </row>
    <row r="446" spans="39:44" ht="11.25" hidden="1" customHeight="1">
      <c r="AM446" s="451"/>
      <c r="AN446" s="454"/>
      <c r="AO446" s="473"/>
      <c r="AP446" s="456"/>
      <c r="AQ446" s="207"/>
      <c r="AR446" s="207"/>
    </row>
    <row r="447" spans="39:44" ht="11.25" hidden="1" customHeight="1">
      <c r="AM447" s="451"/>
      <c r="AN447" s="454"/>
      <c r="AO447" s="473"/>
      <c r="AP447" s="456"/>
      <c r="AQ447" s="207"/>
      <c r="AR447" s="207"/>
    </row>
    <row r="448" spans="39:44" ht="11.25" hidden="1" customHeight="1">
      <c r="AM448" s="451"/>
      <c r="AN448" s="454"/>
      <c r="AO448" s="473"/>
      <c r="AP448" s="456"/>
      <c r="AQ448" s="207"/>
      <c r="AR448" s="207"/>
    </row>
    <row r="449" spans="39:44" ht="11.25" hidden="1" customHeight="1">
      <c r="AM449" s="451"/>
      <c r="AN449" s="454"/>
      <c r="AO449" s="473"/>
      <c r="AP449" s="456"/>
      <c r="AQ449" s="207"/>
      <c r="AR449" s="207"/>
    </row>
    <row r="450" spans="39:44" ht="11.25" hidden="1" customHeight="1">
      <c r="AM450" s="451"/>
      <c r="AN450" s="455"/>
      <c r="AO450" s="473"/>
      <c r="AP450" s="456"/>
      <c r="AQ450" s="207"/>
      <c r="AR450" s="207"/>
    </row>
    <row r="451" spans="39:44" ht="11.25" hidden="1" customHeight="1">
      <c r="AM451" s="451"/>
      <c r="AN451" s="455"/>
      <c r="AO451" s="473"/>
      <c r="AP451" s="456"/>
      <c r="AQ451" s="207"/>
      <c r="AR451" s="207"/>
    </row>
    <row r="452" spans="39:44" ht="11.25" hidden="1" customHeight="1">
      <c r="AM452" s="461"/>
      <c r="AN452" s="455"/>
      <c r="AO452" s="473"/>
      <c r="AP452" s="456"/>
      <c r="AQ452" s="207"/>
      <c r="AR452" s="207"/>
    </row>
    <row r="453" spans="39:44">
      <c r="AM453" s="461" t="str">
        <f>AM433 &amp; ".3"</f>
        <v>4.0.3.2.2.3</v>
      </c>
      <c r="AN453" s="457" t="s">
        <v>85</v>
      </c>
      <c r="AO453" s="473" t="s">
        <v>223</v>
      </c>
      <c r="AP453" s="305">
        <f t="shared" ref="AP453:AP467" si="15">SUM(AQ453:AR453)</f>
        <v>0</v>
      </c>
      <c r="AQ453" s="207"/>
      <c r="AR453" s="207"/>
    </row>
    <row r="454" spans="39:44">
      <c r="AM454" s="461" t="str">
        <f>AM433 &amp; ".4"</f>
        <v>4.0.3.2.2.4</v>
      </c>
      <c r="AN454" s="457" t="s">
        <v>87</v>
      </c>
      <c r="AO454" s="473" t="s">
        <v>223</v>
      </c>
      <c r="AP454" s="305">
        <f t="shared" si="15"/>
        <v>0</v>
      </c>
      <c r="AQ454" s="207"/>
      <c r="AR454" s="207"/>
    </row>
    <row r="455" spans="39:44">
      <c r="AM455" s="461" t="str">
        <f>AM433&amp;".5"</f>
        <v>4.0.3.2.2.5</v>
      </c>
      <c r="AN455" s="457" t="s">
        <v>89</v>
      </c>
      <c r="AO455" s="473" t="s">
        <v>223</v>
      </c>
      <c r="AP455" s="305">
        <f t="shared" si="15"/>
        <v>0</v>
      </c>
      <c r="AQ455" s="207"/>
      <c r="AR455" s="207"/>
    </row>
    <row r="456" spans="39:44">
      <c r="AM456" s="461" t="str">
        <f>AM433 &amp; ".6"</f>
        <v>4.0.3.2.2.6</v>
      </c>
      <c r="AN456" s="457" t="s">
        <v>91</v>
      </c>
      <c r="AO456" s="473" t="s">
        <v>223</v>
      </c>
      <c r="AP456" s="305">
        <f t="shared" si="15"/>
        <v>0</v>
      </c>
      <c r="AQ456" s="207"/>
      <c r="AR456" s="207"/>
    </row>
    <row r="457" spans="39:44">
      <c r="AM457" s="461" t="str">
        <f>AM433 &amp; ".7"</f>
        <v>4.0.3.2.2.7</v>
      </c>
      <c r="AN457" s="457" t="s">
        <v>93</v>
      </c>
      <c r="AO457" s="473" t="s">
        <v>223</v>
      </c>
      <c r="AP457" s="305">
        <f t="shared" si="15"/>
        <v>0</v>
      </c>
      <c r="AQ457" s="207"/>
      <c r="AR457" s="207"/>
    </row>
    <row r="458" spans="39:44">
      <c r="AM458" s="461" t="str">
        <f>AM433 &amp; ".8"</f>
        <v>4.0.3.2.2.8</v>
      </c>
      <c r="AN458" s="457" t="s">
        <v>95</v>
      </c>
      <c r="AO458" s="473" t="s">
        <v>223</v>
      </c>
      <c r="AP458" s="305">
        <f t="shared" si="15"/>
        <v>0</v>
      </c>
      <c r="AQ458" s="207"/>
      <c r="AR458" s="207"/>
    </row>
    <row r="459" spans="39:44">
      <c r="AM459" s="461" t="str">
        <f>AM433 &amp; ".9"</f>
        <v>4.0.3.2.2.9</v>
      </c>
      <c r="AN459" s="457" t="s">
        <v>2976</v>
      </c>
      <c r="AO459" s="473" t="s">
        <v>223</v>
      </c>
      <c r="AP459" s="305">
        <f t="shared" si="15"/>
        <v>0</v>
      </c>
      <c r="AQ459" s="207"/>
      <c r="AR459" s="207"/>
    </row>
    <row r="460" spans="39:44">
      <c r="AM460" s="461" t="str">
        <f>AM433 &amp; ".10"</f>
        <v>4.0.3.2.2.10</v>
      </c>
      <c r="AN460" s="457" t="s">
        <v>2978</v>
      </c>
      <c r="AO460" s="473" t="s">
        <v>223</v>
      </c>
      <c r="AP460" s="305">
        <f t="shared" si="15"/>
        <v>0</v>
      </c>
      <c r="AQ460" s="207"/>
      <c r="AR460" s="207"/>
    </row>
    <row r="461" spans="39:44">
      <c r="AM461" s="461" t="str">
        <f>AM433 &amp; ".11"</f>
        <v>4.0.3.2.2.11</v>
      </c>
      <c r="AN461" s="457" t="s">
        <v>2980</v>
      </c>
      <c r="AO461" s="473" t="s">
        <v>223</v>
      </c>
      <c r="AP461" s="305">
        <f t="shared" si="15"/>
        <v>0</v>
      </c>
      <c r="AQ461" s="207"/>
      <c r="AR461" s="207"/>
    </row>
    <row r="462" spans="39:44">
      <c r="AM462" s="461" t="str">
        <f>AM433 &amp; ".12"</f>
        <v>4.0.3.2.2.12</v>
      </c>
      <c r="AN462" s="457" t="s">
        <v>2982</v>
      </c>
      <c r="AO462" s="473" t="s">
        <v>223</v>
      </c>
      <c r="AP462" s="305">
        <f t="shared" si="15"/>
        <v>0</v>
      </c>
      <c r="AQ462" s="207"/>
      <c r="AR462" s="207"/>
    </row>
    <row r="463" spans="39:44" ht="11.25" hidden="1" customHeight="1">
      <c r="AM463" s="451"/>
      <c r="AN463" s="454"/>
      <c r="AO463" s="473"/>
      <c r="AP463" s="456"/>
      <c r="AQ463" s="207"/>
      <c r="AR463" s="207"/>
    </row>
    <row r="464" spans="39:44" ht="11.25" hidden="1" customHeight="1">
      <c r="AM464" s="451"/>
      <c r="AN464" s="454"/>
      <c r="AO464" s="473"/>
      <c r="AP464" s="456"/>
      <c r="AQ464" s="207"/>
      <c r="AR464" s="207"/>
    </row>
    <row r="465" spans="39:44">
      <c r="AM465" s="461" t="str">
        <f>AM433 &amp; ".15"</f>
        <v>4.0.3.2.2.15</v>
      </c>
      <c r="AN465" s="457" t="s">
        <v>291</v>
      </c>
      <c r="AO465" s="473" t="s">
        <v>223</v>
      </c>
      <c r="AP465" s="305">
        <f>SUM(AQ465:AR465)</f>
        <v>0</v>
      </c>
      <c r="AQ465" s="207"/>
      <c r="AR465" s="207"/>
    </row>
    <row r="466" spans="39:44" ht="22.5">
      <c r="AM466" s="449" t="s">
        <v>276</v>
      </c>
      <c r="AN466" s="450" t="s">
        <v>242</v>
      </c>
      <c r="AO466" s="473" t="s">
        <v>786</v>
      </c>
      <c r="AP466" s="305">
        <f t="shared" si="15"/>
        <v>0</v>
      </c>
      <c r="AQ466" s="207"/>
      <c r="AR466" s="207"/>
    </row>
    <row r="467" spans="39:44">
      <c r="AM467" s="461" t="str">
        <f>AM466 &amp; ".1"</f>
        <v>4.0.3.2.3.1</v>
      </c>
      <c r="AN467" s="453" t="s">
        <v>78</v>
      </c>
      <c r="AO467" s="473" t="s">
        <v>786</v>
      </c>
      <c r="AP467" s="305">
        <f t="shared" si="15"/>
        <v>0</v>
      </c>
      <c r="AQ467" s="207"/>
      <c r="AR467" s="207"/>
    </row>
    <row r="468" spans="39:44" ht="11.25" hidden="1" customHeight="1">
      <c r="AM468" s="461"/>
      <c r="AN468" s="454"/>
      <c r="AO468" s="473"/>
      <c r="AP468" s="456"/>
      <c r="AQ468" s="207"/>
      <c r="AR468" s="207"/>
    </row>
    <row r="469" spans="39:44" ht="11.25" hidden="1" customHeight="1">
      <c r="AM469" s="461"/>
      <c r="AN469" s="454"/>
      <c r="AO469" s="473"/>
      <c r="AP469" s="456"/>
      <c r="AQ469" s="207"/>
      <c r="AR469" s="207"/>
    </row>
    <row r="470" spans="39:44" ht="11.25" hidden="1" customHeight="1">
      <c r="AM470" s="451"/>
      <c r="AN470" s="454"/>
      <c r="AO470" s="473"/>
      <c r="AP470" s="456"/>
      <c r="AQ470" s="207"/>
      <c r="AR470" s="207"/>
    </row>
    <row r="471" spans="39:44" ht="11.25" hidden="1" customHeight="1">
      <c r="AM471" s="451"/>
      <c r="AN471" s="454"/>
      <c r="AO471" s="473"/>
      <c r="AP471" s="456"/>
      <c r="AQ471" s="207"/>
      <c r="AR471" s="207"/>
    </row>
    <row r="472" spans="39:44" ht="11.25" hidden="1" customHeight="1">
      <c r="AM472" s="451"/>
      <c r="AN472" s="454"/>
      <c r="AO472" s="473"/>
      <c r="AP472" s="456"/>
      <c r="AQ472" s="207"/>
      <c r="AR472" s="207"/>
    </row>
    <row r="473" spans="39:44" ht="11.25" hidden="1" customHeight="1">
      <c r="AM473" s="451"/>
      <c r="AN473" s="454"/>
      <c r="AO473" s="473"/>
      <c r="AP473" s="456"/>
      <c r="AQ473" s="207"/>
      <c r="AR473" s="207"/>
    </row>
    <row r="474" spans="39:44" ht="11.25" hidden="1" customHeight="1">
      <c r="AM474" s="451"/>
      <c r="AN474" s="454"/>
      <c r="AO474" s="473"/>
      <c r="AP474" s="456"/>
      <c r="AQ474" s="207"/>
      <c r="AR474" s="207"/>
    </row>
    <row r="475" spans="39:44" ht="11.25" hidden="1" customHeight="1">
      <c r="AM475" s="451"/>
      <c r="AN475" s="454"/>
      <c r="AO475" s="473"/>
      <c r="AP475" s="456"/>
      <c r="AQ475" s="207"/>
      <c r="AR475" s="207"/>
    </row>
    <row r="476" spans="39:44" ht="11.25" hidden="1" customHeight="1">
      <c r="AM476" s="451"/>
      <c r="AN476" s="454"/>
      <c r="AO476" s="473"/>
      <c r="AP476" s="456"/>
      <c r="AQ476" s="207"/>
      <c r="AR476" s="207"/>
    </row>
    <row r="477" spans="39:44" ht="11.25" hidden="1" customHeight="1">
      <c r="AM477" s="461"/>
      <c r="AN477" s="454"/>
      <c r="AO477" s="473"/>
      <c r="AP477" s="456"/>
      <c r="AQ477" s="207"/>
      <c r="AR477" s="207"/>
    </row>
    <row r="478" spans="39:44" ht="11.25" hidden="1" customHeight="1">
      <c r="AM478" s="451"/>
      <c r="AN478" s="454"/>
      <c r="AO478" s="473"/>
      <c r="AP478" s="456"/>
      <c r="AQ478" s="207"/>
      <c r="AR478" s="207"/>
    </row>
    <row r="479" spans="39:44" ht="11.25" hidden="1" customHeight="1">
      <c r="AM479" s="451"/>
      <c r="AN479" s="454"/>
      <c r="AO479" s="473"/>
      <c r="AP479" s="456"/>
      <c r="AQ479" s="207"/>
      <c r="AR479" s="207"/>
    </row>
    <row r="480" spans="39:44" ht="11.25" hidden="1" customHeight="1">
      <c r="AM480" s="451"/>
      <c r="AN480" s="454"/>
      <c r="AO480" s="473"/>
      <c r="AP480" s="456"/>
      <c r="AQ480" s="207"/>
      <c r="AR480" s="207"/>
    </row>
    <row r="481" spans="39:44" ht="11.25" hidden="1" customHeight="1">
      <c r="AM481" s="451"/>
      <c r="AN481" s="454"/>
      <c r="AO481" s="473"/>
      <c r="AP481" s="456"/>
      <c r="AQ481" s="207"/>
      <c r="AR481" s="207"/>
    </row>
    <row r="482" spans="39:44" ht="11.25" hidden="1" customHeight="1">
      <c r="AM482" s="451"/>
      <c r="AN482" s="454"/>
      <c r="AO482" s="473"/>
      <c r="AP482" s="456"/>
      <c r="AQ482" s="207"/>
      <c r="AR482" s="207"/>
    </row>
    <row r="483" spans="39:44" ht="11.25" hidden="1" customHeight="1">
      <c r="AM483" s="451"/>
      <c r="AN483" s="455"/>
      <c r="AO483" s="473"/>
      <c r="AP483" s="456"/>
      <c r="AQ483" s="207"/>
      <c r="AR483" s="207"/>
    </row>
    <row r="484" spans="39:44" ht="11.25" hidden="1" customHeight="1">
      <c r="AM484" s="451"/>
      <c r="AN484" s="455"/>
      <c r="AO484" s="473"/>
      <c r="AP484" s="456"/>
      <c r="AQ484" s="207"/>
      <c r="AR484" s="207"/>
    </row>
    <row r="485" spans="39:44" ht="11.25" hidden="1" customHeight="1">
      <c r="AM485" s="461"/>
      <c r="AN485" s="455"/>
      <c r="AO485" s="473"/>
      <c r="AP485" s="456"/>
      <c r="AQ485" s="207"/>
      <c r="AR485" s="207"/>
    </row>
    <row r="486" spans="39:44">
      <c r="AM486" s="461" t="str">
        <f>AM466 &amp; ".3"</f>
        <v>4.0.3.2.3.3</v>
      </c>
      <c r="AN486" s="457" t="s">
        <v>85</v>
      </c>
      <c r="AO486" s="473" t="s">
        <v>786</v>
      </c>
      <c r="AP486" s="305">
        <f t="shared" ref="AP486:AP495" si="16">SUM(AQ486:AR486)</f>
        <v>0</v>
      </c>
      <c r="AQ486" s="207"/>
      <c r="AR486" s="207"/>
    </row>
    <row r="487" spans="39:44">
      <c r="AM487" s="461" t="str">
        <f>AM466 &amp; ".4"</f>
        <v>4.0.3.2.3.4</v>
      </c>
      <c r="AN487" s="457" t="s">
        <v>87</v>
      </c>
      <c r="AO487" s="473" t="s">
        <v>786</v>
      </c>
      <c r="AP487" s="305">
        <f t="shared" si="16"/>
        <v>0</v>
      </c>
      <c r="AQ487" s="207"/>
      <c r="AR487" s="207"/>
    </row>
    <row r="488" spans="39:44">
      <c r="AM488" s="461" t="str">
        <f>AM466&amp;".5"</f>
        <v>4.0.3.2.3.5</v>
      </c>
      <c r="AN488" s="457" t="s">
        <v>89</v>
      </c>
      <c r="AO488" s="473" t="s">
        <v>786</v>
      </c>
      <c r="AP488" s="305">
        <f t="shared" si="16"/>
        <v>0</v>
      </c>
      <c r="AQ488" s="207"/>
      <c r="AR488" s="207"/>
    </row>
    <row r="489" spans="39:44">
      <c r="AM489" s="461" t="str">
        <f>AM466 &amp; ".6"</f>
        <v>4.0.3.2.3.6</v>
      </c>
      <c r="AN489" s="457" t="s">
        <v>91</v>
      </c>
      <c r="AO489" s="473" t="s">
        <v>786</v>
      </c>
      <c r="AP489" s="305">
        <f t="shared" si="16"/>
        <v>0</v>
      </c>
      <c r="AQ489" s="207"/>
      <c r="AR489" s="207"/>
    </row>
    <row r="490" spans="39:44">
      <c r="AM490" s="461" t="str">
        <f>AM466 &amp; ".7"</f>
        <v>4.0.3.2.3.7</v>
      </c>
      <c r="AN490" s="457" t="s">
        <v>93</v>
      </c>
      <c r="AO490" s="473" t="s">
        <v>786</v>
      </c>
      <c r="AP490" s="305">
        <f t="shared" si="16"/>
        <v>0</v>
      </c>
      <c r="AQ490" s="207"/>
      <c r="AR490" s="207"/>
    </row>
    <row r="491" spans="39:44">
      <c r="AM491" s="461" t="str">
        <f>AM466 &amp; ".8"</f>
        <v>4.0.3.2.3.8</v>
      </c>
      <c r="AN491" s="457" t="s">
        <v>95</v>
      </c>
      <c r="AO491" s="473" t="s">
        <v>786</v>
      </c>
      <c r="AP491" s="305">
        <f t="shared" si="16"/>
        <v>0</v>
      </c>
      <c r="AQ491" s="207"/>
      <c r="AR491" s="207"/>
    </row>
    <row r="492" spans="39:44">
      <c r="AM492" s="461" t="str">
        <f>AM466 &amp; ".9"</f>
        <v>4.0.3.2.3.9</v>
      </c>
      <c r="AN492" s="457" t="s">
        <v>2976</v>
      </c>
      <c r="AO492" s="473" t="s">
        <v>786</v>
      </c>
      <c r="AP492" s="305">
        <f t="shared" si="16"/>
        <v>0</v>
      </c>
      <c r="AQ492" s="207"/>
      <c r="AR492" s="207"/>
    </row>
    <row r="493" spans="39:44">
      <c r="AM493" s="461" t="str">
        <f>AM466 &amp; ".10"</f>
        <v>4.0.3.2.3.10</v>
      </c>
      <c r="AN493" s="457" t="s">
        <v>2978</v>
      </c>
      <c r="AO493" s="473" t="s">
        <v>786</v>
      </c>
      <c r="AP493" s="305">
        <f t="shared" si="16"/>
        <v>0</v>
      </c>
      <c r="AQ493" s="207"/>
      <c r="AR493" s="207"/>
    </row>
    <row r="494" spans="39:44">
      <c r="AM494" s="461" t="str">
        <f>AM466 &amp; ".11"</f>
        <v>4.0.3.2.3.11</v>
      </c>
      <c r="AN494" s="457" t="s">
        <v>2980</v>
      </c>
      <c r="AO494" s="473" t="s">
        <v>786</v>
      </c>
      <c r="AP494" s="305">
        <f t="shared" si="16"/>
        <v>0</v>
      </c>
      <c r="AQ494" s="207"/>
      <c r="AR494" s="207"/>
    </row>
    <row r="495" spans="39:44">
      <c r="AM495" s="461" t="str">
        <f>AM466 &amp; ".12"</f>
        <v>4.0.3.2.3.12</v>
      </c>
      <c r="AN495" s="457" t="s">
        <v>2982</v>
      </c>
      <c r="AO495" s="473" t="s">
        <v>786</v>
      </c>
      <c r="AP495" s="305">
        <f t="shared" si="16"/>
        <v>0</v>
      </c>
      <c r="AQ495" s="207"/>
      <c r="AR495" s="207"/>
    </row>
    <row r="496" spans="39:44" ht="11.25" hidden="1" customHeight="1">
      <c r="AM496" s="451"/>
      <c r="AN496" s="454"/>
      <c r="AO496" s="473"/>
      <c r="AP496" s="456"/>
      <c r="AQ496" s="207"/>
      <c r="AR496" s="207"/>
    </row>
    <row r="497" spans="39:44" ht="11.25" hidden="1" customHeight="1">
      <c r="AM497" s="451"/>
      <c r="AN497" s="454"/>
      <c r="AO497" s="473"/>
      <c r="AP497" s="456"/>
      <c r="AQ497" s="207"/>
      <c r="AR497" s="207"/>
    </row>
    <row r="498" spans="39:44">
      <c r="AM498" s="461" t="str">
        <f>AM466 &amp; ".15"</f>
        <v>4.0.3.2.3.15</v>
      </c>
      <c r="AN498" s="457" t="s">
        <v>291</v>
      </c>
      <c r="AO498" s="473" t="s">
        <v>786</v>
      </c>
      <c r="AP498" s="305">
        <f>SUM(AQ498:AR498)</f>
        <v>0</v>
      </c>
      <c r="AQ498" s="207"/>
      <c r="AR498" s="207"/>
    </row>
    <row r="499" spans="39:44" ht="22.5">
      <c r="AM499" s="449" t="s">
        <v>278</v>
      </c>
      <c r="AN499" s="450" t="s">
        <v>243</v>
      </c>
      <c r="AO499" s="473"/>
      <c r="AP499" s="456"/>
      <c r="AQ499" s="207"/>
      <c r="AR499" s="207"/>
    </row>
    <row r="500" spans="39:44">
      <c r="AM500" s="461" t="str">
        <f>AM499 &amp; ".1"</f>
        <v>4.0.3.3.1.1</v>
      </c>
      <c r="AN500" s="453" t="s">
        <v>78</v>
      </c>
      <c r="AO500" s="473" t="s">
        <v>216</v>
      </c>
      <c r="AP500" s="305">
        <f>IF(AP533=0,0,AP566/AP533*1000)</f>
        <v>0</v>
      </c>
      <c r="AQ500" s="207"/>
      <c r="AR500" s="207"/>
    </row>
    <row r="501" spans="39:44" ht="11.25" hidden="1" customHeight="1">
      <c r="AM501" s="461"/>
      <c r="AN501" s="454"/>
      <c r="AO501" s="473"/>
      <c r="AP501" s="456"/>
      <c r="AQ501" s="207"/>
      <c r="AR501" s="207"/>
    </row>
    <row r="502" spans="39:44" ht="11.25" hidden="1" customHeight="1">
      <c r="AM502" s="461"/>
      <c r="AN502" s="454"/>
      <c r="AO502" s="473"/>
      <c r="AP502" s="456"/>
      <c r="AQ502" s="207"/>
      <c r="AR502" s="207"/>
    </row>
    <row r="503" spans="39:44" ht="11.25" hidden="1" customHeight="1">
      <c r="AM503" s="451"/>
      <c r="AN503" s="454"/>
      <c r="AO503" s="473"/>
      <c r="AP503" s="456"/>
      <c r="AQ503" s="207"/>
      <c r="AR503" s="207"/>
    </row>
    <row r="504" spans="39:44" ht="11.25" hidden="1" customHeight="1">
      <c r="AM504" s="451"/>
      <c r="AN504" s="454"/>
      <c r="AO504" s="473"/>
      <c r="AP504" s="456"/>
      <c r="AQ504" s="207"/>
      <c r="AR504" s="207"/>
    </row>
    <row r="505" spans="39:44" ht="11.25" hidden="1" customHeight="1">
      <c r="AM505" s="451"/>
      <c r="AN505" s="454"/>
      <c r="AO505" s="473"/>
      <c r="AP505" s="456"/>
      <c r="AQ505" s="207"/>
      <c r="AR505" s="207"/>
    </row>
    <row r="506" spans="39:44" ht="11.25" hidden="1" customHeight="1">
      <c r="AM506" s="451"/>
      <c r="AN506" s="454"/>
      <c r="AO506" s="473"/>
      <c r="AP506" s="456"/>
      <c r="AQ506" s="207"/>
      <c r="AR506" s="207"/>
    </row>
    <row r="507" spans="39:44" ht="11.25" hidden="1" customHeight="1">
      <c r="AM507" s="451"/>
      <c r="AN507" s="454"/>
      <c r="AO507" s="473"/>
      <c r="AP507" s="456"/>
      <c r="AQ507" s="207"/>
      <c r="AR507" s="207"/>
    </row>
    <row r="508" spans="39:44" ht="11.25" hidden="1" customHeight="1">
      <c r="AM508" s="451"/>
      <c r="AN508" s="454"/>
      <c r="AO508" s="473"/>
      <c r="AP508" s="456"/>
      <c r="AQ508" s="207"/>
      <c r="AR508" s="207"/>
    </row>
    <row r="509" spans="39:44" ht="11.25" hidden="1" customHeight="1">
      <c r="AM509" s="451"/>
      <c r="AN509" s="454"/>
      <c r="AO509" s="473"/>
      <c r="AP509" s="456"/>
      <c r="AQ509" s="207"/>
      <c r="AR509" s="207"/>
    </row>
    <row r="510" spans="39:44" ht="11.25" hidden="1" customHeight="1">
      <c r="AM510" s="461"/>
      <c r="AN510" s="454"/>
      <c r="AO510" s="473"/>
      <c r="AP510" s="456"/>
      <c r="AQ510" s="207"/>
      <c r="AR510" s="207"/>
    </row>
    <row r="511" spans="39:44" ht="11.25" hidden="1" customHeight="1">
      <c r="AM511" s="451"/>
      <c r="AN511" s="454"/>
      <c r="AO511" s="473"/>
      <c r="AP511" s="456"/>
      <c r="AQ511" s="207"/>
      <c r="AR511" s="207"/>
    </row>
    <row r="512" spans="39:44" ht="11.25" hidden="1" customHeight="1">
      <c r="AM512" s="451"/>
      <c r="AN512" s="454"/>
      <c r="AO512" s="473"/>
      <c r="AP512" s="456"/>
      <c r="AQ512" s="207"/>
      <c r="AR512" s="207"/>
    </row>
    <row r="513" spans="39:44" ht="11.25" hidden="1" customHeight="1">
      <c r="AM513" s="451"/>
      <c r="AN513" s="454"/>
      <c r="AO513" s="473"/>
      <c r="AP513" s="456"/>
      <c r="AQ513" s="207"/>
      <c r="AR513" s="207"/>
    </row>
    <row r="514" spans="39:44" ht="11.25" hidden="1" customHeight="1">
      <c r="AM514" s="451"/>
      <c r="AN514" s="454"/>
      <c r="AO514" s="473"/>
      <c r="AP514" s="456"/>
      <c r="AQ514" s="207"/>
      <c r="AR514" s="207"/>
    </row>
    <row r="515" spans="39:44" ht="11.25" hidden="1" customHeight="1">
      <c r="AM515" s="451"/>
      <c r="AN515" s="454"/>
      <c r="AO515" s="473"/>
      <c r="AP515" s="456"/>
      <c r="AQ515" s="207"/>
      <c r="AR515" s="207"/>
    </row>
    <row r="516" spans="39:44" ht="11.25" hidden="1" customHeight="1">
      <c r="AM516" s="451"/>
      <c r="AN516" s="455"/>
      <c r="AO516" s="473"/>
      <c r="AP516" s="456"/>
      <c r="AQ516" s="207"/>
      <c r="AR516" s="207"/>
    </row>
    <row r="517" spans="39:44" ht="11.25" hidden="1" customHeight="1">
      <c r="AM517" s="451"/>
      <c r="AN517" s="455"/>
      <c r="AO517" s="473"/>
      <c r="AP517" s="456"/>
      <c r="AQ517" s="207"/>
      <c r="AR517" s="207"/>
    </row>
    <row r="518" spans="39:44" ht="11.25" hidden="1" customHeight="1">
      <c r="AM518" s="461"/>
      <c r="AN518" s="455"/>
      <c r="AO518" s="473"/>
      <c r="AP518" s="456"/>
      <c r="AQ518" s="207"/>
      <c r="AR518" s="207"/>
    </row>
    <row r="519" spans="39:44">
      <c r="AM519" s="461" t="str">
        <f>AM499 &amp; ".3"</f>
        <v>4.0.3.3.1.3</v>
      </c>
      <c r="AN519" s="457" t="s">
        <v>85</v>
      </c>
      <c r="AO519" s="473" t="s">
        <v>216</v>
      </c>
      <c r="AP519" s="305">
        <f t="shared" ref="AP519:AP528" si="17">IF(AP552=0,0,AP585/AP552*1000)</f>
        <v>0</v>
      </c>
      <c r="AQ519" s="207"/>
      <c r="AR519" s="207"/>
    </row>
    <row r="520" spans="39:44">
      <c r="AM520" s="461" t="str">
        <f>AM499 &amp; ".4"</f>
        <v>4.0.3.3.1.4</v>
      </c>
      <c r="AN520" s="457" t="s">
        <v>87</v>
      </c>
      <c r="AO520" s="473" t="s">
        <v>216</v>
      </c>
      <c r="AP520" s="305">
        <f t="shared" si="17"/>
        <v>0</v>
      </c>
      <c r="AQ520" s="207"/>
      <c r="AR520" s="207"/>
    </row>
    <row r="521" spans="39:44">
      <c r="AM521" s="461" t="str">
        <f>AM499&amp;".5"</f>
        <v>4.0.3.3.1.5</v>
      </c>
      <c r="AN521" s="457" t="s">
        <v>89</v>
      </c>
      <c r="AO521" s="473" t="s">
        <v>216</v>
      </c>
      <c r="AP521" s="305">
        <f t="shared" si="17"/>
        <v>0</v>
      </c>
      <c r="AQ521" s="207"/>
      <c r="AR521" s="207"/>
    </row>
    <row r="522" spans="39:44">
      <c r="AM522" s="461" t="str">
        <f>AM499 &amp; ".6"</f>
        <v>4.0.3.3.1.6</v>
      </c>
      <c r="AN522" s="457" t="s">
        <v>91</v>
      </c>
      <c r="AO522" s="473" t="s">
        <v>216</v>
      </c>
      <c r="AP522" s="305">
        <f t="shared" si="17"/>
        <v>0</v>
      </c>
      <c r="AQ522" s="207"/>
      <c r="AR522" s="207"/>
    </row>
    <row r="523" spans="39:44">
      <c r="AM523" s="461" t="str">
        <f>AM499 &amp; ".7"</f>
        <v>4.0.3.3.1.7</v>
      </c>
      <c r="AN523" s="457" t="s">
        <v>93</v>
      </c>
      <c r="AO523" s="473" t="s">
        <v>216</v>
      </c>
      <c r="AP523" s="305">
        <f t="shared" si="17"/>
        <v>0</v>
      </c>
      <c r="AQ523" s="207"/>
      <c r="AR523" s="207"/>
    </row>
    <row r="524" spans="39:44">
      <c r="AM524" s="461" t="str">
        <f>AM499 &amp; ".8"</f>
        <v>4.0.3.3.1.8</v>
      </c>
      <c r="AN524" s="457" t="s">
        <v>95</v>
      </c>
      <c r="AO524" s="473" t="s">
        <v>216</v>
      </c>
      <c r="AP524" s="305">
        <f t="shared" si="17"/>
        <v>0</v>
      </c>
      <c r="AQ524" s="207"/>
      <c r="AR524" s="207"/>
    </row>
    <row r="525" spans="39:44">
      <c r="AM525" s="461" t="str">
        <f>AM499 &amp; ".9"</f>
        <v>4.0.3.3.1.9</v>
      </c>
      <c r="AN525" s="457" t="s">
        <v>2976</v>
      </c>
      <c r="AO525" s="473" t="s">
        <v>216</v>
      </c>
      <c r="AP525" s="305">
        <f t="shared" si="17"/>
        <v>0</v>
      </c>
      <c r="AQ525" s="207"/>
      <c r="AR525" s="207"/>
    </row>
    <row r="526" spans="39:44">
      <c r="AM526" s="461" t="str">
        <f>AM499 &amp; ".10"</f>
        <v>4.0.3.3.1.10</v>
      </c>
      <c r="AN526" s="457" t="s">
        <v>2978</v>
      </c>
      <c r="AO526" s="473" t="s">
        <v>216</v>
      </c>
      <c r="AP526" s="305">
        <f t="shared" si="17"/>
        <v>0</v>
      </c>
      <c r="AQ526" s="207"/>
      <c r="AR526" s="207"/>
    </row>
    <row r="527" spans="39:44">
      <c r="AM527" s="461" t="str">
        <f>AM499 &amp; ".11"</f>
        <v>4.0.3.3.1.11</v>
      </c>
      <c r="AN527" s="457" t="s">
        <v>2980</v>
      </c>
      <c r="AO527" s="473" t="s">
        <v>216</v>
      </c>
      <c r="AP527" s="305">
        <f t="shared" si="17"/>
        <v>0</v>
      </c>
      <c r="AQ527" s="207"/>
      <c r="AR527" s="207"/>
    </row>
    <row r="528" spans="39:44">
      <c r="AM528" s="461" t="str">
        <f>AM499 &amp; ".12"</f>
        <v>4.0.3.3.1.12</v>
      </c>
      <c r="AN528" s="457" t="s">
        <v>2982</v>
      </c>
      <c r="AO528" s="473" t="s">
        <v>216</v>
      </c>
      <c r="AP528" s="305">
        <f t="shared" si="17"/>
        <v>0</v>
      </c>
      <c r="AQ528" s="207"/>
      <c r="AR528" s="207"/>
    </row>
    <row r="529" spans="39:44" ht="11.25" hidden="1" customHeight="1">
      <c r="AM529" s="451"/>
      <c r="AN529" s="454"/>
      <c r="AO529" s="473"/>
      <c r="AP529" s="456"/>
      <c r="AQ529" s="207"/>
      <c r="AR529" s="207"/>
    </row>
    <row r="530" spans="39:44" ht="11.25" hidden="1" customHeight="1">
      <c r="AM530" s="451"/>
      <c r="AN530" s="454"/>
      <c r="AO530" s="473"/>
      <c r="AP530" s="456"/>
      <c r="AQ530" s="207"/>
      <c r="AR530" s="207"/>
    </row>
    <row r="531" spans="39:44">
      <c r="AM531" s="461" t="str">
        <f>AM499 &amp; ".15"</f>
        <v>4.0.3.3.1.15</v>
      </c>
      <c r="AN531" s="457" t="s">
        <v>291</v>
      </c>
      <c r="AO531" s="473" t="s">
        <v>216</v>
      </c>
      <c r="AP531" s="305">
        <f>IF(AP564=0,0,AP597/AP564*1000)</f>
        <v>0</v>
      </c>
      <c r="AQ531" s="207"/>
      <c r="AR531" s="207"/>
    </row>
    <row r="532" spans="39:44" ht="22.5">
      <c r="AM532" s="449" t="s">
        <v>279</v>
      </c>
      <c r="AN532" s="450" t="s">
        <v>244</v>
      </c>
      <c r="AO532" s="473"/>
      <c r="AP532" s="456"/>
      <c r="AQ532" s="207"/>
      <c r="AR532" s="207"/>
    </row>
    <row r="533" spans="39:44">
      <c r="AM533" s="461" t="str">
        <f>AM532 &amp; ".1"</f>
        <v>4.0.3.3.2.1</v>
      </c>
      <c r="AN533" s="453" t="s">
        <v>78</v>
      </c>
      <c r="AO533" s="473" t="s">
        <v>223</v>
      </c>
      <c r="AP533" s="305">
        <f>SUM(AQ533:AR533)</f>
        <v>0</v>
      </c>
      <c r="AQ533" s="207"/>
      <c r="AR533" s="207"/>
    </row>
    <row r="534" spans="39:44" ht="11.25" hidden="1" customHeight="1">
      <c r="AM534" s="461"/>
      <c r="AN534" s="454"/>
      <c r="AO534" s="473"/>
      <c r="AP534" s="456"/>
      <c r="AQ534" s="207"/>
      <c r="AR534" s="207"/>
    </row>
    <row r="535" spans="39:44" ht="11.25" hidden="1" customHeight="1">
      <c r="AM535" s="461"/>
      <c r="AN535" s="454"/>
      <c r="AO535" s="473"/>
      <c r="AP535" s="456"/>
      <c r="AQ535" s="207"/>
      <c r="AR535" s="207"/>
    </row>
    <row r="536" spans="39:44" ht="11.25" hidden="1" customHeight="1">
      <c r="AM536" s="451"/>
      <c r="AN536" s="454"/>
      <c r="AO536" s="473"/>
      <c r="AP536" s="456"/>
      <c r="AQ536" s="207"/>
      <c r="AR536" s="207"/>
    </row>
    <row r="537" spans="39:44" ht="11.25" hidden="1" customHeight="1">
      <c r="AM537" s="451"/>
      <c r="AN537" s="454"/>
      <c r="AO537" s="473"/>
      <c r="AP537" s="456"/>
      <c r="AQ537" s="207"/>
      <c r="AR537" s="207"/>
    </row>
    <row r="538" spans="39:44" ht="11.25" hidden="1" customHeight="1">
      <c r="AM538" s="451"/>
      <c r="AN538" s="454"/>
      <c r="AO538" s="473"/>
      <c r="AP538" s="456"/>
      <c r="AQ538" s="207"/>
      <c r="AR538" s="207"/>
    </row>
    <row r="539" spans="39:44" ht="11.25" hidden="1" customHeight="1">
      <c r="AM539" s="451"/>
      <c r="AN539" s="454"/>
      <c r="AO539" s="473"/>
      <c r="AP539" s="456"/>
      <c r="AQ539" s="207"/>
      <c r="AR539" s="207"/>
    </row>
    <row r="540" spans="39:44" ht="11.25" hidden="1" customHeight="1">
      <c r="AM540" s="451"/>
      <c r="AN540" s="454"/>
      <c r="AO540" s="473"/>
      <c r="AP540" s="456"/>
      <c r="AQ540" s="207"/>
      <c r="AR540" s="207"/>
    </row>
    <row r="541" spans="39:44" ht="11.25" hidden="1" customHeight="1">
      <c r="AM541" s="451"/>
      <c r="AN541" s="454"/>
      <c r="AO541" s="473"/>
      <c r="AP541" s="456"/>
      <c r="AQ541" s="207"/>
      <c r="AR541" s="207"/>
    </row>
    <row r="542" spans="39:44" ht="11.25" hidden="1" customHeight="1">
      <c r="AM542" s="451"/>
      <c r="AN542" s="454"/>
      <c r="AO542" s="473"/>
      <c r="AP542" s="456"/>
      <c r="AQ542" s="207"/>
      <c r="AR542" s="207"/>
    </row>
    <row r="543" spans="39:44" ht="11.25" hidden="1" customHeight="1">
      <c r="AM543" s="461"/>
      <c r="AN543" s="454"/>
      <c r="AO543" s="473"/>
      <c r="AP543" s="456"/>
      <c r="AQ543" s="207"/>
      <c r="AR543" s="207"/>
    </row>
    <row r="544" spans="39:44" ht="11.25" hidden="1" customHeight="1">
      <c r="AM544" s="451"/>
      <c r="AN544" s="454"/>
      <c r="AO544" s="473"/>
      <c r="AP544" s="456"/>
      <c r="AQ544" s="207"/>
      <c r="AR544" s="207"/>
    </row>
    <row r="545" spans="39:44" ht="11.25" hidden="1" customHeight="1">
      <c r="AM545" s="451"/>
      <c r="AN545" s="454"/>
      <c r="AO545" s="473"/>
      <c r="AP545" s="456"/>
      <c r="AQ545" s="207"/>
      <c r="AR545" s="207"/>
    </row>
    <row r="546" spans="39:44" ht="11.25" hidden="1" customHeight="1">
      <c r="AM546" s="451"/>
      <c r="AN546" s="454"/>
      <c r="AO546" s="473"/>
      <c r="AP546" s="456"/>
      <c r="AQ546" s="207"/>
      <c r="AR546" s="207"/>
    </row>
    <row r="547" spans="39:44" ht="11.25" hidden="1" customHeight="1">
      <c r="AM547" s="451"/>
      <c r="AN547" s="454"/>
      <c r="AO547" s="473"/>
      <c r="AP547" s="456"/>
      <c r="AQ547" s="207"/>
      <c r="AR547" s="207"/>
    </row>
    <row r="548" spans="39:44" ht="11.25" hidden="1" customHeight="1">
      <c r="AM548" s="451"/>
      <c r="AN548" s="454"/>
      <c r="AO548" s="473"/>
      <c r="AP548" s="456"/>
      <c r="AQ548" s="207"/>
      <c r="AR548" s="207"/>
    </row>
    <row r="549" spans="39:44" ht="11.25" hidden="1" customHeight="1">
      <c r="AM549" s="451"/>
      <c r="AN549" s="455"/>
      <c r="AO549" s="473"/>
      <c r="AP549" s="456"/>
      <c r="AQ549" s="207"/>
      <c r="AR549" s="207"/>
    </row>
    <row r="550" spans="39:44" ht="11.25" hidden="1" customHeight="1">
      <c r="AM550" s="451"/>
      <c r="AN550" s="455"/>
      <c r="AO550" s="473"/>
      <c r="AP550" s="456"/>
      <c r="AQ550" s="207"/>
      <c r="AR550" s="207"/>
    </row>
    <row r="551" spans="39:44" ht="11.25" hidden="1" customHeight="1">
      <c r="AM551" s="461"/>
      <c r="AN551" s="455"/>
      <c r="AO551" s="473"/>
      <c r="AP551" s="456"/>
      <c r="AQ551" s="207"/>
      <c r="AR551" s="207"/>
    </row>
    <row r="552" spans="39:44">
      <c r="AM552" s="461" t="str">
        <f>AM532 &amp; ".3"</f>
        <v>4.0.3.3.2.3</v>
      </c>
      <c r="AN552" s="457" t="s">
        <v>85</v>
      </c>
      <c r="AO552" s="473" t="s">
        <v>223</v>
      </c>
      <c r="AP552" s="305">
        <f t="shared" ref="AP552:AP566" si="18">SUM(AQ552:AR552)</f>
        <v>0</v>
      </c>
      <c r="AQ552" s="207"/>
      <c r="AR552" s="207"/>
    </row>
    <row r="553" spans="39:44">
      <c r="AM553" s="461" t="str">
        <f>AM532 &amp; ".4"</f>
        <v>4.0.3.3.2.4</v>
      </c>
      <c r="AN553" s="457" t="s">
        <v>87</v>
      </c>
      <c r="AO553" s="473" t="s">
        <v>223</v>
      </c>
      <c r="AP553" s="305">
        <f t="shared" si="18"/>
        <v>0</v>
      </c>
      <c r="AQ553" s="207"/>
      <c r="AR553" s="207"/>
    </row>
    <row r="554" spans="39:44">
      <c r="AM554" s="461" t="str">
        <f>AM532&amp;".5"</f>
        <v>4.0.3.3.2.5</v>
      </c>
      <c r="AN554" s="457" t="s">
        <v>89</v>
      </c>
      <c r="AO554" s="473" t="s">
        <v>223</v>
      </c>
      <c r="AP554" s="305">
        <f t="shared" si="18"/>
        <v>0</v>
      </c>
      <c r="AQ554" s="207"/>
      <c r="AR554" s="207"/>
    </row>
    <row r="555" spans="39:44">
      <c r="AM555" s="461" t="str">
        <f>AM532 &amp; ".6"</f>
        <v>4.0.3.3.2.6</v>
      </c>
      <c r="AN555" s="457" t="s">
        <v>91</v>
      </c>
      <c r="AO555" s="473" t="s">
        <v>223</v>
      </c>
      <c r="AP555" s="305">
        <f t="shared" si="18"/>
        <v>0</v>
      </c>
      <c r="AQ555" s="207"/>
      <c r="AR555" s="207"/>
    </row>
    <row r="556" spans="39:44">
      <c r="AM556" s="461" t="str">
        <f>AM532 &amp; ".7"</f>
        <v>4.0.3.3.2.7</v>
      </c>
      <c r="AN556" s="457" t="s">
        <v>93</v>
      </c>
      <c r="AO556" s="473" t="s">
        <v>223</v>
      </c>
      <c r="AP556" s="305">
        <f t="shared" si="18"/>
        <v>0</v>
      </c>
      <c r="AQ556" s="207"/>
      <c r="AR556" s="207"/>
    </row>
    <row r="557" spans="39:44">
      <c r="AM557" s="461" t="str">
        <f>AM532 &amp; ".8"</f>
        <v>4.0.3.3.2.8</v>
      </c>
      <c r="AN557" s="457" t="s">
        <v>95</v>
      </c>
      <c r="AO557" s="473" t="s">
        <v>223</v>
      </c>
      <c r="AP557" s="305">
        <f t="shared" si="18"/>
        <v>0</v>
      </c>
      <c r="AQ557" s="207"/>
      <c r="AR557" s="207"/>
    </row>
    <row r="558" spans="39:44">
      <c r="AM558" s="461" t="str">
        <f>AM532 &amp; ".9"</f>
        <v>4.0.3.3.2.9</v>
      </c>
      <c r="AN558" s="457" t="s">
        <v>2976</v>
      </c>
      <c r="AO558" s="473" t="s">
        <v>223</v>
      </c>
      <c r="AP558" s="305">
        <f t="shared" si="18"/>
        <v>0</v>
      </c>
      <c r="AQ558" s="207"/>
      <c r="AR558" s="207"/>
    </row>
    <row r="559" spans="39:44">
      <c r="AM559" s="461" t="str">
        <f>AM532 &amp; ".10"</f>
        <v>4.0.3.3.2.10</v>
      </c>
      <c r="AN559" s="457" t="s">
        <v>2978</v>
      </c>
      <c r="AO559" s="473" t="s">
        <v>223</v>
      </c>
      <c r="AP559" s="305">
        <f t="shared" si="18"/>
        <v>0</v>
      </c>
      <c r="AQ559" s="207"/>
      <c r="AR559" s="207"/>
    </row>
    <row r="560" spans="39:44">
      <c r="AM560" s="461" t="str">
        <f>AM532 &amp; ".11"</f>
        <v>4.0.3.3.2.11</v>
      </c>
      <c r="AN560" s="457" t="s">
        <v>2980</v>
      </c>
      <c r="AO560" s="473" t="s">
        <v>223</v>
      </c>
      <c r="AP560" s="305">
        <f t="shared" si="18"/>
        <v>0</v>
      </c>
      <c r="AQ560" s="207"/>
      <c r="AR560" s="207"/>
    </row>
    <row r="561" spans="39:44">
      <c r="AM561" s="461" t="str">
        <f>AM532 &amp; ".12"</f>
        <v>4.0.3.3.2.12</v>
      </c>
      <c r="AN561" s="457" t="s">
        <v>2982</v>
      </c>
      <c r="AO561" s="473" t="s">
        <v>223</v>
      </c>
      <c r="AP561" s="305">
        <f t="shared" si="18"/>
        <v>0</v>
      </c>
      <c r="AQ561" s="207"/>
      <c r="AR561" s="207"/>
    </row>
    <row r="562" spans="39:44" ht="11.25" hidden="1" customHeight="1">
      <c r="AM562" s="451"/>
      <c r="AN562" s="454"/>
      <c r="AO562" s="473"/>
      <c r="AP562" s="456"/>
      <c r="AQ562" s="207"/>
      <c r="AR562" s="207"/>
    </row>
    <row r="563" spans="39:44" ht="11.25" hidden="1" customHeight="1">
      <c r="AM563" s="451"/>
      <c r="AN563" s="454"/>
      <c r="AO563" s="473"/>
      <c r="AP563" s="456"/>
      <c r="AQ563" s="207"/>
      <c r="AR563" s="207"/>
    </row>
    <row r="564" spans="39:44">
      <c r="AM564" s="461" t="str">
        <f>AM532 &amp; ".15"</f>
        <v>4.0.3.3.2.15</v>
      </c>
      <c r="AN564" s="457" t="s">
        <v>291</v>
      </c>
      <c r="AO564" s="473" t="s">
        <v>223</v>
      </c>
      <c r="AP564" s="305">
        <f>SUM(AQ564:AR564)</f>
        <v>0</v>
      </c>
      <c r="AQ564" s="207"/>
      <c r="AR564" s="207"/>
    </row>
    <row r="565" spans="39:44" ht="22.5">
      <c r="AM565" s="449" t="s">
        <v>280</v>
      </c>
      <c r="AN565" s="450" t="s">
        <v>245</v>
      </c>
      <c r="AO565" s="473" t="s">
        <v>786</v>
      </c>
      <c r="AP565" s="305">
        <f t="shared" si="18"/>
        <v>0</v>
      </c>
      <c r="AQ565" s="207"/>
      <c r="AR565" s="207"/>
    </row>
    <row r="566" spans="39:44">
      <c r="AM566" s="461" t="str">
        <f>AM565 &amp; ".1"</f>
        <v>4.0.3.3.3.1</v>
      </c>
      <c r="AN566" s="453" t="s">
        <v>78</v>
      </c>
      <c r="AO566" s="473" t="s">
        <v>786</v>
      </c>
      <c r="AP566" s="305">
        <f t="shared" si="18"/>
        <v>0</v>
      </c>
      <c r="AQ566" s="207"/>
      <c r="AR566" s="207"/>
    </row>
    <row r="567" spans="39:44" ht="11.25" hidden="1" customHeight="1">
      <c r="AM567" s="461"/>
      <c r="AN567" s="454"/>
      <c r="AO567" s="473"/>
      <c r="AP567" s="456"/>
      <c r="AQ567" s="207"/>
      <c r="AR567" s="207"/>
    </row>
    <row r="568" spans="39:44" ht="11.25" hidden="1" customHeight="1">
      <c r="AM568" s="461"/>
      <c r="AN568" s="454"/>
      <c r="AO568" s="473"/>
      <c r="AP568" s="456"/>
      <c r="AQ568" s="207"/>
      <c r="AR568" s="207"/>
    </row>
    <row r="569" spans="39:44" ht="11.25" hidden="1" customHeight="1">
      <c r="AM569" s="451"/>
      <c r="AN569" s="454"/>
      <c r="AO569" s="473"/>
      <c r="AP569" s="456"/>
      <c r="AQ569" s="207"/>
      <c r="AR569" s="207"/>
    </row>
    <row r="570" spans="39:44" ht="11.25" hidden="1" customHeight="1">
      <c r="AM570" s="451"/>
      <c r="AN570" s="454"/>
      <c r="AO570" s="473"/>
      <c r="AP570" s="456"/>
      <c r="AQ570" s="207"/>
      <c r="AR570" s="207"/>
    </row>
    <row r="571" spans="39:44" ht="11.25" hidden="1" customHeight="1">
      <c r="AM571" s="451"/>
      <c r="AN571" s="454"/>
      <c r="AO571" s="473"/>
      <c r="AP571" s="456"/>
      <c r="AQ571" s="207"/>
      <c r="AR571" s="207"/>
    </row>
    <row r="572" spans="39:44" ht="11.25" hidden="1" customHeight="1">
      <c r="AM572" s="451"/>
      <c r="AN572" s="454"/>
      <c r="AO572" s="473"/>
      <c r="AP572" s="456"/>
      <c r="AQ572" s="207"/>
      <c r="AR572" s="207"/>
    </row>
    <row r="573" spans="39:44" ht="11.25" hidden="1" customHeight="1">
      <c r="AM573" s="451"/>
      <c r="AN573" s="454"/>
      <c r="AO573" s="473"/>
      <c r="AP573" s="456"/>
      <c r="AQ573" s="207"/>
      <c r="AR573" s="207"/>
    </row>
    <row r="574" spans="39:44" ht="11.25" hidden="1" customHeight="1">
      <c r="AM574" s="451"/>
      <c r="AN574" s="454"/>
      <c r="AO574" s="473"/>
      <c r="AP574" s="456"/>
      <c r="AQ574" s="207"/>
      <c r="AR574" s="207"/>
    </row>
    <row r="575" spans="39:44" ht="11.25" hidden="1" customHeight="1">
      <c r="AM575" s="451"/>
      <c r="AN575" s="454"/>
      <c r="AO575" s="473"/>
      <c r="AP575" s="456"/>
      <c r="AQ575" s="207"/>
      <c r="AR575" s="207"/>
    </row>
    <row r="576" spans="39:44" ht="11.25" hidden="1" customHeight="1">
      <c r="AM576" s="461"/>
      <c r="AN576" s="454"/>
      <c r="AO576" s="473"/>
      <c r="AP576" s="456"/>
      <c r="AQ576" s="207"/>
      <c r="AR576" s="207"/>
    </row>
    <row r="577" spans="39:44" ht="11.25" hidden="1" customHeight="1">
      <c r="AM577" s="451"/>
      <c r="AN577" s="454"/>
      <c r="AO577" s="473"/>
      <c r="AP577" s="456"/>
      <c r="AQ577" s="207"/>
      <c r="AR577" s="207"/>
    </row>
    <row r="578" spans="39:44" ht="11.25" hidden="1" customHeight="1">
      <c r="AM578" s="451"/>
      <c r="AN578" s="454"/>
      <c r="AO578" s="473"/>
      <c r="AP578" s="456"/>
      <c r="AQ578" s="207"/>
      <c r="AR578" s="207"/>
    </row>
    <row r="579" spans="39:44" ht="11.25" hidden="1" customHeight="1">
      <c r="AM579" s="451"/>
      <c r="AN579" s="454"/>
      <c r="AO579" s="473"/>
      <c r="AP579" s="456"/>
      <c r="AQ579" s="207"/>
      <c r="AR579" s="207"/>
    </row>
    <row r="580" spans="39:44" ht="11.25" hidden="1" customHeight="1">
      <c r="AM580" s="451"/>
      <c r="AN580" s="454"/>
      <c r="AO580" s="473"/>
      <c r="AP580" s="456"/>
      <c r="AQ580" s="207"/>
      <c r="AR580" s="207"/>
    </row>
    <row r="581" spans="39:44" ht="11.25" hidden="1" customHeight="1">
      <c r="AM581" s="451"/>
      <c r="AN581" s="454"/>
      <c r="AO581" s="473"/>
      <c r="AP581" s="456"/>
      <c r="AQ581" s="207"/>
      <c r="AR581" s="207"/>
    </row>
    <row r="582" spans="39:44" ht="11.25" hidden="1" customHeight="1">
      <c r="AM582" s="451"/>
      <c r="AN582" s="455"/>
      <c r="AO582" s="473"/>
      <c r="AP582" s="456"/>
      <c r="AQ582" s="207"/>
      <c r="AR582" s="207"/>
    </row>
    <row r="583" spans="39:44" ht="11.25" hidden="1" customHeight="1">
      <c r="AM583" s="451"/>
      <c r="AN583" s="455"/>
      <c r="AO583" s="473"/>
      <c r="AP583" s="456"/>
      <c r="AQ583" s="207"/>
      <c r="AR583" s="207"/>
    </row>
    <row r="584" spans="39:44" ht="11.25" hidden="1" customHeight="1">
      <c r="AM584" s="461"/>
      <c r="AN584" s="455"/>
      <c r="AO584" s="473"/>
      <c r="AP584" s="456"/>
      <c r="AQ584" s="207"/>
      <c r="AR584" s="207"/>
    </row>
    <row r="585" spans="39:44">
      <c r="AM585" s="461" t="str">
        <f>AM565 &amp; ".3"</f>
        <v>4.0.3.3.3.3</v>
      </c>
      <c r="AN585" s="457" t="s">
        <v>85</v>
      </c>
      <c r="AO585" s="473" t="s">
        <v>786</v>
      </c>
      <c r="AP585" s="305">
        <f t="shared" ref="AP585:AP594" si="19">SUM(AQ585:AR585)</f>
        <v>0</v>
      </c>
      <c r="AQ585" s="207"/>
      <c r="AR585" s="207"/>
    </row>
    <row r="586" spans="39:44">
      <c r="AM586" s="461" t="str">
        <f>AM565 &amp; ".4"</f>
        <v>4.0.3.3.3.4</v>
      </c>
      <c r="AN586" s="457" t="s">
        <v>87</v>
      </c>
      <c r="AO586" s="473" t="s">
        <v>786</v>
      </c>
      <c r="AP586" s="305">
        <f t="shared" si="19"/>
        <v>0</v>
      </c>
      <c r="AQ586" s="207"/>
      <c r="AR586" s="207"/>
    </row>
    <row r="587" spans="39:44">
      <c r="AM587" s="461" t="str">
        <f>AM565&amp;".5"</f>
        <v>4.0.3.3.3.5</v>
      </c>
      <c r="AN587" s="457" t="s">
        <v>89</v>
      </c>
      <c r="AO587" s="473" t="s">
        <v>786</v>
      </c>
      <c r="AP587" s="305">
        <f t="shared" si="19"/>
        <v>0</v>
      </c>
      <c r="AQ587" s="207"/>
      <c r="AR587" s="207"/>
    </row>
    <row r="588" spans="39:44">
      <c r="AM588" s="461" t="str">
        <f>AM565 &amp; ".6"</f>
        <v>4.0.3.3.3.6</v>
      </c>
      <c r="AN588" s="457" t="s">
        <v>91</v>
      </c>
      <c r="AO588" s="473" t="s">
        <v>786</v>
      </c>
      <c r="AP588" s="305">
        <f t="shared" si="19"/>
        <v>0</v>
      </c>
      <c r="AQ588" s="207"/>
      <c r="AR588" s="207"/>
    </row>
    <row r="589" spans="39:44">
      <c r="AM589" s="461" t="str">
        <f>AM565 &amp; ".7"</f>
        <v>4.0.3.3.3.7</v>
      </c>
      <c r="AN589" s="457" t="s">
        <v>93</v>
      </c>
      <c r="AO589" s="473" t="s">
        <v>786</v>
      </c>
      <c r="AP589" s="305">
        <f t="shared" si="19"/>
        <v>0</v>
      </c>
      <c r="AQ589" s="207"/>
      <c r="AR589" s="207"/>
    </row>
    <row r="590" spans="39:44">
      <c r="AM590" s="461" t="str">
        <f>AM565 &amp; ".8"</f>
        <v>4.0.3.3.3.8</v>
      </c>
      <c r="AN590" s="457" t="s">
        <v>95</v>
      </c>
      <c r="AO590" s="473" t="s">
        <v>786</v>
      </c>
      <c r="AP590" s="305">
        <f t="shared" si="19"/>
        <v>0</v>
      </c>
      <c r="AQ590" s="207"/>
      <c r="AR590" s="207"/>
    </row>
    <row r="591" spans="39:44">
      <c r="AM591" s="461" t="str">
        <f>AM565 &amp; ".9"</f>
        <v>4.0.3.3.3.9</v>
      </c>
      <c r="AN591" s="457" t="s">
        <v>2976</v>
      </c>
      <c r="AO591" s="473" t="s">
        <v>786</v>
      </c>
      <c r="AP591" s="305">
        <f t="shared" si="19"/>
        <v>0</v>
      </c>
      <c r="AQ591" s="207"/>
      <c r="AR591" s="207"/>
    </row>
    <row r="592" spans="39:44">
      <c r="AM592" s="461" t="str">
        <f>AM565 &amp; ".10"</f>
        <v>4.0.3.3.3.10</v>
      </c>
      <c r="AN592" s="457" t="s">
        <v>2978</v>
      </c>
      <c r="AO592" s="473" t="s">
        <v>786</v>
      </c>
      <c r="AP592" s="305">
        <f t="shared" si="19"/>
        <v>0</v>
      </c>
      <c r="AQ592" s="207"/>
      <c r="AR592" s="207"/>
    </row>
    <row r="593" spans="39:44">
      <c r="AM593" s="461" t="str">
        <f>AM565 &amp; ".11"</f>
        <v>4.0.3.3.3.11</v>
      </c>
      <c r="AN593" s="457" t="s">
        <v>2980</v>
      </c>
      <c r="AO593" s="473" t="s">
        <v>786</v>
      </c>
      <c r="AP593" s="305">
        <f t="shared" si="19"/>
        <v>0</v>
      </c>
      <c r="AQ593" s="207"/>
      <c r="AR593" s="207"/>
    </row>
    <row r="594" spans="39:44">
      <c r="AM594" s="461" t="str">
        <f>AM565 &amp; ".12"</f>
        <v>4.0.3.3.3.12</v>
      </c>
      <c r="AN594" s="457" t="s">
        <v>2982</v>
      </c>
      <c r="AO594" s="473" t="s">
        <v>786</v>
      </c>
      <c r="AP594" s="305">
        <f t="shared" si="19"/>
        <v>0</v>
      </c>
      <c r="AQ594" s="207"/>
      <c r="AR594" s="207"/>
    </row>
    <row r="595" spans="39:44" ht="11.25" hidden="1" customHeight="1">
      <c r="AM595" s="451"/>
      <c r="AN595" s="454"/>
      <c r="AO595" s="473"/>
      <c r="AP595" s="456"/>
      <c r="AQ595" s="207"/>
      <c r="AR595" s="207"/>
    </row>
    <row r="596" spans="39:44" ht="11.25" hidden="1" customHeight="1">
      <c r="AM596" s="451"/>
      <c r="AN596" s="454"/>
      <c r="AO596" s="473"/>
      <c r="AP596" s="456"/>
      <c r="AQ596" s="207"/>
      <c r="AR596" s="207"/>
    </row>
    <row r="597" spans="39:44">
      <c r="AM597" s="461" t="str">
        <f>AM565 &amp; ".15"</f>
        <v>4.0.3.3.3.15</v>
      </c>
      <c r="AN597" s="457" t="s">
        <v>291</v>
      </c>
      <c r="AO597" s="473" t="s">
        <v>786</v>
      </c>
      <c r="AP597" s="305">
        <f>SUM(AQ597:AR597)</f>
        <v>0</v>
      </c>
      <c r="AQ597" s="207"/>
      <c r="AR597" s="207"/>
    </row>
    <row r="598" spans="39:44" ht="22.5">
      <c r="AM598" s="449" t="s">
        <v>281</v>
      </c>
      <c r="AN598" s="450" t="s">
        <v>246</v>
      </c>
      <c r="AO598" s="473"/>
      <c r="AP598" s="456"/>
      <c r="AQ598" s="207"/>
      <c r="AR598" s="207"/>
    </row>
    <row r="599" spans="39:44">
      <c r="AM599" s="461" t="str">
        <f>AM598 &amp; ".1"</f>
        <v>4.0.3.4.1.1</v>
      </c>
      <c r="AN599" s="453" t="s">
        <v>78</v>
      </c>
      <c r="AO599" s="473" t="s">
        <v>216</v>
      </c>
      <c r="AP599" s="305">
        <f>IF(AP632=0,0,AP665/AP632*1000)</f>
        <v>0</v>
      </c>
      <c r="AQ599" s="207"/>
      <c r="AR599" s="207"/>
    </row>
    <row r="600" spans="39:44" ht="11.25" hidden="1" customHeight="1">
      <c r="AM600" s="461"/>
      <c r="AN600" s="454"/>
      <c r="AO600" s="473"/>
      <c r="AP600" s="456"/>
      <c r="AQ600" s="207"/>
      <c r="AR600" s="207"/>
    </row>
    <row r="601" spans="39:44" ht="11.25" hidden="1" customHeight="1">
      <c r="AM601" s="461"/>
      <c r="AN601" s="454"/>
      <c r="AO601" s="473"/>
      <c r="AP601" s="456"/>
      <c r="AQ601" s="207"/>
      <c r="AR601" s="207"/>
    </row>
    <row r="602" spans="39:44" ht="11.25" hidden="1" customHeight="1">
      <c r="AM602" s="451"/>
      <c r="AN602" s="454"/>
      <c r="AO602" s="473"/>
      <c r="AP602" s="456"/>
      <c r="AQ602" s="207"/>
      <c r="AR602" s="207"/>
    </row>
    <row r="603" spans="39:44" ht="11.25" hidden="1" customHeight="1">
      <c r="AM603" s="451"/>
      <c r="AN603" s="454"/>
      <c r="AO603" s="473"/>
      <c r="AP603" s="456"/>
      <c r="AQ603" s="207"/>
      <c r="AR603" s="207"/>
    </row>
    <row r="604" spans="39:44" ht="11.25" hidden="1" customHeight="1">
      <c r="AM604" s="451"/>
      <c r="AN604" s="454"/>
      <c r="AO604" s="473"/>
      <c r="AP604" s="456"/>
      <c r="AQ604" s="207"/>
      <c r="AR604" s="207"/>
    </row>
    <row r="605" spans="39:44" ht="11.25" hidden="1" customHeight="1">
      <c r="AM605" s="451"/>
      <c r="AN605" s="454"/>
      <c r="AO605" s="473"/>
      <c r="AP605" s="456"/>
      <c r="AQ605" s="207"/>
      <c r="AR605" s="207"/>
    </row>
    <row r="606" spans="39:44" ht="11.25" hidden="1" customHeight="1">
      <c r="AM606" s="451"/>
      <c r="AN606" s="454"/>
      <c r="AO606" s="473"/>
      <c r="AP606" s="456"/>
      <c r="AQ606" s="207"/>
      <c r="AR606" s="207"/>
    </row>
    <row r="607" spans="39:44" ht="11.25" hidden="1" customHeight="1">
      <c r="AM607" s="451"/>
      <c r="AN607" s="454"/>
      <c r="AO607" s="473"/>
      <c r="AP607" s="456"/>
      <c r="AQ607" s="207"/>
      <c r="AR607" s="207"/>
    </row>
    <row r="608" spans="39:44" ht="11.25" hidden="1" customHeight="1">
      <c r="AM608" s="451"/>
      <c r="AN608" s="454"/>
      <c r="AO608" s="473"/>
      <c r="AP608" s="456"/>
      <c r="AQ608" s="207"/>
      <c r="AR608" s="207"/>
    </row>
    <row r="609" spans="39:44" ht="11.25" hidden="1" customHeight="1">
      <c r="AM609" s="461"/>
      <c r="AN609" s="454"/>
      <c r="AO609" s="473"/>
      <c r="AP609" s="456"/>
      <c r="AQ609" s="207"/>
      <c r="AR609" s="207"/>
    </row>
    <row r="610" spans="39:44" ht="11.25" hidden="1" customHeight="1">
      <c r="AM610" s="451"/>
      <c r="AN610" s="454"/>
      <c r="AO610" s="473"/>
      <c r="AP610" s="456"/>
      <c r="AQ610" s="207"/>
      <c r="AR610" s="207"/>
    </row>
    <row r="611" spans="39:44" ht="11.25" hidden="1" customHeight="1">
      <c r="AM611" s="451"/>
      <c r="AN611" s="454"/>
      <c r="AO611" s="473"/>
      <c r="AP611" s="456"/>
      <c r="AQ611" s="207"/>
      <c r="AR611" s="207"/>
    </row>
    <row r="612" spans="39:44" ht="11.25" hidden="1" customHeight="1">
      <c r="AM612" s="451"/>
      <c r="AN612" s="454"/>
      <c r="AO612" s="473"/>
      <c r="AP612" s="456"/>
      <c r="AQ612" s="207"/>
      <c r="AR612" s="207"/>
    </row>
    <row r="613" spans="39:44" ht="11.25" hidden="1" customHeight="1">
      <c r="AM613" s="451"/>
      <c r="AN613" s="454"/>
      <c r="AO613" s="473"/>
      <c r="AP613" s="456"/>
      <c r="AQ613" s="207"/>
      <c r="AR613" s="207"/>
    </row>
    <row r="614" spans="39:44" ht="11.25" hidden="1" customHeight="1">
      <c r="AM614" s="451"/>
      <c r="AN614" s="454"/>
      <c r="AO614" s="473"/>
      <c r="AP614" s="456"/>
      <c r="AQ614" s="207"/>
      <c r="AR614" s="207"/>
    </row>
    <row r="615" spans="39:44" ht="11.25" hidden="1" customHeight="1">
      <c r="AM615" s="451"/>
      <c r="AN615" s="455"/>
      <c r="AO615" s="473"/>
      <c r="AP615" s="456"/>
      <c r="AQ615" s="207"/>
      <c r="AR615" s="207"/>
    </row>
    <row r="616" spans="39:44" ht="11.25" hidden="1" customHeight="1">
      <c r="AM616" s="451"/>
      <c r="AN616" s="455"/>
      <c r="AO616" s="473"/>
      <c r="AP616" s="456"/>
      <c r="AQ616" s="207"/>
      <c r="AR616" s="207"/>
    </row>
    <row r="617" spans="39:44" ht="11.25" hidden="1" customHeight="1">
      <c r="AM617" s="461"/>
      <c r="AN617" s="455"/>
      <c r="AO617" s="473"/>
      <c r="AP617" s="456"/>
      <c r="AQ617" s="207"/>
      <c r="AR617" s="207"/>
    </row>
    <row r="618" spans="39:44">
      <c r="AM618" s="461" t="str">
        <f>AM598 &amp; ".3"</f>
        <v>4.0.3.4.1.3</v>
      </c>
      <c r="AN618" s="457" t="s">
        <v>85</v>
      </c>
      <c r="AO618" s="473" t="s">
        <v>216</v>
      </c>
      <c r="AP618" s="305">
        <f t="shared" ref="AP618:AP627" si="20">IF(AP651=0,0,AP684/AP651*1000)</f>
        <v>0</v>
      </c>
      <c r="AQ618" s="207"/>
      <c r="AR618" s="207"/>
    </row>
    <row r="619" spans="39:44">
      <c r="AM619" s="461" t="str">
        <f>AM598 &amp; ".4"</f>
        <v>4.0.3.4.1.4</v>
      </c>
      <c r="AN619" s="457" t="s">
        <v>87</v>
      </c>
      <c r="AO619" s="473" t="s">
        <v>216</v>
      </c>
      <c r="AP619" s="305">
        <f t="shared" si="20"/>
        <v>0</v>
      </c>
      <c r="AQ619" s="207"/>
      <c r="AR619" s="207"/>
    </row>
    <row r="620" spans="39:44">
      <c r="AM620" s="461" t="str">
        <f>AM598&amp;".5"</f>
        <v>4.0.3.4.1.5</v>
      </c>
      <c r="AN620" s="457" t="s">
        <v>89</v>
      </c>
      <c r="AO620" s="473" t="s">
        <v>216</v>
      </c>
      <c r="AP620" s="305">
        <f t="shared" si="20"/>
        <v>0</v>
      </c>
      <c r="AQ620" s="207"/>
      <c r="AR620" s="207"/>
    </row>
    <row r="621" spans="39:44">
      <c r="AM621" s="461" t="str">
        <f>AM598 &amp; ".6"</f>
        <v>4.0.3.4.1.6</v>
      </c>
      <c r="AN621" s="457" t="s">
        <v>91</v>
      </c>
      <c r="AO621" s="473" t="s">
        <v>216</v>
      </c>
      <c r="AP621" s="305">
        <f t="shared" si="20"/>
        <v>0</v>
      </c>
      <c r="AQ621" s="207"/>
      <c r="AR621" s="207"/>
    </row>
    <row r="622" spans="39:44">
      <c r="AM622" s="461" t="str">
        <f>AM598 &amp; ".7"</f>
        <v>4.0.3.4.1.7</v>
      </c>
      <c r="AN622" s="457" t="s">
        <v>93</v>
      </c>
      <c r="AO622" s="473" t="s">
        <v>216</v>
      </c>
      <c r="AP622" s="305">
        <f t="shared" si="20"/>
        <v>0</v>
      </c>
      <c r="AQ622" s="207"/>
      <c r="AR622" s="207"/>
    </row>
    <row r="623" spans="39:44">
      <c r="AM623" s="461" t="str">
        <f>AM598 &amp; ".8"</f>
        <v>4.0.3.4.1.8</v>
      </c>
      <c r="AN623" s="457" t="s">
        <v>95</v>
      </c>
      <c r="AO623" s="473" t="s">
        <v>216</v>
      </c>
      <c r="AP623" s="305">
        <f t="shared" si="20"/>
        <v>0</v>
      </c>
      <c r="AQ623" s="207"/>
      <c r="AR623" s="207"/>
    </row>
    <row r="624" spans="39:44">
      <c r="AM624" s="461" t="str">
        <f>AM598 &amp; ".9"</f>
        <v>4.0.3.4.1.9</v>
      </c>
      <c r="AN624" s="457" t="s">
        <v>2976</v>
      </c>
      <c r="AO624" s="473" t="s">
        <v>216</v>
      </c>
      <c r="AP624" s="305">
        <f t="shared" si="20"/>
        <v>0</v>
      </c>
      <c r="AQ624" s="207"/>
      <c r="AR624" s="207"/>
    </row>
    <row r="625" spans="39:44">
      <c r="AM625" s="461" t="str">
        <f>AM598 &amp; ".10"</f>
        <v>4.0.3.4.1.10</v>
      </c>
      <c r="AN625" s="457" t="s">
        <v>2978</v>
      </c>
      <c r="AO625" s="473" t="s">
        <v>216</v>
      </c>
      <c r="AP625" s="305">
        <f t="shared" si="20"/>
        <v>0</v>
      </c>
      <c r="AQ625" s="207"/>
      <c r="AR625" s="207"/>
    </row>
    <row r="626" spans="39:44">
      <c r="AM626" s="461" t="str">
        <f>AM598 &amp; ".11"</f>
        <v>4.0.3.4.1.11</v>
      </c>
      <c r="AN626" s="457" t="s">
        <v>2980</v>
      </c>
      <c r="AO626" s="473" t="s">
        <v>216</v>
      </c>
      <c r="AP626" s="305">
        <f t="shared" si="20"/>
        <v>0</v>
      </c>
      <c r="AQ626" s="207"/>
      <c r="AR626" s="207"/>
    </row>
    <row r="627" spans="39:44">
      <c r="AM627" s="461" t="str">
        <f>AM598 &amp; ".12"</f>
        <v>4.0.3.4.1.12</v>
      </c>
      <c r="AN627" s="457" t="s">
        <v>2982</v>
      </c>
      <c r="AO627" s="473" t="s">
        <v>216</v>
      </c>
      <c r="AP627" s="305">
        <f t="shared" si="20"/>
        <v>0</v>
      </c>
      <c r="AQ627" s="207"/>
      <c r="AR627" s="207"/>
    </row>
    <row r="628" spans="39:44" ht="11.25" hidden="1" customHeight="1">
      <c r="AM628" s="451"/>
      <c r="AN628" s="454"/>
      <c r="AO628" s="473"/>
      <c r="AP628" s="456"/>
      <c r="AQ628" s="207"/>
      <c r="AR628" s="207"/>
    </row>
    <row r="629" spans="39:44" ht="11.25" hidden="1" customHeight="1">
      <c r="AM629" s="451"/>
      <c r="AN629" s="454"/>
      <c r="AO629" s="473"/>
      <c r="AP629" s="456"/>
      <c r="AQ629" s="207"/>
      <c r="AR629" s="207"/>
    </row>
    <row r="630" spans="39:44">
      <c r="AM630" s="461" t="str">
        <f>AM598 &amp; ".15"</f>
        <v>4.0.3.4.1.15</v>
      </c>
      <c r="AN630" s="457" t="s">
        <v>291</v>
      </c>
      <c r="AO630" s="473" t="s">
        <v>216</v>
      </c>
      <c r="AP630" s="305">
        <f>IF(AP663=0,0,AP696/AP663*1000)</f>
        <v>0</v>
      </c>
      <c r="AQ630" s="207"/>
      <c r="AR630" s="207"/>
    </row>
    <row r="631" spans="39:44" ht="22.5">
      <c r="AM631" s="449" t="s">
        <v>282</v>
      </c>
      <c r="AN631" s="450" t="s">
        <v>247</v>
      </c>
      <c r="AO631" s="473"/>
      <c r="AP631" s="456"/>
      <c r="AQ631" s="207"/>
      <c r="AR631" s="207"/>
    </row>
    <row r="632" spans="39:44">
      <c r="AM632" s="461" t="str">
        <f>AM631 &amp; ".1"</f>
        <v>4.0.3.4.2.1</v>
      </c>
      <c r="AN632" s="453" t="s">
        <v>78</v>
      </c>
      <c r="AO632" s="473" t="s">
        <v>223</v>
      </c>
      <c r="AP632" s="305">
        <f>SUM(AQ632:AR632)</f>
        <v>0</v>
      </c>
      <c r="AQ632" s="207"/>
      <c r="AR632" s="207"/>
    </row>
    <row r="633" spans="39:44" ht="11.25" hidden="1" customHeight="1">
      <c r="AM633" s="461"/>
      <c r="AN633" s="454"/>
      <c r="AO633" s="473"/>
      <c r="AP633" s="456"/>
      <c r="AQ633" s="207"/>
      <c r="AR633" s="207"/>
    </row>
    <row r="634" spans="39:44" ht="11.25" hidden="1" customHeight="1">
      <c r="AM634" s="461"/>
      <c r="AN634" s="454"/>
      <c r="AO634" s="473"/>
      <c r="AP634" s="456"/>
      <c r="AQ634" s="207"/>
      <c r="AR634" s="207"/>
    </row>
    <row r="635" spans="39:44" ht="11.25" hidden="1" customHeight="1">
      <c r="AM635" s="451"/>
      <c r="AN635" s="454"/>
      <c r="AO635" s="473"/>
      <c r="AP635" s="456"/>
      <c r="AQ635" s="207"/>
      <c r="AR635" s="207"/>
    </row>
    <row r="636" spans="39:44" ht="11.25" hidden="1" customHeight="1">
      <c r="AM636" s="451"/>
      <c r="AN636" s="454"/>
      <c r="AO636" s="473"/>
      <c r="AP636" s="456"/>
      <c r="AQ636" s="207"/>
      <c r="AR636" s="207"/>
    </row>
    <row r="637" spans="39:44" ht="11.25" hidden="1" customHeight="1">
      <c r="AM637" s="451"/>
      <c r="AN637" s="454"/>
      <c r="AO637" s="473"/>
      <c r="AP637" s="456"/>
      <c r="AQ637" s="207"/>
      <c r="AR637" s="207"/>
    </row>
    <row r="638" spans="39:44" ht="11.25" hidden="1" customHeight="1">
      <c r="AM638" s="451"/>
      <c r="AN638" s="454"/>
      <c r="AO638" s="473"/>
      <c r="AP638" s="456"/>
      <c r="AQ638" s="207"/>
      <c r="AR638" s="207"/>
    </row>
    <row r="639" spans="39:44" ht="11.25" hidden="1" customHeight="1">
      <c r="AM639" s="451"/>
      <c r="AN639" s="454"/>
      <c r="AO639" s="473"/>
      <c r="AP639" s="456"/>
      <c r="AQ639" s="207"/>
      <c r="AR639" s="207"/>
    </row>
    <row r="640" spans="39:44" ht="11.25" hidden="1" customHeight="1">
      <c r="AM640" s="451"/>
      <c r="AN640" s="454"/>
      <c r="AO640" s="473"/>
      <c r="AP640" s="456"/>
      <c r="AQ640" s="207"/>
      <c r="AR640" s="207"/>
    </row>
    <row r="641" spans="39:44" ht="11.25" hidden="1" customHeight="1">
      <c r="AM641" s="451"/>
      <c r="AN641" s="454"/>
      <c r="AO641" s="473"/>
      <c r="AP641" s="456"/>
      <c r="AQ641" s="207"/>
      <c r="AR641" s="207"/>
    </row>
    <row r="642" spans="39:44" ht="11.25" hidden="1" customHeight="1">
      <c r="AM642" s="461"/>
      <c r="AN642" s="454"/>
      <c r="AO642" s="473"/>
      <c r="AP642" s="456"/>
      <c r="AQ642" s="207"/>
      <c r="AR642" s="207"/>
    </row>
    <row r="643" spans="39:44" ht="11.25" hidden="1" customHeight="1">
      <c r="AM643" s="451"/>
      <c r="AN643" s="454"/>
      <c r="AO643" s="473"/>
      <c r="AP643" s="456"/>
      <c r="AQ643" s="207"/>
      <c r="AR643" s="207"/>
    </row>
    <row r="644" spans="39:44" ht="11.25" hidden="1" customHeight="1">
      <c r="AM644" s="451"/>
      <c r="AN644" s="454"/>
      <c r="AO644" s="473"/>
      <c r="AP644" s="456"/>
      <c r="AQ644" s="207"/>
      <c r="AR644" s="207"/>
    </row>
    <row r="645" spans="39:44" ht="11.25" hidden="1" customHeight="1">
      <c r="AM645" s="451"/>
      <c r="AN645" s="454"/>
      <c r="AO645" s="473"/>
      <c r="AP645" s="456"/>
      <c r="AQ645" s="207"/>
      <c r="AR645" s="207"/>
    </row>
    <row r="646" spans="39:44" ht="11.25" hidden="1" customHeight="1">
      <c r="AM646" s="451"/>
      <c r="AN646" s="454"/>
      <c r="AO646" s="473"/>
      <c r="AP646" s="456"/>
      <c r="AQ646" s="207"/>
      <c r="AR646" s="207"/>
    </row>
    <row r="647" spans="39:44" ht="11.25" hidden="1" customHeight="1">
      <c r="AM647" s="451"/>
      <c r="AN647" s="454"/>
      <c r="AO647" s="473"/>
      <c r="AP647" s="456"/>
      <c r="AQ647" s="207"/>
      <c r="AR647" s="207"/>
    </row>
    <row r="648" spans="39:44" ht="11.25" hidden="1" customHeight="1">
      <c r="AM648" s="451"/>
      <c r="AN648" s="455"/>
      <c r="AO648" s="473"/>
      <c r="AP648" s="456"/>
      <c r="AQ648" s="207"/>
      <c r="AR648" s="207"/>
    </row>
    <row r="649" spans="39:44" ht="11.25" hidden="1" customHeight="1">
      <c r="AM649" s="451"/>
      <c r="AN649" s="455"/>
      <c r="AO649" s="473"/>
      <c r="AP649" s="456"/>
      <c r="AQ649" s="207"/>
      <c r="AR649" s="207"/>
    </row>
    <row r="650" spans="39:44" ht="11.25" hidden="1" customHeight="1">
      <c r="AM650" s="461"/>
      <c r="AN650" s="455"/>
      <c r="AO650" s="473"/>
      <c r="AP650" s="456"/>
      <c r="AQ650" s="207"/>
      <c r="AR650" s="207"/>
    </row>
    <row r="651" spans="39:44">
      <c r="AM651" s="461" t="str">
        <f>AM631 &amp; ".3"</f>
        <v>4.0.3.4.2.3</v>
      </c>
      <c r="AN651" s="457" t="s">
        <v>85</v>
      </c>
      <c r="AO651" s="473" t="s">
        <v>223</v>
      </c>
      <c r="AP651" s="305">
        <f t="shared" ref="AP651:AP665" si="21">SUM(AQ651:AR651)</f>
        <v>0</v>
      </c>
      <c r="AQ651" s="207"/>
      <c r="AR651" s="207"/>
    </row>
    <row r="652" spans="39:44">
      <c r="AM652" s="461" t="str">
        <f>AM631 &amp; ".4"</f>
        <v>4.0.3.4.2.4</v>
      </c>
      <c r="AN652" s="457" t="s">
        <v>87</v>
      </c>
      <c r="AO652" s="473" t="s">
        <v>223</v>
      </c>
      <c r="AP652" s="305">
        <f t="shared" si="21"/>
        <v>0</v>
      </c>
      <c r="AQ652" s="207"/>
      <c r="AR652" s="207"/>
    </row>
    <row r="653" spans="39:44">
      <c r="AM653" s="461" t="str">
        <f>AM631&amp;".5"</f>
        <v>4.0.3.4.2.5</v>
      </c>
      <c r="AN653" s="457" t="s">
        <v>89</v>
      </c>
      <c r="AO653" s="473" t="s">
        <v>223</v>
      </c>
      <c r="AP653" s="305">
        <f t="shared" si="21"/>
        <v>0</v>
      </c>
      <c r="AQ653" s="207"/>
      <c r="AR653" s="207"/>
    </row>
    <row r="654" spans="39:44">
      <c r="AM654" s="461" t="str">
        <f>AM631 &amp; ".6"</f>
        <v>4.0.3.4.2.6</v>
      </c>
      <c r="AN654" s="457" t="s">
        <v>91</v>
      </c>
      <c r="AO654" s="473" t="s">
        <v>223</v>
      </c>
      <c r="AP654" s="305">
        <f t="shared" si="21"/>
        <v>0</v>
      </c>
      <c r="AQ654" s="207"/>
      <c r="AR654" s="207"/>
    </row>
    <row r="655" spans="39:44">
      <c r="AM655" s="461" t="str">
        <f>AM631 &amp; ".7"</f>
        <v>4.0.3.4.2.7</v>
      </c>
      <c r="AN655" s="457" t="s">
        <v>93</v>
      </c>
      <c r="AO655" s="473" t="s">
        <v>223</v>
      </c>
      <c r="AP655" s="305">
        <f t="shared" si="21"/>
        <v>0</v>
      </c>
      <c r="AQ655" s="207"/>
      <c r="AR655" s="207"/>
    </row>
    <row r="656" spans="39:44">
      <c r="AM656" s="461" t="str">
        <f>AM631 &amp; ".8"</f>
        <v>4.0.3.4.2.8</v>
      </c>
      <c r="AN656" s="457" t="s">
        <v>95</v>
      </c>
      <c r="AO656" s="473" t="s">
        <v>223</v>
      </c>
      <c r="AP656" s="305">
        <f t="shared" si="21"/>
        <v>0</v>
      </c>
      <c r="AQ656" s="207"/>
      <c r="AR656" s="207"/>
    </row>
    <row r="657" spans="39:44">
      <c r="AM657" s="461" t="str">
        <f>AM631 &amp; ".9"</f>
        <v>4.0.3.4.2.9</v>
      </c>
      <c r="AN657" s="457" t="s">
        <v>2976</v>
      </c>
      <c r="AO657" s="473" t="s">
        <v>223</v>
      </c>
      <c r="AP657" s="305">
        <f t="shared" si="21"/>
        <v>0</v>
      </c>
      <c r="AQ657" s="207"/>
      <c r="AR657" s="207"/>
    </row>
    <row r="658" spans="39:44">
      <c r="AM658" s="461" t="str">
        <f>AM631 &amp; ".10"</f>
        <v>4.0.3.4.2.10</v>
      </c>
      <c r="AN658" s="457" t="s">
        <v>2978</v>
      </c>
      <c r="AO658" s="473" t="s">
        <v>223</v>
      </c>
      <c r="AP658" s="305">
        <f t="shared" si="21"/>
        <v>0</v>
      </c>
      <c r="AQ658" s="207"/>
      <c r="AR658" s="207"/>
    </row>
    <row r="659" spans="39:44">
      <c r="AM659" s="461" t="str">
        <f>AM631 &amp; ".11"</f>
        <v>4.0.3.4.2.11</v>
      </c>
      <c r="AN659" s="457" t="s">
        <v>2980</v>
      </c>
      <c r="AO659" s="473" t="s">
        <v>223</v>
      </c>
      <c r="AP659" s="305">
        <f t="shared" si="21"/>
        <v>0</v>
      </c>
      <c r="AQ659" s="207"/>
      <c r="AR659" s="207"/>
    </row>
    <row r="660" spans="39:44">
      <c r="AM660" s="461" t="str">
        <f>AM631 &amp; ".12"</f>
        <v>4.0.3.4.2.12</v>
      </c>
      <c r="AN660" s="457" t="s">
        <v>2982</v>
      </c>
      <c r="AO660" s="473" t="s">
        <v>223</v>
      </c>
      <c r="AP660" s="305">
        <f t="shared" si="21"/>
        <v>0</v>
      </c>
      <c r="AQ660" s="207"/>
      <c r="AR660" s="207"/>
    </row>
    <row r="661" spans="39:44" ht="11.25" hidden="1" customHeight="1">
      <c r="AM661" s="451"/>
      <c r="AN661" s="454"/>
      <c r="AO661" s="473"/>
      <c r="AP661" s="456"/>
      <c r="AQ661" s="207"/>
      <c r="AR661" s="207"/>
    </row>
    <row r="662" spans="39:44" ht="11.25" hidden="1" customHeight="1">
      <c r="AM662" s="451"/>
      <c r="AN662" s="454"/>
      <c r="AO662" s="473"/>
      <c r="AP662" s="456"/>
      <c r="AQ662" s="207"/>
      <c r="AR662" s="207"/>
    </row>
    <row r="663" spans="39:44">
      <c r="AM663" s="461" t="str">
        <f>AM631 &amp; ".15"</f>
        <v>4.0.3.4.2.15</v>
      </c>
      <c r="AN663" s="457" t="s">
        <v>291</v>
      </c>
      <c r="AO663" s="473" t="s">
        <v>223</v>
      </c>
      <c r="AP663" s="305">
        <f>SUM(AQ663:AR663)</f>
        <v>0</v>
      </c>
      <c r="AQ663" s="207"/>
      <c r="AR663" s="207"/>
    </row>
    <row r="664" spans="39:44" ht="22.5">
      <c r="AM664" s="449" t="s">
        <v>283</v>
      </c>
      <c r="AN664" s="450" t="s">
        <v>248</v>
      </c>
      <c r="AO664" s="473" t="s">
        <v>786</v>
      </c>
      <c r="AP664" s="305">
        <f t="shared" si="21"/>
        <v>0</v>
      </c>
      <c r="AQ664" s="207"/>
      <c r="AR664" s="207"/>
    </row>
    <row r="665" spans="39:44">
      <c r="AM665" s="461" t="str">
        <f>AM664 &amp; ".1"</f>
        <v>4.0.3.4.3.1</v>
      </c>
      <c r="AN665" s="453" t="s">
        <v>78</v>
      </c>
      <c r="AO665" s="473" t="s">
        <v>786</v>
      </c>
      <c r="AP665" s="305">
        <f t="shared" si="21"/>
        <v>0</v>
      </c>
      <c r="AQ665" s="207"/>
      <c r="AR665" s="207"/>
    </row>
    <row r="666" spans="39:44" ht="11.25" hidden="1" customHeight="1">
      <c r="AM666" s="461"/>
      <c r="AN666" s="454"/>
      <c r="AO666" s="473"/>
      <c r="AP666" s="456"/>
      <c r="AQ666" s="207"/>
      <c r="AR666" s="207"/>
    </row>
    <row r="667" spans="39:44" ht="11.25" hidden="1" customHeight="1">
      <c r="AM667" s="461"/>
      <c r="AN667" s="454"/>
      <c r="AO667" s="473"/>
      <c r="AP667" s="456"/>
      <c r="AQ667" s="207"/>
      <c r="AR667" s="207"/>
    </row>
    <row r="668" spans="39:44" ht="11.25" hidden="1" customHeight="1">
      <c r="AM668" s="451"/>
      <c r="AN668" s="454"/>
      <c r="AO668" s="473"/>
      <c r="AP668" s="456"/>
      <c r="AQ668" s="207"/>
      <c r="AR668" s="207"/>
    </row>
    <row r="669" spans="39:44" ht="11.25" hidden="1" customHeight="1">
      <c r="AM669" s="451"/>
      <c r="AN669" s="454"/>
      <c r="AO669" s="473"/>
      <c r="AP669" s="456"/>
      <c r="AQ669" s="207"/>
      <c r="AR669" s="207"/>
    </row>
    <row r="670" spans="39:44" ht="11.25" hidden="1" customHeight="1">
      <c r="AM670" s="451"/>
      <c r="AN670" s="454"/>
      <c r="AO670" s="473"/>
      <c r="AP670" s="456"/>
      <c r="AQ670" s="207"/>
      <c r="AR670" s="207"/>
    </row>
    <row r="671" spans="39:44" ht="11.25" hidden="1" customHeight="1">
      <c r="AM671" s="451"/>
      <c r="AN671" s="454"/>
      <c r="AO671" s="473"/>
      <c r="AP671" s="456"/>
      <c r="AQ671" s="207"/>
      <c r="AR671" s="207"/>
    </row>
    <row r="672" spans="39:44" ht="11.25" hidden="1" customHeight="1">
      <c r="AM672" s="451"/>
      <c r="AN672" s="454"/>
      <c r="AO672" s="473"/>
      <c r="AP672" s="456"/>
      <c r="AQ672" s="207"/>
      <c r="AR672" s="207"/>
    </row>
    <row r="673" spans="39:44" ht="11.25" hidden="1" customHeight="1">
      <c r="AM673" s="451"/>
      <c r="AN673" s="454"/>
      <c r="AO673" s="473"/>
      <c r="AP673" s="456"/>
      <c r="AQ673" s="207"/>
      <c r="AR673" s="207"/>
    </row>
    <row r="674" spans="39:44" ht="11.25" hidden="1" customHeight="1">
      <c r="AM674" s="451"/>
      <c r="AN674" s="454"/>
      <c r="AO674" s="473"/>
      <c r="AP674" s="456"/>
      <c r="AQ674" s="207"/>
      <c r="AR674" s="207"/>
    </row>
    <row r="675" spans="39:44" ht="11.25" hidden="1" customHeight="1">
      <c r="AM675" s="461"/>
      <c r="AN675" s="454"/>
      <c r="AO675" s="473"/>
      <c r="AP675" s="456"/>
      <c r="AQ675" s="207"/>
      <c r="AR675" s="207"/>
    </row>
    <row r="676" spans="39:44" ht="11.25" hidden="1" customHeight="1">
      <c r="AM676" s="451"/>
      <c r="AN676" s="454"/>
      <c r="AO676" s="473"/>
      <c r="AP676" s="456"/>
      <c r="AQ676" s="207"/>
      <c r="AR676" s="207"/>
    </row>
    <row r="677" spans="39:44" ht="11.25" hidden="1" customHeight="1">
      <c r="AM677" s="451"/>
      <c r="AN677" s="454"/>
      <c r="AO677" s="473"/>
      <c r="AP677" s="456"/>
      <c r="AQ677" s="207"/>
      <c r="AR677" s="207"/>
    </row>
    <row r="678" spans="39:44" ht="11.25" hidden="1" customHeight="1">
      <c r="AM678" s="451"/>
      <c r="AN678" s="454"/>
      <c r="AO678" s="473"/>
      <c r="AP678" s="456"/>
      <c r="AQ678" s="207"/>
      <c r="AR678" s="207"/>
    </row>
    <row r="679" spans="39:44" ht="11.25" hidden="1" customHeight="1">
      <c r="AM679" s="451"/>
      <c r="AN679" s="454"/>
      <c r="AO679" s="473"/>
      <c r="AP679" s="456"/>
      <c r="AQ679" s="207"/>
      <c r="AR679" s="207"/>
    </row>
    <row r="680" spans="39:44" ht="11.25" hidden="1" customHeight="1">
      <c r="AM680" s="451"/>
      <c r="AN680" s="454"/>
      <c r="AO680" s="473"/>
      <c r="AP680" s="456"/>
      <c r="AQ680" s="207"/>
      <c r="AR680" s="207"/>
    </row>
    <row r="681" spans="39:44" ht="11.25" hidden="1" customHeight="1">
      <c r="AM681" s="451"/>
      <c r="AN681" s="455"/>
      <c r="AO681" s="473"/>
      <c r="AP681" s="456"/>
      <c r="AQ681" s="207"/>
      <c r="AR681" s="207"/>
    </row>
    <row r="682" spans="39:44" ht="11.25" hidden="1" customHeight="1">
      <c r="AM682" s="451"/>
      <c r="AN682" s="455"/>
      <c r="AO682" s="473"/>
      <c r="AP682" s="456"/>
      <c r="AQ682" s="207"/>
      <c r="AR682" s="207"/>
    </row>
    <row r="683" spans="39:44" ht="11.25" hidden="1" customHeight="1">
      <c r="AM683" s="461"/>
      <c r="AN683" s="455"/>
      <c r="AO683" s="473"/>
      <c r="AP683" s="456"/>
      <c r="AQ683" s="207"/>
      <c r="AR683" s="207"/>
    </row>
    <row r="684" spans="39:44">
      <c r="AM684" s="461" t="str">
        <f>AM664 &amp; ".3"</f>
        <v>4.0.3.4.3.3</v>
      </c>
      <c r="AN684" s="457" t="s">
        <v>85</v>
      </c>
      <c r="AO684" s="473" t="s">
        <v>786</v>
      </c>
      <c r="AP684" s="305">
        <f t="shared" ref="AP684:AP693" si="22">SUM(AQ684:AR684)</f>
        <v>0</v>
      </c>
      <c r="AQ684" s="207"/>
      <c r="AR684" s="207"/>
    </row>
    <row r="685" spans="39:44">
      <c r="AM685" s="461" t="str">
        <f>AM664 &amp; ".4"</f>
        <v>4.0.3.4.3.4</v>
      </c>
      <c r="AN685" s="457" t="s">
        <v>87</v>
      </c>
      <c r="AO685" s="473" t="s">
        <v>786</v>
      </c>
      <c r="AP685" s="305">
        <f t="shared" si="22"/>
        <v>0</v>
      </c>
      <c r="AQ685" s="207"/>
      <c r="AR685" s="207"/>
    </row>
    <row r="686" spans="39:44">
      <c r="AM686" s="461" t="str">
        <f>AM664&amp;".5"</f>
        <v>4.0.3.4.3.5</v>
      </c>
      <c r="AN686" s="457" t="s">
        <v>89</v>
      </c>
      <c r="AO686" s="473" t="s">
        <v>786</v>
      </c>
      <c r="AP686" s="305">
        <f t="shared" si="22"/>
        <v>0</v>
      </c>
      <c r="AQ686" s="207"/>
      <c r="AR686" s="207"/>
    </row>
    <row r="687" spans="39:44">
      <c r="AM687" s="461" t="str">
        <f>AM664 &amp; ".6"</f>
        <v>4.0.3.4.3.6</v>
      </c>
      <c r="AN687" s="457" t="s">
        <v>91</v>
      </c>
      <c r="AO687" s="473" t="s">
        <v>786</v>
      </c>
      <c r="AP687" s="305">
        <f t="shared" si="22"/>
        <v>0</v>
      </c>
      <c r="AQ687" s="207"/>
      <c r="AR687" s="207"/>
    </row>
    <row r="688" spans="39:44">
      <c r="AM688" s="461" t="str">
        <f>AM664 &amp; ".7"</f>
        <v>4.0.3.4.3.7</v>
      </c>
      <c r="AN688" s="457" t="s">
        <v>93</v>
      </c>
      <c r="AO688" s="473" t="s">
        <v>786</v>
      </c>
      <c r="AP688" s="305">
        <f t="shared" si="22"/>
        <v>0</v>
      </c>
      <c r="AQ688" s="207"/>
      <c r="AR688" s="207"/>
    </row>
    <row r="689" spans="39:44">
      <c r="AM689" s="461" t="str">
        <f>AM664 &amp; ".8"</f>
        <v>4.0.3.4.3.8</v>
      </c>
      <c r="AN689" s="457" t="s">
        <v>95</v>
      </c>
      <c r="AO689" s="473" t="s">
        <v>786</v>
      </c>
      <c r="AP689" s="305">
        <f t="shared" si="22"/>
        <v>0</v>
      </c>
      <c r="AQ689" s="207"/>
      <c r="AR689" s="207"/>
    </row>
    <row r="690" spans="39:44">
      <c r="AM690" s="461" t="str">
        <f>AM664 &amp; ".9"</f>
        <v>4.0.3.4.3.9</v>
      </c>
      <c r="AN690" s="457" t="s">
        <v>2976</v>
      </c>
      <c r="AO690" s="473" t="s">
        <v>786</v>
      </c>
      <c r="AP690" s="305">
        <f t="shared" si="22"/>
        <v>0</v>
      </c>
      <c r="AQ690" s="207"/>
      <c r="AR690" s="207"/>
    </row>
    <row r="691" spans="39:44">
      <c r="AM691" s="461" t="str">
        <f>AM664 &amp; ".10"</f>
        <v>4.0.3.4.3.10</v>
      </c>
      <c r="AN691" s="457" t="s">
        <v>2978</v>
      </c>
      <c r="AO691" s="473" t="s">
        <v>786</v>
      </c>
      <c r="AP691" s="305">
        <f t="shared" si="22"/>
        <v>0</v>
      </c>
      <c r="AQ691" s="207"/>
      <c r="AR691" s="207"/>
    </row>
    <row r="692" spans="39:44">
      <c r="AM692" s="461" t="str">
        <f>AM664 &amp; ".11"</f>
        <v>4.0.3.4.3.11</v>
      </c>
      <c r="AN692" s="457" t="s">
        <v>2980</v>
      </c>
      <c r="AO692" s="473" t="s">
        <v>786</v>
      </c>
      <c r="AP692" s="305">
        <f t="shared" si="22"/>
        <v>0</v>
      </c>
      <c r="AQ692" s="207"/>
      <c r="AR692" s="207"/>
    </row>
    <row r="693" spans="39:44">
      <c r="AM693" s="461" t="str">
        <f>AM664 &amp; ".12"</f>
        <v>4.0.3.4.3.12</v>
      </c>
      <c r="AN693" s="457" t="s">
        <v>2982</v>
      </c>
      <c r="AO693" s="473" t="s">
        <v>786</v>
      </c>
      <c r="AP693" s="305">
        <f t="shared" si="22"/>
        <v>0</v>
      </c>
      <c r="AQ693" s="207"/>
      <c r="AR693" s="207"/>
    </row>
    <row r="694" spans="39:44" ht="11.25" hidden="1" customHeight="1">
      <c r="AM694" s="451"/>
      <c r="AN694" s="454"/>
      <c r="AO694" s="473"/>
      <c r="AP694" s="456"/>
      <c r="AQ694" s="207"/>
      <c r="AR694" s="207"/>
    </row>
    <row r="695" spans="39:44" ht="11.25" hidden="1" customHeight="1">
      <c r="AM695" s="451"/>
      <c r="AN695" s="454"/>
      <c r="AO695" s="473"/>
      <c r="AP695" s="456"/>
      <c r="AQ695" s="207"/>
      <c r="AR695" s="207"/>
    </row>
    <row r="696" spans="39:44">
      <c r="AM696" s="461" t="str">
        <f>AM664 &amp; ".15"</f>
        <v>4.0.3.4.3.15</v>
      </c>
      <c r="AN696" s="457" t="s">
        <v>291</v>
      </c>
      <c r="AO696" s="473" t="s">
        <v>786</v>
      </c>
      <c r="AP696" s="305">
        <f>SUM(AQ696:AR696)</f>
        <v>0</v>
      </c>
      <c r="AQ696" s="207"/>
      <c r="AR696" s="207"/>
    </row>
    <row r="697" spans="39:44" ht="11.25" hidden="1" customHeight="1">
      <c r="AM697" s="451"/>
      <c r="AN697" s="454"/>
      <c r="AO697" s="473"/>
      <c r="AP697" s="456"/>
      <c r="AQ697" s="207"/>
      <c r="AR697" s="207"/>
    </row>
    <row r="698" spans="39:44">
      <c r="AM698" s="462"/>
      <c r="AN698" s="469" t="s">
        <v>249</v>
      </c>
      <c r="AO698" s="474"/>
      <c r="AP698" s="456"/>
      <c r="AQ698" s="207"/>
      <c r="AR698" s="207"/>
    </row>
    <row r="699" spans="39:44" ht="11.25" hidden="1" customHeight="1">
      <c r="AM699" s="451"/>
      <c r="AN699" s="454"/>
      <c r="AO699" s="473"/>
      <c r="AP699" s="456"/>
      <c r="AQ699" s="207"/>
      <c r="AR699" s="207"/>
    </row>
    <row r="700" spans="39:44">
      <c r="AM700" s="236" t="s">
        <v>2985</v>
      </c>
      <c r="AN700" s="225" t="s">
        <v>250</v>
      </c>
      <c r="AO700" s="473" t="s">
        <v>251</v>
      </c>
      <c r="AP700" s="257">
        <f>SUM(AQ700:AR700)</f>
        <v>0</v>
      </c>
      <c r="AQ700" s="207"/>
      <c r="AR700" s="207"/>
    </row>
    <row r="701" spans="39:44">
      <c r="AM701" s="236" t="s">
        <v>2987</v>
      </c>
      <c r="AN701" s="225" t="s">
        <v>252</v>
      </c>
      <c r="AO701" s="473" t="s">
        <v>253</v>
      </c>
      <c r="AP701" s="257">
        <f>SUM(AQ701:AR701)</f>
        <v>0</v>
      </c>
      <c r="AQ701" s="207"/>
      <c r="AR701" s="207"/>
    </row>
    <row r="702" spans="39:44">
      <c r="AM702" s="236" t="s">
        <v>2511</v>
      </c>
      <c r="AN702" s="225" t="s">
        <v>3011</v>
      </c>
      <c r="AO702" s="473" t="s">
        <v>786</v>
      </c>
      <c r="AP702" s="257">
        <f>SUM(AQ702:AR702)</f>
        <v>0</v>
      </c>
      <c r="AQ702" s="207"/>
      <c r="AR702" s="207"/>
    </row>
    <row r="703" spans="39:44">
      <c r="AM703" s="239" t="str">
        <f>AM702 &amp; ".1"</f>
        <v>4.13.1.1.1</v>
      </c>
      <c r="AN703" s="245" t="s">
        <v>254</v>
      </c>
      <c r="AO703" s="473" t="s">
        <v>2969</v>
      </c>
      <c r="AP703" s="257">
        <f>IF(AP704=0,0,AP702/AP704)</f>
        <v>0</v>
      </c>
      <c r="AQ703" s="207"/>
      <c r="AR703" s="207"/>
    </row>
    <row r="704" spans="39:44">
      <c r="AM704" s="239" t="str">
        <f>AM702 &amp; ".2"</f>
        <v>4.13.1.1.2</v>
      </c>
      <c r="AN704" s="245" t="s">
        <v>250</v>
      </c>
      <c r="AO704" s="473" t="s">
        <v>251</v>
      </c>
      <c r="AP704" s="257">
        <f>SUM(AQ704:AR704)</f>
        <v>0</v>
      </c>
      <c r="AQ704" s="207"/>
      <c r="AR704" s="207"/>
    </row>
    <row r="705" spans="39:44">
      <c r="AM705" s="236" t="s">
        <v>2512</v>
      </c>
      <c r="AN705" s="248" t="s">
        <v>3015</v>
      </c>
      <c r="AO705" s="473" t="s">
        <v>786</v>
      </c>
      <c r="AP705" s="257">
        <f>SUM(AQ705:AR705)</f>
        <v>0</v>
      </c>
      <c r="AQ705" s="207"/>
      <c r="AR705" s="207"/>
    </row>
    <row r="706" spans="39:44">
      <c r="AM706" s="239" t="str">
        <f>AM705 &amp; ".1"</f>
        <v>4.13.1.2.1</v>
      </c>
      <c r="AN706" s="245" t="s">
        <v>255</v>
      </c>
      <c r="AO706" s="473" t="s">
        <v>2971</v>
      </c>
      <c r="AP706" s="257">
        <f>IF(AP707=0,0,AP705/AP707)</f>
        <v>0</v>
      </c>
      <c r="AQ706" s="207"/>
      <c r="AR706" s="207"/>
    </row>
    <row r="707" spans="39:44">
      <c r="AM707" s="239" t="str">
        <f>AM705 &amp; ".2"</f>
        <v>4.13.1.2.2</v>
      </c>
      <c r="AN707" s="245" t="s">
        <v>256</v>
      </c>
      <c r="AO707" s="473" t="s">
        <v>253</v>
      </c>
      <c r="AP707" s="257">
        <f>SUM(AQ707:AR707)</f>
        <v>0</v>
      </c>
      <c r="AQ707" s="207"/>
      <c r="AR707" s="207"/>
    </row>
    <row r="708" spans="39:44">
      <c r="AM708" s="236" t="s">
        <v>2513</v>
      </c>
      <c r="AN708" s="225" t="s">
        <v>3020</v>
      </c>
      <c r="AO708" s="473" t="s">
        <v>786</v>
      </c>
      <c r="AP708" s="257">
        <f>SUM(AQ708:AR708)</f>
        <v>0</v>
      </c>
      <c r="AQ708" s="207"/>
      <c r="AR708" s="207"/>
    </row>
    <row r="709" spans="39:44">
      <c r="AM709" s="239" t="str">
        <f>AM708 &amp; ".1"</f>
        <v>4.13.2.1.1</v>
      </c>
      <c r="AN709" s="245" t="s">
        <v>254</v>
      </c>
      <c r="AO709" s="473" t="s">
        <v>2969</v>
      </c>
      <c r="AP709" s="257">
        <f>IF(AP710=0,0,AP708/AP710)</f>
        <v>0</v>
      </c>
      <c r="AQ709" s="207"/>
      <c r="AR709" s="207"/>
    </row>
    <row r="710" spans="39:44">
      <c r="AM710" s="239" t="str">
        <f>AM708 &amp; ".2"</f>
        <v>4.13.2.1.2</v>
      </c>
      <c r="AN710" s="245" t="s">
        <v>250</v>
      </c>
      <c r="AO710" s="473" t="s">
        <v>251</v>
      </c>
      <c r="AP710" s="257">
        <f>SUM(AQ710:AR710)</f>
        <v>0</v>
      </c>
      <c r="AQ710" s="207"/>
      <c r="AR710" s="207"/>
    </row>
    <row r="711" spans="39:44">
      <c r="AM711" s="236" t="s">
        <v>2514</v>
      </c>
      <c r="AN711" s="248" t="s">
        <v>3024</v>
      </c>
      <c r="AO711" s="473" t="s">
        <v>786</v>
      </c>
      <c r="AP711" s="257">
        <f>SUM(AQ711:AR711)</f>
        <v>0</v>
      </c>
      <c r="AQ711" s="207"/>
      <c r="AR711" s="207"/>
    </row>
    <row r="712" spans="39:44">
      <c r="AM712" s="239" t="str">
        <f>AM711 &amp; ".1"</f>
        <v>4.13.2.2.1</v>
      </c>
      <c r="AN712" s="245" t="s">
        <v>255</v>
      </c>
      <c r="AO712" s="473" t="s">
        <v>2971</v>
      </c>
      <c r="AP712" s="257">
        <f>IF(AP713=0,0,AP711/AP713)</f>
        <v>0</v>
      </c>
      <c r="AQ712" s="207"/>
      <c r="AR712" s="207"/>
    </row>
    <row r="713" spans="39:44">
      <c r="AM713" s="239" t="str">
        <f>AM711 &amp; ".2"</f>
        <v>4.13.2.2.2</v>
      </c>
      <c r="AN713" s="245" t="s">
        <v>256</v>
      </c>
      <c r="AO713" s="473" t="s">
        <v>253</v>
      </c>
      <c r="AP713" s="257">
        <f>SUM(AQ713:AR713)</f>
        <v>0</v>
      </c>
      <c r="AQ713" s="207"/>
      <c r="AR713" s="207"/>
    </row>
    <row r="714" spans="39:44">
      <c r="AM714" s="236" t="s">
        <v>2515</v>
      </c>
      <c r="AN714" s="225" t="s">
        <v>3028</v>
      </c>
      <c r="AO714" s="473" t="s">
        <v>786</v>
      </c>
      <c r="AP714" s="257">
        <f>SUM(AQ714:AR714)</f>
        <v>0</v>
      </c>
      <c r="AQ714" s="207"/>
      <c r="AR714" s="207"/>
    </row>
    <row r="715" spans="39:44">
      <c r="AM715" s="239" t="str">
        <f>AM714 &amp; ".1"</f>
        <v>4.13.3.1.1</v>
      </c>
      <c r="AN715" s="245" t="s">
        <v>254</v>
      </c>
      <c r="AO715" s="473" t="s">
        <v>2969</v>
      </c>
      <c r="AP715" s="257">
        <f>IF(AP716=0,0,AP714/AP716)</f>
        <v>0</v>
      </c>
      <c r="AQ715" s="207"/>
      <c r="AR715" s="207"/>
    </row>
    <row r="716" spans="39:44">
      <c r="AM716" s="239" t="str">
        <f>AM714 &amp; ".2"</f>
        <v>4.13.3.1.2</v>
      </c>
      <c r="AN716" s="245" t="s">
        <v>250</v>
      </c>
      <c r="AO716" s="473" t="s">
        <v>251</v>
      </c>
      <c r="AP716" s="257">
        <f>SUM(AQ716:AR716)</f>
        <v>0</v>
      </c>
      <c r="AQ716" s="207"/>
      <c r="AR716" s="207"/>
    </row>
    <row r="717" spans="39:44">
      <c r="AM717" s="236" t="s">
        <v>2516</v>
      </c>
      <c r="AN717" s="248" t="s">
        <v>3032</v>
      </c>
      <c r="AO717" s="473" t="s">
        <v>786</v>
      </c>
      <c r="AP717" s="257">
        <f>SUM(AQ717:AR717)</f>
        <v>0</v>
      </c>
      <c r="AQ717" s="207"/>
      <c r="AR717" s="207"/>
    </row>
    <row r="718" spans="39:44">
      <c r="AM718" s="239" t="str">
        <f>AM717 &amp; ".1"</f>
        <v>4.13.3.2.1</v>
      </c>
      <c r="AN718" s="245" t="s">
        <v>255</v>
      </c>
      <c r="AO718" s="473" t="s">
        <v>2971</v>
      </c>
      <c r="AP718" s="257">
        <f>IF(AP719=0,0,AP717/AP719)</f>
        <v>0</v>
      </c>
      <c r="AQ718" s="207"/>
      <c r="AR718" s="207"/>
    </row>
    <row r="719" spans="39:44">
      <c r="AM719" s="239" t="str">
        <f>AM717 &amp; ".2"</f>
        <v>4.13.3.2.2</v>
      </c>
      <c r="AN719" s="245" t="s">
        <v>256</v>
      </c>
      <c r="AO719" s="473" t="s">
        <v>253</v>
      </c>
      <c r="AP719" s="257">
        <f>SUM(AQ719:AR719)</f>
        <v>0</v>
      </c>
      <c r="AQ719" s="207"/>
      <c r="AR719" s="207"/>
    </row>
    <row r="720" spans="39:44">
      <c r="AM720" s="236" t="s">
        <v>2517</v>
      </c>
      <c r="AN720" s="225" t="s">
        <v>3036</v>
      </c>
      <c r="AO720" s="473" t="s">
        <v>786</v>
      </c>
      <c r="AP720" s="257">
        <f>SUM(AQ720:AR720)</f>
        <v>0</v>
      </c>
      <c r="AQ720" s="207"/>
      <c r="AR720" s="207"/>
    </row>
    <row r="721" spans="10:44">
      <c r="AM721" s="239" t="str">
        <f>AM720 &amp; ".1"</f>
        <v>4.13.4.1.1</v>
      </c>
      <c r="AN721" s="245" t="s">
        <v>254</v>
      </c>
      <c r="AO721" s="473" t="s">
        <v>2969</v>
      </c>
      <c r="AP721" s="257">
        <f>IF(AP722=0,0,AP720/AP722)</f>
        <v>0</v>
      </c>
      <c r="AQ721" s="207"/>
      <c r="AR721" s="207"/>
    </row>
    <row r="722" spans="10:44">
      <c r="AM722" s="239" t="str">
        <f>AM720 &amp; ".2"</f>
        <v>4.13.4.1.2</v>
      </c>
      <c r="AN722" s="245" t="s">
        <v>250</v>
      </c>
      <c r="AO722" s="473" t="s">
        <v>251</v>
      </c>
      <c r="AP722" s="257">
        <f>SUM(AQ722:AR722)</f>
        <v>0</v>
      </c>
      <c r="AQ722" s="207"/>
      <c r="AR722" s="207"/>
    </row>
    <row r="723" spans="10:44">
      <c r="AM723" s="236" t="s">
        <v>2518</v>
      </c>
      <c r="AN723" s="248" t="s">
        <v>3040</v>
      </c>
      <c r="AO723" s="473" t="s">
        <v>786</v>
      </c>
      <c r="AP723" s="257">
        <f>SUM(AQ723:AR723)</f>
        <v>0</v>
      </c>
      <c r="AQ723" s="207"/>
      <c r="AR723" s="207"/>
    </row>
    <row r="724" spans="10:44">
      <c r="AM724" s="239" t="str">
        <f>AM723 &amp; ".1"</f>
        <v>4.13.4.2.1</v>
      </c>
      <c r="AN724" s="245" t="s">
        <v>255</v>
      </c>
      <c r="AO724" s="473" t="s">
        <v>2971</v>
      </c>
      <c r="AP724" s="257">
        <f>IF(AP725=0,0,AP723/AP725)</f>
        <v>0</v>
      </c>
      <c r="AQ724" s="207"/>
      <c r="AR724" s="207"/>
    </row>
    <row r="725" spans="10:44" ht="11.25" customHeight="1">
      <c r="AM725" s="239" t="str">
        <f>AM723 &amp; ".2"</f>
        <v>4.13.4.2.2</v>
      </c>
      <c r="AN725" s="245" t="s">
        <v>256</v>
      </c>
      <c r="AO725" s="473" t="s">
        <v>253</v>
      </c>
      <c r="AP725" s="257">
        <f>SUM(AQ725:AR725)</f>
        <v>0</v>
      </c>
      <c r="AQ725" s="207"/>
      <c r="AR725" s="207"/>
    </row>
    <row r="726" spans="10:44" ht="11.25" hidden="1" customHeight="1">
      <c r="AM726" s="451"/>
      <c r="AN726" s="454"/>
      <c r="AO726" s="451"/>
      <c r="AP726" s="456"/>
      <c r="AQ726" s="207"/>
      <c r="AR726" s="207"/>
    </row>
    <row r="727" spans="10:44" s="48" customFormat="1" ht="11.25" hidden="1" customHeight="1">
      <c r="J727" s="213"/>
      <c r="K727" s="213"/>
      <c r="L727" s="213"/>
      <c r="M727" s="213"/>
      <c r="N727" s="213"/>
      <c r="O727" s="213"/>
      <c r="P727" s="213"/>
      <c r="Q727" s="213"/>
      <c r="R727" s="213"/>
      <c r="S727" s="213"/>
      <c r="T727" s="213"/>
      <c r="U727" s="213"/>
      <c r="V727" s="213"/>
      <c r="W727" s="213"/>
      <c r="X727" s="213"/>
      <c r="Y727" s="213"/>
      <c r="Z727" s="213"/>
      <c r="AA727" s="213"/>
      <c r="AB727" s="213"/>
      <c r="AC727" s="213"/>
      <c r="AD727" s="213"/>
      <c r="AE727" s="213"/>
      <c r="AF727" s="213"/>
      <c r="AG727" s="213"/>
      <c r="AH727" s="213"/>
      <c r="AI727" s="213"/>
      <c r="AJ727" s="213"/>
      <c r="AK727" s="213"/>
      <c r="AL727" s="213"/>
      <c r="AM727" s="302"/>
      <c r="AN727" s="302"/>
      <c r="AO727" s="303"/>
      <c r="AP727" s="285"/>
      <c r="AQ727" s="207"/>
      <c r="AR727" s="207"/>
    </row>
    <row r="728" spans="10:44" s="48" customFormat="1" ht="12" hidden="1" customHeight="1">
      <c r="J728" s="213"/>
      <c r="K728" s="213"/>
      <c r="L728" s="213"/>
      <c r="M728" s="213"/>
      <c r="N728" s="213"/>
      <c r="O728" s="213"/>
      <c r="P728" s="213"/>
      <c r="Q728" s="213"/>
      <c r="R728" s="213"/>
      <c r="S728" s="213"/>
      <c r="T728" s="213"/>
      <c r="U728" s="213"/>
      <c r="V728" s="213"/>
      <c r="W728" s="213"/>
      <c r="X728" s="213"/>
      <c r="Y728" s="213"/>
      <c r="Z728" s="213"/>
      <c r="AA728" s="213"/>
      <c r="AB728" s="213"/>
      <c r="AC728" s="213"/>
      <c r="AD728" s="213"/>
      <c r="AE728" s="213"/>
      <c r="AF728" s="213"/>
      <c r="AG728" s="213"/>
      <c r="AH728" s="213"/>
      <c r="AI728" s="213"/>
      <c r="AJ728" s="213"/>
      <c r="AK728" s="213"/>
      <c r="AL728" s="213"/>
      <c r="AM728" s="302"/>
      <c r="AN728" s="302"/>
      <c r="AO728" s="303"/>
      <c r="AP728" s="285"/>
      <c r="AQ728" s="207"/>
      <c r="AR728" s="207"/>
    </row>
    <row r="729" spans="10:44" s="48" customFormat="1" ht="12" hidden="1" customHeight="1">
      <c r="J729" s="213"/>
      <c r="K729" s="213"/>
      <c r="L729" s="213"/>
      <c r="M729" s="213"/>
      <c r="N729" s="213"/>
      <c r="O729" s="213"/>
      <c r="P729" s="213"/>
      <c r="Q729" s="213"/>
      <c r="R729" s="213"/>
      <c r="S729" s="213"/>
      <c r="T729" s="213"/>
      <c r="U729" s="213"/>
      <c r="V729" s="213"/>
      <c r="W729" s="213"/>
      <c r="X729" s="213"/>
      <c r="Y729" s="213"/>
      <c r="Z729" s="213"/>
      <c r="AA729" s="213"/>
      <c r="AB729" s="213"/>
      <c r="AC729" s="213"/>
      <c r="AD729" s="213"/>
      <c r="AE729" s="213"/>
      <c r="AF729" s="213"/>
      <c r="AG729" s="213"/>
      <c r="AH729" s="213"/>
      <c r="AI729" s="213"/>
      <c r="AJ729" s="213"/>
      <c r="AK729" s="213"/>
      <c r="AL729" s="213"/>
      <c r="AM729" s="302"/>
      <c r="AN729" s="302"/>
      <c r="AO729" s="303"/>
      <c r="AP729" s="285"/>
      <c r="AQ729" s="207"/>
      <c r="AR729" s="207"/>
    </row>
    <row r="730" spans="10:44" s="48" customFormat="1" ht="12" hidden="1" customHeight="1">
      <c r="J730" s="213"/>
      <c r="K730" s="213"/>
      <c r="L730" s="213"/>
      <c r="M730" s="213"/>
      <c r="N730" s="213"/>
      <c r="O730" s="213"/>
      <c r="P730" s="213"/>
      <c r="Q730" s="213"/>
      <c r="R730" s="213"/>
      <c r="S730" s="213"/>
      <c r="T730" s="213"/>
      <c r="U730" s="213"/>
      <c r="V730" s="213"/>
      <c r="W730" s="213"/>
      <c r="X730" s="213"/>
      <c r="Y730" s="213"/>
      <c r="Z730" s="213"/>
      <c r="AA730" s="213"/>
      <c r="AB730" s="213"/>
      <c r="AC730" s="213"/>
      <c r="AD730" s="213"/>
      <c r="AE730" s="213"/>
      <c r="AF730" s="213"/>
      <c r="AG730" s="213"/>
      <c r="AH730" s="213"/>
      <c r="AI730" s="213"/>
      <c r="AJ730" s="213"/>
      <c r="AK730" s="213"/>
      <c r="AL730" s="213"/>
      <c r="AM730" s="302"/>
      <c r="AN730" s="302"/>
      <c r="AO730" s="303"/>
      <c r="AP730" s="285"/>
      <c r="AQ730" s="207"/>
      <c r="AR730" s="207"/>
    </row>
    <row r="731" spans="10:44" s="48" customFormat="1" ht="12" hidden="1" customHeight="1">
      <c r="J731" s="213"/>
      <c r="K731" s="213"/>
      <c r="L731" s="213"/>
      <c r="M731" s="213"/>
      <c r="N731" s="213"/>
      <c r="O731" s="213"/>
      <c r="P731" s="213"/>
      <c r="Q731" s="213"/>
      <c r="R731" s="213"/>
      <c r="S731" s="213"/>
      <c r="T731" s="213"/>
      <c r="U731" s="213"/>
      <c r="V731" s="213"/>
      <c r="W731" s="213"/>
      <c r="X731" s="213"/>
      <c r="Y731" s="213"/>
      <c r="Z731" s="213"/>
      <c r="AA731" s="213"/>
      <c r="AB731" s="213"/>
      <c r="AC731" s="213"/>
      <c r="AD731" s="213"/>
      <c r="AE731" s="213"/>
      <c r="AF731" s="213"/>
      <c r="AG731" s="213"/>
      <c r="AH731" s="213"/>
      <c r="AI731" s="213"/>
      <c r="AJ731" s="213"/>
      <c r="AK731" s="213"/>
      <c r="AL731" s="213"/>
      <c r="AM731" s="302"/>
      <c r="AN731" s="302"/>
      <c r="AO731" s="303"/>
      <c r="AP731" s="285"/>
      <c r="AQ731" s="207"/>
      <c r="AR731" s="207"/>
    </row>
    <row r="732" spans="10:44" s="48" customFormat="1" ht="12" hidden="1" customHeight="1">
      <c r="J732" s="213"/>
      <c r="K732" s="213"/>
      <c r="L732" s="213"/>
      <c r="M732" s="213"/>
      <c r="N732" s="213"/>
      <c r="O732" s="213"/>
      <c r="P732" s="213"/>
      <c r="Q732" s="213"/>
      <c r="R732" s="213"/>
      <c r="S732" s="213"/>
      <c r="T732" s="213"/>
      <c r="U732" s="213"/>
      <c r="V732" s="213"/>
      <c r="W732" s="213"/>
      <c r="X732" s="213"/>
      <c r="Y732" s="213"/>
      <c r="Z732" s="213"/>
      <c r="AA732" s="213"/>
      <c r="AB732" s="213"/>
      <c r="AC732" s="213"/>
      <c r="AD732" s="213"/>
      <c r="AE732" s="213"/>
      <c r="AF732" s="213"/>
      <c r="AG732" s="213"/>
      <c r="AH732" s="213"/>
      <c r="AI732" s="213"/>
      <c r="AJ732" s="213"/>
      <c r="AK732" s="213"/>
      <c r="AL732" s="213"/>
      <c r="AM732" s="302"/>
      <c r="AN732" s="302"/>
      <c r="AO732" s="303"/>
      <c r="AP732" s="285"/>
      <c r="AQ732" s="258"/>
      <c r="AR732" s="258"/>
    </row>
    <row r="733" spans="10:44" s="48" customFormat="1" ht="12" hidden="1" customHeight="1">
      <c r="J733" s="213"/>
      <c r="K733" s="213"/>
      <c r="L733" s="213"/>
      <c r="M733" s="213"/>
      <c r="N733" s="213"/>
      <c r="O733" s="213"/>
      <c r="P733" s="213"/>
      <c r="Q733" s="213"/>
      <c r="R733" s="213"/>
      <c r="S733" s="213"/>
      <c r="T733" s="213"/>
      <c r="U733" s="213"/>
      <c r="V733" s="213"/>
      <c r="W733" s="213"/>
      <c r="X733" s="213"/>
      <c r="Y733" s="213"/>
      <c r="Z733" s="213"/>
      <c r="AA733" s="213"/>
      <c r="AB733" s="213"/>
      <c r="AC733" s="213"/>
      <c r="AD733" s="213"/>
      <c r="AE733" s="213"/>
      <c r="AF733" s="213"/>
      <c r="AG733" s="213"/>
      <c r="AH733" s="213"/>
      <c r="AI733" s="213"/>
      <c r="AJ733" s="213"/>
      <c r="AK733" s="213"/>
      <c r="AL733" s="213"/>
      <c r="AM733" s="302"/>
      <c r="AN733" s="302"/>
      <c r="AO733" s="303"/>
      <c r="AP733" s="285"/>
      <c r="AQ733" s="258"/>
      <c r="AR733" s="258"/>
    </row>
    <row r="734" spans="10:44" s="48" customFormat="1" ht="12" hidden="1" customHeight="1">
      <c r="J734" s="213"/>
      <c r="K734" s="213"/>
      <c r="L734" s="213"/>
      <c r="M734" s="213"/>
      <c r="N734" s="213"/>
      <c r="O734" s="213"/>
      <c r="P734" s="213"/>
      <c r="Q734" s="213"/>
      <c r="R734" s="213"/>
      <c r="S734" s="213"/>
      <c r="T734" s="213"/>
      <c r="U734" s="213"/>
      <c r="V734" s="213"/>
      <c r="W734" s="213"/>
      <c r="X734" s="213"/>
      <c r="Y734" s="213"/>
      <c r="Z734" s="213"/>
      <c r="AA734" s="213"/>
      <c r="AB734" s="213"/>
      <c r="AC734" s="213"/>
      <c r="AD734" s="213"/>
      <c r="AE734" s="213"/>
      <c r="AF734" s="213"/>
      <c r="AG734" s="213"/>
      <c r="AH734" s="213"/>
      <c r="AI734" s="213"/>
      <c r="AJ734" s="213"/>
      <c r="AK734" s="213"/>
      <c r="AL734" s="213"/>
      <c r="AM734" s="302"/>
      <c r="AN734" s="302"/>
      <c r="AO734" s="303"/>
      <c r="AP734" s="285"/>
      <c r="AQ734" s="258"/>
      <c r="AR734" s="258"/>
    </row>
    <row r="735" spans="10:44" s="48" customFormat="1" ht="12" hidden="1" customHeight="1">
      <c r="J735" s="213"/>
      <c r="K735" s="213"/>
      <c r="L735" s="213"/>
      <c r="M735" s="213"/>
      <c r="N735" s="213"/>
      <c r="O735" s="213"/>
      <c r="P735" s="213"/>
      <c r="Q735" s="213"/>
      <c r="R735" s="213"/>
      <c r="S735" s="213"/>
      <c r="T735" s="213"/>
      <c r="U735" s="213"/>
      <c r="V735" s="213"/>
      <c r="W735" s="213"/>
      <c r="X735" s="213"/>
      <c r="Y735" s="213"/>
      <c r="Z735" s="213"/>
      <c r="AA735" s="213"/>
      <c r="AB735" s="213"/>
      <c r="AC735" s="213"/>
      <c r="AD735" s="213"/>
      <c r="AE735" s="213"/>
      <c r="AF735" s="213"/>
      <c r="AG735" s="213"/>
      <c r="AH735" s="213"/>
      <c r="AI735" s="213"/>
      <c r="AJ735" s="213"/>
      <c r="AK735" s="213"/>
      <c r="AL735" s="213"/>
      <c r="AM735" s="302"/>
      <c r="AN735" s="302"/>
      <c r="AO735" s="303"/>
      <c r="AP735" s="285"/>
      <c r="AQ735" s="258"/>
      <c r="AR735" s="258"/>
    </row>
    <row r="736" spans="10:44" s="48" customFormat="1" ht="12" hidden="1" customHeight="1">
      <c r="J736" s="213"/>
      <c r="K736" s="213"/>
      <c r="L736" s="213"/>
      <c r="M736" s="213"/>
      <c r="N736" s="213"/>
      <c r="O736" s="213"/>
      <c r="P736" s="213"/>
      <c r="Q736" s="213"/>
      <c r="R736" s="213"/>
      <c r="S736" s="213"/>
      <c r="T736" s="213"/>
      <c r="U736" s="213"/>
      <c r="V736" s="213"/>
      <c r="W736" s="213"/>
      <c r="X736" s="213"/>
      <c r="Y736" s="213"/>
      <c r="Z736" s="213"/>
      <c r="AA736" s="213"/>
      <c r="AB736" s="213"/>
      <c r="AC736" s="213"/>
      <c r="AD736" s="213"/>
      <c r="AE736" s="213"/>
      <c r="AF736" s="213"/>
      <c r="AG736" s="213"/>
      <c r="AH736" s="213"/>
      <c r="AI736" s="213"/>
      <c r="AJ736" s="213"/>
      <c r="AK736" s="213"/>
      <c r="AL736" s="213"/>
      <c r="AM736" s="302"/>
      <c r="AN736" s="302"/>
      <c r="AO736" s="303"/>
      <c r="AP736" s="285"/>
      <c r="AQ736" s="258"/>
      <c r="AR736" s="258"/>
    </row>
    <row r="737" spans="10:44" s="48" customFormat="1" ht="12" hidden="1" customHeight="1">
      <c r="J737" s="213"/>
      <c r="K737" s="213"/>
      <c r="L737" s="213"/>
      <c r="M737" s="213"/>
      <c r="N737" s="213"/>
      <c r="O737" s="213"/>
      <c r="P737" s="213"/>
      <c r="Q737" s="213"/>
      <c r="R737" s="213"/>
      <c r="S737" s="213"/>
      <c r="T737" s="213"/>
      <c r="U737" s="213"/>
      <c r="V737" s="213"/>
      <c r="W737" s="213"/>
      <c r="X737" s="213"/>
      <c r="Y737" s="213"/>
      <c r="Z737" s="213"/>
      <c r="AA737" s="213"/>
      <c r="AB737" s="213"/>
      <c r="AC737" s="213"/>
      <c r="AD737" s="213"/>
      <c r="AE737" s="213"/>
      <c r="AF737" s="213"/>
      <c r="AG737" s="213"/>
      <c r="AH737" s="213"/>
      <c r="AI737" s="213"/>
      <c r="AJ737" s="213"/>
      <c r="AK737" s="213"/>
      <c r="AL737" s="213"/>
      <c r="AM737" s="302"/>
      <c r="AN737" s="302"/>
      <c r="AO737" s="303"/>
      <c r="AP737" s="285"/>
      <c r="AQ737" s="258"/>
      <c r="AR737" s="258"/>
    </row>
    <row r="738" spans="10:44" s="48" customFormat="1" ht="12" hidden="1" customHeight="1">
      <c r="J738" s="213"/>
      <c r="K738" s="213"/>
      <c r="L738" s="213"/>
      <c r="M738" s="213"/>
      <c r="N738" s="213"/>
      <c r="O738" s="213"/>
      <c r="P738" s="213"/>
      <c r="Q738" s="213"/>
      <c r="R738" s="213"/>
      <c r="S738" s="213"/>
      <c r="T738" s="213"/>
      <c r="U738" s="213"/>
      <c r="V738" s="213"/>
      <c r="W738" s="213"/>
      <c r="X738" s="213"/>
      <c r="Y738" s="213"/>
      <c r="Z738" s="213"/>
      <c r="AA738" s="213"/>
      <c r="AB738" s="213"/>
      <c r="AC738" s="213"/>
      <c r="AD738" s="213"/>
      <c r="AE738" s="213"/>
      <c r="AF738" s="213"/>
      <c r="AG738" s="213"/>
      <c r="AH738" s="213"/>
      <c r="AI738" s="213"/>
      <c r="AJ738" s="213"/>
      <c r="AK738" s="213"/>
      <c r="AL738" s="213"/>
      <c r="AM738" s="302"/>
      <c r="AN738" s="302"/>
      <c r="AO738" s="303"/>
      <c r="AP738" s="285"/>
      <c r="AQ738" s="258"/>
      <c r="AR738" s="258"/>
    </row>
    <row r="739" spans="10:44" s="48" customFormat="1" ht="12" hidden="1" customHeight="1">
      <c r="J739" s="213"/>
      <c r="K739" s="213"/>
      <c r="L739" s="213"/>
      <c r="M739" s="213"/>
      <c r="N739" s="213"/>
      <c r="O739" s="213"/>
      <c r="P739" s="213"/>
      <c r="Q739" s="213"/>
      <c r="R739" s="213"/>
      <c r="S739" s="213"/>
      <c r="T739" s="213"/>
      <c r="U739" s="213"/>
      <c r="V739" s="213"/>
      <c r="W739" s="213"/>
      <c r="X739" s="213"/>
      <c r="Y739" s="213"/>
      <c r="Z739" s="213"/>
      <c r="AA739" s="213"/>
      <c r="AB739" s="213"/>
      <c r="AC739" s="213"/>
      <c r="AD739" s="213"/>
      <c r="AE739" s="213"/>
      <c r="AF739" s="213"/>
      <c r="AG739" s="213"/>
      <c r="AH739" s="213"/>
      <c r="AI739" s="213"/>
      <c r="AJ739" s="213"/>
      <c r="AK739" s="213"/>
      <c r="AL739" s="213"/>
      <c r="AM739" s="302"/>
      <c r="AN739" s="302"/>
      <c r="AO739" s="303"/>
      <c r="AP739" s="285"/>
      <c r="AQ739" s="258"/>
      <c r="AR739" s="258"/>
    </row>
    <row r="740" spans="10:44" s="48" customFormat="1" ht="12" hidden="1" customHeight="1">
      <c r="J740" s="213"/>
      <c r="K740" s="213"/>
      <c r="L740" s="213"/>
      <c r="M740" s="213"/>
      <c r="N740" s="213"/>
      <c r="O740" s="213"/>
      <c r="P740" s="213"/>
      <c r="Q740" s="213"/>
      <c r="R740" s="213"/>
      <c r="S740" s="213"/>
      <c r="T740" s="213"/>
      <c r="U740" s="213"/>
      <c r="V740" s="213"/>
      <c r="W740" s="213"/>
      <c r="X740" s="213"/>
      <c r="Y740" s="213"/>
      <c r="Z740" s="213"/>
      <c r="AA740" s="213"/>
      <c r="AB740" s="213"/>
      <c r="AC740" s="213"/>
      <c r="AD740" s="213"/>
      <c r="AE740" s="213"/>
      <c r="AF740" s="213"/>
      <c r="AG740" s="213"/>
      <c r="AH740" s="213"/>
      <c r="AI740" s="213"/>
      <c r="AJ740" s="213"/>
      <c r="AK740" s="213"/>
      <c r="AL740" s="213"/>
      <c r="AM740" s="302"/>
      <c r="AN740" s="302"/>
      <c r="AO740" s="303"/>
      <c r="AP740" s="285"/>
      <c r="AQ740" s="258"/>
      <c r="AR740" s="258"/>
    </row>
    <row r="741" spans="10:44" s="48" customFormat="1" ht="12" hidden="1" customHeight="1">
      <c r="J741" s="213"/>
      <c r="K741" s="213"/>
      <c r="L741" s="213"/>
      <c r="M741" s="213"/>
      <c r="N741" s="213"/>
      <c r="O741" s="213"/>
      <c r="P741" s="213"/>
      <c r="Q741" s="213"/>
      <c r="R741" s="213"/>
      <c r="S741" s="213"/>
      <c r="T741" s="213"/>
      <c r="U741" s="213"/>
      <c r="V741" s="213"/>
      <c r="W741" s="213"/>
      <c r="X741" s="213"/>
      <c r="Y741" s="213"/>
      <c r="Z741" s="213"/>
      <c r="AA741" s="213"/>
      <c r="AB741" s="213"/>
      <c r="AC741" s="213"/>
      <c r="AD741" s="213"/>
      <c r="AE741" s="213"/>
      <c r="AF741" s="213"/>
      <c r="AG741" s="213"/>
      <c r="AH741" s="213"/>
      <c r="AI741" s="213"/>
      <c r="AJ741" s="213"/>
      <c r="AK741" s="213"/>
      <c r="AL741" s="213"/>
      <c r="AM741" s="302"/>
      <c r="AN741" s="302"/>
      <c r="AO741" s="303"/>
      <c r="AP741" s="285"/>
      <c r="AQ741" s="258"/>
      <c r="AR741" s="258"/>
    </row>
    <row r="742" spans="10:44" s="48" customFormat="1" ht="12" hidden="1" customHeight="1">
      <c r="J742" s="213"/>
      <c r="K742" s="213"/>
      <c r="L742" s="213"/>
      <c r="M742" s="213"/>
      <c r="N742" s="213"/>
      <c r="O742" s="213"/>
      <c r="P742" s="213"/>
      <c r="Q742" s="213"/>
      <c r="R742" s="213"/>
      <c r="S742" s="213"/>
      <c r="T742" s="213"/>
      <c r="U742" s="213"/>
      <c r="V742" s="213"/>
      <c r="W742" s="213"/>
      <c r="X742" s="213"/>
      <c r="Y742" s="213"/>
      <c r="Z742" s="213"/>
      <c r="AA742" s="213"/>
      <c r="AB742" s="213"/>
      <c r="AC742" s="213"/>
      <c r="AD742" s="213"/>
      <c r="AE742" s="213"/>
      <c r="AF742" s="213"/>
      <c r="AG742" s="213"/>
      <c r="AH742" s="213"/>
      <c r="AI742" s="213"/>
      <c r="AJ742" s="213"/>
      <c r="AK742" s="213"/>
      <c r="AL742" s="213"/>
      <c r="AM742" s="302"/>
      <c r="AN742" s="302"/>
      <c r="AO742" s="303"/>
      <c r="AP742" s="285"/>
      <c r="AQ742" s="258"/>
      <c r="AR742" s="258"/>
    </row>
    <row r="743" spans="10:44" s="48" customFormat="1" ht="12" hidden="1" customHeight="1">
      <c r="J743" s="213"/>
      <c r="K743" s="213"/>
      <c r="L743" s="213"/>
      <c r="M743" s="213"/>
      <c r="N743" s="213"/>
      <c r="O743" s="213"/>
      <c r="P743" s="213"/>
      <c r="Q743" s="213"/>
      <c r="R743" s="213"/>
      <c r="S743" s="213"/>
      <c r="T743" s="213"/>
      <c r="U743" s="213"/>
      <c r="V743" s="213"/>
      <c r="W743" s="213"/>
      <c r="X743" s="213"/>
      <c r="Y743" s="213"/>
      <c r="Z743" s="213"/>
      <c r="AA743" s="213"/>
      <c r="AB743" s="213"/>
      <c r="AC743" s="213"/>
      <c r="AD743" s="213"/>
      <c r="AE743" s="213"/>
      <c r="AF743" s="213"/>
      <c r="AG743" s="213"/>
      <c r="AH743" s="213"/>
      <c r="AI743" s="213"/>
      <c r="AJ743" s="213"/>
      <c r="AK743" s="213"/>
      <c r="AL743" s="213"/>
      <c r="AM743" s="302"/>
      <c r="AN743" s="302"/>
      <c r="AO743" s="303"/>
      <c r="AP743" s="285"/>
      <c r="AQ743" s="258"/>
      <c r="AR743" s="258"/>
    </row>
    <row r="744" spans="10:44" s="48" customFormat="1" ht="12" hidden="1" customHeight="1">
      <c r="J744" s="213"/>
      <c r="K744" s="213"/>
      <c r="L744" s="213"/>
      <c r="M744" s="213"/>
      <c r="N744" s="213"/>
      <c r="O744" s="213"/>
      <c r="P744" s="213"/>
      <c r="Q744" s="213"/>
      <c r="R744" s="213"/>
      <c r="S744" s="213"/>
      <c r="T744" s="213"/>
      <c r="U744" s="213"/>
      <c r="V744" s="213"/>
      <c r="W744" s="213"/>
      <c r="X744" s="213"/>
      <c r="Y744" s="213"/>
      <c r="Z744" s="213"/>
      <c r="AA744" s="213"/>
      <c r="AB744" s="213"/>
      <c r="AC744" s="213"/>
      <c r="AD744" s="213"/>
      <c r="AE744" s="213"/>
      <c r="AF744" s="213"/>
      <c r="AG744" s="213"/>
      <c r="AH744" s="213"/>
      <c r="AI744" s="213"/>
      <c r="AJ744" s="213"/>
      <c r="AK744" s="213"/>
      <c r="AL744" s="213"/>
      <c r="AM744" s="302"/>
      <c r="AN744" s="302"/>
      <c r="AO744" s="303"/>
      <c r="AP744" s="285"/>
      <c r="AQ744" s="258"/>
      <c r="AR744" s="258"/>
    </row>
    <row r="745" spans="10:44" s="48" customFormat="1" ht="12" hidden="1" customHeight="1">
      <c r="J745" s="213"/>
      <c r="K745" s="213"/>
      <c r="L745" s="213"/>
      <c r="M745" s="213"/>
      <c r="N745" s="213"/>
      <c r="O745" s="213"/>
      <c r="P745" s="213"/>
      <c r="Q745" s="213"/>
      <c r="R745" s="213"/>
      <c r="S745" s="213"/>
      <c r="T745" s="213"/>
      <c r="U745" s="213"/>
      <c r="V745" s="213"/>
      <c r="W745" s="213"/>
      <c r="X745" s="213"/>
      <c r="Y745" s="213"/>
      <c r="Z745" s="213"/>
      <c r="AA745" s="213"/>
      <c r="AB745" s="213"/>
      <c r="AC745" s="213"/>
      <c r="AD745" s="213"/>
      <c r="AE745" s="213"/>
      <c r="AF745" s="213"/>
      <c r="AG745" s="213"/>
      <c r="AH745" s="213"/>
      <c r="AI745" s="213"/>
      <c r="AJ745" s="213"/>
      <c r="AK745" s="213"/>
      <c r="AL745" s="213"/>
      <c r="AM745" s="302"/>
      <c r="AN745" s="302"/>
      <c r="AO745" s="303"/>
      <c r="AP745" s="285"/>
      <c r="AQ745" s="258"/>
      <c r="AR745" s="258"/>
    </row>
    <row r="746" spans="10:44" s="48" customFormat="1" ht="12" hidden="1" customHeight="1">
      <c r="J746" s="213"/>
      <c r="K746" s="213"/>
      <c r="L746" s="213"/>
      <c r="M746" s="213"/>
      <c r="N746" s="213"/>
      <c r="O746" s="213"/>
      <c r="P746" s="213"/>
      <c r="Q746" s="213"/>
      <c r="R746" s="213"/>
      <c r="S746" s="213"/>
      <c r="T746" s="213"/>
      <c r="U746" s="213"/>
      <c r="V746" s="213"/>
      <c r="W746" s="213"/>
      <c r="X746" s="213"/>
      <c r="Y746" s="213"/>
      <c r="Z746" s="213"/>
      <c r="AA746" s="213"/>
      <c r="AB746" s="213"/>
      <c r="AC746" s="213"/>
      <c r="AD746" s="213"/>
      <c r="AE746" s="213"/>
      <c r="AF746" s="213"/>
      <c r="AG746" s="213"/>
      <c r="AH746" s="213"/>
      <c r="AI746" s="213"/>
      <c r="AJ746" s="213"/>
      <c r="AK746" s="213"/>
      <c r="AL746" s="213"/>
      <c r="AM746" s="302"/>
      <c r="AN746" s="302"/>
      <c r="AO746" s="303"/>
      <c r="AP746" s="285"/>
      <c r="AQ746" s="258"/>
      <c r="AR746" s="258"/>
    </row>
    <row r="747" spans="10:44" s="48" customFormat="1" ht="12" hidden="1" customHeight="1">
      <c r="J747" s="213"/>
      <c r="K747" s="213"/>
      <c r="L747" s="213"/>
      <c r="M747" s="213"/>
      <c r="N747" s="213"/>
      <c r="O747" s="213"/>
      <c r="P747" s="213"/>
      <c r="Q747" s="213"/>
      <c r="R747" s="213"/>
      <c r="S747" s="213"/>
      <c r="T747" s="213"/>
      <c r="U747" s="213"/>
      <c r="V747" s="213"/>
      <c r="W747" s="213"/>
      <c r="X747" s="213"/>
      <c r="Y747" s="213"/>
      <c r="Z747" s="213"/>
      <c r="AA747" s="213"/>
      <c r="AB747" s="213"/>
      <c r="AC747" s="213"/>
      <c r="AD747" s="213"/>
      <c r="AE747" s="213"/>
      <c r="AF747" s="213"/>
      <c r="AG747" s="213"/>
      <c r="AH747" s="213"/>
      <c r="AI747" s="213"/>
      <c r="AJ747" s="213"/>
      <c r="AK747" s="213"/>
      <c r="AL747" s="213"/>
      <c r="AM747" s="302"/>
      <c r="AN747" s="302"/>
      <c r="AO747" s="303"/>
      <c r="AP747" s="285"/>
      <c r="AQ747" s="258"/>
      <c r="AR747" s="258"/>
    </row>
    <row r="748" spans="10:44" s="48" customFormat="1" ht="12" hidden="1" customHeight="1">
      <c r="J748" s="213"/>
      <c r="K748" s="213"/>
      <c r="L748" s="213"/>
      <c r="M748" s="213"/>
      <c r="N748" s="213"/>
      <c r="O748" s="213"/>
      <c r="P748" s="213"/>
      <c r="Q748" s="213"/>
      <c r="R748" s="213"/>
      <c r="S748" s="213"/>
      <c r="T748" s="213"/>
      <c r="U748" s="213"/>
      <c r="V748" s="213"/>
      <c r="W748" s="213"/>
      <c r="X748" s="213"/>
      <c r="Y748" s="213"/>
      <c r="Z748" s="213"/>
      <c r="AA748" s="213"/>
      <c r="AB748" s="213"/>
      <c r="AC748" s="213"/>
      <c r="AD748" s="213"/>
      <c r="AE748" s="213"/>
      <c r="AF748" s="213"/>
      <c r="AG748" s="213"/>
      <c r="AH748" s="213"/>
      <c r="AI748" s="213"/>
      <c r="AJ748" s="213"/>
      <c r="AK748" s="213"/>
      <c r="AL748" s="213"/>
      <c r="AM748" s="302"/>
      <c r="AN748" s="302"/>
      <c r="AO748" s="303"/>
      <c r="AP748" s="285"/>
      <c r="AQ748" s="258"/>
      <c r="AR748" s="258"/>
    </row>
    <row r="749" spans="10:44" s="48" customFormat="1" ht="12" hidden="1" customHeight="1">
      <c r="J749" s="213"/>
      <c r="K749" s="213"/>
      <c r="L749" s="213"/>
      <c r="M749" s="213"/>
      <c r="N749" s="213"/>
      <c r="O749" s="213"/>
      <c r="P749" s="213"/>
      <c r="Q749" s="213"/>
      <c r="R749" s="213"/>
      <c r="S749" s="213"/>
      <c r="T749" s="213"/>
      <c r="U749" s="213"/>
      <c r="V749" s="213"/>
      <c r="W749" s="213"/>
      <c r="X749" s="213"/>
      <c r="Y749" s="213"/>
      <c r="Z749" s="213"/>
      <c r="AA749" s="213"/>
      <c r="AB749" s="213"/>
      <c r="AC749" s="213"/>
      <c r="AD749" s="213"/>
      <c r="AE749" s="213"/>
      <c r="AF749" s="213"/>
      <c r="AG749" s="213"/>
      <c r="AH749" s="213"/>
      <c r="AI749" s="213"/>
      <c r="AJ749" s="213"/>
      <c r="AK749" s="213"/>
      <c r="AL749" s="213"/>
      <c r="AM749" s="302"/>
      <c r="AN749" s="302"/>
      <c r="AO749" s="303"/>
      <c r="AP749" s="285"/>
      <c r="AQ749" s="258"/>
      <c r="AR749" s="258"/>
    </row>
    <row r="750" spans="10:44" s="48" customFormat="1" ht="12" hidden="1" customHeight="1">
      <c r="J750" s="213"/>
      <c r="K750" s="213"/>
      <c r="L750" s="213"/>
      <c r="M750" s="213"/>
      <c r="N750" s="213"/>
      <c r="O750" s="213"/>
      <c r="P750" s="213"/>
      <c r="Q750" s="213"/>
      <c r="R750" s="213"/>
      <c r="S750" s="213"/>
      <c r="T750" s="213"/>
      <c r="U750" s="213"/>
      <c r="V750" s="213"/>
      <c r="W750" s="213"/>
      <c r="X750" s="213"/>
      <c r="Y750" s="213"/>
      <c r="Z750" s="213"/>
      <c r="AA750" s="213"/>
      <c r="AB750" s="213"/>
      <c r="AC750" s="213"/>
      <c r="AD750" s="213"/>
      <c r="AE750" s="213"/>
      <c r="AF750" s="213"/>
      <c r="AG750" s="213"/>
      <c r="AH750" s="213"/>
      <c r="AI750" s="213"/>
      <c r="AJ750" s="213"/>
      <c r="AK750" s="213"/>
      <c r="AL750" s="213"/>
      <c r="AM750" s="302"/>
      <c r="AN750" s="302"/>
      <c r="AO750" s="303"/>
      <c r="AP750" s="285"/>
      <c r="AQ750" s="258"/>
      <c r="AR750" s="258"/>
    </row>
    <row r="751" spans="10:44" s="48" customFormat="1" ht="12" hidden="1" customHeight="1">
      <c r="J751" s="213"/>
      <c r="K751" s="213"/>
      <c r="L751" s="213"/>
      <c r="M751" s="213"/>
      <c r="N751" s="213"/>
      <c r="O751" s="213"/>
      <c r="P751" s="213"/>
      <c r="Q751" s="213"/>
      <c r="R751" s="213"/>
      <c r="S751" s="213"/>
      <c r="T751" s="213"/>
      <c r="U751" s="213"/>
      <c r="V751" s="213"/>
      <c r="W751" s="213"/>
      <c r="X751" s="213"/>
      <c r="Y751" s="213"/>
      <c r="Z751" s="213"/>
      <c r="AA751" s="213"/>
      <c r="AB751" s="213"/>
      <c r="AC751" s="213"/>
      <c r="AD751" s="213"/>
      <c r="AE751" s="213"/>
      <c r="AF751" s="213"/>
      <c r="AG751" s="213"/>
      <c r="AH751" s="213"/>
      <c r="AI751" s="213"/>
      <c r="AJ751" s="213"/>
      <c r="AK751" s="213"/>
      <c r="AL751" s="213"/>
      <c r="AM751" s="302"/>
      <c r="AN751" s="302"/>
      <c r="AO751" s="303"/>
      <c r="AP751" s="285"/>
      <c r="AQ751" s="258"/>
      <c r="AR751" s="258"/>
    </row>
    <row r="752" spans="10:44" s="48" customFormat="1" ht="12" hidden="1" customHeight="1">
      <c r="J752" s="213"/>
      <c r="K752" s="213"/>
      <c r="L752" s="213"/>
      <c r="M752" s="213"/>
      <c r="N752" s="213"/>
      <c r="O752" s="213"/>
      <c r="P752" s="213"/>
      <c r="Q752" s="213"/>
      <c r="R752" s="213"/>
      <c r="S752" s="213"/>
      <c r="T752" s="213"/>
      <c r="U752" s="213"/>
      <c r="V752" s="213"/>
      <c r="W752" s="213"/>
      <c r="X752" s="213"/>
      <c r="Y752" s="213"/>
      <c r="Z752" s="213"/>
      <c r="AA752" s="213"/>
      <c r="AB752" s="213"/>
      <c r="AC752" s="213"/>
      <c r="AD752" s="213"/>
      <c r="AE752" s="213"/>
      <c r="AF752" s="213"/>
      <c r="AG752" s="213"/>
      <c r="AH752" s="213"/>
      <c r="AI752" s="213"/>
      <c r="AJ752" s="213"/>
      <c r="AK752" s="213"/>
      <c r="AL752" s="213"/>
      <c r="AM752" s="302"/>
      <c r="AN752" s="302"/>
      <c r="AO752" s="303"/>
      <c r="AP752" s="285"/>
      <c r="AQ752" s="258"/>
      <c r="AR752" s="258"/>
    </row>
    <row r="753" spans="10:44" s="48" customFormat="1" ht="12" hidden="1" customHeight="1">
      <c r="J753" s="213"/>
      <c r="K753" s="213"/>
      <c r="L753" s="213"/>
      <c r="M753" s="213"/>
      <c r="N753" s="213"/>
      <c r="O753" s="213"/>
      <c r="P753" s="213"/>
      <c r="Q753" s="213"/>
      <c r="R753" s="213"/>
      <c r="S753" s="213"/>
      <c r="T753" s="213"/>
      <c r="U753" s="213"/>
      <c r="V753" s="213"/>
      <c r="W753" s="213"/>
      <c r="X753" s="213"/>
      <c r="Y753" s="213"/>
      <c r="Z753" s="213"/>
      <c r="AA753" s="213"/>
      <c r="AB753" s="213"/>
      <c r="AC753" s="213"/>
      <c r="AD753" s="213"/>
      <c r="AE753" s="213"/>
      <c r="AF753" s="213"/>
      <c r="AG753" s="213"/>
      <c r="AH753" s="213"/>
      <c r="AI753" s="213"/>
      <c r="AJ753" s="213"/>
      <c r="AK753" s="213"/>
      <c r="AL753" s="213"/>
      <c r="AM753" s="302"/>
      <c r="AN753" s="302"/>
      <c r="AO753" s="303"/>
      <c r="AP753" s="285"/>
      <c r="AQ753" s="258"/>
      <c r="AR753" s="258"/>
    </row>
    <row r="754" spans="10:44" s="48" customFormat="1" ht="12" hidden="1" customHeight="1">
      <c r="J754" s="213"/>
      <c r="K754" s="213"/>
      <c r="L754" s="213"/>
      <c r="M754" s="213"/>
      <c r="N754" s="213"/>
      <c r="O754" s="213"/>
      <c r="P754" s="213"/>
      <c r="Q754" s="213"/>
      <c r="R754" s="213"/>
      <c r="S754" s="213"/>
      <c r="T754" s="213"/>
      <c r="U754" s="213"/>
      <c r="V754" s="213"/>
      <c r="W754" s="213"/>
      <c r="X754" s="213"/>
      <c r="Y754" s="213"/>
      <c r="Z754" s="213"/>
      <c r="AA754" s="213"/>
      <c r="AB754" s="213"/>
      <c r="AC754" s="213"/>
      <c r="AD754" s="213"/>
      <c r="AE754" s="213"/>
      <c r="AF754" s="213"/>
      <c r="AG754" s="213"/>
      <c r="AH754" s="213"/>
      <c r="AI754" s="213"/>
      <c r="AJ754" s="213"/>
      <c r="AK754" s="213"/>
      <c r="AL754" s="213"/>
      <c r="AM754" s="302"/>
      <c r="AN754" s="302"/>
      <c r="AO754" s="303"/>
      <c r="AP754" s="285"/>
      <c r="AQ754" s="258"/>
      <c r="AR754" s="258"/>
    </row>
    <row r="755" spans="10:44" s="48" customFormat="1" ht="12" hidden="1" customHeight="1">
      <c r="J755" s="213"/>
      <c r="K755" s="213"/>
      <c r="L755" s="213"/>
      <c r="M755" s="213"/>
      <c r="N755" s="213"/>
      <c r="O755" s="213"/>
      <c r="P755" s="213"/>
      <c r="Q755" s="213"/>
      <c r="R755" s="213"/>
      <c r="S755" s="213"/>
      <c r="T755" s="213"/>
      <c r="U755" s="213"/>
      <c r="V755" s="213"/>
      <c r="W755" s="213"/>
      <c r="X755" s="213"/>
      <c r="Y755" s="213"/>
      <c r="Z755" s="213"/>
      <c r="AA755" s="213"/>
      <c r="AB755" s="213"/>
      <c r="AC755" s="213"/>
      <c r="AD755" s="213"/>
      <c r="AE755" s="213"/>
      <c r="AF755" s="213"/>
      <c r="AG755" s="213"/>
      <c r="AH755" s="213"/>
      <c r="AI755" s="213"/>
      <c r="AJ755" s="213"/>
      <c r="AK755" s="213"/>
      <c r="AL755" s="213"/>
      <c r="AM755" s="302"/>
      <c r="AN755" s="302"/>
      <c r="AO755" s="303"/>
      <c r="AP755" s="285"/>
      <c r="AQ755" s="258"/>
      <c r="AR755" s="258"/>
    </row>
    <row r="756" spans="10:44" s="48" customFormat="1" ht="12" hidden="1" customHeight="1">
      <c r="J756" s="213"/>
      <c r="K756" s="213"/>
      <c r="L756" s="213"/>
      <c r="M756" s="213"/>
      <c r="N756" s="213"/>
      <c r="O756" s="213"/>
      <c r="P756" s="213"/>
      <c r="Q756" s="213"/>
      <c r="R756" s="213"/>
      <c r="S756" s="213"/>
      <c r="T756" s="213"/>
      <c r="U756" s="213"/>
      <c r="V756" s="213"/>
      <c r="W756" s="213"/>
      <c r="X756" s="213"/>
      <c r="Y756" s="213"/>
      <c r="Z756" s="213"/>
      <c r="AA756" s="213"/>
      <c r="AB756" s="213"/>
      <c r="AC756" s="213"/>
      <c r="AD756" s="213"/>
      <c r="AE756" s="213"/>
      <c r="AF756" s="213"/>
      <c r="AG756" s="213"/>
      <c r="AH756" s="213"/>
      <c r="AI756" s="213"/>
      <c r="AJ756" s="213"/>
      <c r="AK756" s="213"/>
      <c r="AL756" s="213"/>
      <c r="AM756" s="302"/>
      <c r="AN756" s="302"/>
      <c r="AO756" s="303"/>
      <c r="AP756" s="285"/>
      <c r="AQ756" s="258"/>
      <c r="AR756" s="258"/>
    </row>
    <row r="757" spans="10:44" s="48" customFormat="1" ht="12" hidden="1" customHeight="1">
      <c r="J757" s="213"/>
      <c r="K757" s="213"/>
      <c r="L757" s="213"/>
      <c r="M757" s="213"/>
      <c r="N757" s="213"/>
      <c r="O757" s="213"/>
      <c r="P757" s="213"/>
      <c r="Q757" s="213"/>
      <c r="R757" s="213"/>
      <c r="S757" s="213"/>
      <c r="T757" s="213"/>
      <c r="U757" s="213"/>
      <c r="V757" s="213"/>
      <c r="W757" s="213"/>
      <c r="X757" s="213"/>
      <c r="Y757" s="213"/>
      <c r="Z757" s="213"/>
      <c r="AA757" s="213"/>
      <c r="AB757" s="213"/>
      <c r="AC757" s="213"/>
      <c r="AD757" s="213"/>
      <c r="AE757" s="213"/>
      <c r="AF757" s="213"/>
      <c r="AG757" s="213"/>
      <c r="AH757" s="213"/>
      <c r="AI757" s="213"/>
      <c r="AJ757" s="213"/>
      <c r="AK757" s="213"/>
      <c r="AL757" s="213"/>
      <c r="AM757" s="302"/>
      <c r="AN757" s="302"/>
      <c r="AO757" s="303"/>
      <c r="AP757" s="285"/>
      <c r="AQ757" s="258"/>
      <c r="AR757" s="258"/>
    </row>
    <row r="758" spans="10:44" s="48" customFormat="1" ht="12" hidden="1" customHeight="1">
      <c r="J758" s="213"/>
      <c r="K758" s="213"/>
      <c r="L758" s="213"/>
      <c r="M758" s="213"/>
      <c r="N758" s="213"/>
      <c r="O758" s="213"/>
      <c r="P758" s="213"/>
      <c r="Q758" s="213"/>
      <c r="R758" s="213"/>
      <c r="S758" s="213"/>
      <c r="T758" s="213"/>
      <c r="U758" s="213"/>
      <c r="V758" s="213"/>
      <c r="W758" s="213"/>
      <c r="X758" s="213"/>
      <c r="Y758" s="213"/>
      <c r="Z758" s="213"/>
      <c r="AA758" s="213"/>
      <c r="AB758" s="213"/>
      <c r="AC758" s="213"/>
      <c r="AD758" s="213"/>
      <c r="AE758" s="213"/>
      <c r="AF758" s="213"/>
      <c r="AG758" s="213"/>
      <c r="AH758" s="213"/>
      <c r="AI758" s="213"/>
      <c r="AJ758" s="213"/>
      <c r="AK758" s="213"/>
      <c r="AL758" s="213"/>
      <c r="AM758" s="302"/>
      <c r="AN758" s="302"/>
      <c r="AO758" s="303"/>
      <c r="AP758" s="285"/>
      <c r="AQ758" s="258"/>
      <c r="AR758" s="258"/>
    </row>
    <row r="759" spans="10:44" s="48" customFormat="1" ht="12" hidden="1" customHeight="1">
      <c r="J759" s="213"/>
      <c r="K759" s="213"/>
      <c r="L759" s="213"/>
      <c r="M759" s="213"/>
      <c r="N759" s="213"/>
      <c r="O759" s="213"/>
      <c r="P759" s="213"/>
      <c r="Q759" s="213"/>
      <c r="R759" s="213"/>
      <c r="S759" s="213"/>
      <c r="T759" s="213"/>
      <c r="U759" s="213"/>
      <c r="V759" s="213"/>
      <c r="W759" s="213"/>
      <c r="X759" s="213"/>
      <c r="Y759" s="213"/>
      <c r="Z759" s="213"/>
      <c r="AA759" s="213"/>
      <c r="AB759" s="213"/>
      <c r="AC759" s="213"/>
      <c r="AD759" s="213"/>
      <c r="AE759" s="213"/>
      <c r="AF759" s="213"/>
      <c r="AG759" s="213"/>
      <c r="AH759" s="213"/>
      <c r="AI759" s="213"/>
      <c r="AJ759" s="213"/>
      <c r="AK759" s="213"/>
      <c r="AL759" s="213"/>
      <c r="AM759" s="302"/>
      <c r="AN759" s="302"/>
      <c r="AO759" s="303"/>
      <c r="AP759" s="285"/>
      <c r="AQ759" s="258"/>
      <c r="AR759" s="258"/>
    </row>
    <row r="760" spans="10:44" s="48" customFormat="1" ht="12" hidden="1" customHeight="1">
      <c r="J760" s="213"/>
      <c r="K760" s="213"/>
      <c r="L760" s="213"/>
      <c r="M760" s="213"/>
      <c r="N760" s="213"/>
      <c r="O760" s="213"/>
      <c r="P760" s="213"/>
      <c r="Q760" s="213"/>
      <c r="R760" s="213"/>
      <c r="S760" s="213"/>
      <c r="T760" s="213"/>
      <c r="U760" s="213"/>
      <c r="V760" s="213"/>
      <c r="W760" s="213"/>
      <c r="X760" s="213"/>
      <c r="Y760" s="213"/>
      <c r="Z760" s="213"/>
      <c r="AA760" s="213"/>
      <c r="AB760" s="213"/>
      <c r="AC760" s="213"/>
      <c r="AD760" s="213"/>
      <c r="AE760" s="213"/>
      <c r="AF760" s="213"/>
      <c r="AG760" s="213"/>
      <c r="AH760" s="213"/>
      <c r="AI760" s="213"/>
      <c r="AJ760" s="213"/>
      <c r="AK760" s="213"/>
      <c r="AL760" s="213"/>
      <c r="AM760" s="302"/>
      <c r="AN760" s="302"/>
      <c r="AO760" s="303"/>
      <c r="AP760" s="285"/>
      <c r="AQ760" s="258"/>
      <c r="AR760" s="258"/>
    </row>
    <row r="761" spans="10:44" s="48" customFormat="1" ht="12" hidden="1" customHeight="1">
      <c r="J761" s="213"/>
      <c r="K761" s="213"/>
      <c r="L761" s="213"/>
      <c r="M761" s="213"/>
      <c r="N761" s="213"/>
      <c r="O761" s="213"/>
      <c r="P761" s="213"/>
      <c r="Q761" s="213"/>
      <c r="R761" s="213"/>
      <c r="S761" s="213"/>
      <c r="T761" s="213"/>
      <c r="U761" s="213"/>
      <c r="V761" s="213"/>
      <c r="W761" s="213"/>
      <c r="X761" s="213"/>
      <c r="Y761" s="213"/>
      <c r="Z761" s="213"/>
      <c r="AA761" s="213"/>
      <c r="AB761" s="213"/>
      <c r="AC761" s="213"/>
      <c r="AD761" s="213"/>
      <c r="AE761" s="213"/>
      <c r="AF761" s="213"/>
      <c r="AG761" s="213"/>
      <c r="AH761" s="213"/>
      <c r="AI761" s="213"/>
      <c r="AJ761" s="213"/>
      <c r="AK761" s="213"/>
      <c r="AL761" s="213"/>
      <c r="AM761" s="302"/>
      <c r="AN761" s="302"/>
      <c r="AO761" s="303"/>
      <c r="AP761" s="285"/>
      <c r="AQ761" s="258"/>
      <c r="AR761" s="258"/>
    </row>
    <row r="762" spans="10:44" s="48" customFormat="1" ht="12" hidden="1" customHeight="1">
      <c r="J762" s="213"/>
      <c r="K762" s="213"/>
      <c r="L762" s="213"/>
      <c r="M762" s="213"/>
      <c r="N762" s="213"/>
      <c r="O762" s="213"/>
      <c r="P762" s="213"/>
      <c r="Q762" s="213"/>
      <c r="R762" s="213"/>
      <c r="S762" s="213"/>
      <c r="T762" s="213"/>
      <c r="U762" s="213"/>
      <c r="V762" s="213"/>
      <c r="W762" s="213"/>
      <c r="X762" s="213"/>
      <c r="Y762" s="213"/>
      <c r="Z762" s="213"/>
      <c r="AA762" s="213"/>
      <c r="AB762" s="213"/>
      <c r="AC762" s="213"/>
      <c r="AD762" s="213"/>
      <c r="AE762" s="213"/>
      <c r="AF762" s="213"/>
      <c r="AG762" s="213"/>
      <c r="AH762" s="213"/>
      <c r="AI762" s="213"/>
      <c r="AJ762" s="213"/>
      <c r="AK762" s="213"/>
      <c r="AL762" s="213"/>
      <c r="AM762" s="302"/>
      <c r="AN762" s="302"/>
      <c r="AO762" s="303"/>
      <c r="AP762" s="285"/>
      <c r="AQ762" s="258"/>
      <c r="AR762" s="258"/>
    </row>
    <row r="763" spans="10:44" s="48" customFormat="1" ht="12" hidden="1" customHeight="1">
      <c r="J763" s="213"/>
      <c r="K763" s="213"/>
      <c r="L763" s="213"/>
      <c r="M763" s="213"/>
      <c r="N763" s="213"/>
      <c r="O763" s="213"/>
      <c r="P763" s="213"/>
      <c r="Q763" s="213"/>
      <c r="R763" s="213"/>
      <c r="S763" s="213"/>
      <c r="T763" s="213"/>
      <c r="U763" s="213"/>
      <c r="V763" s="213"/>
      <c r="W763" s="213"/>
      <c r="X763" s="213"/>
      <c r="Y763" s="213"/>
      <c r="Z763" s="213"/>
      <c r="AA763" s="213"/>
      <c r="AB763" s="213"/>
      <c r="AC763" s="213"/>
      <c r="AD763" s="213"/>
      <c r="AE763" s="213"/>
      <c r="AF763" s="213"/>
      <c r="AG763" s="213"/>
      <c r="AH763" s="213"/>
      <c r="AI763" s="213"/>
      <c r="AJ763" s="213"/>
      <c r="AK763" s="213"/>
      <c r="AL763" s="213"/>
      <c r="AM763" s="302"/>
      <c r="AN763" s="302"/>
      <c r="AO763" s="303"/>
      <c r="AP763" s="285"/>
      <c r="AQ763" s="258"/>
      <c r="AR763" s="258"/>
    </row>
    <row r="764" spans="10:44" s="48" customFormat="1" ht="12" hidden="1" customHeight="1">
      <c r="J764" s="213"/>
      <c r="K764" s="213"/>
      <c r="L764" s="213"/>
      <c r="M764" s="213"/>
      <c r="N764" s="213"/>
      <c r="O764" s="213"/>
      <c r="P764" s="213"/>
      <c r="Q764" s="213"/>
      <c r="R764" s="213"/>
      <c r="S764" s="213"/>
      <c r="T764" s="213"/>
      <c r="U764" s="213"/>
      <c r="V764" s="213"/>
      <c r="W764" s="213"/>
      <c r="X764" s="213"/>
      <c r="Y764" s="213"/>
      <c r="Z764" s="213"/>
      <c r="AA764" s="213"/>
      <c r="AB764" s="213"/>
      <c r="AC764" s="213"/>
      <c r="AD764" s="213"/>
      <c r="AE764" s="213"/>
      <c r="AF764" s="213"/>
      <c r="AG764" s="213"/>
      <c r="AH764" s="213"/>
      <c r="AI764" s="213"/>
      <c r="AJ764" s="213"/>
      <c r="AK764" s="213"/>
      <c r="AL764" s="213"/>
      <c r="AM764" s="302"/>
      <c r="AN764" s="302"/>
      <c r="AO764" s="303"/>
      <c r="AP764" s="285"/>
      <c r="AQ764" s="258"/>
      <c r="AR764" s="258"/>
    </row>
    <row r="765" spans="10:44" s="48" customFormat="1" ht="12" hidden="1" customHeight="1">
      <c r="J765" s="213"/>
      <c r="K765" s="213"/>
      <c r="L765" s="213"/>
      <c r="M765" s="213"/>
      <c r="N765" s="213"/>
      <c r="O765" s="213"/>
      <c r="P765" s="213"/>
      <c r="Q765" s="213"/>
      <c r="R765" s="213"/>
      <c r="S765" s="213"/>
      <c r="T765" s="213"/>
      <c r="U765" s="213"/>
      <c r="V765" s="213"/>
      <c r="W765" s="213"/>
      <c r="X765" s="213"/>
      <c r="Y765" s="213"/>
      <c r="Z765" s="213"/>
      <c r="AA765" s="213"/>
      <c r="AB765" s="213"/>
      <c r="AC765" s="213"/>
      <c r="AD765" s="213"/>
      <c r="AE765" s="213"/>
      <c r="AF765" s="213"/>
      <c r="AG765" s="213"/>
      <c r="AH765" s="213"/>
      <c r="AI765" s="213"/>
      <c r="AJ765" s="213"/>
      <c r="AK765" s="213"/>
      <c r="AL765" s="213"/>
      <c r="AM765" s="302"/>
      <c r="AN765" s="302"/>
      <c r="AO765" s="303"/>
      <c r="AP765" s="285"/>
      <c r="AQ765" s="258"/>
      <c r="AR765" s="258"/>
    </row>
    <row r="766" spans="10:44" s="48" customFormat="1" ht="12" hidden="1" customHeight="1">
      <c r="J766" s="213"/>
      <c r="K766" s="213"/>
      <c r="L766" s="213"/>
      <c r="M766" s="213"/>
      <c r="N766" s="213"/>
      <c r="O766" s="213"/>
      <c r="P766" s="213"/>
      <c r="Q766" s="213"/>
      <c r="R766" s="213"/>
      <c r="S766" s="213"/>
      <c r="T766" s="213"/>
      <c r="U766" s="213"/>
      <c r="V766" s="213"/>
      <c r="W766" s="213"/>
      <c r="X766" s="213"/>
      <c r="Y766" s="213"/>
      <c r="Z766" s="213"/>
      <c r="AA766" s="213"/>
      <c r="AB766" s="213"/>
      <c r="AC766" s="213"/>
      <c r="AD766" s="213"/>
      <c r="AE766" s="213"/>
      <c r="AF766" s="213"/>
      <c r="AG766" s="213"/>
      <c r="AH766" s="213"/>
      <c r="AI766" s="213"/>
      <c r="AJ766" s="213"/>
      <c r="AK766" s="213"/>
      <c r="AL766" s="213"/>
      <c r="AM766" s="302"/>
      <c r="AN766" s="302"/>
      <c r="AO766" s="303"/>
      <c r="AP766" s="285"/>
      <c r="AQ766" s="258"/>
      <c r="AR766" s="258"/>
    </row>
    <row r="767" spans="10:44" s="48" customFormat="1" ht="12" hidden="1" customHeight="1">
      <c r="J767" s="213"/>
      <c r="K767" s="213"/>
      <c r="L767" s="213"/>
      <c r="M767" s="213"/>
      <c r="N767" s="213"/>
      <c r="O767" s="213"/>
      <c r="P767" s="213"/>
      <c r="Q767" s="213"/>
      <c r="R767" s="213"/>
      <c r="S767" s="213"/>
      <c r="T767" s="213"/>
      <c r="U767" s="213"/>
      <c r="V767" s="213"/>
      <c r="W767" s="213"/>
      <c r="X767" s="213"/>
      <c r="Y767" s="213"/>
      <c r="Z767" s="213"/>
      <c r="AA767" s="213"/>
      <c r="AB767" s="213"/>
      <c r="AC767" s="213"/>
      <c r="AD767" s="213"/>
      <c r="AE767" s="213"/>
      <c r="AF767" s="213"/>
      <c r="AG767" s="213"/>
      <c r="AH767" s="213"/>
      <c r="AI767" s="213"/>
      <c r="AJ767" s="213"/>
      <c r="AK767" s="213"/>
      <c r="AL767" s="213"/>
      <c r="AM767" s="302"/>
      <c r="AN767" s="302"/>
      <c r="AO767" s="303"/>
      <c r="AP767" s="285"/>
      <c r="AQ767" s="258"/>
      <c r="AR767" s="258"/>
    </row>
    <row r="768" spans="10:44" s="48" customFormat="1" ht="12" hidden="1" customHeight="1">
      <c r="J768" s="213"/>
      <c r="K768" s="213"/>
      <c r="L768" s="213"/>
      <c r="M768" s="213"/>
      <c r="N768" s="213"/>
      <c r="O768" s="213"/>
      <c r="P768" s="213"/>
      <c r="Q768" s="213"/>
      <c r="R768" s="213"/>
      <c r="S768" s="213"/>
      <c r="T768" s="213"/>
      <c r="U768" s="213"/>
      <c r="V768" s="213"/>
      <c r="W768" s="213"/>
      <c r="X768" s="213"/>
      <c r="Y768" s="213"/>
      <c r="Z768" s="213"/>
      <c r="AA768" s="213"/>
      <c r="AB768" s="213"/>
      <c r="AC768" s="213"/>
      <c r="AD768" s="213"/>
      <c r="AE768" s="213"/>
      <c r="AF768" s="213"/>
      <c r="AG768" s="213"/>
      <c r="AH768" s="213"/>
      <c r="AI768" s="213"/>
      <c r="AJ768" s="213"/>
      <c r="AK768" s="213"/>
      <c r="AL768" s="213"/>
      <c r="AM768" s="302"/>
      <c r="AN768" s="302"/>
      <c r="AO768" s="303"/>
      <c r="AP768" s="285"/>
      <c r="AQ768" s="258"/>
      <c r="AR768" s="258"/>
    </row>
    <row r="769" spans="10:44" s="48" customFormat="1" ht="12" hidden="1" customHeight="1">
      <c r="J769" s="213"/>
      <c r="K769" s="213"/>
      <c r="L769" s="213"/>
      <c r="M769" s="213"/>
      <c r="N769" s="213"/>
      <c r="O769" s="213"/>
      <c r="P769" s="213"/>
      <c r="Q769" s="213"/>
      <c r="R769" s="213"/>
      <c r="S769" s="213"/>
      <c r="T769" s="213"/>
      <c r="U769" s="213"/>
      <c r="V769" s="213"/>
      <c r="W769" s="213"/>
      <c r="X769" s="213"/>
      <c r="Y769" s="213"/>
      <c r="Z769" s="213"/>
      <c r="AA769" s="213"/>
      <c r="AB769" s="213"/>
      <c r="AC769" s="213"/>
      <c r="AD769" s="213"/>
      <c r="AE769" s="213"/>
      <c r="AF769" s="213"/>
      <c r="AG769" s="213"/>
      <c r="AH769" s="213"/>
      <c r="AI769" s="213"/>
      <c r="AJ769" s="213"/>
      <c r="AK769" s="213"/>
      <c r="AL769" s="213"/>
      <c r="AM769" s="302"/>
      <c r="AN769" s="302"/>
      <c r="AO769" s="303"/>
      <c r="AP769" s="285"/>
      <c r="AQ769" s="258"/>
      <c r="AR769" s="258"/>
    </row>
    <row r="770" spans="10:44" s="48" customFormat="1" ht="12" hidden="1" customHeight="1">
      <c r="J770" s="213"/>
      <c r="K770" s="213"/>
      <c r="L770" s="213"/>
      <c r="M770" s="213"/>
      <c r="N770" s="213"/>
      <c r="O770" s="213"/>
      <c r="P770" s="213"/>
      <c r="Q770" s="213"/>
      <c r="R770" s="213"/>
      <c r="S770" s="213"/>
      <c r="T770" s="213"/>
      <c r="U770" s="213"/>
      <c r="V770" s="213"/>
      <c r="W770" s="213"/>
      <c r="X770" s="213"/>
      <c r="Y770" s="213"/>
      <c r="Z770" s="213"/>
      <c r="AA770" s="213"/>
      <c r="AB770" s="213"/>
      <c r="AC770" s="213"/>
      <c r="AD770" s="213"/>
      <c r="AE770" s="213"/>
      <c r="AF770" s="213"/>
      <c r="AG770" s="213"/>
      <c r="AH770" s="213"/>
      <c r="AI770" s="213"/>
      <c r="AJ770" s="213"/>
      <c r="AK770" s="213"/>
      <c r="AL770" s="213"/>
      <c r="AM770" s="302"/>
      <c r="AN770" s="302"/>
      <c r="AO770" s="303"/>
      <c r="AP770" s="285"/>
      <c r="AQ770" s="258"/>
      <c r="AR770" s="258"/>
    </row>
    <row r="771" spans="10:44" s="48" customFormat="1" ht="12" hidden="1" customHeight="1">
      <c r="J771" s="213"/>
      <c r="K771" s="213"/>
      <c r="L771" s="213"/>
      <c r="M771" s="213"/>
      <c r="N771" s="213"/>
      <c r="O771" s="213"/>
      <c r="P771" s="213"/>
      <c r="Q771" s="213"/>
      <c r="R771" s="213"/>
      <c r="S771" s="213"/>
      <c r="T771" s="213"/>
      <c r="U771" s="213"/>
      <c r="V771" s="213"/>
      <c r="W771" s="213"/>
      <c r="X771" s="213"/>
      <c r="Y771" s="213"/>
      <c r="Z771" s="213"/>
      <c r="AA771" s="213"/>
      <c r="AB771" s="213"/>
      <c r="AC771" s="213"/>
      <c r="AD771" s="213"/>
      <c r="AE771" s="213"/>
      <c r="AF771" s="213"/>
      <c r="AG771" s="213"/>
      <c r="AH771" s="213"/>
      <c r="AI771" s="213"/>
      <c r="AJ771" s="213"/>
      <c r="AK771" s="213"/>
      <c r="AL771" s="213"/>
      <c r="AM771" s="302"/>
      <c r="AN771" s="302"/>
      <c r="AO771" s="303"/>
      <c r="AP771" s="285"/>
      <c r="AQ771" s="258"/>
      <c r="AR771" s="258"/>
    </row>
    <row r="772" spans="10:44" s="48" customFormat="1" ht="12" hidden="1" customHeight="1">
      <c r="J772" s="213"/>
      <c r="K772" s="213"/>
      <c r="L772" s="213"/>
      <c r="M772" s="213"/>
      <c r="N772" s="213"/>
      <c r="O772" s="213"/>
      <c r="P772" s="213"/>
      <c r="Q772" s="213"/>
      <c r="R772" s="213"/>
      <c r="S772" s="213"/>
      <c r="T772" s="213"/>
      <c r="U772" s="213"/>
      <c r="V772" s="213"/>
      <c r="W772" s="213"/>
      <c r="X772" s="213"/>
      <c r="Y772" s="213"/>
      <c r="Z772" s="213"/>
      <c r="AA772" s="213"/>
      <c r="AB772" s="213"/>
      <c r="AC772" s="213"/>
      <c r="AD772" s="213"/>
      <c r="AE772" s="213"/>
      <c r="AF772" s="213"/>
      <c r="AG772" s="213"/>
      <c r="AH772" s="213"/>
      <c r="AI772" s="213"/>
      <c r="AJ772" s="213"/>
      <c r="AK772" s="213"/>
      <c r="AL772" s="213"/>
      <c r="AM772" s="302"/>
      <c r="AN772" s="302"/>
      <c r="AO772" s="303"/>
      <c r="AP772" s="285"/>
      <c r="AQ772" s="258"/>
      <c r="AR772" s="258"/>
    </row>
    <row r="773" spans="10:44" s="48" customFormat="1" ht="12" hidden="1" customHeight="1">
      <c r="J773" s="213"/>
      <c r="K773" s="213"/>
      <c r="L773" s="213"/>
      <c r="M773" s="213"/>
      <c r="N773" s="213"/>
      <c r="O773" s="213"/>
      <c r="P773" s="213"/>
      <c r="Q773" s="213"/>
      <c r="R773" s="213"/>
      <c r="S773" s="213"/>
      <c r="T773" s="213"/>
      <c r="U773" s="213"/>
      <c r="V773" s="213"/>
      <c r="W773" s="213"/>
      <c r="X773" s="213"/>
      <c r="Y773" s="213"/>
      <c r="Z773" s="213"/>
      <c r="AA773" s="213"/>
      <c r="AB773" s="213"/>
      <c r="AC773" s="213"/>
      <c r="AD773" s="213"/>
      <c r="AE773" s="213"/>
      <c r="AF773" s="213"/>
      <c r="AG773" s="213"/>
      <c r="AH773" s="213"/>
      <c r="AI773" s="213"/>
      <c r="AJ773" s="213"/>
      <c r="AK773" s="213"/>
      <c r="AL773" s="213"/>
      <c r="AM773" s="302"/>
      <c r="AN773" s="302"/>
      <c r="AO773" s="303"/>
      <c r="AP773" s="285"/>
      <c r="AQ773" s="258"/>
      <c r="AR773" s="258"/>
    </row>
    <row r="774" spans="10:44" s="48" customFormat="1" ht="12" hidden="1" customHeight="1">
      <c r="J774" s="213"/>
      <c r="K774" s="213"/>
      <c r="L774" s="213"/>
      <c r="M774" s="213"/>
      <c r="N774" s="213"/>
      <c r="O774" s="213"/>
      <c r="P774" s="213"/>
      <c r="Q774" s="213"/>
      <c r="R774" s="213"/>
      <c r="S774" s="213"/>
      <c r="T774" s="213"/>
      <c r="U774" s="213"/>
      <c r="V774" s="213"/>
      <c r="W774" s="213"/>
      <c r="X774" s="213"/>
      <c r="Y774" s="213"/>
      <c r="Z774" s="213"/>
      <c r="AA774" s="213"/>
      <c r="AB774" s="213"/>
      <c r="AC774" s="213"/>
      <c r="AD774" s="213"/>
      <c r="AE774" s="213"/>
      <c r="AF774" s="213"/>
      <c r="AG774" s="213"/>
      <c r="AH774" s="213"/>
      <c r="AI774" s="213"/>
      <c r="AJ774" s="213"/>
      <c r="AK774" s="213"/>
      <c r="AL774" s="213"/>
      <c r="AM774" s="302"/>
      <c r="AN774" s="302"/>
      <c r="AO774" s="303"/>
      <c r="AP774" s="285"/>
      <c r="AQ774" s="258"/>
      <c r="AR774" s="258"/>
    </row>
    <row r="775" spans="10:44" s="48" customFormat="1" ht="12" hidden="1" customHeight="1">
      <c r="J775" s="213"/>
      <c r="K775" s="213"/>
      <c r="L775" s="213"/>
      <c r="M775" s="213"/>
      <c r="N775" s="213"/>
      <c r="O775" s="213"/>
      <c r="P775" s="213"/>
      <c r="Q775" s="213"/>
      <c r="R775" s="213"/>
      <c r="S775" s="213"/>
      <c r="T775" s="213"/>
      <c r="U775" s="213"/>
      <c r="V775" s="213"/>
      <c r="W775" s="213"/>
      <c r="X775" s="213"/>
      <c r="Y775" s="213"/>
      <c r="Z775" s="213"/>
      <c r="AA775" s="213"/>
      <c r="AB775" s="213"/>
      <c r="AC775" s="213"/>
      <c r="AD775" s="213"/>
      <c r="AE775" s="213"/>
      <c r="AF775" s="213"/>
      <c r="AG775" s="213"/>
      <c r="AH775" s="213"/>
      <c r="AI775" s="213"/>
      <c r="AJ775" s="213"/>
      <c r="AK775" s="213"/>
      <c r="AL775" s="213"/>
      <c r="AM775" s="302"/>
      <c r="AN775" s="302"/>
      <c r="AO775" s="303"/>
      <c r="AP775" s="285"/>
      <c r="AQ775" s="258"/>
      <c r="AR775" s="258"/>
    </row>
    <row r="776" spans="10:44" s="48" customFormat="1" ht="12" hidden="1" customHeight="1">
      <c r="J776" s="213"/>
      <c r="K776" s="213"/>
      <c r="L776" s="213"/>
      <c r="M776" s="213"/>
      <c r="N776" s="213"/>
      <c r="O776" s="213"/>
      <c r="P776" s="213"/>
      <c r="Q776" s="213"/>
      <c r="R776" s="213"/>
      <c r="S776" s="213"/>
      <c r="T776" s="213"/>
      <c r="U776" s="213"/>
      <c r="V776" s="213"/>
      <c r="W776" s="213"/>
      <c r="X776" s="213"/>
      <c r="Y776" s="213"/>
      <c r="Z776" s="213"/>
      <c r="AA776" s="213"/>
      <c r="AB776" s="213"/>
      <c r="AC776" s="213"/>
      <c r="AD776" s="213"/>
      <c r="AE776" s="213"/>
      <c r="AF776" s="213"/>
      <c r="AG776" s="213"/>
      <c r="AH776" s="213"/>
      <c r="AI776" s="213"/>
      <c r="AJ776" s="213"/>
      <c r="AK776" s="213"/>
      <c r="AL776" s="213"/>
      <c r="AM776" s="302"/>
      <c r="AN776" s="302"/>
      <c r="AO776" s="303"/>
      <c r="AP776" s="285"/>
      <c r="AQ776" s="258"/>
      <c r="AR776" s="258"/>
    </row>
    <row r="777" spans="10:44" s="48" customFormat="1" ht="12" hidden="1" customHeight="1">
      <c r="J777" s="213"/>
      <c r="K777" s="213"/>
      <c r="L777" s="213"/>
      <c r="M777" s="213"/>
      <c r="N777" s="213"/>
      <c r="O777" s="213"/>
      <c r="P777" s="213"/>
      <c r="Q777" s="213"/>
      <c r="R777" s="213"/>
      <c r="S777" s="213"/>
      <c r="T777" s="213"/>
      <c r="U777" s="213"/>
      <c r="V777" s="213"/>
      <c r="W777" s="213"/>
      <c r="X777" s="213"/>
      <c r="Y777" s="213"/>
      <c r="Z777" s="213"/>
      <c r="AA777" s="213"/>
      <c r="AB777" s="213"/>
      <c r="AC777" s="213"/>
      <c r="AD777" s="213"/>
      <c r="AE777" s="213"/>
      <c r="AF777" s="213"/>
      <c r="AG777" s="213"/>
      <c r="AH777" s="213"/>
      <c r="AI777" s="213"/>
      <c r="AJ777" s="213"/>
      <c r="AK777" s="213"/>
      <c r="AL777" s="213"/>
      <c r="AM777" s="302"/>
      <c r="AN777" s="302"/>
      <c r="AO777" s="303"/>
      <c r="AP777" s="285"/>
      <c r="AQ777" s="258"/>
      <c r="AR777" s="258"/>
    </row>
    <row r="778" spans="10:44" s="48" customFormat="1" ht="12" hidden="1" customHeight="1">
      <c r="J778" s="213"/>
      <c r="K778" s="213"/>
      <c r="L778" s="213"/>
      <c r="M778" s="213"/>
      <c r="N778" s="213"/>
      <c r="O778" s="213"/>
      <c r="P778" s="213"/>
      <c r="Q778" s="213"/>
      <c r="R778" s="213"/>
      <c r="S778" s="213"/>
      <c r="T778" s="213"/>
      <c r="U778" s="213"/>
      <c r="V778" s="213"/>
      <c r="W778" s="213"/>
      <c r="X778" s="213"/>
      <c r="Y778" s="213"/>
      <c r="Z778" s="213"/>
      <c r="AA778" s="213"/>
      <c r="AB778" s="213"/>
      <c r="AC778" s="213"/>
      <c r="AD778" s="213"/>
      <c r="AE778" s="213"/>
      <c r="AF778" s="213"/>
      <c r="AG778" s="213"/>
      <c r="AH778" s="213"/>
      <c r="AI778" s="213"/>
      <c r="AJ778" s="213"/>
      <c r="AK778" s="213"/>
      <c r="AL778" s="213"/>
      <c r="AM778" s="302"/>
      <c r="AN778" s="302"/>
      <c r="AO778" s="303"/>
      <c r="AP778" s="285"/>
      <c r="AQ778" s="258"/>
      <c r="AR778" s="258"/>
    </row>
    <row r="779" spans="10:44" s="48" customFormat="1" ht="12" hidden="1" customHeight="1">
      <c r="J779" s="213"/>
      <c r="K779" s="213"/>
      <c r="L779" s="213"/>
      <c r="M779" s="213"/>
      <c r="N779" s="213"/>
      <c r="O779" s="213"/>
      <c r="P779" s="213"/>
      <c r="Q779" s="213"/>
      <c r="R779" s="213"/>
      <c r="S779" s="213"/>
      <c r="T779" s="213"/>
      <c r="U779" s="213"/>
      <c r="V779" s="213"/>
      <c r="W779" s="213"/>
      <c r="X779" s="213"/>
      <c r="Y779" s="213"/>
      <c r="Z779" s="213"/>
      <c r="AA779" s="213"/>
      <c r="AB779" s="213"/>
      <c r="AC779" s="213"/>
      <c r="AD779" s="213"/>
      <c r="AE779" s="213"/>
      <c r="AF779" s="213"/>
      <c r="AG779" s="213"/>
      <c r="AH779" s="213"/>
      <c r="AI779" s="213"/>
      <c r="AJ779" s="213"/>
      <c r="AK779" s="213"/>
      <c r="AL779" s="213"/>
      <c r="AM779" s="302"/>
      <c r="AN779" s="302"/>
      <c r="AO779" s="303"/>
      <c r="AP779" s="285"/>
      <c r="AQ779" s="258"/>
      <c r="AR779" s="258"/>
    </row>
    <row r="780" spans="10:44" s="48" customFormat="1" ht="12" hidden="1" customHeight="1">
      <c r="J780" s="213"/>
      <c r="K780" s="213"/>
      <c r="L780" s="213"/>
      <c r="M780" s="213"/>
      <c r="N780" s="213"/>
      <c r="O780" s="213"/>
      <c r="P780" s="213"/>
      <c r="Q780" s="213"/>
      <c r="R780" s="213"/>
      <c r="S780" s="213"/>
      <c r="T780" s="213"/>
      <c r="U780" s="213"/>
      <c r="V780" s="213"/>
      <c r="W780" s="213"/>
      <c r="X780" s="213"/>
      <c r="Y780" s="213"/>
      <c r="Z780" s="213"/>
      <c r="AA780" s="213"/>
      <c r="AB780" s="213"/>
      <c r="AC780" s="213"/>
      <c r="AD780" s="213"/>
      <c r="AE780" s="213"/>
      <c r="AF780" s="213"/>
      <c r="AG780" s="213"/>
      <c r="AH780" s="213"/>
      <c r="AI780" s="213"/>
      <c r="AJ780" s="213"/>
      <c r="AK780" s="213"/>
      <c r="AL780" s="213"/>
      <c r="AM780" s="302"/>
      <c r="AN780" s="302"/>
      <c r="AO780" s="303"/>
      <c r="AP780" s="285"/>
      <c r="AQ780" s="258"/>
      <c r="AR780" s="258"/>
    </row>
    <row r="781" spans="10:44" s="48" customFormat="1" ht="12" hidden="1" customHeight="1">
      <c r="J781" s="213"/>
      <c r="K781" s="213"/>
      <c r="L781" s="213"/>
      <c r="M781" s="213"/>
      <c r="N781" s="213"/>
      <c r="O781" s="213"/>
      <c r="P781" s="213"/>
      <c r="Q781" s="213"/>
      <c r="R781" s="213"/>
      <c r="S781" s="213"/>
      <c r="T781" s="213"/>
      <c r="U781" s="213"/>
      <c r="V781" s="213"/>
      <c r="W781" s="213"/>
      <c r="X781" s="213"/>
      <c r="Y781" s="213"/>
      <c r="Z781" s="213"/>
      <c r="AA781" s="213"/>
      <c r="AB781" s="213"/>
      <c r="AC781" s="213"/>
      <c r="AD781" s="213"/>
      <c r="AE781" s="213"/>
      <c r="AF781" s="213"/>
      <c r="AG781" s="213"/>
      <c r="AH781" s="213"/>
      <c r="AI781" s="213"/>
      <c r="AJ781" s="213"/>
      <c r="AK781" s="213"/>
      <c r="AL781" s="213"/>
      <c r="AM781" s="302"/>
      <c r="AN781" s="302"/>
      <c r="AO781" s="303"/>
      <c r="AP781" s="285"/>
      <c r="AQ781" s="258"/>
      <c r="AR781" s="258"/>
    </row>
    <row r="782" spans="10:44" s="48" customFormat="1" ht="12" hidden="1" customHeight="1">
      <c r="J782" s="213"/>
      <c r="K782" s="213"/>
      <c r="L782" s="213"/>
      <c r="M782" s="213"/>
      <c r="N782" s="213"/>
      <c r="O782" s="213"/>
      <c r="P782" s="213"/>
      <c r="Q782" s="213"/>
      <c r="R782" s="213"/>
      <c r="S782" s="213"/>
      <c r="T782" s="213"/>
      <c r="U782" s="213"/>
      <c r="V782" s="213"/>
      <c r="W782" s="213"/>
      <c r="X782" s="213"/>
      <c r="Y782" s="213"/>
      <c r="Z782" s="213"/>
      <c r="AA782" s="213"/>
      <c r="AB782" s="213"/>
      <c r="AC782" s="213"/>
      <c r="AD782" s="213"/>
      <c r="AE782" s="213"/>
      <c r="AF782" s="213"/>
      <c r="AG782" s="213"/>
      <c r="AH782" s="213"/>
      <c r="AI782" s="213"/>
      <c r="AJ782" s="213"/>
      <c r="AK782" s="213"/>
      <c r="AL782" s="213"/>
      <c r="AM782" s="302"/>
      <c r="AN782" s="302"/>
      <c r="AO782" s="303"/>
      <c r="AP782" s="285"/>
      <c r="AQ782" s="258"/>
      <c r="AR782" s="258"/>
    </row>
    <row r="783" spans="10:44" s="48" customFormat="1" ht="12" hidden="1" customHeight="1">
      <c r="J783" s="213"/>
      <c r="K783" s="213"/>
      <c r="L783" s="213"/>
      <c r="M783" s="213"/>
      <c r="N783" s="213"/>
      <c r="O783" s="213"/>
      <c r="P783" s="213"/>
      <c r="Q783" s="213"/>
      <c r="R783" s="213"/>
      <c r="S783" s="213"/>
      <c r="T783" s="213"/>
      <c r="U783" s="213"/>
      <c r="V783" s="213"/>
      <c r="W783" s="213"/>
      <c r="X783" s="213"/>
      <c r="Y783" s="213"/>
      <c r="Z783" s="213"/>
      <c r="AA783" s="213"/>
      <c r="AB783" s="213"/>
      <c r="AC783" s="213"/>
      <c r="AD783" s="213"/>
      <c r="AE783" s="213"/>
      <c r="AF783" s="213"/>
      <c r="AG783" s="213"/>
      <c r="AH783" s="213"/>
      <c r="AI783" s="213"/>
      <c r="AJ783" s="213"/>
      <c r="AK783" s="213"/>
      <c r="AL783" s="213"/>
      <c r="AM783" s="302"/>
      <c r="AN783" s="302"/>
      <c r="AO783" s="303"/>
      <c r="AP783" s="285"/>
      <c r="AQ783" s="258"/>
      <c r="AR783" s="258"/>
    </row>
    <row r="784" spans="10:44" s="48" customFormat="1" ht="12" hidden="1" customHeight="1">
      <c r="J784" s="213"/>
      <c r="K784" s="213"/>
      <c r="L784" s="213"/>
      <c r="M784" s="213"/>
      <c r="N784" s="213"/>
      <c r="O784" s="213"/>
      <c r="P784" s="213"/>
      <c r="Q784" s="213"/>
      <c r="R784" s="213"/>
      <c r="S784" s="213"/>
      <c r="T784" s="213"/>
      <c r="U784" s="213"/>
      <c r="V784" s="213"/>
      <c r="W784" s="213"/>
      <c r="X784" s="213"/>
      <c r="Y784" s="213"/>
      <c r="Z784" s="213"/>
      <c r="AA784" s="213"/>
      <c r="AB784" s="213"/>
      <c r="AC784" s="213"/>
      <c r="AD784" s="213"/>
      <c r="AE784" s="213"/>
      <c r="AF784" s="213"/>
      <c r="AG784" s="213"/>
      <c r="AH784" s="213"/>
      <c r="AI784" s="213"/>
      <c r="AJ784" s="213"/>
      <c r="AK784" s="213"/>
      <c r="AL784" s="213"/>
      <c r="AM784" s="302"/>
      <c r="AN784" s="302"/>
      <c r="AO784" s="303"/>
      <c r="AP784" s="285"/>
      <c r="AQ784" s="258"/>
      <c r="AR784" s="258"/>
    </row>
    <row r="785" spans="10:44" s="48" customFormat="1" ht="12" hidden="1" customHeight="1">
      <c r="J785" s="213"/>
      <c r="K785" s="213"/>
      <c r="L785" s="213"/>
      <c r="M785" s="213"/>
      <c r="N785" s="213"/>
      <c r="O785" s="213"/>
      <c r="P785" s="213"/>
      <c r="Q785" s="213"/>
      <c r="R785" s="213"/>
      <c r="S785" s="213"/>
      <c r="T785" s="213"/>
      <c r="U785" s="213"/>
      <c r="V785" s="213"/>
      <c r="W785" s="213"/>
      <c r="X785" s="213"/>
      <c r="Y785" s="213"/>
      <c r="Z785" s="213"/>
      <c r="AA785" s="213"/>
      <c r="AB785" s="213"/>
      <c r="AC785" s="213"/>
      <c r="AD785" s="213"/>
      <c r="AE785" s="213"/>
      <c r="AF785" s="213"/>
      <c r="AG785" s="213"/>
      <c r="AH785" s="213"/>
      <c r="AI785" s="213"/>
      <c r="AJ785" s="213"/>
      <c r="AK785" s="213"/>
      <c r="AL785" s="213"/>
      <c r="AM785" s="302"/>
      <c r="AN785" s="302"/>
      <c r="AO785" s="303"/>
      <c r="AP785" s="285"/>
      <c r="AQ785" s="258"/>
      <c r="AR785" s="258"/>
    </row>
    <row r="786" spans="10:44" s="48" customFormat="1" ht="12" hidden="1" customHeight="1">
      <c r="J786" s="213"/>
      <c r="K786" s="213"/>
      <c r="L786" s="213"/>
      <c r="M786" s="213"/>
      <c r="N786" s="213"/>
      <c r="O786" s="213"/>
      <c r="P786" s="213"/>
      <c r="Q786" s="213"/>
      <c r="R786" s="213"/>
      <c r="S786" s="213"/>
      <c r="T786" s="213"/>
      <c r="U786" s="213"/>
      <c r="V786" s="213"/>
      <c r="W786" s="213"/>
      <c r="X786" s="213"/>
      <c r="Y786" s="213"/>
      <c r="Z786" s="213"/>
      <c r="AA786" s="213"/>
      <c r="AB786" s="213"/>
      <c r="AC786" s="213"/>
      <c r="AD786" s="213"/>
      <c r="AE786" s="213"/>
      <c r="AF786" s="213"/>
      <c r="AG786" s="213"/>
      <c r="AH786" s="213"/>
      <c r="AI786" s="213"/>
      <c r="AJ786" s="213"/>
      <c r="AK786" s="213"/>
      <c r="AL786" s="213"/>
      <c r="AM786" s="302"/>
      <c r="AN786" s="302"/>
      <c r="AO786" s="303"/>
      <c r="AP786" s="285"/>
      <c r="AQ786" s="258"/>
      <c r="AR786" s="258"/>
    </row>
    <row r="787" spans="10:44" s="48" customFormat="1" ht="12" hidden="1" customHeight="1">
      <c r="J787" s="213"/>
      <c r="K787" s="213"/>
      <c r="L787" s="213"/>
      <c r="M787" s="213"/>
      <c r="N787" s="213"/>
      <c r="O787" s="213"/>
      <c r="P787" s="213"/>
      <c r="Q787" s="213"/>
      <c r="R787" s="213"/>
      <c r="S787" s="213"/>
      <c r="T787" s="213"/>
      <c r="U787" s="213"/>
      <c r="V787" s="213"/>
      <c r="W787" s="213"/>
      <c r="X787" s="213"/>
      <c r="Y787" s="213"/>
      <c r="Z787" s="213"/>
      <c r="AA787" s="213"/>
      <c r="AB787" s="213"/>
      <c r="AC787" s="213"/>
      <c r="AD787" s="213"/>
      <c r="AE787" s="213"/>
      <c r="AF787" s="213"/>
      <c r="AG787" s="213"/>
      <c r="AH787" s="213"/>
      <c r="AI787" s="213"/>
      <c r="AJ787" s="213"/>
      <c r="AK787" s="213"/>
      <c r="AL787" s="213"/>
      <c r="AM787" s="302"/>
      <c r="AN787" s="302"/>
      <c r="AO787" s="303"/>
      <c r="AP787" s="285"/>
      <c r="AQ787" s="258"/>
      <c r="AR787" s="258"/>
    </row>
    <row r="788" spans="10:44" s="48" customFormat="1" ht="12" hidden="1" customHeight="1">
      <c r="J788" s="213"/>
      <c r="K788" s="213"/>
      <c r="L788" s="213"/>
      <c r="M788" s="213"/>
      <c r="N788" s="213"/>
      <c r="O788" s="213"/>
      <c r="P788" s="213"/>
      <c r="Q788" s="213"/>
      <c r="R788" s="213"/>
      <c r="S788" s="213"/>
      <c r="T788" s="213"/>
      <c r="U788" s="213"/>
      <c r="V788" s="213"/>
      <c r="W788" s="213"/>
      <c r="X788" s="213"/>
      <c r="Y788" s="213"/>
      <c r="Z788" s="213"/>
      <c r="AA788" s="213"/>
      <c r="AB788" s="213"/>
      <c r="AC788" s="213"/>
      <c r="AD788" s="213"/>
      <c r="AE788" s="213"/>
      <c r="AF788" s="213"/>
      <c r="AG788" s="213"/>
      <c r="AH788" s="213"/>
      <c r="AI788" s="213"/>
      <c r="AJ788" s="213"/>
      <c r="AK788" s="213"/>
      <c r="AL788" s="213"/>
      <c r="AM788" s="302"/>
      <c r="AN788" s="302"/>
      <c r="AO788" s="303"/>
      <c r="AP788" s="285"/>
      <c r="AQ788" s="258"/>
      <c r="AR788" s="258"/>
    </row>
    <row r="789" spans="10:44" s="48" customFormat="1" ht="12" hidden="1" customHeight="1">
      <c r="J789" s="213"/>
      <c r="K789" s="213"/>
      <c r="L789" s="213"/>
      <c r="M789" s="213"/>
      <c r="N789" s="213"/>
      <c r="O789" s="213"/>
      <c r="P789" s="213"/>
      <c r="Q789" s="213"/>
      <c r="R789" s="213"/>
      <c r="S789" s="213"/>
      <c r="T789" s="213"/>
      <c r="U789" s="213"/>
      <c r="V789" s="213"/>
      <c r="W789" s="213"/>
      <c r="X789" s="213"/>
      <c r="Y789" s="213"/>
      <c r="Z789" s="213"/>
      <c r="AA789" s="213"/>
      <c r="AB789" s="213"/>
      <c r="AC789" s="213"/>
      <c r="AD789" s="213"/>
      <c r="AE789" s="213"/>
      <c r="AF789" s="213"/>
      <c r="AG789" s="213"/>
      <c r="AH789" s="213"/>
      <c r="AI789" s="213"/>
      <c r="AJ789" s="213"/>
      <c r="AK789" s="213"/>
      <c r="AL789" s="213"/>
      <c r="AM789" s="302"/>
      <c r="AN789" s="302"/>
      <c r="AO789" s="303"/>
      <c r="AP789" s="285"/>
      <c r="AQ789" s="258"/>
      <c r="AR789" s="258"/>
    </row>
    <row r="790" spans="10:44" s="48" customFormat="1" ht="12" hidden="1" customHeight="1">
      <c r="J790" s="213"/>
      <c r="K790" s="213"/>
      <c r="L790" s="213"/>
      <c r="M790" s="213"/>
      <c r="N790" s="213"/>
      <c r="O790" s="213"/>
      <c r="P790" s="213"/>
      <c r="Q790" s="213"/>
      <c r="R790" s="213"/>
      <c r="S790" s="213"/>
      <c r="T790" s="213"/>
      <c r="U790" s="213"/>
      <c r="V790" s="213"/>
      <c r="W790" s="213"/>
      <c r="X790" s="213"/>
      <c r="Y790" s="213"/>
      <c r="Z790" s="213"/>
      <c r="AA790" s="213"/>
      <c r="AB790" s="213"/>
      <c r="AC790" s="213"/>
      <c r="AD790" s="213"/>
      <c r="AE790" s="213"/>
      <c r="AF790" s="213"/>
      <c r="AG790" s="213"/>
      <c r="AH790" s="213"/>
      <c r="AI790" s="213"/>
      <c r="AJ790" s="213"/>
      <c r="AK790" s="213"/>
      <c r="AL790" s="213"/>
      <c r="AM790" s="302"/>
      <c r="AN790" s="302"/>
      <c r="AO790" s="303"/>
      <c r="AP790" s="285"/>
      <c r="AQ790" s="258"/>
      <c r="AR790" s="258"/>
    </row>
    <row r="791" spans="10:44" s="48" customFormat="1" ht="12" hidden="1" customHeight="1">
      <c r="J791" s="213"/>
      <c r="K791" s="213"/>
      <c r="L791" s="213"/>
      <c r="M791" s="213"/>
      <c r="N791" s="213"/>
      <c r="O791" s="213"/>
      <c r="P791" s="213"/>
      <c r="Q791" s="213"/>
      <c r="R791" s="213"/>
      <c r="S791" s="213"/>
      <c r="T791" s="213"/>
      <c r="U791" s="213"/>
      <c r="V791" s="213"/>
      <c r="W791" s="213"/>
      <c r="X791" s="213"/>
      <c r="Y791" s="213"/>
      <c r="Z791" s="213"/>
      <c r="AA791" s="213"/>
      <c r="AB791" s="213"/>
      <c r="AC791" s="213"/>
      <c r="AD791" s="213"/>
      <c r="AE791" s="213"/>
      <c r="AF791" s="213"/>
      <c r="AG791" s="213"/>
      <c r="AH791" s="213"/>
      <c r="AI791" s="213"/>
      <c r="AJ791" s="213"/>
      <c r="AK791" s="213"/>
      <c r="AL791" s="213"/>
      <c r="AM791" s="302"/>
      <c r="AN791" s="302"/>
      <c r="AO791" s="303"/>
      <c r="AP791" s="285"/>
      <c r="AQ791" s="258"/>
      <c r="AR791" s="258"/>
    </row>
    <row r="792" spans="10:44" s="48" customFormat="1" ht="12" hidden="1" customHeight="1">
      <c r="J792" s="213"/>
      <c r="K792" s="213"/>
      <c r="L792" s="213"/>
      <c r="M792" s="213"/>
      <c r="N792" s="213"/>
      <c r="O792" s="213"/>
      <c r="P792" s="213"/>
      <c r="Q792" s="213"/>
      <c r="R792" s="213"/>
      <c r="S792" s="213"/>
      <c r="T792" s="213"/>
      <c r="U792" s="213"/>
      <c r="V792" s="213"/>
      <c r="W792" s="213"/>
      <c r="X792" s="213"/>
      <c r="Y792" s="213"/>
      <c r="Z792" s="213"/>
      <c r="AA792" s="213"/>
      <c r="AB792" s="213"/>
      <c r="AC792" s="213"/>
      <c r="AD792" s="213"/>
      <c r="AE792" s="213"/>
      <c r="AF792" s="213"/>
      <c r="AG792" s="213"/>
      <c r="AH792" s="213"/>
      <c r="AI792" s="213"/>
      <c r="AJ792" s="213"/>
      <c r="AK792" s="213"/>
      <c r="AL792" s="213"/>
      <c r="AM792" s="302"/>
      <c r="AN792" s="302"/>
      <c r="AO792" s="303"/>
      <c r="AP792" s="285"/>
      <c r="AQ792" s="258"/>
      <c r="AR792" s="258"/>
    </row>
    <row r="793" spans="10:44" s="48" customFormat="1" ht="12" hidden="1" customHeight="1">
      <c r="J793" s="213"/>
      <c r="K793" s="213"/>
      <c r="L793" s="213"/>
      <c r="M793" s="213"/>
      <c r="N793" s="213"/>
      <c r="O793" s="213"/>
      <c r="P793" s="213"/>
      <c r="Q793" s="213"/>
      <c r="R793" s="213"/>
      <c r="S793" s="213"/>
      <c r="T793" s="213"/>
      <c r="U793" s="213"/>
      <c r="V793" s="213"/>
      <c r="W793" s="213"/>
      <c r="X793" s="213"/>
      <c r="Y793" s="213"/>
      <c r="Z793" s="213"/>
      <c r="AA793" s="213"/>
      <c r="AB793" s="213"/>
      <c r="AC793" s="213"/>
      <c r="AD793" s="213"/>
      <c r="AE793" s="213"/>
      <c r="AF793" s="213"/>
      <c r="AG793" s="213"/>
      <c r="AH793" s="213"/>
      <c r="AI793" s="213"/>
      <c r="AJ793" s="213"/>
      <c r="AK793" s="213"/>
      <c r="AL793" s="213"/>
      <c r="AM793" s="302"/>
      <c r="AN793" s="302"/>
      <c r="AO793" s="303"/>
      <c r="AP793" s="285"/>
      <c r="AQ793" s="258"/>
      <c r="AR793" s="258"/>
    </row>
    <row r="794" spans="10:44" s="48" customFormat="1" ht="12" hidden="1" customHeight="1">
      <c r="J794" s="213"/>
      <c r="K794" s="213"/>
      <c r="L794" s="213"/>
      <c r="M794" s="213"/>
      <c r="N794" s="213"/>
      <c r="O794" s="213"/>
      <c r="P794" s="213"/>
      <c r="Q794" s="213"/>
      <c r="R794" s="213"/>
      <c r="S794" s="213"/>
      <c r="T794" s="213"/>
      <c r="U794" s="213"/>
      <c r="V794" s="213"/>
      <c r="W794" s="213"/>
      <c r="X794" s="213"/>
      <c r="Y794" s="213"/>
      <c r="Z794" s="213"/>
      <c r="AA794" s="213"/>
      <c r="AB794" s="213"/>
      <c r="AC794" s="213"/>
      <c r="AD794" s="213"/>
      <c r="AE794" s="213"/>
      <c r="AF794" s="213"/>
      <c r="AG794" s="213"/>
      <c r="AH794" s="213"/>
      <c r="AI794" s="213"/>
      <c r="AJ794" s="213"/>
      <c r="AK794" s="213"/>
      <c r="AL794" s="213"/>
      <c r="AM794" s="302"/>
      <c r="AN794" s="302"/>
      <c r="AO794" s="303"/>
      <c r="AP794" s="285"/>
      <c r="AQ794" s="258"/>
      <c r="AR794" s="258"/>
    </row>
    <row r="795" spans="10:44" s="48" customFormat="1" ht="12" hidden="1" customHeight="1">
      <c r="J795" s="213"/>
      <c r="K795" s="213"/>
      <c r="L795" s="213"/>
      <c r="M795" s="213"/>
      <c r="N795" s="213"/>
      <c r="O795" s="213"/>
      <c r="P795" s="213"/>
      <c r="Q795" s="213"/>
      <c r="R795" s="213"/>
      <c r="S795" s="213"/>
      <c r="T795" s="213"/>
      <c r="U795" s="213"/>
      <c r="V795" s="213"/>
      <c r="W795" s="213"/>
      <c r="X795" s="213"/>
      <c r="Y795" s="213"/>
      <c r="Z795" s="213"/>
      <c r="AA795" s="213"/>
      <c r="AB795" s="213"/>
      <c r="AC795" s="213"/>
      <c r="AD795" s="213"/>
      <c r="AE795" s="213"/>
      <c r="AF795" s="213"/>
      <c r="AG795" s="213"/>
      <c r="AH795" s="213"/>
      <c r="AI795" s="213"/>
      <c r="AJ795" s="213"/>
      <c r="AK795" s="213"/>
      <c r="AL795" s="213"/>
      <c r="AM795" s="302"/>
      <c r="AN795" s="302"/>
      <c r="AO795" s="303"/>
      <c r="AP795" s="285"/>
      <c r="AQ795" s="258"/>
      <c r="AR795" s="258"/>
    </row>
    <row r="796" spans="10:44" s="48" customFormat="1" ht="12" hidden="1" customHeight="1">
      <c r="J796" s="213"/>
      <c r="K796" s="213"/>
      <c r="L796" s="213"/>
      <c r="M796" s="213"/>
      <c r="N796" s="213"/>
      <c r="O796" s="213"/>
      <c r="P796" s="213"/>
      <c r="Q796" s="213"/>
      <c r="R796" s="213"/>
      <c r="S796" s="213"/>
      <c r="T796" s="213"/>
      <c r="U796" s="213"/>
      <c r="V796" s="213"/>
      <c r="W796" s="213"/>
      <c r="X796" s="213"/>
      <c r="Y796" s="213"/>
      <c r="Z796" s="213"/>
      <c r="AA796" s="213"/>
      <c r="AB796" s="213"/>
      <c r="AC796" s="213"/>
      <c r="AD796" s="213"/>
      <c r="AE796" s="213"/>
      <c r="AF796" s="213"/>
      <c r="AG796" s="213"/>
      <c r="AH796" s="213"/>
      <c r="AI796" s="213"/>
      <c r="AJ796" s="213"/>
      <c r="AK796" s="213"/>
      <c r="AL796" s="213"/>
      <c r="AM796" s="302"/>
      <c r="AN796" s="302"/>
      <c r="AO796" s="303"/>
      <c r="AP796" s="285"/>
      <c r="AQ796" s="258"/>
      <c r="AR796" s="258"/>
    </row>
    <row r="797" spans="10:44" s="48" customFormat="1" ht="12" hidden="1" customHeight="1">
      <c r="J797" s="213"/>
      <c r="K797" s="213"/>
      <c r="L797" s="213"/>
      <c r="M797" s="213"/>
      <c r="N797" s="213"/>
      <c r="O797" s="213"/>
      <c r="P797" s="213"/>
      <c r="Q797" s="213"/>
      <c r="R797" s="213"/>
      <c r="S797" s="213"/>
      <c r="T797" s="213"/>
      <c r="U797" s="213"/>
      <c r="V797" s="213"/>
      <c r="W797" s="213"/>
      <c r="X797" s="213"/>
      <c r="Y797" s="213"/>
      <c r="Z797" s="213"/>
      <c r="AA797" s="213"/>
      <c r="AB797" s="213"/>
      <c r="AC797" s="213"/>
      <c r="AD797" s="213"/>
      <c r="AE797" s="213"/>
      <c r="AF797" s="213"/>
      <c r="AG797" s="213"/>
      <c r="AH797" s="213"/>
      <c r="AI797" s="213"/>
      <c r="AJ797" s="213"/>
      <c r="AK797" s="213"/>
      <c r="AL797" s="213"/>
      <c r="AM797" s="302"/>
      <c r="AN797" s="302"/>
      <c r="AO797" s="303"/>
      <c r="AP797" s="285"/>
      <c r="AQ797" s="258"/>
      <c r="AR797" s="258"/>
    </row>
    <row r="798" spans="10:44" s="48" customFormat="1" ht="12" hidden="1" customHeight="1">
      <c r="J798" s="213"/>
      <c r="K798" s="213"/>
      <c r="L798" s="213"/>
      <c r="M798" s="213"/>
      <c r="N798" s="213"/>
      <c r="O798" s="213"/>
      <c r="P798" s="213"/>
      <c r="Q798" s="213"/>
      <c r="R798" s="213"/>
      <c r="S798" s="213"/>
      <c r="T798" s="213"/>
      <c r="U798" s="213"/>
      <c r="V798" s="213"/>
      <c r="W798" s="213"/>
      <c r="X798" s="213"/>
      <c r="Y798" s="213"/>
      <c r="Z798" s="213"/>
      <c r="AA798" s="213"/>
      <c r="AB798" s="213"/>
      <c r="AC798" s="213"/>
      <c r="AD798" s="213"/>
      <c r="AE798" s="213"/>
      <c r="AF798" s="213"/>
      <c r="AG798" s="213"/>
      <c r="AH798" s="213"/>
      <c r="AI798" s="213"/>
      <c r="AJ798" s="213"/>
      <c r="AK798" s="213"/>
      <c r="AL798" s="213"/>
      <c r="AM798" s="302"/>
      <c r="AN798" s="302"/>
      <c r="AO798" s="303"/>
      <c r="AP798" s="285"/>
      <c r="AQ798" s="258"/>
      <c r="AR798" s="258"/>
    </row>
    <row r="799" spans="10:44" s="48" customFormat="1" ht="12" hidden="1" customHeight="1">
      <c r="J799" s="213"/>
      <c r="K799" s="213"/>
      <c r="L799" s="213"/>
      <c r="M799" s="213"/>
      <c r="N799" s="213"/>
      <c r="O799" s="213"/>
      <c r="P799" s="213"/>
      <c r="Q799" s="213"/>
      <c r="R799" s="213"/>
      <c r="S799" s="213"/>
      <c r="T799" s="213"/>
      <c r="U799" s="213"/>
      <c r="V799" s="213"/>
      <c r="W799" s="213"/>
      <c r="X799" s="213"/>
      <c r="Y799" s="213"/>
      <c r="Z799" s="213"/>
      <c r="AA799" s="213"/>
      <c r="AB799" s="213"/>
      <c r="AC799" s="213"/>
      <c r="AD799" s="213"/>
      <c r="AE799" s="213"/>
      <c r="AF799" s="213"/>
      <c r="AG799" s="213"/>
      <c r="AH799" s="213"/>
      <c r="AI799" s="213"/>
      <c r="AJ799" s="213"/>
      <c r="AK799" s="213"/>
      <c r="AL799" s="213"/>
      <c r="AM799" s="302"/>
      <c r="AN799" s="302"/>
      <c r="AO799" s="303"/>
      <c r="AP799" s="285"/>
      <c r="AQ799" s="258"/>
      <c r="AR799" s="258"/>
    </row>
    <row r="800" spans="10:44" s="48" customFormat="1" ht="12" hidden="1" customHeight="1">
      <c r="J800" s="213"/>
      <c r="K800" s="213"/>
      <c r="L800" s="213"/>
      <c r="M800" s="213"/>
      <c r="N800" s="213"/>
      <c r="O800" s="213"/>
      <c r="P800" s="213"/>
      <c r="Q800" s="213"/>
      <c r="R800" s="213"/>
      <c r="S800" s="213"/>
      <c r="T800" s="213"/>
      <c r="U800" s="213"/>
      <c r="V800" s="213"/>
      <c r="W800" s="213"/>
      <c r="X800" s="213"/>
      <c r="Y800" s="213"/>
      <c r="Z800" s="213"/>
      <c r="AA800" s="213"/>
      <c r="AB800" s="213"/>
      <c r="AC800" s="213"/>
      <c r="AD800" s="213"/>
      <c r="AE800" s="213"/>
      <c r="AF800" s="213"/>
      <c r="AG800" s="213"/>
      <c r="AH800" s="213"/>
      <c r="AI800" s="213"/>
      <c r="AJ800" s="213"/>
      <c r="AK800" s="213"/>
      <c r="AL800" s="213"/>
      <c r="AM800" s="302"/>
      <c r="AN800" s="302"/>
      <c r="AO800" s="303"/>
      <c r="AP800" s="285"/>
      <c r="AQ800" s="258"/>
      <c r="AR800" s="258"/>
    </row>
    <row r="801" spans="10:44" s="48" customFormat="1" ht="12" hidden="1" customHeight="1">
      <c r="J801" s="213"/>
      <c r="K801" s="213"/>
      <c r="L801" s="213"/>
      <c r="M801" s="213"/>
      <c r="N801" s="213"/>
      <c r="O801" s="213"/>
      <c r="P801" s="213"/>
      <c r="Q801" s="213"/>
      <c r="R801" s="213"/>
      <c r="S801" s="213"/>
      <c r="T801" s="213"/>
      <c r="U801" s="213"/>
      <c r="V801" s="213"/>
      <c r="W801" s="213"/>
      <c r="X801" s="213"/>
      <c r="Y801" s="213"/>
      <c r="Z801" s="213"/>
      <c r="AA801" s="213"/>
      <c r="AB801" s="213"/>
      <c r="AC801" s="213"/>
      <c r="AD801" s="213"/>
      <c r="AE801" s="213"/>
      <c r="AF801" s="213"/>
      <c r="AG801" s="213"/>
      <c r="AH801" s="213"/>
      <c r="AI801" s="213"/>
      <c r="AJ801" s="213"/>
      <c r="AK801" s="213"/>
      <c r="AL801" s="213"/>
      <c r="AM801" s="302"/>
      <c r="AN801" s="302"/>
      <c r="AO801" s="303"/>
      <c r="AP801" s="285"/>
      <c r="AQ801" s="258"/>
      <c r="AR801" s="258"/>
    </row>
    <row r="802" spans="10:44" s="48" customFormat="1" ht="12" hidden="1" customHeight="1">
      <c r="J802" s="213"/>
      <c r="K802" s="213"/>
      <c r="L802" s="213"/>
      <c r="M802" s="213"/>
      <c r="N802" s="213"/>
      <c r="O802" s="213"/>
      <c r="P802" s="213"/>
      <c r="Q802" s="213"/>
      <c r="R802" s="213"/>
      <c r="S802" s="213"/>
      <c r="T802" s="213"/>
      <c r="U802" s="213"/>
      <c r="V802" s="213"/>
      <c r="W802" s="213"/>
      <c r="X802" s="213"/>
      <c r="Y802" s="213"/>
      <c r="Z802" s="213"/>
      <c r="AA802" s="213"/>
      <c r="AB802" s="213"/>
      <c r="AC802" s="213"/>
      <c r="AD802" s="213"/>
      <c r="AE802" s="213"/>
      <c r="AF802" s="213"/>
      <c r="AG802" s="213"/>
      <c r="AH802" s="213"/>
      <c r="AI802" s="213"/>
      <c r="AJ802" s="213"/>
      <c r="AK802" s="213"/>
      <c r="AL802" s="213"/>
      <c r="AM802" s="302"/>
      <c r="AN802" s="302"/>
      <c r="AO802" s="303"/>
      <c r="AP802" s="285"/>
      <c r="AQ802" s="258"/>
      <c r="AR802" s="258"/>
    </row>
    <row r="803" spans="10:44" s="48" customFormat="1" ht="12" hidden="1" customHeight="1">
      <c r="J803" s="213"/>
      <c r="K803" s="213"/>
      <c r="L803" s="213"/>
      <c r="M803" s="213"/>
      <c r="N803" s="213"/>
      <c r="O803" s="213"/>
      <c r="P803" s="213"/>
      <c r="Q803" s="213"/>
      <c r="R803" s="213"/>
      <c r="S803" s="213"/>
      <c r="T803" s="213"/>
      <c r="U803" s="213"/>
      <c r="V803" s="213"/>
      <c r="W803" s="213"/>
      <c r="X803" s="213"/>
      <c r="Y803" s="213"/>
      <c r="Z803" s="213"/>
      <c r="AA803" s="213"/>
      <c r="AB803" s="213"/>
      <c r="AC803" s="213"/>
      <c r="AD803" s="213"/>
      <c r="AE803" s="213"/>
      <c r="AF803" s="213"/>
      <c r="AG803" s="213"/>
      <c r="AH803" s="213"/>
      <c r="AI803" s="213"/>
      <c r="AJ803" s="213"/>
      <c r="AK803" s="213"/>
      <c r="AL803" s="213"/>
      <c r="AM803" s="302"/>
      <c r="AN803" s="302"/>
      <c r="AO803" s="303"/>
      <c r="AP803" s="285"/>
      <c r="AQ803" s="258"/>
      <c r="AR803" s="258"/>
    </row>
    <row r="804" spans="10:44" s="48" customFormat="1" ht="12" hidden="1" customHeight="1">
      <c r="J804" s="213"/>
      <c r="K804" s="213"/>
      <c r="L804" s="213"/>
      <c r="M804" s="213"/>
      <c r="N804" s="213"/>
      <c r="O804" s="213"/>
      <c r="P804" s="213"/>
      <c r="Q804" s="213"/>
      <c r="R804" s="213"/>
      <c r="S804" s="213"/>
      <c r="T804" s="213"/>
      <c r="U804" s="213"/>
      <c r="V804" s="213"/>
      <c r="W804" s="213"/>
      <c r="X804" s="213"/>
      <c r="Y804" s="213"/>
      <c r="Z804" s="213"/>
      <c r="AA804" s="213"/>
      <c r="AB804" s="213"/>
      <c r="AC804" s="213"/>
      <c r="AD804" s="213"/>
      <c r="AE804" s="213"/>
      <c r="AF804" s="213"/>
      <c r="AG804" s="213"/>
      <c r="AH804" s="213"/>
      <c r="AI804" s="213"/>
      <c r="AJ804" s="213"/>
      <c r="AK804" s="213"/>
      <c r="AL804" s="213"/>
      <c r="AM804" s="302"/>
      <c r="AN804" s="302"/>
      <c r="AO804" s="303"/>
      <c r="AP804" s="285"/>
      <c r="AQ804" s="258"/>
      <c r="AR804" s="258"/>
    </row>
    <row r="805" spans="10:44" s="48" customFormat="1" ht="12" hidden="1" customHeight="1">
      <c r="J805" s="213"/>
      <c r="K805" s="213"/>
      <c r="L805" s="213"/>
      <c r="M805" s="213"/>
      <c r="N805" s="213"/>
      <c r="O805" s="213"/>
      <c r="P805" s="213"/>
      <c r="Q805" s="213"/>
      <c r="R805" s="213"/>
      <c r="S805" s="213"/>
      <c r="T805" s="213"/>
      <c r="U805" s="213"/>
      <c r="V805" s="213"/>
      <c r="W805" s="213"/>
      <c r="X805" s="213"/>
      <c r="Y805" s="213"/>
      <c r="Z805" s="213"/>
      <c r="AA805" s="213"/>
      <c r="AB805" s="213"/>
      <c r="AC805" s="213"/>
      <c r="AD805" s="213"/>
      <c r="AE805" s="213"/>
      <c r="AF805" s="213"/>
      <c r="AG805" s="213"/>
      <c r="AH805" s="213"/>
      <c r="AI805" s="213"/>
      <c r="AJ805" s="213"/>
      <c r="AK805" s="213"/>
      <c r="AL805" s="213"/>
      <c r="AM805" s="302"/>
      <c r="AN805" s="302"/>
      <c r="AO805" s="303"/>
      <c r="AP805" s="285"/>
      <c r="AQ805" s="258"/>
      <c r="AR805" s="258"/>
    </row>
    <row r="806" spans="10:44" s="48" customFormat="1" ht="12" hidden="1" customHeight="1">
      <c r="J806" s="213"/>
      <c r="K806" s="213"/>
      <c r="L806" s="213"/>
      <c r="M806" s="213"/>
      <c r="N806" s="213"/>
      <c r="O806" s="213"/>
      <c r="P806" s="213"/>
      <c r="Q806" s="213"/>
      <c r="R806" s="213"/>
      <c r="S806" s="213"/>
      <c r="T806" s="213"/>
      <c r="U806" s="213"/>
      <c r="V806" s="213"/>
      <c r="W806" s="213"/>
      <c r="X806" s="213"/>
      <c r="Y806" s="213"/>
      <c r="Z806" s="213"/>
      <c r="AA806" s="213"/>
      <c r="AB806" s="213"/>
      <c r="AC806" s="213"/>
      <c r="AD806" s="213"/>
      <c r="AE806" s="213"/>
      <c r="AF806" s="213"/>
      <c r="AG806" s="213"/>
      <c r="AH806" s="213"/>
      <c r="AI806" s="213"/>
      <c r="AJ806" s="213"/>
      <c r="AK806" s="213"/>
      <c r="AL806" s="213"/>
      <c r="AM806" s="302"/>
      <c r="AN806" s="302"/>
      <c r="AO806" s="303"/>
      <c r="AP806" s="285"/>
      <c r="AQ806" s="258"/>
      <c r="AR806" s="258"/>
    </row>
    <row r="807" spans="10:44" s="48" customFormat="1" ht="12" hidden="1" customHeight="1">
      <c r="J807" s="213"/>
      <c r="K807" s="213"/>
      <c r="L807" s="213"/>
      <c r="M807" s="213"/>
      <c r="N807" s="213"/>
      <c r="O807" s="213"/>
      <c r="P807" s="213"/>
      <c r="Q807" s="213"/>
      <c r="R807" s="213"/>
      <c r="S807" s="213"/>
      <c r="T807" s="213"/>
      <c r="U807" s="213"/>
      <c r="V807" s="213"/>
      <c r="W807" s="213"/>
      <c r="X807" s="213"/>
      <c r="Y807" s="213"/>
      <c r="Z807" s="213"/>
      <c r="AA807" s="213"/>
      <c r="AB807" s="213"/>
      <c r="AC807" s="213"/>
      <c r="AD807" s="213"/>
      <c r="AE807" s="213"/>
      <c r="AF807" s="213"/>
      <c r="AG807" s="213"/>
      <c r="AH807" s="213"/>
      <c r="AI807" s="213"/>
      <c r="AJ807" s="213"/>
      <c r="AK807" s="213"/>
      <c r="AL807" s="213"/>
      <c r="AM807" s="302"/>
      <c r="AN807" s="302"/>
      <c r="AO807" s="303"/>
      <c r="AP807" s="285"/>
      <c r="AQ807" s="258"/>
      <c r="AR807" s="258"/>
    </row>
    <row r="808" spans="10:44" s="48" customFormat="1" ht="12" hidden="1" customHeight="1">
      <c r="J808" s="213"/>
      <c r="K808" s="213"/>
      <c r="L808" s="213"/>
      <c r="M808" s="213"/>
      <c r="N808" s="213"/>
      <c r="O808" s="213"/>
      <c r="P808" s="213"/>
      <c r="Q808" s="213"/>
      <c r="R808" s="213"/>
      <c r="S808" s="213"/>
      <c r="T808" s="213"/>
      <c r="U808" s="213"/>
      <c r="V808" s="213"/>
      <c r="W808" s="213"/>
      <c r="X808" s="213"/>
      <c r="Y808" s="213"/>
      <c r="Z808" s="213"/>
      <c r="AA808" s="213"/>
      <c r="AB808" s="213"/>
      <c r="AC808" s="213"/>
      <c r="AD808" s="213"/>
      <c r="AE808" s="213"/>
      <c r="AF808" s="213"/>
      <c r="AG808" s="213"/>
      <c r="AH808" s="213"/>
      <c r="AI808" s="213"/>
      <c r="AJ808" s="213"/>
      <c r="AK808" s="213"/>
      <c r="AL808" s="213"/>
      <c r="AM808" s="302"/>
      <c r="AN808" s="302"/>
      <c r="AO808" s="303"/>
      <c r="AP808" s="285"/>
      <c r="AQ808" s="258"/>
      <c r="AR808" s="258"/>
    </row>
    <row r="809" spans="10:44" s="48" customFormat="1" ht="12" hidden="1" customHeight="1">
      <c r="J809" s="213"/>
      <c r="K809" s="213"/>
      <c r="L809" s="213"/>
      <c r="M809" s="213"/>
      <c r="N809" s="213"/>
      <c r="O809" s="213"/>
      <c r="P809" s="213"/>
      <c r="Q809" s="213"/>
      <c r="R809" s="213"/>
      <c r="S809" s="213"/>
      <c r="T809" s="213"/>
      <c r="U809" s="213"/>
      <c r="V809" s="213"/>
      <c r="W809" s="213"/>
      <c r="X809" s="213"/>
      <c r="Y809" s="213"/>
      <c r="Z809" s="213"/>
      <c r="AA809" s="213"/>
      <c r="AB809" s="213"/>
      <c r="AC809" s="213"/>
      <c r="AD809" s="213"/>
      <c r="AE809" s="213"/>
      <c r="AF809" s="213"/>
      <c r="AG809" s="213"/>
      <c r="AH809" s="213"/>
      <c r="AI809" s="213"/>
      <c r="AJ809" s="213"/>
      <c r="AK809" s="213"/>
      <c r="AL809" s="213"/>
      <c r="AM809" s="302"/>
      <c r="AN809" s="302"/>
      <c r="AO809" s="303"/>
      <c r="AP809" s="285"/>
      <c r="AQ809" s="258"/>
      <c r="AR809" s="258"/>
    </row>
    <row r="810" spans="10:44" s="48" customFormat="1" ht="12" hidden="1" customHeight="1">
      <c r="J810" s="213"/>
      <c r="K810" s="213"/>
      <c r="L810" s="213"/>
      <c r="M810" s="213"/>
      <c r="N810" s="213"/>
      <c r="O810" s="213"/>
      <c r="P810" s="213"/>
      <c r="Q810" s="213"/>
      <c r="R810" s="213"/>
      <c r="S810" s="213"/>
      <c r="T810" s="213"/>
      <c r="U810" s="213"/>
      <c r="V810" s="213"/>
      <c r="W810" s="213"/>
      <c r="X810" s="213"/>
      <c r="Y810" s="213"/>
      <c r="Z810" s="213"/>
      <c r="AA810" s="213"/>
      <c r="AB810" s="213"/>
      <c r="AC810" s="213"/>
      <c r="AD810" s="213"/>
      <c r="AE810" s="213"/>
      <c r="AF810" s="213"/>
      <c r="AG810" s="213"/>
      <c r="AH810" s="213"/>
      <c r="AI810" s="213"/>
      <c r="AJ810" s="213"/>
      <c r="AK810" s="213"/>
      <c r="AL810" s="213"/>
      <c r="AM810" s="302"/>
      <c r="AN810" s="302"/>
      <c r="AO810" s="303"/>
      <c r="AP810" s="285"/>
      <c r="AQ810" s="258"/>
      <c r="AR810" s="258"/>
    </row>
    <row r="811" spans="10:44" s="48" customFormat="1" ht="12" hidden="1" customHeight="1">
      <c r="J811" s="213"/>
      <c r="K811" s="213"/>
      <c r="L811" s="213"/>
      <c r="M811" s="213"/>
      <c r="N811" s="213"/>
      <c r="O811" s="213"/>
      <c r="P811" s="213"/>
      <c r="Q811" s="213"/>
      <c r="R811" s="213"/>
      <c r="S811" s="213"/>
      <c r="T811" s="213"/>
      <c r="U811" s="213"/>
      <c r="V811" s="213"/>
      <c r="W811" s="213"/>
      <c r="X811" s="213"/>
      <c r="Y811" s="213"/>
      <c r="Z811" s="213"/>
      <c r="AA811" s="213"/>
      <c r="AB811" s="213"/>
      <c r="AC811" s="213"/>
      <c r="AD811" s="213"/>
      <c r="AE811" s="213"/>
      <c r="AF811" s="213"/>
      <c r="AG811" s="213"/>
      <c r="AH811" s="213"/>
      <c r="AI811" s="213"/>
      <c r="AJ811" s="213"/>
      <c r="AK811" s="213"/>
      <c r="AL811" s="213"/>
      <c r="AM811" s="302"/>
      <c r="AN811" s="302"/>
      <c r="AO811" s="303"/>
      <c r="AP811" s="285"/>
      <c r="AQ811" s="258"/>
      <c r="AR811" s="258"/>
    </row>
    <row r="812" spans="10:44" s="48" customFormat="1" ht="12" hidden="1" customHeight="1">
      <c r="J812" s="213"/>
      <c r="K812" s="213"/>
      <c r="L812" s="213"/>
      <c r="M812" s="213"/>
      <c r="N812" s="213"/>
      <c r="O812" s="213"/>
      <c r="P812" s="213"/>
      <c r="Q812" s="213"/>
      <c r="R812" s="213"/>
      <c r="S812" s="213"/>
      <c r="T812" s="213"/>
      <c r="U812" s="213"/>
      <c r="V812" s="213"/>
      <c r="W812" s="213"/>
      <c r="X812" s="213"/>
      <c r="Y812" s="213"/>
      <c r="Z812" s="213"/>
      <c r="AA812" s="213"/>
      <c r="AB812" s="213"/>
      <c r="AC812" s="213"/>
      <c r="AD812" s="213"/>
      <c r="AE812" s="213"/>
      <c r="AF812" s="213"/>
      <c r="AG812" s="213"/>
      <c r="AH812" s="213"/>
      <c r="AI812" s="213"/>
      <c r="AJ812" s="213"/>
      <c r="AK812" s="213"/>
      <c r="AL812" s="213"/>
      <c r="AM812" s="302"/>
      <c r="AN812" s="302"/>
      <c r="AO812" s="303"/>
      <c r="AP812" s="285"/>
      <c r="AQ812" s="258"/>
      <c r="AR812" s="258"/>
    </row>
    <row r="813" spans="10:44" s="48" customFormat="1" ht="12" hidden="1" customHeight="1">
      <c r="J813" s="213"/>
      <c r="K813" s="213"/>
      <c r="L813" s="213"/>
      <c r="M813" s="213"/>
      <c r="N813" s="213"/>
      <c r="O813" s="213"/>
      <c r="P813" s="213"/>
      <c r="Q813" s="213"/>
      <c r="R813" s="213"/>
      <c r="S813" s="213"/>
      <c r="T813" s="213"/>
      <c r="U813" s="213"/>
      <c r="V813" s="213"/>
      <c r="W813" s="213"/>
      <c r="X813" s="213"/>
      <c r="Y813" s="213"/>
      <c r="Z813" s="213"/>
      <c r="AA813" s="213"/>
      <c r="AB813" s="213"/>
      <c r="AC813" s="213"/>
      <c r="AD813" s="213"/>
      <c r="AE813" s="213"/>
      <c r="AF813" s="213"/>
      <c r="AG813" s="213"/>
      <c r="AH813" s="213"/>
      <c r="AI813" s="213"/>
      <c r="AJ813" s="213"/>
      <c r="AK813" s="213"/>
      <c r="AL813" s="213"/>
      <c r="AM813" s="302"/>
      <c r="AN813" s="302"/>
      <c r="AO813" s="303"/>
      <c r="AP813" s="285"/>
      <c r="AQ813" s="258"/>
      <c r="AR813" s="258"/>
    </row>
    <row r="814" spans="10:44" s="48" customFormat="1" ht="12" hidden="1" customHeight="1">
      <c r="J814" s="213"/>
      <c r="K814" s="213"/>
      <c r="L814" s="213"/>
      <c r="M814" s="213"/>
      <c r="N814" s="213"/>
      <c r="O814" s="213"/>
      <c r="P814" s="213"/>
      <c r="Q814" s="213"/>
      <c r="R814" s="213"/>
      <c r="S814" s="213"/>
      <c r="T814" s="213"/>
      <c r="U814" s="213"/>
      <c r="V814" s="213"/>
      <c r="W814" s="213"/>
      <c r="X814" s="213"/>
      <c r="Y814" s="213"/>
      <c r="Z814" s="213"/>
      <c r="AA814" s="213"/>
      <c r="AB814" s="213"/>
      <c r="AC814" s="213"/>
      <c r="AD814" s="213"/>
      <c r="AE814" s="213"/>
      <c r="AF814" s="213"/>
      <c r="AG814" s="213"/>
      <c r="AH814" s="213"/>
      <c r="AI814" s="213"/>
      <c r="AJ814" s="213"/>
      <c r="AK814" s="213"/>
      <c r="AL814" s="213"/>
      <c r="AM814" s="302"/>
      <c r="AN814" s="302"/>
      <c r="AO814" s="303"/>
      <c r="AP814" s="285"/>
      <c r="AQ814" s="258"/>
      <c r="AR814" s="258"/>
    </row>
    <row r="815" spans="10:44" s="48" customFormat="1" ht="12" hidden="1" customHeight="1">
      <c r="J815" s="213"/>
      <c r="K815" s="213"/>
      <c r="L815" s="213"/>
      <c r="M815" s="213"/>
      <c r="N815" s="213"/>
      <c r="O815" s="213"/>
      <c r="P815" s="213"/>
      <c r="Q815" s="213"/>
      <c r="R815" s="213"/>
      <c r="S815" s="213"/>
      <c r="T815" s="213"/>
      <c r="U815" s="213"/>
      <c r="V815" s="213"/>
      <c r="W815" s="213"/>
      <c r="X815" s="213"/>
      <c r="Y815" s="213"/>
      <c r="Z815" s="213"/>
      <c r="AA815" s="213"/>
      <c r="AB815" s="213"/>
      <c r="AC815" s="213"/>
      <c r="AD815" s="213"/>
      <c r="AE815" s="213"/>
      <c r="AF815" s="213"/>
      <c r="AG815" s="213"/>
      <c r="AH815" s="213"/>
      <c r="AI815" s="213"/>
      <c r="AJ815" s="213"/>
      <c r="AK815" s="213"/>
      <c r="AL815" s="213"/>
      <c r="AM815" s="302"/>
      <c r="AN815" s="302"/>
      <c r="AO815" s="303"/>
      <c r="AP815" s="285"/>
      <c r="AQ815" s="258"/>
      <c r="AR815" s="258"/>
    </row>
    <row r="816" spans="10:44" s="48" customFormat="1" ht="12" hidden="1" customHeight="1">
      <c r="J816" s="213"/>
      <c r="K816" s="213"/>
      <c r="L816" s="213"/>
      <c r="M816" s="213"/>
      <c r="N816" s="213"/>
      <c r="O816" s="213"/>
      <c r="P816" s="213"/>
      <c r="Q816" s="213"/>
      <c r="R816" s="213"/>
      <c r="S816" s="213"/>
      <c r="T816" s="213"/>
      <c r="U816" s="213"/>
      <c r="V816" s="213"/>
      <c r="W816" s="213"/>
      <c r="X816" s="213"/>
      <c r="Y816" s="213"/>
      <c r="Z816" s="213"/>
      <c r="AA816" s="213"/>
      <c r="AB816" s="213"/>
      <c r="AC816" s="213"/>
      <c r="AD816" s="213"/>
      <c r="AE816" s="213"/>
      <c r="AF816" s="213"/>
      <c r="AG816" s="213"/>
      <c r="AH816" s="213"/>
      <c r="AI816" s="213"/>
      <c r="AJ816" s="213"/>
      <c r="AK816" s="213"/>
      <c r="AL816" s="213"/>
      <c r="AM816" s="302"/>
      <c r="AN816" s="302"/>
      <c r="AO816" s="303"/>
      <c r="AP816" s="285"/>
      <c r="AQ816" s="258"/>
      <c r="AR816" s="258"/>
    </row>
    <row r="817" spans="10:44" s="48" customFormat="1" ht="12" hidden="1" customHeight="1">
      <c r="J817" s="213"/>
      <c r="K817" s="213"/>
      <c r="L817" s="213"/>
      <c r="M817" s="213"/>
      <c r="N817" s="213"/>
      <c r="O817" s="213"/>
      <c r="P817" s="213"/>
      <c r="Q817" s="213"/>
      <c r="R817" s="213"/>
      <c r="S817" s="213"/>
      <c r="T817" s="213"/>
      <c r="U817" s="213"/>
      <c r="V817" s="213"/>
      <c r="W817" s="213"/>
      <c r="X817" s="213"/>
      <c r="Y817" s="213"/>
      <c r="Z817" s="213"/>
      <c r="AA817" s="213"/>
      <c r="AB817" s="213"/>
      <c r="AC817" s="213"/>
      <c r="AD817" s="213"/>
      <c r="AE817" s="213"/>
      <c r="AF817" s="213"/>
      <c r="AG817" s="213"/>
      <c r="AH817" s="213"/>
      <c r="AI817" s="213"/>
      <c r="AJ817" s="213"/>
      <c r="AK817" s="213"/>
      <c r="AL817" s="213"/>
      <c r="AM817" s="302"/>
      <c r="AN817" s="302"/>
      <c r="AO817" s="303"/>
      <c r="AP817" s="285"/>
      <c r="AQ817" s="258"/>
      <c r="AR817" s="258"/>
    </row>
    <row r="818" spans="10:44" s="48" customFormat="1" ht="12" hidden="1" customHeight="1">
      <c r="J818" s="213"/>
      <c r="K818" s="213"/>
      <c r="L818" s="213"/>
      <c r="M818" s="213"/>
      <c r="N818" s="213"/>
      <c r="O818" s="213"/>
      <c r="P818" s="213"/>
      <c r="Q818" s="213"/>
      <c r="R818" s="213"/>
      <c r="S818" s="213"/>
      <c r="T818" s="213"/>
      <c r="U818" s="213"/>
      <c r="V818" s="213"/>
      <c r="W818" s="213"/>
      <c r="X818" s="213"/>
      <c r="Y818" s="213"/>
      <c r="Z818" s="213"/>
      <c r="AA818" s="213"/>
      <c r="AB818" s="213"/>
      <c r="AC818" s="213"/>
      <c r="AD818" s="213"/>
      <c r="AE818" s="213"/>
      <c r="AF818" s="213"/>
      <c r="AG818" s="213"/>
      <c r="AH818" s="213"/>
      <c r="AI818" s="213"/>
      <c r="AJ818" s="213"/>
      <c r="AK818" s="213"/>
      <c r="AL818" s="213"/>
      <c r="AM818" s="302"/>
      <c r="AN818" s="302"/>
      <c r="AO818" s="303"/>
      <c r="AP818" s="285"/>
      <c r="AQ818" s="258"/>
      <c r="AR818" s="258"/>
    </row>
    <row r="819" spans="10:44" s="48" customFormat="1" ht="12" hidden="1" customHeight="1">
      <c r="J819" s="213"/>
      <c r="K819" s="213"/>
      <c r="L819" s="213"/>
      <c r="M819" s="213"/>
      <c r="N819" s="213"/>
      <c r="O819" s="213"/>
      <c r="P819" s="213"/>
      <c r="Q819" s="213"/>
      <c r="R819" s="213"/>
      <c r="S819" s="213"/>
      <c r="T819" s="213"/>
      <c r="U819" s="213"/>
      <c r="V819" s="213"/>
      <c r="W819" s="213"/>
      <c r="X819" s="213"/>
      <c r="Y819" s="213"/>
      <c r="Z819" s="213"/>
      <c r="AA819" s="213"/>
      <c r="AB819" s="213"/>
      <c r="AC819" s="213"/>
      <c r="AD819" s="213"/>
      <c r="AE819" s="213"/>
      <c r="AF819" s="213"/>
      <c r="AG819" s="213"/>
      <c r="AH819" s="213"/>
      <c r="AI819" s="213"/>
      <c r="AJ819" s="213"/>
      <c r="AK819" s="213"/>
      <c r="AL819" s="213"/>
      <c r="AM819" s="302"/>
      <c r="AN819" s="302"/>
      <c r="AO819" s="303"/>
      <c r="AP819" s="285"/>
      <c r="AQ819" s="258"/>
      <c r="AR819" s="258"/>
    </row>
    <row r="820" spans="10:44" s="48" customFormat="1" ht="12" hidden="1" customHeight="1">
      <c r="J820" s="213"/>
      <c r="K820" s="213"/>
      <c r="L820" s="213"/>
      <c r="M820" s="213"/>
      <c r="N820" s="213"/>
      <c r="O820" s="213"/>
      <c r="P820" s="213"/>
      <c r="Q820" s="213"/>
      <c r="R820" s="213"/>
      <c r="S820" s="213"/>
      <c r="T820" s="213"/>
      <c r="U820" s="213"/>
      <c r="V820" s="213"/>
      <c r="W820" s="213"/>
      <c r="X820" s="213"/>
      <c r="Y820" s="213"/>
      <c r="Z820" s="213"/>
      <c r="AA820" s="213"/>
      <c r="AB820" s="213"/>
      <c r="AC820" s="213"/>
      <c r="AD820" s="213"/>
      <c r="AE820" s="213"/>
      <c r="AF820" s="213"/>
      <c r="AG820" s="213"/>
      <c r="AH820" s="213"/>
      <c r="AI820" s="213"/>
      <c r="AJ820" s="213"/>
      <c r="AK820" s="213"/>
      <c r="AL820" s="213"/>
      <c r="AM820" s="302"/>
      <c r="AN820" s="302"/>
      <c r="AO820" s="303"/>
      <c r="AP820" s="285"/>
      <c r="AQ820" s="258"/>
      <c r="AR820" s="258"/>
    </row>
    <row r="821" spans="10:44" s="48" customFormat="1" ht="12" hidden="1" customHeight="1">
      <c r="J821" s="213"/>
      <c r="K821" s="213"/>
      <c r="L821" s="213"/>
      <c r="M821" s="213"/>
      <c r="N821" s="213"/>
      <c r="O821" s="213"/>
      <c r="P821" s="213"/>
      <c r="Q821" s="213"/>
      <c r="R821" s="213"/>
      <c r="S821" s="213"/>
      <c r="T821" s="213"/>
      <c r="U821" s="213"/>
      <c r="V821" s="213"/>
      <c r="W821" s="213"/>
      <c r="X821" s="213"/>
      <c r="Y821" s="213"/>
      <c r="Z821" s="213"/>
      <c r="AA821" s="213"/>
      <c r="AB821" s="213"/>
      <c r="AC821" s="213"/>
      <c r="AD821" s="213"/>
      <c r="AE821" s="213"/>
      <c r="AF821" s="213"/>
      <c r="AG821" s="213"/>
      <c r="AH821" s="213"/>
      <c r="AI821" s="213"/>
      <c r="AJ821" s="213"/>
      <c r="AK821" s="213"/>
      <c r="AL821" s="213"/>
      <c r="AM821" s="302"/>
      <c r="AN821" s="302"/>
      <c r="AO821" s="303"/>
      <c r="AP821" s="285"/>
      <c r="AQ821" s="258"/>
      <c r="AR821" s="258"/>
    </row>
    <row r="822" spans="10:44" s="48" customFormat="1" ht="12" hidden="1" customHeight="1">
      <c r="J822" s="213"/>
      <c r="K822" s="213"/>
      <c r="L822" s="213"/>
      <c r="M822" s="213"/>
      <c r="N822" s="213"/>
      <c r="O822" s="213"/>
      <c r="P822" s="213"/>
      <c r="Q822" s="213"/>
      <c r="R822" s="213"/>
      <c r="S822" s="213"/>
      <c r="T822" s="213"/>
      <c r="U822" s="213"/>
      <c r="V822" s="213"/>
      <c r="W822" s="213"/>
      <c r="X822" s="213"/>
      <c r="Y822" s="213"/>
      <c r="Z822" s="213"/>
      <c r="AA822" s="213"/>
      <c r="AB822" s="213"/>
      <c r="AC822" s="213"/>
      <c r="AD822" s="213"/>
      <c r="AE822" s="213"/>
      <c r="AF822" s="213"/>
      <c r="AG822" s="213"/>
      <c r="AH822" s="213"/>
      <c r="AI822" s="213"/>
      <c r="AJ822" s="213"/>
      <c r="AK822" s="213"/>
      <c r="AL822" s="213"/>
      <c r="AM822" s="302"/>
      <c r="AN822" s="302"/>
      <c r="AO822" s="303"/>
      <c r="AP822" s="285"/>
      <c r="AQ822" s="258"/>
      <c r="AR822" s="258"/>
    </row>
    <row r="823" spans="10:44" s="48" customFormat="1" ht="12" hidden="1" customHeight="1">
      <c r="J823" s="213"/>
      <c r="K823" s="213"/>
      <c r="L823" s="213"/>
      <c r="M823" s="213"/>
      <c r="N823" s="213"/>
      <c r="O823" s="213"/>
      <c r="P823" s="213"/>
      <c r="Q823" s="213"/>
      <c r="R823" s="213"/>
      <c r="S823" s="213"/>
      <c r="T823" s="213"/>
      <c r="U823" s="213"/>
      <c r="V823" s="213"/>
      <c r="W823" s="213"/>
      <c r="X823" s="213"/>
      <c r="Y823" s="213"/>
      <c r="Z823" s="213"/>
      <c r="AA823" s="213"/>
      <c r="AB823" s="213"/>
      <c r="AC823" s="213"/>
      <c r="AD823" s="213"/>
      <c r="AE823" s="213"/>
      <c r="AF823" s="213"/>
      <c r="AG823" s="213"/>
      <c r="AH823" s="213"/>
      <c r="AI823" s="213"/>
      <c r="AJ823" s="213"/>
      <c r="AK823" s="213"/>
      <c r="AL823" s="213"/>
      <c r="AM823" s="302"/>
      <c r="AN823" s="302"/>
      <c r="AO823" s="303"/>
      <c r="AP823" s="285"/>
      <c r="AQ823" s="258"/>
      <c r="AR823" s="258"/>
    </row>
    <row r="824" spans="10:44" s="48" customFormat="1" ht="12" hidden="1" customHeight="1">
      <c r="J824" s="213"/>
      <c r="K824" s="213"/>
      <c r="L824" s="213"/>
      <c r="M824" s="213"/>
      <c r="N824" s="213"/>
      <c r="O824" s="213"/>
      <c r="P824" s="213"/>
      <c r="Q824" s="213"/>
      <c r="R824" s="213"/>
      <c r="S824" s="213"/>
      <c r="T824" s="213"/>
      <c r="U824" s="213"/>
      <c r="V824" s="213"/>
      <c r="W824" s="213"/>
      <c r="X824" s="213"/>
      <c r="Y824" s="213"/>
      <c r="Z824" s="213"/>
      <c r="AA824" s="213"/>
      <c r="AB824" s="213"/>
      <c r="AC824" s="213"/>
      <c r="AD824" s="213"/>
      <c r="AE824" s="213"/>
      <c r="AF824" s="213"/>
      <c r="AG824" s="213"/>
      <c r="AH824" s="213"/>
      <c r="AI824" s="213"/>
      <c r="AJ824" s="213"/>
      <c r="AK824" s="213"/>
      <c r="AL824" s="213"/>
      <c r="AM824" s="302"/>
      <c r="AN824" s="302"/>
      <c r="AO824" s="303"/>
      <c r="AP824" s="285"/>
      <c r="AQ824" s="258"/>
      <c r="AR824" s="258"/>
    </row>
    <row r="825" spans="10:44" s="48" customFormat="1" ht="12" hidden="1" customHeight="1">
      <c r="J825" s="213"/>
      <c r="K825" s="213"/>
      <c r="L825" s="213"/>
      <c r="M825" s="213"/>
      <c r="N825" s="213"/>
      <c r="O825" s="213"/>
      <c r="P825" s="213"/>
      <c r="Q825" s="213"/>
      <c r="R825" s="213"/>
      <c r="S825" s="213"/>
      <c r="T825" s="213"/>
      <c r="U825" s="213"/>
      <c r="V825" s="213"/>
      <c r="W825" s="213"/>
      <c r="X825" s="213"/>
      <c r="Y825" s="213"/>
      <c r="Z825" s="213"/>
      <c r="AA825" s="213"/>
      <c r="AB825" s="213"/>
      <c r="AC825" s="213"/>
      <c r="AD825" s="213"/>
      <c r="AE825" s="213"/>
      <c r="AF825" s="213"/>
      <c r="AG825" s="213"/>
      <c r="AH825" s="213"/>
      <c r="AI825" s="213"/>
      <c r="AJ825" s="213"/>
      <c r="AK825" s="213"/>
      <c r="AL825" s="213"/>
      <c r="AM825" s="302"/>
      <c r="AN825" s="302"/>
      <c r="AO825" s="303"/>
      <c r="AP825" s="285"/>
      <c r="AQ825" s="258"/>
      <c r="AR825" s="258"/>
    </row>
    <row r="826" spans="10:44" s="48" customFormat="1" ht="12" hidden="1" customHeight="1">
      <c r="J826" s="213"/>
      <c r="K826" s="213"/>
      <c r="L826" s="213"/>
      <c r="M826" s="213"/>
      <c r="N826" s="213"/>
      <c r="O826" s="213"/>
      <c r="P826" s="213"/>
      <c r="Q826" s="213"/>
      <c r="R826" s="213"/>
      <c r="S826" s="213"/>
      <c r="T826" s="213"/>
      <c r="U826" s="213"/>
      <c r="V826" s="213"/>
      <c r="W826" s="213"/>
      <c r="X826" s="213"/>
      <c r="Y826" s="213"/>
      <c r="Z826" s="213"/>
      <c r="AA826" s="213"/>
      <c r="AB826" s="213"/>
      <c r="AC826" s="213"/>
      <c r="AD826" s="213"/>
      <c r="AE826" s="213"/>
      <c r="AF826" s="213"/>
      <c r="AG826" s="213"/>
      <c r="AH826" s="213"/>
      <c r="AI826" s="213"/>
      <c r="AJ826" s="213"/>
      <c r="AK826" s="213"/>
      <c r="AL826" s="213"/>
      <c r="AM826" s="302"/>
      <c r="AN826" s="302"/>
      <c r="AO826" s="303"/>
      <c r="AP826" s="285"/>
      <c r="AQ826" s="258"/>
      <c r="AR826" s="258"/>
    </row>
    <row r="827" spans="10:44" s="48" customFormat="1" ht="12" hidden="1" customHeight="1">
      <c r="J827" s="213"/>
      <c r="K827" s="213"/>
      <c r="L827" s="213"/>
      <c r="M827" s="213"/>
      <c r="N827" s="213"/>
      <c r="O827" s="213"/>
      <c r="P827" s="213"/>
      <c r="Q827" s="213"/>
      <c r="R827" s="213"/>
      <c r="S827" s="213"/>
      <c r="T827" s="213"/>
      <c r="U827" s="213"/>
      <c r="V827" s="213"/>
      <c r="W827" s="213"/>
      <c r="X827" s="213"/>
      <c r="Y827" s="213"/>
      <c r="Z827" s="213"/>
      <c r="AA827" s="213"/>
      <c r="AB827" s="213"/>
      <c r="AC827" s="213"/>
      <c r="AD827" s="213"/>
      <c r="AE827" s="213"/>
      <c r="AF827" s="213"/>
      <c r="AG827" s="213"/>
      <c r="AH827" s="213"/>
      <c r="AI827" s="213"/>
      <c r="AJ827" s="213"/>
      <c r="AK827" s="213"/>
      <c r="AL827" s="213"/>
      <c r="AM827" s="302"/>
      <c r="AN827" s="302"/>
      <c r="AO827" s="303"/>
      <c r="AP827" s="285"/>
      <c r="AQ827" s="258"/>
      <c r="AR827" s="258"/>
    </row>
    <row r="828" spans="10:44" s="48" customFormat="1" ht="12" hidden="1" customHeight="1">
      <c r="J828" s="213"/>
      <c r="K828" s="213"/>
      <c r="L828" s="213"/>
      <c r="M828" s="213"/>
      <c r="N828" s="213"/>
      <c r="O828" s="213"/>
      <c r="P828" s="213"/>
      <c r="Q828" s="213"/>
      <c r="R828" s="213"/>
      <c r="S828" s="213"/>
      <c r="T828" s="213"/>
      <c r="U828" s="213"/>
      <c r="V828" s="213"/>
      <c r="W828" s="213"/>
      <c r="X828" s="213"/>
      <c r="Y828" s="213"/>
      <c r="Z828" s="213"/>
      <c r="AA828" s="213"/>
      <c r="AB828" s="213"/>
      <c r="AC828" s="213"/>
      <c r="AD828" s="213"/>
      <c r="AE828" s="213"/>
      <c r="AF828" s="213"/>
      <c r="AG828" s="213"/>
      <c r="AH828" s="213"/>
      <c r="AI828" s="213"/>
      <c r="AJ828" s="213"/>
      <c r="AK828" s="213"/>
      <c r="AL828" s="213"/>
      <c r="AM828" s="302"/>
      <c r="AN828" s="302"/>
      <c r="AO828" s="303"/>
      <c r="AP828" s="285"/>
      <c r="AQ828" s="258"/>
      <c r="AR828" s="258"/>
    </row>
    <row r="829" spans="10:44" s="48" customFormat="1" ht="12" hidden="1" customHeight="1">
      <c r="J829" s="213"/>
      <c r="K829" s="213"/>
      <c r="L829" s="213"/>
      <c r="M829" s="213"/>
      <c r="N829" s="213"/>
      <c r="O829" s="213"/>
      <c r="P829" s="213"/>
      <c r="Q829" s="213"/>
      <c r="R829" s="213"/>
      <c r="S829" s="213"/>
      <c r="T829" s="213"/>
      <c r="U829" s="213"/>
      <c r="V829" s="213"/>
      <c r="W829" s="213"/>
      <c r="X829" s="213"/>
      <c r="Y829" s="213"/>
      <c r="Z829" s="213"/>
      <c r="AA829" s="213"/>
      <c r="AB829" s="213"/>
      <c r="AC829" s="213"/>
      <c r="AD829" s="213"/>
      <c r="AE829" s="213"/>
      <c r="AF829" s="213"/>
      <c r="AG829" s="213"/>
      <c r="AH829" s="213"/>
      <c r="AI829" s="213"/>
      <c r="AJ829" s="213"/>
      <c r="AK829" s="213"/>
      <c r="AL829" s="213"/>
      <c r="AM829" s="302"/>
      <c r="AN829" s="302"/>
      <c r="AO829" s="303"/>
      <c r="AP829" s="285"/>
      <c r="AQ829" s="258"/>
      <c r="AR829" s="258"/>
    </row>
    <row r="830" spans="10:44" s="48" customFormat="1" ht="12" hidden="1" customHeight="1">
      <c r="J830" s="213"/>
      <c r="K830" s="213"/>
      <c r="L830" s="213"/>
      <c r="M830" s="213"/>
      <c r="N830" s="213"/>
      <c r="O830" s="213"/>
      <c r="P830" s="213"/>
      <c r="Q830" s="213"/>
      <c r="R830" s="213"/>
      <c r="S830" s="213"/>
      <c r="T830" s="213"/>
      <c r="U830" s="213"/>
      <c r="V830" s="213"/>
      <c r="W830" s="213"/>
      <c r="X830" s="213"/>
      <c r="Y830" s="213"/>
      <c r="Z830" s="213"/>
      <c r="AA830" s="213"/>
      <c r="AB830" s="213"/>
      <c r="AC830" s="213"/>
      <c r="AD830" s="213"/>
      <c r="AE830" s="213"/>
      <c r="AF830" s="213"/>
      <c r="AG830" s="213"/>
      <c r="AH830" s="213"/>
      <c r="AI830" s="213"/>
      <c r="AJ830" s="213"/>
      <c r="AK830" s="213"/>
      <c r="AL830" s="213"/>
      <c r="AM830" s="302"/>
      <c r="AN830" s="302"/>
      <c r="AO830" s="303"/>
      <c r="AP830" s="285"/>
      <c r="AQ830" s="258"/>
      <c r="AR830" s="258"/>
    </row>
    <row r="831" spans="10:44" s="48" customFormat="1" ht="12" hidden="1" customHeight="1">
      <c r="J831" s="213"/>
      <c r="K831" s="213"/>
      <c r="L831" s="213"/>
      <c r="M831" s="213"/>
      <c r="N831" s="213"/>
      <c r="O831" s="213"/>
      <c r="P831" s="213"/>
      <c r="Q831" s="213"/>
      <c r="R831" s="213"/>
      <c r="S831" s="213"/>
      <c r="T831" s="213"/>
      <c r="U831" s="213"/>
      <c r="V831" s="213"/>
      <c r="W831" s="213"/>
      <c r="X831" s="213"/>
      <c r="Y831" s="213"/>
      <c r="Z831" s="213"/>
      <c r="AA831" s="213"/>
      <c r="AB831" s="213"/>
      <c r="AC831" s="213"/>
      <c r="AD831" s="213"/>
      <c r="AE831" s="213"/>
      <c r="AF831" s="213"/>
      <c r="AG831" s="213"/>
      <c r="AH831" s="213"/>
      <c r="AI831" s="213"/>
      <c r="AJ831" s="213"/>
      <c r="AK831" s="213"/>
      <c r="AL831" s="213"/>
      <c r="AM831" s="302"/>
      <c r="AN831" s="302"/>
      <c r="AO831" s="303"/>
      <c r="AP831" s="285"/>
      <c r="AQ831" s="258"/>
      <c r="AR831" s="258"/>
    </row>
    <row r="832" spans="10:44" s="48" customFormat="1" ht="12" hidden="1" customHeight="1">
      <c r="J832" s="213"/>
      <c r="K832" s="213"/>
      <c r="L832" s="213"/>
      <c r="M832" s="213"/>
      <c r="N832" s="213"/>
      <c r="O832" s="213"/>
      <c r="P832" s="213"/>
      <c r="Q832" s="213"/>
      <c r="R832" s="213"/>
      <c r="S832" s="213"/>
      <c r="T832" s="213"/>
      <c r="U832" s="213"/>
      <c r="V832" s="213"/>
      <c r="W832" s="213"/>
      <c r="X832" s="213"/>
      <c r="Y832" s="213"/>
      <c r="Z832" s="213"/>
      <c r="AA832" s="213"/>
      <c r="AB832" s="213"/>
      <c r="AC832" s="213"/>
      <c r="AD832" s="213"/>
      <c r="AE832" s="213"/>
      <c r="AF832" s="213"/>
      <c r="AG832" s="213"/>
      <c r="AH832" s="213"/>
      <c r="AI832" s="213"/>
      <c r="AJ832" s="213"/>
      <c r="AK832" s="213"/>
      <c r="AL832" s="213"/>
      <c r="AM832" s="302"/>
      <c r="AN832" s="302"/>
      <c r="AO832" s="303"/>
      <c r="AP832" s="285"/>
      <c r="AQ832" s="258"/>
      <c r="AR832" s="258"/>
    </row>
    <row r="833" spans="10:44" s="48" customFormat="1" ht="12" hidden="1" customHeight="1">
      <c r="J833" s="213"/>
      <c r="K833" s="213"/>
      <c r="L833" s="213"/>
      <c r="M833" s="213"/>
      <c r="N833" s="213"/>
      <c r="O833" s="213"/>
      <c r="P833" s="213"/>
      <c r="Q833" s="213"/>
      <c r="R833" s="213"/>
      <c r="S833" s="213"/>
      <c r="T833" s="213"/>
      <c r="U833" s="213"/>
      <c r="V833" s="213"/>
      <c r="W833" s="213"/>
      <c r="X833" s="213"/>
      <c r="Y833" s="213"/>
      <c r="Z833" s="213"/>
      <c r="AA833" s="213"/>
      <c r="AB833" s="213"/>
      <c r="AC833" s="213"/>
      <c r="AD833" s="213"/>
      <c r="AE833" s="213"/>
      <c r="AF833" s="213"/>
      <c r="AG833" s="213"/>
      <c r="AH833" s="213"/>
      <c r="AI833" s="213"/>
      <c r="AJ833" s="213"/>
      <c r="AK833" s="213"/>
      <c r="AL833" s="213"/>
      <c r="AM833" s="302"/>
      <c r="AN833" s="302"/>
      <c r="AO833" s="303"/>
      <c r="AP833" s="285"/>
      <c r="AQ833" s="258"/>
      <c r="AR833" s="258"/>
    </row>
    <row r="834" spans="10:44" s="48" customFormat="1" ht="12" hidden="1" customHeight="1">
      <c r="J834" s="213"/>
      <c r="K834" s="213"/>
      <c r="L834" s="213"/>
      <c r="M834" s="213"/>
      <c r="N834" s="213"/>
      <c r="O834" s="213"/>
      <c r="P834" s="213"/>
      <c r="Q834" s="213"/>
      <c r="R834" s="213"/>
      <c r="S834" s="213"/>
      <c r="T834" s="213"/>
      <c r="U834" s="213"/>
      <c r="V834" s="213"/>
      <c r="W834" s="213"/>
      <c r="X834" s="213"/>
      <c r="Y834" s="213"/>
      <c r="Z834" s="213"/>
      <c r="AA834" s="213"/>
      <c r="AB834" s="213"/>
      <c r="AC834" s="213"/>
      <c r="AD834" s="213"/>
      <c r="AE834" s="213"/>
      <c r="AF834" s="213"/>
      <c r="AG834" s="213"/>
      <c r="AH834" s="213"/>
      <c r="AI834" s="213"/>
      <c r="AJ834" s="213"/>
      <c r="AK834" s="213"/>
      <c r="AL834" s="213"/>
      <c r="AM834" s="302"/>
      <c r="AN834" s="302"/>
      <c r="AO834" s="303"/>
      <c r="AP834" s="285"/>
      <c r="AQ834" s="258"/>
      <c r="AR834" s="258"/>
    </row>
    <row r="835" spans="10:44" s="48" customFormat="1" ht="12" hidden="1" customHeight="1">
      <c r="J835" s="213"/>
      <c r="K835" s="213"/>
      <c r="L835" s="213"/>
      <c r="M835" s="213"/>
      <c r="N835" s="213"/>
      <c r="O835" s="213"/>
      <c r="P835" s="213"/>
      <c r="Q835" s="213"/>
      <c r="R835" s="213"/>
      <c r="S835" s="213"/>
      <c r="T835" s="213"/>
      <c r="U835" s="213"/>
      <c r="V835" s="213"/>
      <c r="W835" s="213"/>
      <c r="X835" s="213"/>
      <c r="Y835" s="213"/>
      <c r="Z835" s="213"/>
      <c r="AA835" s="213"/>
      <c r="AB835" s="213"/>
      <c r="AC835" s="213"/>
      <c r="AD835" s="213"/>
      <c r="AE835" s="213"/>
      <c r="AF835" s="213"/>
      <c r="AG835" s="213"/>
      <c r="AH835" s="213"/>
      <c r="AI835" s="213"/>
      <c r="AJ835" s="213"/>
      <c r="AK835" s="213"/>
      <c r="AL835" s="213"/>
      <c r="AM835" s="302"/>
      <c r="AN835" s="302"/>
      <c r="AO835" s="303"/>
      <c r="AP835" s="285"/>
      <c r="AQ835" s="258"/>
      <c r="AR835" s="258"/>
    </row>
    <row r="836" spans="10:44" s="48" customFormat="1" ht="12" hidden="1" customHeight="1">
      <c r="J836" s="213"/>
      <c r="K836" s="213"/>
      <c r="L836" s="213"/>
      <c r="M836" s="213"/>
      <c r="N836" s="213"/>
      <c r="O836" s="213"/>
      <c r="P836" s="213"/>
      <c r="Q836" s="213"/>
      <c r="R836" s="213"/>
      <c r="S836" s="213"/>
      <c r="T836" s="213"/>
      <c r="U836" s="213"/>
      <c r="V836" s="213"/>
      <c r="W836" s="213"/>
      <c r="X836" s="213"/>
      <c r="Y836" s="213"/>
      <c r="Z836" s="213"/>
      <c r="AA836" s="213"/>
      <c r="AB836" s="213"/>
      <c r="AC836" s="213"/>
      <c r="AD836" s="213"/>
      <c r="AE836" s="213"/>
      <c r="AF836" s="213"/>
      <c r="AG836" s="213"/>
      <c r="AH836" s="213"/>
      <c r="AI836" s="213"/>
      <c r="AJ836" s="213"/>
      <c r="AK836" s="213"/>
      <c r="AL836" s="213"/>
      <c r="AM836" s="302"/>
      <c r="AN836" s="302"/>
      <c r="AO836" s="303"/>
      <c r="AP836" s="285"/>
      <c r="AQ836" s="258"/>
      <c r="AR836" s="258"/>
    </row>
    <row r="837" spans="10:44" s="48" customFormat="1" ht="12" hidden="1" customHeight="1">
      <c r="J837" s="213"/>
      <c r="K837" s="213"/>
      <c r="L837" s="213"/>
      <c r="M837" s="213"/>
      <c r="N837" s="213"/>
      <c r="O837" s="213"/>
      <c r="P837" s="213"/>
      <c r="Q837" s="213"/>
      <c r="R837" s="213"/>
      <c r="S837" s="213"/>
      <c r="T837" s="213"/>
      <c r="U837" s="213"/>
      <c r="V837" s="213"/>
      <c r="W837" s="213"/>
      <c r="X837" s="213"/>
      <c r="Y837" s="213"/>
      <c r="Z837" s="213"/>
      <c r="AA837" s="213"/>
      <c r="AB837" s="213"/>
      <c r="AC837" s="213"/>
      <c r="AD837" s="213"/>
      <c r="AE837" s="213"/>
      <c r="AF837" s="213"/>
      <c r="AG837" s="213"/>
      <c r="AH837" s="213"/>
      <c r="AI837" s="213"/>
      <c r="AJ837" s="213"/>
      <c r="AK837" s="213"/>
      <c r="AL837" s="213"/>
      <c r="AM837" s="302"/>
      <c r="AN837" s="302"/>
      <c r="AO837" s="303"/>
      <c r="AP837" s="285"/>
      <c r="AQ837" s="258"/>
      <c r="AR837" s="258"/>
    </row>
    <row r="838" spans="10:44" s="48" customFormat="1" ht="12" hidden="1" customHeight="1">
      <c r="J838" s="213"/>
      <c r="K838" s="213"/>
      <c r="L838" s="213"/>
      <c r="M838" s="213"/>
      <c r="N838" s="213"/>
      <c r="O838" s="213"/>
      <c r="P838" s="213"/>
      <c r="Q838" s="213"/>
      <c r="R838" s="213"/>
      <c r="S838" s="213"/>
      <c r="T838" s="213"/>
      <c r="U838" s="213"/>
      <c r="V838" s="213"/>
      <c r="W838" s="213"/>
      <c r="X838" s="213"/>
      <c r="Y838" s="213"/>
      <c r="Z838" s="213"/>
      <c r="AA838" s="213"/>
      <c r="AB838" s="213"/>
      <c r="AC838" s="213"/>
      <c r="AD838" s="213"/>
      <c r="AE838" s="213"/>
      <c r="AF838" s="213"/>
      <c r="AG838" s="213"/>
      <c r="AH838" s="213"/>
      <c r="AI838" s="213"/>
      <c r="AJ838" s="213"/>
      <c r="AK838" s="213"/>
      <c r="AL838" s="213"/>
      <c r="AM838" s="302"/>
      <c r="AN838" s="302"/>
      <c r="AO838" s="303"/>
      <c r="AP838" s="285"/>
      <c r="AQ838" s="258"/>
      <c r="AR838" s="258"/>
    </row>
    <row r="839" spans="10:44" s="48" customFormat="1" ht="12" hidden="1" customHeight="1">
      <c r="J839" s="213"/>
      <c r="K839" s="213"/>
      <c r="L839" s="213"/>
      <c r="M839" s="213"/>
      <c r="N839" s="213"/>
      <c r="O839" s="213"/>
      <c r="P839" s="213"/>
      <c r="Q839" s="213"/>
      <c r="R839" s="213"/>
      <c r="S839" s="213"/>
      <c r="T839" s="213"/>
      <c r="U839" s="213"/>
      <c r="V839" s="213"/>
      <c r="W839" s="213"/>
      <c r="X839" s="213"/>
      <c r="Y839" s="213"/>
      <c r="Z839" s="213"/>
      <c r="AA839" s="213"/>
      <c r="AB839" s="213"/>
      <c r="AC839" s="213"/>
      <c r="AD839" s="213"/>
      <c r="AE839" s="213"/>
      <c r="AF839" s="213"/>
      <c r="AG839" s="213"/>
      <c r="AH839" s="213"/>
      <c r="AI839" s="213"/>
      <c r="AJ839" s="213"/>
      <c r="AK839" s="213"/>
      <c r="AL839" s="213"/>
      <c r="AM839" s="302"/>
      <c r="AN839" s="302"/>
      <c r="AO839" s="303"/>
      <c r="AP839" s="285"/>
      <c r="AQ839" s="258"/>
      <c r="AR839" s="258"/>
    </row>
    <row r="840" spans="10:44" s="48" customFormat="1" ht="12" hidden="1" customHeight="1">
      <c r="J840" s="213"/>
      <c r="K840" s="213"/>
      <c r="L840" s="213"/>
      <c r="M840" s="213"/>
      <c r="N840" s="213"/>
      <c r="O840" s="213"/>
      <c r="P840" s="213"/>
      <c r="Q840" s="213"/>
      <c r="R840" s="213"/>
      <c r="S840" s="213"/>
      <c r="T840" s="213"/>
      <c r="U840" s="213"/>
      <c r="V840" s="213"/>
      <c r="W840" s="213"/>
      <c r="X840" s="213"/>
      <c r="Y840" s="213"/>
      <c r="Z840" s="213"/>
      <c r="AA840" s="213"/>
      <c r="AB840" s="213"/>
      <c r="AC840" s="213"/>
      <c r="AD840" s="213"/>
      <c r="AE840" s="213"/>
      <c r="AF840" s="213"/>
      <c r="AG840" s="213"/>
      <c r="AH840" s="213"/>
      <c r="AI840" s="213"/>
      <c r="AJ840" s="213"/>
      <c r="AK840" s="213"/>
      <c r="AL840" s="213"/>
      <c r="AM840" s="302"/>
      <c r="AN840" s="302"/>
      <c r="AO840" s="303"/>
      <c r="AP840" s="285"/>
      <c r="AQ840" s="258"/>
      <c r="AR840" s="258"/>
    </row>
    <row r="841" spans="10:44" s="48" customFormat="1" ht="12" hidden="1" customHeight="1">
      <c r="J841" s="213"/>
      <c r="K841" s="213"/>
      <c r="L841" s="213"/>
      <c r="M841" s="213"/>
      <c r="N841" s="213"/>
      <c r="O841" s="213"/>
      <c r="P841" s="213"/>
      <c r="Q841" s="213"/>
      <c r="R841" s="213"/>
      <c r="S841" s="213"/>
      <c r="T841" s="213"/>
      <c r="U841" s="213"/>
      <c r="V841" s="213"/>
      <c r="W841" s="213"/>
      <c r="X841" s="213"/>
      <c r="Y841" s="213"/>
      <c r="Z841" s="213"/>
      <c r="AA841" s="213"/>
      <c r="AB841" s="213"/>
      <c r="AC841" s="213"/>
      <c r="AD841" s="213"/>
      <c r="AE841" s="213"/>
      <c r="AF841" s="213"/>
      <c r="AG841" s="213"/>
      <c r="AH841" s="213"/>
      <c r="AI841" s="213"/>
      <c r="AJ841" s="213"/>
      <c r="AK841" s="213"/>
      <c r="AL841" s="213"/>
      <c r="AM841" s="302"/>
      <c r="AN841" s="302"/>
      <c r="AO841" s="303"/>
      <c r="AP841" s="285"/>
      <c r="AQ841" s="258"/>
      <c r="AR841" s="258"/>
    </row>
    <row r="842" spans="10:44" s="48" customFormat="1" ht="12" hidden="1" customHeight="1">
      <c r="J842" s="213"/>
      <c r="K842" s="213"/>
      <c r="L842" s="213"/>
      <c r="M842" s="213"/>
      <c r="N842" s="213"/>
      <c r="O842" s="213"/>
      <c r="P842" s="213"/>
      <c r="Q842" s="213"/>
      <c r="R842" s="213"/>
      <c r="S842" s="213"/>
      <c r="T842" s="213"/>
      <c r="U842" s="213"/>
      <c r="V842" s="213"/>
      <c r="W842" s="213"/>
      <c r="X842" s="213"/>
      <c r="Y842" s="213"/>
      <c r="Z842" s="213"/>
      <c r="AA842" s="213"/>
      <c r="AB842" s="213"/>
      <c r="AC842" s="213"/>
      <c r="AD842" s="213"/>
      <c r="AE842" s="213"/>
      <c r="AF842" s="213"/>
      <c r="AG842" s="213"/>
      <c r="AH842" s="213"/>
      <c r="AI842" s="213"/>
      <c r="AJ842" s="213"/>
      <c r="AK842" s="213"/>
      <c r="AL842" s="213"/>
      <c r="AM842" s="302"/>
      <c r="AN842" s="302"/>
      <c r="AO842" s="303"/>
      <c r="AP842" s="285"/>
      <c r="AQ842" s="258"/>
      <c r="AR842" s="258"/>
    </row>
    <row r="843" spans="10:44" s="48" customFormat="1" ht="12" hidden="1" customHeight="1">
      <c r="J843" s="213"/>
      <c r="K843" s="213"/>
      <c r="L843" s="213"/>
      <c r="M843" s="213"/>
      <c r="N843" s="213"/>
      <c r="O843" s="213"/>
      <c r="P843" s="213"/>
      <c r="Q843" s="213"/>
      <c r="R843" s="213"/>
      <c r="S843" s="213"/>
      <c r="T843" s="213"/>
      <c r="U843" s="213"/>
      <c r="V843" s="213"/>
      <c r="W843" s="213"/>
      <c r="X843" s="213"/>
      <c r="Y843" s="213"/>
      <c r="Z843" s="213"/>
      <c r="AA843" s="213"/>
      <c r="AB843" s="213"/>
      <c r="AC843" s="213"/>
      <c r="AD843" s="213"/>
      <c r="AE843" s="213"/>
      <c r="AF843" s="213"/>
      <c r="AG843" s="213"/>
      <c r="AH843" s="213"/>
      <c r="AI843" s="213"/>
      <c r="AJ843" s="213"/>
      <c r="AK843" s="213"/>
      <c r="AL843" s="213"/>
      <c r="AM843" s="302"/>
      <c r="AN843" s="302"/>
      <c r="AO843" s="303"/>
      <c r="AP843" s="285"/>
      <c r="AQ843" s="258"/>
      <c r="AR843" s="258"/>
    </row>
    <row r="844" spans="10:44" s="48" customFormat="1" ht="12" hidden="1" customHeight="1">
      <c r="J844" s="213"/>
      <c r="K844" s="213"/>
      <c r="L844" s="213"/>
      <c r="M844" s="213"/>
      <c r="N844" s="213"/>
      <c r="O844" s="213"/>
      <c r="P844" s="213"/>
      <c r="Q844" s="213"/>
      <c r="R844" s="213"/>
      <c r="S844" s="213"/>
      <c r="T844" s="213"/>
      <c r="U844" s="213"/>
      <c r="V844" s="213"/>
      <c r="W844" s="213"/>
      <c r="X844" s="213"/>
      <c r="Y844" s="213"/>
      <c r="Z844" s="213"/>
      <c r="AA844" s="213"/>
      <c r="AB844" s="213"/>
      <c r="AC844" s="213"/>
      <c r="AD844" s="213"/>
      <c r="AE844" s="213"/>
      <c r="AF844" s="213"/>
      <c r="AG844" s="213"/>
      <c r="AH844" s="213"/>
      <c r="AI844" s="213"/>
      <c r="AJ844" s="213"/>
      <c r="AK844" s="213"/>
      <c r="AL844" s="213"/>
      <c r="AM844" s="302"/>
      <c r="AN844" s="302"/>
      <c r="AO844" s="303"/>
      <c r="AP844" s="285"/>
      <c r="AQ844" s="258"/>
      <c r="AR844" s="258"/>
    </row>
    <row r="845" spans="10:44" s="48" customFormat="1" ht="12" hidden="1" customHeight="1">
      <c r="J845" s="213"/>
      <c r="K845" s="213"/>
      <c r="L845" s="213"/>
      <c r="M845" s="213"/>
      <c r="N845" s="213"/>
      <c r="O845" s="213"/>
      <c r="P845" s="213"/>
      <c r="Q845" s="213"/>
      <c r="R845" s="213"/>
      <c r="S845" s="213"/>
      <c r="T845" s="213"/>
      <c r="U845" s="213"/>
      <c r="V845" s="213"/>
      <c r="W845" s="213"/>
      <c r="X845" s="213"/>
      <c r="Y845" s="213"/>
      <c r="Z845" s="213"/>
      <c r="AA845" s="213"/>
      <c r="AB845" s="213"/>
      <c r="AC845" s="213"/>
      <c r="AD845" s="213"/>
      <c r="AE845" s="213"/>
      <c r="AF845" s="213"/>
      <c r="AG845" s="213"/>
      <c r="AH845" s="213"/>
      <c r="AI845" s="213"/>
      <c r="AJ845" s="213"/>
      <c r="AK845" s="213"/>
      <c r="AL845" s="213"/>
      <c r="AM845" s="302"/>
      <c r="AN845" s="302"/>
      <c r="AO845" s="303"/>
      <c r="AP845" s="285"/>
      <c r="AQ845" s="258"/>
      <c r="AR845" s="258"/>
    </row>
    <row r="846" spans="10:44" s="48" customFormat="1" ht="12" hidden="1" customHeight="1">
      <c r="J846" s="213"/>
      <c r="K846" s="213"/>
      <c r="L846" s="213"/>
      <c r="M846" s="213"/>
      <c r="N846" s="213"/>
      <c r="O846" s="213"/>
      <c r="P846" s="213"/>
      <c r="Q846" s="213"/>
      <c r="R846" s="213"/>
      <c r="S846" s="213"/>
      <c r="T846" s="213"/>
      <c r="U846" s="213"/>
      <c r="V846" s="213"/>
      <c r="W846" s="213"/>
      <c r="X846" s="213"/>
      <c r="Y846" s="213"/>
      <c r="Z846" s="213"/>
      <c r="AA846" s="213"/>
      <c r="AB846" s="213"/>
      <c r="AC846" s="213"/>
      <c r="AD846" s="213"/>
      <c r="AE846" s="213"/>
      <c r="AF846" s="213"/>
      <c r="AG846" s="213"/>
      <c r="AH846" s="213"/>
      <c r="AI846" s="213"/>
      <c r="AJ846" s="213"/>
      <c r="AK846" s="213"/>
      <c r="AL846" s="213"/>
      <c r="AM846" s="302"/>
      <c r="AN846" s="302"/>
      <c r="AO846" s="303"/>
      <c r="AP846" s="285"/>
      <c r="AQ846" s="258"/>
      <c r="AR846" s="258"/>
    </row>
    <row r="847" spans="10:44" s="48" customFormat="1" ht="12" hidden="1" customHeight="1">
      <c r="J847" s="213"/>
      <c r="K847" s="213"/>
      <c r="L847" s="213"/>
      <c r="M847" s="213"/>
      <c r="N847" s="213"/>
      <c r="O847" s="213"/>
      <c r="P847" s="213"/>
      <c r="Q847" s="213"/>
      <c r="R847" s="213"/>
      <c r="S847" s="213"/>
      <c r="T847" s="213"/>
      <c r="U847" s="213"/>
      <c r="V847" s="213"/>
      <c r="W847" s="213"/>
      <c r="X847" s="213"/>
      <c r="Y847" s="213"/>
      <c r="Z847" s="213"/>
      <c r="AA847" s="213"/>
      <c r="AB847" s="213"/>
      <c r="AC847" s="213"/>
      <c r="AD847" s="213"/>
      <c r="AE847" s="213"/>
      <c r="AF847" s="213"/>
      <c r="AG847" s="213"/>
      <c r="AH847" s="213"/>
      <c r="AI847" s="213"/>
      <c r="AJ847" s="213"/>
      <c r="AK847" s="213"/>
      <c r="AL847" s="213"/>
      <c r="AM847" s="302"/>
      <c r="AN847" s="302"/>
      <c r="AO847" s="303"/>
      <c r="AP847" s="285"/>
      <c r="AQ847" s="258"/>
      <c r="AR847" s="258"/>
    </row>
    <row r="848" spans="10:44" s="48" customFormat="1" ht="12" hidden="1" customHeight="1">
      <c r="J848" s="213"/>
      <c r="K848" s="213"/>
      <c r="L848" s="213"/>
      <c r="M848" s="213"/>
      <c r="N848" s="213"/>
      <c r="O848" s="213"/>
      <c r="P848" s="213"/>
      <c r="Q848" s="213"/>
      <c r="R848" s="213"/>
      <c r="S848" s="213"/>
      <c r="T848" s="213"/>
      <c r="U848" s="213"/>
      <c r="V848" s="213"/>
      <c r="W848" s="213"/>
      <c r="X848" s="213"/>
      <c r="Y848" s="213"/>
      <c r="Z848" s="213"/>
      <c r="AA848" s="213"/>
      <c r="AB848" s="213"/>
      <c r="AC848" s="213"/>
      <c r="AD848" s="213"/>
      <c r="AE848" s="213"/>
      <c r="AF848" s="213"/>
      <c r="AG848" s="213"/>
      <c r="AH848" s="213"/>
      <c r="AI848" s="213"/>
      <c r="AJ848" s="213"/>
      <c r="AK848" s="213"/>
      <c r="AL848" s="213"/>
      <c r="AM848" s="302"/>
      <c r="AN848" s="302"/>
      <c r="AO848" s="303"/>
      <c r="AP848" s="285"/>
      <c r="AQ848" s="258"/>
      <c r="AR848" s="258"/>
    </row>
    <row r="849" spans="10:44" s="48" customFormat="1" ht="12" hidden="1" customHeight="1">
      <c r="J849" s="213"/>
      <c r="K849" s="213"/>
      <c r="L849" s="213"/>
      <c r="M849" s="213"/>
      <c r="N849" s="213"/>
      <c r="O849" s="213"/>
      <c r="P849" s="213"/>
      <c r="Q849" s="213"/>
      <c r="R849" s="213"/>
      <c r="S849" s="213"/>
      <c r="T849" s="213"/>
      <c r="U849" s="213"/>
      <c r="V849" s="213"/>
      <c r="W849" s="213"/>
      <c r="X849" s="213"/>
      <c r="Y849" s="213"/>
      <c r="Z849" s="213"/>
      <c r="AA849" s="213"/>
      <c r="AB849" s="213"/>
      <c r="AC849" s="213"/>
      <c r="AD849" s="213"/>
      <c r="AE849" s="213"/>
      <c r="AF849" s="213"/>
      <c r="AG849" s="213"/>
      <c r="AH849" s="213"/>
      <c r="AI849" s="213"/>
      <c r="AJ849" s="213"/>
      <c r="AK849" s="213"/>
      <c r="AL849" s="213"/>
      <c r="AM849" s="302"/>
      <c r="AN849" s="302"/>
      <c r="AO849" s="303"/>
      <c r="AP849" s="285"/>
      <c r="AQ849" s="258"/>
      <c r="AR849" s="258"/>
    </row>
    <row r="850" spans="10:44" s="48" customFormat="1" ht="12" hidden="1" customHeight="1">
      <c r="J850" s="213"/>
      <c r="K850" s="213"/>
      <c r="L850" s="213"/>
      <c r="M850" s="213"/>
      <c r="N850" s="213"/>
      <c r="O850" s="213"/>
      <c r="P850" s="213"/>
      <c r="Q850" s="213"/>
      <c r="R850" s="213"/>
      <c r="S850" s="213"/>
      <c r="T850" s="213"/>
      <c r="U850" s="213"/>
      <c r="V850" s="213"/>
      <c r="W850" s="213"/>
      <c r="X850" s="213"/>
      <c r="Y850" s="213"/>
      <c r="Z850" s="213"/>
      <c r="AA850" s="213"/>
      <c r="AB850" s="213"/>
      <c r="AC850" s="213"/>
      <c r="AD850" s="213"/>
      <c r="AE850" s="213"/>
      <c r="AF850" s="213"/>
      <c r="AG850" s="213"/>
      <c r="AH850" s="213"/>
      <c r="AI850" s="213"/>
      <c r="AJ850" s="213"/>
      <c r="AK850" s="213"/>
      <c r="AL850" s="213"/>
      <c r="AM850" s="302"/>
      <c r="AN850" s="302"/>
      <c r="AO850" s="303"/>
      <c r="AP850" s="285"/>
      <c r="AQ850" s="258"/>
      <c r="AR850" s="258"/>
    </row>
    <row r="851" spans="10:44" s="48" customFormat="1" ht="12" hidden="1" customHeight="1">
      <c r="J851" s="213"/>
      <c r="K851" s="213"/>
      <c r="L851" s="213"/>
      <c r="M851" s="213"/>
      <c r="N851" s="213"/>
      <c r="O851" s="213"/>
      <c r="P851" s="213"/>
      <c r="Q851" s="213"/>
      <c r="R851" s="213"/>
      <c r="S851" s="213"/>
      <c r="T851" s="213"/>
      <c r="U851" s="213"/>
      <c r="V851" s="213"/>
      <c r="W851" s="213"/>
      <c r="X851" s="213"/>
      <c r="Y851" s="213"/>
      <c r="Z851" s="213"/>
      <c r="AA851" s="213"/>
      <c r="AB851" s="213"/>
      <c r="AC851" s="213"/>
      <c r="AD851" s="213"/>
      <c r="AE851" s="213"/>
      <c r="AF851" s="213"/>
      <c r="AG851" s="213"/>
      <c r="AH851" s="213"/>
      <c r="AI851" s="213"/>
      <c r="AJ851" s="213"/>
      <c r="AK851" s="213"/>
      <c r="AL851" s="213"/>
      <c r="AM851" s="302"/>
      <c r="AN851" s="302"/>
      <c r="AO851" s="303"/>
      <c r="AP851" s="285"/>
      <c r="AQ851" s="258"/>
      <c r="AR851" s="258"/>
    </row>
    <row r="852" spans="10:44" s="48" customFormat="1" ht="12" hidden="1" customHeight="1">
      <c r="J852" s="213"/>
      <c r="K852" s="213"/>
      <c r="L852" s="213"/>
      <c r="M852" s="213"/>
      <c r="N852" s="213"/>
      <c r="O852" s="213"/>
      <c r="P852" s="213"/>
      <c r="Q852" s="213"/>
      <c r="R852" s="213"/>
      <c r="S852" s="213"/>
      <c r="T852" s="213"/>
      <c r="U852" s="213"/>
      <c r="V852" s="213"/>
      <c r="W852" s="213"/>
      <c r="X852" s="213"/>
      <c r="Y852" s="213"/>
      <c r="Z852" s="213"/>
      <c r="AA852" s="213"/>
      <c r="AB852" s="213"/>
      <c r="AC852" s="213"/>
      <c r="AD852" s="213"/>
      <c r="AE852" s="213"/>
      <c r="AF852" s="213"/>
      <c r="AG852" s="213"/>
      <c r="AH852" s="213"/>
      <c r="AI852" s="213"/>
      <c r="AJ852" s="213"/>
      <c r="AK852" s="213"/>
      <c r="AL852" s="213"/>
      <c r="AM852" s="302"/>
      <c r="AN852" s="302"/>
      <c r="AO852" s="303"/>
      <c r="AP852" s="285"/>
      <c r="AQ852" s="258"/>
      <c r="AR852" s="258"/>
    </row>
    <row r="853" spans="10:44" s="48" customFormat="1" ht="12" hidden="1" customHeight="1">
      <c r="J853" s="213"/>
      <c r="K853" s="213"/>
      <c r="L853" s="213"/>
      <c r="M853" s="213"/>
      <c r="N853" s="213"/>
      <c r="O853" s="213"/>
      <c r="P853" s="213"/>
      <c r="Q853" s="213"/>
      <c r="R853" s="213"/>
      <c r="S853" s="213"/>
      <c r="T853" s="213"/>
      <c r="U853" s="213"/>
      <c r="V853" s="213"/>
      <c r="W853" s="213"/>
      <c r="X853" s="213"/>
      <c r="Y853" s="213"/>
      <c r="Z853" s="213"/>
      <c r="AA853" s="213"/>
      <c r="AB853" s="213"/>
      <c r="AC853" s="213"/>
      <c r="AD853" s="213"/>
      <c r="AE853" s="213"/>
      <c r="AF853" s="213"/>
      <c r="AG853" s="213"/>
      <c r="AH853" s="213"/>
      <c r="AI853" s="213"/>
      <c r="AJ853" s="213"/>
      <c r="AK853" s="213"/>
      <c r="AL853" s="213"/>
      <c r="AM853" s="302"/>
      <c r="AN853" s="302"/>
      <c r="AO853" s="303"/>
      <c r="AP853" s="285"/>
      <c r="AQ853" s="258"/>
      <c r="AR853" s="258"/>
    </row>
    <row r="854" spans="10:44" s="48" customFormat="1" ht="12" hidden="1" customHeight="1">
      <c r="J854" s="213"/>
      <c r="K854" s="213"/>
      <c r="L854" s="213"/>
      <c r="M854" s="213"/>
      <c r="N854" s="213"/>
      <c r="O854" s="213"/>
      <c r="P854" s="213"/>
      <c r="Q854" s="213"/>
      <c r="R854" s="213"/>
      <c r="S854" s="213"/>
      <c r="T854" s="213"/>
      <c r="U854" s="213"/>
      <c r="V854" s="213"/>
      <c r="W854" s="213"/>
      <c r="X854" s="213"/>
      <c r="Y854" s="213"/>
      <c r="Z854" s="213"/>
      <c r="AA854" s="213"/>
      <c r="AB854" s="213"/>
      <c r="AC854" s="213"/>
      <c r="AD854" s="213"/>
      <c r="AE854" s="213"/>
      <c r="AF854" s="213"/>
      <c r="AG854" s="213"/>
      <c r="AH854" s="213"/>
      <c r="AI854" s="213"/>
      <c r="AJ854" s="213"/>
      <c r="AK854" s="213"/>
      <c r="AL854" s="213"/>
      <c r="AM854" s="302"/>
      <c r="AN854" s="302"/>
      <c r="AO854" s="303"/>
      <c r="AP854" s="285"/>
      <c r="AQ854" s="258"/>
      <c r="AR854" s="258"/>
    </row>
    <row r="855" spans="10:44" s="48" customFormat="1" ht="12" hidden="1" customHeight="1">
      <c r="J855" s="213"/>
      <c r="K855" s="213"/>
      <c r="L855" s="213"/>
      <c r="M855" s="213"/>
      <c r="N855" s="213"/>
      <c r="O855" s="213"/>
      <c r="P855" s="213"/>
      <c r="Q855" s="213"/>
      <c r="R855" s="213"/>
      <c r="S855" s="213"/>
      <c r="T855" s="213"/>
      <c r="U855" s="213"/>
      <c r="V855" s="213"/>
      <c r="W855" s="213"/>
      <c r="X855" s="213"/>
      <c r="Y855" s="213"/>
      <c r="Z855" s="213"/>
      <c r="AA855" s="213"/>
      <c r="AB855" s="213"/>
      <c r="AC855" s="213"/>
      <c r="AD855" s="213"/>
      <c r="AE855" s="213"/>
      <c r="AF855" s="213"/>
      <c r="AG855" s="213"/>
      <c r="AH855" s="213"/>
      <c r="AI855" s="213"/>
      <c r="AJ855" s="213"/>
      <c r="AK855" s="213"/>
      <c r="AL855" s="213"/>
      <c r="AM855" s="302"/>
      <c r="AN855" s="302"/>
      <c r="AO855" s="303"/>
      <c r="AP855" s="285"/>
      <c r="AQ855" s="258"/>
      <c r="AR855" s="258"/>
    </row>
    <row r="856" spans="10:44" s="48" customFormat="1" ht="12" hidden="1" customHeight="1">
      <c r="J856" s="213"/>
      <c r="K856" s="213"/>
      <c r="L856" s="213"/>
      <c r="M856" s="213"/>
      <c r="N856" s="213"/>
      <c r="O856" s="213"/>
      <c r="P856" s="213"/>
      <c r="Q856" s="213"/>
      <c r="R856" s="213"/>
      <c r="S856" s="213"/>
      <c r="T856" s="213"/>
      <c r="U856" s="213"/>
      <c r="V856" s="213"/>
      <c r="W856" s="213"/>
      <c r="X856" s="213"/>
      <c r="Y856" s="213"/>
      <c r="Z856" s="213"/>
      <c r="AA856" s="213"/>
      <c r="AB856" s="213"/>
      <c r="AC856" s="213"/>
      <c r="AD856" s="213"/>
      <c r="AE856" s="213"/>
      <c r="AF856" s="213"/>
      <c r="AG856" s="213"/>
      <c r="AH856" s="213"/>
      <c r="AI856" s="213"/>
      <c r="AJ856" s="213"/>
      <c r="AK856" s="213"/>
      <c r="AL856" s="213"/>
      <c r="AM856" s="302"/>
      <c r="AN856" s="302"/>
      <c r="AO856" s="303"/>
      <c r="AP856" s="285"/>
      <c r="AQ856" s="258"/>
      <c r="AR856" s="258"/>
    </row>
    <row r="857" spans="10:44" s="48" customFormat="1" ht="12" hidden="1" customHeight="1">
      <c r="J857" s="213"/>
      <c r="K857" s="213"/>
      <c r="L857" s="213"/>
      <c r="M857" s="213"/>
      <c r="N857" s="213"/>
      <c r="O857" s="213"/>
      <c r="P857" s="213"/>
      <c r="Q857" s="213"/>
      <c r="R857" s="213"/>
      <c r="S857" s="213"/>
      <c r="T857" s="213"/>
      <c r="U857" s="213"/>
      <c r="V857" s="213"/>
      <c r="W857" s="213"/>
      <c r="X857" s="213"/>
      <c r="Y857" s="213"/>
      <c r="Z857" s="213"/>
      <c r="AA857" s="213"/>
      <c r="AB857" s="213"/>
      <c r="AC857" s="213"/>
      <c r="AD857" s="213"/>
      <c r="AE857" s="213"/>
      <c r="AF857" s="213"/>
      <c r="AG857" s="213"/>
      <c r="AH857" s="213"/>
      <c r="AI857" s="213"/>
      <c r="AJ857" s="213"/>
      <c r="AK857" s="213"/>
      <c r="AL857" s="213"/>
      <c r="AM857" s="302"/>
      <c r="AN857" s="302"/>
      <c r="AO857" s="303"/>
      <c r="AP857" s="285"/>
      <c r="AQ857" s="258"/>
      <c r="AR857" s="258"/>
    </row>
    <row r="858" spans="10:44" s="48" customFormat="1" ht="12" hidden="1" customHeight="1">
      <c r="J858" s="213"/>
      <c r="K858" s="213"/>
      <c r="L858" s="213"/>
      <c r="M858" s="213"/>
      <c r="N858" s="213"/>
      <c r="O858" s="213"/>
      <c r="P858" s="213"/>
      <c r="Q858" s="213"/>
      <c r="R858" s="213"/>
      <c r="S858" s="213"/>
      <c r="T858" s="213"/>
      <c r="U858" s="213"/>
      <c r="V858" s="213"/>
      <c r="W858" s="213"/>
      <c r="X858" s="213"/>
      <c r="Y858" s="213"/>
      <c r="Z858" s="213"/>
      <c r="AA858" s="213"/>
      <c r="AB858" s="213"/>
      <c r="AC858" s="213"/>
      <c r="AD858" s="213"/>
      <c r="AE858" s="213"/>
      <c r="AF858" s="213"/>
      <c r="AG858" s="213"/>
      <c r="AH858" s="213"/>
      <c r="AI858" s="213"/>
      <c r="AJ858" s="213"/>
      <c r="AK858" s="213"/>
      <c r="AL858" s="213"/>
      <c r="AM858" s="302"/>
      <c r="AN858" s="302"/>
      <c r="AO858" s="303"/>
      <c r="AP858" s="285"/>
      <c r="AQ858" s="258"/>
      <c r="AR858" s="258"/>
    </row>
    <row r="859" spans="10:44" s="48" customFormat="1" ht="12" hidden="1" customHeight="1">
      <c r="J859" s="213"/>
      <c r="K859" s="213"/>
      <c r="L859" s="213"/>
      <c r="M859" s="213"/>
      <c r="N859" s="213"/>
      <c r="O859" s="213"/>
      <c r="P859" s="213"/>
      <c r="Q859" s="213"/>
      <c r="R859" s="213"/>
      <c r="S859" s="213"/>
      <c r="T859" s="213"/>
      <c r="U859" s="213"/>
      <c r="V859" s="213"/>
      <c r="W859" s="213"/>
      <c r="X859" s="213"/>
      <c r="Y859" s="213"/>
      <c r="Z859" s="213"/>
      <c r="AA859" s="213"/>
      <c r="AB859" s="213"/>
      <c r="AC859" s="213"/>
      <c r="AD859" s="213"/>
      <c r="AE859" s="213"/>
      <c r="AF859" s="213"/>
      <c r="AG859" s="213"/>
      <c r="AH859" s="213"/>
      <c r="AI859" s="213"/>
      <c r="AJ859" s="213"/>
      <c r="AK859" s="213"/>
      <c r="AL859" s="213"/>
      <c r="AM859" s="302"/>
      <c r="AN859" s="302"/>
      <c r="AO859" s="303"/>
      <c r="AP859" s="285"/>
      <c r="AQ859" s="258"/>
      <c r="AR859" s="258"/>
    </row>
    <row r="860" spans="10:44" s="48" customFormat="1" ht="12" hidden="1" customHeight="1">
      <c r="J860" s="213"/>
      <c r="K860" s="213"/>
      <c r="L860" s="213"/>
      <c r="M860" s="213"/>
      <c r="N860" s="213"/>
      <c r="O860" s="213"/>
      <c r="P860" s="213"/>
      <c r="Q860" s="213"/>
      <c r="R860" s="213"/>
      <c r="S860" s="213"/>
      <c r="T860" s="213"/>
      <c r="U860" s="213"/>
      <c r="V860" s="213"/>
      <c r="W860" s="213"/>
      <c r="X860" s="213"/>
      <c r="Y860" s="213"/>
      <c r="Z860" s="213"/>
      <c r="AA860" s="213"/>
      <c r="AB860" s="213"/>
      <c r="AC860" s="213"/>
      <c r="AD860" s="213"/>
      <c r="AE860" s="213"/>
      <c r="AF860" s="213"/>
      <c r="AG860" s="213"/>
      <c r="AH860" s="213"/>
      <c r="AI860" s="213"/>
      <c r="AJ860" s="213"/>
      <c r="AK860" s="213"/>
      <c r="AL860" s="213"/>
      <c r="AM860" s="302"/>
      <c r="AN860" s="302"/>
      <c r="AO860" s="303"/>
      <c r="AP860" s="285"/>
      <c r="AQ860" s="258"/>
      <c r="AR860" s="258"/>
    </row>
    <row r="861" spans="10:44" s="48" customFormat="1" ht="12" hidden="1" customHeight="1">
      <c r="J861" s="213"/>
      <c r="K861" s="213"/>
      <c r="L861" s="213"/>
      <c r="M861" s="213"/>
      <c r="N861" s="213"/>
      <c r="O861" s="213"/>
      <c r="P861" s="213"/>
      <c r="Q861" s="213"/>
      <c r="R861" s="213"/>
      <c r="S861" s="213"/>
      <c r="T861" s="213"/>
      <c r="U861" s="213"/>
      <c r="V861" s="213"/>
      <c r="W861" s="213"/>
      <c r="X861" s="213"/>
      <c r="Y861" s="213"/>
      <c r="Z861" s="213"/>
      <c r="AA861" s="213"/>
      <c r="AB861" s="213"/>
      <c r="AC861" s="213"/>
      <c r="AD861" s="213"/>
      <c r="AE861" s="213"/>
      <c r="AF861" s="213"/>
      <c r="AG861" s="213"/>
      <c r="AH861" s="213"/>
      <c r="AI861" s="213"/>
      <c r="AJ861" s="213"/>
      <c r="AK861" s="213"/>
      <c r="AL861" s="213"/>
      <c r="AM861" s="302"/>
      <c r="AN861" s="302"/>
      <c r="AO861" s="303"/>
      <c r="AP861" s="285"/>
      <c r="AQ861" s="258"/>
      <c r="AR861" s="258"/>
    </row>
    <row r="862" spans="10:44" s="48" customFormat="1" ht="12" hidden="1" customHeight="1">
      <c r="J862" s="213"/>
      <c r="K862" s="213"/>
      <c r="L862" s="213"/>
      <c r="M862" s="213"/>
      <c r="N862" s="213"/>
      <c r="O862" s="213"/>
      <c r="P862" s="213"/>
      <c r="Q862" s="213"/>
      <c r="R862" s="213"/>
      <c r="S862" s="213"/>
      <c r="T862" s="213"/>
      <c r="U862" s="213"/>
      <c r="V862" s="213"/>
      <c r="W862" s="213"/>
      <c r="X862" s="213"/>
      <c r="Y862" s="213"/>
      <c r="Z862" s="213"/>
      <c r="AA862" s="213"/>
      <c r="AB862" s="213"/>
      <c r="AC862" s="213"/>
      <c r="AD862" s="213"/>
      <c r="AE862" s="213"/>
      <c r="AF862" s="213"/>
      <c r="AG862" s="213"/>
      <c r="AH862" s="213"/>
      <c r="AI862" s="213"/>
      <c r="AJ862" s="213"/>
      <c r="AK862" s="213"/>
      <c r="AL862" s="213"/>
      <c r="AM862" s="302"/>
      <c r="AN862" s="302"/>
      <c r="AO862" s="303"/>
      <c r="AP862" s="285"/>
      <c r="AQ862" s="258"/>
      <c r="AR862" s="258"/>
    </row>
    <row r="863" spans="10:44" s="48" customFormat="1" ht="12" hidden="1" customHeight="1">
      <c r="J863" s="213"/>
      <c r="K863" s="213"/>
      <c r="L863" s="213"/>
      <c r="M863" s="213"/>
      <c r="N863" s="213"/>
      <c r="O863" s="213"/>
      <c r="P863" s="213"/>
      <c r="Q863" s="213"/>
      <c r="R863" s="213"/>
      <c r="S863" s="213"/>
      <c r="T863" s="213"/>
      <c r="U863" s="213"/>
      <c r="V863" s="213"/>
      <c r="W863" s="213"/>
      <c r="X863" s="213"/>
      <c r="Y863" s="213"/>
      <c r="Z863" s="213"/>
      <c r="AA863" s="213"/>
      <c r="AB863" s="213"/>
      <c r="AC863" s="213"/>
      <c r="AD863" s="213"/>
      <c r="AE863" s="213"/>
      <c r="AF863" s="213"/>
      <c r="AG863" s="213"/>
      <c r="AH863" s="213"/>
      <c r="AI863" s="213"/>
      <c r="AJ863" s="213"/>
      <c r="AK863" s="213"/>
      <c r="AL863" s="213"/>
      <c r="AM863" s="302"/>
      <c r="AN863" s="302"/>
      <c r="AO863" s="303"/>
      <c r="AP863" s="285"/>
      <c r="AQ863" s="258"/>
      <c r="AR863" s="258"/>
    </row>
    <row r="864" spans="10:44" s="48" customFormat="1" ht="12" hidden="1" customHeight="1">
      <c r="J864" s="213"/>
      <c r="K864" s="213"/>
      <c r="L864" s="213"/>
      <c r="M864" s="213"/>
      <c r="N864" s="213"/>
      <c r="O864" s="213"/>
      <c r="P864" s="213"/>
      <c r="Q864" s="213"/>
      <c r="R864" s="213"/>
      <c r="S864" s="213"/>
      <c r="T864" s="213"/>
      <c r="U864" s="213"/>
      <c r="V864" s="213"/>
      <c r="W864" s="213"/>
      <c r="X864" s="213"/>
      <c r="Y864" s="213"/>
      <c r="Z864" s="213"/>
      <c r="AA864" s="213"/>
      <c r="AB864" s="213"/>
      <c r="AC864" s="213"/>
      <c r="AD864" s="213"/>
      <c r="AE864" s="213"/>
      <c r="AF864" s="213"/>
      <c r="AG864" s="213"/>
      <c r="AH864" s="213"/>
      <c r="AI864" s="213"/>
      <c r="AJ864" s="213"/>
      <c r="AK864" s="213"/>
      <c r="AL864" s="213"/>
      <c r="AM864" s="302"/>
      <c r="AN864" s="302"/>
      <c r="AO864" s="303"/>
      <c r="AP864" s="285"/>
      <c r="AQ864" s="258"/>
      <c r="AR864" s="258"/>
    </row>
    <row r="865" spans="10:44" s="48" customFormat="1" ht="12" hidden="1" customHeight="1">
      <c r="J865" s="213"/>
      <c r="K865" s="213"/>
      <c r="L865" s="213"/>
      <c r="M865" s="213"/>
      <c r="N865" s="213"/>
      <c r="O865" s="213"/>
      <c r="P865" s="213"/>
      <c r="Q865" s="213"/>
      <c r="R865" s="213"/>
      <c r="S865" s="213"/>
      <c r="T865" s="213"/>
      <c r="U865" s="213"/>
      <c r="V865" s="213"/>
      <c r="W865" s="213"/>
      <c r="X865" s="213"/>
      <c r="Y865" s="213"/>
      <c r="Z865" s="213"/>
      <c r="AA865" s="213"/>
      <c r="AB865" s="213"/>
      <c r="AC865" s="213"/>
      <c r="AD865" s="213"/>
      <c r="AE865" s="213"/>
      <c r="AF865" s="213"/>
      <c r="AG865" s="213"/>
      <c r="AH865" s="213"/>
      <c r="AI865" s="213"/>
      <c r="AJ865" s="213"/>
      <c r="AK865" s="213"/>
      <c r="AL865" s="213"/>
      <c r="AM865" s="302"/>
      <c r="AN865" s="302"/>
      <c r="AO865" s="303"/>
      <c r="AP865" s="285"/>
      <c r="AQ865" s="258"/>
      <c r="AR865" s="258"/>
    </row>
    <row r="866" spans="10:44" s="48" customFormat="1" ht="12" hidden="1" customHeight="1">
      <c r="J866" s="213"/>
      <c r="K866" s="213"/>
      <c r="L866" s="213"/>
      <c r="M866" s="213"/>
      <c r="N866" s="213"/>
      <c r="O866" s="213"/>
      <c r="P866" s="213"/>
      <c r="Q866" s="213"/>
      <c r="R866" s="213"/>
      <c r="S866" s="213"/>
      <c r="T866" s="213"/>
      <c r="U866" s="213"/>
      <c r="V866" s="213"/>
      <c r="W866" s="213"/>
      <c r="X866" s="213"/>
      <c r="Y866" s="213"/>
      <c r="Z866" s="213"/>
      <c r="AA866" s="213"/>
      <c r="AB866" s="213"/>
      <c r="AC866" s="213"/>
      <c r="AD866" s="213"/>
      <c r="AE866" s="213"/>
      <c r="AF866" s="213"/>
      <c r="AG866" s="213"/>
      <c r="AH866" s="213"/>
      <c r="AI866" s="213"/>
      <c r="AJ866" s="213"/>
      <c r="AK866" s="213"/>
      <c r="AL866" s="213"/>
      <c r="AM866" s="302"/>
      <c r="AN866" s="302"/>
      <c r="AO866" s="303"/>
      <c r="AP866" s="285"/>
      <c r="AQ866" s="258"/>
      <c r="AR866" s="258"/>
    </row>
    <row r="867" spans="10:44" s="48" customFormat="1" ht="12" hidden="1" customHeight="1">
      <c r="J867" s="213"/>
      <c r="K867" s="213"/>
      <c r="L867" s="213"/>
      <c r="M867" s="213"/>
      <c r="N867" s="213"/>
      <c r="O867" s="213"/>
      <c r="P867" s="213"/>
      <c r="Q867" s="213"/>
      <c r="R867" s="213"/>
      <c r="S867" s="213"/>
      <c r="T867" s="213"/>
      <c r="U867" s="213"/>
      <c r="V867" s="213"/>
      <c r="W867" s="213"/>
      <c r="X867" s="213"/>
      <c r="Y867" s="213"/>
      <c r="Z867" s="213"/>
      <c r="AA867" s="213"/>
      <c r="AB867" s="213"/>
      <c r="AC867" s="213"/>
      <c r="AD867" s="213"/>
      <c r="AE867" s="213"/>
      <c r="AF867" s="213"/>
      <c r="AG867" s="213"/>
      <c r="AH867" s="213"/>
      <c r="AI867" s="213"/>
      <c r="AJ867" s="213"/>
      <c r="AK867" s="213"/>
      <c r="AL867" s="213"/>
      <c r="AM867" s="302"/>
      <c r="AN867" s="302"/>
      <c r="AO867" s="303"/>
      <c r="AP867" s="285"/>
      <c r="AQ867" s="258"/>
      <c r="AR867" s="258"/>
    </row>
    <row r="868" spans="10:44" s="48" customFormat="1" ht="12" hidden="1" customHeight="1">
      <c r="J868" s="213"/>
      <c r="K868" s="213"/>
      <c r="L868" s="213"/>
      <c r="M868" s="213"/>
      <c r="N868" s="213"/>
      <c r="O868" s="213"/>
      <c r="P868" s="213"/>
      <c r="Q868" s="213"/>
      <c r="R868" s="213"/>
      <c r="S868" s="213"/>
      <c r="T868" s="213"/>
      <c r="U868" s="213"/>
      <c r="V868" s="213"/>
      <c r="W868" s="213"/>
      <c r="X868" s="213"/>
      <c r="Y868" s="213"/>
      <c r="Z868" s="213"/>
      <c r="AA868" s="213"/>
      <c r="AB868" s="213"/>
      <c r="AC868" s="213"/>
      <c r="AD868" s="213"/>
      <c r="AE868" s="213"/>
      <c r="AF868" s="213"/>
      <c r="AG868" s="213"/>
      <c r="AH868" s="213"/>
      <c r="AI868" s="213"/>
      <c r="AJ868" s="213"/>
      <c r="AK868" s="213"/>
      <c r="AL868" s="213"/>
      <c r="AM868" s="302"/>
      <c r="AN868" s="302"/>
      <c r="AO868" s="303"/>
      <c r="AP868" s="285"/>
      <c r="AQ868" s="258"/>
      <c r="AR868" s="258"/>
    </row>
    <row r="869" spans="10:44" s="48" customFormat="1" ht="12" hidden="1" customHeight="1">
      <c r="J869" s="213"/>
      <c r="K869" s="213"/>
      <c r="L869" s="213"/>
      <c r="M869" s="213"/>
      <c r="N869" s="213"/>
      <c r="O869" s="213"/>
      <c r="P869" s="213"/>
      <c r="Q869" s="213"/>
      <c r="R869" s="213"/>
      <c r="S869" s="213"/>
      <c r="T869" s="213"/>
      <c r="U869" s="213"/>
      <c r="V869" s="213"/>
      <c r="W869" s="213"/>
      <c r="X869" s="213"/>
      <c r="Y869" s="213"/>
      <c r="Z869" s="213"/>
      <c r="AA869" s="213"/>
      <c r="AB869" s="213"/>
      <c r="AC869" s="213"/>
      <c r="AD869" s="213"/>
      <c r="AE869" s="213"/>
      <c r="AF869" s="213"/>
      <c r="AG869" s="213"/>
      <c r="AH869" s="213"/>
      <c r="AI869" s="213"/>
      <c r="AJ869" s="213"/>
      <c r="AK869" s="213"/>
      <c r="AL869" s="213"/>
      <c r="AM869" s="302"/>
      <c r="AN869" s="302"/>
      <c r="AO869" s="303"/>
      <c r="AP869" s="285"/>
      <c r="AQ869" s="258"/>
      <c r="AR869" s="258"/>
    </row>
    <row r="870" spans="10:44" s="48" customFormat="1" ht="12" hidden="1" customHeight="1">
      <c r="J870" s="213"/>
      <c r="K870" s="213"/>
      <c r="L870" s="213"/>
      <c r="M870" s="213"/>
      <c r="N870" s="213"/>
      <c r="O870" s="213"/>
      <c r="P870" s="213"/>
      <c r="Q870" s="213"/>
      <c r="R870" s="213"/>
      <c r="S870" s="213"/>
      <c r="T870" s="213"/>
      <c r="U870" s="213"/>
      <c r="V870" s="213"/>
      <c r="W870" s="213"/>
      <c r="X870" s="213"/>
      <c r="Y870" s="213"/>
      <c r="Z870" s="213"/>
      <c r="AA870" s="213"/>
      <c r="AB870" s="213"/>
      <c r="AC870" s="213"/>
      <c r="AD870" s="213"/>
      <c r="AE870" s="213"/>
      <c r="AF870" s="213"/>
      <c r="AG870" s="213"/>
      <c r="AH870" s="213"/>
      <c r="AI870" s="213"/>
      <c r="AJ870" s="213"/>
      <c r="AK870" s="213"/>
      <c r="AL870" s="213"/>
      <c r="AM870" s="302"/>
      <c r="AN870" s="302"/>
      <c r="AO870" s="303"/>
      <c r="AP870" s="285"/>
      <c r="AQ870" s="258"/>
      <c r="AR870" s="258"/>
    </row>
    <row r="871" spans="10:44" s="48" customFormat="1" ht="12" hidden="1" customHeight="1">
      <c r="J871" s="213"/>
      <c r="K871" s="213"/>
      <c r="L871" s="213"/>
      <c r="M871" s="213"/>
      <c r="N871" s="213"/>
      <c r="O871" s="213"/>
      <c r="P871" s="213"/>
      <c r="Q871" s="213"/>
      <c r="R871" s="213"/>
      <c r="S871" s="213"/>
      <c r="T871" s="213"/>
      <c r="U871" s="213"/>
      <c r="V871" s="213"/>
      <c r="W871" s="213"/>
      <c r="X871" s="213"/>
      <c r="Y871" s="213"/>
      <c r="Z871" s="213"/>
      <c r="AA871" s="213"/>
      <c r="AB871" s="213"/>
      <c r="AC871" s="213"/>
      <c r="AD871" s="213"/>
      <c r="AE871" s="213"/>
      <c r="AF871" s="213"/>
      <c r="AG871" s="213"/>
      <c r="AH871" s="213"/>
      <c r="AI871" s="213"/>
      <c r="AJ871" s="213"/>
      <c r="AK871" s="213"/>
      <c r="AL871" s="213"/>
      <c r="AM871" s="302"/>
      <c r="AN871" s="302"/>
      <c r="AO871" s="303"/>
      <c r="AP871" s="285"/>
      <c r="AQ871" s="258"/>
      <c r="AR871" s="258"/>
    </row>
    <row r="872" spans="10:44" s="48" customFormat="1" ht="12" hidden="1" customHeight="1">
      <c r="J872" s="213"/>
      <c r="K872" s="213"/>
      <c r="L872" s="213"/>
      <c r="M872" s="213"/>
      <c r="N872" s="213"/>
      <c r="O872" s="213"/>
      <c r="P872" s="213"/>
      <c r="Q872" s="213"/>
      <c r="R872" s="213"/>
      <c r="S872" s="213"/>
      <c r="T872" s="213"/>
      <c r="U872" s="213"/>
      <c r="V872" s="213"/>
      <c r="W872" s="213"/>
      <c r="X872" s="213"/>
      <c r="Y872" s="213"/>
      <c r="Z872" s="213"/>
      <c r="AA872" s="213"/>
      <c r="AB872" s="213"/>
      <c r="AC872" s="213"/>
      <c r="AD872" s="213"/>
      <c r="AE872" s="213"/>
      <c r="AF872" s="213"/>
      <c r="AG872" s="213"/>
      <c r="AH872" s="213"/>
      <c r="AI872" s="213"/>
      <c r="AJ872" s="213"/>
      <c r="AK872" s="213"/>
      <c r="AL872" s="213"/>
      <c r="AM872" s="302"/>
      <c r="AN872" s="302"/>
      <c r="AO872" s="303"/>
      <c r="AP872" s="285"/>
      <c r="AQ872" s="258"/>
      <c r="AR872" s="258"/>
    </row>
    <row r="873" spans="10:44" s="48" customFormat="1" ht="12" hidden="1" customHeight="1">
      <c r="J873" s="213"/>
      <c r="K873" s="213"/>
      <c r="L873" s="213"/>
      <c r="M873" s="213"/>
      <c r="N873" s="213"/>
      <c r="O873" s="213"/>
      <c r="P873" s="213"/>
      <c r="Q873" s="213"/>
      <c r="R873" s="213"/>
      <c r="S873" s="213"/>
      <c r="T873" s="213"/>
      <c r="U873" s="213"/>
      <c r="V873" s="213"/>
      <c r="W873" s="213"/>
      <c r="X873" s="213"/>
      <c r="Y873" s="213"/>
      <c r="Z873" s="213"/>
      <c r="AA873" s="213"/>
      <c r="AB873" s="213"/>
      <c r="AC873" s="213"/>
      <c r="AD873" s="213"/>
      <c r="AE873" s="213"/>
      <c r="AF873" s="213"/>
      <c r="AG873" s="213"/>
      <c r="AH873" s="213"/>
      <c r="AI873" s="213"/>
      <c r="AJ873" s="213"/>
      <c r="AK873" s="213"/>
      <c r="AL873" s="213"/>
      <c r="AM873" s="302"/>
      <c r="AN873" s="302"/>
      <c r="AO873" s="303"/>
      <c r="AP873" s="285"/>
      <c r="AQ873" s="258"/>
      <c r="AR873" s="258"/>
    </row>
    <row r="874" spans="10:44" s="48" customFormat="1" ht="12" hidden="1" customHeight="1">
      <c r="J874" s="213"/>
      <c r="K874" s="213"/>
      <c r="L874" s="213"/>
      <c r="M874" s="213"/>
      <c r="N874" s="213"/>
      <c r="O874" s="213"/>
      <c r="P874" s="213"/>
      <c r="Q874" s="213"/>
      <c r="R874" s="213"/>
      <c r="S874" s="213"/>
      <c r="T874" s="213"/>
      <c r="U874" s="213"/>
      <c r="V874" s="213"/>
      <c r="W874" s="213"/>
      <c r="X874" s="213"/>
      <c r="Y874" s="213"/>
      <c r="Z874" s="213"/>
      <c r="AA874" s="213"/>
      <c r="AB874" s="213"/>
      <c r="AC874" s="213"/>
      <c r="AD874" s="213"/>
      <c r="AE874" s="213"/>
      <c r="AF874" s="213"/>
      <c r="AG874" s="213"/>
      <c r="AH874" s="213"/>
      <c r="AI874" s="213"/>
      <c r="AJ874" s="213"/>
      <c r="AK874" s="213"/>
      <c r="AL874" s="213"/>
      <c r="AM874" s="302"/>
      <c r="AN874" s="302"/>
      <c r="AO874" s="303"/>
      <c r="AP874" s="285"/>
      <c r="AQ874" s="258"/>
      <c r="AR874" s="258"/>
    </row>
    <row r="875" spans="10:44" s="48" customFormat="1" ht="12" hidden="1" customHeight="1">
      <c r="J875" s="213"/>
      <c r="K875" s="213"/>
      <c r="L875" s="213"/>
      <c r="M875" s="213"/>
      <c r="N875" s="213"/>
      <c r="O875" s="213"/>
      <c r="P875" s="213"/>
      <c r="Q875" s="213"/>
      <c r="R875" s="213"/>
      <c r="S875" s="213"/>
      <c r="T875" s="213"/>
      <c r="U875" s="213"/>
      <c r="V875" s="213"/>
      <c r="W875" s="213"/>
      <c r="X875" s="213"/>
      <c r="Y875" s="213"/>
      <c r="Z875" s="213"/>
      <c r="AA875" s="213"/>
      <c r="AB875" s="213"/>
      <c r="AC875" s="213"/>
      <c r="AD875" s="213"/>
      <c r="AE875" s="213"/>
      <c r="AF875" s="213"/>
      <c r="AG875" s="213"/>
      <c r="AH875" s="213"/>
      <c r="AI875" s="213"/>
      <c r="AJ875" s="213"/>
      <c r="AK875" s="213"/>
      <c r="AL875" s="213"/>
      <c r="AM875" s="302"/>
      <c r="AN875" s="302"/>
      <c r="AO875" s="303"/>
      <c r="AP875" s="285"/>
      <c r="AQ875" s="258"/>
      <c r="AR875" s="258"/>
    </row>
    <row r="876" spans="10:44" s="48" customFormat="1" ht="12" hidden="1" customHeight="1">
      <c r="J876" s="213"/>
      <c r="K876" s="213"/>
      <c r="L876" s="213"/>
      <c r="M876" s="213"/>
      <c r="N876" s="213"/>
      <c r="O876" s="213"/>
      <c r="P876" s="213"/>
      <c r="Q876" s="213"/>
      <c r="R876" s="213"/>
      <c r="S876" s="213"/>
      <c r="T876" s="213"/>
      <c r="U876" s="213"/>
      <c r="V876" s="213"/>
      <c r="W876" s="213"/>
      <c r="X876" s="213"/>
      <c r="Y876" s="213"/>
      <c r="Z876" s="213"/>
      <c r="AA876" s="213"/>
      <c r="AB876" s="213"/>
      <c r="AC876" s="213"/>
      <c r="AD876" s="213"/>
      <c r="AE876" s="213"/>
      <c r="AF876" s="213"/>
      <c r="AG876" s="213"/>
      <c r="AH876" s="213"/>
      <c r="AI876" s="213"/>
      <c r="AJ876" s="213"/>
      <c r="AK876" s="213"/>
      <c r="AL876" s="213"/>
      <c r="AM876" s="302"/>
      <c r="AN876" s="302"/>
      <c r="AO876" s="303"/>
      <c r="AP876" s="285"/>
      <c r="AQ876" s="258"/>
      <c r="AR876" s="258"/>
    </row>
    <row r="877" spans="10:44" s="48" customFormat="1" ht="12" hidden="1" customHeight="1">
      <c r="J877" s="213"/>
      <c r="K877" s="213"/>
      <c r="L877" s="213"/>
      <c r="M877" s="213"/>
      <c r="N877" s="213"/>
      <c r="O877" s="213"/>
      <c r="P877" s="213"/>
      <c r="Q877" s="213"/>
      <c r="R877" s="213"/>
      <c r="S877" s="213"/>
      <c r="T877" s="213"/>
      <c r="U877" s="213"/>
      <c r="V877" s="213"/>
      <c r="W877" s="213"/>
      <c r="X877" s="213"/>
      <c r="Y877" s="213"/>
      <c r="Z877" s="213"/>
      <c r="AA877" s="213"/>
      <c r="AB877" s="213"/>
      <c r="AC877" s="213"/>
      <c r="AD877" s="213"/>
      <c r="AE877" s="213"/>
      <c r="AF877" s="213"/>
      <c r="AG877" s="213"/>
      <c r="AH877" s="213"/>
      <c r="AI877" s="213"/>
      <c r="AJ877" s="213"/>
      <c r="AK877" s="213"/>
      <c r="AL877" s="213"/>
      <c r="AM877" s="302"/>
      <c r="AN877" s="302"/>
      <c r="AO877" s="303"/>
      <c r="AP877" s="285"/>
      <c r="AQ877" s="258"/>
      <c r="AR877" s="258"/>
    </row>
    <row r="878" spans="10:44" s="48" customFormat="1" ht="12" hidden="1" customHeight="1">
      <c r="J878" s="213"/>
      <c r="K878" s="213"/>
      <c r="L878" s="213"/>
      <c r="M878" s="213"/>
      <c r="N878" s="213"/>
      <c r="O878" s="213"/>
      <c r="P878" s="213"/>
      <c r="Q878" s="213"/>
      <c r="R878" s="213"/>
      <c r="S878" s="213"/>
      <c r="T878" s="213"/>
      <c r="U878" s="213"/>
      <c r="V878" s="213"/>
      <c r="W878" s="213"/>
      <c r="X878" s="213"/>
      <c r="Y878" s="213"/>
      <c r="Z878" s="213"/>
      <c r="AA878" s="213"/>
      <c r="AB878" s="213"/>
      <c r="AC878" s="213"/>
      <c r="AD878" s="213"/>
      <c r="AE878" s="213"/>
      <c r="AF878" s="213"/>
      <c r="AG878" s="213"/>
      <c r="AH878" s="213"/>
      <c r="AI878" s="213"/>
      <c r="AJ878" s="213"/>
      <c r="AK878" s="213"/>
      <c r="AL878" s="213"/>
      <c r="AM878" s="302"/>
      <c r="AN878" s="302"/>
      <c r="AO878" s="303"/>
      <c r="AP878" s="285"/>
      <c r="AQ878" s="258"/>
      <c r="AR878" s="258"/>
    </row>
    <row r="879" spans="10:44" s="48" customFormat="1" ht="12" hidden="1" customHeight="1">
      <c r="J879" s="213"/>
      <c r="K879" s="213"/>
      <c r="L879" s="213"/>
      <c r="M879" s="213"/>
      <c r="N879" s="213"/>
      <c r="O879" s="213"/>
      <c r="P879" s="213"/>
      <c r="Q879" s="213"/>
      <c r="R879" s="213"/>
      <c r="S879" s="213"/>
      <c r="T879" s="213"/>
      <c r="U879" s="213"/>
      <c r="V879" s="213"/>
      <c r="W879" s="213"/>
      <c r="X879" s="213"/>
      <c r="Y879" s="213"/>
      <c r="Z879" s="213"/>
      <c r="AA879" s="213"/>
      <c r="AB879" s="213"/>
      <c r="AC879" s="213"/>
      <c r="AD879" s="213"/>
      <c r="AE879" s="213"/>
      <c r="AF879" s="213"/>
      <c r="AG879" s="213"/>
      <c r="AH879" s="213"/>
      <c r="AI879" s="213"/>
      <c r="AJ879" s="213"/>
      <c r="AK879" s="213"/>
      <c r="AL879" s="213"/>
      <c r="AM879" s="302"/>
      <c r="AN879" s="302"/>
      <c r="AO879" s="303"/>
      <c r="AP879" s="285"/>
      <c r="AQ879" s="258"/>
      <c r="AR879" s="258"/>
    </row>
    <row r="880" spans="10:44" s="48" customFormat="1" ht="12" hidden="1" customHeight="1">
      <c r="J880" s="213"/>
      <c r="K880" s="213"/>
      <c r="L880" s="213"/>
      <c r="M880" s="213"/>
      <c r="N880" s="213"/>
      <c r="O880" s="213"/>
      <c r="P880" s="213"/>
      <c r="Q880" s="213"/>
      <c r="R880" s="213"/>
      <c r="S880" s="213"/>
      <c r="T880" s="213"/>
      <c r="U880" s="213"/>
      <c r="V880" s="213"/>
      <c r="W880" s="213"/>
      <c r="X880" s="213"/>
      <c r="Y880" s="213"/>
      <c r="Z880" s="213"/>
      <c r="AA880" s="213"/>
      <c r="AB880" s="213"/>
      <c r="AC880" s="213"/>
      <c r="AD880" s="213"/>
      <c r="AE880" s="213"/>
      <c r="AF880" s="213"/>
      <c r="AG880" s="213"/>
      <c r="AH880" s="213"/>
      <c r="AI880" s="213"/>
      <c r="AJ880" s="213"/>
      <c r="AK880" s="213"/>
      <c r="AL880" s="213"/>
      <c r="AM880" s="302"/>
      <c r="AN880" s="302"/>
      <c r="AO880" s="303"/>
      <c r="AP880" s="285"/>
      <c r="AQ880" s="258"/>
      <c r="AR880" s="258"/>
    </row>
    <row r="881" spans="10:44" s="48" customFormat="1" ht="12" hidden="1" customHeight="1">
      <c r="J881" s="213"/>
      <c r="K881" s="213"/>
      <c r="L881" s="213"/>
      <c r="M881" s="213"/>
      <c r="N881" s="213"/>
      <c r="O881" s="213"/>
      <c r="P881" s="213"/>
      <c r="Q881" s="213"/>
      <c r="R881" s="213"/>
      <c r="S881" s="213"/>
      <c r="T881" s="213"/>
      <c r="U881" s="213"/>
      <c r="V881" s="213"/>
      <c r="W881" s="213"/>
      <c r="X881" s="213"/>
      <c r="Y881" s="213"/>
      <c r="Z881" s="213"/>
      <c r="AA881" s="213"/>
      <c r="AB881" s="213"/>
      <c r="AC881" s="213"/>
      <c r="AD881" s="213"/>
      <c r="AE881" s="213"/>
      <c r="AF881" s="213"/>
      <c r="AG881" s="213"/>
      <c r="AH881" s="213"/>
      <c r="AI881" s="213"/>
      <c r="AJ881" s="213"/>
      <c r="AK881" s="213"/>
      <c r="AL881" s="213"/>
      <c r="AM881" s="302"/>
      <c r="AN881" s="302"/>
      <c r="AO881" s="303"/>
      <c r="AP881" s="285"/>
      <c r="AQ881" s="258"/>
      <c r="AR881" s="258"/>
    </row>
    <row r="882" spans="10:44" s="48" customFormat="1" ht="12" hidden="1" customHeight="1">
      <c r="J882" s="213"/>
      <c r="K882" s="213"/>
      <c r="L882" s="213"/>
      <c r="M882" s="213"/>
      <c r="N882" s="213"/>
      <c r="O882" s="213"/>
      <c r="P882" s="213"/>
      <c r="Q882" s="213"/>
      <c r="R882" s="213"/>
      <c r="S882" s="213"/>
      <c r="T882" s="213"/>
      <c r="U882" s="213"/>
      <c r="V882" s="213"/>
      <c r="W882" s="213"/>
      <c r="X882" s="213"/>
      <c r="Y882" s="213"/>
      <c r="Z882" s="213"/>
      <c r="AA882" s="213"/>
      <c r="AB882" s="213"/>
      <c r="AC882" s="213"/>
      <c r="AD882" s="213"/>
      <c r="AE882" s="213"/>
      <c r="AF882" s="213"/>
      <c r="AG882" s="213"/>
      <c r="AH882" s="213"/>
      <c r="AI882" s="213"/>
      <c r="AJ882" s="213"/>
      <c r="AK882" s="213"/>
      <c r="AL882" s="213"/>
      <c r="AM882" s="302"/>
      <c r="AN882" s="302"/>
      <c r="AO882" s="303"/>
      <c r="AP882" s="285"/>
      <c r="AQ882" s="258"/>
      <c r="AR882" s="258"/>
    </row>
    <row r="883" spans="10:44" s="48" customFormat="1" ht="12" hidden="1" customHeight="1">
      <c r="J883" s="213"/>
      <c r="K883" s="213"/>
      <c r="L883" s="213"/>
      <c r="M883" s="213"/>
      <c r="N883" s="213"/>
      <c r="O883" s="213"/>
      <c r="P883" s="213"/>
      <c r="Q883" s="213"/>
      <c r="R883" s="213"/>
      <c r="S883" s="213"/>
      <c r="T883" s="213"/>
      <c r="U883" s="213"/>
      <c r="V883" s="213"/>
      <c r="W883" s="213"/>
      <c r="X883" s="213"/>
      <c r="Y883" s="213"/>
      <c r="Z883" s="213"/>
      <c r="AA883" s="213"/>
      <c r="AB883" s="213"/>
      <c r="AC883" s="213"/>
      <c r="AD883" s="213"/>
      <c r="AE883" s="213"/>
      <c r="AF883" s="213"/>
      <c r="AG883" s="213"/>
      <c r="AH883" s="213"/>
      <c r="AI883" s="213"/>
      <c r="AJ883" s="213"/>
      <c r="AK883" s="213"/>
      <c r="AL883" s="213"/>
      <c r="AM883" s="302"/>
      <c r="AN883" s="302"/>
      <c r="AO883" s="303"/>
      <c r="AP883" s="285"/>
      <c r="AQ883" s="258"/>
      <c r="AR883" s="258"/>
    </row>
    <row r="884" spans="10:44" s="48" customFormat="1" ht="12" hidden="1" customHeight="1">
      <c r="J884" s="213"/>
      <c r="K884" s="213"/>
      <c r="L884" s="213"/>
      <c r="M884" s="213"/>
      <c r="N884" s="213"/>
      <c r="O884" s="213"/>
      <c r="P884" s="213"/>
      <c r="Q884" s="213"/>
      <c r="R884" s="213"/>
      <c r="S884" s="213"/>
      <c r="T884" s="213"/>
      <c r="U884" s="213"/>
      <c r="V884" s="213"/>
      <c r="W884" s="213"/>
      <c r="X884" s="213"/>
      <c r="Y884" s="213"/>
      <c r="Z884" s="213"/>
      <c r="AA884" s="213"/>
      <c r="AB884" s="213"/>
      <c r="AC884" s="213"/>
      <c r="AD884" s="213"/>
      <c r="AE884" s="213"/>
      <c r="AF884" s="213"/>
      <c r="AG884" s="213"/>
      <c r="AH884" s="213"/>
      <c r="AI884" s="213"/>
      <c r="AJ884" s="213"/>
      <c r="AK884" s="213"/>
      <c r="AL884" s="213"/>
      <c r="AM884" s="302"/>
      <c r="AN884" s="302"/>
      <c r="AO884" s="303"/>
      <c r="AP884" s="285"/>
      <c r="AQ884" s="258"/>
      <c r="AR884" s="258"/>
    </row>
    <row r="885" spans="10:44" s="48" customFormat="1" ht="12" hidden="1" customHeight="1">
      <c r="J885" s="213"/>
      <c r="K885" s="213"/>
      <c r="L885" s="213"/>
      <c r="M885" s="213"/>
      <c r="N885" s="213"/>
      <c r="O885" s="213"/>
      <c r="P885" s="213"/>
      <c r="Q885" s="213"/>
      <c r="R885" s="213"/>
      <c r="S885" s="213"/>
      <c r="T885" s="213"/>
      <c r="U885" s="213"/>
      <c r="V885" s="213"/>
      <c r="W885" s="213"/>
      <c r="X885" s="213"/>
      <c r="Y885" s="213"/>
      <c r="Z885" s="213"/>
      <c r="AA885" s="213"/>
      <c r="AB885" s="213"/>
      <c r="AC885" s="213"/>
      <c r="AD885" s="213"/>
      <c r="AE885" s="213"/>
      <c r="AF885" s="213"/>
      <c r="AG885" s="213"/>
      <c r="AH885" s="213"/>
      <c r="AI885" s="213"/>
      <c r="AJ885" s="213"/>
      <c r="AK885" s="213"/>
      <c r="AL885" s="213"/>
      <c r="AM885" s="302"/>
      <c r="AN885" s="302"/>
      <c r="AO885" s="303"/>
      <c r="AP885" s="285"/>
      <c r="AQ885" s="258"/>
      <c r="AR885" s="258"/>
    </row>
    <row r="886" spans="10:44" s="48" customFormat="1" ht="12" hidden="1" customHeight="1">
      <c r="J886" s="213"/>
      <c r="K886" s="213"/>
      <c r="L886" s="213"/>
      <c r="M886" s="213"/>
      <c r="N886" s="213"/>
      <c r="O886" s="213"/>
      <c r="P886" s="213"/>
      <c r="Q886" s="213"/>
      <c r="R886" s="213"/>
      <c r="S886" s="213"/>
      <c r="T886" s="213"/>
      <c r="U886" s="213"/>
      <c r="V886" s="213"/>
      <c r="W886" s="213"/>
      <c r="X886" s="213"/>
      <c r="Y886" s="213"/>
      <c r="Z886" s="213"/>
      <c r="AA886" s="213"/>
      <c r="AB886" s="213"/>
      <c r="AC886" s="213"/>
      <c r="AD886" s="213"/>
      <c r="AE886" s="213"/>
      <c r="AF886" s="213"/>
      <c r="AG886" s="213"/>
      <c r="AH886" s="213"/>
      <c r="AI886" s="213"/>
      <c r="AJ886" s="213"/>
      <c r="AK886" s="213"/>
      <c r="AL886" s="213"/>
      <c r="AM886" s="302"/>
      <c r="AN886" s="302"/>
      <c r="AO886" s="303"/>
      <c r="AP886" s="285"/>
      <c r="AQ886" s="258"/>
      <c r="AR886" s="258"/>
    </row>
    <row r="887" spans="10:44" s="48" customFormat="1" ht="12" hidden="1" customHeight="1">
      <c r="J887" s="213"/>
      <c r="K887" s="213"/>
      <c r="L887" s="213"/>
      <c r="M887" s="213"/>
      <c r="N887" s="213"/>
      <c r="O887" s="213"/>
      <c r="P887" s="213"/>
      <c r="Q887" s="213"/>
      <c r="R887" s="213"/>
      <c r="S887" s="213"/>
      <c r="T887" s="213"/>
      <c r="U887" s="213"/>
      <c r="V887" s="213"/>
      <c r="W887" s="213"/>
      <c r="X887" s="213"/>
      <c r="Y887" s="213"/>
      <c r="Z887" s="213"/>
      <c r="AA887" s="213"/>
      <c r="AB887" s="213"/>
      <c r="AC887" s="213"/>
      <c r="AD887" s="213"/>
      <c r="AE887" s="213"/>
      <c r="AF887" s="213"/>
      <c r="AG887" s="213"/>
      <c r="AH887" s="213"/>
      <c r="AI887" s="213"/>
      <c r="AJ887" s="213"/>
      <c r="AK887" s="213"/>
      <c r="AL887" s="213"/>
      <c r="AM887" s="302"/>
      <c r="AN887" s="302"/>
      <c r="AO887" s="303"/>
      <c r="AP887" s="285"/>
      <c r="AQ887" s="258"/>
      <c r="AR887" s="258"/>
    </row>
    <row r="888" spans="10:44" s="48" customFormat="1" ht="12" hidden="1" customHeight="1">
      <c r="J888" s="213"/>
      <c r="K888" s="213"/>
      <c r="L888" s="213"/>
      <c r="M888" s="213"/>
      <c r="N888" s="213"/>
      <c r="O888" s="213"/>
      <c r="P888" s="213"/>
      <c r="Q888" s="213"/>
      <c r="R888" s="213"/>
      <c r="S888" s="213"/>
      <c r="T888" s="213"/>
      <c r="U888" s="213"/>
      <c r="V888" s="213"/>
      <c r="W888" s="213"/>
      <c r="X888" s="213"/>
      <c r="Y888" s="213"/>
      <c r="Z888" s="213"/>
      <c r="AA888" s="213"/>
      <c r="AB888" s="213"/>
      <c r="AC888" s="213"/>
      <c r="AD888" s="213"/>
      <c r="AE888" s="213"/>
      <c r="AF888" s="213"/>
      <c r="AG888" s="213"/>
      <c r="AH888" s="213"/>
      <c r="AI888" s="213"/>
      <c r="AJ888" s="213"/>
      <c r="AK888" s="213"/>
      <c r="AL888" s="213"/>
      <c r="AM888" s="302"/>
      <c r="AN888" s="302"/>
      <c r="AO888" s="303"/>
      <c r="AP888" s="285"/>
      <c r="AQ888" s="258"/>
      <c r="AR888" s="258"/>
    </row>
    <row r="889" spans="10:44" s="48" customFormat="1" ht="12" hidden="1" customHeight="1">
      <c r="J889" s="213"/>
      <c r="K889" s="213"/>
      <c r="L889" s="213"/>
      <c r="M889" s="213"/>
      <c r="N889" s="213"/>
      <c r="O889" s="213"/>
      <c r="P889" s="213"/>
      <c r="Q889" s="213"/>
      <c r="R889" s="213"/>
      <c r="S889" s="213"/>
      <c r="T889" s="213"/>
      <c r="U889" s="213"/>
      <c r="V889" s="213"/>
      <c r="W889" s="213"/>
      <c r="X889" s="213"/>
      <c r="Y889" s="213"/>
      <c r="Z889" s="213"/>
      <c r="AA889" s="213"/>
      <c r="AB889" s="213"/>
      <c r="AC889" s="213"/>
      <c r="AD889" s="213"/>
      <c r="AE889" s="213"/>
      <c r="AF889" s="213"/>
      <c r="AG889" s="213"/>
      <c r="AH889" s="213"/>
      <c r="AI889" s="213"/>
      <c r="AJ889" s="213"/>
      <c r="AK889" s="213"/>
      <c r="AL889" s="213"/>
      <c r="AM889" s="302"/>
      <c r="AN889" s="302"/>
      <c r="AO889" s="303"/>
      <c r="AP889" s="285"/>
      <c r="AQ889" s="258"/>
      <c r="AR889" s="258"/>
    </row>
    <row r="890" spans="10:44" s="48" customFormat="1" ht="12" hidden="1" customHeight="1">
      <c r="J890" s="213"/>
      <c r="K890" s="213"/>
      <c r="L890" s="213"/>
      <c r="M890" s="213"/>
      <c r="N890" s="213"/>
      <c r="O890" s="213"/>
      <c r="P890" s="213"/>
      <c r="Q890" s="213"/>
      <c r="R890" s="213"/>
      <c r="S890" s="213"/>
      <c r="T890" s="213"/>
      <c r="U890" s="213"/>
      <c r="V890" s="213"/>
      <c r="W890" s="213"/>
      <c r="X890" s="213"/>
      <c r="Y890" s="213"/>
      <c r="Z890" s="213"/>
      <c r="AA890" s="213"/>
      <c r="AB890" s="213"/>
      <c r="AC890" s="213"/>
      <c r="AD890" s="213"/>
      <c r="AE890" s="213"/>
      <c r="AF890" s="213"/>
      <c r="AG890" s="213"/>
      <c r="AH890" s="213"/>
      <c r="AI890" s="213"/>
      <c r="AJ890" s="213"/>
      <c r="AK890" s="213"/>
      <c r="AL890" s="213"/>
      <c r="AM890" s="302"/>
      <c r="AN890" s="302"/>
      <c r="AO890" s="303"/>
      <c r="AP890" s="285"/>
      <c r="AQ890" s="258"/>
      <c r="AR890" s="258"/>
    </row>
    <row r="891" spans="10:44" s="48" customFormat="1" ht="12" hidden="1" customHeight="1">
      <c r="J891" s="213"/>
      <c r="K891" s="213"/>
      <c r="L891" s="213"/>
      <c r="M891" s="213"/>
      <c r="N891" s="213"/>
      <c r="O891" s="213"/>
      <c r="P891" s="213"/>
      <c r="Q891" s="213"/>
      <c r="R891" s="213"/>
      <c r="S891" s="213"/>
      <c r="T891" s="213"/>
      <c r="U891" s="213"/>
      <c r="V891" s="213"/>
      <c r="W891" s="213"/>
      <c r="X891" s="213"/>
      <c r="Y891" s="213"/>
      <c r="Z891" s="213"/>
      <c r="AA891" s="213"/>
      <c r="AB891" s="213"/>
      <c r="AC891" s="213"/>
      <c r="AD891" s="213"/>
      <c r="AE891" s="213"/>
      <c r="AF891" s="213"/>
      <c r="AG891" s="213"/>
      <c r="AH891" s="213"/>
      <c r="AI891" s="213"/>
      <c r="AJ891" s="213"/>
      <c r="AK891" s="213"/>
      <c r="AL891" s="213"/>
      <c r="AM891" s="302"/>
      <c r="AN891" s="302"/>
      <c r="AO891" s="303"/>
      <c r="AP891" s="285"/>
      <c r="AQ891" s="258"/>
      <c r="AR891" s="258"/>
    </row>
    <row r="892" spans="10:44" s="48" customFormat="1" ht="12" hidden="1" customHeight="1">
      <c r="J892" s="213"/>
      <c r="K892" s="213"/>
      <c r="L892" s="213"/>
      <c r="M892" s="213"/>
      <c r="N892" s="213"/>
      <c r="O892" s="213"/>
      <c r="P892" s="213"/>
      <c r="Q892" s="213"/>
      <c r="R892" s="213"/>
      <c r="S892" s="213"/>
      <c r="T892" s="213"/>
      <c r="U892" s="213"/>
      <c r="V892" s="213"/>
      <c r="W892" s="213"/>
      <c r="X892" s="213"/>
      <c r="Y892" s="213"/>
      <c r="Z892" s="213"/>
      <c r="AA892" s="213"/>
      <c r="AB892" s="213"/>
      <c r="AC892" s="213"/>
      <c r="AD892" s="213"/>
      <c r="AE892" s="213"/>
      <c r="AF892" s="213"/>
      <c r="AG892" s="213"/>
      <c r="AH892" s="213"/>
      <c r="AI892" s="213"/>
      <c r="AJ892" s="213"/>
      <c r="AK892" s="213"/>
      <c r="AL892" s="213"/>
      <c r="AM892" s="302"/>
      <c r="AN892" s="302"/>
      <c r="AO892" s="303"/>
      <c r="AP892" s="285"/>
      <c r="AQ892" s="258"/>
      <c r="AR892" s="258"/>
    </row>
    <row r="893" spans="10:44" s="48" customFormat="1" ht="12" hidden="1" customHeight="1">
      <c r="J893" s="213"/>
      <c r="K893" s="213"/>
      <c r="L893" s="213"/>
      <c r="M893" s="213"/>
      <c r="N893" s="213"/>
      <c r="O893" s="213"/>
      <c r="P893" s="213"/>
      <c r="Q893" s="213"/>
      <c r="R893" s="213"/>
      <c r="S893" s="213"/>
      <c r="T893" s="213"/>
      <c r="U893" s="213"/>
      <c r="V893" s="213"/>
      <c r="W893" s="213"/>
      <c r="X893" s="213"/>
      <c r="Y893" s="213"/>
      <c r="Z893" s="213"/>
      <c r="AA893" s="213"/>
      <c r="AB893" s="213"/>
      <c r="AC893" s="213"/>
      <c r="AD893" s="213"/>
      <c r="AE893" s="213"/>
      <c r="AF893" s="213"/>
      <c r="AG893" s="213"/>
      <c r="AH893" s="213"/>
      <c r="AI893" s="213"/>
      <c r="AJ893" s="213"/>
      <c r="AK893" s="213"/>
      <c r="AL893" s="213"/>
      <c r="AM893" s="302"/>
      <c r="AN893" s="302"/>
      <c r="AO893" s="303"/>
      <c r="AP893" s="285"/>
      <c r="AQ893" s="258"/>
      <c r="AR893" s="258"/>
    </row>
    <row r="894" spans="10:44" s="48" customFormat="1" ht="12" hidden="1" customHeight="1">
      <c r="J894" s="213"/>
      <c r="K894" s="213"/>
      <c r="L894" s="213"/>
      <c r="M894" s="213"/>
      <c r="N894" s="213"/>
      <c r="O894" s="213"/>
      <c r="P894" s="213"/>
      <c r="Q894" s="213"/>
      <c r="R894" s="213"/>
      <c r="S894" s="213"/>
      <c r="T894" s="213"/>
      <c r="U894" s="213"/>
      <c r="V894" s="213"/>
      <c r="W894" s="213"/>
      <c r="X894" s="213"/>
      <c r="Y894" s="213"/>
      <c r="Z894" s="213"/>
      <c r="AA894" s="213"/>
      <c r="AB894" s="213"/>
      <c r="AC894" s="213"/>
      <c r="AD894" s="213"/>
      <c r="AE894" s="213"/>
      <c r="AF894" s="213"/>
      <c r="AG894" s="213"/>
      <c r="AH894" s="213"/>
      <c r="AI894" s="213"/>
      <c r="AJ894" s="213"/>
      <c r="AK894" s="213"/>
      <c r="AL894" s="213"/>
      <c r="AM894" s="302"/>
      <c r="AN894" s="302"/>
      <c r="AO894" s="303"/>
      <c r="AP894" s="285"/>
      <c r="AQ894" s="258"/>
      <c r="AR894" s="258"/>
    </row>
    <row r="895" spans="10:44" s="48" customFormat="1" ht="12" hidden="1" customHeight="1">
      <c r="J895" s="213"/>
      <c r="K895" s="213"/>
      <c r="L895" s="213"/>
      <c r="M895" s="213"/>
      <c r="N895" s="213"/>
      <c r="O895" s="213"/>
      <c r="P895" s="213"/>
      <c r="Q895" s="213"/>
      <c r="R895" s="213"/>
      <c r="S895" s="213"/>
      <c r="T895" s="213"/>
      <c r="U895" s="213"/>
      <c r="V895" s="213"/>
      <c r="W895" s="213"/>
      <c r="X895" s="213"/>
      <c r="Y895" s="213"/>
      <c r="Z895" s="213"/>
      <c r="AA895" s="213"/>
      <c r="AB895" s="213"/>
      <c r="AC895" s="213"/>
      <c r="AD895" s="213"/>
      <c r="AE895" s="213"/>
      <c r="AF895" s="213"/>
      <c r="AG895" s="213"/>
      <c r="AH895" s="213"/>
      <c r="AI895" s="213"/>
      <c r="AJ895" s="213"/>
      <c r="AK895" s="213"/>
      <c r="AL895" s="213"/>
      <c r="AM895" s="302"/>
      <c r="AN895" s="302"/>
      <c r="AO895" s="303"/>
      <c r="AP895" s="285"/>
      <c r="AQ895" s="258"/>
      <c r="AR895" s="258"/>
    </row>
    <row r="896" spans="10:44" s="48" customFormat="1" ht="12" hidden="1" customHeight="1">
      <c r="J896" s="213"/>
      <c r="K896" s="213"/>
      <c r="L896" s="213"/>
      <c r="M896" s="213"/>
      <c r="N896" s="213"/>
      <c r="O896" s="213"/>
      <c r="P896" s="213"/>
      <c r="Q896" s="213"/>
      <c r="R896" s="213"/>
      <c r="S896" s="213"/>
      <c r="T896" s="213"/>
      <c r="U896" s="213"/>
      <c r="V896" s="213"/>
      <c r="W896" s="213"/>
      <c r="X896" s="213"/>
      <c r="Y896" s="213"/>
      <c r="Z896" s="213"/>
      <c r="AA896" s="213"/>
      <c r="AB896" s="213"/>
      <c r="AC896" s="213"/>
      <c r="AD896" s="213"/>
      <c r="AE896" s="213"/>
      <c r="AF896" s="213"/>
      <c r="AG896" s="213"/>
      <c r="AH896" s="213"/>
      <c r="AI896" s="213"/>
      <c r="AJ896" s="213"/>
      <c r="AK896" s="213"/>
      <c r="AL896" s="213"/>
      <c r="AM896" s="302"/>
      <c r="AN896" s="302"/>
      <c r="AO896" s="303"/>
      <c r="AP896" s="285"/>
      <c r="AQ896" s="258"/>
      <c r="AR896" s="258"/>
    </row>
    <row r="897" spans="10:44" s="48" customFormat="1" ht="12" hidden="1" customHeight="1">
      <c r="J897" s="213"/>
      <c r="K897" s="213"/>
      <c r="L897" s="213"/>
      <c r="M897" s="213"/>
      <c r="N897" s="213"/>
      <c r="O897" s="213"/>
      <c r="P897" s="213"/>
      <c r="Q897" s="213"/>
      <c r="R897" s="213"/>
      <c r="S897" s="213"/>
      <c r="T897" s="213"/>
      <c r="U897" s="213"/>
      <c r="V897" s="213"/>
      <c r="W897" s="213"/>
      <c r="X897" s="213"/>
      <c r="Y897" s="213"/>
      <c r="Z897" s="213"/>
      <c r="AA897" s="213"/>
      <c r="AB897" s="213"/>
      <c r="AC897" s="213"/>
      <c r="AD897" s="213"/>
      <c r="AE897" s="213"/>
      <c r="AF897" s="213"/>
      <c r="AG897" s="213"/>
      <c r="AH897" s="213"/>
      <c r="AI897" s="213"/>
      <c r="AJ897" s="213"/>
      <c r="AK897" s="213"/>
      <c r="AL897" s="213"/>
      <c r="AM897" s="302"/>
      <c r="AN897" s="302"/>
      <c r="AO897" s="303"/>
      <c r="AP897" s="285"/>
      <c r="AQ897" s="258"/>
      <c r="AR897" s="258"/>
    </row>
    <row r="898" spans="10:44" s="48" customFormat="1" ht="12" hidden="1" customHeight="1">
      <c r="J898" s="213"/>
      <c r="K898" s="213"/>
      <c r="L898" s="213"/>
      <c r="M898" s="213"/>
      <c r="N898" s="213"/>
      <c r="O898" s="213"/>
      <c r="P898" s="213"/>
      <c r="Q898" s="213"/>
      <c r="R898" s="213"/>
      <c r="S898" s="213"/>
      <c r="T898" s="213"/>
      <c r="U898" s="213"/>
      <c r="V898" s="213"/>
      <c r="W898" s="213"/>
      <c r="X898" s="213"/>
      <c r="Y898" s="213"/>
      <c r="Z898" s="213"/>
      <c r="AA898" s="213"/>
      <c r="AB898" s="213"/>
      <c r="AC898" s="213"/>
      <c r="AD898" s="213"/>
      <c r="AE898" s="213"/>
      <c r="AF898" s="213"/>
      <c r="AG898" s="213"/>
      <c r="AH898" s="213"/>
      <c r="AI898" s="213"/>
      <c r="AJ898" s="213"/>
      <c r="AK898" s="213"/>
      <c r="AL898" s="213"/>
      <c r="AM898" s="302"/>
      <c r="AN898" s="302"/>
      <c r="AO898" s="303"/>
      <c r="AP898" s="285"/>
      <c r="AQ898" s="258"/>
      <c r="AR898" s="258"/>
    </row>
    <row r="899" spans="10:44" s="48" customFormat="1" ht="12" hidden="1" customHeight="1">
      <c r="J899" s="213"/>
      <c r="K899" s="213"/>
      <c r="L899" s="213"/>
      <c r="M899" s="213"/>
      <c r="N899" s="213"/>
      <c r="O899" s="213"/>
      <c r="P899" s="213"/>
      <c r="Q899" s="213"/>
      <c r="R899" s="213"/>
      <c r="S899" s="213"/>
      <c r="T899" s="213"/>
      <c r="U899" s="213"/>
      <c r="V899" s="213"/>
      <c r="W899" s="213"/>
      <c r="X899" s="213"/>
      <c r="Y899" s="213"/>
      <c r="Z899" s="213"/>
      <c r="AA899" s="213"/>
      <c r="AB899" s="213"/>
      <c r="AC899" s="213"/>
      <c r="AD899" s="213"/>
      <c r="AE899" s="213"/>
      <c r="AF899" s="213"/>
      <c r="AG899" s="213"/>
      <c r="AH899" s="213"/>
      <c r="AI899" s="213"/>
      <c r="AJ899" s="213"/>
      <c r="AK899" s="213"/>
      <c r="AL899" s="213"/>
      <c r="AM899" s="302"/>
      <c r="AN899" s="302"/>
      <c r="AO899" s="303"/>
      <c r="AP899" s="285"/>
      <c r="AQ899" s="258"/>
      <c r="AR899" s="258"/>
    </row>
    <row r="900" spans="10:44" s="48" customFormat="1" ht="12" hidden="1" customHeight="1">
      <c r="J900" s="213"/>
      <c r="K900" s="213"/>
      <c r="L900" s="213"/>
      <c r="M900" s="213"/>
      <c r="N900" s="213"/>
      <c r="O900" s="213"/>
      <c r="P900" s="213"/>
      <c r="Q900" s="213"/>
      <c r="R900" s="213"/>
      <c r="S900" s="213"/>
      <c r="T900" s="213"/>
      <c r="U900" s="213"/>
      <c r="V900" s="213"/>
      <c r="W900" s="213"/>
      <c r="X900" s="213"/>
      <c r="Y900" s="213"/>
      <c r="Z900" s="213"/>
      <c r="AA900" s="213"/>
      <c r="AB900" s="213"/>
      <c r="AC900" s="213"/>
      <c r="AD900" s="213"/>
      <c r="AE900" s="213"/>
      <c r="AF900" s="213"/>
      <c r="AG900" s="213"/>
      <c r="AH900" s="213"/>
      <c r="AI900" s="213"/>
      <c r="AJ900" s="213"/>
      <c r="AK900" s="213"/>
      <c r="AL900" s="213"/>
      <c r="AM900" s="302"/>
      <c r="AN900" s="302"/>
      <c r="AO900" s="303"/>
      <c r="AP900" s="285"/>
      <c r="AQ900" s="258"/>
      <c r="AR900" s="258"/>
    </row>
    <row r="901" spans="10:44" s="48" customFormat="1" ht="12" hidden="1" customHeight="1">
      <c r="J901" s="213"/>
      <c r="K901" s="213"/>
      <c r="L901" s="213"/>
      <c r="M901" s="213"/>
      <c r="N901" s="213"/>
      <c r="O901" s="213"/>
      <c r="P901" s="213"/>
      <c r="Q901" s="213"/>
      <c r="R901" s="213"/>
      <c r="S901" s="213"/>
      <c r="T901" s="213"/>
      <c r="U901" s="213"/>
      <c r="V901" s="213"/>
      <c r="W901" s="213"/>
      <c r="X901" s="213"/>
      <c r="Y901" s="213"/>
      <c r="Z901" s="213"/>
      <c r="AA901" s="213"/>
      <c r="AB901" s="213"/>
      <c r="AC901" s="213"/>
      <c r="AD901" s="213"/>
      <c r="AE901" s="213"/>
      <c r="AF901" s="213"/>
      <c r="AG901" s="213"/>
      <c r="AH901" s="213"/>
      <c r="AI901" s="213"/>
      <c r="AJ901" s="213"/>
      <c r="AK901" s="213"/>
      <c r="AL901" s="213"/>
      <c r="AM901" s="302"/>
      <c r="AN901" s="302"/>
      <c r="AO901" s="303"/>
      <c r="AP901" s="285"/>
      <c r="AQ901" s="258"/>
      <c r="AR901" s="258"/>
    </row>
    <row r="902" spans="10:44" s="48" customFormat="1" ht="12" hidden="1" customHeight="1">
      <c r="J902" s="213"/>
      <c r="K902" s="213"/>
      <c r="L902" s="213"/>
      <c r="M902" s="213"/>
      <c r="N902" s="213"/>
      <c r="O902" s="213"/>
      <c r="P902" s="213"/>
      <c r="Q902" s="213"/>
      <c r="R902" s="213"/>
      <c r="S902" s="213"/>
      <c r="T902" s="213"/>
      <c r="U902" s="213"/>
      <c r="V902" s="213"/>
      <c r="W902" s="213"/>
      <c r="X902" s="213"/>
      <c r="Y902" s="213"/>
      <c r="Z902" s="213"/>
      <c r="AA902" s="213"/>
      <c r="AB902" s="213"/>
      <c r="AC902" s="213"/>
      <c r="AD902" s="213"/>
      <c r="AE902" s="213"/>
      <c r="AF902" s="213"/>
      <c r="AG902" s="213"/>
      <c r="AH902" s="213"/>
      <c r="AI902" s="213"/>
      <c r="AJ902" s="213"/>
      <c r="AK902" s="213"/>
      <c r="AL902" s="213"/>
      <c r="AM902" s="302"/>
      <c r="AN902" s="302"/>
      <c r="AO902" s="303"/>
      <c r="AP902" s="285"/>
      <c r="AQ902" s="258"/>
      <c r="AR902" s="258"/>
    </row>
    <row r="903" spans="10:44" s="48" customFormat="1" ht="12" hidden="1" customHeight="1">
      <c r="J903" s="213"/>
      <c r="K903" s="213"/>
      <c r="L903" s="213"/>
      <c r="M903" s="213"/>
      <c r="N903" s="213"/>
      <c r="O903" s="213"/>
      <c r="P903" s="213"/>
      <c r="Q903" s="213"/>
      <c r="R903" s="213"/>
      <c r="S903" s="213"/>
      <c r="T903" s="213"/>
      <c r="U903" s="213"/>
      <c r="V903" s="213"/>
      <c r="W903" s="213"/>
      <c r="X903" s="213"/>
      <c r="Y903" s="213"/>
      <c r="Z903" s="213"/>
      <c r="AA903" s="213"/>
      <c r="AB903" s="213"/>
      <c r="AC903" s="213"/>
      <c r="AD903" s="213"/>
      <c r="AE903" s="213"/>
      <c r="AF903" s="213"/>
      <c r="AG903" s="213"/>
      <c r="AH903" s="213"/>
      <c r="AI903" s="213"/>
      <c r="AJ903" s="213"/>
      <c r="AK903" s="213"/>
      <c r="AL903" s="213"/>
      <c r="AM903" s="302"/>
      <c r="AN903" s="302"/>
      <c r="AO903" s="303"/>
      <c r="AP903" s="285"/>
      <c r="AQ903" s="258"/>
      <c r="AR903" s="258"/>
    </row>
    <row r="904" spans="10:44" s="48" customFormat="1" ht="12" hidden="1" customHeight="1">
      <c r="J904" s="213"/>
      <c r="K904" s="213"/>
      <c r="L904" s="213"/>
      <c r="M904" s="213"/>
      <c r="N904" s="213"/>
      <c r="O904" s="213"/>
      <c r="P904" s="213"/>
      <c r="Q904" s="213"/>
      <c r="R904" s="213"/>
      <c r="S904" s="213"/>
      <c r="T904" s="213"/>
      <c r="U904" s="213"/>
      <c r="V904" s="213"/>
      <c r="W904" s="213"/>
      <c r="X904" s="213"/>
      <c r="Y904" s="213"/>
      <c r="Z904" s="213"/>
      <c r="AA904" s="213"/>
      <c r="AB904" s="213"/>
      <c r="AC904" s="213"/>
      <c r="AD904" s="213"/>
      <c r="AE904" s="213"/>
      <c r="AF904" s="213"/>
      <c r="AG904" s="213"/>
      <c r="AH904" s="213"/>
      <c r="AI904" s="213"/>
      <c r="AJ904" s="213"/>
      <c r="AK904" s="213"/>
      <c r="AL904" s="213"/>
      <c r="AM904" s="302"/>
      <c r="AN904" s="302"/>
      <c r="AO904" s="303"/>
      <c r="AP904" s="285"/>
      <c r="AQ904" s="258"/>
      <c r="AR904" s="258"/>
    </row>
    <row r="905" spans="10:44" s="48" customFormat="1" ht="12" hidden="1" customHeight="1">
      <c r="J905" s="213"/>
      <c r="K905" s="213"/>
      <c r="L905" s="213"/>
      <c r="M905" s="213"/>
      <c r="N905" s="213"/>
      <c r="O905" s="213"/>
      <c r="P905" s="213"/>
      <c r="Q905" s="213"/>
      <c r="R905" s="213"/>
      <c r="S905" s="213"/>
      <c r="T905" s="213"/>
      <c r="U905" s="213"/>
      <c r="V905" s="213"/>
      <c r="W905" s="213"/>
      <c r="X905" s="213"/>
      <c r="Y905" s="213"/>
      <c r="Z905" s="213"/>
      <c r="AA905" s="213"/>
      <c r="AB905" s="213"/>
      <c r="AC905" s="213"/>
      <c r="AD905" s="213"/>
      <c r="AE905" s="213"/>
      <c r="AF905" s="213"/>
      <c r="AG905" s="213"/>
      <c r="AH905" s="213"/>
      <c r="AI905" s="213"/>
      <c r="AJ905" s="213"/>
      <c r="AK905" s="213"/>
      <c r="AL905" s="213"/>
      <c r="AM905" s="302"/>
      <c r="AN905" s="302"/>
      <c r="AO905" s="303"/>
      <c r="AP905" s="285"/>
      <c r="AQ905" s="258"/>
      <c r="AR905" s="258"/>
    </row>
    <row r="906" spans="10:44" s="48" customFormat="1" ht="12" hidden="1" customHeight="1">
      <c r="J906" s="213"/>
      <c r="K906" s="213"/>
      <c r="L906" s="213"/>
      <c r="M906" s="213"/>
      <c r="N906" s="213"/>
      <c r="O906" s="213"/>
      <c r="P906" s="213"/>
      <c r="Q906" s="213"/>
      <c r="R906" s="213"/>
      <c r="S906" s="213"/>
      <c r="T906" s="213"/>
      <c r="U906" s="213"/>
      <c r="V906" s="213"/>
      <c r="W906" s="213"/>
      <c r="X906" s="213"/>
      <c r="Y906" s="213"/>
      <c r="Z906" s="213"/>
      <c r="AA906" s="213"/>
      <c r="AB906" s="213"/>
      <c r="AC906" s="213"/>
      <c r="AD906" s="213"/>
      <c r="AE906" s="213"/>
      <c r="AF906" s="213"/>
      <c r="AG906" s="213"/>
      <c r="AH906" s="213"/>
      <c r="AI906" s="213"/>
      <c r="AJ906" s="213"/>
      <c r="AK906" s="213"/>
      <c r="AL906" s="213"/>
      <c r="AM906" s="302"/>
      <c r="AN906" s="302"/>
      <c r="AO906" s="303"/>
      <c r="AP906" s="285"/>
      <c r="AQ906" s="258"/>
      <c r="AR906" s="258"/>
    </row>
    <row r="907" spans="10:44" s="48" customFormat="1" ht="12" hidden="1" customHeight="1">
      <c r="J907" s="213"/>
      <c r="K907" s="213"/>
      <c r="L907" s="213"/>
      <c r="M907" s="213"/>
      <c r="N907" s="213"/>
      <c r="O907" s="213"/>
      <c r="P907" s="213"/>
      <c r="Q907" s="213"/>
      <c r="R907" s="213"/>
      <c r="S907" s="213"/>
      <c r="T907" s="213"/>
      <c r="U907" s="213"/>
      <c r="V907" s="213"/>
      <c r="W907" s="213"/>
      <c r="X907" s="213"/>
      <c r="Y907" s="213"/>
      <c r="Z907" s="213"/>
      <c r="AA907" s="213"/>
      <c r="AB907" s="213"/>
      <c r="AC907" s="213"/>
      <c r="AD907" s="213"/>
      <c r="AE907" s="213"/>
      <c r="AF907" s="213"/>
      <c r="AG907" s="213"/>
      <c r="AH907" s="213"/>
      <c r="AI907" s="213"/>
      <c r="AJ907" s="213"/>
      <c r="AK907" s="213"/>
      <c r="AL907" s="213"/>
      <c r="AM907" s="302"/>
      <c r="AN907" s="302"/>
      <c r="AO907" s="303"/>
      <c r="AP907" s="285"/>
      <c r="AQ907" s="258"/>
      <c r="AR907" s="258"/>
    </row>
    <row r="908" spans="10:44" s="48" customFormat="1" ht="12" hidden="1" customHeight="1">
      <c r="J908" s="213"/>
      <c r="K908" s="213"/>
      <c r="L908" s="213"/>
      <c r="M908" s="213"/>
      <c r="N908" s="213"/>
      <c r="O908" s="213"/>
      <c r="P908" s="213"/>
      <c r="Q908" s="213"/>
      <c r="R908" s="213"/>
      <c r="S908" s="213"/>
      <c r="T908" s="213"/>
      <c r="U908" s="213"/>
      <c r="V908" s="213"/>
      <c r="W908" s="213"/>
      <c r="X908" s="213"/>
      <c r="Y908" s="213"/>
      <c r="Z908" s="213"/>
      <c r="AA908" s="213"/>
      <c r="AB908" s="213"/>
      <c r="AC908" s="213"/>
      <c r="AD908" s="213"/>
      <c r="AE908" s="213"/>
      <c r="AF908" s="213"/>
      <c r="AG908" s="213"/>
      <c r="AH908" s="213"/>
      <c r="AI908" s="213"/>
      <c r="AJ908" s="213"/>
      <c r="AK908" s="213"/>
      <c r="AL908" s="213"/>
      <c r="AM908" s="302"/>
      <c r="AN908" s="302"/>
      <c r="AO908" s="303"/>
      <c r="AP908" s="285"/>
      <c r="AQ908" s="258"/>
      <c r="AR908" s="258"/>
    </row>
    <row r="909" spans="10:44" s="48" customFormat="1" ht="12" hidden="1" customHeight="1">
      <c r="J909" s="213"/>
      <c r="K909" s="213"/>
      <c r="L909" s="213"/>
      <c r="M909" s="213"/>
      <c r="N909" s="213"/>
      <c r="O909" s="213"/>
      <c r="P909" s="213"/>
      <c r="Q909" s="213"/>
      <c r="R909" s="213"/>
      <c r="S909" s="213"/>
      <c r="T909" s="213"/>
      <c r="U909" s="213"/>
      <c r="V909" s="213"/>
      <c r="W909" s="213"/>
      <c r="X909" s="213"/>
      <c r="Y909" s="213"/>
      <c r="Z909" s="213"/>
      <c r="AA909" s="213"/>
      <c r="AB909" s="213"/>
      <c r="AC909" s="213"/>
      <c r="AD909" s="213"/>
      <c r="AE909" s="213"/>
      <c r="AF909" s="213"/>
      <c r="AG909" s="213"/>
      <c r="AH909" s="213"/>
      <c r="AI909" s="213"/>
      <c r="AJ909" s="213"/>
      <c r="AK909" s="213"/>
      <c r="AL909" s="213"/>
      <c r="AM909" s="302"/>
      <c r="AN909" s="302"/>
      <c r="AO909" s="303"/>
      <c r="AP909" s="285"/>
      <c r="AQ909" s="258"/>
      <c r="AR909" s="258"/>
    </row>
    <row r="910" spans="10:44" s="48" customFormat="1" ht="12" hidden="1" customHeight="1">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302"/>
      <c r="AN910" s="302"/>
      <c r="AO910" s="303"/>
      <c r="AP910" s="285"/>
      <c r="AQ910" s="258"/>
      <c r="AR910" s="258"/>
    </row>
    <row r="911" spans="10:44" s="48" customFormat="1" ht="12" hidden="1" customHeight="1">
      <c r="J911" s="213"/>
      <c r="K911" s="213"/>
      <c r="L911" s="213"/>
      <c r="M911" s="213"/>
      <c r="N911" s="213"/>
      <c r="O911" s="213"/>
      <c r="P911" s="213"/>
      <c r="Q911" s="213"/>
      <c r="R911" s="213"/>
      <c r="S911" s="213"/>
      <c r="T911" s="213"/>
      <c r="U911" s="213"/>
      <c r="V911" s="213"/>
      <c r="W911" s="213"/>
      <c r="X911" s="213"/>
      <c r="Y911" s="213"/>
      <c r="Z911" s="213"/>
      <c r="AA911" s="213"/>
      <c r="AB911" s="213"/>
      <c r="AC911" s="213"/>
      <c r="AD911" s="213"/>
      <c r="AE911" s="213"/>
      <c r="AF911" s="213"/>
      <c r="AG911" s="213"/>
      <c r="AH911" s="213"/>
      <c r="AI911" s="213"/>
      <c r="AJ911" s="213"/>
      <c r="AK911" s="213"/>
      <c r="AL911" s="213"/>
      <c r="AM911" s="302"/>
      <c r="AN911" s="302"/>
      <c r="AO911" s="303"/>
      <c r="AP911" s="285"/>
      <c r="AQ911" s="258"/>
      <c r="AR911" s="258"/>
    </row>
    <row r="912" spans="10:44" s="48" customFormat="1" ht="12" hidden="1" customHeight="1">
      <c r="J912" s="213"/>
      <c r="K912" s="213"/>
      <c r="L912" s="213"/>
      <c r="M912" s="213"/>
      <c r="N912" s="213"/>
      <c r="O912" s="213"/>
      <c r="P912" s="213"/>
      <c r="Q912" s="213"/>
      <c r="R912" s="213"/>
      <c r="S912" s="213"/>
      <c r="T912" s="213"/>
      <c r="U912" s="213"/>
      <c r="V912" s="213"/>
      <c r="W912" s="213"/>
      <c r="X912" s="213"/>
      <c r="Y912" s="213"/>
      <c r="Z912" s="213"/>
      <c r="AA912" s="213"/>
      <c r="AB912" s="213"/>
      <c r="AC912" s="213"/>
      <c r="AD912" s="213"/>
      <c r="AE912" s="213"/>
      <c r="AF912" s="213"/>
      <c r="AG912" s="213"/>
      <c r="AH912" s="213"/>
      <c r="AI912" s="213"/>
      <c r="AJ912" s="213"/>
      <c r="AK912" s="213"/>
      <c r="AL912" s="213"/>
      <c r="AM912" s="302"/>
      <c r="AN912" s="302"/>
      <c r="AO912" s="303"/>
      <c r="AP912" s="285"/>
      <c r="AQ912" s="258"/>
      <c r="AR912" s="258"/>
    </row>
    <row r="913" spans="10:44" s="48" customFormat="1" ht="12" hidden="1" customHeight="1">
      <c r="J913" s="213"/>
      <c r="K913" s="213"/>
      <c r="L913" s="213"/>
      <c r="M913" s="213"/>
      <c r="N913" s="213"/>
      <c r="O913" s="213"/>
      <c r="P913" s="213"/>
      <c r="Q913" s="213"/>
      <c r="R913" s="213"/>
      <c r="S913" s="213"/>
      <c r="T913" s="213"/>
      <c r="U913" s="213"/>
      <c r="V913" s="213"/>
      <c r="W913" s="213"/>
      <c r="X913" s="213"/>
      <c r="Y913" s="213"/>
      <c r="Z913" s="213"/>
      <c r="AA913" s="213"/>
      <c r="AB913" s="213"/>
      <c r="AC913" s="213"/>
      <c r="AD913" s="213"/>
      <c r="AE913" s="213"/>
      <c r="AF913" s="213"/>
      <c r="AG913" s="213"/>
      <c r="AH913" s="213"/>
      <c r="AI913" s="213"/>
      <c r="AJ913" s="213"/>
      <c r="AK913" s="213"/>
      <c r="AL913" s="213"/>
      <c r="AM913" s="302"/>
      <c r="AN913" s="302"/>
      <c r="AO913" s="303"/>
      <c r="AP913" s="285"/>
      <c r="AQ913" s="258"/>
      <c r="AR913" s="258"/>
    </row>
    <row r="914" spans="10:44" s="48" customFormat="1" ht="12" hidden="1" customHeight="1">
      <c r="J914" s="213"/>
      <c r="K914" s="213"/>
      <c r="L914" s="213"/>
      <c r="M914" s="213"/>
      <c r="N914" s="213"/>
      <c r="O914" s="213"/>
      <c r="P914" s="213"/>
      <c r="Q914" s="213"/>
      <c r="R914" s="213"/>
      <c r="S914" s="213"/>
      <c r="T914" s="213"/>
      <c r="U914" s="213"/>
      <c r="V914" s="213"/>
      <c r="W914" s="213"/>
      <c r="X914" s="213"/>
      <c r="Y914" s="213"/>
      <c r="Z914" s="213"/>
      <c r="AA914" s="213"/>
      <c r="AB914" s="213"/>
      <c r="AC914" s="213"/>
      <c r="AD914" s="213"/>
      <c r="AE914" s="213"/>
      <c r="AF914" s="213"/>
      <c r="AG914" s="213"/>
      <c r="AH914" s="213"/>
      <c r="AI914" s="213"/>
      <c r="AJ914" s="213"/>
      <c r="AK914" s="213"/>
      <c r="AL914" s="213"/>
      <c r="AM914" s="302"/>
      <c r="AN914" s="302"/>
      <c r="AO914" s="303"/>
      <c r="AP914" s="285"/>
      <c r="AQ914" s="258"/>
      <c r="AR914" s="258"/>
    </row>
    <row r="915" spans="10:44" s="48" customFormat="1" ht="12" hidden="1" customHeight="1">
      <c r="J915" s="213"/>
      <c r="K915" s="213"/>
      <c r="L915" s="213"/>
      <c r="M915" s="213"/>
      <c r="N915" s="213"/>
      <c r="O915" s="213"/>
      <c r="P915" s="213"/>
      <c r="Q915" s="213"/>
      <c r="R915" s="213"/>
      <c r="S915" s="213"/>
      <c r="T915" s="213"/>
      <c r="U915" s="213"/>
      <c r="V915" s="213"/>
      <c r="W915" s="213"/>
      <c r="X915" s="213"/>
      <c r="Y915" s="213"/>
      <c r="Z915" s="213"/>
      <c r="AA915" s="213"/>
      <c r="AB915" s="213"/>
      <c r="AC915" s="213"/>
      <c r="AD915" s="213"/>
      <c r="AE915" s="213"/>
      <c r="AF915" s="213"/>
      <c r="AG915" s="213"/>
      <c r="AH915" s="213"/>
      <c r="AI915" s="213"/>
      <c r="AJ915" s="213"/>
      <c r="AK915" s="213"/>
      <c r="AL915" s="213"/>
      <c r="AM915" s="302"/>
      <c r="AN915" s="302"/>
      <c r="AO915" s="303"/>
      <c r="AP915" s="285"/>
      <c r="AQ915" s="258"/>
      <c r="AR915" s="258"/>
    </row>
    <row r="916" spans="10:44" s="48" customFormat="1" ht="12" hidden="1" customHeight="1">
      <c r="J916" s="213"/>
      <c r="K916" s="213"/>
      <c r="L916" s="213"/>
      <c r="M916" s="213"/>
      <c r="N916" s="213"/>
      <c r="O916" s="213"/>
      <c r="P916" s="213"/>
      <c r="Q916" s="213"/>
      <c r="R916" s="213"/>
      <c r="S916" s="213"/>
      <c r="T916" s="213"/>
      <c r="U916" s="213"/>
      <c r="V916" s="213"/>
      <c r="W916" s="213"/>
      <c r="X916" s="213"/>
      <c r="Y916" s="213"/>
      <c r="Z916" s="213"/>
      <c r="AA916" s="213"/>
      <c r="AB916" s="213"/>
      <c r="AC916" s="213"/>
      <c r="AD916" s="213"/>
      <c r="AE916" s="213"/>
      <c r="AF916" s="213"/>
      <c r="AG916" s="213"/>
      <c r="AH916" s="213"/>
      <c r="AI916" s="213"/>
      <c r="AJ916" s="213"/>
      <c r="AK916" s="213"/>
      <c r="AL916" s="213"/>
      <c r="AM916" s="302"/>
      <c r="AN916" s="302"/>
      <c r="AO916" s="303"/>
      <c r="AP916" s="285"/>
      <c r="AQ916" s="258"/>
      <c r="AR916" s="258"/>
    </row>
    <row r="917" spans="10:44" s="48" customFormat="1" ht="12" hidden="1" customHeight="1">
      <c r="J917" s="213"/>
      <c r="K917" s="213"/>
      <c r="L917" s="213"/>
      <c r="M917" s="213"/>
      <c r="N917" s="213"/>
      <c r="O917" s="213"/>
      <c r="P917" s="213"/>
      <c r="Q917" s="213"/>
      <c r="R917" s="213"/>
      <c r="S917" s="213"/>
      <c r="T917" s="213"/>
      <c r="U917" s="213"/>
      <c r="V917" s="213"/>
      <c r="W917" s="213"/>
      <c r="X917" s="213"/>
      <c r="Y917" s="213"/>
      <c r="Z917" s="213"/>
      <c r="AA917" s="213"/>
      <c r="AB917" s="213"/>
      <c r="AC917" s="213"/>
      <c r="AD917" s="213"/>
      <c r="AE917" s="213"/>
      <c r="AF917" s="213"/>
      <c r="AG917" s="213"/>
      <c r="AH917" s="213"/>
      <c r="AI917" s="213"/>
      <c r="AJ917" s="213"/>
      <c r="AK917" s="213"/>
      <c r="AL917" s="213"/>
      <c r="AM917" s="302"/>
      <c r="AN917" s="302"/>
      <c r="AO917" s="303"/>
      <c r="AP917" s="285"/>
      <c r="AQ917" s="258"/>
      <c r="AR917" s="258"/>
    </row>
    <row r="918" spans="10:44" s="48" customFormat="1" ht="12" hidden="1" customHeight="1">
      <c r="J918" s="213"/>
      <c r="K918" s="213"/>
      <c r="L918" s="213"/>
      <c r="M918" s="213"/>
      <c r="N918" s="213"/>
      <c r="O918" s="213"/>
      <c r="P918" s="213"/>
      <c r="Q918" s="213"/>
      <c r="R918" s="213"/>
      <c r="S918" s="213"/>
      <c r="T918" s="213"/>
      <c r="U918" s="213"/>
      <c r="V918" s="213"/>
      <c r="W918" s="213"/>
      <c r="X918" s="213"/>
      <c r="Y918" s="213"/>
      <c r="Z918" s="213"/>
      <c r="AA918" s="213"/>
      <c r="AB918" s="213"/>
      <c r="AC918" s="213"/>
      <c r="AD918" s="213"/>
      <c r="AE918" s="213"/>
      <c r="AF918" s="213"/>
      <c r="AG918" s="213"/>
      <c r="AH918" s="213"/>
      <c r="AI918" s="213"/>
      <c r="AJ918" s="213"/>
      <c r="AK918" s="213"/>
      <c r="AL918" s="213"/>
      <c r="AM918" s="302"/>
      <c r="AN918" s="302"/>
      <c r="AO918" s="303"/>
      <c r="AP918" s="285"/>
      <c r="AQ918" s="258"/>
      <c r="AR918" s="258"/>
    </row>
    <row r="919" spans="10:44" s="48" customFormat="1" ht="12" hidden="1" customHeight="1">
      <c r="J919" s="213"/>
      <c r="K919" s="213"/>
      <c r="L919" s="213"/>
      <c r="M919" s="213"/>
      <c r="N919" s="213"/>
      <c r="O919" s="213"/>
      <c r="P919" s="213"/>
      <c r="Q919" s="213"/>
      <c r="R919" s="213"/>
      <c r="S919" s="213"/>
      <c r="T919" s="213"/>
      <c r="U919" s="213"/>
      <c r="V919" s="213"/>
      <c r="W919" s="213"/>
      <c r="X919" s="213"/>
      <c r="Y919" s="213"/>
      <c r="Z919" s="213"/>
      <c r="AA919" s="213"/>
      <c r="AB919" s="213"/>
      <c r="AC919" s="213"/>
      <c r="AD919" s="213"/>
      <c r="AE919" s="213"/>
      <c r="AF919" s="213"/>
      <c r="AG919" s="213"/>
      <c r="AH919" s="213"/>
      <c r="AI919" s="213"/>
      <c r="AJ919" s="213"/>
      <c r="AK919" s="213"/>
      <c r="AL919" s="213"/>
      <c r="AM919" s="302"/>
      <c r="AN919" s="302"/>
      <c r="AO919" s="303"/>
      <c r="AP919" s="285"/>
      <c r="AQ919" s="258"/>
      <c r="AR919" s="258"/>
    </row>
    <row r="920" spans="10:44" s="48" customFormat="1" ht="12" hidden="1" customHeight="1">
      <c r="J920" s="213"/>
      <c r="K920" s="213"/>
      <c r="L920" s="213"/>
      <c r="M920" s="213"/>
      <c r="N920" s="213"/>
      <c r="O920" s="213"/>
      <c r="P920" s="213"/>
      <c r="Q920" s="213"/>
      <c r="R920" s="213"/>
      <c r="S920" s="213"/>
      <c r="T920" s="213"/>
      <c r="U920" s="213"/>
      <c r="V920" s="213"/>
      <c r="W920" s="213"/>
      <c r="X920" s="213"/>
      <c r="Y920" s="213"/>
      <c r="Z920" s="213"/>
      <c r="AA920" s="213"/>
      <c r="AB920" s="213"/>
      <c r="AC920" s="213"/>
      <c r="AD920" s="213"/>
      <c r="AE920" s="213"/>
      <c r="AF920" s="213"/>
      <c r="AG920" s="213"/>
      <c r="AH920" s="213"/>
      <c r="AI920" s="213"/>
      <c r="AJ920" s="213"/>
      <c r="AK920" s="213"/>
      <c r="AL920" s="213"/>
      <c r="AM920" s="302"/>
      <c r="AN920" s="302"/>
      <c r="AO920" s="303"/>
      <c r="AP920" s="285"/>
      <c r="AQ920" s="258"/>
      <c r="AR920" s="258"/>
    </row>
    <row r="921" spans="10:44" s="48" customFormat="1" ht="12" hidden="1" customHeight="1">
      <c r="J921" s="213"/>
      <c r="K921" s="213"/>
      <c r="L921" s="213"/>
      <c r="M921" s="213"/>
      <c r="N921" s="213"/>
      <c r="O921" s="213"/>
      <c r="P921" s="213"/>
      <c r="Q921" s="213"/>
      <c r="R921" s="213"/>
      <c r="S921" s="213"/>
      <c r="T921" s="213"/>
      <c r="U921" s="213"/>
      <c r="V921" s="213"/>
      <c r="W921" s="213"/>
      <c r="X921" s="213"/>
      <c r="Y921" s="213"/>
      <c r="Z921" s="213"/>
      <c r="AA921" s="213"/>
      <c r="AB921" s="213"/>
      <c r="AC921" s="213"/>
      <c r="AD921" s="213"/>
      <c r="AE921" s="213"/>
      <c r="AF921" s="213"/>
      <c r="AG921" s="213"/>
      <c r="AH921" s="213"/>
      <c r="AI921" s="213"/>
      <c r="AJ921" s="213"/>
      <c r="AK921" s="213"/>
      <c r="AL921" s="213"/>
      <c r="AM921" s="302"/>
      <c r="AN921" s="302"/>
      <c r="AO921" s="303"/>
      <c r="AP921" s="285"/>
      <c r="AQ921" s="258"/>
      <c r="AR921" s="258"/>
    </row>
    <row r="922" spans="10:44" s="48" customFormat="1" ht="12" hidden="1" customHeight="1">
      <c r="J922" s="213"/>
      <c r="K922" s="213"/>
      <c r="L922" s="213"/>
      <c r="M922" s="213"/>
      <c r="N922" s="213"/>
      <c r="O922" s="213"/>
      <c r="P922" s="213"/>
      <c r="Q922" s="213"/>
      <c r="R922" s="213"/>
      <c r="S922" s="213"/>
      <c r="T922" s="213"/>
      <c r="U922" s="213"/>
      <c r="V922" s="213"/>
      <c r="W922" s="213"/>
      <c r="X922" s="213"/>
      <c r="Y922" s="213"/>
      <c r="Z922" s="213"/>
      <c r="AA922" s="213"/>
      <c r="AB922" s="213"/>
      <c r="AC922" s="213"/>
      <c r="AD922" s="213"/>
      <c r="AE922" s="213"/>
      <c r="AF922" s="213"/>
      <c r="AG922" s="213"/>
      <c r="AH922" s="213"/>
      <c r="AI922" s="213"/>
      <c r="AJ922" s="213"/>
      <c r="AK922" s="213"/>
      <c r="AL922" s="213"/>
      <c r="AM922" s="302"/>
      <c r="AN922" s="302"/>
      <c r="AO922" s="303"/>
      <c r="AP922" s="285"/>
      <c r="AQ922" s="258"/>
      <c r="AR922" s="258"/>
    </row>
    <row r="923" spans="10:44" s="48" customFormat="1" ht="12" hidden="1" customHeight="1">
      <c r="J923" s="213"/>
      <c r="K923" s="213"/>
      <c r="L923" s="213"/>
      <c r="M923" s="213"/>
      <c r="N923" s="213"/>
      <c r="O923" s="213"/>
      <c r="P923" s="213"/>
      <c r="Q923" s="213"/>
      <c r="R923" s="213"/>
      <c r="S923" s="213"/>
      <c r="T923" s="213"/>
      <c r="U923" s="213"/>
      <c r="V923" s="213"/>
      <c r="W923" s="213"/>
      <c r="X923" s="213"/>
      <c r="Y923" s="213"/>
      <c r="Z923" s="213"/>
      <c r="AA923" s="213"/>
      <c r="AB923" s="213"/>
      <c r="AC923" s="213"/>
      <c r="AD923" s="213"/>
      <c r="AE923" s="213"/>
      <c r="AF923" s="213"/>
      <c r="AG923" s="213"/>
      <c r="AH923" s="213"/>
      <c r="AI923" s="213"/>
      <c r="AJ923" s="213"/>
      <c r="AK923" s="213"/>
      <c r="AL923" s="213"/>
      <c r="AM923" s="302"/>
      <c r="AN923" s="302"/>
      <c r="AO923" s="303"/>
      <c r="AP923" s="285"/>
      <c r="AQ923" s="258"/>
      <c r="AR923" s="258"/>
    </row>
    <row r="924" spans="10:44" s="48" customFormat="1" ht="12" hidden="1" customHeight="1">
      <c r="J924" s="213"/>
      <c r="K924" s="213"/>
      <c r="L924" s="213"/>
      <c r="M924" s="213"/>
      <c r="N924" s="213"/>
      <c r="O924" s="213"/>
      <c r="P924" s="213"/>
      <c r="Q924" s="213"/>
      <c r="R924" s="213"/>
      <c r="S924" s="213"/>
      <c r="T924" s="213"/>
      <c r="U924" s="213"/>
      <c r="V924" s="213"/>
      <c r="W924" s="213"/>
      <c r="X924" s="213"/>
      <c r="Y924" s="213"/>
      <c r="Z924" s="213"/>
      <c r="AA924" s="213"/>
      <c r="AB924" s="213"/>
      <c r="AC924" s="213"/>
      <c r="AD924" s="213"/>
      <c r="AE924" s="213"/>
      <c r="AF924" s="213"/>
      <c r="AG924" s="213"/>
      <c r="AH924" s="213"/>
      <c r="AI924" s="213"/>
      <c r="AJ924" s="213"/>
      <c r="AK924" s="213"/>
      <c r="AL924" s="213"/>
      <c r="AM924" s="302"/>
      <c r="AN924" s="302"/>
      <c r="AO924" s="303"/>
      <c r="AP924" s="285"/>
      <c r="AQ924" s="258"/>
      <c r="AR924" s="258"/>
    </row>
    <row r="925" spans="10:44" s="48" customFormat="1" ht="12" hidden="1" customHeight="1">
      <c r="J925" s="213"/>
      <c r="K925" s="213"/>
      <c r="L925" s="213"/>
      <c r="M925" s="213"/>
      <c r="N925" s="213"/>
      <c r="O925" s="213"/>
      <c r="P925" s="213"/>
      <c r="Q925" s="213"/>
      <c r="R925" s="213"/>
      <c r="S925" s="213"/>
      <c r="T925" s="213"/>
      <c r="U925" s="213"/>
      <c r="V925" s="213"/>
      <c r="W925" s="213"/>
      <c r="X925" s="213"/>
      <c r="Y925" s="213"/>
      <c r="Z925" s="213"/>
      <c r="AA925" s="213"/>
      <c r="AB925" s="213"/>
      <c r="AC925" s="213"/>
      <c r="AD925" s="213"/>
      <c r="AE925" s="213"/>
      <c r="AF925" s="213"/>
      <c r="AG925" s="213"/>
      <c r="AH925" s="213"/>
      <c r="AI925" s="213"/>
      <c r="AJ925" s="213"/>
      <c r="AK925" s="213"/>
      <c r="AL925" s="213"/>
      <c r="AM925" s="302"/>
      <c r="AN925" s="302"/>
      <c r="AO925" s="303"/>
      <c r="AP925" s="285"/>
      <c r="AQ925" s="258"/>
      <c r="AR925" s="258"/>
    </row>
    <row r="926" spans="10:44" s="48" customFormat="1" ht="12" hidden="1" customHeight="1">
      <c r="J926" s="213"/>
      <c r="K926" s="213"/>
      <c r="L926" s="213"/>
      <c r="M926" s="213"/>
      <c r="N926" s="213"/>
      <c r="O926" s="213"/>
      <c r="P926" s="213"/>
      <c r="Q926" s="213"/>
      <c r="R926" s="213"/>
      <c r="S926" s="213"/>
      <c r="T926" s="213"/>
      <c r="U926" s="213"/>
      <c r="V926" s="213"/>
      <c r="W926" s="213"/>
      <c r="X926" s="213"/>
      <c r="Y926" s="213"/>
      <c r="Z926" s="213"/>
      <c r="AA926" s="213"/>
      <c r="AB926" s="213"/>
      <c r="AC926" s="213"/>
      <c r="AD926" s="213"/>
      <c r="AE926" s="213"/>
      <c r="AF926" s="213"/>
      <c r="AG926" s="213"/>
      <c r="AH926" s="213"/>
      <c r="AI926" s="213"/>
      <c r="AJ926" s="213"/>
      <c r="AK926" s="213"/>
      <c r="AL926" s="213"/>
      <c r="AM926" s="302"/>
      <c r="AN926" s="302"/>
      <c r="AO926" s="303"/>
      <c r="AP926" s="285"/>
      <c r="AQ926" s="258"/>
      <c r="AR926" s="258"/>
    </row>
    <row r="927" spans="10:44" s="48" customFormat="1" ht="12" hidden="1" customHeight="1">
      <c r="J927" s="213"/>
      <c r="K927" s="213"/>
      <c r="L927" s="213"/>
      <c r="M927" s="213"/>
      <c r="N927" s="213"/>
      <c r="O927" s="213"/>
      <c r="P927" s="213"/>
      <c r="Q927" s="213"/>
      <c r="R927" s="213"/>
      <c r="S927" s="213"/>
      <c r="T927" s="213"/>
      <c r="U927" s="213"/>
      <c r="V927" s="213"/>
      <c r="W927" s="213"/>
      <c r="X927" s="213"/>
      <c r="Y927" s="213"/>
      <c r="Z927" s="213"/>
      <c r="AA927" s="213"/>
      <c r="AB927" s="213"/>
      <c r="AC927" s="213"/>
      <c r="AD927" s="213"/>
      <c r="AE927" s="213"/>
      <c r="AF927" s="213"/>
      <c r="AG927" s="213"/>
      <c r="AH927" s="213"/>
      <c r="AI927" s="213"/>
      <c r="AJ927" s="213"/>
      <c r="AK927" s="213"/>
      <c r="AL927" s="213"/>
      <c r="AM927" s="302"/>
      <c r="AN927" s="302"/>
      <c r="AO927" s="303"/>
      <c r="AP927" s="285"/>
      <c r="AQ927" s="258"/>
      <c r="AR927" s="258"/>
    </row>
    <row r="928" spans="10:44" s="48" customFormat="1" ht="12" hidden="1" customHeight="1">
      <c r="J928" s="213"/>
      <c r="K928" s="213"/>
      <c r="L928" s="213"/>
      <c r="M928" s="213"/>
      <c r="N928" s="213"/>
      <c r="O928" s="213"/>
      <c r="P928" s="213"/>
      <c r="Q928" s="213"/>
      <c r="R928" s="213"/>
      <c r="S928" s="213"/>
      <c r="T928" s="213"/>
      <c r="U928" s="213"/>
      <c r="V928" s="213"/>
      <c r="W928" s="213"/>
      <c r="X928" s="213"/>
      <c r="Y928" s="213"/>
      <c r="Z928" s="213"/>
      <c r="AA928" s="213"/>
      <c r="AB928" s="213"/>
      <c r="AC928" s="213"/>
      <c r="AD928" s="213"/>
      <c r="AE928" s="213"/>
      <c r="AF928" s="213"/>
      <c r="AG928" s="213"/>
      <c r="AH928" s="213"/>
      <c r="AI928" s="213"/>
      <c r="AJ928" s="213"/>
      <c r="AK928" s="213"/>
      <c r="AL928" s="213"/>
      <c r="AM928" s="302"/>
      <c r="AN928" s="302"/>
      <c r="AO928" s="303"/>
      <c r="AP928" s="285"/>
      <c r="AQ928" s="258"/>
      <c r="AR928" s="258"/>
    </row>
    <row r="929" spans="10:44" s="48" customFormat="1" ht="12" hidden="1" customHeight="1">
      <c r="J929" s="213"/>
      <c r="K929" s="213"/>
      <c r="L929" s="213"/>
      <c r="M929" s="213"/>
      <c r="N929" s="213"/>
      <c r="O929" s="213"/>
      <c r="P929" s="213"/>
      <c r="Q929" s="213"/>
      <c r="R929" s="213"/>
      <c r="S929" s="213"/>
      <c r="T929" s="213"/>
      <c r="U929" s="213"/>
      <c r="V929" s="213"/>
      <c r="W929" s="213"/>
      <c r="X929" s="213"/>
      <c r="Y929" s="213"/>
      <c r="Z929" s="213"/>
      <c r="AA929" s="213"/>
      <c r="AB929" s="213"/>
      <c r="AC929" s="213"/>
      <c r="AD929" s="213"/>
      <c r="AE929" s="213"/>
      <c r="AF929" s="213"/>
      <c r="AG929" s="213"/>
      <c r="AH929" s="213"/>
      <c r="AI929" s="213"/>
      <c r="AJ929" s="213"/>
      <c r="AK929" s="213"/>
      <c r="AL929" s="213"/>
      <c r="AM929" s="302"/>
      <c r="AN929" s="302"/>
      <c r="AO929" s="303"/>
      <c r="AP929" s="285"/>
      <c r="AQ929" s="258"/>
      <c r="AR929" s="258"/>
    </row>
    <row r="930" spans="10:44" s="48" customFormat="1" ht="12" hidden="1" customHeight="1">
      <c r="J930" s="213"/>
      <c r="K930" s="213"/>
      <c r="L930" s="213"/>
      <c r="M930" s="213"/>
      <c r="N930" s="213"/>
      <c r="O930" s="213"/>
      <c r="P930" s="213"/>
      <c r="Q930" s="213"/>
      <c r="R930" s="213"/>
      <c r="S930" s="213"/>
      <c r="T930" s="213"/>
      <c r="U930" s="213"/>
      <c r="V930" s="213"/>
      <c r="W930" s="213"/>
      <c r="X930" s="213"/>
      <c r="Y930" s="213"/>
      <c r="Z930" s="213"/>
      <c r="AA930" s="213"/>
      <c r="AB930" s="213"/>
      <c r="AC930" s="213"/>
      <c r="AD930" s="213"/>
      <c r="AE930" s="213"/>
      <c r="AF930" s="213"/>
      <c r="AG930" s="213"/>
      <c r="AH930" s="213"/>
      <c r="AI930" s="213"/>
      <c r="AJ930" s="213"/>
      <c r="AK930" s="213"/>
      <c r="AL930" s="213"/>
      <c r="AM930" s="302"/>
      <c r="AN930" s="302"/>
      <c r="AO930" s="303"/>
      <c r="AP930" s="285"/>
      <c r="AQ930" s="258"/>
      <c r="AR930" s="258"/>
    </row>
    <row r="931" spans="10:44" s="48" customFormat="1" ht="12" hidden="1" customHeight="1">
      <c r="J931" s="213"/>
      <c r="K931" s="213"/>
      <c r="L931" s="213"/>
      <c r="M931" s="213"/>
      <c r="N931" s="213"/>
      <c r="O931" s="213"/>
      <c r="P931" s="213"/>
      <c r="Q931" s="213"/>
      <c r="R931" s="213"/>
      <c r="S931" s="213"/>
      <c r="T931" s="213"/>
      <c r="U931" s="213"/>
      <c r="V931" s="213"/>
      <c r="W931" s="213"/>
      <c r="X931" s="213"/>
      <c r="Y931" s="213"/>
      <c r="Z931" s="213"/>
      <c r="AA931" s="213"/>
      <c r="AB931" s="213"/>
      <c r="AC931" s="213"/>
      <c r="AD931" s="213"/>
      <c r="AE931" s="213"/>
      <c r="AF931" s="213"/>
      <c r="AG931" s="213"/>
      <c r="AH931" s="213"/>
      <c r="AI931" s="213"/>
      <c r="AJ931" s="213"/>
      <c r="AK931" s="213"/>
      <c r="AL931" s="213"/>
      <c r="AM931" s="302"/>
      <c r="AN931" s="302"/>
      <c r="AO931" s="303"/>
      <c r="AP931" s="285"/>
      <c r="AQ931" s="258"/>
      <c r="AR931" s="258"/>
    </row>
    <row r="932" spans="10:44" s="48" customFormat="1" ht="12" hidden="1" customHeight="1">
      <c r="J932" s="213"/>
      <c r="K932" s="213"/>
      <c r="L932" s="213"/>
      <c r="M932" s="213"/>
      <c r="N932" s="213"/>
      <c r="O932" s="213"/>
      <c r="P932" s="213"/>
      <c r="Q932" s="213"/>
      <c r="R932" s="213"/>
      <c r="S932" s="213"/>
      <c r="T932" s="213"/>
      <c r="U932" s="213"/>
      <c r="V932" s="213"/>
      <c r="W932" s="213"/>
      <c r="X932" s="213"/>
      <c r="Y932" s="213"/>
      <c r="Z932" s="213"/>
      <c r="AA932" s="213"/>
      <c r="AB932" s="213"/>
      <c r="AC932" s="213"/>
      <c r="AD932" s="213"/>
      <c r="AE932" s="213"/>
      <c r="AF932" s="213"/>
      <c r="AG932" s="213"/>
      <c r="AH932" s="213"/>
      <c r="AI932" s="213"/>
      <c r="AJ932" s="213"/>
      <c r="AK932" s="213"/>
      <c r="AL932" s="213"/>
      <c r="AM932" s="302"/>
      <c r="AN932" s="302"/>
      <c r="AO932" s="303"/>
      <c r="AP932" s="285"/>
      <c r="AQ932" s="258"/>
      <c r="AR932" s="258"/>
    </row>
    <row r="933" spans="10:44" s="48" customFormat="1" ht="12" hidden="1" customHeight="1">
      <c r="J933" s="213"/>
      <c r="K933" s="213"/>
      <c r="L933" s="213"/>
      <c r="M933" s="213"/>
      <c r="N933" s="213"/>
      <c r="O933" s="213"/>
      <c r="P933" s="213"/>
      <c r="Q933" s="213"/>
      <c r="R933" s="213"/>
      <c r="S933" s="213"/>
      <c r="T933" s="213"/>
      <c r="U933" s="213"/>
      <c r="V933" s="213"/>
      <c r="W933" s="213"/>
      <c r="X933" s="213"/>
      <c r="Y933" s="213"/>
      <c r="Z933" s="213"/>
      <c r="AA933" s="213"/>
      <c r="AB933" s="213"/>
      <c r="AC933" s="213"/>
      <c r="AD933" s="213"/>
      <c r="AE933" s="213"/>
      <c r="AF933" s="213"/>
      <c r="AG933" s="213"/>
      <c r="AH933" s="213"/>
      <c r="AI933" s="213"/>
      <c r="AJ933" s="213"/>
      <c r="AK933" s="213"/>
      <c r="AL933" s="213"/>
      <c r="AM933" s="302"/>
      <c r="AN933" s="302"/>
      <c r="AO933" s="303"/>
      <c r="AP933" s="285"/>
      <c r="AQ933" s="258"/>
      <c r="AR933" s="258"/>
    </row>
    <row r="934" spans="10:44" s="48" customFormat="1" ht="12" hidden="1" customHeight="1">
      <c r="J934" s="213"/>
      <c r="K934" s="213"/>
      <c r="L934" s="213"/>
      <c r="M934" s="213"/>
      <c r="N934" s="213"/>
      <c r="O934" s="213"/>
      <c r="P934" s="213"/>
      <c r="Q934" s="213"/>
      <c r="R934" s="213"/>
      <c r="S934" s="213"/>
      <c r="T934" s="213"/>
      <c r="U934" s="213"/>
      <c r="V934" s="213"/>
      <c r="W934" s="213"/>
      <c r="X934" s="213"/>
      <c r="Y934" s="213"/>
      <c r="Z934" s="213"/>
      <c r="AA934" s="213"/>
      <c r="AB934" s="213"/>
      <c r="AC934" s="213"/>
      <c r="AD934" s="213"/>
      <c r="AE934" s="213"/>
      <c r="AF934" s="213"/>
      <c r="AG934" s="213"/>
      <c r="AH934" s="213"/>
      <c r="AI934" s="213"/>
      <c r="AJ934" s="213"/>
      <c r="AK934" s="213"/>
      <c r="AL934" s="213"/>
      <c r="AM934" s="302"/>
      <c r="AN934" s="302"/>
      <c r="AO934" s="303"/>
      <c r="AP934" s="285"/>
      <c r="AQ934" s="258"/>
      <c r="AR934" s="258"/>
    </row>
    <row r="935" spans="10:44" s="48" customFormat="1" ht="12" hidden="1" customHeight="1">
      <c r="J935" s="213"/>
      <c r="K935" s="213"/>
      <c r="L935" s="213"/>
      <c r="M935" s="213"/>
      <c r="N935" s="213"/>
      <c r="O935" s="213"/>
      <c r="P935" s="213"/>
      <c r="Q935" s="213"/>
      <c r="R935" s="213"/>
      <c r="S935" s="213"/>
      <c r="T935" s="213"/>
      <c r="U935" s="213"/>
      <c r="V935" s="213"/>
      <c r="W935" s="213"/>
      <c r="X935" s="213"/>
      <c r="Y935" s="213"/>
      <c r="Z935" s="213"/>
      <c r="AA935" s="213"/>
      <c r="AB935" s="213"/>
      <c r="AC935" s="213"/>
      <c r="AD935" s="213"/>
      <c r="AE935" s="213"/>
      <c r="AF935" s="213"/>
      <c r="AG935" s="213"/>
      <c r="AH935" s="213"/>
      <c r="AI935" s="213"/>
      <c r="AJ935" s="213"/>
      <c r="AK935" s="213"/>
      <c r="AL935" s="213"/>
      <c r="AM935" s="302"/>
      <c r="AN935" s="302"/>
      <c r="AO935" s="303"/>
      <c r="AP935" s="285"/>
      <c r="AQ935" s="258"/>
      <c r="AR935" s="258"/>
    </row>
    <row r="936" spans="10:44" s="48" customFormat="1" ht="12" hidden="1" customHeight="1">
      <c r="J936" s="213"/>
      <c r="K936" s="213"/>
      <c r="L936" s="213"/>
      <c r="M936" s="213"/>
      <c r="N936" s="213"/>
      <c r="O936" s="213"/>
      <c r="P936" s="213"/>
      <c r="Q936" s="213"/>
      <c r="R936" s="213"/>
      <c r="S936" s="213"/>
      <c r="T936" s="213"/>
      <c r="U936" s="213"/>
      <c r="V936" s="213"/>
      <c r="W936" s="213"/>
      <c r="X936" s="213"/>
      <c r="Y936" s="213"/>
      <c r="Z936" s="213"/>
      <c r="AA936" s="213"/>
      <c r="AB936" s="213"/>
      <c r="AC936" s="213"/>
      <c r="AD936" s="213"/>
      <c r="AE936" s="213"/>
      <c r="AF936" s="213"/>
      <c r="AG936" s="213"/>
      <c r="AH936" s="213"/>
      <c r="AI936" s="213"/>
      <c r="AJ936" s="213"/>
      <c r="AK936" s="213"/>
      <c r="AL936" s="213"/>
      <c r="AM936" s="302"/>
      <c r="AN936" s="302"/>
      <c r="AO936" s="303"/>
      <c r="AP936" s="285"/>
      <c r="AQ936" s="258"/>
      <c r="AR936" s="258"/>
    </row>
    <row r="937" spans="10:44" s="48" customFormat="1" ht="12" hidden="1" customHeight="1">
      <c r="J937" s="213"/>
      <c r="K937" s="213"/>
      <c r="L937" s="213"/>
      <c r="M937" s="213"/>
      <c r="N937" s="213"/>
      <c r="O937" s="213"/>
      <c r="P937" s="213"/>
      <c r="Q937" s="213"/>
      <c r="R937" s="213"/>
      <c r="S937" s="213"/>
      <c r="T937" s="213"/>
      <c r="U937" s="213"/>
      <c r="V937" s="213"/>
      <c r="W937" s="213"/>
      <c r="X937" s="213"/>
      <c r="Y937" s="213"/>
      <c r="Z937" s="213"/>
      <c r="AA937" s="213"/>
      <c r="AB937" s="213"/>
      <c r="AC937" s="213"/>
      <c r="AD937" s="213"/>
      <c r="AE937" s="213"/>
      <c r="AF937" s="213"/>
      <c r="AG937" s="213"/>
      <c r="AH937" s="213"/>
      <c r="AI937" s="213"/>
      <c r="AJ937" s="213"/>
      <c r="AK937" s="213"/>
      <c r="AL937" s="213"/>
      <c r="AM937" s="302"/>
      <c r="AN937" s="302"/>
      <c r="AO937" s="303"/>
      <c r="AP937" s="285"/>
      <c r="AQ937" s="258"/>
      <c r="AR937" s="258"/>
    </row>
    <row r="938" spans="10:44" s="48" customFormat="1" ht="12" hidden="1" customHeight="1">
      <c r="J938" s="213"/>
      <c r="K938" s="213"/>
      <c r="L938" s="213"/>
      <c r="M938" s="213"/>
      <c r="N938" s="213"/>
      <c r="O938" s="213"/>
      <c r="P938" s="213"/>
      <c r="Q938" s="213"/>
      <c r="R938" s="213"/>
      <c r="S938" s="213"/>
      <c r="T938" s="213"/>
      <c r="U938" s="213"/>
      <c r="V938" s="213"/>
      <c r="W938" s="213"/>
      <c r="X938" s="213"/>
      <c r="Y938" s="213"/>
      <c r="Z938" s="213"/>
      <c r="AA938" s="213"/>
      <c r="AB938" s="213"/>
      <c r="AC938" s="213"/>
      <c r="AD938" s="213"/>
      <c r="AE938" s="213"/>
      <c r="AF938" s="213"/>
      <c r="AG938" s="213"/>
      <c r="AH938" s="213"/>
      <c r="AI938" s="213"/>
      <c r="AJ938" s="213"/>
      <c r="AK938" s="213"/>
      <c r="AL938" s="213"/>
      <c r="AM938" s="302"/>
      <c r="AN938" s="302"/>
      <c r="AO938" s="303"/>
      <c r="AP938" s="285"/>
      <c r="AQ938" s="258"/>
      <c r="AR938" s="258"/>
    </row>
    <row r="939" spans="10:44" s="48" customFormat="1" ht="12" hidden="1" customHeight="1">
      <c r="J939" s="213"/>
      <c r="K939" s="213"/>
      <c r="L939" s="213"/>
      <c r="M939" s="213"/>
      <c r="N939" s="213"/>
      <c r="O939" s="213"/>
      <c r="P939" s="213"/>
      <c r="Q939" s="213"/>
      <c r="R939" s="213"/>
      <c r="S939" s="213"/>
      <c r="T939" s="213"/>
      <c r="U939" s="213"/>
      <c r="V939" s="213"/>
      <c r="W939" s="213"/>
      <c r="X939" s="213"/>
      <c r="Y939" s="213"/>
      <c r="Z939" s="213"/>
      <c r="AA939" s="213"/>
      <c r="AB939" s="213"/>
      <c r="AC939" s="213"/>
      <c r="AD939" s="213"/>
      <c r="AE939" s="213"/>
      <c r="AF939" s="213"/>
      <c r="AG939" s="213"/>
      <c r="AH939" s="213"/>
      <c r="AI939" s="213"/>
      <c r="AJ939" s="213"/>
      <c r="AK939" s="213"/>
      <c r="AL939" s="213"/>
      <c r="AM939" s="302"/>
      <c r="AN939" s="302"/>
      <c r="AO939" s="303"/>
      <c r="AP939" s="285"/>
      <c r="AQ939" s="258"/>
      <c r="AR939" s="258"/>
    </row>
    <row r="940" spans="10:44" s="48" customFormat="1" ht="12" hidden="1" customHeight="1">
      <c r="J940" s="213"/>
      <c r="K940" s="213"/>
      <c r="L940" s="213"/>
      <c r="M940" s="213"/>
      <c r="N940" s="213"/>
      <c r="O940" s="213"/>
      <c r="P940" s="213"/>
      <c r="Q940" s="213"/>
      <c r="R940" s="213"/>
      <c r="S940" s="213"/>
      <c r="T940" s="213"/>
      <c r="U940" s="213"/>
      <c r="V940" s="213"/>
      <c r="W940" s="213"/>
      <c r="X940" s="213"/>
      <c r="Y940" s="213"/>
      <c r="Z940" s="213"/>
      <c r="AA940" s="213"/>
      <c r="AB940" s="213"/>
      <c r="AC940" s="213"/>
      <c r="AD940" s="213"/>
      <c r="AE940" s="213"/>
      <c r="AF940" s="213"/>
      <c r="AG940" s="213"/>
      <c r="AH940" s="213"/>
      <c r="AI940" s="213"/>
      <c r="AJ940" s="213"/>
      <c r="AK940" s="213"/>
      <c r="AL940" s="213"/>
      <c r="AM940" s="302"/>
      <c r="AN940" s="302"/>
      <c r="AO940" s="303"/>
      <c r="AP940" s="285"/>
      <c r="AQ940" s="258"/>
      <c r="AR940" s="258"/>
    </row>
    <row r="941" spans="10:44" s="48" customFormat="1" ht="12" hidden="1" customHeight="1">
      <c r="J941" s="213"/>
      <c r="K941" s="213"/>
      <c r="L941" s="213"/>
      <c r="M941" s="213"/>
      <c r="N941" s="213"/>
      <c r="O941" s="213"/>
      <c r="P941" s="213"/>
      <c r="Q941" s="213"/>
      <c r="R941" s="213"/>
      <c r="S941" s="213"/>
      <c r="T941" s="213"/>
      <c r="U941" s="213"/>
      <c r="V941" s="213"/>
      <c r="W941" s="213"/>
      <c r="X941" s="213"/>
      <c r="Y941" s="213"/>
      <c r="Z941" s="213"/>
      <c r="AA941" s="213"/>
      <c r="AB941" s="213"/>
      <c r="AC941" s="213"/>
      <c r="AD941" s="213"/>
      <c r="AE941" s="213"/>
      <c r="AF941" s="213"/>
      <c r="AG941" s="213"/>
      <c r="AH941" s="213"/>
      <c r="AI941" s="213"/>
      <c r="AJ941" s="213"/>
      <c r="AK941" s="213"/>
      <c r="AL941" s="213"/>
      <c r="AM941" s="302"/>
      <c r="AN941" s="302"/>
      <c r="AO941" s="303"/>
      <c r="AP941" s="285"/>
      <c r="AQ941" s="258"/>
      <c r="AR941" s="258"/>
    </row>
    <row r="942" spans="10:44" s="48" customFormat="1" ht="12" hidden="1" customHeight="1">
      <c r="J942" s="213"/>
      <c r="K942" s="213"/>
      <c r="L942" s="213"/>
      <c r="M942" s="213"/>
      <c r="N942" s="213"/>
      <c r="O942" s="213"/>
      <c r="P942" s="213"/>
      <c r="Q942" s="213"/>
      <c r="R942" s="213"/>
      <c r="S942" s="213"/>
      <c r="T942" s="213"/>
      <c r="U942" s="213"/>
      <c r="V942" s="213"/>
      <c r="W942" s="213"/>
      <c r="X942" s="213"/>
      <c r="Y942" s="213"/>
      <c r="Z942" s="213"/>
      <c r="AA942" s="213"/>
      <c r="AB942" s="213"/>
      <c r="AC942" s="213"/>
      <c r="AD942" s="213"/>
      <c r="AE942" s="213"/>
      <c r="AF942" s="213"/>
      <c r="AG942" s="213"/>
      <c r="AH942" s="213"/>
      <c r="AI942" s="213"/>
      <c r="AJ942" s="213"/>
      <c r="AK942" s="213"/>
      <c r="AL942" s="213"/>
      <c r="AM942" s="302"/>
      <c r="AN942" s="302"/>
      <c r="AO942" s="303"/>
      <c r="AP942" s="285"/>
      <c r="AQ942" s="258"/>
      <c r="AR942" s="258"/>
    </row>
    <row r="943" spans="10:44" s="48" customFormat="1" ht="12" hidden="1" customHeight="1">
      <c r="J943" s="213"/>
      <c r="K943" s="213"/>
      <c r="L943" s="213"/>
      <c r="M943" s="213"/>
      <c r="N943" s="213"/>
      <c r="O943" s="213"/>
      <c r="P943" s="213"/>
      <c r="Q943" s="213"/>
      <c r="R943" s="213"/>
      <c r="S943" s="213"/>
      <c r="T943" s="213"/>
      <c r="U943" s="213"/>
      <c r="V943" s="213"/>
      <c r="W943" s="213"/>
      <c r="X943" s="213"/>
      <c r="Y943" s="213"/>
      <c r="Z943" s="213"/>
      <c r="AA943" s="213"/>
      <c r="AB943" s="213"/>
      <c r="AC943" s="213"/>
      <c r="AD943" s="213"/>
      <c r="AE943" s="213"/>
      <c r="AF943" s="213"/>
      <c r="AG943" s="213"/>
      <c r="AH943" s="213"/>
      <c r="AI943" s="213"/>
      <c r="AJ943" s="213"/>
      <c r="AK943" s="213"/>
      <c r="AL943" s="213"/>
      <c r="AM943" s="302"/>
      <c r="AN943" s="302"/>
      <c r="AO943" s="303"/>
      <c r="AP943" s="285"/>
      <c r="AQ943" s="258"/>
      <c r="AR943" s="258"/>
    </row>
    <row r="944" spans="10:44" s="48" customFormat="1" ht="12" hidden="1" customHeight="1">
      <c r="J944" s="213"/>
      <c r="K944" s="213"/>
      <c r="L944" s="213"/>
      <c r="M944" s="213"/>
      <c r="N944" s="213"/>
      <c r="O944" s="213"/>
      <c r="P944" s="213"/>
      <c r="Q944" s="213"/>
      <c r="R944" s="213"/>
      <c r="S944" s="213"/>
      <c r="T944" s="213"/>
      <c r="U944" s="213"/>
      <c r="V944" s="213"/>
      <c r="W944" s="213"/>
      <c r="X944" s="213"/>
      <c r="Y944" s="213"/>
      <c r="Z944" s="213"/>
      <c r="AA944" s="213"/>
      <c r="AB944" s="213"/>
      <c r="AC944" s="213"/>
      <c r="AD944" s="213"/>
      <c r="AE944" s="213"/>
      <c r="AF944" s="213"/>
      <c r="AG944" s="213"/>
      <c r="AH944" s="213"/>
      <c r="AI944" s="213"/>
      <c r="AJ944" s="213"/>
      <c r="AK944" s="213"/>
      <c r="AL944" s="213"/>
      <c r="AM944" s="302"/>
      <c r="AN944" s="302"/>
      <c r="AO944" s="303"/>
      <c r="AP944" s="285"/>
      <c r="AQ944" s="258"/>
      <c r="AR944" s="258"/>
    </row>
    <row r="945" spans="10:44" s="48" customFormat="1" ht="12" hidden="1" customHeight="1">
      <c r="J945" s="213"/>
      <c r="K945" s="213"/>
      <c r="L945" s="213"/>
      <c r="M945" s="213"/>
      <c r="N945" s="213"/>
      <c r="O945" s="213"/>
      <c r="P945" s="213"/>
      <c r="Q945" s="213"/>
      <c r="R945" s="213"/>
      <c r="S945" s="213"/>
      <c r="T945" s="213"/>
      <c r="U945" s="213"/>
      <c r="V945" s="213"/>
      <c r="W945" s="213"/>
      <c r="X945" s="213"/>
      <c r="Y945" s="213"/>
      <c r="Z945" s="213"/>
      <c r="AA945" s="213"/>
      <c r="AB945" s="213"/>
      <c r="AC945" s="213"/>
      <c r="AD945" s="213"/>
      <c r="AE945" s="213"/>
      <c r="AF945" s="213"/>
      <c r="AG945" s="213"/>
      <c r="AH945" s="213"/>
      <c r="AI945" s="213"/>
      <c r="AJ945" s="213"/>
      <c r="AK945" s="213"/>
      <c r="AL945" s="213"/>
      <c r="AM945" s="302"/>
      <c r="AN945" s="302"/>
      <c r="AO945" s="303"/>
      <c r="AP945" s="285"/>
      <c r="AQ945" s="258"/>
      <c r="AR945" s="258"/>
    </row>
    <row r="946" spans="10:44" s="48" customFormat="1" ht="12" hidden="1" customHeight="1">
      <c r="J946" s="213"/>
      <c r="K946" s="213"/>
      <c r="L946" s="213"/>
      <c r="M946" s="213"/>
      <c r="N946" s="213"/>
      <c r="O946" s="213"/>
      <c r="P946" s="213"/>
      <c r="Q946" s="213"/>
      <c r="R946" s="213"/>
      <c r="S946" s="213"/>
      <c r="T946" s="213"/>
      <c r="U946" s="213"/>
      <c r="V946" s="213"/>
      <c r="W946" s="213"/>
      <c r="X946" s="213"/>
      <c r="Y946" s="213"/>
      <c r="Z946" s="213"/>
      <c r="AA946" s="213"/>
      <c r="AB946" s="213"/>
      <c r="AC946" s="213"/>
      <c r="AD946" s="213"/>
      <c r="AE946" s="213"/>
      <c r="AF946" s="213"/>
      <c r="AG946" s="213"/>
      <c r="AH946" s="213"/>
      <c r="AI946" s="213"/>
      <c r="AJ946" s="213"/>
      <c r="AK946" s="213"/>
      <c r="AL946" s="213"/>
      <c r="AM946" s="302"/>
      <c r="AN946" s="302"/>
      <c r="AO946" s="303"/>
      <c r="AP946" s="285"/>
      <c r="AQ946" s="258"/>
      <c r="AR946" s="258"/>
    </row>
    <row r="947" spans="10:44" s="48" customFormat="1" ht="12" hidden="1" customHeight="1">
      <c r="J947" s="213"/>
      <c r="K947" s="213"/>
      <c r="L947" s="213"/>
      <c r="M947" s="213"/>
      <c r="N947" s="213"/>
      <c r="O947" s="213"/>
      <c r="P947" s="213"/>
      <c r="Q947" s="213"/>
      <c r="R947" s="213"/>
      <c r="S947" s="213"/>
      <c r="T947" s="213"/>
      <c r="U947" s="213"/>
      <c r="V947" s="213"/>
      <c r="W947" s="213"/>
      <c r="X947" s="213"/>
      <c r="Y947" s="213"/>
      <c r="Z947" s="213"/>
      <c r="AA947" s="213"/>
      <c r="AB947" s="213"/>
      <c r="AC947" s="213"/>
      <c r="AD947" s="213"/>
      <c r="AE947" s="213"/>
      <c r="AF947" s="213"/>
      <c r="AG947" s="213"/>
      <c r="AH947" s="213"/>
      <c r="AI947" s="213"/>
      <c r="AJ947" s="213"/>
      <c r="AK947" s="213"/>
      <c r="AL947" s="213"/>
      <c r="AM947" s="302"/>
      <c r="AN947" s="302"/>
      <c r="AO947" s="303"/>
      <c r="AP947" s="285"/>
      <c r="AQ947" s="258"/>
      <c r="AR947" s="258"/>
    </row>
    <row r="948" spans="10:44" s="48" customFormat="1" ht="12" hidden="1" customHeight="1">
      <c r="J948" s="213"/>
      <c r="K948" s="213"/>
      <c r="L948" s="213"/>
      <c r="M948" s="213"/>
      <c r="N948" s="213"/>
      <c r="O948" s="213"/>
      <c r="P948" s="213"/>
      <c r="Q948" s="213"/>
      <c r="R948" s="213"/>
      <c r="S948" s="213"/>
      <c r="T948" s="213"/>
      <c r="U948" s="213"/>
      <c r="V948" s="213"/>
      <c r="W948" s="213"/>
      <c r="X948" s="213"/>
      <c r="Y948" s="213"/>
      <c r="Z948" s="213"/>
      <c r="AA948" s="213"/>
      <c r="AB948" s="213"/>
      <c r="AC948" s="213"/>
      <c r="AD948" s="213"/>
      <c r="AE948" s="213"/>
      <c r="AF948" s="213"/>
      <c r="AG948" s="213"/>
      <c r="AH948" s="213"/>
      <c r="AI948" s="213"/>
      <c r="AJ948" s="213"/>
      <c r="AK948" s="213"/>
      <c r="AL948" s="213"/>
      <c r="AM948" s="302"/>
      <c r="AN948" s="302"/>
      <c r="AO948" s="303"/>
      <c r="AP948" s="285"/>
      <c r="AQ948" s="258"/>
      <c r="AR948" s="258"/>
    </row>
    <row r="949" spans="10:44" s="48" customFormat="1" ht="12" hidden="1" customHeight="1">
      <c r="J949" s="213"/>
      <c r="K949" s="213"/>
      <c r="L949" s="213"/>
      <c r="M949" s="213"/>
      <c r="N949" s="213"/>
      <c r="O949" s="213"/>
      <c r="P949" s="213"/>
      <c r="Q949" s="213"/>
      <c r="R949" s="213"/>
      <c r="S949" s="213"/>
      <c r="T949" s="213"/>
      <c r="U949" s="213"/>
      <c r="V949" s="213"/>
      <c r="W949" s="213"/>
      <c r="X949" s="213"/>
      <c r="Y949" s="213"/>
      <c r="Z949" s="213"/>
      <c r="AA949" s="213"/>
      <c r="AB949" s="213"/>
      <c r="AC949" s="213"/>
      <c r="AD949" s="213"/>
      <c r="AE949" s="213"/>
      <c r="AF949" s="213"/>
      <c r="AG949" s="213"/>
      <c r="AH949" s="213"/>
      <c r="AI949" s="213"/>
      <c r="AJ949" s="213"/>
      <c r="AK949" s="213"/>
      <c r="AL949" s="213"/>
      <c r="AM949" s="302"/>
      <c r="AN949" s="302"/>
      <c r="AO949" s="303"/>
      <c r="AP949" s="285"/>
      <c r="AQ949" s="258"/>
      <c r="AR949" s="258"/>
    </row>
    <row r="950" spans="10:44" s="48" customFormat="1" ht="12" hidden="1" customHeight="1">
      <c r="J950" s="213"/>
      <c r="K950" s="213"/>
      <c r="L950" s="213"/>
      <c r="M950" s="213"/>
      <c r="N950" s="213"/>
      <c r="O950" s="213"/>
      <c r="P950" s="213"/>
      <c r="Q950" s="213"/>
      <c r="R950" s="213"/>
      <c r="S950" s="213"/>
      <c r="T950" s="213"/>
      <c r="U950" s="213"/>
      <c r="V950" s="213"/>
      <c r="W950" s="213"/>
      <c r="X950" s="213"/>
      <c r="Y950" s="213"/>
      <c r="Z950" s="213"/>
      <c r="AA950" s="213"/>
      <c r="AB950" s="213"/>
      <c r="AC950" s="213"/>
      <c r="AD950" s="213"/>
      <c r="AE950" s="213"/>
      <c r="AF950" s="213"/>
      <c r="AG950" s="213"/>
      <c r="AH950" s="213"/>
      <c r="AI950" s="213"/>
      <c r="AJ950" s="213"/>
      <c r="AK950" s="213"/>
      <c r="AL950" s="213"/>
      <c r="AM950" s="302"/>
      <c r="AN950" s="302"/>
      <c r="AO950" s="303"/>
      <c r="AP950" s="285"/>
      <c r="AQ950" s="258"/>
      <c r="AR950" s="258"/>
    </row>
    <row r="951" spans="10:44" s="48" customFormat="1" ht="12" hidden="1" customHeight="1">
      <c r="J951" s="213"/>
      <c r="K951" s="213"/>
      <c r="L951" s="213"/>
      <c r="M951" s="213"/>
      <c r="N951" s="213"/>
      <c r="O951" s="213"/>
      <c r="P951" s="213"/>
      <c r="Q951" s="213"/>
      <c r="R951" s="213"/>
      <c r="S951" s="213"/>
      <c r="T951" s="213"/>
      <c r="U951" s="213"/>
      <c r="V951" s="213"/>
      <c r="W951" s="213"/>
      <c r="X951" s="213"/>
      <c r="Y951" s="213"/>
      <c r="Z951" s="213"/>
      <c r="AA951" s="213"/>
      <c r="AB951" s="213"/>
      <c r="AC951" s="213"/>
      <c r="AD951" s="213"/>
      <c r="AE951" s="213"/>
      <c r="AF951" s="213"/>
      <c r="AG951" s="213"/>
      <c r="AH951" s="213"/>
      <c r="AI951" s="213"/>
      <c r="AJ951" s="213"/>
      <c r="AK951" s="213"/>
      <c r="AL951" s="213"/>
      <c r="AM951" s="302"/>
      <c r="AN951" s="302"/>
      <c r="AO951" s="303"/>
      <c r="AP951" s="285"/>
      <c r="AQ951" s="258"/>
      <c r="AR951" s="258"/>
    </row>
    <row r="952" spans="10:44" s="48" customFormat="1" ht="12" hidden="1" customHeight="1">
      <c r="J952" s="213"/>
      <c r="K952" s="213"/>
      <c r="L952" s="213"/>
      <c r="M952" s="213"/>
      <c r="N952" s="213"/>
      <c r="O952" s="213"/>
      <c r="P952" s="213"/>
      <c r="Q952" s="213"/>
      <c r="R952" s="213"/>
      <c r="S952" s="213"/>
      <c r="T952" s="213"/>
      <c r="U952" s="213"/>
      <c r="V952" s="213"/>
      <c r="W952" s="213"/>
      <c r="X952" s="213"/>
      <c r="Y952" s="213"/>
      <c r="Z952" s="213"/>
      <c r="AA952" s="213"/>
      <c r="AB952" s="213"/>
      <c r="AC952" s="213"/>
      <c r="AD952" s="213"/>
      <c r="AE952" s="213"/>
      <c r="AF952" s="213"/>
      <c r="AG952" s="213"/>
      <c r="AH952" s="213"/>
      <c r="AI952" s="213"/>
      <c r="AJ952" s="213"/>
      <c r="AK952" s="213"/>
      <c r="AL952" s="213"/>
      <c r="AM952" s="302"/>
      <c r="AN952" s="302"/>
      <c r="AO952" s="303"/>
      <c r="AP952" s="285"/>
      <c r="AQ952" s="258"/>
      <c r="AR952" s="258"/>
    </row>
    <row r="953" spans="10:44" s="48" customFormat="1" ht="12" hidden="1" customHeight="1">
      <c r="J953" s="213"/>
      <c r="K953" s="213"/>
      <c r="L953" s="213"/>
      <c r="M953" s="213"/>
      <c r="N953" s="213"/>
      <c r="O953" s="213"/>
      <c r="P953" s="213"/>
      <c r="Q953" s="213"/>
      <c r="R953" s="213"/>
      <c r="S953" s="213"/>
      <c r="T953" s="213"/>
      <c r="U953" s="213"/>
      <c r="V953" s="213"/>
      <c r="W953" s="213"/>
      <c r="X953" s="213"/>
      <c r="Y953" s="213"/>
      <c r="Z953" s="213"/>
      <c r="AA953" s="213"/>
      <c r="AB953" s="213"/>
      <c r="AC953" s="213"/>
      <c r="AD953" s="213"/>
      <c r="AE953" s="213"/>
      <c r="AF953" s="213"/>
      <c r="AG953" s="213"/>
      <c r="AH953" s="213"/>
      <c r="AI953" s="213"/>
      <c r="AJ953" s="213"/>
      <c r="AK953" s="213"/>
      <c r="AL953" s="213"/>
      <c r="AM953" s="302"/>
      <c r="AN953" s="302"/>
      <c r="AO953" s="303"/>
      <c r="AP953" s="285"/>
      <c r="AQ953" s="258"/>
      <c r="AR953" s="258"/>
    </row>
    <row r="954" spans="10:44" s="48" customFormat="1" ht="12" hidden="1" customHeight="1">
      <c r="J954" s="213"/>
      <c r="K954" s="213"/>
      <c r="L954" s="213"/>
      <c r="M954" s="213"/>
      <c r="N954" s="213"/>
      <c r="O954" s="213"/>
      <c r="P954" s="213"/>
      <c r="Q954" s="213"/>
      <c r="R954" s="213"/>
      <c r="S954" s="213"/>
      <c r="T954" s="213"/>
      <c r="U954" s="213"/>
      <c r="V954" s="213"/>
      <c r="W954" s="213"/>
      <c r="X954" s="213"/>
      <c r="Y954" s="213"/>
      <c r="Z954" s="213"/>
      <c r="AA954" s="213"/>
      <c r="AB954" s="213"/>
      <c r="AC954" s="213"/>
      <c r="AD954" s="213"/>
      <c r="AE954" s="213"/>
      <c r="AF954" s="213"/>
      <c r="AG954" s="213"/>
      <c r="AH954" s="213"/>
      <c r="AI954" s="213"/>
      <c r="AJ954" s="213"/>
      <c r="AK954" s="213"/>
      <c r="AL954" s="213"/>
      <c r="AM954" s="302"/>
      <c r="AN954" s="302"/>
      <c r="AO954" s="303"/>
      <c r="AP954" s="285"/>
      <c r="AQ954" s="258"/>
      <c r="AR954" s="258"/>
    </row>
    <row r="955" spans="10:44" s="48" customFormat="1" ht="12" hidden="1" customHeight="1">
      <c r="J955" s="213"/>
      <c r="K955" s="213"/>
      <c r="L955" s="213"/>
      <c r="M955" s="213"/>
      <c r="N955" s="213"/>
      <c r="O955" s="213"/>
      <c r="P955" s="213"/>
      <c r="Q955" s="213"/>
      <c r="R955" s="213"/>
      <c r="S955" s="213"/>
      <c r="T955" s="213"/>
      <c r="U955" s="213"/>
      <c r="V955" s="213"/>
      <c r="W955" s="213"/>
      <c r="X955" s="213"/>
      <c r="Y955" s="213"/>
      <c r="Z955" s="213"/>
      <c r="AA955" s="213"/>
      <c r="AB955" s="213"/>
      <c r="AC955" s="213"/>
      <c r="AD955" s="213"/>
      <c r="AE955" s="213"/>
      <c r="AF955" s="213"/>
      <c r="AG955" s="213"/>
      <c r="AH955" s="213"/>
      <c r="AI955" s="213"/>
      <c r="AJ955" s="213"/>
      <c r="AK955" s="213"/>
      <c r="AL955" s="213"/>
      <c r="AM955" s="302"/>
      <c r="AN955" s="302"/>
      <c r="AO955" s="303"/>
      <c r="AP955" s="285"/>
      <c r="AQ955" s="258"/>
      <c r="AR955" s="258"/>
    </row>
    <row r="956" spans="10:44" s="48" customFormat="1" ht="12" hidden="1" customHeight="1">
      <c r="J956" s="213"/>
      <c r="K956" s="213"/>
      <c r="L956" s="213"/>
      <c r="M956" s="213"/>
      <c r="N956" s="213"/>
      <c r="O956" s="213"/>
      <c r="P956" s="213"/>
      <c r="Q956" s="213"/>
      <c r="R956" s="213"/>
      <c r="S956" s="213"/>
      <c r="T956" s="213"/>
      <c r="U956" s="213"/>
      <c r="V956" s="213"/>
      <c r="W956" s="213"/>
      <c r="X956" s="213"/>
      <c r="Y956" s="213"/>
      <c r="Z956" s="213"/>
      <c r="AA956" s="213"/>
      <c r="AB956" s="213"/>
      <c r="AC956" s="213"/>
      <c r="AD956" s="213"/>
      <c r="AE956" s="213"/>
      <c r="AF956" s="213"/>
      <c r="AG956" s="213"/>
      <c r="AH956" s="213"/>
      <c r="AI956" s="213"/>
      <c r="AJ956" s="213"/>
      <c r="AK956" s="213"/>
      <c r="AL956" s="213"/>
      <c r="AM956" s="302"/>
      <c r="AN956" s="302"/>
      <c r="AO956" s="303"/>
      <c r="AP956" s="285"/>
      <c r="AQ956" s="258"/>
      <c r="AR956" s="258"/>
    </row>
    <row r="957" spans="10:44" s="48" customFormat="1" ht="12" hidden="1" customHeight="1">
      <c r="J957" s="213"/>
      <c r="K957" s="213"/>
      <c r="L957" s="213"/>
      <c r="M957" s="213"/>
      <c r="N957" s="213"/>
      <c r="O957" s="213"/>
      <c r="P957" s="213"/>
      <c r="Q957" s="213"/>
      <c r="R957" s="213"/>
      <c r="S957" s="213"/>
      <c r="T957" s="213"/>
      <c r="U957" s="213"/>
      <c r="V957" s="213"/>
      <c r="W957" s="213"/>
      <c r="X957" s="213"/>
      <c r="Y957" s="213"/>
      <c r="Z957" s="213"/>
      <c r="AA957" s="213"/>
      <c r="AB957" s="213"/>
      <c r="AC957" s="213"/>
      <c r="AD957" s="213"/>
      <c r="AE957" s="213"/>
      <c r="AF957" s="213"/>
      <c r="AG957" s="213"/>
      <c r="AH957" s="213"/>
      <c r="AI957" s="213"/>
      <c r="AJ957" s="213"/>
      <c r="AK957" s="213"/>
      <c r="AL957" s="213"/>
      <c r="AM957" s="302"/>
      <c r="AN957" s="302"/>
      <c r="AO957" s="303"/>
      <c r="AP957" s="285"/>
      <c r="AQ957" s="258"/>
      <c r="AR957" s="258"/>
    </row>
    <row r="958" spans="10:44" s="48" customFormat="1" ht="12" hidden="1" customHeight="1">
      <c r="J958" s="213"/>
      <c r="K958" s="213"/>
      <c r="L958" s="213"/>
      <c r="M958" s="213"/>
      <c r="N958" s="213"/>
      <c r="O958" s="213"/>
      <c r="P958" s="213"/>
      <c r="Q958" s="213"/>
      <c r="R958" s="213"/>
      <c r="S958" s="213"/>
      <c r="T958" s="213"/>
      <c r="U958" s="213"/>
      <c r="V958" s="213"/>
      <c r="W958" s="213"/>
      <c r="X958" s="213"/>
      <c r="Y958" s="213"/>
      <c r="Z958" s="213"/>
      <c r="AA958" s="213"/>
      <c r="AB958" s="213"/>
      <c r="AC958" s="213"/>
      <c r="AD958" s="213"/>
      <c r="AE958" s="213"/>
      <c r="AF958" s="213"/>
      <c r="AG958" s="213"/>
      <c r="AH958" s="213"/>
      <c r="AI958" s="213"/>
      <c r="AJ958" s="213"/>
      <c r="AK958" s="213"/>
      <c r="AL958" s="213"/>
      <c r="AM958" s="302"/>
      <c r="AN958" s="302"/>
      <c r="AO958" s="303"/>
      <c r="AP958" s="285"/>
      <c r="AQ958" s="258"/>
      <c r="AR958" s="258"/>
    </row>
    <row r="959" spans="10:44" s="48" customFormat="1" ht="12" hidden="1" customHeight="1">
      <c r="J959" s="213"/>
      <c r="K959" s="213"/>
      <c r="L959" s="213"/>
      <c r="M959" s="213"/>
      <c r="N959" s="213"/>
      <c r="O959" s="213"/>
      <c r="P959" s="213"/>
      <c r="Q959" s="213"/>
      <c r="R959" s="213"/>
      <c r="S959" s="213"/>
      <c r="T959" s="213"/>
      <c r="U959" s="213"/>
      <c r="V959" s="213"/>
      <c r="W959" s="213"/>
      <c r="X959" s="213"/>
      <c r="Y959" s="213"/>
      <c r="Z959" s="213"/>
      <c r="AA959" s="213"/>
      <c r="AB959" s="213"/>
      <c r="AC959" s="213"/>
      <c r="AD959" s="213"/>
      <c r="AE959" s="213"/>
      <c r="AF959" s="213"/>
      <c r="AG959" s="213"/>
      <c r="AH959" s="213"/>
      <c r="AI959" s="213"/>
      <c r="AJ959" s="213"/>
      <c r="AK959" s="213"/>
      <c r="AL959" s="213"/>
      <c r="AM959" s="302"/>
      <c r="AN959" s="302"/>
      <c r="AO959" s="303"/>
      <c r="AP959" s="285"/>
      <c r="AQ959" s="258"/>
      <c r="AR959" s="258"/>
    </row>
    <row r="960" spans="10:44" s="48" customFormat="1" ht="12" hidden="1" customHeight="1">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302"/>
      <c r="AN960" s="302"/>
      <c r="AO960" s="303"/>
      <c r="AP960" s="285"/>
      <c r="AQ960" s="258"/>
      <c r="AR960" s="258"/>
    </row>
    <row r="961" spans="10:44" s="48" customFormat="1" ht="12" hidden="1" customHeight="1">
      <c r="J961" s="213"/>
      <c r="K961" s="213"/>
      <c r="L961" s="213"/>
      <c r="M961" s="213"/>
      <c r="N961" s="213"/>
      <c r="O961" s="213"/>
      <c r="P961" s="213"/>
      <c r="Q961" s="213"/>
      <c r="R961" s="213"/>
      <c r="S961" s="213"/>
      <c r="T961" s="213"/>
      <c r="U961" s="213"/>
      <c r="V961" s="213"/>
      <c r="W961" s="213"/>
      <c r="X961" s="213"/>
      <c r="Y961" s="213"/>
      <c r="Z961" s="213"/>
      <c r="AA961" s="213"/>
      <c r="AB961" s="213"/>
      <c r="AC961" s="213"/>
      <c r="AD961" s="213"/>
      <c r="AE961" s="213"/>
      <c r="AF961" s="213"/>
      <c r="AG961" s="213"/>
      <c r="AH961" s="213"/>
      <c r="AI961" s="213"/>
      <c r="AJ961" s="213"/>
      <c r="AK961" s="213"/>
      <c r="AL961" s="213"/>
      <c r="AM961" s="302"/>
      <c r="AN961" s="302"/>
      <c r="AO961" s="303"/>
      <c r="AP961" s="285"/>
      <c r="AQ961" s="258"/>
      <c r="AR961" s="258"/>
    </row>
    <row r="962" spans="10:44" s="48" customFormat="1" ht="12" hidden="1" customHeight="1">
      <c r="J962" s="213"/>
      <c r="K962" s="213"/>
      <c r="L962" s="213"/>
      <c r="M962" s="213"/>
      <c r="N962" s="213"/>
      <c r="O962" s="213"/>
      <c r="P962" s="213"/>
      <c r="Q962" s="213"/>
      <c r="R962" s="213"/>
      <c r="S962" s="213"/>
      <c r="T962" s="213"/>
      <c r="U962" s="213"/>
      <c r="V962" s="213"/>
      <c r="W962" s="213"/>
      <c r="X962" s="213"/>
      <c r="Y962" s="213"/>
      <c r="Z962" s="213"/>
      <c r="AA962" s="213"/>
      <c r="AB962" s="213"/>
      <c r="AC962" s="213"/>
      <c r="AD962" s="213"/>
      <c r="AE962" s="213"/>
      <c r="AF962" s="213"/>
      <c r="AG962" s="213"/>
      <c r="AH962" s="213"/>
      <c r="AI962" s="213"/>
      <c r="AJ962" s="213"/>
      <c r="AK962" s="213"/>
      <c r="AL962" s="213"/>
      <c r="AM962" s="302"/>
      <c r="AN962" s="302"/>
      <c r="AO962" s="303"/>
      <c r="AP962" s="285"/>
      <c r="AQ962" s="258"/>
      <c r="AR962" s="258"/>
    </row>
    <row r="963" spans="10:44" s="48" customFormat="1" ht="12" hidden="1" customHeight="1">
      <c r="J963" s="213"/>
      <c r="K963" s="213"/>
      <c r="L963" s="213"/>
      <c r="M963" s="213"/>
      <c r="N963" s="213"/>
      <c r="O963" s="213"/>
      <c r="P963" s="213"/>
      <c r="Q963" s="213"/>
      <c r="R963" s="213"/>
      <c r="S963" s="213"/>
      <c r="T963" s="213"/>
      <c r="U963" s="213"/>
      <c r="V963" s="213"/>
      <c r="W963" s="213"/>
      <c r="X963" s="213"/>
      <c r="Y963" s="213"/>
      <c r="Z963" s="213"/>
      <c r="AA963" s="213"/>
      <c r="AB963" s="213"/>
      <c r="AC963" s="213"/>
      <c r="AD963" s="213"/>
      <c r="AE963" s="213"/>
      <c r="AF963" s="213"/>
      <c r="AG963" s="213"/>
      <c r="AH963" s="213"/>
      <c r="AI963" s="213"/>
      <c r="AJ963" s="213"/>
      <c r="AK963" s="213"/>
      <c r="AL963" s="213"/>
      <c r="AM963" s="302"/>
      <c r="AN963" s="302"/>
      <c r="AO963" s="303"/>
      <c r="AP963" s="285"/>
      <c r="AQ963" s="258"/>
      <c r="AR963" s="258"/>
    </row>
    <row r="964" spans="10:44" s="48" customFormat="1" ht="12" hidden="1" customHeight="1">
      <c r="J964" s="213"/>
      <c r="K964" s="213"/>
      <c r="L964" s="213"/>
      <c r="M964" s="213"/>
      <c r="N964" s="213"/>
      <c r="O964" s="213"/>
      <c r="P964" s="213"/>
      <c r="Q964" s="213"/>
      <c r="R964" s="213"/>
      <c r="S964" s="213"/>
      <c r="T964" s="213"/>
      <c r="U964" s="213"/>
      <c r="V964" s="213"/>
      <c r="W964" s="213"/>
      <c r="X964" s="213"/>
      <c r="Y964" s="213"/>
      <c r="Z964" s="213"/>
      <c r="AA964" s="213"/>
      <c r="AB964" s="213"/>
      <c r="AC964" s="213"/>
      <c r="AD964" s="213"/>
      <c r="AE964" s="213"/>
      <c r="AF964" s="213"/>
      <c r="AG964" s="213"/>
      <c r="AH964" s="213"/>
      <c r="AI964" s="213"/>
      <c r="AJ964" s="213"/>
      <c r="AK964" s="213"/>
      <c r="AL964" s="213"/>
      <c r="AM964" s="302"/>
      <c r="AN964" s="302"/>
      <c r="AO964" s="303"/>
      <c r="AP964" s="285"/>
      <c r="AQ964" s="258"/>
      <c r="AR964" s="258"/>
    </row>
    <row r="965" spans="10:44" s="48" customFormat="1" ht="12" hidden="1" customHeight="1">
      <c r="J965" s="213"/>
      <c r="K965" s="213"/>
      <c r="L965" s="213"/>
      <c r="M965" s="213"/>
      <c r="N965" s="213"/>
      <c r="O965" s="213"/>
      <c r="P965" s="213"/>
      <c r="Q965" s="213"/>
      <c r="R965" s="213"/>
      <c r="S965" s="213"/>
      <c r="T965" s="213"/>
      <c r="U965" s="213"/>
      <c r="V965" s="213"/>
      <c r="W965" s="213"/>
      <c r="X965" s="213"/>
      <c r="Y965" s="213"/>
      <c r="Z965" s="213"/>
      <c r="AA965" s="213"/>
      <c r="AB965" s="213"/>
      <c r="AC965" s="213"/>
      <c r="AD965" s="213"/>
      <c r="AE965" s="213"/>
      <c r="AF965" s="213"/>
      <c r="AG965" s="213"/>
      <c r="AH965" s="213"/>
      <c r="AI965" s="213"/>
      <c r="AJ965" s="213"/>
      <c r="AK965" s="213"/>
      <c r="AL965" s="213"/>
      <c r="AM965" s="302"/>
      <c r="AN965" s="302"/>
      <c r="AO965" s="303"/>
      <c r="AP965" s="285"/>
      <c r="AQ965" s="258"/>
      <c r="AR965" s="258"/>
    </row>
    <row r="966" spans="10:44" s="48" customFormat="1" ht="12" hidden="1" customHeight="1">
      <c r="J966" s="213"/>
      <c r="K966" s="213"/>
      <c r="L966" s="213"/>
      <c r="M966" s="213"/>
      <c r="N966" s="213"/>
      <c r="O966" s="213"/>
      <c r="P966" s="213"/>
      <c r="Q966" s="213"/>
      <c r="R966" s="213"/>
      <c r="S966" s="213"/>
      <c r="T966" s="213"/>
      <c r="U966" s="213"/>
      <c r="V966" s="213"/>
      <c r="W966" s="213"/>
      <c r="X966" s="213"/>
      <c r="Y966" s="213"/>
      <c r="Z966" s="213"/>
      <c r="AA966" s="213"/>
      <c r="AB966" s="213"/>
      <c r="AC966" s="213"/>
      <c r="AD966" s="213"/>
      <c r="AE966" s="213"/>
      <c r="AF966" s="213"/>
      <c r="AG966" s="213"/>
      <c r="AH966" s="213"/>
      <c r="AI966" s="213"/>
      <c r="AJ966" s="213"/>
      <c r="AK966" s="213"/>
      <c r="AL966" s="213"/>
      <c r="AM966" s="302"/>
      <c r="AN966" s="302"/>
      <c r="AO966" s="303"/>
      <c r="AP966" s="285"/>
      <c r="AQ966" s="258"/>
      <c r="AR966" s="258"/>
    </row>
    <row r="967" spans="10:44" s="48" customFormat="1" ht="12" hidden="1" customHeight="1">
      <c r="J967" s="213"/>
      <c r="K967" s="213"/>
      <c r="L967" s="213"/>
      <c r="M967" s="213"/>
      <c r="N967" s="213"/>
      <c r="O967" s="213"/>
      <c r="P967" s="213"/>
      <c r="Q967" s="213"/>
      <c r="R967" s="213"/>
      <c r="S967" s="213"/>
      <c r="T967" s="213"/>
      <c r="U967" s="213"/>
      <c r="V967" s="213"/>
      <c r="W967" s="213"/>
      <c r="X967" s="213"/>
      <c r="Y967" s="213"/>
      <c r="Z967" s="213"/>
      <c r="AA967" s="213"/>
      <c r="AB967" s="213"/>
      <c r="AC967" s="213"/>
      <c r="AD967" s="213"/>
      <c r="AE967" s="213"/>
      <c r="AF967" s="213"/>
      <c r="AG967" s="213"/>
      <c r="AH967" s="213"/>
      <c r="AI967" s="213"/>
      <c r="AJ967" s="213"/>
      <c r="AK967" s="213"/>
      <c r="AL967" s="213"/>
      <c r="AM967" s="302"/>
      <c r="AN967" s="302"/>
      <c r="AO967" s="303"/>
      <c r="AP967" s="285"/>
      <c r="AQ967" s="258"/>
      <c r="AR967" s="258"/>
    </row>
    <row r="968" spans="10:44" s="48" customFormat="1" ht="12" hidden="1" customHeight="1">
      <c r="J968" s="213"/>
      <c r="K968" s="213"/>
      <c r="L968" s="213"/>
      <c r="M968" s="213"/>
      <c r="N968" s="213"/>
      <c r="O968" s="213"/>
      <c r="P968" s="213"/>
      <c r="Q968" s="213"/>
      <c r="R968" s="213"/>
      <c r="S968" s="213"/>
      <c r="T968" s="213"/>
      <c r="U968" s="213"/>
      <c r="V968" s="213"/>
      <c r="W968" s="213"/>
      <c r="X968" s="213"/>
      <c r="Y968" s="213"/>
      <c r="Z968" s="213"/>
      <c r="AA968" s="213"/>
      <c r="AB968" s="213"/>
      <c r="AC968" s="213"/>
      <c r="AD968" s="213"/>
      <c r="AE968" s="213"/>
      <c r="AF968" s="213"/>
      <c r="AG968" s="213"/>
      <c r="AH968" s="213"/>
      <c r="AI968" s="213"/>
      <c r="AJ968" s="213"/>
      <c r="AK968" s="213"/>
      <c r="AL968" s="213"/>
      <c r="AM968" s="302"/>
      <c r="AN968" s="302"/>
      <c r="AO968" s="303"/>
      <c r="AP968" s="285"/>
      <c r="AQ968" s="258"/>
      <c r="AR968" s="258"/>
    </row>
    <row r="969" spans="10:44" s="48" customFormat="1" ht="12" hidden="1" customHeight="1">
      <c r="J969" s="213"/>
      <c r="K969" s="213"/>
      <c r="L969" s="213"/>
      <c r="M969" s="213"/>
      <c r="N969" s="213"/>
      <c r="O969" s="213"/>
      <c r="P969" s="213"/>
      <c r="Q969" s="213"/>
      <c r="R969" s="213"/>
      <c r="S969" s="213"/>
      <c r="T969" s="213"/>
      <c r="U969" s="213"/>
      <c r="V969" s="213"/>
      <c r="W969" s="213"/>
      <c r="X969" s="213"/>
      <c r="Y969" s="213"/>
      <c r="Z969" s="213"/>
      <c r="AA969" s="213"/>
      <c r="AB969" s="213"/>
      <c r="AC969" s="213"/>
      <c r="AD969" s="213"/>
      <c r="AE969" s="213"/>
      <c r="AF969" s="213"/>
      <c r="AG969" s="213"/>
      <c r="AH969" s="213"/>
      <c r="AI969" s="213"/>
      <c r="AJ969" s="213"/>
      <c r="AK969" s="213"/>
      <c r="AL969" s="213"/>
      <c r="AM969" s="302"/>
      <c r="AN969" s="302"/>
      <c r="AO969" s="303"/>
      <c r="AP969" s="285"/>
      <c r="AQ969" s="258"/>
      <c r="AR969" s="258"/>
    </row>
    <row r="970" spans="10:44" s="48" customFormat="1" ht="12" hidden="1" customHeight="1">
      <c r="J970" s="213"/>
      <c r="K970" s="213"/>
      <c r="L970" s="213"/>
      <c r="M970" s="213"/>
      <c r="N970" s="213"/>
      <c r="O970" s="213"/>
      <c r="P970" s="213"/>
      <c r="Q970" s="213"/>
      <c r="R970" s="213"/>
      <c r="S970" s="213"/>
      <c r="T970" s="213"/>
      <c r="U970" s="213"/>
      <c r="V970" s="213"/>
      <c r="W970" s="213"/>
      <c r="X970" s="213"/>
      <c r="Y970" s="213"/>
      <c r="Z970" s="213"/>
      <c r="AA970" s="213"/>
      <c r="AB970" s="213"/>
      <c r="AC970" s="213"/>
      <c r="AD970" s="213"/>
      <c r="AE970" s="213"/>
      <c r="AF970" s="213"/>
      <c r="AG970" s="213"/>
      <c r="AH970" s="213"/>
      <c r="AI970" s="213"/>
      <c r="AJ970" s="213"/>
      <c r="AK970" s="213"/>
      <c r="AL970" s="213"/>
      <c r="AM970" s="302"/>
      <c r="AN970" s="302"/>
      <c r="AO970" s="303"/>
      <c r="AP970" s="285"/>
      <c r="AQ970" s="258"/>
      <c r="AR970" s="258"/>
    </row>
    <row r="971" spans="10:44" s="48" customFormat="1" ht="12" hidden="1" customHeight="1">
      <c r="J971" s="213"/>
      <c r="K971" s="213"/>
      <c r="L971" s="213"/>
      <c r="M971" s="213"/>
      <c r="N971" s="213"/>
      <c r="O971" s="213"/>
      <c r="P971" s="213"/>
      <c r="Q971" s="213"/>
      <c r="R971" s="213"/>
      <c r="S971" s="213"/>
      <c r="T971" s="213"/>
      <c r="U971" s="213"/>
      <c r="V971" s="213"/>
      <c r="W971" s="213"/>
      <c r="X971" s="213"/>
      <c r="Y971" s="213"/>
      <c r="Z971" s="213"/>
      <c r="AA971" s="213"/>
      <c r="AB971" s="213"/>
      <c r="AC971" s="213"/>
      <c r="AD971" s="213"/>
      <c r="AE971" s="213"/>
      <c r="AF971" s="213"/>
      <c r="AG971" s="213"/>
      <c r="AH971" s="213"/>
      <c r="AI971" s="213"/>
      <c r="AJ971" s="213"/>
      <c r="AK971" s="213"/>
      <c r="AL971" s="213"/>
      <c r="AM971" s="302"/>
      <c r="AN971" s="302"/>
      <c r="AO971" s="303"/>
      <c r="AP971" s="285"/>
      <c r="AQ971" s="258"/>
      <c r="AR971" s="258"/>
    </row>
    <row r="972" spans="10:44" s="48" customFormat="1" ht="12" hidden="1" customHeight="1">
      <c r="J972" s="213"/>
      <c r="K972" s="213"/>
      <c r="L972" s="213"/>
      <c r="M972" s="213"/>
      <c r="N972" s="213"/>
      <c r="O972" s="213"/>
      <c r="P972" s="213"/>
      <c r="Q972" s="213"/>
      <c r="R972" s="213"/>
      <c r="S972" s="213"/>
      <c r="T972" s="213"/>
      <c r="U972" s="213"/>
      <c r="V972" s="213"/>
      <c r="W972" s="213"/>
      <c r="X972" s="213"/>
      <c r="Y972" s="213"/>
      <c r="Z972" s="213"/>
      <c r="AA972" s="213"/>
      <c r="AB972" s="213"/>
      <c r="AC972" s="213"/>
      <c r="AD972" s="213"/>
      <c r="AE972" s="213"/>
      <c r="AF972" s="213"/>
      <c r="AG972" s="213"/>
      <c r="AH972" s="213"/>
      <c r="AI972" s="213"/>
      <c r="AJ972" s="213"/>
      <c r="AK972" s="213"/>
      <c r="AL972" s="213"/>
      <c r="AM972" s="302"/>
      <c r="AN972" s="302"/>
      <c r="AO972" s="303"/>
      <c r="AP972" s="285"/>
      <c r="AQ972" s="258"/>
      <c r="AR972" s="258"/>
    </row>
    <row r="973" spans="10:44" s="48" customFormat="1" ht="12" hidden="1" customHeight="1">
      <c r="J973" s="213"/>
      <c r="K973" s="213"/>
      <c r="L973" s="213"/>
      <c r="M973" s="213"/>
      <c r="N973" s="213"/>
      <c r="O973" s="213"/>
      <c r="P973" s="213"/>
      <c r="Q973" s="213"/>
      <c r="R973" s="213"/>
      <c r="S973" s="213"/>
      <c r="T973" s="213"/>
      <c r="U973" s="213"/>
      <c r="V973" s="213"/>
      <c r="W973" s="213"/>
      <c r="X973" s="213"/>
      <c r="Y973" s="213"/>
      <c r="Z973" s="213"/>
      <c r="AA973" s="213"/>
      <c r="AB973" s="213"/>
      <c r="AC973" s="213"/>
      <c r="AD973" s="213"/>
      <c r="AE973" s="213"/>
      <c r="AF973" s="213"/>
      <c r="AG973" s="213"/>
      <c r="AH973" s="213"/>
      <c r="AI973" s="213"/>
      <c r="AJ973" s="213"/>
      <c r="AK973" s="213"/>
      <c r="AL973" s="213"/>
      <c r="AM973" s="302"/>
      <c r="AN973" s="302"/>
      <c r="AO973" s="303"/>
      <c r="AP973" s="285"/>
      <c r="AQ973" s="258"/>
      <c r="AR973" s="258"/>
    </row>
    <row r="974" spans="10:44" s="48" customFormat="1" ht="12" hidden="1" customHeight="1">
      <c r="J974" s="213"/>
      <c r="K974" s="213"/>
      <c r="L974" s="213"/>
      <c r="M974" s="213"/>
      <c r="N974" s="213"/>
      <c r="O974" s="213"/>
      <c r="P974" s="213"/>
      <c r="Q974" s="213"/>
      <c r="R974" s="213"/>
      <c r="S974" s="213"/>
      <c r="T974" s="213"/>
      <c r="U974" s="213"/>
      <c r="V974" s="213"/>
      <c r="W974" s="213"/>
      <c r="X974" s="213"/>
      <c r="Y974" s="213"/>
      <c r="Z974" s="213"/>
      <c r="AA974" s="213"/>
      <c r="AB974" s="213"/>
      <c r="AC974" s="213"/>
      <c r="AD974" s="213"/>
      <c r="AE974" s="213"/>
      <c r="AF974" s="213"/>
      <c r="AG974" s="213"/>
      <c r="AH974" s="213"/>
      <c r="AI974" s="213"/>
      <c r="AJ974" s="213"/>
      <c r="AK974" s="213"/>
      <c r="AL974" s="213"/>
      <c r="AM974" s="302"/>
      <c r="AN974" s="302"/>
      <c r="AO974" s="303"/>
      <c r="AP974" s="285"/>
      <c r="AQ974" s="258"/>
      <c r="AR974" s="258"/>
    </row>
    <row r="975" spans="10:44" s="48" customFormat="1" ht="12" hidden="1" customHeight="1">
      <c r="J975" s="213"/>
      <c r="K975" s="213"/>
      <c r="L975" s="213"/>
      <c r="M975" s="213"/>
      <c r="N975" s="213"/>
      <c r="O975" s="213"/>
      <c r="P975" s="213"/>
      <c r="Q975" s="213"/>
      <c r="R975" s="213"/>
      <c r="S975" s="213"/>
      <c r="T975" s="213"/>
      <c r="U975" s="213"/>
      <c r="V975" s="213"/>
      <c r="W975" s="213"/>
      <c r="X975" s="213"/>
      <c r="Y975" s="213"/>
      <c r="Z975" s="213"/>
      <c r="AA975" s="213"/>
      <c r="AB975" s="213"/>
      <c r="AC975" s="213"/>
      <c r="AD975" s="213"/>
      <c r="AE975" s="213"/>
      <c r="AF975" s="213"/>
      <c r="AG975" s="213"/>
      <c r="AH975" s="213"/>
      <c r="AI975" s="213"/>
      <c r="AJ975" s="213"/>
      <c r="AK975" s="213"/>
      <c r="AL975" s="213"/>
      <c r="AM975" s="302"/>
      <c r="AN975" s="302"/>
      <c r="AO975" s="303"/>
      <c r="AP975" s="285"/>
      <c r="AQ975" s="258"/>
      <c r="AR975" s="258"/>
    </row>
    <row r="976" spans="10:44" s="48" customFormat="1" ht="12" hidden="1" customHeight="1">
      <c r="J976" s="213"/>
      <c r="K976" s="213"/>
      <c r="L976" s="213"/>
      <c r="M976" s="213"/>
      <c r="N976" s="213"/>
      <c r="O976" s="213"/>
      <c r="P976" s="213"/>
      <c r="Q976" s="213"/>
      <c r="R976" s="213"/>
      <c r="S976" s="213"/>
      <c r="T976" s="213"/>
      <c r="U976" s="213"/>
      <c r="V976" s="213"/>
      <c r="W976" s="213"/>
      <c r="X976" s="213"/>
      <c r="Y976" s="213"/>
      <c r="Z976" s="213"/>
      <c r="AA976" s="213"/>
      <c r="AB976" s="213"/>
      <c r="AC976" s="213"/>
      <c r="AD976" s="213"/>
      <c r="AE976" s="213"/>
      <c r="AF976" s="213"/>
      <c r="AG976" s="213"/>
      <c r="AH976" s="213"/>
      <c r="AI976" s="213"/>
      <c r="AJ976" s="213"/>
      <c r="AK976" s="213"/>
      <c r="AL976" s="213"/>
      <c r="AM976" s="302"/>
      <c r="AN976" s="302"/>
      <c r="AO976" s="303"/>
      <c r="AP976" s="285"/>
      <c r="AQ976" s="258"/>
      <c r="AR976" s="258"/>
    </row>
    <row r="977" spans="10:44" s="48" customFormat="1" ht="12" hidden="1" customHeight="1">
      <c r="J977" s="213"/>
      <c r="K977" s="213"/>
      <c r="L977" s="213"/>
      <c r="M977" s="213"/>
      <c r="N977" s="213"/>
      <c r="O977" s="213"/>
      <c r="P977" s="213"/>
      <c r="Q977" s="213"/>
      <c r="R977" s="213"/>
      <c r="S977" s="213"/>
      <c r="T977" s="213"/>
      <c r="U977" s="213"/>
      <c r="V977" s="213"/>
      <c r="W977" s="213"/>
      <c r="X977" s="213"/>
      <c r="Y977" s="213"/>
      <c r="Z977" s="213"/>
      <c r="AA977" s="213"/>
      <c r="AB977" s="213"/>
      <c r="AC977" s="213"/>
      <c r="AD977" s="213"/>
      <c r="AE977" s="213"/>
      <c r="AF977" s="213"/>
      <c r="AG977" s="213"/>
      <c r="AH977" s="213"/>
      <c r="AI977" s="213"/>
      <c r="AJ977" s="213"/>
      <c r="AK977" s="213"/>
      <c r="AL977" s="213"/>
      <c r="AM977" s="302"/>
      <c r="AN977" s="302"/>
      <c r="AO977" s="303"/>
      <c r="AP977" s="285"/>
      <c r="AQ977" s="258"/>
      <c r="AR977" s="258"/>
    </row>
    <row r="978" spans="10:44" s="48" customFormat="1" ht="12" hidden="1" customHeight="1">
      <c r="J978" s="213"/>
      <c r="K978" s="213"/>
      <c r="L978" s="213"/>
      <c r="M978" s="213"/>
      <c r="N978" s="213"/>
      <c r="O978" s="213"/>
      <c r="P978" s="213"/>
      <c r="Q978" s="213"/>
      <c r="R978" s="213"/>
      <c r="S978" s="213"/>
      <c r="T978" s="213"/>
      <c r="U978" s="213"/>
      <c r="V978" s="213"/>
      <c r="W978" s="213"/>
      <c r="X978" s="213"/>
      <c r="Y978" s="213"/>
      <c r="Z978" s="213"/>
      <c r="AA978" s="213"/>
      <c r="AB978" s="213"/>
      <c r="AC978" s="213"/>
      <c r="AD978" s="213"/>
      <c r="AE978" s="213"/>
      <c r="AF978" s="213"/>
      <c r="AG978" s="213"/>
      <c r="AH978" s="213"/>
      <c r="AI978" s="213"/>
      <c r="AJ978" s="213"/>
      <c r="AK978" s="213"/>
      <c r="AL978" s="213"/>
      <c r="AM978" s="302"/>
      <c r="AN978" s="302"/>
      <c r="AO978" s="303"/>
      <c r="AP978" s="285"/>
      <c r="AQ978" s="258"/>
      <c r="AR978" s="258"/>
    </row>
    <row r="979" spans="10:44" s="48" customFormat="1" ht="12" hidden="1" customHeight="1">
      <c r="J979" s="213"/>
      <c r="K979" s="213"/>
      <c r="L979" s="213"/>
      <c r="M979" s="213"/>
      <c r="N979" s="213"/>
      <c r="O979" s="213"/>
      <c r="P979" s="213"/>
      <c r="Q979" s="213"/>
      <c r="R979" s="213"/>
      <c r="S979" s="213"/>
      <c r="T979" s="213"/>
      <c r="U979" s="213"/>
      <c r="V979" s="213"/>
      <c r="W979" s="213"/>
      <c r="X979" s="213"/>
      <c r="Y979" s="213"/>
      <c r="Z979" s="213"/>
      <c r="AA979" s="213"/>
      <c r="AB979" s="213"/>
      <c r="AC979" s="213"/>
      <c r="AD979" s="213"/>
      <c r="AE979" s="213"/>
      <c r="AF979" s="213"/>
      <c r="AG979" s="213"/>
      <c r="AH979" s="213"/>
      <c r="AI979" s="213"/>
      <c r="AJ979" s="213"/>
      <c r="AK979" s="213"/>
      <c r="AL979" s="213"/>
      <c r="AM979" s="302"/>
      <c r="AN979" s="302"/>
      <c r="AO979" s="303"/>
      <c r="AP979" s="285"/>
      <c r="AQ979" s="258"/>
      <c r="AR979" s="258"/>
    </row>
    <row r="980" spans="10:44" s="48" customFormat="1" ht="12" hidden="1" customHeight="1">
      <c r="J980" s="213"/>
      <c r="K980" s="213"/>
      <c r="L980" s="213"/>
      <c r="M980" s="213"/>
      <c r="N980" s="213"/>
      <c r="O980" s="213"/>
      <c r="P980" s="213"/>
      <c r="Q980" s="213"/>
      <c r="R980" s="213"/>
      <c r="S980" s="213"/>
      <c r="T980" s="213"/>
      <c r="U980" s="213"/>
      <c r="V980" s="213"/>
      <c r="W980" s="213"/>
      <c r="X980" s="213"/>
      <c r="Y980" s="213"/>
      <c r="Z980" s="213"/>
      <c r="AA980" s="213"/>
      <c r="AB980" s="213"/>
      <c r="AC980" s="213"/>
      <c r="AD980" s="213"/>
      <c r="AE980" s="213"/>
      <c r="AF980" s="213"/>
      <c r="AG980" s="213"/>
      <c r="AH980" s="213"/>
      <c r="AI980" s="213"/>
      <c r="AJ980" s="213"/>
      <c r="AK980" s="213"/>
      <c r="AL980" s="213"/>
      <c r="AM980" s="302"/>
      <c r="AN980" s="302"/>
      <c r="AO980" s="303"/>
      <c r="AP980" s="285"/>
      <c r="AQ980" s="258"/>
      <c r="AR980" s="258"/>
    </row>
    <row r="981" spans="10:44" s="48" customFormat="1" ht="12" hidden="1" customHeight="1">
      <c r="J981" s="213"/>
      <c r="K981" s="213"/>
      <c r="L981" s="213"/>
      <c r="M981" s="213"/>
      <c r="N981" s="213"/>
      <c r="O981" s="213"/>
      <c r="P981" s="213"/>
      <c r="Q981" s="213"/>
      <c r="R981" s="213"/>
      <c r="S981" s="213"/>
      <c r="T981" s="213"/>
      <c r="U981" s="213"/>
      <c r="V981" s="213"/>
      <c r="W981" s="213"/>
      <c r="X981" s="213"/>
      <c r="Y981" s="213"/>
      <c r="Z981" s="213"/>
      <c r="AA981" s="213"/>
      <c r="AB981" s="213"/>
      <c r="AC981" s="213"/>
      <c r="AD981" s="213"/>
      <c r="AE981" s="213"/>
      <c r="AF981" s="213"/>
      <c r="AG981" s="213"/>
      <c r="AH981" s="213"/>
      <c r="AI981" s="213"/>
      <c r="AJ981" s="213"/>
      <c r="AK981" s="213"/>
      <c r="AL981" s="213"/>
      <c r="AM981" s="302"/>
      <c r="AN981" s="302"/>
      <c r="AO981" s="303"/>
      <c r="AP981" s="285"/>
      <c r="AQ981" s="258"/>
      <c r="AR981" s="258"/>
    </row>
    <row r="982" spans="10:44" s="48" customFormat="1" ht="12" hidden="1" customHeight="1">
      <c r="J982" s="213"/>
      <c r="K982" s="213"/>
      <c r="L982" s="213"/>
      <c r="M982" s="213"/>
      <c r="N982" s="213"/>
      <c r="O982" s="213"/>
      <c r="P982" s="213"/>
      <c r="Q982" s="213"/>
      <c r="R982" s="213"/>
      <c r="S982" s="213"/>
      <c r="T982" s="213"/>
      <c r="U982" s="213"/>
      <c r="V982" s="213"/>
      <c r="W982" s="213"/>
      <c r="X982" s="213"/>
      <c r="Y982" s="213"/>
      <c r="Z982" s="213"/>
      <c r="AA982" s="213"/>
      <c r="AB982" s="213"/>
      <c r="AC982" s="213"/>
      <c r="AD982" s="213"/>
      <c r="AE982" s="213"/>
      <c r="AF982" s="213"/>
      <c r="AG982" s="213"/>
      <c r="AH982" s="213"/>
      <c r="AI982" s="213"/>
      <c r="AJ982" s="213"/>
      <c r="AK982" s="213"/>
      <c r="AL982" s="213"/>
      <c r="AM982" s="302"/>
      <c r="AN982" s="302"/>
      <c r="AO982" s="303"/>
      <c r="AP982" s="285"/>
      <c r="AQ982" s="258"/>
      <c r="AR982" s="258"/>
    </row>
    <row r="983" spans="10:44" s="48" customFormat="1" ht="12" hidden="1" customHeight="1">
      <c r="J983" s="213"/>
      <c r="K983" s="213"/>
      <c r="L983" s="213"/>
      <c r="M983" s="213"/>
      <c r="N983" s="213"/>
      <c r="O983" s="213"/>
      <c r="P983" s="213"/>
      <c r="Q983" s="213"/>
      <c r="R983" s="213"/>
      <c r="S983" s="213"/>
      <c r="T983" s="213"/>
      <c r="U983" s="213"/>
      <c r="V983" s="213"/>
      <c r="W983" s="213"/>
      <c r="X983" s="213"/>
      <c r="Y983" s="213"/>
      <c r="Z983" s="213"/>
      <c r="AA983" s="213"/>
      <c r="AB983" s="213"/>
      <c r="AC983" s="213"/>
      <c r="AD983" s="213"/>
      <c r="AE983" s="213"/>
      <c r="AF983" s="213"/>
      <c r="AG983" s="213"/>
      <c r="AH983" s="213"/>
      <c r="AI983" s="213"/>
      <c r="AJ983" s="213"/>
      <c r="AK983" s="213"/>
      <c r="AL983" s="213"/>
      <c r="AM983" s="302"/>
      <c r="AN983" s="302"/>
      <c r="AO983" s="303"/>
      <c r="AP983" s="285"/>
      <c r="AQ983" s="258"/>
      <c r="AR983" s="258"/>
    </row>
    <row r="984" spans="10:44" s="48" customFormat="1" ht="12" hidden="1" customHeight="1">
      <c r="J984" s="213"/>
      <c r="K984" s="213"/>
      <c r="L984" s="213"/>
      <c r="M984" s="213"/>
      <c r="N984" s="213"/>
      <c r="O984" s="213"/>
      <c r="P984" s="213"/>
      <c r="Q984" s="213"/>
      <c r="R984" s="213"/>
      <c r="S984" s="213"/>
      <c r="T984" s="213"/>
      <c r="U984" s="213"/>
      <c r="V984" s="213"/>
      <c r="W984" s="213"/>
      <c r="X984" s="213"/>
      <c r="Y984" s="213"/>
      <c r="Z984" s="213"/>
      <c r="AA984" s="213"/>
      <c r="AB984" s="213"/>
      <c r="AC984" s="213"/>
      <c r="AD984" s="213"/>
      <c r="AE984" s="213"/>
      <c r="AF984" s="213"/>
      <c r="AG984" s="213"/>
      <c r="AH984" s="213"/>
      <c r="AI984" s="213"/>
      <c r="AJ984" s="213"/>
      <c r="AK984" s="213"/>
      <c r="AL984" s="213"/>
      <c r="AM984" s="302"/>
      <c r="AN984" s="302"/>
      <c r="AO984" s="303"/>
      <c r="AP984" s="285"/>
      <c r="AQ984" s="258"/>
      <c r="AR984" s="258"/>
    </row>
    <row r="985" spans="10:44" s="48" customFormat="1" ht="12" hidden="1" customHeight="1">
      <c r="J985" s="213"/>
      <c r="K985" s="213"/>
      <c r="L985" s="213"/>
      <c r="M985" s="213"/>
      <c r="N985" s="213"/>
      <c r="O985" s="213"/>
      <c r="P985" s="213"/>
      <c r="Q985" s="213"/>
      <c r="R985" s="213"/>
      <c r="S985" s="213"/>
      <c r="T985" s="213"/>
      <c r="U985" s="213"/>
      <c r="V985" s="213"/>
      <c r="W985" s="213"/>
      <c r="X985" s="213"/>
      <c r="Y985" s="213"/>
      <c r="Z985" s="213"/>
      <c r="AA985" s="213"/>
      <c r="AB985" s="213"/>
      <c r="AC985" s="213"/>
      <c r="AD985" s="213"/>
      <c r="AE985" s="213"/>
      <c r="AF985" s="213"/>
      <c r="AG985" s="213"/>
      <c r="AH985" s="213"/>
      <c r="AI985" s="213"/>
      <c r="AJ985" s="213"/>
      <c r="AK985" s="213"/>
      <c r="AL985" s="213"/>
      <c r="AM985" s="302"/>
      <c r="AN985" s="302"/>
      <c r="AO985" s="303"/>
      <c r="AP985" s="285"/>
      <c r="AQ985" s="258"/>
      <c r="AR985" s="258"/>
    </row>
    <row r="986" spans="10:44" s="48" customFormat="1" ht="12" hidden="1" customHeight="1">
      <c r="J986" s="213"/>
      <c r="K986" s="213"/>
      <c r="L986" s="213"/>
      <c r="M986" s="213"/>
      <c r="N986" s="213"/>
      <c r="O986" s="213"/>
      <c r="P986" s="213"/>
      <c r="Q986" s="213"/>
      <c r="R986" s="213"/>
      <c r="S986" s="213"/>
      <c r="T986" s="213"/>
      <c r="U986" s="213"/>
      <c r="V986" s="213"/>
      <c r="W986" s="213"/>
      <c r="X986" s="213"/>
      <c r="Y986" s="213"/>
      <c r="Z986" s="213"/>
      <c r="AA986" s="213"/>
      <c r="AB986" s="213"/>
      <c r="AC986" s="213"/>
      <c r="AD986" s="213"/>
      <c r="AE986" s="213"/>
      <c r="AF986" s="213"/>
      <c r="AG986" s="213"/>
      <c r="AH986" s="213"/>
      <c r="AI986" s="213"/>
      <c r="AJ986" s="213"/>
      <c r="AK986" s="213"/>
      <c r="AL986" s="213"/>
      <c r="AM986" s="302"/>
      <c r="AN986" s="302"/>
      <c r="AO986" s="303"/>
      <c r="AP986" s="285"/>
      <c r="AQ986" s="258"/>
      <c r="AR986" s="258"/>
    </row>
    <row r="987" spans="10:44" s="48" customFormat="1" ht="12" hidden="1" customHeight="1">
      <c r="J987" s="213"/>
      <c r="K987" s="213"/>
      <c r="L987" s="213"/>
      <c r="M987" s="213"/>
      <c r="N987" s="213"/>
      <c r="O987" s="213"/>
      <c r="P987" s="213"/>
      <c r="Q987" s="213"/>
      <c r="R987" s="213"/>
      <c r="S987" s="213"/>
      <c r="T987" s="213"/>
      <c r="U987" s="213"/>
      <c r="V987" s="213"/>
      <c r="W987" s="213"/>
      <c r="X987" s="213"/>
      <c r="Y987" s="213"/>
      <c r="Z987" s="213"/>
      <c r="AA987" s="213"/>
      <c r="AB987" s="213"/>
      <c r="AC987" s="213"/>
      <c r="AD987" s="213"/>
      <c r="AE987" s="213"/>
      <c r="AF987" s="213"/>
      <c r="AG987" s="213"/>
      <c r="AH987" s="213"/>
      <c r="AI987" s="213"/>
      <c r="AJ987" s="213"/>
      <c r="AK987" s="213"/>
      <c r="AL987" s="213"/>
      <c r="AM987" s="302"/>
      <c r="AN987" s="302"/>
      <c r="AO987" s="303"/>
      <c r="AP987" s="285"/>
      <c r="AQ987" s="258"/>
      <c r="AR987" s="258"/>
    </row>
    <row r="988" spans="10:44" s="48" customFormat="1" ht="12" hidden="1" customHeight="1">
      <c r="J988" s="213"/>
      <c r="K988" s="213"/>
      <c r="L988" s="213"/>
      <c r="M988" s="213"/>
      <c r="N988" s="213"/>
      <c r="O988" s="213"/>
      <c r="P988" s="213"/>
      <c r="Q988" s="213"/>
      <c r="R988" s="213"/>
      <c r="S988" s="213"/>
      <c r="T988" s="213"/>
      <c r="U988" s="213"/>
      <c r="V988" s="213"/>
      <c r="W988" s="213"/>
      <c r="X988" s="213"/>
      <c r="Y988" s="213"/>
      <c r="Z988" s="213"/>
      <c r="AA988" s="213"/>
      <c r="AB988" s="213"/>
      <c r="AC988" s="213"/>
      <c r="AD988" s="213"/>
      <c r="AE988" s="213"/>
      <c r="AF988" s="213"/>
      <c r="AG988" s="213"/>
      <c r="AH988" s="213"/>
      <c r="AI988" s="213"/>
      <c r="AJ988" s="213"/>
      <c r="AK988" s="213"/>
      <c r="AL988" s="213"/>
      <c r="AM988" s="302"/>
      <c r="AN988" s="302"/>
      <c r="AO988" s="303"/>
      <c r="AP988" s="285"/>
      <c r="AQ988" s="258"/>
      <c r="AR988" s="258"/>
    </row>
    <row r="989" spans="10:44" s="48" customFormat="1" ht="12" hidden="1" customHeight="1">
      <c r="J989" s="213"/>
      <c r="K989" s="213"/>
      <c r="L989" s="213"/>
      <c r="M989" s="213"/>
      <c r="N989" s="213"/>
      <c r="O989" s="213"/>
      <c r="P989" s="213"/>
      <c r="Q989" s="213"/>
      <c r="R989" s="213"/>
      <c r="S989" s="213"/>
      <c r="T989" s="213"/>
      <c r="U989" s="213"/>
      <c r="V989" s="213"/>
      <c r="W989" s="213"/>
      <c r="X989" s="213"/>
      <c r="Y989" s="213"/>
      <c r="Z989" s="213"/>
      <c r="AA989" s="213"/>
      <c r="AB989" s="213"/>
      <c r="AC989" s="213"/>
      <c r="AD989" s="213"/>
      <c r="AE989" s="213"/>
      <c r="AF989" s="213"/>
      <c r="AG989" s="213"/>
      <c r="AH989" s="213"/>
      <c r="AI989" s="213"/>
      <c r="AJ989" s="213"/>
      <c r="AK989" s="213"/>
      <c r="AL989" s="213"/>
      <c r="AM989" s="302"/>
      <c r="AN989" s="302"/>
      <c r="AO989" s="303"/>
      <c r="AP989" s="285"/>
      <c r="AQ989" s="258"/>
      <c r="AR989" s="258"/>
    </row>
    <row r="990" spans="10:44" s="48" customFormat="1" ht="12" hidden="1" customHeight="1">
      <c r="J990" s="213"/>
      <c r="K990" s="213"/>
      <c r="L990" s="213"/>
      <c r="M990" s="213"/>
      <c r="N990" s="213"/>
      <c r="O990" s="213"/>
      <c r="P990" s="213"/>
      <c r="Q990" s="213"/>
      <c r="R990" s="213"/>
      <c r="S990" s="213"/>
      <c r="T990" s="213"/>
      <c r="U990" s="213"/>
      <c r="V990" s="213"/>
      <c r="W990" s="213"/>
      <c r="X990" s="213"/>
      <c r="Y990" s="213"/>
      <c r="Z990" s="213"/>
      <c r="AA990" s="213"/>
      <c r="AB990" s="213"/>
      <c r="AC990" s="213"/>
      <c r="AD990" s="213"/>
      <c r="AE990" s="213"/>
      <c r="AF990" s="213"/>
      <c r="AG990" s="213"/>
      <c r="AH990" s="213"/>
      <c r="AI990" s="213"/>
      <c r="AJ990" s="213"/>
      <c r="AK990" s="213"/>
      <c r="AL990" s="213"/>
      <c r="AM990" s="302"/>
      <c r="AN990" s="302"/>
      <c r="AO990" s="303"/>
      <c r="AP990" s="285"/>
      <c r="AQ990" s="258"/>
      <c r="AR990" s="258"/>
    </row>
    <row r="991" spans="10:44" s="48" customFormat="1" ht="12" hidden="1" customHeight="1">
      <c r="J991" s="213"/>
      <c r="K991" s="213"/>
      <c r="L991" s="213"/>
      <c r="M991" s="213"/>
      <c r="N991" s="213"/>
      <c r="O991" s="213"/>
      <c r="P991" s="213"/>
      <c r="Q991" s="213"/>
      <c r="R991" s="213"/>
      <c r="S991" s="213"/>
      <c r="T991" s="213"/>
      <c r="U991" s="213"/>
      <c r="V991" s="213"/>
      <c r="W991" s="213"/>
      <c r="X991" s="213"/>
      <c r="Y991" s="213"/>
      <c r="Z991" s="213"/>
      <c r="AA991" s="213"/>
      <c r="AB991" s="213"/>
      <c r="AC991" s="213"/>
      <c r="AD991" s="213"/>
      <c r="AE991" s="213"/>
      <c r="AF991" s="213"/>
      <c r="AG991" s="213"/>
      <c r="AH991" s="213"/>
      <c r="AI991" s="213"/>
      <c r="AJ991" s="213"/>
      <c r="AK991" s="213"/>
      <c r="AL991" s="213"/>
      <c r="AM991" s="302"/>
      <c r="AN991" s="302"/>
      <c r="AO991" s="303"/>
      <c r="AP991" s="285"/>
      <c r="AQ991" s="258"/>
      <c r="AR991" s="258"/>
    </row>
    <row r="992" spans="10:44" s="48" customFormat="1" ht="12" hidden="1" customHeight="1">
      <c r="J992" s="213"/>
      <c r="K992" s="213"/>
      <c r="L992" s="213"/>
      <c r="M992" s="213"/>
      <c r="N992" s="213"/>
      <c r="O992" s="213"/>
      <c r="P992" s="213"/>
      <c r="Q992" s="213"/>
      <c r="R992" s="213"/>
      <c r="S992" s="213"/>
      <c r="T992" s="213"/>
      <c r="U992" s="213"/>
      <c r="V992" s="213"/>
      <c r="W992" s="213"/>
      <c r="X992" s="213"/>
      <c r="Y992" s="213"/>
      <c r="Z992" s="213"/>
      <c r="AA992" s="213"/>
      <c r="AB992" s="213"/>
      <c r="AC992" s="213"/>
      <c r="AD992" s="213"/>
      <c r="AE992" s="213"/>
      <c r="AF992" s="213"/>
      <c r="AG992" s="213"/>
      <c r="AH992" s="213"/>
      <c r="AI992" s="213"/>
      <c r="AJ992" s="213"/>
      <c r="AK992" s="213"/>
      <c r="AL992" s="213"/>
      <c r="AM992" s="302"/>
      <c r="AN992" s="302"/>
      <c r="AO992" s="303"/>
      <c r="AP992" s="285"/>
      <c r="AQ992" s="258"/>
      <c r="AR992" s="258"/>
    </row>
    <row r="993" spans="10:44" s="48" customFormat="1" ht="12" hidden="1" customHeight="1">
      <c r="J993" s="213"/>
      <c r="K993" s="213"/>
      <c r="L993" s="213"/>
      <c r="M993" s="213"/>
      <c r="N993" s="213"/>
      <c r="O993" s="213"/>
      <c r="P993" s="213"/>
      <c r="Q993" s="213"/>
      <c r="R993" s="213"/>
      <c r="S993" s="213"/>
      <c r="T993" s="213"/>
      <c r="U993" s="213"/>
      <c r="V993" s="213"/>
      <c r="W993" s="213"/>
      <c r="X993" s="213"/>
      <c r="Y993" s="213"/>
      <c r="Z993" s="213"/>
      <c r="AA993" s="213"/>
      <c r="AB993" s="213"/>
      <c r="AC993" s="213"/>
      <c r="AD993" s="213"/>
      <c r="AE993" s="213"/>
      <c r="AF993" s="213"/>
      <c r="AG993" s="213"/>
      <c r="AH993" s="213"/>
      <c r="AI993" s="213"/>
      <c r="AJ993" s="213"/>
      <c r="AK993" s="213"/>
      <c r="AL993" s="213"/>
      <c r="AM993" s="302"/>
      <c r="AN993" s="302"/>
      <c r="AO993" s="303"/>
      <c r="AP993" s="285"/>
      <c r="AQ993" s="258"/>
      <c r="AR993" s="258"/>
    </row>
    <row r="994" spans="10:44" s="48" customFormat="1" ht="12" hidden="1" customHeight="1">
      <c r="J994" s="213"/>
      <c r="K994" s="213"/>
      <c r="L994" s="213"/>
      <c r="M994" s="213"/>
      <c r="N994" s="213"/>
      <c r="O994" s="213"/>
      <c r="P994" s="213"/>
      <c r="Q994" s="213"/>
      <c r="R994" s="213"/>
      <c r="S994" s="213"/>
      <c r="T994" s="213"/>
      <c r="U994" s="213"/>
      <c r="V994" s="213"/>
      <c r="W994" s="213"/>
      <c r="X994" s="213"/>
      <c r="Y994" s="213"/>
      <c r="Z994" s="213"/>
      <c r="AA994" s="213"/>
      <c r="AB994" s="213"/>
      <c r="AC994" s="213"/>
      <c r="AD994" s="213"/>
      <c r="AE994" s="213"/>
      <c r="AF994" s="213"/>
      <c r="AG994" s="213"/>
      <c r="AH994" s="213"/>
      <c r="AI994" s="213"/>
      <c r="AJ994" s="213"/>
      <c r="AK994" s="213"/>
      <c r="AL994" s="213"/>
      <c r="AM994" s="302"/>
      <c r="AN994" s="302"/>
      <c r="AO994" s="303"/>
      <c r="AP994" s="285"/>
      <c r="AQ994" s="258"/>
      <c r="AR994" s="258"/>
    </row>
    <row r="995" spans="10:44" s="48" customFormat="1" ht="12" hidden="1" customHeight="1">
      <c r="J995" s="213"/>
      <c r="K995" s="213"/>
      <c r="L995" s="213"/>
      <c r="M995" s="213"/>
      <c r="N995" s="213"/>
      <c r="O995" s="213"/>
      <c r="P995" s="213"/>
      <c r="Q995" s="213"/>
      <c r="R995" s="213"/>
      <c r="S995" s="213"/>
      <c r="T995" s="213"/>
      <c r="U995" s="213"/>
      <c r="V995" s="213"/>
      <c r="W995" s="213"/>
      <c r="X995" s="213"/>
      <c r="Y995" s="213"/>
      <c r="Z995" s="213"/>
      <c r="AA995" s="213"/>
      <c r="AB995" s="213"/>
      <c r="AC995" s="213"/>
      <c r="AD995" s="213"/>
      <c r="AE995" s="213"/>
      <c r="AF995" s="213"/>
      <c r="AG995" s="213"/>
      <c r="AH995" s="213"/>
      <c r="AI995" s="213"/>
      <c r="AJ995" s="213"/>
      <c r="AK995" s="213"/>
      <c r="AL995" s="213"/>
      <c r="AM995" s="302"/>
      <c r="AN995" s="302"/>
      <c r="AO995" s="303"/>
      <c r="AP995" s="285"/>
      <c r="AQ995" s="258"/>
      <c r="AR995" s="258"/>
    </row>
    <row r="996" spans="10:44" s="48" customFormat="1" ht="12" hidden="1" customHeight="1">
      <c r="J996" s="213"/>
      <c r="K996" s="213"/>
      <c r="L996" s="213"/>
      <c r="M996" s="213"/>
      <c r="N996" s="213"/>
      <c r="O996" s="213"/>
      <c r="P996" s="213"/>
      <c r="Q996" s="213"/>
      <c r="R996" s="213"/>
      <c r="S996" s="213"/>
      <c r="T996" s="213"/>
      <c r="U996" s="213"/>
      <c r="V996" s="213"/>
      <c r="W996" s="213"/>
      <c r="X996" s="213"/>
      <c r="Y996" s="213"/>
      <c r="Z996" s="213"/>
      <c r="AA996" s="213"/>
      <c r="AB996" s="213"/>
      <c r="AC996" s="213"/>
      <c r="AD996" s="213"/>
      <c r="AE996" s="213"/>
      <c r="AF996" s="213"/>
      <c r="AG996" s="213"/>
      <c r="AH996" s="213"/>
      <c r="AI996" s="213"/>
      <c r="AJ996" s="213"/>
      <c r="AK996" s="213"/>
      <c r="AL996" s="213"/>
      <c r="AM996" s="302"/>
      <c r="AN996" s="302"/>
      <c r="AO996" s="303"/>
      <c r="AP996" s="285"/>
      <c r="AQ996" s="258"/>
      <c r="AR996" s="258"/>
    </row>
    <row r="997" spans="10:44" s="48" customFormat="1" ht="12" hidden="1" customHeight="1">
      <c r="J997" s="213"/>
      <c r="K997" s="213"/>
      <c r="L997" s="213"/>
      <c r="M997" s="213"/>
      <c r="N997" s="213"/>
      <c r="O997" s="213"/>
      <c r="P997" s="213"/>
      <c r="Q997" s="213"/>
      <c r="R997" s="213"/>
      <c r="S997" s="213"/>
      <c r="T997" s="213"/>
      <c r="U997" s="213"/>
      <c r="V997" s="213"/>
      <c r="W997" s="213"/>
      <c r="X997" s="213"/>
      <c r="Y997" s="213"/>
      <c r="Z997" s="213"/>
      <c r="AA997" s="213"/>
      <c r="AB997" s="213"/>
      <c r="AC997" s="213"/>
      <c r="AD997" s="213"/>
      <c r="AE997" s="213"/>
      <c r="AF997" s="213"/>
      <c r="AG997" s="213"/>
      <c r="AH997" s="213"/>
      <c r="AI997" s="213"/>
      <c r="AJ997" s="213"/>
      <c r="AK997" s="213"/>
      <c r="AL997" s="213"/>
      <c r="AM997" s="302"/>
      <c r="AN997" s="302"/>
      <c r="AO997" s="303"/>
      <c r="AP997" s="285"/>
      <c r="AQ997" s="258"/>
      <c r="AR997" s="258"/>
    </row>
    <row r="998" spans="10:44" s="48" customFormat="1" ht="12" hidden="1" customHeight="1">
      <c r="J998" s="213"/>
      <c r="K998" s="213"/>
      <c r="L998" s="213"/>
      <c r="M998" s="213"/>
      <c r="N998" s="213"/>
      <c r="O998" s="213"/>
      <c r="P998" s="213"/>
      <c r="Q998" s="213"/>
      <c r="R998" s="213"/>
      <c r="S998" s="213"/>
      <c r="T998" s="213"/>
      <c r="U998" s="213"/>
      <c r="V998" s="213"/>
      <c r="W998" s="213"/>
      <c r="X998" s="213"/>
      <c r="Y998" s="213"/>
      <c r="Z998" s="213"/>
      <c r="AA998" s="213"/>
      <c r="AB998" s="213"/>
      <c r="AC998" s="213"/>
      <c r="AD998" s="213"/>
      <c r="AE998" s="213"/>
      <c r="AF998" s="213"/>
      <c r="AG998" s="213"/>
      <c r="AH998" s="213"/>
      <c r="AI998" s="213"/>
      <c r="AJ998" s="213"/>
      <c r="AK998" s="213"/>
      <c r="AL998" s="213"/>
      <c r="AM998" s="302"/>
      <c r="AN998" s="302"/>
      <c r="AO998" s="303"/>
      <c r="AP998" s="285"/>
      <c r="AQ998" s="258"/>
      <c r="AR998" s="258"/>
    </row>
    <row r="999" spans="10:44" s="48" customFormat="1" ht="12" hidden="1" customHeight="1">
      <c r="J999" s="213"/>
      <c r="K999" s="213"/>
      <c r="L999" s="213"/>
      <c r="M999" s="213"/>
      <c r="N999" s="213"/>
      <c r="O999" s="213"/>
      <c r="P999" s="213"/>
      <c r="Q999" s="213"/>
      <c r="R999" s="213"/>
      <c r="S999" s="213"/>
      <c r="T999" s="213"/>
      <c r="U999" s="213"/>
      <c r="V999" s="213"/>
      <c r="W999" s="213"/>
      <c r="X999" s="213"/>
      <c r="Y999" s="213"/>
      <c r="Z999" s="213"/>
      <c r="AA999" s="213"/>
      <c r="AB999" s="213"/>
      <c r="AC999" s="213"/>
      <c r="AD999" s="213"/>
      <c r="AE999" s="213"/>
      <c r="AF999" s="213"/>
      <c r="AG999" s="213"/>
      <c r="AH999" s="213"/>
      <c r="AI999" s="213"/>
      <c r="AJ999" s="213"/>
      <c r="AK999" s="213"/>
      <c r="AL999" s="213"/>
      <c r="AM999" s="302"/>
      <c r="AN999" s="302"/>
      <c r="AO999" s="303"/>
      <c r="AP999" s="285"/>
      <c r="AQ999" s="258"/>
      <c r="AR999" s="258"/>
    </row>
    <row r="1000" spans="10:44" s="48" customFormat="1" ht="0.75" customHeight="1">
      <c r="J1000" s="213"/>
      <c r="K1000" s="213"/>
      <c r="L1000" s="213"/>
      <c r="M1000" s="213"/>
      <c r="N1000" s="213"/>
      <c r="O1000" s="213"/>
      <c r="P1000" s="213"/>
      <c r="Q1000" s="213"/>
      <c r="R1000" s="213"/>
      <c r="S1000" s="213"/>
      <c r="T1000" s="213"/>
      <c r="U1000" s="213"/>
      <c r="V1000" s="213"/>
      <c r="W1000" s="213"/>
      <c r="X1000" s="213"/>
      <c r="Y1000" s="213"/>
      <c r="Z1000" s="213"/>
      <c r="AA1000" s="213"/>
      <c r="AB1000" s="213"/>
      <c r="AC1000" s="213"/>
      <c r="AD1000" s="213"/>
      <c r="AE1000" s="213"/>
      <c r="AF1000" s="213"/>
      <c r="AG1000" s="213"/>
      <c r="AH1000" s="213"/>
      <c r="AI1000" s="213"/>
      <c r="AJ1000" s="213"/>
      <c r="AK1000" s="213"/>
      <c r="AL1000" s="213"/>
      <c r="AM1000" s="283"/>
      <c r="AN1000" s="283"/>
      <c r="AO1000" s="215"/>
      <c r="AP1000" s="286"/>
      <c r="AQ1000" s="265"/>
      <c r="AR1000" s="265"/>
    </row>
    <row r="1001" spans="10:44" s="48" customFormat="1">
      <c r="J1001" s="213"/>
      <c r="K1001" s="213"/>
      <c r="L1001" s="213"/>
      <c r="M1001" s="213"/>
      <c r="N1001" s="213"/>
      <c r="O1001" s="213"/>
      <c r="P1001" s="213"/>
      <c r="Q1001" s="213"/>
      <c r="R1001" s="213"/>
      <c r="S1001" s="213"/>
      <c r="T1001" s="213"/>
      <c r="U1001" s="213"/>
      <c r="V1001" s="213"/>
      <c r="W1001" s="213"/>
      <c r="X1001" s="213"/>
      <c r="Y1001" s="213"/>
      <c r="Z1001" s="213"/>
      <c r="AA1001" s="213"/>
      <c r="AB1001" s="213"/>
      <c r="AC1001" s="213"/>
      <c r="AD1001" s="213"/>
      <c r="AE1001" s="213"/>
      <c r="AF1001" s="213"/>
      <c r="AG1001" s="213"/>
      <c r="AH1001" s="213"/>
      <c r="AI1001" s="213"/>
      <c r="AJ1001" s="213"/>
      <c r="AK1001" s="213"/>
      <c r="AL1001" s="213"/>
      <c r="AM1001" s="199"/>
      <c r="AN1001" s="199"/>
      <c r="AP1001" s="121"/>
      <c r="AQ1001" s="121"/>
    </row>
  </sheetData>
  <sheetProtection password="FA9C" sheet="1" objects="1" scenarios="1" formatColumns="0" formatRows="0"/>
  <mergeCells count="5">
    <mergeCell ref="AM9:AP9"/>
    <mergeCell ref="AN11:AN12"/>
    <mergeCell ref="AO11:AO12"/>
    <mergeCell ref="AP11:AP12"/>
    <mergeCell ref="AM11:AM12"/>
  </mergeCells>
  <phoneticPr fontId="8" type="noConversion"/>
  <dataValidations count="1">
    <dataValidation type="decimal" allowBlank="1" showInputMessage="1" showErrorMessage="1" error="Ввведеное значение неверно" sqref="AP178:AP188 AP191">
      <formula1>-1000000000000000</formula1>
      <formula2>1000000000000000</formula2>
    </dataValidation>
  </dataValidations>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sheetPr codeName="HEAT_FUEL_PERIOD2">
    <tabColor rgb="FFFFFF00"/>
    <outlinePr summaryBelow="0"/>
  </sheetPr>
  <dimension ref="A1:AS1001"/>
  <sheetViews>
    <sheetView showGridLines="0" topLeftCell="AK8" workbookViewId="0"/>
  </sheetViews>
  <sheetFormatPr defaultRowHeight="11.25"/>
  <cols>
    <col min="1" max="36" width="2.7109375" hidden="1" customWidth="1"/>
    <col min="37" max="38" width="2.7109375" customWidth="1"/>
    <col min="39" max="39" width="13.7109375" customWidth="1"/>
    <col min="40" max="40" width="60.7109375" customWidth="1"/>
    <col min="41" max="41" width="12.7109375" customWidth="1"/>
    <col min="42" max="42" width="17.7109375" customWidth="1"/>
    <col min="43" max="44" width="0.140625" customWidth="1"/>
    <col min="45" max="46" width="2.7109375" customWidth="1"/>
  </cols>
  <sheetData>
    <row r="1" spans="1:45" s="47" customFormat="1" ht="11.25" hidden="1" customHeight="1">
      <c r="J1" s="121"/>
      <c r="AM1" s="48"/>
      <c r="AN1" s="49"/>
    </row>
    <row r="2" spans="1:45" s="47" customFormat="1" ht="11.25" hidden="1" customHeight="1">
      <c r="J2" s="121"/>
      <c r="AM2" s="48"/>
      <c r="AN2" s="49"/>
    </row>
    <row r="3" spans="1:45" s="47" customFormat="1" ht="11.25" hidden="1" customHeight="1">
      <c r="J3" s="121"/>
      <c r="AM3" s="48"/>
      <c r="AN3" s="49"/>
    </row>
    <row r="4" spans="1:45" s="47" customFormat="1" ht="11.25" hidden="1" customHeight="1">
      <c r="J4" s="121"/>
      <c r="AM4" s="48"/>
      <c r="AN4" s="49"/>
    </row>
    <row r="5" spans="1:45" s="47" customFormat="1" ht="11.25" hidden="1" customHeight="1">
      <c r="J5" s="121"/>
      <c r="AM5" s="48"/>
      <c r="AN5" s="49"/>
    </row>
    <row r="6" spans="1:45" s="47" customFormat="1" ht="11.25" hidden="1" customHeight="1">
      <c r="J6" s="121"/>
      <c r="AM6" s="48"/>
      <c r="AN6" s="49"/>
    </row>
    <row r="7" spans="1:45" s="47" customFormat="1" ht="11.25" hidden="1" customHeight="1">
      <c r="J7" s="121"/>
      <c r="AM7" s="48"/>
      <c r="AN7" s="49"/>
    </row>
    <row r="8" spans="1:45" s="314" customFormat="1">
      <c r="J8" s="313"/>
      <c r="AM8" s="637">
        <f>IF(TARIFF_SETUP_METHOD_CODE="BY_PSEUDO_YEARS",12,IF(TEMPLATE_CLAIM="P",6,2))</f>
        <v>2</v>
      </c>
      <c r="AN8" s="431" t="str">
        <f>"Необходимо указывать " &amp; IF(TARIFF_SETUP_METHOD_CODE="BY_PSEUDO_YEARS","общегодовые значения","значения по периодам")</f>
        <v>Необходимо указывать значения по периодам</v>
      </c>
      <c r="AP8" s="616" t="s">
        <v>2497</v>
      </c>
      <c r="AQ8" s="310"/>
      <c r="AR8" s="310"/>
      <c r="AS8" s="310"/>
    </row>
    <row r="9" spans="1:45"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918" t="str">
        <f>"Фактические расходы организаций " &amp; TEMPLATE_SPHERE &amp; " на топливо на технологические цели по муниципальному образованию - " &amp; IF(mo="","Не определено",mo)</f>
        <v>Фактические расходы организаций водоотведения на топливо на технологические цели по муниципальному образованию - Село Булава</v>
      </c>
      <c r="AN9" s="919"/>
      <c r="AO9" s="919"/>
      <c r="AP9" s="920"/>
      <c r="AQ9" s="201"/>
      <c r="AR9" s="122"/>
      <c r="AS9" s="200"/>
    </row>
    <row r="10" spans="1:45" s="200" customFormat="1" ht="12" customHeight="1">
      <c r="A10" s="191"/>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M10" s="491" t="str">
        <f>IF(TEMPLATE_CLAIM="P","01.07 - 31.12","01.07 - 31.08")</f>
        <v>01.07 - 31.08</v>
      </c>
      <c r="AN10" s="430"/>
      <c r="AO10" s="209"/>
      <c r="AP10" s="214"/>
      <c r="AQ10" s="201"/>
      <c r="AR10" s="168" t="s">
        <v>720</v>
      </c>
    </row>
    <row r="11" spans="1:45" s="47" customFormat="1">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50"/>
      <c r="AM11" s="802" t="s">
        <v>641</v>
      </c>
      <c r="AN11" s="804" t="s">
        <v>787</v>
      </c>
      <c r="AO11" s="821" t="s">
        <v>284</v>
      </c>
      <c r="AP11" s="806" t="s">
        <v>778</v>
      </c>
      <c r="AQ11" s="206">
        <v>0</v>
      </c>
      <c r="AR11" s="206"/>
      <c r="AS11" s="220"/>
    </row>
    <row r="12" spans="1:45" s="47" customFormat="1" ht="48" customHeight="1">
      <c r="A12" s="121"/>
      <c r="B12" s="121"/>
      <c r="C12" s="121"/>
      <c r="D12" s="121"/>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50"/>
      <c r="AM12" s="802"/>
      <c r="AN12" s="804"/>
      <c r="AO12" s="804"/>
      <c r="AP12" s="806"/>
      <c r="AQ12" s="207"/>
      <c r="AR12" s="207"/>
      <c r="AS12" s="220"/>
    </row>
    <row r="13" spans="1:45" s="121" customFormat="1" ht="11.25" hidden="1" customHeight="1">
      <c r="AM13" s="256"/>
      <c r="AN13" s="256"/>
      <c r="AO13" s="256"/>
      <c r="AP13" s="253"/>
      <c r="AQ13" s="207"/>
      <c r="AR13" s="207"/>
      <c r="AS13" s="127"/>
    </row>
    <row r="14" spans="1:45" s="121" customFormat="1" ht="11.25" hidden="1" customHeight="1">
      <c r="AM14" s="256"/>
      <c r="AN14" s="256"/>
      <c r="AO14" s="256"/>
      <c r="AP14" s="253"/>
      <c r="AQ14" s="207"/>
      <c r="AR14" s="207"/>
      <c r="AS14" s="127"/>
    </row>
    <row r="15" spans="1:45" s="121" customFormat="1" hidden="1">
      <c r="AM15" s="256"/>
      <c r="AN15" s="256"/>
      <c r="AO15" s="256"/>
      <c r="AP15" s="253"/>
      <c r="AQ15" s="207"/>
      <c r="AR15" s="207"/>
      <c r="AS15" s="127"/>
    </row>
    <row r="16" spans="1:45" s="121" customFormat="1" hidden="1">
      <c r="AM16" s="256"/>
      <c r="AN16" s="256"/>
      <c r="AO16" s="256"/>
      <c r="AP16" s="253"/>
      <c r="AQ16" s="207"/>
      <c r="AR16" s="207"/>
      <c r="AS16" s="127"/>
    </row>
    <row r="17" spans="39:45" s="121" customFormat="1" hidden="1">
      <c r="AM17" s="256"/>
      <c r="AN17" s="256"/>
      <c r="AO17" s="256"/>
      <c r="AP17" s="253"/>
      <c r="AQ17" s="207"/>
      <c r="AR17" s="207"/>
      <c r="AS17" s="127"/>
    </row>
    <row r="18" spans="39:45" s="121" customFormat="1" hidden="1">
      <c r="AM18" s="256"/>
      <c r="AN18" s="256"/>
      <c r="AO18" s="256"/>
      <c r="AP18" s="253"/>
      <c r="AQ18" s="207"/>
      <c r="AR18" s="207"/>
      <c r="AS18" s="127"/>
    </row>
    <row r="19" spans="39:45" s="121" customFormat="1" hidden="1">
      <c r="AM19" s="256"/>
      <c r="AN19" s="256"/>
      <c r="AO19" s="256"/>
      <c r="AP19" s="253"/>
      <c r="AQ19" s="207"/>
      <c r="AR19" s="207"/>
      <c r="AS19" s="127"/>
    </row>
    <row r="20" spans="39:45" s="121" customFormat="1" hidden="1">
      <c r="AM20" s="256"/>
      <c r="AN20" s="256"/>
      <c r="AO20" s="256"/>
      <c r="AP20" s="253"/>
      <c r="AQ20" s="207"/>
      <c r="AR20" s="207"/>
      <c r="AS20" s="127"/>
    </row>
    <row r="21" spans="39:45" s="121" customFormat="1" hidden="1">
      <c r="AM21" s="256"/>
      <c r="AN21" s="256"/>
      <c r="AO21" s="256"/>
      <c r="AP21" s="253"/>
      <c r="AQ21" s="207"/>
      <c r="AR21" s="207"/>
      <c r="AS21" s="127"/>
    </row>
    <row r="22" spans="39:45" s="121" customFormat="1" hidden="1">
      <c r="AM22" s="256"/>
      <c r="AN22" s="256"/>
      <c r="AO22" s="256"/>
      <c r="AP22" s="253"/>
      <c r="AQ22" s="207"/>
      <c r="AR22" s="207"/>
      <c r="AS22" s="127"/>
    </row>
    <row r="23" spans="39:45" s="121" customFormat="1" hidden="1">
      <c r="AM23" s="256"/>
      <c r="AN23" s="256"/>
      <c r="AO23" s="256"/>
      <c r="AP23" s="253"/>
      <c r="AQ23" s="207"/>
      <c r="AR23" s="207"/>
      <c r="AS23" s="127"/>
    </row>
    <row r="24" spans="39:45" s="121" customFormat="1" hidden="1">
      <c r="AM24" s="256"/>
      <c r="AN24" s="256"/>
      <c r="AO24" s="256"/>
      <c r="AP24" s="253"/>
      <c r="AQ24" s="207"/>
      <c r="AR24" s="207"/>
      <c r="AS24" s="127"/>
    </row>
    <row r="25" spans="39:45" s="121" customFormat="1" hidden="1">
      <c r="AM25" s="256"/>
      <c r="AN25" s="256"/>
      <c r="AO25" s="256"/>
      <c r="AP25" s="253"/>
      <c r="AQ25" s="207"/>
      <c r="AR25" s="207"/>
      <c r="AS25" s="127"/>
    </row>
    <row r="26" spans="39:45" s="121" customFormat="1" hidden="1">
      <c r="AM26" s="256"/>
      <c r="AN26" s="256"/>
      <c r="AO26" s="256"/>
      <c r="AP26" s="253"/>
      <c r="AQ26" s="207"/>
      <c r="AR26" s="207"/>
      <c r="AS26" s="127"/>
    </row>
    <row r="27" spans="39:45" ht="22.5">
      <c r="AM27" s="449" t="s">
        <v>753</v>
      </c>
      <c r="AN27" s="450" t="s">
        <v>211</v>
      </c>
      <c r="AO27" s="473" t="s">
        <v>786</v>
      </c>
      <c r="AP27" s="305">
        <f>SUM(AQ27:AR27)</f>
        <v>0</v>
      </c>
      <c r="AQ27" s="207"/>
      <c r="AR27" s="207"/>
    </row>
    <row r="28" spans="39:45">
      <c r="AM28" s="451" t="s">
        <v>766</v>
      </c>
      <c r="AN28" s="453" t="s">
        <v>78</v>
      </c>
      <c r="AO28" s="473" t="s">
        <v>786</v>
      </c>
      <c r="AP28" s="305">
        <f>SUM(AQ28:AR28)</f>
        <v>0</v>
      </c>
      <c r="AQ28" s="207"/>
      <c r="AR28" s="207"/>
    </row>
    <row r="29" spans="39:45">
      <c r="AM29" s="451" t="s">
        <v>768</v>
      </c>
      <c r="AN29" s="454" t="s">
        <v>212</v>
      </c>
      <c r="AO29" s="473" t="s">
        <v>786</v>
      </c>
      <c r="AP29" s="305">
        <f>SUM(AQ29:AR29)</f>
        <v>0</v>
      </c>
      <c r="AQ29" s="207"/>
      <c r="AR29" s="207"/>
    </row>
    <row r="30" spans="39:45">
      <c r="AM30" s="451" t="s">
        <v>132</v>
      </c>
      <c r="AN30" s="455" t="s">
        <v>79</v>
      </c>
      <c r="AO30" s="473" t="s">
        <v>786</v>
      </c>
      <c r="AP30" s="305">
        <f>SUM(AQ30:AR30)</f>
        <v>0</v>
      </c>
      <c r="AQ30" s="207"/>
      <c r="AR30" s="207"/>
    </row>
    <row r="31" spans="39:45" hidden="1">
      <c r="AM31" s="451"/>
      <c r="AN31" s="455"/>
      <c r="AO31" s="473"/>
      <c r="AP31" s="456"/>
      <c r="AQ31" s="207"/>
      <c r="AR31" s="207"/>
    </row>
    <row r="32" spans="39:45" hidden="1">
      <c r="AM32" s="451"/>
      <c r="AN32" s="455"/>
      <c r="AO32" s="473"/>
      <c r="AP32" s="456"/>
      <c r="AQ32" s="207"/>
      <c r="AR32" s="207"/>
    </row>
    <row r="33" spans="39:44" hidden="1">
      <c r="AM33" s="451"/>
      <c r="AN33" s="455"/>
      <c r="AO33" s="473"/>
      <c r="AP33" s="456"/>
      <c r="AQ33" s="207"/>
      <c r="AR33" s="207"/>
    </row>
    <row r="34" spans="39:44" hidden="1">
      <c r="AM34" s="451"/>
      <c r="AN34" s="455"/>
      <c r="AO34" s="473"/>
      <c r="AP34" s="456"/>
      <c r="AQ34" s="207"/>
      <c r="AR34" s="207"/>
    </row>
    <row r="35" spans="39:44" hidden="1">
      <c r="AM35" s="451"/>
      <c r="AN35" s="455"/>
      <c r="AO35" s="473"/>
      <c r="AP35" s="456"/>
      <c r="AQ35" s="207"/>
      <c r="AR35" s="207"/>
    </row>
    <row r="36" spans="39:44" hidden="1">
      <c r="AM36" s="451"/>
      <c r="AN36" s="455"/>
      <c r="AO36" s="473"/>
      <c r="AP36" s="456"/>
      <c r="AQ36" s="207"/>
      <c r="AR36" s="207"/>
    </row>
    <row r="37" spans="39:44" hidden="1">
      <c r="AM37" s="451"/>
      <c r="AN37" s="455"/>
      <c r="AO37" s="473"/>
      <c r="AP37" s="456"/>
      <c r="AQ37" s="207"/>
      <c r="AR37" s="207"/>
    </row>
    <row r="38" spans="39:44">
      <c r="AM38" s="451" t="s">
        <v>80</v>
      </c>
      <c r="AN38" s="455" t="s">
        <v>81</v>
      </c>
      <c r="AO38" s="473" t="s">
        <v>786</v>
      </c>
      <c r="AP38" s="305">
        <f>SUM(AQ38:AR38)</f>
        <v>0</v>
      </c>
      <c r="AQ38" s="207"/>
      <c r="AR38" s="207"/>
    </row>
    <row r="39" spans="39:44" hidden="1">
      <c r="AM39" s="451"/>
      <c r="AN39" s="455"/>
      <c r="AO39" s="473"/>
      <c r="AP39" s="456"/>
      <c r="AQ39" s="207"/>
      <c r="AR39" s="207"/>
    </row>
    <row r="40" spans="39:44" hidden="1">
      <c r="AM40" s="451"/>
      <c r="AN40" s="455"/>
      <c r="AO40" s="473"/>
      <c r="AP40" s="456"/>
      <c r="AQ40" s="207"/>
      <c r="AR40" s="207"/>
    </row>
    <row r="41" spans="39:44" hidden="1">
      <c r="AM41" s="451"/>
      <c r="AN41" s="455"/>
      <c r="AO41" s="473"/>
      <c r="AP41" s="456"/>
      <c r="AQ41" s="207"/>
      <c r="AR41" s="207"/>
    </row>
    <row r="42" spans="39:44" hidden="1">
      <c r="AM42" s="451"/>
      <c r="AN42" s="455"/>
      <c r="AO42" s="473"/>
      <c r="AP42" s="456"/>
      <c r="AQ42" s="207"/>
      <c r="AR42" s="207"/>
    </row>
    <row r="43" spans="39:44" hidden="1">
      <c r="AM43" s="451"/>
      <c r="AN43" s="455"/>
      <c r="AO43" s="473"/>
      <c r="AP43" s="456"/>
      <c r="AQ43" s="207"/>
      <c r="AR43" s="207"/>
    </row>
    <row r="44" spans="39:44" hidden="1">
      <c r="AM44" s="451"/>
      <c r="AN44" s="455"/>
      <c r="AO44" s="473"/>
      <c r="AP44" s="456"/>
      <c r="AQ44" s="207"/>
      <c r="AR44" s="207"/>
    </row>
    <row r="45" spans="39:44" hidden="1">
      <c r="AM45" s="451"/>
      <c r="AN45" s="455"/>
      <c r="AO45" s="473"/>
      <c r="AP45" s="456"/>
      <c r="AQ45" s="207"/>
      <c r="AR45" s="207"/>
    </row>
    <row r="46" spans="39:44">
      <c r="AM46" s="451" t="s">
        <v>82</v>
      </c>
      <c r="AN46" s="455" t="s">
        <v>83</v>
      </c>
      <c r="AO46" s="473" t="s">
        <v>786</v>
      </c>
      <c r="AP46" s="305">
        <f t="shared" ref="AP46:AP58" si="0">SUM(AQ46:AR46)</f>
        <v>0</v>
      </c>
      <c r="AQ46" s="207"/>
      <c r="AR46" s="207"/>
    </row>
    <row r="47" spans="39:44">
      <c r="AM47" s="451" t="s">
        <v>84</v>
      </c>
      <c r="AN47" s="457" t="s">
        <v>85</v>
      </c>
      <c r="AO47" s="473" t="s">
        <v>786</v>
      </c>
      <c r="AP47" s="305">
        <f t="shared" si="0"/>
        <v>0</v>
      </c>
      <c r="AQ47" s="207"/>
      <c r="AR47" s="207"/>
    </row>
    <row r="48" spans="39:44">
      <c r="AM48" s="451" t="s">
        <v>86</v>
      </c>
      <c r="AN48" s="457" t="s">
        <v>87</v>
      </c>
      <c r="AO48" s="473" t="s">
        <v>786</v>
      </c>
      <c r="AP48" s="305">
        <f t="shared" si="0"/>
        <v>0</v>
      </c>
      <c r="AQ48" s="207"/>
      <c r="AR48" s="207"/>
    </row>
    <row r="49" spans="39:44">
      <c r="AM49" s="451" t="s">
        <v>88</v>
      </c>
      <c r="AN49" s="457" t="s">
        <v>89</v>
      </c>
      <c r="AO49" s="473" t="s">
        <v>786</v>
      </c>
      <c r="AP49" s="305">
        <f t="shared" si="0"/>
        <v>0</v>
      </c>
      <c r="AQ49" s="207"/>
      <c r="AR49" s="207"/>
    </row>
    <row r="50" spans="39:44">
      <c r="AM50" s="451" t="s">
        <v>90</v>
      </c>
      <c r="AN50" s="457" t="s">
        <v>91</v>
      </c>
      <c r="AO50" s="473" t="s">
        <v>786</v>
      </c>
      <c r="AP50" s="305">
        <f t="shared" si="0"/>
        <v>0</v>
      </c>
      <c r="AQ50" s="207"/>
      <c r="AR50" s="207"/>
    </row>
    <row r="51" spans="39:44">
      <c r="AM51" s="451" t="s">
        <v>92</v>
      </c>
      <c r="AN51" s="457" t="s">
        <v>93</v>
      </c>
      <c r="AO51" s="473" t="s">
        <v>786</v>
      </c>
      <c r="AP51" s="305">
        <f t="shared" si="0"/>
        <v>0</v>
      </c>
      <c r="AQ51" s="207"/>
      <c r="AR51" s="207"/>
    </row>
    <row r="52" spans="39:44">
      <c r="AM52" s="451" t="s">
        <v>94</v>
      </c>
      <c r="AN52" s="457" t="s">
        <v>95</v>
      </c>
      <c r="AO52" s="473" t="s">
        <v>786</v>
      </c>
      <c r="AP52" s="305">
        <f t="shared" si="0"/>
        <v>0</v>
      </c>
      <c r="AQ52" s="207"/>
      <c r="AR52" s="207"/>
    </row>
    <row r="53" spans="39:44">
      <c r="AM53" s="451" t="s">
        <v>2975</v>
      </c>
      <c r="AN53" s="457" t="s">
        <v>2976</v>
      </c>
      <c r="AO53" s="473" t="s">
        <v>786</v>
      </c>
      <c r="AP53" s="305">
        <f t="shared" si="0"/>
        <v>0</v>
      </c>
      <c r="AQ53" s="207"/>
      <c r="AR53" s="207"/>
    </row>
    <row r="54" spans="39:44">
      <c r="AM54" s="451" t="s">
        <v>2977</v>
      </c>
      <c r="AN54" s="457" t="s">
        <v>2978</v>
      </c>
      <c r="AO54" s="473" t="s">
        <v>786</v>
      </c>
      <c r="AP54" s="305">
        <f t="shared" si="0"/>
        <v>0</v>
      </c>
      <c r="AQ54" s="207"/>
      <c r="AR54" s="207"/>
    </row>
    <row r="55" spans="39:44">
      <c r="AM55" s="451" t="s">
        <v>2979</v>
      </c>
      <c r="AN55" s="457" t="s">
        <v>2980</v>
      </c>
      <c r="AO55" s="473" t="s">
        <v>786</v>
      </c>
      <c r="AP55" s="305">
        <f t="shared" si="0"/>
        <v>0</v>
      </c>
      <c r="AQ55" s="207"/>
      <c r="AR55" s="207"/>
    </row>
    <row r="56" spans="39:44">
      <c r="AM56" s="451" t="s">
        <v>2981</v>
      </c>
      <c r="AN56" s="457" t="s">
        <v>2982</v>
      </c>
      <c r="AO56" s="473" t="s">
        <v>786</v>
      </c>
      <c r="AP56" s="305">
        <f t="shared" si="0"/>
        <v>0</v>
      </c>
      <c r="AQ56" s="207"/>
      <c r="AR56" s="207"/>
    </row>
    <row r="57" spans="39:44">
      <c r="AM57" s="451" t="s">
        <v>2983</v>
      </c>
      <c r="AN57" s="224" t="s">
        <v>2984</v>
      </c>
      <c r="AO57" s="473" t="s">
        <v>786</v>
      </c>
      <c r="AP57" s="305">
        <f t="shared" si="0"/>
        <v>0</v>
      </c>
      <c r="AQ57" s="207"/>
      <c r="AR57" s="207"/>
    </row>
    <row r="58" spans="39:44">
      <c r="AM58" s="451" t="s">
        <v>2989</v>
      </c>
      <c r="AN58" s="224" t="s">
        <v>2990</v>
      </c>
      <c r="AO58" s="473" t="s">
        <v>786</v>
      </c>
      <c r="AP58" s="305">
        <f t="shared" si="0"/>
        <v>0</v>
      </c>
      <c r="AQ58" s="207"/>
      <c r="AR58" s="207"/>
    </row>
    <row r="59" spans="39:44">
      <c r="AM59" s="451" t="s">
        <v>292</v>
      </c>
      <c r="AN59" s="442" t="s">
        <v>291</v>
      </c>
      <c r="AO59" s="473" t="s">
        <v>786</v>
      </c>
      <c r="AP59" s="305">
        <f>SUM(AQ59:AR59)</f>
        <v>0</v>
      </c>
      <c r="AQ59" s="207"/>
      <c r="AR59" s="207"/>
    </row>
    <row r="60" spans="39:44">
      <c r="AM60" s="449" t="s">
        <v>257</v>
      </c>
      <c r="AN60" s="450" t="s">
        <v>213</v>
      </c>
      <c r="AO60" s="473" t="s">
        <v>214</v>
      </c>
      <c r="AP60" s="459">
        <f>IF(AP126=0,0,AP27/AP126)</f>
        <v>0</v>
      </c>
      <c r="AQ60" s="207"/>
      <c r="AR60" s="207"/>
    </row>
    <row r="61" spans="39:44">
      <c r="AM61" s="461" t="str">
        <f>AM60 &amp; ".1"</f>
        <v>4.0.1.1.1</v>
      </c>
      <c r="AN61" s="453" t="s">
        <v>78</v>
      </c>
      <c r="AO61" s="473" t="s">
        <v>214</v>
      </c>
      <c r="AP61" s="459">
        <f>IF(AP127=0,0,AP28/AP127)</f>
        <v>0</v>
      </c>
      <c r="AQ61" s="207"/>
      <c r="AR61" s="207"/>
    </row>
    <row r="62" spans="39:44">
      <c r="AM62" s="461" t="str">
        <f>AM60 &amp; ".2"</f>
        <v>4.0.1.1.2</v>
      </c>
      <c r="AN62" s="454" t="s">
        <v>212</v>
      </c>
      <c r="AO62" s="473" t="s">
        <v>214</v>
      </c>
      <c r="AP62" s="459">
        <f>IF(AP128=0,0,AP29/AP128)</f>
        <v>0</v>
      </c>
      <c r="AQ62" s="207"/>
      <c r="AR62" s="207"/>
    </row>
    <row r="63" spans="39:44">
      <c r="AM63" s="461" t="str">
        <f>AM60 &amp; ".2.1"</f>
        <v>4.0.1.1.2.1</v>
      </c>
      <c r="AN63" s="455" t="s">
        <v>79</v>
      </c>
      <c r="AO63" s="473" t="s">
        <v>214</v>
      </c>
      <c r="AP63" s="459">
        <f>IF(AP129=0,0,AP30/AP129)</f>
        <v>0</v>
      </c>
      <c r="AQ63" s="207"/>
      <c r="AR63" s="207"/>
    </row>
    <row r="64" spans="39:44" hidden="1">
      <c r="AM64" s="451"/>
      <c r="AN64" s="455"/>
      <c r="AO64" s="473"/>
      <c r="AP64" s="456"/>
      <c r="AQ64" s="207"/>
      <c r="AR64" s="207"/>
    </row>
    <row r="65" spans="39:44" hidden="1">
      <c r="AM65" s="451"/>
      <c r="AN65" s="455"/>
      <c r="AO65" s="473"/>
      <c r="AP65" s="456"/>
      <c r="AQ65" s="207"/>
      <c r="AR65" s="207"/>
    </row>
    <row r="66" spans="39:44" hidden="1">
      <c r="AM66" s="451"/>
      <c r="AN66" s="455"/>
      <c r="AO66" s="473"/>
      <c r="AP66" s="456"/>
      <c r="AQ66" s="207"/>
      <c r="AR66" s="207"/>
    </row>
    <row r="67" spans="39:44" hidden="1">
      <c r="AM67" s="451"/>
      <c r="AN67" s="455"/>
      <c r="AO67" s="473"/>
      <c r="AP67" s="456"/>
      <c r="AQ67" s="207"/>
      <c r="AR67" s="207"/>
    </row>
    <row r="68" spans="39:44" hidden="1">
      <c r="AM68" s="451"/>
      <c r="AN68" s="455"/>
      <c r="AO68" s="473"/>
      <c r="AP68" s="456"/>
      <c r="AQ68" s="207"/>
      <c r="AR68" s="207"/>
    </row>
    <row r="69" spans="39:44" hidden="1">
      <c r="AM69" s="451"/>
      <c r="AN69" s="455"/>
      <c r="AO69" s="473"/>
      <c r="AP69" s="456"/>
      <c r="AQ69" s="207"/>
      <c r="AR69" s="207"/>
    </row>
    <row r="70" spans="39:44" hidden="1">
      <c r="AM70" s="451"/>
      <c r="AN70" s="455"/>
      <c r="AO70" s="473"/>
      <c r="AP70" s="456"/>
      <c r="AQ70" s="207"/>
      <c r="AR70" s="207"/>
    </row>
    <row r="71" spans="39:44">
      <c r="AM71" s="461" t="str">
        <f>AM60 &amp; ".2.2"</f>
        <v>4.0.1.1.2.2</v>
      </c>
      <c r="AN71" s="455" t="s">
        <v>81</v>
      </c>
      <c r="AO71" s="473" t="s">
        <v>214</v>
      </c>
      <c r="AP71" s="459">
        <f>IF(AP137=0,0,AP38/AP137)</f>
        <v>0</v>
      </c>
      <c r="AQ71" s="207"/>
      <c r="AR71" s="207"/>
    </row>
    <row r="72" spans="39:44" hidden="1">
      <c r="AM72" s="451"/>
      <c r="AN72" s="455"/>
      <c r="AO72" s="473"/>
      <c r="AP72" s="456"/>
      <c r="AQ72" s="207"/>
      <c r="AR72" s="207"/>
    </row>
    <row r="73" spans="39:44" hidden="1">
      <c r="AM73" s="451"/>
      <c r="AN73" s="455"/>
      <c r="AO73" s="473"/>
      <c r="AP73" s="456"/>
      <c r="AQ73" s="207"/>
      <c r="AR73" s="207"/>
    </row>
    <row r="74" spans="39:44" hidden="1">
      <c r="AM74" s="451"/>
      <c r="AN74" s="455"/>
      <c r="AO74" s="473"/>
      <c r="AP74" s="456"/>
      <c r="AQ74" s="207"/>
      <c r="AR74" s="207"/>
    </row>
    <row r="75" spans="39:44" hidden="1">
      <c r="AM75" s="451"/>
      <c r="AN75" s="455"/>
      <c r="AO75" s="473"/>
      <c r="AP75" s="456"/>
      <c r="AQ75" s="207"/>
      <c r="AR75" s="207"/>
    </row>
    <row r="76" spans="39:44" hidden="1">
      <c r="AM76" s="451"/>
      <c r="AN76" s="455"/>
      <c r="AO76" s="473"/>
      <c r="AP76" s="456"/>
      <c r="AQ76" s="207"/>
      <c r="AR76" s="207"/>
    </row>
    <row r="77" spans="39:44" hidden="1">
      <c r="AM77" s="451"/>
      <c r="AN77" s="455"/>
      <c r="AO77" s="473"/>
      <c r="AP77" s="456"/>
      <c r="AQ77" s="207"/>
      <c r="AR77" s="207"/>
    </row>
    <row r="78" spans="39:44" hidden="1">
      <c r="AM78" s="451"/>
      <c r="AN78" s="455"/>
      <c r="AO78" s="473"/>
      <c r="AP78" s="456"/>
      <c r="AQ78" s="207"/>
      <c r="AR78" s="207"/>
    </row>
    <row r="79" spans="39:44">
      <c r="AM79" s="461" t="str">
        <f>AM60 &amp; ".2.3"</f>
        <v>4.0.1.1.2.3</v>
      </c>
      <c r="AN79" s="455" t="s">
        <v>83</v>
      </c>
      <c r="AO79" s="473" t="s">
        <v>214</v>
      </c>
      <c r="AP79" s="459">
        <f t="shared" ref="AP79:AP89" si="1">IF(AP145=0,0,AP46/AP145)</f>
        <v>0</v>
      </c>
      <c r="AQ79" s="207"/>
      <c r="AR79" s="207"/>
    </row>
    <row r="80" spans="39:44">
      <c r="AM80" s="461" t="str">
        <f>AM60 &amp; ".3"</f>
        <v>4.0.1.1.3</v>
      </c>
      <c r="AN80" s="457" t="s">
        <v>85</v>
      </c>
      <c r="AO80" s="473" t="s">
        <v>214</v>
      </c>
      <c r="AP80" s="460">
        <f t="shared" si="1"/>
        <v>0</v>
      </c>
      <c r="AQ80" s="207"/>
      <c r="AR80" s="207"/>
    </row>
    <row r="81" spans="39:44">
      <c r="AM81" s="461" t="str">
        <f>AM60 &amp; ".4"</f>
        <v>4.0.1.1.4</v>
      </c>
      <c r="AN81" s="457" t="s">
        <v>87</v>
      </c>
      <c r="AO81" s="473" t="s">
        <v>214</v>
      </c>
      <c r="AP81" s="460">
        <f t="shared" si="1"/>
        <v>0</v>
      </c>
      <c r="AQ81" s="207"/>
      <c r="AR81" s="207"/>
    </row>
    <row r="82" spans="39:44">
      <c r="AM82" s="461" t="str">
        <f>AM60&amp;".5"</f>
        <v>4.0.1.1.5</v>
      </c>
      <c r="AN82" s="457" t="s">
        <v>89</v>
      </c>
      <c r="AO82" s="473" t="s">
        <v>214</v>
      </c>
      <c r="AP82" s="460">
        <f t="shared" si="1"/>
        <v>0</v>
      </c>
      <c r="AQ82" s="207"/>
      <c r="AR82" s="207"/>
    </row>
    <row r="83" spans="39:44">
      <c r="AM83" s="461" t="str">
        <f>AM60 &amp; ".6"</f>
        <v>4.0.1.1.6</v>
      </c>
      <c r="AN83" s="457" t="s">
        <v>91</v>
      </c>
      <c r="AO83" s="473" t="s">
        <v>214</v>
      </c>
      <c r="AP83" s="460">
        <f t="shared" si="1"/>
        <v>0</v>
      </c>
      <c r="AQ83" s="207"/>
      <c r="AR83" s="207"/>
    </row>
    <row r="84" spans="39:44">
      <c r="AM84" s="461" t="str">
        <f>AM60 &amp; ".7"</f>
        <v>4.0.1.1.7</v>
      </c>
      <c r="AN84" s="457" t="s">
        <v>93</v>
      </c>
      <c r="AO84" s="473" t="s">
        <v>214</v>
      </c>
      <c r="AP84" s="460">
        <f t="shared" si="1"/>
        <v>0</v>
      </c>
      <c r="AQ84" s="207"/>
      <c r="AR84" s="207"/>
    </row>
    <row r="85" spans="39:44">
      <c r="AM85" s="461" t="str">
        <f>AM60 &amp; ".8"</f>
        <v>4.0.1.1.8</v>
      </c>
      <c r="AN85" s="457" t="s">
        <v>95</v>
      </c>
      <c r="AO85" s="473" t="s">
        <v>214</v>
      </c>
      <c r="AP85" s="460">
        <f t="shared" si="1"/>
        <v>0</v>
      </c>
      <c r="AQ85" s="207"/>
      <c r="AR85" s="207"/>
    </row>
    <row r="86" spans="39:44">
      <c r="AM86" s="461" t="str">
        <f>AM60 &amp; ".9"</f>
        <v>4.0.1.1.9</v>
      </c>
      <c r="AN86" s="457" t="s">
        <v>2976</v>
      </c>
      <c r="AO86" s="473" t="s">
        <v>214</v>
      </c>
      <c r="AP86" s="460">
        <f t="shared" si="1"/>
        <v>0</v>
      </c>
      <c r="AQ86" s="207"/>
      <c r="AR86" s="207"/>
    </row>
    <row r="87" spans="39:44">
      <c r="AM87" s="461" t="str">
        <f>AM60 &amp; ".10"</f>
        <v>4.0.1.1.10</v>
      </c>
      <c r="AN87" s="457" t="s">
        <v>2978</v>
      </c>
      <c r="AO87" s="473" t="s">
        <v>214</v>
      </c>
      <c r="AP87" s="460">
        <f t="shared" si="1"/>
        <v>0</v>
      </c>
      <c r="AQ87" s="207"/>
      <c r="AR87" s="207"/>
    </row>
    <row r="88" spans="39:44">
      <c r="AM88" s="461" t="str">
        <f>AM60 &amp; ".11"</f>
        <v>4.0.1.1.11</v>
      </c>
      <c r="AN88" s="457" t="s">
        <v>2980</v>
      </c>
      <c r="AO88" s="473" t="s">
        <v>214</v>
      </c>
      <c r="AP88" s="460">
        <f t="shared" si="1"/>
        <v>0</v>
      </c>
      <c r="AQ88" s="207"/>
      <c r="AR88" s="207"/>
    </row>
    <row r="89" spans="39:44">
      <c r="AM89" s="461" t="str">
        <f>AM60 &amp; ".12"</f>
        <v>4.0.1.1.12</v>
      </c>
      <c r="AN89" s="457" t="s">
        <v>2982</v>
      </c>
      <c r="AO89" s="473" t="s">
        <v>214</v>
      </c>
      <c r="AP89" s="460">
        <f t="shared" si="1"/>
        <v>0</v>
      </c>
      <c r="AQ89" s="207"/>
      <c r="AR89" s="207"/>
    </row>
    <row r="90" spans="39:44" hidden="1">
      <c r="AM90" s="451"/>
      <c r="AN90" s="455"/>
      <c r="AO90" s="473"/>
      <c r="AP90" s="456"/>
      <c r="AQ90" s="207"/>
      <c r="AR90" s="207"/>
    </row>
    <row r="91" spans="39:44" hidden="1">
      <c r="AM91" s="451"/>
      <c r="AN91" s="455"/>
      <c r="AO91" s="473"/>
      <c r="AP91" s="456"/>
      <c r="AQ91" s="207"/>
      <c r="AR91" s="207"/>
    </row>
    <row r="92" spans="39:44">
      <c r="AM92" s="461" t="str">
        <f>AM60 &amp; ".15"</f>
        <v>4.0.1.1.15</v>
      </c>
      <c r="AN92" s="457" t="s">
        <v>291</v>
      </c>
      <c r="AO92" s="473" t="s">
        <v>214</v>
      </c>
      <c r="AP92" s="460">
        <f>IF(AP158=0,0,AP59/AP158)</f>
        <v>0</v>
      </c>
      <c r="AQ92" s="207"/>
      <c r="AR92" s="207"/>
    </row>
    <row r="93" spans="39:44">
      <c r="AM93" s="449" t="s">
        <v>258</v>
      </c>
      <c r="AN93" s="450" t="s">
        <v>215</v>
      </c>
      <c r="AO93" s="473"/>
      <c r="AP93" s="456"/>
      <c r="AQ93" s="207"/>
      <c r="AR93" s="207"/>
    </row>
    <row r="94" spans="39:44">
      <c r="AM94" s="461" t="str">
        <f>AM93 &amp; ".1"</f>
        <v>4.0.1.2.1</v>
      </c>
      <c r="AN94" s="453" t="s">
        <v>78</v>
      </c>
      <c r="AO94" s="473" t="s">
        <v>216</v>
      </c>
      <c r="AP94" s="452">
        <f>AP262+AP401+AP500+AP599</f>
        <v>0</v>
      </c>
      <c r="AQ94" s="207"/>
      <c r="AR94" s="207"/>
    </row>
    <row r="95" spans="39:44" ht="12.75">
      <c r="AM95" s="461" t="str">
        <f>AM93 &amp; ".2"</f>
        <v>4.0.1.2.2</v>
      </c>
      <c r="AN95" s="454" t="s">
        <v>212</v>
      </c>
      <c r="AO95" s="473" t="s">
        <v>285</v>
      </c>
      <c r="AP95" s="452">
        <f>IF(AP227=0,0,AP29/AP227*1000)</f>
        <v>0</v>
      </c>
      <c r="AQ95" s="207"/>
      <c r="AR95" s="207"/>
    </row>
    <row r="96" spans="39:44" ht="12.75">
      <c r="AM96" s="461" t="str">
        <f>AM93 &amp; ".2.1"</f>
        <v>4.0.1.2.2.1</v>
      </c>
      <c r="AN96" s="455" t="s">
        <v>79</v>
      </c>
      <c r="AO96" s="473" t="s">
        <v>285</v>
      </c>
      <c r="AP96" s="452">
        <f>IF(AP228=0,0,AP30/AP228*1000)</f>
        <v>0</v>
      </c>
      <c r="AQ96" s="207"/>
      <c r="AR96" s="207"/>
    </row>
    <row r="97" spans="39:44" hidden="1">
      <c r="AM97" s="451"/>
      <c r="AN97" s="455"/>
      <c r="AO97" s="473"/>
      <c r="AP97" s="456"/>
      <c r="AQ97" s="207"/>
      <c r="AR97" s="207"/>
    </row>
    <row r="98" spans="39:44" hidden="1">
      <c r="AM98" s="451"/>
      <c r="AN98" s="455"/>
      <c r="AO98" s="473"/>
      <c r="AP98" s="456"/>
      <c r="AQ98" s="207"/>
      <c r="AR98" s="207"/>
    </row>
    <row r="99" spans="39:44" hidden="1">
      <c r="AM99" s="451"/>
      <c r="AN99" s="455"/>
      <c r="AO99" s="473"/>
      <c r="AP99" s="456"/>
      <c r="AQ99" s="207"/>
      <c r="AR99" s="207"/>
    </row>
    <row r="100" spans="39:44" hidden="1">
      <c r="AM100" s="451"/>
      <c r="AN100" s="455"/>
      <c r="AO100" s="473"/>
      <c r="AP100" s="456"/>
      <c r="AQ100" s="207"/>
      <c r="AR100" s="207"/>
    </row>
    <row r="101" spans="39:44" hidden="1">
      <c r="AM101" s="451"/>
      <c r="AN101" s="455"/>
      <c r="AO101" s="473"/>
      <c r="AP101" s="456"/>
      <c r="AQ101" s="207"/>
      <c r="AR101" s="207"/>
    </row>
    <row r="102" spans="39:44" hidden="1">
      <c r="AM102" s="451"/>
      <c r="AN102" s="455"/>
      <c r="AO102" s="473"/>
      <c r="AP102" s="456"/>
      <c r="AQ102" s="207"/>
      <c r="AR102" s="207"/>
    </row>
    <row r="103" spans="39:44" hidden="1">
      <c r="AM103" s="451"/>
      <c r="AN103" s="455"/>
      <c r="AO103" s="473"/>
      <c r="AP103" s="456"/>
      <c r="AQ103" s="207"/>
      <c r="AR103" s="207"/>
    </row>
    <row r="104" spans="39:44" ht="12.75">
      <c r="AM104" s="461" t="str">
        <f>AM93 &amp; ".2.2"</f>
        <v>4.0.1.2.2.2</v>
      </c>
      <c r="AN104" s="455" t="s">
        <v>81</v>
      </c>
      <c r="AO104" s="473" t="s">
        <v>285</v>
      </c>
      <c r="AP104" s="452">
        <f>IF(AP236=0,0,AP38/AP236*1000)</f>
        <v>0</v>
      </c>
      <c r="AQ104" s="207"/>
      <c r="AR104" s="207"/>
    </row>
    <row r="105" spans="39:44" hidden="1">
      <c r="AM105" s="451"/>
      <c r="AN105" s="455"/>
      <c r="AO105" s="473"/>
      <c r="AP105" s="456"/>
      <c r="AQ105" s="207"/>
      <c r="AR105" s="207"/>
    </row>
    <row r="106" spans="39:44" hidden="1">
      <c r="AM106" s="451"/>
      <c r="AN106" s="455"/>
      <c r="AO106" s="473"/>
      <c r="AP106" s="456"/>
      <c r="AQ106" s="207"/>
      <c r="AR106" s="207"/>
    </row>
    <row r="107" spans="39:44" hidden="1">
      <c r="AM107" s="451"/>
      <c r="AN107" s="455"/>
      <c r="AO107" s="473"/>
      <c r="AP107" s="456"/>
      <c r="AQ107" s="207"/>
      <c r="AR107" s="207"/>
    </row>
    <row r="108" spans="39:44" hidden="1">
      <c r="AM108" s="451"/>
      <c r="AN108" s="455"/>
      <c r="AO108" s="473"/>
      <c r="AP108" s="456"/>
      <c r="AQ108" s="207"/>
      <c r="AR108" s="207"/>
    </row>
    <row r="109" spans="39:44" hidden="1">
      <c r="AM109" s="451"/>
      <c r="AN109" s="455"/>
      <c r="AO109" s="473"/>
      <c r="AP109" s="456"/>
      <c r="AQ109" s="207"/>
      <c r="AR109" s="207"/>
    </row>
    <row r="110" spans="39:44" hidden="1">
      <c r="AM110" s="451"/>
      <c r="AN110" s="455"/>
      <c r="AO110" s="473"/>
      <c r="AP110" s="456"/>
      <c r="AQ110" s="207"/>
      <c r="AR110" s="207"/>
    </row>
    <row r="111" spans="39:44" hidden="1">
      <c r="AM111" s="451"/>
      <c r="AN111" s="455"/>
      <c r="AO111" s="473"/>
      <c r="AP111" s="456"/>
      <c r="AQ111" s="207"/>
      <c r="AR111" s="207"/>
    </row>
    <row r="112" spans="39:44" ht="12.75">
      <c r="AM112" s="461" t="str">
        <f>AM93 &amp; ".2.3"</f>
        <v>4.0.1.2.2.3</v>
      </c>
      <c r="AN112" s="455" t="s">
        <v>83</v>
      </c>
      <c r="AO112" s="473" t="s">
        <v>285</v>
      </c>
      <c r="AP112" s="452">
        <f>IF(AP244=0,0,AP46/AP244*1000)</f>
        <v>0</v>
      </c>
      <c r="AQ112" s="207"/>
      <c r="AR112" s="207"/>
    </row>
    <row r="113" spans="39:44">
      <c r="AM113" s="461" t="str">
        <f>AM93 &amp; ".3"</f>
        <v>4.0.1.2.3</v>
      </c>
      <c r="AN113" s="457" t="s">
        <v>85</v>
      </c>
      <c r="AO113" s="473" t="s">
        <v>216</v>
      </c>
      <c r="AP113" s="452">
        <f t="shared" ref="AP113:AP122" si="2">AP281+AP420+AP519+AP618</f>
        <v>0</v>
      </c>
      <c r="AQ113" s="207"/>
      <c r="AR113" s="207"/>
    </row>
    <row r="114" spans="39:44">
      <c r="AM114" s="461" t="str">
        <f>AM93 &amp; ".4"</f>
        <v>4.0.1.2.4</v>
      </c>
      <c r="AN114" s="457" t="s">
        <v>87</v>
      </c>
      <c r="AO114" s="473" t="s">
        <v>216</v>
      </c>
      <c r="AP114" s="452">
        <f t="shared" si="2"/>
        <v>0</v>
      </c>
      <c r="AQ114" s="207"/>
      <c r="AR114" s="207"/>
    </row>
    <row r="115" spans="39:44">
      <c r="AM115" s="461" t="str">
        <f>AM93&amp;".5"</f>
        <v>4.0.1.2.5</v>
      </c>
      <c r="AN115" s="457" t="s">
        <v>89</v>
      </c>
      <c r="AO115" s="473" t="s">
        <v>216</v>
      </c>
      <c r="AP115" s="452">
        <f t="shared" si="2"/>
        <v>0</v>
      </c>
      <c r="AQ115" s="207"/>
      <c r="AR115" s="207"/>
    </row>
    <row r="116" spans="39:44">
      <c r="AM116" s="461" t="str">
        <f>AM93 &amp; ".6"</f>
        <v>4.0.1.2.6</v>
      </c>
      <c r="AN116" s="457" t="s">
        <v>91</v>
      </c>
      <c r="AO116" s="473" t="s">
        <v>216</v>
      </c>
      <c r="AP116" s="452">
        <f t="shared" si="2"/>
        <v>0</v>
      </c>
      <c r="AQ116" s="207"/>
      <c r="AR116" s="207"/>
    </row>
    <row r="117" spans="39:44">
      <c r="AM117" s="461" t="str">
        <f>AM93 &amp; ".7"</f>
        <v>4.0.1.2.7</v>
      </c>
      <c r="AN117" s="457" t="s">
        <v>93</v>
      </c>
      <c r="AO117" s="473" t="s">
        <v>216</v>
      </c>
      <c r="AP117" s="452">
        <f t="shared" si="2"/>
        <v>0</v>
      </c>
      <c r="AQ117" s="207"/>
      <c r="AR117" s="207"/>
    </row>
    <row r="118" spans="39:44">
      <c r="AM118" s="461" t="str">
        <f>AM93 &amp; ".8"</f>
        <v>4.0.1.2.8</v>
      </c>
      <c r="AN118" s="457" t="s">
        <v>95</v>
      </c>
      <c r="AO118" s="473" t="s">
        <v>216</v>
      </c>
      <c r="AP118" s="452">
        <f t="shared" si="2"/>
        <v>0</v>
      </c>
      <c r="AQ118" s="207"/>
      <c r="AR118" s="207"/>
    </row>
    <row r="119" spans="39:44">
      <c r="AM119" s="461" t="str">
        <f>AM93 &amp; ".9"</f>
        <v>4.0.1.2.9</v>
      </c>
      <c r="AN119" s="457" t="s">
        <v>2976</v>
      </c>
      <c r="AO119" s="473" t="s">
        <v>216</v>
      </c>
      <c r="AP119" s="452">
        <f t="shared" si="2"/>
        <v>0</v>
      </c>
      <c r="AQ119" s="207"/>
      <c r="AR119" s="207"/>
    </row>
    <row r="120" spans="39:44">
      <c r="AM120" s="461" t="str">
        <f>AM93 &amp; ".10"</f>
        <v>4.0.1.2.10</v>
      </c>
      <c r="AN120" s="457" t="s">
        <v>2978</v>
      </c>
      <c r="AO120" s="473" t="s">
        <v>216</v>
      </c>
      <c r="AP120" s="452">
        <f t="shared" si="2"/>
        <v>0</v>
      </c>
      <c r="AQ120" s="207"/>
      <c r="AR120" s="207"/>
    </row>
    <row r="121" spans="39:44">
      <c r="AM121" s="461" t="str">
        <f>AM93 &amp; ".11"</f>
        <v>4.0.1.2.11</v>
      </c>
      <c r="AN121" s="457" t="s">
        <v>2980</v>
      </c>
      <c r="AO121" s="473" t="s">
        <v>216</v>
      </c>
      <c r="AP121" s="452">
        <f t="shared" si="2"/>
        <v>0</v>
      </c>
      <c r="AQ121" s="207"/>
      <c r="AR121" s="207"/>
    </row>
    <row r="122" spans="39:44">
      <c r="AM122" s="461" t="str">
        <f>AM93 &amp; ".12"</f>
        <v>4.0.1.2.12</v>
      </c>
      <c r="AN122" s="457" t="s">
        <v>2982</v>
      </c>
      <c r="AO122" s="473" t="s">
        <v>216</v>
      </c>
      <c r="AP122" s="452">
        <f t="shared" si="2"/>
        <v>0</v>
      </c>
      <c r="AQ122" s="207"/>
      <c r="AR122" s="207"/>
    </row>
    <row r="123" spans="39:44" hidden="1">
      <c r="AM123" s="451"/>
      <c r="AN123" s="455"/>
      <c r="AO123" s="473"/>
      <c r="AP123" s="456"/>
      <c r="AQ123" s="207"/>
      <c r="AR123" s="207"/>
    </row>
    <row r="124" spans="39:44" hidden="1">
      <c r="AM124" s="451"/>
      <c r="AN124" s="455"/>
      <c r="AO124" s="473"/>
      <c r="AP124" s="456"/>
      <c r="AQ124" s="207"/>
      <c r="AR124" s="207"/>
    </row>
    <row r="125" spans="39:44">
      <c r="AM125" s="461" t="str">
        <f>AM93 &amp; ".15"</f>
        <v>4.0.1.2.15</v>
      </c>
      <c r="AN125" s="457" t="s">
        <v>291</v>
      </c>
      <c r="AO125" s="473" t="s">
        <v>216</v>
      </c>
      <c r="AP125" s="452">
        <f>AP293+AP432+AP531+AP630</f>
        <v>0</v>
      </c>
      <c r="AQ125" s="207"/>
      <c r="AR125" s="207"/>
    </row>
    <row r="126" spans="39:44">
      <c r="AM126" s="449" t="s">
        <v>259</v>
      </c>
      <c r="AN126" s="463" t="s">
        <v>217</v>
      </c>
      <c r="AO126" s="473" t="s">
        <v>218</v>
      </c>
      <c r="AP126" s="305">
        <f>SUM(AQ126:AR126)</f>
        <v>0</v>
      </c>
      <c r="AQ126" s="207"/>
      <c r="AR126" s="207"/>
    </row>
    <row r="127" spans="39:44">
      <c r="AM127" s="461" t="str">
        <f>AM126 &amp; ".1"</f>
        <v>4.0.1.3.1</v>
      </c>
      <c r="AN127" s="453" t="s">
        <v>78</v>
      </c>
      <c r="AO127" s="473" t="s">
        <v>218</v>
      </c>
      <c r="AP127" s="305">
        <f>SUM(AQ127:AR127)</f>
        <v>0</v>
      </c>
      <c r="AQ127" s="207"/>
      <c r="AR127" s="207"/>
    </row>
    <row r="128" spans="39:44">
      <c r="AM128" s="461" t="str">
        <f>AM126 &amp; ".2"</f>
        <v>4.0.1.3.2</v>
      </c>
      <c r="AN128" s="454" t="s">
        <v>212</v>
      </c>
      <c r="AO128" s="473" t="s">
        <v>218</v>
      </c>
      <c r="AP128" s="305">
        <f>SUM(AQ128:AR128)</f>
        <v>0</v>
      </c>
      <c r="AQ128" s="207"/>
      <c r="AR128" s="207"/>
    </row>
    <row r="129" spans="39:44">
      <c r="AM129" s="461" t="str">
        <f>AM126 &amp; ".2.1"</f>
        <v>4.0.1.3.2.1</v>
      </c>
      <c r="AN129" s="455" t="s">
        <v>79</v>
      </c>
      <c r="AO129" s="473" t="s">
        <v>218</v>
      </c>
      <c r="AP129" s="305">
        <f>SUM(AQ129:AR129)</f>
        <v>0</v>
      </c>
      <c r="AQ129" s="207"/>
      <c r="AR129" s="207"/>
    </row>
    <row r="130" spans="39:44" hidden="1">
      <c r="AM130" s="451"/>
      <c r="AN130" s="455"/>
      <c r="AO130" s="473"/>
      <c r="AP130" s="456"/>
      <c r="AQ130" s="207"/>
      <c r="AR130" s="207"/>
    </row>
    <row r="131" spans="39:44" hidden="1">
      <c r="AM131" s="451"/>
      <c r="AN131" s="455"/>
      <c r="AO131" s="473"/>
      <c r="AP131" s="456"/>
      <c r="AQ131" s="207"/>
      <c r="AR131" s="207"/>
    </row>
    <row r="132" spans="39:44" hidden="1">
      <c r="AM132" s="451"/>
      <c r="AN132" s="455"/>
      <c r="AO132" s="473"/>
      <c r="AP132" s="456"/>
      <c r="AQ132" s="207"/>
      <c r="AR132" s="207"/>
    </row>
    <row r="133" spans="39:44" hidden="1">
      <c r="AM133" s="451"/>
      <c r="AN133" s="455"/>
      <c r="AO133" s="473"/>
      <c r="AP133" s="456"/>
      <c r="AQ133" s="207"/>
      <c r="AR133" s="207"/>
    </row>
    <row r="134" spans="39:44" hidden="1">
      <c r="AM134" s="451"/>
      <c r="AN134" s="455"/>
      <c r="AO134" s="473"/>
      <c r="AP134" s="456"/>
      <c r="AQ134" s="207"/>
      <c r="AR134" s="207"/>
    </row>
    <row r="135" spans="39:44" hidden="1">
      <c r="AM135" s="451"/>
      <c r="AN135" s="455"/>
      <c r="AO135" s="473"/>
      <c r="AP135" s="456"/>
      <c r="AQ135" s="207"/>
      <c r="AR135" s="207"/>
    </row>
    <row r="136" spans="39:44" hidden="1">
      <c r="AM136" s="451"/>
      <c r="AN136" s="455"/>
      <c r="AO136" s="473"/>
      <c r="AP136" s="456"/>
      <c r="AQ136" s="207"/>
      <c r="AR136" s="207"/>
    </row>
    <row r="137" spans="39:44">
      <c r="AM137" s="461" t="str">
        <f>AM126 &amp; ".2.2"</f>
        <v>4.0.1.3.2.2</v>
      </c>
      <c r="AN137" s="455" t="s">
        <v>81</v>
      </c>
      <c r="AO137" s="473" t="s">
        <v>218</v>
      </c>
      <c r="AP137" s="305">
        <f>SUM(AQ137:AR137)</f>
        <v>0</v>
      </c>
      <c r="AQ137" s="207"/>
      <c r="AR137" s="207"/>
    </row>
    <row r="138" spans="39:44" hidden="1">
      <c r="AM138" s="451"/>
      <c r="AN138" s="455"/>
      <c r="AO138" s="473"/>
      <c r="AP138" s="456"/>
      <c r="AQ138" s="207"/>
      <c r="AR138" s="207"/>
    </row>
    <row r="139" spans="39:44" hidden="1">
      <c r="AM139" s="451"/>
      <c r="AN139" s="455"/>
      <c r="AO139" s="473"/>
      <c r="AP139" s="456"/>
      <c r="AQ139" s="207"/>
      <c r="AR139" s="207"/>
    </row>
    <row r="140" spans="39:44" hidden="1">
      <c r="AM140" s="451"/>
      <c r="AN140" s="455"/>
      <c r="AO140" s="473"/>
      <c r="AP140" s="456"/>
      <c r="AQ140" s="207"/>
      <c r="AR140" s="207"/>
    </row>
    <row r="141" spans="39:44" hidden="1">
      <c r="AM141" s="451"/>
      <c r="AN141" s="455"/>
      <c r="AO141" s="473"/>
      <c r="AP141" s="456"/>
      <c r="AQ141" s="207"/>
      <c r="AR141" s="207"/>
    </row>
    <row r="142" spans="39:44" hidden="1">
      <c r="AM142" s="451"/>
      <c r="AN142" s="455"/>
      <c r="AO142" s="473"/>
      <c r="AP142" s="456"/>
      <c r="AQ142" s="207"/>
      <c r="AR142" s="207"/>
    </row>
    <row r="143" spans="39:44" hidden="1">
      <c r="AM143" s="451"/>
      <c r="AN143" s="455"/>
      <c r="AO143" s="473"/>
      <c r="AP143" s="456"/>
      <c r="AQ143" s="207"/>
      <c r="AR143" s="207"/>
    </row>
    <row r="144" spans="39:44" hidden="1">
      <c r="AM144" s="451"/>
      <c r="AN144" s="455"/>
      <c r="AO144" s="473"/>
      <c r="AP144" s="456"/>
      <c r="AQ144" s="207"/>
      <c r="AR144" s="207"/>
    </row>
    <row r="145" spans="39:44">
      <c r="AM145" s="461" t="str">
        <f>AM126 &amp; ".2.3"</f>
        <v>4.0.1.3.2.3</v>
      </c>
      <c r="AN145" s="455" t="s">
        <v>83</v>
      </c>
      <c r="AO145" s="473" t="s">
        <v>218</v>
      </c>
      <c r="AP145" s="305">
        <f t="shared" ref="AP145:AP155" si="3">SUM(AQ145:AR145)</f>
        <v>0</v>
      </c>
      <c r="AQ145" s="207"/>
      <c r="AR145" s="207"/>
    </row>
    <row r="146" spans="39:44">
      <c r="AM146" s="461" t="str">
        <f>AM126 &amp; ".3"</f>
        <v>4.0.1.3.3</v>
      </c>
      <c r="AN146" s="457" t="s">
        <v>85</v>
      </c>
      <c r="AO146" s="473" t="s">
        <v>218</v>
      </c>
      <c r="AP146" s="305">
        <f t="shared" si="3"/>
        <v>0</v>
      </c>
      <c r="AQ146" s="207"/>
      <c r="AR146" s="207"/>
    </row>
    <row r="147" spans="39:44">
      <c r="AM147" s="461" t="str">
        <f>AM126 &amp; ".4"</f>
        <v>4.0.1.3.4</v>
      </c>
      <c r="AN147" s="457" t="s">
        <v>87</v>
      </c>
      <c r="AO147" s="473" t="s">
        <v>218</v>
      </c>
      <c r="AP147" s="305">
        <f t="shared" si="3"/>
        <v>0</v>
      </c>
      <c r="AQ147" s="207"/>
      <c r="AR147" s="207"/>
    </row>
    <row r="148" spans="39:44">
      <c r="AM148" s="461" t="str">
        <f>AM126&amp;".5"</f>
        <v>4.0.1.3.5</v>
      </c>
      <c r="AN148" s="457" t="s">
        <v>89</v>
      </c>
      <c r="AO148" s="473" t="s">
        <v>218</v>
      </c>
      <c r="AP148" s="305">
        <f t="shared" si="3"/>
        <v>0</v>
      </c>
      <c r="AQ148" s="207"/>
      <c r="AR148" s="207"/>
    </row>
    <row r="149" spans="39:44">
      <c r="AM149" s="461" t="str">
        <f>AM126 &amp; ".6"</f>
        <v>4.0.1.3.6</v>
      </c>
      <c r="AN149" s="457" t="s">
        <v>91</v>
      </c>
      <c r="AO149" s="473" t="s">
        <v>218</v>
      </c>
      <c r="AP149" s="305">
        <f t="shared" si="3"/>
        <v>0</v>
      </c>
      <c r="AQ149" s="207"/>
      <c r="AR149" s="207"/>
    </row>
    <row r="150" spans="39:44">
      <c r="AM150" s="461" t="str">
        <f>AM126 &amp; ".7"</f>
        <v>4.0.1.3.7</v>
      </c>
      <c r="AN150" s="457" t="s">
        <v>93</v>
      </c>
      <c r="AO150" s="473" t="s">
        <v>218</v>
      </c>
      <c r="AP150" s="305">
        <f t="shared" si="3"/>
        <v>0</v>
      </c>
      <c r="AQ150" s="207"/>
      <c r="AR150" s="207"/>
    </row>
    <row r="151" spans="39:44">
      <c r="AM151" s="461" t="str">
        <f>AM126 &amp; ".8"</f>
        <v>4.0.1.3.8</v>
      </c>
      <c r="AN151" s="457" t="s">
        <v>95</v>
      </c>
      <c r="AO151" s="473" t="s">
        <v>218</v>
      </c>
      <c r="AP151" s="305">
        <f t="shared" si="3"/>
        <v>0</v>
      </c>
      <c r="AQ151" s="207"/>
      <c r="AR151" s="207"/>
    </row>
    <row r="152" spans="39:44">
      <c r="AM152" s="461" t="str">
        <f>AM126 &amp; ".9"</f>
        <v>4.0.1.3.9</v>
      </c>
      <c r="AN152" s="457" t="s">
        <v>2976</v>
      </c>
      <c r="AO152" s="473" t="s">
        <v>218</v>
      </c>
      <c r="AP152" s="305">
        <f t="shared" si="3"/>
        <v>0</v>
      </c>
      <c r="AQ152" s="207"/>
      <c r="AR152" s="207"/>
    </row>
    <row r="153" spans="39:44">
      <c r="AM153" s="461" t="str">
        <f>AM126 &amp; ".10"</f>
        <v>4.0.1.3.10</v>
      </c>
      <c r="AN153" s="457" t="s">
        <v>2978</v>
      </c>
      <c r="AO153" s="473" t="s">
        <v>218</v>
      </c>
      <c r="AP153" s="305">
        <f t="shared" si="3"/>
        <v>0</v>
      </c>
      <c r="AQ153" s="207"/>
      <c r="AR153" s="207"/>
    </row>
    <row r="154" spans="39:44">
      <c r="AM154" s="461" t="str">
        <f>AM126 &amp; ".11"</f>
        <v>4.0.1.3.11</v>
      </c>
      <c r="AN154" s="457" t="s">
        <v>2980</v>
      </c>
      <c r="AO154" s="473" t="s">
        <v>218</v>
      </c>
      <c r="AP154" s="305">
        <f t="shared" si="3"/>
        <v>0</v>
      </c>
      <c r="AQ154" s="207"/>
      <c r="AR154" s="207"/>
    </row>
    <row r="155" spans="39:44">
      <c r="AM155" s="461" t="str">
        <f>AM126 &amp; ".12"</f>
        <v>4.0.1.3.12</v>
      </c>
      <c r="AN155" s="457" t="s">
        <v>2982</v>
      </c>
      <c r="AO155" s="473" t="s">
        <v>218</v>
      </c>
      <c r="AP155" s="305">
        <f t="shared" si="3"/>
        <v>0</v>
      </c>
      <c r="AQ155" s="207"/>
      <c r="AR155" s="207"/>
    </row>
    <row r="156" spans="39:44" hidden="1">
      <c r="AM156" s="451"/>
      <c r="AN156" s="455"/>
      <c r="AO156" s="473"/>
      <c r="AP156" s="456"/>
      <c r="AQ156" s="207"/>
      <c r="AR156" s="207"/>
    </row>
    <row r="157" spans="39:44" hidden="1">
      <c r="AM157" s="451"/>
      <c r="AN157" s="455"/>
      <c r="AO157" s="473"/>
      <c r="AP157" s="456"/>
      <c r="AQ157" s="207"/>
      <c r="AR157" s="207"/>
    </row>
    <row r="158" spans="39:44">
      <c r="AM158" s="461" t="str">
        <f>AM126 &amp; ".15"</f>
        <v>4.0.1.3.15</v>
      </c>
      <c r="AN158" s="457" t="s">
        <v>291</v>
      </c>
      <c r="AO158" s="473" t="s">
        <v>218</v>
      </c>
      <c r="AP158" s="305">
        <f>SUM(AQ158:AR158)</f>
        <v>0</v>
      </c>
      <c r="AQ158" s="207"/>
      <c r="AR158" s="207"/>
    </row>
    <row r="159" spans="39:44">
      <c r="AM159" s="449" t="s">
        <v>260</v>
      </c>
      <c r="AN159" s="463" t="s">
        <v>219</v>
      </c>
      <c r="AO159" s="473" t="s">
        <v>220</v>
      </c>
      <c r="AP159" s="452">
        <f>SUM(AP160,AP161,AP179:AP188)</f>
        <v>0</v>
      </c>
      <c r="AQ159" s="207"/>
      <c r="AR159" s="207"/>
    </row>
    <row r="160" spans="39:44">
      <c r="AM160" s="461" t="str">
        <f>AM159 &amp; ".1"</f>
        <v>4.0.1.4.1</v>
      </c>
      <c r="AN160" s="453" t="s">
        <v>78</v>
      </c>
      <c r="AO160" s="473" t="s">
        <v>220</v>
      </c>
      <c r="AP160" s="464">
        <f>IF(AP$126=0,0,AP127/AP$126*100)</f>
        <v>0</v>
      </c>
      <c r="AQ160" s="207"/>
      <c r="AR160" s="207"/>
    </row>
    <row r="161" spans="39:44">
      <c r="AM161" s="461" t="str">
        <f>AM159 &amp; ".2"</f>
        <v>4.0.1.4.2</v>
      </c>
      <c r="AN161" s="454" t="s">
        <v>212</v>
      </c>
      <c r="AO161" s="473" t="s">
        <v>220</v>
      </c>
      <c r="AP161" s="452">
        <f>SUM(AP162:AP178)</f>
        <v>0</v>
      </c>
      <c r="AQ161" s="207"/>
      <c r="AR161" s="207"/>
    </row>
    <row r="162" spans="39:44">
      <c r="AM162" s="461" t="str">
        <f>AM159 &amp; ".2.1"</f>
        <v>4.0.1.4.2.1</v>
      </c>
      <c r="AN162" s="455" t="s">
        <v>79</v>
      </c>
      <c r="AO162" s="473" t="s">
        <v>220</v>
      </c>
      <c r="AP162" s="464">
        <f>IF(AP$126=0,0,AP129/AP$126*100)</f>
        <v>0</v>
      </c>
      <c r="AQ162" s="207"/>
      <c r="AR162" s="207"/>
    </row>
    <row r="163" spans="39:44" hidden="1">
      <c r="AM163" s="451"/>
      <c r="AN163" s="455"/>
      <c r="AO163" s="473"/>
      <c r="AP163" s="456"/>
      <c r="AQ163" s="207"/>
      <c r="AR163" s="207"/>
    </row>
    <row r="164" spans="39:44" hidden="1">
      <c r="AM164" s="451"/>
      <c r="AN164" s="455"/>
      <c r="AO164" s="473"/>
      <c r="AP164" s="456"/>
      <c r="AQ164" s="207"/>
      <c r="AR164" s="207"/>
    </row>
    <row r="165" spans="39:44" hidden="1">
      <c r="AM165" s="451"/>
      <c r="AN165" s="455"/>
      <c r="AO165" s="473"/>
      <c r="AP165" s="456"/>
      <c r="AQ165" s="207"/>
      <c r="AR165" s="207"/>
    </row>
    <row r="166" spans="39:44" hidden="1">
      <c r="AM166" s="451"/>
      <c r="AN166" s="455"/>
      <c r="AO166" s="473"/>
      <c r="AP166" s="456"/>
      <c r="AQ166" s="207"/>
      <c r="AR166" s="207"/>
    </row>
    <row r="167" spans="39:44" hidden="1">
      <c r="AM167" s="451"/>
      <c r="AN167" s="455"/>
      <c r="AO167" s="473"/>
      <c r="AP167" s="456"/>
      <c r="AQ167" s="207"/>
      <c r="AR167" s="207"/>
    </row>
    <row r="168" spans="39:44" hidden="1">
      <c r="AM168" s="451"/>
      <c r="AN168" s="455"/>
      <c r="AO168" s="473"/>
      <c r="AP168" s="456"/>
      <c r="AQ168" s="207"/>
      <c r="AR168" s="207"/>
    </row>
    <row r="169" spans="39:44" hidden="1">
      <c r="AM169" s="451"/>
      <c r="AN169" s="455"/>
      <c r="AO169" s="473"/>
      <c r="AP169" s="456"/>
      <c r="AQ169" s="207"/>
      <c r="AR169" s="207"/>
    </row>
    <row r="170" spans="39:44">
      <c r="AM170" s="461" t="str">
        <f>AM159 &amp; ".2.2"</f>
        <v>4.0.1.4.2.2</v>
      </c>
      <c r="AN170" s="455" t="s">
        <v>81</v>
      </c>
      <c r="AO170" s="473" t="s">
        <v>220</v>
      </c>
      <c r="AP170" s="464">
        <f>IF(AP$126=0,0,AP137/AP$126*100)</f>
        <v>0</v>
      </c>
      <c r="AQ170" s="207"/>
      <c r="AR170" s="207"/>
    </row>
    <row r="171" spans="39:44" hidden="1">
      <c r="AM171" s="451"/>
      <c r="AN171" s="455"/>
      <c r="AO171" s="473"/>
      <c r="AP171" s="456"/>
      <c r="AQ171" s="207"/>
      <c r="AR171" s="207"/>
    </row>
    <row r="172" spans="39:44" hidden="1">
      <c r="AM172" s="451"/>
      <c r="AN172" s="455"/>
      <c r="AO172" s="473"/>
      <c r="AP172" s="456"/>
      <c r="AQ172" s="207"/>
      <c r="AR172" s="207"/>
    </row>
    <row r="173" spans="39:44" hidden="1">
      <c r="AM173" s="451"/>
      <c r="AN173" s="455"/>
      <c r="AO173" s="473"/>
      <c r="AP173" s="456"/>
      <c r="AQ173" s="207"/>
      <c r="AR173" s="207"/>
    </row>
    <row r="174" spans="39:44" hidden="1">
      <c r="AM174" s="451"/>
      <c r="AN174" s="455"/>
      <c r="AO174" s="473"/>
      <c r="AP174" s="456"/>
      <c r="AQ174" s="207"/>
      <c r="AR174" s="207"/>
    </row>
    <row r="175" spans="39:44" hidden="1">
      <c r="AM175" s="451"/>
      <c r="AN175" s="455"/>
      <c r="AO175" s="473"/>
      <c r="AP175" s="456"/>
      <c r="AQ175" s="207"/>
      <c r="AR175" s="207"/>
    </row>
    <row r="176" spans="39:44" hidden="1">
      <c r="AM176" s="451"/>
      <c r="AN176" s="455"/>
      <c r="AO176" s="473"/>
      <c r="AP176" s="456"/>
      <c r="AQ176" s="207"/>
      <c r="AR176" s="207"/>
    </row>
    <row r="177" spans="39:44" hidden="1">
      <c r="AM177" s="451"/>
      <c r="AN177" s="455"/>
      <c r="AO177" s="473"/>
      <c r="AP177" s="456"/>
      <c r="AQ177" s="207"/>
      <c r="AR177" s="207"/>
    </row>
    <row r="178" spans="39:44">
      <c r="AM178" s="461" t="str">
        <f>AM159 &amp; ".2.3"</f>
        <v>4.0.1.4.2.3</v>
      </c>
      <c r="AN178" s="455" t="s">
        <v>83</v>
      </c>
      <c r="AO178" s="473" t="s">
        <v>220</v>
      </c>
      <c r="AP178" s="464">
        <f t="shared" ref="AP178:AP188" si="4">IF(AP$126=0,0,AP145/AP$126*100)</f>
        <v>0</v>
      </c>
      <c r="AQ178" s="207"/>
      <c r="AR178" s="207"/>
    </row>
    <row r="179" spans="39:44">
      <c r="AM179" s="461" t="str">
        <f>AM159 &amp; ".3"</f>
        <v>4.0.1.4.3</v>
      </c>
      <c r="AN179" s="457" t="s">
        <v>85</v>
      </c>
      <c r="AO179" s="473" t="s">
        <v>220</v>
      </c>
      <c r="AP179" s="460">
        <f t="shared" si="4"/>
        <v>0</v>
      </c>
      <c r="AQ179" s="207"/>
      <c r="AR179" s="207"/>
    </row>
    <row r="180" spans="39:44">
      <c r="AM180" s="461" t="str">
        <f>AM159 &amp; ".4"</f>
        <v>4.0.1.4.4</v>
      </c>
      <c r="AN180" s="457" t="s">
        <v>87</v>
      </c>
      <c r="AO180" s="473" t="s">
        <v>220</v>
      </c>
      <c r="AP180" s="460">
        <f t="shared" si="4"/>
        <v>0</v>
      </c>
      <c r="AQ180" s="207"/>
      <c r="AR180" s="207"/>
    </row>
    <row r="181" spans="39:44">
      <c r="AM181" s="461" t="str">
        <f>AM159&amp;".5"</f>
        <v>4.0.1.4.5</v>
      </c>
      <c r="AN181" s="457" t="s">
        <v>89</v>
      </c>
      <c r="AO181" s="473" t="s">
        <v>220</v>
      </c>
      <c r="AP181" s="460">
        <f t="shared" si="4"/>
        <v>0</v>
      </c>
      <c r="AQ181" s="207"/>
      <c r="AR181" s="207"/>
    </row>
    <row r="182" spans="39:44">
      <c r="AM182" s="461" t="str">
        <f>AM159 &amp; ".6"</f>
        <v>4.0.1.4.6</v>
      </c>
      <c r="AN182" s="457" t="s">
        <v>91</v>
      </c>
      <c r="AO182" s="473" t="s">
        <v>220</v>
      </c>
      <c r="AP182" s="460">
        <f t="shared" si="4"/>
        <v>0</v>
      </c>
      <c r="AQ182" s="207"/>
      <c r="AR182" s="207"/>
    </row>
    <row r="183" spans="39:44">
      <c r="AM183" s="461" t="str">
        <f>AM159 &amp; ".7"</f>
        <v>4.0.1.4.7</v>
      </c>
      <c r="AN183" s="457" t="s">
        <v>93</v>
      </c>
      <c r="AO183" s="473" t="s">
        <v>220</v>
      </c>
      <c r="AP183" s="460">
        <f t="shared" si="4"/>
        <v>0</v>
      </c>
      <c r="AQ183" s="207"/>
      <c r="AR183" s="207"/>
    </row>
    <row r="184" spans="39:44">
      <c r="AM184" s="461" t="str">
        <f>AM159 &amp; ".8"</f>
        <v>4.0.1.4.8</v>
      </c>
      <c r="AN184" s="457" t="s">
        <v>95</v>
      </c>
      <c r="AO184" s="473" t="s">
        <v>220</v>
      </c>
      <c r="AP184" s="460">
        <f t="shared" si="4"/>
        <v>0</v>
      </c>
      <c r="AQ184" s="207"/>
      <c r="AR184" s="207"/>
    </row>
    <row r="185" spans="39:44">
      <c r="AM185" s="461" t="str">
        <f>AM159 &amp; ".9"</f>
        <v>4.0.1.4.9</v>
      </c>
      <c r="AN185" s="457" t="s">
        <v>2976</v>
      </c>
      <c r="AO185" s="473" t="s">
        <v>220</v>
      </c>
      <c r="AP185" s="460">
        <f t="shared" si="4"/>
        <v>0</v>
      </c>
      <c r="AQ185" s="207"/>
      <c r="AR185" s="207"/>
    </row>
    <row r="186" spans="39:44">
      <c r="AM186" s="461" t="str">
        <f>AM159 &amp; ".10"</f>
        <v>4.0.1.4.10</v>
      </c>
      <c r="AN186" s="457" t="s">
        <v>2978</v>
      </c>
      <c r="AO186" s="473" t="s">
        <v>220</v>
      </c>
      <c r="AP186" s="460">
        <f t="shared" si="4"/>
        <v>0</v>
      </c>
      <c r="AQ186" s="207"/>
      <c r="AR186" s="207"/>
    </row>
    <row r="187" spans="39:44">
      <c r="AM187" s="461" t="str">
        <f>AM159 &amp; ".11"</f>
        <v>4.0.1.4.11</v>
      </c>
      <c r="AN187" s="457" t="s">
        <v>2980</v>
      </c>
      <c r="AO187" s="473" t="s">
        <v>220</v>
      </c>
      <c r="AP187" s="460">
        <f t="shared" si="4"/>
        <v>0</v>
      </c>
      <c r="AQ187" s="207"/>
      <c r="AR187" s="207"/>
    </row>
    <row r="188" spans="39:44">
      <c r="AM188" s="461" t="str">
        <f>AM159 &amp; ".12"</f>
        <v>4.0.1.4.12</v>
      </c>
      <c r="AN188" s="457" t="s">
        <v>2982</v>
      </c>
      <c r="AO188" s="473" t="s">
        <v>220</v>
      </c>
      <c r="AP188" s="460">
        <f t="shared" si="4"/>
        <v>0</v>
      </c>
      <c r="AQ188" s="207"/>
      <c r="AR188" s="207"/>
    </row>
    <row r="189" spans="39:44" hidden="1">
      <c r="AM189" s="451"/>
      <c r="AN189" s="455"/>
      <c r="AO189" s="473"/>
      <c r="AP189" s="456"/>
      <c r="AQ189" s="207"/>
      <c r="AR189" s="207"/>
    </row>
    <row r="190" spans="39:44" hidden="1">
      <c r="AM190" s="451"/>
      <c r="AN190" s="455"/>
      <c r="AO190" s="473"/>
      <c r="AP190" s="456"/>
      <c r="AQ190" s="207"/>
      <c r="AR190" s="207"/>
    </row>
    <row r="191" spans="39:44">
      <c r="AM191" s="461" t="str">
        <f>AM159 &amp; ".15"</f>
        <v>4.0.1.4.15</v>
      </c>
      <c r="AN191" s="457" t="s">
        <v>291</v>
      </c>
      <c r="AO191" s="473" t="s">
        <v>220</v>
      </c>
      <c r="AP191" s="460">
        <f>IF(AP$126=0,0,AP158/AP$126*100)</f>
        <v>0</v>
      </c>
      <c r="AQ191" s="207"/>
      <c r="AR191" s="207"/>
    </row>
    <row r="192" spans="39:44">
      <c r="AM192" s="449" t="s">
        <v>261</v>
      </c>
      <c r="AN192" s="463" t="s">
        <v>221</v>
      </c>
      <c r="AO192" s="473"/>
      <c r="AP192" s="456"/>
      <c r="AQ192" s="207"/>
      <c r="AR192" s="207"/>
    </row>
    <row r="193" spans="39:44">
      <c r="AM193" s="461" t="str">
        <f>AM192 &amp; ".1"</f>
        <v>4.0.1.5.1</v>
      </c>
      <c r="AN193" s="453" t="s">
        <v>78</v>
      </c>
      <c r="AO193" s="473"/>
      <c r="AP193" s="451"/>
      <c r="AQ193" s="207"/>
      <c r="AR193" s="207"/>
    </row>
    <row r="194" spans="39:44">
      <c r="AM194" s="461" t="str">
        <f>AM192 &amp; ".2"</f>
        <v>4.0.1.5.2</v>
      </c>
      <c r="AN194" s="454" t="s">
        <v>212</v>
      </c>
      <c r="AO194" s="473"/>
      <c r="AP194" s="451"/>
      <c r="AQ194" s="207"/>
      <c r="AR194" s="207"/>
    </row>
    <row r="195" spans="39:44">
      <c r="AM195" s="461" t="str">
        <f>AM192 &amp; ".2.1"</f>
        <v>4.0.1.5.2.1</v>
      </c>
      <c r="AN195" s="455" t="s">
        <v>79</v>
      </c>
      <c r="AO195" s="473"/>
      <c r="AP195" s="451"/>
      <c r="AQ195" s="207"/>
      <c r="AR195" s="207"/>
    </row>
    <row r="196" spans="39:44" hidden="1">
      <c r="AM196" s="451"/>
      <c r="AN196" s="455"/>
      <c r="AO196" s="473"/>
      <c r="AP196" s="456"/>
      <c r="AQ196" s="207"/>
      <c r="AR196" s="207"/>
    </row>
    <row r="197" spans="39:44" hidden="1">
      <c r="AM197" s="451"/>
      <c r="AN197" s="455"/>
      <c r="AO197" s="473"/>
      <c r="AP197" s="456"/>
      <c r="AQ197" s="207"/>
      <c r="AR197" s="207"/>
    </row>
    <row r="198" spans="39:44" hidden="1">
      <c r="AM198" s="451"/>
      <c r="AN198" s="455"/>
      <c r="AO198" s="473"/>
      <c r="AP198" s="456"/>
      <c r="AQ198" s="207"/>
      <c r="AR198" s="207"/>
    </row>
    <row r="199" spans="39:44" hidden="1">
      <c r="AM199" s="451"/>
      <c r="AN199" s="455"/>
      <c r="AO199" s="473"/>
      <c r="AP199" s="456"/>
      <c r="AQ199" s="207"/>
      <c r="AR199" s="207"/>
    </row>
    <row r="200" spans="39:44" hidden="1">
      <c r="AM200" s="451"/>
      <c r="AN200" s="455"/>
      <c r="AO200" s="473"/>
      <c r="AP200" s="456"/>
      <c r="AQ200" s="207"/>
      <c r="AR200" s="207"/>
    </row>
    <row r="201" spans="39:44" hidden="1">
      <c r="AM201" s="451"/>
      <c r="AN201" s="455"/>
      <c r="AO201" s="473"/>
      <c r="AP201" s="456"/>
      <c r="AQ201" s="207"/>
      <c r="AR201" s="207"/>
    </row>
    <row r="202" spans="39:44" hidden="1">
      <c r="AM202" s="451"/>
      <c r="AN202" s="455"/>
      <c r="AO202" s="473"/>
      <c r="AP202" s="456"/>
      <c r="AQ202" s="207"/>
      <c r="AR202" s="207"/>
    </row>
    <row r="203" spans="39:44">
      <c r="AM203" s="461" t="str">
        <f>AM192 &amp; ".2.2"</f>
        <v>4.0.1.5.2.2</v>
      </c>
      <c r="AN203" s="455" t="s">
        <v>81</v>
      </c>
      <c r="AO203" s="473"/>
      <c r="AP203" s="451"/>
      <c r="AQ203" s="207"/>
      <c r="AR203" s="207"/>
    </row>
    <row r="204" spans="39:44" hidden="1">
      <c r="AM204" s="451"/>
      <c r="AN204" s="455"/>
      <c r="AO204" s="473"/>
      <c r="AP204" s="456"/>
      <c r="AQ204" s="207"/>
      <c r="AR204" s="207"/>
    </row>
    <row r="205" spans="39:44" hidden="1">
      <c r="AM205" s="451"/>
      <c r="AN205" s="455"/>
      <c r="AO205" s="473"/>
      <c r="AP205" s="456"/>
      <c r="AQ205" s="207"/>
      <c r="AR205" s="207"/>
    </row>
    <row r="206" spans="39:44" hidden="1">
      <c r="AM206" s="451"/>
      <c r="AN206" s="455"/>
      <c r="AO206" s="473"/>
      <c r="AP206" s="456"/>
      <c r="AQ206" s="207"/>
      <c r="AR206" s="207"/>
    </row>
    <row r="207" spans="39:44" hidden="1">
      <c r="AM207" s="451"/>
      <c r="AN207" s="455"/>
      <c r="AO207" s="473"/>
      <c r="AP207" s="456"/>
      <c r="AQ207" s="207"/>
      <c r="AR207" s="207"/>
    </row>
    <row r="208" spans="39:44" hidden="1">
      <c r="AM208" s="451"/>
      <c r="AN208" s="455"/>
      <c r="AO208" s="473"/>
      <c r="AP208" s="456"/>
      <c r="AQ208" s="207"/>
      <c r="AR208" s="207"/>
    </row>
    <row r="209" spans="39:44" hidden="1">
      <c r="AM209" s="451"/>
      <c r="AN209" s="455"/>
      <c r="AO209" s="473"/>
      <c r="AP209" s="456"/>
      <c r="AQ209" s="207"/>
      <c r="AR209" s="207"/>
    </row>
    <row r="210" spans="39:44" hidden="1">
      <c r="AM210" s="451"/>
      <c r="AN210" s="455"/>
      <c r="AO210" s="473"/>
      <c r="AP210" s="456"/>
      <c r="AQ210" s="207"/>
      <c r="AR210" s="207"/>
    </row>
    <row r="211" spans="39:44">
      <c r="AM211" s="461" t="str">
        <f>AM192 &amp; ".2.3"</f>
        <v>4.0.1.5.2.3</v>
      </c>
      <c r="AN211" s="455" t="s">
        <v>83</v>
      </c>
      <c r="AO211" s="473"/>
      <c r="AP211" s="451"/>
      <c r="AQ211" s="207"/>
      <c r="AR211" s="207"/>
    </row>
    <row r="212" spans="39:44">
      <c r="AM212" s="461" t="str">
        <f>AM192 &amp; ".3"</f>
        <v>4.0.1.5.3</v>
      </c>
      <c r="AN212" s="457" t="s">
        <v>85</v>
      </c>
      <c r="AO212" s="473"/>
      <c r="AP212" s="451"/>
      <c r="AQ212" s="207"/>
      <c r="AR212" s="207"/>
    </row>
    <row r="213" spans="39:44">
      <c r="AM213" s="461" t="str">
        <f>AM192 &amp; ".4"</f>
        <v>4.0.1.5.4</v>
      </c>
      <c r="AN213" s="457" t="s">
        <v>87</v>
      </c>
      <c r="AO213" s="473"/>
      <c r="AP213" s="451"/>
      <c r="AQ213" s="207"/>
      <c r="AR213" s="207"/>
    </row>
    <row r="214" spans="39:44">
      <c r="AM214" s="461" t="str">
        <f>AM192&amp;".5"</f>
        <v>4.0.1.5.5</v>
      </c>
      <c r="AN214" s="457" t="s">
        <v>89</v>
      </c>
      <c r="AO214" s="473"/>
      <c r="AP214" s="451"/>
      <c r="AQ214" s="207"/>
      <c r="AR214" s="207"/>
    </row>
    <row r="215" spans="39:44">
      <c r="AM215" s="461" t="str">
        <f>AM192 &amp; ".6"</f>
        <v>4.0.1.5.6</v>
      </c>
      <c r="AN215" s="457" t="s">
        <v>91</v>
      </c>
      <c r="AO215" s="473"/>
      <c r="AP215" s="451"/>
      <c r="AQ215" s="207"/>
      <c r="AR215" s="207"/>
    </row>
    <row r="216" spans="39:44">
      <c r="AM216" s="461" t="str">
        <f>AM192 &amp; ".7"</f>
        <v>4.0.1.5.7</v>
      </c>
      <c r="AN216" s="457" t="s">
        <v>93</v>
      </c>
      <c r="AO216" s="473"/>
      <c r="AP216" s="451"/>
      <c r="AQ216" s="207"/>
      <c r="AR216" s="207"/>
    </row>
    <row r="217" spans="39:44">
      <c r="AM217" s="461" t="str">
        <f>AM192 &amp; ".8"</f>
        <v>4.0.1.5.8</v>
      </c>
      <c r="AN217" s="457" t="s">
        <v>95</v>
      </c>
      <c r="AO217" s="473"/>
      <c r="AP217" s="451"/>
      <c r="AQ217" s="207"/>
      <c r="AR217" s="207"/>
    </row>
    <row r="218" spans="39:44">
      <c r="AM218" s="461" t="str">
        <f>AM192 &amp; ".9"</f>
        <v>4.0.1.5.9</v>
      </c>
      <c r="AN218" s="457" t="s">
        <v>2976</v>
      </c>
      <c r="AO218" s="473"/>
      <c r="AP218" s="451"/>
      <c r="AQ218" s="207"/>
      <c r="AR218" s="207"/>
    </row>
    <row r="219" spans="39:44">
      <c r="AM219" s="461" t="str">
        <f>AM192 &amp; ".10"</f>
        <v>4.0.1.5.10</v>
      </c>
      <c r="AN219" s="457" t="s">
        <v>2978</v>
      </c>
      <c r="AO219" s="473"/>
      <c r="AP219" s="451"/>
      <c r="AQ219" s="207"/>
      <c r="AR219" s="207"/>
    </row>
    <row r="220" spans="39:44">
      <c r="AM220" s="461" t="str">
        <f>AM192 &amp; ".11"</f>
        <v>4.0.1.5.11</v>
      </c>
      <c r="AN220" s="457" t="s">
        <v>2980</v>
      </c>
      <c r="AO220" s="473"/>
      <c r="AP220" s="451"/>
      <c r="AQ220" s="207"/>
      <c r="AR220" s="207"/>
    </row>
    <row r="221" spans="39:44">
      <c r="AM221" s="461" t="str">
        <f>AM192 &amp; ".12"</f>
        <v>4.0.1.5.12</v>
      </c>
      <c r="AN221" s="457" t="s">
        <v>2982</v>
      </c>
      <c r="AO221" s="473"/>
      <c r="AP221" s="451"/>
      <c r="AQ221" s="207"/>
      <c r="AR221" s="207"/>
    </row>
    <row r="222" spans="39:44" hidden="1">
      <c r="AM222" s="451"/>
      <c r="AN222" s="455"/>
      <c r="AO222" s="473"/>
      <c r="AP222" s="456"/>
      <c r="AQ222" s="207"/>
      <c r="AR222" s="207"/>
    </row>
    <row r="223" spans="39:44" hidden="1">
      <c r="AM223" s="451"/>
      <c r="AN223" s="455"/>
      <c r="AO223" s="473"/>
      <c r="AP223" s="456"/>
      <c r="AQ223" s="207"/>
      <c r="AR223" s="207"/>
    </row>
    <row r="224" spans="39:44">
      <c r="AM224" s="461" t="str">
        <f>AM192 &amp; ".15"</f>
        <v>4.0.1.5.15</v>
      </c>
      <c r="AN224" s="457" t="s">
        <v>291</v>
      </c>
      <c r="AO224" s="473"/>
      <c r="AP224" s="451"/>
      <c r="AQ224" s="207"/>
      <c r="AR224" s="207"/>
    </row>
    <row r="225" spans="39:44">
      <c r="AM225" s="449" t="s">
        <v>262</v>
      </c>
      <c r="AN225" s="450" t="s">
        <v>222</v>
      </c>
      <c r="AO225" s="473"/>
      <c r="AP225" s="456"/>
      <c r="AQ225" s="207"/>
      <c r="AR225" s="207"/>
    </row>
    <row r="226" spans="39:44">
      <c r="AM226" s="461" t="str">
        <f>AM225 &amp; ".1"</f>
        <v>4.0.1.6.1</v>
      </c>
      <c r="AN226" s="453" t="s">
        <v>78</v>
      </c>
      <c r="AO226" s="473" t="s">
        <v>223</v>
      </c>
      <c r="AP226" s="305">
        <f t="shared" ref="AP226:AP254" si="5">SUM(AQ226:AR226)</f>
        <v>0</v>
      </c>
      <c r="AQ226" s="207"/>
      <c r="AR226" s="207"/>
    </row>
    <row r="227" spans="39:44" ht="12.75">
      <c r="AM227" s="461" t="str">
        <f>AM225 &amp; ".2"</f>
        <v>4.0.1.6.2</v>
      </c>
      <c r="AN227" s="454" t="s">
        <v>212</v>
      </c>
      <c r="AO227" s="473" t="s">
        <v>286</v>
      </c>
      <c r="AP227" s="305">
        <f t="shared" si="5"/>
        <v>0</v>
      </c>
      <c r="AQ227" s="207"/>
      <c r="AR227" s="207"/>
    </row>
    <row r="228" spans="39:44" ht="12.75">
      <c r="AM228" s="461" t="str">
        <f>AM225 &amp; ".2.1"</f>
        <v>4.0.1.6.2.1</v>
      </c>
      <c r="AN228" s="455" t="s">
        <v>79</v>
      </c>
      <c r="AO228" s="473" t="s">
        <v>286</v>
      </c>
      <c r="AP228" s="305">
        <f t="shared" si="5"/>
        <v>0</v>
      </c>
      <c r="AQ228" s="207"/>
      <c r="AR228" s="207"/>
    </row>
    <row r="229" spans="39:44" ht="12.75">
      <c r="AM229" s="461" t="str">
        <f>AM228 &amp; ".1"</f>
        <v>4.0.1.6.2.1.1</v>
      </c>
      <c r="AN229" s="242" t="s">
        <v>2510</v>
      </c>
      <c r="AO229" s="473" t="s">
        <v>286</v>
      </c>
      <c r="AP229" s="305">
        <f t="shared" si="5"/>
        <v>0</v>
      </c>
      <c r="AQ229" s="207"/>
      <c r="AR229" s="207"/>
    </row>
    <row r="230" spans="39:44" ht="12.75">
      <c r="AM230" s="461" t="str">
        <f>AM228 &amp; ".2"</f>
        <v>4.0.1.6.2.1.2</v>
      </c>
      <c r="AN230" s="242" t="s">
        <v>2785</v>
      </c>
      <c r="AO230" s="473" t="s">
        <v>286</v>
      </c>
      <c r="AP230" s="305">
        <f t="shared" si="5"/>
        <v>0</v>
      </c>
      <c r="AQ230" s="207"/>
      <c r="AR230" s="207"/>
    </row>
    <row r="231" spans="39:44" ht="12.75">
      <c r="AM231" s="461" t="str">
        <f>AM228 &amp; ".3"</f>
        <v>4.0.1.6.2.1.3</v>
      </c>
      <c r="AN231" s="242" t="s">
        <v>2786</v>
      </c>
      <c r="AO231" s="473" t="s">
        <v>286</v>
      </c>
      <c r="AP231" s="305">
        <f t="shared" si="5"/>
        <v>0</v>
      </c>
      <c r="AQ231" s="207"/>
      <c r="AR231" s="207"/>
    </row>
    <row r="232" spans="39:44" ht="12.75">
      <c r="AM232" s="461" t="str">
        <f>AM228 &amp; ".4"</f>
        <v>4.0.1.6.2.1.4</v>
      </c>
      <c r="AN232" s="242" t="s">
        <v>2787</v>
      </c>
      <c r="AO232" s="473" t="s">
        <v>286</v>
      </c>
      <c r="AP232" s="305">
        <f t="shared" si="5"/>
        <v>0</v>
      </c>
      <c r="AQ232" s="207"/>
      <c r="AR232" s="207"/>
    </row>
    <row r="233" spans="39:44" ht="12.75">
      <c r="AM233" s="461" t="str">
        <f>AM228 &amp; ".5"</f>
        <v>4.0.1.6.2.1.5</v>
      </c>
      <c r="AN233" s="242" t="s">
        <v>2788</v>
      </c>
      <c r="AO233" s="473" t="s">
        <v>286</v>
      </c>
      <c r="AP233" s="305">
        <f>SUM(AQ233:AR233)</f>
        <v>0</v>
      </c>
      <c r="AQ233" s="207"/>
      <c r="AR233" s="207"/>
    </row>
    <row r="234" spans="39:44" ht="12.75">
      <c r="AM234" s="461" t="str">
        <f>AM228 &amp; ".6"</f>
        <v>4.0.1.6.2.1.6</v>
      </c>
      <c r="AN234" s="242" t="s">
        <v>2789</v>
      </c>
      <c r="AO234" s="473" t="s">
        <v>286</v>
      </c>
      <c r="AP234" s="305">
        <f t="shared" si="5"/>
        <v>0</v>
      </c>
      <c r="AQ234" s="207"/>
      <c r="AR234" s="207"/>
    </row>
    <row r="235" spans="39:44" ht="12.75">
      <c r="AM235" s="461" t="str">
        <f>AM228 &amp; ".7"</f>
        <v>4.0.1.6.2.1.7</v>
      </c>
      <c r="AN235" s="635" t="s">
        <v>2177</v>
      </c>
      <c r="AO235" s="473" t="s">
        <v>286</v>
      </c>
      <c r="AP235" s="305">
        <f t="shared" si="5"/>
        <v>0</v>
      </c>
      <c r="AQ235" s="207"/>
      <c r="AR235" s="207"/>
    </row>
    <row r="236" spans="39:44" ht="12.75">
      <c r="AM236" s="461" t="str">
        <f>AM225 &amp; ".2.2"</f>
        <v>4.0.1.6.2.2</v>
      </c>
      <c r="AN236" s="455" t="s">
        <v>81</v>
      </c>
      <c r="AO236" s="473" t="s">
        <v>286</v>
      </c>
      <c r="AP236" s="305">
        <f t="shared" si="5"/>
        <v>0</v>
      </c>
      <c r="AQ236" s="207"/>
      <c r="AR236" s="207"/>
    </row>
    <row r="237" spans="39:44" ht="12.75">
      <c r="AM237" s="461" t="str">
        <f>AM236 &amp; ".1"</f>
        <v>4.0.1.6.2.2.1</v>
      </c>
      <c r="AN237" s="242" t="s">
        <v>2510</v>
      </c>
      <c r="AO237" s="473" t="s">
        <v>286</v>
      </c>
      <c r="AP237" s="305">
        <f t="shared" si="5"/>
        <v>0</v>
      </c>
      <c r="AQ237" s="207"/>
      <c r="AR237" s="207"/>
    </row>
    <row r="238" spans="39:44" ht="12.75">
      <c r="AM238" s="461" t="str">
        <f>AM236 &amp; ".2"</f>
        <v>4.0.1.6.2.2.2</v>
      </c>
      <c r="AN238" s="242" t="s">
        <v>2785</v>
      </c>
      <c r="AO238" s="473" t="s">
        <v>286</v>
      </c>
      <c r="AP238" s="305">
        <f t="shared" si="5"/>
        <v>0</v>
      </c>
      <c r="AQ238" s="207"/>
      <c r="AR238" s="207"/>
    </row>
    <row r="239" spans="39:44" ht="12.75">
      <c r="AM239" s="461" t="str">
        <f>AM236 &amp; ".3"</f>
        <v>4.0.1.6.2.2.3</v>
      </c>
      <c r="AN239" s="242" t="s">
        <v>2786</v>
      </c>
      <c r="AO239" s="473" t="s">
        <v>286</v>
      </c>
      <c r="AP239" s="305">
        <f t="shared" si="5"/>
        <v>0</v>
      </c>
      <c r="AQ239" s="207"/>
      <c r="AR239" s="207"/>
    </row>
    <row r="240" spans="39:44" ht="12.75">
      <c r="AM240" s="461" t="str">
        <f>AM236 &amp; ".4"</f>
        <v>4.0.1.6.2.2.4</v>
      </c>
      <c r="AN240" s="242" t="s">
        <v>2787</v>
      </c>
      <c r="AO240" s="473" t="s">
        <v>286</v>
      </c>
      <c r="AP240" s="305">
        <f t="shared" si="5"/>
        <v>0</v>
      </c>
      <c r="AQ240" s="207"/>
      <c r="AR240" s="207"/>
    </row>
    <row r="241" spans="39:44" ht="12.75">
      <c r="AM241" s="461" t="str">
        <f>AM236 &amp; ".5"</f>
        <v>4.0.1.6.2.2.5</v>
      </c>
      <c r="AN241" s="242" t="s">
        <v>2788</v>
      </c>
      <c r="AO241" s="473" t="s">
        <v>286</v>
      </c>
      <c r="AP241" s="305">
        <f t="shared" si="5"/>
        <v>0</v>
      </c>
      <c r="AQ241" s="207"/>
      <c r="AR241" s="207"/>
    </row>
    <row r="242" spans="39:44" ht="12.75">
      <c r="AM242" s="461" t="str">
        <f>AM236 &amp; ".6"</f>
        <v>4.0.1.6.2.2.6</v>
      </c>
      <c r="AN242" s="242" t="s">
        <v>2789</v>
      </c>
      <c r="AO242" s="473" t="s">
        <v>286</v>
      </c>
      <c r="AP242" s="305">
        <f t="shared" si="5"/>
        <v>0</v>
      </c>
      <c r="AQ242" s="207"/>
      <c r="AR242" s="207"/>
    </row>
    <row r="243" spans="39:44" ht="12.75">
      <c r="AM243" s="461" t="str">
        <f>AM236 &amp; ".7"</f>
        <v>4.0.1.6.2.2.7</v>
      </c>
      <c r="AN243" s="635" t="s">
        <v>2177</v>
      </c>
      <c r="AO243" s="473" t="s">
        <v>286</v>
      </c>
      <c r="AP243" s="305">
        <f t="shared" si="5"/>
        <v>0</v>
      </c>
      <c r="AQ243" s="207"/>
      <c r="AR243" s="207"/>
    </row>
    <row r="244" spans="39:44" ht="12.75">
      <c r="AM244" s="461" t="str">
        <f>AM225 &amp; ".2.3"</f>
        <v>4.0.1.6.2.3</v>
      </c>
      <c r="AN244" s="455" t="s">
        <v>83</v>
      </c>
      <c r="AO244" s="473" t="s">
        <v>286</v>
      </c>
      <c r="AP244" s="305">
        <f t="shared" si="5"/>
        <v>0</v>
      </c>
      <c r="AQ244" s="207"/>
      <c r="AR244" s="207"/>
    </row>
    <row r="245" spans="39:44">
      <c r="AM245" s="461" t="str">
        <f>AM225 &amp; ".3"</f>
        <v>4.0.1.6.3</v>
      </c>
      <c r="AN245" s="457" t="s">
        <v>85</v>
      </c>
      <c r="AO245" s="473" t="s">
        <v>223</v>
      </c>
      <c r="AP245" s="305">
        <f t="shared" si="5"/>
        <v>0</v>
      </c>
      <c r="AQ245" s="207"/>
      <c r="AR245" s="207"/>
    </row>
    <row r="246" spans="39:44">
      <c r="AM246" s="461" t="str">
        <f>AM225 &amp; ".4"</f>
        <v>4.0.1.6.4</v>
      </c>
      <c r="AN246" s="457" t="s">
        <v>87</v>
      </c>
      <c r="AO246" s="473" t="s">
        <v>223</v>
      </c>
      <c r="AP246" s="305">
        <f t="shared" si="5"/>
        <v>0</v>
      </c>
      <c r="AQ246" s="207"/>
      <c r="AR246" s="207"/>
    </row>
    <row r="247" spans="39:44">
      <c r="AM247" s="461" t="str">
        <f>AM225&amp;".5"</f>
        <v>4.0.1.6.5</v>
      </c>
      <c r="AN247" s="457" t="s">
        <v>89</v>
      </c>
      <c r="AO247" s="473" t="s">
        <v>223</v>
      </c>
      <c r="AP247" s="305">
        <f t="shared" si="5"/>
        <v>0</v>
      </c>
      <c r="AQ247" s="207"/>
      <c r="AR247" s="207"/>
    </row>
    <row r="248" spans="39:44">
      <c r="AM248" s="461" t="str">
        <f>AM225 &amp; ".6"</f>
        <v>4.0.1.6.6</v>
      </c>
      <c r="AN248" s="457" t="s">
        <v>91</v>
      </c>
      <c r="AO248" s="473" t="s">
        <v>223</v>
      </c>
      <c r="AP248" s="305">
        <f t="shared" si="5"/>
        <v>0</v>
      </c>
      <c r="AQ248" s="207"/>
      <c r="AR248" s="207"/>
    </row>
    <row r="249" spans="39:44">
      <c r="AM249" s="461" t="str">
        <f>AM225 &amp; ".7"</f>
        <v>4.0.1.6.7</v>
      </c>
      <c r="AN249" s="457" t="s">
        <v>93</v>
      </c>
      <c r="AO249" s="473" t="s">
        <v>223</v>
      </c>
      <c r="AP249" s="305">
        <f t="shared" si="5"/>
        <v>0</v>
      </c>
      <c r="AQ249" s="207"/>
      <c r="AR249" s="207"/>
    </row>
    <row r="250" spans="39:44">
      <c r="AM250" s="461" t="str">
        <f>AM225 &amp; ".8"</f>
        <v>4.0.1.6.8</v>
      </c>
      <c r="AN250" s="457" t="s">
        <v>95</v>
      </c>
      <c r="AO250" s="473" t="s">
        <v>223</v>
      </c>
      <c r="AP250" s="305">
        <f t="shared" si="5"/>
        <v>0</v>
      </c>
      <c r="AQ250" s="207"/>
      <c r="AR250" s="207"/>
    </row>
    <row r="251" spans="39:44">
      <c r="AM251" s="461" t="str">
        <f>AM225 &amp; ".9"</f>
        <v>4.0.1.6.9</v>
      </c>
      <c r="AN251" s="457" t="s">
        <v>2976</v>
      </c>
      <c r="AO251" s="473" t="s">
        <v>223</v>
      </c>
      <c r="AP251" s="305">
        <f t="shared" si="5"/>
        <v>0</v>
      </c>
      <c r="AQ251" s="207"/>
      <c r="AR251" s="207"/>
    </row>
    <row r="252" spans="39:44">
      <c r="AM252" s="461" t="str">
        <f>AM225 &amp; ".10"</f>
        <v>4.0.1.6.10</v>
      </c>
      <c r="AN252" s="457" t="s">
        <v>2978</v>
      </c>
      <c r="AO252" s="473" t="s">
        <v>223</v>
      </c>
      <c r="AP252" s="305">
        <f t="shared" si="5"/>
        <v>0</v>
      </c>
      <c r="AQ252" s="207"/>
      <c r="AR252" s="207"/>
    </row>
    <row r="253" spans="39:44">
      <c r="AM253" s="461" t="str">
        <f>AM225 &amp; ".11"</f>
        <v>4.0.1.6.11</v>
      </c>
      <c r="AN253" s="457" t="s">
        <v>2980</v>
      </c>
      <c r="AO253" s="473" t="s">
        <v>223</v>
      </c>
      <c r="AP253" s="305">
        <f t="shared" si="5"/>
        <v>0</v>
      </c>
      <c r="AQ253" s="207"/>
      <c r="AR253" s="207"/>
    </row>
    <row r="254" spans="39:44">
      <c r="AM254" s="461" t="str">
        <f>AM225 &amp; ".12"</f>
        <v>4.0.1.6.12</v>
      </c>
      <c r="AN254" s="457" t="s">
        <v>2982</v>
      </c>
      <c r="AO254" s="473" t="s">
        <v>223</v>
      </c>
      <c r="AP254" s="305">
        <f t="shared" si="5"/>
        <v>0</v>
      </c>
      <c r="AQ254" s="207"/>
      <c r="AR254" s="207"/>
    </row>
    <row r="255" spans="39:44" hidden="1">
      <c r="AM255" s="451"/>
      <c r="AN255" s="455"/>
      <c r="AO255" s="473"/>
      <c r="AP255" s="456"/>
      <c r="AQ255" s="207"/>
      <c r="AR255" s="207"/>
    </row>
    <row r="256" spans="39:44" hidden="1">
      <c r="AM256" s="451"/>
      <c r="AN256" s="455"/>
      <c r="AO256" s="473"/>
      <c r="AP256" s="456"/>
      <c r="AQ256" s="207"/>
      <c r="AR256" s="207"/>
    </row>
    <row r="257" spans="39:44">
      <c r="AM257" s="461" t="str">
        <f>AM225 &amp; ".15"</f>
        <v>4.0.1.6.15</v>
      </c>
      <c r="AN257" s="457" t="s">
        <v>291</v>
      </c>
      <c r="AO257" s="473" t="s">
        <v>223</v>
      </c>
      <c r="AP257" s="305">
        <f>SUM(AQ257:AR257)</f>
        <v>0</v>
      </c>
      <c r="AQ257" s="207"/>
      <c r="AR257" s="207"/>
    </row>
    <row r="258" spans="39:44" hidden="1">
      <c r="AM258" s="451"/>
      <c r="AN258" s="455"/>
      <c r="AO258" s="473"/>
      <c r="AP258" s="456"/>
      <c r="AQ258" s="207"/>
      <c r="AR258" s="207"/>
    </row>
    <row r="259" spans="39:44">
      <c r="AM259" s="468"/>
      <c r="AN259" s="467" t="s">
        <v>224</v>
      </c>
      <c r="AO259" s="474"/>
      <c r="AP259" s="456"/>
      <c r="AQ259" s="207"/>
      <c r="AR259" s="207"/>
    </row>
    <row r="260" spans="39:44" hidden="1">
      <c r="AM260" s="461"/>
      <c r="AN260" s="457"/>
      <c r="AO260" s="473"/>
      <c r="AP260" s="456"/>
      <c r="AQ260" s="207"/>
      <c r="AR260" s="207"/>
    </row>
    <row r="261" spans="39:44">
      <c r="AM261" s="449" t="s">
        <v>263</v>
      </c>
      <c r="AN261" s="450" t="s">
        <v>225</v>
      </c>
      <c r="AO261" s="473"/>
      <c r="AP261" s="456"/>
      <c r="AQ261" s="207"/>
      <c r="AR261" s="207"/>
    </row>
    <row r="262" spans="39:44">
      <c r="AM262" s="461" t="str">
        <f>AM261 &amp; ".1"</f>
        <v>4.0.2.1.1</v>
      </c>
      <c r="AN262" s="466" t="s">
        <v>78</v>
      </c>
      <c r="AO262" s="473" t="s">
        <v>216</v>
      </c>
      <c r="AP262" s="305">
        <f>IF(AP226=0,0,AP295/AP226*1000)</f>
        <v>0</v>
      </c>
      <c r="AQ262" s="207"/>
      <c r="AR262" s="207"/>
    </row>
    <row r="263" spans="39:44" ht="12.75">
      <c r="AM263" s="461" t="str">
        <f>AM261 &amp; ".2"</f>
        <v>4.0.2.1.2</v>
      </c>
      <c r="AN263" s="454" t="s">
        <v>212</v>
      </c>
      <c r="AO263" s="473" t="s">
        <v>285</v>
      </c>
      <c r="AP263" s="305">
        <f>IF(AP227=0,0,AP296/AP227*1000)</f>
        <v>0</v>
      </c>
      <c r="AQ263" s="207"/>
      <c r="AR263" s="207"/>
    </row>
    <row r="264" spans="39:44" ht="12.75">
      <c r="AM264" s="461" t="str">
        <f>AM261 &amp; ".2.1"</f>
        <v>4.0.2.1.2.1</v>
      </c>
      <c r="AN264" s="455" t="s">
        <v>79</v>
      </c>
      <c r="AO264" s="473" t="s">
        <v>285</v>
      </c>
      <c r="AP264" s="305">
        <f>IF(AP228=0,0,AP297/AP228*1000)</f>
        <v>0</v>
      </c>
      <c r="AQ264" s="207"/>
      <c r="AR264" s="207"/>
    </row>
    <row r="265" spans="39:44" hidden="1">
      <c r="AM265" s="451"/>
      <c r="AN265" s="455"/>
      <c r="AO265" s="473"/>
      <c r="AP265" s="456"/>
      <c r="AQ265" s="207"/>
      <c r="AR265" s="207"/>
    </row>
    <row r="266" spans="39:44" hidden="1">
      <c r="AM266" s="451"/>
      <c r="AN266" s="455"/>
      <c r="AO266" s="473"/>
      <c r="AP266" s="456"/>
      <c r="AQ266" s="207"/>
      <c r="AR266" s="207"/>
    </row>
    <row r="267" spans="39:44" hidden="1">
      <c r="AM267" s="451"/>
      <c r="AN267" s="455"/>
      <c r="AO267" s="473"/>
      <c r="AP267" s="456"/>
      <c r="AQ267" s="207"/>
      <c r="AR267" s="207"/>
    </row>
    <row r="268" spans="39:44" hidden="1">
      <c r="AM268" s="451"/>
      <c r="AN268" s="455"/>
      <c r="AO268" s="473"/>
      <c r="AP268" s="456"/>
      <c r="AQ268" s="207"/>
      <c r="AR268" s="207"/>
    </row>
    <row r="269" spans="39:44" hidden="1">
      <c r="AM269" s="451"/>
      <c r="AN269" s="455"/>
      <c r="AO269" s="473"/>
      <c r="AP269" s="456"/>
      <c r="AQ269" s="207"/>
      <c r="AR269" s="207"/>
    </row>
    <row r="270" spans="39:44" hidden="1">
      <c r="AM270" s="451"/>
      <c r="AN270" s="455"/>
      <c r="AO270" s="473"/>
      <c r="AP270" s="456"/>
      <c r="AQ270" s="207"/>
      <c r="AR270" s="207"/>
    </row>
    <row r="271" spans="39:44" hidden="1">
      <c r="AM271" s="451"/>
      <c r="AN271" s="455"/>
      <c r="AO271" s="473"/>
      <c r="AP271" s="456"/>
      <c r="AQ271" s="207"/>
      <c r="AR271" s="207"/>
    </row>
    <row r="272" spans="39:44" ht="12.75">
      <c r="AM272" s="461" t="str">
        <f>AM261 &amp; ".2.2"</f>
        <v>4.0.2.1.2.2</v>
      </c>
      <c r="AN272" s="455" t="s">
        <v>81</v>
      </c>
      <c r="AO272" s="473" t="s">
        <v>285</v>
      </c>
      <c r="AP272" s="305">
        <f>IF(AP236=0,0,AP305/AP236*1000)</f>
        <v>0</v>
      </c>
      <c r="AQ272" s="207"/>
      <c r="AR272" s="207"/>
    </row>
    <row r="273" spans="39:44" hidden="1">
      <c r="AM273" s="451"/>
      <c r="AN273" s="455"/>
      <c r="AO273" s="473"/>
      <c r="AP273" s="456"/>
      <c r="AQ273" s="207"/>
      <c r="AR273" s="207"/>
    </row>
    <row r="274" spans="39:44" hidden="1">
      <c r="AM274" s="451"/>
      <c r="AN274" s="455"/>
      <c r="AO274" s="473"/>
      <c r="AP274" s="456"/>
      <c r="AQ274" s="207"/>
      <c r="AR274" s="207"/>
    </row>
    <row r="275" spans="39:44" hidden="1">
      <c r="AM275" s="451"/>
      <c r="AN275" s="455"/>
      <c r="AO275" s="473"/>
      <c r="AP275" s="456"/>
      <c r="AQ275" s="207"/>
      <c r="AR275" s="207"/>
    </row>
    <row r="276" spans="39:44" hidden="1">
      <c r="AM276" s="451"/>
      <c r="AN276" s="455"/>
      <c r="AO276" s="473"/>
      <c r="AP276" s="456"/>
      <c r="AQ276" s="207"/>
      <c r="AR276" s="207"/>
    </row>
    <row r="277" spans="39:44" hidden="1">
      <c r="AM277" s="451"/>
      <c r="AN277" s="455"/>
      <c r="AO277" s="473"/>
      <c r="AP277" s="456"/>
      <c r="AQ277" s="207"/>
      <c r="AR277" s="207"/>
    </row>
    <row r="278" spans="39:44" hidden="1">
      <c r="AM278" s="451"/>
      <c r="AN278" s="455"/>
      <c r="AO278" s="473"/>
      <c r="AP278" s="456"/>
      <c r="AQ278" s="207"/>
      <c r="AR278" s="207"/>
    </row>
    <row r="279" spans="39:44" hidden="1">
      <c r="AM279" s="451"/>
      <c r="AN279" s="455"/>
      <c r="AO279" s="473"/>
      <c r="AP279" s="456"/>
      <c r="AQ279" s="207"/>
      <c r="AR279" s="207"/>
    </row>
    <row r="280" spans="39:44" ht="12.75">
      <c r="AM280" s="461" t="str">
        <f>AM261 &amp; ".2.3"</f>
        <v>4.0.2.1.2.3</v>
      </c>
      <c r="AN280" s="455" t="s">
        <v>83</v>
      </c>
      <c r="AO280" s="473" t="s">
        <v>285</v>
      </c>
      <c r="AP280" s="305">
        <f t="shared" ref="AP280:AP290" si="6">IF(AP244=0,0,AP313/AP244*1000)</f>
        <v>0</v>
      </c>
      <c r="AQ280" s="207"/>
      <c r="AR280" s="207"/>
    </row>
    <row r="281" spans="39:44">
      <c r="AM281" s="461" t="str">
        <f>AM261 &amp; ".3"</f>
        <v>4.0.2.1.3</v>
      </c>
      <c r="AN281" s="457" t="s">
        <v>85</v>
      </c>
      <c r="AO281" s="473" t="s">
        <v>216</v>
      </c>
      <c r="AP281" s="305">
        <f t="shared" si="6"/>
        <v>0</v>
      </c>
      <c r="AQ281" s="207"/>
      <c r="AR281" s="207"/>
    </row>
    <row r="282" spans="39:44">
      <c r="AM282" s="461" t="str">
        <f>AM261 &amp; ".4"</f>
        <v>4.0.2.1.4</v>
      </c>
      <c r="AN282" s="457" t="s">
        <v>87</v>
      </c>
      <c r="AO282" s="473" t="s">
        <v>216</v>
      </c>
      <c r="AP282" s="305">
        <f t="shared" si="6"/>
        <v>0</v>
      </c>
      <c r="AQ282" s="207"/>
      <c r="AR282" s="207"/>
    </row>
    <row r="283" spans="39:44">
      <c r="AM283" s="461" t="str">
        <f>AM261&amp;".5"</f>
        <v>4.0.2.1.5</v>
      </c>
      <c r="AN283" s="457" t="s">
        <v>89</v>
      </c>
      <c r="AO283" s="473" t="s">
        <v>216</v>
      </c>
      <c r="AP283" s="305">
        <f t="shared" si="6"/>
        <v>0</v>
      </c>
      <c r="AQ283" s="207"/>
      <c r="AR283" s="207"/>
    </row>
    <row r="284" spans="39:44">
      <c r="AM284" s="461" t="str">
        <f>AM261 &amp; ".6"</f>
        <v>4.0.2.1.6</v>
      </c>
      <c r="AN284" s="457" t="s">
        <v>91</v>
      </c>
      <c r="AO284" s="473" t="s">
        <v>216</v>
      </c>
      <c r="AP284" s="305">
        <f t="shared" si="6"/>
        <v>0</v>
      </c>
      <c r="AQ284" s="207"/>
      <c r="AR284" s="207"/>
    </row>
    <row r="285" spans="39:44">
      <c r="AM285" s="461" t="str">
        <f>AM261 &amp; ".7"</f>
        <v>4.0.2.1.7</v>
      </c>
      <c r="AN285" s="457" t="s">
        <v>93</v>
      </c>
      <c r="AO285" s="473" t="s">
        <v>216</v>
      </c>
      <c r="AP285" s="305">
        <f t="shared" si="6"/>
        <v>0</v>
      </c>
      <c r="AQ285" s="207"/>
      <c r="AR285" s="207"/>
    </row>
    <row r="286" spans="39:44">
      <c r="AM286" s="461" t="str">
        <f>AM261 &amp; ".8"</f>
        <v>4.0.2.1.8</v>
      </c>
      <c r="AN286" s="457" t="s">
        <v>95</v>
      </c>
      <c r="AO286" s="473" t="s">
        <v>216</v>
      </c>
      <c r="AP286" s="305">
        <f t="shared" si="6"/>
        <v>0</v>
      </c>
      <c r="AQ286" s="207"/>
      <c r="AR286" s="207"/>
    </row>
    <row r="287" spans="39:44">
      <c r="AM287" s="461" t="str">
        <f>AM261 &amp; ".9"</f>
        <v>4.0.2.1.9</v>
      </c>
      <c r="AN287" s="457" t="s">
        <v>2976</v>
      </c>
      <c r="AO287" s="473" t="s">
        <v>216</v>
      </c>
      <c r="AP287" s="305">
        <f t="shared" si="6"/>
        <v>0</v>
      </c>
      <c r="AQ287" s="207"/>
      <c r="AR287" s="207"/>
    </row>
    <row r="288" spans="39:44">
      <c r="AM288" s="461" t="str">
        <f>AM261 &amp; ".10"</f>
        <v>4.0.2.1.10</v>
      </c>
      <c r="AN288" s="457" t="s">
        <v>2978</v>
      </c>
      <c r="AO288" s="473" t="s">
        <v>216</v>
      </c>
      <c r="AP288" s="305">
        <f t="shared" si="6"/>
        <v>0</v>
      </c>
      <c r="AQ288" s="207"/>
      <c r="AR288" s="207"/>
    </row>
    <row r="289" spans="39:44">
      <c r="AM289" s="461" t="str">
        <f>AM261 &amp; ".11"</f>
        <v>4.0.2.1.11</v>
      </c>
      <c r="AN289" s="457" t="s">
        <v>2980</v>
      </c>
      <c r="AO289" s="473" t="s">
        <v>216</v>
      </c>
      <c r="AP289" s="305">
        <f t="shared" si="6"/>
        <v>0</v>
      </c>
      <c r="AQ289" s="207"/>
      <c r="AR289" s="207"/>
    </row>
    <row r="290" spans="39:44">
      <c r="AM290" s="461" t="str">
        <f>AM261 &amp; ".12"</f>
        <v>4.0.2.1.12</v>
      </c>
      <c r="AN290" s="457" t="s">
        <v>2982</v>
      </c>
      <c r="AO290" s="473" t="s">
        <v>216</v>
      </c>
      <c r="AP290" s="305">
        <f t="shared" si="6"/>
        <v>0</v>
      </c>
      <c r="AQ290" s="207"/>
      <c r="AR290" s="207"/>
    </row>
    <row r="291" spans="39:44" hidden="1">
      <c r="AM291" s="451"/>
      <c r="AN291" s="455"/>
      <c r="AO291" s="473"/>
      <c r="AP291" s="456"/>
      <c r="AQ291" s="207"/>
      <c r="AR291" s="207"/>
    </row>
    <row r="292" spans="39:44" hidden="1">
      <c r="AM292" s="451"/>
      <c r="AN292" s="455"/>
      <c r="AO292" s="473"/>
      <c r="AP292" s="456"/>
      <c r="AQ292" s="207"/>
      <c r="AR292" s="207"/>
    </row>
    <row r="293" spans="39:44">
      <c r="AM293" s="461" t="str">
        <f>AM261 &amp; ".15"</f>
        <v>4.0.2.1.15</v>
      </c>
      <c r="AN293" s="457" t="s">
        <v>291</v>
      </c>
      <c r="AO293" s="473" t="s">
        <v>216</v>
      </c>
      <c r="AP293" s="305">
        <f>IF(AP257=0,0,AP326/AP257*1000)</f>
        <v>0</v>
      </c>
      <c r="AQ293" s="207"/>
      <c r="AR293" s="207"/>
    </row>
    <row r="294" spans="39:44" ht="22.5">
      <c r="AM294" s="449" t="s">
        <v>264</v>
      </c>
      <c r="AN294" s="450" t="s">
        <v>226</v>
      </c>
      <c r="AO294" s="473" t="s">
        <v>786</v>
      </c>
      <c r="AP294" s="305">
        <f>SUM(AQ294:AR294)</f>
        <v>0</v>
      </c>
      <c r="AQ294" s="207"/>
      <c r="AR294" s="207"/>
    </row>
    <row r="295" spans="39:44">
      <c r="AM295" s="461" t="str">
        <f>AM294 &amp; ".1"</f>
        <v>4.0.2.2.1</v>
      </c>
      <c r="AN295" s="453" t="s">
        <v>78</v>
      </c>
      <c r="AO295" s="473" t="s">
        <v>786</v>
      </c>
      <c r="AP295" s="305">
        <f>SUM(AQ295:AR295)</f>
        <v>0</v>
      </c>
      <c r="AQ295" s="207"/>
      <c r="AR295" s="207"/>
    </row>
    <row r="296" spans="39:44">
      <c r="AM296" s="461" t="str">
        <f>AM294 &amp; ".2"</f>
        <v>4.0.2.2.2</v>
      </c>
      <c r="AN296" s="454" t="s">
        <v>212</v>
      </c>
      <c r="AO296" s="473" t="s">
        <v>786</v>
      </c>
      <c r="AP296" s="305">
        <f>SUM(AQ296:AR296)</f>
        <v>0</v>
      </c>
      <c r="AQ296" s="207"/>
      <c r="AR296" s="207"/>
    </row>
    <row r="297" spans="39:44">
      <c r="AM297" s="461" t="str">
        <f>AM294 &amp; ".2.1"</f>
        <v>4.0.2.2.2.1</v>
      </c>
      <c r="AN297" s="455" t="s">
        <v>79</v>
      </c>
      <c r="AO297" s="473" t="s">
        <v>786</v>
      </c>
      <c r="AP297" s="305">
        <f>SUM(AQ297:AR297)</f>
        <v>0</v>
      </c>
      <c r="AQ297" s="207"/>
      <c r="AR297" s="207"/>
    </row>
    <row r="298" spans="39:44" hidden="1">
      <c r="AM298" s="451"/>
      <c r="AN298" s="455"/>
      <c r="AO298" s="473"/>
      <c r="AP298" s="456"/>
      <c r="AQ298" s="207"/>
      <c r="AR298" s="207"/>
    </row>
    <row r="299" spans="39:44" hidden="1">
      <c r="AM299" s="451"/>
      <c r="AN299" s="455"/>
      <c r="AO299" s="473"/>
      <c r="AP299" s="456"/>
      <c r="AQ299" s="207"/>
      <c r="AR299" s="207"/>
    </row>
    <row r="300" spans="39:44" hidden="1">
      <c r="AM300" s="451"/>
      <c r="AN300" s="455"/>
      <c r="AO300" s="473"/>
      <c r="AP300" s="456"/>
      <c r="AQ300" s="207"/>
      <c r="AR300" s="207"/>
    </row>
    <row r="301" spans="39:44" hidden="1">
      <c r="AM301" s="451"/>
      <c r="AN301" s="455"/>
      <c r="AO301" s="473"/>
      <c r="AP301" s="456"/>
      <c r="AQ301" s="207"/>
      <c r="AR301" s="207"/>
    </row>
    <row r="302" spans="39:44" hidden="1">
      <c r="AM302" s="451"/>
      <c r="AN302" s="455"/>
      <c r="AO302" s="473"/>
      <c r="AP302" s="456"/>
      <c r="AQ302" s="207"/>
      <c r="AR302" s="207"/>
    </row>
    <row r="303" spans="39:44" hidden="1">
      <c r="AM303" s="451"/>
      <c r="AN303" s="455"/>
      <c r="AO303" s="473"/>
      <c r="AP303" s="456"/>
      <c r="AQ303" s="207"/>
      <c r="AR303" s="207"/>
    </row>
    <row r="304" spans="39:44" hidden="1">
      <c r="AM304" s="451"/>
      <c r="AN304" s="455"/>
      <c r="AO304" s="473"/>
      <c r="AP304" s="456"/>
      <c r="AQ304" s="207"/>
      <c r="AR304" s="207"/>
    </row>
    <row r="305" spans="39:44">
      <c r="AM305" s="461" t="str">
        <f>AM294 &amp; ".2.2"</f>
        <v>4.0.2.2.2.2</v>
      </c>
      <c r="AN305" s="455" t="s">
        <v>81</v>
      </c>
      <c r="AO305" s="473" t="s">
        <v>786</v>
      </c>
      <c r="AP305" s="305">
        <f>SUM(AQ305:AR305)</f>
        <v>0</v>
      </c>
      <c r="AQ305" s="207"/>
      <c r="AR305" s="207"/>
    </row>
    <row r="306" spans="39:44" hidden="1">
      <c r="AM306" s="451"/>
      <c r="AN306" s="455"/>
      <c r="AO306" s="473"/>
      <c r="AP306" s="456"/>
      <c r="AQ306" s="207"/>
      <c r="AR306" s="207"/>
    </row>
    <row r="307" spans="39:44" hidden="1">
      <c r="AM307" s="451"/>
      <c r="AN307" s="455"/>
      <c r="AO307" s="473"/>
      <c r="AP307" s="456"/>
      <c r="AQ307" s="207"/>
      <c r="AR307" s="207"/>
    </row>
    <row r="308" spans="39:44" hidden="1">
      <c r="AM308" s="451"/>
      <c r="AN308" s="455"/>
      <c r="AO308" s="473"/>
      <c r="AP308" s="456"/>
      <c r="AQ308" s="207"/>
      <c r="AR308" s="207"/>
    </row>
    <row r="309" spans="39:44" hidden="1">
      <c r="AM309" s="451"/>
      <c r="AN309" s="455"/>
      <c r="AO309" s="473"/>
      <c r="AP309" s="456"/>
      <c r="AQ309" s="207"/>
      <c r="AR309" s="207"/>
    </row>
    <row r="310" spans="39:44" hidden="1">
      <c r="AM310" s="451"/>
      <c r="AN310" s="455"/>
      <c r="AO310" s="473"/>
      <c r="AP310" s="456"/>
      <c r="AQ310" s="207"/>
      <c r="AR310" s="207"/>
    </row>
    <row r="311" spans="39:44" hidden="1">
      <c r="AM311" s="451"/>
      <c r="AN311" s="455"/>
      <c r="AO311" s="473"/>
      <c r="AP311" s="456"/>
      <c r="AQ311" s="207"/>
      <c r="AR311" s="207"/>
    </row>
    <row r="312" spans="39:44" hidden="1">
      <c r="AM312" s="451"/>
      <c r="AN312" s="455"/>
      <c r="AO312" s="473"/>
      <c r="AP312" s="456"/>
      <c r="AQ312" s="207"/>
      <c r="AR312" s="207"/>
    </row>
    <row r="313" spans="39:44">
      <c r="AM313" s="461" t="str">
        <f>AM294 &amp; ".2.3"</f>
        <v>4.0.2.2.2.3</v>
      </c>
      <c r="AN313" s="455" t="s">
        <v>83</v>
      </c>
      <c r="AO313" s="473" t="s">
        <v>786</v>
      </c>
      <c r="AP313" s="305">
        <f t="shared" ref="AP313:AP323" si="7">SUM(AQ313:AR313)</f>
        <v>0</v>
      </c>
      <c r="AQ313" s="207"/>
      <c r="AR313" s="207"/>
    </row>
    <row r="314" spans="39:44">
      <c r="AM314" s="461" t="str">
        <f>AM294 &amp; ".3"</f>
        <v>4.0.2.2.3</v>
      </c>
      <c r="AN314" s="457" t="s">
        <v>85</v>
      </c>
      <c r="AO314" s="473" t="s">
        <v>786</v>
      </c>
      <c r="AP314" s="305">
        <f t="shared" si="7"/>
        <v>0</v>
      </c>
      <c r="AQ314" s="207"/>
      <c r="AR314" s="207"/>
    </row>
    <row r="315" spans="39:44">
      <c r="AM315" s="461" t="str">
        <f>AM294 &amp; ".4"</f>
        <v>4.0.2.2.4</v>
      </c>
      <c r="AN315" s="457" t="s">
        <v>87</v>
      </c>
      <c r="AO315" s="473" t="s">
        <v>786</v>
      </c>
      <c r="AP315" s="305">
        <f t="shared" si="7"/>
        <v>0</v>
      </c>
      <c r="AQ315" s="207"/>
      <c r="AR315" s="207"/>
    </row>
    <row r="316" spans="39:44">
      <c r="AM316" s="461" t="str">
        <f>AM294&amp;".5"</f>
        <v>4.0.2.2.5</v>
      </c>
      <c r="AN316" s="457" t="s">
        <v>89</v>
      </c>
      <c r="AO316" s="473" t="s">
        <v>786</v>
      </c>
      <c r="AP316" s="305">
        <f t="shared" si="7"/>
        <v>0</v>
      </c>
      <c r="AQ316" s="207"/>
      <c r="AR316" s="207"/>
    </row>
    <row r="317" spans="39:44">
      <c r="AM317" s="461" t="str">
        <f>AM294 &amp; ".6"</f>
        <v>4.0.2.2.6</v>
      </c>
      <c r="AN317" s="457" t="s">
        <v>91</v>
      </c>
      <c r="AO317" s="473" t="s">
        <v>786</v>
      </c>
      <c r="AP317" s="305">
        <f t="shared" si="7"/>
        <v>0</v>
      </c>
      <c r="AQ317" s="207"/>
      <c r="AR317" s="207"/>
    </row>
    <row r="318" spans="39:44">
      <c r="AM318" s="461" t="str">
        <f>AM294 &amp; ".7"</f>
        <v>4.0.2.2.7</v>
      </c>
      <c r="AN318" s="457" t="s">
        <v>93</v>
      </c>
      <c r="AO318" s="473" t="s">
        <v>786</v>
      </c>
      <c r="AP318" s="305">
        <f t="shared" si="7"/>
        <v>0</v>
      </c>
      <c r="AQ318" s="207"/>
      <c r="AR318" s="207"/>
    </row>
    <row r="319" spans="39:44">
      <c r="AM319" s="461" t="str">
        <f>AM294 &amp; ".8"</f>
        <v>4.0.2.2.8</v>
      </c>
      <c r="AN319" s="457" t="s">
        <v>95</v>
      </c>
      <c r="AO319" s="473" t="s">
        <v>786</v>
      </c>
      <c r="AP319" s="305">
        <f t="shared" si="7"/>
        <v>0</v>
      </c>
      <c r="AQ319" s="207"/>
      <c r="AR319" s="207"/>
    </row>
    <row r="320" spans="39:44">
      <c r="AM320" s="461" t="str">
        <f>AM294 &amp; ".9"</f>
        <v>4.0.2.2.9</v>
      </c>
      <c r="AN320" s="457" t="s">
        <v>2976</v>
      </c>
      <c r="AO320" s="473" t="s">
        <v>786</v>
      </c>
      <c r="AP320" s="305">
        <f t="shared" si="7"/>
        <v>0</v>
      </c>
      <c r="AQ320" s="207"/>
      <c r="AR320" s="207"/>
    </row>
    <row r="321" spans="39:44">
      <c r="AM321" s="461" t="str">
        <f>AM294 &amp; ".10"</f>
        <v>4.0.2.2.10</v>
      </c>
      <c r="AN321" s="457" t="s">
        <v>2978</v>
      </c>
      <c r="AO321" s="473" t="s">
        <v>786</v>
      </c>
      <c r="AP321" s="305">
        <f t="shared" si="7"/>
        <v>0</v>
      </c>
      <c r="AQ321" s="207"/>
      <c r="AR321" s="207"/>
    </row>
    <row r="322" spans="39:44">
      <c r="AM322" s="461" t="str">
        <f>AM294 &amp; ".11"</f>
        <v>4.0.2.2.11</v>
      </c>
      <c r="AN322" s="457" t="s">
        <v>2980</v>
      </c>
      <c r="AO322" s="473" t="s">
        <v>786</v>
      </c>
      <c r="AP322" s="305">
        <f t="shared" si="7"/>
        <v>0</v>
      </c>
      <c r="AQ322" s="207"/>
      <c r="AR322" s="207"/>
    </row>
    <row r="323" spans="39:44">
      <c r="AM323" s="461" t="str">
        <f>AM294 &amp; ".12"</f>
        <v>4.0.2.2.12</v>
      </c>
      <c r="AN323" s="457" t="s">
        <v>2982</v>
      </c>
      <c r="AO323" s="473" t="s">
        <v>786</v>
      </c>
      <c r="AP323" s="305">
        <f t="shared" si="7"/>
        <v>0</v>
      </c>
      <c r="AQ323" s="207"/>
      <c r="AR323" s="207"/>
    </row>
    <row r="324" spans="39:44" hidden="1">
      <c r="AM324" s="451"/>
      <c r="AN324" s="455"/>
      <c r="AO324" s="473"/>
      <c r="AP324" s="456"/>
      <c r="AQ324" s="207"/>
      <c r="AR324" s="207"/>
    </row>
    <row r="325" spans="39:44" hidden="1">
      <c r="AM325" s="451"/>
      <c r="AN325" s="455"/>
      <c r="AO325" s="473"/>
      <c r="AP325" s="456"/>
      <c r="AQ325" s="207"/>
      <c r="AR325" s="207"/>
    </row>
    <row r="326" spans="39:44">
      <c r="AM326" s="461" t="str">
        <f>AM294 &amp; ".15"</f>
        <v>4.0.2.2.15</v>
      </c>
      <c r="AN326" s="457" t="s">
        <v>291</v>
      </c>
      <c r="AO326" s="473" t="s">
        <v>786</v>
      </c>
      <c r="AP326" s="305">
        <f>SUM(AQ326:AR326)</f>
        <v>0</v>
      </c>
      <c r="AQ326" s="207"/>
      <c r="AR326" s="207"/>
    </row>
    <row r="327" spans="39:44" hidden="1">
      <c r="AM327" s="451"/>
      <c r="AN327" s="455"/>
      <c r="AO327" s="473"/>
      <c r="AP327" s="456"/>
      <c r="AQ327" s="207"/>
      <c r="AR327" s="207"/>
    </row>
    <row r="328" spans="39:44">
      <c r="AM328" s="468"/>
      <c r="AN328" s="467" t="s">
        <v>227</v>
      </c>
      <c r="AO328" s="474"/>
      <c r="AP328" s="456"/>
      <c r="AQ328" s="207"/>
      <c r="AR328" s="207"/>
    </row>
    <row r="329" spans="39:44" hidden="1">
      <c r="AM329" s="461"/>
      <c r="AN329" s="457"/>
      <c r="AO329" s="473"/>
      <c r="AP329" s="456"/>
      <c r="AQ329" s="207"/>
      <c r="AR329" s="207"/>
    </row>
    <row r="330" spans="39:44" ht="22.5">
      <c r="AM330" s="449" t="s">
        <v>265</v>
      </c>
      <c r="AN330" s="450" t="s">
        <v>228</v>
      </c>
      <c r="AO330" s="473"/>
      <c r="AP330" s="456"/>
      <c r="AQ330" s="207"/>
      <c r="AR330" s="207"/>
    </row>
    <row r="331" spans="39:44" ht="12.75">
      <c r="AM331" s="461" t="str">
        <f>AM330 &amp; ".1"</f>
        <v>4.0.3.1.1.1.1</v>
      </c>
      <c r="AN331" s="448" t="s">
        <v>2504</v>
      </c>
      <c r="AO331" s="473" t="s">
        <v>285</v>
      </c>
      <c r="AP331" s="305">
        <f t="shared" ref="AP331:AP337" si="8">IF(AP229=0,0,AP347/AP229*1000)</f>
        <v>0</v>
      </c>
      <c r="AQ331" s="207"/>
      <c r="AR331" s="207"/>
    </row>
    <row r="332" spans="39:44" ht="12.75">
      <c r="AM332" s="461" t="str">
        <f>AM330 &amp; ".2"</f>
        <v>4.0.3.1.1.1.2</v>
      </c>
      <c r="AN332" s="448" t="s">
        <v>2505</v>
      </c>
      <c r="AO332" s="473" t="s">
        <v>285</v>
      </c>
      <c r="AP332" s="305">
        <f t="shared" si="8"/>
        <v>0</v>
      </c>
      <c r="AQ332" s="207"/>
      <c r="AR332" s="207"/>
    </row>
    <row r="333" spans="39:44" ht="12.75">
      <c r="AM333" s="461" t="str">
        <f>AM330 &amp; ".3"</f>
        <v>4.0.3.1.1.1.3</v>
      </c>
      <c r="AN333" s="448" t="s">
        <v>2506</v>
      </c>
      <c r="AO333" s="473" t="s">
        <v>285</v>
      </c>
      <c r="AP333" s="305">
        <f t="shared" si="8"/>
        <v>0</v>
      </c>
      <c r="AQ333" s="207"/>
      <c r="AR333" s="207"/>
    </row>
    <row r="334" spans="39:44" ht="12.75">
      <c r="AM334" s="461" t="str">
        <f>AM330 &amp; ".4"</f>
        <v>4.0.3.1.1.1.4</v>
      </c>
      <c r="AN334" s="448" t="s">
        <v>2507</v>
      </c>
      <c r="AO334" s="473" t="s">
        <v>285</v>
      </c>
      <c r="AP334" s="305">
        <f t="shared" si="8"/>
        <v>0</v>
      </c>
      <c r="AQ334" s="207"/>
      <c r="AR334" s="207"/>
    </row>
    <row r="335" spans="39:44" ht="12.75">
      <c r="AM335" s="461" t="str">
        <f>AM330 &amp; ".5"</f>
        <v>4.0.3.1.1.1.5</v>
      </c>
      <c r="AN335" s="448" t="s">
        <v>2508</v>
      </c>
      <c r="AO335" s="473" t="s">
        <v>285</v>
      </c>
      <c r="AP335" s="305">
        <f t="shared" si="8"/>
        <v>0</v>
      </c>
      <c r="AQ335" s="207"/>
      <c r="AR335" s="207"/>
    </row>
    <row r="336" spans="39:44" ht="12.75">
      <c r="AM336" s="461" t="str">
        <f>AM330 &amp; ".6"</f>
        <v>4.0.3.1.1.1.6</v>
      </c>
      <c r="AN336" s="448" t="s">
        <v>2509</v>
      </c>
      <c r="AO336" s="473" t="s">
        <v>285</v>
      </c>
      <c r="AP336" s="305">
        <f t="shared" si="8"/>
        <v>0</v>
      </c>
      <c r="AQ336" s="207"/>
      <c r="AR336" s="207"/>
    </row>
    <row r="337" spans="39:44" ht="12.75">
      <c r="AM337" s="461" t="str">
        <f>AM330 &amp; ".7"</f>
        <v>4.0.3.1.1.1.7</v>
      </c>
      <c r="AN337" s="448" t="s">
        <v>2178</v>
      </c>
      <c r="AO337" s="473" t="s">
        <v>285</v>
      </c>
      <c r="AP337" s="305">
        <f t="shared" si="8"/>
        <v>0</v>
      </c>
      <c r="AQ337" s="207"/>
      <c r="AR337" s="207"/>
    </row>
    <row r="338" spans="39:44" ht="22.5">
      <c r="AM338" s="449" t="s">
        <v>266</v>
      </c>
      <c r="AN338" s="450" t="s">
        <v>229</v>
      </c>
      <c r="AO338" s="473"/>
      <c r="AP338" s="456"/>
      <c r="AQ338" s="207"/>
      <c r="AR338" s="207"/>
    </row>
    <row r="339" spans="39:44" ht="12.75">
      <c r="AM339" s="461" t="str">
        <f>AM338 &amp; ".1"</f>
        <v>4.0.3.1.1.2.1</v>
      </c>
      <c r="AN339" s="448" t="s">
        <v>2504</v>
      </c>
      <c r="AO339" s="473" t="s">
        <v>285</v>
      </c>
      <c r="AP339" s="305">
        <f>IF(AP229=0,0,AP355/AP229*1000)</f>
        <v>0</v>
      </c>
      <c r="AQ339" s="207"/>
      <c r="AR339" s="207"/>
    </row>
    <row r="340" spans="39:44" ht="12.75">
      <c r="AM340" s="461" t="str">
        <f>AM338 &amp; ".2"</f>
        <v>4.0.3.1.1.2.2</v>
      </c>
      <c r="AN340" s="448" t="s">
        <v>2505</v>
      </c>
      <c r="AO340" s="473" t="s">
        <v>285</v>
      </c>
      <c r="AP340" s="305">
        <f t="shared" ref="AP340:AP345" si="9">IF(AP230=0,0,AP356/AP230*1000)</f>
        <v>0</v>
      </c>
      <c r="AQ340" s="207"/>
      <c r="AR340" s="207"/>
    </row>
    <row r="341" spans="39:44" ht="12.75">
      <c r="AM341" s="461" t="str">
        <f>AM338 &amp; ".3"</f>
        <v>4.0.3.1.1.2.3</v>
      </c>
      <c r="AN341" s="448" t="s">
        <v>2506</v>
      </c>
      <c r="AO341" s="473" t="s">
        <v>285</v>
      </c>
      <c r="AP341" s="305">
        <f t="shared" si="9"/>
        <v>0</v>
      </c>
      <c r="AQ341" s="207"/>
      <c r="AR341" s="207"/>
    </row>
    <row r="342" spans="39:44" ht="12.75">
      <c r="AM342" s="461" t="str">
        <f>AM338 &amp; ".4"</f>
        <v>4.0.3.1.1.2.4</v>
      </c>
      <c r="AN342" s="448" t="s">
        <v>2507</v>
      </c>
      <c r="AO342" s="473" t="s">
        <v>285</v>
      </c>
      <c r="AP342" s="305">
        <f t="shared" si="9"/>
        <v>0</v>
      </c>
      <c r="AQ342" s="207"/>
      <c r="AR342" s="207"/>
    </row>
    <row r="343" spans="39:44" ht="12.75">
      <c r="AM343" s="461" t="str">
        <f>AM338 &amp; ".5"</f>
        <v>4.0.3.1.1.2.5</v>
      </c>
      <c r="AN343" s="448" t="s">
        <v>2508</v>
      </c>
      <c r="AO343" s="473" t="s">
        <v>285</v>
      </c>
      <c r="AP343" s="305">
        <f t="shared" si="9"/>
        <v>0</v>
      </c>
      <c r="AQ343" s="207"/>
      <c r="AR343" s="207"/>
    </row>
    <row r="344" spans="39:44" ht="12.75">
      <c r="AM344" s="461" t="str">
        <f>AM338 &amp; ".6"</f>
        <v>4.0.3.1.1.2.6</v>
      </c>
      <c r="AN344" s="448" t="s">
        <v>2509</v>
      </c>
      <c r="AO344" s="473" t="s">
        <v>285</v>
      </c>
      <c r="AP344" s="305">
        <f t="shared" si="9"/>
        <v>0</v>
      </c>
      <c r="AQ344" s="207"/>
      <c r="AR344" s="207"/>
    </row>
    <row r="345" spans="39:44" ht="12.75">
      <c r="AM345" s="461" t="str">
        <f>AM338 &amp; ".7"</f>
        <v>4.0.3.1.1.2.7</v>
      </c>
      <c r="AN345" s="448" t="s">
        <v>2178</v>
      </c>
      <c r="AO345" s="473" t="s">
        <v>285</v>
      </c>
      <c r="AP345" s="305">
        <f t="shared" si="9"/>
        <v>0</v>
      </c>
      <c r="AQ345" s="207"/>
      <c r="AR345" s="207"/>
    </row>
    <row r="346" spans="39:44" ht="22.5">
      <c r="AM346" s="449" t="s">
        <v>267</v>
      </c>
      <c r="AN346" s="450" t="s">
        <v>230</v>
      </c>
      <c r="AO346" s="473" t="s">
        <v>786</v>
      </c>
      <c r="AP346" s="305">
        <f>SUM(AQ346:AR346)</f>
        <v>0</v>
      </c>
      <c r="AQ346" s="207"/>
      <c r="AR346" s="207"/>
    </row>
    <row r="347" spans="39:44" ht="12.75">
      <c r="AM347" s="461" t="str">
        <f>AM346 &amp; ".1"</f>
        <v>4.0.3.1.1.3.1</v>
      </c>
      <c r="AN347" s="448" t="s">
        <v>2504</v>
      </c>
      <c r="AO347" s="473" t="s">
        <v>786</v>
      </c>
      <c r="AP347" s="305">
        <f t="shared" ref="AP347:AP364" si="10">SUM(AQ347:AR347)</f>
        <v>0</v>
      </c>
      <c r="AQ347" s="207"/>
      <c r="AR347" s="207"/>
    </row>
    <row r="348" spans="39:44" ht="12.75">
      <c r="AM348" s="461" t="str">
        <f>AM346 &amp; ".2"</f>
        <v>4.0.3.1.1.3.2</v>
      </c>
      <c r="AN348" s="448" t="s">
        <v>2505</v>
      </c>
      <c r="AO348" s="473" t="s">
        <v>786</v>
      </c>
      <c r="AP348" s="305">
        <f t="shared" si="10"/>
        <v>0</v>
      </c>
      <c r="AQ348" s="207"/>
      <c r="AR348" s="207"/>
    </row>
    <row r="349" spans="39:44" ht="12.75">
      <c r="AM349" s="461" t="str">
        <f>AM346 &amp; ".3"</f>
        <v>4.0.3.1.1.3.3</v>
      </c>
      <c r="AN349" s="448" t="s">
        <v>2506</v>
      </c>
      <c r="AO349" s="473" t="s">
        <v>786</v>
      </c>
      <c r="AP349" s="305">
        <f t="shared" si="10"/>
        <v>0</v>
      </c>
      <c r="AQ349" s="207"/>
      <c r="AR349" s="207"/>
    </row>
    <row r="350" spans="39:44" ht="12.75">
      <c r="AM350" s="461" t="str">
        <f>AM346 &amp; ".4"</f>
        <v>4.0.3.1.1.3.4</v>
      </c>
      <c r="AN350" s="448" t="s">
        <v>2507</v>
      </c>
      <c r="AO350" s="473" t="s">
        <v>786</v>
      </c>
      <c r="AP350" s="305">
        <f t="shared" si="10"/>
        <v>0</v>
      </c>
      <c r="AQ350" s="207"/>
      <c r="AR350" s="207"/>
    </row>
    <row r="351" spans="39:44" ht="12.75">
      <c r="AM351" s="461" t="str">
        <f>AM346 &amp; ".5"</f>
        <v>4.0.3.1.1.3.5</v>
      </c>
      <c r="AN351" s="448" t="s">
        <v>2508</v>
      </c>
      <c r="AO351" s="473" t="s">
        <v>786</v>
      </c>
      <c r="AP351" s="305">
        <f t="shared" si="10"/>
        <v>0</v>
      </c>
      <c r="AQ351" s="207"/>
      <c r="AR351" s="207"/>
    </row>
    <row r="352" spans="39:44" ht="12.75">
      <c r="AM352" s="461" t="str">
        <f>AM346 &amp; ".6"</f>
        <v>4.0.3.1.1.3.6</v>
      </c>
      <c r="AN352" s="448" t="s">
        <v>2509</v>
      </c>
      <c r="AO352" s="473" t="s">
        <v>786</v>
      </c>
      <c r="AP352" s="305">
        <f t="shared" si="10"/>
        <v>0</v>
      </c>
      <c r="AQ352" s="207"/>
      <c r="AR352" s="207"/>
    </row>
    <row r="353" spans="39:44" ht="12.75">
      <c r="AM353" s="461" t="str">
        <f>AM346 &amp; ".7"</f>
        <v>4.0.3.1.1.3.7</v>
      </c>
      <c r="AN353" s="448" t="s">
        <v>2178</v>
      </c>
      <c r="AO353" s="473" t="s">
        <v>786</v>
      </c>
      <c r="AP353" s="305">
        <f t="shared" si="10"/>
        <v>0</v>
      </c>
      <c r="AQ353" s="207"/>
      <c r="AR353" s="207"/>
    </row>
    <row r="354" spans="39:44" ht="22.5">
      <c r="AM354" s="449" t="s">
        <v>268</v>
      </c>
      <c r="AN354" s="450" t="s">
        <v>231</v>
      </c>
      <c r="AO354" s="473" t="s">
        <v>786</v>
      </c>
      <c r="AP354" s="305">
        <f t="shared" si="10"/>
        <v>0</v>
      </c>
      <c r="AQ354" s="207"/>
      <c r="AR354" s="207"/>
    </row>
    <row r="355" spans="39:44" ht="12.75">
      <c r="AM355" s="461" t="str">
        <f>AM354 &amp; ".1"</f>
        <v>4.0.3.1.1.4.1</v>
      </c>
      <c r="AN355" s="448" t="s">
        <v>2504</v>
      </c>
      <c r="AO355" s="473" t="s">
        <v>786</v>
      </c>
      <c r="AP355" s="305">
        <f t="shared" si="10"/>
        <v>0</v>
      </c>
      <c r="AQ355" s="207"/>
      <c r="AR355" s="207"/>
    </row>
    <row r="356" spans="39:44" ht="12.75">
      <c r="AM356" s="461" t="str">
        <f>AM354 &amp; ".2"</f>
        <v>4.0.3.1.1.4.2</v>
      </c>
      <c r="AN356" s="448" t="s">
        <v>2505</v>
      </c>
      <c r="AO356" s="473" t="s">
        <v>786</v>
      </c>
      <c r="AP356" s="305">
        <f t="shared" si="10"/>
        <v>0</v>
      </c>
      <c r="AQ356" s="207"/>
      <c r="AR356" s="207"/>
    </row>
    <row r="357" spans="39:44" ht="12.75">
      <c r="AM357" s="461" t="str">
        <f>AM354 &amp; ".3"</f>
        <v>4.0.3.1.1.4.3</v>
      </c>
      <c r="AN357" s="448" t="s">
        <v>2506</v>
      </c>
      <c r="AO357" s="473" t="s">
        <v>786</v>
      </c>
      <c r="AP357" s="305">
        <f t="shared" si="10"/>
        <v>0</v>
      </c>
      <c r="AQ357" s="207"/>
      <c r="AR357" s="207"/>
    </row>
    <row r="358" spans="39:44" ht="12.75">
      <c r="AM358" s="461" t="str">
        <f>AM354 &amp; ".4"</f>
        <v>4.0.3.1.1.4.4</v>
      </c>
      <c r="AN358" s="448" t="s">
        <v>2507</v>
      </c>
      <c r="AO358" s="473" t="s">
        <v>786</v>
      </c>
      <c r="AP358" s="305">
        <f t="shared" si="10"/>
        <v>0</v>
      </c>
      <c r="AQ358" s="207"/>
      <c r="AR358" s="207"/>
    </row>
    <row r="359" spans="39:44" ht="12.75">
      <c r="AM359" s="461" t="str">
        <f>AM354 &amp; ".5"</f>
        <v>4.0.3.1.1.4.5</v>
      </c>
      <c r="AN359" s="448" t="s">
        <v>2508</v>
      </c>
      <c r="AO359" s="473" t="s">
        <v>786</v>
      </c>
      <c r="AP359" s="305">
        <f t="shared" si="10"/>
        <v>0</v>
      </c>
      <c r="AQ359" s="207"/>
      <c r="AR359" s="207"/>
    </row>
    <row r="360" spans="39:44" ht="12.75">
      <c r="AM360" s="461" t="str">
        <f>AM354 &amp; ".6"</f>
        <v>4.0.3.1.1.4.6</v>
      </c>
      <c r="AN360" s="448" t="s">
        <v>2509</v>
      </c>
      <c r="AO360" s="473" t="s">
        <v>786</v>
      </c>
      <c r="AP360" s="305">
        <f t="shared" si="10"/>
        <v>0</v>
      </c>
      <c r="AQ360" s="207"/>
      <c r="AR360" s="207"/>
    </row>
    <row r="361" spans="39:44" ht="12.75">
      <c r="AM361" s="461" t="str">
        <f>AM354 &amp; ".7"</f>
        <v>4.0.3.1.1.4.7</v>
      </c>
      <c r="AN361" s="448" t="s">
        <v>2178</v>
      </c>
      <c r="AO361" s="473" t="s">
        <v>786</v>
      </c>
      <c r="AP361" s="305">
        <f t="shared" si="10"/>
        <v>0</v>
      </c>
      <c r="AQ361" s="207"/>
      <c r="AR361" s="207"/>
    </row>
    <row r="362" spans="39:44" ht="22.5">
      <c r="AM362" s="449" t="s">
        <v>269</v>
      </c>
      <c r="AN362" s="450" t="s">
        <v>232</v>
      </c>
      <c r="AO362" s="473" t="s">
        <v>786</v>
      </c>
      <c r="AP362" s="305">
        <f t="shared" si="10"/>
        <v>0</v>
      </c>
      <c r="AQ362" s="207"/>
      <c r="AR362" s="207"/>
    </row>
    <row r="363" spans="39:44" ht="12.75">
      <c r="AM363" s="461" t="str">
        <f>AM362 &amp; ".1"</f>
        <v>4.0.3.1.1.5.1</v>
      </c>
      <c r="AN363" s="225" t="s">
        <v>233</v>
      </c>
      <c r="AO363" s="473" t="s">
        <v>285</v>
      </c>
      <c r="AP363" s="305">
        <f>IF(AP364=0,0,AP362/AP364*1000)</f>
        <v>0</v>
      </c>
      <c r="AQ363" s="207"/>
      <c r="AR363" s="207"/>
    </row>
    <row r="364" spans="39:44" ht="12.75">
      <c r="AM364" s="461" t="str">
        <f>AM362 &amp; ".2"</f>
        <v>4.0.3.1.1.5.2</v>
      </c>
      <c r="AN364" s="225" t="s">
        <v>234</v>
      </c>
      <c r="AO364" s="473" t="s">
        <v>286</v>
      </c>
      <c r="AP364" s="305">
        <f t="shared" si="10"/>
        <v>0</v>
      </c>
      <c r="AQ364" s="207"/>
      <c r="AR364" s="207"/>
    </row>
    <row r="365" spans="39:44" ht="22.5">
      <c r="AM365" s="449" t="s">
        <v>270</v>
      </c>
      <c r="AN365" s="450" t="s">
        <v>235</v>
      </c>
      <c r="AO365" s="473"/>
      <c r="AP365" s="456"/>
      <c r="AQ365" s="207"/>
      <c r="AR365" s="207"/>
    </row>
    <row r="366" spans="39:44" ht="12.75">
      <c r="AM366" s="461" t="str">
        <f>AM365 &amp; ".1"</f>
        <v>4.0.3.1.2.1.1</v>
      </c>
      <c r="AN366" s="448" t="s">
        <v>2504</v>
      </c>
      <c r="AO366" s="473" t="s">
        <v>285</v>
      </c>
      <c r="AP366" s="305">
        <f t="shared" ref="AP366:AP372" si="11">IF(AP237=0,0,AP382/AP237*1000)</f>
        <v>0</v>
      </c>
      <c r="AQ366" s="207"/>
      <c r="AR366" s="207"/>
    </row>
    <row r="367" spans="39:44" ht="12.75">
      <c r="AM367" s="461" t="str">
        <f>AM365 &amp; ".2"</f>
        <v>4.0.3.1.2.1.2</v>
      </c>
      <c r="AN367" s="448" t="s">
        <v>2505</v>
      </c>
      <c r="AO367" s="473" t="s">
        <v>285</v>
      </c>
      <c r="AP367" s="305">
        <f t="shared" si="11"/>
        <v>0</v>
      </c>
      <c r="AQ367" s="207"/>
      <c r="AR367" s="207"/>
    </row>
    <row r="368" spans="39:44" ht="12.75">
      <c r="AM368" s="461" t="str">
        <f>AM365 &amp; ".3"</f>
        <v>4.0.3.1.2.1.3</v>
      </c>
      <c r="AN368" s="448" t="s">
        <v>2506</v>
      </c>
      <c r="AO368" s="473" t="s">
        <v>285</v>
      </c>
      <c r="AP368" s="305">
        <f t="shared" si="11"/>
        <v>0</v>
      </c>
      <c r="AQ368" s="207"/>
      <c r="AR368" s="207"/>
    </row>
    <row r="369" spans="39:44" ht="12.75">
      <c r="AM369" s="461" t="str">
        <f>AM365 &amp; ".4"</f>
        <v>4.0.3.1.2.1.4</v>
      </c>
      <c r="AN369" s="448" t="s">
        <v>2507</v>
      </c>
      <c r="AO369" s="473" t="s">
        <v>285</v>
      </c>
      <c r="AP369" s="305">
        <f t="shared" si="11"/>
        <v>0</v>
      </c>
      <c r="AQ369" s="207"/>
      <c r="AR369" s="207"/>
    </row>
    <row r="370" spans="39:44" ht="12.75">
      <c r="AM370" s="461" t="str">
        <f>AM365 &amp; ".5"</f>
        <v>4.0.3.1.2.1.5</v>
      </c>
      <c r="AN370" s="448" t="s">
        <v>2508</v>
      </c>
      <c r="AO370" s="473" t="s">
        <v>285</v>
      </c>
      <c r="AP370" s="305">
        <f t="shared" si="11"/>
        <v>0</v>
      </c>
      <c r="AQ370" s="207"/>
      <c r="AR370" s="207"/>
    </row>
    <row r="371" spans="39:44" ht="12.75">
      <c r="AM371" s="461" t="str">
        <f>AM365 &amp; ".6"</f>
        <v>4.0.3.1.2.1.6</v>
      </c>
      <c r="AN371" s="448" t="s">
        <v>2509</v>
      </c>
      <c r="AO371" s="473" t="s">
        <v>285</v>
      </c>
      <c r="AP371" s="305">
        <f t="shared" si="11"/>
        <v>0</v>
      </c>
      <c r="AQ371" s="207"/>
      <c r="AR371" s="207"/>
    </row>
    <row r="372" spans="39:44" ht="12.75">
      <c r="AM372" s="461" t="str">
        <f>AM365 &amp; ".7"</f>
        <v>4.0.3.1.2.1.7</v>
      </c>
      <c r="AN372" s="448" t="s">
        <v>2178</v>
      </c>
      <c r="AO372" s="473" t="s">
        <v>285</v>
      </c>
      <c r="AP372" s="305">
        <f t="shared" si="11"/>
        <v>0</v>
      </c>
      <c r="AQ372" s="207"/>
      <c r="AR372" s="207"/>
    </row>
    <row r="373" spans="39:44" ht="22.5">
      <c r="AM373" s="449" t="s">
        <v>271</v>
      </c>
      <c r="AN373" s="450" t="s">
        <v>236</v>
      </c>
      <c r="AO373" s="473"/>
      <c r="AP373" s="456"/>
      <c r="AQ373" s="207"/>
      <c r="AR373" s="207"/>
    </row>
    <row r="374" spans="39:44" ht="12.75">
      <c r="AM374" s="461" t="str">
        <f>AM373 &amp; ".1"</f>
        <v>4.0.3.1.2.2.1</v>
      </c>
      <c r="AN374" s="448" t="s">
        <v>2504</v>
      </c>
      <c r="AO374" s="473" t="s">
        <v>285</v>
      </c>
      <c r="AP374" s="305">
        <f t="shared" ref="AP374:AP380" si="12">IF(AP237=0,0,AP390/AP237*1000)</f>
        <v>0</v>
      </c>
      <c r="AQ374" s="207"/>
      <c r="AR374" s="207"/>
    </row>
    <row r="375" spans="39:44" ht="12.75">
      <c r="AM375" s="461" t="str">
        <f>AM373 &amp; ".2"</f>
        <v>4.0.3.1.2.2.2</v>
      </c>
      <c r="AN375" s="448" t="s">
        <v>2505</v>
      </c>
      <c r="AO375" s="473" t="s">
        <v>285</v>
      </c>
      <c r="AP375" s="305">
        <f t="shared" si="12"/>
        <v>0</v>
      </c>
      <c r="AQ375" s="207"/>
      <c r="AR375" s="207"/>
    </row>
    <row r="376" spans="39:44" ht="12.75">
      <c r="AM376" s="461" t="str">
        <f>AM373 &amp; ".3"</f>
        <v>4.0.3.1.2.2.3</v>
      </c>
      <c r="AN376" s="448" t="s">
        <v>2506</v>
      </c>
      <c r="AO376" s="473" t="s">
        <v>285</v>
      </c>
      <c r="AP376" s="305">
        <f t="shared" si="12"/>
        <v>0</v>
      </c>
      <c r="AQ376" s="207"/>
      <c r="AR376" s="207"/>
    </row>
    <row r="377" spans="39:44" ht="12.75">
      <c r="AM377" s="461" t="str">
        <f>AM373 &amp; ".4"</f>
        <v>4.0.3.1.2.2.4</v>
      </c>
      <c r="AN377" s="448" t="s">
        <v>2507</v>
      </c>
      <c r="AO377" s="473" t="s">
        <v>285</v>
      </c>
      <c r="AP377" s="305">
        <f t="shared" si="12"/>
        <v>0</v>
      </c>
      <c r="AQ377" s="207"/>
      <c r="AR377" s="207"/>
    </row>
    <row r="378" spans="39:44" ht="12.75">
      <c r="AM378" s="461" t="str">
        <f>AM373 &amp; ".5"</f>
        <v>4.0.3.1.2.2.5</v>
      </c>
      <c r="AN378" s="448" t="s">
        <v>2508</v>
      </c>
      <c r="AO378" s="473" t="s">
        <v>285</v>
      </c>
      <c r="AP378" s="305">
        <f t="shared" si="12"/>
        <v>0</v>
      </c>
      <c r="AQ378" s="207"/>
      <c r="AR378" s="207"/>
    </row>
    <row r="379" spans="39:44" ht="12.75">
      <c r="AM379" s="461" t="str">
        <f>AM373 &amp; ".6"</f>
        <v>4.0.3.1.2.2.6</v>
      </c>
      <c r="AN379" s="448" t="s">
        <v>2509</v>
      </c>
      <c r="AO379" s="473" t="s">
        <v>285</v>
      </c>
      <c r="AP379" s="305">
        <f t="shared" si="12"/>
        <v>0</v>
      </c>
      <c r="AQ379" s="207"/>
      <c r="AR379" s="207"/>
    </row>
    <row r="380" spans="39:44" ht="12.75">
      <c r="AM380" s="461" t="str">
        <f>AM373 &amp; ".7"</f>
        <v>4.0.3.1.2.2.7</v>
      </c>
      <c r="AN380" s="448" t="s">
        <v>2178</v>
      </c>
      <c r="AO380" s="473" t="s">
        <v>285</v>
      </c>
      <c r="AP380" s="305">
        <f t="shared" si="12"/>
        <v>0</v>
      </c>
      <c r="AQ380" s="207"/>
      <c r="AR380" s="207"/>
    </row>
    <row r="381" spans="39:44" ht="22.5">
      <c r="AM381" s="449" t="s">
        <v>272</v>
      </c>
      <c r="AN381" s="450" t="s">
        <v>237</v>
      </c>
      <c r="AO381" s="473" t="s">
        <v>786</v>
      </c>
      <c r="AP381" s="305">
        <f t="shared" ref="AP381:AP399" si="13">SUM(AQ381:AR381)</f>
        <v>0</v>
      </c>
      <c r="AQ381" s="207"/>
      <c r="AR381" s="207"/>
    </row>
    <row r="382" spans="39:44" ht="12.75">
      <c r="AM382" s="461" t="str">
        <f>AM381 &amp; ".1"</f>
        <v>4.0.3.1.2.3.1</v>
      </c>
      <c r="AN382" s="448" t="s">
        <v>2504</v>
      </c>
      <c r="AO382" s="473" t="s">
        <v>786</v>
      </c>
      <c r="AP382" s="305">
        <f t="shared" si="13"/>
        <v>0</v>
      </c>
      <c r="AQ382" s="207"/>
      <c r="AR382" s="207"/>
    </row>
    <row r="383" spans="39:44" ht="12.75">
      <c r="AM383" s="461" t="str">
        <f>AM381 &amp; ".2"</f>
        <v>4.0.3.1.2.3.2</v>
      </c>
      <c r="AN383" s="448" t="s">
        <v>2505</v>
      </c>
      <c r="AO383" s="473" t="s">
        <v>786</v>
      </c>
      <c r="AP383" s="305">
        <f t="shared" si="13"/>
        <v>0</v>
      </c>
      <c r="AQ383" s="207"/>
      <c r="AR383" s="207"/>
    </row>
    <row r="384" spans="39:44" ht="12.75">
      <c r="AM384" s="461" t="str">
        <f>AM381 &amp; ".3"</f>
        <v>4.0.3.1.2.3.3</v>
      </c>
      <c r="AN384" s="448" t="s">
        <v>2506</v>
      </c>
      <c r="AO384" s="473" t="s">
        <v>786</v>
      </c>
      <c r="AP384" s="305">
        <f t="shared" si="13"/>
        <v>0</v>
      </c>
      <c r="AQ384" s="207"/>
      <c r="AR384" s="207"/>
    </row>
    <row r="385" spans="39:44" ht="12.75">
      <c r="AM385" s="461" t="str">
        <f>AM381 &amp; ".4"</f>
        <v>4.0.3.1.2.3.4</v>
      </c>
      <c r="AN385" s="448" t="s">
        <v>2507</v>
      </c>
      <c r="AO385" s="473" t="s">
        <v>786</v>
      </c>
      <c r="AP385" s="305">
        <f t="shared" si="13"/>
        <v>0</v>
      </c>
      <c r="AQ385" s="207"/>
      <c r="AR385" s="207"/>
    </row>
    <row r="386" spans="39:44" ht="12.75">
      <c r="AM386" s="461" t="str">
        <f>AM381 &amp; ".5"</f>
        <v>4.0.3.1.2.3.5</v>
      </c>
      <c r="AN386" s="448" t="s">
        <v>2508</v>
      </c>
      <c r="AO386" s="473" t="s">
        <v>786</v>
      </c>
      <c r="AP386" s="305">
        <f t="shared" si="13"/>
        <v>0</v>
      </c>
      <c r="AQ386" s="207"/>
      <c r="AR386" s="207"/>
    </row>
    <row r="387" spans="39:44" ht="12.75">
      <c r="AM387" s="461" t="str">
        <f>AM381 &amp; ".6"</f>
        <v>4.0.3.1.2.3.6</v>
      </c>
      <c r="AN387" s="448" t="s">
        <v>2509</v>
      </c>
      <c r="AO387" s="473" t="s">
        <v>786</v>
      </c>
      <c r="AP387" s="305">
        <f t="shared" si="13"/>
        <v>0</v>
      </c>
      <c r="AQ387" s="207"/>
      <c r="AR387" s="207"/>
    </row>
    <row r="388" spans="39:44" ht="12.75">
      <c r="AM388" s="461" t="str">
        <f>AM381 &amp; ".7"</f>
        <v>4.0.3.1.2.3.7</v>
      </c>
      <c r="AN388" s="448" t="s">
        <v>2178</v>
      </c>
      <c r="AO388" s="473" t="s">
        <v>786</v>
      </c>
      <c r="AP388" s="305">
        <f t="shared" si="13"/>
        <v>0</v>
      </c>
      <c r="AQ388" s="207"/>
      <c r="AR388" s="207"/>
    </row>
    <row r="389" spans="39:44" ht="22.5">
      <c r="AM389" s="449" t="s">
        <v>274</v>
      </c>
      <c r="AN389" s="450" t="s">
        <v>238</v>
      </c>
      <c r="AO389" s="473" t="s">
        <v>786</v>
      </c>
      <c r="AP389" s="305">
        <f t="shared" si="13"/>
        <v>0</v>
      </c>
      <c r="AQ389" s="207"/>
      <c r="AR389" s="207"/>
    </row>
    <row r="390" spans="39:44" ht="12.75">
      <c r="AM390" s="461" t="str">
        <f>AM389 &amp; ".1"</f>
        <v>4.0.3.1.2.4.1</v>
      </c>
      <c r="AN390" s="448" t="s">
        <v>2504</v>
      </c>
      <c r="AO390" s="473" t="s">
        <v>786</v>
      </c>
      <c r="AP390" s="305">
        <f t="shared" si="13"/>
        <v>0</v>
      </c>
      <c r="AQ390" s="207"/>
      <c r="AR390" s="207"/>
    </row>
    <row r="391" spans="39:44" ht="12.75">
      <c r="AM391" s="461" t="str">
        <f>AM389 &amp; ".2"</f>
        <v>4.0.3.1.2.4.2</v>
      </c>
      <c r="AN391" s="448" t="s">
        <v>2505</v>
      </c>
      <c r="AO391" s="473" t="s">
        <v>786</v>
      </c>
      <c r="AP391" s="305">
        <f t="shared" si="13"/>
        <v>0</v>
      </c>
      <c r="AQ391" s="207"/>
      <c r="AR391" s="207"/>
    </row>
    <row r="392" spans="39:44" ht="12.75">
      <c r="AM392" s="461" t="str">
        <f>AM389 &amp; ".3"</f>
        <v>4.0.3.1.2.4.3</v>
      </c>
      <c r="AN392" s="448" t="s">
        <v>2506</v>
      </c>
      <c r="AO392" s="473" t="s">
        <v>786</v>
      </c>
      <c r="AP392" s="305">
        <f t="shared" si="13"/>
        <v>0</v>
      </c>
      <c r="AQ392" s="207"/>
      <c r="AR392" s="207"/>
    </row>
    <row r="393" spans="39:44" ht="12.75">
      <c r="AM393" s="461" t="str">
        <f>AM389 &amp; ".4"</f>
        <v>4.0.3.1.2.4.4</v>
      </c>
      <c r="AN393" s="448" t="s">
        <v>2507</v>
      </c>
      <c r="AO393" s="473" t="s">
        <v>786</v>
      </c>
      <c r="AP393" s="305">
        <f t="shared" si="13"/>
        <v>0</v>
      </c>
      <c r="AQ393" s="207"/>
      <c r="AR393" s="207"/>
    </row>
    <row r="394" spans="39:44" ht="12.75">
      <c r="AM394" s="461" t="str">
        <f>AM389 &amp; ".5"</f>
        <v>4.0.3.1.2.4.5</v>
      </c>
      <c r="AN394" s="448" t="s">
        <v>2508</v>
      </c>
      <c r="AO394" s="473" t="s">
        <v>786</v>
      </c>
      <c r="AP394" s="305">
        <f t="shared" si="13"/>
        <v>0</v>
      </c>
      <c r="AQ394" s="207"/>
      <c r="AR394" s="207"/>
    </row>
    <row r="395" spans="39:44" ht="12.75">
      <c r="AM395" s="461" t="str">
        <f>AM389 &amp; ".6"</f>
        <v>4.0.3.1.2.4.6</v>
      </c>
      <c r="AN395" s="448" t="s">
        <v>2509</v>
      </c>
      <c r="AO395" s="473" t="s">
        <v>786</v>
      </c>
      <c r="AP395" s="305">
        <f t="shared" si="13"/>
        <v>0</v>
      </c>
      <c r="AQ395" s="207"/>
      <c r="AR395" s="207"/>
    </row>
    <row r="396" spans="39:44" ht="12.75">
      <c r="AM396" s="461" t="str">
        <f>AM389 &amp; ".7"</f>
        <v>4.0.3.1.2.4.7</v>
      </c>
      <c r="AN396" s="448" t="s">
        <v>2178</v>
      </c>
      <c r="AO396" s="473" t="s">
        <v>786</v>
      </c>
      <c r="AP396" s="305">
        <f t="shared" si="13"/>
        <v>0</v>
      </c>
      <c r="AQ396" s="207"/>
      <c r="AR396" s="207"/>
    </row>
    <row r="397" spans="39:44" ht="22.5">
      <c r="AM397" s="449" t="s">
        <v>273</v>
      </c>
      <c r="AN397" s="450" t="s">
        <v>239</v>
      </c>
      <c r="AO397" s="473" t="s">
        <v>786</v>
      </c>
      <c r="AP397" s="305">
        <f t="shared" si="13"/>
        <v>0</v>
      </c>
      <c r="AQ397" s="207"/>
      <c r="AR397" s="207"/>
    </row>
    <row r="398" spans="39:44" ht="12.75">
      <c r="AM398" s="461" t="str">
        <f>AM397 &amp; ".1"</f>
        <v>4.0.3.1.2.5.1</v>
      </c>
      <c r="AN398" s="225" t="s">
        <v>233</v>
      </c>
      <c r="AO398" s="473" t="s">
        <v>285</v>
      </c>
      <c r="AP398" s="305">
        <f>IF(AP399=0,0,AP397/AP399*1000)</f>
        <v>0</v>
      </c>
      <c r="AQ398" s="207"/>
      <c r="AR398" s="207"/>
    </row>
    <row r="399" spans="39:44" ht="12.75">
      <c r="AM399" s="461" t="str">
        <f>AM397 &amp; ".2"</f>
        <v>4.0.3.1.2.5.2</v>
      </c>
      <c r="AN399" s="225" t="s">
        <v>234</v>
      </c>
      <c r="AO399" s="473" t="s">
        <v>286</v>
      </c>
      <c r="AP399" s="305">
        <f t="shared" si="13"/>
        <v>0</v>
      </c>
      <c r="AQ399" s="207"/>
      <c r="AR399" s="207"/>
    </row>
    <row r="400" spans="39:44" ht="22.5">
      <c r="AM400" s="449" t="s">
        <v>277</v>
      </c>
      <c r="AN400" s="450" t="s">
        <v>240</v>
      </c>
      <c r="AO400" s="473"/>
      <c r="AP400" s="456"/>
      <c r="AQ400" s="207"/>
      <c r="AR400" s="207"/>
    </row>
    <row r="401" spans="39:44">
      <c r="AM401" s="461" t="str">
        <f>AM400 &amp; ".1"</f>
        <v>4.0.3.2.1.1</v>
      </c>
      <c r="AN401" s="453" t="s">
        <v>78</v>
      </c>
      <c r="AO401" s="473" t="s">
        <v>216</v>
      </c>
      <c r="AP401" s="305">
        <f>IF(AP434=0,0,AP467/AP434*1000)</f>
        <v>0</v>
      </c>
      <c r="AQ401" s="207"/>
      <c r="AR401" s="207"/>
    </row>
    <row r="402" spans="39:44" hidden="1">
      <c r="AM402" s="461"/>
      <c r="AN402" s="454"/>
      <c r="AO402" s="473"/>
      <c r="AP402" s="456"/>
      <c r="AQ402" s="207"/>
      <c r="AR402" s="207"/>
    </row>
    <row r="403" spans="39:44" hidden="1">
      <c r="AM403" s="461"/>
      <c r="AN403" s="454"/>
      <c r="AO403" s="473"/>
      <c r="AP403" s="456"/>
      <c r="AQ403" s="207"/>
      <c r="AR403" s="207"/>
    </row>
    <row r="404" spans="39:44" hidden="1">
      <c r="AM404" s="451"/>
      <c r="AN404" s="454"/>
      <c r="AO404" s="473"/>
      <c r="AP404" s="456"/>
      <c r="AQ404" s="207"/>
      <c r="AR404" s="207"/>
    </row>
    <row r="405" spans="39:44" hidden="1">
      <c r="AM405" s="451"/>
      <c r="AN405" s="454"/>
      <c r="AO405" s="473"/>
      <c r="AP405" s="456"/>
      <c r="AQ405" s="207"/>
      <c r="AR405" s="207"/>
    </row>
    <row r="406" spans="39:44" hidden="1">
      <c r="AM406" s="451"/>
      <c r="AN406" s="454"/>
      <c r="AO406" s="473"/>
      <c r="AP406" s="456"/>
      <c r="AQ406" s="207"/>
      <c r="AR406" s="207"/>
    </row>
    <row r="407" spans="39:44" hidden="1">
      <c r="AM407" s="451"/>
      <c r="AN407" s="454"/>
      <c r="AO407" s="473"/>
      <c r="AP407" s="456"/>
      <c r="AQ407" s="207"/>
      <c r="AR407" s="207"/>
    </row>
    <row r="408" spans="39:44" hidden="1">
      <c r="AM408" s="451"/>
      <c r="AN408" s="454"/>
      <c r="AO408" s="473"/>
      <c r="AP408" s="456"/>
      <c r="AQ408" s="207"/>
      <c r="AR408" s="207"/>
    </row>
    <row r="409" spans="39:44" hidden="1">
      <c r="AM409" s="451"/>
      <c r="AN409" s="454"/>
      <c r="AO409" s="473"/>
      <c r="AP409" s="456"/>
      <c r="AQ409" s="207"/>
      <c r="AR409" s="207"/>
    </row>
    <row r="410" spans="39:44" hidden="1">
      <c r="AM410" s="451"/>
      <c r="AN410" s="454"/>
      <c r="AO410" s="473"/>
      <c r="AP410" s="456"/>
      <c r="AQ410" s="207"/>
      <c r="AR410" s="207"/>
    </row>
    <row r="411" spans="39:44" hidden="1">
      <c r="AM411" s="461"/>
      <c r="AN411" s="454"/>
      <c r="AO411" s="473"/>
      <c r="AP411" s="456"/>
      <c r="AQ411" s="207"/>
      <c r="AR411" s="207"/>
    </row>
    <row r="412" spans="39:44" hidden="1">
      <c r="AM412" s="451"/>
      <c r="AN412" s="454"/>
      <c r="AO412" s="473"/>
      <c r="AP412" s="456"/>
      <c r="AQ412" s="207"/>
      <c r="AR412" s="207"/>
    </row>
    <row r="413" spans="39:44" hidden="1">
      <c r="AM413" s="451"/>
      <c r="AN413" s="454"/>
      <c r="AO413" s="473"/>
      <c r="AP413" s="456"/>
      <c r="AQ413" s="207"/>
      <c r="AR413" s="207"/>
    </row>
    <row r="414" spans="39:44" hidden="1">
      <c r="AM414" s="451"/>
      <c r="AN414" s="454"/>
      <c r="AO414" s="473"/>
      <c r="AP414" s="456"/>
      <c r="AQ414" s="207"/>
      <c r="AR414" s="207"/>
    </row>
    <row r="415" spans="39:44" hidden="1">
      <c r="AM415" s="451"/>
      <c r="AN415" s="454"/>
      <c r="AO415" s="473"/>
      <c r="AP415" s="456"/>
      <c r="AQ415" s="207"/>
      <c r="AR415" s="207"/>
    </row>
    <row r="416" spans="39:44" hidden="1">
      <c r="AM416" s="451"/>
      <c r="AN416" s="454"/>
      <c r="AO416" s="473"/>
      <c r="AP416" s="456"/>
      <c r="AQ416" s="207"/>
      <c r="AR416" s="207"/>
    </row>
    <row r="417" spans="39:44" hidden="1">
      <c r="AM417" s="451"/>
      <c r="AN417" s="455"/>
      <c r="AO417" s="473"/>
      <c r="AP417" s="456"/>
      <c r="AQ417" s="207"/>
      <c r="AR417" s="207"/>
    </row>
    <row r="418" spans="39:44" hidden="1">
      <c r="AM418" s="451"/>
      <c r="AN418" s="455"/>
      <c r="AO418" s="473"/>
      <c r="AP418" s="456"/>
      <c r="AQ418" s="207"/>
      <c r="AR418" s="207"/>
    </row>
    <row r="419" spans="39:44" hidden="1">
      <c r="AM419" s="461"/>
      <c r="AN419" s="455"/>
      <c r="AO419" s="473"/>
      <c r="AP419" s="456"/>
      <c r="AQ419" s="207"/>
      <c r="AR419" s="207"/>
    </row>
    <row r="420" spans="39:44">
      <c r="AM420" s="461" t="str">
        <f>AM400 &amp; ".3"</f>
        <v>4.0.3.2.1.3</v>
      </c>
      <c r="AN420" s="457" t="s">
        <v>85</v>
      </c>
      <c r="AO420" s="473" t="s">
        <v>216</v>
      </c>
      <c r="AP420" s="305">
        <f t="shared" ref="AP420:AP429" si="14">IF(AP453=0,0,AP486/AP453*1000)</f>
        <v>0</v>
      </c>
      <c r="AQ420" s="207"/>
      <c r="AR420" s="207"/>
    </row>
    <row r="421" spans="39:44">
      <c r="AM421" s="461" t="str">
        <f>AM400 &amp; ".4"</f>
        <v>4.0.3.2.1.4</v>
      </c>
      <c r="AN421" s="457" t="s">
        <v>87</v>
      </c>
      <c r="AO421" s="473" t="s">
        <v>216</v>
      </c>
      <c r="AP421" s="305">
        <f t="shared" si="14"/>
        <v>0</v>
      </c>
      <c r="AQ421" s="207"/>
      <c r="AR421" s="207"/>
    </row>
    <row r="422" spans="39:44">
      <c r="AM422" s="461" t="str">
        <f>AM400&amp;".5"</f>
        <v>4.0.3.2.1.5</v>
      </c>
      <c r="AN422" s="457" t="s">
        <v>89</v>
      </c>
      <c r="AO422" s="473" t="s">
        <v>216</v>
      </c>
      <c r="AP422" s="305">
        <f t="shared" si="14"/>
        <v>0</v>
      </c>
      <c r="AQ422" s="207"/>
      <c r="AR422" s="207"/>
    </row>
    <row r="423" spans="39:44">
      <c r="AM423" s="461" t="str">
        <f>AM400 &amp; ".6"</f>
        <v>4.0.3.2.1.6</v>
      </c>
      <c r="AN423" s="457" t="s">
        <v>91</v>
      </c>
      <c r="AO423" s="473" t="s">
        <v>216</v>
      </c>
      <c r="AP423" s="305">
        <f t="shared" si="14"/>
        <v>0</v>
      </c>
      <c r="AQ423" s="207"/>
      <c r="AR423" s="207"/>
    </row>
    <row r="424" spans="39:44">
      <c r="AM424" s="461" t="str">
        <f>AM400 &amp; ".7"</f>
        <v>4.0.3.2.1.7</v>
      </c>
      <c r="AN424" s="457" t="s">
        <v>93</v>
      </c>
      <c r="AO424" s="473" t="s">
        <v>216</v>
      </c>
      <c r="AP424" s="305">
        <f t="shared" si="14"/>
        <v>0</v>
      </c>
      <c r="AQ424" s="207"/>
      <c r="AR424" s="207"/>
    </row>
    <row r="425" spans="39:44">
      <c r="AM425" s="461" t="str">
        <f>AM400 &amp; ".8"</f>
        <v>4.0.3.2.1.8</v>
      </c>
      <c r="AN425" s="457" t="s">
        <v>95</v>
      </c>
      <c r="AO425" s="473" t="s">
        <v>216</v>
      </c>
      <c r="AP425" s="305">
        <f t="shared" si="14"/>
        <v>0</v>
      </c>
      <c r="AQ425" s="207"/>
      <c r="AR425" s="207"/>
    </row>
    <row r="426" spans="39:44">
      <c r="AM426" s="461" t="str">
        <f>AM400 &amp; ".9"</f>
        <v>4.0.3.2.1.9</v>
      </c>
      <c r="AN426" s="457" t="s">
        <v>2976</v>
      </c>
      <c r="AO426" s="473" t="s">
        <v>216</v>
      </c>
      <c r="AP426" s="305">
        <f t="shared" si="14"/>
        <v>0</v>
      </c>
      <c r="AQ426" s="207"/>
      <c r="AR426" s="207"/>
    </row>
    <row r="427" spans="39:44">
      <c r="AM427" s="461" t="str">
        <f>AM400 &amp; ".10"</f>
        <v>4.0.3.2.1.10</v>
      </c>
      <c r="AN427" s="457" t="s">
        <v>2978</v>
      </c>
      <c r="AO427" s="473" t="s">
        <v>216</v>
      </c>
      <c r="AP427" s="305">
        <f t="shared" si="14"/>
        <v>0</v>
      </c>
      <c r="AQ427" s="207"/>
      <c r="AR427" s="207"/>
    </row>
    <row r="428" spans="39:44">
      <c r="AM428" s="461" t="str">
        <f>AM400 &amp; ".11"</f>
        <v>4.0.3.2.1.11</v>
      </c>
      <c r="AN428" s="457" t="s">
        <v>2980</v>
      </c>
      <c r="AO428" s="473" t="s">
        <v>216</v>
      </c>
      <c r="AP428" s="305">
        <f t="shared" si="14"/>
        <v>0</v>
      </c>
      <c r="AQ428" s="207"/>
      <c r="AR428" s="207"/>
    </row>
    <row r="429" spans="39:44">
      <c r="AM429" s="461" t="str">
        <f>AM400 &amp; ".12"</f>
        <v>4.0.3.2.1.12</v>
      </c>
      <c r="AN429" s="457" t="s">
        <v>2982</v>
      </c>
      <c r="AO429" s="473" t="s">
        <v>216</v>
      </c>
      <c r="AP429" s="305">
        <f t="shared" si="14"/>
        <v>0</v>
      </c>
      <c r="AQ429" s="207"/>
      <c r="AR429" s="207"/>
    </row>
    <row r="430" spans="39:44" hidden="1">
      <c r="AM430" s="451"/>
      <c r="AN430" s="454"/>
      <c r="AO430" s="473"/>
      <c r="AP430" s="456"/>
      <c r="AQ430" s="207"/>
      <c r="AR430" s="207"/>
    </row>
    <row r="431" spans="39:44" hidden="1">
      <c r="AM431" s="451"/>
      <c r="AN431" s="454"/>
      <c r="AO431" s="473"/>
      <c r="AP431" s="456"/>
      <c r="AQ431" s="207"/>
      <c r="AR431" s="207"/>
    </row>
    <row r="432" spans="39:44">
      <c r="AM432" s="461" t="str">
        <f>AM400 &amp; ".15"</f>
        <v>4.0.3.2.1.15</v>
      </c>
      <c r="AN432" s="457" t="s">
        <v>291</v>
      </c>
      <c r="AO432" s="473" t="s">
        <v>216</v>
      </c>
      <c r="AP432" s="305">
        <f>IF(AP465=0,0,AP498/AP465*1000)</f>
        <v>0</v>
      </c>
      <c r="AQ432" s="207"/>
      <c r="AR432" s="207"/>
    </row>
    <row r="433" spans="39:44" ht="22.5">
      <c r="AM433" s="449" t="s">
        <v>275</v>
      </c>
      <c r="AN433" s="450" t="s">
        <v>241</v>
      </c>
      <c r="AO433" s="473"/>
      <c r="AP433" s="456"/>
      <c r="AQ433" s="207"/>
      <c r="AR433" s="207"/>
    </row>
    <row r="434" spans="39:44">
      <c r="AM434" s="461" t="str">
        <f>AM433 &amp; ".1"</f>
        <v>4.0.3.2.2.1</v>
      </c>
      <c r="AN434" s="453" t="s">
        <v>78</v>
      </c>
      <c r="AO434" s="473" t="s">
        <v>223</v>
      </c>
      <c r="AP434" s="305">
        <f>SUM(AQ434:AR434)</f>
        <v>0</v>
      </c>
      <c r="AQ434" s="207"/>
      <c r="AR434" s="207"/>
    </row>
    <row r="435" spans="39:44" hidden="1">
      <c r="AM435" s="461"/>
      <c r="AN435" s="454"/>
      <c r="AO435" s="473"/>
      <c r="AP435" s="456"/>
      <c r="AQ435" s="207"/>
      <c r="AR435" s="207"/>
    </row>
    <row r="436" spans="39:44" hidden="1">
      <c r="AM436" s="461"/>
      <c r="AN436" s="454"/>
      <c r="AO436" s="473"/>
      <c r="AP436" s="456"/>
      <c r="AQ436" s="207"/>
      <c r="AR436" s="207"/>
    </row>
    <row r="437" spans="39:44" hidden="1">
      <c r="AM437" s="451"/>
      <c r="AN437" s="454"/>
      <c r="AO437" s="473"/>
      <c r="AP437" s="456"/>
      <c r="AQ437" s="207"/>
      <c r="AR437" s="207"/>
    </row>
    <row r="438" spans="39:44" hidden="1">
      <c r="AM438" s="451"/>
      <c r="AN438" s="454"/>
      <c r="AO438" s="473"/>
      <c r="AP438" s="456"/>
      <c r="AQ438" s="207"/>
      <c r="AR438" s="207"/>
    </row>
    <row r="439" spans="39:44" hidden="1">
      <c r="AM439" s="451"/>
      <c r="AN439" s="454"/>
      <c r="AO439" s="473"/>
      <c r="AP439" s="456"/>
      <c r="AQ439" s="207"/>
      <c r="AR439" s="207"/>
    </row>
    <row r="440" spans="39:44" hidden="1">
      <c r="AM440" s="451"/>
      <c r="AN440" s="454"/>
      <c r="AO440" s="473"/>
      <c r="AP440" s="456"/>
      <c r="AQ440" s="207"/>
      <c r="AR440" s="207"/>
    </row>
    <row r="441" spans="39:44" hidden="1">
      <c r="AM441" s="451"/>
      <c r="AN441" s="454"/>
      <c r="AO441" s="473"/>
      <c r="AP441" s="456"/>
      <c r="AQ441" s="207"/>
      <c r="AR441" s="207"/>
    </row>
    <row r="442" spans="39:44" hidden="1">
      <c r="AM442" s="451"/>
      <c r="AN442" s="454"/>
      <c r="AO442" s="473"/>
      <c r="AP442" s="456"/>
      <c r="AQ442" s="207"/>
      <c r="AR442" s="207"/>
    </row>
    <row r="443" spans="39:44" hidden="1">
      <c r="AM443" s="451"/>
      <c r="AN443" s="454"/>
      <c r="AO443" s="473"/>
      <c r="AP443" s="456"/>
      <c r="AQ443" s="207"/>
      <c r="AR443" s="207"/>
    </row>
    <row r="444" spans="39:44" hidden="1">
      <c r="AM444" s="461"/>
      <c r="AN444" s="454"/>
      <c r="AO444" s="473"/>
      <c r="AP444" s="456"/>
      <c r="AQ444" s="207"/>
      <c r="AR444" s="207"/>
    </row>
    <row r="445" spans="39:44" hidden="1">
      <c r="AM445" s="451"/>
      <c r="AN445" s="454"/>
      <c r="AO445" s="473"/>
      <c r="AP445" s="456"/>
      <c r="AQ445" s="207"/>
      <c r="AR445" s="207"/>
    </row>
    <row r="446" spans="39:44" hidden="1">
      <c r="AM446" s="451"/>
      <c r="AN446" s="454"/>
      <c r="AO446" s="473"/>
      <c r="AP446" s="456"/>
      <c r="AQ446" s="207"/>
      <c r="AR446" s="207"/>
    </row>
    <row r="447" spans="39:44" hidden="1">
      <c r="AM447" s="451"/>
      <c r="AN447" s="454"/>
      <c r="AO447" s="473"/>
      <c r="AP447" s="456"/>
      <c r="AQ447" s="207"/>
      <c r="AR447" s="207"/>
    </row>
    <row r="448" spans="39:44" hidden="1">
      <c r="AM448" s="451"/>
      <c r="AN448" s="454"/>
      <c r="AO448" s="473"/>
      <c r="AP448" s="456"/>
      <c r="AQ448" s="207"/>
      <c r="AR448" s="207"/>
    </row>
    <row r="449" spans="39:44" hidden="1">
      <c r="AM449" s="451"/>
      <c r="AN449" s="454"/>
      <c r="AO449" s="473"/>
      <c r="AP449" s="456"/>
      <c r="AQ449" s="207"/>
      <c r="AR449" s="207"/>
    </row>
    <row r="450" spans="39:44" hidden="1">
      <c r="AM450" s="451"/>
      <c r="AN450" s="455"/>
      <c r="AO450" s="473"/>
      <c r="AP450" s="456"/>
      <c r="AQ450" s="207"/>
      <c r="AR450" s="207"/>
    </row>
    <row r="451" spans="39:44" hidden="1">
      <c r="AM451" s="451"/>
      <c r="AN451" s="455"/>
      <c r="AO451" s="473"/>
      <c r="AP451" s="456"/>
      <c r="AQ451" s="207"/>
      <c r="AR451" s="207"/>
    </row>
    <row r="452" spans="39:44" hidden="1">
      <c r="AM452" s="461"/>
      <c r="AN452" s="455"/>
      <c r="AO452" s="473"/>
      <c r="AP452" s="456"/>
      <c r="AQ452" s="207"/>
      <c r="AR452" s="207"/>
    </row>
    <row r="453" spans="39:44">
      <c r="AM453" s="461" t="str">
        <f>AM433 &amp; ".3"</f>
        <v>4.0.3.2.2.3</v>
      </c>
      <c r="AN453" s="457" t="s">
        <v>85</v>
      </c>
      <c r="AO453" s="473" t="s">
        <v>223</v>
      </c>
      <c r="AP453" s="305">
        <f t="shared" ref="AP453:AP467" si="15">SUM(AQ453:AR453)</f>
        <v>0</v>
      </c>
      <c r="AQ453" s="207"/>
      <c r="AR453" s="207"/>
    </row>
    <row r="454" spans="39:44">
      <c r="AM454" s="461" t="str">
        <f>AM433 &amp; ".4"</f>
        <v>4.0.3.2.2.4</v>
      </c>
      <c r="AN454" s="457" t="s">
        <v>87</v>
      </c>
      <c r="AO454" s="473" t="s">
        <v>223</v>
      </c>
      <c r="AP454" s="305">
        <f t="shared" si="15"/>
        <v>0</v>
      </c>
      <c r="AQ454" s="207"/>
      <c r="AR454" s="207"/>
    </row>
    <row r="455" spans="39:44">
      <c r="AM455" s="461" t="str">
        <f>AM433&amp;".5"</f>
        <v>4.0.3.2.2.5</v>
      </c>
      <c r="AN455" s="457" t="s">
        <v>89</v>
      </c>
      <c r="AO455" s="473" t="s">
        <v>223</v>
      </c>
      <c r="AP455" s="305">
        <f t="shared" si="15"/>
        <v>0</v>
      </c>
      <c r="AQ455" s="207"/>
      <c r="AR455" s="207"/>
    </row>
    <row r="456" spans="39:44">
      <c r="AM456" s="461" t="str">
        <f>AM433 &amp; ".6"</f>
        <v>4.0.3.2.2.6</v>
      </c>
      <c r="AN456" s="457" t="s">
        <v>91</v>
      </c>
      <c r="AO456" s="473" t="s">
        <v>223</v>
      </c>
      <c r="AP456" s="305">
        <f t="shared" si="15"/>
        <v>0</v>
      </c>
      <c r="AQ456" s="207"/>
      <c r="AR456" s="207"/>
    </row>
    <row r="457" spans="39:44">
      <c r="AM457" s="461" t="str">
        <f>AM433 &amp; ".7"</f>
        <v>4.0.3.2.2.7</v>
      </c>
      <c r="AN457" s="457" t="s">
        <v>93</v>
      </c>
      <c r="AO457" s="473" t="s">
        <v>223</v>
      </c>
      <c r="AP457" s="305">
        <f t="shared" si="15"/>
        <v>0</v>
      </c>
      <c r="AQ457" s="207"/>
      <c r="AR457" s="207"/>
    </row>
    <row r="458" spans="39:44">
      <c r="AM458" s="461" t="str">
        <f>AM433 &amp; ".8"</f>
        <v>4.0.3.2.2.8</v>
      </c>
      <c r="AN458" s="457" t="s">
        <v>95</v>
      </c>
      <c r="AO458" s="473" t="s">
        <v>223</v>
      </c>
      <c r="AP458" s="305">
        <f t="shared" si="15"/>
        <v>0</v>
      </c>
      <c r="AQ458" s="207"/>
      <c r="AR458" s="207"/>
    </row>
    <row r="459" spans="39:44">
      <c r="AM459" s="461" t="str">
        <f>AM433 &amp; ".9"</f>
        <v>4.0.3.2.2.9</v>
      </c>
      <c r="AN459" s="457" t="s">
        <v>2976</v>
      </c>
      <c r="AO459" s="473" t="s">
        <v>223</v>
      </c>
      <c r="AP459" s="305">
        <f t="shared" si="15"/>
        <v>0</v>
      </c>
      <c r="AQ459" s="207"/>
      <c r="AR459" s="207"/>
    </row>
    <row r="460" spans="39:44">
      <c r="AM460" s="461" t="str">
        <f>AM433 &amp; ".10"</f>
        <v>4.0.3.2.2.10</v>
      </c>
      <c r="AN460" s="457" t="s">
        <v>2978</v>
      </c>
      <c r="AO460" s="473" t="s">
        <v>223</v>
      </c>
      <c r="AP460" s="305">
        <f t="shared" si="15"/>
        <v>0</v>
      </c>
      <c r="AQ460" s="207"/>
      <c r="AR460" s="207"/>
    </row>
    <row r="461" spans="39:44">
      <c r="AM461" s="461" t="str">
        <f>AM433 &amp; ".11"</f>
        <v>4.0.3.2.2.11</v>
      </c>
      <c r="AN461" s="457" t="s">
        <v>2980</v>
      </c>
      <c r="AO461" s="473" t="s">
        <v>223</v>
      </c>
      <c r="AP461" s="305">
        <f t="shared" si="15"/>
        <v>0</v>
      </c>
      <c r="AQ461" s="207"/>
      <c r="AR461" s="207"/>
    </row>
    <row r="462" spans="39:44">
      <c r="AM462" s="461" t="str">
        <f>AM433 &amp; ".12"</f>
        <v>4.0.3.2.2.12</v>
      </c>
      <c r="AN462" s="457" t="s">
        <v>2982</v>
      </c>
      <c r="AO462" s="473" t="s">
        <v>223</v>
      </c>
      <c r="AP462" s="305">
        <f t="shared" si="15"/>
        <v>0</v>
      </c>
      <c r="AQ462" s="207"/>
      <c r="AR462" s="207"/>
    </row>
    <row r="463" spans="39:44" hidden="1">
      <c r="AM463" s="451"/>
      <c r="AN463" s="454"/>
      <c r="AO463" s="473"/>
      <c r="AP463" s="456"/>
      <c r="AQ463" s="207"/>
      <c r="AR463" s="207"/>
    </row>
    <row r="464" spans="39:44" hidden="1">
      <c r="AM464" s="451"/>
      <c r="AN464" s="454"/>
      <c r="AO464" s="473"/>
      <c r="AP464" s="456"/>
      <c r="AQ464" s="207"/>
      <c r="AR464" s="207"/>
    </row>
    <row r="465" spans="39:44">
      <c r="AM465" s="461" t="str">
        <f>AM433 &amp; ".15"</f>
        <v>4.0.3.2.2.15</v>
      </c>
      <c r="AN465" s="457" t="s">
        <v>291</v>
      </c>
      <c r="AO465" s="473" t="s">
        <v>223</v>
      </c>
      <c r="AP465" s="305">
        <f>SUM(AQ465:AR465)</f>
        <v>0</v>
      </c>
      <c r="AQ465" s="207"/>
      <c r="AR465" s="207"/>
    </row>
    <row r="466" spans="39:44" ht="22.5">
      <c r="AM466" s="449" t="s">
        <v>276</v>
      </c>
      <c r="AN466" s="450" t="s">
        <v>242</v>
      </c>
      <c r="AO466" s="473" t="s">
        <v>786</v>
      </c>
      <c r="AP466" s="305">
        <f t="shared" si="15"/>
        <v>0</v>
      </c>
      <c r="AQ466" s="207"/>
      <c r="AR466" s="207"/>
    </row>
    <row r="467" spans="39:44">
      <c r="AM467" s="461" t="str">
        <f>AM466 &amp; ".1"</f>
        <v>4.0.3.2.3.1</v>
      </c>
      <c r="AN467" s="453" t="s">
        <v>78</v>
      </c>
      <c r="AO467" s="473" t="s">
        <v>786</v>
      </c>
      <c r="AP467" s="305">
        <f t="shared" si="15"/>
        <v>0</v>
      </c>
      <c r="AQ467" s="207"/>
      <c r="AR467" s="207"/>
    </row>
    <row r="468" spans="39:44" hidden="1">
      <c r="AM468" s="461"/>
      <c r="AN468" s="454"/>
      <c r="AO468" s="473"/>
      <c r="AP468" s="456"/>
      <c r="AQ468" s="207"/>
      <c r="AR468" s="207"/>
    </row>
    <row r="469" spans="39:44" hidden="1">
      <c r="AM469" s="461"/>
      <c r="AN469" s="454"/>
      <c r="AO469" s="473"/>
      <c r="AP469" s="456"/>
      <c r="AQ469" s="207"/>
      <c r="AR469" s="207"/>
    </row>
    <row r="470" spans="39:44" hidden="1">
      <c r="AM470" s="451"/>
      <c r="AN470" s="454"/>
      <c r="AO470" s="473"/>
      <c r="AP470" s="456"/>
      <c r="AQ470" s="207"/>
      <c r="AR470" s="207"/>
    </row>
    <row r="471" spans="39:44" hidden="1">
      <c r="AM471" s="451"/>
      <c r="AN471" s="454"/>
      <c r="AO471" s="473"/>
      <c r="AP471" s="456"/>
      <c r="AQ471" s="207"/>
      <c r="AR471" s="207"/>
    </row>
    <row r="472" spans="39:44" hidden="1">
      <c r="AM472" s="451"/>
      <c r="AN472" s="454"/>
      <c r="AO472" s="473"/>
      <c r="AP472" s="456"/>
      <c r="AQ472" s="207"/>
      <c r="AR472" s="207"/>
    </row>
    <row r="473" spans="39:44" hidden="1">
      <c r="AM473" s="451"/>
      <c r="AN473" s="454"/>
      <c r="AO473" s="473"/>
      <c r="AP473" s="456"/>
      <c r="AQ473" s="207"/>
      <c r="AR473" s="207"/>
    </row>
    <row r="474" spans="39:44" hidden="1">
      <c r="AM474" s="451"/>
      <c r="AN474" s="454"/>
      <c r="AO474" s="473"/>
      <c r="AP474" s="456"/>
      <c r="AQ474" s="207"/>
      <c r="AR474" s="207"/>
    </row>
    <row r="475" spans="39:44" hidden="1">
      <c r="AM475" s="451"/>
      <c r="AN475" s="454"/>
      <c r="AO475" s="473"/>
      <c r="AP475" s="456"/>
      <c r="AQ475" s="207"/>
      <c r="AR475" s="207"/>
    </row>
    <row r="476" spans="39:44" hidden="1">
      <c r="AM476" s="451"/>
      <c r="AN476" s="454"/>
      <c r="AO476" s="473"/>
      <c r="AP476" s="456"/>
      <c r="AQ476" s="207"/>
      <c r="AR476" s="207"/>
    </row>
    <row r="477" spans="39:44" hidden="1">
      <c r="AM477" s="461"/>
      <c r="AN477" s="454"/>
      <c r="AO477" s="473"/>
      <c r="AP477" s="456"/>
      <c r="AQ477" s="207"/>
      <c r="AR477" s="207"/>
    </row>
    <row r="478" spans="39:44" hidden="1">
      <c r="AM478" s="451"/>
      <c r="AN478" s="454"/>
      <c r="AO478" s="473"/>
      <c r="AP478" s="456"/>
      <c r="AQ478" s="207"/>
      <c r="AR478" s="207"/>
    </row>
    <row r="479" spans="39:44" hidden="1">
      <c r="AM479" s="451"/>
      <c r="AN479" s="454"/>
      <c r="AO479" s="473"/>
      <c r="AP479" s="456"/>
      <c r="AQ479" s="207"/>
      <c r="AR479" s="207"/>
    </row>
    <row r="480" spans="39:44" hidden="1">
      <c r="AM480" s="451"/>
      <c r="AN480" s="454"/>
      <c r="AO480" s="473"/>
      <c r="AP480" s="456"/>
      <c r="AQ480" s="207"/>
      <c r="AR480" s="207"/>
    </row>
    <row r="481" spans="39:44" hidden="1">
      <c r="AM481" s="451"/>
      <c r="AN481" s="454"/>
      <c r="AO481" s="473"/>
      <c r="AP481" s="456"/>
      <c r="AQ481" s="207"/>
      <c r="AR481" s="207"/>
    </row>
    <row r="482" spans="39:44" hidden="1">
      <c r="AM482" s="451"/>
      <c r="AN482" s="454"/>
      <c r="AO482" s="473"/>
      <c r="AP482" s="456"/>
      <c r="AQ482" s="207"/>
      <c r="AR482" s="207"/>
    </row>
    <row r="483" spans="39:44" hidden="1">
      <c r="AM483" s="451"/>
      <c r="AN483" s="455"/>
      <c r="AO483" s="473"/>
      <c r="AP483" s="456"/>
      <c r="AQ483" s="207"/>
      <c r="AR483" s="207"/>
    </row>
    <row r="484" spans="39:44" hidden="1">
      <c r="AM484" s="451"/>
      <c r="AN484" s="455"/>
      <c r="AO484" s="473"/>
      <c r="AP484" s="456"/>
      <c r="AQ484" s="207"/>
      <c r="AR484" s="207"/>
    </row>
    <row r="485" spans="39:44" hidden="1">
      <c r="AM485" s="461"/>
      <c r="AN485" s="455"/>
      <c r="AO485" s="473"/>
      <c r="AP485" s="456"/>
      <c r="AQ485" s="207"/>
      <c r="AR485" s="207"/>
    </row>
    <row r="486" spans="39:44">
      <c r="AM486" s="461" t="str">
        <f>AM466 &amp; ".3"</f>
        <v>4.0.3.2.3.3</v>
      </c>
      <c r="AN486" s="457" t="s">
        <v>85</v>
      </c>
      <c r="AO486" s="473" t="s">
        <v>786</v>
      </c>
      <c r="AP486" s="305">
        <f t="shared" ref="AP486:AP495" si="16">SUM(AQ486:AR486)</f>
        <v>0</v>
      </c>
      <c r="AQ486" s="207"/>
      <c r="AR486" s="207"/>
    </row>
    <row r="487" spans="39:44">
      <c r="AM487" s="461" t="str">
        <f>AM466 &amp; ".4"</f>
        <v>4.0.3.2.3.4</v>
      </c>
      <c r="AN487" s="457" t="s">
        <v>87</v>
      </c>
      <c r="AO487" s="473" t="s">
        <v>786</v>
      </c>
      <c r="AP487" s="305">
        <f t="shared" si="16"/>
        <v>0</v>
      </c>
      <c r="AQ487" s="207"/>
      <c r="AR487" s="207"/>
    </row>
    <row r="488" spans="39:44">
      <c r="AM488" s="461" t="str">
        <f>AM466&amp;".5"</f>
        <v>4.0.3.2.3.5</v>
      </c>
      <c r="AN488" s="457" t="s">
        <v>89</v>
      </c>
      <c r="AO488" s="473" t="s">
        <v>786</v>
      </c>
      <c r="AP488" s="305">
        <f t="shared" si="16"/>
        <v>0</v>
      </c>
      <c r="AQ488" s="207"/>
      <c r="AR488" s="207"/>
    </row>
    <row r="489" spans="39:44">
      <c r="AM489" s="461" t="str">
        <f>AM466 &amp; ".6"</f>
        <v>4.0.3.2.3.6</v>
      </c>
      <c r="AN489" s="457" t="s">
        <v>91</v>
      </c>
      <c r="AO489" s="473" t="s">
        <v>786</v>
      </c>
      <c r="AP489" s="305">
        <f t="shared" si="16"/>
        <v>0</v>
      </c>
      <c r="AQ489" s="207"/>
      <c r="AR489" s="207"/>
    </row>
    <row r="490" spans="39:44">
      <c r="AM490" s="461" t="str">
        <f>AM466 &amp; ".7"</f>
        <v>4.0.3.2.3.7</v>
      </c>
      <c r="AN490" s="457" t="s">
        <v>93</v>
      </c>
      <c r="AO490" s="473" t="s">
        <v>786</v>
      </c>
      <c r="AP490" s="305">
        <f t="shared" si="16"/>
        <v>0</v>
      </c>
      <c r="AQ490" s="207"/>
      <c r="AR490" s="207"/>
    </row>
    <row r="491" spans="39:44">
      <c r="AM491" s="461" t="str">
        <f>AM466 &amp; ".8"</f>
        <v>4.0.3.2.3.8</v>
      </c>
      <c r="AN491" s="457" t="s">
        <v>95</v>
      </c>
      <c r="AO491" s="473" t="s">
        <v>786</v>
      </c>
      <c r="AP491" s="305">
        <f t="shared" si="16"/>
        <v>0</v>
      </c>
      <c r="AQ491" s="207"/>
      <c r="AR491" s="207"/>
    </row>
    <row r="492" spans="39:44">
      <c r="AM492" s="461" t="str">
        <f>AM466 &amp; ".9"</f>
        <v>4.0.3.2.3.9</v>
      </c>
      <c r="AN492" s="457" t="s">
        <v>2976</v>
      </c>
      <c r="AO492" s="473" t="s">
        <v>786</v>
      </c>
      <c r="AP492" s="305">
        <f t="shared" si="16"/>
        <v>0</v>
      </c>
      <c r="AQ492" s="207"/>
      <c r="AR492" s="207"/>
    </row>
    <row r="493" spans="39:44">
      <c r="AM493" s="461" t="str">
        <f>AM466 &amp; ".10"</f>
        <v>4.0.3.2.3.10</v>
      </c>
      <c r="AN493" s="457" t="s">
        <v>2978</v>
      </c>
      <c r="AO493" s="473" t="s">
        <v>786</v>
      </c>
      <c r="AP493" s="305">
        <f t="shared" si="16"/>
        <v>0</v>
      </c>
      <c r="AQ493" s="207"/>
      <c r="AR493" s="207"/>
    </row>
    <row r="494" spans="39:44">
      <c r="AM494" s="461" t="str">
        <f>AM466 &amp; ".11"</f>
        <v>4.0.3.2.3.11</v>
      </c>
      <c r="AN494" s="457" t="s">
        <v>2980</v>
      </c>
      <c r="AO494" s="473" t="s">
        <v>786</v>
      </c>
      <c r="AP494" s="305">
        <f t="shared" si="16"/>
        <v>0</v>
      </c>
      <c r="AQ494" s="207"/>
      <c r="AR494" s="207"/>
    </row>
    <row r="495" spans="39:44">
      <c r="AM495" s="461" t="str">
        <f>AM466 &amp; ".12"</f>
        <v>4.0.3.2.3.12</v>
      </c>
      <c r="AN495" s="457" t="s">
        <v>2982</v>
      </c>
      <c r="AO495" s="473" t="s">
        <v>786</v>
      </c>
      <c r="AP495" s="305">
        <f t="shared" si="16"/>
        <v>0</v>
      </c>
      <c r="AQ495" s="207"/>
      <c r="AR495" s="207"/>
    </row>
    <row r="496" spans="39:44" hidden="1">
      <c r="AM496" s="451"/>
      <c r="AN496" s="454"/>
      <c r="AO496" s="473"/>
      <c r="AP496" s="456"/>
      <c r="AQ496" s="207"/>
      <c r="AR496" s="207"/>
    </row>
    <row r="497" spans="39:44" hidden="1">
      <c r="AM497" s="451"/>
      <c r="AN497" s="454"/>
      <c r="AO497" s="473"/>
      <c r="AP497" s="456"/>
      <c r="AQ497" s="207"/>
      <c r="AR497" s="207"/>
    </row>
    <row r="498" spans="39:44">
      <c r="AM498" s="461" t="str">
        <f>AM466 &amp; ".15"</f>
        <v>4.0.3.2.3.15</v>
      </c>
      <c r="AN498" s="457" t="s">
        <v>291</v>
      </c>
      <c r="AO498" s="473" t="s">
        <v>786</v>
      </c>
      <c r="AP498" s="305">
        <f>SUM(AQ498:AR498)</f>
        <v>0</v>
      </c>
      <c r="AQ498" s="207"/>
      <c r="AR498" s="207"/>
    </row>
    <row r="499" spans="39:44" ht="22.5">
      <c r="AM499" s="449" t="s">
        <v>278</v>
      </c>
      <c r="AN499" s="450" t="s">
        <v>243</v>
      </c>
      <c r="AO499" s="473"/>
      <c r="AP499" s="456"/>
      <c r="AQ499" s="207"/>
      <c r="AR499" s="207"/>
    </row>
    <row r="500" spans="39:44">
      <c r="AM500" s="461" t="str">
        <f>AM499 &amp; ".1"</f>
        <v>4.0.3.3.1.1</v>
      </c>
      <c r="AN500" s="453" t="s">
        <v>78</v>
      </c>
      <c r="AO500" s="473" t="s">
        <v>216</v>
      </c>
      <c r="AP500" s="305">
        <f>IF(AP533=0,0,AP566/AP533*1000)</f>
        <v>0</v>
      </c>
      <c r="AQ500" s="207"/>
      <c r="AR500" s="207"/>
    </row>
    <row r="501" spans="39:44" hidden="1">
      <c r="AM501" s="461"/>
      <c r="AN501" s="454"/>
      <c r="AO501" s="473"/>
      <c r="AP501" s="456"/>
      <c r="AQ501" s="207"/>
      <c r="AR501" s="207"/>
    </row>
    <row r="502" spans="39:44" hidden="1">
      <c r="AM502" s="461"/>
      <c r="AN502" s="454"/>
      <c r="AO502" s="473"/>
      <c r="AP502" s="456"/>
      <c r="AQ502" s="207"/>
      <c r="AR502" s="207"/>
    </row>
    <row r="503" spans="39:44" hidden="1">
      <c r="AM503" s="451"/>
      <c r="AN503" s="454"/>
      <c r="AO503" s="473"/>
      <c r="AP503" s="456"/>
      <c r="AQ503" s="207"/>
      <c r="AR503" s="207"/>
    </row>
    <row r="504" spans="39:44" hidden="1">
      <c r="AM504" s="451"/>
      <c r="AN504" s="454"/>
      <c r="AO504" s="473"/>
      <c r="AP504" s="456"/>
      <c r="AQ504" s="207"/>
      <c r="AR504" s="207"/>
    </row>
    <row r="505" spans="39:44" hidden="1">
      <c r="AM505" s="451"/>
      <c r="AN505" s="454"/>
      <c r="AO505" s="473"/>
      <c r="AP505" s="456"/>
      <c r="AQ505" s="207"/>
      <c r="AR505" s="207"/>
    </row>
    <row r="506" spans="39:44" hidden="1">
      <c r="AM506" s="451"/>
      <c r="AN506" s="454"/>
      <c r="AO506" s="473"/>
      <c r="AP506" s="456"/>
      <c r="AQ506" s="207"/>
      <c r="AR506" s="207"/>
    </row>
    <row r="507" spans="39:44" hidden="1">
      <c r="AM507" s="451"/>
      <c r="AN507" s="454"/>
      <c r="AO507" s="473"/>
      <c r="AP507" s="456"/>
      <c r="AQ507" s="207"/>
      <c r="AR507" s="207"/>
    </row>
    <row r="508" spans="39:44" hidden="1">
      <c r="AM508" s="451"/>
      <c r="AN508" s="454"/>
      <c r="AO508" s="473"/>
      <c r="AP508" s="456"/>
      <c r="AQ508" s="207"/>
      <c r="AR508" s="207"/>
    </row>
    <row r="509" spans="39:44" hidden="1">
      <c r="AM509" s="451"/>
      <c r="AN509" s="454"/>
      <c r="AO509" s="473"/>
      <c r="AP509" s="456"/>
      <c r="AQ509" s="207"/>
      <c r="AR509" s="207"/>
    </row>
    <row r="510" spans="39:44" hidden="1">
      <c r="AM510" s="461"/>
      <c r="AN510" s="454"/>
      <c r="AO510" s="473"/>
      <c r="AP510" s="456"/>
      <c r="AQ510" s="207"/>
      <c r="AR510" s="207"/>
    </row>
    <row r="511" spans="39:44" hidden="1">
      <c r="AM511" s="451"/>
      <c r="AN511" s="454"/>
      <c r="AO511" s="473"/>
      <c r="AP511" s="456"/>
      <c r="AQ511" s="207"/>
      <c r="AR511" s="207"/>
    </row>
    <row r="512" spans="39:44" hidden="1">
      <c r="AM512" s="451"/>
      <c r="AN512" s="454"/>
      <c r="AO512" s="473"/>
      <c r="AP512" s="456"/>
      <c r="AQ512" s="207"/>
      <c r="AR512" s="207"/>
    </row>
    <row r="513" spans="39:44" hidden="1">
      <c r="AM513" s="451"/>
      <c r="AN513" s="454"/>
      <c r="AO513" s="473"/>
      <c r="AP513" s="456"/>
      <c r="AQ513" s="207"/>
      <c r="AR513" s="207"/>
    </row>
    <row r="514" spans="39:44" hidden="1">
      <c r="AM514" s="451"/>
      <c r="AN514" s="454"/>
      <c r="AO514" s="473"/>
      <c r="AP514" s="456"/>
      <c r="AQ514" s="207"/>
      <c r="AR514" s="207"/>
    </row>
    <row r="515" spans="39:44" hidden="1">
      <c r="AM515" s="451"/>
      <c r="AN515" s="454"/>
      <c r="AO515" s="473"/>
      <c r="AP515" s="456"/>
      <c r="AQ515" s="207"/>
      <c r="AR515" s="207"/>
    </row>
    <row r="516" spans="39:44" hidden="1">
      <c r="AM516" s="451"/>
      <c r="AN516" s="455"/>
      <c r="AO516" s="473"/>
      <c r="AP516" s="456"/>
      <c r="AQ516" s="207"/>
      <c r="AR516" s="207"/>
    </row>
    <row r="517" spans="39:44" hidden="1">
      <c r="AM517" s="451"/>
      <c r="AN517" s="455"/>
      <c r="AO517" s="473"/>
      <c r="AP517" s="456"/>
      <c r="AQ517" s="207"/>
      <c r="AR517" s="207"/>
    </row>
    <row r="518" spans="39:44" hidden="1">
      <c r="AM518" s="461"/>
      <c r="AN518" s="455"/>
      <c r="AO518" s="473"/>
      <c r="AP518" s="456"/>
      <c r="AQ518" s="207"/>
      <c r="AR518" s="207"/>
    </row>
    <row r="519" spans="39:44">
      <c r="AM519" s="461" t="str">
        <f>AM499 &amp; ".3"</f>
        <v>4.0.3.3.1.3</v>
      </c>
      <c r="AN519" s="457" t="s">
        <v>85</v>
      </c>
      <c r="AO519" s="473" t="s">
        <v>216</v>
      </c>
      <c r="AP519" s="305">
        <f t="shared" ref="AP519:AP528" si="17">IF(AP552=0,0,AP585/AP552*1000)</f>
        <v>0</v>
      </c>
      <c r="AQ519" s="207"/>
      <c r="AR519" s="207"/>
    </row>
    <row r="520" spans="39:44">
      <c r="AM520" s="461" t="str">
        <f>AM499 &amp; ".4"</f>
        <v>4.0.3.3.1.4</v>
      </c>
      <c r="AN520" s="457" t="s">
        <v>87</v>
      </c>
      <c r="AO520" s="473" t="s">
        <v>216</v>
      </c>
      <c r="AP520" s="305">
        <f t="shared" si="17"/>
        <v>0</v>
      </c>
      <c r="AQ520" s="207"/>
      <c r="AR520" s="207"/>
    </row>
    <row r="521" spans="39:44">
      <c r="AM521" s="461" t="str">
        <f>AM499&amp;".5"</f>
        <v>4.0.3.3.1.5</v>
      </c>
      <c r="AN521" s="457" t="s">
        <v>89</v>
      </c>
      <c r="AO521" s="473" t="s">
        <v>216</v>
      </c>
      <c r="AP521" s="305">
        <f t="shared" si="17"/>
        <v>0</v>
      </c>
      <c r="AQ521" s="207"/>
      <c r="AR521" s="207"/>
    </row>
    <row r="522" spans="39:44">
      <c r="AM522" s="461" t="str">
        <f>AM499 &amp; ".6"</f>
        <v>4.0.3.3.1.6</v>
      </c>
      <c r="AN522" s="457" t="s">
        <v>91</v>
      </c>
      <c r="AO522" s="473" t="s">
        <v>216</v>
      </c>
      <c r="AP522" s="305">
        <f t="shared" si="17"/>
        <v>0</v>
      </c>
      <c r="AQ522" s="207"/>
      <c r="AR522" s="207"/>
    </row>
    <row r="523" spans="39:44">
      <c r="AM523" s="461" t="str">
        <f>AM499 &amp; ".7"</f>
        <v>4.0.3.3.1.7</v>
      </c>
      <c r="AN523" s="457" t="s">
        <v>93</v>
      </c>
      <c r="AO523" s="473" t="s">
        <v>216</v>
      </c>
      <c r="AP523" s="305">
        <f t="shared" si="17"/>
        <v>0</v>
      </c>
      <c r="AQ523" s="207"/>
      <c r="AR523" s="207"/>
    </row>
    <row r="524" spans="39:44">
      <c r="AM524" s="461" t="str">
        <f>AM499 &amp; ".8"</f>
        <v>4.0.3.3.1.8</v>
      </c>
      <c r="AN524" s="457" t="s">
        <v>95</v>
      </c>
      <c r="AO524" s="473" t="s">
        <v>216</v>
      </c>
      <c r="AP524" s="305">
        <f t="shared" si="17"/>
        <v>0</v>
      </c>
      <c r="AQ524" s="207"/>
      <c r="AR524" s="207"/>
    </row>
    <row r="525" spans="39:44">
      <c r="AM525" s="461" t="str">
        <f>AM499 &amp; ".9"</f>
        <v>4.0.3.3.1.9</v>
      </c>
      <c r="AN525" s="457" t="s">
        <v>2976</v>
      </c>
      <c r="AO525" s="473" t="s">
        <v>216</v>
      </c>
      <c r="AP525" s="305">
        <f t="shared" si="17"/>
        <v>0</v>
      </c>
      <c r="AQ525" s="207"/>
      <c r="AR525" s="207"/>
    </row>
    <row r="526" spans="39:44">
      <c r="AM526" s="461" t="str">
        <f>AM499 &amp; ".10"</f>
        <v>4.0.3.3.1.10</v>
      </c>
      <c r="AN526" s="457" t="s">
        <v>2978</v>
      </c>
      <c r="AO526" s="473" t="s">
        <v>216</v>
      </c>
      <c r="AP526" s="305">
        <f t="shared" si="17"/>
        <v>0</v>
      </c>
      <c r="AQ526" s="207"/>
      <c r="AR526" s="207"/>
    </row>
    <row r="527" spans="39:44">
      <c r="AM527" s="461" t="str">
        <f>AM499 &amp; ".11"</f>
        <v>4.0.3.3.1.11</v>
      </c>
      <c r="AN527" s="457" t="s">
        <v>2980</v>
      </c>
      <c r="AO527" s="473" t="s">
        <v>216</v>
      </c>
      <c r="AP527" s="305">
        <f t="shared" si="17"/>
        <v>0</v>
      </c>
      <c r="AQ527" s="207"/>
      <c r="AR527" s="207"/>
    </row>
    <row r="528" spans="39:44">
      <c r="AM528" s="461" t="str">
        <f>AM499 &amp; ".12"</f>
        <v>4.0.3.3.1.12</v>
      </c>
      <c r="AN528" s="457" t="s">
        <v>2982</v>
      </c>
      <c r="AO528" s="473" t="s">
        <v>216</v>
      </c>
      <c r="AP528" s="305">
        <f t="shared" si="17"/>
        <v>0</v>
      </c>
      <c r="AQ528" s="207"/>
      <c r="AR528" s="207"/>
    </row>
    <row r="529" spans="39:44" hidden="1">
      <c r="AM529" s="451"/>
      <c r="AN529" s="454"/>
      <c r="AO529" s="473"/>
      <c r="AP529" s="456"/>
      <c r="AQ529" s="207"/>
      <c r="AR529" s="207"/>
    </row>
    <row r="530" spans="39:44" hidden="1">
      <c r="AM530" s="451"/>
      <c r="AN530" s="454"/>
      <c r="AO530" s="473"/>
      <c r="AP530" s="456"/>
      <c r="AQ530" s="207"/>
      <c r="AR530" s="207"/>
    </row>
    <row r="531" spans="39:44">
      <c r="AM531" s="461" t="str">
        <f>AM499 &amp; ".15"</f>
        <v>4.0.3.3.1.15</v>
      </c>
      <c r="AN531" s="457" t="s">
        <v>291</v>
      </c>
      <c r="AO531" s="473" t="s">
        <v>216</v>
      </c>
      <c r="AP531" s="305">
        <f>IF(AP564=0,0,AP597/AP564*1000)</f>
        <v>0</v>
      </c>
      <c r="AQ531" s="207"/>
      <c r="AR531" s="207"/>
    </row>
    <row r="532" spans="39:44" ht="22.5">
      <c r="AM532" s="449" t="s">
        <v>279</v>
      </c>
      <c r="AN532" s="450" t="s">
        <v>244</v>
      </c>
      <c r="AO532" s="473"/>
      <c r="AP532" s="456"/>
      <c r="AQ532" s="207"/>
      <c r="AR532" s="207"/>
    </row>
    <row r="533" spans="39:44">
      <c r="AM533" s="461" t="str">
        <f>AM532 &amp; ".1"</f>
        <v>4.0.3.3.2.1</v>
      </c>
      <c r="AN533" s="453" t="s">
        <v>78</v>
      </c>
      <c r="AO533" s="473" t="s">
        <v>223</v>
      </c>
      <c r="AP533" s="305">
        <f>SUM(AQ533:AR533)</f>
        <v>0</v>
      </c>
      <c r="AQ533" s="207"/>
      <c r="AR533" s="207"/>
    </row>
    <row r="534" spans="39:44" hidden="1">
      <c r="AM534" s="461"/>
      <c r="AN534" s="454"/>
      <c r="AO534" s="473"/>
      <c r="AP534" s="456"/>
      <c r="AQ534" s="207"/>
      <c r="AR534" s="207"/>
    </row>
    <row r="535" spans="39:44" hidden="1">
      <c r="AM535" s="461"/>
      <c r="AN535" s="454"/>
      <c r="AO535" s="473"/>
      <c r="AP535" s="456"/>
      <c r="AQ535" s="207"/>
      <c r="AR535" s="207"/>
    </row>
    <row r="536" spans="39:44" hidden="1">
      <c r="AM536" s="451"/>
      <c r="AN536" s="454"/>
      <c r="AO536" s="473"/>
      <c r="AP536" s="456"/>
      <c r="AQ536" s="207"/>
      <c r="AR536" s="207"/>
    </row>
    <row r="537" spans="39:44" hidden="1">
      <c r="AM537" s="451"/>
      <c r="AN537" s="454"/>
      <c r="AO537" s="473"/>
      <c r="AP537" s="456"/>
      <c r="AQ537" s="207"/>
      <c r="AR537" s="207"/>
    </row>
    <row r="538" spans="39:44" hidden="1">
      <c r="AM538" s="451"/>
      <c r="AN538" s="454"/>
      <c r="AO538" s="473"/>
      <c r="AP538" s="456"/>
      <c r="AQ538" s="207"/>
      <c r="AR538" s="207"/>
    </row>
    <row r="539" spans="39:44" hidden="1">
      <c r="AM539" s="451"/>
      <c r="AN539" s="454"/>
      <c r="AO539" s="473"/>
      <c r="AP539" s="456"/>
      <c r="AQ539" s="207"/>
      <c r="AR539" s="207"/>
    </row>
    <row r="540" spans="39:44" hidden="1">
      <c r="AM540" s="451"/>
      <c r="AN540" s="454"/>
      <c r="AO540" s="473"/>
      <c r="AP540" s="456"/>
      <c r="AQ540" s="207"/>
      <c r="AR540" s="207"/>
    </row>
    <row r="541" spans="39:44" hidden="1">
      <c r="AM541" s="451"/>
      <c r="AN541" s="454"/>
      <c r="AO541" s="473"/>
      <c r="AP541" s="456"/>
      <c r="AQ541" s="207"/>
      <c r="AR541" s="207"/>
    </row>
    <row r="542" spans="39:44" hidden="1">
      <c r="AM542" s="451"/>
      <c r="AN542" s="454"/>
      <c r="AO542" s="473"/>
      <c r="AP542" s="456"/>
      <c r="AQ542" s="207"/>
      <c r="AR542" s="207"/>
    </row>
    <row r="543" spans="39:44" hidden="1">
      <c r="AM543" s="461"/>
      <c r="AN543" s="454"/>
      <c r="AO543" s="473"/>
      <c r="AP543" s="456"/>
      <c r="AQ543" s="207"/>
      <c r="AR543" s="207"/>
    </row>
    <row r="544" spans="39:44" hidden="1">
      <c r="AM544" s="451"/>
      <c r="AN544" s="454"/>
      <c r="AO544" s="473"/>
      <c r="AP544" s="456"/>
      <c r="AQ544" s="207"/>
      <c r="AR544" s="207"/>
    </row>
    <row r="545" spans="39:44" hidden="1">
      <c r="AM545" s="451"/>
      <c r="AN545" s="454"/>
      <c r="AO545" s="473"/>
      <c r="AP545" s="456"/>
      <c r="AQ545" s="207"/>
      <c r="AR545" s="207"/>
    </row>
    <row r="546" spans="39:44" hidden="1">
      <c r="AM546" s="451"/>
      <c r="AN546" s="454"/>
      <c r="AO546" s="473"/>
      <c r="AP546" s="456"/>
      <c r="AQ546" s="207"/>
      <c r="AR546" s="207"/>
    </row>
    <row r="547" spans="39:44" hidden="1">
      <c r="AM547" s="451"/>
      <c r="AN547" s="454"/>
      <c r="AO547" s="473"/>
      <c r="AP547" s="456"/>
      <c r="AQ547" s="207"/>
      <c r="AR547" s="207"/>
    </row>
    <row r="548" spans="39:44" hidden="1">
      <c r="AM548" s="451"/>
      <c r="AN548" s="454"/>
      <c r="AO548" s="473"/>
      <c r="AP548" s="456"/>
      <c r="AQ548" s="207"/>
      <c r="AR548" s="207"/>
    </row>
    <row r="549" spans="39:44" hidden="1">
      <c r="AM549" s="451"/>
      <c r="AN549" s="455"/>
      <c r="AO549" s="473"/>
      <c r="AP549" s="456"/>
      <c r="AQ549" s="207"/>
      <c r="AR549" s="207"/>
    </row>
    <row r="550" spans="39:44" hidden="1">
      <c r="AM550" s="451"/>
      <c r="AN550" s="455"/>
      <c r="AO550" s="473"/>
      <c r="AP550" s="456"/>
      <c r="AQ550" s="207"/>
      <c r="AR550" s="207"/>
    </row>
    <row r="551" spans="39:44" hidden="1">
      <c r="AM551" s="461"/>
      <c r="AN551" s="455"/>
      <c r="AO551" s="473"/>
      <c r="AP551" s="456"/>
      <c r="AQ551" s="207"/>
      <c r="AR551" s="207"/>
    </row>
    <row r="552" spans="39:44">
      <c r="AM552" s="461" t="str">
        <f>AM532 &amp; ".3"</f>
        <v>4.0.3.3.2.3</v>
      </c>
      <c r="AN552" s="457" t="s">
        <v>85</v>
      </c>
      <c r="AO552" s="473" t="s">
        <v>223</v>
      </c>
      <c r="AP552" s="305">
        <f t="shared" ref="AP552:AP566" si="18">SUM(AQ552:AR552)</f>
        <v>0</v>
      </c>
      <c r="AQ552" s="207"/>
      <c r="AR552" s="207"/>
    </row>
    <row r="553" spans="39:44">
      <c r="AM553" s="461" t="str">
        <f>AM532 &amp; ".4"</f>
        <v>4.0.3.3.2.4</v>
      </c>
      <c r="AN553" s="457" t="s">
        <v>87</v>
      </c>
      <c r="AO553" s="473" t="s">
        <v>223</v>
      </c>
      <c r="AP553" s="305">
        <f t="shared" si="18"/>
        <v>0</v>
      </c>
      <c r="AQ553" s="207"/>
      <c r="AR553" s="207"/>
    </row>
    <row r="554" spans="39:44">
      <c r="AM554" s="461" t="str">
        <f>AM532&amp;".5"</f>
        <v>4.0.3.3.2.5</v>
      </c>
      <c r="AN554" s="457" t="s">
        <v>89</v>
      </c>
      <c r="AO554" s="473" t="s">
        <v>223</v>
      </c>
      <c r="AP554" s="305">
        <f t="shared" si="18"/>
        <v>0</v>
      </c>
      <c r="AQ554" s="207"/>
      <c r="AR554" s="207"/>
    </row>
    <row r="555" spans="39:44">
      <c r="AM555" s="461" t="str">
        <f>AM532 &amp; ".6"</f>
        <v>4.0.3.3.2.6</v>
      </c>
      <c r="AN555" s="457" t="s">
        <v>91</v>
      </c>
      <c r="AO555" s="473" t="s">
        <v>223</v>
      </c>
      <c r="AP555" s="305">
        <f t="shared" si="18"/>
        <v>0</v>
      </c>
      <c r="AQ555" s="207"/>
      <c r="AR555" s="207"/>
    </row>
    <row r="556" spans="39:44">
      <c r="AM556" s="461" t="str">
        <f>AM532 &amp; ".7"</f>
        <v>4.0.3.3.2.7</v>
      </c>
      <c r="AN556" s="457" t="s">
        <v>93</v>
      </c>
      <c r="AO556" s="473" t="s">
        <v>223</v>
      </c>
      <c r="AP556" s="305">
        <f t="shared" si="18"/>
        <v>0</v>
      </c>
      <c r="AQ556" s="207"/>
      <c r="AR556" s="207"/>
    </row>
    <row r="557" spans="39:44">
      <c r="AM557" s="461" t="str">
        <f>AM532 &amp; ".8"</f>
        <v>4.0.3.3.2.8</v>
      </c>
      <c r="AN557" s="457" t="s">
        <v>95</v>
      </c>
      <c r="AO557" s="473" t="s">
        <v>223</v>
      </c>
      <c r="AP557" s="305">
        <f t="shared" si="18"/>
        <v>0</v>
      </c>
      <c r="AQ557" s="207"/>
      <c r="AR557" s="207"/>
    </row>
    <row r="558" spans="39:44">
      <c r="AM558" s="461" t="str">
        <f>AM532 &amp; ".9"</f>
        <v>4.0.3.3.2.9</v>
      </c>
      <c r="AN558" s="457" t="s">
        <v>2976</v>
      </c>
      <c r="AO558" s="473" t="s">
        <v>223</v>
      </c>
      <c r="AP558" s="305">
        <f t="shared" si="18"/>
        <v>0</v>
      </c>
      <c r="AQ558" s="207"/>
      <c r="AR558" s="207"/>
    </row>
    <row r="559" spans="39:44">
      <c r="AM559" s="461" t="str">
        <f>AM532 &amp; ".10"</f>
        <v>4.0.3.3.2.10</v>
      </c>
      <c r="AN559" s="457" t="s">
        <v>2978</v>
      </c>
      <c r="AO559" s="473" t="s">
        <v>223</v>
      </c>
      <c r="AP559" s="305">
        <f t="shared" si="18"/>
        <v>0</v>
      </c>
      <c r="AQ559" s="207"/>
      <c r="AR559" s="207"/>
    </row>
    <row r="560" spans="39:44">
      <c r="AM560" s="461" t="str">
        <f>AM532 &amp; ".11"</f>
        <v>4.0.3.3.2.11</v>
      </c>
      <c r="AN560" s="457" t="s">
        <v>2980</v>
      </c>
      <c r="AO560" s="473" t="s">
        <v>223</v>
      </c>
      <c r="AP560" s="305">
        <f t="shared" si="18"/>
        <v>0</v>
      </c>
      <c r="AQ560" s="207"/>
      <c r="AR560" s="207"/>
    </row>
    <row r="561" spans="39:44">
      <c r="AM561" s="461" t="str">
        <f>AM532 &amp; ".12"</f>
        <v>4.0.3.3.2.12</v>
      </c>
      <c r="AN561" s="457" t="s">
        <v>2982</v>
      </c>
      <c r="AO561" s="473" t="s">
        <v>223</v>
      </c>
      <c r="AP561" s="305">
        <f t="shared" si="18"/>
        <v>0</v>
      </c>
      <c r="AQ561" s="207"/>
      <c r="AR561" s="207"/>
    </row>
    <row r="562" spans="39:44" hidden="1">
      <c r="AM562" s="451"/>
      <c r="AN562" s="454"/>
      <c r="AO562" s="473"/>
      <c r="AP562" s="456"/>
      <c r="AQ562" s="207"/>
      <c r="AR562" s="207"/>
    </row>
    <row r="563" spans="39:44" hidden="1">
      <c r="AM563" s="451"/>
      <c r="AN563" s="454"/>
      <c r="AO563" s="473"/>
      <c r="AP563" s="456"/>
      <c r="AQ563" s="207"/>
      <c r="AR563" s="207"/>
    </row>
    <row r="564" spans="39:44">
      <c r="AM564" s="461" t="str">
        <f>AM532 &amp; ".15"</f>
        <v>4.0.3.3.2.15</v>
      </c>
      <c r="AN564" s="457" t="s">
        <v>291</v>
      </c>
      <c r="AO564" s="473" t="s">
        <v>223</v>
      </c>
      <c r="AP564" s="305">
        <f>SUM(AQ564:AR564)</f>
        <v>0</v>
      </c>
      <c r="AQ564" s="207"/>
      <c r="AR564" s="207"/>
    </row>
    <row r="565" spans="39:44" ht="22.5">
      <c r="AM565" s="449" t="s">
        <v>280</v>
      </c>
      <c r="AN565" s="450" t="s">
        <v>245</v>
      </c>
      <c r="AO565" s="473" t="s">
        <v>786</v>
      </c>
      <c r="AP565" s="305">
        <f t="shared" si="18"/>
        <v>0</v>
      </c>
      <c r="AQ565" s="207"/>
      <c r="AR565" s="207"/>
    </row>
    <row r="566" spans="39:44">
      <c r="AM566" s="461" t="str">
        <f>AM565 &amp; ".1"</f>
        <v>4.0.3.3.3.1</v>
      </c>
      <c r="AN566" s="453" t="s">
        <v>78</v>
      </c>
      <c r="AO566" s="473" t="s">
        <v>786</v>
      </c>
      <c r="AP566" s="305">
        <f t="shared" si="18"/>
        <v>0</v>
      </c>
      <c r="AQ566" s="207"/>
      <c r="AR566" s="207"/>
    </row>
    <row r="567" spans="39:44" hidden="1">
      <c r="AM567" s="461"/>
      <c r="AN567" s="454"/>
      <c r="AO567" s="473"/>
      <c r="AP567" s="456"/>
      <c r="AQ567" s="207"/>
      <c r="AR567" s="207"/>
    </row>
    <row r="568" spans="39:44" hidden="1">
      <c r="AM568" s="461"/>
      <c r="AN568" s="454"/>
      <c r="AO568" s="473"/>
      <c r="AP568" s="456"/>
      <c r="AQ568" s="207"/>
      <c r="AR568" s="207"/>
    </row>
    <row r="569" spans="39:44" hidden="1">
      <c r="AM569" s="451"/>
      <c r="AN569" s="454"/>
      <c r="AO569" s="473"/>
      <c r="AP569" s="456"/>
      <c r="AQ569" s="207"/>
      <c r="AR569" s="207"/>
    </row>
    <row r="570" spans="39:44" hidden="1">
      <c r="AM570" s="451"/>
      <c r="AN570" s="454"/>
      <c r="AO570" s="473"/>
      <c r="AP570" s="456"/>
      <c r="AQ570" s="207"/>
      <c r="AR570" s="207"/>
    </row>
    <row r="571" spans="39:44" hidden="1">
      <c r="AM571" s="451"/>
      <c r="AN571" s="454"/>
      <c r="AO571" s="473"/>
      <c r="AP571" s="456"/>
      <c r="AQ571" s="207"/>
      <c r="AR571" s="207"/>
    </row>
    <row r="572" spans="39:44" hidden="1">
      <c r="AM572" s="451"/>
      <c r="AN572" s="454"/>
      <c r="AO572" s="473"/>
      <c r="AP572" s="456"/>
      <c r="AQ572" s="207"/>
      <c r="AR572" s="207"/>
    </row>
    <row r="573" spans="39:44" hidden="1">
      <c r="AM573" s="451"/>
      <c r="AN573" s="454"/>
      <c r="AO573" s="473"/>
      <c r="AP573" s="456"/>
      <c r="AQ573" s="207"/>
      <c r="AR573" s="207"/>
    </row>
    <row r="574" spans="39:44" hidden="1">
      <c r="AM574" s="451"/>
      <c r="AN574" s="454"/>
      <c r="AO574" s="473"/>
      <c r="AP574" s="456"/>
      <c r="AQ574" s="207"/>
      <c r="AR574" s="207"/>
    </row>
    <row r="575" spans="39:44" hidden="1">
      <c r="AM575" s="451"/>
      <c r="AN575" s="454"/>
      <c r="AO575" s="473"/>
      <c r="AP575" s="456"/>
      <c r="AQ575" s="207"/>
      <c r="AR575" s="207"/>
    </row>
    <row r="576" spans="39:44" hidden="1">
      <c r="AM576" s="461"/>
      <c r="AN576" s="454"/>
      <c r="AO576" s="473"/>
      <c r="AP576" s="456"/>
      <c r="AQ576" s="207"/>
      <c r="AR576" s="207"/>
    </row>
    <row r="577" spans="39:44" hidden="1">
      <c r="AM577" s="451"/>
      <c r="AN577" s="454"/>
      <c r="AO577" s="473"/>
      <c r="AP577" s="456"/>
      <c r="AQ577" s="207"/>
      <c r="AR577" s="207"/>
    </row>
    <row r="578" spans="39:44" hidden="1">
      <c r="AM578" s="451"/>
      <c r="AN578" s="454"/>
      <c r="AO578" s="473"/>
      <c r="AP578" s="456"/>
      <c r="AQ578" s="207"/>
      <c r="AR578" s="207"/>
    </row>
    <row r="579" spans="39:44" hidden="1">
      <c r="AM579" s="451"/>
      <c r="AN579" s="454"/>
      <c r="AO579" s="473"/>
      <c r="AP579" s="456"/>
      <c r="AQ579" s="207"/>
      <c r="AR579" s="207"/>
    </row>
    <row r="580" spans="39:44" hidden="1">
      <c r="AM580" s="451"/>
      <c r="AN580" s="454"/>
      <c r="AO580" s="473"/>
      <c r="AP580" s="456"/>
      <c r="AQ580" s="207"/>
      <c r="AR580" s="207"/>
    </row>
    <row r="581" spans="39:44" hidden="1">
      <c r="AM581" s="451"/>
      <c r="AN581" s="454"/>
      <c r="AO581" s="473"/>
      <c r="AP581" s="456"/>
      <c r="AQ581" s="207"/>
      <c r="AR581" s="207"/>
    </row>
    <row r="582" spans="39:44" hidden="1">
      <c r="AM582" s="451"/>
      <c r="AN582" s="455"/>
      <c r="AO582" s="473"/>
      <c r="AP582" s="456"/>
      <c r="AQ582" s="207"/>
      <c r="AR582" s="207"/>
    </row>
    <row r="583" spans="39:44" hidden="1">
      <c r="AM583" s="451"/>
      <c r="AN583" s="455"/>
      <c r="AO583" s="473"/>
      <c r="AP583" s="456"/>
      <c r="AQ583" s="207"/>
      <c r="AR583" s="207"/>
    </row>
    <row r="584" spans="39:44" hidden="1">
      <c r="AM584" s="461"/>
      <c r="AN584" s="455"/>
      <c r="AO584" s="473"/>
      <c r="AP584" s="456"/>
      <c r="AQ584" s="207"/>
      <c r="AR584" s="207"/>
    </row>
    <row r="585" spans="39:44">
      <c r="AM585" s="461" t="str">
        <f>AM565 &amp; ".3"</f>
        <v>4.0.3.3.3.3</v>
      </c>
      <c r="AN585" s="457" t="s">
        <v>85</v>
      </c>
      <c r="AO585" s="473" t="s">
        <v>786</v>
      </c>
      <c r="AP585" s="305">
        <f t="shared" ref="AP585:AP594" si="19">SUM(AQ585:AR585)</f>
        <v>0</v>
      </c>
      <c r="AQ585" s="207"/>
      <c r="AR585" s="207"/>
    </row>
    <row r="586" spans="39:44">
      <c r="AM586" s="461" t="str">
        <f>AM565 &amp; ".4"</f>
        <v>4.0.3.3.3.4</v>
      </c>
      <c r="AN586" s="457" t="s">
        <v>87</v>
      </c>
      <c r="AO586" s="473" t="s">
        <v>786</v>
      </c>
      <c r="AP586" s="305">
        <f t="shared" si="19"/>
        <v>0</v>
      </c>
      <c r="AQ586" s="207"/>
      <c r="AR586" s="207"/>
    </row>
    <row r="587" spans="39:44">
      <c r="AM587" s="461" t="str">
        <f>AM565&amp;".5"</f>
        <v>4.0.3.3.3.5</v>
      </c>
      <c r="AN587" s="457" t="s">
        <v>89</v>
      </c>
      <c r="AO587" s="473" t="s">
        <v>786</v>
      </c>
      <c r="AP587" s="305">
        <f t="shared" si="19"/>
        <v>0</v>
      </c>
      <c r="AQ587" s="207"/>
      <c r="AR587" s="207"/>
    </row>
    <row r="588" spans="39:44">
      <c r="AM588" s="461" t="str">
        <f>AM565 &amp; ".6"</f>
        <v>4.0.3.3.3.6</v>
      </c>
      <c r="AN588" s="457" t="s">
        <v>91</v>
      </c>
      <c r="AO588" s="473" t="s">
        <v>786</v>
      </c>
      <c r="AP588" s="305">
        <f t="shared" si="19"/>
        <v>0</v>
      </c>
      <c r="AQ588" s="207"/>
      <c r="AR588" s="207"/>
    </row>
    <row r="589" spans="39:44">
      <c r="AM589" s="461" t="str">
        <f>AM565 &amp; ".7"</f>
        <v>4.0.3.3.3.7</v>
      </c>
      <c r="AN589" s="457" t="s">
        <v>93</v>
      </c>
      <c r="AO589" s="473" t="s">
        <v>786</v>
      </c>
      <c r="AP589" s="305">
        <f t="shared" si="19"/>
        <v>0</v>
      </c>
      <c r="AQ589" s="207"/>
      <c r="AR589" s="207"/>
    </row>
    <row r="590" spans="39:44">
      <c r="AM590" s="461" t="str">
        <f>AM565 &amp; ".8"</f>
        <v>4.0.3.3.3.8</v>
      </c>
      <c r="AN590" s="457" t="s">
        <v>95</v>
      </c>
      <c r="AO590" s="473" t="s">
        <v>786</v>
      </c>
      <c r="AP590" s="305">
        <f t="shared" si="19"/>
        <v>0</v>
      </c>
      <c r="AQ590" s="207"/>
      <c r="AR590" s="207"/>
    </row>
    <row r="591" spans="39:44">
      <c r="AM591" s="461" t="str">
        <f>AM565 &amp; ".9"</f>
        <v>4.0.3.3.3.9</v>
      </c>
      <c r="AN591" s="457" t="s">
        <v>2976</v>
      </c>
      <c r="AO591" s="473" t="s">
        <v>786</v>
      </c>
      <c r="AP591" s="305">
        <f t="shared" si="19"/>
        <v>0</v>
      </c>
      <c r="AQ591" s="207"/>
      <c r="AR591" s="207"/>
    </row>
    <row r="592" spans="39:44">
      <c r="AM592" s="461" t="str">
        <f>AM565 &amp; ".10"</f>
        <v>4.0.3.3.3.10</v>
      </c>
      <c r="AN592" s="457" t="s">
        <v>2978</v>
      </c>
      <c r="AO592" s="473" t="s">
        <v>786</v>
      </c>
      <c r="AP592" s="305">
        <f t="shared" si="19"/>
        <v>0</v>
      </c>
      <c r="AQ592" s="207"/>
      <c r="AR592" s="207"/>
    </row>
    <row r="593" spans="39:44">
      <c r="AM593" s="461" t="str">
        <f>AM565 &amp; ".11"</f>
        <v>4.0.3.3.3.11</v>
      </c>
      <c r="AN593" s="457" t="s">
        <v>2980</v>
      </c>
      <c r="AO593" s="473" t="s">
        <v>786</v>
      </c>
      <c r="AP593" s="305">
        <f t="shared" si="19"/>
        <v>0</v>
      </c>
      <c r="AQ593" s="207"/>
      <c r="AR593" s="207"/>
    </row>
    <row r="594" spans="39:44">
      <c r="AM594" s="461" t="str">
        <f>AM565 &amp; ".12"</f>
        <v>4.0.3.3.3.12</v>
      </c>
      <c r="AN594" s="457" t="s">
        <v>2982</v>
      </c>
      <c r="AO594" s="473" t="s">
        <v>786</v>
      </c>
      <c r="AP594" s="305">
        <f t="shared" si="19"/>
        <v>0</v>
      </c>
      <c r="AQ594" s="207"/>
      <c r="AR594" s="207"/>
    </row>
    <row r="595" spans="39:44" hidden="1">
      <c r="AM595" s="451"/>
      <c r="AN595" s="454"/>
      <c r="AO595" s="473"/>
      <c r="AP595" s="456"/>
      <c r="AQ595" s="207"/>
      <c r="AR595" s="207"/>
    </row>
    <row r="596" spans="39:44" hidden="1">
      <c r="AM596" s="451"/>
      <c r="AN596" s="454"/>
      <c r="AO596" s="473"/>
      <c r="AP596" s="456"/>
      <c r="AQ596" s="207"/>
      <c r="AR596" s="207"/>
    </row>
    <row r="597" spans="39:44">
      <c r="AM597" s="461" t="str">
        <f>AM565 &amp; ".15"</f>
        <v>4.0.3.3.3.15</v>
      </c>
      <c r="AN597" s="457" t="s">
        <v>291</v>
      </c>
      <c r="AO597" s="473" t="s">
        <v>786</v>
      </c>
      <c r="AP597" s="305">
        <f>SUM(AQ597:AR597)</f>
        <v>0</v>
      </c>
      <c r="AQ597" s="207"/>
      <c r="AR597" s="207"/>
    </row>
    <row r="598" spans="39:44" ht="22.5">
      <c r="AM598" s="449" t="s">
        <v>281</v>
      </c>
      <c r="AN598" s="450" t="s">
        <v>246</v>
      </c>
      <c r="AO598" s="473"/>
      <c r="AP598" s="456"/>
      <c r="AQ598" s="207"/>
      <c r="AR598" s="207"/>
    </row>
    <row r="599" spans="39:44">
      <c r="AM599" s="461" t="str">
        <f>AM598 &amp; ".1"</f>
        <v>4.0.3.4.1.1</v>
      </c>
      <c r="AN599" s="453" t="s">
        <v>78</v>
      </c>
      <c r="AO599" s="473" t="s">
        <v>216</v>
      </c>
      <c r="AP599" s="305">
        <f>IF(AP632=0,0,AP665/AP632*1000)</f>
        <v>0</v>
      </c>
      <c r="AQ599" s="207"/>
      <c r="AR599" s="207"/>
    </row>
    <row r="600" spans="39:44" hidden="1">
      <c r="AM600" s="461"/>
      <c r="AN600" s="454"/>
      <c r="AO600" s="473"/>
      <c r="AP600" s="456"/>
      <c r="AQ600" s="207"/>
      <c r="AR600" s="207"/>
    </row>
    <row r="601" spans="39:44" hidden="1">
      <c r="AM601" s="461"/>
      <c r="AN601" s="454"/>
      <c r="AO601" s="473"/>
      <c r="AP601" s="456"/>
      <c r="AQ601" s="207"/>
      <c r="AR601" s="207"/>
    </row>
    <row r="602" spans="39:44" hidden="1">
      <c r="AM602" s="451"/>
      <c r="AN602" s="454"/>
      <c r="AO602" s="473"/>
      <c r="AP602" s="456"/>
      <c r="AQ602" s="207"/>
      <c r="AR602" s="207"/>
    </row>
    <row r="603" spans="39:44" hidden="1">
      <c r="AM603" s="451"/>
      <c r="AN603" s="454"/>
      <c r="AO603" s="473"/>
      <c r="AP603" s="456"/>
      <c r="AQ603" s="207"/>
      <c r="AR603" s="207"/>
    </row>
    <row r="604" spans="39:44" hidden="1">
      <c r="AM604" s="451"/>
      <c r="AN604" s="454"/>
      <c r="AO604" s="473"/>
      <c r="AP604" s="456"/>
      <c r="AQ604" s="207"/>
      <c r="AR604" s="207"/>
    </row>
    <row r="605" spans="39:44" hidden="1">
      <c r="AM605" s="451"/>
      <c r="AN605" s="454"/>
      <c r="AO605" s="473"/>
      <c r="AP605" s="456"/>
      <c r="AQ605" s="207"/>
      <c r="AR605" s="207"/>
    </row>
    <row r="606" spans="39:44" hidden="1">
      <c r="AM606" s="451"/>
      <c r="AN606" s="454"/>
      <c r="AO606" s="473"/>
      <c r="AP606" s="456"/>
      <c r="AQ606" s="207"/>
      <c r="AR606" s="207"/>
    </row>
    <row r="607" spans="39:44" hidden="1">
      <c r="AM607" s="451"/>
      <c r="AN607" s="454"/>
      <c r="AO607" s="473"/>
      <c r="AP607" s="456"/>
      <c r="AQ607" s="207"/>
      <c r="AR607" s="207"/>
    </row>
    <row r="608" spans="39:44" hidden="1">
      <c r="AM608" s="451"/>
      <c r="AN608" s="454"/>
      <c r="AO608" s="473"/>
      <c r="AP608" s="456"/>
      <c r="AQ608" s="207"/>
      <c r="AR608" s="207"/>
    </row>
    <row r="609" spans="39:44" hidden="1">
      <c r="AM609" s="461"/>
      <c r="AN609" s="454"/>
      <c r="AO609" s="473"/>
      <c r="AP609" s="456"/>
      <c r="AQ609" s="207"/>
      <c r="AR609" s="207"/>
    </row>
    <row r="610" spans="39:44" hidden="1">
      <c r="AM610" s="451"/>
      <c r="AN610" s="454"/>
      <c r="AO610" s="473"/>
      <c r="AP610" s="456"/>
      <c r="AQ610" s="207"/>
      <c r="AR610" s="207"/>
    </row>
    <row r="611" spans="39:44" hidden="1">
      <c r="AM611" s="451"/>
      <c r="AN611" s="454"/>
      <c r="AO611" s="473"/>
      <c r="AP611" s="456"/>
      <c r="AQ611" s="207"/>
      <c r="AR611" s="207"/>
    </row>
    <row r="612" spans="39:44" hidden="1">
      <c r="AM612" s="451"/>
      <c r="AN612" s="454"/>
      <c r="AO612" s="473"/>
      <c r="AP612" s="456"/>
      <c r="AQ612" s="207"/>
      <c r="AR612" s="207"/>
    </row>
    <row r="613" spans="39:44" hidden="1">
      <c r="AM613" s="451"/>
      <c r="AN613" s="454"/>
      <c r="AO613" s="473"/>
      <c r="AP613" s="456"/>
      <c r="AQ613" s="207"/>
      <c r="AR613" s="207"/>
    </row>
    <row r="614" spans="39:44" hidden="1">
      <c r="AM614" s="451"/>
      <c r="AN614" s="454"/>
      <c r="AO614" s="473"/>
      <c r="AP614" s="456"/>
      <c r="AQ614" s="207"/>
      <c r="AR614" s="207"/>
    </row>
    <row r="615" spans="39:44" hidden="1">
      <c r="AM615" s="451"/>
      <c r="AN615" s="455"/>
      <c r="AO615" s="473"/>
      <c r="AP615" s="456"/>
      <c r="AQ615" s="207"/>
      <c r="AR615" s="207"/>
    </row>
    <row r="616" spans="39:44" hidden="1">
      <c r="AM616" s="451"/>
      <c r="AN616" s="455"/>
      <c r="AO616" s="473"/>
      <c r="AP616" s="456"/>
      <c r="AQ616" s="207"/>
      <c r="AR616" s="207"/>
    </row>
    <row r="617" spans="39:44" hidden="1">
      <c r="AM617" s="461"/>
      <c r="AN617" s="455"/>
      <c r="AO617" s="473"/>
      <c r="AP617" s="456"/>
      <c r="AQ617" s="207"/>
      <c r="AR617" s="207"/>
    </row>
    <row r="618" spans="39:44">
      <c r="AM618" s="461" t="str">
        <f>AM598 &amp; ".3"</f>
        <v>4.0.3.4.1.3</v>
      </c>
      <c r="AN618" s="457" t="s">
        <v>85</v>
      </c>
      <c r="AO618" s="473" t="s">
        <v>216</v>
      </c>
      <c r="AP618" s="305">
        <f t="shared" ref="AP618:AP627" si="20">IF(AP651=0,0,AP684/AP651*1000)</f>
        <v>0</v>
      </c>
      <c r="AQ618" s="207"/>
      <c r="AR618" s="207"/>
    </row>
    <row r="619" spans="39:44">
      <c r="AM619" s="461" t="str">
        <f>AM598 &amp; ".4"</f>
        <v>4.0.3.4.1.4</v>
      </c>
      <c r="AN619" s="457" t="s">
        <v>87</v>
      </c>
      <c r="AO619" s="473" t="s">
        <v>216</v>
      </c>
      <c r="AP619" s="305">
        <f t="shared" si="20"/>
        <v>0</v>
      </c>
      <c r="AQ619" s="207"/>
      <c r="AR619" s="207"/>
    </row>
    <row r="620" spans="39:44">
      <c r="AM620" s="461" t="str">
        <f>AM598&amp;".5"</f>
        <v>4.0.3.4.1.5</v>
      </c>
      <c r="AN620" s="457" t="s">
        <v>89</v>
      </c>
      <c r="AO620" s="473" t="s">
        <v>216</v>
      </c>
      <c r="AP620" s="305">
        <f t="shared" si="20"/>
        <v>0</v>
      </c>
      <c r="AQ620" s="207"/>
      <c r="AR620" s="207"/>
    </row>
    <row r="621" spans="39:44">
      <c r="AM621" s="461" t="str">
        <f>AM598 &amp; ".6"</f>
        <v>4.0.3.4.1.6</v>
      </c>
      <c r="AN621" s="457" t="s">
        <v>91</v>
      </c>
      <c r="AO621" s="473" t="s">
        <v>216</v>
      </c>
      <c r="AP621" s="305">
        <f t="shared" si="20"/>
        <v>0</v>
      </c>
      <c r="AQ621" s="207"/>
      <c r="AR621" s="207"/>
    </row>
    <row r="622" spans="39:44">
      <c r="AM622" s="461" t="str">
        <f>AM598 &amp; ".7"</f>
        <v>4.0.3.4.1.7</v>
      </c>
      <c r="AN622" s="457" t="s">
        <v>93</v>
      </c>
      <c r="AO622" s="473" t="s">
        <v>216</v>
      </c>
      <c r="AP622" s="305">
        <f t="shared" si="20"/>
        <v>0</v>
      </c>
      <c r="AQ622" s="207"/>
      <c r="AR622" s="207"/>
    </row>
    <row r="623" spans="39:44">
      <c r="AM623" s="461" t="str">
        <f>AM598 &amp; ".8"</f>
        <v>4.0.3.4.1.8</v>
      </c>
      <c r="AN623" s="457" t="s">
        <v>95</v>
      </c>
      <c r="AO623" s="473" t="s">
        <v>216</v>
      </c>
      <c r="AP623" s="305">
        <f t="shared" si="20"/>
        <v>0</v>
      </c>
      <c r="AQ623" s="207"/>
      <c r="AR623" s="207"/>
    </row>
    <row r="624" spans="39:44">
      <c r="AM624" s="461" t="str">
        <f>AM598 &amp; ".9"</f>
        <v>4.0.3.4.1.9</v>
      </c>
      <c r="AN624" s="457" t="s">
        <v>2976</v>
      </c>
      <c r="AO624" s="473" t="s">
        <v>216</v>
      </c>
      <c r="AP624" s="305">
        <f t="shared" si="20"/>
        <v>0</v>
      </c>
      <c r="AQ624" s="207"/>
      <c r="AR624" s="207"/>
    </row>
    <row r="625" spans="39:44">
      <c r="AM625" s="461" t="str">
        <f>AM598 &amp; ".10"</f>
        <v>4.0.3.4.1.10</v>
      </c>
      <c r="AN625" s="457" t="s">
        <v>2978</v>
      </c>
      <c r="AO625" s="473" t="s">
        <v>216</v>
      </c>
      <c r="AP625" s="305">
        <f t="shared" si="20"/>
        <v>0</v>
      </c>
      <c r="AQ625" s="207"/>
      <c r="AR625" s="207"/>
    </row>
    <row r="626" spans="39:44">
      <c r="AM626" s="461" t="str">
        <f>AM598 &amp; ".11"</f>
        <v>4.0.3.4.1.11</v>
      </c>
      <c r="AN626" s="457" t="s">
        <v>2980</v>
      </c>
      <c r="AO626" s="473" t="s">
        <v>216</v>
      </c>
      <c r="AP626" s="305">
        <f t="shared" si="20"/>
        <v>0</v>
      </c>
      <c r="AQ626" s="207"/>
      <c r="AR626" s="207"/>
    </row>
    <row r="627" spans="39:44">
      <c r="AM627" s="461" t="str">
        <f>AM598 &amp; ".12"</f>
        <v>4.0.3.4.1.12</v>
      </c>
      <c r="AN627" s="457" t="s">
        <v>2982</v>
      </c>
      <c r="AO627" s="473" t="s">
        <v>216</v>
      </c>
      <c r="AP627" s="305">
        <f t="shared" si="20"/>
        <v>0</v>
      </c>
      <c r="AQ627" s="207"/>
      <c r="AR627" s="207"/>
    </row>
    <row r="628" spans="39:44" hidden="1">
      <c r="AM628" s="451"/>
      <c r="AN628" s="454"/>
      <c r="AO628" s="473"/>
      <c r="AP628" s="456"/>
      <c r="AQ628" s="207"/>
      <c r="AR628" s="207"/>
    </row>
    <row r="629" spans="39:44" hidden="1">
      <c r="AM629" s="451"/>
      <c r="AN629" s="454"/>
      <c r="AO629" s="473"/>
      <c r="AP629" s="456"/>
      <c r="AQ629" s="207"/>
      <c r="AR629" s="207"/>
    </row>
    <row r="630" spans="39:44">
      <c r="AM630" s="461" t="str">
        <f>AM598 &amp; ".15"</f>
        <v>4.0.3.4.1.15</v>
      </c>
      <c r="AN630" s="457" t="s">
        <v>291</v>
      </c>
      <c r="AO630" s="473" t="s">
        <v>216</v>
      </c>
      <c r="AP630" s="305">
        <f>IF(AP663=0,0,AP696/AP663*1000)</f>
        <v>0</v>
      </c>
      <c r="AQ630" s="207"/>
      <c r="AR630" s="207"/>
    </row>
    <row r="631" spans="39:44" ht="22.5">
      <c r="AM631" s="449" t="s">
        <v>282</v>
      </c>
      <c r="AN631" s="450" t="s">
        <v>247</v>
      </c>
      <c r="AO631" s="473"/>
      <c r="AP631" s="456"/>
      <c r="AQ631" s="207"/>
      <c r="AR631" s="207"/>
    </row>
    <row r="632" spans="39:44">
      <c r="AM632" s="461" t="str">
        <f>AM631 &amp; ".1"</f>
        <v>4.0.3.4.2.1</v>
      </c>
      <c r="AN632" s="453" t="s">
        <v>78</v>
      </c>
      <c r="AO632" s="473" t="s">
        <v>223</v>
      </c>
      <c r="AP632" s="305">
        <f>SUM(AQ632:AR632)</f>
        <v>0</v>
      </c>
      <c r="AQ632" s="207"/>
      <c r="AR632" s="207"/>
    </row>
    <row r="633" spans="39:44" hidden="1">
      <c r="AM633" s="461"/>
      <c r="AN633" s="454"/>
      <c r="AO633" s="473"/>
      <c r="AP633" s="456"/>
      <c r="AQ633" s="207"/>
      <c r="AR633" s="207"/>
    </row>
    <row r="634" spans="39:44" hidden="1">
      <c r="AM634" s="461"/>
      <c r="AN634" s="454"/>
      <c r="AO634" s="473"/>
      <c r="AP634" s="456"/>
      <c r="AQ634" s="207"/>
      <c r="AR634" s="207"/>
    </row>
    <row r="635" spans="39:44" hidden="1">
      <c r="AM635" s="451"/>
      <c r="AN635" s="454"/>
      <c r="AO635" s="473"/>
      <c r="AP635" s="456"/>
      <c r="AQ635" s="207"/>
      <c r="AR635" s="207"/>
    </row>
    <row r="636" spans="39:44" hidden="1">
      <c r="AM636" s="451"/>
      <c r="AN636" s="454"/>
      <c r="AO636" s="473"/>
      <c r="AP636" s="456"/>
      <c r="AQ636" s="207"/>
      <c r="AR636" s="207"/>
    </row>
    <row r="637" spans="39:44" hidden="1">
      <c r="AM637" s="451"/>
      <c r="AN637" s="454"/>
      <c r="AO637" s="473"/>
      <c r="AP637" s="456"/>
      <c r="AQ637" s="207"/>
      <c r="AR637" s="207"/>
    </row>
    <row r="638" spans="39:44" hidden="1">
      <c r="AM638" s="451"/>
      <c r="AN638" s="454"/>
      <c r="AO638" s="473"/>
      <c r="AP638" s="456"/>
      <c r="AQ638" s="207"/>
      <c r="AR638" s="207"/>
    </row>
    <row r="639" spans="39:44" hidden="1">
      <c r="AM639" s="451"/>
      <c r="AN639" s="454"/>
      <c r="AO639" s="473"/>
      <c r="AP639" s="456"/>
      <c r="AQ639" s="207"/>
      <c r="AR639" s="207"/>
    </row>
    <row r="640" spans="39:44" hidden="1">
      <c r="AM640" s="451"/>
      <c r="AN640" s="454"/>
      <c r="AO640" s="473"/>
      <c r="AP640" s="456"/>
      <c r="AQ640" s="207"/>
      <c r="AR640" s="207"/>
    </row>
    <row r="641" spans="39:44" hidden="1">
      <c r="AM641" s="451"/>
      <c r="AN641" s="454"/>
      <c r="AO641" s="473"/>
      <c r="AP641" s="456"/>
      <c r="AQ641" s="207"/>
      <c r="AR641" s="207"/>
    </row>
    <row r="642" spans="39:44" hidden="1">
      <c r="AM642" s="461"/>
      <c r="AN642" s="454"/>
      <c r="AO642" s="473"/>
      <c r="AP642" s="456"/>
      <c r="AQ642" s="207"/>
      <c r="AR642" s="207"/>
    </row>
    <row r="643" spans="39:44" hidden="1">
      <c r="AM643" s="451"/>
      <c r="AN643" s="454"/>
      <c r="AO643" s="473"/>
      <c r="AP643" s="456"/>
      <c r="AQ643" s="207"/>
      <c r="AR643" s="207"/>
    </row>
    <row r="644" spans="39:44" hidden="1">
      <c r="AM644" s="451"/>
      <c r="AN644" s="454"/>
      <c r="AO644" s="473"/>
      <c r="AP644" s="456"/>
      <c r="AQ644" s="207"/>
      <c r="AR644" s="207"/>
    </row>
    <row r="645" spans="39:44" hidden="1">
      <c r="AM645" s="451"/>
      <c r="AN645" s="454"/>
      <c r="AO645" s="473"/>
      <c r="AP645" s="456"/>
      <c r="AQ645" s="207"/>
      <c r="AR645" s="207"/>
    </row>
    <row r="646" spans="39:44" hidden="1">
      <c r="AM646" s="451"/>
      <c r="AN646" s="454"/>
      <c r="AO646" s="473"/>
      <c r="AP646" s="456"/>
      <c r="AQ646" s="207"/>
      <c r="AR646" s="207"/>
    </row>
    <row r="647" spans="39:44" hidden="1">
      <c r="AM647" s="451"/>
      <c r="AN647" s="454"/>
      <c r="AO647" s="473"/>
      <c r="AP647" s="456"/>
      <c r="AQ647" s="207"/>
      <c r="AR647" s="207"/>
    </row>
    <row r="648" spans="39:44" hidden="1">
      <c r="AM648" s="451"/>
      <c r="AN648" s="455"/>
      <c r="AO648" s="473"/>
      <c r="AP648" s="456"/>
      <c r="AQ648" s="207"/>
      <c r="AR648" s="207"/>
    </row>
    <row r="649" spans="39:44" hidden="1">
      <c r="AM649" s="451"/>
      <c r="AN649" s="455"/>
      <c r="AO649" s="473"/>
      <c r="AP649" s="456"/>
      <c r="AQ649" s="207"/>
      <c r="AR649" s="207"/>
    </row>
    <row r="650" spans="39:44" hidden="1">
      <c r="AM650" s="461"/>
      <c r="AN650" s="455"/>
      <c r="AO650" s="473"/>
      <c r="AP650" s="456"/>
      <c r="AQ650" s="207"/>
      <c r="AR650" s="207"/>
    </row>
    <row r="651" spans="39:44">
      <c r="AM651" s="461" t="str">
        <f>AM631 &amp; ".3"</f>
        <v>4.0.3.4.2.3</v>
      </c>
      <c r="AN651" s="457" t="s">
        <v>85</v>
      </c>
      <c r="AO651" s="473" t="s">
        <v>223</v>
      </c>
      <c r="AP651" s="305">
        <f t="shared" ref="AP651:AP665" si="21">SUM(AQ651:AR651)</f>
        <v>0</v>
      </c>
      <c r="AQ651" s="207"/>
      <c r="AR651" s="207"/>
    </row>
    <row r="652" spans="39:44">
      <c r="AM652" s="461" t="str">
        <f>AM631 &amp; ".4"</f>
        <v>4.0.3.4.2.4</v>
      </c>
      <c r="AN652" s="457" t="s">
        <v>87</v>
      </c>
      <c r="AO652" s="473" t="s">
        <v>223</v>
      </c>
      <c r="AP652" s="305">
        <f t="shared" si="21"/>
        <v>0</v>
      </c>
      <c r="AQ652" s="207"/>
      <c r="AR652" s="207"/>
    </row>
    <row r="653" spans="39:44">
      <c r="AM653" s="461" t="str">
        <f>AM631&amp;".5"</f>
        <v>4.0.3.4.2.5</v>
      </c>
      <c r="AN653" s="457" t="s">
        <v>89</v>
      </c>
      <c r="AO653" s="473" t="s">
        <v>223</v>
      </c>
      <c r="AP653" s="305">
        <f t="shared" si="21"/>
        <v>0</v>
      </c>
      <c r="AQ653" s="207"/>
      <c r="AR653" s="207"/>
    </row>
    <row r="654" spans="39:44">
      <c r="AM654" s="461" t="str">
        <f>AM631 &amp; ".6"</f>
        <v>4.0.3.4.2.6</v>
      </c>
      <c r="AN654" s="457" t="s">
        <v>91</v>
      </c>
      <c r="AO654" s="473" t="s">
        <v>223</v>
      </c>
      <c r="AP654" s="305">
        <f t="shared" si="21"/>
        <v>0</v>
      </c>
      <c r="AQ654" s="207"/>
      <c r="AR654" s="207"/>
    </row>
    <row r="655" spans="39:44">
      <c r="AM655" s="461" t="str">
        <f>AM631 &amp; ".7"</f>
        <v>4.0.3.4.2.7</v>
      </c>
      <c r="AN655" s="457" t="s">
        <v>93</v>
      </c>
      <c r="AO655" s="473" t="s">
        <v>223</v>
      </c>
      <c r="AP655" s="305">
        <f t="shared" si="21"/>
        <v>0</v>
      </c>
      <c r="AQ655" s="207"/>
      <c r="AR655" s="207"/>
    </row>
    <row r="656" spans="39:44">
      <c r="AM656" s="461" t="str">
        <f>AM631 &amp; ".8"</f>
        <v>4.0.3.4.2.8</v>
      </c>
      <c r="AN656" s="457" t="s">
        <v>95</v>
      </c>
      <c r="AO656" s="473" t="s">
        <v>223</v>
      </c>
      <c r="AP656" s="305">
        <f t="shared" si="21"/>
        <v>0</v>
      </c>
      <c r="AQ656" s="207"/>
      <c r="AR656" s="207"/>
    </row>
    <row r="657" spans="39:44">
      <c r="AM657" s="461" t="str">
        <f>AM631 &amp; ".9"</f>
        <v>4.0.3.4.2.9</v>
      </c>
      <c r="AN657" s="457" t="s">
        <v>2976</v>
      </c>
      <c r="AO657" s="473" t="s">
        <v>223</v>
      </c>
      <c r="AP657" s="305">
        <f t="shared" si="21"/>
        <v>0</v>
      </c>
      <c r="AQ657" s="207"/>
      <c r="AR657" s="207"/>
    </row>
    <row r="658" spans="39:44">
      <c r="AM658" s="461" t="str">
        <f>AM631 &amp; ".10"</f>
        <v>4.0.3.4.2.10</v>
      </c>
      <c r="AN658" s="457" t="s">
        <v>2978</v>
      </c>
      <c r="AO658" s="473" t="s">
        <v>223</v>
      </c>
      <c r="AP658" s="305">
        <f t="shared" si="21"/>
        <v>0</v>
      </c>
      <c r="AQ658" s="207"/>
      <c r="AR658" s="207"/>
    </row>
    <row r="659" spans="39:44">
      <c r="AM659" s="461" t="str">
        <f>AM631 &amp; ".11"</f>
        <v>4.0.3.4.2.11</v>
      </c>
      <c r="AN659" s="457" t="s">
        <v>2980</v>
      </c>
      <c r="AO659" s="473" t="s">
        <v>223</v>
      </c>
      <c r="AP659" s="305">
        <f t="shared" si="21"/>
        <v>0</v>
      </c>
      <c r="AQ659" s="207"/>
      <c r="AR659" s="207"/>
    </row>
    <row r="660" spans="39:44">
      <c r="AM660" s="461" t="str">
        <f>AM631 &amp; ".12"</f>
        <v>4.0.3.4.2.12</v>
      </c>
      <c r="AN660" s="457" t="s">
        <v>2982</v>
      </c>
      <c r="AO660" s="473" t="s">
        <v>223</v>
      </c>
      <c r="AP660" s="305">
        <f t="shared" si="21"/>
        <v>0</v>
      </c>
      <c r="AQ660" s="207"/>
      <c r="AR660" s="207"/>
    </row>
    <row r="661" spans="39:44" hidden="1">
      <c r="AM661" s="451"/>
      <c r="AN661" s="454"/>
      <c r="AO661" s="473"/>
      <c r="AP661" s="456"/>
      <c r="AQ661" s="207"/>
      <c r="AR661" s="207"/>
    </row>
    <row r="662" spans="39:44" hidden="1">
      <c r="AM662" s="451"/>
      <c r="AN662" s="454"/>
      <c r="AO662" s="473"/>
      <c r="AP662" s="456"/>
      <c r="AQ662" s="207"/>
      <c r="AR662" s="207"/>
    </row>
    <row r="663" spans="39:44">
      <c r="AM663" s="461" t="str">
        <f>AM631 &amp; ".15"</f>
        <v>4.0.3.4.2.15</v>
      </c>
      <c r="AN663" s="457" t="s">
        <v>291</v>
      </c>
      <c r="AO663" s="473" t="s">
        <v>223</v>
      </c>
      <c r="AP663" s="305">
        <f>SUM(AQ663:AR663)</f>
        <v>0</v>
      </c>
      <c r="AQ663" s="207"/>
      <c r="AR663" s="207"/>
    </row>
    <row r="664" spans="39:44" ht="22.5">
      <c r="AM664" s="449" t="s">
        <v>283</v>
      </c>
      <c r="AN664" s="450" t="s">
        <v>248</v>
      </c>
      <c r="AO664" s="473" t="s">
        <v>786</v>
      </c>
      <c r="AP664" s="305">
        <f t="shared" si="21"/>
        <v>0</v>
      </c>
      <c r="AQ664" s="207"/>
      <c r="AR664" s="207"/>
    </row>
    <row r="665" spans="39:44">
      <c r="AM665" s="461" t="str">
        <f>AM664 &amp; ".1"</f>
        <v>4.0.3.4.3.1</v>
      </c>
      <c r="AN665" s="453" t="s">
        <v>78</v>
      </c>
      <c r="AO665" s="473" t="s">
        <v>786</v>
      </c>
      <c r="AP665" s="305">
        <f t="shared" si="21"/>
        <v>0</v>
      </c>
      <c r="AQ665" s="207"/>
      <c r="AR665" s="207"/>
    </row>
    <row r="666" spans="39:44" hidden="1">
      <c r="AM666" s="461"/>
      <c r="AN666" s="454"/>
      <c r="AO666" s="473"/>
      <c r="AP666" s="456"/>
      <c r="AQ666" s="207"/>
      <c r="AR666" s="207"/>
    </row>
    <row r="667" spans="39:44" hidden="1">
      <c r="AM667" s="461"/>
      <c r="AN667" s="454"/>
      <c r="AO667" s="473"/>
      <c r="AP667" s="456"/>
      <c r="AQ667" s="207"/>
      <c r="AR667" s="207"/>
    </row>
    <row r="668" spans="39:44" hidden="1">
      <c r="AM668" s="451"/>
      <c r="AN668" s="454"/>
      <c r="AO668" s="473"/>
      <c r="AP668" s="456"/>
      <c r="AQ668" s="207"/>
      <c r="AR668" s="207"/>
    </row>
    <row r="669" spans="39:44" hidden="1">
      <c r="AM669" s="451"/>
      <c r="AN669" s="454"/>
      <c r="AO669" s="473"/>
      <c r="AP669" s="456"/>
      <c r="AQ669" s="207"/>
      <c r="AR669" s="207"/>
    </row>
    <row r="670" spans="39:44" hidden="1">
      <c r="AM670" s="451"/>
      <c r="AN670" s="454"/>
      <c r="AO670" s="473"/>
      <c r="AP670" s="456"/>
      <c r="AQ670" s="207"/>
      <c r="AR670" s="207"/>
    </row>
    <row r="671" spans="39:44" hidden="1">
      <c r="AM671" s="451"/>
      <c r="AN671" s="454"/>
      <c r="AO671" s="473"/>
      <c r="AP671" s="456"/>
      <c r="AQ671" s="207"/>
      <c r="AR671" s="207"/>
    </row>
    <row r="672" spans="39:44" hidden="1">
      <c r="AM672" s="451"/>
      <c r="AN672" s="454"/>
      <c r="AO672" s="473"/>
      <c r="AP672" s="456"/>
      <c r="AQ672" s="207"/>
      <c r="AR672" s="207"/>
    </row>
    <row r="673" spans="39:44" hidden="1">
      <c r="AM673" s="451"/>
      <c r="AN673" s="454"/>
      <c r="AO673" s="473"/>
      <c r="AP673" s="456"/>
      <c r="AQ673" s="207"/>
      <c r="AR673" s="207"/>
    </row>
    <row r="674" spans="39:44" hidden="1">
      <c r="AM674" s="451"/>
      <c r="AN674" s="454"/>
      <c r="AO674" s="473"/>
      <c r="AP674" s="456"/>
      <c r="AQ674" s="207"/>
      <c r="AR674" s="207"/>
    </row>
    <row r="675" spans="39:44" hidden="1">
      <c r="AM675" s="461"/>
      <c r="AN675" s="454"/>
      <c r="AO675" s="473"/>
      <c r="AP675" s="456"/>
      <c r="AQ675" s="207"/>
      <c r="AR675" s="207"/>
    </row>
    <row r="676" spans="39:44" hidden="1">
      <c r="AM676" s="451"/>
      <c r="AN676" s="454"/>
      <c r="AO676" s="473"/>
      <c r="AP676" s="456"/>
      <c r="AQ676" s="207"/>
      <c r="AR676" s="207"/>
    </row>
    <row r="677" spans="39:44" hidden="1">
      <c r="AM677" s="451"/>
      <c r="AN677" s="454"/>
      <c r="AO677" s="473"/>
      <c r="AP677" s="456"/>
      <c r="AQ677" s="207"/>
      <c r="AR677" s="207"/>
    </row>
    <row r="678" spans="39:44" hidden="1">
      <c r="AM678" s="451"/>
      <c r="AN678" s="454"/>
      <c r="AO678" s="473"/>
      <c r="AP678" s="456"/>
      <c r="AQ678" s="207"/>
      <c r="AR678" s="207"/>
    </row>
    <row r="679" spans="39:44" hidden="1">
      <c r="AM679" s="451"/>
      <c r="AN679" s="454"/>
      <c r="AO679" s="473"/>
      <c r="AP679" s="456"/>
      <c r="AQ679" s="207"/>
      <c r="AR679" s="207"/>
    </row>
    <row r="680" spans="39:44" hidden="1">
      <c r="AM680" s="451"/>
      <c r="AN680" s="454"/>
      <c r="AO680" s="473"/>
      <c r="AP680" s="456"/>
      <c r="AQ680" s="207"/>
      <c r="AR680" s="207"/>
    </row>
    <row r="681" spans="39:44" hidden="1">
      <c r="AM681" s="451"/>
      <c r="AN681" s="455"/>
      <c r="AO681" s="473"/>
      <c r="AP681" s="456"/>
      <c r="AQ681" s="207"/>
      <c r="AR681" s="207"/>
    </row>
    <row r="682" spans="39:44" hidden="1">
      <c r="AM682" s="451"/>
      <c r="AN682" s="455"/>
      <c r="AO682" s="473"/>
      <c r="AP682" s="456"/>
      <c r="AQ682" s="207"/>
      <c r="AR682" s="207"/>
    </row>
    <row r="683" spans="39:44" hidden="1">
      <c r="AM683" s="461"/>
      <c r="AN683" s="455"/>
      <c r="AO683" s="473"/>
      <c r="AP683" s="456"/>
      <c r="AQ683" s="207"/>
      <c r="AR683" s="207"/>
    </row>
    <row r="684" spans="39:44">
      <c r="AM684" s="461" t="str">
        <f>AM664 &amp; ".3"</f>
        <v>4.0.3.4.3.3</v>
      </c>
      <c r="AN684" s="457" t="s">
        <v>85</v>
      </c>
      <c r="AO684" s="473" t="s">
        <v>786</v>
      </c>
      <c r="AP684" s="305">
        <f t="shared" ref="AP684:AP693" si="22">SUM(AQ684:AR684)</f>
        <v>0</v>
      </c>
      <c r="AQ684" s="207"/>
      <c r="AR684" s="207"/>
    </row>
    <row r="685" spans="39:44">
      <c r="AM685" s="461" t="str">
        <f>AM664 &amp; ".4"</f>
        <v>4.0.3.4.3.4</v>
      </c>
      <c r="AN685" s="457" t="s">
        <v>87</v>
      </c>
      <c r="AO685" s="473" t="s">
        <v>786</v>
      </c>
      <c r="AP685" s="305">
        <f t="shared" si="22"/>
        <v>0</v>
      </c>
      <c r="AQ685" s="207"/>
      <c r="AR685" s="207"/>
    </row>
    <row r="686" spans="39:44">
      <c r="AM686" s="461" t="str">
        <f>AM664&amp;".5"</f>
        <v>4.0.3.4.3.5</v>
      </c>
      <c r="AN686" s="457" t="s">
        <v>89</v>
      </c>
      <c r="AO686" s="473" t="s">
        <v>786</v>
      </c>
      <c r="AP686" s="305">
        <f t="shared" si="22"/>
        <v>0</v>
      </c>
      <c r="AQ686" s="207"/>
      <c r="AR686" s="207"/>
    </row>
    <row r="687" spans="39:44">
      <c r="AM687" s="461" t="str">
        <f>AM664 &amp; ".6"</f>
        <v>4.0.3.4.3.6</v>
      </c>
      <c r="AN687" s="457" t="s">
        <v>91</v>
      </c>
      <c r="AO687" s="473" t="s">
        <v>786</v>
      </c>
      <c r="AP687" s="305">
        <f t="shared" si="22"/>
        <v>0</v>
      </c>
      <c r="AQ687" s="207"/>
      <c r="AR687" s="207"/>
    </row>
    <row r="688" spans="39:44">
      <c r="AM688" s="461" t="str">
        <f>AM664 &amp; ".7"</f>
        <v>4.0.3.4.3.7</v>
      </c>
      <c r="AN688" s="457" t="s">
        <v>93</v>
      </c>
      <c r="AO688" s="473" t="s">
        <v>786</v>
      </c>
      <c r="AP688" s="305">
        <f t="shared" si="22"/>
        <v>0</v>
      </c>
      <c r="AQ688" s="207"/>
      <c r="AR688" s="207"/>
    </row>
    <row r="689" spans="39:44">
      <c r="AM689" s="461" t="str">
        <f>AM664 &amp; ".8"</f>
        <v>4.0.3.4.3.8</v>
      </c>
      <c r="AN689" s="457" t="s">
        <v>95</v>
      </c>
      <c r="AO689" s="473" t="s">
        <v>786</v>
      </c>
      <c r="AP689" s="305">
        <f t="shared" si="22"/>
        <v>0</v>
      </c>
      <c r="AQ689" s="207"/>
      <c r="AR689" s="207"/>
    </row>
    <row r="690" spans="39:44">
      <c r="AM690" s="461" t="str">
        <f>AM664 &amp; ".9"</f>
        <v>4.0.3.4.3.9</v>
      </c>
      <c r="AN690" s="457" t="s">
        <v>2976</v>
      </c>
      <c r="AO690" s="473" t="s">
        <v>786</v>
      </c>
      <c r="AP690" s="305">
        <f t="shared" si="22"/>
        <v>0</v>
      </c>
      <c r="AQ690" s="207"/>
      <c r="AR690" s="207"/>
    </row>
    <row r="691" spans="39:44">
      <c r="AM691" s="461" t="str">
        <f>AM664 &amp; ".10"</f>
        <v>4.0.3.4.3.10</v>
      </c>
      <c r="AN691" s="457" t="s">
        <v>2978</v>
      </c>
      <c r="AO691" s="473" t="s">
        <v>786</v>
      </c>
      <c r="AP691" s="305">
        <f t="shared" si="22"/>
        <v>0</v>
      </c>
      <c r="AQ691" s="207"/>
      <c r="AR691" s="207"/>
    </row>
    <row r="692" spans="39:44">
      <c r="AM692" s="461" t="str">
        <f>AM664 &amp; ".11"</f>
        <v>4.0.3.4.3.11</v>
      </c>
      <c r="AN692" s="457" t="s">
        <v>2980</v>
      </c>
      <c r="AO692" s="473" t="s">
        <v>786</v>
      </c>
      <c r="AP692" s="305">
        <f t="shared" si="22"/>
        <v>0</v>
      </c>
      <c r="AQ692" s="207"/>
      <c r="AR692" s="207"/>
    </row>
    <row r="693" spans="39:44">
      <c r="AM693" s="461" t="str">
        <f>AM664 &amp; ".12"</f>
        <v>4.0.3.4.3.12</v>
      </c>
      <c r="AN693" s="457" t="s">
        <v>2982</v>
      </c>
      <c r="AO693" s="473" t="s">
        <v>786</v>
      </c>
      <c r="AP693" s="305">
        <f t="shared" si="22"/>
        <v>0</v>
      </c>
      <c r="AQ693" s="207"/>
      <c r="AR693" s="207"/>
    </row>
    <row r="694" spans="39:44" hidden="1">
      <c r="AM694" s="451"/>
      <c r="AN694" s="454"/>
      <c r="AO694" s="473"/>
      <c r="AP694" s="456"/>
      <c r="AQ694" s="207"/>
      <c r="AR694" s="207"/>
    </row>
    <row r="695" spans="39:44" hidden="1">
      <c r="AM695" s="451"/>
      <c r="AN695" s="454"/>
      <c r="AO695" s="473"/>
      <c r="AP695" s="456"/>
      <c r="AQ695" s="207"/>
      <c r="AR695" s="207"/>
    </row>
    <row r="696" spans="39:44">
      <c r="AM696" s="461" t="str">
        <f>AM664 &amp; ".15"</f>
        <v>4.0.3.4.3.15</v>
      </c>
      <c r="AN696" s="457" t="s">
        <v>291</v>
      </c>
      <c r="AO696" s="473" t="s">
        <v>786</v>
      </c>
      <c r="AP696" s="305">
        <f>SUM(AQ696:AR696)</f>
        <v>0</v>
      </c>
      <c r="AQ696" s="207"/>
      <c r="AR696" s="207"/>
    </row>
    <row r="697" spans="39:44" hidden="1">
      <c r="AM697" s="451"/>
      <c r="AN697" s="454"/>
      <c r="AO697" s="473"/>
      <c r="AP697" s="456"/>
      <c r="AQ697" s="207"/>
      <c r="AR697" s="207"/>
    </row>
    <row r="698" spans="39:44">
      <c r="AM698" s="462"/>
      <c r="AN698" s="469" t="s">
        <v>249</v>
      </c>
      <c r="AO698" s="474"/>
      <c r="AP698" s="456"/>
      <c r="AQ698" s="207"/>
      <c r="AR698" s="207"/>
    </row>
    <row r="699" spans="39:44" hidden="1">
      <c r="AM699" s="451"/>
      <c r="AN699" s="454"/>
      <c r="AO699" s="473"/>
      <c r="AP699" s="456"/>
      <c r="AQ699" s="207"/>
      <c r="AR699" s="207"/>
    </row>
    <row r="700" spans="39:44">
      <c r="AM700" s="236" t="s">
        <v>2985</v>
      </c>
      <c r="AN700" s="225" t="s">
        <v>250</v>
      </c>
      <c r="AO700" s="473" t="s">
        <v>251</v>
      </c>
      <c r="AP700" s="257">
        <f>SUM(AQ700:AR700)</f>
        <v>0</v>
      </c>
      <c r="AQ700" s="207"/>
      <c r="AR700" s="207"/>
    </row>
    <row r="701" spans="39:44">
      <c r="AM701" s="236" t="s">
        <v>2987</v>
      </c>
      <c r="AN701" s="225" t="s">
        <v>252</v>
      </c>
      <c r="AO701" s="473" t="s">
        <v>253</v>
      </c>
      <c r="AP701" s="257">
        <f>SUM(AQ701:AR701)</f>
        <v>0</v>
      </c>
      <c r="AQ701" s="207"/>
      <c r="AR701" s="207"/>
    </row>
    <row r="702" spans="39:44">
      <c r="AM702" s="236" t="s">
        <v>2511</v>
      </c>
      <c r="AN702" s="225" t="s">
        <v>3011</v>
      </c>
      <c r="AO702" s="473" t="s">
        <v>786</v>
      </c>
      <c r="AP702" s="257">
        <f>SUM(AQ702:AR702)</f>
        <v>0</v>
      </c>
      <c r="AQ702" s="207"/>
      <c r="AR702" s="207"/>
    </row>
    <row r="703" spans="39:44">
      <c r="AM703" s="239" t="str">
        <f>AM702 &amp; ".1"</f>
        <v>4.13.1.1.1</v>
      </c>
      <c r="AN703" s="245" t="s">
        <v>254</v>
      </c>
      <c r="AO703" s="473" t="s">
        <v>2969</v>
      </c>
      <c r="AP703" s="257">
        <f>IF(AP704=0,0,AP702/AP704)</f>
        <v>0</v>
      </c>
      <c r="AQ703" s="207"/>
      <c r="AR703" s="207"/>
    </row>
    <row r="704" spans="39:44">
      <c r="AM704" s="239" t="str">
        <f>AM702 &amp; ".2"</f>
        <v>4.13.1.1.2</v>
      </c>
      <c r="AN704" s="245" t="s">
        <v>250</v>
      </c>
      <c r="AO704" s="473" t="s">
        <v>251</v>
      </c>
      <c r="AP704" s="257">
        <f>SUM(AQ704:AR704)</f>
        <v>0</v>
      </c>
      <c r="AQ704" s="207"/>
      <c r="AR704" s="207"/>
    </row>
    <row r="705" spans="39:44">
      <c r="AM705" s="236" t="s">
        <v>2512</v>
      </c>
      <c r="AN705" s="248" t="s">
        <v>3015</v>
      </c>
      <c r="AO705" s="473" t="s">
        <v>786</v>
      </c>
      <c r="AP705" s="257">
        <f>SUM(AQ705:AR705)</f>
        <v>0</v>
      </c>
      <c r="AQ705" s="207"/>
      <c r="AR705" s="207"/>
    </row>
    <row r="706" spans="39:44">
      <c r="AM706" s="239" t="str">
        <f>AM705 &amp; ".1"</f>
        <v>4.13.1.2.1</v>
      </c>
      <c r="AN706" s="245" t="s">
        <v>255</v>
      </c>
      <c r="AO706" s="473" t="s">
        <v>2971</v>
      </c>
      <c r="AP706" s="257">
        <f>IF(AP707=0,0,AP705/AP707)</f>
        <v>0</v>
      </c>
      <c r="AQ706" s="207"/>
      <c r="AR706" s="207"/>
    </row>
    <row r="707" spans="39:44">
      <c r="AM707" s="239" t="str">
        <f>AM705 &amp; ".2"</f>
        <v>4.13.1.2.2</v>
      </c>
      <c r="AN707" s="245" t="s">
        <v>256</v>
      </c>
      <c r="AO707" s="473" t="s">
        <v>253</v>
      </c>
      <c r="AP707" s="257">
        <f>SUM(AQ707:AR707)</f>
        <v>0</v>
      </c>
      <c r="AQ707" s="207"/>
      <c r="AR707" s="207"/>
    </row>
    <row r="708" spans="39:44">
      <c r="AM708" s="236" t="s">
        <v>2513</v>
      </c>
      <c r="AN708" s="225" t="s">
        <v>3020</v>
      </c>
      <c r="AO708" s="473" t="s">
        <v>786</v>
      </c>
      <c r="AP708" s="257">
        <f>SUM(AQ708:AR708)</f>
        <v>0</v>
      </c>
      <c r="AQ708" s="207"/>
      <c r="AR708" s="207"/>
    </row>
    <row r="709" spans="39:44">
      <c r="AM709" s="239" t="str">
        <f>AM708 &amp; ".1"</f>
        <v>4.13.2.1.1</v>
      </c>
      <c r="AN709" s="245" t="s">
        <v>254</v>
      </c>
      <c r="AO709" s="473" t="s">
        <v>2969</v>
      </c>
      <c r="AP709" s="257">
        <f>IF(AP710=0,0,AP708/AP710)</f>
        <v>0</v>
      </c>
      <c r="AQ709" s="207"/>
      <c r="AR709" s="207"/>
    </row>
    <row r="710" spans="39:44">
      <c r="AM710" s="239" t="str">
        <f>AM708 &amp; ".2"</f>
        <v>4.13.2.1.2</v>
      </c>
      <c r="AN710" s="245" t="s">
        <v>250</v>
      </c>
      <c r="AO710" s="473" t="s">
        <v>251</v>
      </c>
      <c r="AP710" s="257">
        <f>SUM(AQ710:AR710)</f>
        <v>0</v>
      </c>
      <c r="AQ710" s="207"/>
      <c r="AR710" s="207"/>
    </row>
    <row r="711" spans="39:44">
      <c r="AM711" s="236" t="s">
        <v>2514</v>
      </c>
      <c r="AN711" s="248" t="s">
        <v>3024</v>
      </c>
      <c r="AO711" s="473" t="s">
        <v>786</v>
      </c>
      <c r="AP711" s="257">
        <f>SUM(AQ711:AR711)</f>
        <v>0</v>
      </c>
      <c r="AQ711" s="207"/>
      <c r="AR711" s="207"/>
    </row>
    <row r="712" spans="39:44">
      <c r="AM712" s="239" t="str">
        <f>AM711 &amp; ".1"</f>
        <v>4.13.2.2.1</v>
      </c>
      <c r="AN712" s="245" t="s">
        <v>255</v>
      </c>
      <c r="AO712" s="473" t="s">
        <v>2971</v>
      </c>
      <c r="AP712" s="257">
        <f>IF(AP713=0,0,AP711/AP713)</f>
        <v>0</v>
      </c>
      <c r="AQ712" s="207"/>
      <c r="AR712" s="207"/>
    </row>
    <row r="713" spans="39:44">
      <c r="AM713" s="239" t="str">
        <f>AM711 &amp; ".2"</f>
        <v>4.13.2.2.2</v>
      </c>
      <c r="AN713" s="245" t="s">
        <v>256</v>
      </c>
      <c r="AO713" s="473" t="s">
        <v>253</v>
      </c>
      <c r="AP713" s="257">
        <f>SUM(AQ713:AR713)</f>
        <v>0</v>
      </c>
      <c r="AQ713" s="207"/>
      <c r="AR713" s="207"/>
    </row>
    <row r="714" spans="39:44">
      <c r="AM714" s="236" t="s">
        <v>2515</v>
      </c>
      <c r="AN714" s="225" t="s">
        <v>3028</v>
      </c>
      <c r="AO714" s="473" t="s">
        <v>786</v>
      </c>
      <c r="AP714" s="257">
        <f>SUM(AQ714:AR714)</f>
        <v>0</v>
      </c>
      <c r="AQ714" s="207"/>
      <c r="AR714" s="207"/>
    </row>
    <row r="715" spans="39:44">
      <c r="AM715" s="239" t="str">
        <f>AM714 &amp; ".1"</f>
        <v>4.13.3.1.1</v>
      </c>
      <c r="AN715" s="245" t="s">
        <v>254</v>
      </c>
      <c r="AO715" s="473" t="s">
        <v>2969</v>
      </c>
      <c r="AP715" s="257">
        <f>IF(AP716=0,0,AP714/AP716)</f>
        <v>0</v>
      </c>
      <c r="AQ715" s="207"/>
      <c r="AR715" s="207"/>
    </row>
    <row r="716" spans="39:44">
      <c r="AM716" s="239" t="str">
        <f>AM714 &amp; ".2"</f>
        <v>4.13.3.1.2</v>
      </c>
      <c r="AN716" s="245" t="s">
        <v>250</v>
      </c>
      <c r="AO716" s="473" t="s">
        <v>251</v>
      </c>
      <c r="AP716" s="257">
        <f>SUM(AQ716:AR716)</f>
        <v>0</v>
      </c>
      <c r="AQ716" s="207"/>
      <c r="AR716" s="207"/>
    </row>
    <row r="717" spans="39:44">
      <c r="AM717" s="236" t="s">
        <v>2516</v>
      </c>
      <c r="AN717" s="248" t="s">
        <v>3032</v>
      </c>
      <c r="AO717" s="473" t="s">
        <v>786</v>
      </c>
      <c r="AP717" s="257">
        <f>SUM(AQ717:AR717)</f>
        <v>0</v>
      </c>
      <c r="AQ717" s="207"/>
      <c r="AR717" s="207"/>
    </row>
    <row r="718" spans="39:44">
      <c r="AM718" s="239" t="str">
        <f>AM717 &amp; ".1"</f>
        <v>4.13.3.2.1</v>
      </c>
      <c r="AN718" s="245" t="s">
        <v>255</v>
      </c>
      <c r="AO718" s="473" t="s">
        <v>2971</v>
      </c>
      <c r="AP718" s="257">
        <f>IF(AP719=0,0,AP717/AP719)</f>
        <v>0</v>
      </c>
      <c r="AQ718" s="207"/>
      <c r="AR718" s="207"/>
    </row>
    <row r="719" spans="39:44">
      <c r="AM719" s="239" t="str">
        <f>AM717 &amp; ".2"</f>
        <v>4.13.3.2.2</v>
      </c>
      <c r="AN719" s="245" t="s">
        <v>256</v>
      </c>
      <c r="AO719" s="473" t="s">
        <v>253</v>
      </c>
      <c r="AP719" s="257">
        <f>SUM(AQ719:AR719)</f>
        <v>0</v>
      </c>
      <c r="AQ719" s="207"/>
      <c r="AR719" s="207"/>
    </row>
    <row r="720" spans="39:44">
      <c r="AM720" s="236" t="s">
        <v>2517</v>
      </c>
      <c r="AN720" s="225" t="s">
        <v>3036</v>
      </c>
      <c r="AO720" s="473" t="s">
        <v>786</v>
      </c>
      <c r="AP720" s="257">
        <f>SUM(AQ720:AR720)</f>
        <v>0</v>
      </c>
      <c r="AQ720" s="207"/>
      <c r="AR720" s="207"/>
    </row>
    <row r="721" spans="10:44">
      <c r="AM721" s="239" t="str">
        <f>AM720 &amp; ".1"</f>
        <v>4.13.4.1.1</v>
      </c>
      <c r="AN721" s="245" t="s">
        <v>254</v>
      </c>
      <c r="AO721" s="473" t="s">
        <v>2969</v>
      </c>
      <c r="AP721" s="257">
        <f>IF(AP722=0,0,AP720/AP722)</f>
        <v>0</v>
      </c>
      <c r="AQ721" s="207"/>
      <c r="AR721" s="207"/>
    </row>
    <row r="722" spans="10:44">
      <c r="AM722" s="239" t="str">
        <f>AM720 &amp; ".2"</f>
        <v>4.13.4.1.2</v>
      </c>
      <c r="AN722" s="245" t="s">
        <v>250</v>
      </c>
      <c r="AO722" s="473" t="s">
        <v>251</v>
      </c>
      <c r="AP722" s="257">
        <f>SUM(AQ722:AR722)</f>
        <v>0</v>
      </c>
      <c r="AQ722" s="207"/>
      <c r="AR722" s="207"/>
    </row>
    <row r="723" spans="10:44">
      <c r="AM723" s="236" t="s">
        <v>2518</v>
      </c>
      <c r="AN723" s="248" t="s">
        <v>3040</v>
      </c>
      <c r="AO723" s="473" t="s">
        <v>786</v>
      </c>
      <c r="AP723" s="257">
        <f>SUM(AQ723:AR723)</f>
        <v>0</v>
      </c>
      <c r="AQ723" s="207"/>
      <c r="AR723" s="207"/>
    </row>
    <row r="724" spans="10:44">
      <c r="AM724" s="239" t="str">
        <f>AM723 &amp; ".1"</f>
        <v>4.13.4.2.1</v>
      </c>
      <c r="AN724" s="245" t="s">
        <v>255</v>
      </c>
      <c r="AO724" s="473" t="s">
        <v>2971</v>
      </c>
      <c r="AP724" s="257">
        <f>IF(AP725=0,0,AP723/AP725)</f>
        <v>0</v>
      </c>
      <c r="AQ724" s="207"/>
      <c r="AR724" s="207"/>
    </row>
    <row r="725" spans="10:44">
      <c r="AM725" s="239" t="str">
        <f>AM723 &amp; ".2"</f>
        <v>4.13.4.2.2</v>
      </c>
      <c r="AN725" s="245" t="s">
        <v>256</v>
      </c>
      <c r="AO725" s="473" t="s">
        <v>253</v>
      </c>
      <c r="AP725" s="257">
        <f>SUM(AQ725:AR725)</f>
        <v>0</v>
      </c>
      <c r="AQ725" s="207"/>
      <c r="AR725" s="207"/>
    </row>
    <row r="726" spans="10:44" hidden="1">
      <c r="AM726" s="451"/>
      <c r="AN726" s="454"/>
      <c r="AO726" s="451"/>
      <c r="AP726" s="456"/>
      <c r="AQ726" s="207"/>
      <c r="AR726" s="207"/>
    </row>
    <row r="727" spans="10:44" s="48" customFormat="1" hidden="1">
      <c r="J727" s="213"/>
      <c r="K727" s="213"/>
      <c r="L727" s="213"/>
      <c r="M727" s="213"/>
      <c r="N727" s="213"/>
      <c r="O727" s="213"/>
      <c r="P727" s="213"/>
      <c r="Q727" s="213"/>
      <c r="R727" s="213"/>
      <c r="S727" s="213"/>
      <c r="T727" s="213"/>
      <c r="U727" s="213"/>
      <c r="V727" s="213"/>
      <c r="W727" s="213"/>
      <c r="X727" s="213"/>
      <c r="Y727" s="213"/>
      <c r="Z727" s="213"/>
      <c r="AA727" s="213"/>
      <c r="AB727" s="213"/>
      <c r="AC727" s="213"/>
      <c r="AD727" s="213"/>
      <c r="AE727" s="213"/>
      <c r="AF727" s="213"/>
      <c r="AG727" s="213"/>
      <c r="AH727" s="213"/>
      <c r="AI727" s="213"/>
      <c r="AJ727" s="213"/>
      <c r="AK727" s="213"/>
      <c r="AL727" s="213"/>
      <c r="AM727" s="302"/>
      <c r="AN727" s="302"/>
      <c r="AO727" s="303"/>
      <c r="AP727" s="285"/>
      <c r="AQ727" s="207"/>
      <c r="AR727" s="207"/>
    </row>
    <row r="728" spans="10:44" s="48" customFormat="1" hidden="1">
      <c r="J728" s="213"/>
      <c r="K728" s="213"/>
      <c r="L728" s="213"/>
      <c r="M728" s="213"/>
      <c r="N728" s="213"/>
      <c r="O728" s="213"/>
      <c r="P728" s="213"/>
      <c r="Q728" s="213"/>
      <c r="R728" s="213"/>
      <c r="S728" s="213"/>
      <c r="T728" s="213"/>
      <c r="U728" s="213"/>
      <c r="V728" s="213"/>
      <c r="W728" s="213"/>
      <c r="X728" s="213"/>
      <c r="Y728" s="213"/>
      <c r="Z728" s="213"/>
      <c r="AA728" s="213"/>
      <c r="AB728" s="213"/>
      <c r="AC728" s="213"/>
      <c r="AD728" s="213"/>
      <c r="AE728" s="213"/>
      <c r="AF728" s="213"/>
      <c r="AG728" s="213"/>
      <c r="AH728" s="213"/>
      <c r="AI728" s="213"/>
      <c r="AJ728" s="213"/>
      <c r="AK728" s="213"/>
      <c r="AL728" s="213"/>
      <c r="AM728" s="302"/>
      <c r="AN728" s="302"/>
      <c r="AO728" s="303"/>
      <c r="AP728" s="285"/>
      <c r="AQ728" s="207"/>
      <c r="AR728" s="207"/>
    </row>
    <row r="729" spans="10:44" s="48" customFormat="1" hidden="1">
      <c r="J729" s="213"/>
      <c r="K729" s="213"/>
      <c r="L729" s="213"/>
      <c r="M729" s="213"/>
      <c r="N729" s="213"/>
      <c r="O729" s="213"/>
      <c r="P729" s="213"/>
      <c r="Q729" s="213"/>
      <c r="R729" s="213"/>
      <c r="S729" s="213"/>
      <c r="T729" s="213"/>
      <c r="U729" s="213"/>
      <c r="V729" s="213"/>
      <c r="W729" s="213"/>
      <c r="X729" s="213"/>
      <c r="Y729" s="213"/>
      <c r="Z729" s="213"/>
      <c r="AA729" s="213"/>
      <c r="AB729" s="213"/>
      <c r="AC729" s="213"/>
      <c r="AD729" s="213"/>
      <c r="AE729" s="213"/>
      <c r="AF729" s="213"/>
      <c r="AG729" s="213"/>
      <c r="AH729" s="213"/>
      <c r="AI729" s="213"/>
      <c r="AJ729" s="213"/>
      <c r="AK729" s="213"/>
      <c r="AL729" s="213"/>
      <c r="AM729" s="302"/>
      <c r="AN729" s="302"/>
      <c r="AO729" s="303"/>
      <c r="AP729" s="285"/>
      <c r="AQ729" s="207"/>
      <c r="AR729" s="207"/>
    </row>
    <row r="730" spans="10:44" s="48" customFormat="1" hidden="1">
      <c r="J730" s="213"/>
      <c r="K730" s="213"/>
      <c r="L730" s="213"/>
      <c r="M730" s="213"/>
      <c r="N730" s="213"/>
      <c r="O730" s="213"/>
      <c r="P730" s="213"/>
      <c r="Q730" s="213"/>
      <c r="R730" s="213"/>
      <c r="S730" s="213"/>
      <c r="T730" s="213"/>
      <c r="U730" s="213"/>
      <c r="V730" s="213"/>
      <c r="W730" s="213"/>
      <c r="X730" s="213"/>
      <c r="Y730" s="213"/>
      <c r="Z730" s="213"/>
      <c r="AA730" s="213"/>
      <c r="AB730" s="213"/>
      <c r="AC730" s="213"/>
      <c r="AD730" s="213"/>
      <c r="AE730" s="213"/>
      <c r="AF730" s="213"/>
      <c r="AG730" s="213"/>
      <c r="AH730" s="213"/>
      <c r="AI730" s="213"/>
      <c r="AJ730" s="213"/>
      <c r="AK730" s="213"/>
      <c r="AL730" s="213"/>
      <c r="AM730" s="302"/>
      <c r="AN730" s="302"/>
      <c r="AO730" s="303"/>
      <c r="AP730" s="285"/>
      <c r="AQ730" s="207"/>
      <c r="AR730" s="207"/>
    </row>
    <row r="731" spans="10:44" s="48" customFormat="1" hidden="1">
      <c r="J731" s="213"/>
      <c r="K731" s="213"/>
      <c r="L731" s="213"/>
      <c r="M731" s="213"/>
      <c r="N731" s="213"/>
      <c r="O731" s="213"/>
      <c r="P731" s="213"/>
      <c r="Q731" s="213"/>
      <c r="R731" s="213"/>
      <c r="S731" s="213"/>
      <c r="T731" s="213"/>
      <c r="U731" s="213"/>
      <c r="V731" s="213"/>
      <c r="W731" s="213"/>
      <c r="X731" s="213"/>
      <c r="Y731" s="213"/>
      <c r="Z731" s="213"/>
      <c r="AA731" s="213"/>
      <c r="AB731" s="213"/>
      <c r="AC731" s="213"/>
      <c r="AD731" s="213"/>
      <c r="AE731" s="213"/>
      <c r="AF731" s="213"/>
      <c r="AG731" s="213"/>
      <c r="AH731" s="213"/>
      <c r="AI731" s="213"/>
      <c r="AJ731" s="213"/>
      <c r="AK731" s="213"/>
      <c r="AL731" s="213"/>
      <c r="AM731" s="302"/>
      <c r="AN731" s="302"/>
      <c r="AO731" s="303"/>
      <c r="AP731" s="285"/>
      <c r="AQ731" s="207"/>
      <c r="AR731" s="207"/>
    </row>
    <row r="732" spans="10:44" s="48" customFormat="1" hidden="1">
      <c r="J732" s="213"/>
      <c r="K732" s="213"/>
      <c r="L732" s="213"/>
      <c r="M732" s="213"/>
      <c r="N732" s="213"/>
      <c r="O732" s="213"/>
      <c r="P732" s="213"/>
      <c r="Q732" s="213"/>
      <c r="R732" s="213"/>
      <c r="S732" s="213"/>
      <c r="T732" s="213"/>
      <c r="U732" s="213"/>
      <c r="V732" s="213"/>
      <c r="W732" s="213"/>
      <c r="X732" s="213"/>
      <c r="Y732" s="213"/>
      <c r="Z732" s="213"/>
      <c r="AA732" s="213"/>
      <c r="AB732" s="213"/>
      <c r="AC732" s="213"/>
      <c r="AD732" s="213"/>
      <c r="AE732" s="213"/>
      <c r="AF732" s="213"/>
      <c r="AG732" s="213"/>
      <c r="AH732" s="213"/>
      <c r="AI732" s="213"/>
      <c r="AJ732" s="213"/>
      <c r="AK732" s="213"/>
      <c r="AL732" s="213"/>
      <c r="AM732" s="302"/>
      <c r="AN732" s="302"/>
      <c r="AO732" s="303"/>
      <c r="AP732" s="285"/>
      <c r="AQ732" s="258"/>
      <c r="AR732" s="258"/>
    </row>
    <row r="733" spans="10:44" s="48" customFormat="1" hidden="1">
      <c r="J733" s="213"/>
      <c r="K733" s="213"/>
      <c r="L733" s="213"/>
      <c r="M733" s="213"/>
      <c r="N733" s="213"/>
      <c r="O733" s="213"/>
      <c r="P733" s="213"/>
      <c r="Q733" s="213"/>
      <c r="R733" s="213"/>
      <c r="S733" s="213"/>
      <c r="T733" s="213"/>
      <c r="U733" s="213"/>
      <c r="V733" s="213"/>
      <c r="W733" s="213"/>
      <c r="X733" s="213"/>
      <c r="Y733" s="213"/>
      <c r="Z733" s="213"/>
      <c r="AA733" s="213"/>
      <c r="AB733" s="213"/>
      <c r="AC733" s="213"/>
      <c r="AD733" s="213"/>
      <c r="AE733" s="213"/>
      <c r="AF733" s="213"/>
      <c r="AG733" s="213"/>
      <c r="AH733" s="213"/>
      <c r="AI733" s="213"/>
      <c r="AJ733" s="213"/>
      <c r="AK733" s="213"/>
      <c r="AL733" s="213"/>
      <c r="AM733" s="302"/>
      <c r="AN733" s="302"/>
      <c r="AO733" s="303"/>
      <c r="AP733" s="285"/>
      <c r="AQ733" s="258"/>
      <c r="AR733" s="258"/>
    </row>
    <row r="734" spans="10:44" s="48" customFormat="1" hidden="1">
      <c r="J734" s="213"/>
      <c r="K734" s="213"/>
      <c r="L734" s="213"/>
      <c r="M734" s="213"/>
      <c r="N734" s="213"/>
      <c r="O734" s="213"/>
      <c r="P734" s="213"/>
      <c r="Q734" s="213"/>
      <c r="R734" s="213"/>
      <c r="S734" s="213"/>
      <c r="T734" s="213"/>
      <c r="U734" s="213"/>
      <c r="V734" s="213"/>
      <c r="W734" s="213"/>
      <c r="X734" s="213"/>
      <c r="Y734" s="213"/>
      <c r="Z734" s="213"/>
      <c r="AA734" s="213"/>
      <c r="AB734" s="213"/>
      <c r="AC734" s="213"/>
      <c r="AD734" s="213"/>
      <c r="AE734" s="213"/>
      <c r="AF734" s="213"/>
      <c r="AG734" s="213"/>
      <c r="AH734" s="213"/>
      <c r="AI734" s="213"/>
      <c r="AJ734" s="213"/>
      <c r="AK734" s="213"/>
      <c r="AL734" s="213"/>
      <c r="AM734" s="302"/>
      <c r="AN734" s="302"/>
      <c r="AO734" s="303"/>
      <c r="AP734" s="285"/>
      <c r="AQ734" s="258"/>
      <c r="AR734" s="258"/>
    </row>
    <row r="735" spans="10:44" s="48" customFormat="1" hidden="1">
      <c r="J735" s="213"/>
      <c r="K735" s="213"/>
      <c r="L735" s="213"/>
      <c r="M735" s="213"/>
      <c r="N735" s="213"/>
      <c r="O735" s="213"/>
      <c r="P735" s="213"/>
      <c r="Q735" s="213"/>
      <c r="R735" s="213"/>
      <c r="S735" s="213"/>
      <c r="T735" s="213"/>
      <c r="U735" s="213"/>
      <c r="V735" s="213"/>
      <c r="W735" s="213"/>
      <c r="X735" s="213"/>
      <c r="Y735" s="213"/>
      <c r="Z735" s="213"/>
      <c r="AA735" s="213"/>
      <c r="AB735" s="213"/>
      <c r="AC735" s="213"/>
      <c r="AD735" s="213"/>
      <c r="AE735" s="213"/>
      <c r="AF735" s="213"/>
      <c r="AG735" s="213"/>
      <c r="AH735" s="213"/>
      <c r="AI735" s="213"/>
      <c r="AJ735" s="213"/>
      <c r="AK735" s="213"/>
      <c r="AL735" s="213"/>
      <c r="AM735" s="302"/>
      <c r="AN735" s="302"/>
      <c r="AO735" s="303"/>
      <c r="AP735" s="285"/>
      <c r="AQ735" s="258"/>
      <c r="AR735" s="258"/>
    </row>
    <row r="736" spans="10:44" s="48" customFormat="1" hidden="1">
      <c r="J736" s="213"/>
      <c r="K736" s="213"/>
      <c r="L736" s="213"/>
      <c r="M736" s="213"/>
      <c r="N736" s="213"/>
      <c r="O736" s="213"/>
      <c r="P736" s="213"/>
      <c r="Q736" s="213"/>
      <c r="R736" s="213"/>
      <c r="S736" s="213"/>
      <c r="T736" s="213"/>
      <c r="U736" s="213"/>
      <c r="V736" s="213"/>
      <c r="W736" s="213"/>
      <c r="X736" s="213"/>
      <c r="Y736" s="213"/>
      <c r="Z736" s="213"/>
      <c r="AA736" s="213"/>
      <c r="AB736" s="213"/>
      <c r="AC736" s="213"/>
      <c r="AD736" s="213"/>
      <c r="AE736" s="213"/>
      <c r="AF736" s="213"/>
      <c r="AG736" s="213"/>
      <c r="AH736" s="213"/>
      <c r="AI736" s="213"/>
      <c r="AJ736" s="213"/>
      <c r="AK736" s="213"/>
      <c r="AL736" s="213"/>
      <c r="AM736" s="302"/>
      <c r="AN736" s="302"/>
      <c r="AO736" s="303"/>
      <c r="AP736" s="285"/>
      <c r="AQ736" s="258"/>
      <c r="AR736" s="258"/>
    </row>
    <row r="737" spans="10:44" s="48" customFormat="1" hidden="1">
      <c r="J737" s="213"/>
      <c r="K737" s="213"/>
      <c r="L737" s="213"/>
      <c r="M737" s="213"/>
      <c r="N737" s="213"/>
      <c r="O737" s="213"/>
      <c r="P737" s="213"/>
      <c r="Q737" s="213"/>
      <c r="R737" s="213"/>
      <c r="S737" s="213"/>
      <c r="T737" s="213"/>
      <c r="U737" s="213"/>
      <c r="V737" s="213"/>
      <c r="W737" s="213"/>
      <c r="X737" s="213"/>
      <c r="Y737" s="213"/>
      <c r="Z737" s="213"/>
      <c r="AA737" s="213"/>
      <c r="AB737" s="213"/>
      <c r="AC737" s="213"/>
      <c r="AD737" s="213"/>
      <c r="AE737" s="213"/>
      <c r="AF737" s="213"/>
      <c r="AG737" s="213"/>
      <c r="AH737" s="213"/>
      <c r="AI737" s="213"/>
      <c r="AJ737" s="213"/>
      <c r="AK737" s="213"/>
      <c r="AL737" s="213"/>
      <c r="AM737" s="302"/>
      <c r="AN737" s="302"/>
      <c r="AO737" s="303"/>
      <c r="AP737" s="285"/>
      <c r="AQ737" s="258"/>
      <c r="AR737" s="258"/>
    </row>
    <row r="738" spans="10:44" s="48" customFormat="1" hidden="1">
      <c r="J738" s="213"/>
      <c r="K738" s="213"/>
      <c r="L738" s="213"/>
      <c r="M738" s="213"/>
      <c r="N738" s="213"/>
      <c r="O738" s="213"/>
      <c r="P738" s="213"/>
      <c r="Q738" s="213"/>
      <c r="R738" s="213"/>
      <c r="S738" s="213"/>
      <c r="T738" s="213"/>
      <c r="U738" s="213"/>
      <c r="V738" s="213"/>
      <c r="W738" s="213"/>
      <c r="X738" s="213"/>
      <c r="Y738" s="213"/>
      <c r="Z738" s="213"/>
      <c r="AA738" s="213"/>
      <c r="AB738" s="213"/>
      <c r="AC738" s="213"/>
      <c r="AD738" s="213"/>
      <c r="AE738" s="213"/>
      <c r="AF738" s="213"/>
      <c r="AG738" s="213"/>
      <c r="AH738" s="213"/>
      <c r="AI738" s="213"/>
      <c r="AJ738" s="213"/>
      <c r="AK738" s="213"/>
      <c r="AL738" s="213"/>
      <c r="AM738" s="302"/>
      <c r="AN738" s="302"/>
      <c r="AO738" s="303"/>
      <c r="AP738" s="285"/>
      <c r="AQ738" s="258"/>
      <c r="AR738" s="258"/>
    </row>
    <row r="739" spans="10:44" s="48" customFormat="1" hidden="1">
      <c r="J739" s="213"/>
      <c r="K739" s="213"/>
      <c r="L739" s="213"/>
      <c r="M739" s="213"/>
      <c r="N739" s="213"/>
      <c r="O739" s="213"/>
      <c r="P739" s="213"/>
      <c r="Q739" s="213"/>
      <c r="R739" s="213"/>
      <c r="S739" s="213"/>
      <c r="T739" s="213"/>
      <c r="U739" s="213"/>
      <c r="V739" s="213"/>
      <c r="W739" s="213"/>
      <c r="X739" s="213"/>
      <c r="Y739" s="213"/>
      <c r="Z739" s="213"/>
      <c r="AA739" s="213"/>
      <c r="AB739" s="213"/>
      <c r="AC739" s="213"/>
      <c r="AD739" s="213"/>
      <c r="AE739" s="213"/>
      <c r="AF739" s="213"/>
      <c r="AG739" s="213"/>
      <c r="AH739" s="213"/>
      <c r="AI739" s="213"/>
      <c r="AJ739" s="213"/>
      <c r="AK739" s="213"/>
      <c r="AL739" s="213"/>
      <c r="AM739" s="302"/>
      <c r="AN739" s="302"/>
      <c r="AO739" s="303"/>
      <c r="AP739" s="285"/>
      <c r="AQ739" s="258"/>
      <c r="AR739" s="258"/>
    </row>
    <row r="740" spans="10:44" s="48" customFormat="1" hidden="1">
      <c r="J740" s="213"/>
      <c r="K740" s="213"/>
      <c r="L740" s="213"/>
      <c r="M740" s="213"/>
      <c r="N740" s="213"/>
      <c r="O740" s="213"/>
      <c r="P740" s="213"/>
      <c r="Q740" s="213"/>
      <c r="R740" s="213"/>
      <c r="S740" s="213"/>
      <c r="T740" s="213"/>
      <c r="U740" s="213"/>
      <c r="V740" s="213"/>
      <c r="W740" s="213"/>
      <c r="X740" s="213"/>
      <c r="Y740" s="213"/>
      <c r="Z740" s="213"/>
      <c r="AA740" s="213"/>
      <c r="AB740" s="213"/>
      <c r="AC740" s="213"/>
      <c r="AD740" s="213"/>
      <c r="AE740" s="213"/>
      <c r="AF740" s="213"/>
      <c r="AG740" s="213"/>
      <c r="AH740" s="213"/>
      <c r="AI740" s="213"/>
      <c r="AJ740" s="213"/>
      <c r="AK740" s="213"/>
      <c r="AL740" s="213"/>
      <c r="AM740" s="302"/>
      <c r="AN740" s="302"/>
      <c r="AO740" s="303"/>
      <c r="AP740" s="285"/>
      <c r="AQ740" s="258"/>
      <c r="AR740" s="258"/>
    </row>
    <row r="741" spans="10:44" s="48" customFormat="1" hidden="1">
      <c r="J741" s="213"/>
      <c r="K741" s="213"/>
      <c r="L741" s="213"/>
      <c r="M741" s="213"/>
      <c r="N741" s="213"/>
      <c r="O741" s="213"/>
      <c r="P741" s="213"/>
      <c r="Q741" s="213"/>
      <c r="R741" s="213"/>
      <c r="S741" s="213"/>
      <c r="T741" s="213"/>
      <c r="U741" s="213"/>
      <c r="V741" s="213"/>
      <c r="W741" s="213"/>
      <c r="X741" s="213"/>
      <c r="Y741" s="213"/>
      <c r="Z741" s="213"/>
      <c r="AA741" s="213"/>
      <c r="AB741" s="213"/>
      <c r="AC741" s="213"/>
      <c r="AD741" s="213"/>
      <c r="AE741" s="213"/>
      <c r="AF741" s="213"/>
      <c r="AG741" s="213"/>
      <c r="AH741" s="213"/>
      <c r="AI741" s="213"/>
      <c r="AJ741" s="213"/>
      <c r="AK741" s="213"/>
      <c r="AL741" s="213"/>
      <c r="AM741" s="302"/>
      <c r="AN741" s="302"/>
      <c r="AO741" s="303"/>
      <c r="AP741" s="285"/>
      <c r="AQ741" s="258"/>
      <c r="AR741" s="258"/>
    </row>
    <row r="742" spans="10:44" s="48" customFormat="1" hidden="1">
      <c r="J742" s="213"/>
      <c r="K742" s="213"/>
      <c r="L742" s="213"/>
      <c r="M742" s="213"/>
      <c r="N742" s="213"/>
      <c r="O742" s="213"/>
      <c r="P742" s="213"/>
      <c r="Q742" s="213"/>
      <c r="R742" s="213"/>
      <c r="S742" s="213"/>
      <c r="T742" s="213"/>
      <c r="U742" s="213"/>
      <c r="V742" s="213"/>
      <c r="W742" s="213"/>
      <c r="X742" s="213"/>
      <c r="Y742" s="213"/>
      <c r="Z742" s="213"/>
      <c r="AA742" s="213"/>
      <c r="AB742" s="213"/>
      <c r="AC742" s="213"/>
      <c r="AD742" s="213"/>
      <c r="AE742" s="213"/>
      <c r="AF742" s="213"/>
      <c r="AG742" s="213"/>
      <c r="AH742" s="213"/>
      <c r="AI742" s="213"/>
      <c r="AJ742" s="213"/>
      <c r="AK742" s="213"/>
      <c r="AL742" s="213"/>
      <c r="AM742" s="302"/>
      <c r="AN742" s="302"/>
      <c r="AO742" s="303"/>
      <c r="AP742" s="285"/>
      <c r="AQ742" s="258"/>
      <c r="AR742" s="258"/>
    </row>
    <row r="743" spans="10:44" s="48" customFormat="1" hidden="1">
      <c r="J743" s="213"/>
      <c r="K743" s="213"/>
      <c r="L743" s="213"/>
      <c r="M743" s="213"/>
      <c r="N743" s="213"/>
      <c r="O743" s="213"/>
      <c r="P743" s="213"/>
      <c r="Q743" s="213"/>
      <c r="R743" s="213"/>
      <c r="S743" s="213"/>
      <c r="T743" s="213"/>
      <c r="U743" s="213"/>
      <c r="V743" s="213"/>
      <c r="W743" s="213"/>
      <c r="X743" s="213"/>
      <c r="Y743" s="213"/>
      <c r="Z743" s="213"/>
      <c r="AA743" s="213"/>
      <c r="AB743" s="213"/>
      <c r="AC743" s="213"/>
      <c r="AD743" s="213"/>
      <c r="AE743" s="213"/>
      <c r="AF743" s="213"/>
      <c r="AG743" s="213"/>
      <c r="AH743" s="213"/>
      <c r="AI743" s="213"/>
      <c r="AJ743" s="213"/>
      <c r="AK743" s="213"/>
      <c r="AL743" s="213"/>
      <c r="AM743" s="302"/>
      <c r="AN743" s="302"/>
      <c r="AO743" s="303"/>
      <c r="AP743" s="285"/>
      <c r="AQ743" s="258"/>
      <c r="AR743" s="258"/>
    </row>
    <row r="744" spans="10:44" s="48" customFormat="1" hidden="1">
      <c r="J744" s="213"/>
      <c r="K744" s="213"/>
      <c r="L744" s="213"/>
      <c r="M744" s="213"/>
      <c r="N744" s="213"/>
      <c r="O744" s="213"/>
      <c r="P744" s="213"/>
      <c r="Q744" s="213"/>
      <c r="R744" s="213"/>
      <c r="S744" s="213"/>
      <c r="T744" s="213"/>
      <c r="U744" s="213"/>
      <c r="V744" s="213"/>
      <c r="W744" s="213"/>
      <c r="X744" s="213"/>
      <c r="Y744" s="213"/>
      <c r="Z744" s="213"/>
      <c r="AA744" s="213"/>
      <c r="AB744" s="213"/>
      <c r="AC744" s="213"/>
      <c r="AD744" s="213"/>
      <c r="AE744" s="213"/>
      <c r="AF744" s="213"/>
      <c r="AG744" s="213"/>
      <c r="AH744" s="213"/>
      <c r="AI744" s="213"/>
      <c r="AJ744" s="213"/>
      <c r="AK744" s="213"/>
      <c r="AL744" s="213"/>
      <c r="AM744" s="302"/>
      <c r="AN744" s="302"/>
      <c r="AO744" s="303"/>
      <c r="AP744" s="285"/>
      <c r="AQ744" s="258"/>
      <c r="AR744" s="258"/>
    </row>
    <row r="745" spans="10:44" s="48" customFormat="1" hidden="1">
      <c r="J745" s="213"/>
      <c r="K745" s="213"/>
      <c r="L745" s="213"/>
      <c r="M745" s="213"/>
      <c r="N745" s="213"/>
      <c r="O745" s="213"/>
      <c r="P745" s="213"/>
      <c r="Q745" s="213"/>
      <c r="R745" s="213"/>
      <c r="S745" s="213"/>
      <c r="T745" s="213"/>
      <c r="U745" s="213"/>
      <c r="V745" s="213"/>
      <c r="W745" s="213"/>
      <c r="X745" s="213"/>
      <c r="Y745" s="213"/>
      <c r="Z745" s="213"/>
      <c r="AA745" s="213"/>
      <c r="AB745" s="213"/>
      <c r="AC745" s="213"/>
      <c r="AD745" s="213"/>
      <c r="AE745" s="213"/>
      <c r="AF745" s="213"/>
      <c r="AG745" s="213"/>
      <c r="AH745" s="213"/>
      <c r="AI745" s="213"/>
      <c r="AJ745" s="213"/>
      <c r="AK745" s="213"/>
      <c r="AL745" s="213"/>
      <c r="AM745" s="302"/>
      <c r="AN745" s="302"/>
      <c r="AO745" s="303"/>
      <c r="AP745" s="285"/>
      <c r="AQ745" s="258"/>
      <c r="AR745" s="258"/>
    </row>
    <row r="746" spans="10:44" s="48" customFormat="1" hidden="1">
      <c r="J746" s="213"/>
      <c r="K746" s="213"/>
      <c r="L746" s="213"/>
      <c r="M746" s="213"/>
      <c r="N746" s="213"/>
      <c r="O746" s="213"/>
      <c r="P746" s="213"/>
      <c r="Q746" s="213"/>
      <c r="R746" s="213"/>
      <c r="S746" s="213"/>
      <c r="T746" s="213"/>
      <c r="U746" s="213"/>
      <c r="V746" s="213"/>
      <c r="W746" s="213"/>
      <c r="X746" s="213"/>
      <c r="Y746" s="213"/>
      <c r="Z746" s="213"/>
      <c r="AA746" s="213"/>
      <c r="AB746" s="213"/>
      <c r="AC746" s="213"/>
      <c r="AD746" s="213"/>
      <c r="AE746" s="213"/>
      <c r="AF746" s="213"/>
      <c r="AG746" s="213"/>
      <c r="AH746" s="213"/>
      <c r="AI746" s="213"/>
      <c r="AJ746" s="213"/>
      <c r="AK746" s="213"/>
      <c r="AL746" s="213"/>
      <c r="AM746" s="302"/>
      <c r="AN746" s="302"/>
      <c r="AO746" s="303"/>
      <c r="AP746" s="285"/>
      <c r="AQ746" s="258"/>
      <c r="AR746" s="258"/>
    </row>
    <row r="747" spans="10:44" s="48" customFormat="1" hidden="1">
      <c r="J747" s="213"/>
      <c r="K747" s="213"/>
      <c r="L747" s="213"/>
      <c r="M747" s="213"/>
      <c r="N747" s="213"/>
      <c r="O747" s="213"/>
      <c r="P747" s="213"/>
      <c r="Q747" s="213"/>
      <c r="R747" s="213"/>
      <c r="S747" s="213"/>
      <c r="T747" s="213"/>
      <c r="U747" s="213"/>
      <c r="V747" s="213"/>
      <c r="W747" s="213"/>
      <c r="X747" s="213"/>
      <c r="Y747" s="213"/>
      <c r="Z747" s="213"/>
      <c r="AA747" s="213"/>
      <c r="AB747" s="213"/>
      <c r="AC747" s="213"/>
      <c r="AD747" s="213"/>
      <c r="AE747" s="213"/>
      <c r="AF747" s="213"/>
      <c r="AG747" s="213"/>
      <c r="AH747" s="213"/>
      <c r="AI747" s="213"/>
      <c r="AJ747" s="213"/>
      <c r="AK747" s="213"/>
      <c r="AL747" s="213"/>
      <c r="AM747" s="302"/>
      <c r="AN747" s="302"/>
      <c r="AO747" s="303"/>
      <c r="AP747" s="285"/>
      <c r="AQ747" s="258"/>
      <c r="AR747" s="258"/>
    </row>
    <row r="748" spans="10:44" s="48" customFormat="1" hidden="1">
      <c r="J748" s="213"/>
      <c r="K748" s="213"/>
      <c r="L748" s="213"/>
      <c r="M748" s="213"/>
      <c r="N748" s="213"/>
      <c r="O748" s="213"/>
      <c r="P748" s="213"/>
      <c r="Q748" s="213"/>
      <c r="R748" s="213"/>
      <c r="S748" s="213"/>
      <c r="T748" s="213"/>
      <c r="U748" s="213"/>
      <c r="V748" s="213"/>
      <c r="W748" s="213"/>
      <c r="X748" s="213"/>
      <c r="Y748" s="213"/>
      <c r="Z748" s="213"/>
      <c r="AA748" s="213"/>
      <c r="AB748" s="213"/>
      <c r="AC748" s="213"/>
      <c r="AD748" s="213"/>
      <c r="AE748" s="213"/>
      <c r="AF748" s="213"/>
      <c r="AG748" s="213"/>
      <c r="AH748" s="213"/>
      <c r="AI748" s="213"/>
      <c r="AJ748" s="213"/>
      <c r="AK748" s="213"/>
      <c r="AL748" s="213"/>
      <c r="AM748" s="302"/>
      <c r="AN748" s="302"/>
      <c r="AO748" s="303"/>
      <c r="AP748" s="285"/>
      <c r="AQ748" s="258"/>
      <c r="AR748" s="258"/>
    </row>
    <row r="749" spans="10:44" s="48" customFormat="1" hidden="1">
      <c r="J749" s="213"/>
      <c r="K749" s="213"/>
      <c r="L749" s="213"/>
      <c r="M749" s="213"/>
      <c r="N749" s="213"/>
      <c r="O749" s="213"/>
      <c r="P749" s="213"/>
      <c r="Q749" s="213"/>
      <c r="R749" s="213"/>
      <c r="S749" s="213"/>
      <c r="T749" s="213"/>
      <c r="U749" s="213"/>
      <c r="V749" s="213"/>
      <c r="W749" s="213"/>
      <c r="X749" s="213"/>
      <c r="Y749" s="213"/>
      <c r="Z749" s="213"/>
      <c r="AA749" s="213"/>
      <c r="AB749" s="213"/>
      <c r="AC749" s="213"/>
      <c r="AD749" s="213"/>
      <c r="AE749" s="213"/>
      <c r="AF749" s="213"/>
      <c r="AG749" s="213"/>
      <c r="AH749" s="213"/>
      <c r="AI749" s="213"/>
      <c r="AJ749" s="213"/>
      <c r="AK749" s="213"/>
      <c r="AL749" s="213"/>
      <c r="AM749" s="302"/>
      <c r="AN749" s="302"/>
      <c r="AO749" s="303"/>
      <c r="AP749" s="285"/>
      <c r="AQ749" s="258"/>
      <c r="AR749" s="258"/>
    </row>
    <row r="750" spans="10:44" s="48" customFormat="1" hidden="1">
      <c r="J750" s="213"/>
      <c r="K750" s="213"/>
      <c r="L750" s="213"/>
      <c r="M750" s="213"/>
      <c r="N750" s="213"/>
      <c r="O750" s="213"/>
      <c r="P750" s="213"/>
      <c r="Q750" s="213"/>
      <c r="R750" s="213"/>
      <c r="S750" s="213"/>
      <c r="T750" s="213"/>
      <c r="U750" s="213"/>
      <c r="V750" s="213"/>
      <c r="W750" s="213"/>
      <c r="X750" s="213"/>
      <c r="Y750" s="213"/>
      <c r="Z750" s="213"/>
      <c r="AA750" s="213"/>
      <c r="AB750" s="213"/>
      <c r="AC750" s="213"/>
      <c r="AD750" s="213"/>
      <c r="AE750" s="213"/>
      <c r="AF750" s="213"/>
      <c r="AG750" s="213"/>
      <c r="AH750" s="213"/>
      <c r="AI750" s="213"/>
      <c r="AJ750" s="213"/>
      <c r="AK750" s="213"/>
      <c r="AL750" s="213"/>
      <c r="AM750" s="302"/>
      <c r="AN750" s="302"/>
      <c r="AO750" s="303"/>
      <c r="AP750" s="285"/>
      <c r="AQ750" s="258"/>
      <c r="AR750" s="258"/>
    </row>
    <row r="751" spans="10:44" s="48" customFormat="1" hidden="1">
      <c r="J751" s="213"/>
      <c r="K751" s="213"/>
      <c r="L751" s="213"/>
      <c r="M751" s="213"/>
      <c r="N751" s="213"/>
      <c r="O751" s="213"/>
      <c r="P751" s="213"/>
      <c r="Q751" s="213"/>
      <c r="R751" s="213"/>
      <c r="S751" s="213"/>
      <c r="T751" s="213"/>
      <c r="U751" s="213"/>
      <c r="V751" s="213"/>
      <c r="W751" s="213"/>
      <c r="X751" s="213"/>
      <c r="Y751" s="213"/>
      <c r="Z751" s="213"/>
      <c r="AA751" s="213"/>
      <c r="AB751" s="213"/>
      <c r="AC751" s="213"/>
      <c r="AD751" s="213"/>
      <c r="AE751" s="213"/>
      <c r="AF751" s="213"/>
      <c r="AG751" s="213"/>
      <c r="AH751" s="213"/>
      <c r="AI751" s="213"/>
      <c r="AJ751" s="213"/>
      <c r="AK751" s="213"/>
      <c r="AL751" s="213"/>
      <c r="AM751" s="302"/>
      <c r="AN751" s="302"/>
      <c r="AO751" s="303"/>
      <c r="AP751" s="285"/>
      <c r="AQ751" s="258"/>
      <c r="AR751" s="258"/>
    </row>
    <row r="752" spans="10:44" s="48" customFormat="1" hidden="1">
      <c r="J752" s="213"/>
      <c r="K752" s="213"/>
      <c r="L752" s="213"/>
      <c r="M752" s="213"/>
      <c r="N752" s="213"/>
      <c r="O752" s="213"/>
      <c r="P752" s="213"/>
      <c r="Q752" s="213"/>
      <c r="R752" s="213"/>
      <c r="S752" s="213"/>
      <c r="T752" s="213"/>
      <c r="U752" s="213"/>
      <c r="V752" s="213"/>
      <c r="W752" s="213"/>
      <c r="X752" s="213"/>
      <c r="Y752" s="213"/>
      <c r="Z752" s="213"/>
      <c r="AA752" s="213"/>
      <c r="AB752" s="213"/>
      <c r="AC752" s="213"/>
      <c r="AD752" s="213"/>
      <c r="AE752" s="213"/>
      <c r="AF752" s="213"/>
      <c r="AG752" s="213"/>
      <c r="AH752" s="213"/>
      <c r="AI752" s="213"/>
      <c r="AJ752" s="213"/>
      <c r="AK752" s="213"/>
      <c r="AL752" s="213"/>
      <c r="AM752" s="302"/>
      <c r="AN752" s="302"/>
      <c r="AO752" s="303"/>
      <c r="AP752" s="285"/>
      <c r="AQ752" s="258"/>
      <c r="AR752" s="258"/>
    </row>
    <row r="753" spans="10:44" s="48" customFormat="1" hidden="1">
      <c r="J753" s="213"/>
      <c r="K753" s="213"/>
      <c r="L753" s="213"/>
      <c r="M753" s="213"/>
      <c r="N753" s="213"/>
      <c r="O753" s="213"/>
      <c r="P753" s="213"/>
      <c r="Q753" s="213"/>
      <c r="R753" s="213"/>
      <c r="S753" s="213"/>
      <c r="T753" s="213"/>
      <c r="U753" s="213"/>
      <c r="V753" s="213"/>
      <c r="W753" s="213"/>
      <c r="X753" s="213"/>
      <c r="Y753" s="213"/>
      <c r="Z753" s="213"/>
      <c r="AA753" s="213"/>
      <c r="AB753" s="213"/>
      <c r="AC753" s="213"/>
      <c r="AD753" s="213"/>
      <c r="AE753" s="213"/>
      <c r="AF753" s="213"/>
      <c r="AG753" s="213"/>
      <c r="AH753" s="213"/>
      <c r="AI753" s="213"/>
      <c r="AJ753" s="213"/>
      <c r="AK753" s="213"/>
      <c r="AL753" s="213"/>
      <c r="AM753" s="302"/>
      <c r="AN753" s="302"/>
      <c r="AO753" s="303"/>
      <c r="AP753" s="285"/>
      <c r="AQ753" s="258"/>
      <c r="AR753" s="258"/>
    </row>
    <row r="754" spans="10:44" s="48" customFormat="1" hidden="1">
      <c r="J754" s="213"/>
      <c r="K754" s="213"/>
      <c r="L754" s="213"/>
      <c r="M754" s="213"/>
      <c r="N754" s="213"/>
      <c r="O754" s="213"/>
      <c r="P754" s="213"/>
      <c r="Q754" s="213"/>
      <c r="R754" s="213"/>
      <c r="S754" s="213"/>
      <c r="T754" s="213"/>
      <c r="U754" s="213"/>
      <c r="V754" s="213"/>
      <c r="W754" s="213"/>
      <c r="X754" s="213"/>
      <c r="Y754" s="213"/>
      <c r="Z754" s="213"/>
      <c r="AA754" s="213"/>
      <c r="AB754" s="213"/>
      <c r="AC754" s="213"/>
      <c r="AD754" s="213"/>
      <c r="AE754" s="213"/>
      <c r="AF754" s="213"/>
      <c r="AG754" s="213"/>
      <c r="AH754" s="213"/>
      <c r="AI754" s="213"/>
      <c r="AJ754" s="213"/>
      <c r="AK754" s="213"/>
      <c r="AL754" s="213"/>
      <c r="AM754" s="302"/>
      <c r="AN754" s="302"/>
      <c r="AO754" s="303"/>
      <c r="AP754" s="285"/>
      <c r="AQ754" s="258"/>
      <c r="AR754" s="258"/>
    </row>
    <row r="755" spans="10:44" s="48" customFormat="1" hidden="1">
      <c r="J755" s="213"/>
      <c r="K755" s="213"/>
      <c r="L755" s="213"/>
      <c r="M755" s="213"/>
      <c r="N755" s="213"/>
      <c r="O755" s="213"/>
      <c r="P755" s="213"/>
      <c r="Q755" s="213"/>
      <c r="R755" s="213"/>
      <c r="S755" s="213"/>
      <c r="T755" s="213"/>
      <c r="U755" s="213"/>
      <c r="V755" s="213"/>
      <c r="W755" s="213"/>
      <c r="X755" s="213"/>
      <c r="Y755" s="213"/>
      <c r="Z755" s="213"/>
      <c r="AA755" s="213"/>
      <c r="AB755" s="213"/>
      <c r="AC755" s="213"/>
      <c r="AD755" s="213"/>
      <c r="AE755" s="213"/>
      <c r="AF755" s="213"/>
      <c r="AG755" s="213"/>
      <c r="AH755" s="213"/>
      <c r="AI755" s="213"/>
      <c r="AJ755" s="213"/>
      <c r="AK755" s="213"/>
      <c r="AL755" s="213"/>
      <c r="AM755" s="302"/>
      <c r="AN755" s="302"/>
      <c r="AO755" s="303"/>
      <c r="AP755" s="285"/>
      <c r="AQ755" s="258"/>
      <c r="AR755" s="258"/>
    </row>
    <row r="756" spans="10:44" s="48" customFormat="1" hidden="1">
      <c r="J756" s="213"/>
      <c r="K756" s="213"/>
      <c r="L756" s="213"/>
      <c r="M756" s="213"/>
      <c r="N756" s="213"/>
      <c r="O756" s="213"/>
      <c r="P756" s="213"/>
      <c r="Q756" s="213"/>
      <c r="R756" s="213"/>
      <c r="S756" s="213"/>
      <c r="T756" s="213"/>
      <c r="U756" s="213"/>
      <c r="V756" s="213"/>
      <c r="W756" s="213"/>
      <c r="X756" s="213"/>
      <c r="Y756" s="213"/>
      <c r="Z756" s="213"/>
      <c r="AA756" s="213"/>
      <c r="AB756" s="213"/>
      <c r="AC756" s="213"/>
      <c r="AD756" s="213"/>
      <c r="AE756" s="213"/>
      <c r="AF756" s="213"/>
      <c r="AG756" s="213"/>
      <c r="AH756" s="213"/>
      <c r="AI756" s="213"/>
      <c r="AJ756" s="213"/>
      <c r="AK756" s="213"/>
      <c r="AL756" s="213"/>
      <c r="AM756" s="302"/>
      <c r="AN756" s="302"/>
      <c r="AO756" s="303"/>
      <c r="AP756" s="285"/>
      <c r="AQ756" s="258"/>
      <c r="AR756" s="258"/>
    </row>
    <row r="757" spans="10:44" s="48" customFormat="1" hidden="1">
      <c r="J757" s="213"/>
      <c r="K757" s="213"/>
      <c r="L757" s="213"/>
      <c r="M757" s="213"/>
      <c r="N757" s="213"/>
      <c r="O757" s="213"/>
      <c r="P757" s="213"/>
      <c r="Q757" s="213"/>
      <c r="R757" s="213"/>
      <c r="S757" s="213"/>
      <c r="T757" s="213"/>
      <c r="U757" s="213"/>
      <c r="V757" s="213"/>
      <c r="W757" s="213"/>
      <c r="X757" s="213"/>
      <c r="Y757" s="213"/>
      <c r="Z757" s="213"/>
      <c r="AA757" s="213"/>
      <c r="AB757" s="213"/>
      <c r="AC757" s="213"/>
      <c r="AD757" s="213"/>
      <c r="AE757" s="213"/>
      <c r="AF757" s="213"/>
      <c r="AG757" s="213"/>
      <c r="AH757" s="213"/>
      <c r="AI757" s="213"/>
      <c r="AJ757" s="213"/>
      <c r="AK757" s="213"/>
      <c r="AL757" s="213"/>
      <c r="AM757" s="302"/>
      <c r="AN757" s="302"/>
      <c r="AO757" s="303"/>
      <c r="AP757" s="285"/>
      <c r="AQ757" s="258"/>
      <c r="AR757" s="258"/>
    </row>
    <row r="758" spans="10:44" s="48" customFormat="1" hidden="1">
      <c r="J758" s="213"/>
      <c r="K758" s="213"/>
      <c r="L758" s="213"/>
      <c r="M758" s="213"/>
      <c r="N758" s="213"/>
      <c r="O758" s="213"/>
      <c r="P758" s="213"/>
      <c r="Q758" s="213"/>
      <c r="R758" s="213"/>
      <c r="S758" s="213"/>
      <c r="T758" s="213"/>
      <c r="U758" s="213"/>
      <c r="V758" s="213"/>
      <c r="W758" s="213"/>
      <c r="X758" s="213"/>
      <c r="Y758" s="213"/>
      <c r="Z758" s="213"/>
      <c r="AA758" s="213"/>
      <c r="AB758" s="213"/>
      <c r="AC758" s="213"/>
      <c r="AD758" s="213"/>
      <c r="AE758" s="213"/>
      <c r="AF758" s="213"/>
      <c r="AG758" s="213"/>
      <c r="AH758" s="213"/>
      <c r="AI758" s="213"/>
      <c r="AJ758" s="213"/>
      <c r="AK758" s="213"/>
      <c r="AL758" s="213"/>
      <c r="AM758" s="302"/>
      <c r="AN758" s="302"/>
      <c r="AO758" s="303"/>
      <c r="AP758" s="285"/>
      <c r="AQ758" s="258"/>
      <c r="AR758" s="258"/>
    </row>
    <row r="759" spans="10:44" s="48" customFormat="1" hidden="1">
      <c r="J759" s="213"/>
      <c r="K759" s="213"/>
      <c r="L759" s="213"/>
      <c r="M759" s="213"/>
      <c r="N759" s="213"/>
      <c r="O759" s="213"/>
      <c r="P759" s="213"/>
      <c r="Q759" s="213"/>
      <c r="R759" s="213"/>
      <c r="S759" s="213"/>
      <c r="T759" s="213"/>
      <c r="U759" s="213"/>
      <c r="V759" s="213"/>
      <c r="W759" s="213"/>
      <c r="X759" s="213"/>
      <c r="Y759" s="213"/>
      <c r="Z759" s="213"/>
      <c r="AA759" s="213"/>
      <c r="AB759" s="213"/>
      <c r="AC759" s="213"/>
      <c r="AD759" s="213"/>
      <c r="AE759" s="213"/>
      <c r="AF759" s="213"/>
      <c r="AG759" s="213"/>
      <c r="AH759" s="213"/>
      <c r="AI759" s="213"/>
      <c r="AJ759" s="213"/>
      <c r="AK759" s="213"/>
      <c r="AL759" s="213"/>
      <c r="AM759" s="302"/>
      <c r="AN759" s="302"/>
      <c r="AO759" s="303"/>
      <c r="AP759" s="285"/>
      <c r="AQ759" s="258"/>
      <c r="AR759" s="258"/>
    </row>
    <row r="760" spans="10:44" s="48" customFormat="1" hidden="1">
      <c r="J760" s="213"/>
      <c r="K760" s="213"/>
      <c r="L760" s="213"/>
      <c r="M760" s="213"/>
      <c r="N760" s="213"/>
      <c r="O760" s="213"/>
      <c r="P760" s="213"/>
      <c r="Q760" s="213"/>
      <c r="R760" s="213"/>
      <c r="S760" s="213"/>
      <c r="T760" s="213"/>
      <c r="U760" s="213"/>
      <c r="V760" s="213"/>
      <c r="W760" s="213"/>
      <c r="X760" s="213"/>
      <c r="Y760" s="213"/>
      <c r="Z760" s="213"/>
      <c r="AA760" s="213"/>
      <c r="AB760" s="213"/>
      <c r="AC760" s="213"/>
      <c r="AD760" s="213"/>
      <c r="AE760" s="213"/>
      <c r="AF760" s="213"/>
      <c r="AG760" s="213"/>
      <c r="AH760" s="213"/>
      <c r="AI760" s="213"/>
      <c r="AJ760" s="213"/>
      <c r="AK760" s="213"/>
      <c r="AL760" s="213"/>
      <c r="AM760" s="302"/>
      <c r="AN760" s="302"/>
      <c r="AO760" s="303"/>
      <c r="AP760" s="285"/>
      <c r="AQ760" s="258"/>
      <c r="AR760" s="258"/>
    </row>
    <row r="761" spans="10:44" s="48" customFormat="1" hidden="1">
      <c r="J761" s="213"/>
      <c r="K761" s="213"/>
      <c r="L761" s="213"/>
      <c r="M761" s="213"/>
      <c r="N761" s="213"/>
      <c r="O761" s="213"/>
      <c r="P761" s="213"/>
      <c r="Q761" s="213"/>
      <c r="R761" s="213"/>
      <c r="S761" s="213"/>
      <c r="T761" s="213"/>
      <c r="U761" s="213"/>
      <c r="V761" s="213"/>
      <c r="W761" s="213"/>
      <c r="X761" s="213"/>
      <c r="Y761" s="213"/>
      <c r="Z761" s="213"/>
      <c r="AA761" s="213"/>
      <c r="AB761" s="213"/>
      <c r="AC761" s="213"/>
      <c r="AD761" s="213"/>
      <c r="AE761" s="213"/>
      <c r="AF761" s="213"/>
      <c r="AG761" s="213"/>
      <c r="AH761" s="213"/>
      <c r="AI761" s="213"/>
      <c r="AJ761" s="213"/>
      <c r="AK761" s="213"/>
      <c r="AL761" s="213"/>
      <c r="AM761" s="302"/>
      <c r="AN761" s="302"/>
      <c r="AO761" s="303"/>
      <c r="AP761" s="285"/>
      <c r="AQ761" s="258"/>
      <c r="AR761" s="258"/>
    </row>
    <row r="762" spans="10:44" s="48" customFormat="1" hidden="1">
      <c r="J762" s="213"/>
      <c r="K762" s="213"/>
      <c r="L762" s="213"/>
      <c r="M762" s="213"/>
      <c r="N762" s="213"/>
      <c r="O762" s="213"/>
      <c r="P762" s="213"/>
      <c r="Q762" s="213"/>
      <c r="R762" s="213"/>
      <c r="S762" s="213"/>
      <c r="T762" s="213"/>
      <c r="U762" s="213"/>
      <c r="V762" s="213"/>
      <c r="W762" s="213"/>
      <c r="X762" s="213"/>
      <c r="Y762" s="213"/>
      <c r="Z762" s="213"/>
      <c r="AA762" s="213"/>
      <c r="AB762" s="213"/>
      <c r="AC762" s="213"/>
      <c r="AD762" s="213"/>
      <c r="AE762" s="213"/>
      <c r="AF762" s="213"/>
      <c r="AG762" s="213"/>
      <c r="AH762" s="213"/>
      <c r="AI762" s="213"/>
      <c r="AJ762" s="213"/>
      <c r="AK762" s="213"/>
      <c r="AL762" s="213"/>
      <c r="AM762" s="302"/>
      <c r="AN762" s="302"/>
      <c r="AO762" s="303"/>
      <c r="AP762" s="285"/>
      <c r="AQ762" s="258"/>
      <c r="AR762" s="258"/>
    </row>
    <row r="763" spans="10:44" s="48" customFormat="1" hidden="1">
      <c r="J763" s="213"/>
      <c r="K763" s="213"/>
      <c r="L763" s="213"/>
      <c r="M763" s="213"/>
      <c r="N763" s="213"/>
      <c r="O763" s="213"/>
      <c r="P763" s="213"/>
      <c r="Q763" s="213"/>
      <c r="R763" s="213"/>
      <c r="S763" s="213"/>
      <c r="T763" s="213"/>
      <c r="U763" s="213"/>
      <c r="V763" s="213"/>
      <c r="W763" s="213"/>
      <c r="X763" s="213"/>
      <c r="Y763" s="213"/>
      <c r="Z763" s="213"/>
      <c r="AA763" s="213"/>
      <c r="AB763" s="213"/>
      <c r="AC763" s="213"/>
      <c r="AD763" s="213"/>
      <c r="AE763" s="213"/>
      <c r="AF763" s="213"/>
      <c r="AG763" s="213"/>
      <c r="AH763" s="213"/>
      <c r="AI763" s="213"/>
      <c r="AJ763" s="213"/>
      <c r="AK763" s="213"/>
      <c r="AL763" s="213"/>
      <c r="AM763" s="302"/>
      <c r="AN763" s="302"/>
      <c r="AO763" s="303"/>
      <c r="AP763" s="285"/>
      <c r="AQ763" s="258"/>
      <c r="AR763" s="258"/>
    </row>
    <row r="764" spans="10:44" s="48" customFormat="1" hidden="1">
      <c r="J764" s="213"/>
      <c r="K764" s="213"/>
      <c r="L764" s="213"/>
      <c r="M764" s="213"/>
      <c r="N764" s="213"/>
      <c r="O764" s="213"/>
      <c r="P764" s="213"/>
      <c r="Q764" s="213"/>
      <c r="R764" s="213"/>
      <c r="S764" s="213"/>
      <c r="T764" s="213"/>
      <c r="U764" s="213"/>
      <c r="V764" s="213"/>
      <c r="W764" s="213"/>
      <c r="X764" s="213"/>
      <c r="Y764" s="213"/>
      <c r="Z764" s="213"/>
      <c r="AA764" s="213"/>
      <c r="AB764" s="213"/>
      <c r="AC764" s="213"/>
      <c r="AD764" s="213"/>
      <c r="AE764" s="213"/>
      <c r="AF764" s="213"/>
      <c r="AG764" s="213"/>
      <c r="AH764" s="213"/>
      <c r="AI764" s="213"/>
      <c r="AJ764" s="213"/>
      <c r="AK764" s="213"/>
      <c r="AL764" s="213"/>
      <c r="AM764" s="302"/>
      <c r="AN764" s="302"/>
      <c r="AO764" s="303"/>
      <c r="AP764" s="285"/>
      <c r="AQ764" s="258"/>
      <c r="AR764" s="258"/>
    </row>
    <row r="765" spans="10:44" s="48" customFormat="1" hidden="1">
      <c r="J765" s="213"/>
      <c r="K765" s="213"/>
      <c r="L765" s="213"/>
      <c r="M765" s="213"/>
      <c r="N765" s="213"/>
      <c r="O765" s="213"/>
      <c r="P765" s="213"/>
      <c r="Q765" s="213"/>
      <c r="R765" s="213"/>
      <c r="S765" s="213"/>
      <c r="T765" s="213"/>
      <c r="U765" s="213"/>
      <c r="V765" s="213"/>
      <c r="W765" s="213"/>
      <c r="X765" s="213"/>
      <c r="Y765" s="213"/>
      <c r="Z765" s="213"/>
      <c r="AA765" s="213"/>
      <c r="AB765" s="213"/>
      <c r="AC765" s="213"/>
      <c r="AD765" s="213"/>
      <c r="AE765" s="213"/>
      <c r="AF765" s="213"/>
      <c r="AG765" s="213"/>
      <c r="AH765" s="213"/>
      <c r="AI765" s="213"/>
      <c r="AJ765" s="213"/>
      <c r="AK765" s="213"/>
      <c r="AL765" s="213"/>
      <c r="AM765" s="302"/>
      <c r="AN765" s="302"/>
      <c r="AO765" s="303"/>
      <c r="AP765" s="285"/>
      <c r="AQ765" s="258"/>
      <c r="AR765" s="258"/>
    </row>
    <row r="766" spans="10:44" s="48" customFormat="1" hidden="1">
      <c r="J766" s="213"/>
      <c r="K766" s="213"/>
      <c r="L766" s="213"/>
      <c r="M766" s="213"/>
      <c r="N766" s="213"/>
      <c r="O766" s="213"/>
      <c r="P766" s="213"/>
      <c r="Q766" s="213"/>
      <c r="R766" s="213"/>
      <c r="S766" s="213"/>
      <c r="T766" s="213"/>
      <c r="U766" s="213"/>
      <c r="V766" s="213"/>
      <c r="W766" s="213"/>
      <c r="X766" s="213"/>
      <c r="Y766" s="213"/>
      <c r="Z766" s="213"/>
      <c r="AA766" s="213"/>
      <c r="AB766" s="213"/>
      <c r="AC766" s="213"/>
      <c r="AD766" s="213"/>
      <c r="AE766" s="213"/>
      <c r="AF766" s="213"/>
      <c r="AG766" s="213"/>
      <c r="AH766" s="213"/>
      <c r="AI766" s="213"/>
      <c r="AJ766" s="213"/>
      <c r="AK766" s="213"/>
      <c r="AL766" s="213"/>
      <c r="AM766" s="302"/>
      <c r="AN766" s="302"/>
      <c r="AO766" s="303"/>
      <c r="AP766" s="285"/>
      <c r="AQ766" s="258"/>
      <c r="AR766" s="258"/>
    </row>
    <row r="767" spans="10:44" s="48" customFormat="1" hidden="1">
      <c r="J767" s="213"/>
      <c r="K767" s="213"/>
      <c r="L767" s="213"/>
      <c r="M767" s="213"/>
      <c r="N767" s="213"/>
      <c r="O767" s="213"/>
      <c r="P767" s="213"/>
      <c r="Q767" s="213"/>
      <c r="R767" s="213"/>
      <c r="S767" s="213"/>
      <c r="T767" s="213"/>
      <c r="U767" s="213"/>
      <c r="V767" s="213"/>
      <c r="W767" s="213"/>
      <c r="X767" s="213"/>
      <c r="Y767" s="213"/>
      <c r="Z767" s="213"/>
      <c r="AA767" s="213"/>
      <c r="AB767" s="213"/>
      <c r="AC767" s="213"/>
      <c r="AD767" s="213"/>
      <c r="AE767" s="213"/>
      <c r="AF767" s="213"/>
      <c r="AG767" s="213"/>
      <c r="AH767" s="213"/>
      <c r="AI767" s="213"/>
      <c r="AJ767" s="213"/>
      <c r="AK767" s="213"/>
      <c r="AL767" s="213"/>
      <c r="AM767" s="302"/>
      <c r="AN767" s="302"/>
      <c r="AO767" s="303"/>
      <c r="AP767" s="285"/>
      <c r="AQ767" s="258"/>
      <c r="AR767" s="258"/>
    </row>
    <row r="768" spans="10:44" s="48" customFormat="1" hidden="1">
      <c r="J768" s="213"/>
      <c r="K768" s="213"/>
      <c r="L768" s="213"/>
      <c r="M768" s="213"/>
      <c r="N768" s="213"/>
      <c r="O768" s="213"/>
      <c r="P768" s="213"/>
      <c r="Q768" s="213"/>
      <c r="R768" s="213"/>
      <c r="S768" s="213"/>
      <c r="T768" s="213"/>
      <c r="U768" s="213"/>
      <c r="V768" s="213"/>
      <c r="W768" s="213"/>
      <c r="X768" s="213"/>
      <c r="Y768" s="213"/>
      <c r="Z768" s="213"/>
      <c r="AA768" s="213"/>
      <c r="AB768" s="213"/>
      <c r="AC768" s="213"/>
      <c r="AD768" s="213"/>
      <c r="AE768" s="213"/>
      <c r="AF768" s="213"/>
      <c r="AG768" s="213"/>
      <c r="AH768" s="213"/>
      <c r="AI768" s="213"/>
      <c r="AJ768" s="213"/>
      <c r="AK768" s="213"/>
      <c r="AL768" s="213"/>
      <c r="AM768" s="302"/>
      <c r="AN768" s="302"/>
      <c r="AO768" s="303"/>
      <c r="AP768" s="285"/>
      <c r="AQ768" s="258"/>
      <c r="AR768" s="258"/>
    </row>
    <row r="769" spans="10:44" s="48" customFormat="1" hidden="1">
      <c r="J769" s="213"/>
      <c r="K769" s="213"/>
      <c r="L769" s="213"/>
      <c r="M769" s="213"/>
      <c r="N769" s="213"/>
      <c r="O769" s="213"/>
      <c r="P769" s="213"/>
      <c r="Q769" s="213"/>
      <c r="R769" s="213"/>
      <c r="S769" s="213"/>
      <c r="T769" s="213"/>
      <c r="U769" s="213"/>
      <c r="V769" s="213"/>
      <c r="W769" s="213"/>
      <c r="X769" s="213"/>
      <c r="Y769" s="213"/>
      <c r="Z769" s="213"/>
      <c r="AA769" s="213"/>
      <c r="AB769" s="213"/>
      <c r="AC769" s="213"/>
      <c r="AD769" s="213"/>
      <c r="AE769" s="213"/>
      <c r="AF769" s="213"/>
      <c r="AG769" s="213"/>
      <c r="AH769" s="213"/>
      <c r="AI769" s="213"/>
      <c r="AJ769" s="213"/>
      <c r="AK769" s="213"/>
      <c r="AL769" s="213"/>
      <c r="AM769" s="302"/>
      <c r="AN769" s="302"/>
      <c r="AO769" s="303"/>
      <c r="AP769" s="285"/>
      <c r="AQ769" s="258"/>
      <c r="AR769" s="258"/>
    </row>
    <row r="770" spans="10:44" s="48" customFormat="1" hidden="1">
      <c r="J770" s="213"/>
      <c r="K770" s="213"/>
      <c r="L770" s="213"/>
      <c r="M770" s="213"/>
      <c r="N770" s="213"/>
      <c r="O770" s="213"/>
      <c r="P770" s="213"/>
      <c r="Q770" s="213"/>
      <c r="R770" s="213"/>
      <c r="S770" s="213"/>
      <c r="T770" s="213"/>
      <c r="U770" s="213"/>
      <c r="V770" s="213"/>
      <c r="W770" s="213"/>
      <c r="X770" s="213"/>
      <c r="Y770" s="213"/>
      <c r="Z770" s="213"/>
      <c r="AA770" s="213"/>
      <c r="AB770" s="213"/>
      <c r="AC770" s="213"/>
      <c r="AD770" s="213"/>
      <c r="AE770" s="213"/>
      <c r="AF770" s="213"/>
      <c r="AG770" s="213"/>
      <c r="AH770" s="213"/>
      <c r="AI770" s="213"/>
      <c r="AJ770" s="213"/>
      <c r="AK770" s="213"/>
      <c r="AL770" s="213"/>
      <c r="AM770" s="302"/>
      <c r="AN770" s="302"/>
      <c r="AO770" s="303"/>
      <c r="AP770" s="285"/>
      <c r="AQ770" s="258"/>
      <c r="AR770" s="258"/>
    </row>
    <row r="771" spans="10:44" s="48" customFormat="1" hidden="1">
      <c r="J771" s="213"/>
      <c r="K771" s="213"/>
      <c r="L771" s="213"/>
      <c r="M771" s="213"/>
      <c r="N771" s="213"/>
      <c r="O771" s="213"/>
      <c r="P771" s="213"/>
      <c r="Q771" s="213"/>
      <c r="R771" s="213"/>
      <c r="S771" s="213"/>
      <c r="T771" s="213"/>
      <c r="U771" s="213"/>
      <c r="V771" s="213"/>
      <c r="W771" s="213"/>
      <c r="X771" s="213"/>
      <c r="Y771" s="213"/>
      <c r="Z771" s="213"/>
      <c r="AA771" s="213"/>
      <c r="AB771" s="213"/>
      <c r="AC771" s="213"/>
      <c r="AD771" s="213"/>
      <c r="AE771" s="213"/>
      <c r="AF771" s="213"/>
      <c r="AG771" s="213"/>
      <c r="AH771" s="213"/>
      <c r="AI771" s="213"/>
      <c r="AJ771" s="213"/>
      <c r="AK771" s="213"/>
      <c r="AL771" s="213"/>
      <c r="AM771" s="302"/>
      <c r="AN771" s="302"/>
      <c r="AO771" s="303"/>
      <c r="AP771" s="285"/>
      <c r="AQ771" s="258"/>
      <c r="AR771" s="258"/>
    </row>
    <row r="772" spans="10:44" s="48" customFormat="1" hidden="1">
      <c r="J772" s="213"/>
      <c r="K772" s="213"/>
      <c r="L772" s="213"/>
      <c r="M772" s="213"/>
      <c r="N772" s="213"/>
      <c r="O772" s="213"/>
      <c r="P772" s="213"/>
      <c r="Q772" s="213"/>
      <c r="R772" s="213"/>
      <c r="S772" s="213"/>
      <c r="T772" s="213"/>
      <c r="U772" s="213"/>
      <c r="V772" s="213"/>
      <c r="W772" s="213"/>
      <c r="X772" s="213"/>
      <c r="Y772" s="213"/>
      <c r="Z772" s="213"/>
      <c r="AA772" s="213"/>
      <c r="AB772" s="213"/>
      <c r="AC772" s="213"/>
      <c r="AD772" s="213"/>
      <c r="AE772" s="213"/>
      <c r="AF772" s="213"/>
      <c r="AG772" s="213"/>
      <c r="AH772" s="213"/>
      <c r="AI772" s="213"/>
      <c r="AJ772" s="213"/>
      <c r="AK772" s="213"/>
      <c r="AL772" s="213"/>
      <c r="AM772" s="302"/>
      <c r="AN772" s="302"/>
      <c r="AO772" s="303"/>
      <c r="AP772" s="285"/>
      <c r="AQ772" s="258"/>
      <c r="AR772" s="258"/>
    </row>
    <row r="773" spans="10:44" s="48" customFormat="1" hidden="1">
      <c r="J773" s="213"/>
      <c r="K773" s="213"/>
      <c r="L773" s="213"/>
      <c r="M773" s="213"/>
      <c r="N773" s="213"/>
      <c r="O773" s="213"/>
      <c r="P773" s="213"/>
      <c r="Q773" s="213"/>
      <c r="R773" s="213"/>
      <c r="S773" s="213"/>
      <c r="T773" s="213"/>
      <c r="U773" s="213"/>
      <c r="V773" s="213"/>
      <c r="W773" s="213"/>
      <c r="X773" s="213"/>
      <c r="Y773" s="213"/>
      <c r="Z773" s="213"/>
      <c r="AA773" s="213"/>
      <c r="AB773" s="213"/>
      <c r="AC773" s="213"/>
      <c r="AD773" s="213"/>
      <c r="AE773" s="213"/>
      <c r="AF773" s="213"/>
      <c r="AG773" s="213"/>
      <c r="AH773" s="213"/>
      <c r="AI773" s="213"/>
      <c r="AJ773" s="213"/>
      <c r="AK773" s="213"/>
      <c r="AL773" s="213"/>
      <c r="AM773" s="302"/>
      <c r="AN773" s="302"/>
      <c r="AO773" s="303"/>
      <c r="AP773" s="285"/>
      <c r="AQ773" s="258"/>
      <c r="AR773" s="258"/>
    </row>
    <row r="774" spans="10:44" s="48" customFormat="1" hidden="1">
      <c r="J774" s="213"/>
      <c r="K774" s="213"/>
      <c r="L774" s="213"/>
      <c r="M774" s="213"/>
      <c r="N774" s="213"/>
      <c r="O774" s="213"/>
      <c r="P774" s="213"/>
      <c r="Q774" s="213"/>
      <c r="R774" s="213"/>
      <c r="S774" s="213"/>
      <c r="T774" s="213"/>
      <c r="U774" s="213"/>
      <c r="V774" s="213"/>
      <c r="W774" s="213"/>
      <c r="X774" s="213"/>
      <c r="Y774" s="213"/>
      <c r="Z774" s="213"/>
      <c r="AA774" s="213"/>
      <c r="AB774" s="213"/>
      <c r="AC774" s="213"/>
      <c r="AD774" s="213"/>
      <c r="AE774" s="213"/>
      <c r="AF774" s="213"/>
      <c r="AG774" s="213"/>
      <c r="AH774" s="213"/>
      <c r="AI774" s="213"/>
      <c r="AJ774" s="213"/>
      <c r="AK774" s="213"/>
      <c r="AL774" s="213"/>
      <c r="AM774" s="302"/>
      <c r="AN774" s="302"/>
      <c r="AO774" s="303"/>
      <c r="AP774" s="285"/>
      <c r="AQ774" s="258"/>
      <c r="AR774" s="258"/>
    </row>
    <row r="775" spans="10:44" s="48" customFormat="1" hidden="1">
      <c r="J775" s="213"/>
      <c r="K775" s="213"/>
      <c r="L775" s="213"/>
      <c r="M775" s="213"/>
      <c r="N775" s="213"/>
      <c r="O775" s="213"/>
      <c r="P775" s="213"/>
      <c r="Q775" s="213"/>
      <c r="R775" s="213"/>
      <c r="S775" s="213"/>
      <c r="T775" s="213"/>
      <c r="U775" s="213"/>
      <c r="V775" s="213"/>
      <c r="W775" s="213"/>
      <c r="X775" s="213"/>
      <c r="Y775" s="213"/>
      <c r="Z775" s="213"/>
      <c r="AA775" s="213"/>
      <c r="AB775" s="213"/>
      <c r="AC775" s="213"/>
      <c r="AD775" s="213"/>
      <c r="AE775" s="213"/>
      <c r="AF775" s="213"/>
      <c r="AG775" s="213"/>
      <c r="AH775" s="213"/>
      <c r="AI775" s="213"/>
      <c r="AJ775" s="213"/>
      <c r="AK775" s="213"/>
      <c r="AL775" s="213"/>
      <c r="AM775" s="302"/>
      <c r="AN775" s="302"/>
      <c r="AO775" s="303"/>
      <c r="AP775" s="285"/>
      <c r="AQ775" s="258"/>
      <c r="AR775" s="258"/>
    </row>
    <row r="776" spans="10:44" s="48" customFormat="1" hidden="1">
      <c r="J776" s="213"/>
      <c r="K776" s="213"/>
      <c r="L776" s="213"/>
      <c r="M776" s="213"/>
      <c r="N776" s="213"/>
      <c r="O776" s="213"/>
      <c r="P776" s="213"/>
      <c r="Q776" s="213"/>
      <c r="R776" s="213"/>
      <c r="S776" s="213"/>
      <c r="T776" s="213"/>
      <c r="U776" s="213"/>
      <c r="V776" s="213"/>
      <c r="W776" s="213"/>
      <c r="X776" s="213"/>
      <c r="Y776" s="213"/>
      <c r="Z776" s="213"/>
      <c r="AA776" s="213"/>
      <c r="AB776" s="213"/>
      <c r="AC776" s="213"/>
      <c r="AD776" s="213"/>
      <c r="AE776" s="213"/>
      <c r="AF776" s="213"/>
      <c r="AG776" s="213"/>
      <c r="AH776" s="213"/>
      <c r="AI776" s="213"/>
      <c r="AJ776" s="213"/>
      <c r="AK776" s="213"/>
      <c r="AL776" s="213"/>
      <c r="AM776" s="302"/>
      <c r="AN776" s="302"/>
      <c r="AO776" s="303"/>
      <c r="AP776" s="285"/>
      <c r="AQ776" s="258"/>
      <c r="AR776" s="258"/>
    </row>
    <row r="777" spans="10:44" s="48" customFormat="1" hidden="1">
      <c r="J777" s="213"/>
      <c r="K777" s="213"/>
      <c r="L777" s="213"/>
      <c r="M777" s="213"/>
      <c r="N777" s="213"/>
      <c r="O777" s="213"/>
      <c r="P777" s="213"/>
      <c r="Q777" s="213"/>
      <c r="R777" s="213"/>
      <c r="S777" s="213"/>
      <c r="T777" s="213"/>
      <c r="U777" s="213"/>
      <c r="V777" s="213"/>
      <c r="W777" s="213"/>
      <c r="X777" s="213"/>
      <c r="Y777" s="213"/>
      <c r="Z777" s="213"/>
      <c r="AA777" s="213"/>
      <c r="AB777" s="213"/>
      <c r="AC777" s="213"/>
      <c r="AD777" s="213"/>
      <c r="AE777" s="213"/>
      <c r="AF777" s="213"/>
      <c r="AG777" s="213"/>
      <c r="AH777" s="213"/>
      <c r="AI777" s="213"/>
      <c r="AJ777" s="213"/>
      <c r="AK777" s="213"/>
      <c r="AL777" s="213"/>
      <c r="AM777" s="302"/>
      <c r="AN777" s="302"/>
      <c r="AO777" s="303"/>
      <c r="AP777" s="285"/>
      <c r="AQ777" s="258"/>
      <c r="AR777" s="258"/>
    </row>
    <row r="778" spans="10:44" s="48" customFormat="1" hidden="1">
      <c r="J778" s="213"/>
      <c r="K778" s="213"/>
      <c r="L778" s="213"/>
      <c r="M778" s="213"/>
      <c r="N778" s="213"/>
      <c r="O778" s="213"/>
      <c r="P778" s="213"/>
      <c r="Q778" s="213"/>
      <c r="R778" s="213"/>
      <c r="S778" s="213"/>
      <c r="T778" s="213"/>
      <c r="U778" s="213"/>
      <c r="V778" s="213"/>
      <c r="W778" s="213"/>
      <c r="X778" s="213"/>
      <c r="Y778" s="213"/>
      <c r="Z778" s="213"/>
      <c r="AA778" s="213"/>
      <c r="AB778" s="213"/>
      <c r="AC778" s="213"/>
      <c r="AD778" s="213"/>
      <c r="AE778" s="213"/>
      <c r="AF778" s="213"/>
      <c r="AG778" s="213"/>
      <c r="AH778" s="213"/>
      <c r="AI778" s="213"/>
      <c r="AJ778" s="213"/>
      <c r="AK778" s="213"/>
      <c r="AL778" s="213"/>
      <c r="AM778" s="302"/>
      <c r="AN778" s="302"/>
      <c r="AO778" s="303"/>
      <c r="AP778" s="285"/>
      <c r="AQ778" s="258"/>
      <c r="AR778" s="258"/>
    </row>
    <row r="779" spans="10:44" s="48" customFormat="1" hidden="1">
      <c r="J779" s="213"/>
      <c r="K779" s="213"/>
      <c r="L779" s="213"/>
      <c r="M779" s="213"/>
      <c r="N779" s="213"/>
      <c r="O779" s="213"/>
      <c r="P779" s="213"/>
      <c r="Q779" s="213"/>
      <c r="R779" s="213"/>
      <c r="S779" s="213"/>
      <c r="T779" s="213"/>
      <c r="U779" s="213"/>
      <c r="V779" s="213"/>
      <c r="W779" s="213"/>
      <c r="X779" s="213"/>
      <c r="Y779" s="213"/>
      <c r="Z779" s="213"/>
      <c r="AA779" s="213"/>
      <c r="AB779" s="213"/>
      <c r="AC779" s="213"/>
      <c r="AD779" s="213"/>
      <c r="AE779" s="213"/>
      <c r="AF779" s="213"/>
      <c r="AG779" s="213"/>
      <c r="AH779" s="213"/>
      <c r="AI779" s="213"/>
      <c r="AJ779" s="213"/>
      <c r="AK779" s="213"/>
      <c r="AL779" s="213"/>
      <c r="AM779" s="302"/>
      <c r="AN779" s="302"/>
      <c r="AO779" s="303"/>
      <c r="AP779" s="285"/>
      <c r="AQ779" s="258"/>
      <c r="AR779" s="258"/>
    </row>
    <row r="780" spans="10:44" s="48" customFormat="1" hidden="1">
      <c r="J780" s="213"/>
      <c r="K780" s="213"/>
      <c r="L780" s="213"/>
      <c r="M780" s="213"/>
      <c r="N780" s="213"/>
      <c r="O780" s="213"/>
      <c r="P780" s="213"/>
      <c r="Q780" s="213"/>
      <c r="R780" s="213"/>
      <c r="S780" s="213"/>
      <c r="T780" s="213"/>
      <c r="U780" s="213"/>
      <c r="V780" s="213"/>
      <c r="W780" s="213"/>
      <c r="X780" s="213"/>
      <c r="Y780" s="213"/>
      <c r="Z780" s="213"/>
      <c r="AA780" s="213"/>
      <c r="AB780" s="213"/>
      <c r="AC780" s="213"/>
      <c r="AD780" s="213"/>
      <c r="AE780" s="213"/>
      <c r="AF780" s="213"/>
      <c r="AG780" s="213"/>
      <c r="AH780" s="213"/>
      <c r="AI780" s="213"/>
      <c r="AJ780" s="213"/>
      <c r="AK780" s="213"/>
      <c r="AL780" s="213"/>
      <c r="AM780" s="302"/>
      <c r="AN780" s="302"/>
      <c r="AO780" s="303"/>
      <c r="AP780" s="285"/>
      <c r="AQ780" s="258"/>
      <c r="AR780" s="258"/>
    </row>
    <row r="781" spans="10:44" s="48" customFormat="1" hidden="1">
      <c r="J781" s="213"/>
      <c r="K781" s="213"/>
      <c r="L781" s="213"/>
      <c r="M781" s="213"/>
      <c r="N781" s="213"/>
      <c r="O781" s="213"/>
      <c r="P781" s="213"/>
      <c r="Q781" s="213"/>
      <c r="R781" s="213"/>
      <c r="S781" s="213"/>
      <c r="T781" s="213"/>
      <c r="U781" s="213"/>
      <c r="V781" s="213"/>
      <c r="W781" s="213"/>
      <c r="X781" s="213"/>
      <c r="Y781" s="213"/>
      <c r="Z781" s="213"/>
      <c r="AA781" s="213"/>
      <c r="AB781" s="213"/>
      <c r="AC781" s="213"/>
      <c r="AD781" s="213"/>
      <c r="AE781" s="213"/>
      <c r="AF781" s="213"/>
      <c r="AG781" s="213"/>
      <c r="AH781" s="213"/>
      <c r="AI781" s="213"/>
      <c r="AJ781" s="213"/>
      <c r="AK781" s="213"/>
      <c r="AL781" s="213"/>
      <c r="AM781" s="302"/>
      <c r="AN781" s="302"/>
      <c r="AO781" s="303"/>
      <c r="AP781" s="285"/>
      <c r="AQ781" s="258"/>
      <c r="AR781" s="258"/>
    </row>
    <row r="782" spans="10:44" s="48" customFormat="1" hidden="1">
      <c r="J782" s="213"/>
      <c r="K782" s="213"/>
      <c r="L782" s="213"/>
      <c r="M782" s="213"/>
      <c r="N782" s="213"/>
      <c r="O782" s="213"/>
      <c r="P782" s="213"/>
      <c r="Q782" s="213"/>
      <c r="R782" s="213"/>
      <c r="S782" s="213"/>
      <c r="T782" s="213"/>
      <c r="U782" s="213"/>
      <c r="V782" s="213"/>
      <c r="W782" s="213"/>
      <c r="X782" s="213"/>
      <c r="Y782" s="213"/>
      <c r="Z782" s="213"/>
      <c r="AA782" s="213"/>
      <c r="AB782" s="213"/>
      <c r="AC782" s="213"/>
      <c r="AD782" s="213"/>
      <c r="AE782" s="213"/>
      <c r="AF782" s="213"/>
      <c r="AG782" s="213"/>
      <c r="AH782" s="213"/>
      <c r="AI782" s="213"/>
      <c r="AJ782" s="213"/>
      <c r="AK782" s="213"/>
      <c r="AL782" s="213"/>
      <c r="AM782" s="302"/>
      <c r="AN782" s="302"/>
      <c r="AO782" s="303"/>
      <c r="AP782" s="285"/>
      <c r="AQ782" s="258"/>
      <c r="AR782" s="258"/>
    </row>
    <row r="783" spans="10:44" s="48" customFormat="1" hidden="1">
      <c r="J783" s="213"/>
      <c r="K783" s="213"/>
      <c r="L783" s="213"/>
      <c r="M783" s="213"/>
      <c r="N783" s="213"/>
      <c r="O783" s="213"/>
      <c r="P783" s="213"/>
      <c r="Q783" s="213"/>
      <c r="R783" s="213"/>
      <c r="S783" s="213"/>
      <c r="T783" s="213"/>
      <c r="U783" s="213"/>
      <c r="V783" s="213"/>
      <c r="W783" s="213"/>
      <c r="X783" s="213"/>
      <c r="Y783" s="213"/>
      <c r="Z783" s="213"/>
      <c r="AA783" s="213"/>
      <c r="AB783" s="213"/>
      <c r="AC783" s="213"/>
      <c r="AD783" s="213"/>
      <c r="AE783" s="213"/>
      <c r="AF783" s="213"/>
      <c r="AG783" s="213"/>
      <c r="AH783" s="213"/>
      <c r="AI783" s="213"/>
      <c r="AJ783" s="213"/>
      <c r="AK783" s="213"/>
      <c r="AL783" s="213"/>
      <c r="AM783" s="302"/>
      <c r="AN783" s="302"/>
      <c r="AO783" s="303"/>
      <c r="AP783" s="285"/>
      <c r="AQ783" s="258"/>
      <c r="AR783" s="258"/>
    </row>
    <row r="784" spans="10:44" s="48" customFormat="1" hidden="1">
      <c r="J784" s="213"/>
      <c r="K784" s="213"/>
      <c r="L784" s="213"/>
      <c r="M784" s="213"/>
      <c r="N784" s="213"/>
      <c r="O784" s="213"/>
      <c r="P784" s="213"/>
      <c r="Q784" s="213"/>
      <c r="R784" s="213"/>
      <c r="S784" s="213"/>
      <c r="T784" s="213"/>
      <c r="U784" s="213"/>
      <c r="V784" s="213"/>
      <c r="W784" s="213"/>
      <c r="X784" s="213"/>
      <c r="Y784" s="213"/>
      <c r="Z784" s="213"/>
      <c r="AA784" s="213"/>
      <c r="AB784" s="213"/>
      <c r="AC784" s="213"/>
      <c r="AD784" s="213"/>
      <c r="AE784" s="213"/>
      <c r="AF784" s="213"/>
      <c r="AG784" s="213"/>
      <c r="AH784" s="213"/>
      <c r="AI784" s="213"/>
      <c r="AJ784" s="213"/>
      <c r="AK784" s="213"/>
      <c r="AL784" s="213"/>
      <c r="AM784" s="302"/>
      <c r="AN784" s="302"/>
      <c r="AO784" s="303"/>
      <c r="AP784" s="285"/>
      <c r="AQ784" s="258"/>
      <c r="AR784" s="258"/>
    </row>
    <row r="785" spans="10:44" s="48" customFormat="1" hidden="1">
      <c r="J785" s="213"/>
      <c r="K785" s="213"/>
      <c r="L785" s="213"/>
      <c r="M785" s="213"/>
      <c r="N785" s="213"/>
      <c r="O785" s="213"/>
      <c r="P785" s="213"/>
      <c r="Q785" s="213"/>
      <c r="R785" s="213"/>
      <c r="S785" s="213"/>
      <c r="T785" s="213"/>
      <c r="U785" s="213"/>
      <c r="V785" s="213"/>
      <c r="W785" s="213"/>
      <c r="X785" s="213"/>
      <c r="Y785" s="213"/>
      <c r="Z785" s="213"/>
      <c r="AA785" s="213"/>
      <c r="AB785" s="213"/>
      <c r="AC785" s="213"/>
      <c r="AD785" s="213"/>
      <c r="AE785" s="213"/>
      <c r="AF785" s="213"/>
      <c r="AG785" s="213"/>
      <c r="AH785" s="213"/>
      <c r="AI785" s="213"/>
      <c r="AJ785" s="213"/>
      <c r="AK785" s="213"/>
      <c r="AL785" s="213"/>
      <c r="AM785" s="302"/>
      <c r="AN785" s="302"/>
      <c r="AO785" s="303"/>
      <c r="AP785" s="285"/>
      <c r="AQ785" s="258"/>
      <c r="AR785" s="258"/>
    </row>
    <row r="786" spans="10:44" s="48" customFormat="1" hidden="1">
      <c r="J786" s="213"/>
      <c r="K786" s="213"/>
      <c r="L786" s="213"/>
      <c r="M786" s="213"/>
      <c r="N786" s="213"/>
      <c r="O786" s="213"/>
      <c r="P786" s="213"/>
      <c r="Q786" s="213"/>
      <c r="R786" s="213"/>
      <c r="S786" s="213"/>
      <c r="T786" s="213"/>
      <c r="U786" s="213"/>
      <c r="V786" s="213"/>
      <c r="W786" s="213"/>
      <c r="X786" s="213"/>
      <c r="Y786" s="213"/>
      <c r="Z786" s="213"/>
      <c r="AA786" s="213"/>
      <c r="AB786" s="213"/>
      <c r="AC786" s="213"/>
      <c r="AD786" s="213"/>
      <c r="AE786" s="213"/>
      <c r="AF786" s="213"/>
      <c r="AG786" s="213"/>
      <c r="AH786" s="213"/>
      <c r="AI786" s="213"/>
      <c r="AJ786" s="213"/>
      <c r="AK786" s="213"/>
      <c r="AL786" s="213"/>
      <c r="AM786" s="302"/>
      <c r="AN786" s="302"/>
      <c r="AO786" s="303"/>
      <c r="AP786" s="285"/>
      <c r="AQ786" s="258"/>
      <c r="AR786" s="258"/>
    </row>
    <row r="787" spans="10:44" s="48" customFormat="1" hidden="1">
      <c r="J787" s="213"/>
      <c r="K787" s="213"/>
      <c r="L787" s="213"/>
      <c r="M787" s="213"/>
      <c r="N787" s="213"/>
      <c r="O787" s="213"/>
      <c r="P787" s="213"/>
      <c r="Q787" s="213"/>
      <c r="R787" s="213"/>
      <c r="S787" s="213"/>
      <c r="T787" s="213"/>
      <c r="U787" s="213"/>
      <c r="V787" s="213"/>
      <c r="W787" s="213"/>
      <c r="X787" s="213"/>
      <c r="Y787" s="213"/>
      <c r="Z787" s="213"/>
      <c r="AA787" s="213"/>
      <c r="AB787" s="213"/>
      <c r="AC787" s="213"/>
      <c r="AD787" s="213"/>
      <c r="AE787" s="213"/>
      <c r="AF787" s="213"/>
      <c r="AG787" s="213"/>
      <c r="AH787" s="213"/>
      <c r="AI787" s="213"/>
      <c r="AJ787" s="213"/>
      <c r="AK787" s="213"/>
      <c r="AL787" s="213"/>
      <c r="AM787" s="302"/>
      <c r="AN787" s="302"/>
      <c r="AO787" s="303"/>
      <c r="AP787" s="285"/>
      <c r="AQ787" s="258"/>
      <c r="AR787" s="258"/>
    </row>
    <row r="788" spans="10:44" s="48" customFormat="1" hidden="1">
      <c r="J788" s="213"/>
      <c r="K788" s="213"/>
      <c r="L788" s="213"/>
      <c r="M788" s="213"/>
      <c r="N788" s="213"/>
      <c r="O788" s="213"/>
      <c r="P788" s="213"/>
      <c r="Q788" s="213"/>
      <c r="R788" s="213"/>
      <c r="S788" s="213"/>
      <c r="T788" s="213"/>
      <c r="U788" s="213"/>
      <c r="V788" s="213"/>
      <c r="W788" s="213"/>
      <c r="X788" s="213"/>
      <c r="Y788" s="213"/>
      <c r="Z788" s="213"/>
      <c r="AA788" s="213"/>
      <c r="AB788" s="213"/>
      <c r="AC788" s="213"/>
      <c r="AD788" s="213"/>
      <c r="AE788" s="213"/>
      <c r="AF788" s="213"/>
      <c r="AG788" s="213"/>
      <c r="AH788" s="213"/>
      <c r="AI788" s="213"/>
      <c r="AJ788" s="213"/>
      <c r="AK788" s="213"/>
      <c r="AL788" s="213"/>
      <c r="AM788" s="302"/>
      <c r="AN788" s="302"/>
      <c r="AO788" s="303"/>
      <c r="AP788" s="285"/>
      <c r="AQ788" s="258"/>
      <c r="AR788" s="258"/>
    </row>
    <row r="789" spans="10:44" s="48" customFormat="1" hidden="1">
      <c r="J789" s="213"/>
      <c r="K789" s="213"/>
      <c r="L789" s="213"/>
      <c r="M789" s="213"/>
      <c r="N789" s="213"/>
      <c r="O789" s="213"/>
      <c r="P789" s="213"/>
      <c r="Q789" s="213"/>
      <c r="R789" s="213"/>
      <c r="S789" s="213"/>
      <c r="T789" s="213"/>
      <c r="U789" s="213"/>
      <c r="V789" s="213"/>
      <c r="W789" s="213"/>
      <c r="X789" s="213"/>
      <c r="Y789" s="213"/>
      <c r="Z789" s="213"/>
      <c r="AA789" s="213"/>
      <c r="AB789" s="213"/>
      <c r="AC789" s="213"/>
      <c r="AD789" s="213"/>
      <c r="AE789" s="213"/>
      <c r="AF789" s="213"/>
      <c r="AG789" s="213"/>
      <c r="AH789" s="213"/>
      <c r="AI789" s="213"/>
      <c r="AJ789" s="213"/>
      <c r="AK789" s="213"/>
      <c r="AL789" s="213"/>
      <c r="AM789" s="302"/>
      <c r="AN789" s="302"/>
      <c r="AO789" s="303"/>
      <c r="AP789" s="285"/>
      <c r="AQ789" s="258"/>
      <c r="AR789" s="258"/>
    </row>
    <row r="790" spans="10:44" s="48" customFormat="1" hidden="1">
      <c r="J790" s="213"/>
      <c r="K790" s="213"/>
      <c r="L790" s="213"/>
      <c r="M790" s="213"/>
      <c r="N790" s="213"/>
      <c r="O790" s="213"/>
      <c r="P790" s="213"/>
      <c r="Q790" s="213"/>
      <c r="R790" s="213"/>
      <c r="S790" s="213"/>
      <c r="T790" s="213"/>
      <c r="U790" s="213"/>
      <c r="V790" s="213"/>
      <c r="W790" s="213"/>
      <c r="X790" s="213"/>
      <c r="Y790" s="213"/>
      <c r="Z790" s="213"/>
      <c r="AA790" s="213"/>
      <c r="AB790" s="213"/>
      <c r="AC790" s="213"/>
      <c r="AD790" s="213"/>
      <c r="AE790" s="213"/>
      <c r="AF790" s="213"/>
      <c r="AG790" s="213"/>
      <c r="AH790" s="213"/>
      <c r="AI790" s="213"/>
      <c r="AJ790" s="213"/>
      <c r="AK790" s="213"/>
      <c r="AL790" s="213"/>
      <c r="AM790" s="302"/>
      <c r="AN790" s="302"/>
      <c r="AO790" s="303"/>
      <c r="AP790" s="285"/>
      <c r="AQ790" s="258"/>
      <c r="AR790" s="258"/>
    </row>
    <row r="791" spans="10:44" s="48" customFormat="1" hidden="1">
      <c r="J791" s="213"/>
      <c r="K791" s="213"/>
      <c r="L791" s="213"/>
      <c r="M791" s="213"/>
      <c r="N791" s="213"/>
      <c r="O791" s="213"/>
      <c r="P791" s="213"/>
      <c r="Q791" s="213"/>
      <c r="R791" s="213"/>
      <c r="S791" s="213"/>
      <c r="T791" s="213"/>
      <c r="U791" s="213"/>
      <c r="V791" s="213"/>
      <c r="W791" s="213"/>
      <c r="X791" s="213"/>
      <c r="Y791" s="213"/>
      <c r="Z791" s="213"/>
      <c r="AA791" s="213"/>
      <c r="AB791" s="213"/>
      <c r="AC791" s="213"/>
      <c r="AD791" s="213"/>
      <c r="AE791" s="213"/>
      <c r="AF791" s="213"/>
      <c r="AG791" s="213"/>
      <c r="AH791" s="213"/>
      <c r="AI791" s="213"/>
      <c r="AJ791" s="213"/>
      <c r="AK791" s="213"/>
      <c r="AL791" s="213"/>
      <c r="AM791" s="302"/>
      <c r="AN791" s="302"/>
      <c r="AO791" s="303"/>
      <c r="AP791" s="285"/>
      <c r="AQ791" s="258"/>
      <c r="AR791" s="258"/>
    </row>
    <row r="792" spans="10:44" s="48" customFormat="1" hidden="1">
      <c r="J792" s="213"/>
      <c r="K792" s="213"/>
      <c r="L792" s="213"/>
      <c r="M792" s="213"/>
      <c r="N792" s="213"/>
      <c r="O792" s="213"/>
      <c r="P792" s="213"/>
      <c r="Q792" s="213"/>
      <c r="R792" s="213"/>
      <c r="S792" s="213"/>
      <c r="T792" s="213"/>
      <c r="U792" s="213"/>
      <c r="V792" s="213"/>
      <c r="W792" s="213"/>
      <c r="X792" s="213"/>
      <c r="Y792" s="213"/>
      <c r="Z792" s="213"/>
      <c r="AA792" s="213"/>
      <c r="AB792" s="213"/>
      <c r="AC792" s="213"/>
      <c r="AD792" s="213"/>
      <c r="AE792" s="213"/>
      <c r="AF792" s="213"/>
      <c r="AG792" s="213"/>
      <c r="AH792" s="213"/>
      <c r="AI792" s="213"/>
      <c r="AJ792" s="213"/>
      <c r="AK792" s="213"/>
      <c r="AL792" s="213"/>
      <c r="AM792" s="302"/>
      <c r="AN792" s="302"/>
      <c r="AO792" s="303"/>
      <c r="AP792" s="285"/>
      <c r="AQ792" s="258"/>
      <c r="AR792" s="258"/>
    </row>
    <row r="793" spans="10:44" s="48" customFormat="1" hidden="1">
      <c r="J793" s="213"/>
      <c r="K793" s="213"/>
      <c r="L793" s="213"/>
      <c r="M793" s="213"/>
      <c r="N793" s="213"/>
      <c r="O793" s="213"/>
      <c r="P793" s="213"/>
      <c r="Q793" s="213"/>
      <c r="R793" s="213"/>
      <c r="S793" s="213"/>
      <c r="T793" s="213"/>
      <c r="U793" s="213"/>
      <c r="V793" s="213"/>
      <c r="W793" s="213"/>
      <c r="X793" s="213"/>
      <c r="Y793" s="213"/>
      <c r="Z793" s="213"/>
      <c r="AA793" s="213"/>
      <c r="AB793" s="213"/>
      <c r="AC793" s="213"/>
      <c r="AD793" s="213"/>
      <c r="AE793" s="213"/>
      <c r="AF793" s="213"/>
      <c r="AG793" s="213"/>
      <c r="AH793" s="213"/>
      <c r="AI793" s="213"/>
      <c r="AJ793" s="213"/>
      <c r="AK793" s="213"/>
      <c r="AL793" s="213"/>
      <c r="AM793" s="302"/>
      <c r="AN793" s="302"/>
      <c r="AO793" s="303"/>
      <c r="AP793" s="285"/>
      <c r="AQ793" s="258"/>
      <c r="AR793" s="258"/>
    </row>
    <row r="794" spans="10:44" s="48" customFormat="1" hidden="1">
      <c r="J794" s="213"/>
      <c r="K794" s="213"/>
      <c r="L794" s="213"/>
      <c r="M794" s="213"/>
      <c r="N794" s="213"/>
      <c r="O794" s="213"/>
      <c r="P794" s="213"/>
      <c r="Q794" s="213"/>
      <c r="R794" s="213"/>
      <c r="S794" s="213"/>
      <c r="T794" s="213"/>
      <c r="U794" s="213"/>
      <c r="V794" s="213"/>
      <c r="W794" s="213"/>
      <c r="X794" s="213"/>
      <c r="Y794" s="213"/>
      <c r="Z794" s="213"/>
      <c r="AA794" s="213"/>
      <c r="AB794" s="213"/>
      <c r="AC794" s="213"/>
      <c r="AD794" s="213"/>
      <c r="AE794" s="213"/>
      <c r="AF794" s="213"/>
      <c r="AG794" s="213"/>
      <c r="AH794" s="213"/>
      <c r="AI794" s="213"/>
      <c r="AJ794" s="213"/>
      <c r="AK794" s="213"/>
      <c r="AL794" s="213"/>
      <c r="AM794" s="302"/>
      <c r="AN794" s="302"/>
      <c r="AO794" s="303"/>
      <c r="AP794" s="285"/>
      <c r="AQ794" s="258"/>
      <c r="AR794" s="258"/>
    </row>
    <row r="795" spans="10:44" s="48" customFormat="1" hidden="1">
      <c r="J795" s="213"/>
      <c r="K795" s="213"/>
      <c r="L795" s="213"/>
      <c r="M795" s="213"/>
      <c r="N795" s="213"/>
      <c r="O795" s="213"/>
      <c r="P795" s="213"/>
      <c r="Q795" s="213"/>
      <c r="R795" s="213"/>
      <c r="S795" s="213"/>
      <c r="T795" s="213"/>
      <c r="U795" s="213"/>
      <c r="V795" s="213"/>
      <c r="W795" s="213"/>
      <c r="X795" s="213"/>
      <c r="Y795" s="213"/>
      <c r="Z795" s="213"/>
      <c r="AA795" s="213"/>
      <c r="AB795" s="213"/>
      <c r="AC795" s="213"/>
      <c r="AD795" s="213"/>
      <c r="AE795" s="213"/>
      <c r="AF795" s="213"/>
      <c r="AG795" s="213"/>
      <c r="AH795" s="213"/>
      <c r="AI795" s="213"/>
      <c r="AJ795" s="213"/>
      <c r="AK795" s="213"/>
      <c r="AL795" s="213"/>
      <c r="AM795" s="302"/>
      <c r="AN795" s="302"/>
      <c r="AO795" s="303"/>
      <c r="AP795" s="285"/>
      <c r="AQ795" s="258"/>
      <c r="AR795" s="258"/>
    </row>
    <row r="796" spans="10:44" s="48" customFormat="1" hidden="1">
      <c r="J796" s="213"/>
      <c r="K796" s="213"/>
      <c r="L796" s="213"/>
      <c r="M796" s="213"/>
      <c r="N796" s="213"/>
      <c r="O796" s="213"/>
      <c r="P796" s="213"/>
      <c r="Q796" s="213"/>
      <c r="R796" s="213"/>
      <c r="S796" s="213"/>
      <c r="T796" s="213"/>
      <c r="U796" s="213"/>
      <c r="V796" s="213"/>
      <c r="W796" s="213"/>
      <c r="X796" s="213"/>
      <c r="Y796" s="213"/>
      <c r="Z796" s="213"/>
      <c r="AA796" s="213"/>
      <c r="AB796" s="213"/>
      <c r="AC796" s="213"/>
      <c r="AD796" s="213"/>
      <c r="AE796" s="213"/>
      <c r="AF796" s="213"/>
      <c r="AG796" s="213"/>
      <c r="AH796" s="213"/>
      <c r="AI796" s="213"/>
      <c r="AJ796" s="213"/>
      <c r="AK796" s="213"/>
      <c r="AL796" s="213"/>
      <c r="AM796" s="302"/>
      <c r="AN796" s="302"/>
      <c r="AO796" s="303"/>
      <c r="AP796" s="285"/>
      <c r="AQ796" s="258"/>
      <c r="AR796" s="258"/>
    </row>
    <row r="797" spans="10:44" s="48" customFormat="1" hidden="1">
      <c r="J797" s="213"/>
      <c r="K797" s="213"/>
      <c r="L797" s="213"/>
      <c r="M797" s="213"/>
      <c r="N797" s="213"/>
      <c r="O797" s="213"/>
      <c r="P797" s="213"/>
      <c r="Q797" s="213"/>
      <c r="R797" s="213"/>
      <c r="S797" s="213"/>
      <c r="T797" s="213"/>
      <c r="U797" s="213"/>
      <c r="V797" s="213"/>
      <c r="W797" s="213"/>
      <c r="X797" s="213"/>
      <c r="Y797" s="213"/>
      <c r="Z797" s="213"/>
      <c r="AA797" s="213"/>
      <c r="AB797" s="213"/>
      <c r="AC797" s="213"/>
      <c r="AD797" s="213"/>
      <c r="AE797" s="213"/>
      <c r="AF797" s="213"/>
      <c r="AG797" s="213"/>
      <c r="AH797" s="213"/>
      <c r="AI797" s="213"/>
      <c r="AJ797" s="213"/>
      <c r="AK797" s="213"/>
      <c r="AL797" s="213"/>
      <c r="AM797" s="302"/>
      <c r="AN797" s="302"/>
      <c r="AO797" s="303"/>
      <c r="AP797" s="285"/>
      <c r="AQ797" s="258"/>
      <c r="AR797" s="258"/>
    </row>
    <row r="798" spans="10:44" s="48" customFormat="1" hidden="1">
      <c r="J798" s="213"/>
      <c r="K798" s="213"/>
      <c r="L798" s="213"/>
      <c r="M798" s="213"/>
      <c r="N798" s="213"/>
      <c r="O798" s="213"/>
      <c r="P798" s="213"/>
      <c r="Q798" s="213"/>
      <c r="R798" s="213"/>
      <c r="S798" s="213"/>
      <c r="T798" s="213"/>
      <c r="U798" s="213"/>
      <c r="V798" s="213"/>
      <c r="W798" s="213"/>
      <c r="X798" s="213"/>
      <c r="Y798" s="213"/>
      <c r="Z798" s="213"/>
      <c r="AA798" s="213"/>
      <c r="AB798" s="213"/>
      <c r="AC798" s="213"/>
      <c r="AD798" s="213"/>
      <c r="AE798" s="213"/>
      <c r="AF798" s="213"/>
      <c r="AG798" s="213"/>
      <c r="AH798" s="213"/>
      <c r="AI798" s="213"/>
      <c r="AJ798" s="213"/>
      <c r="AK798" s="213"/>
      <c r="AL798" s="213"/>
      <c r="AM798" s="302"/>
      <c r="AN798" s="302"/>
      <c r="AO798" s="303"/>
      <c r="AP798" s="285"/>
      <c r="AQ798" s="258"/>
      <c r="AR798" s="258"/>
    </row>
    <row r="799" spans="10:44" s="48" customFormat="1" hidden="1">
      <c r="J799" s="213"/>
      <c r="K799" s="213"/>
      <c r="L799" s="213"/>
      <c r="M799" s="213"/>
      <c r="N799" s="213"/>
      <c r="O799" s="213"/>
      <c r="P799" s="213"/>
      <c r="Q799" s="213"/>
      <c r="R799" s="213"/>
      <c r="S799" s="213"/>
      <c r="T799" s="213"/>
      <c r="U799" s="213"/>
      <c r="V799" s="213"/>
      <c r="W799" s="213"/>
      <c r="X799" s="213"/>
      <c r="Y799" s="213"/>
      <c r="Z799" s="213"/>
      <c r="AA799" s="213"/>
      <c r="AB799" s="213"/>
      <c r="AC799" s="213"/>
      <c r="AD799" s="213"/>
      <c r="AE799" s="213"/>
      <c r="AF799" s="213"/>
      <c r="AG799" s="213"/>
      <c r="AH799" s="213"/>
      <c r="AI799" s="213"/>
      <c r="AJ799" s="213"/>
      <c r="AK799" s="213"/>
      <c r="AL799" s="213"/>
      <c r="AM799" s="302"/>
      <c r="AN799" s="302"/>
      <c r="AO799" s="303"/>
      <c r="AP799" s="285"/>
      <c r="AQ799" s="258"/>
      <c r="AR799" s="258"/>
    </row>
    <row r="800" spans="10:44" s="48" customFormat="1" hidden="1">
      <c r="J800" s="213"/>
      <c r="K800" s="213"/>
      <c r="L800" s="213"/>
      <c r="M800" s="213"/>
      <c r="N800" s="213"/>
      <c r="O800" s="213"/>
      <c r="P800" s="213"/>
      <c r="Q800" s="213"/>
      <c r="R800" s="213"/>
      <c r="S800" s="213"/>
      <c r="T800" s="213"/>
      <c r="U800" s="213"/>
      <c r="V800" s="213"/>
      <c r="W800" s="213"/>
      <c r="X800" s="213"/>
      <c r="Y800" s="213"/>
      <c r="Z800" s="213"/>
      <c r="AA800" s="213"/>
      <c r="AB800" s="213"/>
      <c r="AC800" s="213"/>
      <c r="AD800" s="213"/>
      <c r="AE800" s="213"/>
      <c r="AF800" s="213"/>
      <c r="AG800" s="213"/>
      <c r="AH800" s="213"/>
      <c r="AI800" s="213"/>
      <c r="AJ800" s="213"/>
      <c r="AK800" s="213"/>
      <c r="AL800" s="213"/>
      <c r="AM800" s="302"/>
      <c r="AN800" s="302"/>
      <c r="AO800" s="303"/>
      <c r="AP800" s="285"/>
      <c r="AQ800" s="258"/>
      <c r="AR800" s="258"/>
    </row>
    <row r="801" spans="10:44" s="48" customFormat="1" hidden="1">
      <c r="J801" s="213"/>
      <c r="K801" s="213"/>
      <c r="L801" s="213"/>
      <c r="M801" s="213"/>
      <c r="N801" s="213"/>
      <c r="O801" s="213"/>
      <c r="P801" s="213"/>
      <c r="Q801" s="213"/>
      <c r="R801" s="213"/>
      <c r="S801" s="213"/>
      <c r="T801" s="213"/>
      <c r="U801" s="213"/>
      <c r="V801" s="213"/>
      <c r="W801" s="213"/>
      <c r="X801" s="213"/>
      <c r="Y801" s="213"/>
      <c r="Z801" s="213"/>
      <c r="AA801" s="213"/>
      <c r="AB801" s="213"/>
      <c r="AC801" s="213"/>
      <c r="AD801" s="213"/>
      <c r="AE801" s="213"/>
      <c r="AF801" s="213"/>
      <c r="AG801" s="213"/>
      <c r="AH801" s="213"/>
      <c r="AI801" s="213"/>
      <c r="AJ801" s="213"/>
      <c r="AK801" s="213"/>
      <c r="AL801" s="213"/>
      <c r="AM801" s="302"/>
      <c r="AN801" s="302"/>
      <c r="AO801" s="303"/>
      <c r="AP801" s="285"/>
      <c r="AQ801" s="258"/>
      <c r="AR801" s="258"/>
    </row>
    <row r="802" spans="10:44" s="48" customFormat="1" hidden="1">
      <c r="J802" s="213"/>
      <c r="K802" s="213"/>
      <c r="L802" s="213"/>
      <c r="M802" s="213"/>
      <c r="N802" s="213"/>
      <c r="O802" s="213"/>
      <c r="P802" s="213"/>
      <c r="Q802" s="213"/>
      <c r="R802" s="213"/>
      <c r="S802" s="213"/>
      <c r="T802" s="213"/>
      <c r="U802" s="213"/>
      <c r="V802" s="213"/>
      <c r="W802" s="213"/>
      <c r="X802" s="213"/>
      <c r="Y802" s="213"/>
      <c r="Z802" s="213"/>
      <c r="AA802" s="213"/>
      <c r="AB802" s="213"/>
      <c r="AC802" s="213"/>
      <c r="AD802" s="213"/>
      <c r="AE802" s="213"/>
      <c r="AF802" s="213"/>
      <c r="AG802" s="213"/>
      <c r="AH802" s="213"/>
      <c r="AI802" s="213"/>
      <c r="AJ802" s="213"/>
      <c r="AK802" s="213"/>
      <c r="AL802" s="213"/>
      <c r="AM802" s="302"/>
      <c r="AN802" s="302"/>
      <c r="AO802" s="303"/>
      <c r="AP802" s="285"/>
      <c r="AQ802" s="258"/>
      <c r="AR802" s="258"/>
    </row>
    <row r="803" spans="10:44" s="48" customFormat="1" hidden="1">
      <c r="J803" s="213"/>
      <c r="K803" s="213"/>
      <c r="L803" s="213"/>
      <c r="M803" s="213"/>
      <c r="N803" s="213"/>
      <c r="O803" s="213"/>
      <c r="P803" s="213"/>
      <c r="Q803" s="213"/>
      <c r="R803" s="213"/>
      <c r="S803" s="213"/>
      <c r="T803" s="213"/>
      <c r="U803" s="213"/>
      <c r="V803" s="213"/>
      <c r="W803" s="213"/>
      <c r="X803" s="213"/>
      <c r="Y803" s="213"/>
      <c r="Z803" s="213"/>
      <c r="AA803" s="213"/>
      <c r="AB803" s="213"/>
      <c r="AC803" s="213"/>
      <c r="AD803" s="213"/>
      <c r="AE803" s="213"/>
      <c r="AF803" s="213"/>
      <c r="AG803" s="213"/>
      <c r="AH803" s="213"/>
      <c r="AI803" s="213"/>
      <c r="AJ803" s="213"/>
      <c r="AK803" s="213"/>
      <c r="AL803" s="213"/>
      <c r="AM803" s="302"/>
      <c r="AN803" s="302"/>
      <c r="AO803" s="303"/>
      <c r="AP803" s="285"/>
      <c r="AQ803" s="258"/>
      <c r="AR803" s="258"/>
    </row>
    <row r="804" spans="10:44" s="48" customFormat="1" hidden="1">
      <c r="J804" s="213"/>
      <c r="K804" s="213"/>
      <c r="L804" s="213"/>
      <c r="M804" s="213"/>
      <c r="N804" s="213"/>
      <c r="O804" s="213"/>
      <c r="P804" s="213"/>
      <c r="Q804" s="213"/>
      <c r="R804" s="213"/>
      <c r="S804" s="213"/>
      <c r="T804" s="213"/>
      <c r="U804" s="213"/>
      <c r="V804" s="213"/>
      <c r="W804" s="213"/>
      <c r="X804" s="213"/>
      <c r="Y804" s="213"/>
      <c r="Z804" s="213"/>
      <c r="AA804" s="213"/>
      <c r="AB804" s="213"/>
      <c r="AC804" s="213"/>
      <c r="AD804" s="213"/>
      <c r="AE804" s="213"/>
      <c r="AF804" s="213"/>
      <c r="AG804" s="213"/>
      <c r="AH804" s="213"/>
      <c r="AI804" s="213"/>
      <c r="AJ804" s="213"/>
      <c r="AK804" s="213"/>
      <c r="AL804" s="213"/>
      <c r="AM804" s="302"/>
      <c r="AN804" s="302"/>
      <c r="AO804" s="303"/>
      <c r="AP804" s="285"/>
      <c r="AQ804" s="258"/>
      <c r="AR804" s="258"/>
    </row>
    <row r="805" spans="10:44" s="48" customFormat="1" hidden="1">
      <c r="J805" s="213"/>
      <c r="K805" s="213"/>
      <c r="L805" s="213"/>
      <c r="M805" s="213"/>
      <c r="N805" s="213"/>
      <c r="O805" s="213"/>
      <c r="P805" s="213"/>
      <c r="Q805" s="213"/>
      <c r="R805" s="213"/>
      <c r="S805" s="213"/>
      <c r="T805" s="213"/>
      <c r="U805" s="213"/>
      <c r="V805" s="213"/>
      <c r="W805" s="213"/>
      <c r="X805" s="213"/>
      <c r="Y805" s="213"/>
      <c r="Z805" s="213"/>
      <c r="AA805" s="213"/>
      <c r="AB805" s="213"/>
      <c r="AC805" s="213"/>
      <c r="AD805" s="213"/>
      <c r="AE805" s="213"/>
      <c r="AF805" s="213"/>
      <c r="AG805" s="213"/>
      <c r="AH805" s="213"/>
      <c r="AI805" s="213"/>
      <c r="AJ805" s="213"/>
      <c r="AK805" s="213"/>
      <c r="AL805" s="213"/>
      <c r="AM805" s="302"/>
      <c r="AN805" s="302"/>
      <c r="AO805" s="303"/>
      <c r="AP805" s="285"/>
      <c r="AQ805" s="258"/>
      <c r="AR805" s="258"/>
    </row>
    <row r="806" spans="10:44" s="48" customFormat="1" hidden="1">
      <c r="J806" s="213"/>
      <c r="K806" s="213"/>
      <c r="L806" s="213"/>
      <c r="M806" s="213"/>
      <c r="N806" s="213"/>
      <c r="O806" s="213"/>
      <c r="P806" s="213"/>
      <c r="Q806" s="213"/>
      <c r="R806" s="213"/>
      <c r="S806" s="213"/>
      <c r="T806" s="213"/>
      <c r="U806" s="213"/>
      <c r="V806" s="213"/>
      <c r="W806" s="213"/>
      <c r="X806" s="213"/>
      <c r="Y806" s="213"/>
      <c r="Z806" s="213"/>
      <c r="AA806" s="213"/>
      <c r="AB806" s="213"/>
      <c r="AC806" s="213"/>
      <c r="AD806" s="213"/>
      <c r="AE806" s="213"/>
      <c r="AF806" s="213"/>
      <c r="AG806" s="213"/>
      <c r="AH806" s="213"/>
      <c r="AI806" s="213"/>
      <c r="AJ806" s="213"/>
      <c r="AK806" s="213"/>
      <c r="AL806" s="213"/>
      <c r="AM806" s="302"/>
      <c r="AN806" s="302"/>
      <c r="AO806" s="303"/>
      <c r="AP806" s="285"/>
      <c r="AQ806" s="258"/>
      <c r="AR806" s="258"/>
    </row>
    <row r="807" spans="10:44" s="48" customFormat="1" hidden="1">
      <c r="J807" s="213"/>
      <c r="K807" s="213"/>
      <c r="L807" s="213"/>
      <c r="M807" s="213"/>
      <c r="N807" s="213"/>
      <c r="O807" s="213"/>
      <c r="P807" s="213"/>
      <c r="Q807" s="213"/>
      <c r="R807" s="213"/>
      <c r="S807" s="213"/>
      <c r="T807" s="213"/>
      <c r="U807" s="213"/>
      <c r="V807" s="213"/>
      <c r="W807" s="213"/>
      <c r="X807" s="213"/>
      <c r="Y807" s="213"/>
      <c r="Z807" s="213"/>
      <c r="AA807" s="213"/>
      <c r="AB807" s="213"/>
      <c r="AC807" s="213"/>
      <c r="AD807" s="213"/>
      <c r="AE807" s="213"/>
      <c r="AF807" s="213"/>
      <c r="AG807" s="213"/>
      <c r="AH807" s="213"/>
      <c r="AI807" s="213"/>
      <c r="AJ807" s="213"/>
      <c r="AK807" s="213"/>
      <c r="AL807" s="213"/>
      <c r="AM807" s="302"/>
      <c r="AN807" s="302"/>
      <c r="AO807" s="303"/>
      <c r="AP807" s="285"/>
      <c r="AQ807" s="258"/>
      <c r="AR807" s="258"/>
    </row>
    <row r="808" spans="10:44" s="48" customFormat="1" hidden="1">
      <c r="J808" s="213"/>
      <c r="K808" s="213"/>
      <c r="L808" s="213"/>
      <c r="M808" s="213"/>
      <c r="N808" s="213"/>
      <c r="O808" s="213"/>
      <c r="P808" s="213"/>
      <c r="Q808" s="213"/>
      <c r="R808" s="213"/>
      <c r="S808" s="213"/>
      <c r="T808" s="213"/>
      <c r="U808" s="213"/>
      <c r="V808" s="213"/>
      <c r="W808" s="213"/>
      <c r="X808" s="213"/>
      <c r="Y808" s="213"/>
      <c r="Z808" s="213"/>
      <c r="AA808" s="213"/>
      <c r="AB808" s="213"/>
      <c r="AC808" s="213"/>
      <c r="AD808" s="213"/>
      <c r="AE808" s="213"/>
      <c r="AF808" s="213"/>
      <c r="AG808" s="213"/>
      <c r="AH808" s="213"/>
      <c r="AI808" s="213"/>
      <c r="AJ808" s="213"/>
      <c r="AK808" s="213"/>
      <c r="AL808" s="213"/>
      <c r="AM808" s="302"/>
      <c r="AN808" s="302"/>
      <c r="AO808" s="303"/>
      <c r="AP808" s="285"/>
      <c r="AQ808" s="258"/>
      <c r="AR808" s="258"/>
    </row>
    <row r="809" spans="10:44" s="48" customFormat="1" hidden="1">
      <c r="J809" s="213"/>
      <c r="K809" s="213"/>
      <c r="L809" s="213"/>
      <c r="M809" s="213"/>
      <c r="N809" s="213"/>
      <c r="O809" s="213"/>
      <c r="P809" s="213"/>
      <c r="Q809" s="213"/>
      <c r="R809" s="213"/>
      <c r="S809" s="213"/>
      <c r="T809" s="213"/>
      <c r="U809" s="213"/>
      <c r="V809" s="213"/>
      <c r="W809" s="213"/>
      <c r="X809" s="213"/>
      <c r="Y809" s="213"/>
      <c r="Z809" s="213"/>
      <c r="AA809" s="213"/>
      <c r="AB809" s="213"/>
      <c r="AC809" s="213"/>
      <c r="AD809" s="213"/>
      <c r="AE809" s="213"/>
      <c r="AF809" s="213"/>
      <c r="AG809" s="213"/>
      <c r="AH809" s="213"/>
      <c r="AI809" s="213"/>
      <c r="AJ809" s="213"/>
      <c r="AK809" s="213"/>
      <c r="AL809" s="213"/>
      <c r="AM809" s="302"/>
      <c r="AN809" s="302"/>
      <c r="AO809" s="303"/>
      <c r="AP809" s="285"/>
      <c r="AQ809" s="258"/>
      <c r="AR809" s="258"/>
    </row>
    <row r="810" spans="10:44" s="48" customFormat="1" hidden="1">
      <c r="J810" s="213"/>
      <c r="K810" s="213"/>
      <c r="L810" s="213"/>
      <c r="M810" s="213"/>
      <c r="N810" s="213"/>
      <c r="O810" s="213"/>
      <c r="P810" s="213"/>
      <c r="Q810" s="213"/>
      <c r="R810" s="213"/>
      <c r="S810" s="213"/>
      <c r="T810" s="213"/>
      <c r="U810" s="213"/>
      <c r="V810" s="213"/>
      <c r="W810" s="213"/>
      <c r="X810" s="213"/>
      <c r="Y810" s="213"/>
      <c r="Z810" s="213"/>
      <c r="AA810" s="213"/>
      <c r="AB810" s="213"/>
      <c r="AC810" s="213"/>
      <c r="AD810" s="213"/>
      <c r="AE810" s="213"/>
      <c r="AF810" s="213"/>
      <c r="AG810" s="213"/>
      <c r="AH810" s="213"/>
      <c r="AI810" s="213"/>
      <c r="AJ810" s="213"/>
      <c r="AK810" s="213"/>
      <c r="AL810" s="213"/>
      <c r="AM810" s="302"/>
      <c r="AN810" s="302"/>
      <c r="AO810" s="303"/>
      <c r="AP810" s="285"/>
      <c r="AQ810" s="258"/>
      <c r="AR810" s="258"/>
    </row>
    <row r="811" spans="10:44" s="48" customFormat="1" hidden="1">
      <c r="J811" s="213"/>
      <c r="K811" s="213"/>
      <c r="L811" s="213"/>
      <c r="M811" s="213"/>
      <c r="N811" s="213"/>
      <c r="O811" s="213"/>
      <c r="P811" s="213"/>
      <c r="Q811" s="213"/>
      <c r="R811" s="213"/>
      <c r="S811" s="213"/>
      <c r="T811" s="213"/>
      <c r="U811" s="213"/>
      <c r="V811" s="213"/>
      <c r="W811" s="213"/>
      <c r="X811" s="213"/>
      <c r="Y811" s="213"/>
      <c r="Z811" s="213"/>
      <c r="AA811" s="213"/>
      <c r="AB811" s="213"/>
      <c r="AC811" s="213"/>
      <c r="AD811" s="213"/>
      <c r="AE811" s="213"/>
      <c r="AF811" s="213"/>
      <c r="AG811" s="213"/>
      <c r="AH811" s="213"/>
      <c r="AI811" s="213"/>
      <c r="AJ811" s="213"/>
      <c r="AK811" s="213"/>
      <c r="AL811" s="213"/>
      <c r="AM811" s="302"/>
      <c r="AN811" s="302"/>
      <c r="AO811" s="303"/>
      <c r="AP811" s="285"/>
      <c r="AQ811" s="258"/>
      <c r="AR811" s="258"/>
    </row>
    <row r="812" spans="10:44" s="48" customFormat="1" hidden="1">
      <c r="J812" s="213"/>
      <c r="K812" s="213"/>
      <c r="L812" s="213"/>
      <c r="M812" s="213"/>
      <c r="N812" s="213"/>
      <c r="O812" s="213"/>
      <c r="P812" s="213"/>
      <c r="Q812" s="213"/>
      <c r="R812" s="213"/>
      <c r="S812" s="213"/>
      <c r="T812" s="213"/>
      <c r="U812" s="213"/>
      <c r="V812" s="213"/>
      <c r="W812" s="213"/>
      <c r="X812" s="213"/>
      <c r="Y812" s="213"/>
      <c r="Z812" s="213"/>
      <c r="AA812" s="213"/>
      <c r="AB812" s="213"/>
      <c r="AC812" s="213"/>
      <c r="AD812" s="213"/>
      <c r="AE812" s="213"/>
      <c r="AF812" s="213"/>
      <c r="AG812" s="213"/>
      <c r="AH812" s="213"/>
      <c r="AI812" s="213"/>
      <c r="AJ812" s="213"/>
      <c r="AK812" s="213"/>
      <c r="AL812" s="213"/>
      <c r="AM812" s="302"/>
      <c r="AN812" s="302"/>
      <c r="AO812" s="303"/>
      <c r="AP812" s="285"/>
      <c r="AQ812" s="258"/>
      <c r="AR812" s="258"/>
    </row>
    <row r="813" spans="10:44" s="48" customFormat="1" hidden="1">
      <c r="J813" s="213"/>
      <c r="K813" s="213"/>
      <c r="L813" s="213"/>
      <c r="M813" s="213"/>
      <c r="N813" s="213"/>
      <c r="O813" s="213"/>
      <c r="P813" s="213"/>
      <c r="Q813" s="213"/>
      <c r="R813" s="213"/>
      <c r="S813" s="213"/>
      <c r="T813" s="213"/>
      <c r="U813" s="213"/>
      <c r="V813" s="213"/>
      <c r="W813" s="213"/>
      <c r="X813" s="213"/>
      <c r="Y813" s="213"/>
      <c r="Z813" s="213"/>
      <c r="AA813" s="213"/>
      <c r="AB813" s="213"/>
      <c r="AC813" s="213"/>
      <c r="AD813" s="213"/>
      <c r="AE813" s="213"/>
      <c r="AF813" s="213"/>
      <c r="AG813" s="213"/>
      <c r="AH813" s="213"/>
      <c r="AI813" s="213"/>
      <c r="AJ813" s="213"/>
      <c r="AK813" s="213"/>
      <c r="AL813" s="213"/>
      <c r="AM813" s="302"/>
      <c r="AN813" s="302"/>
      <c r="AO813" s="303"/>
      <c r="AP813" s="285"/>
      <c r="AQ813" s="258"/>
      <c r="AR813" s="258"/>
    </row>
    <row r="814" spans="10:44" s="48" customFormat="1" hidden="1">
      <c r="J814" s="213"/>
      <c r="K814" s="213"/>
      <c r="L814" s="213"/>
      <c r="M814" s="213"/>
      <c r="N814" s="213"/>
      <c r="O814" s="213"/>
      <c r="P814" s="213"/>
      <c r="Q814" s="213"/>
      <c r="R814" s="213"/>
      <c r="S814" s="213"/>
      <c r="T814" s="213"/>
      <c r="U814" s="213"/>
      <c r="V814" s="213"/>
      <c r="W814" s="213"/>
      <c r="X814" s="213"/>
      <c r="Y814" s="213"/>
      <c r="Z814" s="213"/>
      <c r="AA814" s="213"/>
      <c r="AB814" s="213"/>
      <c r="AC814" s="213"/>
      <c r="AD814" s="213"/>
      <c r="AE814" s="213"/>
      <c r="AF814" s="213"/>
      <c r="AG814" s="213"/>
      <c r="AH814" s="213"/>
      <c r="AI814" s="213"/>
      <c r="AJ814" s="213"/>
      <c r="AK814" s="213"/>
      <c r="AL814" s="213"/>
      <c r="AM814" s="302"/>
      <c r="AN814" s="302"/>
      <c r="AO814" s="303"/>
      <c r="AP814" s="285"/>
      <c r="AQ814" s="258"/>
      <c r="AR814" s="258"/>
    </row>
    <row r="815" spans="10:44" s="48" customFormat="1" hidden="1">
      <c r="J815" s="213"/>
      <c r="K815" s="213"/>
      <c r="L815" s="213"/>
      <c r="M815" s="213"/>
      <c r="N815" s="213"/>
      <c r="O815" s="213"/>
      <c r="P815" s="213"/>
      <c r="Q815" s="213"/>
      <c r="R815" s="213"/>
      <c r="S815" s="213"/>
      <c r="T815" s="213"/>
      <c r="U815" s="213"/>
      <c r="V815" s="213"/>
      <c r="W815" s="213"/>
      <c r="X815" s="213"/>
      <c r="Y815" s="213"/>
      <c r="Z815" s="213"/>
      <c r="AA815" s="213"/>
      <c r="AB815" s="213"/>
      <c r="AC815" s="213"/>
      <c r="AD815" s="213"/>
      <c r="AE815" s="213"/>
      <c r="AF815" s="213"/>
      <c r="AG815" s="213"/>
      <c r="AH815" s="213"/>
      <c r="AI815" s="213"/>
      <c r="AJ815" s="213"/>
      <c r="AK815" s="213"/>
      <c r="AL815" s="213"/>
      <c r="AM815" s="302"/>
      <c r="AN815" s="302"/>
      <c r="AO815" s="303"/>
      <c r="AP815" s="285"/>
      <c r="AQ815" s="258"/>
      <c r="AR815" s="258"/>
    </row>
    <row r="816" spans="10:44" s="48" customFormat="1" hidden="1">
      <c r="J816" s="213"/>
      <c r="K816" s="213"/>
      <c r="L816" s="213"/>
      <c r="M816" s="213"/>
      <c r="N816" s="213"/>
      <c r="O816" s="213"/>
      <c r="P816" s="213"/>
      <c r="Q816" s="213"/>
      <c r="R816" s="213"/>
      <c r="S816" s="213"/>
      <c r="T816" s="213"/>
      <c r="U816" s="213"/>
      <c r="V816" s="213"/>
      <c r="W816" s="213"/>
      <c r="X816" s="213"/>
      <c r="Y816" s="213"/>
      <c r="Z816" s="213"/>
      <c r="AA816" s="213"/>
      <c r="AB816" s="213"/>
      <c r="AC816" s="213"/>
      <c r="AD816" s="213"/>
      <c r="AE816" s="213"/>
      <c r="AF816" s="213"/>
      <c r="AG816" s="213"/>
      <c r="AH816" s="213"/>
      <c r="AI816" s="213"/>
      <c r="AJ816" s="213"/>
      <c r="AK816" s="213"/>
      <c r="AL816" s="213"/>
      <c r="AM816" s="302"/>
      <c r="AN816" s="302"/>
      <c r="AO816" s="303"/>
      <c r="AP816" s="285"/>
      <c r="AQ816" s="258"/>
      <c r="AR816" s="258"/>
    </row>
    <row r="817" spans="10:44" s="48" customFormat="1" hidden="1">
      <c r="J817" s="213"/>
      <c r="K817" s="213"/>
      <c r="L817" s="213"/>
      <c r="M817" s="213"/>
      <c r="N817" s="213"/>
      <c r="O817" s="213"/>
      <c r="P817" s="213"/>
      <c r="Q817" s="213"/>
      <c r="R817" s="213"/>
      <c r="S817" s="213"/>
      <c r="T817" s="213"/>
      <c r="U817" s="213"/>
      <c r="V817" s="213"/>
      <c r="W817" s="213"/>
      <c r="X817" s="213"/>
      <c r="Y817" s="213"/>
      <c r="Z817" s="213"/>
      <c r="AA817" s="213"/>
      <c r="AB817" s="213"/>
      <c r="AC817" s="213"/>
      <c r="AD817" s="213"/>
      <c r="AE817" s="213"/>
      <c r="AF817" s="213"/>
      <c r="AG817" s="213"/>
      <c r="AH817" s="213"/>
      <c r="AI817" s="213"/>
      <c r="AJ817" s="213"/>
      <c r="AK817" s="213"/>
      <c r="AL817" s="213"/>
      <c r="AM817" s="302"/>
      <c r="AN817" s="302"/>
      <c r="AO817" s="303"/>
      <c r="AP817" s="285"/>
      <c r="AQ817" s="258"/>
      <c r="AR817" s="258"/>
    </row>
    <row r="818" spans="10:44" s="48" customFormat="1" hidden="1">
      <c r="J818" s="213"/>
      <c r="K818" s="213"/>
      <c r="L818" s="213"/>
      <c r="M818" s="213"/>
      <c r="N818" s="213"/>
      <c r="O818" s="213"/>
      <c r="P818" s="213"/>
      <c r="Q818" s="213"/>
      <c r="R818" s="213"/>
      <c r="S818" s="213"/>
      <c r="T818" s="213"/>
      <c r="U818" s="213"/>
      <c r="V818" s="213"/>
      <c r="W818" s="213"/>
      <c r="X818" s="213"/>
      <c r="Y818" s="213"/>
      <c r="Z818" s="213"/>
      <c r="AA818" s="213"/>
      <c r="AB818" s="213"/>
      <c r="AC818" s="213"/>
      <c r="AD818" s="213"/>
      <c r="AE818" s="213"/>
      <c r="AF818" s="213"/>
      <c r="AG818" s="213"/>
      <c r="AH818" s="213"/>
      <c r="AI818" s="213"/>
      <c r="AJ818" s="213"/>
      <c r="AK818" s="213"/>
      <c r="AL818" s="213"/>
      <c r="AM818" s="302"/>
      <c r="AN818" s="302"/>
      <c r="AO818" s="303"/>
      <c r="AP818" s="285"/>
      <c r="AQ818" s="258"/>
      <c r="AR818" s="258"/>
    </row>
    <row r="819" spans="10:44" s="48" customFormat="1" hidden="1">
      <c r="J819" s="213"/>
      <c r="K819" s="213"/>
      <c r="L819" s="213"/>
      <c r="M819" s="213"/>
      <c r="N819" s="213"/>
      <c r="O819" s="213"/>
      <c r="P819" s="213"/>
      <c r="Q819" s="213"/>
      <c r="R819" s="213"/>
      <c r="S819" s="213"/>
      <c r="T819" s="213"/>
      <c r="U819" s="213"/>
      <c r="V819" s="213"/>
      <c r="W819" s="213"/>
      <c r="X819" s="213"/>
      <c r="Y819" s="213"/>
      <c r="Z819" s="213"/>
      <c r="AA819" s="213"/>
      <c r="AB819" s="213"/>
      <c r="AC819" s="213"/>
      <c r="AD819" s="213"/>
      <c r="AE819" s="213"/>
      <c r="AF819" s="213"/>
      <c r="AG819" s="213"/>
      <c r="AH819" s="213"/>
      <c r="AI819" s="213"/>
      <c r="AJ819" s="213"/>
      <c r="AK819" s="213"/>
      <c r="AL819" s="213"/>
      <c r="AM819" s="302"/>
      <c r="AN819" s="302"/>
      <c r="AO819" s="303"/>
      <c r="AP819" s="285"/>
      <c r="AQ819" s="258"/>
      <c r="AR819" s="258"/>
    </row>
    <row r="820" spans="10:44" s="48" customFormat="1" hidden="1">
      <c r="J820" s="213"/>
      <c r="K820" s="213"/>
      <c r="L820" s="213"/>
      <c r="M820" s="213"/>
      <c r="N820" s="213"/>
      <c r="O820" s="213"/>
      <c r="P820" s="213"/>
      <c r="Q820" s="213"/>
      <c r="R820" s="213"/>
      <c r="S820" s="213"/>
      <c r="T820" s="213"/>
      <c r="U820" s="213"/>
      <c r="V820" s="213"/>
      <c r="W820" s="213"/>
      <c r="X820" s="213"/>
      <c r="Y820" s="213"/>
      <c r="Z820" s="213"/>
      <c r="AA820" s="213"/>
      <c r="AB820" s="213"/>
      <c r="AC820" s="213"/>
      <c r="AD820" s="213"/>
      <c r="AE820" s="213"/>
      <c r="AF820" s="213"/>
      <c r="AG820" s="213"/>
      <c r="AH820" s="213"/>
      <c r="AI820" s="213"/>
      <c r="AJ820" s="213"/>
      <c r="AK820" s="213"/>
      <c r="AL820" s="213"/>
      <c r="AM820" s="302"/>
      <c r="AN820" s="302"/>
      <c r="AO820" s="303"/>
      <c r="AP820" s="285"/>
      <c r="AQ820" s="258"/>
      <c r="AR820" s="258"/>
    </row>
    <row r="821" spans="10:44" s="48" customFormat="1" hidden="1">
      <c r="J821" s="213"/>
      <c r="K821" s="213"/>
      <c r="L821" s="213"/>
      <c r="M821" s="213"/>
      <c r="N821" s="213"/>
      <c r="O821" s="213"/>
      <c r="P821" s="213"/>
      <c r="Q821" s="213"/>
      <c r="R821" s="213"/>
      <c r="S821" s="213"/>
      <c r="T821" s="213"/>
      <c r="U821" s="213"/>
      <c r="V821" s="213"/>
      <c r="W821" s="213"/>
      <c r="X821" s="213"/>
      <c r="Y821" s="213"/>
      <c r="Z821" s="213"/>
      <c r="AA821" s="213"/>
      <c r="AB821" s="213"/>
      <c r="AC821" s="213"/>
      <c r="AD821" s="213"/>
      <c r="AE821" s="213"/>
      <c r="AF821" s="213"/>
      <c r="AG821" s="213"/>
      <c r="AH821" s="213"/>
      <c r="AI821" s="213"/>
      <c r="AJ821" s="213"/>
      <c r="AK821" s="213"/>
      <c r="AL821" s="213"/>
      <c r="AM821" s="302"/>
      <c r="AN821" s="302"/>
      <c r="AO821" s="303"/>
      <c r="AP821" s="285"/>
      <c r="AQ821" s="258"/>
      <c r="AR821" s="258"/>
    </row>
    <row r="822" spans="10:44" s="48" customFormat="1" hidden="1">
      <c r="J822" s="213"/>
      <c r="K822" s="213"/>
      <c r="L822" s="213"/>
      <c r="M822" s="213"/>
      <c r="N822" s="213"/>
      <c r="O822" s="213"/>
      <c r="P822" s="213"/>
      <c r="Q822" s="213"/>
      <c r="R822" s="213"/>
      <c r="S822" s="213"/>
      <c r="T822" s="213"/>
      <c r="U822" s="213"/>
      <c r="V822" s="213"/>
      <c r="W822" s="213"/>
      <c r="X822" s="213"/>
      <c r="Y822" s="213"/>
      <c r="Z822" s="213"/>
      <c r="AA822" s="213"/>
      <c r="AB822" s="213"/>
      <c r="AC822" s="213"/>
      <c r="AD822" s="213"/>
      <c r="AE822" s="213"/>
      <c r="AF822" s="213"/>
      <c r="AG822" s="213"/>
      <c r="AH822" s="213"/>
      <c r="AI822" s="213"/>
      <c r="AJ822" s="213"/>
      <c r="AK822" s="213"/>
      <c r="AL822" s="213"/>
      <c r="AM822" s="302"/>
      <c r="AN822" s="302"/>
      <c r="AO822" s="303"/>
      <c r="AP822" s="285"/>
      <c r="AQ822" s="258"/>
      <c r="AR822" s="258"/>
    </row>
    <row r="823" spans="10:44" s="48" customFormat="1" hidden="1">
      <c r="J823" s="213"/>
      <c r="K823" s="213"/>
      <c r="L823" s="213"/>
      <c r="M823" s="213"/>
      <c r="N823" s="213"/>
      <c r="O823" s="213"/>
      <c r="P823" s="213"/>
      <c r="Q823" s="213"/>
      <c r="R823" s="213"/>
      <c r="S823" s="213"/>
      <c r="T823" s="213"/>
      <c r="U823" s="213"/>
      <c r="V823" s="213"/>
      <c r="W823" s="213"/>
      <c r="X823" s="213"/>
      <c r="Y823" s="213"/>
      <c r="Z823" s="213"/>
      <c r="AA823" s="213"/>
      <c r="AB823" s="213"/>
      <c r="AC823" s="213"/>
      <c r="AD823" s="213"/>
      <c r="AE823" s="213"/>
      <c r="AF823" s="213"/>
      <c r="AG823" s="213"/>
      <c r="AH823" s="213"/>
      <c r="AI823" s="213"/>
      <c r="AJ823" s="213"/>
      <c r="AK823" s="213"/>
      <c r="AL823" s="213"/>
      <c r="AM823" s="302"/>
      <c r="AN823" s="302"/>
      <c r="AO823" s="303"/>
      <c r="AP823" s="285"/>
      <c r="AQ823" s="258"/>
      <c r="AR823" s="258"/>
    </row>
    <row r="824" spans="10:44" s="48" customFormat="1" hidden="1">
      <c r="J824" s="213"/>
      <c r="K824" s="213"/>
      <c r="L824" s="213"/>
      <c r="M824" s="213"/>
      <c r="N824" s="213"/>
      <c r="O824" s="213"/>
      <c r="P824" s="213"/>
      <c r="Q824" s="213"/>
      <c r="R824" s="213"/>
      <c r="S824" s="213"/>
      <c r="T824" s="213"/>
      <c r="U824" s="213"/>
      <c r="V824" s="213"/>
      <c r="W824" s="213"/>
      <c r="X824" s="213"/>
      <c r="Y824" s="213"/>
      <c r="Z824" s="213"/>
      <c r="AA824" s="213"/>
      <c r="AB824" s="213"/>
      <c r="AC824" s="213"/>
      <c r="AD824" s="213"/>
      <c r="AE824" s="213"/>
      <c r="AF824" s="213"/>
      <c r="AG824" s="213"/>
      <c r="AH824" s="213"/>
      <c r="AI824" s="213"/>
      <c r="AJ824" s="213"/>
      <c r="AK824" s="213"/>
      <c r="AL824" s="213"/>
      <c r="AM824" s="302"/>
      <c r="AN824" s="302"/>
      <c r="AO824" s="303"/>
      <c r="AP824" s="285"/>
      <c r="AQ824" s="258"/>
      <c r="AR824" s="258"/>
    </row>
    <row r="825" spans="10:44" s="48" customFormat="1" hidden="1">
      <c r="J825" s="213"/>
      <c r="K825" s="213"/>
      <c r="L825" s="213"/>
      <c r="M825" s="213"/>
      <c r="N825" s="213"/>
      <c r="O825" s="213"/>
      <c r="P825" s="213"/>
      <c r="Q825" s="213"/>
      <c r="R825" s="213"/>
      <c r="S825" s="213"/>
      <c r="T825" s="213"/>
      <c r="U825" s="213"/>
      <c r="V825" s="213"/>
      <c r="W825" s="213"/>
      <c r="X825" s="213"/>
      <c r="Y825" s="213"/>
      <c r="Z825" s="213"/>
      <c r="AA825" s="213"/>
      <c r="AB825" s="213"/>
      <c r="AC825" s="213"/>
      <c r="AD825" s="213"/>
      <c r="AE825" s="213"/>
      <c r="AF825" s="213"/>
      <c r="AG825" s="213"/>
      <c r="AH825" s="213"/>
      <c r="AI825" s="213"/>
      <c r="AJ825" s="213"/>
      <c r="AK825" s="213"/>
      <c r="AL825" s="213"/>
      <c r="AM825" s="302"/>
      <c r="AN825" s="302"/>
      <c r="AO825" s="303"/>
      <c r="AP825" s="285"/>
      <c r="AQ825" s="258"/>
      <c r="AR825" s="258"/>
    </row>
    <row r="826" spans="10:44" s="48" customFormat="1" hidden="1">
      <c r="J826" s="213"/>
      <c r="K826" s="213"/>
      <c r="L826" s="213"/>
      <c r="M826" s="213"/>
      <c r="N826" s="213"/>
      <c r="O826" s="213"/>
      <c r="P826" s="213"/>
      <c r="Q826" s="213"/>
      <c r="R826" s="213"/>
      <c r="S826" s="213"/>
      <c r="T826" s="213"/>
      <c r="U826" s="213"/>
      <c r="V826" s="213"/>
      <c r="W826" s="213"/>
      <c r="X826" s="213"/>
      <c r="Y826" s="213"/>
      <c r="Z826" s="213"/>
      <c r="AA826" s="213"/>
      <c r="AB826" s="213"/>
      <c r="AC826" s="213"/>
      <c r="AD826" s="213"/>
      <c r="AE826" s="213"/>
      <c r="AF826" s="213"/>
      <c r="AG826" s="213"/>
      <c r="AH826" s="213"/>
      <c r="AI826" s="213"/>
      <c r="AJ826" s="213"/>
      <c r="AK826" s="213"/>
      <c r="AL826" s="213"/>
      <c r="AM826" s="302"/>
      <c r="AN826" s="302"/>
      <c r="AO826" s="303"/>
      <c r="AP826" s="285"/>
      <c r="AQ826" s="258"/>
      <c r="AR826" s="258"/>
    </row>
    <row r="827" spans="10:44" s="48" customFormat="1" hidden="1">
      <c r="J827" s="213"/>
      <c r="K827" s="213"/>
      <c r="L827" s="213"/>
      <c r="M827" s="213"/>
      <c r="N827" s="213"/>
      <c r="O827" s="213"/>
      <c r="P827" s="213"/>
      <c r="Q827" s="213"/>
      <c r="R827" s="213"/>
      <c r="S827" s="213"/>
      <c r="T827" s="213"/>
      <c r="U827" s="213"/>
      <c r="V827" s="213"/>
      <c r="W827" s="213"/>
      <c r="X827" s="213"/>
      <c r="Y827" s="213"/>
      <c r="Z827" s="213"/>
      <c r="AA827" s="213"/>
      <c r="AB827" s="213"/>
      <c r="AC827" s="213"/>
      <c r="AD827" s="213"/>
      <c r="AE827" s="213"/>
      <c r="AF827" s="213"/>
      <c r="AG827" s="213"/>
      <c r="AH827" s="213"/>
      <c r="AI827" s="213"/>
      <c r="AJ827" s="213"/>
      <c r="AK827" s="213"/>
      <c r="AL827" s="213"/>
      <c r="AM827" s="302"/>
      <c r="AN827" s="302"/>
      <c r="AO827" s="303"/>
      <c r="AP827" s="285"/>
      <c r="AQ827" s="258"/>
      <c r="AR827" s="258"/>
    </row>
    <row r="828" spans="10:44" s="48" customFormat="1" hidden="1">
      <c r="J828" s="213"/>
      <c r="K828" s="213"/>
      <c r="L828" s="213"/>
      <c r="M828" s="213"/>
      <c r="N828" s="213"/>
      <c r="O828" s="213"/>
      <c r="P828" s="213"/>
      <c r="Q828" s="213"/>
      <c r="R828" s="213"/>
      <c r="S828" s="213"/>
      <c r="T828" s="213"/>
      <c r="U828" s="213"/>
      <c r="V828" s="213"/>
      <c r="W828" s="213"/>
      <c r="X828" s="213"/>
      <c r="Y828" s="213"/>
      <c r="Z828" s="213"/>
      <c r="AA828" s="213"/>
      <c r="AB828" s="213"/>
      <c r="AC828" s="213"/>
      <c r="AD828" s="213"/>
      <c r="AE828" s="213"/>
      <c r="AF828" s="213"/>
      <c r="AG828" s="213"/>
      <c r="AH828" s="213"/>
      <c r="AI828" s="213"/>
      <c r="AJ828" s="213"/>
      <c r="AK828" s="213"/>
      <c r="AL828" s="213"/>
      <c r="AM828" s="302"/>
      <c r="AN828" s="302"/>
      <c r="AO828" s="303"/>
      <c r="AP828" s="285"/>
      <c r="AQ828" s="258"/>
      <c r="AR828" s="258"/>
    </row>
    <row r="829" spans="10:44" s="48" customFormat="1" hidden="1">
      <c r="J829" s="213"/>
      <c r="K829" s="213"/>
      <c r="L829" s="213"/>
      <c r="M829" s="213"/>
      <c r="N829" s="213"/>
      <c r="O829" s="213"/>
      <c r="P829" s="213"/>
      <c r="Q829" s="213"/>
      <c r="R829" s="213"/>
      <c r="S829" s="213"/>
      <c r="T829" s="213"/>
      <c r="U829" s="213"/>
      <c r="V829" s="213"/>
      <c r="W829" s="213"/>
      <c r="X829" s="213"/>
      <c r="Y829" s="213"/>
      <c r="Z829" s="213"/>
      <c r="AA829" s="213"/>
      <c r="AB829" s="213"/>
      <c r="AC829" s="213"/>
      <c r="AD829" s="213"/>
      <c r="AE829" s="213"/>
      <c r="AF829" s="213"/>
      <c r="AG829" s="213"/>
      <c r="AH829" s="213"/>
      <c r="AI829" s="213"/>
      <c r="AJ829" s="213"/>
      <c r="AK829" s="213"/>
      <c r="AL829" s="213"/>
      <c r="AM829" s="302"/>
      <c r="AN829" s="302"/>
      <c r="AO829" s="303"/>
      <c r="AP829" s="285"/>
      <c r="AQ829" s="258"/>
      <c r="AR829" s="258"/>
    </row>
    <row r="830" spans="10:44" s="48" customFormat="1" hidden="1">
      <c r="J830" s="213"/>
      <c r="K830" s="213"/>
      <c r="L830" s="213"/>
      <c r="M830" s="213"/>
      <c r="N830" s="213"/>
      <c r="O830" s="213"/>
      <c r="P830" s="213"/>
      <c r="Q830" s="213"/>
      <c r="R830" s="213"/>
      <c r="S830" s="213"/>
      <c r="T830" s="213"/>
      <c r="U830" s="213"/>
      <c r="V830" s="213"/>
      <c r="W830" s="213"/>
      <c r="X830" s="213"/>
      <c r="Y830" s="213"/>
      <c r="Z830" s="213"/>
      <c r="AA830" s="213"/>
      <c r="AB830" s="213"/>
      <c r="AC830" s="213"/>
      <c r="AD830" s="213"/>
      <c r="AE830" s="213"/>
      <c r="AF830" s="213"/>
      <c r="AG830" s="213"/>
      <c r="AH830" s="213"/>
      <c r="AI830" s="213"/>
      <c r="AJ830" s="213"/>
      <c r="AK830" s="213"/>
      <c r="AL830" s="213"/>
      <c r="AM830" s="302"/>
      <c r="AN830" s="302"/>
      <c r="AO830" s="303"/>
      <c r="AP830" s="285"/>
      <c r="AQ830" s="258"/>
      <c r="AR830" s="258"/>
    </row>
    <row r="831" spans="10:44" s="48" customFormat="1" hidden="1">
      <c r="J831" s="213"/>
      <c r="K831" s="213"/>
      <c r="L831" s="213"/>
      <c r="M831" s="213"/>
      <c r="N831" s="213"/>
      <c r="O831" s="213"/>
      <c r="P831" s="213"/>
      <c r="Q831" s="213"/>
      <c r="R831" s="213"/>
      <c r="S831" s="213"/>
      <c r="T831" s="213"/>
      <c r="U831" s="213"/>
      <c r="V831" s="213"/>
      <c r="W831" s="213"/>
      <c r="X831" s="213"/>
      <c r="Y831" s="213"/>
      <c r="Z831" s="213"/>
      <c r="AA831" s="213"/>
      <c r="AB831" s="213"/>
      <c r="AC831" s="213"/>
      <c r="AD831" s="213"/>
      <c r="AE831" s="213"/>
      <c r="AF831" s="213"/>
      <c r="AG831" s="213"/>
      <c r="AH831" s="213"/>
      <c r="AI831" s="213"/>
      <c r="AJ831" s="213"/>
      <c r="AK831" s="213"/>
      <c r="AL831" s="213"/>
      <c r="AM831" s="302"/>
      <c r="AN831" s="302"/>
      <c r="AO831" s="303"/>
      <c r="AP831" s="285"/>
      <c r="AQ831" s="258"/>
      <c r="AR831" s="258"/>
    </row>
    <row r="832" spans="10:44" s="48" customFormat="1" hidden="1">
      <c r="J832" s="213"/>
      <c r="K832" s="213"/>
      <c r="L832" s="213"/>
      <c r="M832" s="213"/>
      <c r="N832" s="213"/>
      <c r="O832" s="213"/>
      <c r="P832" s="213"/>
      <c r="Q832" s="213"/>
      <c r="R832" s="213"/>
      <c r="S832" s="213"/>
      <c r="T832" s="213"/>
      <c r="U832" s="213"/>
      <c r="V832" s="213"/>
      <c r="W832" s="213"/>
      <c r="X832" s="213"/>
      <c r="Y832" s="213"/>
      <c r="Z832" s="213"/>
      <c r="AA832" s="213"/>
      <c r="AB832" s="213"/>
      <c r="AC832" s="213"/>
      <c r="AD832" s="213"/>
      <c r="AE832" s="213"/>
      <c r="AF832" s="213"/>
      <c r="AG832" s="213"/>
      <c r="AH832" s="213"/>
      <c r="AI832" s="213"/>
      <c r="AJ832" s="213"/>
      <c r="AK832" s="213"/>
      <c r="AL832" s="213"/>
      <c r="AM832" s="302"/>
      <c r="AN832" s="302"/>
      <c r="AO832" s="303"/>
      <c r="AP832" s="285"/>
      <c r="AQ832" s="258"/>
      <c r="AR832" s="258"/>
    </row>
    <row r="833" spans="10:44" s="48" customFormat="1" hidden="1">
      <c r="J833" s="213"/>
      <c r="K833" s="213"/>
      <c r="L833" s="213"/>
      <c r="M833" s="213"/>
      <c r="N833" s="213"/>
      <c r="O833" s="213"/>
      <c r="P833" s="213"/>
      <c r="Q833" s="213"/>
      <c r="R833" s="213"/>
      <c r="S833" s="213"/>
      <c r="T833" s="213"/>
      <c r="U833" s="213"/>
      <c r="V833" s="213"/>
      <c r="W833" s="213"/>
      <c r="X833" s="213"/>
      <c r="Y833" s="213"/>
      <c r="Z833" s="213"/>
      <c r="AA833" s="213"/>
      <c r="AB833" s="213"/>
      <c r="AC833" s="213"/>
      <c r="AD833" s="213"/>
      <c r="AE833" s="213"/>
      <c r="AF833" s="213"/>
      <c r="AG833" s="213"/>
      <c r="AH833" s="213"/>
      <c r="AI833" s="213"/>
      <c r="AJ833" s="213"/>
      <c r="AK833" s="213"/>
      <c r="AL833" s="213"/>
      <c r="AM833" s="302"/>
      <c r="AN833" s="302"/>
      <c r="AO833" s="303"/>
      <c r="AP833" s="285"/>
      <c r="AQ833" s="258"/>
      <c r="AR833" s="258"/>
    </row>
    <row r="834" spans="10:44" s="48" customFormat="1" hidden="1">
      <c r="J834" s="213"/>
      <c r="K834" s="213"/>
      <c r="L834" s="213"/>
      <c r="M834" s="213"/>
      <c r="N834" s="213"/>
      <c r="O834" s="213"/>
      <c r="P834" s="213"/>
      <c r="Q834" s="213"/>
      <c r="R834" s="213"/>
      <c r="S834" s="213"/>
      <c r="T834" s="213"/>
      <c r="U834" s="213"/>
      <c r="V834" s="213"/>
      <c r="W834" s="213"/>
      <c r="X834" s="213"/>
      <c r="Y834" s="213"/>
      <c r="Z834" s="213"/>
      <c r="AA834" s="213"/>
      <c r="AB834" s="213"/>
      <c r="AC834" s="213"/>
      <c r="AD834" s="213"/>
      <c r="AE834" s="213"/>
      <c r="AF834" s="213"/>
      <c r="AG834" s="213"/>
      <c r="AH834" s="213"/>
      <c r="AI834" s="213"/>
      <c r="AJ834" s="213"/>
      <c r="AK834" s="213"/>
      <c r="AL834" s="213"/>
      <c r="AM834" s="302"/>
      <c r="AN834" s="302"/>
      <c r="AO834" s="303"/>
      <c r="AP834" s="285"/>
      <c r="AQ834" s="258"/>
      <c r="AR834" s="258"/>
    </row>
    <row r="835" spans="10:44" s="48" customFormat="1" hidden="1">
      <c r="J835" s="213"/>
      <c r="K835" s="213"/>
      <c r="L835" s="213"/>
      <c r="M835" s="213"/>
      <c r="N835" s="213"/>
      <c r="O835" s="213"/>
      <c r="P835" s="213"/>
      <c r="Q835" s="213"/>
      <c r="R835" s="213"/>
      <c r="S835" s="213"/>
      <c r="T835" s="213"/>
      <c r="U835" s="213"/>
      <c r="V835" s="213"/>
      <c r="W835" s="213"/>
      <c r="X835" s="213"/>
      <c r="Y835" s="213"/>
      <c r="Z835" s="213"/>
      <c r="AA835" s="213"/>
      <c r="AB835" s="213"/>
      <c r="AC835" s="213"/>
      <c r="AD835" s="213"/>
      <c r="AE835" s="213"/>
      <c r="AF835" s="213"/>
      <c r="AG835" s="213"/>
      <c r="AH835" s="213"/>
      <c r="AI835" s="213"/>
      <c r="AJ835" s="213"/>
      <c r="AK835" s="213"/>
      <c r="AL835" s="213"/>
      <c r="AM835" s="302"/>
      <c r="AN835" s="302"/>
      <c r="AO835" s="303"/>
      <c r="AP835" s="285"/>
      <c r="AQ835" s="258"/>
      <c r="AR835" s="258"/>
    </row>
    <row r="836" spans="10:44" s="48" customFormat="1" hidden="1">
      <c r="J836" s="213"/>
      <c r="K836" s="213"/>
      <c r="L836" s="213"/>
      <c r="M836" s="213"/>
      <c r="N836" s="213"/>
      <c r="O836" s="213"/>
      <c r="P836" s="213"/>
      <c r="Q836" s="213"/>
      <c r="R836" s="213"/>
      <c r="S836" s="213"/>
      <c r="T836" s="213"/>
      <c r="U836" s="213"/>
      <c r="V836" s="213"/>
      <c r="W836" s="213"/>
      <c r="X836" s="213"/>
      <c r="Y836" s="213"/>
      <c r="Z836" s="213"/>
      <c r="AA836" s="213"/>
      <c r="AB836" s="213"/>
      <c r="AC836" s="213"/>
      <c r="AD836" s="213"/>
      <c r="AE836" s="213"/>
      <c r="AF836" s="213"/>
      <c r="AG836" s="213"/>
      <c r="AH836" s="213"/>
      <c r="AI836" s="213"/>
      <c r="AJ836" s="213"/>
      <c r="AK836" s="213"/>
      <c r="AL836" s="213"/>
      <c r="AM836" s="302"/>
      <c r="AN836" s="302"/>
      <c r="AO836" s="303"/>
      <c r="AP836" s="285"/>
      <c r="AQ836" s="258"/>
      <c r="AR836" s="258"/>
    </row>
    <row r="837" spans="10:44" s="48" customFormat="1" hidden="1">
      <c r="J837" s="213"/>
      <c r="K837" s="213"/>
      <c r="L837" s="213"/>
      <c r="M837" s="213"/>
      <c r="N837" s="213"/>
      <c r="O837" s="213"/>
      <c r="P837" s="213"/>
      <c r="Q837" s="213"/>
      <c r="R837" s="213"/>
      <c r="S837" s="213"/>
      <c r="T837" s="213"/>
      <c r="U837" s="213"/>
      <c r="V837" s="213"/>
      <c r="W837" s="213"/>
      <c r="X837" s="213"/>
      <c r="Y837" s="213"/>
      <c r="Z837" s="213"/>
      <c r="AA837" s="213"/>
      <c r="AB837" s="213"/>
      <c r="AC837" s="213"/>
      <c r="AD837" s="213"/>
      <c r="AE837" s="213"/>
      <c r="AF837" s="213"/>
      <c r="AG837" s="213"/>
      <c r="AH837" s="213"/>
      <c r="AI837" s="213"/>
      <c r="AJ837" s="213"/>
      <c r="AK837" s="213"/>
      <c r="AL837" s="213"/>
      <c r="AM837" s="302"/>
      <c r="AN837" s="302"/>
      <c r="AO837" s="303"/>
      <c r="AP837" s="285"/>
      <c r="AQ837" s="258"/>
      <c r="AR837" s="258"/>
    </row>
    <row r="838" spans="10:44" s="48" customFormat="1" hidden="1">
      <c r="J838" s="213"/>
      <c r="K838" s="213"/>
      <c r="L838" s="213"/>
      <c r="M838" s="213"/>
      <c r="N838" s="213"/>
      <c r="O838" s="213"/>
      <c r="P838" s="213"/>
      <c r="Q838" s="213"/>
      <c r="R838" s="213"/>
      <c r="S838" s="213"/>
      <c r="T838" s="213"/>
      <c r="U838" s="213"/>
      <c r="V838" s="213"/>
      <c r="W838" s="213"/>
      <c r="X838" s="213"/>
      <c r="Y838" s="213"/>
      <c r="Z838" s="213"/>
      <c r="AA838" s="213"/>
      <c r="AB838" s="213"/>
      <c r="AC838" s="213"/>
      <c r="AD838" s="213"/>
      <c r="AE838" s="213"/>
      <c r="AF838" s="213"/>
      <c r="AG838" s="213"/>
      <c r="AH838" s="213"/>
      <c r="AI838" s="213"/>
      <c r="AJ838" s="213"/>
      <c r="AK838" s="213"/>
      <c r="AL838" s="213"/>
      <c r="AM838" s="302"/>
      <c r="AN838" s="302"/>
      <c r="AO838" s="303"/>
      <c r="AP838" s="285"/>
      <c r="AQ838" s="258"/>
      <c r="AR838" s="258"/>
    </row>
    <row r="839" spans="10:44" s="48" customFormat="1" hidden="1">
      <c r="J839" s="213"/>
      <c r="K839" s="213"/>
      <c r="L839" s="213"/>
      <c r="M839" s="213"/>
      <c r="N839" s="213"/>
      <c r="O839" s="213"/>
      <c r="P839" s="213"/>
      <c r="Q839" s="213"/>
      <c r="R839" s="213"/>
      <c r="S839" s="213"/>
      <c r="T839" s="213"/>
      <c r="U839" s="213"/>
      <c r="V839" s="213"/>
      <c r="W839" s="213"/>
      <c r="X839" s="213"/>
      <c r="Y839" s="213"/>
      <c r="Z839" s="213"/>
      <c r="AA839" s="213"/>
      <c r="AB839" s="213"/>
      <c r="AC839" s="213"/>
      <c r="AD839" s="213"/>
      <c r="AE839" s="213"/>
      <c r="AF839" s="213"/>
      <c r="AG839" s="213"/>
      <c r="AH839" s="213"/>
      <c r="AI839" s="213"/>
      <c r="AJ839" s="213"/>
      <c r="AK839" s="213"/>
      <c r="AL839" s="213"/>
      <c r="AM839" s="302"/>
      <c r="AN839" s="302"/>
      <c r="AO839" s="303"/>
      <c r="AP839" s="285"/>
      <c r="AQ839" s="258"/>
      <c r="AR839" s="258"/>
    </row>
    <row r="840" spans="10:44" s="48" customFormat="1" hidden="1">
      <c r="J840" s="213"/>
      <c r="K840" s="213"/>
      <c r="L840" s="213"/>
      <c r="M840" s="213"/>
      <c r="N840" s="213"/>
      <c r="O840" s="213"/>
      <c r="P840" s="213"/>
      <c r="Q840" s="213"/>
      <c r="R840" s="213"/>
      <c r="S840" s="213"/>
      <c r="T840" s="213"/>
      <c r="U840" s="213"/>
      <c r="V840" s="213"/>
      <c r="W840" s="213"/>
      <c r="X840" s="213"/>
      <c r="Y840" s="213"/>
      <c r="Z840" s="213"/>
      <c r="AA840" s="213"/>
      <c r="AB840" s="213"/>
      <c r="AC840" s="213"/>
      <c r="AD840" s="213"/>
      <c r="AE840" s="213"/>
      <c r="AF840" s="213"/>
      <c r="AG840" s="213"/>
      <c r="AH840" s="213"/>
      <c r="AI840" s="213"/>
      <c r="AJ840" s="213"/>
      <c r="AK840" s="213"/>
      <c r="AL840" s="213"/>
      <c r="AM840" s="302"/>
      <c r="AN840" s="302"/>
      <c r="AO840" s="303"/>
      <c r="AP840" s="285"/>
      <c r="AQ840" s="258"/>
      <c r="AR840" s="258"/>
    </row>
    <row r="841" spans="10:44" s="48" customFormat="1" hidden="1">
      <c r="J841" s="213"/>
      <c r="K841" s="213"/>
      <c r="L841" s="213"/>
      <c r="M841" s="213"/>
      <c r="N841" s="213"/>
      <c r="O841" s="213"/>
      <c r="P841" s="213"/>
      <c r="Q841" s="213"/>
      <c r="R841" s="213"/>
      <c r="S841" s="213"/>
      <c r="T841" s="213"/>
      <c r="U841" s="213"/>
      <c r="V841" s="213"/>
      <c r="W841" s="213"/>
      <c r="X841" s="213"/>
      <c r="Y841" s="213"/>
      <c r="Z841" s="213"/>
      <c r="AA841" s="213"/>
      <c r="AB841" s="213"/>
      <c r="AC841" s="213"/>
      <c r="AD841" s="213"/>
      <c r="AE841" s="213"/>
      <c r="AF841" s="213"/>
      <c r="AG841" s="213"/>
      <c r="AH841" s="213"/>
      <c r="AI841" s="213"/>
      <c r="AJ841" s="213"/>
      <c r="AK841" s="213"/>
      <c r="AL841" s="213"/>
      <c r="AM841" s="302"/>
      <c r="AN841" s="302"/>
      <c r="AO841" s="303"/>
      <c r="AP841" s="285"/>
      <c r="AQ841" s="258"/>
      <c r="AR841" s="258"/>
    </row>
    <row r="842" spans="10:44" s="48" customFormat="1" hidden="1">
      <c r="J842" s="213"/>
      <c r="K842" s="213"/>
      <c r="L842" s="213"/>
      <c r="M842" s="213"/>
      <c r="N842" s="213"/>
      <c r="O842" s="213"/>
      <c r="P842" s="213"/>
      <c r="Q842" s="213"/>
      <c r="R842" s="213"/>
      <c r="S842" s="213"/>
      <c r="T842" s="213"/>
      <c r="U842" s="213"/>
      <c r="V842" s="213"/>
      <c r="W842" s="213"/>
      <c r="X842" s="213"/>
      <c r="Y842" s="213"/>
      <c r="Z842" s="213"/>
      <c r="AA842" s="213"/>
      <c r="AB842" s="213"/>
      <c r="AC842" s="213"/>
      <c r="AD842" s="213"/>
      <c r="AE842" s="213"/>
      <c r="AF842" s="213"/>
      <c r="AG842" s="213"/>
      <c r="AH842" s="213"/>
      <c r="AI842" s="213"/>
      <c r="AJ842" s="213"/>
      <c r="AK842" s="213"/>
      <c r="AL842" s="213"/>
      <c r="AM842" s="302"/>
      <c r="AN842" s="302"/>
      <c r="AO842" s="303"/>
      <c r="AP842" s="285"/>
      <c r="AQ842" s="258"/>
      <c r="AR842" s="258"/>
    </row>
    <row r="843" spans="10:44" s="48" customFormat="1" hidden="1">
      <c r="J843" s="213"/>
      <c r="K843" s="213"/>
      <c r="L843" s="213"/>
      <c r="M843" s="213"/>
      <c r="N843" s="213"/>
      <c r="O843" s="213"/>
      <c r="P843" s="213"/>
      <c r="Q843" s="213"/>
      <c r="R843" s="213"/>
      <c r="S843" s="213"/>
      <c r="T843" s="213"/>
      <c r="U843" s="213"/>
      <c r="V843" s="213"/>
      <c r="W843" s="213"/>
      <c r="X843" s="213"/>
      <c r="Y843" s="213"/>
      <c r="Z843" s="213"/>
      <c r="AA843" s="213"/>
      <c r="AB843" s="213"/>
      <c r="AC843" s="213"/>
      <c r="AD843" s="213"/>
      <c r="AE843" s="213"/>
      <c r="AF843" s="213"/>
      <c r="AG843" s="213"/>
      <c r="AH843" s="213"/>
      <c r="AI843" s="213"/>
      <c r="AJ843" s="213"/>
      <c r="AK843" s="213"/>
      <c r="AL843" s="213"/>
      <c r="AM843" s="302"/>
      <c r="AN843" s="302"/>
      <c r="AO843" s="303"/>
      <c r="AP843" s="285"/>
      <c r="AQ843" s="258"/>
      <c r="AR843" s="258"/>
    </row>
    <row r="844" spans="10:44" s="48" customFormat="1" hidden="1">
      <c r="J844" s="213"/>
      <c r="K844" s="213"/>
      <c r="L844" s="213"/>
      <c r="M844" s="213"/>
      <c r="N844" s="213"/>
      <c r="O844" s="213"/>
      <c r="P844" s="213"/>
      <c r="Q844" s="213"/>
      <c r="R844" s="213"/>
      <c r="S844" s="213"/>
      <c r="T844" s="213"/>
      <c r="U844" s="213"/>
      <c r="V844" s="213"/>
      <c r="W844" s="213"/>
      <c r="X844" s="213"/>
      <c r="Y844" s="213"/>
      <c r="Z844" s="213"/>
      <c r="AA844" s="213"/>
      <c r="AB844" s="213"/>
      <c r="AC844" s="213"/>
      <c r="AD844" s="213"/>
      <c r="AE844" s="213"/>
      <c r="AF844" s="213"/>
      <c r="AG844" s="213"/>
      <c r="AH844" s="213"/>
      <c r="AI844" s="213"/>
      <c r="AJ844" s="213"/>
      <c r="AK844" s="213"/>
      <c r="AL844" s="213"/>
      <c r="AM844" s="302"/>
      <c r="AN844" s="302"/>
      <c r="AO844" s="303"/>
      <c r="AP844" s="285"/>
      <c r="AQ844" s="258"/>
      <c r="AR844" s="258"/>
    </row>
    <row r="845" spans="10:44" s="48" customFormat="1" hidden="1">
      <c r="J845" s="213"/>
      <c r="K845" s="213"/>
      <c r="L845" s="213"/>
      <c r="M845" s="213"/>
      <c r="N845" s="213"/>
      <c r="O845" s="213"/>
      <c r="P845" s="213"/>
      <c r="Q845" s="213"/>
      <c r="R845" s="213"/>
      <c r="S845" s="213"/>
      <c r="T845" s="213"/>
      <c r="U845" s="213"/>
      <c r="V845" s="213"/>
      <c r="W845" s="213"/>
      <c r="X845" s="213"/>
      <c r="Y845" s="213"/>
      <c r="Z845" s="213"/>
      <c r="AA845" s="213"/>
      <c r="AB845" s="213"/>
      <c r="AC845" s="213"/>
      <c r="AD845" s="213"/>
      <c r="AE845" s="213"/>
      <c r="AF845" s="213"/>
      <c r="AG845" s="213"/>
      <c r="AH845" s="213"/>
      <c r="AI845" s="213"/>
      <c r="AJ845" s="213"/>
      <c r="AK845" s="213"/>
      <c r="AL845" s="213"/>
      <c r="AM845" s="302"/>
      <c r="AN845" s="302"/>
      <c r="AO845" s="303"/>
      <c r="AP845" s="285"/>
      <c r="AQ845" s="258"/>
      <c r="AR845" s="258"/>
    </row>
    <row r="846" spans="10:44" s="48" customFormat="1" hidden="1">
      <c r="J846" s="213"/>
      <c r="K846" s="213"/>
      <c r="L846" s="213"/>
      <c r="M846" s="213"/>
      <c r="N846" s="213"/>
      <c r="O846" s="213"/>
      <c r="P846" s="213"/>
      <c r="Q846" s="213"/>
      <c r="R846" s="213"/>
      <c r="S846" s="213"/>
      <c r="T846" s="213"/>
      <c r="U846" s="213"/>
      <c r="V846" s="213"/>
      <c r="W846" s="213"/>
      <c r="X846" s="213"/>
      <c r="Y846" s="213"/>
      <c r="Z846" s="213"/>
      <c r="AA846" s="213"/>
      <c r="AB846" s="213"/>
      <c r="AC846" s="213"/>
      <c r="AD846" s="213"/>
      <c r="AE846" s="213"/>
      <c r="AF846" s="213"/>
      <c r="AG846" s="213"/>
      <c r="AH846" s="213"/>
      <c r="AI846" s="213"/>
      <c r="AJ846" s="213"/>
      <c r="AK846" s="213"/>
      <c r="AL846" s="213"/>
      <c r="AM846" s="302"/>
      <c r="AN846" s="302"/>
      <c r="AO846" s="303"/>
      <c r="AP846" s="285"/>
      <c r="AQ846" s="258"/>
      <c r="AR846" s="258"/>
    </row>
    <row r="847" spans="10:44" s="48" customFormat="1" hidden="1">
      <c r="J847" s="213"/>
      <c r="K847" s="213"/>
      <c r="L847" s="213"/>
      <c r="M847" s="213"/>
      <c r="N847" s="213"/>
      <c r="O847" s="213"/>
      <c r="P847" s="213"/>
      <c r="Q847" s="213"/>
      <c r="R847" s="213"/>
      <c r="S847" s="213"/>
      <c r="T847" s="213"/>
      <c r="U847" s="213"/>
      <c r="V847" s="213"/>
      <c r="W847" s="213"/>
      <c r="X847" s="213"/>
      <c r="Y847" s="213"/>
      <c r="Z847" s="213"/>
      <c r="AA847" s="213"/>
      <c r="AB847" s="213"/>
      <c r="AC847" s="213"/>
      <c r="AD847" s="213"/>
      <c r="AE847" s="213"/>
      <c r="AF847" s="213"/>
      <c r="AG847" s="213"/>
      <c r="AH847" s="213"/>
      <c r="AI847" s="213"/>
      <c r="AJ847" s="213"/>
      <c r="AK847" s="213"/>
      <c r="AL847" s="213"/>
      <c r="AM847" s="302"/>
      <c r="AN847" s="302"/>
      <c r="AO847" s="303"/>
      <c r="AP847" s="285"/>
      <c r="AQ847" s="258"/>
      <c r="AR847" s="258"/>
    </row>
    <row r="848" spans="10:44" s="48" customFormat="1" hidden="1">
      <c r="J848" s="213"/>
      <c r="K848" s="213"/>
      <c r="L848" s="213"/>
      <c r="M848" s="213"/>
      <c r="N848" s="213"/>
      <c r="O848" s="213"/>
      <c r="P848" s="213"/>
      <c r="Q848" s="213"/>
      <c r="R848" s="213"/>
      <c r="S848" s="213"/>
      <c r="T848" s="213"/>
      <c r="U848" s="213"/>
      <c r="V848" s="213"/>
      <c r="W848" s="213"/>
      <c r="X848" s="213"/>
      <c r="Y848" s="213"/>
      <c r="Z848" s="213"/>
      <c r="AA848" s="213"/>
      <c r="AB848" s="213"/>
      <c r="AC848" s="213"/>
      <c r="AD848" s="213"/>
      <c r="AE848" s="213"/>
      <c r="AF848" s="213"/>
      <c r="AG848" s="213"/>
      <c r="AH848" s="213"/>
      <c r="AI848" s="213"/>
      <c r="AJ848" s="213"/>
      <c r="AK848" s="213"/>
      <c r="AL848" s="213"/>
      <c r="AM848" s="302"/>
      <c r="AN848" s="302"/>
      <c r="AO848" s="303"/>
      <c r="AP848" s="285"/>
      <c r="AQ848" s="258"/>
      <c r="AR848" s="258"/>
    </row>
    <row r="849" spans="10:44" s="48" customFormat="1" hidden="1">
      <c r="J849" s="213"/>
      <c r="K849" s="213"/>
      <c r="L849" s="213"/>
      <c r="M849" s="213"/>
      <c r="N849" s="213"/>
      <c r="O849" s="213"/>
      <c r="P849" s="213"/>
      <c r="Q849" s="213"/>
      <c r="R849" s="213"/>
      <c r="S849" s="213"/>
      <c r="T849" s="213"/>
      <c r="U849" s="213"/>
      <c r="V849" s="213"/>
      <c r="W849" s="213"/>
      <c r="X849" s="213"/>
      <c r="Y849" s="213"/>
      <c r="Z849" s="213"/>
      <c r="AA849" s="213"/>
      <c r="AB849" s="213"/>
      <c r="AC849" s="213"/>
      <c r="AD849" s="213"/>
      <c r="AE849" s="213"/>
      <c r="AF849" s="213"/>
      <c r="AG849" s="213"/>
      <c r="AH849" s="213"/>
      <c r="AI849" s="213"/>
      <c r="AJ849" s="213"/>
      <c r="AK849" s="213"/>
      <c r="AL849" s="213"/>
      <c r="AM849" s="302"/>
      <c r="AN849" s="302"/>
      <c r="AO849" s="303"/>
      <c r="AP849" s="285"/>
      <c r="AQ849" s="258"/>
      <c r="AR849" s="258"/>
    </row>
    <row r="850" spans="10:44" s="48" customFormat="1" hidden="1">
      <c r="J850" s="213"/>
      <c r="K850" s="213"/>
      <c r="L850" s="213"/>
      <c r="M850" s="213"/>
      <c r="N850" s="213"/>
      <c r="O850" s="213"/>
      <c r="P850" s="213"/>
      <c r="Q850" s="213"/>
      <c r="R850" s="213"/>
      <c r="S850" s="213"/>
      <c r="T850" s="213"/>
      <c r="U850" s="213"/>
      <c r="V850" s="213"/>
      <c r="W850" s="213"/>
      <c r="X850" s="213"/>
      <c r="Y850" s="213"/>
      <c r="Z850" s="213"/>
      <c r="AA850" s="213"/>
      <c r="AB850" s="213"/>
      <c r="AC850" s="213"/>
      <c r="AD850" s="213"/>
      <c r="AE850" s="213"/>
      <c r="AF850" s="213"/>
      <c r="AG850" s="213"/>
      <c r="AH850" s="213"/>
      <c r="AI850" s="213"/>
      <c r="AJ850" s="213"/>
      <c r="AK850" s="213"/>
      <c r="AL850" s="213"/>
      <c r="AM850" s="302"/>
      <c r="AN850" s="302"/>
      <c r="AO850" s="303"/>
      <c r="AP850" s="285"/>
      <c r="AQ850" s="258"/>
      <c r="AR850" s="258"/>
    </row>
    <row r="851" spans="10:44" s="48" customFormat="1" hidden="1">
      <c r="J851" s="213"/>
      <c r="K851" s="213"/>
      <c r="L851" s="213"/>
      <c r="M851" s="213"/>
      <c r="N851" s="213"/>
      <c r="O851" s="213"/>
      <c r="P851" s="213"/>
      <c r="Q851" s="213"/>
      <c r="R851" s="213"/>
      <c r="S851" s="213"/>
      <c r="T851" s="213"/>
      <c r="U851" s="213"/>
      <c r="V851" s="213"/>
      <c r="W851" s="213"/>
      <c r="X851" s="213"/>
      <c r="Y851" s="213"/>
      <c r="Z851" s="213"/>
      <c r="AA851" s="213"/>
      <c r="AB851" s="213"/>
      <c r="AC851" s="213"/>
      <c r="AD851" s="213"/>
      <c r="AE851" s="213"/>
      <c r="AF851" s="213"/>
      <c r="AG851" s="213"/>
      <c r="AH851" s="213"/>
      <c r="AI851" s="213"/>
      <c r="AJ851" s="213"/>
      <c r="AK851" s="213"/>
      <c r="AL851" s="213"/>
      <c r="AM851" s="302"/>
      <c r="AN851" s="302"/>
      <c r="AO851" s="303"/>
      <c r="AP851" s="285"/>
      <c r="AQ851" s="258"/>
      <c r="AR851" s="258"/>
    </row>
    <row r="852" spans="10:44" s="48" customFormat="1" hidden="1">
      <c r="J852" s="213"/>
      <c r="K852" s="213"/>
      <c r="L852" s="213"/>
      <c r="M852" s="213"/>
      <c r="N852" s="213"/>
      <c r="O852" s="213"/>
      <c r="P852" s="213"/>
      <c r="Q852" s="213"/>
      <c r="R852" s="213"/>
      <c r="S852" s="213"/>
      <c r="T852" s="213"/>
      <c r="U852" s="213"/>
      <c r="V852" s="213"/>
      <c r="W852" s="213"/>
      <c r="X852" s="213"/>
      <c r="Y852" s="213"/>
      <c r="Z852" s="213"/>
      <c r="AA852" s="213"/>
      <c r="AB852" s="213"/>
      <c r="AC852" s="213"/>
      <c r="AD852" s="213"/>
      <c r="AE852" s="213"/>
      <c r="AF852" s="213"/>
      <c r="AG852" s="213"/>
      <c r="AH852" s="213"/>
      <c r="AI852" s="213"/>
      <c r="AJ852" s="213"/>
      <c r="AK852" s="213"/>
      <c r="AL852" s="213"/>
      <c r="AM852" s="302"/>
      <c r="AN852" s="302"/>
      <c r="AO852" s="303"/>
      <c r="AP852" s="285"/>
      <c r="AQ852" s="258"/>
      <c r="AR852" s="258"/>
    </row>
    <row r="853" spans="10:44" s="48" customFormat="1" hidden="1">
      <c r="J853" s="213"/>
      <c r="K853" s="213"/>
      <c r="L853" s="213"/>
      <c r="M853" s="213"/>
      <c r="N853" s="213"/>
      <c r="O853" s="213"/>
      <c r="P853" s="213"/>
      <c r="Q853" s="213"/>
      <c r="R853" s="213"/>
      <c r="S853" s="213"/>
      <c r="T853" s="213"/>
      <c r="U853" s="213"/>
      <c r="V853" s="213"/>
      <c r="W853" s="213"/>
      <c r="X853" s="213"/>
      <c r="Y853" s="213"/>
      <c r="Z853" s="213"/>
      <c r="AA853" s="213"/>
      <c r="AB853" s="213"/>
      <c r="AC853" s="213"/>
      <c r="AD853" s="213"/>
      <c r="AE853" s="213"/>
      <c r="AF853" s="213"/>
      <c r="AG853" s="213"/>
      <c r="AH853" s="213"/>
      <c r="AI853" s="213"/>
      <c r="AJ853" s="213"/>
      <c r="AK853" s="213"/>
      <c r="AL853" s="213"/>
      <c r="AM853" s="302"/>
      <c r="AN853" s="302"/>
      <c r="AO853" s="303"/>
      <c r="AP853" s="285"/>
      <c r="AQ853" s="258"/>
      <c r="AR853" s="258"/>
    </row>
    <row r="854" spans="10:44" s="48" customFormat="1" hidden="1">
      <c r="J854" s="213"/>
      <c r="K854" s="213"/>
      <c r="L854" s="213"/>
      <c r="M854" s="213"/>
      <c r="N854" s="213"/>
      <c r="O854" s="213"/>
      <c r="P854" s="213"/>
      <c r="Q854" s="213"/>
      <c r="R854" s="213"/>
      <c r="S854" s="213"/>
      <c r="T854" s="213"/>
      <c r="U854" s="213"/>
      <c r="V854" s="213"/>
      <c r="W854" s="213"/>
      <c r="X854" s="213"/>
      <c r="Y854" s="213"/>
      <c r="Z854" s="213"/>
      <c r="AA854" s="213"/>
      <c r="AB854" s="213"/>
      <c r="AC854" s="213"/>
      <c r="AD854" s="213"/>
      <c r="AE854" s="213"/>
      <c r="AF854" s="213"/>
      <c r="AG854" s="213"/>
      <c r="AH854" s="213"/>
      <c r="AI854" s="213"/>
      <c r="AJ854" s="213"/>
      <c r="AK854" s="213"/>
      <c r="AL854" s="213"/>
      <c r="AM854" s="302"/>
      <c r="AN854" s="302"/>
      <c r="AO854" s="303"/>
      <c r="AP854" s="285"/>
      <c r="AQ854" s="258"/>
      <c r="AR854" s="258"/>
    </row>
    <row r="855" spans="10:44" s="48" customFormat="1" hidden="1">
      <c r="J855" s="213"/>
      <c r="K855" s="213"/>
      <c r="L855" s="213"/>
      <c r="M855" s="213"/>
      <c r="N855" s="213"/>
      <c r="O855" s="213"/>
      <c r="P855" s="213"/>
      <c r="Q855" s="213"/>
      <c r="R855" s="213"/>
      <c r="S855" s="213"/>
      <c r="T855" s="213"/>
      <c r="U855" s="213"/>
      <c r="V855" s="213"/>
      <c r="W855" s="213"/>
      <c r="X855" s="213"/>
      <c r="Y855" s="213"/>
      <c r="Z855" s="213"/>
      <c r="AA855" s="213"/>
      <c r="AB855" s="213"/>
      <c r="AC855" s="213"/>
      <c r="AD855" s="213"/>
      <c r="AE855" s="213"/>
      <c r="AF855" s="213"/>
      <c r="AG855" s="213"/>
      <c r="AH855" s="213"/>
      <c r="AI855" s="213"/>
      <c r="AJ855" s="213"/>
      <c r="AK855" s="213"/>
      <c r="AL855" s="213"/>
      <c r="AM855" s="302"/>
      <c r="AN855" s="302"/>
      <c r="AO855" s="303"/>
      <c r="AP855" s="285"/>
      <c r="AQ855" s="258"/>
      <c r="AR855" s="258"/>
    </row>
    <row r="856" spans="10:44" s="48" customFormat="1" hidden="1">
      <c r="J856" s="213"/>
      <c r="K856" s="213"/>
      <c r="L856" s="213"/>
      <c r="M856" s="213"/>
      <c r="N856" s="213"/>
      <c r="O856" s="213"/>
      <c r="P856" s="213"/>
      <c r="Q856" s="213"/>
      <c r="R856" s="213"/>
      <c r="S856" s="213"/>
      <c r="T856" s="213"/>
      <c r="U856" s="213"/>
      <c r="V856" s="213"/>
      <c r="W856" s="213"/>
      <c r="X856" s="213"/>
      <c r="Y856" s="213"/>
      <c r="Z856" s="213"/>
      <c r="AA856" s="213"/>
      <c r="AB856" s="213"/>
      <c r="AC856" s="213"/>
      <c r="AD856" s="213"/>
      <c r="AE856" s="213"/>
      <c r="AF856" s="213"/>
      <c r="AG856" s="213"/>
      <c r="AH856" s="213"/>
      <c r="AI856" s="213"/>
      <c r="AJ856" s="213"/>
      <c r="AK856" s="213"/>
      <c r="AL856" s="213"/>
      <c r="AM856" s="302"/>
      <c r="AN856" s="302"/>
      <c r="AO856" s="303"/>
      <c r="AP856" s="285"/>
      <c r="AQ856" s="258"/>
      <c r="AR856" s="258"/>
    </row>
    <row r="857" spans="10:44" s="48" customFormat="1" hidden="1">
      <c r="J857" s="213"/>
      <c r="K857" s="213"/>
      <c r="L857" s="213"/>
      <c r="M857" s="213"/>
      <c r="N857" s="213"/>
      <c r="O857" s="213"/>
      <c r="P857" s="213"/>
      <c r="Q857" s="213"/>
      <c r="R857" s="213"/>
      <c r="S857" s="213"/>
      <c r="T857" s="213"/>
      <c r="U857" s="213"/>
      <c r="V857" s="213"/>
      <c r="W857" s="213"/>
      <c r="X857" s="213"/>
      <c r="Y857" s="213"/>
      <c r="Z857" s="213"/>
      <c r="AA857" s="213"/>
      <c r="AB857" s="213"/>
      <c r="AC857" s="213"/>
      <c r="AD857" s="213"/>
      <c r="AE857" s="213"/>
      <c r="AF857" s="213"/>
      <c r="AG857" s="213"/>
      <c r="AH857" s="213"/>
      <c r="AI857" s="213"/>
      <c r="AJ857" s="213"/>
      <c r="AK857" s="213"/>
      <c r="AL857" s="213"/>
      <c r="AM857" s="302"/>
      <c r="AN857" s="302"/>
      <c r="AO857" s="303"/>
      <c r="AP857" s="285"/>
      <c r="AQ857" s="258"/>
      <c r="AR857" s="258"/>
    </row>
    <row r="858" spans="10:44" s="48" customFormat="1" hidden="1">
      <c r="J858" s="213"/>
      <c r="K858" s="213"/>
      <c r="L858" s="213"/>
      <c r="M858" s="213"/>
      <c r="N858" s="213"/>
      <c r="O858" s="213"/>
      <c r="P858" s="213"/>
      <c r="Q858" s="213"/>
      <c r="R858" s="213"/>
      <c r="S858" s="213"/>
      <c r="T858" s="213"/>
      <c r="U858" s="213"/>
      <c r="V858" s="213"/>
      <c r="W858" s="213"/>
      <c r="X858" s="213"/>
      <c r="Y858" s="213"/>
      <c r="Z858" s="213"/>
      <c r="AA858" s="213"/>
      <c r="AB858" s="213"/>
      <c r="AC858" s="213"/>
      <c r="AD858" s="213"/>
      <c r="AE858" s="213"/>
      <c r="AF858" s="213"/>
      <c r="AG858" s="213"/>
      <c r="AH858" s="213"/>
      <c r="AI858" s="213"/>
      <c r="AJ858" s="213"/>
      <c r="AK858" s="213"/>
      <c r="AL858" s="213"/>
      <c r="AM858" s="302"/>
      <c r="AN858" s="302"/>
      <c r="AO858" s="303"/>
      <c r="AP858" s="285"/>
      <c r="AQ858" s="258"/>
      <c r="AR858" s="258"/>
    </row>
    <row r="859" spans="10:44" s="48" customFormat="1" hidden="1">
      <c r="J859" s="213"/>
      <c r="K859" s="213"/>
      <c r="L859" s="213"/>
      <c r="M859" s="213"/>
      <c r="N859" s="213"/>
      <c r="O859" s="213"/>
      <c r="P859" s="213"/>
      <c r="Q859" s="213"/>
      <c r="R859" s="213"/>
      <c r="S859" s="213"/>
      <c r="T859" s="213"/>
      <c r="U859" s="213"/>
      <c r="V859" s="213"/>
      <c r="W859" s="213"/>
      <c r="X859" s="213"/>
      <c r="Y859" s="213"/>
      <c r="Z859" s="213"/>
      <c r="AA859" s="213"/>
      <c r="AB859" s="213"/>
      <c r="AC859" s="213"/>
      <c r="AD859" s="213"/>
      <c r="AE859" s="213"/>
      <c r="AF859" s="213"/>
      <c r="AG859" s="213"/>
      <c r="AH859" s="213"/>
      <c r="AI859" s="213"/>
      <c r="AJ859" s="213"/>
      <c r="AK859" s="213"/>
      <c r="AL859" s="213"/>
      <c r="AM859" s="302"/>
      <c r="AN859" s="302"/>
      <c r="AO859" s="303"/>
      <c r="AP859" s="285"/>
      <c r="AQ859" s="258"/>
      <c r="AR859" s="258"/>
    </row>
    <row r="860" spans="10:44" s="48" customFormat="1" hidden="1">
      <c r="J860" s="213"/>
      <c r="K860" s="213"/>
      <c r="L860" s="213"/>
      <c r="M860" s="213"/>
      <c r="N860" s="213"/>
      <c r="O860" s="213"/>
      <c r="P860" s="213"/>
      <c r="Q860" s="213"/>
      <c r="R860" s="213"/>
      <c r="S860" s="213"/>
      <c r="T860" s="213"/>
      <c r="U860" s="213"/>
      <c r="V860" s="213"/>
      <c r="W860" s="213"/>
      <c r="X860" s="213"/>
      <c r="Y860" s="213"/>
      <c r="Z860" s="213"/>
      <c r="AA860" s="213"/>
      <c r="AB860" s="213"/>
      <c r="AC860" s="213"/>
      <c r="AD860" s="213"/>
      <c r="AE860" s="213"/>
      <c r="AF860" s="213"/>
      <c r="AG860" s="213"/>
      <c r="AH860" s="213"/>
      <c r="AI860" s="213"/>
      <c r="AJ860" s="213"/>
      <c r="AK860" s="213"/>
      <c r="AL860" s="213"/>
      <c r="AM860" s="302"/>
      <c r="AN860" s="302"/>
      <c r="AO860" s="303"/>
      <c r="AP860" s="285"/>
      <c r="AQ860" s="258"/>
      <c r="AR860" s="258"/>
    </row>
    <row r="861" spans="10:44" s="48" customFormat="1" hidden="1">
      <c r="J861" s="213"/>
      <c r="K861" s="213"/>
      <c r="L861" s="213"/>
      <c r="M861" s="213"/>
      <c r="N861" s="213"/>
      <c r="O861" s="213"/>
      <c r="P861" s="213"/>
      <c r="Q861" s="213"/>
      <c r="R861" s="213"/>
      <c r="S861" s="213"/>
      <c r="T861" s="213"/>
      <c r="U861" s="213"/>
      <c r="V861" s="213"/>
      <c r="W861" s="213"/>
      <c r="X861" s="213"/>
      <c r="Y861" s="213"/>
      <c r="Z861" s="213"/>
      <c r="AA861" s="213"/>
      <c r="AB861" s="213"/>
      <c r="AC861" s="213"/>
      <c r="AD861" s="213"/>
      <c r="AE861" s="213"/>
      <c r="AF861" s="213"/>
      <c r="AG861" s="213"/>
      <c r="AH861" s="213"/>
      <c r="AI861" s="213"/>
      <c r="AJ861" s="213"/>
      <c r="AK861" s="213"/>
      <c r="AL861" s="213"/>
      <c r="AM861" s="302"/>
      <c r="AN861" s="302"/>
      <c r="AO861" s="303"/>
      <c r="AP861" s="285"/>
      <c r="AQ861" s="258"/>
      <c r="AR861" s="258"/>
    </row>
    <row r="862" spans="10:44" s="48" customFormat="1" hidden="1">
      <c r="J862" s="213"/>
      <c r="K862" s="213"/>
      <c r="L862" s="213"/>
      <c r="M862" s="213"/>
      <c r="N862" s="213"/>
      <c r="O862" s="213"/>
      <c r="P862" s="213"/>
      <c r="Q862" s="213"/>
      <c r="R862" s="213"/>
      <c r="S862" s="213"/>
      <c r="T862" s="213"/>
      <c r="U862" s="213"/>
      <c r="V862" s="213"/>
      <c r="W862" s="213"/>
      <c r="X862" s="213"/>
      <c r="Y862" s="213"/>
      <c r="Z862" s="213"/>
      <c r="AA862" s="213"/>
      <c r="AB862" s="213"/>
      <c r="AC862" s="213"/>
      <c r="AD862" s="213"/>
      <c r="AE862" s="213"/>
      <c r="AF862" s="213"/>
      <c r="AG862" s="213"/>
      <c r="AH862" s="213"/>
      <c r="AI862" s="213"/>
      <c r="AJ862" s="213"/>
      <c r="AK862" s="213"/>
      <c r="AL862" s="213"/>
      <c r="AM862" s="302"/>
      <c r="AN862" s="302"/>
      <c r="AO862" s="303"/>
      <c r="AP862" s="285"/>
      <c r="AQ862" s="258"/>
      <c r="AR862" s="258"/>
    </row>
    <row r="863" spans="10:44" s="48" customFormat="1" hidden="1">
      <c r="J863" s="213"/>
      <c r="K863" s="213"/>
      <c r="L863" s="213"/>
      <c r="M863" s="213"/>
      <c r="N863" s="213"/>
      <c r="O863" s="213"/>
      <c r="P863" s="213"/>
      <c r="Q863" s="213"/>
      <c r="R863" s="213"/>
      <c r="S863" s="213"/>
      <c r="T863" s="213"/>
      <c r="U863" s="213"/>
      <c r="V863" s="213"/>
      <c r="W863" s="213"/>
      <c r="X863" s="213"/>
      <c r="Y863" s="213"/>
      <c r="Z863" s="213"/>
      <c r="AA863" s="213"/>
      <c r="AB863" s="213"/>
      <c r="AC863" s="213"/>
      <c r="AD863" s="213"/>
      <c r="AE863" s="213"/>
      <c r="AF863" s="213"/>
      <c r="AG863" s="213"/>
      <c r="AH863" s="213"/>
      <c r="AI863" s="213"/>
      <c r="AJ863" s="213"/>
      <c r="AK863" s="213"/>
      <c r="AL863" s="213"/>
      <c r="AM863" s="302"/>
      <c r="AN863" s="302"/>
      <c r="AO863" s="303"/>
      <c r="AP863" s="285"/>
      <c r="AQ863" s="258"/>
      <c r="AR863" s="258"/>
    </row>
    <row r="864" spans="10:44" s="48" customFormat="1" hidden="1">
      <c r="J864" s="213"/>
      <c r="K864" s="213"/>
      <c r="L864" s="213"/>
      <c r="M864" s="213"/>
      <c r="N864" s="213"/>
      <c r="O864" s="213"/>
      <c r="P864" s="213"/>
      <c r="Q864" s="213"/>
      <c r="R864" s="213"/>
      <c r="S864" s="213"/>
      <c r="T864" s="213"/>
      <c r="U864" s="213"/>
      <c r="V864" s="213"/>
      <c r="W864" s="213"/>
      <c r="X864" s="213"/>
      <c r="Y864" s="213"/>
      <c r="Z864" s="213"/>
      <c r="AA864" s="213"/>
      <c r="AB864" s="213"/>
      <c r="AC864" s="213"/>
      <c r="AD864" s="213"/>
      <c r="AE864" s="213"/>
      <c r="AF864" s="213"/>
      <c r="AG864" s="213"/>
      <c r="AH864" s="213"/>
      <c r="AI864" s="213"/>
      <c r="AJ864" s="213"/>
      <c r="AK864" s="213"/>
      <c r="AL864" s="213"/>
      <c r="AM864" s="302"/>
      <c r="AN864" s="302"/>
      <c r="AO864" s="303"/>
      <c r="AP864" s="285"/>
      <c r="AQ864" s="258"/>
      <c r="AR864" s="258"/>
    </row>
    <row r="865" spans="10:44" s="48" customFormat="1" hidden="1">
      <c r="J865" s="213"/>
      <c r="K865" s="213"/>
      <c r="L865" s="213"/>
      <c r="M865" s="213"/>
      <c r="N865" s="213"/>
      <c r="O865" s="213"/>
      <c r="P865" s="213"/>
      <c r="Q865" s="213"/>
      <c r="R865" s="213"/>
      <c r="S865" s="213"/>
      <c r="T865" s="213"/>
      <c r="U865" s="213"/>
      <c r="V865" s="213"/>
      <c r="W865" s="213"/>
      <c r="X865" s="213"/>
      <c r="Y865" s="213"/>
      <c r="Z865" s="213"/>
      <c r="AA865" s="213"/>
      <c r="AB865" s="213"/>
      <c r="AC865" s="213"/>
      <c r="AD865" s="213"/>
      <c r="AE865" s="213"/>
      <c r="AF865" s="213"/>
      <c r="AG865" s="213"/>
      <c r="AH865" s="213"/>
      <c r="AI865" s="213"/>
      <c r="AJ865" s="213"/>
      <c r="AK865" s="213"/>
      <c r="AL865" s="213"/>
      <c r="AM865" s="302"/>
      <c r="AN865" s="302"/>
      <c r="AO865" s="303"/>
      <c r="AP865" s="285"/>
      <c r="AQ865" s="258"/>
      <c r="AR865" s="258"/>
    </row>
    <row r="866" spans="10:44" s="48" customFormat="1" hidden="1">
      <c r="J866" s="213"/>
      <c r="K866" s="213"/>
      <c r="L866" s="213"/>
      <c r="M866" s="213"/>
      <c r="N866" s="213"/>
      <c r="O866" s="213"/>
      <c r="P866" s="213"/>
      <c r="Q866" s="213"/>
      <c r="R866" s="213"/>
      <c r="S866" s="213"/>
      <c r="T866" s="213"/>
      <c r="U866" s="213"/>
      <c r="V866" s="213"/>
      <c r="W866" s="213"/>
      <c r="X866" s="213"/>
      <c r="Y866" s="213"/>
      <c r="Z866" s="213"/>
      <c r="AA866" s="213"/>
      <c r="AB866" s="213"/>
      <c r="AC866" s="213"/>
      <c r="AD866" s="213"/>
      <c r="AE866" s="213"/>
      <c r="AF866" s="213"/>
      <c r="AG866" s="213"/>
      <c r="AH866" s="213"/>
      <c r="AI866" s="213"/>
      <c r="AJ866" s="213"/>
      <c r="AK866" s="213"/>
      <c r="AL866" s="213"/>
      <c r="AM866" s="302"/>
      <c r="AN866" s="302"/>
      <c r="AO866" s="303"/>
      <c r="AP866" s="285"/>
      <c r="AQ866" s="258"/>
      <c r="AR866" s="258"/>
    </row>
    <row r="867" spans="10:44" s="48" customFormat="1" hidden="1">
      <c r="J867" s="213"/>
      <c r="K867" s="213"/>
      <c r="L867" s="213"/>
      <c r="M867" s="213"/>
      <c r="N867" s="213"/>
      <c r="O867" s="213"/>
      <c r="P867" s="213"/>
      <c r="Q867" s="213"/>
      <c r="R867" s="213"/>
      <c r="S867" s="213"/>
      <c r="T867" s="213"/>
      <c r="U867" s="213"/>
      <c r="V867" s="213"/>
      <c r="W867" s="213"/>
      <c r="X867" s="213"/>
      <c r="Y867" s="213"/>
      <c r="Z867" s="213"/>
      <c r="AA867" s="213"/>
      <c r="AB867" s="213"/>
      <c r="AC867" s="213"/>
      <c r="AD867" s="213"/>
      <c r="AE867" s="213"/>
      <c r="AF867" s="213"/>
      <c r="AG867" s="213"/>
      <c r="AH867" s="213"/>
      <c r="AI867" s="213"/>
      <c r="AJ867" s="213"/>
      <c r="AK867" s="213"/>
      <c r="AL867" s="213"/>
      <c r="AM867" s="302"/>
      <c r="AN867" s="302"/>
      <c r="AO867" s="303"/>
      <c r="AP867" s="285"/>
      <c r="AQ867" s="258"/>
      <c r="AR867" s="258"/>
    </row>
    <row r="868" spans="10:44" s="48" customFormat="1" hidden="1">
      <c r="J868" s="213"/>
      <c r="K868" s="213"/>
      <c r="L868" s="213"/>
      <c r="M868" s="213"/>
      <c r="N868" s="213"/>
      <c r="O868" s="213"/>
      <c r="P868" s="213"/>
      <c r="Q868" s="213"/>
      <c r="R868" s="213"/>
      <c r="S868" s="213"/>
      <c r="T868" s="213"/>
      <c r="U868" s="213"/>
      <c r="V868" s="213"/>
      <c r="W868" s="213"/>
      <c r="X868" s="213"/>
      <c r="Y868" s="213"/>
      <c r="Z868" s="213"/>
      <c r="AA868" s="213"/>
      <c r="AB868" s="213"/>
      <c r="AC868" s="213"/>
      <c r="AD868" s="213"/>
      <c r="AE868" s="213"/>
      <c r="AF868" s="213"/>
      <c r="AG868" s="213"/>
      <c r="AH868" s="213"/>
      <c r="AI868" s="213"/>
      <c r="AJ868" s="213"/>
      <c r="AK868" s="213"/>
      <c r="AL868" s="213"/>
      <c r="AM868" s="302"/>
      <c r="AN868" s="302"/>
      <c r="AO868" s="303"/>
      <c r="AP868" s="285"/>
      <c r="AQ868" s="258"/>
      <c r="AR868" s="258"/>
    </row>
    <row r="869" spans="10:44" s="48" customFormat="1" hidden="1">
      <c r="J869" s="213"/>
      <c r="K869" s="213"/>
      <c r="L869" s="213"/>
      <c r="M869" s="213"/>
      <c r="N869" s="213"/>
      <c r="O869" s="213"/>
      <c r="P869" s="213"/>
      <c r="Q869" s="213"/>
      <c r="R869" s="213"/>
      <c r="S869" s="213"/>
      <c r="T869" s="213"/>
      <c r="U869" s="213"/>
      <c r="V869" s="213"/>
      <c r="W869" s="213"/>
      <c r="X869" s="213"/>
      <c r="Y869" s="213"/>
      <c r="Z869" s="213"/>
      <c r="AA869" s="213"/>
      <c r="AB869" s="213"/>
      <c r="AC869" s="213"/>
      <c r="AD869" s="213"/>
      <c r="AE869" s="213"/>
      <c r="AF869" s="213"/>
      <c r="AG869" s="213"/>
      <c r="AH869" s="213"/>
      <c r="AI869" s="213"/>
      <c r="AJ869" s="213"/>
      <c r="AK869" s="213"/>
      <c r="AL869" s="213"/>
      <c r="AM869" s="302"/>
      <c r="AN869" s="302"/>
      <c r="AO869" s="303"/>
      <c r="AP869" s="285"/>
      <c r="AQ869" s="258"/>
      <c r="AR869" s="258"/>
    </row>
    <row r="870" spans="10:44" s="48" customFormat="1" hidden="1">
      <c r="J870" s="213"/>
      <c r="K870" s="213"/>
      <c r="L870" s="213"/>
      <c r="M870" s="213"/>
      <c r="N870" s="213"/>
      <c r="O870" s="213"/>
      <c r="P870" s="213"/>
      <c r="Q870" s="213"/>
      <c r="R870" s="213"/>
      <c r="S870" s="213"/>
      <c r="T870" s="213"/>
      <c r="U870" s="213"/>
      <c r="V870" s="213"/>
      <c r="W870" s="213"/>
      <c r="X870" s="213"/>
      <c r="Y870" s="213"/>
      <c r="Z870" s="213"/>
      <c r="AA870" s="213"/>
      <c r="AB870" s="213"/>
      <c r="AC870" s="213"/>
      <c r="AD870" s="213"/>
      <c r="AE870" s="213"/>
      <c r="AF870" s="213"/>
      <c r="AG870" s="213"/>
      <c r="AH870" s="213"/>
      <c r="AI870" s="213"/>
      <c r="AJ870" s="213"/>
      <c r="AK870" s="213"/>
      <c r="AL870" s="213"/>
      <c r="AM870" s="302"/>
      <c r="AN870" s="302"/>
      <c r="AO870" s="303"/>
      <c r="AP870" s="285"/>
      <c r="AQ870" s="258"/>
      <c r="AR870" s="258"/>
    </row>
    <row r="871" spans="10:44" s="48" customFormat="1" hidden="1">
      <c r="J871" s="213"/>
      <c r="K871" s="213"/>
      <c r="L871" s="213"/>
      <c r="M871" s="213"/>
      <c r="N871" s="213"/>
      <c r="O871" s="213"/>
      <c r="P871" s="213"/>
      <c r="Q871" s="213"/>
      <c r="R871" s="213"/>
      <c r="S871" s="213"/>
      <c r="T871" s="213"/>
      <c r="U871" s="213"/>
      <c r="V871" s="213"/>
      <c r="W871" s="213"/>
      <c r="X871" s="213"/>
      <c r="Y871" s="213"/>
      <c r="Z871" s="213"/>
      <c r="AA871" s="213"/>
      <c r="AB871" s="213"/>
      <c r="AC871" s="213"/>
      <c r="AD871" s="213"/>
      <c r="AE871" s="213"/>
      <c r="AF871" s="213"/>
      <c r="AG871" s="213"/>
      <c r="AH871" s="213"/>
      <c r="AI871" s="213"/>
      <c r="AJ871" s="213"/>
      <c r="AK871" s="213"/>
      <c r="AL871" s="213"/>
      <c r="AM871" s="302"/>
      <c r="AN871" s="302"/>
      <c r="AO871" s="303"/>
      <c r="AP871" s="285"/>
      <c r="AQ871" s="258"/>
      <c r="AR871" s="258"/>
    </row>
    <row r="872" spans="10:44" s="48" customFormat="1" hidden="1">
      <c r="J872" s="213"/>
      <c r="K872" s="213"/>
      <c r="L872" s="213"/>
      <c r="M872" s="213"/>
      <c r="N872" s="213"/>
      <c r="O872" s="213"/>
      <c r="P872" s="213"/>
      <c r="Q872" s="213"/>
      <c r="R872" s="213"/>
      <c r="S872" s="213"/>
      <c r="T872" s="213"/>
      <c r="U872" s="213"/>
      <c r="V872" s="213"/>
      <c r="W872" s="213"/>
      <c r="X872" s="213"/>
      <c r="Y872" s="213"/>
      <c r="Z872" s="213"/>
      <c r="AA872" s="213"/>
      <c r="AB872" s="213"/>
      <c r="AC872" s="213"/>
      <c r="AD872" s="213"/>
      <c r="AE872" s="213"/>
      <c r="AF872" s="213"/>
      <c r="AG872" s="213"/>
      <c r="AH872" s="213"/>
      <c r="AI872" s="213"/>
      <c r="AJ872" s="213"/>
      <c r="AK872" s="213"/>
      <c r="AL872" s="213"/>
      <c r="AM872" s="302"/>
      <c r="AN872" s="302"/>
      <c r="AO872" s="303"/>
      <c r="AP872" s="285"/>
      <c r="AQ872" s="258"/>
      <c r="AR872" s="258"/>
    </row>
    <row r="873" spans="10:44" s="48" customFormat="1" hidden="1">
      <c r="J873" s="213"/>
      <c r="K873" s="213"/>
      <c r="L873" s="213"/>
      <c r="M873" s="213"/>
      <c r="N873" s="213"/>
      <c r="O873" s="213"/>
      <c r="P873" s="213"/>
      <c r="Q873" s="213"/>
      <c r="R873" s="213"/>
      <c r="S873" s="213"/>
      <c r="T873" s="213"/>
      <c r="U873" s="213"/>
      <c r="V873" s="213"/>
      <c r="W873" s="213"/>
      <c r="X873" s="213"/>
      <c r="Y873" s="213"/>
      <c r="Z873" s="213"/>
      <c r="AA873" s="213"/>
      <c r="AB873" s="213"/>
      <c r="AC873" s="213"/>
      <c r="AD873" s="213"/>
      <c r="AE873" s="213"/>
      <c r="AF873" s="213"/>
      <c r="AG873" s="213"/>
      <c r="AH873" s="213"/>
      <c r="AI873" s="213"/>
      <c r="AJ873" s="213"/>
      <c r="AK873" s="213"/>
      <c r="AL873" s="213"/>
      <c r="AM873" s="302"/>
      <c r="AN873" s="302"/>
      <c r="AO873" s="303"/>
      <c r="AP873" s="285"/>
      <c r="AQ873" s="258"/>
      <c r="AR873" s="258"/>
    </row>
    <row r="874" spans="10:44" s="48" customFormat="1" hidden="1">
      <c r="J874" s="213"/>
      <c r="K874" s="213"/>
      <c r="L874" s="213"/>
      <c r="M874" s="213"/>
      <c r="N874" s="213"/>
      <c r="O874" s="213"/>
      <c r="P874" s="213"/>
      <c r="Q874" s="213"/>
      <c r="R874" s="213"/>
      <c r="S874" s="213"/>
      <c r="T874" s="213"/>
      <c r="U874" s="213"/>
      <c r="V874" s="213"/>
      <c r="W874" s="213"/>
      <c r="X874" s="213"/>
      <c r="Y874" s="213"/>
      <c r="Z874" s="213"/>
      <c r="AA874" s="213"/>
      <c r="AB874" s="213"/>
      <c r="AC874" s="213"/>
      <c r="AD874" s="213"/>
      <c r="AE874" s="213"/>
      <c r="AF874" s="213"/>
      <c r="AG874" s="213"/>
      <c r="AH874" s="213"/>
      <c r="AI874" s="213"/>
      <c r="AJ874" s="213"/>
      <c r="AK874" s="213"/>
      <c r="AL874" s="213"/>
      <c r="AM874" s="302"/>
      <c r="AN874" s="302"/>
      <c r="AO874" s="303"/>
      <c r="AP874" s="285"/>
      <c r="AQ874" s="258"/>
      <c r="AR874" s="258"/>
    </row>
    <row r="875" spans="10:44" s="48" customFormat="1" hidden="1">
      <c r="J875" s="213"/>
      <c r="K875" s="213"/>
      <c r="L875" s="213"/>
      <c r="M875" s="213"/>
      <c r="N875" s="213"/>
      <c r="O875" s="213"/>
      <c r="P875" s="213"/>
      <c r="Q875" s="213"/>
      <c r="R875" s="213"/>
      <c r="S875" s="213"/>
      <c r="T875" s="213"/>
      <c r="U875" s="213"/>
      <c r="V875" s="213"/>
      <c r="W875" s="213"/>
      <c r="X875" s="213"/>
      <c r="Y875" s="213"/>
      <c r="Z875" s="213"/>
      <c r="AA875" s="213"/>
      <c r="AB875" s="213"/>
      <c r="AC875" s="213"/>
      <c r="AD875" s="213"/>
      <c r="AE875" s="213"/>
      <c r="AF875" s="213"/>
      <c r="AG875" s="213"/>
      <c r="AH875" s="213"/>
      <c r="AI875" s="213"/>
      <c r="AJ875" s="213"/>
      <c r="AK875" s="213"/>
      <c r="AL875" s="213"/>
      <c r="AM875" s="302"/>
      <c r="AN875" s="302"/>
      <c r="AO875" s="303"/>
      <c r="AP875" s="285"/>
      <c r="AQ875" s="258"/>
      <c r="AR875" s="258"/>
    </row>
    <row r="876" spans="10:44" s="48" customFormat="1" hidden="1">
      <c r="J876" s="213"/>
      <c r="K876" s="213"/>
      <c r="L876" s="213"/>
      <c r="M876" s="213"/>
      <c r="N876" s="213"/>
      <c r="O876" s="213"/>
      <c r="P876" s="213"/>
      <c r="Q876" s="213"/>
      <c r="R876" s="213"/>
      <c r="S876" s="213"/>
      <c r="T876" s="213"/>
      <c r="U876" s="213"/>
      <c r="V876" s="213"/>
      <c r="W876" s="213"/>
      <c r="X876" s="213"/>
      <c r="Y876" s="213"/>
      <c r="Z876" s="213"/>
      <c r="AA876" s="213"/>
      <c r="AB876" s="213"/>
      <c r="AC876" s="213"/>
      <c r="AD876" s="213"/>
      <c r="AE876" s="213"/>
      <c r="AF876" s="213"/>
      <c r="AG876" s="213"/>
      <c r="AH876" s="213"/>
      <c r="AI876" s="213"/>
      <c r="AJ876" s="213"/>
      <c r="AK876" s="213"/>
      <c r="AL876" s="213"/>
      <c r="AM876" s="302"/>
      <c r="AN876" s="302"/>
      <c r="AO876" s="303"/>
      <c r="AP876" s="285"/>
      <c r="AQ876" s="258"/>
      <c r="AR876" s="258"/>
    </row>
    <row r="877" spans="10:44" s="48" customFormat="1" hidden="1">
      <c r="J877" s="213"/>
      <c r="K877" s="213"/>
      <c r="L877" s="213"/>
      <c r="M877" s="213"/>
      <c r="N877" s="213"/>
      <c r="O877" s="213"/>
      <c r="P877" s="213"/>
      <c r="Q877" s="213"/>
      <c r="R877" s="213"/>
      <c r="S877" s="213"/>
      <c r="T877" s="213"/>
      <c r="U877" s="213"/>
      <c r="V877" s="213"/>
      <c r="W877" s="213"/>
      <c r="X877" s="213"/>
      <c r="Y877" s="213"/>
      <c r="Z877" s="213"/>
      <c r="AA877" s="213"/>
      <c r="AB877" s="213"/>
      <c r="AC877" s="213"/>
      <c r="AD877" s="213"/>
      <c r="AE877" s="213"/>
      <c r="AF877" s="213"/>
      <c r="AG877" s="213"/>
      <c r="AH877" s="213"/>
      <c r="AI877" s="213"/>
      <c r="AJ877" s="213"/>
      <c r="AK877" s="213"/>
      <c r="AL877" s="213"/>
      <c r="AM877" s="302"/>
      <c r="AN877" s="302"/>
      <c r="AO877" s="303"/>
      <c r="AP877" s="285"/>
      <c r="AQ877" s="258"/>
      <c r="AR877" s="258"/>
    </row>
    <row r="878" spans="10:44" s="48" customFormat="1" hidden="1">
      <c r="J878" s="213"/>
      <c r="K878" s="213"/>
      <c r="L878" s="213"/>
      <c r="M878" s="213"/>
      <c r="N878" s="213"/>
      <c r="O878" s="213"/>
      <c r="P878" s="213"/>
      <c r="Q878" s="213"/>
      <c r="R878" s="213"/>
      <c r="S878" s="213"/>
      <c r="T878" s="213"/>
      <c r="U878" s="213"/>
      <c r="V878" s="213"/>
      <c r="W878" s="213"/>
      <c r="X878" s="213"/>
      <c r="Y878" s="213"/>
      <c r="Z878" s="213"/>
      <c r="AA878" s="213"/>
      <c r="AB878" s="213"/>
      <c r="AC878" s="213"/>
      <c r="AD878" s="213"/>
      <c r="AE878" s="213"/>
      <c r="AF878" s="213"/>
      <c r="AG878" s="213"/>
      <c r="AH878" s="213"/>
      <c r="AI878" s="213"/>
      <c r="AJ878" s="213"/>
      <c r="AK878" s="213"/>
      <c r="AL878" s="213"/>
      <c r="AM878" s="302"/>
      <c r="AN878" s="302"/>
      <c r="AO878" s="303"/>
      <c r="AP878" s="285"/>
      <c r="AQ878" s="258"/>
      <c r="AR878" s="258"/>
    </row>
    <row r="879" spans="10:44" s="48" customFormat="1" hidden="1">
      <c r="J879" s="213"/>
      <c r="K879" s="213"/>
      <c r="L879" s="213"/>
      <c r="M879" s="213"/>
      <c r="N879" s="213"/>
      <c r="O879" s="213"/>
      <c r="P879" s="213"/>
      <c r="Q879" s="213"/>
      <c r="R879" s="213"/>
      <c r="S879" s="213"/>
      <c r="T879" s="213"/>
      <c r="U879" s="213"/>
      <c r="V879" s="213"/>
      <c r="W879" s="213"/>
      <c r="X879" s="213"/>
      <c r="Y879" s="213"/>
      <c r="Z879" s="213"/>
      <c r="AA879" s="213"/>
      <c r="AB879" s="213"/>
      <c r="AC879" s="213"/>
      <c r="AD879" s="213"/>
      <c r="AE879" s="213"/>
      <c r="AF879" s="213"/>
      <c r="AG879" s="213"/>
      <c r="AH879" s="213"/>
      <c r="AI879" s="213"/>
      <c r="AJ879" s="213"/>
      <c r="AK879" s="213"/>
      <c r="AL879" s="213"/>
      <c r="AM879" s="302"/>
      <c r="AN879" s="302"/>
      <c r="AO879" s="303"/>
      <c r="AP879" s="285"/>
      <c r="AQ879" s="258"/>
      <c r="AR879" s="258"/>
    </row>
    <row r="880" spans="10:44" s="48" customFormat="1" hidden="1">
      <c r="J880" s="213"/>
      <c r="K880" s="213"/>
      <c r="L880" s="213"/>
      <c r="M880" s="213"/>
      <c r="N880" s="213"/>
      <c r="O880" s="213"/>
      <c r="P880" s="213"/>
      <c r="Q880" s="213"/>
      <c r="R880" s="213"/>
      <c r="S880" s="213"/>
      <c r="T880" s="213"/>
      <c r="U880" s="213"/>
      <c r="V880" s="213"/>
      <c r="W880" s="213"/>
      <c r="X880" s="213"/>
      <c r="Y880" s="213"/>
      <c r="Z880" s="213"/>
      <c r="AA880" s="213"/>
      <c r="AB880" s="213"/>
      <c r="AC880" s="213"/>
      <c r="AD880" s="213"/>
      <c r="AE880" s="213"/>
      <c r="AF880" s="213"/>
      <c r="AG880" s="213"/>
      <c r="AH880" s="213"/>
      <c r="AI880" s="213"/>
      <c r="AJ880" s="213"/>
      <c r="AK880" s="213"/>
      <c r="AL880" s="213"/>
      <c r="AM880" s="302"/>
      <c r="AN880" s="302"/>
      <c r="AO880" s="303"/>
      <c r="AP880" s="285"/>
      <c r="AQ880" s="258"/>
      <c r="AR880" s="258"/>
    </row>
    <row r="881" spans="10:44" s="48" customFormat="1" hidden="1">
      <c r="J881" s="213"/>
      <c r="K881" s="213"/>
      <c r="L881" s="213"/>
      <c r="M881" s="213"/>
      <c r="N881" s="213"/>
      <c r="O881" s="213"/>
      <c r="P881" s="213"/>
      <c r="Q881" s="213"/>
      <c r="R881" s="213"/>
      <c r="S881" s="213"/>
      <c r="T881" s="213"/>
      <c r="U881" s="213"/>
      <c r="V881" s="213"/>
      <c r="W881" s="213"/>
      <c r="X881" s="213"/>
      <c r="Y881" s="213"/>
      <c r="Z881" s="213"/>
      <c r="AA881" s="213"/>
      <c r="AB881" s="213"/>
      <c r="AC881" s="213"/>
      <c r="AD881" s="213"/>
      <c r="AE881" s="213"/>
      <c r="AF881" s="213"/>
      <c r="AG881" s="213"/>
      <c r="AH881" s="213"/>
      <c r="AI881" s="213"/>
      <c r="AJ881" s="213"/>
      <c r="AK881" s="213"/>
      <c r="AL881" s="213"/>
      <c r="AM881" s="302"/>
      <c r="AN881" s="302"/>
      <c r="AO881" s="303"/>
      <c r="AP881" s="285"/>
      <c r="AQ881" s="258"/>
      <c r="AR881" s="258"/>
    </row>
    <row r="882" spans="10:44" s="48" customFormat="1" hidden="1">
      <c r="J882" s="213"/>
      <c r="K882" s="213"/>
      <c r="L882" s="213"/>
      <c r="M882" s="213"/>
      <c r="N882" s="213"/>
      <c r="O882" s="213"/>
      <c r="P882" s="213"/>
      <c r="Q882" s="213"/>
      <c r="R882" s="213"/>
      <c r="S882" s="213"/>
      <c r="T882" s="213"/>
      <c r="U882" s="213"/>
      <c r="V882" s="213"/>
      <c r="W882" s="213"/>
      <c r="X882" s="213"/>
      <c r="Y882" s="213"/>
      <c r="Z882" s="213"/>
      <c r="AA882" s="213"/>
      <c r="AB882" s="213"/>
      <c r="AC882" s="213"/>
      <c r="AD882" s="213"/>
      <c r="AE882" s="213"/>
      <c r="AF882" s="213"/>
      <c r="AG882" s="213"/>
      <c r="AH882" s="213"/>
      <c r="AI882" s="213"/>
      <c r="AJ882" s="213"/>
      <c r="AK882" s="213"/>
      <c r="AL882" s="213"/>
      <c r="AM882" s="302"/>
      <c r="AN882" s="302"/>
      <c r="AO882" s="303"/>
      <c r="AP882" s="285"/>
      <c r="AQ882" s="258"/>
      <c r="AR882" s="258"/>
    </row>
    <row r="883" spans="10:44" s="48" customFormat="1" hidden="1">
      <c r="J883" s="213"/>
      <c r="K883" s="213"/>
      <c r="L883" s="213"/>
      <c r="M883" s="213"/>
      <c r="N883" s="213"/>
      <c r="O883" s="213"/>
      <c r="P883" s="213"/>
      <c r="Q883" s="213"/>
      <c r="R883" s="213"/>
      <c r="S883" s="213"/>
      <c r="T883" s="213"/>
      <c r="U883" s="213"/>
      <c r="V883" s="213"/>
      <c r="W883" s="213"/>
      <c r="X883" s="213"/>
      <c r="Y883" s="213"/>
      <c r="Z883" s="213"/>
      <c r="AA883" s="213"/>
      <c r="AB883" s="213"/>
      <c r="AC883" s="213"/>
      <c r="AD883" s="213"/>
      <c r="AE883" s="213"/>
      <c r="AF883" s="213"/>
      <c r="AG883" s="213"/>
      <c r="AH883" s="213"/>
      <c r="AI883" s="213"/>
      <c r="AJ883" s="213"/>
      <c r="AK883" s="213"/>
      <c r="AL883" s="213"/>
      <c r="AM883" s="302"/>
      <c r="AN883" s="302"/>
      <c r="AO883" s="303"/>
      <c r="AP883" s="285"/>
      <c r="AQ883" s="258"/>
      <c r="AR883" s="258"/>
    </row>
    <row r="884" spans="10:44" s="48" customFormat="1" hidden="1">
      <c r="J884" s="213"/>
      <c r="K884" s="213"/>
      <c r="L884" s="213"/>
      <c r="M884" s="213"/>
      <c r="N884" s="213"/>
      <c r="O884" s="213"/>
      <c r="P884" s="213"/>
      <c r="Q884" s="213"/>
      <c r="R884" s="213"/>
      <c r="S884" s="213"/>
      <c r="T884" s="213"/>
      <c r="U884" s="213"/>
      <c r="V884" s="213"/>
      <c r="W884" s="213"/>
      <c r="X884" s="213"/>
      <c r="Y884" s="213"/>
      <c r="Z884" s="213"/>
      <c r="AA884" s="213"/>
      <c r="AB884" s="213"/>
      <c r="AC884" s="213"/>
      <c r="AD884" s="213"/>
      <c r="AE884" s="213"/>
      <c r="AF884" s="213"/>
      <c r="AG884" s="213"/>
      <c r="AH884" s="213"/>
      <c r="AI884" s="213"/>
      <c r="AJ884" s="213"/>
      <c r="AK884" s="213"/>
      <c r="AL884" s="213"/>
      <c r="AM884" s="302"/>
      <c r="AN884" s="302"/>
      <c r="AO884" s="303"/>
      <c r="AP884" s="285"/>
      <c r="AQ884" s="258"/>
      <c r="AR884" s="258"/>
    </row>
    <row r="885" spans="10:44" s="48" customFormat="1" hidden="1">
      <c r="J885" s="213"/>
      <c r="K885" s="213"/>
      <c r="L885" s="213"/>
      <c r="M885" s="213"/>
      <c r="N885" s="213"/>
      <c r="O885" s="213"/>
      <c r="P885" s="213"/>
      <c r="Q885" s="213"/>
      <c r="R885" s="213"/>
      <c r="S885" s="213"/>
      <c r="T885" s="213"/>
      <c r="U885" s="213"/>
      <c r="V885" s="213"/>
      <c r="W885" s="213"/>
      <c r="X885" s="213"/>
      <c r="Y885" s="213"/>
      <c r="Z885" s="213"/>
      <c r="AA885" s="213"/>
      <c r="AB885" s="213"/>
      <c r="AC885" s="213"/>
      <c r="AD885" s="213"/>
      <c r="AE885" s="213"/>
      <c r="AF885" s="213"/>
      <c r="AG885" s="213"/>
      <c r="AH885" s="213"/>
      <c r="AI885" s="213"/>
      <c r="AJ885" s="213"/>
      <c r="AK885" s="213"/>
      <c r="AL885" s="213"/>
      <c r="AM885" s="302"/>
      <c r="AN885" s="302"/>
      <c r="AO885" s="303"/>
      <c r="AP885" s="285"/>
      <c r="AQ885" s="258"/>
      <c r="AR885" s="258"/>
    </row>
    <row r="886" spans="10:44" s="48" customFormat="1" hidden="1">
      <c r="J886" s="213"/>
      <c r="K886" s="213"/>
      <c r="L886" s="213"/>
      <c r="M886" s="213"/>
      <c r="N886" s="213"/>
      <c r="O886" s="213"/>
      <c r="P886" s="213"/>
      <c r="Q886" s="213"/>
      <c r="R886" s="213"/>
      <c r="S886" s="213"/>
      <c r="T886" s="213"/>
      <c r="U886" s="213"/>
      <c r="V886" s="213"/>
      <c r="W886" s="213"/>
      <c r="X886" s="213"/>
      <c r="Y886" s="213"/>
      <c r="Z886" s="213"/>
      <c r="AA886" s="213"/>
      <c r="AB886" s="213"/>
      <c r="AC886" s="213"/>
      <c r="AD886" s="213"/>
      <c r="AE886" s="213"/>
      <c r="AF886" s="213"/>
      <c r="AG886" s="213"/>
      <c r="AH886" s="213"/>
      <c r="AI886" s="213"/>
      <c r="AJ886" s="213"/>
      <c r="AK886" s="213"/>
      <c r="AL886" s="213"/>
      <c r="AM886" s="302"/>
      <c r="AN886" s="302"/>
      <c r="AO886" s="303"/>
      <c r="AP886" s="285"/>
      <c r="AQ886" s="258"/>
      <c r="AR886" s="258"/>
    </row>
    <row r="887" spans="10:44" s="48" customFormat="1" hidden="1">
      <c r="J887" s="213"/>
      <c r="K887" s="213"/>
      <c r="L887" s="213"/>
      <c r="M887" s="213"/>
      <c r="N887" s="213"/>
      <c r="O887" s="213"/>
      <c r="P887" s="213"/>
      <c r="Q887" s="213"/>
      <c r="R887" s="213"/>
      <c r="S887" s="213"/>
      <c r="T887" s="213"/>
      <c r="U887" s="213"/>
      <c r="V887" s="213"/>
      <c r="W887" s="213"/>
      <c r="X887" s="213"/>
      <c r="Y887" s="213"/>
      <c r="Z887" s="213"/>
      <c r="AA887" s="213"/>
      <c r="AB887" s="213"/>
      <c r="AC887" s="213"/>
      <c r="AD887" s="213"/>
      <c r="AE887" s="213"/>
      <c r="AF887" s="213"/>
      <c r="AG887" s="213"/>
      <c r="AH887" s="213"/>
      <c r="AI887" s="213"/>
      <c r="AJ887" s="213"/>
      <c r="AK887" s="213"/>
      <c r="AL887" s="213"/>
      <c r="AM887" s="302"/>
      <c r="AN887" s="302"/>
      <c r="AO887" s="303"/>
      <c r="AP887" s="285"/>
      <c r="AQ887" s="258"/>
      <c r="AR887" s="258"/>
    </row>
    <row r="888" spans="10:44" s="48" customFormat="1" hidden="1">
      <c r="J888" s="213"/>
      <c r="K888" s="213"/>
      <c r="L888" s="213"/>
      <c r="M888" s="213"/>
      <c r="N888" s="213"/>
      <c r="O888" s="213"/>
      <c r="P888" s="213"/>
      <c r="Q888" s="213"/>
      <c r="R888" s="213"/>
      <c r="S888" s="213"/>
      <c r="T888" s="213"/>
      <c r="U888" s="213"/>
      <c r="V888" s="213"/>
      <c r="W888" s="213"/>
      <c r="X888" s="213"/>
      <c r="Y888" s="213"/>
      <c r="Z888" s="213"/>
      <c r="AA888" s="213"/>
      <c r="AB888" s="213"/>
      <c r="AC888" s="213"/>
      <c r="AD888" s="213"/>
      <c r="AE888" s="213"/>
      <c r="AF888" s="213"/>
      <c r="AG888" s="213"/>
      <c r="AH888" s="213"/>
      <c r="AI888" s="213"/>
      <c r="AJ888" s="213"/>
      <c r="AK888" s="213"/>
      <c r="AL888" s="213"/>
      <c r="AM888" s="302"/>
      <c r="AN888" s="302"/>
      <c r="AO888" s="303"/>
      <c r="AP888" s="285"/>
      <c r="AQ888" s="258"/>
      <c r="AR888" s="258"/>
    </row>
    <row r="889" spans="10:44" s="48" customFormat="1" hidden="1">
      <c r="J889" s="213"/>
      <c r="K889" s="213"/>
      <c r="L889" s="213"/>
      <c r="M889" s="213"/>
      <c r="N889" s="213"/>
      <c r="O889" s="213"/>
      <c r="P889" s="213"/>
      <c r="Q889" s="213"/>
      <c r="R889" s="213"/>
      <c r="S889" s="213"/>
      <c r="T889" s="213"/>
      <c r="U889" s="213"/>
      <c r="V889" s="213"/>
      <c r="W889" s="213"/>
      <c r="X889" s="213"/>
      <c r="Y889" s="213"/>
      <c r="Z889" s="213"/>
      <c r="AA889" s="213"/>
      <c r="AB889" s="213"/>
      <c r="AC889" s="213"/>
      <c r="AD889" s="213"/>
      <c r="AE889" s="213"/>
      <c r="AF889" s="213"/>
      <c r="AG889" s="213"/>
      <c r="AH889" s="213"/>
      <c r="AI889" s="213"/>
      <c r="AJ889" s="213"/>
      <c r="AK889" s="213"/>
      <c r="AL889" s="213"/>
      <c r="AM889" s="302"/>
      <c r="AN889" s="302"/>
      <c r="AO889" s="303"/>
      <c r="AP889" s="285"/>
      <c r="AQ889" s="258"/>
      <c r="AR889" s="258"/>
    </row>
    <row r="890" spans="10:44" s="48" customFormat="1" hidden="1">
      <c r="J890" s="213"/>
      <c r="K890" s="213"/>
      <c r="L890" s="213"/>
      <c r="M890" s="213"/>
      <c r="N890" s="213"/>
      <c r="O890" s="213"/>
      <c r="P890" s="213"/>
      <c r="Q890" s="213"/>
      <c r="R890" s="213"/>
      <c r="S890" s="213"/>
      <c r="T890" s="213"/>
      <c r="U890" s="213"/>
      <c r="V890" s="213"/>
      <c r="W890" s="213"/>
      <c r="X890" s="213"/>
      <c r="Y890" s="213"/>
      <c r="Z890" s="213"/>
      <c r="AA890" s="213"/>
      <c r="AB890" s="213"/>
      <c r="AC890" s="213"/>
      <c r="AD890" s="213"/>
      <c r="AE890" s="213"/>
      <c r="AF890" s="213"/>
      <c r="AG890" s="213"/>
      <c r="AH890" s="213"/>
      <c r="AI890" s="213"/>
      <c r="AJ890" s="213"/>
      <c r="AK890" s="213"/>
      <c r="AL890" s="213"/>
      <c r="AM890" s="302"/>
      <c r="AN890" s="302"/>
      <c r="AO890" s="303"/>
      <c r="AP890" s="285"/>
      <c r="AQ890" s="258"/>
      <c r="AR890" s="258"/>
    </row>
    <row r="891" spans="10:44" s="48" customFormat="1" hidden="1">
      <c r="J891" s="213"/>
      <c r="K891" s="213"/>
      <c r="L891" s="213"/>
      <c r="M891" s="213"/>
      <c r="N891" s="213"/>
      <c r="O891" s="213"/>
      <c r="P891" s="213"/>
      <c r="Q891" s="213"/>
      <c r="R891" s="213"/>
      <c r="S891" s="213"/>
      <c r="T891" s="213"/>
      <c r="U891" s="213"/>
      <c r="V891" s="213"/>
      <c r="W891" s="213"/>
      <c r="X891" s="213"/>
      <c r="Y891" s="213"/>
      <c r="Z891" s="213"/>
      <c r="AA891" s="213"/>
      <c r="AB891" s="213"/>
      <c r="AC891" s="213"/>
      <c r="AD891" s="213"/>
      <c r="AE891" s="213"/>
      <c r="AF891" s="213"/>
      <c r="AG891" s="213"/>
      <c r="AH891" s="213"/>
      <c r="AI891" s="213"/>
      <c r="AJ891" s="213"/>
      <c r="AK891" s="213"/>
      <c r="AL891" s="213"/>
      <c r="AM891" s="302"/>
      <c r="AN891" s="302"/>
      <c r="AO891" s="303"/>
      <c r="AP891" s="285"/>
      <c r="AQ891" s="258"/>
      <c r="AR891" s="258"/>
    </row>
    <row r="892" spans="10:44" s="48" customFormat="1" hidden="1">
      <c r="J892" s="213"/>
      <c r="K892" s="213"/>
      <c r="L892" s="213"/>
      <c r="M892" s="213"/>
      <c r="N892" s="213"/>
      <c r="O892" s="213"/>
      <c r="P892" s="213"/>
      <c r="Q892" s="213"/>
      <c r="R892" s="213"/>
      <c r="S892" s="213"/>
      <c r="T892" s="213"/>
      <c r="U892" s="213"/>
      <c r="V892" s="213"/>
      <c r="W892" s="213"/>
      <c r="X892" s="213"/>
      <c r="Y892" s="213"/>
      <c r="Z892" s="213"/>
      <c r="AA892" s="213"/>
      <c r="AB892" s="213"/>
      <c r="AC892" s="213"/>
      <c r="AD892" s="213"/>
      <c r="AE892" s="213"/>
      <c r="AF892" s="213"/>
      <c r="AG892" s="213"/>
      <c r="AH892" s="213"/>
      <c r="AI892" s="213"/>
      <c r="AJ892" s="213"/>
      <c r="AK892" s="213"/>
      <c r="AL892" s="213"/>
      <c r="AM892" s="302"/>
      <c r="AN892" s="302"/>
      <c r="AO892" s="303"/>
      <c r="AP892" s="285"/>
      <c r="AQ892" s="258"/>
      <c r="AR892" s="258"/>
    </row>
    <row r="893" spans="10:44" s="48" customFormat="1" hidden="1">
      <c r="J893" s="213"/>
      <c r="K893" s="213"/>
      <c r="L893" s="213"/>
      <c r="M893" s="213"/>
      <c r="N893" s="213"/>
      <c r="O893" s="213"/>
      <c r="P893" s="213"/>
      <c r="Q893" s="213"/>
      <c r="R893" s="213"/>
      <c r="S893" s="213"/>
      <c r="T893" s="213"/>
      <c r="U893" s="213"/>
      <c r="V893" s="213"/>
      <c r="W893" s="213"/>
      <c r="X893" s="213"/>
      <c r="Y893" s="213"/>
      <c r="Z893" s="213"/>
      <c r="AA893" s="213"/>
      <c r="AB893" s="213"/>
      <c r="AC893" s="213"/>
      <c r="AD893" s="213"/>
      <c r="AE893" s="213"/>
      <c r="AF893" s="213"/>
      <c r="AG893" s="213"/>
      <c r="AH893" s="213"/>
      <c r="AI893" s="213"/>
      <c r="AJ893" s="213"/>
      <c r="AK893" s="213"/>
      <c r="AL893" s="213"/>
      <c r="AM893" s="302"/>
      <c r="AN893" s="302"/>
      <c r="AO893" s="303"/>
      <c r="AP893" s="285"/>
      <c r="AQ893" s="258"/>
      <c r="AR893" s="258"/>
    </row>
    <row r="894" spans="10:44" s="48" customFormat="1" hidden="1">
      <c r="J894" s="213"/>
      <c r="K894" s="213"/>
      <c r="L894" s="213"/>
      <c r="M894" s="213"/>
      <c r="N894" s="213"/>
      <c r="O894" s="213"/>
      <c r="P894" s="213"/>
      <c r="Q894" s="213"/>
      <c r="R894" s="213"/>
      <c r="S894" s="213"/>
      <c r="T894" s="213"/>
      <c r="U894" s="213"/>
      <c r="V894" s="213"/>
      <c r="W894" s="213"/>
      <c r="X894" s="213"/>
      <c r="Y894" s="213"/>
      <c r="Z894" s="213"/>
      <c r="AA894" s="213"/>
      <c r="AB894" s="213"/>
      <c r="AC894" s="213"/>
      <c r="AD894" s="213"/>
      <c r="AE894" s="213"/>
      <c r="AF894" s="213"/>
      <c r="AG894" s="213"/>
      <c r="AH894" s="213"/>
      <c r="AI894" s="213"/>
      <c r="AJ894" s="213"/>
      <c r="AK894" s="213"/>
      <c r="AL894" s="213"/>
      <c r="AM894" s="302"/>
      <c r="AN894" s="302"/>
      <c r="AO894" s="303"/>
      <c r="AP894" s="285"/>
      <c r="AQ894" s="258"/>
      <c r="AR894" s="258"/>
    </row>
    <row r="895" spans="10:44" s="48" customFormat="1" hidden="1">
      <c r="J895" s="213"/>
      <c r="K895" s="213"/>
      <c r="L895" s="213"/>
      <c r="M895" s="213"/>
      <c r="N895" s="213"/>
      <c r="O895" s="213"/>
      <c r="P895" s="213"/>
      <c r="Q895" s="213"/>
      <c r="R895" s="213"/>
      <c r="S895" s="213"/>
      <c r="T895" s="213"/>
      <c r="U895" s="213"/>
      <c r="V895" s="213"/>
      <c r="W895" s="213"/>
      <c r="X895" s="213"/>
      <c r="Y895" s="213"/>
      <c r="Z895" s="213"/>
      <c r="AA895" s="213"/>
      <c r="AB895" s="213"/>
      <c r="AC895" s="213"/>
      <c r="AD895" s="213"/>
      <c r="AE895" s="213"/>
      <c r="AF895" s="213"/>
      <c r="AG895" s="213"/>
      <c r="AH895" s="213"/>
      <c r="AI895" s="213"/>
      <c r="AJ895" s="213"/>
      <c r="AK895" s="213"/>
      <c r="AL895" s="213"/>
      <c r="AM895" s="302"/>
      <c r="AN895" s="302"/>
      <c r="AO895" s="303"/>
      <c r="AP895" s="285"/>
      <c r="AQ895" s="258"/>
      <c r="AR895" s="258"/>
    </row>
    <row r="896" spans="10:44" s="48" customFormat="1" hidden="1">
      <c r="J896" s="213"/>
      <c r="K896" s="213"/>
      <c r="L896" s="213"/>
      <c r="M896" s="213"/>
      <c r="N896" s="213"/>
      <c r="O896" s="213"/>
      <c r="P896" s="213"/>
      <c r="Q896" s="213"/>
      <c r="R896" s="213"/>
      <c r="S896" s="213"/>
      <c r="T896" s="213"/>
      <c r="U896" s="213"/>
      <c r="V896" s="213"/>
      <c r="W896" s="213"/>
      <c r="X896" s="213"/>
      <c r="Y896" s="213"/>
      <c r="Z896" s="213"/>
      <c r="AA896" s="213"/>
      <c r="AB896" s="213"/>
      <c r="AC896" s="213"/>
      <c r="AD896" s="213"/>
      <c r="AE896" s="213"/>
      <c r="AF896" s="213"/>
      <c r="AG896" s="213"/>
      <c r="AH896" s="213"/>
      <c r="AI896" s="213"/>
      <c r="AJ896" s="213"/>
      <c r="AK896" s="213"/>
      <c r="AL896" s="213"/>
      <c r="AM896" s="302"/>
      <c r="AN896" s="302"/>
      <c r="AO896" s="303"/>
      <c r="AP896" s="285"/>
      <c r="AQ896" s="258"/>
      <c r="AR896" s="258"/>
    </row>
    <row r="897" spans="10:44" s="48" customFormat="1" hidden="1">
      <c r="J897" s="213"/>
      <c r="K897" s="213"/>
      <c r="L897" s="213"/>
      <c r="M897" s="213"/>
      <c r="N897" s="213"/>
      <c r="O897" s="213"/>
      <c r="P897" s="213"/>
      <c r="Q897" s="213"/>
      <c r="R897" s="213"/>
      <c r="S897" s="213"/>
      <c r="T897" s="213"/>
      <c r="U897" s="213"/>
      <c r="V897" s="213"/>
      <c r="W897" s="213"/>
      <c r="X897" s="213"/>
      <c r="Y897" s="213"/>
      <c r="Z897" s="213"/>
      <c r="AA897" s="213"/>
      <c r="AB897" s="213"/>
      <c r="AC897" s="213"/>
      <c r="AD897" s="213"/>
      <c r="AE897" s="213"/>
      <c r="AF897" s="213"/>
      <c r="AG897" s="213"/>
      <c r="AH897" s="213"/>
      <c r="AI897" s="213"/>
      <c r="AJ897" s="213"/>
      <c r="AK897" s="213"/>
      <c r="AL897" s="213"/>
      <c r="AM897" s="302"/>
      <c r="AN897" s="302"/>
      <c r="AO897" s="303"/>
      <c r="AP897" s="285"/>
      <c r="AQ897" s="258"/>
      <c r="AR897" s="258"/>
    </row>
    <row r="898" spans="10:44" s="48" customFormat="1" hidden="1">
      <c r="J898" s="213"/>
      <c r="K898" s="213"/>
      <c r="L898" s="213"/>
      <c r="M898" s="213"/>
      <c r="N898" s="213"/>
      <c r="O898" s="213"/>
      <c r="P898" s="213"/>
      <c r="Q898" s="213"/>
      <c r="R898" s="213"/>
      <c r="S898" s="213"/>
      <c r="T898" s="213"/>
      <c r="U898" s="213"/>
      <c r="V898" s="213"/>
      <c r="W898" s="213"/>
      <c r="X898" s="213"/>
      <c r="Y898" s="213"/>
      <c r="Z898" s="213"/>
      <c r="AA898" s="213"/>
      <c r="AB898" s="213"/>
      <c r="AC898" s="213"/>
      <c r="AD898" s="213"/>
      <c r="AE898" s="213"/>
      <c r="AF898" s="213"/>
      <c r="AG898" s="213"/>
      <c r="AH898" s="213"/>
      <c r="AI898" s="213"/>
      <c r="AJ898" s="213"/>
      <c r="AK898" s="213"/>
      <c r="AL898" s="213"/>
      <c r="AM898" s="302"/>
      <c r="AN898" s="302"/>
      <c r="AO898" s="303"/>
      <c r="AP898" s="285"/>
      <c r="AQ898" s="258"/>
      <c r="AR898" s="258"/>
    </row>
    <row r="899" spans="10:44" s="48" customFormat="1" hidden="1">
      <c r="J899" s="213"/>
      <c r="K899" s="213"/>
      <c r="L899" s="213"/>
      <c r="M899" s="213"/>
      <c r="N899" s="213"/>
      <c r="O899" s="213"/>
      <c r="P899" s="213"/>
      <c r="Q899" s="213"/>
      <c r="R899" s="213"/>
      <c r="S899" s="213"/>
      <c r="T899" s="213"/>
      <c r="U899" s="213"/>
      <c r="V899" s="213"/>
      <c r="W899" s="213"/>
      <c r="X899" s="213"/>
      <c r="Y899" s="213"/>
      <c r="Z899" s="213"/>
      <c r="AA899" s="213"/>
      <c r="AB899" s="213"/>
      <c r="AC899" s="213"/>
      <c r="AD899" s="213"/>
      <c r="AE899" s="213"/>
      <c r="AF899" s="213"/>
      <c r="AG899" s="213"/>
      <c r="AH899" s="213"/>
      <c r="AI899" s="213"/>
      <c r="AJ899" s="213"/>
      <c r="AK899" s="213"/>
      <c r="AL899" s="213"/>
      <c r="AM899" s="302"/>
      <c r="AN899" s="302"/>
      <c r="AO899" s="303"/>
      <c r="AP899" s="285"/>
      <c r="AQ899" s="258"/>
      <c r="AR899" s="258"/>
    </row>
    <row r="900" spans="10:44" s="48" customFormat="1" hidden="1">
      <c r="J900" s="213"/>
      <c r="K900" s="213"/>
      <c r="L900" s="213"/>
      <c r="M900" s="213"/>
      <c r="N900" s="213"/>
      <c r="O900" s="213"/>
      <c r="P900" s="213"/>
      <c r="Q900" s="213"/>
      <c r="R900" s="213"/>
      <c r="S900" s="213"/>
      <c r="T900" s="213"/>
      <c r="U900" s="213"/>
      <c r="V900" s="213"/>
      <c r="W900" s="213"/>
      <c r="X900" s="213"/>
      <c r="Y900" s="213"/>
      <c r="Z900" s="213"/>
      <c r="AA900" s="213"/>
      <c r="AB900" s="213"/>
      <c r="AC900" s="213"/>
      <c r="AD900" s="213"/>
      <c r="AE900" s="213"/>
      <c r="AF900" s="213"/>
      <c r="AG900" s="213"/>
      <c r="AH900" s="213"/>
      <c r="AI900" s="213"/>
      <c r="AJ900" s="213"/>
      <c r="AK900" s="213"/>
      <c r="AL900" s="213"/>
      <c r="AM900" s="302"/>
      <c r="AN900" s="302"/>
      <c r="AO900" s="303"/>
      <c r="AP900" s="285"/>
      <c r="AQ900" s="258"/>
      <c r="AR900" s="258"/>
    </row>
    <row r="901" spans="10:44" s="48" customFormat="1" hidden="1">
      <c r="J901" s="213"/>
      <c r="K901" s="213"/>
      <c r="L901" s="213"/>
      <c r="M901" s="213"/>
      <c r="N901" s="213"/>
      <c r="O901" s="213"/>
      <c r="P901" s="213"/>
      <c r="Q901" s="213"/>
      <c r="R901" s="213"/>
      <c r="S901" s="213"/>
      <c r="T901" s="213"/>
      <c r="U901" s="213"/>
      <c r="V901" s="213"/>
      <c r="W901" s="213"/>
      <c r="X901" s="213"/>
      <c r="Y901" s="213"/>
      <c r="Z901" s="213"/>
      <c r="AA901" s="213"/>
      <c r="AB901" s="213"/>
      <c r="AC901" s="213"/>
      <c r="AD901" s="213"/>
      <c r="AE901" s="213"/>
      <c r="AF901" s="213"/>
      <c r="AG901" s="213"/>
      <c r="AH901" s="213"/>
      <c r="AI901" s="213"/>
      <c r="AJ901" s="213"/>
      <c r="AK901" s="213"/>
      <c r="AL901" s="213"/>
      <c r="AM901" s="302"/>
      <c r="AN901" s="302"/>
      <c r="AO901" s="303"/>
      <c r="AP901" s="285"/>
      <c r="AQ901" s="258"/>
      <c r="AR901" s="258"/>
    </row>
    <row r="902" spans="10:44" s="48" customFormat="1" hidden="1">
      <c r="J902" s="213"/>
      <c r="K902" s="213"/>
      <c r="L902" s="213"/>
      <c r="M902" s="213"/>
      <c r="N902" s="213"/>
      <c r="O902" s="213"/>
      <c r="P902" s="213"/>
      <c r="Q902" s="213"/>
      <c r="R902" s="213"/>
      <c r="S902" s="213"/>
      <c r="T902" s="213"/>
      <c r="U902" s="213"/>
      <c r="V902" s="213"/>
      <c r="W902" s="213"/>
      <c r="X902" s="213"/>
      <c r="Y902" s="213"/>
      <c r="Z902" s="213"/>
      <c r="AA902" s="213"/>
      <c r="AB902" s="213"/>
      <c r="AC902" s="213"/>
      <c r="AD902" s="213"/>
      <c r="AE902" s="213"/>
      <c r="AF902" s="213"/>
      <c r="AG902" s="213"/>
      <c r="AH902" s="213"/>
      <c r="AI902" s="213"/>
      <c r="AJ902" s="213"/>
      <c r="AK902" s="213"/>
      <c r="AL902" s="213"/>
      <c r="AM902" s="302"/>
      <c r="AN902" s="302"/>
      <c r="AO902" s="303"/>
      <c r="AP902" s="285"/>
      <c r="AQ902" s="258"/>
      <c r="AR902" s="258"/>
    </row>
    <row r="903" spans="10:44" s="48" customFormat="1" hidden="1">
      <c r="J903" s="213"/>
      <c r="K903" s="213"/>
      <c r="L903" s="213"/>
      <c r="M903" s="213"/>
      <c r="N903" s="213"/>
      <c r="O903" s="213"/>
      <c r="P903" s="213"/>
      <c r="Q903" s="213"/>
      <c r="R903" s="213"/>
      <c r="S903" s="213"/>
      <c r="T903" s="213"/>
      <c r="U903" s="213"/>
      <c r="V903" s="213"/>
      <c r="W903" s="213"/>
      <c r="X903" s="213"/>
      <c r="Y903" s="213"/>
      <c r="Z903" s="213"/>
      <c r="AA903" s="213"/>
      <c r="AB903" s="213"/>
      <c r="AC903" s="213"/>
      <c r="AD903" s="213"/>
      <c r="AE903" s="213"/>
      <c r="AF903" s="213"/>
      <c r="AG903" s="213"/>
      <c r="AH903" s="213"/>
      <c r="AI903" s="213"/>
      <c r="AJ903" s="213"/>
      <c r="AK903" s="213"/>
      <c r="AL903" s="213"/>
      <c r="AM903" s="302"/>
      <c r="AN903" s="302"/>
      <c r="AO903" s="303"/>
      <c r="AP903" s="285"/>
      <c r="AQ903" s="258"/>
      <c r="AR903" s="258"/>
    </row>
    <row r="904" spans="10:44" s="48" customFormat="1" hidden="1">
      <c r="J904" s="213"/>
      <c r="K904" s="213"/>
      <c r="L904" s="213"/>
      <c r="M904" s="213"/>
      <c r="N904" s="213"/>
      <c r="O904" s="213"/>
      <c r="P904" s="213"/>
      <c r="Q904" s="213"/>
      <c r="R904" s="213"/>
      <c r="S904" s="213"/>
      <c r="T904" s="213"/>
      <c r="U904" s="213"/>
      <c r="V904" s="213"/>
      <c r="W904" s="213"/>
      <c r="X904" s="213"/>
      <c r="Y904" s="213"/>
      <c r="Z904" s="213"/>
      <c r="AA904" s="213"/>
      <c r="AB904" s="213"/>
      <c r="AC904" s="213"/>
      <c r="AD904" s="213"/>
      <c r="AE904" s="213"/>
      <c r="AF904" s="213"/>
      <c r="AG904" s="213"/>
      <c r="AH904" s="213"/>
      <c r="AI904" s="213"/>
      <c r="AJ904" s="213"/>
      <c r="AK904" s="213"/>
      <c r="AL904" s="213"/>
      <c r="AM904" s="302"/>
      <c r="AN904" s="302"/>
      <c r="AO904" s="303"/>
      <c r="AP904" s="285"/>
      <c r="AQ904" s="258"/>
      <c r="AR904" s="258"/>
    </row>
    <row r="905" spans="10:44" s="48" customFormat="1" hidden="1">
      <c r="J905" s="213"/>
      <c r="K905" s="213"/>
      <c r="L905" s="213"/>
      <c r="M905" s="213"/>
      <c r="N905" s="213"/>
      <c r="O905" s="213"/>
      <c r="P905" s="213"/>
      <c r="Q905" s="213"/>
      <c r="R905" s="213"/>
      <c r="S905" s="213"/>
      <c r="T905" s="213"/>
      <c r="U905" s="213"/>
      <c r="V905" s="213"/>
      <c r="W905" s="213"/>
      <c r="X905" s="213"/>
      <c r="Y905" s="213"/>
      <c r="Z905" s="213"/>
      <c r="AA905" s="213"/>
      <c r="AB905" s="213"/>
      <c r="AC905" s="213"/>
      <c r="AD905" s="213"/>
      <c r="AE905" s="213"/>
      <c r="AF905" s="213"/>
      <c r="AG905" s="213"/>
      <c r="AH905" s="213"/>
      <c r="AI905" s="213"/>
      <c r="AJ905" s="213"/>
      <c r="AK905" s="213"/>
      <c r="AL905" s="213"/>
      <c r="AM905" s="302"/>
      <c r="AN905" s="302"/>
      <c r="AO905" s="303"/>
      <c r="AP905" s="285"/>
      <c r="AQ905" s="258"/>
      <c r="AR905" s="258"/>
    </row>
    <row r="906" spans="10:44" s="48" customFormat="1" hidden="1">
      <c r="J906" s="213"/>
      <c r="K906" s="213"/>
      <c r="L906" s="213"/>
      <c r="M906" s="213"/>
      <c r="N906" s="213"/>
      <c r="O906" s="213"/>
      <c r="P906" s="213"/>
      <c r="Q906" s="213"/>
      <c r="R906" s="213"/>
      <c r="S906" s="213"/>
      <c r="T906" s="213"/>
      <c r="U906" s="213"/>
      <c r="V906" s="213"/>
      <c r="W906" s="213"/>
      <c r="X906" s="213"/>
      <c r="Y906" s="213"/>
      <c r="Z906" s="213"/>
      <c r="AA906" s="213"/>
      <c r="AB906" s="213"/>
      <c r="AC906" s="213"/>
      <c r="AD906" s="213"/>
      <c r="AE906" s="213"/>
      <c r="AF906" s="213"/>
      <c r="AG906" s="213"/>
      <c r="AH906" s="213"/>
      <c r="AI906" s="213"/>
      <c r="AJ906" s="213"/>
      <c r="AK906" s="213"/>
      <c r="AL906" s="213"/>
      <c r="AM906" s="302"/>
      <c r="AN906" s="302"/>
      <c r="AO906" s="303"/>
      <c r="AP906" s="285"/>
      <c r="AQ906" s="258"/>
      <c r="AR906" s="258"/>
    </row>
    <row r="907" spans="10:44" s="48" customFormat="1" hidden="1">
      <c r="J907" s="213"/>
      <c r="K907" s="213"/>
      <c r="L907" s="213"/>
      <c r="M907" s="213"/>
      <c r="N907" s="213"/>
      <c r="O907" s="213"/>
      <c r="P907" s="213"/>
      <c r="Q907" s="213"/>
      <c r="R907" s="213"/>
      <c r="S907" s="213"/>
      <c r="T907" s="213"/>
      <c r="U907" s="213"/>
      <c r="V907" s="213"/>
      <c r="W907" s="213"/>
      <c r="X907" s="213"/>
      <c r="Y907" s="213"/>
      <c r="Z907" s="213"/>
      <c r="AA907" s="213"/>
      <c r="AB907" s="213"/>
      <c r="AC907" s="213"/>
      <c r="AD907" s="213"/>
      <c r="AE907" s="213"/>
      <c r="AF907" s="213"/>
      <c r="AG907" s="213"/>
      <c r="AH907" s="213"/>
      <c r="AI907" s="213"/>
      <c r="AJ907" s="213"/>
      <c r="AK907" s="213"/>
      <c r="AL907" s="213"/>
      <c r="AM907" s="302"/>
      <c r="AN907" s="302"/>
      <c r="AO907" s="303"/>
      <c r="AP907" s="285"/>
      <c r="AQ907" s="258"/>
      <c r="AR907" s="258"/>
    </row>
    <row r="908" spans="10:44" s="48" customFormat="1" hidden="1">
      <c r="J908" s="213"/>
      <c r="K908" s="213"/>
      <c r="L908" s="213"/>
      <c r="M908" s="213"/>
      <c r="N908" s="213"/>
      <c r="O908" s="213"/>
      <c r="P908" s="213"/>
      <c r="Q908" s="213"/>
      <c r="R908" s="213"/>
      <c r="S908" s="213"/>
      <c r="T908" s="213"/>
      <c r="U908" s="213"/>
      <c r="V908" s="213"/>
      <c r="W908" s="213"/>
      <c r="X908" s="213"/>
      <c r="Y908" s="213"/>
      <c r="Z908" s="213"/>
      <c r="AA908" s="213"/>
      <c r="AB908" s="213"/>
      <c r="AC908" s="213"/>
      <c r="AD908" s="213"/>
      <c r="AE908" s="213"/>
      <c r="AF908" s="213"/>
      <c r="AG908" s="213"/>
      <c r="AH908" s="213"/>
      <c r="AI908" s="213"/>
      <c r="AJ908" s="213"/>
      <c r="AK908" s="213"/>
      <c r="AL908" s="213"/>
      <c r="AM908" s="302"/>
      <c r="AN908" s="302"/>
      <c r="AO908" s="303"/>
      <c r="AP908" s="285"/>
      <c r="AQ908" s="258"/>
      <c r="AR908" s="258"/>
    </row>
    <row r="909" spans="10:44" s="48" customFormat="1" hidden="1">
      <c r="J909" s="213"/>
      <c r="K909" s="213"/>
      <c r="L909" s="213"/>
      <c r="M909" s="213"/>
      <c r="N909" s="213"/>
      <c r="O909" s="213"/>
      <c r="P909" s="213"/>
      <c r="Q909" s="213"/>
      <c r="R909" s="213"/>
      <c r="S909" s="213"/>
      <c r="T909" s="213"/>
      <c r="U909" s="213"/>
      <c r="V909" s="213"/>
      <c r="W909" s="213"/>
      <c r="X909" s="213"/>
      <c r="Y909" s="213"/>
      <c r="Z909" s="213"/>
      <c r="AA909" s="213"/>
      <c r="AB909" s="213"/>
      <c r="AC909" s="213"/>
      <c r="AD909" s="213"/>
      <c r="AE909" s="213"/>
      <c r="AF909" s="213"/>
      <c r="AG909" s="213"/>
      <c r="AH909" s="213"/>
      <c r="AI909" s="213"/>
      <c r="AJ909" s="213"/>
      <c r="AK909" s="213"/>
      <c r="AL909" s="213"/>
      <c r="AM909" s="302"/>
      <c r="AN909" s="302"/>
      <c r="AO909" s="303"/>
      <c r="AP909" s="285"/>
      <c r="AQ909" s="258"/>
      <c r="AR909" s="258"/>
    </row>
    <row r="910" spans="10:44" s="48" customFormat="1" hidden="1">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302"/>
      <c r="AN910" s="302"/>
      <c r="AO910" s="303"/>
      <c r="AP910" s="285"/>
      <c r="AQ910" s="258"/>
      <c r="AR910" s="258"/>
    </row>
    <row r="911" spans="10:44" s="48" customFormat="1" hidden="1">
      <c r="J911" s="213"/>
      <c r="K911" s="213"/>
      <c r="L911" s="213"/>
      <c r="M911" s="213"/>
      <c r="N911" s="213"/>
      <c r="O911" s="213"/>
      <c r="P911" s="213"/>
      <c r="Q911" s="213"/>
      <c r="R911" s="213"/>
      <c r="S911" s="213"/>
      <c r="T911" s="213"/>
      <c r="U911" s="213"/>
      <c r="V911" s="213"/>
      <c r="W911" s="213"/>
      <c r="X911" s="213"/>
      <c r="Y911" s="213"/>
      <c r="Z911" s="213"/>
      <c r="AA911" s="213"/>
      <c r="AB911" s="213"/>
      <c r="AC911" s="213"/>
      <c r="AD911" s="213"/>
      <c r="AE911" s="213"/>
      <c r="AF911" s="213"/>
      <c r="AG911" s="213"/>
      <c r="AH911" s="213"/>
      <c r="AI911" s="213"/>
      <c r="AJ911" s="213"/>
      <c r="AK911" s="213"/>
      <c r="AL911" s="213"/>
      <c r="AM911" s="302"/>
      <c r="AN911" s="302"/>
      <c r="AO911" s="303"/>
      <c r="AP911" s="285"/>
      <c r="AQ911" s="258"/>
      <c r="AR911" s="258"/>
    </row>
    <row r="912" spans="10:44" s="48" customFormat="1" hidden="1">
      <c r="J912" s="213"/>
      <c r="K912" s="213"/>
      <c r="L912" s="213"/>
      <c r="M912" s="213"/>
      <c r="N912" s="213"/>
      <c r="O912" s="213"/>
      <c r="P912" s="213"/>
      <c r="Q912" s="213"/>
      <c r="R912" s="213"/>
      <c r="S912" s="213"/>
      <c r="T912" s="213"/>
      <c r="U912" s="213"/>
      <c r="V912" s="213"/>
      <c r="W912" s="213"/>
      <c r="X912" s="213"/>
      <c r="Y912" s="213"/>
      <c r="Z912" s="213"/>
      <c r="AA912" s="213"/>
      <c r="AB912" s="213"/>
      <c r="AC912" s="213"/>
      <c r="AD912" s="213"/>
      <c r="AE912" s="213"/>
      <c r="AF912" s="213"/>
      <c r="AG912" s="213"/>
      <c r="AH912" s="213"/>
      <c r="AI912" s="213"/>
      <c r="AJ912" s="213"/>
      <c r="AK912" s="213"/>
      <c r="AL912" s="213"/>
      <c r="AM912" s="302"/>
      <c r="AN912" s="302"/>
      <c r="AO912" s="303"/>
      <c r="AP912" s="285"/>
      <c r="AQ912" s="258"/>
      <c r="AR912" s="258"/>
    </row>
    <row r="913" spans="10:44" s="48" customFormat="1" hidden="1">
      <c r="J913" s="213"/>
      <c r="K913" s="213"/>
      <c r="L913" s="213"/>
      <c r="M913" s="213"/>
      <c r="N913" s="213"/>
      <c r="O913" s="213"/>
      <c r="P913" s="213"/>
      <c r="Q913" s="213"/>
      <c r="R913" s="213"/>
      <c r="S913" s="213"/>
      <c r="T913" s="213"/>
      <c r="U913" s="213"/>
      <c r="V913" s="213"/>
      <c r="W913" s="213"/>
      <c r="X913" s="213"/>
      <c r="Y913" s="213"/>
      <c r="Z913" s="213"/>
      <c r="AA913" s="213"/>
      <c r="AB913" s="213"/>
      <c r="AC913" s="213"/>
      <c r="AD913" s="213"/>
      <c r="AE913" s="213"/>
      <c r="AF913" s="213"/>
      <c r="AG913" s="213"/>
      <c r="AH913" s="213"/>
      <c r="AI913" s="213"/>
      <c r="AJ913" s="213"/>
      <c r="AK913" s="213"/>
      <c r="AL913" s="213"/>
      <c r="AM913" s="302"/>
      <c r="AN913" s="302"/>
      <c r="AO913" s="303"/>
      <c r="AP913" s="285"/>
      <c r="AQ913" s="258"/>
      <c r="AR913" s="258"/>
    </row>
    <row r="914" spans="10:44" s="48" customFormat="1" hidden="1">
      <c r="J914" s="213"/>
      <c r="K914" s="213"/>
      <c r="L914" s="213"/>
      <c r="M914" s="213"/>
      <c r="N914" s="213"/>
      <c r="O914" s="213"/>
      <c r="P914" s="213"/>
      <c r="Q914" s="213"/>
      <c r="R914" s="213"/>
      <c r="S914" s="213"/>
      <c r="T914" s="213"/>
      <c r="U914" s="213"/>
      <c r="V914" s="213"/>
      <c r="W914" s="213"/>
      <c r="X914" s="213"/>
      <c r="Y914" s="213"/>
      <c r="Z914" s="213"/>
      <c r="AA914" s="213"/>
      <c r="AB914" s="213"/>
      <c r="AC914" s="213"/>
      <c r="AD914" s="213"/>
      <c r="AE914" s="213"/>
      <c r="AF914" s="213"/>
      <c r="AG914" s="213"/>
      <c r="AH914" s="213"/>
      <c r="AI914" s="213"/>
      <c r="AJ914" s="213"/>
      <c r="AK914" s="213"/>
      <c r="AL914" s="213"/>
      <c r="AM914" s="302"/>
      <c r="AN914" s="302"/>
      <c r="AO914" s="303"/>
      <c r="AP914" s="285"/>
      <c r="AQ914" s="258"/>
      <c r="AR914" s="258"/>
    </row>
    <row r="915" spans="10:44" s="48" customFormat="1" hidden="1">
      <c r="J915" s="213"/>
      <c r="K915" s="213"/>
      <c r="L915" s="213"/>
      <c r="M915" s="213"/>
      <c r="N915" s="213"/>
      <c r="O915" s="213"/>
      <c r="P915" s="213"/>
      <c r="Q915" s="213"/>
      <c r="R915" s="213"/>
      <c r="S915" s="213"/>
      <c r="T915" s="213"/>
      <c r="U915" s="213"/>
      <c r="V915" s="213"/>
      <c r="W915" s="213"/>
      <c r="X915" s="213"/>
      <c r="Y915" s="213"/>
      <c r="Z915" s="213"/>
      <c r="AA915" s="213"/>
      <c r="AB915" s="213"/>
      <c r="AC915" s="213"/>
      <c r="AD915" s="213"/>
      <c r="AE915" s="213"/>
      <c r="AF915" s="213"/>
      <c r="AG915" s="213"/>
      <c r="AH915" s="213"/>
      <c r="AI915" s="213"/>
      <c r="AJ915" s="213"/>
      <c r="AK915" s="213"/>
      <c r="AL915" s="213"/>
      <c r="AM915" s="302"/>
      <c r="AN915" s="302"/>
      <c r="AO915" s="303"/>
      <c r="AP915" s="285"/>
      <c r="AQ915" s="258"/>
      <c r="AR915" s="258"/>
    </row>
    <row r="916" spans="10:44" s="48" customFormat="1" hidden="1">
      <c r="J916" s="213"/>
      <c r="K916" s="213"/>
      <c r="L916" s="213"/>
      <c r="M916" s="213"/>
      <c r="N916" s="213"/>
      <c r="O916" s="213"/>
      <c r="P916" s="213"/>
      <c r="Q916" s="213"/>
      <c r="R916" s="213"/>
      <c r="S916" s="213"/>
      <c r="T916" s="213"/>
      <c r="U916" s="213"/>
      <c r="V916" s="213"/>
      <c r="W916" s="213"/>
      <c r="X916" s="213"/>
      <c r="Y916" s="213"/>
      <c r="Z916" s="213"/>
      <c r="AA916" s="213"/>
      <c r="AB916" s="213"/>
      <c r="AC916" s="213"/>
      <c r="AD916" s="213"/>
      <c r="AE916" s="213"/>
      <c r="AF916" s="213"/>
      <c r="AG916" s="213"/>
      <c r="AH916" s="213"/>
      <c r="AI916" s="213"/>
      <c r="AJ916" s="213"/>
      <c r="AK916" s="213"/>
      <c r="AL916" s="213"/>
      <c r="AM916" s="302"/>
      <c r="AN916" s="302"/>
      <c r="AO916" s="303"/>
      <c r="AP916" s="285"/>
      <c r="AQ916" s="258"/>
      <c r="AR916" s="258"/>
    </row>
    <row r="917" spans="10:44" s="48" customFormat="1" hidden="1">
      <c r="J917" s="213"/>
      <c r="K917" s="213"/>
      <c r="L917" s="213"/>
      <c r="M917" s="213"/>
      <c r="N917" s="213"/>
      <c r="O917" s="213"/>
      <c r="P917" s="213"/>
      <c r="Q917" s="213"/>
      <c r="R917" s="213"/>
      <c r="S917" s="213"/>
      <c r="T917" s="213"/>
      <c r="U917" s="213"/>
      <c r="V917" s="213"/>
      <c r="W917" s="213"/>
      <c r="X917" s="213"/>
      <c r="Y917" s="213"/>
      <c r="Z917" s="213"/>
      <c r="AA917" s="213"/>
      <c r="AB917" s="213"/>
      <c r="AC917" s="213"/>
      <c r="AD917" s="213"/>
      <c r="AE917" s="213"/>
      <c r="AF917" s="213"/>
      <c r="AG917" s="213"/>
      <c r="AH917" s="213"/>
      <c r="AI917" s="213"/>
      <c r="AJ917" s="213"/>
      <c r="AK917" s="213"/>
      <c r="AL917" s="213"/>
      <c r="AM917" s="302"/>
      <c r="AN917" s="302"/>
      <c r="AO917" s="303"/>
      <c r="AP917" s="285"/>
      <c r="AQ917" s="258"/>
      <c r="AR917" s="258"/>
    </row>
    <row r="918" spans="10:44" s="48" customFormat="1" hidden="1">
      <c r="J918" s="213"/>
      <c r="K918" s="213"/>
      <c r="L918" s="213"/>
      <c r="M918" s="213"/>
      <c r="N918" s="213"/>
      <c r="O918" s="213"/>
      <c r="P918" s="213"/>
      <c r="Q918" s="213"/>
      <c r="R918" s="213"/>
      <c r="S918" s="213"/>
      <c r="T918" s="213"/>
      <c r="U918" s="213"/>
      <c r="V918" s="213"/>
      <c r="W918" s="213"/>
      <c r="X918" s="213"/>
      <c r="Y918" s="213"/>
      <c r="Z918" s="213"/>
      <c r="AA918" s="213"/>
      <c r="AB918" s="213"/>
      <c r="AC918" s="213"/>
      <c r="AD918" s="213"/>
      <c r="AE918" s="213"/>
      <c r="AF918" s="213"/>
      <c r="AG918" s="213"/>
      <c r="AH918" s="213"/>
      <c r="AI918" s="213"/>
      <c r="AJ918" s="213"/>
      <c r="AK918" s="213"/>
      <c r="AL918" s="213"/>
      <c r="AM918" s="302"/>
      <c r="AN918" s="302"/>
      <c r="AO918" s="303"/>
      <c r="AP918" s="285"/>
      <c r="AQ918" s="258"/>
      <c r="AR918" s="258"/>
    </row>
    <row r="919" spans="10:44" s="48" customFormat="1" hidden="1">
      <c r="J919" s="213"/>
      <c r="K919" s="213"/>
      <c r="L919" s="213"/>
      <c r="M919" s="213"/>
      <c r="N919" s="213"/>
      <c r="O919" s="213"/>
      <c r="P919" s="213"/>
      <c r="Q919" s="213"/>
      <c r="R919" s="213"/>
      <c r="S919" s="213"/>
      <c r="T919" s="213"/>
      <c r="U919" s="213"/>
      <c r="V919" s="213"/>
      <c r="W919" s="213"/>
      <c r="X919" s="213"/>
      <c r="Y919" s="213"/>
      <c r="Z919" s="213"/>
      <c r="AA919" s="213"/>
      <c r="AB919" s="213"/>
      <c r="AC919" s="213"/>
      <c r="AD919" s="213"/>
      <c r="AE919" s="213"/>
      <c r="AF919" s="213"/>
      <c r="AG919" s="213"/>
      <c r="AH919" s="213"/>
      <c r="AI919" s="213"/>
      <c r="AJ919" s="213"/>
      <c r="AK919" s="213"/>
      <c r="AL919" s="213"/>
      <c r="AM919" s="302"/>
      <c r="AN919" s="302"/>
      <c r="AO919" s="303"/>
      <c r="AP919" s="285"/>
      <c r="AQ919" s="258"/>
      <c r="AR919" s="258"/>
    </row>
    <row r="920" spans="10:44" s="48" customFormat="1" hidden="1">
      <c r="J920" s="213"/>
      <c r="K920" s="213"/>
      <c r="L920" s="213"/>
      <c r="M920" s="213"/>
      <c r="N920" s="213"/>
      <c r="O920" s="213"/>
      <c r="P920" s="213"/>
      <c r="Q920" s="213"/>
      <c r="R920" s="213"/>
      <c r="S920" s="213"/>
      <c r="T920" s="213"/>
      <c r="U920" s="213"/>
      <c r="V920" s="213"/>
      <c r="W920" s="213"/>
      <c r="X920" s="213"/>
      <c r="Y920" s="213"/>
      <c r="Z920" s="213"/>
      <c r="AA920" s="213"/>
      <c r="AB920" s="213"/>
      <c r="AC920" s="213"/>
      <c r="AD920" s="213"/>
      <c r="AE920" s="213"/>
      <c r="AF920" s="213"/>
      <c r="AG920" s="213"/>
      <c r="AH920" s="213"/>
      <c r="AI920" s="213"/>
      <c r="AJ920" s="213"/>
      <c r="AK920" s="213"/>
      <c r="AL920" s="213"/>
      <c r="AM920" s="302"/>
      <c r="AN920" s="302"/>
      <c r="AO920" s="303"/>
      <c r="AP920" s="285"/>
      <c r="AQ920" s="258"/>
      <c r="AR920" s="258"/>
    </row>
    <row r="921" spans="10:44" s="48" customFormat="1" hidden="1">
      <c r="J921" s="213"/>
      <c r="K921" s="213"/>
      <c r="L921" s="213"/>
      <c r="M921" s="213"/>
      <c r="N921" s="213"/>
      <c r="O921" s="213"/>
      <c r="P921" s="213"/>
      <c r="Q921" s="213"/>
      <c r="R921" s="213"/>
      <c r="S921" s="213"/>
      <c r="T921" s="213"/>
      <c r="U921" s="213"/>
      <c r="V921" s="213"/>
      <c r="W921" s="213"/>
      <c r="X921" s="213"/>
      <c r="Y921" s="213"/>
      <c r="Z921" s="213"/>
      <c r="AA921" s="213"/>
      <c r="AB921" s="213"/>
      <c r="AC921" s="213"/>
      <c r="AD921" s="213"/>
      <c r="AE921" s="213"/>
      <c r="AF921" s="213"/>
      <c r="AG921" s="213"/>
      <c r="AH921" s="213"/>
      <c r="AI921" s="213"/>
      <c r="AJ921" s="213"/>
      <c r="AK921" s="213"/>
      <c r="AL921" s="213"/>
      <c r="AM921" s="302"/>
      <c r="AN921" s="302"/>
      <c r="AO921" s="303"/>
      <c r="AP921" s="285"/>
      <c r="AQ921" s="258"/>
      <c r="AR921" s="258"/>
    </row>
    <row r="922" spans="10:44" s="48" customFormat="1" hidden="1">
      <c r="J922" s="213"/>
      <c r="K922" s="213"/>
      <c r="L922" s="213"/>
      <c r="M922" s="213"/>
      <c r="N922" s="213"/>
      <c r="O922" s="213"/>
      <c r="P922" s="213"/>
      <c r="Q922" s="213"/>
      <c r="R922" s="213"/>
      <c r="S922" s="213"/>
      <c r="T922" s="213"/>
      <c r="U922" s="213"/>
      <c r="V922" s="213"/>
      <c r="W922" s="213"/>
      <c r="X922" s="213"/>
      <c r="Y922" s="213"/>
      <c r="Z922" s="213"/>
      <c r="AA922" s="213"/>
      <c r="AB922" s="213"/>
      <c r="AC922" s="213"/>
      <c r="AD922" s="213"/>
      <c r="AE922" s="213"/>
      <c r="AF922" s="213"/>
      <c r="AG922" s="213"/>
      <c r="AH922" s="213"/>
      <c r="AI922" s="213"/>
      <c r="AJ922" s="213"/>
      <c r="AK922" s="213"/>
      <c r="AL922" s="213"/>
      <c r="AM922" s="302"/>
      <c r="AN922" s="302"/>
      <c r="AO922" s="303"/>
      <c r="AP922" s="285"/>
      <c r="AQ922" s="258"/>
      <c r="AR922" s="258"/>
    </row>
    <row r="923" spans="10:44" s="48" customFormat="1" hidden="1">
      <c r="J923" s="213"/>
      <c r="K923" s="213"/>
      <c r="L923" s="213"/>
      <c r="M923" s="213"/>
      <c r="N923" s="213"/>
      <c r="O923" s="213"/>
      <c r="P923" s="213"/>
      <c r="Q923" s="213"/>
      <c r="R923" s="213"/>
      <c r="S923" s="213"/>
      <c r="T923" s="213"/>
      <c r="U923" s="213"/>
      <c r="V923" s="213"/>
      <c r="W923" s="213"/>
      <c r="X923" s="213"/>
      <c r="Y923" s="213"/>
      <c r="Z923" s="213"/>
      <c r="AA923" s="213"/>
      <c r="AB923" s="213"/>
      <c r="AC923" s="213"/>
      <c r="AD923" s="213"/>
      <c r="AE923" s="213"/>
      <c r="AF923" s="213"/>
      <c r="AG923" s="213"/>
      <c r="AH923" s="213"/>
      <c r="AI923" s="213"/>
      <c r="AJ923" s="213"/>
      <c r="AK923" s="213"/>
      <c r="AL923" s="213"/>
      <c r="AM923" s="302"/>
      <c r="AN923" s="302"/>
      <c r="AO923" s="303"/>
      <c r="AP923" s="285"/>
      <c r="AQ923" s="258"/>
      <c r="AR923" s="258"/>
    </row>
    <row r="924" spans="10:44" s="48" customFormat="1" hidden="1">
      <c r="J924" s="213"/>
      <c r="K924" s="213"/>
      <c r="L924" s="213"/>
      <c r="M924" s="213"/>
      <c r="N924" s="213"/>
      <c r="O924" s="213"/>
      <c r="P924" s="213"/>
      <c r="Q924" s="213"/>
      <c r="R924" s="213"/>
      <c r="S924" s="213"/>
      <c r="T924" s="213"/>
      <c r="U924" s="213"/>
      <c r="V924" s="213"/>
      <c r="W924" s="213"/>
      <c r="X924" s="213"/>
      <c r="Y924" s="213"/>
      <c r="Z924" s="213"/>
      <c r="AA924" s="213"/>
      <c r="AB924" s="213"/>
      <c r="AC924" s="213"/>
      <c r="AD924" s="213"/>
      <c r="AE924" s="213"/>
      <c r="AF924" s="213"/>
      <c r="AG924" s="213"/>
      <c r="AH924" s="213"/>
      <c r="AI924" s="213"/>
      <c r="AJ924" s="213"/>
      <c r="AK924" s="213"/>
      <c r="AL924" s="213"/>
      <c r="AM924" s="302"/>
      <c r="AN924" s="302"/>
      <c r="AO924" s="303"/>
      <c r="AP924" s="285"/>
      <c r="AQ924" s="258"/>
      <c r="AR924" s="258"/>
    </row>
    <row r="925" spans="10:44" s="48" customFormat="1" hidden="1">
      <c r="J925" s="213"/>
      <c r="K925" s="213"/>
      <c r="L925" s="213"/>
      <c r="M925" s="213"/>
      <c r="N925" s="213"/>
      <c r="O925" s="213"/>
      <c r="P925" s="213"/>
      <c r="Q925" s="213"/>
      <c r="R925" s="213"/>
      <c r="S925" s="213"/>
      <c r="T925" s="213"/>
      <c r="U925" s="213"/>
      <c r="V925" s="213"/>
      <c r="W925" s="213"/>
      <c r="X925" s="213"/>
      <c r="Y925" s="213"/>
      <c r="Z925" s="213"/>
      <c r="AA925" s="213"/>
      <c r="AB925" s="213"/>
      <c r="AC925" s="213"/>
      <c r="AD925" s="213"/>
      <c r="AE925" s="213"/>
      <c r="AF925" s="213"/>
      <c r="AG925" s="213"/>
      <c r="AH925" s="213"/>
      <c r="AI925" s="213"/>
      <c r="AJ925" s="213"/>
      <c r="AK925" s="213"/>
      <c r="AL925" s="213"/>
      <c r="AM925" s="302"/>
      <c r="AN925" s="302"/>
      <c r="AO925" s="303"/>
      <c r="AP925" s="285"/>
      <c r="AQ925" s="258"/>
      <c r="AR925" s="258"/>
    </row>
    <row r="926" spans="10:44" s="48" customFormat="1" hidden="1">
      <c r="J926" s="213"/>
      <c r="K926" s="213"/>
      <c r="L926" s="213"/>
      <c r="M926" s="213"/>
      <c r="N926" s="213"/>
      <c r="O926" s="213"/>
      <c r="P926" s="213"/>
      <c r="Q926" s="213"/>
      <c r="R926" s="213"/>
      <c r="S926" s="213"/>
      <c r="T926" s="213"/>
      <c r="U926" s="213"/>
      <c r="V926" s="213"/>
      <c r="W926" s="213"/>
      <c r="X926" s="213"/>
      <c r="Y926" s="213"/>
      <c r="Z926" s="213"/>
      <c r="AA926" s="213"/>
      <c r="AB926" s="213"/>
      <c r="AC926" s="213"/>
      <c r="AD926" s="213"/>
      <c r="AE926" s="213"/>
      <c r="AF926" s="213"/>
      <c r="AG926" s="213"/>
      <c r="AH926" s="213"/>
      <c r="AI926" s="213"/>
      <c r="AJ926" s="213"/>
      <c r="AK926" s="213"/>
      <c r="AL926" s="213"/>
      <c r="AM926" s="302"/>
      <c r="AN926" s="302"/>
      <c r="AO926" s="303"/>
      <c r="AP926" s="285"/>
      <c r="AQ926" s="258"/>
      <c r="AR926" s="258"/>
    </row>
    <row r="927" spans="10:44" s="48" customFormat="1" hidden="1">
      <c r="J927" s="213"/>
      <c r="K927" s="213"/>
      <c r="L927" s="213"/>
      <c r="M927" s="213"/>
      <c r="N927" s="213"/>
      <c r="O927" s="213"/>
      <c r="P927" s="213"/>
      <c r="Q927" s="213"/>
      <c r="R927" s="213"/>
      <c r="S927" s="213"/>
      <c r="T927" s="213"/>
      <c r="U927" s="213"/>
      <c r="V927" s="213"/>
      <c r="W927" s="213"/>
      <c r="X927" s="213"/>
      <c r="Y927" s="213"/>
      <c r="Z927" s="213"/>
      <c r="AA927" s="213"/>
      <c r="AB927" s="213"/>
      <c r="AC927" s="213"/>
      <c r="AD927" s="213"/>
      <c r="AE927" s="213"/>
      <c r="AF927" s="213"/>
      <c r="AG927" s="213"/>
      <c r="AH927" s="213"/>
      <c r="AI927" s="213"/>
      <c r="AJ927" s="213"/>
      <c r="AK927" s="213"/>
      <c r="AL927" s="213"/>
      <c r="AM927" s="302"/>
      <c r="AN927" s="302"/>
      <c r="AO927" s="303"/>
      <c r="AP927" s="285"/>
      <c r="AQ927" s="258"/>
      <c r="AR927" s="258"/>
    </row>
    <row r="928" spans="10:44" s="48" customFormat="1" hidden="1">
      <c r="J928" s="213"/>
      <c r="K928" s="213"/>
      <c r="L928" s="213"/>
      <c r="M928" s="213"/>
      <c r="N928" s="213"/>
      <c r="O928" s="213"/>
      <c r="P928" s="213"/>
      <c r="Q928" s="213"/>
      <c r="R928" s="213"/>
      <c r="S928" s="213"/>
      <c r="T928" s="213"/>
      <c r="U928" s="213"/>
      <c r="V928" s="213"/>
      <c r="W928" s="213"/>
      <c r="X928" s="213"/>
      <c r="Y928" s="213"/>
      <c r="Z928" s="213"/>
      <c r="AA928" s="213"/>
      <c r="AB928" s="213"/>
      <c r="AC928" s="213"/>
      <c r="AD928" s="213"/>
      <c r="AE928" s="213"/>
      <c r="AF928" s="213"/>
      <c r="AG928" s="213"/>
      <c r="AH928" s="213"/>
      <c r="AI928" s="213"/>
      <c r="AJ928" s="213"/>
      <c r="AK928" s="213"/>
      <c r="AL928" s="213"/>
      <c r="AM928" s="302"/>
      <c r="AN928" s="302"/>
      <c r="AO928" s="303"/>
      <c r="AP928" s="285"/>
      <c r="AQ928" s="258"/>
      <c r="AR928" s="258"/>
    </row>
    <row r="929" spans="10:44" s="48" customFormat="1" hidden="1">
      <c r="J929" s="213"/>
      <c r="K929" s="213"/>
      <c r="L929" s="213"/>
      <c r="M929" s="213"/>
      <c r="N929" s="213"/>
      <c r="O929" s="213"/>
      <c r="P929" s="213"/>
      <c r="Q929" s="213"/>
      <c r="R929" s="213"/>
      <c r="S929" s="213"/>
      <c r="T929" s="213"/>
      <c r="U929" s="213"/>
      <c r="V929" s="213"/>
      <c r="W929" s="213"/>
      <c r="X929" s="213"/>
      <c r="Y929" s="213"/>
      <c r="Z929" s="213"/>
      <c r="AA929" s="213"/>
      <c r="AB929" s="213"/>
      <c r="AC929" s="213"/>
      <c r="AD929" s="213"/>
      <c r="AE929" s="213"/>
      <c r="AF929" s="213"/>
      <c r="AG929" s="213"/>
      <c r="AH929" s="213"/>
      <c r="AI929" s="213"/>
      <c r="AJ929" s="213"/>
      <c r="AK929" s="213"/>
      <c r="AL929" s="213"/>
      <c r="AM929" s="302"/>
      <c r="AN929" s="302"/>
      <c r="AO929" s="303"/>
      <c r="AP929" s="285"/>
      <c r="AQ929" s="258"/>
      <c r="AR929" s="258"/>
    </row>
    <row r="930" spans="10:44" s="48" customFormat="1" hidden="1">
      <c r="J930" s="213"/>
      <c r="K930" s="213"/>
      <c r="L930" s="213"/>
      <c r="M930" s="213"/>
      <c r="N930" s="213"/>
      <c r="O930" s="213"/>
      <c r="P930" s="213"/>
      <c r="Q930" s="213"/>
      <c r="R930" s="213"/>
      <c r="S930" s="213"/>
      <c r="T930" s="213"/>
      <c r="U930" s="213"/>
      <c r="V930" s="213"/>
      <c r="W930" s="213"/>
      <c r="X930" s="213"/>
      <c r="Y930" s="213"/>
      <c r="Z930" s="213"/>
      <c r="AA930" s="213"/>
      <c r="AB930" s="213"/>
      <c r="AC930" s="213"/>
      <c r="AD930" s="213"/>
      <c r="AE930" s="213"/>
      <c r="AF930" s="213"/>
      <c r="AG930" s="213"/>
      <c r="AH930" s="213"/>
      <c r="AI930" s="213"/>
      <c r="AJ930" s="213"/>
      <c r="AK930" s="213"/>
      <c r="AL930" s="213"/>
      <c r="AM930" s="302"/>
      <c r="AN930" s="302"/>
      <c r="AO930" s="303"/>
      <c r="AP930" s="285"/>
      <c r="AQ930" s="258"/>
      <c r="AR930" s="258"/>
    </row>
    <row r="931" spans="10:44" s="48" customFormat="1" hidden="1">
      <c r="J931" s="213"/>
      <c r="K931" s="213"/>
      <c r="L931" s="213"/>
      <c r="M931" s="213"/>
      <c r="N931" s="213"/>
      <c r="O931" s="213"/>
      <c r="P931" s="213"/>
      <c r="Q931" s="213"/>
      <c r="R931" s="213"/>
      <c r="S931" s="213"/>
      <c r="T931" s="213"/>
      <c r="U931" s="213"/>
      <c r="V931" s="213"/>
      <c r="W931" s="213"/>
      <c r="X931" s="213"/>
      <c r="Y931" s="213"/>
      <c r="Z931" s="213"/>
      <c r="AA931" s="213"/>
      <c r="AB931" s="213"/>
      <c r="AC931" s="213"/>
      <c r="AD931" s="213"/>
      <c r="AE931" s="213"/>
      <c r="AF931" s="213"/>
      <c r="AG931" s="213"/>
      <c r="AH931" s="213"/>
      <c r="AI931" s="213"/>
      <c r="AJ931" s="213"/>
      <c r="AK931" s="213"/>
      <c r="AL931" s="213"/>
      <c r="AM931" s="302"/>
      <c r="AN931" s="302"/>
      <c r="AO931" s="303"/>
      <c r="AP931" s="285"/>
      <c r="AQ931" s="258"/>
      <c r="AR931" s="258"/>
    </row>
    <row r="932" spans="10:44" s="48" customFormat="1" hidden="1">
      <c r="J932" s="213"/>
      <c r="K932" s="213"/>
      <c r="L932" s="213"/>
      <c r="M932" s="213"/>
      <c r="N932" s="213"/>
      <c r="O932" s="213"/>
      <c r="P932" s="213"/>
      <c r="Q932" s="213"/>
      <c r="R932" s="213"/>
      <c r="S932" s="213"/>
      <c r="T932" s="213"/>
      <c r="U932" s="213"/>
      <c r="V932" s="213"/>
      <c r="W932" s="213"/>
      <c r="X932" s="213"/>
      <c r="Y932" s="213"/>
      <c r="Z932" s="213"/>
      <c r="AA932" s="213"/>
      <c r="AB932" s="213"/>
      <c r="AC932" s="213"/>
      <c r="AD932" s="213"/>
      <c r="AE932" s="213"/>
      <c r="AF932" s="213"/>
      <c r="AG932" s="213"/>
      <c r="AH932" s="213"/>
      <c r="AI932" s="213"/>
      <c r="AJ932" s="213"/>
      <c r="AK932" s="213"/>
      <c r="AL932" s="213"/>
      <c r="AM932" s="302"/>
      <c r="AN932" s="302"/>
      <c r="AO932" s="303"/>
      <c r="AP932" s="285"/>
      <c r="AQ932" s="258"/>
      <c r="AR932" s="258"/>
    </row>
    <row r="933" spans="10:44" s="48" customFormat="1" hidden="1">
      <c r="J933" s="213"/>
      <c r="K933" s="213"/>
      <c r="L933" s="213"/>
      <c r="M933" s="213"/>
      <c r="N933" s="213"/>
      <c r="O933" s="213"/>
      <c r="P933" s="213"/>
      <c r="Q933" s="213"/>
      <c r="R933" s="213"/>
      <c r="S933" s="213"/>
      <c r="T933" s="213"/>
      <c r="U933" s="213"/>
      <c r="V933" s="213"/>
      <c r="W933" s="213"/>
      <c r="X933" s="213"/>
      <c r="Y933" s="213"/>
      <c r="Z933" s="213"/>
      <c r="AA933" s="213"/>
      <c r="AB933" s="213"/>
      <c r="AC933" s="213"/>
      <c r="AD933" s="213"/>
      <c r="AE933" s="213"/>
      <c r="AF933" s="213"/>
      <c r="AG933" s="213"/>
      <c r="AH933" s="213"/>
      <c r="AI933" s="213"/>
      <c r="AJ933" s="213"/>
      <c r="AK933" s="213"/>
      <c r="AL933" s="213"/>
      <c r="AM933" s="302"/>
      <c r="AN933" s="302"/>
      <c r="AO933" s="303"/>
      <c r="AP933" s="285"/>
      <c r="AQ933" s="258"/>
      <c r="AR933" s="258"/>
    </row>
    <row r="934" spans="10:44" s="48" customFormat="1" hidden="1">
      <c r="J934" s="213"/>
      <c r="K934" s="213"/>
      <c r="L934" s="213"/>
      <c r="M934" s="213"/>
      <c r="N934" s="213"/>
      <c r="O934" s="213"/>
      <c r="P934" s="213"/>
      <c r="Q934" s="213"/>
      <c r="R934" s="213"/>
      <c r="S934" s="213"/>
      <c r="T934" s="213"/>
      <c r="U934" s="213"/>
      <c r="V934" s="213"/>
      <c r="W934" s="213"/>
      <c r="X934" s="213"/>
      <c r="Y934" s="213"/>
      <c r="Z934" s="213"/>
      <c r="AA934" s="213"/>
      <c r="AB934" s="213"/>
      <c r="AC934" s="213"/>
      <c r="AD934" s="213"/>
      <c r="AE934" s="213"/>
      <c r="AF934" s="213"/>
      <c r="AG934" s="213"/>
      <c r="AH934" s="213"/>
      <c r="AI934" s="213"/>
      <c r="AJ934" s="213"/>
      <c r="AK934" s="213"/>
      <c r="AL934" s="213"/>
      <c r="AM934" s="302"/>
      <c r="AN934" s="302"/>
      <c r="AO934" s="303"/>
      <c r="AP934" s="285"/>
      <c r="AQ934" s="258"/>
      <c r="AR934" s="258"/>
    </row>
    <row r="935" spans="10:44" s="48" customFormat="1" hidden="1">
      <c r="J935" s="213"/>
      <c r="K935" s="213"/>
      <c r="L935" s="213"/>
      <c r="M935" s="213"/>
      <c r="N935" s="213"/>
      <c r="O935" s="213"/>
      <c r="P935" s="213"/>
      <c r="Q935" s="213"/>
      <c r="R935" s="213"/>
      <c r="S935" s="213"/>
      <c r="T935" s="213"/>
      <c r="U935" s="213"/>
      <c r="V935" s="213"/>
      <c r="W935" s="213"/>
      <c r="X935" s="213"/>
      <c r="Y935" s="213"/>
      <c r="Z935" s="213"/>
      <c r="AA935" s="213"/>
      <c r="AB935" s="213"/>
      <c r="AC935" s="213"/>
      <c r="AD935" s="213"/>
      <c r="AE935" s="213"/>
      <c r="AF935" s="213"/>
      <c r="AG935" s="213"/>
      <c r="AH935" s="213"/>
      <c r="AI935" s="213"/>
      <c r="AJ935" s="213"/>
      <c r="AK935" s="213"/>
      <c r="AL935" s="213"/>
      <c r="AM935" s="302"/>
      <c r="AN935" s="302"/>
      <c r="AO935" s="303"/>
      <c r="AP935" s="285"/>
      <c r="AQ935" s="258"/>
      <c r="AR935" s="258"/>
    </row>
    <row r="936" spans="10:44" s="48" customFormat="1" hidden="1">
      <c r="J936" s="213"/>
      <c r="K936" s="213"/>
      <c r="L936" s="213"/>
      <c r="M936" s="213"/>
      <c r="N936" s="213"/>
      <c r="O936" s="213"/>
      <c r="P936" s="213"/>
      <c r="Q936" s="213"/>
      <c r="R936" s="213"/>
      <c r="S936" s="213"/>
      <c r="T936" s="213"/>
      <c r="U936" s="213"/>
      <c r="V936" s="213"/>
      <c r="W936" s="213"/>
      <c r="X936" s="213"/>
      <c r="Y936" s="213"/>
      <c r="Z936" s="213"/>
      <c r="AA936" s="213"/>
      <c r="AB936" s="213"/>
      <c r="AC936" s="213"/>
      <c r="AD936" s="213"/>
      <c r="AE936" s="213"/>
      <c r="AF936" s="213"/>
      <c r="AG936" s="213"/>
      <c r="AH936" s="213"/>
      <c r="AI936" s="213"/>
      <c r="AJ936" s="213"/>
      <c r="AK936" s="213"/>
      <c r="AL936" s="213"/>
      <c r="AM936" s="302"/>
      <c r="AN936" s="302"/>
      <c r="AO936" s="303"/>
      <c r="AP936" s="285"/>
      <c r="AQ936" s="258"/>
      <c r="AR936" s="258"/>
    </row>
    <row r="937" spans="10:44" s="48" customFormat="1" hidden="1">
      <c r="J937" s="213"/>
      <c r="K937" s="213"/>
      <c r="L937" s="213"/>
      <c r="M937" s="213"/>
      <c r="N937" s="213"/>
      <c r="O937" s="213"/>
      <c r="P937" s="213"/>
      <c r="Q937" s="213"/>
      <c r="R937" s="213"/>
      <c r="S937" s="213"/>
      <c r="T937" s="213"/>
      <c r="U937" s="213"/>
      <c r="V937" s="213"/>
      <c r="W937" s="213"/>
      <c r="X937" s="213"/>
      <c r="Y937" s="213"/>
      <c r="Z937" s="213"/>
      <c r="AA937" s="213"/>
      <c r="AB937" s="213"/>
      <c r="AC937" s="213"/>
      <c r="AD937" s="213"/>
      <c r="AE937" s="213"/>
      <c r="AF937" s="213"/>
      <c r="AG937" s="213"/>
      <c r="AH937" s="213"/>
      <c r="AI937" s="213"/>
      <c r="AJ937" s="213"/>
      <c r="AK937" s="213"/>
      <c r="AL937" s="213"/>
      <c r="AM937" s="302"/>
      <c r="AN937" s="302"/>
      <c r="AO937" s="303"/>
      <c r="AP937" s="285"/>
      <c r="AQ937" s="258"/>
      <c r="AR937" s="258"/>
    </row>
    <row r="938" spans="10:44" s="48" customFormat="1" hidden="1">
      <c r="J938" s="213"/>
      <c r="K938" s="213"/>
      <c r="L938" s="213"/>
      <c r="M938" s="213"/>
      <c r="N938" s="213"/>
      <c r="O938" s="213"/>
      <c r="P938" s="213"/>
      <c r="Q938" s="213"/>
      <c r="R938" s="213"/>
      <c r="S938" s="213"/>
      <c r="T938" s="213"/>
      <c r="U938" s="213"/>
      <c r="V938" s="213"/>
      <c r="W938" s="213"/>
      <c r="X938" s="213"/>
      <c r="Y938" s="213"/>
      <c r="Z938" s="213"/>
      <c r="AA938" s="213"/>
      <c r="AB938" s="213"/>
      <c r="AC938" s="213"/>
      <c r="AD938" s="213"/>
      <c r="AE938" s="213"/>
      <c r="AF938" s="213"/>
      <c r="AG938" s="213"/>
      <c r="AH938" s="213"/>
      <c r="AI938" s="213"/>
      <c r="AJ938" s="213"/>
      <c r="AK938" s="213"/>
      <c r="AL938" s="213"/>
      <c r="AM938" s="302"/>
      <c r="AN938" s="302"/>
      <c r="AO938" s="303"/>
      <c r="AP938" s="285"/>
      <c r="AQ938" s="258"/>
      <c r="AR938" s="258"/>
    </row>
    <row r="939" spans="10:44" s="48" customFormat="1" hidden="1">
      <c r="J939" s="213"/>
      <c r="K939" s="213"/>
      <c r="L939" s="213"/>
      <c r="M939" s="213"/>
      <c r="N939" s="213"/>
      <c r="O939" s="213"/>
      <c r="P939" s="213"/>
      <c r="Q939" s="213"/>
      <c r="R939" s="213"/>
      <c r="S939" s="213"/>
      <c r="T939" s="213"/>
      <c r="U939" s="213"/>
      <c r="V939" s="213"/>
      <c r="W939" s="213"/>
      <c r="X939" s="213"/>
      <c r="Y939" s="213"/>
      <c r="Z939" s="213"/>
      <c r="AA939" s="213"/>
      <c r="AB939" s="213"/>
      <c r="AC939" s="213"/>
      <c r="AD939" s="213"/>
      <c r="AE939" s="213"/>
      <c r="AF939" s="213"/>
      <c r="AG939" s="213"/>
      <c r="AH939" s="213"/>
      <c r="AI939" s="213"/>
      <c r="AJ939" s="213"/>
      <c r="AK939" s="213"/>
      <c r="AL939" s="213"/>
      <c r="AM939" s="302"/>
      <c r="AN939" s="302"/>
      <c r="AO939" s="303"/>
      <c r="AP939" s="285"/>
      <c r="AQ939" s="258"/>
      <c r="AR939" s="258"/>
    </row>
    <row r="940" spans="10:44" s="48" customFormat="1" hidden="1">
      <c r="J940" s="213"/>
      <c r="K940" s="213"/>
      <c r="L940" s="213"/>
      <c r="M940" s="213"/>
      <c r="N940" s="213"/>
      <c r="O940" s="213"/>
      <c r="P940" s="213"/>
      <c r="Q940" s="213"/>
      <c r="R940" s="213"/>
      <c r="S940" s="213"/>
      <c r="T940" s="213"/>
      <c r="U940" s="213"/>
      <c r="V940" s="213"/>
      <c r="W940" s="213"/>
      <c r="X940" s="213"/>
      <c r="Y940" s="213"/>
      <c r="Z940" s="213"/>
      <c r="AA940" s="213"/>
      <c r="AB940" s="213"/>
      <c r="AC940" s="213"/>
      <c r="AD940" s="213"/>
      <c r="AE940" s="213"/>
      <c r="AF940" s="213"/>
      <c r="AG940" s="213"/>
      <c r="AH940" s="213"/>
      <c r="AI940" s="213"/>
      <c r="AJ940" s="213"/>
      <c r="AK940" s="213"/>
      <c r="AL940" s="213"/>
      <c r="AM940" s="302"/>
      <c r="AN940" s="302"/>
      <c r="AO940" s="303"/>
      <c r="AP940" s="285"/>
      <c r="AQ940" s="258"/>
      <c r="AR940" s="258"/>
    </row>
    <row r="941" spans="10:44" s="48" customFormat="1" hidden="1">
      <c r="J941" s="213"/>
      <c r="K941" s="213"/>
      <c r="L941" s="213"/>
      <c r="M941" s="213"/>
      <c r="N941" s="213"/>
      <c r="O941" s="213"/>
      <c r="P941" s="213"/>
      <c r="Q941" s="213"/>
      <c r="R941" s="213"/>
      <c r="S941" s="213"/>
      <c r="T941" s="213"/>
      <c r="U941" s="213"/>
      <c r="V941" s="213"/>
      <c r="W941" s="213"/>
      <c r="X941" s="213"/>
      <c r="Y941" s="213"/>
      <c r="Z941" s="213"/>
      <c r="AA941" s="213"/>
      <c r="AB941" s="213"/>
      <c r="AC941" s="213"/>
      <c r="AD941" s="213"/>
      <c r="AE941" s="213"/>
      <c r="AF941" s="213"/>
      <c r="AG941" s="213"/>
      <c r="AH941" s="213"/>
      <c r="AI941" s="213"/>
      <c r="AJ941" s="213"/>
      <c r="AK941" s="213"/>
      <c r="AL941" s="213"/>
      <c r="AM941" s="302"/>
      <c r="AN941" s="302"/>
      <c r="AO941" s="303"/>
      <c r="AP941" s="285"/>
      <c r="AQ941" s="258"/>
      <c r="AR941" s="258"/>
    </row>
    <row r="942" spans="10:44" s="48" customFormat="1" hidden="1">
      <c r="J942" s="213"/>
      <c r="K942" s="213"/>
      <c r="L942" s="213"/>
      <c r="M942" s="213"/>
      <c r="N942" s="213"/>
      <c r="O942" s="213"/>
      <c r="P942" s="213"/>
      <c r="Q942" s="213"/>
      <c r="R942" s="213"/>
      <c r="S942" s="213"/>
      <c r="T942" s="213"/>
      <c r="U942" s="213"/>
      <c r="V942" s="213"/>
      <c r="W942" s="213"/>
      <c r="X942" s="213"/>
      <c r="Y942" s="213"/>
      <c r="Z942" s="213"/>
      <c r="AA942" s="213"/>
      <c r="AB942" s="213"/>
      <c r="AC942" s="213"/>
      <c r="AD942" s="213"/>
      <c r="AE942" s="213"/>
      <c r="AF942" s="213"/>
      <c r="AG942" s="213"/>
      <c r="AH942" s="213"/>
      <c r="AI942" s="213"/>
      <c r="AJ942" s="213"/>
      <c r="AK942" s="213"/>
      <c r="AL942" s="213"/>
      <c r="AM942" s="302"/>
      <c r="AN942" s="302"/>
      <c r="AO942" s="303"/>
      <c r="AP942" s="285"/>
      <c r="AQ942" s="258"/>
      <c r="AR942" s="258"/>
    </row>
    <row r="943" spans="10:44" s="48" customFormat="1" hidden="1">
      <c r="J943" s="213"/>
      <c r="K943" s="213"/>
      <c r="L943" s="213"/>
      <c r="M943" s="213"/>
      <c r="N943" s="213"/>
      <c r="O943" s="213"/>
      <c r="P943" s="213"/>
      <c r="Q943" s="213"/>
      <c r="R943" s="213"/>
      <c r="S943" s="213"/>
      <c r="T943" s="213"/>
      <c r="U943" s="213"/>
      <c r="V943" s="213"/>
      <c r="W943" s="213"/>
      <c r="X943" s="213"/>
      <c r="Y943" s="213"/>
      <c r="Z943" s="213"/>
      <c r="AA943" s="213"/>
      <c r="AB943" s="213"/>
      <c r="AC943" s="213"/>
      <c r="AD943" s="213"/>
      <c r="AE943" s="213"/>
      <c r="AF943" s="213"/>
      <c r="AG943" s="213"/>
      <c r="AH943" s="213"/>
      <c r="AI943" s="213"/>
      <c r="AJ943" s="213"/>
      <c r="AK943" s="213"/>
      <c r="AL943" s="213"/>
      <c r="AM943" s="302"/>
      <c r="AN943" s="302"/>
      <c r="AO943" s="303"/>
      <c r="AP943" s="285"/>
      <c r="AQ943" s="258"/>
      <c r="AR943" s="258"/>
    </row>
    <row r="944" spans="10:44" s="48" customFormat="1" hidden="1">
      <c r="J944" s="213"/>
      <c r="K944" s="213"/>
      <c r="L944" s="213"/>
      <c r="M944" s="213"/>
      <c r="N944" s="213"/>
      <c r="O944" s="213"/>
      <c r="P944" s="213"/>
      <c r="Q944" s="213"/>
      <c r="R944" s="213"/>
      <c r="S944" s="213"/>
      <c r="T944" s="213"/>
      <c r="U944" s="213"/>
      <c r="V944" s="213"/>
      <c r="W944" s="213"/>
      <c r="X944" s="213"/>
      <c r="Y944" s="213"/>
      <c r="Z944" s="213"/>
      <c r="AA944" s="213"/>
      <c r="AB944" s="213"/>
      <c r="AC944" s="213"/>
      <c r="AD944" s="213"/>
      <c r="AE944" s="213"/>
      <c r="AF944" s="213"/>
      <c r="AG944" s="213"/>
      <c r="AH944" s="213"/>
      <c r="AI944" s="213"/>
      <c r="AJ944" s="213"/>
      <c r="AK944" s="213"/>
      <c r="AL944" s="213"/>
      <c r="AM944" s="302"/>
      <c r="AN944" s="302"/>
      <c r="AO944" s="303"/>
      <c r="AP944" s="285"/>
      <c r="AQ944" s="258"/>
      <c r="AR944" s="258"/>
    </row>
    <row r="945" spans="10:44" s="48" customFormat="1" hidden="1">
      <c r="J945" s="213"/>
      <c r="K945" s="213"/>
      <c r="L945" s="213"/>
      <c r="M945" s="213"/>
      <c r="N945" s="213"/>
      <c r="O945" s="213"/>
      <c r="P945" s="213"/>
      <c r="Q945" s="213"/>
      <c r="R945" s="213"/>
      <c r="S945" s="213"/>
      <c r="T945" s="213"/>
      <c r="U945" s="213"/>
      <c r="V945" s="213"/>
      <c r="W945" s="213"/>
      <c r="X945" s="213"/>
      <c r="Y945" s="213"/>
      <c r="Z945" s="213"/>
      <c r="AA945" s="213"/>
      <c r="AB945" s="213"/>
      <c r="AC945" s="213"/>
      <c r="AD945" s="213"/>
      <c r="AE945" s="213"/>
      <c r="AF945" s="213"/>
      <c r="AG945" s="213"/>
      <c r="AH945" s="213"/>
      <c r="AI945" s="213"/>
      <c r="AJ945" s="213"/>
      <c r="AK945" s="213"/>
      <c r="AL945" s="213"/>
      <c r="AM945" s="302"/>
      <c r="AN945" s="302"/>
      <c r="AO945" s="303"/>
      <c r="AP945" s="285"/>
      <c r="AQ945" s="258"/>
      <c r="AR945" s="258"/>
    </row>
    <row r="946" spans="10:44" s="48" customFormat="1" hidden="1">
      <c r="J946" s="213"/>
      <c r="K946" s="213"/>
      <c r="L946" s="213"/>
      <c r="M946" s="213"/>
      <c r="N946" s="213"/>
      <c r="O946" s="213"/>
      <c r="P946" s="213"/>
      <c r="Q946" s="213"/>
      <c r="R946" s="213"/>
      <c r="S946" s="213"/>
      <c r="T946" s="213"/>
      <c r="U946" s="213"/>
      <c r="V946" s="213"/>
      <c r="W946" s="213"/>
      <c r="X946" s="213"/>
      <c r="Y946" s="213"/>
      <c r="Z946" s="213"/>
      <c r="AA946" s="213"/>
      <c r="AB946" s="213"/>
      <c r="AC946" s="213"/>
      <c r="AD946" s="213"/>
      <c r="AE946" s="213"/>
      <c r="AF946" s="213"/>
      <c r="AG946" s="213"/>
      <c r="AH946" s="213"/>
      <c r="AI946" s="213"/>
      <c r="AJ946" s="213"/>
      <c r="AK946" s="213"/>
      <c r="AL946" s="213"/>
      <c r="AM946" s="302"/>
      <c r="AN946" s="302"/>
      <c r="AO946" s="303"/>
      <c r="AP946" s="285"/>
      <c r="AQ946" s="258"/>
      <c r="AR946" s="258"/>
    </row>
    <row r="947" spans="10:44" s="48" customFormat="1" hidden="1">
      <c r="J947" s="213"/>
      <c r="K947" s="213"/>
      <c r="L947" s="213"/>
      <c r="M947" s="213"/>
      <c r="N947" s="213"/>
      <c r="O947" s="213"/>
      <c r="P947" s="213"/>
      <c r="Q947" s="213"/>
      <c r="R947" s="213"/>
      <c r="S947" s="213"/>
      <c r="T947" s="213"/>
      <c r="U947" s="213"/>
      <c r="V947" s="213"/>
      <c r="W947" s="213"/>
      <c r="X947" s="213"/>
      <c r="Y947" s="213"/>
      <c r="Z947" s="213"/>
      <c r="AA947" s="213"/>
      <c r="AB947" s="213"/>
      <c r="AC947" s="213"/>
      <c r="AD947" s="213"/>
      <c r="AE947" s="213"/>
      <c r="AF947" s="213"/>
      <c r="AG947" s="213"/>
      <c r="AH947" s="213"/>
      <c r="AI947" s="213"/>
      <c r="AJ947" s="213"/>
      <c r="AK947" s="213"/>
      <c r="AL947" s="213"/>
      <c r="AM947" s="302"/>
      <c r="AN947" s="302"/>
      <c r="AO947" s="303"/>
      <c r="AP947" s="285"/>
      <c r="AQ947" s="258"/>
      <c r="AR947" s="258"/>
    </row>
    <row r="948" spans="10:44" s="48" customFormat="1" hidden="1">
      <c r="J948" s="213"/>
      <c r="K948" s="213"/>
      <c r="L948" s="213"/>
      <c r="M948" s="213"/>
      <c r="N948" s="213"/>
      <c r="O948" s="213"/>
      <c r="P948" s="213"/>
      <c r="Q948" s="213"/>
      <c r="R948" s="213"/>
      <c r="S948" s="213"/>
      <c r="T948" s="213"/>
      <c r="U948" s="213"/>
      <c r="V948" s="213"/>
      <c r="W948" s="213"/>
      <c r="X948" s="213"/>
      <c r="Y948" s="213"/>
      <c r="Z948" s="213"/>
      <c r="AA948" s="213"/>
      <c r="AB948" s="213"/>
      <c r="AC948" s="213"/>
      <c r="AD948" s="213"/>
      <c r="AE948" s="213"/>
      <c r="AF948" s="213"/>
      <c r="AG948" s="213"/>
      <c r="AH948" s="213"/>
      <c r="AI948" s="213"/>
      <c r="AJ948" s="213"/>
      <c r="AK948" s="213"/>
      <c r="AL948" s="213"/>
      <c r="AM948" s="302"/>
      <c r="AN948" s="302"/>
      <c r="AO948" s="303"/>
      <c r="AP948" s="285"/>
      <c r="AQ948" s="258"/>
      <c r="AR948" s="258"/>
    </row>
    <row r="949" spans="10:44" s="48" customFormat="1" hidden="1">
      <c r="J949" s="213"/>
      <c r="K949" s="213"/>
      <c r="L949" s="213"/>
      <c r="M949" s="213"/>
      <c r="N949" s="213"/>
      <c r="O949" s="213"/>
      <c r="P949" s="213"/>
      <c r="Q949" s="213"/>
      <c r="R949" s="213"/>
      <c r="S949" s="213"/>
      <c r="T949" s="213"/>
      <c r="U949" s="213"/>
      <c r="V949" s="213"/>
      <c r="W949" s="213"/>
      <c r="X949" s="213"/>
      <c r="Y949" s="213"/>
      <c r="Z949" s="213"/>
      <c r="AA949" s="213"/>
      <c r="AB949" s="213"/>
      <c r="AC949" s="213"/>
      <c r="AD949" s="213"/>
      <c r="AE949" s="213"/>
      <c r="AF949" s="213"/>
      <c r="AG949" s="213"/>
      <c r="AH949" s="213"/>
      <c r="AI949" s="213"/>
      <c r="AJ949" s="213"/>
      <c r="AK949" s="213"/>
      <c r="AL949" s="213"/>
      <c r="AM949" s="302"/>
      <c r="AN949" s="302"/>
      <c r="AO949" s="303"/>
      <c r="AP949" s="285"/>
      <c r="AQ949" s="258"/>
      <c r="AR949" s="258"/>
    </row>
    <row r="950" spans="10:44" s="48" customFormat="1" hidden="1">
      <c r="J950" s="213"/>
      <c r="K950" s="213"/>
      <c r="L950" s="213"/>
      <c r="M950" s="213"/>
      <c r="N950" s="213"/>
      <c r="O950" s="213"/>
      <c r="P950" s="213"/>
      <c r="Q950" s="213"/>
      <c r="R950" s="213"/>
      <c r="S950" s="213"/>
      <c r="T950" s="213"/>
      <c r="U950" s="213"/>
      <c r="V950" s="213"/>
      <c r="W950" s="213"/>
      <c r="X950" s="213"/>
      <c r="Y950" s="213"/>
      <c r="Z950" s="213"/>
      <c r="AA950" s="213"/>
      <c r="AB950" s="213"/>
      <c r="AC950" s="213"/>
      <c r="AD950" s="213"/>
      <c r="AE950" s="213"/>
      <c r="AF950" s="213"/>
      <c r="AG950" s="213"/>
      <c r="AH950" s="213"/>
      <c r="AI950" s="213"/>
      <c r="AJ950" s="213"/>
      <c r="AK950" s="213"/>
      <c r="AL950" s="213"/>
      <c r="AM950" s="302"/>
      <c r="AN950" s="302"/>
      <c r="AO950" s="303"/>
      <c r="AP950" s="285"/>
      <c r="AQ950" s="258"/>
      <c r="AR950" s="258"/>
    </row>
    <row r="951" spans="10:44" s="48" customFormat="1" hidden="1">
      <c r="J951" s="213"/>
      <c r="K951" s="213"/>
      <c r="L951" s="213"/>
      <c r="M951" s="213"/>
      <c r="N951" s="213"/>
      <c r="O951" s="213"/>
      <c r="P951" s="213"/>
      <c r="Q951" s="213"/>
      <c r="R951" s="213"/>
      <c r="S951" s="213"/>
      <c r="T951" s="213"/>
      <c r="U951" s="213"/>
      <c r="V951" s="213"/>
      <c r="W951" s="213"/>
      <c r="X951" s="213"/>
      <c r="Y951" s="213"/>
      <c r="Z951" s="213"/>
      <c r="AA951" s="213"/>
      <c r="AB951" s="213"/>
      <c r="AC951" s="213"/>
      <c r="AD951" s="213"/>
      <c r="AE951" s="213"/>
      <c r="AF951" s="213"/>
      <c r="AG951" s="213"/>
      <c r="AH951" s="213"/>
      <c r="AI951" s="213"/>
      <c r="AJ951" s="213"/>
      <c r="AK951" s="213"/>
      <c r="AL951" s="213"/>
      <c r="AM951" s="302"/>
      <c r="AN951" s="302"/>
      <c r="AO951" s="303"/>
      <c r="AP951" s="285"/>
      <c r="AQ951" s="258"/>
      <c r="AR951" s="258"/>
    </row>
    <row r="952" spans="10:44" s="48" customFormat="1" hidden="1">
      <c r="J952" s="213"/>
      <c r="K952" s="213"/>
      <c r="L952" s="213"/>
      <c r="M952" s="213"/>
      <c r="N952" s="213"/>
      <c r="O952" s="213"/>
      <c r="P952" s="213"/>
      <c r="Q952" s="213"/>
      <c r="R952" s="213"/>
      <c r="S952" s="213"/>
      <c r="T952" s="213"/>
      <c r="U952" s="213"/>
      <c r="V952" s="213"/>
      <c r="W952" s="213"/>
      <c r="X952" s="213"/>
      <c r="Y952" s="213"/>
      <c r="Z952" s="213"/>
      <c r="AA952" s="213"/>
      <c r="AB952" s="213"/>
      <c r="AC952" s="213"/>
      <c r="AD952" s="213"/>
      <c r="AE952" s="213"/>
      <c r="AF952" s="213"/>
      <c r="AG952" s="213"/>
      <c r="AH952" s="213"/>
      <c r="AI952" s="213"/>
      <c r="AJ952" s="213"/>
      <c r="AK952" s="213"/>
      <c r="AL952" s="213"/>
      <c r="AM952" s="302"/>
      <c r="AN952" s="302"/>
      <c r="AO952" s="303"/>
      <c r="AP952" s="285"/>
      <c r="AQ952" s="258"/>
      <c r="AR952" s="258"/>
    </row>
    <row r="953" spans="10:44" s="48" customFormat="1" hidden="1">
      <c r="J953" s="213"/>
      <c r="K953" s="213"/>
      <c r="L953" s="213"/>
      <c r="M953" s="213"/>
      <c r="N953" s="213"/>
      <c r="O953" s="213"/>
      <c r="P953" s="213"/>
      <c r="Q953" s="213"/>
      <c r="R953" s="213"/>
      <c r="S953" s="213"/>
      <c r="T953" s="213"/>
      <c r="U953" s="213"/>
      <c r="V953" s="213"/>
      <c r="W953" s="213"/>
      <c r="X953" s="213"/>
      <c r="Y953" s="213"/>
      <c r="Z953" s="213"/>
      <c r="AA953" s="213"/>
      <c r="AB953" s="213"/>
      <c r="AC953" s="213"/>
      <c r="AD953" s="213"/>
      <c r="AE953" s="213"/>
      <c r="AF953" s="213"/>
      <c r="AG953" s="213"/>
      <c r="AH953" s="213"/>
      <c r="AI953" s="213"/>
      <c r="AJ953" s="213"/>
      <c r="AK953" s="213"/>
      <c r="AL953" s="213"/>
      <c r="AM953" s="302"/>
      <c r="AN953" s="302"/>
      <c r="AO953" s="303"/>
      <c r="AP953" s="285"/>
      <c r="AQ953" s="258"/>
      <c r="AR953" s="258"/>
    </row>
    <row r="954" spans="10:44" s="48" customFormat="1" hidden="1">
      <c r="J954" s="213"/>
      <c r="K954" s="213"/>
      <c r="L954" s="213"/>
      <c r="M954" s="213"/>
      <c r="N954" s="213"/>
      <c r="O954" s="213"/>
      <c r="P954" s="213"/>
      <c r="Q954" s="213"/>
      <c r="R954" s="213"/>
      <c r="S954" s="213"/>
      <c r="T954" s="213"/>
      <c r="U954" s="213"/>
      <c r="V954" s="213"/>
      <c r="W954" s="213"/>
      <c r="X954" s="213"/>
      <c r="Y954" s="213"/>
      <c r="Z954" s="213"/>
      <c r="AA954" s="213"/>
      <c r="AB954" s="213"/>
      <c r="AC954" s="213"/>
      <c r="AD954" s="213"/>
      <c r="AE954" s="213"/>
      <c r="AF954" s="213"/>
      <c r="AG954" s="213"/>
      <c r="AH954" s="213"/>
      <c r="AI954" s="213"/>
      <c r="AJ954" s="213"/>
      <c r="AK954" s="213"/>
      <c r="AL954" s="213"/>
      <c r="AM954" s="302"/>
      <c r="AN954" s="302"/>
      <c r="AO954" s="303"/>
      <c r="AP954" s="285"/>
      <c r="AQ954" s="258"/>
      <c r="AR954" s="258"/>
    </row>
    <row r="955" spans="10:44" s="48" customFormat="1" hidden="1">
      <c r="J955" s="213"/>
      <c r="K955" s="213"/>
      <c r="L955" s="213"/>
      <c r="M955" s="213"/>
      <c r="N955" s="213"/>
      <c r="O955" s="213"/>
      <c r="P955" s="213"/>
      <c r="Q955" s="213"/>
      <c r="R955" s="213"/>
      <c r="S955" s="213"/>
      <c r="T955" s="213"/>
      <c r="U955" s="213"/>
      <c r="V955" s="213"/>
      <c r="W955" s="213"/>
      <c r="X955" s="213"/>
      <c r="Y955" s="213"/>
      <c r="Z955" s="213"/>
      <c r="AA955" s="213"/>
      <c r="AB955" s="213"/>
      <c r="AC955" s="213"/>
      <c r="AD955" s="213"/>
      <c r="AE955" s="213"/>
      <c r="AF955" s="213"/>
      <c r="AG955" s="213"/>
      <c r="AH955" s="213"/>
      <c r="AI955" s="213"/>
      <c r="AJ955" s="213"/>
      <c r="AK955" s="213"/>
      <c r="AL955" s="213"/>
      <c r="AM955" s="302"/>
      <c r="AN955" s="302"/>
      <c r="AO955" s="303"/>
      <c r="AP955" s="285"/>
      <c r="AQ955" s="258"/>
      <c r="AR955" s="258"/>
    </row>
    <row r="956" spans="10:44" s="48" customFormat="1" hidden="1">
      <c r="J956" s="213"/>
      <c r="K956" s="213"/>
      <c r="L956" s="213"/>
      <c r="M956" s="213"/>
      <c r="N956" s="213"/>
      <c r="O956" s="213"/>
      <c r="P956" s="213"/>
      <c r="Q956" s="213"/>
      <c r="R956" s="213"/>
      <c r="S956" s="213"/>
      <c r="T956" s="213"/>
      <c r="U956" s="213"/>
      <c r="V956" s="213"/>
      <c r="W956" s="213"/>
      <c r="X956" s="213"/>
      <c r="Y956" s="213"/>
      <c r="Z956" s="213"/>
      <c r="AA956" s="213"/>
      <c r="AB956" s="213"/>
      <c r="AC956" s="213"/>
      <c r="AD956" s="213"/>
      <c r="AE956" s="213"/>
      <c r="AF956" s="213"/>
      <c r="AG956" s="213"/>
      <c r="AH956" s="213"/>
      <c r="AI956" s="213"/>
      <c r="AJ956" s="213"/>
      <c r="AK956" s="213"/>
      <c r="AL956" s="213"/>
      <c r="AM956" s="302"/>
      <c r="AN956" s="302"/>
      <c r="AO956" s="303"/>
      <c r="AP956" s="285"/>
      <c r="AQ956" s="258"/>
      <c r="AR956" s="258"/>
    </row>
    <row r="957" spans="10:44" s="48" customFormat="1" hidden="1">
      <c r="J957" s="213"/>
      <c r="K957" s="213"/>
      <c r="L957" s="213"/>
      <c r="M957" s="213"/>
      <c r="N957" s="213"/>
      <c r="O957" s="213"/>
      <c r="P957" s="213"/>
      <c r="Q957" s="213"/>
      <c r="R957" s="213"/>
      <c r="S957" s="213"/>
      <c r="T957" s="213"/>
      <c r="U957" s="213"/>
      <c r="V957" s="213"/>
      <c r="W957" s="213"/>
      <c r="X957" s="213"/>
      <c r="Y957" s="213"/>
      <c r="Z957" s="213"/>
      <c r="AA957" s="213"/>
      <c r="AB957" s="213"/>
      <c r="AC957" s="213"/>
      <c r="AD957" s="213"/>
      <c r="AE957" s="213"/>
      <c r="AF957" s="213"/>
      <c r="AG957" s="213"/>
      <c r="AH957" s="213"/>
      <c r="AI957" s="213"/>
      <c r="AJ957" s="213"/>
      <c r="AK957" s="213"/>
      <c r="AL957" s="213"/>
      <c r="AM957" s="302"/>
      <c r="AN957" s="302"/>
      <c r="AO957" s="303"/>
      <c r="AP957" s="285"/>
      <c r="AQ957" s="258"/>
      <c r="AR957" s="258"/>
    </row>
    <row r="958" spans="10:44" s="48" customFormat="1" hidden="1">
      <c r="J958" s="213"/>
      <c r="K958" s="213"/>
      <c r="L958" s="213"/>
      <c r="M958" s="213"/>
      <c r="N958" s="213"/>
      <c r="O958" s="213"/>
      <c r="P958" s="213"/>
      <c r="Q958" s="213"/>
      <c r="R958" s="213"/>
      <c r="S958" s="213"/>
      <c r="T958" s="213"/>
      <c r="U958" s="213"/>
      <c r="V958" s="213"/>
      <c r="W958" s="213"/>
      <c r="X958" s="213"/>
      <c r="Y958" s="213"/>
      <c r="Z958" s="213"/>
      <c r="AA958" s="213"/>
      <c r="AB958" s="213"/>
      <c r="AC958" s="213"/>
      <c r="AD958" s="213"/>
      <c r="AE958" s="213"/>
      <c r="AF958" s="213"/>
      <c r="AG958" s="213"/>
      <c r="AH958" s="213"/>
      <c r="AI958" s="213"/>
      <c r="AJ958" s="213"/>
      <c r="AK958" s="213"/>
      <c r="AL958" s="213"/>
      <c r="AM958" s="302"/>
      <c r="AN958" s="302"/>
      <c r="AO958" s="303"/>
      <c r="AP958" s="285"/>
      <c r="AQ958" s="258"/>
      <c r="AR958" s="258"/>
    </row>
    <row r="959" spans="10:44" s="48" customFormat="1" hidden="1">
      <c r="J959" s="213"/>
      <c r="K959" s="213"/>
      <c r="L959" s="213"/>
      <c r="M959" s="213"/>
      <c r="N959" s="213"/>
      <c r="O959" s="213"/>
      <c r="P959" s="213"/>
      <c r="Q959" s="213"/>
      <c r="R959" s="213"/>
      <c r="S959" s="213"/>
      <c r="T959" s="213"/>
      <c r="U959" s="213"/>
      <c r="V959" s="213"/>
      <c r="W959" s="213"/>
      <c r="X959" s="213"/>
      <c r="Y959" s="213"/>
      <c r="Z959" s="213"/>
      <c r="AA959" s="213"/>
      <c r="AB959" s="213"/>
      <c r="AC959" s="213"/>
      <c r="AD959" s="213"/>
      <c r="AE959" s="213"/>
      <c r="AF959" s="213"/>
      <c r="AG959" s="213"/>
      <c r="AH959" s="213"/>
      <c r="AI959" s="213"/>
      <c r="AJ959" s="213"/>
      <c r="AK959" s="213"/>
      <c r="AL959" s="213"/>
      <c r="AM959" s="302"/>
      <c r="AN959" s="302"/>
      <c r="AO959" s="303"/>
      <c r="AP959" s="285"/>
      <c r="AQ959" s="258"/>
      <c r="AR959" s="258"/>
    </row>
    <row r="960" spans="10:44" s="48" customFormat="1" hidden="1">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302"/>
      <c r="AN960" s="302"/>
      <c r="AO960" s="303"/>
      <c r="AP960" s="285"/>
      <c r="AQ960" s="258"/>
      <c r="AR960" s="258"/>
    </row>
    <row r="961" spans="10:44" s="48" customFormat="1" hidden="1">
      <c r="J961" s="213"/>
      <c r="K961" s="213"/>
      <c r="L961" s="213"/>
      <c r="M961" s="213"/>
      <c r="N961" s="213"/>
      <c r="O961" s="213"/>
      <c r="P961" s="213"/>
      <c r="Q961" s="213"/>
      <c r="R961" s="213"/>
      <c r="S961" s="213"/>
      <c r="T961" s="213"/>
      <c r="U961" s="213"/>
      <c r="V961" s="213"/>
      <c r="W961" s="213"/>
      <c r="X961" s="213"/>
      <c r="Y961" s="213"/>
      <c r="Z961" s="213"/>
      <c r="AA961" s="213"/>
      <c r="AB961" s="213"/>
      <c r="AC961" s="213"/>
      <c r="AD961" s="213"/>
      <c r="AE961" s="213"/>
      <c r="AF961" s="213"/>
      <c r="AG961" s="213"/>
      <c r="AH961" s="213"/>
      <c r="AI961" s="213"/>
      <c r="AJ961" s="213"/>
      <c r="AK961" s="213"/>
      <c r="AL961" s="213"/>
      <c r="AM961" s="302"/>
      <c r="AN961" s="302"/>
      <c r="AO961" s="303"/>
      <c r="AP961" s="285"/>
      <c r="AQ961" s="258"/>
      <c r="AR961" s="258"/>
    </row>
    <row r="962" spans="10:44" s="48" customFormat="1" hidden="1">
      <c r="J962" s="213"/>
      <c r="K962" s="213"/>
      <c r="L962" s="213"/>
      <c r="M962" s="213"/>
      <c r="N962" s="213"/>
      <c r="O962" s="213"/>
      <c r="P962" s="213"/>
      <c r="Q962" s="213"/>
      <c r="R962" s="213"/>
      <c r="S962" s="213"/>
      <c r="T962" s="213"/>
      <c r="U962" s="213"/>
      <c r="V962" s="213"/>
      <c r="W962" s="213"/>
      <c r="X962" s="213"/>
      <c r="Y962" s="213"/>
      <c r="Z962" s="213"/>
      <c r="AA962" s="213"/>
      <c r="AB962" s="213"/>
      <c r="AC962" s="213"/>
      <c r="AD962" s="213"/>
      <c r="AE962" s="213"/>
      <c r="AF962" s="213"/>
      <c r="AG962" s="213"/>
      <c r="AH962" s="213"/>
      <c r="AI962" s="213"/>
      <c r="AJ962" s="213"/>
      <c r="AK962" s="213"/>
      <c r="AL962" s="213"/>
      <c r="AM962" s="302"/>
      <c r="AN962" s="302"/>
      <c r="AO962" s="303"/>
      <c r="AP962" s="285"/>
      <c r="AQ962" s="258"/>
      <c r="AR962" s="258"/>
    </row>
    <row r="963" spans="10:44" s="48" customFormat="1" hidden="1">
      <c r="J963" s="213"/>
      <c r="K963" s="213"/>
      <c r="L963" s="213"/>
      <c r="M963" s="213"/>
      <c r="N963" s="213"/>
      <c r="O963" s="213"/>
      <c r="P963" s="213"/>
      <c r="Q963" s="213"/>
      <c r="R963" s="213"/>
      <c r="S963" s="213"/>
      <c r="T963" s="213"/>
      <c r="U963" s="213"/>
      <c r="V963" s="213"/>
      <c r="W963" s="213"/>
      <c r="X963" s="213"/>
      <c r="Y963" s="213"/>
      <c r="Z963" s="213"/>
      <c r="AA963" s="213"/>
      <c r="AB963" s="213"/>
      <c r="AC963" s="213"/>
      <c r="AD963" s="213"/>
      <c r="AE963" s="213"/>
      <c r="AF963" s="213"/>
      <c r="AG963" s="213"/>
      <c r="AH963" s="213"/>
      <c r="AI963" s="213"/>
      <c r="AJ963" s="213"/>
      <c r="AK963" s="213"/>
      <c r="AL963" s="213"/>
      <c r="AM963" s="302"/>
      <c r="AN963" s="302"/>
      <c r="AO963" s="303"/>
      <c r="AP963" s="285"/>
      <c r="AQ963" s="258"/>
      <c r="AR963" s="258"/>
    </row>
    <row r="964" spans="10:44" s="48" customFormat="1" hidden="1">
      <c r="J964" s="213"/>
      <c r="K964" s="213"/>
      <c r="L964" s="213"/>
      <c r="M964" s="213"/>
      <c r="N964" s="213"/>
      <c r="O964" s="213"/>
      <c r="P964" s="213"/>
      <c r="Q964" s="213"/>
      <c r="R964" s="213"/>
      <c r="S964" s="213"/>
      <c r="T964" s="213"/>
      <c r="U964" s="213"/>
      <c r="V964" s="213"/>
      <c r="W964" s="213"/>
      <c r="X964" s="213"/>
      <c r="Y964" s="213"/>
      <c r="Z964" s="213"/>
      <c r="AA964" s="213"/>
      <c r="AB964" s="213"/>
      <c r="AC964" s="213"/>
      <c r="AD964" s="213"/>
      <c r="AE964" s="213"/>
      <c r="AF964" s="213"/>
      <c r="AG964" s="213"/>
      <c r="AH964" s="213"/>
      <c r="AI964" s="213"/>
      <c r="AJ964" s="213"/>
      <c r="AK964" s="213"/>
      <c r="AL964" s="213"/>
      <c r="AM964" s="302"/>
      <c r="AN964" s="302"/>
      <c r="AO964" s="303"/>
      <c r="AP964" s="285"/>
      <c r="AQ964" s="258"/>
      <c r="AR964" s="258"/>
    </row>
    <row r="965" spans="10:44" s="48" customFormat="1" hidden="1">
      <c r="J965" s="213"/>
      <c r="K965" s="213"/>
      <c r="L965" s="213"/>
      <c r="M965" s="213"/>
      <c r="N965" s="213"/>
      <c r="O965" s="213"/>
      <c r="P965" s="213"/>
      <c r="Q965" s="213"/>
      <c r="R965" s="213"/>
      <c r="S965" s="213"/>
      <c r="T965" s="213"/>
      <c r="U965" s="213"/>
      <c r="V965" s="213"/>
      <c r="W965" s="213"/>
      <c r="X965" s="213"/>
      <c r="Y965" s="213"/>
      <c r="Z965" s="213"/>
      <c r="AA965" s="213"/>
      <c r="AB965" s="213"/>
      <c r="AC965" s="213"/>
      <c r="AD965" s="213"/>
      <c r="AE965" s="213"/>
      <c r="AF965" s="213"/>
      <c r="AG965" s="213"/>
      <c r="AH965" s="213"/>
      <c r="AI965" s="213"/>
      <c r="AJ965" s="213"/>
      <c r="AK965" s="213"/>
      <c r="AL965" s="213"/>
      <c r="AM965" s="302"/>
      <c r="AN965" s="302"/>
      <c r="AO965" s="303"/>
      <c r="AP965" s="285"/>
      <c r="AQ965" s="258"/>
      <c r="AR965" s="258"/>
    </row>
    <row r="966" spans="10:44" s="48" customFormat="1" hidden="1">
      <c r="J966" s="213"/>
      <c r="K966" s="213"/>
      <c r="L966" s="213"/>
      <c r="M966" s="213"/>
      <c r="N966" s="213"/>
      <c r="O966" s="213"/>
      <c r="P966" s="213"/>
      <c r="Q966" s="213"/>
      <c r="R966" s="213"/>
      <c r="S966" s="213"/>
      <c r="T966" s="213"/>
      <c r="U966" s="213"/>
      <c r="V966" s="213"/>
      <c r="W966" s="213"/>
      <c r="X966" s="213"/>
      <c r="Y966" s="213"/>
      <c r="Z966" s="213"/>
      <c r="AA966" s="213"/>
      <c r="AB966" s="213"/>
      <c r="AC966" s="213"/>
      <c r="AD966" s="213"/>
      <c r="AE966" s="213"/>
      <c r="AF966" s="213"/>
      <c r="AG966" s="213"/>
      <c r="AH966" s="213"/>
      <c r="AI966" s="213"/>
      <c r="AJ966" s="213"/>
      <c r="AK966" s="213"/>
      <c r="AL966" s="213"/>
      <c r="AM966" s="302"/>
      <c r="AN966" s="302"/>
      <c r="AO966" s="303"/>
      <c r="AP966" s="285"/>
      <c r="AQ966" s="258"/>
      <c r="AR966" s="258"/>
    </row>
    <row r="967" spans="10:44" s="48" customFormat="1" hidden="1">
      <c r="J967" s="213"/>
      <c r="K967" s="213"/>
      <c r="L967" s="213"/>
      <c r="M967" s="213"/>
      <c r="N967" s="213"/>
      <c r="O967" s="213"/>
      <c r="P967" s="213"/>
      <c r="Q967" s="213"/>
      <c r="R967" s="213"/>
      <c r="S967" s="213"/>
      <c r="T967" s="213"/>
      <c r="U967" s="213"/>
      <c r="V967" s="213"/>
      <c r="W967" s="213"/>
      <c r="X967" s="213"/>
      <c r="Y967" s="213"/>
      <c r="Z967" s="213"/>
      <c r="AA967" s="213"/>
      <c r="AB967" s="213"/>
      <c r="AC967" s="213"/>
      <c r="AD967" s="213"/>
      <c r="AE967" s="213"/>
      <c r="AF967" s="213"/>
      <c r="AG967" s="213"/>
      <c r="AH967" s="213"/>
      <c r="AI967" s="213"/>
      <c r="AJ967" s="213"/>
      <c r="AK967" s="213"/>
      <c r="AL967" s="213"/>
      <c r="AM967" s="302"/>
      <c r="AN967" s="302"/>
      <c r="AO967" s="303"/>
      <c r="AP967" s="285"/>
      <c r="AQ967" s="258"/>
      <c r="AR967" s="258"/>
    </row>
    <row r="968" spans="10:44" s="48" customFormat="1" hidden="1">
      <c r="J968" s="213"/>
      <c r="K968" s="213"/>
      <c r="L968" s="213"/>
      <c r="M968" s="213"/>
      <c r="N968" s="213"/>
      <c r="O968" s="213"/>
      <c r="P968" s="213"/>
      <c r="Q968" s="213"/>
      <c r="R968" s="213"/>
      <c r="S968" s="213"/>
      <c r="T968" s="213"/>
      <c r="U968" s="213"/>
      <c r="V968" s="213"/>
      <c r="W968" s="213"/>
      <c r="X968" s="213"/>
      <c r="Y968" s="213"/>
      <c r="Z968" s="213"/>
      <c r="AA968" s="213"/>
      <c r="AB968" s="213"/>
      <c r="AC968" s="213"/>
      <c r="AD968" s="213"/>
      <c r="AE968" s="213"/>
      <c r="AF968" s="213"/>
      <c r="AG968" s="213"/>
      <c r="AH968" s="213"/>
      <c r="AI968" s="213"/>
      <c r="AJ968" s="213"/>
      <c r="AK968" s="213"/>
      <c r="AL968" s="213"/>
      <c r="AM968" s="302"/>
      <c r="AN968" s="302"/>
      <c r="AO968" s="303"/>
      <c r="AP968" s="285"/>
      <c r="AQ968" s="258"/>
      <c r="AR968" s="258"/>
    </row>
    <row r="969" spans="10:44" s="48" customFormat="1" hidden="1">
      <c r="J969" s="213"/>
      <c r="K969" s="213"/>
      <c r="L969" s="213"/>
      <c r="M969" s="213"/>
      <c r="N969" s="213"/>
      <c r="O969" s="213"/>
      <c r="P969" s="213"/>
      <c r="Q969" s="213"/>
      <c r="R969" s="213"/>
      <c r="S969" s="213"/>
      <c r="T969" s="213"/>
      <c r="U969" s="213"/>
      <c r="V969" s="213"/>
      <c r="W969" s="213"/>
      <c r="X969" s="213"/>
      <c r="Y969" s="213"/>
      <c r="Z969" s="213"/>
      <c r="AA969" s="213"/>
      <c r="AB969" s="213"/>
      <c r="AC969" s="213"/>
      <c r="AD969" s="213"/>
      <c r="AE969" s="213"/>
      <c r="AF969" s="213"/>
      <c r="AG969" s="213"/>
      <c r="AH969" s="213"/>
      <c r="AI969" s="213"/>
      <c r="AJ969" s="213"/>
      <c r="AK969" s="213"/>
      <c r="AL969" s="213"/>
      <c r="AM969" s="302"/>
      <c r="AN969" s="302"/>
      <c r="AO969" s="303"/>
      <c r="AP969" s="285"/>
      <c r="AQ969" s="258"/>
      <c r="AR969" s="258"/>
    </row>
    <row r="970" spans="10:44" s="48" customFormat="1" hidden="1">
      <c r="J970" s="213"/>
      <c r="K970" s="213"/>
      <c r="L970" s="213"/>
      <c r="M970" s="213"/>
      <c r="N970" s="213"/>
      <c r="O970" s="213"/>
      <c r="P970" s="213"/>
      <c r="Q970" s="213"/>
      <c r="R970" s="213"/>
      <c r="S970" s="213"/>
      <c r="T970" s="213"/>
      <c r="U970" s="213"/>
      <c r="V970" s="213"/>
      <c r="W970" s="213"/>
      <c r="X970" s="213"/>
      <c r="Y970" s="213"/>
      <c r="Z970" s="213"/>
      <c r="AA970" s="213"/>
      <c r="AB970" s="213"/>
      <c r="AC970" s="213"/>
      <c r="AD970" s="213"/>
      <c r="AE970" s="213"/>
      <c r="AF970" s="213"/>
      <c r="AG970" s="213"/>
      <c r="AH970" s="213"/>
      <c r="AI970" s="213"/>
      <c r="AJ970" s="213"/>
      <c r="AK970" s="213"/>
      <c r="AL970" s="213"/>
      <c r="AM970" s="302"/>
      <c r="AN970" s="302"/>
      <c r="AO970" s="303"/>
      <c r="AP970" s="285"/>
      <c r="AQ970" s="258"/>
      <c r="AR970" s="258"/>
    </row>
    <row r="971" spans="10:44" s="48" customFormat="1" hidden="1">
      <c r="J971" s="213"/>
      <c r="K971" s="213"/>
      <c r="L971" s="213"/>
      <c r="M971" s="213"/>
      <c r="N971" s="213"/>
      <c r="O971" s="213"/>
      <c r="P971" s="213"/>
      <c r="Q971" s="213"/>
      <c r="R971" s="213"/>
      <c r="S971" s="213"/>
      <c r="T971" s="213"/>
      <c r="U971" s="213"/>
      <c r="V971" s="213"/>
      <c r="W971" s="213"/>
      <c r="X971" s="213"/>
      <c r="Y971" s="213"/>
      <c r="Z971" s="213"/>
      <c r="AA971" s="213"/>
      <c r="AB971" s="213"/>
      <c r="AC971" s="213"/>
      <c r="AD971" s="213"/>
      <c r="AE971" s="213"/>
      <c r="AF971" s="213"/>
      <c r="AG971" s="213"/>
      <c r="AH971" s="213"/>
      <c r="AI971" s="213"/>
      <c r="AJ971" s="213"/>
      <c r="AK971" s="213"/>
      <c r="AL971" s="213"/>
      <c r="AM971" s="302"/>
      <c r="AN971" s="302"/>
      <c r="AO971" s="303"/>
      <c r="AP971" s="285"/>
      <c r="AQ971" s="258"/>
      <c r="AR971" s="258"/>
    </row>
    <row r="972" spans="10:44" s="48" customFormat="1" hidden="1">
      <c r="J972" s="213"/>
      <c r="K972" s="213"/>
      <c r="L972" s="213"/>
      <c r="M972" s="213"/>
      <c r="N972" s="213"/>
      <c r="O972" s="213"/>
      <c r="P972" s="213"/>
      <c r="Q972" s="213"/>
      <c r="R972" s="213"/>
      <c r="S972" s="213"/>
      <c r="T972" s="213"/>
      <c r="U972" s="213"/>
      <c r="V972" s="213"/>
      <c r="W972" s="213"/>
      <c r="X972" s="213"/>
      <c r="Y972" s="213"/>
      <c r="Z972" s="213"/>
      <c r="AA972" s="213"/>
      <c r="AB972" s="213"/>
      <c r="AC972" s="213"/>
      <c r="AD972" s="213"/>
      <c r="AE972" s="213"/>
      <c r="AF972" s="213"/>
      <c r="AG972" s="213"/>
      <c r="AH972" s="213"/>
      <c r="AI972" s="213"/>
      <c r="AJ972" s="213"/>
      <c r="AK972" s="213"/>
      <c r="AL972" s="213"/>
      <c r="AM972" s="302"/>
      <c r="AN972" s="302"/>
      <c r="AO972" s="303"/>
      <c r="AP972" s="285"/>
      <c r="AQ972" s="258"/>
      <c r="AR972" s="258"/>
    </row>
    <row r="973" spans="10:44" s="48" customFormat="1" hidden="1">
      <c r="J973" s="213"/>
      <c r="K973" s="213"/>
      <c r="L973" s="213"/>
      <c r="M973" s="213"/>
      <c r="N973" s="213"/>
      <c r="O973" s="213"/>
      <c r="P973" s="213"/>
      <c r="Q973" s="213"/>
      <c r="R973" s="213"/>
      <c r="S973" s="213"/>
      <c r="T973" s="213"/>
      <c r="U973" s="213"/>
      <c r="V973" s="213"/>
      <c r="W973" s="213"/>
      <c r="X973" s="213"/>
      <c r="Y973" s="213"/>
      <c r="Z973" s="213"/>
      <c r="AA973" s="213"/>
      <c r="AB973" s="213"/>
      <c r="AC973" s="213"/>
      <c r="AD973" s="213"/>
      <c r="AE973" s="213"/>
      <c r="AF973" s="213"/>
      <c r="AG973" s="213"/>
      <c r="AH973" s="213"/>
      <c r="AI973" s="213"/>
      <c r="AJ973" s="213"/>
      <c r="AK973" s="213"/>
      <c r="AL973" s="213"/>
      <c r="AM973" s="302"/>
      <c r="AN973" s="302"/>
      <c r="AO973" s="303"/>
      <c r="AP973" s="285"/>
      <c r="AQ973" s="258"/>
      <c r="AR973" s="258"/>
    </row>
    <row r="974" spans="10:44" s="48" customFormat="1" hidden="1">
      <c r="J974" s="213"/>
      <c r="K974" s="213"/>
      <c r="L974" s="213"/>
      <c r="M974" s="213"/>
      <c r="N974" s="213"/>
      <c r="O974" s="213"/>
      <c r="P974" s="213"/>
      <c r="Q974" s="213"/>
      <c r="R974" s="213"/>
      <c r="S974" s="213"/>
      <c r="T974" s="213"/>
      <c r="U974" s="213"/>
      <c r="V974" s="213"/>
      <c r="W974" s="213"/>
      <c r="X974" s="213"/>
      <c r="Y974" s="213"/>
      <c r="Z974" s="213"/>
      <c r="AA974" s="213"/>
      <c r="AB974" s="213"/>
      <c r="AC974" s="213"/>
      <c r="AD974" s="213"/>
      <c r="AE974" s="213"/>
      <c r="AF974" s="213"/>
      <c r="AG974" s="213"/>
      <c r="AH974" s="213"/>
      <c r="AI974" s="213"/>
      <c r="AJ974" s="213"/>
      <c r="AK974" s="213"/>
      <c r="AL974" s="213"/>
      <c r="AM974" s="302"/>
      <c r="AN974" s="302"/>
      <c r="AO974" s="303"/>
      <c r="AP974" s="285"/>
      <c r="AQ974" s="258"/>
      <c r="AR974" s="258"/>
    </row>
    <row r="975" spans="10:44" s="48" customFormat="1" hidden="1">
      <c r="J975" s="213"/>
      <c r="K975" s="213"/>
      <c r="L975" s="213"/>
      <c r="M975" s="213"/>
      <c r="N975" s="213"/>
      <c r="O975" s="213"/>
      <c r="P975" s="213"/>
      <c r="Q975" s="213"/>
      <c r="R975" s="213"/>
      <c r="S975" s="213"/>
      <c r="T975" s="213"/>
      <c r="U975" s="213"/>
      <c r="V975" s="213"/>
      <c r="W975" s="213"/>
      <c r="X975" s="213"/>
      <c r="Y975" s="213"/>
      <c r="Z975" s="213"/>
      <c r="AA975" s="213"/>
      <c r="AB975" s="213"/>
      <c r="AC975" s="213"/>
      <c r="AD975" s="213"/>
      <c r="AE975" s="213"/>
      <c r="AF975" s="213"/>
      <c r="AG975" s="213"/>
      <c r="AH975" s="213"/>
      <c r="AI975" s="213"/>
      <c r="AJ975" s="213"/>
      <c r="AK975" s="213"/>
      <c r="AL975" s="213"/>
      <c r="AM975" s="302"/>
      <c r="AN975" s="302"/>
      <c r="AO975" s="303"/>
      <c r="AP975" s="285"/>
      <c r="AQ975" s="258"/>
      <c r="AR975" s="258"/>
    </row>
    <row r="976" spans="10:44" s="48" customFormat="1" hidden="1">
      <c r="J976" s="213"/>
      <c r="K976" s="213"/>
      <c r="L976" s="213"/>
      <c r="M976" s="213"/>
      <c r="N976" s="213"/>
      <c r="O976" s="213"/>
      <c r="P976" s="213"/>
      <c r="Q976" s="213"/>
      <c r="R976" s="213"/>
      <c r="S976" s="213"/>
      <c r="T976" s="213"/>
      <c r="U976" s="213"/>
      <c r="V976" s="213"/>
      <c r="W976" s="213"/>
      <c r="X976" s="213"/>
      <c r="Y976" s="213"/>
      <c r="Z976" s="213"/>
      <c r="AA976" s="213"/>
      <c r="AB976" s="213"/>
      <c r="AC976" s="213"/>
      <c r="AD976" s="213"/>
      <c r="AE976" s="213"/>
      <c r="AF976" s="213"/>
      <c r="AG976" s="213"/>
      <c r="AH976" s="213"/>
      <c r="AI976" s="213"/>
      <c r="AJ976" s="213"/>
      <c r="AK976" s="213"/>
      <c r="AL976" s="213"/>
      <c r="AM976" s="302"/>
      <c r="AN976" s="302"/>
      <c r="AO976" s="303"/>
      <c r="AP976" s="285"/>
      <c r="AQ976" s="258"/>
      <c r="AR976" s="258"/>
    </row>
    <row r="977" spans="10:44" s="48" customFormat="1" hidden="1">
      <c r="J977" s="213"/>
      <c r="K977" s="213"/>
      <c r="L977" s="213"/>
      <c r="M977" s="213"/>
      <c r="N977" s="213"/>
      <c r="O977" s="213"/>
      <c r="P977" s="213"/>
      <c r="Q977" s="213"/>
      <c r="R977" s="213"/>
      <c r="S977" s="213"/>
      <c r="T977" s="213"/>
      <c r="U977" s="213"/>
      <c r="V977" s="213"/>
      <c r="W977" s="213"/>
      <c r="X977" s="213"/>
      <c r="Y977" s="213"/>
      <c r="Z977" s="213"/>
      <c r="AA977" s="213"/>
      <c r="AB977" s="213"/>
      <c r="AC977" s="213"/>
      <c r="AD977" s="213"/>
      <c r="AE977" s="213"/>
      <c r="AF977" s="213"/>
      <c r="AG977" s="213"/>
      <c r="AH977" s="213"/>
      <c r="AI977" s="213"/>
      <c r="AJ977" s="213"/>
      <c r="AK977" s="213"/>
      <c r="AL977" s="213"/>
      <c r="AM977" s="302"/>
      <c r="AN977" s="302"/>
      <c r="AO977" s="303"/>
      <c r="AP977" s="285"/>
      <c r="AQ977" s="258"/>
      <c r="AR977" s="258"/>
    </row>
    <row r="978" spans="10:44" s="48" customFormat="1" hidden="1">
      <c r="J978" s="213"/>
      <c r="K978" s="213"/>
      <c r="L978" s="213"/>
      <c r="M978" s="213"/>
      <c r="N978" s="213"/>
      <c r="O978" s="213"/>
      <c r="P978" s="213"/>
      <c r="Q978" s="213"/>
      <c r="R978" s="213"/>
      <c r="S978" s="213"/>
      <c r="T978" s="213"/>
      <c r="U978" s="213"/>
      <c r="V978" s="213"/>
      <c r="W978" s="213"/>
      <c r="X978" s="213"/>
      <c r="Y978" s="213"/>
      <c r="Z978" s="213"/>
      <c r="AA978" s="213"/>
      <c r="AB978" s="213"/>
      <c r="AC978" s="213"/>
      <c r="AD978" s="213"/>
      <c r="AE978" s="213"/>
      <c r="AF978" s="213"/>
      <c r="AG978" s="213"/>
      <c r="AH978" s="213"/>
      <c r="AI978" s="213"/>
      <c r="AJ978" s="213"/>
      <c r="AK978" s="213"/>
      <c r="AL978" s="213"/>
      <c r="AM978" s="302"/>
      <c r="AN978" s="302"/>
      <c r="AO978" s="303"/>
      <c r="AP978" s="285"/>
      <c r="AQ978" s="258"/>
      <c r="AR978" s="258"/>
    </row>
    <row r="979" spans="10:44" s="48" customFormat="1" hidden="1">
      <c r="J979" s="213"/>
      <c r="K979" s="213"/>
      <c r="L979" s="213"/>
      <c r="M979" s="213"/>
      <c r="N979" s="213"/>
      <c r="O979" s="213"/>
      <c r="P979" s="213"/>
      <c r="Q979" s="213"/>
      <c r="R979" s="213"/>
      <c r="S979" s="213"/>
      <c r="T979" s="213"/>
      <c r="U979" s="213"/>
      <c r="V979" s="213"/>
      <c r="W979" s="213"/>
      <c r="X979" s="213"/>
      <c r="Y979" s="213"/>
      <c r="Z979" s="213"/>
      <c r="AA979" s="213"/>
      <c r="AB979" s="213"/>
      <c r="AC979" s="213"/>
      <c r="AD979" s="213"/>
      <c r="AE979" s="213"/>
      <c r="AF979" s="213"/>
      <c r="AG979" s="213"/>
      <c r="AH979" s="213"/>
      <c r="AI979" s="213"/>
      <c r="AJ979" s="213"/>
      <c r="AK979" s="213"/>
      <c r="AL979" s="213"/>
      <c r="AM979" s="302"/>
      <c r="AN979" s="302"/>
      <c r="AO979" s="303"/>
      <c r="AP979" s="285"/>
      <c r="AQ979" s="258"/>
      <c r="AR979" s="258"/>
    </row>
    <row r="980" spans="10:44" s="48" customFormat="1" hidden="1">
      <c r="J980" s="213"/>
      <c r="K980" s="213"/>
      <c r="L980" s="213"/>
      <c r="M980" s="213"/>
      <c r="N980" s="213"/>
      <c r="O980" s="213"/>
      <c r="P980" s="213"/>
      <c r="Q980" s="213"/>
      <c r="R980" s="213"/>
      <c r="S980" s="213"/>
      <c r="T980" s="213"/>
      <c r="U980" s="213"/>
      <c r="V980" s="213"/>
      <c r="W980" s="213"/>
      <c r="X980" s="213"/>
      <c r="Y980" s="213"/>
      <c r="Z980" s="213"/>
      <c r="AA980" s="213"/>
      <c r="AB980" s="213"/>
      <c r="AC980" s="213"/>
      <c r="AD980" s="213"/>
      <c r="AE980" s="213"/>
      <c r="AF980" s="213"/>
      <c r="AG980" s="213"/>
      <c r="AH980" s="213"/>
      <c r="AI980" s="213"/>
      <c r="AJ980" s="213"/>
      <c r="AK980" s="213"/>
      <c r="AL980" s="213"/>
      <c r="AM980" s="302"/>
      <c r="AN980" s="302"/>
      <c r="AO980" s="303"/>
      <c r="AP980" s="285"/>
      <c r="AQ980" s="258"/>
      <c r="AR980" s="258"/>
    </row>
    <row r="981" spans="10:44" s="48" customFormat="1" hidden="1">
      <c r="J981" s="213"/>
      <c r="K981" s="213"/>
      <c r="L981" s="213"/>
      <c r="M981" s="213"/>
      <c r="N981" s="213"/>
      <c r="O981" s="213"/>
      <c r="P981" s="213"/>
      <c r="Q981" s="213"/>
      <c r="R981" s="213"/>
      <c r="S981" s="213"/>
      <c r="T981" s="213"/>
      <c r="U981" s="213"/>
      <c r="V981" s="213"/>
      <c r="W981" s="213"/>
      <c r="X981" s="213"/>
      <c r="Y981" s="213"/>
      <c r="Z981" s="213"/>
      <c r="AA981" s="213"/>
      <c r="AB981" s="213"/>
      <c r="AC981" s="213"/>
      <c r="AD981" s="213"/>
      <c r="AE981" s="213"/>
      <c r="AF981" s="213"/>
      <c r="AG981" s="213"/>
      <c r="AH981" s="213"/>
      <c r="AI981" s="213"/>
      <c r="AJ981" s="213"/>
      <c r="AK981" s="213"/>
      <c r="AL981" s="213"/>
      <c r="AM981" s="302"/>
      <c r="AN981" s="302"/>
      <c r="AO981" s="303"/>
      <c r="AP981" s="285"/>
      <c r="AQ981" s="258"/>
      <c r="AR981" s="258"/>
    </row>
    <row r="982" spans="10:44" s="48" customFormat="1" hidden="1">
      <c r="J982" s="213"/>
      <c r="K982" s="213"/>
      <c r="L982" s="213"/>
      <c r="M982" s="213"/>
      <c r="N982" s="213"/>
      <c r="O982" s="213"/>
      <c r="P982" s="213"/>
      <c r="Q982" s="213"/>
      <c r="R982" s="213"/>
      <c r="S982" s="213"/>
      <c r="T982" s="213"/>
      <c r="U982" s="213"/>
      <c r="V982" s="213"/>
      <c r="W982" s="213"/>
      <c r="X982" s="213"/>
      <c r="Y982" s="213"/>
      <c r="Z982" s="213"/>
      <c r="AA982" s="213"/>
      <c r="AB982" s="213"/>
      <c r="AC982" s="213"/>
      <c r="AD982" s="213"/>
      <c r="AE982" s="213"/>
      <c r="AF982" s="213"/>
      <c r="AG982" s="213"/>
      <c r="AH982" s="213"/>
      <c r="AI982" s="213"/>
      <c r="AJ982" s="213"/>
      <c r="AK982" s="213"/>
      <c r="AL982" s="213"/>
      <c r="AM982" s="302"/>
      <c r="AN982" s="302"/>
      <c r="AO982" s="303"/>
      <c r="AP982" s="285"/>
      <c r="AQ982" s="258"/>
      <c r="AR982" s="258"/>
    </row>
    <row r="983" spans="10:44" s="48" customFormat="1" hidden="1">
      <c r="J983" s="213"/>
      <c r="K983" s="213"/>
      <c r="L983" s="213"/>
      <c r="M983" s="213"/>
      <c r="N983" s="213"/>
      <c r="O983" s="213"/>
      <c r="P983" s="213"/>
      <c r="Q983" s="213"/>
      <c r="R983" s="213"/>
      <c r="S983" s="213"/>
      <c r="T983" s="213"/>
      <c r="U983" s="213"/>
      <c r="V983" s="213"/>
      <c r="W983" s="213"/>
      <c r="X983" s="213"/>
      <c r="Y983" s="213"/>
      <c r="Z983" s="213"/>
      <c r="AA983" s="213"/>
      <c r="AB983" s="213"/>
      <c r="AC983" s="213"/>
      <c r="AD983" s="213"/>
      <c r="AE983" s="213"/>
      <c r="AF983" s="213"/>
      <c r="AG983" s="213"/>
      <c r="AH983" s="213"/>
      <c r="AI983" s="213"/>
      <c r="AJ983" s="213"/>
      <c r="AK983" s="213"/>
      <c r="AL983" s="213"/>
      <c r="AM983" s="302"/>
      <c r="AN983" s="302"/>
      <c r="AO983" s="303"/>
      <c r="AP983" s="285"/>
      <c r="AQ983" s="258"/>
      <c r="AR983" s="258"/>
    </row>
    <row r="984" spans="10:44" s="48" customFormat="1" hidden="1">
      <c r="J984" s="213"/>
      <c r="K984" s="213"/>
      <c r="L984" s="213"/>
      <c r="M984" s="213"/>
      <c r="N984" s="213"/>
      <c r="O984" s="213"/>
      <c r="P984" s="213"/>
      <c r="Q984" s="213"/>
      <c r="R984" s="213"/>
      <c r="S984" s="213"/>
      <c r="T984" s="213"/>
      <c r="U984" s="213"/>
      <c r="V984" s="213"/>
      <c r="W984" s="213"/>
      <c r="X984" s="213"/>
      <c r="Y984" s="213"/>
      <c r="Z984" s="213"/>
      <c r="AA984" s="213"/>
      <c r="AB984" s="213"/>
      <c r="AC984" s="213"/>
      <c r="AD984" s="213"/>
      <c r="AE984" s="213"/>
      <c r="AF984" s="213"/>
      <c r="AG984" s="213"/>
      <c r="AH984" s="213"/>
      <c r="AI984" s="213"/>
      <c r="AJ984" s="213"/>
      <c r="AK984" s="213"/>
      <c r="AL984" s="213"/>
      <c r="AM984" s="302"/>
      <c r="AN984" s="302"/>
      <c r="AO984" s="303"/>
      <c r="AP984" s="285"/>
      <c r="AQ984" s="258"/>
      <c r="AR984" s="258"/>
    </row>
    <row r="985" spans="10:44" s="48" customFormat="1" hidden="1">
      <c r="J985" s="213"/>
      <c r="K985" s="213"/>
      <c r="L985" s="213"/>
      <c r="M985" s="213"/>
      <c r="N985" s="213"/>
      <c r="O985" s="213"/>
      <c r="P985" s="213"/>
      <c r="Q985" s="213"/>
      <c r="R985" s="213"/>
      <c r="S985" s="213"/>
      <c r="T985" s="213"/>
      <c r="U985" s="213"/>
      <c r="V985" s="213"/>
      <c r="W985" s="213"/>
      <c r="X985" s="213"/>
      <c r="Y985" s="213"/>
      <c r="Z985" s="213"/>
      <c r="AA985" s="213"/>
      <c r="AB985" s="213"/>
      <c r="AC985" s="213"/>
      <c r="AD985" s="213"/>
      <c r="AE985" s="213"/>
      <c r="AF985" s="213"/>
      <c r="AG985" s="213"/>
      <c r="AH985" s="213"/>
      <c r="AI985" s="213"/>
      <c r="AJ985" s="213"/>
      <c r="AK985" s="213"/>
      <c r="AL985" s="213"/>
      <c r="AM985" s="302"/>
      <c r="AN985" s="302"/>
      <c r="AO985" s="303"/>
      <c r="AP985" s="285"/>
      <c r="AQ985" s="258"/>
      <c r="AR985" s="258"/>
    </row>
    <row r="986" spans="10:44" s="48" customFormat="1" hidden="1">
      <c r="J986" s="213"/>
      <c r="K986" s="213"/>
      <c r="L986" s="213"/>
      <c r="M986" s="213"/>
      <c r="N986" s="213"/>
      <c r="O986" s="213"/>
      <c r="P986" s="213"/>
      <c r="Q986" s="213"/>
      <c r="R986" s="213"/>
      <c r="S986" s="213"/>
      <c r="T986" s="213"/>
      <c r="U986" s="213"/>
      <c r="V986" s="213"/>
      <c r="W986" s="213"/>
      <c r="X986" s="213"/>
      <c r="Y986" s="213"/>
      <c r="Z986" s="213"/>
      <c r="AA986" s="213"/>
      <c r="AB986" s="213"/>
      <c r="AC986" s="213"/>
      <c r="AD986" s="213"/>
      <c r="AE986" s="213"/>
      <c r="AF986" s="213"/>
      <c r="AG986" s="213"/>
      <c r="AH986" s="213"/>
      <c r="AI986" s="213"/>
      <c r="AJ986" s="213"/>
      <c r="AK986" s="213"/>
      <c r="AL986" s="213"/>
      <c r="AM986" s="302"/>
      <c r="AN986" s="302"/>
      <c r="AO986" s="303"/>
      <c r="AP986" s="285"/>
      <c r="AQ986" s="258"/>
      <c r="AR986" s="258"/>
    </row>
    <row r="987" spans="10:44" s="48" customFormat="1" hidden="1">
      <c r="J987" s="213"/>
      <c r="K987" s="213"/>
      <c r="L987" s="213"/>
      <c r="M987" s="213"/>
      <c r="N987" s="213"/>
      <c r="O987" s="213"/>
      <c r="P987" s="213"/>
      <c r="Q987" s="213"/>
      <c r="R987" s="213"/>
      <c r="S987" s="213"/>
      <c r="T987" s="213"/>
      <c r="U987" s="213"/>
      <c r="V987" s="213"/>
      <c r="W987" s="213"/>
      <c r="X987" s="213"/>
      <c r="Y987" s="213"/>
      <c r="Z987" s="213"/>
      <c r="AA987" s="213"/>
      <c r="AB987" s="213"/>
      <c r="AC987" s="213"/>
      <c r="AD987" s="213"/>
      <c r="AE987" s="213"/>
      <c r="AF987" s="213"/>
      <c r="AG987" s="213"/>
      <c r="AH987" s="213"/>
      <c r="AI987" s="213"/>
      <c r="AJ987" s="213"/>
      <c r="AK987" s="213"/>
      <c r="AL987" s="213"/>
      <c r="AM987" s="302"/>
      <c r="AN987" s="302"/>
      <c r="AO987" s="303"/>
      <c r="AP987" s="285"/>
      <c r="AQ987" s="258"/>
      <c r="AR987" s="258"/>
    </row>
    <row r="988" spans="10:44" s="48" customFormat="1" hidden="1">
      <c r="J988" s="213"/>
      <c r="K988" s="213"/>
      <c r="L988" s="213"/>
      <c r="M988" s="213"/>
      <c r="N988" s="213"/>
      <c r="O988" s="213"/>
      <c r="P988" s="213"/>
      <c r="Q988" s="213"/>
      <c r="R988" s="213"/>
      <c r="S988" s="213"/>
      <c r="T988" s="213"/>
      <c r="U988" s="213"/>
      <c r="V988" s="213"/>
      <c r="W988" s="213"/>
      <c r="X988" s="213"/>
      <c r="Y988" s="213"/>
      <c r="Z988" s="213"/>
      <c r="AA988" s="213"/>
      <c r="AB988" s="213"/>
      <c r="AC988" s="213"/>
      <c r="AD988" s="213"/>
      <c r="AE988" s="213"/>
      <c r="AF988" s="213"/>
      <c r="AG988" s="213"/>
      <c r="AH988" s="213"/>
      <c r="AI988" s="213"/>
      <c r="AJ988" s="213"/>
      <c r="AK988" s="213"/>
      <c r="AL988" s="213"/>
      <c r="AM988" s="302"/>
      <c r="AN988" s="302"/>
      <c r="AO988" s="303"/>
      <c r="AP988" s="285"/>
      <c r="AQ988" s="258"/>
      <c r="AR988" s="258"/>
    </row>
    <row r="989" spans="10:44" s="48" customFormat="1" hidden="1">
      <c r="J989" s="213"/>
      <c r="K989" s="213"/>
      <c r="L989" s="213"/>
      <c r="M989" s="213"/>
      <c r="N989" s="213"/>
      <c r="O989" s="213"/>
      <c r="P989" s="213"/>
      <c r="Q989" s="213"/>
      <c r="R989" s="213"/>
      <c r="S989" s="213"/>
      <c r="T989" s="213"/>
      <c r="U989" s="213"/>
      <c r="V989" s="213"/>
      <c r="W989" s="213"/>
      <c r="X989" s="213"/>
      <c r="Y989" s="213"/>
      <c r="Z989" s="213"/>
      <c r="AA989" s="213"/>
      <c r="AB989" s="213"/>
      <c r="AC989" s="213"/>
      <c r="AD989" s="213"/>
      <c r="AE989" s="213"/>
      <c r="AF989" s="213"/>
      <c r="AG989" s="213"/>
      <c r="AH989" s="213"/>
      <c r="AI989" s="213"/>
      <c r="AJ989" s="213"/>
      <c r="AK989" s="213"/>
      <c r="AL989" s="213"/>
      <c r="AM989" s="302"/>
      <c r="AN989" s="302"/>
      <c r="AO989" s="303"/>
      <c r="AP989" s="285"/>
      <c r="AQ989" s="258"/>
      <c r="AR989" s="258"/>
    </row>
    <row r="990" spans="10:44" s="48" customFormat="1" hidden="1">
      <c r="J990" s="213"/>
      <c r="K990" s="213"/>
      <c r="L990" s="213"/>
      <c r="M990" s="213"/>
      <c r="N990" s="213"/>
      <c r="O990" s="213"/>
      <c r="P990" s="213"/>
      <c r="Q990" s="213"/>
      <c r="R990" s="213"/>
      <c r="S990" s="213"/>
      <c r="T990" s="213"/>
      <c r="U990" s="213"/>
      <c r="V990" s="213"/>
      <c r="W990" s="213"/>
      <c r="X990" s="213"/>
      <c r="Y990" s="213"/>
      <c r="Z990" s="213"/>
      <c r="AA990" s="213"/>
      <c r="AB990" s="213"/>
      <c r="AC990" s="213"/>
      <c r="AD990" s="213"/>
      <c r="AE990" s="213"/>
      <c r="AF990" s="213"/>
      <c r="AG990" s="213"/>
      <c r="AH990" s="213"/>
      <c r="AI990" s="213"/>
      <c r="AJ990" s="213"/>
      <c r="AK990" s="213"/>
      <c r="AL990" s="213"/>
      <c r="AM990" s="302"/>
      <c r="AN990" s="302"/>
      <c r="AO990" s="303"/>
      <c r="AP990" s="285"/>
      <c r="AQ990" s="258"/>
      <c r="AR990" s="258"/>
    </row>
    <row r="991" spans="10:44" s="48" customFormat="1" hidden="1">
      <c r="J991" s="213"/>
      <c r="K991" s="213"/>
      <c r="L991" s="213"/>
      <c r="M991" s="213"/>
      <c r="N991" s="213"/>
      <c r="O991" s="213"/>
      <c r="P991" s="213"/>
      <c r="Q991" s="213"/>
      <c r="R991" s="213"/>
      <c r="S991" s="213"/>
      <c r="T991" s="213"/>
      <c r="U991" s="213"/>
      <c r="V991" s="213"/>
      <c r="W991" s="213"/>
      <c r="X991" s="213"/>
      <c r="Y991" s="213"/>
      <c r="Z991" s="213"/>
      <c r="AA991" s="213"/>
      <c r="AB991" s="213"/>
      <c r="AC991" s="213"/>
      <c r="AD991" s="213"/>
      <c r="AE991" s="213"/>
      <c r="AF991" s="213"/>
      <c r="AG991" s="213"/>
      <c r="AH991" s="213"/>
      <c r="AI991" s="213"/>
      <c r="AJ991" s="213"/>
      <c r="AK991" s="213"/>
      <c r="AL991" s="213"/>
      <c r="AM991" s="302"/>
      <c r="AN991" s="302"/>
      <c r="AO991" s="303"/>
      <c r="AP991" s="285"/>
      <c r="AQ991" s="258"/>
      <c r="AR991" s="258"/>
    </row>
    <row r="992" spans="10:44" s="48" customFormat="1" hidden="1">
      <c r="J992" s="213"/>
      <c r="K992" s="213"/>
      <c r="L992" s="213"/>
      <c r="M992" s="213"/>
      <c r="N992" s="213"/>
      <c r="O992" s="213"/>
      <c r="P992" s="213"/>
      <c r="Q992" s="213"/>
      <c r="R992" s="213"/>
      <c r="S992" s="213"/>
      <c r="T992" s="213"/>
      <c r="U992" s="213"/>
      <c r="V992" s="213"/>
      <c r="W992" s="213"/>
      <c r="X992" s="213"/>
      <c r="Y992" s="213"/>
      <c r="Z992" s="213"/>
      <c r="AA992" s="213"/>
      <c r="AB992" s="213"/>
      <c r="AC992" s="213"/>
      <c r="AD992" s="213"/>
      <c r="AE992" s="213"/>
      <c r="AF992" s="213"/>
      <c r="AG992" s="213"/>
      <c r="AH992" s="213"/>
      <c r="AI992" s="213"/>
      <c r="AJ992" s="213"/>
      <c r="AK992" s="213"/>
      <c r="AL992" s="213"/>
      <c r="AM992" s="302"/>
      <c r="AN992" s="302"/>
      <c r="AO992" s="303"/>
      <c r="AP992" s="285"/>
      <c r="AQ992" s="258"/>
      <c r="AR992" s="258"/>
    </row>
    <row r="993" spans="10:44" s="48" customFormat="1" hidden="1">
      <c r="J993" s="213"/>
      <c r="K993" s="213"/>
      <c r="L993" s="213"/>
      <c r="M993" s="213"/>
      <c r="N993" s="213"/>
      <c r="O993" s="213"/>
      <c r="P993" s="213"/>
      <c r="Q993" s="213"/>
      <c r="R993" s="213"/>
      <c r="S993" s="213"/>
      <c r="T993" s="213"/>
      <c r="U993" s="213"/>
      <c r="V993" s="213"/>
      <c r="W993" s="213"/>
      <c r="X993" s="213"/>
      <c r="Y993" s="213"/>
      <c r="Z993" s="213"/>
      <c r="AA993" s="213"/>
      <c r="AB993" s="213"/>
      <c r="AC993" s="213"/>
      <c r="AD993" s="213"/>
      <c r="AE993" s="213"/>
      <c r="AF993" s="213"/>
      <c r="AG993" s="213"/>
      <c r="AH993" s="213"/>
      <c r="AI993" s="213"/>
      <c r="AJ993" s="213"/>
      <c r="AK993" s="213"/>
      <c r="AL993" s="213"/>
      <c r="AM993" s="302"/>
      <c r="AN993" s="302"/>
      <c r="AO993" s="303"/>
      <c r="AP993" s="285"/>
      <c r="AQ993" s="258"/>
      <c r="AR993" s="258"/>
    </row>
    <row r="994" spans="10:44" s="48" customFormat="1" hidden="1">
      <c r="J994" s="213"/>
      <c r="K994" s="213"/>
      <c r="L994" s="213"/>
      <c r="M994" s="213"/>
      <c r="N994" s="213"/>
      <c r="O994" s="213"/>
      <c r="P994" s="213"/>
      <c r="Q994" s="213"/>
      <c r="R994" s="213"/>
      <c r="S994" s="213"/>
      <c r="T994" s="213"/>
      <c r="U994" s="213"/>
      <c r="V994" s="213"/>
      <c r="W994" s="213"/>
      <c r="X994" s="213"/>
      <c r="Y994" s="213"/>
      <c r="Z994" s="213"/>
      <c r="AA994" s="213"/>
      <c r="AB994" s="213"/>
      <c r="AC994" s="213"/>
      <c r="AD994" s="213"/>
      <c r="AE994" s="213"/>
      <c r="AF994" s="213"/>
      <c r="AG994" s="213"/>
      <c r="AH994" s="213"/>
      <c r="AI994" s="213"/>
      <c r="AJ994" s="213"/>
      <c r="AK994" s="213"/>
      <c r="AL994" s="213"/>
      <c r="AM994" s="302"/>
      <c r="AN994" s="302"/>
      <c r="AO994" s="303"/>
      <c r="AP994" s="285"/>
      <c r="AQ994" s="258"/>
      <c r="AR994" s="258"/>
    </row>
    <row r="995" spans="10:44" s="48" customFormat="1" hidden="1">
      <c r="J995" s="213"/>
      <c r="K995" s="213"/>
      <c r="L995" s="213"/>
      <c r="M995" s="213"/>
      <c r="N995" s="213"/>
      <c r="O995" s="213"/>
      <c r="P995" s="213"/>
      <c r="Q995" s="213"/>
      <c r="R995" s="213"/>
      <c r="S995" s="213"/>
      <c r="T995" s="213"/>
      <c r="U995" s="213"/>
      <c r="V995" s="213"/>
      <c r="W995" s="213"/>
      <c r="X995" s="213"/>
      <c r="Y995" s="213"/>
      <c r="Z995" s="213"/>
      <c r="AA995" s="213"/>
      <c r="AB995" s="213"/>
      <c r="AC995" s="213"/>
      <c r="AD995" s="213"/>
      <c r="AE995" s="213"/>
      <c r="AF995" s="213"/>
      <c r="AG995" s="213"/>
      <c r="AH995" s="213"/>
      <c r="AI995" s="213"/>
      <c r="AJ995" s="213"/>
      <c r="AK995" s="213"/>
      <c r="AL995" s="213"/>
      <c r="AM995" s="302"/>
      <c r="AN995" s="302"/>
      <c r="AO995" s="303"/>
      <c r="AP995" s="285"/>
      <c r="AQ995" s="258"/>
      <c r="AR995" s="258"/>
    </row>
    <row r="996" spans="10:44" s="48" customFormat="1" hidden="1">
      <c r="J996" s="213"/>
      <c r="K996" s="213"/>
      <c r="L996" s="213"/>
      <c r="M996" s="213"/>
      <c r="N996" s="213"/>
      <c r="O996" s="213"/>
      <c r="P996" s="213"/>
      <c r="Q996" s="213"/>
      <c r="R996" s="213"/>
      <c r="S996" s="213"/>
      <c r="T996" s="213"/>
      <c r="U996" s="213"/>
      <c r="V996" s="213"/>
      <c r="W996" s="213"/>
      <c r="X996" s="213"/>
      <c r="Y996" s="213"/>
      <c r="Z996" s="213"/>
      <c r="AA996" s="213"/>
      <c r="AB996" s="213"/>
      <c r="AC996" s="213"/>
      <c r="AD996" s="213"/>
      <c r="AE996" s="213"/>
      <c r="AF996" s="213"/>
      <c r="AG996" s="213"/>
      <c r="AH996" s="213"/>
      <c r="AI996" s="213"/>
      <c r="AJ996" s="213"/>
      <c r="AK996" s="213"/>
      <c r="AL996" s="213"/>
      <c r="AM996" s="302"/>
      <c r="AN996" s="302"/>
      <c r="AO996" s="303"/>
      <c r="AP996" s="285"/>
      <c r="AQ996" s="258"/>
      <c r="AR996" s="258"/>
    </row>
    <row r="997" spans="10:44" s="48" customFormat="1" hidden="1">
      <c r="J997" s="213"/>
      <c r="K997" s="213"/>
      <c r="L997" s="213"/>
      <c r="M997" s="213"/>
      <c r="N997" s="213"/>
      <c r="O997" s="213"/>
      <c r="P997" s="213"/>
      <c r="Q997" s="213"/>
      <c r="R997" s="213"/>
      <c r="S997" s="213"/>
      <c r="T997" s="213"/>
      <c r="U997" s="213"/>
      <c r="V997" s="213"/>
      <c r="W997" s="213"/>
      <c r="X997" s="213"/>
      <c r="Y997" s="213"/>
      <c r="Z997" s="213"/>
      <c r="AA997" s="213"/>
      <c r="AB997" s="213"/>
      <c r="AC997" s="213"/>
      <c r="AD997" s="213"/>
      <c r="AE997" s="213"/>
      <c r="AF997" s="213"/>
      <c r="AG997" s="213"/>
      <c r="AH997" s="213"/>
      <c r="AI997" s="213"/>
      <c r="AJ997" s="213"/>
      <c r="AK997" s="213"/>
      <c r="AL997" s="213"/>
      <c r="AM997" s="302"/>
      <c r="AN997" s="302"/>
      <c r="AO997" s="303"/>
      <c r="AP997" s="285"/>
      <c r="AQ997" s="258"/>
      <c r="AR997" s="258"/>
    </row>
    <row r="998" spans="10:44" s="48" customFormat="1" hidden="1">
      <c r="J998" s="213"/>
      <c r="K998" s="213"/>
      <c r="L998" s="213"/>
      <c r="M998" s="213"/>
      <c r="N998" s="213"/>
      <c r="O998" s="213"/>
      <c r="P998" s="213"/>
      <c r="Q998" s="213"/>
      <c r="R998" s="213"/>
      <c r="S998" s="213"/>
      <c r="T998" s="213"/>
      <c r="U998" s="213"/>
      <c r="V998" s="213"/>
      <c r="W998" s="213"/>
      <c r="X998" s="213"/>
      <c r="Y998" s="213"/>
      <c r="Z998" s="213"/>
      <c r="AA998" s="213"/>
      <c r="AB998" s="213"/>
      <c r="AC998" s="213"/>
      <c r="AD998" s="213"/>
      <c r="AE998" s="213"/>
      <c r="AF998" s="213"/>
      <c r="AG998" s="213"/>
      <c r="AH998" s="213"/>
      <c r="AI998" s="213"/>
      <c r="AJ998" s="213"/>
      <c r="AK998" s="213"/>
      <c r="AL998" s="213"/>
      <c r="AM998" s="302"/>
      <c r="AN998" s="302"/>
      <c r="AO998" s="303"/>
      <c r="AP998" s="285"/>
      <c r="AQ998" s="258"/>
      <c r="AR998" s="258"/>
    </row>
    <row r="999" spans="10:44" s="48" customFormat="1" hidden="1">
      <c r="J999" s="213"/>
      <c r="K999" s="213"/>
      <c r="L999" s="213"/>
      <c r="M999" s="213"/>
      <c r="N999" s="213"/>
      <c r="O999" s="213"/>
      <c r="P999" s="213"/>
      <c r="Q999" s="213"/>
      <c r="R999" s="213"/>
      <c r="S999" s="213"/>
      <c r="T999" s="213"/>
      <c r="U999" s="213"/>
      <c r="V999" s="213"/>
      <c r="W999" s="213"/>
      <c r="X999" s="213"/>
      <c r="Y999" s="213"/>
      <c r="Z999" s="213"/>
      <c r="AA999" s="213"/>
      <c r="AB999" s="213"/>
      <c r="AC999" s="213"/>
      <c r="AD999" s="213"/>
      <c r="AE999" s="213"/>
      <c r="AF999" s="213"/>
      <c r="AG999" s="213"/>
      <c r="AH999" s="213"/>
      <c r="AI999" s="213"/>
      <c r="AJ999" s="213"/>
      <c r="AK999" s="213"/>
      <c r="AL999" s="213"/>
      <c r="AM999" s="302"/>
      <c r="AN999" s="302"/>
      <c r="AO999" s="303"/>
      <c r="AP999" s="285"/>
      <c r="AQ999" s="258"/>
      <c r="AR999" s="258"/>
    </row>
    <row r="1000" spans="10:44" s="48" customFormat="1" hidden="1">
      <c r="J1000" s="213"/>
      <c r="K1000" s="213"/>
      <c r="L1000" s="213"/>
      <c r="M1000" s="213"/>
      <c r="N1000" s="213"/>
      <c r="O1000" s="213"/>
      <c r="P1000" s="213"/>
      <c r="Q1000" s="213"/>
      <c r="R1000" s="213"/>
      <c r="S1000" s="213"/>
      <c r="T1000" s="213"/>
      <c r="U1000" s="213"/>
      <c r="V1000" s="213"/>
      <c r="W1000" s="213"/>
      <c r="X1000" s="213"/>
      <c r="Y1000" s="213"/>
      <c r="Z1000" s="213"/>
      <c r="AA1000" s="213"/>
      <c r="AB1000" s="213"/>
      <c r="AC1000" s="213"/>
      <c r="AD1000" s="213"/>
      <c r="AE1000" s="213"/>
      <c r="AF1000" s="213"/>
      <c r="AG1000" s="213"/>
      <c r="AH1000" s="213"/>
      <c r="AI1000" s="213"/>
      <c r="AJ1000" s="213"/>
      <c r="AK1000" s="213"/>
      <c r="AL1000" s="213"/>
      <c r="AM1000" s="283"/>
      <c r="AN1000" s="283"/>
      <c r="AO1000" s="215"/>
      <c r="AP1000" s="286"/>
      <c r="AQ1000" s="265"/>
      <c r="AR1000" s="265"/>
    </row>
    <row r="1001" spans="10:44" s="48" customFormat="1">
      <c r="J1001" s="213"/>
      <c r="K1001" s="213"/>
      <c r="L1001" s="213"/>
      <c r="M1001" s="213"/>
      <c r="N1001" s="213"/>
      <c r="O1001" s="213"/>
      <c r="P1001" s="213"/>
      <c r="Q1001" s="213"/>
      <c r="R1001" s="213"/>
      <c r="S1001" s="213"/>
      <c r="T1001" s="213"/>
      <c r="U1001" s="213"/>
      <c r="V1001" s="213"/>
      <c r="W1001" s="213"/>
      <c r="X1001" s="213"/>
      <c r="Y1001" s="213"/>
      <c r="Z1001" s="213"/>
      <c r="AA1001" s="213"/>
      <c r="AB1001" s="213"/>
      <c r="AC1001" s="213"/>
      <c r="AD1001" s="213"/>
      <c r="AE1001" s="213"/>
      <c r="AF1001" s="213"/>
      <c r="AG1001" s="213"/>
      <c r="AH1001" s="213"/>
      <c r="AI1001" s="213"/>
      <c r="AJ1001" s="213"/>
      <c r="AK1001" s="213"/>
      <c r="AL1001" s="213"/>
      <c r="AM1001" s="199"/>
      <c r="AN1001" s="199"/>
      <c r="AP1001" s="121"/>
      <c r="AQ1001" s="121"/>
    </row>
  </sheetData>
  <sheetProtection password="FA9C" sheet="1" objects="1" scenarios="1" formatColumns="0" formatRows="0"/>
  <mergeCells count="5">
    <mergeCell ref="AM9:AP9"/>
    <mergeCell ref="AM11:AM12"/>
    <mergeCell ref="AN11:AN12"/>
    <mergeCell ref="AO11:AO12"/>
    <mergeCell ref="AP11:AP12"/>
  </mergeCells>
  <phoneticPr fontId="8" type="noConversion"/>
  <dataValidations count="1">
    <dataValidation type="decimal" allowBlank="1" showInputMessage="1" showErrorMessage="1" error="Ввведеное значение неверно" sqref="AP178:AP188 AP191">
      <formula1>-1000000000000000</formula1>
      <formula2>1000000000000000</formula2>
    </dataValidation>
  </dataValidations>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sheetPr codeName="HEAT_FUEL_PERIOD3">
    <tabColor rgb="FFFFFF00"/>
    <outlinePr summaryBelow="0"/>
  </sheetPr>
  <dimension ref="A1:AS1001"/>
  <sheetViews>
    <sheetView showGridLines="0" topLeftCell="AK8" workbookViewId="0"/>
  </sheetViews>
  <sheetFormatPr defaultRowHeight="11.25"/>
  <cols>
    <col min="1" max="36" width="2.7109375" hidden="1" customWidth="1"/>
    <col min="37" max="38" width="2.7109375" customWidth="1"/>
    <col min="39" max="39" width="13.7109375" customWidth="1"/>
    <col min="40" max="40" width="60.7109375" customWidth="1"/>
    <col min="41" max="41" width="12.7109375" customWidth="1"/>
    <col min="42" max="42" width="17.7109375" customWidth="1"/>
    <col min="43" max="44" width="0.140625" customWidth="1"/>
    <col min="45" max="46" width="2.7109375" customWidth="1"/>
  </cols>
  <sheetData>
    <row r="1" spans="1:45" s="47" customFormat="1" ht="11.25" hidden="1" customHeight="1">
      <c r="J1" s="121"/>
      <c r="AM1" s="48"/>
      <c r="AN1" s="49"/>
    </row>
    <row r="2" spans="1:45" s="47" customFormat="1" ht="11.25" hidden="1" customHeight="1">
      <c r="J2" s="121"/>
      <c r="AM2" s="48"/>
      <c r="AN2" s="49"/>
    </row>
    <row r="3" spans="1:45" s="47" customFormat="1" ht="11.25" hidden="1" customHeight="1">
      <c r="J3" s="121"/>
      <c r="AM3" s="48"/>
      <c r="AN3" s="49"/>
    </row>
    <row r="4" spans="1:45" s="47" customFormat="1" ht="11.25" hidden="1" customHeight="1">
      <c r="J4" s="121"/>
      <c r="AM4" s="48"/>
      <c r="AN4" s="49"/>
    </row>
    <row r="5" spans="1:45" s="47" customFormat="1" ht="11.25" hidden="1" customHeight="1">
      <c r="J5" s="121"/>
      <c r="AM5" s="48"/>
      <c r="AN5" s="49"/>
    </row>
    <row r="6" spans="1:45" s="47" customFormat="1" ht="11.25" hidden="1" customHeight="1">
      <c r="J6" s="121"/>
      <c r="AM6" s="48"/>
      <c r="AN6" s="49"/>
    </row>
    <row r="7" spans="1:45" s="47" customFormat="1" ht="11.25" hidden="1" customHeight="1">
      <c r="J7" s="121"/>
      <c r="AM7" s="48"/>
      <c r="AN7" s="49"/>
    </row>
    <row r="8" spans="1:45" s="314" customFormat="1">
      <c r="J8" s="313"/>
      <c r="AM8" s="637">
        <f>IF(TARIFF_SETUP_METHOD_CODE="BY_PSEUDO_YEARS",12,4)</f>
        <v>4</v>
      </c>
      <c r="AN8" s="431" t="str">
        <f>"Необходимо указывать " &amp; IF(TARIFF_SETUP_METHOD_CODE="BY_PSEUDO_YEARS","общегодовые значения","значения по периодам")</f>
        <v>Необходимо указывать значения по периодам</v>
      </c>
      <c r="AP8" s="616" t="s">
        <v>2498</v>
      </c>
      <c r="AQ8" s="310"/>
      <c r="AR8" s="310"/>
      <c r="AS8" s="310"/>
    </row>
    <row r="9" spans="1:45"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918" t="str">
        <f>"Фактические расходы организаций " &amp; TEMPLATE_SPHERE &amp; " на топливо на технологические цели по муниципальному образованию - " &amp; IF(mo="","Не определено",mo)</f>
        <v>Фактические расходы организаций водоотведения на топливо на технологические цели по муниципальному образованию - Село Булава</v>
      </c>
      <c r="AN9" s="919"/>
      <c r="AO9" s="919"/>
      <c r="AP9" s="920"/>
      <c r="AQ9" s="201"/>
      <c r="AR9" s="122"/>
      <c r="AS9" s="200"/>
    </row>
    <row r="10" spans="1:45" s="200" customFormat="1" ht="12" customHeight="1">
      <c r="A10" s="191"/>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M10" s="430" t="s">
        <v>2499</v>
      </c>
      <c r="AN10" s="430"/>
      <c r="AO10" s="209"/>
      <c r="AP10" s="214"/>
      <c r="AQ10" s="201"/>
      <c r="AR10" s="168" t="s">
        <v>720</v>
      </c>
    </row>
    <row r="11" spans="1:45" s="47" customFormat="1">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50"/>
      <c r="AM11" s="802" t="s">
        <v>641</v>
      </c>
      <c r="AN11" s="804" t="s">
        <v>787</v>
      </c>
      <c r="AO11" s="821" t="s">
        <v>284</v>
      </c>
      <c r="AP11" s="806" t="s">
        <v>778</v>
      </c>
      <c r="AQ11" s="206">
        <v>0</v>
      </c>
      <c r="AR11" s="206"/>
      <c r="AS11" s="220"/>
    </row>
    <row r="12" spans="1:45" s="47" customFormat="1" ht="48" customHeight="1">
      <c r="A12" s="121"/>
      <c r="B12" s="121"/>
      <c r="C12" s="121"/>
      <c r="D12" s="121"/>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50"/>
      <c r="AM12" s="802"/>
      <c r="AN12" s="804"/>
      <c r="AO12" s="804"/>
      <c r="AP12" s="806"/>
      <c r="AQ12" s="207"/>
      <c r="AR12" s="207"/>
      <c r="AS12" s="220"/>
    </row>
    <row r="13" spans="1:45" s="121" customFormat="1" ht="11.25" hidden="1" customHeight="1">
      <c r="AM13" s="256"/>
      <c r="AN13" s="256"/>
      <c r="AO13" s="256"/>
      <c r="AP13" s="253"/>
      <c r="AQ13" s="207"/>
      <c r="AR13" s="207"/>
      <c r="AS13" s="127"/>
    </row>
    <row r="14" spans="1:45" s="121" customFormat="1" ht="11.25" hidden="1" customHeight="1">
      <c r="AM14" s="256"/>
      <c r="AN14" s="256"/>
      <c r="AO14" s="256"/>
      <c r="AP14" s="253"/>
      <c r="AQ14" s="207"/>
      <c r="AR14" s="207"/>
      <c r="AS14" s="127"/>
    </row>
    <row r="15" spans="1:45" s="121" customFormat="1" hidden="1">
      <c r="AM15" s="256"/>
      <c r="AN15" s="256"/>
      <c r="AO15" s="256"/>
      <c r="AP15" s="253"/>
      <c r="AQ15" s="207"/>
      <c r="AR15" s="207"/>
      <c r="AS15" s="127"/>
    </row>
    <row r="16" spans="1:45" s="121" customFormat="1" hidden="1">
      <c r="AM16" s="256"/>
      <c r="AN16" s="256"/>
      <c r="AO16" s="256"/>
      <c r="AP16" s="253"/>
      <c r="AQ16" s="207"/>
      <c r="AR16" s="207"/>
      <c r="AS16" s="127"/>
    </row>
    <row r="17" spans="39:45" s="121" customFormat="1" hidden="1">
      <c r="AM17" s="256"/>
      <c r="AN17" s="256"/>
      <c r="AO17" s="256"/>
      <c r="AP17" s="253"/>
      <c r="AQ17" s="207"/>
      <c r="AR17" s="207"/>
      <c r="AS17" s="127"/>
    </row>
    <row r="18" spans="39:45" s="121" customFormat="1" hidden="1">
      <c r="AM18" s="256"/>
      <c r="AN18" s="256"/>
      <c r="AO18" s="256"/>
      <c r="AP18" s="253"/>
      <c r="AQ18" s="207"/>
      <c r="AR18" s="207"/>
      <c r="AS18" s="127"/>
    </row>
    <row r="19" spans="39:45" s="121" customFormat="1" hidden="1">
      <c r="AM19" s="256"/>
      <c r="AN19" s="256"/>
      <c r="AO19" s="256"/>
      <c r="AP19" s="253"/>
      <c r="AQ19" s="207"/>
      <c r="AR19" s="207"/>
      <c r="AS19" s="127"/>
    </row>
    <row r="20" spans="39:45" s="121" customFormat="1" hidden="1">
      <c r="AM20" s="256"/>
      <c r="AN20" s="256"/>
      <c r="AO20" s="256"/>
      <c r="AP20" s="253"/>
      <c r="AQ20" s="207"/>
      <c r="AR20" s="207"/>
      <c r="AS20" s="127"/>
    </row>
    <row r="21" spans="39:45" s="121" customFormat="1" hidden="1">
      <c r="AM21" s="256"/>
      <c r="AN21" s="256"/>
      <c r="AO21" s="256"/>
      <c r="AP21" s="253"/>
      <c r="AQ21" s="207"/>
      <c r="AR21" s="207"/>
      <c r="AS21" s="127"/>
    </row>
    <row r="22" spans="39:45" s="121" customFormat="1" hidden="1">
      <c r="AM22" s="256"/>
      <c r="AN22" s="256"/>
      <c r="AO22" s="256"/>
      <c r="AP22" s="253"/>
      <c r="AQ22" s="207"/>
      <c r="AR22" s="207"/>
      <c r="AS22" s="127"/>
    </row>
    <row r="23" spans="39:45" s="121" customFormat="1" hidden="1">
      <c r="AM23" s="256"/>
      <c r="AN23" s="256"/>
      <c r="AO23" s="256"/>
      <c r="AP23" s="253"/>
      <c r="AQ23" s="207"/>
      <c r="AR23" s="207"/>
      <c r="AS23" s="127"/>
    </row>
    <row r="24" spans="39:45" s="121" customFormat="1" hidden="1">
      <c r="AM24" s="256"/>
      <c r="AN24" s="256"/>
      <c r="AO24" s="256"/>
      <c r="AP24" s="253"/>
      <c r="AQ24" s="207"/>
      <c r="AR24" s="207"/>
      <c r="AS24" s="127"/>
    </row>
    <row r="25" spans="39:45" s="121" customFormat="1" hidden="1">
      <c r="AM25" s="256"/>
      <c r="AN25" s="256"/>
      <c r="AO25" s="256"/>
      <c r="AP25" s="253"/>
      <c r="AQ25" s="207"/>
      <c r="AR25" s="207"/>
      <c r="AS25" s="127"/>
    </row>
    <row r="26" spans="39:45" s="121" customFormat="1" hidden="1">
      <c r="AM26" s="256"/>
      <c r="AN26" s="256"/>
      <c r="AO26" s="256"/>
      <c r="AP26" s="253"/>
      <c r="AQ26" s="207"/>
      <c r="AR26" s="207"/>
      <c r="AS26" s="127"/>
    </row>
    <row r="27" spans="39:45" ht="22.5">
      <c r="AM27" s="449" t="s">
        <v>753</v>
      </c>
      <c r="AN27" s="450" t="s">
        <v>211</v>
      </c>
      <c r="AO27" s="473" t="s">
        <v>786</v>
      </c>
      <c r="AP27" s="305">
        <f>SUM(AQ27:AR27)</f>
        <v>0</v>
      </c>
      <c r="AQ27" s="207"/>
      <c r="AR27" s="207"/>
    </row>
    <row r="28" spans="39:45">
      <c r="AM28" s="451" t="s">
        <v>766</v>
      </c>
      <c r="AN28" s="453" t="s">
        <v>78</v>
      </c>
      <c r="AO28" s="473" t="s">
        <v>786</v>
      </c>
      <c r="AP28" s="305">
        <f>SUM(AQ28:AR28)</f>
        <v>0</v>
      </c>
      <c r="AQ28" s="207"/>
      <c r="AR28" s="207"/>
    </row>
    <row r="29" spans="39:45">
      <c r="AM29" s="451" t="s">
        <v>768</v>
      </c>
      <c r="AN29" s="454" t="s">
        <v>212</v>
      </c>
      <c r="AO29" s="473" t="s">
        <v>786</v>
      </c>
      <c r="AP29" s="305">
        <f>SUM(AQ29:AR29)</f>
        <v>0</v>
      </c>
      <c r="AQ29" s="207"/>
      <c r="AR29" s="207"/>
    </row>
    <row r="30" spans="39:45">
      <c r="AM30" s="451" t="s">
        <v>132</v>
      </c>
      <c r="AN30" s="455" t="s">
        <v>79</v>
      </c>
      <c r="AO30" s="473" t="s">
        <v>786</v>
      </c>
      <c r="AP30" s="305">
        <f>SUM(AQ30:AR30)</f>
        <v>0</v>
      </c>
      <c r="AQ30" s="207"/>
      <c r="AR30" s="207"/>
    </row>
    <row r="31" spans="39:45" hidden="1">
      <c r="AM31" s="451"/>
      <c r="AN31" s="455"/>
      <c r="AO31" s="473"/>
      <c r="AP31" s="456"/>
      <c r="AQ31" s="207"/>
      <c r="AR31" s="207"/>
    </row>
    <row r="32" spans="39:45" hidden="1">
      <c r="AM32" s="451"/>
      <c r="AN32" s="455"/>
      <c r="AO32" s="473"/>
      <c r="AP32" s="456"/>
      <c r="AQ32" s="207"/>
      <c r="AR32" s="207"/>
    </row>
    <row r="33" spans="39:44" hidden="1">
      <c r="AM33" s="451"/>
      <c r="AN33" s="455"/>
      <c r="AO33" s="473"/>
      <c r="AP33" s="456"/>
      <c r="AQ33" s="207"/>
      <c r="AR33" s="207"/>
    </row>
    <row r="34" spans="39:44" hidden="1">
      <c r="AM34" s="451"/>
      <c r="AN34" s="455"/>
      <c r="AO34" s="473"/>
      <c r="AP34" s="456"/>
      <c r="AQ34" s="207"/>
      <c r="AR34" s="207"/>
    </row>
    <row r="35" spans="39:44" hidden="1">
      <c r="AM35" s="451"/>
      <c r="AN35" s="455"/>
      <c r="AO35" s="473"/>
      <c r="AP35" s="456"/>
      <c r="AQ35" s="207"/>
      <c r="AR35" s="207"/>
    </row>
    <row r="36" spans="39:44" hidden="1">
      <c r="AM36" s="451"/>
      <c r="AN36" s="455"/>
      <c r="AO36" s="473"/>
      <c r="AP36" s="456"/>
      <c r="AQ36" s="207"/>
      <c r="AR36" s="207"/>
    </row>
    <row r="37" spans="39:44" hidden="1">
      <c r="AM37" s="451"/>
      <c r="AN37" s="455"/>
      <c r="AO37" s="473"/>
      <c r="AP37" s="456"/>
      <c r="AQ37" s="207"/>
      <c r="AR37" s="207"/>
    </row>
    <row r="38" spans="39:44">
      <c r="AM38" s="451" t="s">
        <v>80</v>
      </c>
      <c r="AN38" s="455" t="s">
        <v>81</v>
      </c>
      <c r="AO38" s="473" t="s">
        <v>786</v>
      </c>
      <c r="AP38" s="305">
        <f>SUM(AQ38:AR38)</f>
        <v>0</v>
      </c>
      <c r="AQ38" s="207"/>
      <c r="AR38" s="207"/>
    </row>
    <row r="39" spans="39:44" hidden="1">
      <c r="AM39" s="451"/>
      <c r="AN39" s="455"/>
      <c r="AO39" s="473"/>
      <c r="AP39" s="456"/>
      <c r="AQ39" s="207"/>
      <c r="AR39" s="207"/>
    </row>
    <row r="40" spans="39:44" hidden="1">
      <c r="AM40" s="451"/>
      <c r="AN40" s="455"/>
      <c r="AO40" s="473"/>
      <c r="AP40" s="456"/>
      <c r="AQ40" s="207"/>
      <c r="AR40" s="207"/>
    </row>
    <row r="41" spans="39:44" hidden="1">
      <c r="AM41" s="451"/>
      <c r="AN41" s="455"/>
      <c r="AO41" s="473"/>
      <c r="AP41" s="456"/>
      <c r="AQ41" s="207"/>
      <c r="AR41" s="207"/>
    </row>
    <row r="42" spans="39:44" hidden="1">
      <c r="AM42" s="451"/>
      <c r="AN42" s="455"/>
      <c r="AO42" s="473"/>
      <c r="AP42" s="456"/>
      <c r="AQ42" s="207"/>
      <c r="AR42" s="207"/>
    </row>
    <row r="43" spans="39:44" hidden="1">
      <c r="AM43" s="451"/>
      <c r="AN43" s="455"/>
      <c r="AO43" s="473"/>
      <c r="AP43" s="456"/>
      <c r="AQ43" s="207"/>
      <c r="AR43" s="207"/>
    </row>
    <row r="44" spans="39:44" hidden="1">
      <c r="AM44" s="451"/>
      <c r="AN44" s="455"/>
      <c r="AO44" s="473"/>
      <c r="AP44" s="456"/>
      <c r="AQ44" s="207"/>
      <c r="AR44" s="207"/>
    </row>
    <row r="45" spans="39:44" hidden="1">
      <c r="AM45" s="451"/>
      <c r="AN45" s="455"/>
      <c r="AO45" s="473"/>
      <c r="AP45" s="456"/>
      <c r="AQ45" s="207"/>
      <c r="AR45" s="207"/>
    </row>
    <row r="46" spans="39:44">
      <c r="AM46" s="451" t="s">
        <v>82</v>
      </c>
      <c r="AN46" s="455" t="s">
        <v>83</v>
      </c>
      <c r="AO46" s="473" t="s">
        <v>786</v>
      </c>
      <c r="AP46" s="305">
        <f t="shared" ref="AP46:AP58" si="0">SUM(AQ46:AR46)</f>
        <v>0</v>
      </c>
      <c r="AQ46" s="207"/>
      <c r="AR46" s="207"/>
    </row>
    <row r="47" spans="39:44">
      <c r="AM47" s="451" t="s">
        <v>84</v>
      </c>
      <c r="AN47" s="457" t="s">
        <v>85</v>
      </c>
      <c r="AO47" s="473" t="s">
        <v>786</v>
      </c>
      <c r="AP47" s="305">
        <f t="shared" si="0"/>
        <v>0</v>
      </c>
      <c r="AQ47" s="207"/>
      <c r="AR47" s="207"/>
    </row>
    <row r="48" spans="39:44">
      <c r="AM48" s="451" t="s">
        <v>86</v>
      </c>
      <c r="AN48" s="457" t="s">
        <v>87</v>
      </c>
      <c r="AO48" s="473" t="s">
        <v>786</v>
      </c>
      <c r="AP48" s="305">
        <f t="shared" si="0"/>
        <v>0</v>
      </c>
      <c r="AQ48" s="207"/>
      <c r="AR48" s="207"/>
    </row>
    <row r="49" spans="39:44">
      <c r="AM49" s="451" t="s">
        <v>88</v>
      </c>
      <c r="AN49" s="457" t="s">
        <v>89</v>
      </c>
      <c r="AO49" s="473" t="s">
        <v>786</v>
      </c>
      <c r="AP49" s="305">
        <f t="shared" si="0"/>
        <v>0</v>
      </c>
      <c r="AQ49" s="207"/>
      <c r="AR49" s="207"/>
    </row>
    <row r="50" spans="39:44">
      <c r="AM50" s="451" t="s">
        <v>90</v>
      </c>
      <c r="AN50" s="457" t="s">
        <v>91</v>
      </c>
      <c r="AO50" s="473" t="s">
        <v>786</v>
      </c>
      <c r="AP50" s="305">
        <f t="shared" si="0"/>
        <v>0</v>
      </c>
      <c r="AQ50" s="207"/>
      <c r="AR50" s="207"/>
    </row>
    <row r="51" spans="39:44">
      <c r="AM51" s="451" t="s">
        <v>92</v>
      </c>
      <c r="AN51" s="457" t="s">
        <v>93</v>
      </c>
      <c r="AO51" s="473" t="s">
        <v>786</v>
      </c>
      <c r="AP51" s="305">
        <f t="shared" si="0"/>
        <v>0</v>
      </c>
      <c r="AQ51" s="207"/>
      <c r="AR51" s="207"/>
    </row>
    <row r="52" spans="39:44">
      <c r="AM52" s="451" t="s">
        <v>94</v>
      </c>
      <c r="AN52" s="457" t="s">
        <v>95</v>
      </c>
      <c r="AO52" s="473" t="s">
        <v>786</v>
      </c>
      <c r="AP52" s="305">
        <f t="shared" si="0"/>
        <v>0</v>
      </c>
      <c r="AQ52" s="207"/>
      <c r="AR52" s="207"/>
    </row>
    <row r="53" spans="39:44">
      <c r="AM53" s="451" t="s">
        <v>2975</v>
      </c>
      <c r="AN53" s="457" t="s">
        <v>2976</v>
      </c>
      <c r="AO53" s="473" t="s">
        <v>786</v>
      </c>
      <c r="AP53" s="305">
        <f t="shared" si="0"/>
        <v>0</v>
      </c>
      <c r="AQ53" s="207"/>
      <c r="AR53" s="207"/>
    </row>
    <row r="54" spans="39:44">
      <c r="AM54" s="451" t="s">
        <v>2977</v>
      </c>
      <c r="AN54" s="457" t="s">
        <v>2978</v>
      </c>
      <c r="AO54" s="473" t="s">
        <v>786</v>
      </c>
      <c r="AP54" s="305">
        <f t="shared" si="0"/>
        <v>0</v>
      </c>
      <c r="AQ54" s="207"/>
      <c r="AR54" s="207"/>
    </row>
    <row r="55" spans="39:44">
      <c r="AM55" s="451" t="s">
        <v>2979</v>
      </c>
      <c r="AN55" s="457" t="s">
        <v>2980</v>
      </c>
      <c r="AO55" s="473" t="s">
        <v>786</v>
      </c>
      <c r="AP55" s="305">
        <f t="shared" si="0"/>
        <v>0</v>
      </c>
      <c r="AQ55" s="207"/>
      <c r="AR55" s="207"/>
    </row>
    <row r="56" spans="39:44">
      <c r="AM56" s="451" t="s">
        <v>2981</v>
      </c>
      <c r="AN56" s="457" t="s">
        <v>2982</v>
      </c>
      <c r="AO56" s="473" t="s">
        <v>786</v>
      </c>
      <c r="AP56" s="305">
        <f t="shared" si="0"/>
        <v>0</v>
      </c>
      <c r="AQ56" s="207"/>
      <c r="AR56" s="207"/>
    </row>
    <row r="57" spans="39:44">
      <c r="AM57" s="451" t="s">
        <v>2983</v>
      </c>
      <c r="AN57" s="224" t="s">
        <v>2984</v>
      </c>
      <c r="AO57" s="473" t="s">
        <v>786</v>
      </c>
      <c r="AP57" s="305">
        <f t="shared" si="0"/>
        <v>0</v>
      </c>
      <c r="AQ57" s="207"/>
      <c r="AR57" s="207"/>
    </row>
    <row r="58" spans="39:44">
      <c r="AM58" s="451" t="s">
        <v>2989</v>
      </c>
      <c r="AN58" s="224" t="s">
        <v>2990</v>
      </c>
      <c r="AO58" s="473" t="s">
        <v>786</v>
      </c>
      <c r="AP58" s="305">
        <f t="shared" si="0"/>
        <v>0</v>
      </c>
      <c r="AQ58" s="207"/>
      <c r="AR58" s="207"/>
    </row>
    <row r="59" spans="39:44">
      <c r="AM59" s="451" t="s">
        <v>292</v>
      </c>
      <c r="AN59" s="442" t="s">
        <v>291</v>
      </c>
      <c r="AO59" s="473" t="s">
        <v>786</v>
      </c>
      <c r="AP59" s="305">
        <f>SUM(AQ59:AR59)</f>
        <v>0</v>
      </c>
      <c r="AQ59" s="207"/>
      <c r="AR59" s="207"/>
    </row>
    <row r="60" spans="39:44">
      <c r="AM60" s="449" t="s">
        <v>257</v>
      </c>
      <c r="AN60" s="450" t="s">
        <v>213</v>
      </c>
      <c r="AO60" s="473" t="s">
        <v>214</v>
      </c>
      <c r="AP60" s="459">
        <f>IF(AP126=0,0,AP27/AP126)</f>
        <v>0</v>
      </c>
      <c r="AQ60" s="207"/>
      <c r="AR60" s="207"/>
    </row>
    <row r="61" spans="39:44">
      <c r="AM61" s="461" t="str">
        <f>AM60 &amp; ".1"</f>
        <v>4.0.1.1.1</v>
      </c>
      <c r="AN61" s="453" t="s">
        <v>78</v>
      </c>
      <c r="AO61" s="473" t="s">
        <v>214</v>
      </c>
      <c r="AP61" s="459">
        <f>IF(AP127=0,0,AP28/AP127)</f>
        <v>0</v>
      </c>
      <c r="AQ61" s="207"/>
      <c r="AR61" s="207"/>
    </row>
    <row r="62" spans="39:44">
      <c r="AM62" s="461" t="str">
        <f>AM60 &amp; ".2"</f>
        <v>4.0.1.1.2</v>
      </c>
      <c r="AN62" s="454" t="s">
        <v>212</v>
      </c>
      <c r="AO62" s="473" t="s">
        <v>214</v>
      </c>
      <c r="AP62" s="459">
        <f>IF(AP128=0,0,AP29/AP128)</f>
        <v>0</v>
      </c>
      <c r="AQ62" s="207"/>
      <c r="AR62" s="207"/>
    </row>
    <row r="63" spans="39:44">
      <c r="AM63" s="461" t="str">
        <f>AM60 &amp; ".2.1"</f>
        <v>4.0.1.1.2.1</v>
      </c>
      <c r="AN63" s="455" t="s">
        <v>79</v>
      </c>
      <c r="AO63" s="473" t="s">
        <v>214</v>
      </c>
      <c r="AP63" s="459">
        <f>IF(AP129=0,0,AP30/AP129)</f>
        <v>0</v>
      </c>
      <c r="AQ63" s="207"/>
      <c r="AR63" s="207"/>
    </row>
    <row r="64" spans="39:44" hidden="1">
      <c r="AM64" s="451"/>
      <c r="AN64" s="455"/>
      <c r="AO64" s="473"/>
      <c r="AP64" s="456"/>
      <c r="AQ64" s="207"/>
      <c r="AR64" s="207"/>
    </row>
    <row r="65" spans="39:44" hidden="1">
      <c r="AM65" s="451"/>
      <c r="AN65" s="455"/>
      <c r="AO65" s="473"/>
      <c r="AP65" s="456"/>
      <c r="AQ65" s="207"/>
      <c r="AR65" s="207"/>
    </row>
    <row r="66" spans="39:44" hidden="1">
      <c r="AM66" s="451"/>
      <c r="AN66" s="455"/>
      <c r="AO66" s="473"/>
      <c r="AP66" s="456"/>
      <c r="AQ66" s="207"/>
      <c r="AR66" s="207"/>
    </row>
    <row r="67" spans="39:44" hidden="1">
      <c r="AM67" s="451"/>
      <c r="AN67" s="455"/>
      <c r="AO67" s="473"/>
      <c r="AP67" s="456"/>
      <c r="AQ67" s="207"/>
      <c r="AR67" s="207"/>
    </row>
    <row r="68" spans="39:44" hidden="1">
      <c r="AM68" s="451"/>
      <c r="AN68" s="455"/>
      <c r="AO68" s="473"/>
      <c r="AP68" s="456"/>
      <c r="AQ68" s="207"/>
      <c r="AR68" s="207"/>
    </row>
    <row r="69" spans="39:44" hidden="1">
      <c r="AM69" s="451"/>
      <c r="AN69" s="455"/>
      <c r="AO69" s="473"/>
      <c r="AP69" s="456"/>
      <c r="AQ69" s="207"/>
      <c r="AR69" s="207"/>
    </row>
    <row r="70" spans="39:44" hidden="1">
      <c r="AM70" s="451"/>
      <c r="AN70" s="455"/>
      <c r="AO70" s="473"/>
      <c r="AP70" s="456"/>
      <c r="AQ70" s="207"/>
      <c r="AR70" s="207"/>
    </row>
    <row r="71" spans="39:44">
      <c r="AM71" s="461" t="str">
        <f>AM60 &amp; ".2.2"</f>
        <v>4.0.1.1.2.2</v>
      </c>
      <c r="AN71" s="455" t="s">
        <v>81</v>
      </c>
      <c r="AO71" s="473" t="s">
        <v>214</v>
      </c>
      <c r="AP71" s="459">
        <f>IF(AP137=0,0,AP38/AP137)</f>
        <v>0</v>
      </c>
      <c r="AQ71" s="207"/>
      <c r="AR71" s="207"/>
    </row>
    <row r="72" spans="39:44" hidden="1">
      <c r="AM72" s="451"/>
      <c r="AN72" s="455"/>
      <c r="AO72" s="473"/>
      <c r="AP72" s="456"/>
      <c r="AQ72" s="207"/>
      <c r="AR72" s="207"/>
    </row>
    <row r="73" spans="39:44" hidden="1">
      <c r="AM73" s="451"/>
      <c r="AN73" s="455"/>
      <c r="AO73" s="473"/>
      <c r="AP73" s="456"/>
      <c r="AQ73" s="207"/>
      <c r="AR73" s="207"/>
    </row>
    <row r="74" spans="39:44" hidden="1">
      <c r="AM74" s="451"/>
      <c r="AN74" s="455"/>
      <c r="AO74" s="473"/>
      <c r="AP74" s="456"/>
      <c r="AQ74" s="207"/>
      <c r="AR74" s="207"/>
    </row>
    <row r="75" spans="39:44" hidden="1">
      <c r="AM75" s="451"/>
      <c r="AN75" s="455"/>
      <c r="AO75" s="473"/>
      <c r="AP75" s="456"/>
      <c r="AQ75" s="207"/>
      <c r="AR75" s="207"/>
    </row>
    <row r="76" spans="39:44" hidden="1">
      <c r="AM76" s="451"/>
      <c r="AN76" s="455"/>
      <c r="AO76" s="473"/>
      <c r="AP76" s="456"/>
      <c r="AQ76" s="207"/>
      <c r="AR76" s="207"/>
    </row>
    <row r="77" spans="39:44" hidden="1">
      <c r="AM77" s="451"/>
      <c r="AN77" s="455"/>
      <c r="AO77" s="473"/>
      <c r="AP77" s="456"/>
      <c r="AQ77" s="207"/>
      <c r="AR77" s="207"/>
    </row>
    <row r="78" spans="39:44" hidden="1">
      <c r="AM78" s="451"/>
      <c r="AN78" s="455"/>
      <c r="AO78" s="473"/>
      <c r="AP78" s="456"/>
      <c r="AQ78" s="207"/>
      <c r="AR78" s="207"/>
    </row>
    <row r="79" spans="39:44">
      <c r="AM79" s="461" t="str">
        <f>AM60 &amp; ".2.3"</f>
        <v>4.0.1.1.2.3</v>
      </c>
      <c r="AN79" s="455" t="s">
        <v>83</v>
      </c>
      <c r="AO79" s="473" t="s">
        <v>214</v>
      </c>
      <c r="AP79" s="459">
        <f t="shared" ref="AP79:AP89" si="1">IF(AP145=0,0,AP46/AP145)</f>
        <v>0</v>
      </c>
      <c r="AQ79" s="207"/>
      <c r="AR79" s="207"/>
    </row>
    <row r="80" spans="39:44">
      <c r="AM80" s="461" t="str">
        <f>AM60 &amp; ".3"</f>
        <v>4.0.1.1.3</v>
      </c>
      <c r="AN80" s="457" t="s">
        <v>85</v>
      </c>
      <c r="AO80" s="473" t="s">
        <v>214</v>
      </c>
      <c r="AP80" s="460">
        <f t="shared" si="1"/>
        <v>0</v>
      </c>
      <c r="AQ80" s="207"/>
      <c r="AR80" s="207"/>
    </row>
    <row r="81" spans="39:44">
      <c r="AM81" s="461" t="str">
        <f>AM60 &amp; ".4"</f>
        <v>4.0.1.1.4</v>
      </c>
      <c r="AN81" s="457" t="s">
        <v>87</v>
      </c>
      <c r="AO81" s="473" t="s">
        <v>214</v>
      </c>
      <c r="AP81" s="460">
        <f t="shared" si="1"/>
        <v>0</v>
      </c>
      <c r="AQ81" s="207"/>
      <c r="AR81" s="207"/>
    </row>
    <row r="82" spans="39:44">
      <c r="AM82" s="461" t="str">
        <f>AM60&amp;".5"</f>
        <v>4.0.1.1.5</v>
      </c>
      <c r="AN82" s="457" t="s">
        <v>89</v>
      </c>
      <c r="AO82" s="473" t="s">
        <v>214</v>
      </c>
      <c r="AP82" s="460">
        <f t="shared" si="1"/>
        <v>0</v>
      </c>
      <c r="AQ82" s="207"/>
      <c r="AR82" s="207"/>
    </row>
    <row r="83" spans="39:44">
      <c r="AM83" s="461" t="str">
        <f>AM60 &amp; ".6"</f>
        <v>4.0.1.1.6</v>
      </c>
      <c r="AN83" s="457" t="s">
        <v>91</v>
      </c>
      <c r="AO83" s="473" t="s">
        <v>214</v>
      </c>
      <c r="AP83" s="460">
        <f t="shared" si="1"/>
        <v>0</v>
      </c>
      <c r="AQ83" s="207"/>
      <c r="AR83" s="207"/>
    </row>
    <row r="84" spans="39:44">
      <c r="AM84" s="461" t="str">
        <f>AM60 &amp; ".7"</f>
        <v>4.0.1.1.7</v>
      </c>
      <c r="AN84" s="457" t="s">
        <v>93</v>
      </c>
      <c r="AO84" s="473" t="s">
        <v>214</v>
      </c>
      <c r="AP84" s="460">
        <f t="shared" si="1"/>
        <v>0</v>
      </c>
      <c r="AQ84" s="207"/>
      <c r="AR84" s="207"/>
    </row>
    <row r="85" spans="39:44">
      <c r="AM85" s="461" t="str">
        <f>AM60 &amp; ".8"</f>
        <v>4.0.1.1.8</v>
      </c>
      <c r="AN85" s="457" t="s">
        <v>95</v>
      </c>
      <c r="AO85" s="473" t="s">
        <v>214</v>
      </c>
      <c r="AP85" s="460">
        <f t="shared" si="1"/>
        <v>0</v>
      </c>
      <c r="AQ85" s="207"/>
      <c r="AR85" s="207"/>
    </row>
    <row r="86" spans="39:44">
      <c r="AM86" s="461" t="str">
        <f>AM60 &amp; ".9"</f>
        <v>4.0.1.1.9</v>
      </c>
      <c r="AN86" s="457" t="s">
        <v>2976</v>
      </c>
      <c r="AO86" s="473" t="s">
        <v>214</v>
      </c>
      <c r="AP86" s="460">
        <f t="shared" si="1"/>
        <v>0</v>
      </c>
      <c r="AQ86" s="207"/>
      <c r="AR86" s="207"/>
    </row>
    <row r="87" spans="39:44">
      <c r="AM87" s="461" t="str">
        <f>AM60 &amp; ".10"</f>
        <v>4.0.1.1.10</v>
      </c>
      <c r="AN87" s="457" t="s">
        <v>2978</v>
      </c>
      <c r="AO87" s="473" t="s">
        <v>214</v>
      </c>
      <c r="AP87" s="460">
        <f t="shared" si="1"/>
        <v>0</v>
      </c>
      <c r="AQ87" s="207"/>
      <c r="AR87" s="207"/>
    </row>
    <row r="88" spans="39:44">
      <c r="AM88" s="461" t="str">
        <f>AM60 &amp; ".11"</f>
        <v>4.0.1.1.11</v>
      </c>
      <c r="AN88" s="457" t="s">
        <v>2980</v>
      </c>
      <c r="AO88" s="473" t="s">
        <v>214</v>
      </c>
      <c r="AP88" s="460">
        <f t="shared" si="1"/>
        <v>0</v>
      </c>
      <c r="AQ88" s="207"/>
      <c r="AR88" s="207"/>
    </row>
    <row r="89" spans="39:44">
      <c r="AM89" s="461" t="str">
        <f>AM60 &amp; ".12"</f>
        <v>4.0.1.1.12</v>
      </c>
      <c r="AN89" s="457" t="s">
        <v>2982</v>
      </c>
      <c r="AO89" s="473" t="s">
        <v>214</v>
      </c>
      <c r="AP89" s="460">
        <f t="shared" si="1"/>
        <v>0</v>
      </c>
      <c r="AQ89" s="207"/>
      <c r="AR89" s="207"/>
    </row>
    <row r="90" spans="39:44" hidden="1">
      <c r="AM90" s="451"/>
      <c r="AN90" s="455"/>
      <c r="AO90" s="473"/>
      <c r="AP90" s="456"/>
      <c r="AQ90" s="207"/>
      <c r="AR90" s="207"/>
    </row>
    <row r="91" spans="39:44" hidden="1">
      <c r="AM91" s="451"/>
      <c r="AN91" s="455"/>
      <c r="AO91" s="473"/>
      <c r="AP91" s="456"/>
      <c r="AQ91" s="207"/>
      <c r="AR91" s="207"/>
    </row>
    <row r="92" spans="39:44">
      <c r="AM92" s="461" t="str">
        <f>AM60 &amp; ".15"</f>
        <v>4.0.1.1.15</v>
      </c>
      <c r="AN92" s="457" t="s">
        <v>291</v>
      </c>
      <c r="AO92" s="473" t="s">
        <v>214</v>
      </c>
      <c r="AP92" s="460">
        <f>IF(AP158=0,0,AP59/AP158)</f>
        <v>0</v>
      </c>
      <c r="AQ92" s="207"/>
      <c r="AR92" s="207"/>
    </row>
    <row r="93" spans="39:44">
      <c r="AM93" s="449" t="s">
        <v>258</v>
      </c>
      <c r="AN93" s="450" t="s">
        <v>215</v>
      </c>
      <c r="AO93" s="473"/>
      <c r="AP93" s="456"/>
      <c r="AQ93" s="207"/>
      <c r="AR93" s="207"/>
    </row>
    <row r="94" spans="39:44">
      <c r="AM94" s="461" t="str">
        <f>AM93 &amp; ".1"</f>
        <v>4.0.1.2.1</v>
      </c>
      <c r="AN94" s="453" t="s">
        <v>78</v>
      </c>
      <c r="AO94" s="473" t="s">
        <v>216</v>
      </c>
      <c r="AP94" s="452">
        <f>AP262+AP401+AP500+AP599</f>
        <v>0</v>
      </c>
      <c r="AQ94" s="207"/>
      <c r="AR94" s="207"/>
    </row>
    <row r="95" spans="39:44" ht="12.75">
      <c r="AM95" s="461" t="str">
        <f>AM93 &amp; ".2"</f>
        <v>4.0.1.2.2</v>
      </c>
      <c r="AN95" s="454" t="s">
        <v>212</v>
      </c>
      <c r="AO95" s="473" t="s">
        <v>285</v>
      </c>
      <c r="AP95" s="452">
        <f>IF(AP227=0,0,AP29/AP227*1000)</f>
        <v>0</v>
      </c>
      <c r="AQ95" s="207"/>
      <c r="AR95" s="207"/>
    </row>
    <row r="96" spans="39:44" ht="12.75">
      <c r="AM96" s="461" t="str">
        <f>AM93 &amp; ".2.1"</f>
        <v>4.0.1.2.2.1</v>
      </c>
      <c r="AN96" s="455" t="s">
        <v>79</v>
      </c>
      <c r="AO96" s="473" t="s">
        <v>285</v>
      </c>
      <c r="AP96" s="452">
        <f>IF(AP228=0,0,AP30/AP228*1000)</f>
        <v>0</v>
      </c>
      <c r="AQ96" s="207"/>
      <c r="AR96" s="207"/>
    </row>
    <row r="97" spans="39:44" hidden="1">
      <c r="AM97" s="451"/>
      <c r="AN97" s="455"/>
      <c r="AO97" s="473"/>
      <c r="AP97" s="456"/>
      <c r="AQ97" s="207"/>
      <c r="AR97" s="207"/>
    </row>
    <row r="98" spans="39:44" hidden="1">
      <c r="AM98" s="451"/>
      <c r="AN98" s="455"/>
      <c r="AO98" s="473"/>
      <c r="AP98" s="456"/>
      <c r="AQ98" s="207"/>
      <c r="AR98" s="207"/>
    </row>
    <row r="99" spans="39:44" hidden="1">
      <c r="AM99" s="451"/>
      <c r="AN99" s="455"/>
      <c r="AO99" s="473"/>
      <c r="AP99" s="456"/>
      <c r="AQ99" s="207"/>
      <c r="AR99" s="207"/>
    </row>
    <row r="100" spans="39:44" hidden="1">
      <c r="AM100" s="451"/>
      <c r="AN100" s="455"/>
      <c r="AO100" s="473"/>
      <c r="AP100" s="456"/>
      <c r="AQ100" s="207"/>
      <c r="AR100" s="207"/>
    </row>
    <row r="101" spans="39:44" hidden="1">
      <c r="AM101" s="451"/>
      <c r="AN101" s="455"/>
      <c r="AO101" s="473"/>
      <c r="AP101" s="456"/>
      <c r="AQ101" s="207"/>
      <c r="AR101" s="207"/>
    </row>
    <row r="102" spans="39:44" hidden="1">
      <c r="AM102" s="451"/>
      <c r="AN102" s="455"/>
      <c r="AO102" s="473"/>
      <c r="AP102" s="456"/>
      <c r="AQ102" s="207"/>
      <c r="AR102" s="207"/>
    </row>
    <row r="103" spans="39:44" hidden="1">
      <c r="AM103" s="451"/>
      <c r="AN103" s="455"/>
      <c r="AO103" s="473"/>
      <c r="AP103" s="456"/>
      <c r="AQ103" s="207"/>
      <c r="AR103" s="207"/>
    </row>
    <row r="104" spans="39:44" ht="12.75">
      <c r="AM104" s="461" t="str">
        <f>AM93 &amp; ".2.2"</f>
        <v>4.0.1.2.2.2</v>
      </c>
      <c r="AN104" s="455" t="s">
        <v>81</v>
      </c>
      <c r="AO104" s="473" t="s">
        <v>285</v>
      </c>
      <c r="AP104" s="452">
        <f>IF(AP236=0,0,AP38/AP236*1000)</f>
        <v>0</v>
      </c>
      <c r="AQ104" s="207"/>
      <c r="AR104" s="207"/>
    </row>
    <row r="105" spans="39:44" hidden="1">
      <c r="AM105" s="451"/>
      <c r="AN105" s="455"/>
      <c r="AO105" s="473"/>
      <c r="AP105" s="456"/>
      <c r="AQ105" s="207"/>
      <c r="AR105" s="207"/>
    </row>
    <row r="106" spans="39:44" hidden="1">
      <c r="AM106" s="451"/>
      <c r="AN106" s="455"/>
      <c r="AO106" s="473"/>
      <c r="AP106" s="456"/>
      <c r="AQ106" s="207"/>
      <c r="AR106" s="207"/>
    </row>
    <row r="107" spans="39:44" hidden="1">
      <c r="AM107" s="451"/>
      <c r="AN107" s="455"/>
      <c r="AO107" s="473"/>
      <c r="AP107" s="456"/>
      <c r="AQ107" s="207"/>
      <c r="AR107" s="207"/>
    </row>
    <row r="108" spans="39:44" hidden="1">
      <c r="AM108" s="451"/>
      <c r="AN108" s="455"/>
      <c r="AO108" s="473"/>
      <c r="AP108" s="456"/>
      <c r="AQ108" s="207"/>
      <c r="AR108" s="207"/>
    </row>
    <row r="109" spans="39:44" hidden="1">
      <c r="AM109" s="451"/>
      <c r="AN109" s="455"/>
      <c r="AO109" s="473"/>
      <c r="AP109" s="456"/>
      <c r="AQ109" s="207"/>
      <c r="AR109" s="207"/>
    </row>
    <row r="110" spans="39:44" hidden="1">
      <c r="AM110" s="451"/>
      <c r="AN110" s="455"/>
      <c r="AO110" s="473"/>
      <c r="AP110" s="456"/>
      <c r="AQ110" s="207"/>
      <c r="AR110" s="207"/>
    </row>
    <row r="111" spans="39:44" hidden="1">
      <c r="AM111" s="451"/>
      <c r="AN111" s="455"/>
      <c r="AO111" s="473"/>
      <c r="AP111" s="456"/>
      <c r="AQ111" s="207"/>
      <c r="AR111" s="207"/>
    </row>
    <row r="112" spans="39:44" ht="12.75">
      <c r="AM112" s="461" t="str">
        <f>AM93 &amp; ".2.3"</f>
        <v>4.0.1.2.2.3</v>
      </c>
      <c r="AN112" s="455" t="s">
        <v>83</v>
      </c>
      <c r="AO112" s="473" t="s">
        <v>285</v>
      </c>
      <c r="AP112" s="452">
        <f>IF(AP244=0,0,AP46/AP244*1000)</f>
        <v>0</v>
      </c>
      <c r="AQ112" s="207"/>
      <c r="AR112" s="207"/>
    </row>
    <row r="113" spans="39:44">
      <c r="AM113" s="461" t="str">
        <f>AM93 &amp; ".3"</f>
        <v>4.0.1.2.3</v>
      </c>
      <c r="AN113" s="457" t="s">
        <v>85</v>
      </c>
      <c r="AO113" s="473" t="s">
        <v>216</v>
      </c>
      <c r="AP113" s="452">
        <f t="shared" ref="AP113:AP122" si="2">AP281+AP420+AP519+AP618</f>
        <v>0</v>
      </c>
      <c r="AQ113" s="207"/>
      <c r="AR113" s="207"/>
    </row>
    <row r="114" spans="39:44">
      <c r="AM114" s="461" t="str">
        <f>AM93 &amp; ".4"</f>
        <v>4.0.1.2.4</v>
      </c>
      <c r="AN114" s="457" t="s">
        <v>87</v>
      </c>
      <c r="AO114" s="473" t="s">
        <v>216</v>
      </c>
      <c r="AP114" s="452">
        <f t="shared" si="2"/>
        <v>0</v>
      </c>
      <c r="AQ114" s="207"/>
      <c r="AR114" s="207"/>
    </row>
    <row r="115" spans="39:44">
      <c r="AM115" s="461" t="str">
        <f>AM93&amp;".5"</f>
        <v>4.0.1.2.5</v>
      </c>
      <c r="AN115" s="457" t="s">
        <v>89</v>
      </c>
      <c r="AO115" s="473" t="s">
        <v>216</v>
      </c>
      <c r="AP115" s="452">
        <f t="shared" si="2"/>
        <v>0</v>
      </c>
      <c r="AQ115" s="207"/>
      <c r="AR115" s="207"/>
    </row>
    <row r="116" spans="39:44">
      <c r="AM116" s="461" t="str">
        <f>AM93 &amp; ".6"</f>
        <v>4.0.1.2.6</v>
      </c>
      <c r="AN116" s="457" t="s">
        <v>91</v>
      </c>
      <c r="AO116" s="473" t="s">
        <v>216</v>
      </c>
      <c r="AP116" s="452">
        <f t="shared" si="2"/>
        <v>0</v>
      </c>
      <c r="AQ116" s="207"/>
      <c r="AR116" s="207"/>
    </row>
    <row r="117" spans="39:44">
      <c r="AM117" s="461" t="str">
        <f>AM93 &amp; ".7"</f>
        <v>4.0.1.2.7</v>
      </c>
      <c r="AN117" s="457" t="s">
        <v>93</v>
      </c>
      <c r="AO117" s="473" t="s">
        <v>216</v>
      </c>
      <c r="AP117" s="452">
        <f t="shared" si="2"/>
        <v>0</v>
      </c>
      <c r="AQ117" s="207"/>
      <c r="AR117" s="207"/>
    </row>
    <row r="118" spans="39:44">
      <c r="AM118" s="461" t="str">
        <f>AM93 &amp; ".8"</f>
        <v>4.0.1.2.8</v>
      </c>
      <c r="AN118" s="457" t="s">
        <v>95</v>
      </c>
      <c r="AO118" s="473" t="s">
        <v>216</v>
      </c>
      <c r="AP118" s="452">
        <f t="shared" si="2"/>
        <v>0</v>
      </c>
      <c r="AQ118" s="207"/>
      <c r="AR118" s="207"/>
    </row>
    <row r="119" spans="39:44">
      <c r="AM119" s="461" t="str">
        <f>AM93 &amp; ".9"</f>
        <v>4.0.1.2.9</v>
      </c>
      <c r="AN119" s="457" t="s">
        <v>2976</v>
      </c>
      <c r="AO119" s="473" t="s">
        <v>216</v>
      </c>
      <c r="AP119" s="452">
        <f t="shared" si="2"/>
        <v>0</v>
      </c>
      <c r="AQ119" s="207"/>
      <c r="AR119" s="207"/>
    </row>
    <row r="120" spans="39:44">
      <c r="AM120" s="461" t="str">
        <f>AM93 &amp; ".10"</f>
        <v>4.0.1.2.10</v>
      </c>
      <c r="AN120" s="457" t="s">
        <v>2978</v>
      </c>
      <c r="AO120" s="473" t="s">
        <v>216</v>
      </c>
      <c r="AP120" s="452">
        <f t="shared" si="2"/>
        <v>0</v>
      </c>
      <c r="AQ120" s="207"/>
      <c r="AR120" s="207"/>
    </row>
    <row r="121" spans="39:44">
      <c r="AM121" s="461" t="str">
        <f>AM93 &amp; ".11"</f>
        <v>4.0.1.2.11</v>
      </c>
      <c r="AN121" s="457" t="s">
        <v>2980</v>
      </c>
      <c r="AO121" s="473" t="s">
        <v>216</v>
      </c>
      <c r="AP121" s="452">
        <f t="shared" si="2"/>
        <v>0</v>
      </c>
      <c r="AQ121" s="207"/>
      <c r="AR121" s="207"/>
    </row>
    <row r="122" spans="39:44">
      <c r="AM122" s="461" t="str">
        <f>AM93 &amp; ".12"</f>
        <v>4.0.1.2.12</v>
      </c>
      <c r="AN122" s="457" t="s">
        <v>2982</v>
      </c>
      <c r="AO122" s="473" t="s">
        <v>216</v>
      </c>
      <c r="AP122" s="452">
        <f t="shared" si="2"/>
        <v>0</v>
      </c>
      <c r="AQ122" s="207"/>
      <c r="AR122" s="207"/>
    </row>
    <row r="123" spans="39:44" hidden="1">
      <c r="AM123" s="451"/>
      <c r="AN123" s="455"/>
      <c r="AO123" s="473"/>
      <c r="AP123" s="456"/>
      <c r="AQ123" s="207"/>
      <c r="AR123" s="207"/>
    </row>
    <row r="124" spans="39:44" hidden="1">
      <c r="AM124" s="451"/>
      <c r="AN124" s="455"/>
      <c r="AO124" s="473"/>
      <c r="AP124" s="456"/>
      <c r="AQ124" s="207"/>
      <c r="AR124" s="207"/>
    </row>
    <row r="125" spans="39:44">
      <c r="AM125" s="461" t="str">
        <f>AM93 &amp; ".15"</f>
        <v>4.0.1.2.15</v>
      </c>
      <c r="AN125" s="457" t="s">
        <v>291</v>
      </c>
      <c r="AO125" s="473" t="s">
        <v>216</v>
      </c>
      <c r="AP125" s="452">
        <f>AP293+AP432+AP531+AP630</f>
        <v>0</v>
      </c>
      <c r="AQ125" s="207"/>
      <c r="AR125" s="207"/>
    </row>
    <row r="126" spans="39:44">
      <c r="AM126" s="449" t="s">
        <v>259</v>
      </c>
      <c r="AN126" s="463" t="s">
        <v>217</v>
      </c>
      <c r="AO126" s="473" t="s">
        <v>218</v>
      </c>
      <c r="AP126" s="305">
        <f>SUM(AQ126:AR126)</f>
        <v>0</v>
      </c>
      <c r="AQ126" s="207"/>
      <c r="AR126" s="207"/>
    </row>
    <row r="127" spans="39:44">
      <c r="AM127" s="461" t="str">
        <f>AM126 &amp; ".1"</f>
        <v>4.0.1.3.1</v>
      </c>
      <c r="AN127" s="453" t="s">
        <v>78</v>
      </c>
      <c r="AO127" s="473" t="s">
        <v>218</v>
      </c>
      <c r="AP127" s="305">
        <f>SUM(AQ127:AR127)</f>
        <v>0</v>
      </c>
      <c r="AQ127" s="207"/>
      <c r="AR127" s="207"/>
    </row>
    <row r="128" spans="39:44">
      <c r="AM128" s="461" t="str">
        <f>AM126 &amp; ".2"</f>
        <v>4.0.1.3.2</v>
      </c>
      <c r="AN128" s="454" t="s">
        <v>212</v>
      </c>
      <c r="AO128" s="473" t="s">
        <v>218</v>
      </c>
      <c r="AP128" s="305">
        <f>SUM(AQ128:AR128)</f>
        <v>0</v>
      </c>
      <c r="AQ128" s="207"/>
      <c r="AR128" s="207"/>
    </row>
    <row r="129" spans="39:44">
      <c r="AM129" s="461" t="str">
        <f>AM126 &amp; ".2.1"</f>
        <v>4.0.1.3.2.1</v>
      </c>
      <c r="AN129" s="455" t="s">
        <v>79</v>
      </c>
      <c r="AO129" s="473" t="s">
        <v>218</v>
      </c>
      <c r="AP129" s="305">
        <f>SUM(AQ129:AR129)</f>
        <v>0</v>
      </c>
      <c r="AQ129" s="207"/>
      <c r="AR129" s="207"/>
    </row>
    <row r="130" spans="39:44" hidden="1">
      <c r="AM130" s="451"/>
      <c r="AN130" s="455"/>
      <c r="AO130" s="473"/>
      <c r="AP130" s="456"/>
      <c r="AQ130" s="207"/>
      <c r="AR130" s="207"/>
    </row>
    <row r="131" spans="39:44" hidden="1">
      <c r="AM131" s="451"/>
      <c r="AN131" s="455"/>
      <c r="AO131" s="473"/>
      <c r="AP131" s="456"/>
      <c r="AQ131" s="207"/>
      <c r="AR131" s="207"/>
    </row>
    <row r="132" spans="39:44" hidden="1">
      <c r="AM132" s="451"/>
      <c r="AN132" s="455"/>
      <c r="AO132" s="473"/>
      <c r="AP132" s="456"/>
      <c r="AQ132" s="207"/>
      <c r="AR132" s="207"/>
    </row>
    <row r="133" spans="39:44" hidden="1">
      <c r="AM133" s="451"/>
      <c r="AN133" s="455"/>
      <c r="AO133" s="473"/>
      <c r="AP133" s="456"/>
      <c r="AQ133" s="207"/>
      <c r="AR133" s="207"/>
    </row>
    <row r="134" spans="39:44" hidden="1">
      <c r="AM134" s="451"/>
      <c r="AN134" s="455"/>
      <c r="AO134" s="473"/>
      <c r="AP134" s="456"/>
      <c r="AQ134" s="207"/>
      <c r="AR134" s="207"/>
    </row>
    <row r="135" spans="39:44" hidden="1">
      <c r="AM135" s="451"/>
      <c r="AN135" s="455"/>
      <c r="AO135" s="473"/>
      <c r="AP135" s="456"/>
      <c r="AQ135" s="207"/>
      <c r="AR135" s="207"/>
    </row>
    <row r="136" spans="39:44" hidden="1">
      <c r="AM136" s="451"/>
      <c r="AN136" s="455"/>
      <c r="AO136" s="473"/>
      <c r="AP136" s="456"/>
      <c r="AQ136" s="207"/>
      <c r="AR136" s="207"/>
    </row>
    <row r="137" spans="39:44">
      <c r="AM137" s="461" t="str">
        <f>AM126 &amp; ".2.2"</f>
        <v>4.0.1.3.2.2</v>
      </c>
      <c r="AN137" s="455" t="s">
        <v>81</v>
      </c>
      <c r="AO137" s="473" t="s">
        <v>218</v>
      </c>
      <c r="AP137" s="305">
        <f>SUM(AQ137:AR137)</f>
        <v>0</v>
      </c>
      <c r="AQ137" s="207"/>
      <c r="AR137" s="207"/>
    </row>
    <row r="138" spans="39:44" hidden="1">
      <c r="AM138" s="451"/>
      <c r="AN138" s="455"/>
      <c r="AO138" s="473"/>
      <c r="AP138" s="456"/>
      <c r="AQ138" s="207"/>
      <c r="AR138" s="207"/>
    </row>
    <row r="139" spans="39:44" hidden="1">
      <c r="AM139" s="451"/>
      <c r="AN139" s="455"/>
      <c r="AO139" s="473"/>
      <c r="AP139" s="456"/>
      <c r="AQ139" s="207"/>
      <c r="AR139" s="207"/>
    </row>
    <row r="140" spans="39:44" hidden="1">
      <c r="AM140" s="451"/>
      <c r="AN140" s="455"/>
      <c r="AO140" s="473"/>
      <c r="AP140" s="456"/>
      <c r="AQ140" s="207"/>
      <c r="AR140" s="207"/>
    </row>
    <row r="141" spans="39:44" hidden="1">
      <c r="AM141" s="451"/>
      <c r="AN141" s="455"/>
      <c r="AO141" s="473"/>
      <c r="AP141" s="456"/>
      <c r="AQ141" s="207"/>
      <c r="AR141" s="207"/>
    </row>
    <row r="142" spans="39:44" hidden="1">
      <c r="AM142" s="451"/>
      <c r="AN142" s="455"/>
      <c r="AO142" s="473"/>
      <c r="AP142" s="456"/>
      <c r="AQ142" s="207"/>
      <c r="AR142" s="207"/>
    </row>
    <row r="143" spans="39:44" hidden="1">
      <c r="AM143" s="451"/>
      <c r="AN143" s="455"/>
      <c r="AO143" s="473"/>
      <c r="AP143" s="456"/>
      <c r="AQ143" s="207"/>
      <c r="AR143" s="207"/>
    </row>
    <row r="144" spans="39:44" hidden="1">
      <c r="AM144" s="451"/>
      <c r="AN144" s="455"/>
      <c r="AO144" s="473"/>
      <c r="AP144" s="456"/>
      <c r="AQ144" s="207"/>
      <c r="AR144" s="207"/>
    </row>
    <row r="145" spans="39:44">
      <c r="AM145" s="461" t="str">
        <f>AM126 &amp; ".2.3"</f>
        <v>4.0.1.3.2.3</v>
      </c>
      <c r="AN145" s="455" t="s">
        <v>83</v>
      </c>
      <c r="AO145" s="473" t="s">
        <v>218</v>
      </c>
      <c r="AP145" s="305">
        <f t="shared" ref="AP145:AP155" si="3">SUM(AQ145:AR145)</f>
        <v>0</v>
      </c>
      <c r="AQ145" s="207"/>
      <c r="AR145" s="207"/>
    </row>
    <row r="146" spans="39:44">
      <c r="AM146" s="461" t="str">
        <f>AM126 &amp; ".3"</f>
        <v>4.0.1.3.3</v>
      </c>
      <c r="AN146" s="457" t="s">
        <v>85</v>
      </c>
      <c r="AO146" s="473" t="s">
        <v>218</v>
      </c>
      <c r="AP146" s="305">
        <f t="shared" si="3"/>
        <v>0</v>
      </c>
      <c r="AQ146" s="207"/>
      <c r="AR146" s="207"/>
    </row>
    <row r="147" spans="39:44">
      <c r="AM147" s="461" t="str">
        <f>AM126 &amp; ".4"</f>
        <v>4.0.1.3.4</v>
      </c>
      <c r="AN147" s="457" t="s">
        <v>87</v>
      </c>
      <c r="AO147" s="473" t="s">
        <v>218</v>
      </c>
      <c r="AP147" s="305">
        <f t="shared" si="3"/>
        <v>0</v>
      </c>
      <c r="AQ147" s="207"/>
      <c r="AR147" s="207"/>
    </row>
    <row r="148" spans="39:44">
      <c r="AM148" s="461" t="str">
        <f>AM126&amp;".5"</f>
        <v>4.0.1.3.5</v>
      </c>
      <c r="AN148" s="457" t="s">
        <v>89</v>
      </c>
      <c r="AO148" s="473" t="s">
        <v>218</v>
      </c>
      <c r="AP148" s="305">
        <f t="shared" si="3"/>
        <v>0</v>
      </c>
      <c r="AQ148" s="207"/>
      <c r="AR148" s="207"/>
    </row>
    <row r="149" spans="39:44">
      <c r="AM149" s="461" t="str">
        <f>AM126 &amp; ".6"</f>
        <v>4.0.1.3.6</v>
      </c>
      <c r="AN149" s="457" t="s">
        <v>91</v>
      </c>
      <c r="AO149" s="473" t="s">
        <v>218</v>
      </c>
      <c r="AP149" s="305">
        <f t="shared" si="3"/>
        <v>0</v>
      </c>
      <c r="AQ149" s="207"/>
      <c r="AR149" s="207"/>
    </row>
    <row r="150" spans="39:44">
      <c r="AM150" s="461" t="str">
        <f>AM126 &amp; ".7"</f>
        <v>4.0.1.3.7</v>
      </c>
      <c r="AN150" s="457" t="s">
        <v>93</v>
      </c>
      <c r="AO150" s="473" t="s">
        <v>218</v>
      </c>
      <c r="AP150" s="305">
        <f t="shared" si="3"/>
        <v>0</v>
      </c>
      <c r="AQ150" s="207"/>
      <c r="AR150" s="207"/>
    </row>
    <row r="151" spans="39:44">
      <c r="AM151" s="461" t="str">
        <f>AM126 &amp; ".8"</f>
        <v>4.0.1.3.8</v>
      </c>
      <c r="AN151" s="457" t="s">
        <v>95</v>
      </c>
      <c r="AO151" s="473" t="s">
        <v>218</v>
      </c>
      <c r="AP151" s="305">
        <f t="shared" si="3"/>
        <v>0</v>
      </c>
      <c r="AQ151" s="207"/>
      <c r="AR151" s="207"/>
    </row>
    <row r="152" spans="39:44">
      <c r="AM152" s="461" t="str">
        <f>AM126 &amp; ".9"</f>
        <v>4.0.1.3.9</v>
      </c>
      <c r="AN152" s="457" t="s">
        <v>2976</v>
      </c>
      <c r="AO152" s="473" t="s">
        <v>218</v>
      </c>
      <c r="AP152" s="305">
        <f t="shared" si="3"/>
        <v>0</v>
      </c>
      <c r="AQ152" s="207"/>
      <c r="AR152" s="207"/>
    </row>
    <row r="153" spans="39:44">
      <c r="AM153" s="461" t="str">
        <f>AM126 &amp; ".10"</f>
        <v>4.0.1.3.10</v>
      </c>
      <c r="AN153" s="457" t="s">
        <v>2978</v>
      </c>
      <c r="AO153" s="473" t="s">
        <v>218</v>
      </c>
      <c r="AP153" s="305">
        <f t="shared" si="3"/>
        <v>0</v>
      </c>
      <c r="AQ153" s="207"/>
      <c r="AR153" s="207"/>
    </row>
    <row r="154" spans="39:44">
      <c r="AM154" s="461" t="str">
        <f>AM126 &amp; ".11"</f>
        <v>4.0.1.3.11</v>
      </c>
      <c r="AN154" s="457" t="s">
        <v>2980</v>
      </c>
      <c r="AO154" s="473" t="s">
        <v>218</v>
      </c>
      <c r="AP154" s="305">
        <f t="shared" si="3"/>
        <v>0</v>
      </c>
      <c r="AQ154" s="207"/>
      <c r="AR154" s="207"/>
    </row>
    <row r="155" spans="39:44">
      <c r="AM155" s="461" t="str">
        <f>AM126 &amp; ".12"</f>
        <v>4.0.1.3.12</v>
      </c>
      <c r="AN155" s="457" t="s">
        <v>2982</v>
      </c>
      <c r="AO155" s="473" t="s">
        <v>218</v>
      </c>
      <c r="AP155" s="305">
        <f t="shared" si="3"/>
        <v>0</v>
      </c>
      <c r="AQ155" s="207"/>
      <c r="AR155" s="207"/>
    </row>
    <row r="156" spans="39:44" hidden="1">
      <c r="AM156" s="451"/>
      <c r="AN156" s="455"/>
      <c r="AO156" s="473"/>
      <c r="AP156" s="456"/>
      <c r="AQ156" s="207"/>
      <c r="AR156" s="207"/>
    </row>
    <row r="157" spans="39:44" hidden="1">
      <c r="AM157" s="451"/>
      <c r="AN157" s="455"/>
      <c r="AO157" s="473"/>
      <c r="AP157" s="456"/>
      <c r="AQ157" s="207"/>
      <c r="AR157" s="207"/>
    </row>
    <row r="158" spans="39:44">
      <c r="AM158" s="461" t="str">
        <f>AM126 &amp; ".15"</f>
        <v>4.0.1.3.15</v>
      </c>
      <c r="AN158" s="457" t="s">
        <v>291</v>
      </c>
      <c r="AO158" s="473" t="s">
        <v>218</v>
      </c>
      <c r="AP158" s="305">
        <f>SUM(AQ158:AR158)</f>
        <v>0</v>
      </c>
      <c r="AQ158" s="207"/>
      <c r="AR158" s="207"/>
    </row>
    <row r="159" spans="39:44">
      <c r="AM159" s="449" t="s">
        <v>260</v>
      </c>
      <c r="AN159" s="463" t="s">
        <v>219</v>
      </c>
      <c r="AO159" s="473" t="s">
        <v>220</v>
      </c>
      <c r="AP159" s="452">
        <f>SUM(AP160,AP161,AP179:AP188)</f>
        <v>0</v>
      </c>
      <c r="AQ159" s="207"/>
      <c r="AR159" s="207"/>
    </row>
    <row r="160" spans="39:44">
      <c r="AM160" s="461" t="str">
        <f>AM159 &amp; ".1"</f>
        <v>4.0.1.4.1</v>
      </c>
      <c r="AN160" s="453" t="s">
        <v>78</v>
      </c>
      <c r="AO160" s="473" t="s">
        <v>220</v>
      </c>
      <c r="AP160" s="464">
        <f>IF(AP$126=0,0,AP127/AP$126*100)</f>
        <v>0</v>
      </c>
      <c r="AQ160" s="207"/>
      <c r="AR160" s="207"/>
    </row>
    <row r="161" spans="39:44">
      <c r="AM161" s="461" t="str">
        <f>AM159 &amp; ".2"</f>
        <v>4.0.1.4.2</v>
      </c>
      <c r="AN161" s="454" t="s">
        <v>212</v>
      </c>
      <c r="AO161" s="473" t="s">
        <v>220</v>
      </c>
      <c r="AP161" s="452">
        <f>SUM(AP162:AP178)</f>
        <v>0</v>
      </c>
      <c r="AQ161" s="207"/>
      <c r="AR161" s="207"/>
    </row>
    <row r="162" spans="39:44">
      <c r="AM162" s="461" t="str">
        <f>AM159 &amp; ".2.1"</f>
        <v>4.0.1.4.2.1</v>
      </c>
      <c r="AN162" s="455" t="s">
        <v>79</v>
      </c>
      <c r="AO162" s="473" t="s">
        <v>220</v>
      </c>
      <c r="AP162" s="464">
        <f>IF(AP$126=0,0,AP129/AP$126*100)</f>
        <v>0</v>
      </c>
      <c r="AQ162" s="207"/>
      <c r="AR162" s="207"/>
    </row>
    <row r="163" spans="39:44" hidden="1">
      <c r="AM163" s="451"/>
      <c r="AN163" s="455"/>
      <c r="AO163" s="473"/>
      <c r="AP163" s="456"/>
      <c r="AQ163" s="207"/>
      <c r="AR163" s="207"/>
    </row>
    <row r="164" spans="39:44" hidden="1">
      <c r="AM164" s="451"/>
      <c r="AN164" s="455"/>
      <c r="AO164" s="473"/>
      <c r="AP164" s="456"/>
      <c r="AQ164" s="207"/>
      <c r="AR164" s="207"/>
    </row>
    <row r="165" spans="39:44" hidden="1">
      <c r="AM165" s="451"/>
      <c r="AN165" s="455"/>
      <c r="AO165" s="473"/>
      <c r="AP165" s="456"/>
      <c r="AQ165" s="207"/>
      <c r="AR165" s="207"/>
    </row>
    <row r="166" spans="39:44" hidden="1">
      <c r="AM166" s="451"/>
      <c r="AN166" s="455"/>
      <c r="AO166" s="473"/>
      <c r="AP166" s="456"/>
      <c r="AQ166" s="207"/>
      <c r="AR166" s="207"/>
    </row>
    <row r="167" spans="39:44" hidden="1">
      <c r="AM167" s="451"/>
      <c r="AN167" s="455"/>
      <c r="AO167" s="473"/>
      <c r="AP167" s="456"/>
      <c r="AQ167" s="207"/>
      <c r="AR167" s="207"/>
    </row>
    <row r="168" spans="39:44" hidden="1">
      <c r="AM168" s="451"/>
      <c r="AN168" s="455"/>
      <c r="AO168" s="473"/>
      <c r="AP168" s="456"/>
      <c r="AQ168" s="207"/>
      <c r="AR168" s="207"/>
    </row>
    <row r="169" spans="39:44" hidden="1">
      <c r="AM169" s="451"/>
      <c r="AN169" s="455"/>
      <c r="AO169" s="473"/>
      <c r="AP169" s="456"/>
      <c r="AQ169" s="207"/>
      <c r="AR169" s="207"/>
    </row>
    <row r="170" spans="39:44">
      <c r="AM170" s="461" t="str">
        <f>AM159 &amp; ".2.2"</f>
        <v>4.0.1.4.2.2</v>
      </c>
      <c r="AN170" s="455" t="s">
        <v>81</v>
      </c>
      <c r="AO170" s="473" t="s">
        <v>220</v>
      </c>
      <c r="AP170" s="464">
        <f>IF(AP$126=0,0,AP137/AP$126*100)</f>
        <v>0</v>
      </c>
      <c r="AQ170" s="207"/>
      <c r="AR170" s="207"/>
    </row>
    <row r="171" spans="39:44" hidden="1">
      <c r="AM171" s="451"/>
      <c r="AN171" s="455"/>
      <c r="AO171" s="473"/>
      <c r="AP171" s="456"/>
      <c r="AQ171" s="207"/>
      <c r="AR171" s="207"/>
    </row>
    <row r="172" spans="39:44" hidden="1">
      <c r="AM172" s="451"/>
      <c r="AN172" s="455"/>
      <c r="AO172" s="473"/>
      <c r="AP172" s="456"/>
      <c r="AQ172" s="207"/>
      <c r="AR172" s="207"/>
    </row>
    <row r="173" spans="39:44" hidden="1">
      <c r="AM173" s="451"/>
      <c r="AN173" s="455"/>
      <c r="AO173" s="473"/>
      <c r="AP173" s="456"/>
      <c r="AQ173" s="207"/>
      <c r="AR173" s="207"/>
    </row>
    <row r="174" spans="39:44" hidden="1">
      <c r="AM174" s="451"/>
      <c r="AN174" s="455"/>
      <c r="AO174" s="473"/>
      <c r="AP174" s="456"/>
      <c r="AQ174" s="207"/>
      <c r="AR174" s="207"/>
    </row>
    <row r="175" spans="39:44" hidden="1">
      <c r="AM175" s="451"/>
      <c r="AN175" s="455"/>
      <c r="AO175" s="473"/>
      <c r="AP175" s="456"/>
      <c r="AQ175" s="207"/>
      <c r="AR175" s="207"/>
    </row>
    <row r="176" spans="39:44" hidden="1">
      <c r="AM176" s="451"/>
      <c r="AN176" s="455"/>
      <c r="AO176" s="473"/>
      <c r="AP176" s="456"/>
      <c r="AQ176" s="207"/>
      <c r="AR176" s="207"/>
    </row>
    <row r="177" spans="39:44" hidden="1">
      <c r="AM177" s="451"/>
      <c r="AN177" s="455"/>
      <c r="AO177" s="473"/>
      <c r="AP177" s="456"/>
      <c r="AQ177" s="207"/>
      <c r="AR177" s="207"/>
    </row>
    <row r="178" spans="39:44">
      <c r="AM178" s="461" t="str">
        <f>AM159 &amp; ".2.3"</f>
        <v>4.0.1.4.2.3</v>
      </c>
      <c r="AN178" s="455" t="s">
        <v>83</v>
      </c>
      <c r="AO178" s="473" t="s">
        <v>220</v>
      </c>
      <c r="AP178" s="464">
        <f t="shared" ref="AP178:AP188" si="4">IF(AP$126=0,0,AP145/AP$126*100)</f>
        <v>0</v>
      </c>
      <c r="AQ178" s="207"/>
      <c r="AR178" s="207"/>
    </row>
    <row r="179" spans="39:44">
      <c r="AM179" s="461" t="str">
        <f>AM159 &amp; ".3"</f>
        <v>4.0.1.4.3</v>
      </c>
      <c r="AN179" s="457" t="s">
        <v>85</v>
      </c>
      <c r="AO179" s="473" t="s">
        <v>220</v>
      </c>
      <c r="AP179" s="460">
        <f t="shared" si="4"/>
        <v>0</v>
      </c>
      <c r="AQ179" s="207"/>
      <c r="AR179" s="207"/>
    </row>
    <row r="180" spans="39:44">
      <c r="AM180" s="461" t="str">
        <f>AM159 &amp; ".4"</f>
        <v>4.0.1.4.4</v>
      </c>
      <c r="AN180" s="457" t="s">
        <v>87</v>
      </c>
      <c r="AO180" s="473" t="s">
        <v>220</v>
      </c>
      <c r="AP180" s="460">
        <f t="shared" si="4"/>
        <v>0</v>
      </c>
      <c r="AQ180" s="207"/>
      <c r="AR180" s="207"/>
    </row>
    <row r="181" spans="39:44">
      <c r="AM181" s="461" t="str">
        <f>AM159&amp;".5"</f>
        <v>4.0.1.4.5</v>
      </c>
      <c r="AN181" s="457" t="s">
        <v>89</v>
      </c>
      <c r="AO181" s="473" t="s">
        <v>220</v>
      </c>
      <c r="AP181" s="460">
        <f t="shared" si="4"/>
        <v>0</v>
      </c>
      <c r="AQ181" s="207"/>
      <c r="AR181" s="207"/>
    </row>
    <row r="182" spans="39:44">
      <c r="AM182" s="461" t="str">
        <f>AM159 &amp; ".6"</f>
        <v>4.0.1.4.6</v>
      </c>
      <c r="AN182" s="457" t="s">
        <v>91</v>
      </c>
      <c r="AO182" s="473" t="s">
        <v>220</v>
      </c>
      <c r="AP182" s="460">
        <f t="shared" si="4"/>
        <v>0</v>
      </c>
      <c r="AQ182" s="207"/>
      <c r="AR182" s="207"/>
    </row>
    <row r="183" spans="39:44">
      <c r="AM183" s="461" t="str">
        <f>AM159 &amp; ".7"</f>
        <v>4.0.1.4.7</v>
      </c>
      <c r="AN183" s="457" t="s">
        <v>93</v>
      </c>
      <c r="AO183" s="473" t="s">
        <v>220</v>
      </c>
      <c r="AP183" s="460">
        <f t="shared" si="4"/>
        <v>0</v>
      </c>
      <c r="AQ183" s="207"/>
      <c r="AR183" s="207"/>
    </row>
    <row r="184" spans="39:44">
      <c r="AM184" s="461" t="str">
        <f>AM159 &amp; ".8"</f>
        <v>4.0.1.4.8</v>
      </c>
      <c r="AN184" s="457" t="s">
        <v>95</v>
      </c>
      <c r="AO184" s="473" t="s">
        <v>220</v>
      </c>
      <c r="AP184" s="460">
        <f t="shared" si="4"/>
        <v>0</v>
      </c>
      <c r="AQ184" s="207"/>
      <c r="AR184" s="207"/>
    </row>
    <row r="185" spans="39:44">
      <c r="AM185" s="461" t="str">
        <f>AM159 &amp; ".9"</f>
        <v>4.0.1.4.9</v>
      </c>
      <c r="AN185" s="457" t="s">
        <v>2976</v>
      </c>
      <c r="AO185" s="473" t="s">
        <v>220</v>
      </c>
      <c r="AP185" s="460">
        <f t="shared" si="4"/>
        <v>0</v>
      </c>
      <c r="AQ185" s="207"/>
      <c r="AR185" s="207"/>
    </row>
    <row r="186" spans="39:44">
      <c r="AM186" s="461" t="str">
        <f>AM159 &amp; ".10"</f>
        <v>4.0.1.4.10</v>
      </c>
      <c r="AN186" s="457" t="s">
        <v>2978</v>
      </c>
      <c r="AO186" s="473" t="s">
        <v>220</v>
      </c>
      <c r="AP186" s="460">
        <f t="shared" si="4"/>
        <v>0</v>
      </c>
      <c r="AQ186" s="207"/>
      <c r="AR186" s="207"/>
    </row>
    <row r="187" spans="39:44">
      <c r="AM187" s="461" t="str">
        <f>AM159 &amp; ".11"</f>
        <v>4.0.1.4.11</v>
      </c>
      <c r="AN187" s="457" t="s">
        <v>2980</v>
      </c>
      <c r="AO187" s="473" t="s">
        <v>220</v>
      </c>
      <c r="AP187" s="460">
        <f t="shared" si="4"/>
        <v>0</v>
      </c>
      <c r="AQ187" s="207"/>
      <c r="AR187" s="207"/>
    </row>
    <row r="188" spans="39:44">
      <c r="AM188" s="461" t="str">
        <f>AM159 &amp; ".12"</f>
        <v>4.0.1.4.12</v>
      </c>
      <c r="AN188" s="457" t="s">
        <v>2982</v>
      </c>
      <c r="AO188" s="473" t="s">
        <v>220</v>
      </c>
      <c r="AP188" s="460">
        <f t="shared" si="4"/>
        <v>0</v>
      </c>
      <c r="AQ188" s="207"/>
      <c r="AR188" s="207"/>
    </row>
    <row r="189" spans="39:44" hidden="1">
      <c r="AM189" s="451"/>
      <c r="AN189" s="455"/>
      <c r="AO189" s="473"/>
      <c r="AP189" s="456"/>
      <c r="AQ189" s="207"/>
      <c r="AR189" s="207"/>
    </row>
    <row r="190" spans="39:44" hidden="1">
      <c r="AM190" s="451"/>
      <c r="AN190" s="455"/>
      <c r="AO190" s="473"/>
      <c r="AP190" s="456"/>
      <c r="AQ190" s="207"/>
      <c r="AR190" s="207"/>
    </row>
    <row r="191" spans="39:44">
      <c r="AM191" s="461" t="str">
        <f>AM159 &amp; ".15"</f>
        <v>4.0.1.4.15</v>
      </c>
      <c r="AN191" s="457" t="s">
        <v>291</v>
      </c>
      <c r="AO191" s="473" t="s">
        <v>220</v>
      </c>
      <c r="AP191" s="460">
        <f>IF(AP$126=0,0,AP158/AP$126*100)</f>
        <v>0</v>
      </c>
      <c r="AQ191" s="207"/>
      <c r="AR191" s="207"/>
    </row>
    <row r="192" spans="39:44">
      <c r="AM192" s="449" t="s">
        <v>261</v>
      </c>
      <c r="AN192" s="463" t="s">
        <v>221</v>
      </c>
      <c r="AO192" s="473"/>
      <c r="AP192" s="456"/>
      <c r="AQ192" s="207"/>
      <c r="AR192" s="207"/>
    </row>
    <row r="193" spans="39:44">
      <c r="AM193" s="461" t="str">
        <f>AM192 &amp; ".1"</f>
        <v>4.0.1.5.1</v>
      </c>
      <c r="AN193" s="453" t="s">
        <v>78</v>
      </c>
      <c r="AO193" s="473"/>
      <c r="AP193" s="451"/>
      <c r="AQ193" s="207"/>
      <c r="AR193" s="207"/>
    </row>
    <row r="194" spans="39:44">
      <c r="AM194" s="461" t="str">
        <f>AM192 &amp; ".2"</f>
        <v>4.0.1.5.2</v>
      </c>
      <c r="AN194" s="454" t="s">
        <v>212</v>
      </c>
      <c r="AO194" s="473"/>
      <c r="AP194" s="451"/>
      <c r="AQ194" s="207"/>
      <c r="AR194" s="207"/>
    </row>
    <row r="195" spans="39:44">
      <c r="AM195" s="461" t="str">
        <f>AM192 &amp; ".2.1"</f>
        <v>4.0.1.5.2.1</v>
      </c>
      <c r="AN195" s="455" t="s">
        <v>79</v>
      </c>
      <c r="AO195" s="473"/>
      <c r="AP195" s="451"/>
      <c r="AQ195" s="207"/>
      <c r="AR195" s="207"/>
    </row>
    <row r="196" spans="39:44" hidden="1">
      <c r="AM196" s="451"/>
      <c r="AN196" s="455"/>
      <c r="AO196" s="473"/>
      <c r="AP196" s="456"/>
      <c r="AQ196" s="207"/>
      <c r="AR196" s="207"/>
    </row>
    <row r="197" spans="39:44" hidden="1">
      <c r="AM197" s="451"/>
      <c r="AN197" s="455"/>
      <c r="AO197" s="473"/>
      <c r="AP197" s="456"/>
      <c r="AQ197" s="207"/>
      <c r="AR197" s="207"/>
    </row>
    <row r="198" spans="39:44" hidden="1">
      <c r="AM198" s="451"/>
      <c r="AN198" s="455"/>
      <c r="AO198" s="473"/>
      <c r="AP198" s="456"/>
      <c r="AQ198" s="207"/>
      <c r="AR198" s="207"/>
    </row>
    <row r="199" spans="39:44" hidden="1">
      <c r="AM199" s="451"/>
      <c r="AN199" s="455"/>
      <c r="AO199" s="473"/>
      <c r="AP199" s="456"/>
      <c r="AQ199" s="207"/>
      <c r="AR199" s="207"/>
    </row>
    <row r="200" spans="39:44" hidden="1">
      <c r="AM200" s="451"/>
      <c r="AN200" s="455"/>
      <c r="AO200" s="473"/>
      <c r="AP200" s="456"/>
      <c r="AQ200" s="207"/>
      <c r="AR200" s="207"/>
    </row>
    <row r="201" spans="39:44" hidden="1">
      <c r="AM201" s="451"/>
      <c r="AN201" s="455"/>
      <c r="AO201" s="473"/>
      <c r="AP201" s="456"/>
      <c r="AQ201" s="207"/>
      <c r="AR201" s="207"/>
    </row>
    <row r="202" spans="39:44" hidden="1">
      <c r="AM202" s="451"/>
      <c r="AN202" s="455"/>
      <c r="AO202" s="473"/>
      <c r="AP202" s="456"/>
      <c r="AQ202" s="207"/>
      <c r="AR202" s="207"/>
    </row>
    <row r="203" spans="39:44">
      <c r="AM203" s="461" t="str">
        <f>AM192 &amp; ".2.2"</f>
        <v>4.0.1.5.2.2</v>
      </c>
      <c r="AN203" s="455" t="s">
        <v>81</v>
      </c>
      <c r="AO203" s="473"/>
      <c r="AP203" s="451"/>
      <c r="AQ203" s="207"/>
      <c r="AR203" s="207"/>
    </row>
    <row r="204" spans="39:44" hidden="1">
      <c r="AM204" s="451"/>
      <c r="AN204" s="455"/>
      <c r="AO204" s="473"/>
      <c r="AP204" s="456"/>
      <c r="AQ204" s="207"/>
      <c r="AR204" s="207"/>
    </row>
    <row r="205" spans="39:44" hidden="1">
      <c r="AM205" s="451"/>
      <c r="AN205" s="455"/>
      <c r="AO205" s="473"/>
      <c r="AP205" s="456"/>
      <c r="AQ205" s="207"/>
      <c r="AR205" s="207"/>
    </row>
    <row r="206" spans="39:44" hidden="1">
      <c r="AM206" s="451"/>
      <c r="AN206" s="455"/>
      <c r="AO206" s="473"/>
      <c r="AP206" s="456"/>
      <c r="AQ206" s="207"/>
      <c r="AR206" s="207"/>
    </row>
    <row r="207" spans="39:44" hidden="1">
      <c r="AM207" s="451"/>
      <c r="AN207" s="455"/>
      <c r="AO207" s="473"/>
      <c r="AP207" s="456"/>
      <c r="AQ207" s="207"/>
      <c r="AR207" s="207"/>
    </row>
    <row r="208" spans="39:44" hidden="1">
      <c r="AM208" s="451"/>
      <c r="AN208" s="455"/>
      <c r="AO208" s="473"/>
      <c r="AP208" s="456"/>
      <c r="AQ208" s="207"/>
      <c r="AR208" s="207"/>
    </row>
    <row r="209" spans="39:44" hidden="1">
      <c r="AM209" s="451"/>
      <c r="AN209" s="455"/>
      <c r="AO209" s="473"/>
      <c r="AP209" s="456"/>
      <c r="AQ209" s="207"/>
      <c r="AR209" s="207"/>
    </row>
    <row r="210" spans="39:44" hidden="1">
      <c r="AM210" s="451"/>
      <c r="AN210" s="455"/>
      <c r="AO210" s="473"/>
      <c r="AP210" s="456"/>
      <c r="AQ210" s="207"/>
      <c r="AR210" s="207"/>
    </row>
    <row r="211" spans="39:44">
      <c r="AM211" s="461" t="str">
        <f>AM192 &amp; ".2.3"</f>
        <v>4.0.1.5.2.3</v>
      </c>
      <c r="AN211" s="455" t="s">
        <v>83</v>
      </c>
      <c r="AO211" s="473"/>
      <c r="AP211" s="451"/>
      <c r="AQ211" s="207"/>
      <c r="AR211" s="207"/>
    </row>
    <row r="212" spans="39:44">
      <c r="AM212" s="461" t="str">
        <f>AM192 &amp; ".3"</f>
        <v>4.0.1.5.3</v>
      </c>
      <c r="AN212" s="457" t="s">
        <v>85</v>
      </c>
      <c r="AO212" s="473"/>
      <c r="AP212" s="451"/>
      <c r="AQ212" s="207"/>
      <c r="AR212" s="207"/>
    </row>
    <row r="213" spans="39:44">
      <c r="AM213" s="461" t="str">
        <f>AM192 &amp; ".4"</f>
        <v>4.0.1.5.4</v>
      </c>
      <c r="AN213" s="457" t="s">
        <v>87</v>
      </c>
      <c r="AO213" s="473"/>
      <c r="AP213" s="451"/>
      <c r="AQ213" s="207"/>
      <c r="AR213" s="207"/>
    </row>
    <row r="214" spans="39:44">
      <c r="AM214" s="461" t="str">
        <f>AM192&amp;".5"</f>
        <v>4.0.1.5.5</v>
      </c>
      <c r="AN214" s="457" t="s">
        <v>89</v>
      </c>
      <c r="AO214" s="473"/>
      <c r="AP214" s="451"/>
      <c r="AQ214" s="207"/>
      <c r="AR214" s="207"/>
    </row>
    <row r="215" spans="39:44">
      <c r="AM215" s="461" t="str">
        <f>AM192 &amp; ".6"</f>
        <v>4.0.1.5.6</v>
      </c>
      <c r="AN215" s="457" t="s">
        <v>91</v>
      </c>
      <c r="AO215" s="473"/>
      <c r="AP215" s="451"/>
      <c r="AQ215" s="207"/>
      <c r="AR215" s="207"/>
    </row>
    <row r="216" spans="39:44">
      <c r="AM216" s="461" t="str">
        <f>AM192 &amp; ".7"</f>
        <v>4.0.1.5.7</v>
      </c>
      <c r="AN216" s="457" t="s">
        <v>93</v>
      </c>
      <c r="AO216" s="473"/>
      <c r="AP216" s="451"/>
      <c r="AQ216" s="207"/>
      <c r="AR216" s="207"/>
    </row>
    <row r="217" spans="39:44">
      <c r="AM217" s="461" t="str">
        <f>AM192 &amp; ".8"</f>
        <v>4.0.1.5.8</v>
      </c>
      <c r="AN217" s="457" t="s">
        <v>95</v>
      </c>
      <c r="AO217" s="473"/>
      <c r="AP217" s="451"/>
      <c r="AQ217" s="207"/>
      <c r="AR217" s="207"/>
    </row>
    <row r="218" spans="39:44">
      <c r="AM218" s="461" t="str">
        <f>AM192 &amp; ".9"</f>
        <v>4.0.1.5.9</v>
      </c>
      <c r="AN218" s="457" t="s">
        <v>2976</v>
      </c>
      <c r="AO218" s="473"/>
      <c r="AP218" s="451"/>
      <c r="AQ218" s="207"/>
      <c r="AR218" s="207"/>
    </row>
    <row r="219" spans="39:44">
      <c r="AM219" s="461" t="str">
        <f>AM192 &amp; ".10"</f>
        <v>4.0.1.5.10</v>
      </c>
      <c r="AN219" s="457" t="s">
        <v>2978</v>
      </c>
      <c r="AO219" s="473"/>
      <c r="AP219" s="451"/>
      <c r="AQ219" s="207"/>
      <c r="AR219" s="207"/>
    </row>
    <row r="220" spans="39:44">
      <c r="AM220" s="461" t="str">
        <f>AM192 &amp; ".11"</f>
        <v>4.0.1.5.11</v>
      </c>
      <c r="AN220" s="457" t="s">
        <v>2980</v>
      </c>
      <c r="AO220" s="473"/>
      <c r="AP220" s="451"/>
      <c r="AQ220" s="207"/>
      <c r="AR220" s="207"/>
    </row>
    <row r="221" spans="39:44">
      <c r="AM221" s="461" t="str">
        <f>AM192 &amp; ".12"</f>
        <v>4.0.1.5.12</v>
      </c>
      <c r="AN221" s="457" t="s">
        <v>2982</v>
      </c>
      <c r="AO221" s="473"/>
      <c r="AP221" s="451"/>
      <c r="AQ221" s="207"/>
      <c r="AR221" s="207"/>
    </row>
    <row r="222" spans="39:44" hidden="1">
      <c r="AM222" s="451"/>
      <c r="AN222" s="455"/>
      <c r="AO222" s="473"/>
      <c r="AP222" s="456"/>
      <c r="AQ222" s="207"/>
      <c r="AR222" s="207"/>
    </row>
    <row r="223" spans="39:44" hidden="1">
      <c r="AM223" s="451"/>
      <c r="AN223" s="455"/>
      <c r="AO223" s="473"/>
      <c r="AP223" s="456"/>
      <c r="AQ223" s="207"/>
      <c r="AR223" s="207"/>
    </row>
    <row r="224" spans="39:44">
      <c r="AM224" s="461" t="str">
        <f>AM192 &amp; ".15"</f>
        <v>4.0.1.5.15</v>
      </c>
      <c r="AN224" s="457" t="s">
        <v>291</v>
      </c>
      <c r="AO224" s="473"/>
      <c r="AP224" s="451"/>
      <c r="AQ224" s="207"/>
      <c r="AR224" s="207"/>
    </row>
    <row r="225" spans="39:44">
      <c r="AM225" s="449" t="s">
        <v>262</v>
      </c>
      <c r="AN225" s="450" t="s">
        <v>222</v>
      </c>
      <c r="AO225" s="473"/>
      <c r="AP225" s="456"/>
      <c r="AQ225" s="207"/>
      <c r="AR225" s="207"/>
    </row>
    <row r="226" spans="39:44">
      <c r="AM226" s="461" t="str">
        <f>AM225 &amp; ".1"</f>
        <v>4.0.1.6.1</v>
      </c>
      <c r="AN226" s="453" t="s">
        <v>78</v>
      </c>
      <c r="AO226" s="473" t="s">
        <v>223</v>
      </c>
      <c r="AP226" s="305">
        <f t="shared" ref="AP226:AP254" si="5">SUM(AQ226:AR226)</f>
        <v>0</v>
      </c>
      <c r="AQ226" s="207"/>
      <c r="AR226" s="207"/>
    </row>
    <row r="227" spans="39:44" ht="12.75">
      <c r="AM227" s="461" t="str">
        <f>AM225 &amp; ".2"</f>
        <v>4.0.1.6.2</v>
      </c>
      <c r="AN227" s="454" t="s">
        <v>212</v>
      </c>
      <c r="AO227" s="473" t="s">
        <v>286</v>
      </c>
      <c r="AP227" s="305">
        <f t="shared" si="5"/>
        <v>0</v>
      </c>
      <c r="AQ227" s="207"/>
      <c r="AR227" s="207"/>
    </row>
    <row r="228" spans="39:44" ht="12.75">
      <c r="AM228" s="461" t="str">
        <f>AM225 &amp; ".2.1"</f>
        <v>4.0.1.6.2.1</v>
      </c>
      <c r="AN228" s="455" t="s">
        <v>79</v>
      </c>
      <c r="AO228" s="473" t="s">
        <v>286</v>
      </c>
      <c r="AP228" s="305">
        <f t="shared" si="5"/>
        <v>0</v>
      </c>
      <c r="AQ228" s="207"/>
      <c r="AR228" s="207"/>
    </row>
    <row r="229" spans="39:44" ht="12.75">
      <c r="AM229" s="461" t="str">
        <f>AM228 &amp; ".1"</f>
        <v>4.0.1.6.2.1.1</v>
      </c>
      <c r="AN229" s="242" t="s">
        <v>2510</v>
      </c>
      <c r="AO229" s="473" t="s">
        <v>286</v>
      </c>
      <c r="AP229" s="305">
        <f t="shared" si="5"/>
        <v>0</v>
      </c>
      <c r="AQ229" s="207"/>
      <c r="AR229" s="207"/>
    </row>
    <row r="230" spans="39:44" ht="12.75">
      <c r="AM230" s="461" t="str">
        <f>AM228 &amp; ".2"</f>
        <v>4.0.1.6.2.1.2</v>
      </c>
      <c r="AN230" s="242" t="s">
        <v>2785</v>
      </c>
      <c r="AO230" s="473" t="s">
        <v>286</v>
      </c>
      <c r="AP230" s="305">
        <f t="shared" si="5"/>
        <v>0</v>
      </c>
      <c r="AQ230" s="207"/>
      <c r="AR230" s="207"/>
    </row>
    <row r="231" spans="39:44" ht="12.75">
      <c r="AM231" s="461" t="str">
        <f>AM228 &amp; ".3"</f>
        <v>4.0.1.6.2.1.3</v>
      </c>
      <c r="AN231" s="242" t="s">
        <v>2786</v>
      </c>
      <c r="AO231" s="473" t="s">
        <v>286</v>
      </c>
      <c r="AP231" s="305">
        <f t="shared" si="5"/>
        <v>0</v>
      </c>
      <c r="AQ231" s="207"/>
      <c r="AR231" s="207"/>
    </row>
    <row r="232" spans="39:44" ht="12.75">
      <c r="AM232" s="461" t="str">
        <f>AM228 &amp; ".4"</f>
        <v>4.0.1.6.2.1.4</v>
      </c>
      <c r="AN232" s="242" t="s">
        <v>2787</v>
      </c>
      <c r="AO232" s="473" t="s">
        <v>286</v>
      </c>
      <c r="AP232" s="305">
        <f t="shared" si="5"/>
        <v>0</v>
      </c>
      <c r="AQ232" s="207"/>
      <c r="AR232" s="207"/>
    </row>
    <row r="233" spans="39:44" ht="12.75">
      <c r="AM233" s="461" t="str">
        <f>AM228 &amp; ".5"</f>
        <v>4.0.1.6.2.1.5</v>
      </c>
      <c r="AN233" s="242" t="s">
        <v>2788</v>
      </c>
      <c r="AO233" s="473" t="s">
        <v>286</v>
      </c>
      <c r="AP233" s="305">
        <f>SUM(AQ233:AR233)</f>
        <v>0</v>
      </c>
      <c r="AQ233" s="207"/>
      <c r="AR233" s="207"/>
    </row>
    <row r="234" spans="39:44" ht="12.75">
      <c r="AM234" s="461" t="str">
        <f>AM228 &amp; ".6"</f>
        <v>4.0.1.6.2.1.6</v>
      </c>
      <c r="AN234" s="242" t="s">
        <v>2789</v>
      </c>
      <c r="AO234" s="473" t="s">
        <v>286</v>
      </c>
      <c r="AP234" s="305">
        <f t="shared" si="5"/>
        <v>0</v>
      </c>
      <c r="AQ234" s="207"/>
      <c r="AR234" s="207"/>
    </row>
    <row r="235" spans="39:44" ht="12.75">
      <c r="AM235" s="461" t="str">
        <f>AM228 &amp; ".7"</f>
        <v>4.0.1.6.2.1.7</v>
      </c>
      <c r="AN235" s="635" t="s">
        <v>2177</v>
      </c>
      <c r="AO235" s="473" t="s">
        <v>286</v>
      </c>
      <c r="AP235" s="305">
        <f t="shared" si="5"/>
        <v>0</v>
      </c>
      <c r="AQ235" s="207"/>
      <c r="AR235" s="207"/>
    </row>
    <row r="236" spans="39:44" ht="12.75">
      <c r="AM236" s="461" t="str">
        <f>AM225 &amp; ".2.2"</f>
        <v>4.0.1.6.2.2</v>
      </c>
      <c r="AN236" s="455" t="s">
        <v>81</v>
      </c>
      <c r="AO236" s="473" t="s">
        <v>286</v>
      </c>
      <c r="AP236" s="305">
        <f t="shared" si="5"/>
        <v>0</v>
      </c>
      <c r="AQ236" s="207"/>
      <c r="AR236" s="207"/>
    </row>
    <row r="237" spans="39:44" ht="12.75">
      <c r="AM237" s="461" t="str">
        <f>AM236 &amp; ".1"</f>
        <v>4.0.1.6.2.2.1</v>
      </c>
      <c r="AN237" s="242" t="s">
        <v>2510</v>
      </c>
      <c r="AO237" s="473" t="s">
        <v>286</v>
      </c>
      <c r="AP237" s="305">
        <f t="shared" si="5"/>
        <v>0</v>
      </c>
      <c r="AQ237" s="207"/>
      <c r="AR237" s="207"/>
    </row>
    <row r="238" spans="39:44" ht="12.75">
      <c r="AM238" s="461" t="str">
        <f>AM236 &amp; ".2"</f>
        <v>4.0.1.6.2.2.2</v>
      </c>
      <c r="AN238" s="242" t="s">
        <v>2785</v>
      </c>
      <c r="AO238" s="473" t="s">
        <v>286</v>
      </c>
      <c r="AP238" s="305">
        <f t="shared" si="5"/>
        <v>0</v>
      </c>
      <c r="AQ238" s="207"/>
      <c r="AR238" s="207"/>
    </row>
    <row r="239" spans="39:44" ht="12.75">
      <c r="AM239" s="461" t="str">
        <f>AM236 &amp; ".3"</f>
        <v>4.0.1.6.2.2.3</v>
      </c>
      <c r="AN239" s="242" t="s">
        <v>2786</v>
      </c>
      <c r="AO239" s="473" t="s">
        <v>286</v>
      </c>
      <c r="AP239" s="305">
        <f t="shared" si="5"/>
        <v>0</v>
      </c>
      <c r="AQ239" s="207"/>
      <c r="AR239" s="207"/>
    </row>
    <row r="240" spans="39:44" ht="12.75">
      <c r="AM240" s="461" t="str">
        <f>AM236 &amp; ".4"</f>
        <v>4.0.1.6.2.2.4</v>
      </c>
      <c r="AN240" s="242" t="s">
        <v>2787</v>
      </c>
      <c r="AO240" s="473" t="s">
        <v>286</v>
      </c>
      <c r="AP240" s="305">
        <f t="shared" si="5"/>
        <v>0</v>
      </c>
      <c r="AQ240" s="207"/>
      <c r="AR240" s="207"/>
    </row>
    <row r="241" spans="39:44" ht="12.75">
      <c r="AM241" s="461" t="str">
        <f>AM236 &amp; ".5"</f>
        <v>4.0.1.6.2.2.5</v>
      </c>
      <c r="AN241" s="242" t="s">
        <v>2788</v>
      </c>
      <c r="AO241" s="473" t="s">
        <v>286</v>
      </c>
      <c r="AP241" s="305">
        <f t="shared" si="5"/>
        <v>0</v>
      </c>
      <c r="AQ241" s="207"/>
      <c r="AR241" s="207"/>
    </row>
    <row r="242" spans="39:44" ht="12.75">
      <c r="AM242" s="461" t="str">
        <f>AM236 &amp; ".6"</f>
        <v>4.0.1.6.2.2.6</v>
      </c>
      <c r="AN242" s="242" t="s">
        <v>2789</v>
      </c>
      <c r="AO242" s="473" t="s">
        <v>286</v>
      </c>
      <c r="AP242" s="305">
        <f t="shared" si="5"/>
        <v>0</v>
      </c>
      <c r="AQ242" s="207"/>
      <c r="AR242" s="207"/>
    </row>
    <row r="243" spans="39:44" ht="12.75">
      <c r="AM243" s="461" t="str">
        <f>AM236 &amp; ".7"</f>
        <v>4.0.1.6.2.2.7</v>
      </c>
      <c r="AN243" s="635" t="s">
        <v>2177</v>
      </c>
      <c r="AO243" s="473" t="s">
        <v>286</v>
      </c>
      <c r="AP243" s="305">
        <f t="shared" si="5"/>
        <v>0</v>
      </c>
      <c r="AQ243" s="207"/>
      <c r="AR243" s="207"/>
    </row>
    <row r="244" spans="39:44" ht="12.75">
      <c r="AM244" s="461" t="str">
        <f>AM225 &amp; ".2.3"</f>
        <v>4.0.1.6.2.3</v>
      </c>
      <c r="AN244" s="455" t="s">
        <v>83</v>
      </c>
      <c r="AO244" s="473" t="s">
        <v>286</v>
      </c>
      <c r="AP244" s="305">
        <f t="shared" si="5"/>
        <v>0</v>
      </c>
      <c r="AQ244" s="207"/>
      <c r="AR244" s="207"/>
    </row>
    <row r="245" spans="39:44">
      <c r="AM245" s="461" t="str">
        <f>AM225 &amp; ".3"</f>
        <v>4.0.1.6.3</v>
      </c>
      <c r="AN245" s="457" t="s">
        <v>85</v>
      </c>
      <c r="AO245" s="473" t="s">
        <v>223</v>
      </c>
      <c r="AP245" s="305">
        <f t="shared" si="5"/>
        <v>0</v>
      </c>
      <c r="AQ245" s="207"/>
      <c r="AR245" s="207"/>
    </row>
    <row r="246" spans="39:44">
      <c r="AM246" s="461" t="str">
        <f>AM225 &amp; ".4"</f>
        <v>4.0.1.6.4</v>
      </c>
      <c r="AN246" s="457" t="s">
        <v>87</v>
      </c>
      <c r="AO246" s="473" t="s">
        <v>223</v>
      </c>
      <c r="AP246" s="305">
        <f t="shared" si="5"/>
        <v>0</v>
      </c>
      <c r="AQ246" s="207"/>
      <c r="AR246" s="207"/>
    </row>
    <row r="247" spans="39:44">
      <c r="AM247" s="461" t="str">
        <f>AM225&amp;".5"</f>
        <v>4.0.1.6.5</v>
      </c>
      <c r="AN247" s="457" t="s">
        <v>89</v>
      </c>
      <c r="AO247" s="473" t="s">
        <v>223</v>
      </c>
      <c r="AP247" s="305">
        <f t="shared" si="5"/>
        <v>0</v>
      </c>
      <c r="AQ247" s="207"/>
      <c r="AR247" s="207"/>
    </row>
    <row r="248" spans="39:44">
      <c r="AM248" s="461" t="str">
        <f>AM225 &amp; ".6"</f>
        <v>4.0.1.6.6</v>
      </c>
      <c r="AN248" s="457" t="s">
        <v>91</v>
      </c>
      <c r="AO248" s="473" t="s">
        <v>223</v>
      </c>
      <c r="AP248" s="305">
        <f t="shared" si="5"/>
        <v>0</v>
      </c>
      <c r="AQ248" s="207"/>
      <c r="AR248" s="207"/>
    </row>
    <row r="249" spans="39:44">
      <c r="AM249" s="461" t="str">
        <f>AM225 &amp; ".7"</f>
        <v>4.0.1.6.7</v>
      </c>
      <c r="AN249" s="457" t="s">
        <v>93</v>
      </c>
      <c r="AO249" s="473" t="s">
        <v>223</v>
      </c>
      <c r="AP249" s="305">
        <f t="shared" si="5"/>
        <v>0</v>
      </c>
      <c r="AQ249" s="207"/>
      <c r="AR249" s="207"/>
    </row>
    <row r="250" spans="39:44">
      <c r="AM250" s="461" t="str">
        <f>AM225 &amp; ".8"</f>
        <v>4.0.1.6.8</v>
      </c>
      <c r="AN250" s="457" t="s">
        <v>95</v>
      </c>
      <c r="AO250" s="473" t="s">
        <v>223</v>
      </c>
      <c r="AP250" s="305">
        <f t="shared" si="5"/>
        <v>0</v>
      </c>
      <c r="AQ250" s="207"/>
      <c r="AR250" s="207"/>
    </row>
    <row r="251" spans="39:44">
      <c r="AM251" s="461" t="str">
        <f>AM225 &amp; ".9"</f>
        <v>4.0.1.6.9</v>
      </c>
      <c r="AN251" s="457" t="s">
        <v>2976</v>
      </c>
      <c r="AO251" s="473" t="s">
        <v>223</v>
      </c>
      <c r="AP251" s="305">
        <f t="shared" si="5"/>
        <v>0</v>
      </c>
      <c r="AQ251" s="207"/>
      <c r="AR251" s="207"/>
    </row>
    <row r="252" spans="39:44">
      <c r="AM252" s="461" t="str">
        <f>AM225 &amp; ".10"</f>
        <v>4.0.1.6.10</v>
      </c>
      <c r="AN252" s="457" t="s">
        <v>2978</v>
      </c>
      <c r="AO252" s="473" t="s">
        <v>223</v>
      </c>
      <c r="AP252" s="305">
        <f t="shared" si="5"/>
        <v>0</v>
      </c>
      <c r="AQ252" s="207"/>
      <c r="AR252" s="207"/>
    </row>
    <row r="253" spans="39:44">
      <c r="AM253" s="461" t="str">
        <f>AM225 &amp; ".11"</f>
        <v>4.0.1.6.11</v>
      </c>
      <c r="AN253" s="457" t="s">
        <v>2980</v>
      </c>
      <c r="AO253" s="473" t="s">
        <v>223</v>
      </c>
      <c r="AP253" s="305">
        <f t="shared" si="5"/>
        <v>0</v>
      </c>
      <c r="AQ253" s="207"/>
      <c r="AR253" s="207"/>
    </row>
    <row r="254" spans="39:44">
      <c r="AM254" s="461" t="str">
        <f>AM225 &amp; ".12"</f>
        <v>4.0.1.6.12</v>
      </c>
      <c r="AN254" s="457" t="s">
        <v>2982</v>
      </c>
      <c r="AO254" s="473" t="s">
        <v>223</v>
      </c>
      <c r="AP254" s="305">
        <f t="shared" si="5"/>
        <v>0</v>
      </c>
      <c r="AQ254" s="207"/>
      <c r="AR254" s="207"/>
    </row>
    <row r="255" spans="39:44" hidden="1">
      <c r="AM255" s="451"/>
      <c r="AN255" s="455"/>
      <c r="AO255" s="473"/>
      <c r="AP255" s="456"/>
      <c r="AQ255" s="207"/>
      <c r="AR255" s="207"/>
    </row>
    <row r="256" spans="39:44" hidden="1">
      <c r="AM256" s="451"/>
      <c r="AN256" s="455"/>
      <c r="AO256" s="473"/>
      <c r="AP256" s="456"/>
      <c r="AQ256" s="207"/>
      <c r="AR256" s="207"/>
    </row>
    <row r="257" spans="39:44">
      <c r="AM257" s="461" t="str">
        <f>AM225 &amp; ".15"</f>
        <v>4.0.1.6.15</v>
      </c>
      <c r="AN257" s="457" t="s">
        <v>291</v>
      </c>
      <c r="AO257" s="473" t="s">
        <v>223</v>
      </c>
      <c r="AP257" s="305">
        <f>SUM(AQ257:AR257)</f>
        <v>0</v>
      </c>
      <c r="AQ257" s="207"/>
      <c r="AR257" s="207"/>
    </row>
    <row r="258" spans="39:44" hidden="1">
      <c r="AM258" s="451"/>
      <c r="AN258" s="455"/>
      <c r="AO258" s="473"/>
      <c r="AP258" s="456"/>
      <c r="AQ258" s="207"/>
      <c r="AR258" s="207"/>
    </row>
    <row r="259" spans="39:44">
      <c r="AM259" s="468"/>
      <c r="AN259" s="467" t="s">
        <v>224</v>
      </c>
      <c r="AO259" s="474"/>
      <c r="AP259" s="456"/>
      <c r="AQ259" s="207"/>
      <c r="AR259" s="207"/>
    </row>
    <row r="260" spans="39:44" hidden="1">
      <c r="AM260" s="461"/>
      <c r="AN260" s="457"/>
      <c r="AO260" s="473"/>
      <c r="AP260" s="456"/>
      <c r="AQ260" s="207"/>
      <c r="AR260" s="207"/>
    </row>
    <row r="261" spans="39:44">
      <c r="AM261" s="449" t="s">
        <v>263</v>
      </c>
      <c r="AN261" s="450" t="s">
        <v>225</v>
      </c>
      <c r="AO261" s="473"/>
      <c r="AP261" s="456"/>
      <c r="AQ261" s="207"/>
      <c r="AR261" s="207"/>
    </row>
    <row r="262" spans="39:44">
      <c r="AM262" s="461" t="str">
        <f>AM261 &amp; ".1"</f>
        <v>4.0.2.1.1</v>
      </c>
      <c r="AN262" s="466" t="s">
        <v>78</v>
      </c>
      <c r="AO262" s="473" t="s">
        <v>216</v>
      </c>
      <c r="AP262" s="305">
        <f>IF(AP226=0,0,AP295/AP226*1000)</f>
        <v>0</v>
      </c>
      <c r="AQ262" s="207"/>
      <c r="AR262" s="207"/>
    </row>
    <row r="263" spans="39:44" ht="12.75">
      <c r="AM263" s="461" t="str">
        <f>AM261 &amp; ".2"</f>
        <v>4.0.2.1.2</v>
      </c>
      <c r="AN263" s="454" t="s">
        <v>212</v>
      </c>
      <c r="AO263" s="473" t="s">
        <v>285</v>
      </c>
      <c r="AP263" s="305">
        <f>IF(AP227=0,0,AP296/AP227*1000)</f>
        <v>0</v>
      </c>
      <c r="AQ263" s="207"/>
      <c r="AR263" s="207"/>
    </row>
    <row r="264" spans="39:44" ht="12.75">
      <c r="AM264" s="461" t="str">
        <f>AM261 &amp; ".2.1"</f>
        <v>4.0.2.1.2.1</v>
      </c>
      <c r="AN264" s="455" t="s">
        <v>79</v>
      </c>
      <c r="AO264" s="473" t="s">
        <v>285</v>
      </c>
      <c r="AP264" s="305">
        <f>IF(AP228=0,0,AP297/AP228*1000)</f>
        <v>0</v>
      </c>
      <c r="AQ264" s="207"/>
      <c r="AR264" s="207"/>
    </row>
    <row r="265" spans="39:44" hidden="1">
      <c r="AM265" s="451"/>
      <c r="AN265" s="455"/>
      <c r="AO265" s="473"/>
      <c r="AP265" s="456"/>
      <c r="AQ265" s="207"/>
      <c r="AR265" s="207"/>
    </row>
    <row r="266" spans="39:44" hidden="1">
      <c r="AM266" s="451"/>
      <c r="AN266" s="455"/>
      <c r="AO266" s="473"/>
      <c r="AP266" s="456"/>
      <c r="AQ266" s="207"/>
      <c r="AR266" s="207"/>
    </row>
    <row r="267" spans="39:44" hidden="1">
      <c r="AM267" s="451"/>
      <c r="AN267" s="455"/>
      <c r="AO267" s="473"/>
      <c r="AP267" s="456"/>
      <c r="AQ267" s="207"/>
      <c r="AR267" s="207"/>
    </row>
    <row r="268" spans="39:44" hidden="1">
      <c r="AM268" s="451"/>
      <c r="AN268" s="455"/>
      <c r="AO268" s="473"/>
      <c r="AP268" s="456"/>
      <c r="AQ268" s="207"/>
      <c r="AR268" s="207"/>
    </row>
    <row r="269" spans="39:44" hidden="1">
      <c r="AM269" s="451"/>
      <c r="AN269" s="455"/>
      <c r="AO269" s="473"/>
      <c r="AP269" s="456"/>
      <c r="AQ269" s="207"/>
      <c r="AR269" s="207"/>
    </row>
    <row r="270" spans="39:44" hidden="1">
      <c r="AM270" s="451"/>
      <c r="AN270" s="455"/>
      <c r="AO270" s="473"/>
      <c r="AP270" s="456"/>
      <c r="AQ270" s="207"/>
      <c r="AR270" s="207"/>
    </row>
    <row r="271" spans="39:44" hidden="1">
      <c r="AM271" s="451"/>
      <c r="AN271" s="455"/>
      <c r="AO271" s="473"/>
      <c r="AP271" s="456"/>
      <c r="AQ271" s="207"/>
      <c r="AR271" s="207"/>
    </row>
    <row r="272" spans="39:44" ht="12.75">
      <c r="AM272" s="461" t="str">
        <f>AM261 &amp; ".2.2"</f>
        <v>4.0.2.1.2.2</v>
      </c>
      <c r="AN272" s="455" t="s">
        <v>81</v>
      </c>
      <c r="AO272" s="473" t="s">
        <v>285</v>
      </c>
      <c r="AP272" s="305">
        <f>IF(AP236=0,0,AP305/AP236*1000)</f>
        <v>0</v>
      </c>
      <c r="AQ272" s="207"/>
      <c r="AR272" s="207"/>
    </row>
    <row r="273" spans="39:44" hidden="1">
      <c r="AM273" s="451"/>
      <c r="AN273" s="455"/>
      <c r="AO273" s="473"/>
      <c r="AP273" s="456"/>
      <c r="AQ273" s="207"/>
      <c r="AR273" s="207"/>
    </row>
    <row r="274" spans="39:44" hidden="1">
      <c r="AM274" s="451"/>
      <c r="AN274" s="455"/>
      <c r="AO274" s="473"/>
      <c r="AP274" s="456"/>
      <c r="AQ274" s="207"/>
      <c r="AR274" s="207"/>
    </row>
    <row r="275" spans="39:44" hidden="1">
      <c r="AM275" s="451"/>
      <c r="AN275" s="455"/>
      <c r="AO275" s="473"/>
      <c r="AP275" s="456"/>
      <c r="AQ275" s="207"/>
      <c r="AR275" s="207"/>
    </row>
    <row r="276" spans="39:44" hidden="1">
      <c r="AM276" s="451"/>
      <c r="AN276" s="455"/>
      <c r="AO276" s="473"/>
      <c r="AP276" s="456"/>
      <c r="AQ276" s="207"/>
      <c r="AR276" s="207"/>
    </row>
    <row r="277" spans="39:44" hidden="1">
      <c r="AM277" s="451"/>
      <c r="AN277" s="455"/>
      <c r="AO277" s="473"/>
      <c r="AP277" s="456"/>
      <c r="AQ277" s="207"/>
      <c r="AR277" s="207"/>
    </row>
    <row r="278" spans="39:44" hidden="1">
      <c r="AM278" s="451"/>
      <c r="AN278" s="455"/>
      <c r="AO278" s="473"/>
      <c r="AP278" s="456"/>
      <c r="AQ278" s="207"/>
      <c r="AR278" s="207"/>
    </row>
    <row r="279" spans="39:44" hidden="1">
      <c r="AM279" s="451"/>
      <c r="AN279" s="455"/>
      <c r="AO279" s="473"/>
      <c r="AP279" s="456"/>
      <c r="AQ279" s="207"/>
      <c r="AR279" s="207"/>
    </row>
    <row r="280" spans="39:44" ht="12.75">
      <c r="AM280" s="461" t="str">
        <f>AM261 &amp; ".2.3"</f>
        <v>4.0.2.1.2.3</v>
      </c>
      <c r="AN280" s="455" t="s">
        <v>83</v>
      </c>
      <c r="AO280" s="473" t="s">
        <v>285</v>
      </c>
      <c r="AP280" s="305">
        <f t="shared" ref="AP280:AP290" si="6">IF(AP244=0,0,AP313/AP244*1000)</f>
        <v>0</v>
      </c>
      <c r="AQ280" s="207"/>
      <c r="AR280" s="207"/>
    </row>
    <row r="281" spans="39:44">
      <c r="AM281" s="461" t="str">
        <f>AM261 &amp; ".3"</f>
        <v>4.0.2.1.3</v>
      </c>
      <c r="AN281" s="457" t="s">
        <v>85</v>
      </c>
      <c r="AO281" s="473" t="s">
        <v>216</v>
      </c>
      <c r="AP281" s="305">
        <f t="shared" si="6"/>
        <v>0</v>
      </c>
      <c r="AQ281" s="207"/>
      <c r="AR281" s="207"/>
    </row>
    <row r="282" spans="39:44">
      <c r="AM282" s="461" t="str">
        <f>AM261 &amp; ".4"</f>
        <v>4.0.2.1.4</v>
      </c>
      <c r="AN282" s="457" t="s">
        <v>87</v>
      </c>
      <c r="AO282" s="473" t="s">
        <v>216</v>
      </c>
      <c r="AP282" s="305">
        <f t="shared" si="6"/>
        <v>0</v>
      </c>
      <c r="AQ282" s="207"/>
      <c r="AR282" s="207"/>
    </row>
    <row r="283" spans="39:44">
      <c r="AM283" s="461" t="str">
        <f>AM261&amp;".5"</f>
        <v>4.0.2.1.5</v>
      </c>
      <c r="AN283" s="457" t="s">
        <v>89</v>
      </c>
      <c r="AO283" s="473" t="s">
        <v>216</v>
      </c>
      <c r="AP283" s="305">
        <f t="shared" si="6"/>
        <v>0</v>
      </c>
      <c r="AQ283" s="207"/>
      <c r="AR283" s="207"/>
    </row>
    <row r="284" spans="39:44">
      <c r="AM284" s="461" t="str">
        <f>AM261 &amp; ".6"</f>
        <v>4.0.2.1.6</v>
      </c>
      <c r="AN284" s="457" t="s">
        <v>91</v>
      </c>
      <c r="AO284" s="473" t="s">
        <v>216</v>
      </c>
      <c r="AP284" s="305">
        <f t="shared" si="6"/>
        <v>0</v>
      </c>
      <c r="AQ284" s="207"/>
      <c r="AR284" s="207"/>
    </row>
    <row r="285" spans="39:44">
      <c r="AM285" s="461" t="str">
        <f>AM261 &amp; ".7"</f>
        <v>4.0.2.1.7</v>
      </c>
      <c r="AN285" s="457" t="s">
        <v>93</v>
      </c>
      <c r="AO285" s="473" t="s">
        <v>216</v>
      </c>
      <c r="AP285" s="305">
        <f t="shared" si="6"/>
        <v>0</v>
      </c>
      <c r="AQ285" s="207"/>
      <c r="AR285" s="207"/>
    </row>
    <row r="286" spans="39:44">
      <c r="AM286" s="461" t="str">
        <f>AM261 &amp; ".8"</f>
        <v>4.0.2.1.8</v>
      </c>
      <c r="AN286" s="457" t="s">
        <v>95</v>
      </c>
      <c r="AO286" s="473" t="s">
        <v>216</v>
      </c>
      <c r="AP286" s="305">
        <f t="shared" si="6"/>
        <v>0</v>
      </c>
      <c r="AQ286" s="207"/>
      <c r="AR286" s="207"/>
    </row>
    <row r="287" spans="39:44">
      <c r="AM287" s="461" t="str">
        <f>AM261 &amp; ".9"</f>
        <v>4.0.2.1.9</v>
      </c>
      <c r="AN287" s="457" t="s">
        <v>2976</v>
      </c>
      <c r="AO287" s="473" t="s">
        <v>216</v>
      </c>
      <c r="AP287" s="305">
        <f t="shared" si="6"/>
        <v>0</v>
      </c>
      <c r="AQ287" s="207"/>
      <c r="AR287" s="207"/>
    </row>
    <row r="288" spans="39:44">
      <c r="AM288" s="461" t="str">
        <f>AM261 &amp; ".10"</f>
        <v>4.0.2.1.10</v>
      </c>
      <c r="AN288" s="457" t="s">
        <v>2978</v>
      </c>
      <c r="AO288" s="473" t="s">
        <v>216</v>
      </c>
      <c r="AP288" s="305">
        <f t="shared" si="6"/>
        <v>0</v>
      </c>
      <c r="AQ288" s="207"/>
      <c r="AR288" s="207"/>
    </row>
    <row r="289" spans="39:44">
      <c r="AM289" s="461" t="str">
        <f>AM261 &amp; ".11"</f>
        <v>4.0.2.1.11</v>
      </c>
      <c r="AN289" s="457" t="s">
        <v>2980</v>
      </c>
      <c r="AO289" s="473" t="s">
        <v>216</v>
      </c>
      <c r="AP289" s="305">
        <f t="shared" si="6"/>
        <v>0</v>
      </c>
      <c r="AQ289" s="207"/>
      <c r="AR289" s="207"/>
    </row>
    <row r="290" spans="39:44">
      <c r="AM290" s="461" t="str">
        <f>AM261 &amp; ".12"</f>
        <v>4.0.2.1.12</v>
      </c>
      <c r="AN290" s="457" t="s">
        <v>2982</v>
      </c>
      <c r="AO290" s="473" t="s">
        <v>216</v>
      </c>
      <c r="AP290" s="305">
        <f t="shared" si="6"/>
        <v>0</v>
      </c>
      <c r="AQ290" s="207"/>
      <c r="AR290" s="207"/>
    </row>
    <row r="291" spans="39:44" hidden="1">
      <c r="AM291" s="451"/>
      <c r="AN291" s="455"/>
      <c r="AO291" s="473"/>
      <c r="AP291" s="456"/>
      <c r="AQ291" s="207"/>
      <c r="AR291" s="207"/>
    </row>
    <row r="292" spans="39:44" hidden="1">
      <c r="AM292" s="451"/>
      <c r="AN292" s="455"/>
      <c r="AO292" s="473"/>
      <c r="AP292" s="456"/>
      <c r="AQ292" s="207"/>
      <c r="AR292" s="207"/>
    </row>
    <row r="293" spans="39:44">
      <c r="AM293" s="461" t="str">
        <f>AM261 &amp; ".15"</f>
        <v>4.0.2.1.15</v>
      </c>
      <c r="AN293" s="457" t="s">
        <v>291</v>
      </c>
      <c r="AO293" s="473" t="s">
        <v>216</v>
      </c>
      <c r="AP293" s="305">
        <f>IF(AP257=0,0,AP326/AP257*1000)</f>
        <v>0</v>
      </c>
      <c r="AQ293" s="207"/>
      <c r="AR293" s="207"/>
    </row>
    <row r="294" spans="39:44" ht="22.5">
      <c r="AM294" s="449" t="s">
        <v>264</v>
      </c>
      <c r="AN294" s="450" t="s">
        <v>226</v>
      </c>
      <c r="AO294" s="473" t="s">
        <v>786</v>
      </c>
      <c r="AP294" s="305">
        <f>SUM(AQ294:AR294)</f>
        <v>0</v>
      </c>
      <c r="AQ294" s="207"/>
      <c r="AR294" s="207"/>
    </row>
    <row r="295" spans="39:44">
      <c r="AM295" s="461" t="str">
        <f>AM294 &amp; ".1"</f>
        <v>4.0.2.2.1</v>
      </c>
      <c r="AN295" s="453" t="s">
        <v>78</v>
      </c>
      <c r="AO295" s="473" t="s">
        <v>786</v>
      </c>
      <c r="AP295" s="305">
        <f>SUM(AQ295:AR295)</f>
        <v>0</v>
      </c>
      <c r="AQ295" s="207"/>
      <c r="AR295" s="207"/>
    </row>
    <row r="296" spans="39:44">
      <c r="AM296" s="461" t="str">
        <f>AM294 &amp; ".2"</f>
        <v>4.0.2.2.2</v>
      </c>
      <c r="AN296" s="454" t="s">
        <v>212</v>
      </c>
      <c r="AO296" s="473" t="s">
        <v>786</v>
      </c>
      <c r="AP296" s="305">
        <f>SUM(AQ296:AR296)</f>
        <v>0</v>
      </c>
      <c r="AQ296" s="207"/>
      <c r="AR296" s="207"/>
    </row>
    <row r="297" spans="39:44">
      <c r="AM297" s="461" t="str">
        <f>AM294 &amp; ".2.1"</f>
        <v>4.0.2.2.2.1</v>
      </c>
      <c r="AN297" s="455" t="s">
        <v>79</v>
      </c>
      <c r="AO297" s="473" t="s">
        <v>786</v>
      </c>
      <c r="AP297" s="305">
        <f>SUM(AQ297:AR297)</f>
        <v>0</v>
      </c>
      <c r="AQ297" s="207"/>
      <c r="AR297" s="207"/>
    </row>
    <row r="298" spans="39:44" hidden="1">
      <c r="AM298" s="451"/>
      <c r="AN298" s="455"/>
      <c r="AO298" s="473"/>
      <c r="AP298" s="456"/>
      <c r="AQ298" s="207"/>
      <c r="AR298" s="207"/>
    </row>
    <row r="299" spans="39:44" hidden="1">
      <c r="AM299" s="451"/>
      <c r="AN299" s="455"/>
      <c r="AO299" s="473"/>
      <c r="AP299" s="456"/>
      <c r="AQ299" s="207"/>
      <c r="AR299" s="207"/>
    </row>
    <row r="300" spans="39:44" hidden="1">
      <c r="AM300" s="451"/>
      <c r="AN300" s="455"/>
      <c r="AO300" s="473"/>
      <c r="AP300" s="456"/>
      <c r="AQ300" s="207"/>
      <c r="AR300" s="207"/>
    </row>
    <row r="301" spans="39:44" hidden="1">
      <c r="AM301" s="451"/>
      <c r="AN301" s="455"/>
      <c r="AO301" s="473"/>
      <c r="AP301" s="456"/>
      <c r="AQ301" s="207"/>
      <c r="AR301" s="207"/>
    </row>
    <row r="302" spans="39:44" hidden="1">
      <c r="AM302" s="451"/>
      <c r="AN302" s="455"/>
      <c r="AO302" s="473"/>
      <c r="AP302" s="456"/>
      <c r="AQ302" s="207"/>
      <c r="AR302" s="207"/>
    </row>
    <row r="303" spans="39:44" hidden="1">
      <c r="AM303" s="451"/>
      <c r="AN303" s="455"/>
      <c r="AO303" s="473"/>
      <c r="AP303" s="456"/>
      <c r="AQ303" s="207"/>
      <c r="AR303" s="207"/>
    </row>
    <row r="304" spans="39:44" hidden="1">
      <c r="AM304" s="451"/>
      <c r="AN304" s="455"/>
      <c r="AO304" s="473"/>
      <c r="AP304" s="456"/>
      <c r="AQ304" s="207"/>
      <c r="AR304" s="207"/>
    </row>
    <row r="305" spans="39:44">
      <c r="AM305" s="461" t="str">
        <f>AM294 &amp; ".2.2"</f>
        <v>4.0.2.2.2.2</v>
      </c>
      <c r="AN305" s="455" t="s">
        <v>81</v>
      </c>
      <c r="AO305" s="473" t="s">
        <v>786</v>
      </c>
      <c r="AP305" s="305">
        <f>SUM(AQ305:AR305)</f>
        <v>0</v>
      </c>
      <c r="AQ305" s="207"/>
      <c r="AR305" s="207"/>
    </row>
    <row r="306" spans="39:44" hidden="1">
      <c r="AM306" s="451"/>
      <c r="AN306" s="455"/>
      <c r="AO306" s="473"/>
      <c r="AP306" s="456"/>
      <c r="AQ306" s="207"/>
      <c r="AR306" s="207"/>
    </row>
    <row r="307" spans="39:44" hidden="1">
      <c r="AM307" s="451"/>
      <c r="AN307" s="455"/>
      <c r="AO307" s="473"/>
      <c r="AP307" s="456"/>
      <c r="AQ307" s="207"/>
      <c r="AR307" s="207"/>
    </row>
    <row r="308" spans="39:44" hidden="1">
      <c r="AM308" s="451"/>
      <c r="AN308" s="455"/>
      <c r="AO308" s="473"/>
      <c r="AP308" s="456"/>
      <c r="AQ308" s="207"/>
      <c r="AR308" s="207"/>
    </row>
    <row r="309" spans="39:44" hidden="1">
      <c r="AM309" s="451"/>
      <c r="AN309" s="455"/>
      <c r="AO309" s="473"/>
      <c r="AP309" s="456"/>
      <c r="AQ309" s="207"/>
      <c r="AR309" s="207"/>
    </row>
    <row r="310" spans="39:44" hidden="1">
      <c r="AM310" s="451"/>
      <c r="AN310" s="455"/>
      <c r="AO310" s="473"/>
      <c r="AP310" s="456"/>
      <c r="AQ310" s="207"/>
      <c r="AR310" s="207"/>
    </row>
    <row r="311" spans="39:44" hidden="1">
      <c r="AM311" s="451"/>
      <c r="AN311" s="455"/>
      <c r="AO311" s="473"/>
      <c r="AP311" s="456"/>
      <c r="AQ311" s="207"/>
      <c r="AR311" s="207"/>
    </row>
    <row r="312" spans="39:44" hidden="1">
      <c r="AM312" s="451"/>
      <c r="AN312" s="455"/>
      <c r="AO312" s="473"/>
      <c r="AP312" s="456"/>
      <c r="AQ312" s="207"/>
      <c r="AR312" s="207"/>
    </row>
    <row r="313" spans="39:44">
      <c r="AM313" s="461" t="str">
        <f>AM294 &amp; ".2.3"</f>
        <v>4.0.2.2.2.3</v>
      </c>
      <c r="AN313" s="455" t="s">
        <v>83</v>
      </c>
      <c r="AO313" s="473" t="s">
        <v>786</v>
      </c>
      <c r="AP313" s="305">
        <f t="shared" ref="AP313:AP323" si="7">SUM(AQ313:AR313)</f>
        <v>0</v>
      </c>
      <c r="AQ313" s="207"/>
      <c r="AR313" s="207"/>
    </row>
    <row r="314" spans="39:44">
      <c r="AM314" s="461" t="str">
        <f>AM294 &amp; ".3"</f>
        <v>4.0.2.2.3</v>
      </c>
      <c r="AN314" s="457" t="s">
        <v>85</v>
      </c>
      <c r="AO314" s="473" t="s">
        <v>786</v>
      </c>
      <c r="AP314" s="305">
        <f t="shared" si="7"/>
        <v>0</v>
      </c>
      <c r="AQ314" s="207"/>
      <c r="AR314" s="207"/>
    </row>
    <row r="315" spans="39:44">
      <c r="AM315" s="461" t="str">
        <f>AM294 &amp; ".4"</f>
        <v>4.0.2.2.4</v>
      </c>
      <c r="AN315" s="457" t="s">
        <v>87</v>
      </c>
      <c r="AO315" s="473" t="s">
        <v>786</v>
      </c>
      <c r="AP315" s="305">
        <f t="shared" si="7"/>
        <v>0</v>
      </c>
      <c r="AQ315" s="207"/>
      <c r="AR315" s="207"/>
    </row>
    <row r="316" spans="39:44">
      <c r="AM316" s="461" t="str">
        <f>AM294&amp;".5"</f>
        <v>4.0.2.2.5</v>
      </c>
      <c r="AN316" s="457" t="s">
        <v>89</v>
      </c>
      <c r="AO316" s="473" t="s">
        <v>786</v>
      </c>
      <c r="AP316" s="305">
        <f t="shared" si="7"/>
        <v>0</v>
      </c>
      <c r="AQ316" s="207"/>
      <c r="AR316" s="207"/>
    </row>
    <row r="317" spans="39:44">
      <c r="AM317" s="461" t="str">
        <f>AM294 &amp; ".6"</f>
        <v>4.0.2.2.6</v>
      </c>
      <c r="AN317" s="457" t="s">
        <v>91</v>
      </c>
      <c r="AO317" s="473" t="s">
        <v>786</v>
      </c>
      <c r="AP317" s="305">
        <f t="shared" si="7"/>
        <v>0</v>
      </c>
      <c r="AQ317" s="207"/>
      <c r="AR317" s="207"/>
    </row>
    <row r="318" spans="39:44">
      <c r="AM318" s="461" t="str">
        <f>AM294 &amp; ".7"</f>
        <v>4.0.2.2.7</v>
      </c>
      <c r="AN318" s="457" t="s">
        <v>93</v>
      </c>
      <c r="AO318" s="473" t="s">
        <v>786</v>
      </c>
      <c r="AP318" s="305">
        <f t="shared" si="7"/>
        <v>0</v>
      </c>
      <c r="AQ318" s="207"/>
      <c r="AR318" s="207"/>
    </row>
    <row r="319" spans="39:44">
      <c r="AM319" s="461" t="str">
        <f>AM294 &amp; ".8"</f>
        <v>4.0.2.2.8</v>
      </c>
      <c r="AN319" s="457" t="s">
        <v>95</v>
      </c>
      <c r="AO319" s="473" t="s">
        <v>786</v>
      </c>
      <c r="AP319" s="305">
        <f t="shared" si="7"/>
        <v>0</v>
      </c>
      <c r="AQ319" s="207"/>
      <c r="AR319" s="207"/>
    </row>
    <row r="320" spans="39:44">
      <c r="AM320" s="461" t="str">
        <f>AM294 &amp; ".9"</f>
        <v>4.0.2.2.9</v>
      </c>
      <c r="AN320" s="457" t="s">
        <v>2976</v>
      </c>
      <c r="AO320" s="473" t="s">
        <v>786</v>
      </c>
      <c r="AP320" s="305">
        <f t="shared" si="7"/>
        <v>0</v>
      </c>
      <c r="AQ320" s="207"/>
      <c r="AR320" s="207"/>
    </row>
    <row r="321" spans="39:44">
      <c r="AM321" s="461" t="str">
        <f>AM294 &amp; ".10"</f>
        <v>4.0.2.2.10</v>
      </c>
      <c r="AN321" s="457" t="s">
        <v>2978</v>
      </c>
      <c r="AO321" s="473" t="s">
        <v>786</v>
      </c>
      <c r="AP321" s="305">
        <f t="shared" si="7"/>
        <v>0</v>
      </c>
      <c r="AQ321" s="207"/>
      <c r="AR321" s="207"/>
    </row>
    <row r="322" spans="39:44">
      <c r="AM322" s="461" t="str">
        <f>AM294 &amp; ".11"</f>
        <v>4.0.2.2.11</v>
      </c>
      <c r="AN322" s="457" t="s">
        <v>2980</v>
      </c>
      <c r="AO322" s="473" t="s">
        <v>786</v>
      </c>
      <c r="AP322" s="305">
        <f t="shared" si="7"/>
        <v>0</v>
      </c>
      <c r="AQ322" s="207"/>
      <c r="AR322" s="207"/>
    </row>
    <row r="323" spans="39:44">
      <c r="AM323" s="461" t="str">
        <f>AM294 &amp; ".12"</f>
        <v>4.0.2.2.12</v>
      </c>
      <c r="AN323" s="457" t="s">
        <v>2982</v>
      </c>
      <c r="AO323" s="473" t="s">
        <v>786</v>
      </c>
      <c r="AP323" s="305">
        <f t="shared" si="7"/>
        <v>0</v>
      </c>
      <c r="AQ323" s="207"/>
      <c r="AR323" s="207"/>
    </row>
    <row r="324" spans="39:44" hidden="1">
      <c r="AM324" s="451"/>
      <c r="AN324" s="455"/>
      <c r="AO324" s="473"/>
      <c r="AP324" s="456"/>
      <c r="AQ324" s="207"/>
      <c r="AR324" s="207"/>
    </row>
    <row r="325" spans="39:44" hidden="1">
      <c r="AM325" s="451"/>
      <c r="AN325" s="455"/>
      <c r="AO325" s="473"/>
      <c r="AP325" s="456"/>
      <c r="AQ325" s="207"/>
      <c r="AR325" s="207"/>
    </row>
    <row r="326" spans="39:44">
      <c r="AM326" s="461" t="str">
        <f>AM294 &amp; ".15"</f>
        <v>4.0.2.2.15</v>
      </c>
      <c r="AN326" s="457" t="s">
        <v>291</v>
      </c>
      <c r="AO326" s="473" t="s">
        <v>786</v>
      </c>
      <c r="AP326" s="305">
        <f>SUM(AQ326:AR326)</f>
        <v>0</v>
      </c>
      <c r="AQ326" s="207"/>
      <c r="AR326" s="207"/>
    </row>
    <row r="327" spans="39:44" hidden="1">
      <c r="AM327" s="451"/>
      <c r="AN327" s="455"/>
      <c r="AO327" s="473"/>
      <c r="AP327" s="456"/>
      <c r="AQ327" s="207"/>
      <c r="AR327" s="207"/>
    </row>
    <row r="328" spans="39:44">
      <c r="AM328" s="468"/>
      <c r="AN328" s="467" t="s">
        <v>227</v>
      </c>
      <c r="AO328" s="474"/>
      <c r="AP328" s="456"/>
      <c r="AQ328" s="207"/>
      <c r="AR328" s="207"/>
    </row>
    <row r="329" spans="39:44" hidden="1">
      <c r="AM329" s="461"/>
      <c r="AN329" s="457"/>
      <c r="AO329" s="473"/>
      <c r="AP329" s="456"/>
      <c r="AQ329" s="207"/>
      <c r="AR329" s="207"/>
    </row>
    <row r="330" spans="39:44" ht="22.5">
      <c r="AM330" s="449" t="s">
        <v>265</v>
      </c>
      <c r="AN330" s="450" t="s">
        <v>228</v>
      </c>
      <c r="AO330" s="473"/>
      <c r="AP330" s="456"/>
      <c r="AQ330" s="207"/>
      <c r="AR330" s="207"/>
    </row>
    <row r="331" spans="39:44" ht="12.75">
      <c r="AM331" s="461" t="str">
        <f>AM330 &amp; ".1"</f>
        <v>4.0.3.1.1.1.1</v>
      </c>
      <c r="AN331" s="448" t="s">
        <v>2504</v>
      </c>
      <c r="AO331" s="473" t="s">
        <v>285</v>
      </c>
      <c r="AP331" s="305">
        <f t="shared" ref="AP331:AP337" si="8">IF(AP229=0,0,AP347/AP229*1000)</f>
        <v>0</v>
      </c>
      <c r="AQ331" s="207"/>
      <c r="AR331" s="207"/>
    </row>
    <row r="332" spans="39:44" ht="12.75">
      <c r="AM332" s="461" t="str">
        <f>AM330 &amp; ".2"</f>
        <v>4.0.3.1.1.1.2</v>
      </c>
      <c r="AN332" s="448" t="s">
        <v>2505</v>
      </c>
      <c r="AO332" s="473" t="s">
        <v>285</v>
      </c>
      <c r="AP332" s="305">
        <f t="shared" si="8"/>
        <v>0</v>
      </c>
      <c r="AQ332" s="207"/>
      <c r="AR332" s="207"/>
    </row>
    <row r="333" spans="39:44" ht="12.75">
      <c r="AM333" s="461" t="str">
        <f>AM330 &amp; ".3"</f>
        <v>4.0.3.1.1.1.3</v>
      </c>
      <c r="AN333" s="448" t="s">
        <v>2506</v>
      </c>
      <c r="AO333" s="473" t="s">
        <v>285</v>
      </c>
      <c r="AP333" s="305">
        <f t="shared" si="8"/>
        <v>0</v>
      </c>
      <c r="AQ333" s="207"/>
      <c r="AR333" s="207"/>
    </row>
    <row r="334" spans="39:44" ht="12.75">
      <c r="AM334" s="461" t="str">
        <f>AM330 &amp; ".4"</f>
        <v>4.0.3.1.1.1.4</v>
      </c>
      <c r="AN334" s="448" t="s">
        <v>2507</v>
      </c>
      <c r="AO334" s="473" t="s">
        <v>285</v>
      </c>
      <c r="AP334" s="305">
        <f t="shared" si="8"/>
        <v>0</v>
      </c>
      <c r="AQ334" s="207"/>
      <c r="AR334" s="207"/>
    </row>
    <row r="335" spans="39:44" ht="12.75">
      <c r="AM335" s="461" t="str">
        <f>AM330 &amp; ".5"</f>
        <v>4.0.3.1.1.1.5</v>
      </c>
      <c r="AN335" s="448" t="s">
        <v>2508</v>
      </c>
      <c r="AO335" s="473" t="s">
        <v>285</v>
      </c>
      <c r="AP335" s="305">
        <f t="shared" si="8"/>
        <v>0</v>
      </c>
      <c r="AQ335" s="207"/>
      <c r="AR335" s="207"/>
    </row>
    <row r="336" spans="39:44" ht="12.75">
      <c r="AM336" s="461" t="str">
        <f>AM330 &amp; ".6"</f>
        <v>4.0.3.1.1.1.6</v>
      </c>
      <c r="AN336" s="448" t="s">
        <v>2509</v>
      </c>
      <c r="AO336" s="473" t="s">
        <v>285</v>
      </c>
      <c r="AP336" s="305">
        <f t="shared" si="8"/>
        <v>0</v>
      </c>
      <c r="AQ336" s="207"/>
      <c r="AR336" s="207"/>
    </row>
    <row r="337" spans="39:44" ht="12.75">
      <c r="AM337" s="461" t="str">
        <f>AM330 &amp; ".7"</f>
        <v>4.0.3.1.1.1.7</v>
      </c>
      <c r="AN337" s="448" t="s">
        <v>2178</v>
      </c>
      <c r="AO337" s="473" t="s">
        <v>285</v>
      </c>
      <c r="AP337" s="305">
        <f t="shared" si="8"/>
        <v>0</v>
      </c>
      <c r="AQ337" s="207"/>
      <c r="AR337" s="207"/>
    </row>
    <row r="338" spans="39:44" ht="22.5">
      <c r="AM338" s="449" t="s">
        <v>266</v>
      </c>
      <c r="AN338" s="450" t="s">
        <v>229</v>
      </c>
      <c r="AO338" s="473"/>
      <c r="AP338" s="456"/>
      <c r="AQ338" s="207"/>
      <c r="AR338" s="207"/>
    </row>
    <row r="339" spans="39:44" ht="12.75">
      <c r="AM339" s="461" t="str">
        <f>AM338 &amp; ".1"</f>
        <v>4.0.3.1.1.2.1</v>
      </c>
      <c r="AN339" s="448" t="s">
        <v>2504</v>
      </c>
      <c r="AO339" s="473" t="s">
        <v>285</v>
      </c>
      <c r="AP339" s="305">
        <f>IF(AP229=0,0,AP355/AP229*1000)</f>
        <v>0</v>
      </c>
      <c r="AQ339" s="207"/>
      <c r="AR339" s="207"/>
    </row>
    <row r="340" spans="39:44" ht="12.75">
      <c r="AM340" s="461" t="str">
        <f>AM338 &amp; ".2"</f>
        <v>4.0.3.1.1.2.2</v>
      </c>
      <c r="AN340" s="448" t="s">
        <v>2505</v>
      </c>
      <c r="AO340" s="473" t="s">
        <v>285</v>
      </c>
      <c r="AP340" s="305">
        <f t="shared" ref="AP340:AP345" si="9">IF(AP230=0,0,AP356/AP230*1000)</f>
        <v>0</v>
      </c>
      <c r="AQ340" s="207"/>
      <c r="AR340" s="207"/>
    </row>
    <row r="341" spans="39:44" ht="12.75">
      <c r="AM341" s="461" t="str">
        <f>AM338 &amp; ".3"</f>
        <v>4.0.3.1.1.2.3</v>
      </c>
      <c r="AN341" s="448" t="s">
        <v>2506</v>
      </c>
      <c r="AO341" s="473" t="s">
        <v>285</v>
      </c>
      <c r="AP341" s="305">
        <f t="shared" si="9"/>
        <v>0</v>
      </c>
      <c r="AQ341" s="207"/>
      <c r="AR341" s="207"/>
    </row>
    <row r="342" spans="39:44" ht="12.75">
      <c r="AM342" s="461" t="str">
        <f>AM338 &amp; ".4"</f>
        <v>4.0.3.1.1.2.4</v>
      </c>
      <c r="AN342" s="448" t="s">
        <v>2507</v>
      </c>
      <c r="AO342" s="473" t="s">
        <v>285</v>
      </c>
      <c r="AP342" s="305">
        <f t="shared" si="9"/>
        <v>0</v>
      </c>
      <c r="AQ342" s="207"/>
      <c r="AR342" s="207"/>
    </row>
    <row r="343" spans="39:44" ht="12.75">
      <c r="AM343" s="461" t="str">
        <f>AM338 &amp; ".5"</f>
        <v>4.0.3.1.1.2.5</v>
      </c>
      <c r="AN343" s="448" t="s">
        <v>2508</v>
      </c>
      <c r="AO343" s="473" t="s">
        <v>285</v>
      </c>
      <c r="AP343" s="305">
        <f t="shared" si="9"/>
        <v>0</v>
      </c>
      <c r="AQ343" s="207"/>
      <c r="AR343" s="207"/>
    </row>
    <row r="344" spans="39:44" ht="12.75">
      <c r="AM344" s="461" t="str">
        <f>AM338 &amp; ".6"</f>
        <v>4.0.3.1.1.2.6</v>
      </c>
      <c r="AN344" s="448" t="s">
        <v>2509</v>
      </c>
      <c r="AO344" s="473" t="s">
        <v>285</v>
      </c>
      <c r="AP344" s="305">
        <f t="shared" si="9"/>
        <v>0</v>
      </c>
      <c r="AQ344" s="207"/>
      <c r="AR344" s="207"/>
    </row>
    <row r="345" spans="39:44" ht="12.75">
      <c r="AM345" s="461" t="str">
        <f>AM338 &amp; ".7"</f>
        <v>4.0.3.1.1.2.7</v>
      </c>
      <c r="AN345" s="448" t="s">
        <v>2178</v>
      </c>
      <c r="AO345" s="473" t="s">
        <v>285</v>
      </c>
      <c r="AP345" s="305">
        <f t="shared" si="9"/>
        <v>0</v>
      </c>
      <c r="AQ345" s="207"/>
      <c r="AR345" s="207"/>
    </row>
    <row r="346" spans="39:44" ht="22.5">
      <c r="AM346" s="449" t="s">
        <v>267</v>
      </c>
      <c r="AN346" s="450" t="s">
        <v>230</v>
      </c>
      <c r="AO346" s="473" t="s">
        <v>786</v>
      </c>
      <c r="AP346" s="305">
        <f>SUM(AQ346:AR346)</f>
        <v>0</v>
      </c>
      <c r="AQ346" s="207"/>
      <c r="AR346" s="207"/>
    </row>
    <row r="347" spans="39:44" ht="12.75">
      <c r="AM347" s="461" t="str">
        <f>AM346 &amp; ".1"</f>
        <v>4.0.3.1.1.3.1</v>
      </c>
      <c r="AN347" s="448" t="s">
        <v>2504</v>
      </c>
      <c r="AO347" s="473" t="s">
        <v>786</v>
      </c>
      <c r="AP347" s="305">
        <f t="shared" ref="AP347:AP364" si="10">SUM(AQ347:AR347)</f>
        <v>0</v>
      </c>
      <c r="AQ347" s="207"/>
      <c r="AR347" s="207"/>
    </row>
    <row r="348" spans="39:44" ht="12.75">
      <c r="AM348" s="461" t="str">
        <f>AM346 &amp; ".2"</f>
        <v>4.0.3.1.1.3.2</v>
      </c>
      <c r="AN348" s="448" t="s">
        <v>2505</v>
      </c>
      <c r="AO348" s="473" t="s">
        <v>786</v>
      </c>
      <c r="AP348" s="305">
        <f t="shared" si="10"/>
        <v>0</v>
      </c>
      <c r="AQ348" s="207"/>
      <c r="AR348" s="207"/>
    </row>
    <row r="349" spans="39:44" ht="12.75">
      <c r="AM349" s="461" t="str">
        <f>AM346 &amp; ".3"</f>
        <v>4.0.3.1.1.3.3</v>
      </c>
      <c r="AN349" s="448" t="s">
        <v>2506</v>
      </c>
      <c r="AO349" s="473" t="s">
        <v>786</v>
      </c>
      <c r="AP349" s="305">
        <f t="shared" si="10"/>
        <v>0</v>
      </c>
      <c r="AQ349" s="207"/>
      <c r="AR349" s="207"/>
    </row>
    <row r="350" spans="39:44" ht="12.75">
      <c r="AM350" s="461" t="str">
        <f>AM346 &amp; ".4"</f>
        <v>4.0.3.1.1.3.4</v>
      </c>
      <c r="AN350" s="448" t="s">
        <v>2507</v>
      </c>
      <c r="AO350" s="473" t="s">
        <v>786</v>
      </c>
      <c r="AP350" s="305">
        <f t="shared" si="10"/>
        <v>0</v>
      </c>
      <c r="AQ350" s="207"/>
      <c r="AR350" s="207"/>
    </row>
    <row r="351" spans="39:44" ht="12.75">
      <c r="AM351" s="461" t="str">
        <f>AM346 &amp; ".5"</f>
        <v>4.0.3.1.1.3.5</v>
      </c>
      <c r="AN351" s="448" t="s">
        <v>2508</v>
      </c>
      <c r="AO351" s="473" t="s">
        <v>786</v>
      </c>
      <c r="AP351" s="305">
        <f t="shared" si="10"/>
        <v>0</v>
      </c>
      <c r="AQ351" s="207"/>
      <c r="AR351" s="207"/>
    </row>
    <row r="352" spans="39:44" ht="12.75">
      <c r="AM352" s="461" t="str">
        <f>AM346 &amp; ".6"</f>
        <v>4.0.3.1.1.3.6</v>
      </c>
      <c r="AN352" s="448" t="s">
        <v>2509</v>
      </c>
      <c r="AO352" s="473" t="s">
        <v>786</v>
      </c>
      <c r="AP352" s="305">
        <f t="shared" si="10"/>
        <v>0</v>
      </c>
      <c r="AQ352" s="207"/>
      <c r="AR352" s="207"/>
    </row>
    <row r="353" spans="39:44" ht="12.75">
      <c r="AM353" s="461" t="str">
        <f>AM346 &amp; ".7"</f>
        <v>4.0.3.1.1.3.7</v>
      </c>
      <c r="AN353" s="448" t="s">
        <v>2178</v>
      </c>
      <c r="AO353" s="473" t="s">
        <v>786</v>
      </c>
      <c r="AP353" s="305">
        <f t="shared" si="10"/>
        <v>0</v>
      </c>
      <c r="AQ353" s="207"/>
      <c r="AR353" s="207"/>
    </row>
    <row r="354" spans="39:44" ht="22.5">
      <c r="AM354" s="449" t="s">
        <v>268</v>
      </c>
      <c r="AN354" s="450" t="s">
        <v>231</v>
      </c>
      <c r="AO354" s="473" t="s">
        <v>786</v>
      </c>
      <c r="AP354" s="305">
        <f t="shared" si="10"/>
        <v>0</v>
      </c>
      <c r="AQ354" s="207"/>
      <c r="AR354" s="207"/>
    </row>
    <row r="355" spans="39:44" ht="12.75">
      <c r="AM355" s="461" t="str">
        <f>AM354 &amp; ".1"</f>
        <v>4.0.3.1.1.4.1</v>
      </c>
      <c r="AN355" s="448" t="s">
        <v>2504</v>
      </c>
      <c r="AO355" s="473" t="s">
        <v>786</v>
      </c>
      <c r="AP355" s="305">
        <f t="shared" si="10"/>
        <v>0</v>
      </c>
      <c r="AQ355" s="207"/>
      <c r="AR355" s="207"/>
    </row>
    <row r="356" spans="39:44" ht="12.75">
      <c r="AM356" s="461" t="str">
        <f>AM354 &amp; ".2"</f>
        <v>4.0.3.1.1.4.2</v>
      </c>
      <c r="AN356" s="448" t="s">
        <v>2505</v>
      </c>
      <c r="AO356" s="473" t="s">
        <v>786</v>
      </c>
      <c r="AP356" s="305">
        <f t="shared" si="10"/>
        <v>0</v>
      </c>
      <c r="AQ356" s="207"/>
      <c r="AR356" s="207"/>
    </row>
    <row r="357" spans="39:44" ht="12.75">
      <c r="AM357" s="461" t="str">
        <f>AM354 &amp; ".3"</f>
        <v>4.0.3.1.1.4.3</v>
      </c>
      <c r="AN357" s="448" t="s">
        <v>2506</v>
      </c>
      <c r="AO357" s="473" t="s">
        <v>786</v>
      </c>
      <c r="AP357" s="305">
        <f t="shared" si="10"/>
        <v>0</v>
      </c>
      <c r="AQ357" s="207"/>
      <c r="AR357" s="207"/>
    </row>
    <row r="358" spans="39:44" ht="12.75">
      <c r="AM358" s="461" t="str">
        <f>AM354 &amp; ".4"</f>
        <v>4.0.3.1.1.4.4</v>
      </c>
      <c r="AN358" s="448" t="s">
        <v>2507</v>
      </c>
      <c r="AO358" s="473" t="s">
        <v>786</v>
      </c>
      <c r="AP358" s="305">
        <f t="shared" si="10"/>
        <v>0</v>
      </c>
      <c r="AQ358" s="207"/>
      <c r="AR358" s="207"/>
    </row>
    <row r="359" spans="39:44" ht="12.75">
      <c r="AM359" s="461" t="str">
        <f>AM354 &amp; ".5"</f>
        <v>4.0.3.1.1.4.5</v>
      </c>
      <c r="AN359" s="448" t="s">
        <v>2508</v>
      </c>
      <c r="AO359" s="473" t="s">
        <v>786</v>
      </c>
      <c r="AP359" s="305">
        <f t="shared" si="10"/>
        <v>0</v>
      </c>
      <c r="AQ359" s="207"/>
      <c r="AR359" s="207"/>
    </row>
    <row r="360" spans="39:44" ht="12.75">
      <c r="AM360" s="461" t="str">
        <f>AM354 &amp; ".6"</f>
        <v>4.0.3.1.1.4.6</v>
      </c>
      <c r="AN360" s="448" t="s">
        <v>2509</v>
      </c>
      <c r="AO360" s="473" t="s">
        <v>786</v>
      </c>
      <c r="AP360" s="305">
        <f t="shared" si="10"/>
        <v>0</v>
      </c>
      <c r="AQ360" s="207"/>
      <c r="AR360" s="207"/>
    </row>
    <row r="361" spans="39:44" ht="12.75">
      <c r="AM361" s="461" t="str">
        <f>AM354 &amp; ".7"</f>
        <v>4.0.3.1.1.4.7</v>
      </c>
      <c r="AN361" s="448" t="s">
        <v>2178</v>
      </c>
      <c r="AO361" s="473" t="s">
        <v>786</v>
      </c>
      <c r="AP361" s="305">
        <f t="shared" si="10"/>
        <v>0</v>
      </c>
      <c r="AQ361" s="207"/>
      <c r="AR361" s="207"/>
    </row>
    <row r="362" spans="39:44" ht="22.5">
      <c r="AM362" s="449" t="s">
        <v>269</v>
      </c>
      <c r="AN362" s="450" t="s">
        <v>232</v>
      </c>
      <c r="AO362" s="473" t="s">
        <v>786</v>
      </c>
      <c r="AP362" s="305">
        <f t="shared" si="10"/>
        <v>0</v>
      </c>
      <c r="AQ362" s="207"/>
      <c r="AR362" s="207"/>
    </row>
    <row r="363" spans="39:44" ht="12.75">
      <c r="AM363" s="461" t="str">
        <f>AM362 &amp; ".1"</f>
        <v>4.0.3.1.1.5.1</v>
      </c>
      <c r="AN363" s="225" t="s">
        <v>233</v>
      </c>
      <c r="AO363" s="473" t="s">
        <v>285</v>
      </c>
      <c r="AP363" s="305">
        <f>IF(AP364=0,0,AP362/AP364*1000)</f>
        <v>0</v>
      </c>
      <c r="AQ363" s="207"/>
      <c r="AR363" s="207"/>
    </row>
    <row r="364" spans="39:44" ht="12.75">
      <c r="AM364" s="461" t="str">
        <f>AM362 &amp; ".2"</f>
        <v>4.0.3.1.1.5.2</v>
      </c>
      <c r="AN364" s="225" t="s">
        <v>234</v>
      </c>
      <c r="AO364" s="473" t="s">
        <v>286</v>
      </c>
      <c r="AP364" s="305">
        <f t="shared" si="10"/>
        <v>0</v>
      </c>
      <c r="AQ364" s="207"/>
      <c r="AR364" s="207"/>
    </row>
    <row r="365" spans="39:44" ht="22.5">
      <c r="AM365" s="449" t="s">
        <v>270</v>
      </c>
      <c r="AN365" s="450" t="s">
        <v>235</v>
      </c>
      <c r="AO365" s="473"/>
      <c r="AP365" s="456"/>
      <c r="AQ365" s="207"/>
      <c r="AR365" s="207"/>
    </row>
    <row r="366" spans="39:44" ht="12.75">
      <c r="AM366" s="461" t="str">
        <f>AM365 &amp; ".1"</f>
        <v>4.0.3.1.2.1.1</v>
      </c>
      <c r="AN366" s="448" t="s">
        <v>2504</v>
      </c>
      <c r="AO366" s="473" t="s">
        <v>285</v>
      </c>
      <c r="AP366" s="305">
        <f t="shared" ref="AP366:AP372" si="11">IF(AP237=0,0,AP382/AP237*1000)</f>
        <v>0</v>
      </c>
      <c r="AQ366" s="207"/>
      <c r="AR366" s="207"/>
    </row>
    <row r="367" spans="39:44" ht="12.75">
      <c r="AM367" s="461" t="str">
        <f>AM365 &amp; ".2"</f>
        <v>4.0.3.1.2.1.2</v>
      </c>
      <c r="AN367" s="448" t="s">
        <v>2505</v>
      </c>
      <c r="AO367" s="473" t="s">
        <v>285</v>
      </c>
      <c r="AP367" s="305">
        <f t="shared" si="11"/>
        <v>0</v>
      </c>
      <c r="AQ367" s="207"/>
      <c r="AR367" s="207"/>
    </row>
    <row r="368" spans="39:44" ht="12.75">
      <c r="AM368" s="461" t="str">
        <f>AM365 &amp; ".3"</f>
        <v>4.0.3.1.2.1.3</v>
      </c>
      <c r="AN368" s="448" t="s">
        <v>2506</v>
      </c>
      <c r="AO368" s="473" t="s">
        <v>285</v>
      </c>
      <c r="AP368" s="305">
        <f t="shared" si="11"/>
        <v>0</v>
      </c>
      <c r="AQ368" s="207"/>
      <c r="AR368" s="207"/>
    </row>
    <row r="369" spans="39:44" ht="12.75">
      <c r="AM369" s="461" t="str">
        <f>AM365 &amp; ".4"</f>
        <v>4.0.3.1.2.1.4</v>
      </c>
      <c r="AN369" s="448" t="s">
        <v>2507</v>
      </c>
      <c r="AO369" s="473" t="s">
        <v>285</v>
      </c>
      <c r="AP369" s="305">
        <f t="shared" si="11"/>
        <v>0</v>
      </c>
      <c r="AQ369" s="207"/>
      <c r="AR369" s="207"/>
    </row>
    <row r="370" spans="39:44" ht="12.75">
      <c r="AM370" s="461" t="str">
        <f>AM365 &amp; ".5"</f>
        <v>4.0.3.1.2.1.5</v>
      </c>
      <c r="AN370" s="448" t="s">
        <v>2508</v>
      </c>
      <c r="AO370" s="473" t="s">
        <v>285</v>
      </c>
      <c r="AP370" s="305">
        <f t="shared" si="11"/>
        <v>0</v>
      </c>
      <c r="AQ370" s="207"/>
      <c r="AR370" s="207"/>
    </row>
    <row r="371" spans="39:44" ht="12.75">
      <c r="AM371" s="461" t="str">
        <f>AM365 &amp; ".6"</f>
        <v>4.0.3.1.2.1.6</v>
      </c>
      <c r="AN371" s="448" t="s">
        <v>2509</v>
      </c>
      <c r="AO371" s="473" t="s">
        <v>285</v>
      </c>
      <c r="AP371" s="305">
        <f t="shared" si="11"/>
        <v>0</v>
      </c>
      <c r="AQ371" s="207"/>
      <c r="AR371" s="207"/>
    </row>
    <row r="372" spans="39:44" ht="12.75">
      <c r="AM372" s="461" t="str">
        <f>AM365 &amp; ".7"</f>
        <v>4.0.3.1.2.1.7</v>
      </c>
      <c r="AN372" s="448" t="s">
        <v>2178</v>
      </c>
      <c r="AO372" s="473" t="s">
        <v>285</v>
      </c>
      <c r="AP372" s="305">
        <f t="shared" si="11"/>
        <v>0</v>
      </c>
      <c r="AQ372" s="207"/>
      <c r="AR372" s="207"/>
    </row>
    <row r="373" spans="39:44" ht="22.5">
      <c r="AM373" s="449" t="s">
        <v>271</v>
      </c>
      <c r="AN373" s="450" t="s">
        <v>236</v>
      </c>
      <c r="AO373" s="473"/>
      <c r="AP373" s="456"/>
      <c r="AQ373" s="207"/>
      <c r="AR373" s="207"/>
    </row>
    <row r="374" spans="39:44" ht="12.75">
      <c r="AM374" s="461" t="str">
        <f>AM373 &amp; ".1"</f>
        <v>4.0.3.1.2.2.1</v>
      </c>
      <c r="AN374" s="448" t="s">
        <v>2504</v>
      </c>
      <c r="AO374" s="473" t="s">
        <v>285</v>
      </c>
      <c r="AP374" s="305">
        <f t="shared" ref="AP374:AP380" si="12">IF(AP237=0,0,AP390/AP237*1000)</f>
        <v>0</v>
      </c>
      <c r="AQ374" s="207"/>
      <c r="AR374" s="207"/>
    </row>
    <row r="375" spans="39:44" ht="12.75">
      <c r="AM375" s="461" t="str">
        <f>AM373 &amp; ".2"</f>
        <v>4.0.3.1.2.2.2</v>
      </c>
      <c r="AN375" s="448" t="s">
        <v>2505</v>
      </c>
      <c r="AO375" s="473" t="s">
        <v>285</v>
      </c>
      <c r="AP375" s="305">
        <f t="shared" si="12"/>
        <v>0</v>
      </c>
      <c r="AQ375" s="207"/>
      <c r="AR375" s="207"/>
    </row>
    <row r="376" spans="39:44" ht="12.75">
      <c r="AM376" s="461" t="str">
        <f>AM373 &amp; ".3"</f>
        <v>4.0.3.1.2.2.3</v>
      </c>
      <c r="AN376" s="448" t="s">
        <v>2506</v>
      </c>
      <c r="AO376" s="473" t="s">
        <v>285</v>
      </c>
      <c r="AP376" s="305">
        <f t="shared" si="12"/>
        <v>0</v>
      </c>
      <c r="AQ376" s="207"/>
      <c r="AR376" s="207"/>
    </row>
    <row r="377" spans="39:44" ht="12.75">
      <c r="AM377" s="461" t="str">
        <f>AM373 &amp; ".4"</f>
        <v>4.0.3.1.2.2.4</v>
      </c>
      <c r="AN377" s="448" t="s">
        <v>2507</v>
      </c>
      <c r="AO377" s="473" t="s">
        <v>285</v>
      </c>
      <c r="AP377" s="305">
        <f t="shared" si="12"/>
        <v>0</v>
      </c>
      <c r="AQ377" s="207"/>
      <c r="AR377" s="207"/>
    </row>
    <row r="378" spans="39:44" ht="12.75">
      <c r="AM378" s="461" t="str">
        <f>AM373 &amp; ".5"</f>
        <v>4.0.3.1.2.2.5</v>
      </c>
      <c r="AN378" s="448" t="s">
        <v>2508</v>
      </c>
      <c r="AO378" s="473" t="s">
        <v>285</v>
      </c>
      <c r="AP378" s="305">
        <f t="shared" si="12"/>
        <v>0</v>
      </c>
      <c r="AQ378" s="207"/>
      <c r="AR378" s="207"/>
    </row>
    <row r="379" spans="39:44" ht="12.75">
      <c r="AM379" s="461" t="str">
        <f>AM373 &amp; ".6"</f>
        <v>4.0.3.1.2.2.6</v>
      </c>
      <c r="AN379" s="448" t="s">
        <v>2509</v>
      </c>
      <c r="AO379" s="473" t="s">
        <v>285</v>
      </c>
      <c r="AP379" s="305">
        <f t="shared" si="12"/>
        <v>0</v>
      </c>
      <c r="AQ379" s="207"/>
      <c r="AR379" s="207"/>
    </row>
    <row r="380" spans="39:44" ht="12.75">
      <c r="AM380" s="461" t="str">
        <f>AM373 &amp; ".7"</f>
        <v>4.0.3.1.2.2.7</v>
      </c>
      <c r="AN380" s="448" t="s">
        <v>2178</v>
      </c>
      <c r="AO380" s="473" t="s">
        <v>285</v>
      </c>
      <c r="AP380" s="305">
        <f t="shared" si="12"/>
        <v>0</v>
      </c>
      <c r="AQ380" s="207"/>
      <c r="AR380" s="207"/>
    </row>
    <row r="381" spans="39:44" ht="22.5">
      <c r="AM381" s="449" t="s">
        <v>272</v>
      </c>
      <c r="AN381" s="450" t="s">
        <v>237</v>
      </c>
      <c r="AO381" s="473" t="s">
        <v>786</v>
      </c>
      <c r="AP381" s="305">
        <f t="shared" ref="AP381:AP399" si="13">SUM(AQ381:AR381)</f>
        <v>0</v>
      </c>
      <c r="AQ381" s="207"/>
      <c r="AR381" s="207"/>
    </row>
    <row r="382" spans="39:44" ht="12.75">
      <c r="AM382" s="461" t="str">
        <f>AM381 &amp; ".1"</f>
        <v>4.0.3.1.2.3.1</v>
      </c>
      <c r="AN382" s="448" t="s">
        <v>2504</v>
      </c>
      <c r="AO382" s="473" t="s">
        <v>786</v>
      </c>
      <c r="AP382" s="305">
        <f t="shared" si="13"/>
        <v>0</v>
      </c>
      <c r="AQ382" s="207"/>
      <c r="AR382" s="207"/>
    </row>
    <row r="383" spans="39:44" ht="12.75">
      <c r="AM383" s="461" t="str">
        <f>AM381 &amp; ".2"</f>
        <v>4.0.3.1.2.3.2</v>
      </c>
      <c r="AN383" s="448" t="s">
        <v>2505</v>
      </c>
      <c r="AO383" s="473" t="s">
        <v>786</v>
      </c>
      <c r="AP383" s="305">
        <f t="shared" si="13"/>
        <v>0</v>
      </c>
      <c r="AQ383" s="207"/>
      <c r="AR383" s="207"/>
    </row>
    <row r="384" spans="39:44" ht="12.75">
      <c r="AM384" s="461" t="str">
        <f>AM381 &amp; ".3"</f>
        <v>4.0.3.1.2.3.3</v>
      </c>
      <c r="AN384" s="448" t="s">
        <v>2506</v>
      </c>
      <c r="AO384" s="473" t="s">
        <v>786</v>
      </c>
      <c r="AP384" s="305">
        <f t="shared" si="13"/>
        <v>0</v>
      </c>
      <c r="AQ384" s="207"/>
      <c r="AR384" s="207"/>
    </row>
    <row r="385" spans="39:44" ht="12.75">
      <c r="AM385" s="461" t="str">
        <f>AM381 &amp; ".4"</f>
        <v>4.0.3.1.2.3.4</v>
      </c>
      <c r="AN385" s="448" t="s">
        <v>2507</v>
      </c>
      <c r="AO385" s="473" t="s">
        <v>786</v>
      </c>
      <c r="AP385" s="305">
        <f t="shared" si="13"/>
        <v>0</v>
      </c>
      <c r="AQ385" s="207"/>
      <c r="AR385" s="207"/>
    </row>
    <row r="386" spans="39:44" ht="12.75">
      <c r="AM386" s="461" t="str">
        <f>AM381 &amp; ".5"</f>
        <v>4.0.3.1.2.3.5</v>
      </c>
      <c r="AN386" s="448" t="s">
        <v>2508</v>
      </c>
      <c r="AO386" s="473" t="s">
        <v>786</v>
      </c>
      <c r="AP386" s="305">
        <f t="shared" si="13"/>
        <v>0</v>
      </c>
      <c r="AQ386" s="207"/>
      <c r="AR386" s="207"/>
    </row>
    <row r="387" spans="39:44" ht="12.75">
      <c r="AM387" s="461" t="str">
        <f>AM381 &amp; ".6"</f>
        <v>4.0.3.1.2.3.6</v>
      </c>
      <c r="AN387" s="448" t="s">
        <v>2509</v>
      </c>
      <c r="AO387" s="473" t="s">
        <v>786</v>
      </c>
      <c r="AP387" s="305">
        <f t="shared" si="13"/>
        <v>0</v>
      </c>
      <c r="AQ387" s="207"/>
      <c r="AR387" s="207"/>
    </row>
    <row r="388" spans="39:44" ht="12.75">
      <c r="AM388" s="461" t="str">
        <f>AM381 &amp; ".7"</f>
        <v>4.0.3.1.2.3.7</v>
      </c>
      <c r="AN388" s="448" t="s">
        <v>2178</v>
      </c>
      <c r="AO388" s="473" t="s">
        <v>786</v>
      </c>
      <c r="AP388" s="305">
        <f t="shared" si="13"/>
        <v>0</v>
      </c>
      <c r="AQ388" s="207"/>
      <c r="AR388" s="207"/>
    </row>
    <row r="389" spans="39:44" ht="22.5">
      <c r="AM389" s="449" t="s">
        <v>274</v>
      </c>
      <c r="AN389" s="450" t="s">
        <v>238</v>
      </c>
      <c r="AO389" s="473" t="s">
        <v>786</v>
      </c>
      <c r="AP389" s="305">
        <f t="shared" si="13"/>
        <v>0</v>
      </c>
      <c r="AQ389" s="207"/>
      <c r="AR389" s="207"/>
    </row>
    <row r="390" spans="39:44" ht="12.75">
      <c r="AM390" s="461" t="str">
        <f>AM389 &amp; ".1"</f>
        <v>4.0.3.1.2.4.1</v>
      </c>
      <c r="AN390" s="448" t="s">
        <v>2504</v>
      </c>
      <c r="AO390" s="473" t="s">
        <v>786</v>
      </c>
      <c r="AP390" s="305">
        <f t="shared" si="13"/>
        <v>0</v>
      </c>
      <c r="AQ390" s="207"/>
      <c r="AR390" s="207"/>
    </row>
    <row r="391" spans="39:44" ht="12.75">
      <c r="AM391" s="461" t="str">
        <f>AM389 &amp; ".2"</f>
        <v>4.0.3.1.2.4.2</v>
      </c>
      <c r="AN391" s="448" t="s">
        <v>2505</v>
      </c>
      <c r="AO391" s="473" t="s">
        <v>786</v>
      </c>
      <c r="AP391" s="305">
        <f t="shared" si="13"/>
        <v>0</v>
      </c>
      <c r="AQ391" s="207"/>
      <c r="AR391" s="207"/>
    </row>
    <row r="392" spans="39:44" ht="12.75">
      <c r="AM392" s="461" t="str">
        <f>AM389 &amp; ".3"</f>
        <v>4.0.3.1.2.4.3</v>
      </c>
      <c r="AN392" s="448" t="s">
        <v>2506</v>
      </c>
      <c r="AO392" s="473" t="s">
        <v>786</v>
      </c>
      <c r="AP392" s="305">
        <f t="shared" si="13"/>
        <v>0</v>
      </c>
      <c r="AQ392" s="207"/>
      <c r="AR392" s="207"/>
    </row>
    <row r="393" spans="39:44" ht="12.75">
      <c r="AM393" s="461" t="str">
        <f>AM389 &amp; ".4"</f>
        <v>4.0.3.1.2.4.4</v>
      </c>
      <c r="AN393" s="448" t="s">
        <v>2507</v>
      </c>
      <c r="AO393" s="473" t="s">
        <v>786</v>
      </c>
      <c r="AP393" s="305">
        <f t="shared" si="13"/>
        <v>0</v>
      </c>
      <c r="AQ393" s="207"/>
      <c r="AR393" s="207"/>
    </row>
    <row r="394" spans="39:44" ht="12.75">
      <c r="AM394" s="461" t="str">
        <f>AM389 &amp; ".5"</f>
        <v>4.0.3.1.2.4.5</v>
      </c>
      <c r="AN394" s="448" t="s">
        <v>2508</v>
      </c>
      <c r="AO394" s="473" t="s">
        <v>786</v>
      </c>
      <c r="AP394" s="305">
        <f t="shared" si="13"/>
        <v>0</v>
      </c>
      <c r="AQ394" s="207"/>
      <c r="AR394" s="207"/>
    </row>
    <row r="395" spans="39:44" ht="12.75">
      <c r="AM395" s="461" t="str">
        <f>AM389 &amp; ".6"</f>
        <v>4.0.3.1.2.4.6</v>
      </c>
      <c r="AN395" s="448" t="s">
        <v>2509</v>
      </c>
      <c r="AO395" s="473" t="s">
        <v>786</v>
      </c>
      <c r="AP395" s="305">
        <f t="shared" si="13"/>
        <v>0</v>
      </c>
      <c r="AQ395" s="207"/>
      <c r="AR395" s="207"/>
    </row>
    <row r="396" spans="39:44" ht="12.75">
      <c r="AM396" s="461" t="str">
        <f>AM389 &amp; ".7"</f>
        <v>4.0.3.1.2.4.7</v>
      </c>
      <c r="AN396" s="448" t="s">
        <v>2178</v>
      </c>
      <c r="AO396" s="473" t="s">
        <v>786</v>
      </c>
      <c r="AP396" s="305">
        <f t="shared" si="13"/>
        <v>0</v>
      </c>
      <c r="AQ396" s="207"/>
      <c r="AR396" s="207"/>
    </row>
    <row r="397" spans="39:44" ht="22.5">
      <c r="AM397" s="449" t="s">
        <v>273</v>
      </c>
      <c r="AN397" s="450" t="s">
        <v>239</v>
      </c>
      <c r="AO397" s="473" t="s">
        <v>786</v>
      </c>
      <c r="AP397" s="305">
        <f t="shared" si="13"/>
        <v>0</v>
      </c>
      <c r="AQ397" s="207"/>
      <c r="AR397" s="207"/>
    </row>
    <row r="398" spans="39:44" ht="12.75">
      <c r="AM398" s="461" t="str">
        <f>AM397 &amp; ".1"</f>
        <v>4.0.3.1.2.5.1</v>
      </c>
      <c r="AN398" s="225" t="s">
        <v>233</v>
      </c>
      <c r="AO398" s="473" t="s">
        <v>285</v>
      </c>
      <c r="AP398" s="305">
        <f>IF(AP399=0,0,AP397/AP399*1000)</f>
        <v>0</v>
      </c>
      <c r="AQ398" s="207"/>
      <c r="AR398" s="207"/>
    </row>
    <row r="399" spans="39:44" ht="12.75">
      <c r="AM399" s="461" t="str">
        <f>AM397 &amp; ".2"</f>
        <v>4.0.3.1.2.5.2</v>
      </c>
      <c r="AN399" s="225" t="s">
        <v>234</v>
      </c>
      <c r="AO399" s="473" t="s">
        <v>286</v>
      </c>
      <c r="AP399" s="305">
        <f t="shared" si="13"/>
        <v>0</v>
      </c>
      <c r="AQ399" s="207"/>
      <c r="AR399" s="207"/>
    </row>
    <row r="400" spans="39:44" ht="22.5">
      <c r="AM400" s="449" t="s">
        <v>277</v>
      </c>
      <c r="AN400" s="450" t="s">
        <v>240</v>
      </c>
      <c r="AO400" s="473"/>
      <c r="AP400" s="456"/>
      <c r="AQ400" s="207"/>
      <c r="AR400" s="207"/>
    </row>
    <row r="401" spans="39:44">
      <c r="AM401" s="461" t="str">
        <f>AM400 &amp; ".1"</f>
        <v>4.0.3.2.1.1</v>
      </c>
      <c r="AN401" s="453" t="s">
        <v>78</v>
      </c>
      <c r="AO401" s="473" t="s">
        <v>216</v>
      </c>
      <c r="AP401" s="305">
        <f>IF(AP434=0,0,AP467/AP434*1000)</f>
        <v>0</v>
      </c>
      <c r="AQ401" s="207"/>
      <c r="AR401" s="207"/>
    </row>
    <row r="402" spans="39:44" hidden="1">
      <c r="AM402" s="461"/>
      <c r="AN402" s="454"/>
      <c r="AO402" s="473"/>
      <c r="AP402" s="456"/>
      <c r="AQ402" s="207"/>
      <c r="AR402" s="207"/>
    </row>
    <row r="403" spans="39:44" hidden="1">
      <c r="AM403" s="461"/>
      <c r="AN403" s="454"/>
      <c r="AO403" s="473"/>
      <c r="AP403" s="456"/>
      <c r="AQ403" s="207"/>
      <c r="AR403" s="207"/>
    </row>
    <row r="404" spans="39:44" hidden="1">
      <c r="AM404" s="451"/>
      <c r="AN404" s="454"/>
      <c r="AO404" s="473"/>
      <c r="AP404" s="456"/>
      <c r="AQ404" s="207"/>
      <c r="AR404" s="207"/>
    </row>
    <row r="405" spans="39:44" hidden="1">
      <c r="AM405" s="451"/>
      <c r="AN405" s="454"/>
      <c r="AO405" s="473"/>
      <c r="AP405" s="456"/>
      <c r="AQ405" s="207"/>
      <c r="AR405" s="207"/>
    </row>
    <row r="406" spans="39:44" hidden="1">
      <c r="AM406" s="451"/>
      <c r="AN406" s="454"/>
      <c r="AO406" s="473"/>
      <c r="AP406" s="456"/>
      <c r="AQ406" s="207"/>
      <c r="AR406" s="207"/>
    </row>
    <row r="407" spans="39:44" hidden="1">
      <c r="AM407" s="451"/>
      <c r="AN407" s="454"/>
      <c r="AO407" s="473"/>
      <c r="AP407" s="456"/>
      <c r="AQ407" s="207"/>
      <c r="AR407" s="207"/>
    </row>
    <row r="408" spans="39:44" hidden="1">
      <c r="AM408" s="451"/>
      <c r="AN408" s="454"/>
      <c r="AO408" s="473"/>
      <c r="AP408" s="456"/>
      <c r="AQ408" s="207"/>
      <c r="AR408" s="207"/>
    </row>
    <row r="409" spans="39:44" hidden="1">
      <c r="AM409" s="451"/>
      <c r="AN409" s="454"/>
      <c r="AO409" s="473"/>
      <c r="AP409" s="456"/>
      <c r="AQ409" s="207"/>
      <c r="AR409" s="207"/>
    </row>
    <row r="410" spans="39:44" hidden="1">
      <c r="AM410" s="451"/>
      <c r="AN410" s="454"/>
      <c r="AO410" s="473"/>
      <c r="AP410" s="456"/>
      <c r="AQ410" s="207"/>
      <c r="AR410" s="207"/>
    </row>
    <row r="411" spans="39:44" hidden="1">
      <c r="AM411" s="461"/>
      <c r="AN411" s="454"/>
      <c r="AO411" s="473"/>
      <c r="AP411" s="456"/>
      <c r="AQ411" s="207"/>
      <c r="AR411" s="207"/>
    </row>
    <row r="412" spans="39:44" hidden="1">
      <c r="AM412" s="451"/>
      <c r="AN412" s="454"/>
      <c r="AO412" s="473"/>
      <c r="AP412" s="456"/>
      <c r="AQ412" s="207"/>
      <c r="AR412" s="207"/>
    </row>
    <row r="413" spans="39:44" hidden="1">
      <c r="AM413" s="451"/>
      <c r="AN413" s="454"/>
      <c r="AO413" s="473"/>
      <c r="AP413" s="456"/>
      <c r="AQ413" s="207"/>
      <c r="AR413" s="207"/>
    </row>
    <row r="414" spans="39:44" hidden="1">
      <c r="AM414" s="451"/>
      <c r="AN414" s="454"/>
      <c r="AO414" s="473"/>
      <c r="AP414" s="456"/>
      <c r="AQ414" s="207"/>
      <c r="AR414" s="207"/>
    </row>
    <row r="415" spans="39:44" hidden="1">
      <c r="AM415" s="451"/>
      <c r="AN415" s="454"/>
      <c r="AO415" s="473"/>
      <c r="AP415" s="456"/>
      <c r="AQ415" s="207"/>
      <c r="AR415" s="207"/>
    </row>
    <row r="416" spans="39:44" hidden="1">
      <c r="AM416" s="451"/>
      <c r="AN416" s="454"/>
      <c r="AO416" s="473"/>
      <c r="AP416" s="456"/>
      <c r="AQ416" s="207"/>
      <c r="AR416" s="207"/>
    </row>
    <row r="417" spans="39:44" hidden="1">
      <c r="AM417" s="451"/>
      <c r="AN417" s="455"/>
      <c r="AO417" s="473"/>
      <c r="AP417" s="456"/>
      <c r="AQ417" s="207"/>
      <c r="AR417" s="207"/>
    </row>
    <row r="418" spans="39:44" hidden="1">
      <c r="AM418" s="451"/>
      <c r="AN418" s="455"/>
      <c r="AO418" s="473"/>
      <c r="AP418" s="456"/>
      <c r="AQ418" s="207"/>
      <c r="AR418" s="207"/>
    </row>
    <row r="419" spans="39:44" hidden="1">
      <c r="AM419" s="461"/>
      <c r="AN419" s="455"/>
      <c r="AO419" s="473"/>
      <c r="AP419" s="456"/>
      <c r="AQ419" s="207"/>
      <c r="AR419" s="207"/>
    </row>
    <row r="420" spans="39:44">
      <c r="AM420" s="461" t="str">
        <f>AM400 &amp; ".3"</f>
        <v>4.0.3.2.1.3</v>
      </c>
      <c r="AN420" s="457" t="s">
        <v>85</v>
      </c>
      <c r="AO420" s="473" t="s">
        <v>216</v>
      </c>
      <c r="AP420" s="305">
        <f t="shared" ref="AP420:AP429" si="14">IF(AP453=0,0,AP486/AP453*1000)</f>
        <v>0</v>
      </c>
      <c r="AQ420" s="207"/>
      <c r="AR420" s="207"/>
    </row>
    <row r="421" spans="39:44">
      <c r="AM421" s="461" t="str">
        <f>AM400 &amp; ".4"</f>
        <v>4.0.3.2.1.4</v>
      </c>
      <c r="AN421" s="457" t="s">
        <v>87</v>
      </c>
      <c r="AO421" s="473" t="s">
        <v>216</v>
      </c>
      <c r="AP421" s="305">
        <f t="shared" si="14"/>
        <v>0</v>
      </c>
      <c r="AQ421" s="207"/>
      <c r="AR421" s="207"/>
    </row>
    <row r="422" spans="39:44">
      <c r="AM422" s="461" t="str">
        <f>AM400&amp;".5"</f>
        <v>4.0.3.2.1.5</v>
      </c>
      <c r="AN422" s="457" t="s">
        <v>89</v>
      </c>
      <c r="AO422" s="473" t="s">
        <v>216</v>
      </c>
      <c r="AP422" s="305">
        <f t="shared" si="14"/>
        <v>0</v>
      </c>
      <c r="AQ422" s="207"/>
      <c r="AR422" s="207"/>
    </row>
    <row r="423" spans="39:44">
      <c r="AM423" s="461" t="str">
        <f>AM400 &amp; ".6"</f>
        <v>4.0.3.2.1.6</v>
      </c>
      <c r="AN423" s="457" t="s">
        <v>91</v>
      </c>
      <c r="AO423" s="473" t="s">
        <v>216</v>
      </c>
      <c r="AP423" s="305">
        <f t="shared" si="14"/>
        <v>0</v>
      </c>
      <c r="AQ423" s="207"/>
      <c r="AR423" s="207"/>
    </row>
    <row r="424" spans="39:44">
      <c r="AM424" s="461" t="str">
        <f>AM400 &amp; ".7"</f>
        <v>4.0.3.2.1.7</v>
      </c>
      <c r="AN424" s="457" t="s">
        <v>93</v>
      </c>
      <c r="AO424" s="473" t="s">
        <v>216</v>
      </c>
      <c r="AP424" s="305">
        <f t="shared" si="14"/>
        <v>0</v>
      </c>
      <c r="AQ424" s="207"/>
      <c r="AR424" s="207"/>
    </row>
    <row r="425" spans="39:44">
      <c r="AM425" s="461" t="str">
        <f>AM400 &amp; ".8"</f>
        <v>4.0.3.2.1.8</v>
      </c>
      <c r="AN425" s="457" t="s">
        <v>95</v>
      </c>
      <c r="AO425" s="473" t="s">
        <v>216</v>
      </c>
      <c r="AP425" s="305">
        <f t="shared" si="14"/>
        <v>0</v>
      </c>
      <c r="AQ425" s="207"/>
      <c r="AR425" s="207"/>
    </row>
    <row r="426" spans="39:44">
      <c r="AM426" s="461" t="str">
        <f>AM400 &amp; ".9"</f>
        <v>4.0.3.2.1.9</v>
      </c>
      <c r="AN426" s="457" t="s">
        <v>2976</v>
      </c>
      <c r="AO426" s="473" t="s">
        <v>216</v>
      </c>
      <c r="AP426" s="305">
        <f t="shared" si="14"/>
        <v>0</v>
      </c>
      <c r="AQ426" s="207"/>
      <c r="AR426" s="207"/>
    </row>
    <row r="427" spans="39:44">
      <c r="AM427" s="461" t="str">
        <f>AM400 &amp; ".10"</f>
        <v>4.0.3.2.1.10</v>
      </c>
      <c r="AN427" s="457" t="s">
        <v>2978</v>
      </c>
      <c r="AO427" s="473" t="s">
        <v>216</v>
      </c>
      <c r="AP427" s="305">
        <f t="shared" si="14"/>
        <v>0</v>
      </c>
      <c r="AQ427" s="207"/>
      <c r="AR427" s="207"/>
    </row>
    <row r="428" spans="39:44">
      <c r="AM428" s="461" t="str">
        <f>AM400 &amp; ".11"</f>
        <v>4.0.3.2.1.11</v>
      </c>
      <c r="AN428" s="457" t="s">
        <v>2980</v>
      </c>
      <c r="AO428" s="473" t="s">
        <v>216</v>
      </c>
      <c r="AP428" s="305">
        <f t="shared" si="14"/>
        <v>0</v>
      </c>
      <c r="AQ428" s="207"/>
      <c r="AR428" s="207"/>
    </row>
    <row r="429" spans="39:44">
      <c r="AM429" s="461" t="str">
        <f>AM400 &amp; ".12"</f>
        <v>4.0.3.2.1.12</v>
      </c>
      <c r="AN429" s="457" t="s">
        <v>2982</v>
      </c>
      <c r="AO429" s="473" t="s">
        <v>216</v>
      </c>
      <c r="AP429" s="305">
        <f t="shared" si="14"/>
        <v>0</v>
      </c>
      <c r="AQ429" s="207"/>
      <c r="AR429" s="207"/>
    </row>
    <row r="430" spans="39:44" hidden="1">
      <c r="AM430" s="451"/>
      <c r="AN430" s="454"/>
      <c r="AO430" s="473"/>
      <c r="AP430" s="456"/>
      <c r="AQ430" s="207"/>
      <c r="AR430" s="207"/>
    </row>
    <row r="431" spans="39:44" hidden="1">
      <c r="AM431" s="451"/>
      <c r="AN431" s="454"/>
      <c r="AO431" s="473"/>
      <c r="AP431" s="456"/>
      <c r="AQ431" s="207"/>
      <c r="AR431" s="207"/>
    </row>
    <row r="432" spans="39:44">
      <c r="AM432" s="461" t="str">
        <f>AM400 &amp; ".15"</f>
        <v>4.0.3.2.1.15</v>
      </c>
      <c r="AN432" s="457" t="s">
        <v>291</v>
      </c>
      <c r="AO432" s="473" t="s">
        <v>216</v>
      </c>
      <c r="AP432" s="305">
        <f>IF(AP465=0,0,AP498/AP465*1000)</f>
        <v>0</v>
      </c>
      <c r="AQ432" s="207"/>
      <c r="AR432" s="207"/>
    </row>
    <row r="433" spans="39:44" ht="22.5">
      <c r="AM433" s="449" t="s">
        <v>275</v>
      </c>
      <c r="AN433" s="450" t="s">
        <v>241</v>
      </c>
      <c r="AO433" s="473"/>
      <c r="AP433" s="456"/>
      <c r="AQ433" s="207"/>
      <c r="AR433" s="207"/>
    </row>
    <row r="434" spans="39:44">
      <c r="AM434" s="461" t="str">
        <f>AM433 &amp; ".1"</f>
        <v>4.0.3.2.2.1</v>
      </c>
      <c r="AN434" s="453" t="s">
        <v>78</v>
      </c>
      <c r="AO434" s="473" t="s">
        <v>223</v>
      </c>
      <c r="AP434" s="305">
        <f>SUM(AQ434:AR434)</f>
        <v>0</v>
      </c>
      <c r="AQ434" s="207"/>
      <c r="AR434" s="207"/>
    </row>
    <row r="435" spans="39:44" hidden="1">
      <c r="AM435" s="461"/>
      <c r="AN435" s="454"/>
      <c r="AO435" s="473"/>
      <c r="AP435" s="456"/>
      <c r="AQ435" s="207"/>
      <c r="AR435" s="207"/>
    </row>
    <row r="436" spans="39:44" hidden="1">
      <c r="AM436" s="461"/>
      <c r="AN436" s="454"/>
      <c r="AO436" s="473"/>
      <c r="AP436" s="456"/>
      <c r="AQ436" s="207"/>
      <c r="AR436" s="207"/>
    </row>
    <row r="437" spans="39:44" hidden="1">
      <c r="AM437" s="451"/>
      <c r="AN437" s="454"/>
      <c r="AO437" s="473"/>
      <c r="AP437" s="456"/>
      <c r="AQ437" s="207"/>
      <c r="AR437" s="207"/>
    </row>
    <row r="438" spans="39:44" hidden="1">
      <c r="AM438" s="451"/>
      <c r="AN438" s="454"/>
      <c r="AO438" s="473"/>
      <c r="AP438" s="456"/>
      <c r="AQ438" s="207"/>
      <c r="AR438" s="207"/>
    </row>
    <row r="439" spans="39:44" hidden="1">
      <c r="AM439" s="451"/>
      <c r="AN439" s="454"/>
      <c r="AO439" s="473"/>
      <c r="AP439" s="456"/>
      <c r="AQ439" s="207"/>
      <c r="AR439" s="207"/>
    </row>
    <row r="440" spans="39:44" hidden="1">
      <c r="AM440" s="451"/>
      <c r="AN440" s="454"/>
      <c r="AO440" s="473"/>
      <c r="AP440" s="456"/>
      <c r="AQ440" s="207"/>
      <c r="AR440" s="207"/>
    </row>
    <row r="441" spans="39:44" hidden="1">
      <c r="AM441" s="451"/>
      <c r="AN441" s="454"/>
      <c r="AO441" s="473"/>
      <c r="AP441" s="456"/>
      <c r="AQ441" s="207"/>
      <c r="AR441" s="207"/>
    </row>
    <row r="442" spans="39:44" hidden="1">
      <c r="AM442" s="451"/>
      <c r="AN442" s="454"/>
      <c r="AO442" s="473"/>
      <c r="AP442" s="456"/>
      <c r="AQ442" s="207"/>
      <c r="AR442" s="207"/>
    </row>
    <row r="443" spans="39:44" hidden="1">
      <c r="AM443" s="451"/>
      <c r="AN443" s="454"/>
      <c r="AO443" s="473"/>
      <c r="AP443" s="456"/>
      <c r="AQ443" s="207"/>
      <c r="AR443" s="207"/>
    </row>
    <row r="444" spans="39:44" hidden="1">
      <c r="AM444" s="461"/>
      <c r="AN444" s="454"/>
      <c r="AO444" s="473"/>
      <c r="AP444" s="456"/>
      <c r="AQ444" s="207"/>
      <c r="AR444" s="207"/>
    </row>
    <row r="445" spans="39:44" hidden="1">
      <c r="AM445" s="451"/>
      <c r="AN445" s="454"/>
      <c r="AO445" s="473"/>
      <c r="AP445" s="456"/>
      <c r="AQ445" s="207"/>
      <c r="AR445" s="207"/>
    </row>
    <row r="446" spans="39:44" hidden="1">
      <c r="AM446" s="451"/>
      <c r="AN446" s="454"/>
      <c r="AO446" s="473"/>
      <c r="AP446" s="456"/>
      <c r="AQ446" s="207"/>
      <c r="AR446" s="207"/>
    </row>
    <row r="447" spans="39:44" hidden="1">
      <c r="AM447" s="451"/>
      <c r="AN447" s="454"/>
      <c r="AO447" s="473"/>
      <c r="AP447" s="456"/>
      <c r="AQ447" s="207"/>
      <c r="AR447" s="207"/>
    </row>
    <row r="448" spans="39:44" hidden="1">
      <c r="AM448" s="451"/>
      <c r="AN448" s="454"/>
      <c r="AO448" s="473"/>
      <c r="AP448" s="456"/>
      <c r="AQ448" s="207"/>
      <c r="AR448" s="207"/>
    </row>
    <row r="449" spans="39:44" hidden="1">
      <c r="AM449" s="451"/>
      <c r="AN449" s="454"/>
      <c r="AO449" s="473"/>
      <c r="AP449" s="456"/>
      <c r="AQ449" s="207"/>
      <c r="AR449" s="207"/>
    </row>
    <row r="450" spans="39:44" hidden="1">
      <c r="AM450" s="451"/>
      <c r="AN450" s="455"/>
      <c r="AO450" s="473"/>
      <c r="AP450" s="456"/>
      <c r="AQ450" s="207"/>
      <c r="AR450" s="207"/>
    </row>
    <row r="451" spans="39:44" hidden="1">
      <c r="AM451" s="451"/>
      <c r="AN451" s="455"/>
      <c r="AO451" s="473"/>
      <c r="AP451" s="456"/>
      <c r="AQ451" s="207"/>
      <c r="AR451" s="207"/>
    </row>
    <row r="452" spans="39:44" hidden="1">
      <c r="AM452" s="461"/>
      <c r="AN452" s="455"/>
      <c r="AO452" s="473"/>
      <c r="AP452" s="456"/>
      <c r="AQ452" s="207"/>
      <c r="AR452" s="207"/>
    </row>
    <row r="453" spans="39:44">
      <c r="AM453" s="461" t="str">
        <f>AM433 &amp; ".3"</f>
        <v>4.0.3.2.2.3</v>
      </c>
      <c r="AN453" s="457" t="s">
        <v>85</v>
      </c>
      <c r="AO453" s="473" t="s">
        <v>223</v>
      </c>
      <c r="AP453" s="305">
        <f t="shared" ref="AP453:AP467" si="15">SUM(AQ453:AR453)</f>
        <v>0</v>
      </c>
      <c r="AQ453" s="207"/>
      <c r="AR453" s="207"/>
    </row>
    <row r="454" spans="39:44">
      <c r="AM454" s="461" t="str">
        <f>AM433 &amp; ".4"</f>
        <v>4.0.3.2.2.4</v>
      </c>
      <c r="AN454" s="457" t="s">
        <v>87</v>
      </c>
      <c r="AO454" s="473" t="s">
        <v>223</v>
      </c>
      <c r="AP454" s="305">
        <f t="shared" si="15"/>
        <v>0</v>
      </c>
      <c r="AQ454" s="207"/>
      <c r="AR454" s="207"/>
    </row>
    <row r="455" spans="39:44">
      <c r="AM455" s="461" t="str">
        <f>AM433&amp;".5"</f>
        <v>4.0.3.2.2.5</v>
      </c>
      <c r="AN455" s="457" t="s">
        <v>89</v>
      </c>
      <c r="AO455" s="473" t="s">
        <v>223</v>
      </c>
      <c r="AP455" s="305">
        <f t="shared" si="15"/>
        <v>0</v>
      </c>
      <c r="AQ455" s="207"/>
      <c r="AR455" s="207"/>
    </row>
    <row r="456" spans="39:44">
      <c r="AM456" s="461" t="str">
        <f>AM433 &amp; ".6"</f>
        <v>4.0.3.2.2.6</v>
      </c>
      <c r="AN456" s="457" t="s">
        <v>91</v>
      </c>
      <c r="AO456" s="473" t="s">
        <v>223</v>
      </c>
      <c r="AP456" s="305">
        <f t="shared" si="15"/>
        <v>0</v>
      </c>
      <c r="AQ456" s="207"/>
      <c r="AR456" s="207"/>
    </row>
    <row r="457" spans="39:44">
      <c r="AM457" s="461" t="str">
        <f>AM433 &amp; ".7"</f>
        <v>4.0.3.2.2.7</v>
      </c>
      <c r="AN457" s="457" t="s">
        <v>93</v>
      </c>
      <c r="AO457" s="473" t="s">
        <v>223</v>
      </c>
      <c r="AP457" s="305">
        <f t="shared" si="15"/>
        <v>0</v>
      </c>
      <c r="AQ457" s="207"/>
      <c r="AR457" s="207"/>
    </row>
    <row r="458" spans="39:44">
      <c r="AM458" s="461" t="str">
        <f>AM433 &amp; ".8"</f>
        <v>4.0.3.2.2.8</v>
      </c>
      <c r="AN458" s="457" t="s">
        <v>95</v>
      </c>
      <c r="AO458" s="473" t="s">
        <v>223</v>
      </c>
      <c r="AP458" s="305">
        <f t="shared" si="15"/>
        <v>0</v>
      </c>
      <c r="AQ458" s="207"/>
      <c r="AR458" s="207"/>
    </row>
    <row r="459" spans="39:44">
      <c r="AM459" s="461" t="str">
        <f>AM433 &amp; ".9"</f>
        <v>4.0.3.2.2.9</v>
      </c>
      <c r="AN459" s="457" t="s">
        <v>2976</v>
      </c>
      <c r="AO459" s="473" t="s">
        <v>223</v>
      </c>
      <c r="AP459" s="305">
        <f t="shared" si="15"/>
        <v>0</v>
      </c>
      <c r="AQ459" s="207"/>
      <c r="AR459" s="207"/>
    </row>
    <row r="460" spans="39:44">
      <c r="AM460" s="461" t="str">
        <f>AM433 &amp; ".10"</f>
        <v>4.0.3.2.2.10</v>
      </c>
      <c r="AN460" s="457" t="s">
        <v>2978</v>
      </c>
      <c r="AO460" s="473" t="s">
        <v>223</v>
      </c>
      <c r="AP460" s="305">
        <f t="shared" si="15"/>
        <v>0</v>
      </c>
      <c r="AQ460" s="207"/>
      <c r="AR460" s="207"/>
    </row>
    <row r="461" spans="39:44">
      <c r="AM461" s="461" t="str">
        <f>AM433 &amp; ".11"</f>
        <v>4.0.3.2.2.11</v>
      </c>
      <c r="AN461" s="457" t="s">
        <v>2980</v>
      </c>
      <c r="AO461" s="473" t="s">
        <v>223</v>
      </c>
      <c r="AP461" s="305">
        <f t="shared" si="15"/>
        <v>0</v>
      </c>
      <c r="AQ461" s="207"/>
      <c r="AR461" s="207"/>
    </row>
    <row r="462" spans="39:44">
      <c r="AM462" s="461" t="str">
        <f>AM433 &amp; ".12"</f>
        <v>4.0.3.2.2.12</v>
      </c>
      <c r="AN462" s="457" t="s">
        <v>2982</v>
      </c>
      <c r="AO462" s="473" t="s">
        <v>223</v>
      </c>
      <c r="AP462" s="305">
        <f t="shared" si="15"/>
        <v>0</v>
      </c>
      <c r="AQ462" s="207"/>
      <c r="AR462" s="207"/>
    </row>
    <row r="463" spans="39:44" hidden="1">
      <c r="AM463" s="451"/>
      <c r="AN463" s="454"/>
      <c r="AO463" s="473"/>
      <c r="AP463" s="456"/>
      <c r="AQ463" s="207"/>
      <c r="AR463" s="207"/>
    </row>
    <row r="464" spans="39:44" hidden="1">
      <c r="AM464" s="451"/>
      <c r="AN464" s="454"/>
      <c r="AO464" s="473"/>
      <c r="AP464" s="456"/>
      <c r="AQ464" s="207"/>
      <c r="AR464" s="207"/>
    </row>
    <row r="465" spans="39:44">
      <c r="AM465" s="461" t="str">
        <f>AM433 &amp; ".15"</f>
        <v>4.0.3.2.2.15</v>
      </c>
      <c r="AN465" s="457" t="s">
        <v>291</v>
      </c>
      <c r="AO465" s="473" t="s">
        <v>223</v>
      </c>
      <c r="AP465" s="305">
        <f>SUM(AQ465:AR465)</f>
        <v>0</v>
      </c>
      <c r="AQ465" s="207"/>
      <c r="AR465" s="207"/>
    </row>
    <row r="466" spans="39:44" ht="22.5">
      <c r="AM466" s="449" t="s">
        <v>276</v>
      </c>
      <c r="AN466" s="450" t="s">
        <v>242</v>
      </c>
      <c r="AO466" s="473" t="s">
        <v>786</v>
      </c>
      <c r="AP466" s="305">
        <f t="shared" si="15"/>
        <v>0</v>
      </c>
      <c r="AQ466" s="207"/>
      <c r="AR466" s="207"/>
    </row>
    <row r="467" spans="39:44">
      <c r="AM467" s="461" t="str">
        <f>AM466 &amp; ".1"</f>
        <v>4.0.3.2.3.1</v>
      </c>
      <c r="AN467" s="453" t="s">
        <v>78</v>
      </c>
      <c r="AO467" s="473" t="s">
        <v>786</v>
      </c>
      <c r="AP467" s="305">
        <f t="shared" si="15"/>
        <v>0</v>
      </c>
      <c r="AQ467" s="207"/>
      <c r="AR467" s="207"/>
    </row>
    <row r="468" spans="39:44" hidden="1">
      <c r="AM468" s="461"/>
      <c r="AN468" s="454"/>
      <c r="AO468" s="473"/>
      <c r="AP468" s="456"/>
      <c r="AQ468" s="207"/>
      <c r="AR468" s="207"/>
    </row>
    <row r="469" spans="39:44" hidden="1">
      <c r="AM469" s="461"/>
      <c r="AN469" s="454"/>
      <c r="AO469" s="473"/>
      <c r="AP469" s="456"/>
      <c r="AQ469" s="207"/>
      <c r="AR469" s="207"/>
    </row>
    <row r="470" spans="39:44" hidden="1">
      <c r="AM470" s="451"/>
      <c r="AN470" s="454"/>
      <c r="AO470" s="473"/>
      <c r="AP470" s="456"/>
      <c r="AQ470" s="207"/>
      <c r="AR470" s="207"/>
    </row>
    <row r="471" spans="39:44" hidden="1">
      <c r="AM471" s="451"/>
      <c r="AN471" s="454"/>
      <c r="AO471" s="473"/>
      <c r="AP471" s="456"/>
      <c r="AQ471" s="207"/>
      <c r="AR471" s="207"/>
    </row>
    <row r="472" spans="39:44" hidden="1">
      <c r="AM472" s="451"/>
      <c r="AN472" s="454"/>
      <c r="AO472" s="473"/>
      <c r="AP472" s="456"/>
      <c r="AQ472" s="207"/>
      <c r="AR472" s="207"/>
    </row>
    <row r="473" spans="39:44" hidden="1">
      <c r="AM473" s="451"/>
      <c r="AN473" s="454"/>
      <c r="AO473" s="473"/>
      <c r="AP473" s="456"/>
      <c r="AQ473" s="207"/>
      <c r="AR473" s="207"/>
    </row>
    <row r="474" spans="39:44" hidden="1">
      <c r="AM474" s="451"/>
      <c r="AN474" s="454"/>
      <c r="AO474" s="473"/>
      <c r="AP474" s="456"/>
      <c r="AQ474" s="207"/>
      <c r="AR474" s="207"/>
    </row>
    <row r="475" spans="39:44" hidden="1">
      <c r="AM475" s="451"/>
      <c r="AN475" s="454"/>
      <c r="AO475" s="473"/>
      <c r="AP475" s="456"/>
      <c r="AQ475" s="207"/>
      <c r="AR475" s="207"/>
    </row>
    <row r="476" spans="39:44" hidden="1">
      <c r="AM476" s="451"/>
      <c r="AN476" s="454"/>
      <c r="AO476" s="473"/>
      <c r="AP476" s="456"/>
      <c r="AQ476" s="207"/>
      <c r="AR476" s="207"/>
    </row>
    <row r="477" spans="39:44" hidden="1">
      <c r="AM477" s="461"/>
      <c r="AN477" s="454"/>
      <c r="AO477" s="473"/>
      <c r="AP477" s="456"/>
      <c r="AQ477" s="207"/>
      <c r="AR477" s="207"/>
    </row>
    <row r="478" spans="39:44" hidden="1">
      <c r="AM478" s="451"/>
      <c r="AN478" s="454"/>
      <c r="AO478" s="473"/>
      <c r="AP478" s="456"/>
      <c r="AQ478" s="207"/>
      <c r="AR478" s="207"/>
    </row>
    <row r="479" spans="39:44" hidden="1">
      <c r="AM479" s="451"/>
      <c r="AN479" s="454"/>
      <c r="AO479" s="473"/>
      <c r="AP479" s="456"/>
      <c r="AQ479" s="207"/>
      <c r="AR479" s="207"/>
    </row>
    <row r="480" spans="39:44" hidden="1">
      <c r="AM480" s="451"/>
      <c r="AN480" s="454"/>
      <c r="AO480" s="473"/>
      <c r="AP480" s="456"/>
      <c r="AQ480" s="207"/>
      <c r="AR480" s="207"/>
    </row>
    <row r="481" spans="39:44" hidden="1">
      <c r="AM481" s="451"/>
      <c r="AN481" s="454"/>
      <c r="AO481" s="473"/>
      <c r="AP481" s="456"/>
      <c r="AQ481" s="207"/>
      <c r="AR481" s="207"/>
    </row>
    <row r="482" spans="39:44" hidden="1">
      <c r="AM482" s="451"/>
      <c r="AN482" s="454"/>
      <c r="AO482" s="473"/>
      <c r="AP482" s="456"/>
      <c r="AQ482" s="207"/>
      <c r="AR482" s="207"/>
    </row>
    <row r="483" spans="39:44" hidden="1">
      <c r="AM483" s="451"/>
      <c r="AN483" s="455"/>
      <c r="AO483" s="473"/>
      <c r="AP483" s="456"/>
      <c r="AQ483" s="207"/>
      <c r="AR483" s="207"/>
    </row>
    <row r="484" spans="39:44" hidden="1">
      <c r="AM484" s="451"/>
      <c r="AN484" s="455"/>
      <c r="AO484" s="473"/>
      <c r="AP484" s="456"/>
      <c r="AQ484" s="207"/>
      <c r="AR484" s="207"/>
    </row>
    <row r="485" spans="39:44" hidden="1">
      <c r="AM485" s="461"/>
      <c r="AN485" s="455"/>
      <c r="AO485" s="473"/>
      <c r="AP485" s="456"/>
      <c r="AQ485" s="207"/>
      <c r="AR485" s="207"/>
    </row>
    <row r="486" spans="39:44">
      <c r="AM486" s="461" t="str">
        <f>AM466 &amp; ".3"</f>
        <v>4.0.3.2.3.3</v>
      </c>
      <c r="AN486" s="457" t="s">
        <v>85</v>
      </c>
      <c r="AO486" s="473" t="s">
        <v>786</v>
      </c>
      <c r="AP486" s="305">
        <f t="shared" ref="AP486:AP495" si="16">SUM(AQ486:AR486)</f>
        <v>0</v>
      </c>
      <c r="AQ486" s="207"/>
      <c r="AR486" s="207"/>
    </row>
    <row r="487" spans="39:44">
      <c r="AM487" s="461" t="str">
        <f>AM466 &amp; ".4"</f>
        <v>4.0.3.2.3.4</v>
      </c>
      <c r="AN487" s="457" t="s">
        <v>87</v>
      </c>
      <c r="AO487" s="473" t="s">
        <v>786</v>
      </c>
      <c r="AP487" s="305">
        <f t="shared" si="16"/>
        <v>0</v>
      </c>
      <c r="AQ487" s="207"/>
      <c r="AR487" s="207"/>
    </row>
    <row r="488" spans="39:44">
      <c r="AM488" s="461" t="str">
        <f>AM466&amp;".5"</f>
        <v>4.0.3.2.3.5</v>
      </c>
      <c r="AN488" s="457" t="s">
        <v>89</v>
      </c>
      <c r="AO488" s="473" t="s">
        <v>786</v>
      </c>
      <c r="AP488" s="305">
        <f t="shared" si="16"/>
        <v>0</v>
      </c>
      <c r="AQ488" s="207"/>
      <c r="AR488" s="207"/>
    </row>
    <row r="489" spans="39:44">
      <c r="AM489" s="461" t="str">
        <f>AM466 &amp; ".6"</f>
        <v>4.0.3.2.3.6</v>
      </c>
      <c r="AN489" s="457" t="s">
        <v>91</v>
      </c>
      <c r="AO489" s="473" t="s">
        <v>786</v>
      </c>
      <c r="AP489" s="305">
        <f t="shared" si="16"/>
        <v>0</v>
      </c>
      <c r="AQ489" s="207"/>
      <c r="AR489" s="207"/>
    </row>
    <row r="490" spans="39:44">
      <c r="AM490" s="461" t="str">
        <f>AM466 &amp; ".7"</f>
        <v>4.0.3.2.3.7</v>
      </c>
      <c r="AN490" s="457" t="s">
        <v>93</v>
      </c>
      <c r="AO490" s="473" t="s">
        <v>786</v>
      </c>
      <c r="AP490" s="305">
        <f t="shared" si="16"/>
        <v>0</v>
      </c>
      <c r="AQ490" s="207"/>
      <c r="AR490" s="207"/>
    </row>
    <row r="491" spans="39:44">
      <c r="AM491" s="461" t="str">
        <f>AM466 &amp; ".8"</f>
        <v>4.0.3.2.3.8</v>
      </c>
      <c r="AN491" s="457" t="s">
        <v>95</v>
      </c>
      <c r="AO491" s="473" t="s">
        <v>786</v>
      </c>
      <c r="AP491" s="305">
        <f t="shared" si="16"/>
        <v>0</v>
      </c>
      <c r="AQ491" s="207"/>
      <c r="AR491" s="207"/>
    </row>
    <row r="492" spans="39:44">
      <c r="AM492" s="461" t="str">
        <f>AM466 &amp; ".9"</f>
        <v>4.0.3.2.3.9</v>
      </c>
      <c r="AN492" s="457" t="s">
        <v>2976</v>
      </c>
      <c r="AO492" s="473" t="s">
        <v>786</v>
      </c>
      <c r="AP492" s="305">
        <f t="shared" si="16"/>
        <v>0</v>
      </c>
      <c r="AQ492" s="207"/>
      <c r="AR492" s="207"/>
    </row>
    <row r="493" spans="39:44">
      <c r="AM493" s="461" t="str">
        <f>AM466 &amp; ".10"</f>
        <v>4.0.3.2.3.10</v>
      </c>
      <c r="AN493" s="457" t="s">
        <v>2978</v>
      </c>
      <c r="AO493" s="473" t="s">
        <v>786</v>
      </c>
      <c r="AP493" s="305">
        <f t="shared" si="16"/>
        <v>0</v>
      </c>
      <c r="AQ493" s="207"/>
      <c r="AR493" s="207"/>
    </row>
    <row r="494" spans="39:44">
      <c r="AM494" s="461" t="str">
        <f>AM466 &amp; ".11"</f>
        <v>4.0.3.2.3.11</v>
      </c>
      <c r="AN494" s="457" t="s">
        <v>2980</v>
      </c>
      <c r="AO494" s="473" t="s">
        <v>786</v>
      </c>
      <c r="AP494" s="305">
        <f t="shared" si="16"/>
        <v>0</v>
      </c>
      <c r="AQ494" s="207"/>
      <c r="AR494" s="207"/>
    </row>
    <row r="495" spans="39:44">
      <c r="AM495" s="461" t="str">
        <f>AM466 &amp; ".12"</f>
        <v>4.0.3.2.3.12</v>
      </c>
      <c r="AN495" s="457" t="s">
        <v>2982</v>
      </c>
      <c r="AO495" s="473" t="s">
        <v>786</v>
      </c>
      <c r="AP495" s="305">
        <f t="shared" si="16"/>
        <v>0</v>
      </c>
      <c r="AQ495" s="207"/>
      <c r="AR495" s="207"/>
    </row>
    <row r="496" spans="39:44" hidden="1">
      <c r="AM496" s="451"/>
      <c r="AN496" s="454"/>
      <c r="AO496" s="473"/>
      <c r="AP496" s="456"/>
      <c r="AQ496" s="207"/>
      <c r="AR496" s="207"/>
    </row>
    <row r="497" spans="39:44" hidden="1">
      <c r="AM497" s="451"/>
      <c r="AN497" s="454"/>
      <c r="AO497" s="473"/>
      <c r="AP497" s="456"/>
      <c r="AQ497" s="207"/>
      <c r="AR497" s="207"/>
    </row>
    <row r="498" spans="39:44">
      <c r="AM498" s="461" t="str">
        <f>AM466 &amp; ".15"</f>
        <v>4.0.3.2.3.15</v>
      </c>
      <c r="AN498" s="457" t="s">
        <v>291</v>
      </c>
      <c r="AO498" s="473" t="s">
        <v>786</v>
      </c>
      <c r="AP498" s="305">
        <f>SUM(AQ498:AR498)</f>
        <v>0</v>
      </c>
      <c r="AQ498" s="207"/>
      <c r="AR498" s="207"/>
    </row>
    <row r="499" spans="39:44" ht="22.5">
      <c r="AM499" s="449" t="s">
        <v>278</v>
      </c>
      <c r="AN499" s="450" t="s">
        <v>243</v>
      </c>
      <c r="AO499" s="473"/>
      <c r="AP499" s="456"/>
      <c r="AQ499" s="207"/>
      <c r="AR499" s="207"/>
    </row>
    <row r="500" spans="39:44">
      <c r="AM500" s="461" t="str">
        <f>AM499 &amp; ".1"</f>
        <v>4.0.3.3.1.1</v>
      </c>
      <c r="AN500" s="453" t="s">
        <v>78</v>
      </c>
      <c r="AO500" s="473" t="s">
        <v>216</v>
      </c>
      <c r="AP500" s="305">
        <f>IF(AP533=0,0,AP566/AP533*1000)</f>
        <v>0</v>
      </c>
      <c r="AQ500" s="207"/>
      <c r="AR500" s="207"/>
    </row>
    <row r="501" spans="39:44" hidden="1">
      <c r="AM501" s="461"/>
      <c r="AN501" s="454"/>
      <c r="AO501" s="473"/>
      <c r="AP501" s="456"/>
      <c r="AQ501" s="207"/>
      <c r="AR501" s="207"/>
    </row>
    <row r="502" spans="39:44" hidden="1">
      <c r="AM502" s="461"/>
      <c r="AN502" s="454"/>
      <c r="AO502" s="473"/>
      <c r="AP502" s="456"/>
      <c r="AQ502" s="207"/>
      <c r="AR502" s="207"/>
    </row>
    <row r="503" spans="39:44" hidden="1">
      <c r="AM503" s="451"/>
      <c r="AN503" s="454"/>
      <c r="AO503" s="473"/>
      <c r="AP503" s="456"/>
      <c r="AQ503" s="207"/>
      <c r="AR503" s="207"/>
    </row>
    <row r="504" spans="39:44" hidden="1">
      <c r="AM504" s="451"/>
      <c r="AN504" s="454"/>
      <c r="AO504" s="473"/>
      <c r="AP504" s="456"/>
      <c r="AQ504" s="207"/>
      <c r="AR504" s="207"/>
    </row>
    <row r="505" spans="39:44" hidden="1">
      <c r="AM505" s="451"/>
      <c r="AN505" s="454"/>
      <c r="AO505" s="473"/>
      <c r="AP505" s="456"/>
      <c r="AQ505" s="207"/>
      <c r="AR505" s="207"/>
    </row>
    <row r="506" spans="39:44" hidden="1">
      <c r="AM506" s="451"/>
      <c r="AN506" s="454"/>
      <c r="AO506" s="473"/>
      <c r="AP506" s="456"/>
      <c r="AQ506" s="207"/>
      <c r="AR506" s="207"/>
    </row>
    <row r="507" spans="39:44" hidden="1">
      <c r="AM507" s="451"/>
      <c r="AN507" s="454"/>
      <c r="AO507" s="473"/>
      <c r="AP507" s="456"/>
      <c r="AQ507" s="207"/>
      <c r="AR507" s="207"/>
    </row>
    <row r="508" spans="39:44" hidden="1">
      <c r="AM508" s="451"/>
      <c r="AN508" s="454"/>
      <c r="AO508" s="473"/>
      <c r="AP508" s="456"/>
      <c r="AQ508" s="207"/>
      <c r="AR508" s="207"/>
    </row>
    <row r="509" spans="39:44" hidden="1">
      <c r="AM509" s="451"/>
      <c r="AN509" s="454"/>
      <c r="AO509" s="473"/>
      <c r="AP509" s="456"/>
      <c r="AQ509" s="207"/>
      <c r="AR509" s="207"/>
    </row>
    <row r="510" spans="39:44" hidden="1">
      <c r="AM510" s="461"/>
      <c r="AN510" s="454"/>
      <c r="AO510" s="473"/>
      <c r="AP510" s="456"/>
      <c r="AQ510" s="207"/>
      <c r="AR510" s="207"/>
    </row>
    <row r="511" spans="39:44" hidden="1">
      <c r="AM511" s="451"/>
      <c r="AN511" s="454"/>
      <c r="AO511" s="473"/>
      <c r="AP511" s="456"/>
      <c r="AQ511" s="207"/>
      <c r="AR511" s="207"/>
    </row>
    <row r="512" spans="39:44" hidden="1">
      <c r="AM512" s="451"/>
      <c r="AN512" s="454"/>
      <c r="AO512" s="473"/>
      <c r="AP512" s="456"/>
      <c r="AQ512" s="207"/>
      <c r="AR512" s="207"/>
    </row>
    <row r="513" spans="39:44" hidden="1">
      <c r="AM513" s="451"/>
      <c r="AN513" s="454"/>
      <c r="AO513" s="473"/>
      <c r="AP513" s="456"/>
      <c r="AQ513" s="207"/>
      <c r="AR513" s="207"/>
    </row>
    <row r="514" spans="39:44" hidden="1">
      <c r="AM514" s="451"/>
      <c r="AN514" s="454"/>
      <c r="AO514" s="473"/>
      <c r="AP514" s="456"/>
      <c r="AQ514" s="207"/>
      <c r="AR514" s="207"/>
    </row>
    <row r="515" spans="39:44" hidden="1">
      <c r="AM515" s="451"/>
      <c r="AN515" s="454"/>
      <c r="AO515" s="473"/>
      <c r="AP515" s="456"/>
      <c r="AQ515" s="207"/>
      <c r="AR515" s="207"/>
    </row>
    <row r="516" spans="39:44" hidden="1">
      <c r="AM516" s="451"/>
      <c r="AN516" s="455"/>
      <c r="AO516" s="473"/>
      <c r="AP516" s="456"/>
      <c r="AQ516" s="207"/>
      <c r="AR516" s="207"/>
    </row>
    <row r="517" spans="39:44" hidden="1">
      <c r="AM517" s="451"/>
      <c r="AN517" s="455"/>
      <c r="AO517" s="473"/>
      <c r="AP517" s="456"/>
      <c r="AQ517" s="207"/>
      <c r="AR517" s="207"/>
    </row>
    <row r="518" spans="39:44" hidden="1">
      <c r="AM518" s="461"/>
      <c r="AN518" s="455"/>
      <c r="AO518" s="473"/>
      <c r="AP518" s="456"/>
      <c r="AQ518" s="207"/>
      <c r="AR518" s="207"/>
    </row>
    <row r="519" spans="39:44">
      <c r="AM519" s="461" t="str">
        <f>AM499 &amp; ".3"</f>
        <v>4.0.3.3.1.3</v>
      </c>
      <c r="AN519" s="457" t="s">
        <v>85</v>
      </c>
      <c r="AO519" s="473" t="s">
        <v>216</v>
      </c>
      <c r="AP519" s="305">
        <f t="shared" ref="AP519:AP528" si="17">IF(AP552=0,0,AP585/AP552*1000)</f>
        <v>0</v>
      </c>
      <c r="AQ519" s="207"/>
      <c r="AR519" s="207"/>
    </row>
    <row r="520" spans="39:44">
      <c r="AM520" s="461" t="str">
        <f>AM499 &amp; ".4"</f>
        <v>4.0.3.3.1.4</v>
      </c>
      <c r="AN520" s="457" t="s">
        <v>87</v>
      </c>
      <c r="AO520" s="473" t="s">
        <v>216</v>
      </c>
      <c r="AP520" s="305">
        <f t="shared" si="17"/>
        <v>0</v>
      </c>
      <c r="AQ520" s="207"/>
      <c r="AR520" s="207"/>
    </row>
    <row r="521" spans="39:44">
      <c r="AM521" s="461" t="str">
        <f>AM499&amp;".5"</f>
        <v>4.0.3.3.1.5</v>
      </c>
      <c r="AN521" s="457" t="s">
        <v>89</v>
      </c>
      <c r="AO521" s="473" t="s">
        <v>216</v>
      </c>
      <c r="AP521" s="305">
        <f t="shared" si="17"/>
        <v>0</v>
      </c>
      <c r="AQ521" s="207"/>
      <c r="AR521" s="207"/>
    </row>
    <row r="522" spans="39:44">
      <c r="AM522" s="461" t="str">
        <f>AM499 &amp; ".6"</f>
        <v>4.0.3.3.1.6</v>
      </c>
      <c r="AN522" s="457" t="s">
        <v>91</v>
      </c>
      <c r="AO522" s="473" t="s">
        <v>216</v>
      </c>
      <c r="AP522" s="305">
        <f t="shared" si="17"/>
        <v>0</v>
      </c>
      <c r="AQ522" s="207"/>
      <c r="AR522" s="207"/>
    </row>
    <row r="523" spans="39:44">
      <c r="AM523" s="461" t="str">
        <f>AM499 &amp; ".7"</f>
        <v>4.0.3.3.1.7</v>
      </c>
      <c r="AN523" s="457" t="s">
        <v>93</v>
      </c>
      <c r="AO523" s="473" t="s">
        <v>216</v>
      </c>
      <c r="AP523" s="305">
        <f t="shared" si="17"/>
        <v>0</v>
      </c>
      <c r="AQ523" s="207"/>
      <c r="AR523" s="207"/>
    </row>
    <row r="524" spans="39:44">
      <c r="AM524" s="461" t="str">
        <f>AM499 &amp; ".8"</f>
        <v>4.0.3.3.1.8</v>
      </c>
      <c r="AN524" s="457" t="s">
        <v>95</v>
      </c>
      <c r="AO524" s="473" t="s">
        <v>216</v>
      </c>
      <c r="AP524" s="305">
        <f t="shared" si="17"/>
        <v>0</v>
      </c>
      <c r="AQ524" s="207"/>
      <c r="AR524" s="207"/>
    </row>
    <row r="525" spans="39:44">
      <c r="AM525" s="461" t="str">
        <f>AM499 &amp; ".9"</f>
        <v>4.0.3.3.1.9</v>
      </c>
      <c r="AN525" s="457" t="s">
        <v>2976</v>
      </c>
      <c r="AO525" s="473" t="s">
        <v>216</v>
      </c>
      <c r="AP525" s="305">
        <f t="shared" si="17"/>
        <v>0</v>
      </c>
      <c r="AQ525" s="207"/>
      <c r="AR525" s="207"/>
    </row>
    <row r="526" spans="39:44">
      <c r="AM526" s="461" t="str">
        <f>AM499 &amp; ".10"</f>
        <v>4.0.3.3.1.10</v>
      </c>
      <c r="AN526" s="457" t="s">
        <v>2978</v>
      </c>
      <c r="AO526" s="473" t="s">
        <v>216</v>
      </c>
      <c r="AP526" s="305">
        <f t="shared" si="17"/>
        <v>0</v>
      </c>
      <c r="AQ526" s="207"/>
      <c r="AR526" s="207"/>
    </row>
    <row r="527" spans="39:44">
      <c r="AM527" s="461" t="str">
        <f>AM499 &amp; ".11"</f>
        <v>4.0.3.3.1.11</v>
      </c>
      <c r="AN527" s="457" t="s">
        <v>2980</v>
      </c>
      <c r="AO527" s="473" t="s">
        <v>216</v>
      </c>
      <c r="AP527" s="305">
        <f t="shared" si="17"/>
        <v>0</v>
      </c>
      <c r="AQ527" s="207"/>
      <c r="AR527" s="207"/>
    </row>
    <row r="528" spans="39:44">
      <c r="AM528" s="461" t="str">
        <f>AM499 &amp; ".12"</f>
        <v>4.0.3.3.1.12</v>
      </c>
      <c r="AN528" s="457" t="s">
        <v>2982</v>
      </c>
      <c r="AO528" s="473" t="s">
        <v>216</v>
      </c>
      <c r="AP528" s="305">
        <f t="shared" si="17"/>
        <v>0</v>
      </c>
      <c r="AQ528" s="207"/>
      <c r="AR528" s="207"/>
    </row>
    <row r="529" spans="39:44" hidden="1">
      <c r="AM529" s="451"/>
      <c r="AN529" s="454"/>
      <c r="AO529" s="473"/>
      <c r="AP529" s="456"/>
      <c r="AQ529" s="207"/>
      <c r="AR529" s="207"/>
    </row>
    <row r="530" spans="39:44" hidden="1">
      <c r="AM530" s="451"/>
      <c r="AN530" s="454"/>
      <c r="AO530" s="473"/>
      <c r="AP530" s="456"/>
      <c r="AQ530" s="207"/>
      <c r="AR530" s="207"/>
    </row>
    <row r="531" spans="39:44">
      <c r="AM531" s="461" t="str">
        <f>AM499 &amp; ".15"</f>
        <v>4.0.3.3.1.15</v>
      </c>
      <c r="AN531" s="457" t="s">
        <v>291</v>
      </c>
      <c r="AO531" s="473" t="s">
        <v>216</v>
      </c>
      <c r="AP531" s="305">
        <f>IF(AP564=0,0,AP597/AP564*1000)</f>
        <v>0</v>
      </c>
      <c r="AQ531" s="207"/>
      <c r="AR531" s="207"/>
    </row>
    <row r="532" spans="39:44" ht="22.5">
      <c r="AM532" s="449" t="s">
        <v>279</v>
      </c>
      <c r="AN532" s="450" t="s">
        <v>244</v>
      </c>
      <c r="AO532" s="473"/>
      <c r="AP532" s="456"/>
      <c r="AQ532" s="207"/>
      <c r="AR532" s="207"/>
    </row>
    <row r="533" spans="39:44">
      <c r="AM533" s="461" t="str">
        <f>AM532 &amp; ".1"</f>
        <v>4.0.3.3.2.1</v>
      </c>
      <c r="AN533" s="453" t="s">
        <v>78</v>
      </c>
      <c r="AO533" s="473" t="s">
        <v>223</v>
      </c>
      <c r="AP533" s="305">
        <f>SUM(AQ533:AR533)</f>
        <v>0</v>
      </c>
      <c r="AQ533" s="207"/>
      <c r="AR533" s="207"/>
    </row>
    <row r="534" spans="39:44" hidden="1">
      <c r="AM534" s="461"/>
      <c r="AN534" s="454"/>
      <c r="AO534" s="473"/>
      <c r="AP534" s="456"/>
      <c r="AQ534" s="207"/>
      <c r="AR534" s="207"/>
    </row>
    <row r="535" spans="39:44" hidden="1">
      <c r="AM535" s="461"/>
      <c r="AN535" s="454"/>
      <c r="AO535" s="473"/>
      <c r="AP535" s="456"/>
      <c r="AQ535" s="207"/>
      <c r="AR535" s="207"/>
    </row>
    <row r="536" spans="39:44" hidden="1">
      <c r="AM536" s="451"/>
      <c r="AN536" s="454"/>
      <c r="AO536" s="473"/>
      <c r="AP536" s="456"/>
      <c r="AQ536" s="207"/>
      <c r="AR536" s="207"/>
    </row>
    <row r="537" spans="39:44" hidden="1">
      <c r="AM537" s="451"/>
      <c r="AN537" s="454"/>
      <c r="AO537" s="473"/>
      <c r="AP537" s="456"/>
      <c r="AQ537" s="207"/>
      <c r="AR537" s="207"/>
    </row>
    <row r="538" spans="39:44" hidden="1">
      <c r="AM538" s="451"/>
      <c r="AN538" s="454"/>
      <c r="AO538" s="473"/>
      <c r="AP538" s="456"/>
      <c r="AQ538" s="207"/>
      <c r="AR538" s="207"/>
    </row>
    <row r="539" spans="39:44" hidden="1">
      <c r="AM539" s="451"/>
      <c r="AN539" s="454"/>
      <c r="AO539" s="473"/>
      <c r="AP539" s="456"/>
      <c r="AQ539" s="207"/>
      <c r="AR539" s="207"/>
    </row>
    <row r="540" spans="39:44" hidden="1">
      <c r="AM540" s="451"/>
      <c r="AN540" s="454"/>
      <c r="AO540" s="473"/>
      <c r="AP540" s="456"/>
      <c r="AQ540" s="207"/>
      <c r="AR540" s="207"/>
    </row>
    <row r="541" spans="39:44" hidden="1">
      <c r="AM541" s="451"/>
      <c r="AN541" s="454"/>
      <c r="AO541" s="473"/>
      <c r="AP541" s="456"/>
      <c r="AQ541" s="207"/>
      <c r="AR541" s="207"/>
    </row>
    <row r="542" spans="39:44" hidden="1">
      <c r="AM542" s="451"/>
      <c r="AN542" s="454"/>
      <c r="AO542" s="473"/>
      <c r="AP542" s="456"/>
      <c r="AQ542" s="207"/>
      <c r="AR542" s="207"/>
    </row>
    <row r="543" spans="39:44" hidden="1">
      <c r="AM543" s="461"/>
      <c r="AN543" s="454"/>
      <c r="AO543" s="473"/>
      <c r="AP543" s="456"/>
      <c r="AQ543" s="207"/>
      <c r="AR543" s="207"/>
    </row>
    <row r="544" spans="39:44" hidden="1">
      <c r="AM544" s="451"/>
      <c r="AN544" s="454"/>
      <c r="AO544" s="473"/>
      <c r="AP544" s="456"/>
      <c r="AQ544" s="207"/>
      <c r="AR544" s="207"/>
    </row>
    <row r="545" spans="39:44" hidden="1">
      <c r="AM545" s="451"/>
      <c r="AN545" s="454"/>
      <c r="AO545" s="473"/>
      <c r="AP545" s="456"/>
      <c r="AQ545" s="207"/>
      <c r="AR545" s="207"/>
    </row>
    <row r="546" spans="39:44" hidden="1">
      <c r="AM546" s="451"/>
      <c r="AN546" s="454"/>
      <c r="AO546" s="473"/>
      <c r="AP546" s="456"/>
      <c r="AQ546" s="207"/>
      <c r="AR546" s="207"/>
    </row>
    <row r="547" spans="39:44" hidden="1">
      <c r="AM547" s="451"/>
      <c r="AN547" s="454"/>
      <c r="AO547" s="473"/>
      <c r="AP547" s="456"/>
      <c r="AQ547" s="207"/>
      <c r="AR547" s="207"/>
    </row>
    <row r="548" spans="39:44" hidden="1">
      <c r="AM548" s="451"/>
      <c r="AN548" s="454"/>
      <c r="AO548" s="473"/>
      <c r="AP548" s="456"/>
      <c r="AQ548" s="207"/>
      <c r="AR548" s="207"/>
    </row>
    <row r="549" spans="39:44" hidden="1">
      <c r="AM549" s="451"/>
      <c r="AN549" s="455"/>
      <c r="AO549" s="473"/>
      <c r="AP549" s="456"/>
      <c r="AQ549" s="207"/>
      <c r="AR549" s="207"/>
    </row>
    <row r="550" spans="39:44" hidden="1">
      <c r="AM550" s="451"/>
      <c r="AN550" s="455"/>
      <c r="AO550" s="473"/>
      <c r="AP550" s="456"/>
      <c r="AQ550" s="207"/>
      <c r="AR550" s="207"/>
    </row>
    <row r="551" spans="39:44" hidden="1">
      <c r="AM551" s="461"/>
      <c r="AN551" s="455"/>
      <c r="AO551" s="473"/>
      <c r="AP551" s="456"/>
      <c r="AQ551" s="207"/>
      <c r="AR551" s="207"/>
    </row>
    <row r="552" spans="39:44">
      <c r="AM552" s="461" t="str">
        <f>AM532 &amp; ".3"</f>
        <v>4.0.3.3.2.3</v>
      </c>
      <c r="AN552" s="457" t="s">
        <v>85</v>
      </c>
      <c r="AO552" s="473" t="s">
        <v>223</v>
      </c>
      <c r="AP552" s="305">
        <f t="shared" ref="AP552:AP566" si="18">SUM(AQ552:AR552)</f>
        <v>0</v>
      </c>
      <c r="AQ552" s="207"/>
      <c r="AR552" s="207"/>
    </row>
    <row r="553" spans="39:44">
      <c r="AM553" s="461" t="str">
        <f>AM532 &amp; ".4"</f>
        <v>4.0.3.3.2.4</v>
      </c>
      <c r="AN553" s="457" t="s">
        <v>87</v>
      </c>
      <c r="AO553" s="473" t="s">
        <v>223</v>
      </c>
      <c r="AP553" s="305">
        <f t="shared" si="18"/>
        <v>0</v>
      </c>
      <c r="AQ553" s="207"/>
      <c r="AR553" s="207"/>
    </row>
    <row r="554" spans="39:44">
      <c r="AM554" s="461" t="str">
        <f>AM532&amp;".5"</f>
        <v>4.0.3.3.2.5</v>
      </c>
      <c r="AN554" s="457" t="s">
        <v>89</v>
      </c>
      <c r="AO554" s="473" t="s">
        <v>223</v>
      </c>
      <c r="AP554" s="305">
        <f t="shared" si="18"/>
        <v>0</v>
      </c>
      <c r="AQ554" s="207"/>
      <c r="AR554" s="207"/>
    </row>
    <row r="555" spans="39:44">
      <c r="AM555" s="461" t="str">
        <f>AM532 &amp; ".6"</f>
        <v>4.0.3.3.2.6</v>
      </c>
      <c r="AN555" s="457" t="s">
        <v>91</v>
      </c>
      <c r="AO555" s="473" t="s">
        <v>223</v>
      </c>
      <c r="AP555" s="305">
        <f t="shared" si="18"/>
        <v>0</v>
      </c>
      <c r="AQ555" s="207"/>
      <c r="AR555" s="207"/>
    </row>
    <row r="556" spans="39:44">
      <c r="AM556" s="461" t="str">
        <f>AM532 &amp; ".7"</f>
        <v>4.0.3.3.2.7</v>
      </c>
      <c r="AN556" s="457" t="s">
        <v>93</v>
      </c>
      <c r="AO556" s="473" t="s">
        <v>223</v>
      </c>
      <c r="AP556" s="305">
        <f t="shared" si="18"/>
        <v>0</v>
      </c>
      <c r="AQ556" s="207"/>
      <c r="AR556" s="207"/>
    </row>
    <row r="557" spans="39:44">
      <c r="AM557" s="461" t="str">
        <f>AM532 &amp; ".8"</f>
        <v>4.0.3.3.2.8</v>
      </c>
      <c r="AN557" s="457" t="s">
        <v>95</v>
      </c>
      <c r="AO557" s="473" t="s">
        <v>223</v>
      </c>
      <c r="AP557" s="305">
        <f t="shared" si="18"/>
        <v>0</v>
      </c>
      <c r="AQ557" s="207"/>
      <c r="AR557" s="207"/>
    </row>
    <row r="558" spans="39:44">
      <c r="AM558" s="461" t="str">
        <f>AM532 &amp; ".9"</f>
        <v>4.0.3.3.2.9</v>
      </c>
      <c r="AN558" s="457" t="s">
        <v>2976</v>
      </c>
      <c r="AO558" s="473" t="s">
        <v>223</v>
      </c>
      <c r="AP558" s="305">
        <f t="shared" si="18"/>
        <v>0</v>
      </c>
      <c r="AQ558" s="207"/>
      <c r="AR558" s="207"/>
    </row>
    <row r="559" spans="39:44">
      <c r="AM559" s="461" t="str">
        <f>AM532 &amp; ".10"</f>
        <v>4.0.3.3.2.10</v>
      </c>
      <c r="AN559" s="457" t="s">
        <v>2978</v>
      </c>
      <c r="AO559" s="473" t="s">
        <v>223</v>
      </c>
      <c r="AP559" s="305">
        <f t="shared" si="18"/>
        <v>0</v>
      </c>
      <c r="AQ559" s="207"/>
      <c r="AR559" s="207"/>
    </row>
    <row r="560" spans="39:44">
      <c r="AM560" s="461" t="str">
        <f>AM532 &amp; ".11"</f>
        <v>4.0.3.3.2.11</v>
      </c>
      <c r="AN560" s="457" t="s">
        <v>2980</v>
      </c>
      <c r="AO560" s="473" t="s">
        <v>223</v>
      </c>
      <c r="AP560" s="305">
        <f t="shared" si="18"/>
        <v>0</v>
      </c>
      <c r="AQ560" s="207"/>
      <c r="AR560" s="207"/>
    </row>
    <row r="561" spans="39:44">
      <c r="AM561" s="461" t="str">
        <f>AM532 &amp; ".12"</f>
        <v>4.0.3.3.2.12</v>
      </c>
      <c r="AN561" s="457" t="s">
        <v>2982</v>
      </c>
      <c r="AO561" s="473" t="s">
        <v>223</v>
      </c>
      <c r="AP561" s="305">
        <f t="shared" si="18"/>
        <v>0</v>
      </c>
      <c r="AQ561" s="207"/>
      <c r="AR561" s="207"/>
    </row>
    <row r="562" spans="39:44" hidden="1">
      <c r="AM562" s="451"/>
      <c r="AN562" s="454"/>
      <c r="AO562" s="473"/>
      <c r="AP562" s="456"/>
      <c r="AQ562" s="207"/>
      <c r="AR562" s="207"/>
    </row>
    <row r="563" spans="39:44" hidden="1">
      <c r="AM563" s="451"/>
      <c r="AN563" s="454"/>
      <c r="AO563" s="473"/>
      <c r="AP563" s="456"/>
      <c r="AQ563" s="207"/>
      <c r="AR563" s="207"/>
    </row>
    <row r="564" spans="39:44">
      <c r="AM564" s="461" t="str">
        <f>AM532 &amp; ".15"</f>
        <v>4.0.3.3.2.15</v>
      </c>
      <c r="AN564" s="457" t="s">
        <v>291</v>
      </c>
      <c r="AO564" s="473" t="s">
        <v>223</v>
      </c>
      <c r="AP564" s="305">
        <f>SUM(AQ564:AR564)</f>
        <v>0</v>
      </c>
      <c r="AQ564" s="207"/>
      <c r="AR564" s="207"/>
    </row>
    <row r="565" spans="39:44" ht="22.5">
      <c r="AM565" s="449" t="s">
        <v>280</v>
      </c>
      <c r="AN565" s="450" t="s">
        <v>245</v>
      </c>
      <c r="AO565" s="473" t="s">
        <v>786</v>
      </c>
      <c r="AP565" s="305">
        <f t="shared" si="18"/>
        <v>0</v>
      </c>
      <c r="AQ565" s="207"/>
      <c r="AR565" s="207"/>
    </row>
    <row r="566" spans="39:44">
      <c r="AM566" s="461" t="str">
        <f>AM565 &amp; ".1"</f>
        <v>4.0.3.3.3.1</v>
      </c>
      <c r="AN566" s="453" t="s">
        <v>78</v>
      </c>
      <c r="AO566" s="473" t="s">
        <v>786</v>
      </c>
      <c r="AP566" s="305">
        <f t="shared" si="18"/>
        <v>0</v>
      </c>
      <c r="AQ566" s="207"/>
      <c r="AR566" s="207"/>
    </row>
    <row r="567" spans="39:44" hidden="1">
      <c r="AM567" s="461"/>
      <c r="AN567" s="454"/>
      <c r="AO567" s="473"/>
      <c r="AP567" s="456"/>
      <c r="AQ567" s="207"/>
      <c r="AR567" s="207"/>
    </row>
    <row r="568" spans="39:44" hidden="1">
      <c r="AM568" s="461"/>
      <c r="AN568" s="454"/>
      <c r="AO568" s="473"/>
      <c r="AP568" s="456"/>
      <c r="AQ568" s="207"/>
      <c r="AR568" s="207"/>
    </row>
    <row r="569" spans="39:44" hidden="1">
      <c r="AM569" s="451"/>
      <c r="AN569" s="454"/>
      <c r="AO569" s="473"/>
      <c r="AP569" s="456"/>
      <c r="AQ569" s="207"/>
      <c r="AR569" s="207"/>
    </row>
    <row r="570" spans="39:44" hidden="1">
      <c r="AM570" s="451"/>
      <c r="AN570" s="454"/>
      <c r="AO570" s="473"/>
      <c r="AP570" s="456"/>
      <c r="AQ570" s="207"/>
      <c r="AR570" s="207"/>
    </row>
    <row r="571" spans="39:44" hidden="1">
      <c r="AM571" s="451"/>
      <c r="AN571" s="454"/>
      <c r="AO571" s="473"/>
      <c r="AP571" s="456"/>
      <c r="AQ571" s="207"/>
      <c r="AR571" s="207"/>
    </row>
    <row r="572" spans="39:44" hidden="1">
      <c r="AM572" s="451"/>
      <c r="AN572" s="454"/>
      <c r="AO572" s="473"/>
      <c r="AP572" s="456"/>
      <c r="AQ572" s="207"/>
      <c r="AR572" s="207"/>
    </row>
    <row r="573" spans="39:44" hidden="1">
      <c r="AM573" s="451"/>
      <c r="AN573" s="454"/>
      <c r="AO573" s="473"/>
      <c r="AP573" s="456"/>
      <c r="AQ573" s="207"/>
      <c r="AR573" s="207"/>
    </row>
    <row r="574" spans="39:44" hidden="1">
      <c r="AM574" s="451"/>
      <c r="AN574" s="454"/>
      <c r="AO574" s="473"/>
      <c r="AP574" s="456"/>
      <c r="AQ574" s="207"/>
      <c r="AR574" s="207"/>
    </row>
    <row r="575" spans="39:44" hidden="1">
      <c r="AM575" s="451"/>
      <c r="AN575" s="454"/>
      <c r="AO575" s="473"/>
      <c r="AP575" s="456"/>
      <c r="AQ575" s="207"/>
      <c r="AR575" s="207"/>
    </row>
    <row r="576" spans="39:44" hidden="1">
      <c r="AM576" s="461"/>
      <c r="AN576" s="454"/>
      <c r="AO576" s="473"/>
      <c r="AP576" s="456"/>
      <c r="AQ576" s="207"/>
      <c r="AR576" s="207"/>
    </row>
    <row r="577" spans="39:44" hidden="1">
      <c r="AM577" s="451"/>
      <c r="AN577" s="454"/>
      <c r="AO577" s="473"/>
      <c r="AP577" s="456"/>
      <c r="AQ577" s="207"/>
      <c r="AR577" s="207"/>
    </row>
    <row r="578" spans="39:44" hidden="1">
      <c r="AM578" s="451"/>
      <c r="AN578" s="454"/>
      <c r="AO578" s="473"/>
      <c r="AP578" s="456"/>
      <c r="AQ578" s="207"/>
      <c r="AR578" s="207"/>
    </row>
    <row r="579" spans="39:44" hidden="1">
      <c r="AM579" s="451"/>
      <c r="AN579" s="454"/>
      <c r="AO579" s="473"/>
      <c r="AP579" s="456"/>
      <c r="AQ579" s="207"/>
      <c r="AR579" s="207"/>
    </row>
    <row r="580" spans="39:44" hidden="1">
      <c r="AM580" s="451"/>
      <c r="AN580" s="454"/>
      <c r="AO580" s="473"/>
      <c r="AP580" s="456"/>
      <c r="AQ580" s="207"/>
      <c r="AR580" s="207"/>
    </row>
    <row r="581" spans="39:44" hidden="1">
      <c r="AM581" s="451"/>
      <c r="AN581" s="454"/>
      <c r="AO581" s="473"/>
      <c r="AP581" s="456"/>
      <c r="AQ581" s="207"/>
      <c r="AR581" s="207"/>
    </row>
    <row r="582" spans="39:44" hidden="1">
      <c r="AM582" s="451"/>
      <c r="AN582" s="455"/>
      <c r="AO582" s="473"/>
      <c r="AP582" s="456"/>
      <c r="AQ582" s="207"/>
      <c r="AR582" s="207"/>
    </row>
    <row r="583" spans="39:44" hidden="1">
      <c r="AM583" s="451"/>
      <c r="AN583" s="455"/>
      <c r="AO583" s="473"/>
      <c r="AP583" s="456"/>
      <c r="AQ583" s="207"/>
      <c r="AR583" s="207"/>
    </row>
    <row r="584" spans="39:44" hidden="1">
      <c r="AM584" s="461"/>
      <c r="AN584" s="455"/>
      <c r="AO584" s="473"/>
      <c r="AP584" s="456"/>
      <c r="AQ584" s="207"/>
      <c r="AR584" s="207"/>
    </row>
    <row r="585" spans="39:44">
      <c r="AM585" s="461" t="str">
        <f>AM565 &amp; ".3"</f>
        <v>4.0.3.3.3.3</v>
      </c>
      <c r="AN585" s="457" t="s">
        <v>85</v>
      </c>
      <c r="AO585" s="473" t="s">
        <v>786</v>
      </c>
      <c r="AP585" s="305">
        <f t="shared" ref="AP585:AP594" si="19">SUM(AQ585:AR585)</f>
        <v>0</v>
      </c>
      <c r="AQ585" s="207"/>
      <c r="AR585" s="207"/>
    </row>
    <row r="586" spans="39:44">
      <c r="AM586" s="461" t="str">
        <f>AM565 &amp; ".4"</f>
        <v>4.0.3.3.3.4</v>
      </c>
      <c r="AN586" s="457" t="s">
        <v>87</v>
      </c>
      <c r="AO586" s="473" t="s">
        <v>786</v>
      </c>
      <c r="AP586" s="305">
        <f t="shared" si="19"/>
        <v>0</v>
      </c>
      <c r="AQ586" s="207"/>
      <c r="AR586" s="207"/>
    </row>
    <row r="587" spans="39:44">
      <c r="AM587" s="461" t="str">
        <f>AM565&amp;".5"</f>
        <v>4.0.3.3.3.5</v>
      </c>
      <c r="AN587" s="457" t="s">
        <v>89</v>
      </c>
      <c r="AO587" s="473" t="s">
        <v>786</v>
      </c>
      <c r="AP587" s="305">
        <f t="shared" si="19"/>
        <v>0</v>
      </c>
      <c r="AQ587" s="207"/>
      <c r="AR587" s="207"/>
    </row>
    <row r="588" spans="39:44">
      <c r="AM588" s="461" t="str">
        <f>AM565 &amp; ".6"</f>
        <v>4.0.3.3.3.6</v>
      </c>
      <c r="AN588" s="457" t="s">
        <v>91</v>
      </c>
      <c r="AO588" s="473" t="s">
        <v>786</v>
      </c>
      <c r="AP588" s="305">
        <f t="shared" si="19"/>
        <v>0</v>
      </c>
      <c r="AQ588" s="207"/>
      <c r="AR588" s="207"/>
    </row>
    <row r="589" spans="39:44">
      <c r="AM589" s="461" t="str">
        <f>AM565 &amp; ".7"</f>
        <v>4.0.3.3.3.7</v>
      </c>
      <c r="AN589" s="457" t="s">
        <v>93</v>
      </c>
      <c r="AO589" s="473" t="s">
        <v>786</v>
      </c>
      <c r="AP589" s="305">
        <f t="shared" si="19"/>
        <v>0</v>
      </c>
      <c r="AQ589" s="207"/>
      <c r="AR589" s="207"/>
    </row>
    <row r="590" spans="39:44">
      <c r="AM590" s="461" t="str">
        <f>AM565 &amp; ".8"</f>
        <v>4.0.3.3.3.8</v>
      </c>
      <c r="AN590" s="457" t="s">
        <v>95</v>
      </c>
      <c r="AO590" s="473" t="s">
        <v>786</v>
      </c>
      <c r="AP590" s="305">
        <f t="shared" si="19"/>
        <v>0</v>
      </c>
      <c r="AQ590" s="207"/>
      <c r="AR590" s="207"/>
    </row>
    <row r="591" spans="39:44">
      <c r="AM591" s="461" t="str">
        <f>AM565 &amp; ".9"</f>
        <v>4.0.3.3.3.9</v>
      </c>
      <c r="AN591" s="457" t="s">
        <v>2976</v>
      </c>
      <c r="AO591" s="473" t="s">
        <v>786</v>
      </c>
      <c r="AP591" s="305">
        <f t="shared" si="19"/>
        <v>0</v>
      </c>
      <c r="AQ591" s="207"/>
      <c r="AR591" s="207"/>
    </row>
    <row r="592" spans="39:44">
      <c r="AM592" s="461" t="str">
        <f>AM565 &amp; ".10"</f>
        <v>4.0.3.3.3.10</v>
      </c>
      <c r="AN592" s="457" t="s">
        <v>2978</v>
      </c>
      <c r="AO592" s="473" t="s">
        <v>786</v>
      </c>
      <c r="AP592" s="305">
        <f t="shared" si="19"/>
        <v>0</v>
      </c>
      <c r="AQ592" s="207"/>
      <c r="AR592" s="207"/>
    </row>
    <row r="593" spans="39:44">
      <c r="AM593" s="461" t="str">
        <f>AM565 &amp; ".11"</f>
        <v>4.0.3.3.3.11</v>
      </c>
      <c r="AN593" s="457" t="s">
        <v>2980</v>
      </c>
      <c r="AO593" s="473" t="s">
        <v>786</v>
      </c>
      <c r="AP593" s="305">
        <f t="shared" si="19"/>
        <v>0</v>
      </c>
      <c r="AQ593" s="207"/>
      <c r="AR593" s="207"/>
    </row>
    <row r="594" spans="39:44">
      <c r="AM594" s="461" t="str">
        <f>AM565 &amp; ".12"</f>
        <v>4.0.3.3.3.12</v>
      </c>
      <c r="AN594" s="457" t="s">
        <v>2982</v>
      </c>
      <c r="AO594" s="473" t="s">
        <v>786</v>
      </c>
      <c r="AP594" s="305">
        <f t="shared" si="19"/>
        <v>0</v>
      </c>
      <c r="AQ594" s="207"/>
      <c r="AR594" s="207"/>
    </row>
    <row r="595" spans="39:44" hidden="1">
      <c r="AM595" s="451"/>
      <c r="AN595" s="454"/>
      <c r="AO595" s="473"/>
      <c r="AP595" s="456"/>
      <c r="AQ595" s="207"/>
      <c r="AR595" s="207"/>
    </row>
    <row r="596" spans="39:44" hidden="1">
      <c r="AM596" s="451"/>
      <c r="AN596" s="454"/>
      <c r="AO596" s="473"/>
      <c r="AP596" s="456"/>
      <c r="AQ596" s="207"/>
      <c r="AR596" s="207"/>
    </row>
    <row r="597" spans="39:44">
      <c r="AM597" s="461" t="str">
        <f>AM565 &amp; ".15"</f>
        <v>4.0.3.3.3.15</v>
      </c>
      <c r="AN597" s="457" t="s">
        <v>291</v>
      </c>
      <c r="AO597" s="473" t="s">
        <v>786</v>
      </c>
      <c r="AP597" s="305">
        <f>SUM(AQ597:AR597)</f>
        <v>0</v>
      </c>
      <c r="AQ597" s="207"/>
      <c r="AR597" s="207"/>
    </row>
    <row r="598" spans="39:44" ht="22.5">
      <c r="AM598" s="449" t="s">
        <v>281</v>
      </c>
      <c r="AN598" s="450" t="s">
        <v>246</v>
      </c>
      <c r="AO598" s="473"/>
      <c r="AP598" s="456"/>
      <c r="AQ598" s="207"/>
      <c r="AR598" s="207"/>
    </row>
    <row r="599" spans="39:44">
      <c r="AM599" s="461" t="str">
        <f>AM598 &amp; ".1"</f>
        <v>4.0.3.4.1.1</v>
      </c>
      <c r="AN599" s="453" t="s">
        <v>78</v>
      </c>
      <c r="AO599" s="473" t="s">
        <v>216</v>
      </c>
      <c r="AP599" s="305">
        <f>IF(AP632=0,0,AP665/AP632*1000)</f>
        <v>0</v>
      </c>
      <c r="AQ599" s="207"/>
      <c r="AR599" s="207"/>
    </row>
    <row r="600" spans="39:44" hidden="1">
      <c r="AM600" s="461"/>
      <c r="AN600" s="454"/>
      <c r="AO600" s="473"/>
      <c r="AP600" s="456"/>
      <c r="AQ600" s="207"/>
      <c r="AR600" s="207"/>
    </row>
    <row r="601" spans="39:44" hidden="1">
      <c r="AM601" s="461"/>
      <c r="AN601" s="454"/>
      <c r="AO601" s="473"/>
      <c r="AP601" s="456"/>
      <c r="AQ601" s="207"/>
      <c r="AR601" s="207"/>
    </row>
    <row r="602" spans="39:44" hidden="1">
      <c r="AM602" s="451"/>
      <c r="AN602" s="454"/>
      <c r="AO602" s="473"/>
      <c r="AP602" s="456"/>
      <c r="AQ602" s="207"/>
      <c r="AR602" s="207"/>
    </row>
    <row r="603" spans="39:44" hidden="1">
      <c r="AM603" s="451"/>
      <c r="AN603" s="454"/>
      <c r="AO603" s="473"/>
      <c r="AP603" s="456"/>
      <c r="AQ603" s="207"/>
      <c r="AR603" s="207"/>
    </row>
    <row r="604" spans="39:44" hidden="1">
      <c r="AM604" s="451"/>
      <c r="AN604" s="454"/>
      <c r="AO604" s="473"/>
      <c r="AP604" s="456"/>
      <c r="AQ604" s="207"/>
      <c r="AR604" s="207"/>
    </row>
    <row r="605" spans="39:44" hidden="1">
      <c r="AM605" s="451"/>
      <c r="AN605" s="454"/>
      <c r="AO605" s="473"/>
      <c r="AP605" s="456"/>
      <c r="AQ605" s="207"/>
      <c r="AR605" s="207"/>
    </row>
    <row r="606" spans="39:44" hidden="1">
      <c r="AM606" s="451"/>
      <c r="AN606" s="454"/>
      <c r="AO606" s="473"/>
      <c r="AP606" s="456"/>
      <c r="AQ606" s="207"/>
      <c r="AR606" s="207"/>
    </row>
    <row r="607" spans="39:44" hidden="1">
      <c r="AM607" s="451"/>
      <c r="AN607" s="454"/>
      <c r="AO607" s="473"/>
      <c r="AP607" s="456"/>
      <c r="AQ607" s="207"/>
      <c r="AR607" s="207"/>
    </row>
    <row r="608" spans="39:44" hidden="1">
      <c r="AM608" s="451"/>
      <c r="AN608" s="454"/>
      <c r="AO608" s="473"/>
      <c r="AP608" s="456"/>
      <c r="AQ608" s="207"/>
      <c r="AR608" s="207"/>
    </row>
    <row r="609" spans="39:44" hidden="1">
      <c r="AM609" s="461"/>
      <c r="AN609" s="454"/>
      <c r="AO609" s="473"/>
      <c r="AP609" s="456"/>
      <c r="AQ609" s="207"/>
      <c r="AR609" s="207"/>
    </row>
    <row r="610" spans="39:44" hidden="1">
      <c r="AM610" s="451"/>
      <c r="AN610" s="454"/>
      <c r="AO610" s="473"/>
      <c r="AP610" s="456"/>
      <c r="AQ610" s="207"/>
      <c r="AR610" s="207"/>
    </row>
    <row r="611" spans="39:44" hidden="1">
      <c r="AM611" s="451"/>
      <c r="AN611" s="454"/>
      <c r="AO611" s="473"/>
      <c r="AP611" s="456"/>
      <c r="AQ611" s="207"/>
      <c r="AR611" s="207"/>
    </row>
    <row r="612" spans="39:44" hidden="1">
      <c r="AM612" s="451"/>
      <c r="AN612" s="454"/>
      <c r="AO612" s="473"/>
      <c r="AP612" s="456"/>
      <c r="AQ612" s="207"/>
      <c r="AR612" s="207"/>
    </row>
    <row r="613" spans="39:44" hidden="1">
      <c r="AM613" s="451"/>
      <c r="AN613" s="454"/>
      <c r="AO613" s="473"/>
      <c r="AP613" s="456"/>
      <c r="AQ613" s="207"/>
      <c r="AR613" s="207"/>
    </row>
    <row r="614" spans="39:44" hidden="1">
      <c r="AM614" s="451"/>
      <c r="AN614" s="454"/>
      <c r="AO614" s="473"/>
      <c r="AP614" s="456"/>
      <c r="AQ614" s="207"/>
      <c r="AR614" s="207"/>
    </row>
    <row r="615" spans="39:44" hidden="1">
      <c r="AM615" s="451"/>
      <c r="AN615" s="455"/>
      <c r="AO615" s="473"/>
      <c r="AP615" s="456"/>
      <c r="AQ615" s="207"/>
      <c r="AR615" s="207"/>
    </row>
    <row r="616" spans="39:44" hidden="1">
      <c r="AM616" s="451"/>
      <c r="AN616" s="455"/>
      <c r="AO616" s="473"/>
      <c r="AP616" s="456"/>
      <c r="AQ616" s="207"/>
      <c r="AR616" s="207"/>
    </row>
    <row r="617" spans="39:44" hidden="1">
      <c r="AM617" s="461"/>
      <c r="AN617" s="455"/>
      <c r="AO617" s="473"/>
      <c r="AP617" s="456"/>
      <c r="AQ617" s="207"/>
      <c r="AR617" s="207"/>
    </row>
    <row r="618" spans="39:44">
      <c r="AM618" s="461" t="str">
        <f>AM598 &amp; ".3"</f>
        <v>4.0.3.4.1.3</v>
      </c>
      <c r="AN618" s="457" t="s">
        <v>85</v>
      </c>
      <c r="AO618" s="473" t="s">
        <v>216</v>
      </c>
      <c r="AP618" s="305">
        <f t="shared" ref="AP618:AP627" si="20">IF(AP651=0,0,AP684/AP651*1000)</f>
        <v>0</v>
      </c>
      <c r="AQ618" s="207"/>
      <c r="AR618" s="207"/>
    </row>
    <row r="619" spans="39:44">
      <c r="AM619" s="461" t="str">
        <f>AM598 &amp; ".4"</f>
        <v>4.0.3.4.1.4</v>
      </c>
      <c r="AN619" s="457" t="s">
        <v>87</v>
      </c>
      <c r="AO619" s="473" t="s">
        <v>216</v>
      </c>
      <c r="AP619" s="305">
        <f t="shared" si="20"/>
        <v>0</v>
      </c>
      <c r="AQ619" s="207"/>
      <c r="AR619" s="207"/>
    </row>
    <row r="620" spans="39:44">
      <c r="AM620" s="461" t="str">
        <f>AM598&amp;".5"</f>
        <v>4.0.3.4.1.5</v>
      </c>
      <c r="AN620" s="457" t="s">
        <v>89</v>
      </c>
      <c r="AO620" s="473" t="s">
        <v>216</v>
      </c>
      <c r="AP620" s="305">
        <f t="shared" si="20"/>
        <v>0</v>
      </c>
      <c r="AQ620" s="207"/>
      <c r="AR620" s="207"/>
    </row>
    <row r="621" spans="39:44">
      <c r="AM621" s="461" t="str">
        <f>AM598 &amp; ".6"</f>
        <v>4.0.3.4.1.6</v>
      </c>
      <c r="AN621" s="457" t="s">
        <v>91</v>
      </c>
      <c r="AO621" s="473" t="s">
        <v>216</v>
      </c>
      <c r="AP621" s="305">
        <f t="shared" si="20"/>
        <v>0</v>
      </c>
      <c r="AQ621" s="207"/>
      <c r="AR621" s="207"/>
    </row>
    <row r="622" spans="39:44">
      <c r="AM622" s="461" t="str">
        <f>AM598 &amp; ".7"</f>
        <v>4.0.3.4.1.7</v>
      </c>
      <c r="AN622" s="457" t="s">
        <v>93</v>
      </c>
      <c r="AO622" s="473" t="s">
        <v>216</v>
      </c>
      <c r="AP622" s="305">
        <f t="shared" si="20"/>
        <v>0</v>
      </c>
      <c r="AQ622" s="207"/>
      <c r="AR622" s="207"/>
    </row>
    <row r="623" spans="39:44">
      <c r="AM623" s="461" t="str">
        <f>AM598 &amp; ".8"</f>
        <v>4.0.3.4.1.8</v>
      </c>
      <c r="AN623" s="457" t="s">
        <v>95</v>
      </c>
      <c r="AO623" s="473" t="s">
        <v>216</v>
      </c>
      <c r="AP623" s="305">
        <f t="shared" si="20"/>
        <v>0</v>
      </c>
      <c r="AQ623" s="207"/>
      <c r="AR623" s="207"/>
    </row>
    <row r="624" spans="39:44">
      <c r="AM624" s="461" t="str">
        <f>AM598 &amp; ".9"</f>
        <v>4.0.3.4.1.9</v>
      </c>
      <c r="AN624" s="457" t="s">
        <v>2976</v>
      </c>
      <c r="AO624" s="473" t="s">
        <v>216</v>
      </c>
      <c r="AP624" s="305">
        <f t="shared" si="20"/>
        <v>0</v>
      </c>
      <c r="AQ624" s="207"/>
      <c r="AR624" s="207"/>
    </row>
    <row r="625" spans="39:44">
      <c r="AM625" s="461" t="str">
        <f>AM598 &amp; ".10"</f>
        <v>4.0.3.4.1.10</v>
      </c>
      <c r="AN625" s="457" t="s">
        <v>2978</v>
      </c>
      <c r="AO625" s="473" t="s">
        <v>216</v>
      </c>
      <c r="AP625" s="305">
        <f t="shared" si="20"/>
        <v>0</v>
      </c>
      <c r="AQ625" s="207"/>
      <c r="AR625" s="207"/>
    </row>
    <row r="626" spans="39:44">
      <c r="AM626" s="461" t="str">
        <f>AM598 &amp; ".11"</f>
        <v>4.0.3.4.1.11</v>
      </c>
      <c r="AN626" s="457" t="s">
        <v>2980</v>
      </c>
      <c r="AO626" s="473" t="s">
        <v>216</v>
      </c>
      <c r="AP626" s="305">
        <f t="shared" si="20"/>
        <v>0</v>
      </c>
      <c r="AQ626" s="207"/>
      <c r="AR626" s="207"/>
    </row>
    <row r="627" spans="39:44">
      <c r="AM627" s="461" t="str">
        <f>AM598 &amp; ".12"</f>
        <v>4.0.3.4.1.12</v>
      </c>
      <c r="AN627" s="457" t="s">
        <v>2982</v>
      </c>
      <c r="AO627" s="473" t="s">
        <v>216</v>
      </c>
      <c r="AP627" s="305">
        <f t="shared" si="20"/>
        <v>0</v>
      </c>
      <c r="AQ627" s="207"/>
      <c r="AR627" s="207"/>
    </row>
    <row r="628" spans="39:44" hidden="1">
      <c r="AM628" s="451"/>
      <c r="AN628" s="454"/>
      <c r="AO628" s="473"/>
      <c r="AP628" s="456"/>
      <c r="AQ628" s="207"/>
      <c r="AR628" s="207"/>
    </row>
    <row r="629" spans="39:44" hidden="1">
      <c r="AM629" s="451"/>
      <c r="AN629" s="454"/>
      <c r="AO629" s="473"/>
      <c r="AP629" s="456"/>
      <c r="AQ629" s="207"/>
      <c r="AR629" s="207"/>
    </row>
    <row r="630" spans="39:44">
      <c r="AM630" s="461" t="str">
        <f>AM598 &amp; ".15"</f>
        <v>4.0.3.4.1.15</v>
      </c>
      <c r="AN630" s="457" t="s">
        <v>291</v>
      </c>
      <c r="AO630" s="473" t="s">
        <v>216</v>
      </c>
      <c r="AP630" s="305">
        <f>IF(AP663=0,0,AP696/AP663*1000)</f>
        <v>0</v>
      </c>
      <c r="AQ630" s="207"/>
      <c r="AR630" s="207"/>
    </row>
    <row r="631" spans="39:44" ht="22.5">
      <c r="AM631" s="449" t="s">
        <v>282</v>
      </c>
      <c r="AN631" s="450" t="s">
        <v>247</v>
      </c>
      <c r="AO631" s="473"/>
      <c r="AP631" s="456"/>
      <c r="AQ631" s="207"/>
      <c r="AR631" s="207"/>
    </row>
    <row r="632" spans="39:44">
      <c r="AM632" s="461" t="str">
        <f>AM631 &amp; ".1"</f>
        <v>4.0.3.4.2.1</v>
      </c>
      <c r="AN632" s="453" t="s">
        <v>78</v>
      </c>
      <c r="AO632" s="473" t="s">
        <v>223</v>
      </c>
      <c r="AP632" s="305">
        <f>SUM(AQ632:AR632)</f>
        <v>0</v>
      </c>
      <c r="AQ632" s="207"/>
      <c r="AR632" s="207"/>
    </row>
    <row r="633" spans="39:44" hidden="1">
      <c r="AM633" s="461"/>
      <c r="AN633" s="454"/>
      <c r="AO633" s="473"/>
      <c r="AP633" s="456"/>
      <c r="AQ633" s="207"/>
      <c r="AR633" s="207"/>
    </row>
    <row r="634" spans="39:44" hidden="1">
      <c r="AM634" s="461"/>
      <c r="AN634" s="454"/>
      <c r="AO634" s="473"/>
      <c r="AP634" s="456"/>
      <c r="AQ634" s="207"/>
      <c r="AR634" s="207"/>
    </row>
    <row r="635" spans="39:44" hidden="1">
      <c r="AM635" s="451"/>
      <c r="AN635" s="454"/>
      <c r="AO635" s="473"/>
      <c r="AP635" s="456"/>
      <c r="AQ635" s="207"/>
      <c r="AR635" s="207"/>
    </row>
    <row r="636" spans="39:44" hidden="1">
      <c r="AM636" s="451"/>
      <c r="AN636" s="454"/>
      <c r="AO636" s="473"/>
      <c r="AP636" s="456"/>
      <c r="AQ636" s="207"/>
      <c r="AR636" s="207"/>
    </row>
    <row r="637" spans="39:44" hidden="1">
      <c r="AM637" s="451"/>
      <c r="AN637" s="454"/>
      <c r="AO637" s="473"/>
      <c r="AP637" s="456"/>
      <c r="AQ637" s="207"/>
      <c r="AR637" s="207"/>
    </row>
    <row r="638" spans="39:44" hidden="1">
      <c r="AM638" s="451"/>
      <c r="AN638" s="454"/>
      <c r="AO638" s="473"/>
      <c r="AP638" s="456"/>
      <c r="AQ638" s="207"/>
      <c r="AR638" s="207"/>
    </row>
    <row r="639" spans="39:44" hidden="1">
      <c r="AM639" s="451"/>
      <c r="AN639" s="454"/>
      <c r="AO639" s="473"/>
      <c r="AP639" s="456"/>
      <c r="AQ639" s="207"/>
      <c r="AR639" s="207"/>
    </row>
    <row r="640" spans="39:44" hidden="1">
      <c r="AM640" s="451"/>
      <c r="AN640" s="454"/>
      <c r="AO640" s="473"/>
      <c r="AP640" s="456"/>
      <c r="AQ640" s="207"/>
      <c r="AR640" s="207"/>
    </row>
    <row r="641" spans="39:44" hidden="1">
      <c r="AM641" s="451"/>
      <c r="AN641" s="454"/>
      <c r="AO641" s="473"/>
      <c r="AP641" s="456"/>
      <c r="AQ641" s="207"/>
      <c r="AR641" s="207"/>
    </row>
    <row r="642" spans="39:44" hidden="1">
      <c r="AM642" s="461"/>
      <c r="AN642" s="454"/>
      <c r="AO642" s="473"/>
      <c r="AP642" s="456"/>
      <c r="AQ642" s="207"/>
      <c r="AR642" s="207"/>
    </row>
    <row r="643" spans="39:44" hidden="1">
      <c r="AM643" s="451"/>
      <c r="AN643" s="454"/>
      <c r="AO643" s="473"/>
      <c r="AP643" s="456"/>
      <c r="AQ643" s="207"/>
      <c r="AR643" s="207"/>
    </row>
    <row r="644" spans="39:44" hidden="1">
      <c r="AM644" s="451"/>
      <c r="AN644" s="454"/>
      <c r="AO644" s="473"/>
      <c r="AP644" s="456"/>
      <c r="AQ644" s="207"/>
      <c r="AR644" s="207"/>
    </row>
    <row r="645" spans="39:44" hidden="1">
      <c r="AM645" s="451"/>
      <c r="AN645" s="454"/>
      <c r="AO645" s="473"/>
      <c r="AP645" s="456"/>
      <c r="AQ645" s="207"/>
      <c r="AR645" s="207"/>
    </row>
    <row r="646" spans="39:44" hidden="1">
      <c r="AM646" s="451"/>
      <c r="AN646" s="454"/>
      <c r="AO646" s="473"/>
      <c r="AP646" s="456"/>
      <c r="AQ646" s="207"/>
      <c r="AR646" s="207"/>
    </row>
    <row r="647" spans="39:44" hidden="1">
      <c r="AM647" s="451"/>
      <c r="AN647" s="454"/>
      <c r="AO647" s="473"/>
      <c r="AP647" s="456"/>
      <c r="AQ647" s="207"/>
      <c r="AR647" s="207"/>
    </row>
    <row r="648" spans="39:44" hidden="1">
      <c r="AM648" s="451"/>
      <c r="AN648" s="455"/>
      <c r="AO648" s="473"/>
      <c r="AP648" s="456"/>
      <c r="AQ648" s="207"/>
      <c r="AR648" s="207"/>
    </row>
    <row r="649" spans="39:44" hidden="1">
      <c r="AM649" s="451"/>
      <c r="AN649" s="455"/>
      <c r="AO649" s="473"/>
      <c r="AP649" s="456"/>
      <c r="AQ649" s="207"/>
      <c r="AR649" s="207"/>
    </row>
    <row r="650" spans="39:44" hidden="1">
      <c r="AM650" s="461"/>
      <c r="AN650" s="455"/>
      <c r="AO650" s="473"/>
      <c r="AP650" s="456"/>
      <c r="AQ650" s="207"/>
      <c r="AR650" s="207"/>
    </row>
    <row r="651" spans="39:44">
      <c r="AM651" s="461" t="str">
        <f>AM631 &amp; ".3"</f>
        <v>4.0.3.4.2.3</v>
      </c>
      <c r="AN651" s="457" t="s">
        <v>85</v>
      </c>
      <c r="AO651" s="473" t="s">
        <v>223</v>
      </c>
      <c r="AP651" s="305">
        <f t="shared" ref="AP651:AP665" si="21">SUM(AQ651:AR651)</f>
        <v>0</v>
      </c>
      <c r="AQ651" s="207"/>
      <c r="AR651" s="207"/>
    </row>
    <row r="652" spans="39:44">
      <c r="AM652" s="461" t="str">
        <f>AM631 &amp; ".4"</f>
        <v>4.0.3.4.2.4</v>
      </c>
      <c r="AN652" s="457" t="s">
        <v>87</v>
      </c>
      <c r="AO652" s="473" t="s">
        <v>223</v>
      </c>
      <c r="AP652" s="305">
        <f t="shared" si="21"/>
        <v>0</v>
      </c>
      <c r="AQ652" s="207"/>
      <c r="AR652" s="207"/>
    </row>
    <row r="653" spans="39:44">
      <c r="AM653" s="461" t="str">
        <f>AM631&amp;".5"</f>
        <v>4.0.3.4.2.5</v>
      </c>
      <c r="AN653" s="457" t="s">
        <v>89</v>
      </c>
      <c r="AO653" s="473" t="s">
        <v>223</v>
      </c>
      <c r="AP653" s="305">
        <f t="shared" si="21"/>
        <v>0</v>
      </c>
      <c r="AQ653" s="207"/>
      <c r="AR653" s="207"/>
    </row>
    <row r="654" spans="39:44">
      <c r="AM654" s="461" t="str">
        <f>AM631 &amp; ".6"</f>
        <v>4.0.3.4.2.6</v>
      </c>
      <c r="AN654" s="457" t="s">
        <v>91</v>
      </c>
      <c r="AO654" s="473" t="s">
        <v>223</v>
      </c>
      <c r="AP654" s="305">
        <f t="shared" si="21"/>
        <v>0</v>
      </c>
      <c r="AQ654" s="207"/>
      <c r="AR654" s="207"/>
    </row>
    <row r="655" spans="39:44">
      <c r="AM655" s="461" t="str">
        <f>AM631 &amp; ".7"</f>
        <v>4.0.3.4.2.7</v>
      </c>
      <c r="AN655" s="457" t="s">
        <v>93</v>
      </c>
      <c r="AO655" s="473" t="s">
        <v>223</v>
      </c>
      <c r="AP655" s="305">
        <f t="shared" si="21"/>
        <v>0</v>
      </c>
      <c r="AQ655" s="207"/>
      <c r="AR655" s="207"/>
    </row>
    <row r="656" spans="39:44">
      <c r="AM656" s="461" t="str">
        <f>AM631 &amp; ".8"</f>
        <v>4.0.3.4.2.8</v>
      </c>
      <c r="AN656" s="457" t="s">
        <v>95</v>
      </c>
      <c r="AO656" s="473" t="s">
        <v>223</v>
      </c>
      <c r="AP656" s="305">
        <f t="shared" si="21"/>
        <v>0</v>
      </c>
      <c r="AQ656" s="207"/>
      <c r="AR656" s="207"/>
    </row>
    <row r="657" spans="39:44">
      <c r="AM657" s="461" t="str">
        <f>AM631 &amp; ".9"</f>
        <v>4.0.3.4.2.9</v>
      </c>
      <c r="AN657" s="457" t="s">
        <v>2976</v>
      </c>
      <c r="AO657" s="473" t="s">
        <v>223</v>
      </c>
      <c r="AP657" s="305">
        <f t="shared" si="21"/>
        <v>0</v>
      </c>
      <c r="AQ657" s="207"/>
      <c r="AR657" s="207"/>
    </row>
    <row r="658" spans="39:44">
      <c r="AM658" s="461" t="str">
        <f>AM631 &amp; ".10"</f>
        <v>4.0.3.4.2.10</v>
      </c>
      <c r="AN658" s="457" t="s">
        <v>2978</v>
      </c>
      <c r="AO658" s="473" t="s">
        <v>223</v>
      </c>
      <c r="AP658" s="305">
        <f t="shared" si="21"/>
        <v>0</v>
      </c>
      <c r="AQ658" s="207"/>
      <c r="AR658" s="207"/>
    </row>
    <row r="659" spans="39:44">
      <c r="AM659" s="461" t="str">
        <f>AM631 &amp; ".11"</f>
        <v>4.0.3.4.2.11</v>
      </c>
      <c r="AN659" s="457" t="s">
        <v>2980</v>
      </c>
      <c r="AO659" s="473" t="s">
        <v>223</v>
      </c>
      <c r="AP659" s="305">
        <f t="shared" si="21"/>
        <v>0</v>
      </c>
      <c r="AQ659" s="207"/>
      <c r="AR659" s="207"/>
    </row>
    <row r="660" spans="39:44">
      <c r="AM660" s="461" t="str">
        <f>AM631 &amp; ".12"</f>
        <v>4.0.3.4.2.12</v>
      </c>
      <c r="AN660" s="457" t="s">
        <v>2982</v>
      </c>
      <c r="AO660" s="473" t="s">
        <v>223</v>
      </c>
      <c r="AP660" s="305">
        <f t="shared" si="21"/>
        <v>0</v>
      </c>
      <c r="AQ660" s="207"/>
      <c r="AR660" s="207"/>
    </row>
    <row r="661" spans="39:44" hidden="1">
      <c r="AM661" s="451"/>
      <c r="AN661" s="454"/>
      <c r="AO661" s="473"/>
      <c r="AP661" s="456"/>
      <c r="AQ661" s="207"/>
      <c r="AR661" s="207"/>
    </row>
    <row r="662" spans="39:44" hidden="1">
      <c r="AM662" s="451"/>
      <c r="AN662" s="454"/>
      <c r="AO662" s="473"/>
      <c r="AP662" s="456"/>
      <c r="AQ662" s="207"/>
      <c r="AR662" s="207"/>
    </row>
    <row r="663" spans="39:44">
      <c r="AM663" s="461" t="str">
        <f>AM631 &amp; ".15"</f>
        <v>4.0.3.4.2.15</v>
      </c>
      <c r="AN663" s="457" t="s">
        <v>291</v>
      </c>
      <c r="AO663" s="473" t="s">
        <v>223</v>
      </c>
      <c r="AP663" s="305">
        <f>SUM(AQ663:AR663)</f>
        <v>0</v>
      </c>
      <c r="AQ663" s="207"/>
      <c r="AR663" s="207"/>
    </row>
    <row r="664" spans="39:44" ht="22.5">
      <c r="AM664" s="449" t="s">
        <v>283</v>
      </c>
      <c r="AN664" s="450" t="s">
        <v>248</v>
      </c>
      <c r="AO664" s="473" t="s">
        <v>786</v>
      </c>
      <c r="AP664" s="305">
        <f t="shared" si="21"/>
        <v>0</v>
      </c>
      <c r="AQ664" s="207"/>
      <c r="AR664" s="207"/>
    </row>
    <row r="665" spans="39:44">
      <c r="AM665" s="461" t="str">
        <f>AM664 &amp; ".1"</f>
        <v>4.0.3.4.3.1</v>
      </c>
      <c r="AN665" s="453" t="s">
        <v>78</v>
      </c>
      <c r="AO665" s="473" t="s">
        <v>786</v>
      </c>
      <c r="AP665" s="305">
        <f t="shared" si="21"/>
        <v>0</v>
      </c>
      <c r="AQ665" s="207"/>
      <c r="AR665" s="207"/>
    </row>
    <row r="666" spans="39:44" hidden="1">
      <c r="AM666" s="461"/>
      <c r="AN666" s="454"/>
      <c r="AO666" s="473"/>
      <c r="AP666" s="456"/>
      <c r="AQ666" s="207"/>
      <c r="AR666" s="207"/>
    </row>
    <row r="667" spans="39:44" hidden="1">
      <c r="AM667" s="461"/>
      <c r="AN667" s="454"/>
      <c r="AO667" s="473"/>
      <c r="AP667" s="456"/>
      <c r="AQ667" s="207"/>
      <c r="AR667" s="207"/>
    </row>
    <row r="668" spans="39:44" hidden="1">
      <c r="AM668" s="451"/>
      <c r="AN668" s="454"/>
      <c r="AO668" s="473"/>
      <c r="AP668" s="456"/>
      <c r="AQ668" s="207"/>
      <c r="AR668" s="207"/>
    </row>
    <row r="669" spans="39:44" hidden="1">
      <c r="AM669" s="451"/>
      <c r="AN669" s="454"/>
      <c r="AO669" s="473"/>
      <c r="AP669" s="456"/>
      <c r="AQ669" s="207"/>
      <c r="AR669" s="207"/>
    </row>
    <row r="670" spans="39:44" hidden="1">
      <c r="AM670" s="451"/>
      <c r="AN670" s="454"/>
      <c r="AO670" s="473"/>
      <c r="AP670" s="456"/>
      <c r="AQ670" s="207"/>
      <c r="AR670" s="207"/>
    </row>
    <row r="671" spans="39:44" hidden="1">
      <c r="AM671" s="451"/>
      <c r="AN671" s="454"/>
      <c r="AO671" s="473"/>
      <c r="AP671" s="456"/>
      <c r="AQ671" s="207"/>
      <c r="AR671" s="207"/>
    </row>
    <row r="672" spans="39:44" hidden="1">
      <c r="AM672" s="451"/>
      <c r="AN672" s="454"/>
      <c r="AO672" s="473"/>
      <c r="AP672" s="456"/>
      <c r="AQ672" s="207"/>
      <c r="AR672" s="207"/>
    </row>
    <row r="673" spans="39:44" hidden="1">
      <c r="AM673" s="451"/>
      <c r="AN673" s="454"/>
      <c r="AO673" s="473"/>
      <c r="AP673" s="456"/>
      <c r="AQ673" s="207"/>
      <c r="AR673" s="207"/>
    </row>
    <row r="674" spans="39:44" hidden="1">
      <c r="AM674" s="451"/>
      <c r="AN674" s="454"/>
      <c r="AO674" s="473"/>
      <c r="AP674" s="456"/>
      <c r="AQ674" s="207"/>
      <c r="AR674" s="207"/>
    </row>
    <row r="675" spans="39:44" hidden="1">
      <c r="AM675" s="461"/>
      <c r="AN675" s="454"/>
      <c r="AO675" s="473"/>
      <c r="AP675" s="456"/>
      <c r="AQ675" s="207"/>
      <c r="AR675" s="207"/>
    </row>
    <row r="676" spans="39:44" hidden="1">
      <c r="AM676" s="451"/>
      <c r="AN676" s="454"/>
      <c r="AO676" s="473"/>
      <c r="AP676" s="456"/>
      <c r="AQ676" s="207"/>
      <c r="AR676" s="207"/>
    </row>
    <row r="677" spans="39:44" hidden="1">
      <c r="AM677" s="451"/>
      <c r="AN677" s="454"/>
      <c r="AO677" s="473"/>
      <c r="AP677" s="456"/>
      <c r="AQ677" s="207"/>
      <c r="AR677" s="207"/>
    </row>
    <row r="678" spans="39:44" hidden="1">
      <c r="AM678" s="451"/>
      <c r="AN678" s="454"/>
      <c r="AO678" s="473"/>
      <c r="AP678" s="456"/>
      <c r="AQ678" s="207"/>
      <c r="AR678" s="207"/>
    </row>
    <row r="679" spans="39:44" hidden="1">
      <c r="AM679" s="451"/>
      <c r="AN679" s="454"/>
      <c r="AO679" s="473"/>
      <c r="AP679" s="456"/>
      <c r="AQ679" s="207"/>
      <c r="AR679" s="207"/>
    </row>
    <row r="680" spans="39:44" hidden="1">
      <c r="AM680" s="451"/>
      <c r="AN680" s="454"/>
      <c r="AO680" s="473"/>
      <c r="AP680" s="456"/>
      <c r="AQ680" s="207"/>
      <c r="AR680" s="207"/>
    </row>
    <row r="681" spans="39:44" hidden="1">
      <c r="AM681" s="451"/>
      <c r="AN681" s="455"/>
      <c r="AO681" s="473"/>
      <c r="AP681" s="456"/>
      <c r="AQ681" s="207"/>
      <c r="AR681" s="207"/>
    </row>
    <row r="682" spans="39:44" hidden="1">
      <c r="AM682" s="451"/>
      <c r="AN682" s="455"/>
      <c r="AO682" s="473"/>
      <c r="AP682" s="456"/>
      <c r="AQ682" s="207"/>
      <c r="AR682" s="207"/>
    </row>
    <row r="683" spans="39:44" hidden="1">
      <c r="AM683" s="461"/>
      <c r="AN683" s="455"/>
      <c r="AO683" s="473"/>
      <c r="AP683" s="456"/>
      <c r="AQ683" s="207"/>
      <c r="AR683" s="207"/>
    </row>
    <row r="684" spans="39:44">
      <c r="AM684" s="461" t="str">
        <f>AM664 &amp; ".3"</f>
        <v>4.0.3.4.3.3</v>
      </c>
      <c r="AN684" s="457" t="s">
        <v>85</v>
      </c>
      <c r="AO684" s="473" t="s">
        <v>786</v>
      </c>
      <c r="AP684" s="305">
        <f t="shared" ref="AP684:AP693" si="22">SUM(AQ684:AR684)</f>
        <v>0</v>
      </c>
      <c r="AQ684" s="207"/>
      <c r="AR684" s="207"/>
    </row>
    <row r="685" spans="39:44">
      <c r="AM685" s="461" t="str">
        <f>AM664 &amp; ".4"</f>
        <v>4.0.3.4.3.4</v>
      </c>
      <c r="AN685" s="457" t="s">
        <v>87</v>
      </c>
      <c r="AO685" s="473" t="s">
        <v>786</v>
      </c>
      <c r="AP685" s="305">
        <f t="shared" si="22"/>
        <v>0</v>
      </c>
      <c r="AQ685" s="207"/>
      <c r="AR685" s="207"/>
    </row>
    <row r="686" spans="39:44">
      <c r="AM686" s="461" t="str">
        <f>AM664&amp;".5"</f>
        <v>4.0.3.4.3.5</v>
      </c>
      <c r="AN686" s="457" t="s">
        <v>89</v>
      </c>
      <c r="AO686" s="473" t="s">
        <v>786</v>
      </c>
      <c r="AP686" s="305">
        <f t="shared" si="22"/>
        <v>0</v>
      </c>
      <c r="AQ686" s="207"/>
      <c r="AR686" s="207"/>
    </row>
    <row r="687" spans="39:44">
      <c r="AM687" s="461" t="str">
        <f>AM664 &amp; ".6"</f>
        <v>4.0.3.4.3.6</v>
      </c>
      <c r="AN687" s="457" t="s">
        <v>91</v>
      </c>
      <c r="AO687" s="473" t="s">
        <v>786</v>
      </c>
      <c r="AP687" s="305">
        <f t="shared" si="22"/>
        <v>0</v>
      </c>
      <c r="AQ687" s="207"/>
      <c r="AR687" s="207"/>
    </row>
    <row r="688" spans="39:44">
      <c r="AM688" s="461" t="str">
        <f>AM664 &amp; ".7"</f>
        <v>4.0.3.4.3.7</v>
      </c>
      <c r="AN688" s="457" t="s">
        <v>93</v>
      </c>
      <c r="AO688" s="473" t="s">
        <v>786</v>
      </c>
      <c r="AP688" s="305">
        <f t="shared" si="22"/>
        <v>0</v>
      </c>
      <c r="AQ688" s="207"/>
      <c r="AR688" s="207"/>
    </row>
    <row r="689" spans="39:44">
      <c r="AM689" s="461" t="str">
        <f>AM664 &amp; ".8"</f>
        <v>4.0.3.4.3.8</v>
      </c>
      <c r="AN689" s="457" t="s">
        <v>95</v>
      </c>
      <c r="AO689" s="473" t="s">
        <v>786</v>
      </c>
      <c r="AP689" s="305">
        <f t="shared" si="22"/>
        <v>0</v>
      </c>
      <c r="AQ689" s="207"/>
      <c r="AR689" s="207"/>
    </row>
    <row r="690" spans="39:44">
      <c r="AM690" s="461" t="str">
        <f>AM664 &amp; ".9"</f>
        <v>4.0.3.4.3.9</v>
      </c>
      <c r="AN690" s="457" t="s">
        <v>2976</v>
      </c>
      <c r="AO690" s="473" t="s">
        <v>786</v>
      </c>
      <c r="AP690" s="305">
        <f t="shared" si="22"/>
        <v>0</v>
      </c>
      <c r="AQ690" s="207"/>
      <c r="AR690" s="207"/>
    </row>
    <row r="691" spans="39:44">
      <c r="AM691" s="461" t="str">
        <f>AM664 &amp; ".10"</f>
        <v>4.0.3.4.3.10</v>
      </c>
      <c r="AN691" s="457" t="s">
        <v>2978</v>
      </c>
      <c r="AO691" s="473" t="s">
        <v>786</v>
      </c>
      <c r="AP691" s="305">
        <f t="shared" si="22"/>
        <v>0</v>
      </c>
      <c r="AQ691" s="207"/>
      <c r="AR691" s="207"/>
    </row>
    <row r="692" spans="39:44">
      <c r="AM692" s="461" t="str">
        <f>AM664 &amp; ".11"</f>
        <v>4.0.3.4.3.11</v>
      </c>
      <c r="AN692" s="457" t="s">
        <v>2980</v>
      </c>
      <c r="AO692" s="473" t="s">
        <v>786</v>
      </c>
      <c r="AP692" s="305">
        <f t="shared" si="22"/>
        <v>0</v>
      </c>
      <c r="AQ692" s="207"/>
      <c r="AR692" s="207"/>
    </row>
    <row r="693" spans="39:44">
      <c r="AM693" s="461" t="str">
        <f>AM664 &amp; ".12"</f>
        <v>4.0.3.4.3.12</v>
      </c>
      <c r="AN693" s="457" t="s">
        <v>2982</v>
      </c>
      <c r="AO693" s="473" t="s">
        <v>786</v>
      </c>
      <c r="AP693" s="305">
        <f t="shared" si="22"/>
        <v>0</v>
      </c>
      <c r="AQ693" s="207"/>
      <c r="AR693" s="207"/>
    </row>
    <row r="694" spans="39:44" hidden="1">
      <c r="AM694" s="451"/>
      <c r="AN694" s="454"/>
      <c r="AO694" s="473"/>
      <c r="AP694" s="456"/>
      <c r="AQ694" s="207"/>
      <c r="AR694" s="207"/>
    </row>
    <row r="695" spans="39:44" hidden="1">
      <c r="AM695" s="451"/>
      <c r="AN695" s="454"/>
      <c r="AO695" s="473"/>
      <c r="AP695" s="456"/>
      <c r="AQ695" s="207"/>
      <c r="AR695" s="207"/>
    </row>
    <row r="696" spans="39:44">
      <c r="AM696" s="461" t="str">
        <f>AM664 &amp; ".15"</f>
        <v>4.0.3.4.3.15</v>
      </c>
      <c r="AN696" s="457" t="s">
        <v>291</v>
      </c>
      <c r="AO696" s="473" t="s">
        <v>786</v>
      </c>
      <c r="AP696" s="305">
        <f>SUM(AQ696:AR696)</f>
        <v>0</v>
      </c>
      <c r="AQ696" s="207"/>
      <c r="AR696" s="207"/>
    </row>
    <row r="697" spans="39:44" hidden="1">
      <c r="AM697" s="451"/>
      <c r="AN697" s="454"/>
      <c r="AO697" s="473"/>
      <c r="AP697" s="456"/>
      <c r="AQ697" s="207"/>
      <c r="AR697" s="207"/>
    </row>
    <row r="698" spans="39:44">
      <c r="AM698" s="462"/>
      <c r="AN698" s="469" t="s">
        <v>249</v>
      </c>
      <c r="AO698" s="474"/>
      <c r="AP698" s="456"/>
      <c r="AQ698" s="207"/>
      <c r="AR698" s="207"/>
    </row>
    <row r="699" spans="39:44" hidden="1">
      <c r="AM699" s="451"/>
      <c r="AN699" s="454"/>
      <c r="AO699" s="473"/>
      <c r="AP699" s="456"/>
      <c r="AQ699" s="207"/>
      <c r="AR699" s="207"/>
    </row>
    <row r="700" spans="39:44">
      <c r="AM700" s="236" t="s">
        <v>2985</v>
      </c>
      <c r="AN700" s="225" t="s">
        <v>250</v>
      </c>
      <c r="AO700" s="473" t="s">
        <v>251</v>
      </c>
      <c r="AP700" s="257">
        <f>SUM(AQ700:AR700)</f>
        <v>0</v>
      </c>
      <c r="AQ700" s="207"/>
      <c r="AR700" s="207"/>
    </row>
    <row r="701" spans="39:44">
      <c r="AM701" s="236" t="s">
        <v>2987</v>
      </c>
      <c r="AN701" s="225" t="s">
        <v>252</v>
      </c>
      <c r="AO701" s="473" t="s">
        <v>253</v>
      </c>
      <c r="AP701" s="257">
        <f>SUM(AQ701:AR701)</f>
        <v>0</v>
      </c>
      <c r="AQ701" s="207"/>
      <c r="AR701" s="207"/>
    </row>
    <row r="702" spans="39:44">
      <c r="AM702" s="236" t="s">
        <v>2511</v>
      </c>
      <c r="AN702" s="225" t="s">
        <v>3011</v>
      </c>
      <c r="AO702" s="473" t="s">
        <v>786</v>
      </c>
      <c r="AP702" s="257">
        <f>SUM(AQ702:AR702)</f>
        <v>0</v>
      </c>
      <c r="AQ702" s="207"/>
      <c r="AR702" s="207"/>
    </row>
    <row r="703" spans="39:44">
      <c r="AM703" s="239" t="str">
        <f>AM702 &amp; ".1"</f>
        <v>4.13.1.1.1</v>
      </c>
      <c r="AN703" s="245" t="s">
        <v>254</v>
      </c>
      <c r="AO703" s="473" t="s">
        <v>2969</v>
      </c>
      <c r="AP703" s="257">
        <f>IF(AP704=0,0,AP702/AP704)</f>
        <v>0</v>
      </c>
      <c r="AQ703" s="207"/>
      <c r="AR703" s="207"/>
    </row>
    <row r="704" spans="39:44">
      <c r="AM704" s="239" t="str">
        <f>AM702 &amp; ".2"</f>
        <v>4.13.1.1.2</v>
      </c>
      <c r="AN704" s="245" t="s">
        <v>250</v>
      </c>
      <c r="AO704" s="473" t="s">
        <v>251</v>
      </c>
      <c r="AP704" s="257">
        <f>SUM(AQ704:AR704)</f>
        <v>0</v>
      </c>
      <c r="AQ704" s="207"/>
      <c r="AR704" s="207"/>
    </row>
    <row r="705" spans="39:44">
      <c r="AM705" s="236" t="s">
        <v>2512</v>
      </c>
      <c r="AN705" s="248" t="s">
        <v>3015</v>
      </c>
      <c r="AO705" s="473" t="s">
        <v>786</v>
      </c>
      <c r="AP705" s="257">
        <f>SUM(AQ705:AR705)</f>
        <v>0</v>
      </c>
      <c r="AQ705" s="207"/>
      <c r="AR705" s="207"/>
    </row>
    <row r="706" spans="39:44">
      <c r="AM706" s="239" t="str">
        <f>AM705 &amp; ".1"</f>
        <v>4.13.1.2.1</v>
      </c>
      <c r="AN706" s="245" t="s">
        <v>255</v>
      </c>
      <c r="AO706" s="473" t="s">
        <v>2971</v>
      </c>
      <c r="AP706" s="257">
        <f>IF(AP707=0,0,AP705/AP707)</f>
        <v>0</v>
      </c>
      <c r="AQ706" s="207"/>
      <c r="AR706" s="207"/>
    </row>
    <row r="707" spans="39:44">
      <c r="AM707" s="239" t="str">
        <f>AM705 &amp; ".2"</f>
        <v>4.13.1.2.2</v>
      </c>
      <c r="AN707" s="245" t="s">
        <v>256</v>
      </c>
      <c r="AO707" s="473" t="s">
        <v>253</v>
      </c>
      <c r="AP707" s="257">
        <f>SUM(AQ707:AR707)</f>
        <v>0</v>
      </c>
      <c r="AQ707" s="207"/>
      <c r="AR707" s="207"/>
    </row>
    <row r="708" spans="39:44">
      <c r="AM708" s="236" t="s">
        <v>2513</v>
      </c>
      <c r="AN708" s="225" t="s">
        <v>3020</v>
      </c>
      <c r="AO708" s="473" t="s">
        <v>786</v>
      </c>
      <c r="AP708" s="257">
        <f>SUM(AQ708:AR708)</f>
        <v>0</v>
      </c>
      <c r="AQ708" s="207"/>
      <c r="AR708" s="207"/>
    </row>
    <row r="709" spans="39:44">
      <c r="AM709" s="239" t="str">
        <f>AM708 &amp; ".1"</f>
        <v>4.13.2.1.1</v>
      </c>
      <c r="AN709" s="245" t="s">
        <v>254</v>
      </c>
      <c r="AO709" s="473" t="s">
        <v>2969</v>
      </c>
      <c r="AP709" s="257">
        <f>IF(AP710=0,0,AP708/AP710)</f>
        <v>0</v>
      </c>
      <c r="AQ709" s="207"/>
      <c r="AR709" s="207"/>
    </row>
    <row r="710" spans="39:44">
      <c r="AM710" s="239" t="str">
        <f>AM708 &amp; ".2"</f>
        <v>4.13.2.1.2</v>
      </c>
      <c r="AN710" s="245" t="s">
        <v>250</v>
      </c>
      <c r="AO710" s="473" t="s">
        <v>251</v>
      </c>
      <c r="AP710" s="257">
        <f>SUM(AQ710:AR710)</f>
        <v>0</v>
      </c>
      <c r="AQ710" s="207"/>
      <c r="AR710" s="207"/>
    </row>
    <row r="711" spans="39:44">
      <c r="AM711" s="236" t="s">
        <v>2514</v>
      </c>
      <c r="AN711" s="248" t="s">
        <v>3024</v>
      </c>
      <c r="AO711" s="473" t="s">
        <v>786</v>
      </c>
      <c r="AP711" s="257">
        <f>SUM(AQ711:AR711)</f>
        <v>0</v>
      </c>
      <c r="AQ711" s="207"/>
      <c r="AR711" s="207"/>
    </row>
    <row r="712" spans="39:44">
      <c r="AM712" s="239" t="str">
        <f>AM711 &amp; ".1"</f>
        <v>4.13.2.2.1</v>
      </c>
      <c r="AN712" s="245" t="s">
        <v>255</v>
      </c>
      <c r="AO712" s="473" t="s">
        <v>2971</v>
      </c>
      <c r="AP712" s="257">
        <f>IF(AP713=0,0,AP711/AP713)</f>
        <v>0</v>
      </c>
      <c r="AQ712" s="207"/>
      <c r="AR712" s="207"/>
    </row>
    <row r="713" spans="39:44">
      <c r="AM713" s="239" t="str">
        <f>AM711 &amp; ".2"</f>
        <v>4.13.2.2.2</v>
      </c>
      <c r="AN713" s="245" t="s">
        <v>256</v>
      </c>
      <c r="AO713" s="473" t="s">
        <v>253</v>
      </c>
      <c r="AP713" s="257">
        <f>SUM(AQ713:AR713)</f>
        <v>0</v>
      </c>
      <c r="AQ713" s="207"/>
      <c r="AR713" s="207"/>
    </row>
    <row r="714" spans="39:44">
      <c r="AM714" s="236" t="s">
        <v>2515</v>
      </c>
      <c r="AN714" s="225" t="s">
        <v>3028</v>
      </c>
      <c r="AO714" s="473" t="s">
        <v>786</v>
      </c>
      <c r="AP714" s="257">
        <f>SUM(AQ714:AR714)</f>
        <v>0</v>
      </c>
      <c r="AQ714" s="207"/>
      <c r="AR714" s="207"/>
    </row>
    <row r="715" spans="39:44">
      <c r="AM715" s="239" t="str">
        <f>AM714 &amp; ".1"</f>
        <v>4.13.3.1.1</v>
      </c>
      <c r="AN715" s="245" t="s">
        <v>254</v>
      </c>
      <c r="AO715" s="473" t="s">
        <v>2969</v>
      </c>
      <c r="AP715" s="257">
        <f>IF(AP716=0,0,AP714/AP716)</f>
        <v>0</v>
      </c>
      <c r="AQ715" s="207"/>
      <c r="AR715" s="207"/>
    </row>
    <row r="716" spans="39:44">
      <c r="AM716" s="239" t="str">
        <f>AM714 &amp; ".2"</f>
        <v>4.13.3.1.2</v>
      </c>
      <c r="AN716" s="245" t="s">
        <v>250</v>
      </c>
      <c r="AO716" s="473" t="s">
        <v>251</v>
      </c>
      <c r="AP716" s="257">
        <f>SUM(AQ716:AR716)</f>
        <v>0</v>
      </c>
      <c r="AQ716" s="207"/>
      <c r="AR716" s="207"/>
    </row>
    <row r="717" spans="39:44">
      <c r="AM717" s="236" t="s">
        <v>2516</v>
      </c>
      <c r="AN717" s="248" t="s">
        <v>3032</v>
      </c>
      <c r="AO717" s="473" t="s">
        <v>786</v>
      </c>
      <c r="AP717" s="257">
        <f>SUM(AQ717:AR717)</f>
        <v>0</v>
      </c>
      <c r="AQ717" s="207"/>
      <c r="AR717" s="207"/>
    </row>
    <row r="718" spans="39:44">
      <c r="AM718" s="239" t="str">
        <f>AM717 &amp; ".1"</f>
        <v>4.13.3.2.1</v>
      </c>
      <c r="AN718" s="245" t="s">
        <v>255</v>
      </c>
      <c r="AO718" s="473" t="s">
        <v>2971</v>
      </c>
      <c r="AP718" s="257">
        <f>IF(AP719=0,0,AP717/AP719)</f>
        <v>0</v>
      </c>
      <c r="AQ718" s="207"/>
      <c r="AR718" s="207"/>
    </row>
    <row r="719" spans="39:44">
      <c r="AM719" s="239" t="str">
        <f>AM717 &amp; ".2"</f>
        <v>4.13.3.2.2</v>
      </c>
      <c r="AN719" s="245" t="s">
        <v>256</v>
      </c>
      <c r="AO719" s="473" t="s">
        <v>253</v>
      </c>
      <c r="AP719" s="257">
        <f>SUM(AQ719:AR719)</f>
        <v>0</v>
      </c>
      <c r="AQ719" s="207"/>
      <c r="AR719" s="207"/>
    </row>
    <row r="720" spans="39:44">
      <c r="AM720" s="236" t="s">
        <v>2517</v>
      </c>
      <c r="AN720" s="225" t="s">
        <v>3036</v>
      </c>
      <c r="AO720" s="473" t="s">
        <v>786</v>
      </c>
      <c r="AP720" s="257">
        <f>SUM(AQ720:AR720)</f>
        <v>0</v>
      </c>
      <c r="AQ720" s="207"/>
      <c r="AR720" s="207"/>
    </row>
    <row r="721" spans="10:44">
      <c r="AM721" s="239" t="str">
        <f>AM720 &amp; ".1"</f>
        <v>4.13.4.1.1</v>
      </c>
      <c r="AN721" s="245" t="s">
        <v>254</v>
      </c>
      <c r="AO721" s="473" t="s">
        <v>2969</v>
      </c>
      <c r="AP721" s="257">
        <f>IF(AP722=0,0,AP720/AP722)</f>
        <v>0</v>
      </c>
      <c r="AQ721" s="207"/>
      <c r="AR721" s="207"/>
    </row>
    <row r="722" spans="10:44">
      <c r="AM722" s="239" t="str">
        <f>AM720 &amp; ".2"</f>
        <v>4.13.4.1.2</v>
      </c>
      <c r="AN722" s="245" t="s">
        <v>250</v>
      </c>
      <c r="AO722" s="473" t="s">
        <v>251</v>
      </c>
      <c r="AP722" s="257">
        <f>SUM(AQ722:AR722)</f>
        <v>0</v>
      </c>
      <c r="AQ722" s="207"/>
      <c r="AR722" s="207"/>
    </row>
    <row r="723" spans="10:44">
      <c r="AM723" s="236" t="s">
        <v>2518</v>
      </c>
      <c r="AN723" s="248" t="s">
        <v>3040</v>
      </c>
      <c r="AO723" s="473" t="s">
        <v>786</v>
      </c>
      <c r="AP723" s="257">
        <f>SUM(AQ723:AR723)</f>
        <v>0</v>
      </c>
      <c r="AQ723" s="207"/>
      <c r="AR723" s="207"/>
    </row>
    <row r="724" spans="10:44">
      <c r="AM724" s="239" t="str">
        <f>AM723 &amp; ".1"</f>
        <v>4.13.4.2.1</v>
      </c>
      <c r="AN724" s="245" t="s">
        <v>255</v>
      </c>
      <c r="AO724" s="473" t="s">
        <v>2971</v>
      </c>
      <c r="AP724" s="257">
        <f>IF(AP725=0,0,AP723/AP725)</f>
        <v>0</v>
      </c>
      <c r="AQ724" s="207"/>
      <c r="AR724" s="207"/>
    </row>
    <row r="725" spans="10:44">
      <c r="AM725" s="239" t="str">
        <f>AM723 &amp; ".2"</f>
        <v>4.13.4.2.2</v>
      </c>
      <c r="AN725" s="245" t="s">
        <v>256</v>
      </c>
      <c r="AO725" s="473" t="s">
        <v>253</v>
      </c>
      <c r="AP725" s="257">
        <f>SUM(AQ725:AR725)</f>
        <v>0</v>
      </c>
      <c r="AQ725" s="207"/>
      <c r="AR725" s="207"/>
    </row>
    <row r="726" spans="10:44" hidden="1">
      <c r="AM726" s="451"/>
      <c r="AN726" s="454"/>
      <c r="AO726" s="451"/>
      <c r="AP726" s="456"/>
      <c r="AQ726" s="207"/>
      <c r="AR726" s="207"/>
    </row>
    <row r="727" spans="10:44" s="48" customFormat="1" hidden="1">
      <c r="J727" s="213"/>
      <c r="K727" s="213"/>
      <c r="L727" s="213"/>
      <c r="M727" s="213"/>
      <c r="N727" s="213"/>
      <c r="O727" s="213"/>
      <c r="P727" s="213"/>
      <c r="Q727" s="213"/>
      <c r="R727" s="213"/>
      <c r="S727" s="213"/>
      <c r="T727" s="213"/>
      <c r="U727" s="213"/>
      <c r="V727" s="213"/>
      <c r="W727" s="213"/>
      <c r="X727" s="213"/>
      <c r="Y727" s="213"/>
      <c r="Z727" s="213"/>
      <c r="AA727" s="213"/>
      <c r="AB727" s="213"/>
      <c r="AC727" s="213"/>
      <c r="AD727" s="213"/>
      <c r="AE727" s="213"/>
      <c r="AF727" s="213"/>
      <c r="AG727" s="213"/>
      <c r="AH727" s="213"/>
      <c r="AI727" s="213"/>
      <c r="AJ727" s="213"/>
      <c r="AK727" s="213"/>
      <c r="AL727" s="213"/>
      <c r="AM727" s="302"/>
      <c r="AN727" s="302"/>
      <c r="AO727" s="303"/>
      <c r="AP727" s="285"/>
      <c r="AQ727" s="207"/>
      <c r="AR727" s="207"/>
    </row>
    <row r="728" spans="10:44" s="48" customFormat="1" hidden="1">
      <c r="J728" s="213"/>
      <c r="K728" s="213"/>
      <c r="L728" s="213"/>
      <c r="M728" s="213"/>
      <c r="N728" s="213"/>
      <c r="O728" s="213"/>
      <c r="P728" s="213"/>
      <c r="Q728" s="213"/>
      <c r="R728" s="213"/>
      <c r="S728" s="213"/>
      <c r="T728" s="213"/>
      <c r="U728" s="213"/>
      <c r="V728" s="213"/>
      <c r="W728" s="213"/>
      <c r="X728" s="213"/>
      <c r="Y728" s="213"/>
      <c r="Z728" s="213"/>
      <c r="AA728" s="213"/>
      <c r="AB728" s="213"/>
      <c r="AC728" s="213"/>
      <c r="AD728" s="213"/>
      <c r="AE728" s="213"/>
      <c r="AF728" s="213"/>
      <c r="AG728" s="213"/>
      <c r="AH728" s="213"/>
      <c r="AI728" s="213"/>
      <c r="AJ728" s="213"/>
      <c r="AK728" s="213"/>
      <c r="AL728" s="213"/>
      <c r="AM728" s="302"/>
      <c r="AN728" s="302"/>
      <c r="AO728" s="303"/>
      <c r="AP728" s="285"/>
      <c r="AQ728" s="207"/>
      <c r="AR728" s="207"/>
    </row>
    <row r="729" spans="10:44" s="48" customFormat="1" hidden="1">
      <c r="J729" s="213"/>
      <c r="K729" s="213"/>
      <c r="L729" s="213"/>
      <c r="M729" s="213"/>
      <c r="N729" s="213"/>
      <c r="O729" s="213"/>
      <c r="P729" s="213"/>
      <c r="Q729" s="213"/>
      <c r="R729" s="213"/>
      <c r="S729" s="213"/>
      <c r="T729" s="213"/>
      <c r="U729" s="213"/>
      <c r="V729" s="213"/>
      <c r="W729" s="213"/>
      <c r="X729" s="213"/>
      <c r="Y729" s="213"/>
      <c r="Z729" s="213"/>
      <c r="AA729" s="213"/>
      <c r="AB729" s="213"/>
      <c r="AC729" s="213"/>
      <c r="AD729" s="213"/>
      <c r="AE729" s="213"/>
      <c r="AF729" s="213"/>
      <c r="AG729" s="213"/>
      <c r="AH729" s="213"/>
      <c r="AI729" s="213"/>
      <c r="AJ729" s="213"/>
      <c r="AK729" s="213"/>
      <c r="AL729" s="213"/>
      <c r="AM729" s="302"/>
      <c r="AN729" s="302"/>
      <c r="AO729" s="303"/>
      <c r="AP729" s="285"/>
      <c r="AQ729" s="207"/>
      <c r="AR729" s="207"/>
    </row>
    <row r="730" spans="10:44" s="48" customFormat="1" hidden="1">
      <c r="J730" s="213"/>
      <c r="K730" s="213"/>
      <c r="L730" s="213"/>
      <c r="M730" s="213"/>
      <c r="N730" s="213"/>
      <c r="O730" s="213"/>
      <c r="P730" s="213"/>
      <c r="Q730" s="213"/>
      <c r="R730" s="213"/>
      <c r="S730" s="213"/>
      <c r="T730" s="213"/>
      <c r="U730" s="213"/>
      <c r="V730" s="213"/>
      <c r="W730" s="213"/>
      <c r="X730" s="213"/>
      <c r="Y730" s="213"/>
      <c r="Z730" s="213"/>
      <c r="AA730" s="213"/>
      <c r="AB730" s="213"/>
      <c r="AC730" s="213"/>
      <c r="AD730" s="213"/>
      <c r="AE730" s="213"/>
      <c r="AF730" s="213"/>
      <c r="AG730" s="213"/>
      <c r="AH730" s="213"/>
      <c r="AI730" s="213"/>
      <c r="AJ730" s="213"/>
      <c r="AK730" s="213"/>
      <c r="AL730" s="213"/>
      <c r="AM730" s="302"/>
      <c r="AN730" s="302"/>
      <c r="AO730" s="303"/>
      <c r="AP730" s="285"/>
      <c r="AQ730" s="207"/>
      <c r="AR730" s="207"/>
    </row>
    <row r="731" spans="10:44" s="48" customFormat="1" hidden="1">
      <c r="J731" s="213"/>
      <c r="K731" s="213"/>
      <c r="L731" s="213"/>
      <c r="M731" s="213"/>
      <c r="N731" s="213"/>
      <c r="O731" s="213"/>
      <c r="P731" s="213"/>
      <c r="Q731" s="213"/>
      <c r="R731" s="213"/>
      <c r="S731" s="213"/>
      <c r="T731" s="213"/>
      <c r="U731" s="213"/>
      <c r="V731" s="213"/>
      <c r="W731" s="213"/>
      <c r="X731" s="213"/>
      <c r="Y731" s="213"/>
      <c r="Z731" s="213"/>
      <c r="AA731" s="213"/>
      <c r="AB731" s="213"/>
      <c r="AC731" s="213"/>
      <c r="AD731" s="213"/>
      <c r="AE731" s="213"/>
      <c r="AF731" s="213"/>
      <c r="AG731" s="213"/>
      <c r="AH731" s="213"/>
      <c r="AI731" s="213"/>
      <c r="AJ731" s="213"/>
      <c r="AK731" s="213"/>
      <c r="AL731" s="213"/>
      <c r="AM731" s="302"/>
      <c r="AN731" s="302"/>
      <c r="AO731" s="303"/>
      <c r="AP731" s="285"/>
      <c r="AQ731" s="207"/>
      <c r="AR731" s="207"/>
    </row>
    <row r="732" spans="10:44" s="48" customFormat="1" hidden="1">
      <c r="J732" s="213"/>
      <c r="K732" s="213"/>
      <c r="L732" s="213"/>
      <c r="M732" s="213"/>
      <c r="N732" s="213"/>
      <c r="O732" s="213"/>
      <c r="P732" s="213"/>
      <c r="Q732" s="213"/>
      <c r="R732" s="213"/>
      <c r="S732" s="213"/>
      <c r="T732" s="213"/>
      <c r="U732" s="213"/>
      <c r="V732" s="213"/>
      <c r="W732" s="213"/>
      <c r="X732" s="213"/>
      <c r="Y732" s="213"/>
      <c r="Z732" s="213"/>
      <c r="AA732" s="213"/>
      <c r="AB732" s="213"/>
      <c r="AC732" s="213"/>
      <c r="AD732" s="213"/>
      <c r="AE732" s="213"/>
      <c r="AF732" s="213"/>
      <c r="AG732" s="213"/>
      <c r="AH732" s="213"/>
      <c r="AI732" s="213"/>
      <c r="AJ732" s="213"/>
      <c r="AK732" s="213"/>
      <c r="AL732" s="213"/>
      <c r="AM732" s="302"/>
      <c r="AN732" s="302"/>
      <c r="AO732" s="303"/>
      <c r="AP732" s="285"/>
      <c r="AQ732" s="258"/>
      <c r="AR732" s="258"/>
    </row>
    <row r="733" spans="10:44" s="48" customFormat="1" hidden="1">
      <c r="J733" s="213"/>
      <c r="K733" s="213"/>
      <c r="L733" s="213"/>
      <c r="M733" s="213"/>
      <c r="N733" s="213"/>
      <c r="O733" s="213"/>
      <c r="P733" s="213"/>
      <c r="Q733" s="213"/>
      <c r="R733" s="213"/>
      <c r="S733" s="213"/>
      <c r="T733" s="213"/>
      <c r="U733" s="213"/>
      <c r="V733" s="213"/>
      <c r="W733" s="213"/>
      <c r="X733" s="213"/>
      <c r="Y733" s="213"/>
      <c r="Z733" s="213"/>
      <c r="AA733" s="213"/>
      <c r="AB733" s="213"/>
      <c r="AC733" s="213"/>
      <c r="AD733" s="213"/>
      <c r="AE733" s="213"/>
      <c r="AF733" s="213"/>
      <c r="AG733" s="213"/>
      <c r="AH733" s="213"/>
      <c r="AI733" s="213"/>
      <c r="AJ733" s="213"/>
      <c r="AK733" s="213"/>
      <c r="AL733" s="213"/>
      <c r="AM733" s="302"/>
      <c r="AN733" s="302"/>
      <c r="AO733" s="303"/>
      <c r="AP733" s="285"/>
      <c r="AQ733" s="258"/>
      <c r="AR733" s="258"/>
    </row>
    <row r="734" spans="10:44" s="48" customFormat="1" hidden="1">
      <c r="J734" s="213"/>
      <c r="K734" s="213"/>
      <c r="L734" s="213"/>
      <c r="M734" s="213"/>
      <c r="N734" s="213"/>
      <c r="O734" s="213"/>
      <c r="P734" s="213"/>
      <c r="Q734" s="213"/>
      <c r="R734" s="213"/>
      <c r="S734" s="213"/>
      <c r="T734" s="213"/>
      <c r="U734" s="213"/>
      <c r="V734" s="213"/>
      <c r="W734" s="213"/>
      <c r="X734" s="213"/>
      <c r="Y734" s="213"/>
      <c r="Z734" s="213"/>
      <c r="AA734" s="213"/>
      <c r="AB734" s="213"/>
      <c r="AC734" s="213"/>
      <c r="AD734" s="213"/>
      <c r="AE734" s="213"/>
      <c r="AF734" s="213"/>
      <c r="AG734" s="213"/>
      <c r="AH734" s="213"/>
      <c r="AI734" s="213"/>
      <c r="AJ734" s="213"/>
      <c r="AK734" s="213"/>
      <c r="AL734" s="213"/>
      <c r="AM734" s="302"/>
      <c r="AN734" s="302"/>
      <c r="AO734" s="303"/>
      <c r="AP734" s="285"/>
      <c r="AQ734" s="258"/>
      <c r="AR734" s="258"/>
    </row>
    <row r="735" spans="10:44" s="48" customFormat="1" hidden="1">
      <c r="J735" s="213"/>
      <c r="K735" s="213"/>
      <c r="L735" s="213"/>
      <c r="M735" s="213"/>
      <c r="N735" s="213"/>
      <c r="O735" s="213"/>
      <c r="P735" s="213"/>
      <c r="Q735" s="213"/>
      <c r="R735" s="213"/>
      <c r="S735" s="213"/>
      <c r="T735" s="213"/>
      <c r="U735" s="213"/>
      <c r="V735" s="213"/>
      <c r="W735" s="213"/>
      <c r="X735" s="213"/>
      <c r="Y735" s="213"/>
      <c r="Z735" s="213"/>
      <c r="AA735" s="213"/>
      <c r="AB735" s="213"/>
      <c r="AC735" s="213"/>
      <c r="AD735" s="213"/>
      <c r="AE735" s="213"/>
      <c r="AF735" s="213"/>
      <c r="AG735" s="213"/>
      <c r="AH735" s="213"/>
      <c r="AI735" s="213"/>
      <c r="AJ735" s="213"/>
      <c r="AK735" s="213"/>
      <c r="AL735" s="213"/>
      <c r="AM735" s="302"/>
      <c r="AN735" s="302"/>
      <c r="AO735" s="303"/>
      <c r="AP735" s="285"/>
      <c r="AQ735" s="258"/>
      <c r="AR735" s="258"/>
    </row>
    <row r="736" spans="10:44" s="48" customFormat="1" hidden="1">
      <c r="J736" s="213"/>
      <c r="K736" s="213"/>
      <c r="L736" s="213"/>
      <c r="M736" s="213"/>
      <c r="N736" s="213"/>
      <c r="O736" s="213"/>
      <c r="P736" s="213"/>
      <c r="Q736" s="213"/>
      <c r="R736" s="213"/>
      <c r="S736" s="213"/>
      <c r="T736" s="213"/>
      <c r="U736" s="213"/>
      <c r="V736" s="213"/>
      <c r="W736" s="213"/>
      <c r="X736" s="213"/>
      <c r="Y736" s="213"/>
      <c r="Z736" s="213"/>
      <c r="AA736" s="213"/>
      <c r="AB736" s="213"/>
      <c r="AC736" s="213"/>
      <c r="AD736" s="213"/>
      <c r="AE736" s="213"/>
      <c r="AF736" s="213"/>
      <c r="AG736" s="213"/>
      <c r="AH736" s="213"/>
      <c r="AI736" s="213"/>
      <c r="AJ736" s="213"/>
      <c r="AK736" s="213"/>
      <c r="AL736" s="213"/>
      <c r="AM736" s="302"/>
      <c r="AN736" s="302"/>
      <c r="AO736" s="303"/>
      <c r="AP736" s="285"/>
      <c r="AQ736" s="258"/>
      <c r="AR736" s="258"/>
    </row>
    <row r="737" spans="10:44" s="48" customFormat="1" hidden="1">
      <c r="J737" s="213"/>
      <c r="K737" s="213"/>
      <c r="L737" s="213"/>
      <c r="M737" s="213"/>
      <c r="N737" s="213"/>
      <c r="O737" s="213"/>
      <c r="P737" s="213"/>
      <c r="Q737" s="213"/>
      <c r="R737" s="213"/>
      <c r="S737" s="213"/>
      <c r="T737" s="213"/>
      <c r="U737" s="213"/>
      <c r="V737" s="213"/>
      <c r="W737" s="213"/>
      <c r="X737" s="213"/>
      <c r="Y737" s="213"/>
      <c r="Z737" s="213"/>
      <c r="AA737" s="213"/>
      <c r="AB737" s="213"/>
      <c r="AC737" s="213"/>
      <c r="AD737" s="213"/>
      <c r="AE737" s="213"/>
      <c r="AF737" s="213"/>
      <c r="AG737" s="213"/>
      <c r="AH737" s="213"/>
      <c r="AI737" s="213"/>
      <c r="AJ737" s="213"/>
      <c r="AK737" s="213"/>
      <c r="AL737" s="213"/>
      <c r="AM737" s="302"/>
      <c r="AN737" s="302"/>
      <c r="AO737" s="303"/>
      <c r="AP737" s="285"/>
      <c r="AQ737" s="258"/>
      <c r="AR737" s="258"/>
    </row>
    <row r="738" spans="10:44" s="48" customFormat="1" hidden="1">
      <c r="J738" s="213"/>
      <c r="K738" s="213"/>
      <c r="L738" s="213"/>
      <c r="M738" s="213"/>
      <c r="N738" s="213"/>
      <c r="O738" s="213"/>
      <c r="P738" s="213"/>
      <c r="Q738" s="213"/>
      <c r="R738" s="213"/>
      <c r="S738" s="213"/>
      <c r="T738" s="213"/>
      <c r="U738" s="213"/>
      <c r="V738" s="213"/>
      <c r="W738" s="213"/>
      <c r="X738" s="213"/>
      <c r="Y738" s="213"/>
      <c r="Z738" s="213"/>
      <c r="AA738" s="213"/>
      <c r="AB738" s="213"/>
      <c r="AC738" s="213"/>
      <c r="AD738" s="213"/>
      <c r="AE738" s="213"/>
      <c r="AF738" s="213"/>
      <c r="AG738" s="213"/>
      <c r="AH738" s="213"/>
      <c r="AI738" s="213"/>
      <c r="AJ738" s="213"/>
      <c r="AK738" s="213"/>
      <c r="AL738" s="213"/>
      <c r="AM738" s="302"/>
      <c r="AN738" s="302"/>
      <c r="AO738" s="303"/>
      <c r="AP738" s="285"/>
      <c r="AQ738" s="258"/>
      <c r="AR738" s="258"/>
    </row>
    <row r="739" spans="10:44" s="48" customFormat="1" hidden="1">
      <c r="J739" s="213"/>
      <c r="K739" s="213"/>
      <c r="L739" s="213"/>
      <c r="M739" s="213"/>
      <c r="N739" s="213"/>
      <c r="O739" s="213"/>
      <c r="P739" s="213"/>
      <c r="Q739" s="213"/>
      <c r="R739" s="213"/>
      <c r="S739" s="213"/>
      <c r="T739" s="213"/>
      <c r="U739" s="213"/>
      <c r="V739" s="213"/>
      <c r="W739" s="213"/>
      <c r="X739" s="213"/>
      <c r="Y739" s="213"/>
      <c r="Z739" s="213"/>
      <c r="AA739" s="213"/>
      <c r="AB739" s="213"/>
      <c r="AC739" s="213"/>
      <c r="AD739" s="213"/>
      <c r="AE739" s="213"/>
      <c r="AF739" s="213"/>
      <c r="AG739" s="213"/>
      <c r="AH739" s="213"/>
      <c r="AI739" s="213"/>
      <c r="AJ739" s="213"/>
      <c r="AK739" s="213"/>
      <c r="AL739" s="213"/>
      <c r="AM739" s="302"/>
      <c r="AN739" s="302"/>
      <c r="AO739" s="303"/>
      <c r="AP739" s="285"/>
      <c r="AQ739" s="258"/>
      <c r="AR739" s="258"/>
    </row>
    <row r="740" spans="10:44" s="48" customFormat="1" hidden="1">
      <c r="J740" s="213"/>
      <c r="K740" s="213"/>
      <c r="L740" s="213"/>
      <c r="M740" s="213"/>
      <c r="N740" s="213"/>
      <c r="O740" s="213"/>
      <c r="P740" s="213"/>
      <c r="Q740" s="213"/>
      <c r="R740" s="213"/>
      <c r="S740" s="213"/>
      <c r="T740" s="213"/>
      <c r="U740" s="213"/>
      <c r="V740" s="213"/>
      <c r="W740" s="213"/>
      <c r="X740" s="213"/>
      <c r="Y740" s="213"/>
      <c r="Z740" s="213"/>
      <c r="AA740" s="213"/>
      <c r="AB740" s="213"/>
      <c r="AC740" s="213"/>
      <c r="AD740" s="213"/>
      <c r="AE740" s="213"/>
      <c r="AF740" s="213"/>
      <c r="AG740" s="213"/>
      <c r="AH740" s="213"/>
      <c r="AI740" s="213"/>
      <c r="AJ740" s="213"/>
      <c r="AK740" s="213"/>
      <c r="AL740" s="213"/>
      <c r="AM740" s="302"/>
      <c r="AN740" s="302"/>
      <c r="AO740" s="303"/>
      <c r="AP740" s="285"/>
      <c r="AQ740" s="258"/>
      <c r="AR740" s="258"/>
    </row>
    <row r="741" spans="10:44" s="48" customFormat="1" hidden="1">
      <c r="J741" s="213"/>
      <c r="K741" s="213"/>
      <c r="L741" s="213"/>
      <c r="M741" s="213"/>
      <c r="N741" s="213"/>
      <c r="O741" s="213"/>
      <c r="P741" s="213"/>
      <c r="Q741" s="213"/>
      <c r="R741" s="213"/>
      <c r="S741" s="213"/>
      <c r="T741" s="213"/>
      <c r="U741" s="213"/>
      <c r="V741" s="213"/>
      <c r="W741" s="213"/>
      <c r="X741" s="213"/>
      <c r="Y741" s="213"/>
      <c r="Z741" s="213"/>
      <c r="AA741" s="213"/>
      <c r="AB741" s="213"/>
      <c r="AC741" s="213"/>
      <c r="AD741" s="213"/>
      <c r="AE741" s="213"/>
      <c r="AF741" s="213"/>
      <c r="AG741" s="213"/>
      <c r="AH741" s="213"/>
      <c r="AI741" s="213"/>
      <c r="AJ741" s="213"/>
      <c r="AK741" s="213"/>
      <c r="AL741" s="213"/>
      <c r="AM741" s="302"/>
      <c r="AN741" s="302"/>
      <c r="AO741" s="303"/>
      <c r="AP741" s="285"/>
      <c r="AQ741" s="258"/>
      <c r="AR741" s="258"/>
    </row>
    <row r="742" spans="10:44" s="48" customFormat="1" hidden="1">
      <c r="J742" s="213"/>
      <c r="K742" s="213"/>
      <c r="L742" s="213"/>
      <c r="M742" s="213"/>
      <c r="N742" s="213"/>
      <c r="O742" s="213"/>
      <c r="P742" s="213"/>
      <c r="Q742" s="213"/>
      <c r="R742" s="213"/>
      <c r="S742" s="213"/>
      <c r="T742" s="213"/>
      <c r="U742" s="213"/>
      <c r="V742" s="213"/>
      <c r="W742" s="213"/>
      <c r="X742" s="213"/>
      <c r="Y742" s="213"/>
      <c r="Z742" s="213"/>
      <c r="AA742" s="213"/>
      <c r="AB742" s="213"/>
      <c r="AC742" s="213"/>
      <c r="AD742" s="213"/>
      <c r="AE742" s="213"/>
      <c r="AF742" s="213"/>
      <c r="AG742" s="213"/>
      <c r="AH742" s="213"/>
      <c r="AI742" s="213"/>
      <c r="AJ742" s="213"/>
      <c r="AK742" s="213"/>
      <c r="AL742" s="213"/>
      <c r="AM742" s="302"/>
      <c r="AN742" s="302"/>
      <c r="AO742" s="303"/>
      <c r="AP742" s="285"/>
      <c r="AQ742" s="258"/>
      <c r="AR742" s="258"/>
    </row>
    <row r="743" spans="10:44" s="48" customFormat="1" hidden="1">
      <c r="J743" s="213"/>
      <c r="K743" s="213"/>
      <c r="L743" s="213"/>
      <c r="M743" s="213"/>
      <c r="N743" s="213"/>
      <c r="O743" s="213"/>
      <c r="P743" s="213"/>
      <c r="Q743" s="213"/>
      <c r="R743" s="213"/>
      <c r="S743" s="213"/>
      <c r="T743" s="213"/>
      <c r="U743" s="213"/>
      <c r="V743" s="213"/>
      <c r="W743" s="213"/>
      <c r="X743" s="213"/>
      <c r="Y743" s="213"/>
      <c r="Z743" s="213"/>
      <c r="AA743" s="213"/>
      <c r="AB743" s="213"/>
      <c r="AC743" s="213"/>
      <c r="AD743" s="213"/>
      <c r="AE743" s="213"/>
      <c r="AF743" s="213"/>
      <c r="AG743" s="213"/>
      <c r="AH743" s="213"/>
      <c r="AI743" s="213"/>
      <c r="AJ743" s="213"/>
      <c r="AK743" s="213"/>
      <c r="AL743" s="213"/>
      <c r="AM743" s="302"/>
      <c r="AN743" s="302"/>
      <c r="AO743" s="303"/>
      <c r="AP743" s="285"/>
      <c r="AQ743" s="258"/>
      <c r="AR743" s="258"/>
    </row>
    <row r="744" spans="10:44" s="48" customFormat="1" hidden="1">
      <c r="J744" s="213"/>
      <c r="K744" s="213"/>
      <c r="L744" s="213"/>
      <c r="M744" s="213"/>
      <c r="N744" s="213"/>
      <c r="O744" s="213"/>
      <c r="P744" s="213"/>
      <c r="Q744" s="213"/>
      <c r="R744" s="213"/>
      <c r="S744" s="213"/>
      <c r="T744" s="213"/>
      <c r="U744" s="213"/>
      <c r="V744" s="213"/>
      <c r="W744" s="213"/>
      <c r="X744" s="213"/>
      <c r="Y744" s="213"/>
      <c r="Z744" s="213"/>
      <c r="AA744" s="213"/>
      <c r="AB744" s="213"/>
      <c r="AC744" s="213"/>
      <c r="AD744" s="213"/>
      <c r="AE744" s="213"/>
      <c r="AF744" s="213"/>
      <c r="AG744" s="213"/>
      <c r="AH744" s="213"/>
      <c r="AI744" s="213"/>
      <c r="AJ744" s="213"/>
      <c r="AK744" s="213"/>
      <c r="AL744" s="213"/>
      <c r="AM744" s="302"/>
      <c r="AN744" s="302"/>
      <c r="AO744" s="303"/>
      <c r="AP744" s="285"/>
      <c r="AQ744" s="258"/>
      <c r="AR744" s="258"/>
    </row>
    <row r="745" spans="10:44" s="48" customFormat="1" hidden="1">
      <c r="J745" s="213"/>
      <c r="K745" s="213"/>
      <c r="L745" s="213"/>
      <c r="M745" s="213"/>
      <c r="N745" s="213"/>
      <c r="O745" s="213"/>
      <c r="P745" s="213"/>
      <c r="Q745" s="213"/>
      <c r="R745" s="213"/>
      <c r="S745" s="213"/>
      <c r="T745" s="213"/>
      <c r="U745" s="213"/>
      <c r="V745" s="213"/>
      <c r="W745" s="213"/>
      <c r="X745" s="213"/>
      <c r="Y745" s="213"/>
      <c r="Z745" s="213"/>
      <c r="AA745" s="213"/>
      <c r="AB745" s="213"/>
      <c r="AC745" s="213"/>
      <c r="AD745" s="213"/>
      <c r="AE745" s="213"/>
      <c r="AF745" s="213"/>
      <c r="AG745" s="213"/>
      <c r="AH745" s="213"/>
      <c r="AI745" s="213"/>
      <c r="AJ745" s="213"/>
      <c r="AK745" s="213"/>
      <c r="AL745" s="213"/>
      <c r="AM745" s="302"/>
      <c r="AN745" s="302"/>
      <c r="AO745" s="303"/>
      <c r="AP745" s="285"/>
      <c r="AQ745" s="258"/>
      <c r="AR745" s="258"/>
    </row>
    <row r="746" spans="10:44" s="48" customFormat="1" hidden="1">
      <c r="J746" s="213"/>
      <c r="K746" s="213"/>
      <c r="L746" s="213"/>
      <c r="M746" s="213"/>
      <c r="N746" s="213"/>
      <c r="O746" s="213"/>
      <c r="P746" s="213"/>
      <c r="Q746" s="213"/>
      <c r="R746" s="213"/>
      <c r="S746" s="213"/>
      <c r="T746" s="213"/>
      <c r="U746" s="213"/>
      <c r="V746" s="213"/>
      <c r="W746" s="213"/>
      <c r="X746" s="213"/>
      <c r="Y746" s="213"/>
      <c r="Z746" s="213"/>
      <c r="AA746" s="213"/>
      <c r="AB746" s="213"/>
      <c r="AC746" s="213"/>
      <c r="AD746" s="213"/>
      <c r="AE746" s="213"/>
      <c r="AF746" s="213"/>
      <c r="AG746" s="213"/>
      <c r="AH746" s="213"/>
      <c r="AI746" s="213"/>
      <c r="AJ746" s="213"/>
      <c r="AK746" s="213"/>
      <c r="AL746" s="213"/>
      <c r="AM746" s="302"/>
      <c r="AN746" s="302"/>
      <c r="AO746" s="303"/>
      <c r="AP746" s="285"/>
      <c r="AQ746" s="258"/>
      <c r="AR746" s="258"/>
    </row>
    <row r="747" spans="10:44" s="48" customFormat="1" hidden="1">
      <c r="J747" s="213"/>
      <c r="K747" s="213"/>
      <c r="L747" s="213"/>
      <c r="M747" s="213"/>
      <c r="N747" s="213"/>
      <c r="O747" s="213"/>
      <c r="P747" s="213"/>
      <c r="Q747" s="213"/>
      <c r="R747" s="213"/>
      <c r="S747" s="213"/>
      <c r="T747" s="213"/>
      <c r="U747" s="213"/>
      <c r="V747" s="213"/>
      <c r="W747" s="213"/>
      <c r="X747" s="213"/>
      <c r="Y747" s="213"/>
      <c r="Z747" s="213"/>
      <c r="AA747" s="213"/>
      <c r="AB747" s="213"/>
      <c r="AC747" s="213"/>
      <c r="AD747" s="213"/>
      <c r="AE747" s="213"/>
      <c r="AF747" s="213"/>
      <c r="AG747" s="213"/>
      <c r="AH747" s="213"/>
      <c r="AI747" s="213"/>
      <c r="AJ747" s="213"/>
      <c r="AK747" s="213"/>
      <c r="AL747" s="213"/>
      <c r="AM747" s="302"/>
      <c r="AN747" s="302"/>
      <c r="AO747" s="303"/>
      <c r="AP747" s="285"/>
      <c r="AQ747" s="258"/>
      <c r="AR747" s="258"/>
    </row>
    <row r="748" spans="10:44" s="48" customFormat="1" hidden="1">
      <c r="J748" s="213"/>
      <c r="K748" s="213"/>
      <c r="L748" s="213"/>
      <c r="M748" s="213"/>
      <c r="N748" s="213"/>
      <c r="O748" s="213"/>
      <c r="P748" s="213"/>
      <c r="Q748" s="213"/>
      <c r="R748" s="213"/>
      <c r="S748" s="213"/>
      <c r="T748" s="213"/>
      <c r="U748" s="213"/>
      <c r="V748" s="213"/>
      <c r="W748" s="213"/>
      <c r="X748" s="213"/>
      <c r="Y748" s="213"/>
      <c r="Z748" s="213"/>
      <c r="AA748" s="213"/>
      <c r="AB748" s="213"/>
      <c r="AC748" s="213"/>
      <c r="AD748" s="213"/>
      <c r="AE748" s="213"/>
      <c r="AF748" s="213"/>
      <c r="AG748" s="213"/>
      <c r="AH748" s="213"/>
      <c r="AI748" s="213"/>
      <c r="AJ748" s="213"/>
      <c r="AK748" s="213"/>
      <c r="AL748" s="213"/>
      <c r="AM748" s="302"/>
      <c r="AN748" s="302"/>
      <c r="AO748" s="303"/>
      <c r="AP748" s="285"/>
      <c r="AQ748" s="258"/>
      <c r="AR748" s="258"/>
    </row>
    <row r="749" spans="10:44" s="48" customFormat="1" hidden="1">
      <c r="J749" s="213"/>
      <c r="K749" s="213"/>
      <c r="L749" s="213"/>
      <c r="M749" s="213"/>
      <c r="N749" s="213"/>
      <c r="O749" s="213"/>
      <c r="P749" s="213"/>
      <c r="Q749" s="213"/>
      <c r="R749" s="213"/>
      <c r="S749" s="213"/>
      <c r="T749" s="213"/>
      <c r="U749" s="213"/>
      <c r="V749" s="213"/>
      <c r="W749" s="213"/>
      <c r="X749" s="213"/>
      <c r="Y749" s="213"/>
      <c r="Z749" s="213"/>
      <c r="AA749" s="213"/>
      <c r="AB749" s="213"/>
      <c r="AC749" s="213"/>
      <c r="AD749" s="213"/>
      <c r="AE749" s="213"/>
      <c r="AF749" s="213"/>
      <c r="AG749" s="213"/>
      <c r="AH749" s="213"/>
      <c r="AI749" s="213"/>
      <c r="AJ749" s="213"/>
      <c r="AK749" s="213"/>
      <c r="AL749" s="213"/>
      <c r="AM749" s="302"/>
      <c r="AN749" s="302"/>
      <c r="AO749" s="303"/>
      <c r="AP749" s="285"/>
      <c r="AQ749" s="258"/>
      <c r="AR749" s="258"/>
    </row>
    <row r="750" spans="10:44" s="48" customFormat="1" hidden="1">
      <c r="J750" s="213"/>
      <c r="K750" s="213"/>
      <c r="L750" s="213"/>
      <c r="M750" s="213"/>
      <c r="N750" s="213"/>
      <c r="O750" s="213"/>
      <c r="P750" s="213"/>
      <c r="Q750" s="213"/>
      <c r="R750" s="213"/>
      <c r="S750" s="213"/>
      <c r="T750" s="213"/>
      <c r="U750" s="213"/>
      <c r="V750" s="213"/>
      <c r="W750" s="213"/>
      <c r="X750" s="213"/>
      <c r="Y750" s="213"/>
      <c r="Z750" s="213"/>
      <c r="AA750" s="213"/>
      <c r="AB750" s="213"/>
      <c r="AC750" s="213"/>
      <c r="AD750" s="213"/>
      <c r="AE750" s="213"/>
      <c r="AF750" s="213"/>
      <c r="AG750" s="213"/>
      <c r="AH750" s="213"/>
      <c r="AI750" s="213"/>
      <c r="AJ750" s="213"/>
      <c r="AK750" s="213"/>
      <c r="AL750" s="213"/>
      <c r="AM750" s="302"/>
      <c r="AN750" s="302"/>
      <c r="AO750" s="303"/>
      <c r="AP750" s="285"/>
      <c r="AQ750" s="258"/>
      <c r="AR750" s="258"/>
    </row>
    <row r="751" spans="10:44" s="48" customFormat="1" hidden="1">
      <c r="J751" s="213"/>
      <c r="K751" s="213"/>
      <c r="L751" s="213"/>
      <c r="M751" s="213"/>
      <c r="N751" s="213"/>
      <c r="O751" s="213"/>
      <c r="P751" s="213"/>
      <c r="Q751" s="213"/>
      <c r="R751" s="213"/>
      <c r="S751" s="213"/>
      <c r="T751" s="213"/>
      <c r="U751" s="213"/>
      <c r="V751" s="213"/>
      <c r="W751" s="213"/>
      <c r="X751" s="213"/>
      <c r="Y751" s="213"/>
      <c r="Z751" s="213"/>
      <c r="AA751" s="213"/>
      <c r="AB751" s="213"/>
      <c r="AC751" s="213"/>
      <c r="AD751" s="213"/>
      <c r="AE751" s="213"/>
      <c r="AF751" s="213"/>
      <c r="AG751" s="213"/>
      <c r="AH751" s="213"/>
      <c r="AI751" s="213"/>
      <c r="AJ751" s="213"/>
      <c r="AK751" s="213"/>
      <c r="AL751" s="213"/>
      <c r="AM751" s="302"/>
      <c r="AN751" s="302"/>
      <c r="AO751" s="303"/>
      <c r="AP751" s="285"/>
      <c r="AQ751" s="258"/>
      <c r="AR751" s="258"/>
    </row>
    <row r="752" spans="10:44" s="48" customFormat="1" hidden="1">
      <c r="J752" s="213"/>
      <c r="K752" s="213"/>
      <c r="L752" s="213"/>
      <c r="M752" s="213"/>
      <c r="N752" s="213"/>
      <c r="O752" s="213"/>
      <c r="P752" s="213"/>
      <c r="Q752" s="213"/>
      <c r="R752" s="213"/>
      <c r="S752" s="213"/>
      <c r="T752" s="213"/>
      <c r="U752" s="213"/>
      <c r="V752" s="213"/>
      <c r="W752" s="213"/>
      <c r="X752" s="213"/>
      <c r="Y752" s="213"/>
      <c r="Z752" s="213"/>
      <c r="AA752" s="213"/>
      <c r="AB752" s="213"/>
      <c r="AC752" s="213"/>
      <c r="AD752" s="213"/>
      <c r="AE752" s="213"/>
      <c r="AF752" s="213"/>
      <c r="AG752" s="213"/>
      <c r="AH752" s="213"/>
      <c r="AI752" s="213"/>
      <c r="AJ752" s="213"/>
      <c r="AK752" s="213"/>
      <c r="AL752" s="213"/>
      <c r="AM752" s="302"/>
      <c r="AN752" s="302"/>
      <c r="AO752" s="303"/>
      <c r="AP752" s="285"/>
      <c r="AQ752" s="258"/>
      <c r="AR752" s="258"/>
    </row>
    <row r="753" spans="10:44" s="48" customFormat="1" hidden="1">
      <c r="J753" s="213"/>
      <c r="K753" s="213"/>
      <c r="L753" s="213"/>
      <c r="M753" s="213"/>
      <c r="N753" s="213"/>
      <c r="O753" s="213"/>
      <c r="P753" s="213"/>
      <c r="Q753" s="213"/>
      <c r="R753" s="213"/>
      <c r="S753" s="213"/>
      <c r="T753" s="213"/>
      <c r="U753" s="213"/>
      <c r="V753" s="213"/>
      <c r="W753" s="213"/>
      <c r="X753" s="213"/>
      <c r="Y753" s="213"/>
      <c r="Z753" s="213"/>
      <c r="AA753" s="213"/>
      <c r="AB753" s="213"/>
      <c r="AC753" s="213"/>
      <c r="AD753" s="213"/>
      <c r="AE753" s="213"/>
      <c r="AF753" s="213"/>
      <c r="AG753" s="213"/>
      <c r="AH753" s="213"/>
      <c r="AI753" s="213"/>
      <c r="AJ753" s="213"/>
      <c r="AK753" s="213"/>
      <c r="AL753" s="213"/>
      <c r="AM753" s="302"/>
      <c r="AN753" s="302"/>
      <c r="AO753" s="303"/>
      <c r="AP753" s="285"/>
      <c r="AQ753" s="258"/>
      <c r="AR753" s="258"/>
    </row>
    <row r="754" spans="10:44" s="48" customFormat="1" hidden="1">
      <c r="J754" s="213"/>
      <c r="K754" s="213"/>
      <c r="L754" s="213"/>
      <c r="M754" s="213"/>
      <c r="N754" s="213"/>
      <c r="O754" s="213"/>
      <c r="P754" s="213"/>
      <c r="Q754" s="213"/>
      <c r="R754" s="213"/>
      <c r="S754" s="213"/>
      <c r="T754" s="213"/>
      <c r="U754" s="213"/>
      <c r="V754" s="213"/>
      <c r="W754" s="213"/>
      <c r="X754" s="213"/>
      <c r="Y754" s="213"/>
      <c r="Z754" s="213"/>
      <c r="AA754" s="213"/>
      <c r="AB754" s="213"/>
      <c r="AC754" s="213"/>
      <c r="AD754" s="213"/>
      <c r="AE754" s="213"/>
      <c r="AF754" s="213"/>
      <c r="AG754" s="213"/>
      <c r="AH754" s="213"/>
      <c r="AI754" s="213"/>
      <c r="AJ754" s="213"/>
      <c r="AK754" s="213"/>
      <c r="AL754" s="213"/>
      <c r="AM754" s="302"/>
      <c r="AN754" s="302"/>
      <c r="AO754" s="303"/>
      <c r="AP754" s="285"/>
      <c r="AQ754" s="258"/>
      <c r="AR754" s="258"/>
    </row>
    <row r="755" spans="10:44" s="48" customFormat="1" hidden="1">
      <c r="J755" s="213"/>
      <c r="K755" s="213"/>
      <c r="L755" s="213"/>
      <c r="M755" s="213"/>
      <c r="N755" s="213"/>
      <c r="O755" s="213"/>
      <c r="P755" s="213"/>
      <c r="Q755" s="213"/>
      <c r="R755" s="213"/>
      <c r="S755" s="213"/>
      <c r="T755" s="213"/>
      <c r="U755" s="213"/>
      <c r="V755" s="213"/>
      <c r="W755" s="213"/>
      <c r="X755" s="213"/>
      <c r="Y755" s="213"/>
      <c r="Z755" s="213"/>
      <c r="AA755" s="213"/>
      <c r="AB755" s="213"/>
      <c r="AC755" s="213"/>
      <c r="AD755" s="213"/>
      <c r="AE755" s="213"/>
      <c r="AF755" s="213"/>
      <c r="AG755" s="213"/>
      <c r="AH755" s="213"/>
      <c r="AI755" s="213"/>
      <c r="AJ755" s="213"/>
      <c r="AK755" s="213"/>
      <c r="AL755" s="213"/>
      <c r="AM755" s="302"/>
      <c r="AN755" s="302"/>
      <c r="AO755" s="303"/>
      <c r="AP755" s="285"/>
      <c r="AQ755" s="258"/>
      <c r="AR755" s="258"/>
    </row>
    <row r="756" spans="10:44" s="48" customFormat="1" hidden="1">
      <c r="J756" s="213"/>
      <c r="K756" s="213"/>
      <c r="L756" s="213"/>
      <c r="M756" s="213"/>
      <c r="N756" s="213"/>
      <c r="O756" s="213"/>
      <c r="P756" s="213"/>
      <c r="Q756" s="213"/>
      <c r="R756" s="213"/>
      <c r="S756" s="213"/>
      <c r="T756" s="213"/>
      <c r="U756" s="213"/>
      <c r="V756" s="213"/>
      <c r="W756" s="213"/>
      <c r="X756" s="213"/>
      <c r="Y756" s="213"/>
      <c r="Z756" s="213"/>
      <c r="AA756" s="213"/>
      <c r="AB756" s="213"/>
      <c r="AC756" s="213"/>
      <c r="AD756" s="213"/>
      <c r="AE756" s="213"/>
      <c r="AF756" s="213"/>
      <c r="AG756" s="213"/>
      <c r="AH756" s="213"/>
      <c r="AI756" s="213"/>
      <c r="AJ756" s="213"/>
      <c r="AK756" s="213"/>
      <c r="AL756" s="213"/>
      <c r="AM756" s="302"/>
      <c r="AN756" s="302"/>
      <c r="AO756" s="303"/>
      <c r="AP756" s="285"/>
      <c r="AQ756" s="258"/>
      <c r="AR756" s="258"/>
    </row>
    <row r="757" spans="10:44" s="48" customFormat="1" hidden="1">
      <c r="J757" s="213"/>
      <c r="K757" s="213"/>
      <c r="L757" s="213"/>
      <c r="M757" s="213"/>
      <c r="N757" s="213"/>
      <c r="O757" s="213"/>
      <c r="P757" s="213"/>
      <c r="Q757" s="213"/>
      <c r="R757" s="213"/>
      <c r="S757" s="213"/>
      <c r="T757" s="213"/>
      <c r="U757" s="213"/>
      <c r="V757" s="213"/>
      <c r="W757" s="213"/>
      <c r="X757" s="213"/>
      <c r="Y757" s="213"/>
      <c r="Z757" s="213"/>
      <c r="AA757" s="213"/>
      <c r="AB757" s="213"/>
      <c r="AC757" s="213"/>
      <c r="AD757" s="213"/>
      <c r="AE757" s="213"/>
      <c r="AF757" s="213"/>
      <c r="AG757" s="213"/>
      <c r="AH757" s="213"/>
      <c r="AI757" s="213"/>
      <c r="AJ757" s="213"/>
      <c r="AK757" s="213"/>
      <c r="AL757" s="213"/>
      <c r="AM757" s="302"/>
      <c r="AN757" s="302"/>
      <c r="AO757" s="303"/>
      <c r="AP757" s="285"/>
      <c r="AQ757" s="258"/>
      <c r="AR757" s="258"/>
    </row>
    <row r="758" spans="10:44" s="48" customFormat="1" hidden="1">
      <c r="J758" s="213"/>
      <c r="K758" s="213"/>
      <c r="L758" s="213"/>
      <c r="M758" s="213"/>
      <c r="N758" s="213"/>
      <c r="O758" s="213"/>
      <c r="P758" s="213"/>
      <c r="Q758" s="213"/>
      <c r="R758" s="213"/>
      <c r="S758" s="213"/>
      <c r="T758" s="213"/>
      <c r="U758" s="213"/>
      <c r="V758" s="213"/>
      <c r="W758" s="213"/>
      <c r="X758" s="213"/>
      <c r="Y758" s="213"/>
      <c r="Z758" s="213"/>
      <c r="AA758" s="213"/>
      <c r="AB758" s="213"/>
      <c r="AC758" s="213"/>
      <c r="AD758" s="213"/>
      <c r="AE758" s="213"/>
      <c r="AF758" s="213"/>
      <c r="AG758" s="213"/>
      <c r="AH758" s="213"/>
      <c r="AI758" s="213"/>
      <c r="AJ758" s="213"/>
      <c r="AK758" s="213"/>
      <c r="AL758" s="213"/>
      <c r="AM758" s="302"/>
      <c r="AN758" s="302"/>
      <c r="AO758" s="303"/>
      <c r="AP758" s="285"/>
      <c r="AQ758" s="258"/>
      <c r="AR758" s="258"/>
    </row>
    <row r="759" spans="10:44" s="48" customFormat="1" hidden="1">
      <c r="J759" s="213"/>
      <c r="K759" s="213"/>
      <c r="L759" s="213"/>
      <c r="M759" s="213"/>
      <c r="N759" s="213"/>
      <c r="O759" s="213"/>
      <c r="P759" s="213"/>
      <c r="Q759" s="213"/>
      <c r="R759" s="213"/>
      <c r="S759" s="213"/>
      <c r="T759" s="213"/>
      <c r="U759" s="213"/>
      <c r="V759" s="213"/>
      <c r="W759" s="213"/>
      <c r="X759" s="213"/>
      <c r="Y759" s="213"/>
      <c r="Z759" s="213"/>
      <c r="AA759" s="213"/>
      <c r="AB759" s="213"/>
      <c r="AC759" s="213"/>
      <c r="AD759" s="213"/>
      <c r="AE759" s="213"/>
      <c r="AF759" s="213"/>
      <c r="AG759" s="213"/>
      <c r="AH759" s="213"/>
      <c r="AI759" s="213"/>
      <c r="AJ759" s="213"/>
      <c r="AK759" s="213"/>
      <c r="AL759" s="213"/>
      <c r="AM759" s="302"/>
      <c r="AN759" s="302"/>
      <c r="AO759" s="303"/>
      <c r="AP759" s="285"/>
      <c r="AQ759" s="258"/>
      <c r="AR759" s="258"/>
    </row>
    <row r="760" spans="10:44" s="48" customFormat="1" hidden="1">
      <c r="J760" s="213"/>
      <c r="K760" s="213"/>
      <c r="L760" s="213"/>
      <c r="M760" s="213"/>
      <c r="N760" s="213"/>
      <c r="O760" s="213"/>
      <c r="P760" s="213"/>
      <c r="Q760" s="213"/>
      <c r="R760" s="213"/>
      <c r="S760" s="213"/>
      <c r="T760" s="213"/>
      <c r="U760" s="213"/>
      <c r="V760" s="213"/>
      <c r="W760" s="213"/>
      <c r="X760" s="213"/>
      <c r="Y760" s="213"/>
      <c r="Z760" s="213"/>
      <c r="AA760" s="213"/>
      <c r="AB760" s="213"/>
      <c r="AC760" s="213"/>
      <c r="AD760" s="213"/>
      <c r="AE760" s="213"/>
      <c r="AF760" s="213"/>
      <c r="AG760" s="213"/>
      <c r="AH760" s="213"/>
      <c r="AI760" s="213"/>
      <c r="AJ760" s="213"/>
      <c r="AK760" s="213"/>
      <c r="AL760" s="213"/>
      <c r="AM760" s="302"/>
      <c r="AN760" s="302"/>
      <c r="AO760" s="303"/>
      <c r="AP760" s="285"/>
      <c r="AQ760" s="258"/>
      <c r="AR760" s="258"/>
    </row>
    <row r="761" spans="10:44" s="48" customFormat="1" hidden="1">
      <c r="J761" s="213"/>
      <c r="K761" s="213"/>
      <c r="L761" s="213"/>
      <c r="M761" s="213"/>
      <c r="N761" s="213"/>
      <c r="O761" s="213"/>
      <c r="P761" s="213"/>
      <c r="Q761" s="213"/>
      <c r="R761" s="213"/>
      <c r="S761" s="213"/>
      <c r="T761" s="213"/>
      <c r="U761" s="213"/>
      <c r="V761" s="213"/>
      <c r="W761" s="213"/>
      <c r="X761" s="213"/>
      <c r="Y761" s="213"/>
      <c r="Z761" s="213"/>
      <c r="AA761" s="213"/>
      <c r="AB761" s="213"/>
      <c r="AC761" s="213"/>
      <c r="AD761" s="213"/>
      <c r="AE761" s="213"/>
      <c r="AF761" s="213"/>
      <c r="AG761" s="213"/>
      <c r="AH761" s="213"/>
      <c r="AI761" s="213"/>
      <c r="AJ761" s="213"/>
      <c r="AK761" s="213"/>
      <c r="AL761" s="213"/>
      <c r="AM761" s="302"/>
      <c r="AN761" s="302"/>
      <c r="AO761" s="303"/>
      <c r="AP761" s="285"/>
      <c r="AQ761" s="258"/>
      <c r="AR761" s="258"/>
    </row>
    <row r="762" spans="10:44" s="48" customFormat="1" hidden="1">
      <c r="J762" s="213"/>
      <c r="K762" s="213"/>
      <c r="L762" s="213"/>
      <c r="M762" s="213"/>
      <c r="N762" s="213"/>
      <c r="O762" s="213"/>
      <c r="P762" s="213"/>
      <c r="Q762" s="213"/>
      <c r="R762" s="213"/>
      <c r="S762" s="213"/>
      <c r="T762" s="213"/>
      <c r="U762" s="213"/>
      <c r="V762" s="213"/>
      <c r="W762" s="213"/>
      <c r="X762" s="213"/>
      <c r="Y762" s="213"/>
      <c r="Z762" s="213"/>
      <c r="AA762" s="213"/>
      <c r="AB762" s="213"/>
      <c r="AC762" s="213"/>
      <c r="AD762" s="213"/>
      <c r="AE762" s="213"/>
      <c r="AF762" s="213"/>
      <c r="AG762" s="213"/>
      <c r="AH762" s="213"/>
      <c r="AI762" s="213"/>
      <c r="AJ762" s="213"/>
      <c r="AK762" s="213"/>
      <c r="AL762" s="213"/>
      <c r="AM762" s="302"/>
      <c r="AN762" s="302"/>
      <c r="AO762" s="303"/>
      <c r="AP762" s="285"/>
      <c r="AQ762" s="258"/>
      <c r="AR762" s="258"/>
    </row>
    <row r="763" spans="10:44" s="48" customFormat="1" hidden="1">
      <c r="J763" s="213"/>
      <c r="K763" s="213"/>
      <c r="L763" s="213"/>
      <c r="M763" s="213"/>
      <c r="N763" s="213"/>
      <c r="O763" s="213"/>
      <c r="P763" s="213"/>
      <c r="Q763" s="213"/>
      <c r="R763" s="213"/>
      <c r="S763" s="213"/>
      <c r="T763" s="213"/>
      <c r="U763" s="213"/>
      <c r="V763" s="213"/>
      <c r="W763" s="213"/>
      <c r="X763" s="213"/>
      <c r="Y763" s="213"/>
      <c r="Z763" s="213"/>
      <c r="AA763" s="213"/>
      <c r="AB763" s="213"/>
      <c r="AC763" s="213"/>
      <c r="AD763" s="213"/>
      <c r="AE763" s="213"/>
      <c r="AF763" s="213"/>
      <c r="AG763" s="213"/>
      <c r="AH763" s="213"/>
      <c r="AI763" s="213"/>
      <c r="AJ763" s="213"/>
      <c r="AK763" s="213"/>
      <c r="AL763" s="213"/>
      <c r="AM763" s="302"/>
      <c r="AN763" s="302"/>
      <c r="AO763" s="303"/>
      <c r="AP763" s="285"/>
      <c r="AQ763" s="258"/>
      <c r="AR763" s="258"/>
    </row>
    <row r="764" spans="10:44" s="48" customFormat="1" hidden="1">
      <c r="J764" s="213"/>
      <c r="K764" s="213"/>
      <c r="L764" s="213"/>
      <c r="M764" s="213"/>
      <c r="N764" s="213"/>
      <c r="O764" s="213"/>
      <c r="P764" s="213"/>
      <c r="Q764" s="213"/>
      <c r="R764" s="213"/>
      <c r="S764" s="213"/>
      <c r="T764" s="213"/>
      <c r="U764" s="213"/>
      <c r="V764" s="213"/>
      <c r="W764" s="213"/>
      <c r="X764" s="213"/>
      <c r="Y764" s="213"/>
      <c r="Z764" s="213"/>
      <c r="AA764" s="213"/>
      <c r="AB764" s="213"/>
      <c r="AC764" s="213"/>
      <c r="AD764" s="213"/>
      <c r="AE764" s="213"/>
      <c r="AF764" s="213"/>
      <c r="AG764" s="213"/>
      <c r="AH764" s="213"/>
      <c r="AI764" s="213"/>
      <c r="AJ764" s="213"/>
      <c r="AK764" s="213"/>
      <c r="AL764" s="213"/>
      <c r="AM764" s="302"/>
      <c r="AN764" s="302"/>
      <c r="AO764" s="303"/>
      <c r="AP764" s="285"/>
      <c r="AQ764" s="258"/>
      <c r="AR764" s="258"/>
    </row>
    <row r="765" spans="10:44" s="48" customFormat="1" hidden="1">
      <c r="J765" s="213"/>
      <c r="K765" s="213"/>
      <c r="L765" s="213"/>
      <c r="M765" s="213"/>
      <c r="N765" s="213"/>
      <c r="O765" s="213"/>
      <c r="P765" s="213"/>
      <c r="Q765" s="213"/>
      <c r="R765" s="213"/>
      <c r="S765" s="213"/>
      <c r="T765" s="213"/>
      <c r="U765" s="213"/>
      <c r="V765" s="213"/>
      <c r="W765" s="213"/>
      <c r="X765" s="213"/>
      <c r="Y765" s="213"/>
      <c r="Z765" s="213"/>
      <c r="AA765" s="213"/>
      <c r="AB765" s="213"/>
      <c r="AC765" s="213"/>
      <c r="AD765" s="213"/>
      <c r="AE765" s="213"/>
      <c r="AF765" s="213"/>
      <c r="AG765" s="213"/>
      <c r="AH765" s="213"/>
      <c r="AI765" s="213"/>
      <c r="AJ765" s="213"/>
      <c r="AK765" s="213"/>
      <c r="AL765" s="213"/>
      <c r="AM765" s="302"/>
      <c r="AN765" s="302"/>
      <c r="AO765" s="303"/>
      <c r="AP765" s="285"/>
      <c r="AQ765" s="258"/>
      <c r="AR765" s="258"/>
    </row>
    <row r="766" spans="10:44" s="48" customFormat="1" hidden="1">
      <c r="J766" s="213"/>
      <c r="K766" s="213"/>
      <c r="L766" s="213"/>
      <c r="M766" s="213"/>
      <c r="N766" s="213"/>
      <c r="O766" s="213"/>
      <c r="P766" s="213"/>
      <c r="Q766" s="213"/>
      <c r="R766" s="213"/>
      <c r="S766" s="213"/>
      <c r="T766" s="213"/>
      <c r="U766" s="213"/>
      <c r="V766" s="213"/>
      <c r="W766" s="213"/>
      <c r="X766" s="213"/>
      <c r="Y766" s="213"/>
      <c r="Z766" s="213"/>
      <c r="AA766" s="213"/>
      <c r="AB766" s="213"/>
      <c r="AC766" s="213"/>
      <c r="AD766" s="213"/>
      <c r="AE766" s="213"/>
      <c r="AF766" s="213"/>
      <c r="AG766" s="213"/>
      <c r="AH766" s="213"/>
      <c r="AI766" s="213"/>
      <c r="AJ766" s="213"/>
      <c r="AK766" s="213"/>
      <c r="AL766" s="213"/>
      <c r="AM766" s="302"/>
      <c r="AN766" s="302"/>
      <c r="AO766" s="303"/>
      <c r="AP766" s="285"/>
      <c r="AQ766" s="258"/>
      <c r="AR766" s="258"/>
    </row>
    <row r="767" spans="10:44" s="48" customFormat="1" hidden="1">
      <c r="J767" s="213"/>
      <c r="K767" s="213"/>
      <c r="L767" s="213"/>
      <c r="M767" s="213"/>
      <c r="N767" s="213"/>
      <c r="O767" s="213"/>
      <c r="P767" s="213"/>
      <c r="Q767" s="213"/>
      <c r="R767" s="213"/>
      <c r="S767" s="213"/>
      <c r="T767" s="213"/>
      <c r="U767" s="213"/>
      <c r="V767" s="213"/>
      <c r="W767" s="213"/>
      <c r="X767" s="213"/>
      <c r="Y767" s="213"/>
      <c r="Z767" s="213"/>
      <c r="AA767" s="213"/>
      <c r="AB767" s="213"/>
      <c r="AC767" s="213"/>
      <c r="AD767" s="213"/>
      <c r="AE767" s="213"/>
      <c r="AF767" s="213"/>
      <c r="AG767" s="213"/>
      <c r="AH767" s="213"/>
      <c r="AI767" s="213"/>
      <c r="AJ767" s="213"/>
      <c r="AK767" s="213"/>
      <c r="AL767" s="213"/>
      <c r="AM767" s="302"/>
      <c r="AN767" s="302"/>
      <c r="AO767" s="303"/>
      <c r="AP767" s="285"/>
      <c r="AQ767" s="258"/>
      <c r="AR767" s="258"/>
    </row>
    <row r="768" spans="10:44" s="48" customFormat="1" hidden="1">
      <c r="J768" s="213"/>
      <c r="K768" s="213"/>
      <c r="L768" s="213"/>
      <c r="M768" s="213"/>
      <c r="N768" s="213"/>
      <c r="O768" s="213"/>
      <c r="P768" s="213"/>
      <c r="Q768" s="213"/>
      <c r="R768" s="213"/>
      <c r="S768" s="213"/>
      <c r="T768" s="213"/>
      <c r="U768" s="213"/>
      <c r="V768" s="213"/>
      <c r="W768" s="213"/>
      <c r="X768" s="213"/>
      <c r="Y768" s="213"/>
      <c r="Z768" s="213"/>
      <c r="AA768" s="213"/>
      <c r="AB768" s="213"/>
      <c r="AC768" s="213"/>
      <c r="AD768" s="213"/>
      <c r="AE768" s="213"/>
      <c r="AF768" s="213"/>
      <c r="AG768" s="213"/>
      <c r="AH768" s="213"/>
      <c r="AI768" s="213"/>
      <c r="AJ768" s="213"/>
      <c r="AK768" s="213"/>
      <c r="AL768" s="213"/>
      <c r="AM768" s="302"/>
      <c r="AN768" s="302"/>
      <c r="AO768" s="303"/>
      <c r="AP768" s="285"/>
      <c r="AQ768" s="258"/>
      <c r="AR768" s="258"/>
    </row>
    <row r="769" spans="10:44" s="48" customFormat="1" hidden="1">
      <c r="J769" s="213"/>
      <c r="K769" s="213"/>
      <c r="L769" s="213"/>
      <c r="M769" s="213"/>
      <c r="N769" s="213"/>
      <c r="O769" s="213"/>
      <c r="P769" s="213"/>
      <c r="Q769" s="213"/>
      <c r="R769" s="213"/>
      <c r="S769" s="213"/>
      <c r="T769" s="213"/>
      <c r="U769" s="213"/>
      <c r="V769" s="213"/>
      <c r="W769" s="213"/>
      <c r="X769" s="213"/>
      <c r="Y769" s="213"/>
      <c r="Z769" s="213"/>
      <c r="AA769" s="213"/>
      <c r="AB769" s="213"/>
      <c r="AC769" s="213"/>
      <c r="AD769" s="213"/>
      <c r="AE769" s="213"/>
      <c r="AF769" s="213"/>
      <c r="AG769" s="213"/>
      <c r="AH769" s="213"/>
      <c r="AI769" s="213"/>
      <c r="AJ769" s="213"/>
      <c r="AK769" s="213"/>
      <c r="AL769" s="213"/>
      <c r="AM769" s="302"/>
      <c r="AN769" s="302"/>
      <c r="AO769" s="303"/>
      <c r="AP769" s="285"/>
      <c r="AQ769" s="258"/>
      <c r="AR769" s="258"/>
    </row>
    <row r="770" spans="10:44" s="48" customFormat="1" hidden="1">
      <c r="J770" s="213"/>
      <c r="K770" s="213"/>
      <c r="L770" s="213"/>
      <c r="M770" s="213"/>
      <c r="N770" s="213"/>
      <c r="O770" s="213"/>
      <c r="P770" s="213"/>
      <c r="Q770" s="213"/>
      <c r="R770" s="213"/>
      <c r="S770" s="213"/>
      <c r="T770" s="213"/>
      <c r="U770" s="213"/>
      <c r="V770" s="213"/>
      <c r="W770" s="213"/>
      <c r="X770" s="213"/>
      <c r="Y770" s="213"/>
      <c r="Z770" s="213"/>
      <c r="AA770" s="213"/>
      <c r="AB770" s="213"/>
      <c r="AC770" s="213"/>
      <c r="AD770" s="213"/>
      <c r="AE770" s="213"/>
      <c r="AF770" s="213"/>
      <c r="AG770" s="213"/>
      <c r="AH770" s="213"/>
      <c r="AI770" s="213"/>
      <c r="AJ770" s="213"/>
      <c r="AK770" s="213"/>
      <c r="AL770" s="213"/>
      <c r="AM770" s="302"/>
      <c r="AN770" s="302"/>
      <c r="AO770" s="303"/>
      <c r="AP770" s="285"/>
      <c r="AQ770" s="258"/>
      <c r="AR770" s="258"/>
    </row>
    <row r="771" spans="10:44" s="48" customFormat="1" hidden="1">
      <c r="J771" s="213"/>
      <c r="K771" s="213"/>
      <c r="L771" s="213"/>
      <c r="M771" s="213"/>
      <c r="N771" s="213"/>
      <c r="O771" s="213"/>
      <c r="P771" s="213"/>
      <c r="Q771" s="213"/>
      <c r="R771" s="213"/>
      <c r="S771" s="213"/>
      <c r="T771" s="213"/>
      <c r="U771" s="213"/>
      <c r="V771" s="213"/>
      <c r="W771" s="213"/>
      <c r="X771" s="213"/>
      <c r="Y771" s="213"/>
      <c r="Z771" s="213"/>
      <c r="AA771" s="213"/>
      <c r="AB771" s="213"/>
      <c r="AC771" s="213"/>
      <c r="AD771" s="213"/>
      <c r="AE771" s="213"/>
      <c r="AF771" s="213"/>
      <c r="AG771" s="213"/>
      <c r="AH771" s="213"/>
      <c r="AI771" s="213"/>
      <c r="AJ771" s="213"/>
      <c r="AK771" s="213"/>
      <c r="AL771" s="213"/>
      <c r="AM771" s="302"/>
      <c r="AN771" s="302"/>
      <c r="AO771" s="303"/>
      <c r="AP771" s="285"/>
      <c r="AQ771" s="258"/>
      <c r="AR771" s="258"/>
    </row>
    <row r="772" spans="10:44" s="48" customFormat="1" hidden="1">
      <c r="J772" s="213"/>
      <c r="K772" s="213"/>
      <c r="L772" s="213"/>
      <c r="M772" s="213"/>
      <c r="N772" s="213"/>
      <c r="O772" s="213"/>
      <c r="P772" s="213"/>
      <c r="Q772" s="213"/>
      <c r="R772" s="213"/>
      <c r="S772" s="213"/>
      <c r="T772" s="213"/>
      <c r="U772" s="213"/>
      <c r="V772" s="213"/>
      <c r="W772" s="213"/>
      <c r="X772" s="213"/>
      <c r="Y772" s="213"/>
      <c r="Z772" s="213"/>
      <c r="AA772" s="213"/>
      <c r="AB772" s="213"/>
      <c r="AC772" s="213"/>
      <c r="AD772" s="213"/>
      <c r="AE772" s="213"/>
      <c r="AF772" s="213"/>
      <c r="AG772" s="213"/>
      <c r="AH772" s="213"/>
      <c r="AI772" s="213"/>
      <c r="AJ772" s="213"/>
      <c r="AK772" s="213"/>
      <c r="AL772" s="213"/>
      <c r="AM772" s="302"/>
      <c r="AN772" s="302"/>
      <c r="AO772" s="303"/>
      <c r="AP772" s="285"/>
      <c r="AQ772" s="258"/>
      <c r="AR772" s="258"/>
    </row>
    <row r="773" spans="10:44" s="48" customFormat="1" hidden="1">
      <c r="J773" s="213"/>
      <c r="K773" s="213"/>
      <c r="L773" s="213"/>
      <c r="M773" s="213"/>
      <c r="N773" s="213"/>
      <c r="O773" s="213"/>
      <c r="P773" s="213"/>
      <c r="Q773" s="213"/>
      <c r="R773" s="213"/>
      <c r="S773" s="213"/>
      <c r="T773" s="213"/>
      <c r="U773" s="213"/>
      <c r="V773" s="213"/>
      <c r="W773" s="213"/>
      <c r="X773" s="213"/>
      <c r="Y773" s="213"/>
      <c r="Z773" s="213"/>
      <c r="AA773" s="213"/>
      <c r="AB773" s="213"/>
      <c r="AC773" s="213"/>
      <c r="AD773" s="213"/>
      <c r="AE773" s="213"/>
      <c r="AF773" s="213"/>
      <c r="AG773" s="213"/>
      <c r="AH773" s="213"/>
      <c r="AI773" s="213"/>
      <c r="AJ773" s="213"/>
      <c r="AK773" s="213"/>
      <c r="AL773" s="213"/>
      <c r="AM773" s="302"/>
      <c r="AN773" s="302"/>
      <c r="AO773" s="303"/>
      <c r="AP773" s="285"/>
      <c r="AQ773" s="258"/>
      <c r="AR773" s="258"/>
    </row>
    <row r="774" spans="10:44" s="48" customFormat="1" hidden="1">
      <c r="J774" s="213"/>
      <c r="K774" s="213"/>
      <c r="L774" s="213"/>
      <c r="M774" s="213"/>
      <c r="N774" s="213"/>
      <c r="O774" s="213"/>
      <c r="P774" s="213"/>
      <c r="Q774" s="213"/>
      <c r="R774" s="213"/>
      <c r="S774" s="213"/>
      <c r="T774" s="213"/>
      <c r="U774" s="213"/>
      <c r="V774" s="213"/>
      <c r="W774" s="213"/>
      <c r="X774" s="213"/>
      <c r="Y774" s="213"/>
      <c r="Z774" s="213"/>
      <c r="AA774" s="213"/>
      <c r="AB774" s="213"/>
      <c r="AC774" s="213"/>
      <c r="AD774" s="213"/>
      <c r="AE774" s="213"/>
      <c r="AF774" s="213"/>
      <c r="AG774" s="213"/>
      <c r="AH774" s="213"/>
      <c r="AI774" s="213"/>
      <c r="AJ774" s="213"/>
      <c r="AK774" s="213"/>
      <c r="AL774" s="213"/>
      <c r="AM774" s="302"/>
      <c r="AN774" s="302"/>
      <c r="AO774" s="303"/>
      <c r="AP774" s="285"/>
      <c r="AQ774" s="258"/>
      <c r="AR774" s="258"/>
    </row>
    <row r="775" spans="10:44" s="48" customFormat="1" hidden="1">
      <c r="J775" s="213"/>
      <c r="K775" s="213"/>
      <c r="L775" s="213"/>
      <c r="M775" s="213"/>
      <c r="N775" s="213"/>
      <c r="O775" s="213"/>
      <c r="P775" s="213"/>
      <c r="Q775" s="213"/>
      <c r="R775" s="213"/>
      <c r="S775" s="213"/>
      <c r="T775" s="213"/>
      <c r="U775" s="213"/>
      <c r="V775" s="213"/>
      <c r="W775" s="213"/>
      <c r="X775" s="213"/>
      <c r="Y775" s="213"/>
      <c r="Z775" s="213"/>
      <c r="AA775" s="213"/>
      <c r="AB775" s="213"/>
      <c r="AC775" s="213"/>
      <c r="AD775" s="213"/>
      <c r="AE775" s="213"/>
      <c r="AF775" s="213"/>
      <c r="AG775" s="213"/>
      <c r="AH775" s="213"/>
      <c r="AI775" s="213"/>
      <c r="AJ775" s="213"/>
      <c r="AK775" s="213"/>
      <c r="AL775" s="213"/>
      <c r="AM775" s="302"/>
      <c r="AN775" s="302"/>
      <c r="AO775" s="303"/>
      <c r="AP775" s="285"/>
      <c r="AQ775" s="258"/>
      <c r="AR775" s="258"/>
    </row>
    <row r="776" spans="10:44" s="48" customFormat="1" hidden="1">
      <c r="J776" s="213"/>
      <c r="K776" s="213"/>
      <c r="L776" s="213"/>
      <c r="M776" s="213"/>
      <c r="N776" s="213"/>
      <c r="O776" s="213"/>
      <c r="P776" s="213"/>
      <c r="Q776" s="213"/>
      <c r="R776" s="213"/>
      <c r="S776" s="213"/>
      <c r="T776" s="213"/>
      <c r="U776" s="213"/>
      <c r="V776" s="213"/>
      <c r="W776" s="213"/>
      <c r="X776" s="213"/>
      <c r="Y776" s="213"/>
      <c r="Z776" s="213"/>
      <c r="AA776" s="213"/>
      <c r="AB776" s="213"/>
      <c r="AC776" s="213"/>
      <c r="AD776" s="213"/>
      <c r="AE776" s="213"/>
      <c r="AF776" s="213"/>
      <c r="AG776" s="213"/>
      <c r="AH776" s="213"/>
      <c r="AI776" s="213"/>
      <c r="AJ776" s="213"/>
      <c r="AK776" s="213"/>
      <c r="AL776" s="213"/>
      <c r="AM776" s="302"/>
      <c r="AN776" s="302"/>
      <c r="AO776" s="303"/>
      <c r="AP776" s="285"/>
      <c r="AQ776" s="258"/>
      <c r="AR776" s="258"/>
    </row>
    <row r="777" spans="10:44" s="48" customFormat="1" hidden="1">
      <c r="J777" s="213"/>
      <c r="K777" s="213"/>
      <c r="L777" s="213"/>
      <c r="M777" s="213"/>
      <c r="N777" s="213"/>
      <c r="O777" s="213"/>
      <c r="P777" s="213"/>
      <c r="Q777" s="213"/>
      <c r="R777" s="213"/>
      <c r="S777" s="213"/>
      <c r="T777" s="213"/>
      <c r="U777" s="213"/>
      <c r="V777" s="213"/>
      <c r="W777" s="213"/>
      <c r="X777" s="213"/>
      <c r="Y777" s="213"/>
      <c r="Z777" s="213"/>
      <c r="AA777" s="213"/>
      <c r="AB777" s="213"/>
      <c r="AC777" s="213"/>
      <c r="AD777" s="213"/>
      <c r="AE777" s="213"/>
      <c r="AF777" s="213"/>
      <c r="AG777" s="213"/>
      <c r="AH777" s="213"/>
      <c r="AI777" s="213"/>
      <c r="AJ777" s="213"/>
      <c r="AK777" s="213"/>
      <c r="AL777" s="213"/>
      <c r="AM777" s="302"/>
      <c r="AN777" s="302"/>
      <c r="AO777" s="303"/>
      <c r="AP777" s="285"/>
      <c r="AQ777" s="258"/>
      <c r="AR777" s="258"/>
    </row>
    <row r="778" spans="10:44" s="48" customFormat="1" hidden="1">
      <c r="J778" s="213"/>
      <c r="K778" s="213"/>
      <c r="L778" s="213"/>
      <c r="M778" s="213"/>
      <c r="N778" s="213"/>
      <c r="O778" s="213"/>
      <c r="P778" s="213"/>
      <c r="Q778" s="213"/>
      <c r="R778" s="213"/>
      <c r="S778" s="213"/>
      <c r="T778" s="213"/>
      <c r="U778" s="213"/>
      <c r="V778" s="213"/>
      <c r="W778" s="213"/>
      <c r="X778" s="213"/>
      <c r="Y778" s="213"/>
      <c r="Z778" s="213"/>
      <c r="AA778" s="213"/>
      <c r="AB778" s="213"/>
      <c r="AC778" s="213"/>
      <c r="AD778" s="213"/>
      <c r="AE778" s="213"/>
      <c r="AF778" s="213"/>
      <c r="AG778" s="213"/>
      <c r="AH778" s="213"/>
      <c r="AI778" s="213"/>
      <c r="AJ778" s="213"/>
      <c r="AK778" s="213"/>
      <c r="AL778" s="213"/>
      <c r="AM778" s="302"/>
      <c r="AN778" s="302"/>
      <c r="AO778" s="303"/>
      <c r="AP778" s="285"/>
      <c r="AQ778" s="258"/>
      <c r="AR778" s="258"/>
    </row>
    <row r="779" spans="10:44" s="48" customFormat="1" hidden="1">
      <c r="J779" s="213"/>
      <c r="K779" s="213"/>
      <c r="L779" s="213"/>
      <c r="M779" s="213"/>
      <c r="N779" s="213"/>
      <c r="O779" s="213"/>
      <c r="P779" s="213"/>
      <c r="Q779" s="213"/>
      <c r="R779" s="213"/>
      <c r="S779" s="213"/>
      <c r="T779" s="213"/>
      <c r="U779" s="213"/>
      <c r="V779" s="213"/>
      <c r="W779" s="213"/>
      <c r="X779" s="213"/>
      <c r="Y779" s="213"/>
      <c r="Z779" s="213"/>
      <c r="AA779" s="213"/>
      <c r="AB779" s="213"/>
      <c r="AC779" s="213"/>
      <c r="AD779" s="213"/>
      <c r="AE779" s="213"/>
      <c r="AF779" s="213"/>
      <c r="AG779" s="213"/>
      <c r="AH779" s="213"/>
      <c r="AI779" s="213"/>
      <c r="AJ779" s="213"/>
      <c r="AK779" s="213"/>
      <c r="AL779" s="213"/>
      <c r="AM779" s="302"/>
      <c r="AN779" s="302"/>
      <c r="AO779" s="303"/>
      <c r="AP779" s="285"/>
      <c r="AQ779" s="258"/>
      <c r="AR779" s="258"/>
    </row>
    <row r="780" spans="10:44" s="48" customFormat="1" hidden="1">
      <c r="J780" s="213"/>
      <c r="K780" s="213"/>
      <c r="L780" s="213"/>
      <c r="M780" s="213"/>
      <c r="N780" s="213"/>
      <c r="O780" s="213"/>
      <c r="P780" s="213"/>
      <c r="Q780" s="213"/>
      <c r="R780" s="213"/>
      <c r="S780" s="213"/>
      <c r="T780" s="213"/>
      <c r="U780" s="213"/>
      <c r="V780" s="213"/>
      <c r="W780" s="213"/>
      <c r="X780" s="213"/>
      <c r="Y780" s="213"/>
      <c r="Z780" s="213"/>
      <c r="AA780" s="213"/>
      <c r="AB780" s="213"/>
      <c r="AC780" s="213"/>
      <c r="AD780" s="213"/>
      <c r="AE780" s="213"/>
      <c r="AF780" s="213"/>
      <c r="AG780" s="213"/>
      <c r="AH780" s="213"/>
      <c r="AI780" s="213"/>
      <c r="AJ780" s="213"/>
      <c r="AK780" s="213"/>
      <c r="AL780" s="213"/>
      <c r="AM780" s="302"/>
      <c r="AN780" s="302"/>
      <c r="AO780" s="303"/>
      <c r="AP780" s="285"/>
      <c r="AQ780" s="258"/>
      <c r="AR780" s="258"/>
    </row>
    <row r="781" spans="10:44" s="48" customFormat="1" hidden="1">
      <c r="J781" s="213"/>
      <c r="K781" s="213"/>
      <c r="L781" s="213"/>
      <c r="M781" s="213"/>
      <c r="N781" s="213"/>
      <c r="O781" s="213"/>
      <c r="P781" s="213"/>
      <c r="Q781" s="213"/>
      <c r="R781" s="213"/>
      <c r="S781" s="213"/>
      <c r="T781" s="213"/>
      <c r="U781" s="213"/>
      <c r="V781" s="213"/>
      <c r="W781" s="213"/>
      <c r="X781" s="213"/>
      <c r="Y781" s="213"/>
      <c r="Z781" s="213"/>
      <c r="AA781" s="213"/>
      <c r="AB781" s="213"/>
      <c r="AC781" s="213"/>
      <c r="AD781" s="213"/>
      <c r="AE781" s="213"/>
      <c r="AF781" s="213"/>
      <c r="AG781" s="213"/>
      <c r="AH781" s="213"/>
      <c r="AI781" s="213"/>
      <c r="AJ781" s="213"/>
      <c r="AK781" s="213"/>
      <c r="AL781" s="213"/>
      <c r="AM781" s="302"/>
      <c r="AN781" s="302"/>
      <c r="AO781" s="303"/>
      <c r="AP781" s="285"/>
      <c r="AQ781" s="258"/>
      <c r="AR781" s="258"/>
    </row>
    <row r="782" spans="10:44" s="48" customFormat="1" hidden="1">
      <c r="J782" s="213"/>
      <c r="K782" s="213"/>
      <c r="L782" s="213"/>
      <c r="M782" s="213"/>
      <c r="N782" s="213"/>
      <c r="O782" s="213"/>
      <c r="P782" s="213"/>
      <c r="Q782" s="213"/>
      <c r="R782" s="213"/>
      <c r="S782" s="213"/>
      <c r="T782" s="213"/>
      <c r="U782" s="213"/>
      <c r="V782" s="213"/>
      <c r="W782" s="213"/>
      <c r="X782" s="213"/>
      <c r="Y782" s="213"/>
      <c r="Z782" s="213"/>
      <c r="AA782" s="213"/>
      <c r="AB782" s="213"/>
      <c r="AC782" s="213"/>
      <c r="AD782" s="213"/>
      <c r="AE782" s="213"/>
      <c r="AF782" s="213"/>
      <c r="AG782" s="213"/>
      <c r="AH782" s="213"/>
      <c r="AI782" s="213"/>
      <c r="AJ782" s="213"/>
      <c r="AK782" s="213"/>
      <c r="AL782" s="213"/>
      <c r="AM782" s="302"/>
      <c r="AN782" s="302"/>
      <c r="AO782" s="303"/>
      <c r="AP782" s="285"/>
      <c r="AQ782" s="258"/>
      <c r="AR782" s="258"/>
    </row>
    <row r="783" spans="10:44" s="48" customFormat="1" hidden="1">
      <c r="J783" s="213"/>
      <c r="K783" s="213"/>
      <c r="L783" s="213"/>
      <c r="M783" s="213"/>
      <c r="N783" s="213"/>
      <c r="O783" s="213"/>
      <c r="P783" s="213"/>
      <c r="Q783" s="213"/>
      <c r="R783" s="213"/>
      <c r="S783" s="213"/>
      <c r="T783" s="213"/>
      <c r="U783" s="213"/>
      <c r="V783" s="213"/>
      <c r="W783" s="213"/>
      <c r="X783" s="213"/>
      <c r="Y783" s="213"/>
      <c r="Z783" s="213"/>
      <c r="AA783" s="213"/>
      <c r="AB783" s="213"/>
      <c r="AC783" s="213"/>
      <c r="AD783" s="213"/>
      <c r="AE783" s="213"/>
      <c r="AF783" s="213"/>
      <c r="AG783" s="213"/>
      <c r="AH783" s="213"/>
      <c r="AI783" s="213"/>
      <c r="AJ783" s="213"/>
      <c r="AK783" s="213"/>
      <c r="AL783" s="213"/>
      <c r="AM783" s="302"/>
      <c r="AN783" s="302"/>
      <c r="AO783" s="303"/>
      <c r="AP783" s="285"/>
      <c r="AQ783" s="258"/>
      <c r="AR783" s="258"/>
    </row>
    <row r="784" spans="10:44" s="48" customFormat="1" hidden="1">
      <c r="J784" s="213"/>
      <c r="K784" s="213"/>
      <c r="L784" s="213"/>
      <c r="M784" s="213"/>
      <c r="N784" s="213"/>
      <c r="O784" s="213"/>
      <c r="P784" s="213"/>
      <c r="Q784" s="213"/>
      <c r="R784" s="213"/>
      <c r="S784" s="213"/>
      <c r="T784" s="213"/>
      <c r="U784" s="213"/>
      <c r="V784" s="213"/>
      <c r="W784" s="213"/>
      <c r="X784" s="213"/>
      <c r="Y784" s="213"/>
      <c r="Z784" s="213"/>
      <c r="AA784" s="213"/>
      <c r="AB784" s="213"/>
      <c r="AC784" s="213"/>
      <c r="AD784" s="213"/>
      <c r="AE784" s="213"/>
      <c r="AF784" s="213"/>
      <c r="AG784" s="213"/>
      <c r="AH784" s="213"/>
      <c r="AI784" s="213"/>
      <c r="AJ784" s="213"/>
      <c r="AK784" s="213"/>
      <c r="AL784" s="213"/>
      <c r="AM784" s="302"/>
      <c r="AN784" s="302"/>
      <c r="AO784" s="303"/>
      <c r="AP784" s="285"/>
      <c r="AQ784" s="258"/>
      <c r="AR784" s="258"/>
    </row>
    <row r="785" spans="10:44" s="48" customFormat="1" hidden="1">
      <c r="J785" s="213"/>
      <c r="K785" s="213"/>
      <c r="L785" s="213"/>
      <c r="M785" s="213"/>
      <c r="N785" s="213"/>
      <c r="O785" s="213"/>
      <c r="P785" s="213"/>
      <c r="Q785" s="213"/>
      <c r="R785" s="213"/>
      <c r="S785" s="213"/>
      <c r="T785" s="213"/>
      <c r="U785" s="213"/>
      <c r="V785" s="213"/>
      <c r="W785" s="213"/>
      <c r="X785" s="213"/>
      <c r="Y785" s="213"/>
      <c r="Z785" s="213"/>
      <c r="AA785" s="213"/>
      <c r="AB785" s="213"/>
      <c r="AC785" s="213"/>
      <c r="AD785" s="213"/>
      <c r="AE785" s="213"/>
      <c r="AF785" s="213"/>
      <c r="AG785" s="213"/>
      <c r="AH785" s="213"/>
      <c r="AI785" s="213"/>
      <c r="AJ785" s="213"/>
      <c r="AK785" s="213"/>
      <c r="AL785" s="213"/>
      <c r="AM785" s="302"/>
      <c r="AN785" s="302"/>
      <c r="AO785" s="303"/>
      <c r="AP785" s="285"/>
      <c r="AQ785" s="258"/>
      <c r="AR785" s="258"/>
    </row>
    <row r="786" spans="10:44" s="48" customFormat="1" hidden="1">
      <c r="J786" s="213"/>
      <c r="K786" s="213"/>
      <c r="L786" s="213"/>
      <c r="M786" s="213"/>
      <c r="N786" s="213"/>
      <c r="O786" s="213"/>
      <c r="P786" s="213"/>
      <c r="Q786" s="213"/>
      <c r="R786" s="213"/>
      <c r="S786" s="213"/>
      <c r="T786" s="213"/>
      <c r="U786" s="213"/>
      <c r="V786" s="213"/>
      <c r="W786" s="213"/>
      <c r="X786" s="213"/>
      <c r="Y786" s="213"/>
      <c r="Z786" s="213"/>
      <c r="AA786" s="213"/>
      <c r="AB786" s="213"/>
      <c r="AC786" s="213"/>
      <c r="AD786" s="213"/>
      <c r="AE786" s="213"/>
      <c r="AF786" s="213"/>
      <c r="AG786" s="213"/>
      <c r="AH786" s="213"/>
      <c r="AI786" s="213"/>
      <c r="AJ786" s="213"/>
      <c r="AK786" s="213"/>
      <c r="AL786" s="213"/>
      <c r="AM786" s="302"/>
      <c r="AN786" s="302"/>
      <c r="AO786" s="303"/>
      <c r="AP786" s="285"/>
      <c r="AQ786" s="258"/>
      <c r="AR786" s="258"/>
    </row>
    <row r="787" spans="10:44" s="48" customFormat="1" hidden="1">
      <c r="J787" s="213"/>
      <c r="K787" s="213"/>
      <c r="L787" s="213"/>
      <c r="M787" s="213"/>
      <c r="N787" s="213"/>
      <c r="O787" s="213"/>
      <c r="P787" s="213"/>
      <c r="Q787" s="213"/>
      <c r="R787" s="213"/>
      <c r="S787" s="213"/>
      <c r="T787" s="213"/>
      <c r="U787" s="213"/>
      <c r="V787" s="213"/>
      <c r="W787" s="213"/>
      <c r="X787" s="213"/>
      <c r="Y787" s="213"/>
      <c r="Z787" s="213"/>
      <c r="AA787" s="213"/>
      <c r="AB787" s="213"/>
      <c r="AC787" s="213"/>
      <c r="AD787" s="213"/>
      <c r="AE787" s="213"/>
      <c r="AF787" s="213"/>
      <c r="AG787" s="213"/>
      <c r="AH787" s="213"/>
      <c r="AI787" s="213"/>
      <c r="AJ787" s="213"/>
      <c r="AK787" s="213"/>
      <c r="AL787" s="213"/>
      <c r="AM787" s="302"/>
      <c r="AN787" s="302"/>
      <c r="AO787" s="303"/>
      <c r="AP787" s="285"/>
      <c r="AQ787" s="258"/>
      <c r="AR787" s="258"/>
    </row>
    <row r="788" spans="10:44" s="48" customFormat="1" hidden="1">
      <c r="J788" s="213"/>
      <c r="K788" s="213"/>
      <c r="L788" s="213"/>
      <c r="M788" s="213"/>
      <c r="N788" s="213"/>
      <c r="O788" s="213"/>
      <c r="P788" s="213"/>
      <c r="Q788" s="213"/>
      <c r="R788" s="213"/>
      <c r="S788" s="213"/>
      <c r="T788" s="213"/>
      <c r="U788" s="213"/>
      <c r="V788" s="213"/>
      <c r="W788" s="213"/>
      <c r="X788" s="213"/>
      <c r="Y788" s="213"/>
      <c r="Z788" s="213"/>
      <c r="AA788" s="213"/>
      <c r="AB788" s="213"/>
      <c r="AC788" s="213"/>
      <c r="AD788" s="213"/>
      <c r="AE788" s="213"/>
      <c r="AF788" s="213"/>
      <c r="AG788" s="213"/>
      <c r="AH788" s="213"/>
      <c r="AI788" s="213"/>
      <c r="AJ788" s="213"/>
      <c r="AK788" s="213"/>
      <c r="AL788" s="213"/>
      <c r="AM788" s="302"/>
      <c r="AN788" s="302"/>
      <c r="AO788" s="303"/>
      <c r="AP788" s="285"/>
      <c r="AQ788" s="258"/>
      <c r="AR788" s="258"/>
    </row>
    <row r="789" spans="10:44" s="48" customFormat="1" hidden="1">
      <c r="J789" s="213"/>
      <c r="K789" s="213"/>
      <c r="L789" s="213"/>
      <c r="M789" s="213"/>
      <c r="N789" s="213"/>
      <c r="O789" s="213"/>
      <c r="P789" s="213"/>
      <c r="Q789" s="213"/>
      <c r="R789" s="213"/>
      <c r="S789" s="213"/>
      <c r="T789" s="213"/>
      <c r="U789" s="213"/>
      <c r="V789" s="213"/>
      <c r="W789" s="213"/>
      <c r="X789" s="213"/>
      <c r="Y789" s="213"/>
      <c r="Z789" s="213"/>
      <c r="AA789" s="213"/>
      <c r="AB789" s="213"/>
      <c r="AC789" s="213"/>
      <c r="AD789" s="213"/>
      <c r="AE789" s="213"/>
      <c r="AF789" s="213"/>
      <c r="AG789" s="213"/>
      <c r="AH789" s="213"/>
      <c r="AI789" s="213"/>
      <c r="AJ789" s="213"/>
      <c r="AK789" s="213"/>
      <c r="AL789" s="213"/>
      <c r="AM789" s="302"/>
      <c r="AN789" s="302"/>
      <c r="AO789" s="303"/>
      <c r="AP789" s="285"/>
      <c r="AQ789" s="258"/>
      <c r="AR789" s="258"/>
    </row>
    <row r="790" spans="10:44" s="48" customFormat="1" hidden="1">
      <c r="J790" s="213"/>
      <c r="K790" s="213"/>
      <c r="L790" s="213"/>
      <c r="M790" s="213"/>
      <c r="N790" s="213"/>
      <c r="O790" s="213"/>
      <c r="P790" s="213"/>
      <c r="Q790" s="213"/>
      <c r="R790" s="213"/>
      <c r="S790" s="213"/>
      <c r="T790" s="213"/>
      <c r="U790" s="213"/>
      <c r="V790" s="213"/>
      <c r="W790" s="213"/>
      <c r="X790" s="213"/>
      <c r="Y790" s="213"/>
      <c r="Z790" s="213"/>
      <c r="AA790" s="213"/>
      <c r="AB790" s="213"/>
      <c r="AC790" s="213"/>
      <c r="AD790" s="213"/>
      <c r="AE790" s="213"/>
      <c r="AF790" s="213"/>
      <c r="AG790" s="213"/>
      <c r="AH790" s="213"/>
      <c r="AI790" s="213"/>
      <c r="AJ790" s="213"/>
      <c r="AK790" s="213"/>
      <c r="AL790" s="213"/>
      <c r="AM790" s="302"/>
      <c r="AN790" s="302"/>
      <c r="AO790" s="303"/>
      <c r="AP790" s="285"/>
      <c r="AQ790" s="258"/>
      <c r="AR790" s="258"/>
    </row>
    <row r="791" spans="10:44" s="48" customFormat="1" hidden="1">
      <c r="J791" s="213"/>
      <c r="K791" s="213"/>
      <c r="L791" s="213"/>
      <c r="M791" s="213"/>
      <c r="N791" s="213"/>
      <c r="O791" s="213"/>
      <c r="P791" s="213"/>
      <c r="Q791" s="213"/>
      <c r="R791" s="213"/>
      <c r="S791" s="213"/>
      <c r="T791" s="213"/>
      <c r="U791" s="213"/>
      <c r="V791" s="213"/>
      <c r="W791" s="213"/>
      <c r="X791" s="213"/>
      <c r="Y791" s="213"/>
      <c r="Z791" s="213"/>
      <c r="AA791" s="213"/>
      <c r="AB791" s="213"/>
      <c r="AC791" s="213"/>
      <c r="AD791" s="213"/>
      <c r="AE791" s="213"/>
      <c r="AF791" s="213"/>
      <c r="AG791" s="213"/>
      <c r="AH791" s="213"/>
      <c r="AI791" s="213"/>
      <c r="AJ791" s="213"/>
      <c r="AK791" s="213"/>
      <c r="AL791" s="213"/>
      <c r="AM791" s="302"/>
      <c r="AN791" s="302"/>
      <c r="AO791" s="303"/>
      <c r="AP791" s="285"/>
      <c r="AQ791" s="258"/>
      <c r="AR791" s="258"/>
    </row>
    <row r="792" spans="10:44" s="48" customFormat="1" hidden="1">
      <c r="J792" s="213"/>
      <c r="K792" s="213"/>
      <c r="L792" s="213"/>
      <c r="M792" s="213"/>
      <c r="N792" s="213"/>
      <c r="O792" s="213"/>
      <c r="P792" s="213"/>
      <c r="Q792" s="213"/>
      <c r="R792" s="213"/>
      <c r="S792" s="213"/>
      <c r="T792" s="213"/>
      <c r="U792" s="213"/>
      <c r="V792" s="213"/>
      <c r="W792" s="213"/>
      <c r="X792" s="213"/>
      <c r="Y792" s="213"/>
      <c r="Z792" s="213"/>
      <c r="AA792" s="213"/>
      <c r="AB792" s="213"/>
      <c r="AC792" s="213"/>
      <c r="AD792" s="213"/>
      <c r="AE792" s="213"/>
      <c r="AF792" s="213"/>
      <c r="AG792" s="213"/>
      <c r="AH792" s="213"/>
      <c r="AI792" s="213"/>
      <c r="AJ792" s="213"/>
      <c r="AK792" s="213"/>
      <c r="AL792" s="213"/>
      <c r="AM792" s="302"/>
      <c r="AN792" s="302"/>
      <c r="AO792" s="303"/>
      <c r="AP792" s="285"/>
      <c r="AQ792" s="258"/>
      <c r="AR792" s="258"/>
    </row>
    <row r="793" spans="10:44" s="48" customFormat="1" hidden="1">
      <c r="J793" s="213"/>
      <c r="K793" s="213"/>
      <c r="L793" s="213"/>
      <c r="M793" s="213"/>
      <c r="N793" s="213"/>
      <c r="O793" s="213"/>
      <c r="P793" s="213"/>
      <c r="Q793" s="213"/>
      <c r="R793" s="213"/>
      <c r="S793" s="213"/>
      <c r="T793" s="213"/>
      <c r="U793" s="213"/>
      <c r="V793" s="213"/>
      <c r="W793" s="213"/>
      <c r="X793" s="213"/>
      <c r="Y793" s="213"/>
      <c r="Z793" s="213"/>
      <c r="AA793" s="213"/>
      <c r="AB793" s="213"/>
      <c r="AC793" s="213"/>
      <c r="AD793" s="213"/>
      <c r="AE793" s="213"/>
      <c r="AF793" s="213"/>
      <c r="AG793" s="213"/>
      <c r="AH793" s="213"/>
      <c r="AI793" s="213"/>
      <c r="AJ793" s="213"/>
      <c r="AK793" s="213"/>
      <c r="AL793" s="213"/>
      <c r="AM793" s="302"/>
      <c r="AN793" s="302"/>
      <c r="AO793" s="303"/>
      <c r="AP793" s="285"/>
      <c r="AQ793" s="258"/>
      <c r="AR793" s="258"/>
    </row>
    <row r="794" spans="10:44" s="48" customFormat="1" hidden="1">
      <c r="J794" s="213"/>
      <c r="K794" s="213"/>
      <c r="L794" s="213"/>
      <c r="M794" s="213"/>
      <c r="N794" s="213"/>
      <c r="O794" s="213"/>
      <c r="P794" s="213"/>
      <c r="Q794" s="213"/>
      <c r="R794" s="213"/>
      <c r="S794" s="213"/>
      <c r="T794" s="213"/>
      <c r="U794" s="213"/>
      <c r="V794" s="213"/>
      <c r="W794" s="213"/>
      <c r="X794" s="213"/>
      <c r="Y794" s="213"/>
      <c r="Z794" s="213"/>
      <c r="AA794" s="213"/>
      <c r="AB794" s="213"/>
      <c r="AC794" s="213"/>
      <c r="AD794" s="213"/>
      <c r="AE794" s="213"/>
      <c r="AF794" s="213"/>
      <c r="AG794" s="213"/>
      <c r="AH794" s="213"/>
      <c r="AI794" s="213"/>
      <c r="AJ794" s="213"/>
      <c r="AK794" s="213"/>
      <c r="AL794" s="213"/>
      <c r="AM794" s="302"/>
      <c r="AN794" s="302"/>
      <c r="AO794" s="303"/>
      <c r="AP794" s="285"/>
      <c r="AQ794" s="258"/>
      <c r="AR794" s="258"/>
    </row>
    <row r="795" spans="10:44" s="48" customFormat="1" hidden="1">
      <c r="J795" s="213"/>
      <c r="K795" s="213"/>
      <c r="L795" s="213"/>
      <c r="M795" s="213"/>
      <c r="N795" s="213"/>
      <c r="O795" s="213"/>
      <c r="P795" s="213"/>
      <c r="Q795" s="213"/>
      <c r="R795" s="213"/>
      <c r="S795" s="213"/>
      <c r="T795" s="213"/>
      <c r="U795" s="213"/>
      <c r="V795" s="213"/>
      <c r="W795" s="213"/>
      <c r="X795" s="213"/>
      <c r="Y795" s="213"/>
      <c r="Z795" s="213"/>
      <c r="AA795" s="213"/>
      <c r="AB795" s="213"/>
      <c r="AC795" s="213"/>
      <c r="AD795" s="213"/>
      <c r="AE795" s="213"/>
      <c r="AF795" s="213"/>
      <c r="AG795" s="213"/>
      <c r="AH795" s="213"/>
      <c r="AI795" s="213"/>
      <c r="AJ795" s="213"/>
      <c r="AK795" s="213"/>
      <c r="AL795" s="213"/>
      <c r="AM795" s="302"/>
      <c r="AN795" s="302"/>
      <c r="AO795" s="303"/>
      <c r="AP795" s="285"/>
      <c r="AQ795" s="258"/>
      <c r="AR795" s="258"/>
    </row>
    <row r="796" spans="10:44" s="48" customFormat="1" hidden="1">
      <c r="J796" s="213"/>
      <c r="K796" s="213"/>
      <c r="L796" s="213"/>
      <c r="M796" s="213"/>
      <c r="N796" s="213"/>
      <c r="O796" s="213"/>
      <c r="P796" s="213"/>
      <c r="Q796" s="213"/>
      <c r="R796" s="213"/>
      <c r="S796" s="213"/>
      <c r="T796" s="213"/>
      <c r="U796" s="213"/>
      <c r="V796" s="213"/>
      <c r="W796" s="213"/>
      <c r="X796" s="213"/>
      <c r="Y796" s="213"/>
      <c r="Z796" s="213"/>
      <c r="AA796" s="213"/>
      <c r="AB796" s="213"/>
      <c r="AC796" s="213"/>
      <c r="AD796" s="213"/>
      <c r="AE796" s="213"/>
      <c r="AF796" s="213"/>
      <c r="AG796" s="213"/>
      <c r="AH796" s="213"/>
      <c r="AI796" s="213"/>
      <c r="AJ796" s="213"/>
      <c r="AK796" s="213"/>
      <c r="AL796" s="213"/>
      <c r="AM796" s="302"/>
      <c r="AN796" s="302"/>
      <c r="AO796" s="303"/>
      <c r="AP796" s="285"/>
      <c r="AQ796" s="258"/>
      <c r="AR796" s="258"/>
    </row>
    <row r="797" spans="10:44" s="48" customFormat="1" hidden="1">
      <c r="J797" s="213"/>
      <c r="K797" s="213"/>
      <c r="L797" s="213"/>
      <c r="M797" s="213"/>
      <c r="N797" s="213"/>
      <c r="O797" s="213"/>
      <c r="P797" s="213"/>
      <c r="Q797" s="213"/>
      <c r="R797" s="213"/>
      <c r="S797" s="213"/>
      <c r="T797" s="213"/>
      <c r="U797" s="213"/>
      <c r="V797" s="213"/>
      <c r="W797" s="213"/>
      <c r="X797" s="213"/>
      <c r="Y797" s="213"/>
      <c r="Z797" s="213"/>
      <c r="AA797" s="213"/>
      <c r="AB797" s="213"/>
      <c r="AC797" s="213"/>
      <c r="AD797" s="213"/>
      <c r="AE797" s="213"/>
      <c r="AF797" s="213"/>
      <c r="AG797" s="213"/>
      <c r="AH797" s="213"/>
      <c r="AI797" s="213"/>
      <c r="AJ797" s="213"/>
      <c r="AK797" s="213"/>
      <c r="AL797" s="213"/>
      <c r="AM797" s="302"/>
      <c r="AN797" s="302"/>
      <c r="AO797" s="303"/>
      <c r="AP797" s="285"/>
      <c r="AQ797" s="258"/>
      <c r="AR797" s="258"/>
    </row>
    <row r="798" spans="10:44" s="48" customFormat="1" hidden="1">
      <c r="J798" s="213"/>
      <c r="K798" s="213"/>
      <c r="L798" s="213"/>
      <c r="M798" s="213"/>
      <c r="N798" s="213"/>
      <c r="O798" s="213"/>
      <c r="P798" s="213"/>
      <c r="Q798" s="213"/>
      <c r="R798" s="213"/>
      <c r="S798" s="213"/>
      <c r="T798" s="213"/>
      <c r="U798" s="213"/>
      <c r="V798" s="213"/>
      <c r="W798" s="213"/>
      <c r="X798" s="213"/>
      <c r="Y798" s="213"/>
      <c r="Z798" s="213"/>
      <c r="AA798" s="213"/>
      <c r="AB798" s="213"/>
      <c r="AC798" s="213"/>
      <c r="AD798" s="213"/>
      <c r="AE798" s="213"/>
      <c r="AF798" s="213"/>
      <c r="AG798" s="213"/>
      <c r="AH798" s="213"/>
      <c r="AI798" s="213"/>
      <c r="AJ798" s="213"/>
      <c r="AK798" s="213"/>
      <c r="AL798" s="213"/>
      <c r="AM798" s="302"/>
      <c r="AN798" s="302"/>
      <c r="AO798" s="303"/>
      <c r="AP798" s="285"/>
      <c r="AQ798" s="258"/>
      <c r="AR798" s="258"/>
    </row>
    <row r="799" spans="10:44" s="48" customFormat="1" hidden="1">
      <c r="J799" s="213"/>
      <c r="K799" s="213"/>
      <c r="L799" s="213"/>
      <c r="M799" s="213"/>
      <c r="N799" s="213"/>
      <c r="O799" s="213"/>
      <c r="P799" s="213"/>
      <c r="Q799" s="213"/>
      <c r="R799" s="213"/>
      <c r="S799" s="213"/>
      <c r="T799" s="213"/>
      <c r="U799" s="213"/>
      <c r="V799" s="213"/>
      <c r="W799" s="213"/>
      <c r="X799" s="213"/>
      <c r="Y799" s="213"/>
      <c r="Z799" s="213"/>
      <c r="AA799" s="213"/>
      <c r="AB799" s="213"/>
      <c r="AC799" s="213"/>
      <c r="AD799" s="213"/>
      <c r="AE799" s="213"/>
      <c r="AF799" s="213"/>
      <c r="AG799" s="213"/>
      <c r="AH799" s="213"/>
      <c r="AI799" s="213"/>
      <c r="AJ799" s="213"/>
      <c r="AK799" s="213"/>
      <c r="AL799" s="213"/>
      <c r="AM799" s="302"/>
      <c r="AN799" s="302"/>
      <c r="AO799" s="303"/>
      <c r="AP799" s="285"/>
      <c r="AQ799" s="258"/>
      <c r="AR799" s="258"/>
    </row>
    <row r="800" spans="10:44" s="48" customFormat="1" hidden="1">
      <c r="J800" s="213"/>
      <c r="K800" s="213"/>
      <c r="L800" s="213"/>
      <c r="M800" s="213"/>
      <c r="N800" s="213"/>
      <c r="O800" s="213"/>
      <c r="P800" s="213"/>
      <c r="Q800" s="213"/>
      <c r="R800" s="213"/>
      <c r="S800" s="213"/>
      <c r="T800" s="213"/>
      <c r="U800" s="213"/>
      <c r="V800" s="213"/>
      <c r="W800" s="213"/>
      <c r="X800" s="213"/>
      <c r="Y800" s="213"/>
      <c r="Z800" s="213"/>
      <c r="AA800" s="213"/>
      <c r="AB800" s="213"/>
      <c r="AC800" s="213"/>
      <c r="AD800" s="213"/>
      <c r="AE800" s="213"/>
      <c r="AF800" s="213"/>
      <c r="AG800" s="213"/>
      <c r="AH800" s="213"/>
      <c r="AI800" s="213"/>
      <c r="AJ800" s="213"/>
      <c r="AK800" s="213"/>
      <c r="AL800" s="213"/>
      <c r="AM800" s="302"/>
      <c r="AN800" s="302"/>
      <c r="AO800" s="303"/>
      <c r="AP800" s="285"/>
      <c r="AQ800" s="258"/>
      <c r="AR800" s="258"/>
    </row>
    <row r="801" spans="10:44" s="48" customFormat="1" hidden="1">
      <c r="J801" s="213"/>
      <c r="K801" s="213"/>
      <c r="L801" s="213"/>
      <c r="M801" s="213"/>
      <c r="N801" s="213"/>
      <c r="O801" s="213"/>
      <c r="P801" s="213"/>
      <c r="Q801" s="213"/>
      <c r="R801" s="213"/>
      <c r="S801" s="213"/>
      <c r="T801" s="213"/>
      <c r="U801" s="213"/>
      <c r="V801" s="213"/>
      <c r="W801" s="213"/>
      <c r="X801" s="213"/>
      <c r="Y801" s="213"/>
      <c r="Z801" s="213"/>
      <c r="AA801" s="213"/>
      <c r="AB801" s="213"/>
      <c r="AC801" s="213"/>
      <c r="AD801" s="213"/>
      <c r="AE801" s="213"/>
      <c r="AF801" s="213"/>
      <c r="AG801" s="213"/>
      <c r="AH801" s="213"/>
      <c r="AI801" s="213"/>
      <c r="AJ801" s="213"/>
      <c r="AK801" s="213"/>
      <c r="AL801" s="213"/>
      <c r="AM801" s="302"/>
      <c r="AN801" s="302"/>
      <c r="AO801" s="303"/>
      <c r="AP801" s="285"/>
      <c r="AQ801" s="258"/>
      <c r="AR801" s="258"/>
    </row>
    <row r="802" spans="10:44" s="48" customFormat="1" hidden="1">
      <c r="J802" s="213"/>
      <c r="K802" s="213"/>
      <c r="L802" s="213"/>
      <c r="M802" s="213"/>
      <c r="N802" s="213"/>
      <c r="O802" s="213"/>
      <c r="P802" s="213"/>
      <c r="Q802" s="213"/>
      <c r="R802" s="213"/>
      <c r="S802" s="213"/>
      <c r="T802" s="213"/>
      <c r="U802" s="213"/>
      <c r="V802" s="213"/>
      <c r="W802" s="213"/>
      <c r="X802" s="213"/>
      <c r="Y802" s="213"/>
      <c r="Z802" s="213"/>
      <c r="AA802" s="213"/>
      <c r="AB802" s="213"/>
      <c r="AC802" s="213"/>
      <c r="AD802" s="213"/>
      <c r="AE802" s="213"/>
      <c r="AF802" s="213"/>
      <c r="AG802" s="213"/>
      <c r="AH802" s="213"/>
      <c r="AI802" s="213"/>
      <c r="AJ802" s="213"/>
      <c r="AK802" s="213"/>
      <c r="AL802" s="213"/>
      <c r="AM802" s="302"/>
      <c r="AN802" s="302"/>
      <c r="AO802" s="303"/>
      <c r="AP802" s="285"/>
      <c r="AQ802" s="258"/>
      <c r="AR802" s="258"/>
    </row>
    <row r="803" spans="10:44" s="48" customFormat="1" hidden="1">
      <c r="J803" s="213"/>
      <c r="K803" s="213"/>
      <c r="L803" s="213"/>
      <c r="M803" s="213"/>
      <c r="N803" s="213"/>
      <c r="O803" s="213"/>
      <c r="P803" s="213"/>
      <c r="Q803" s="213"/>
      <c r="R803" s="213"/>
      <c r="S803" s="213"/>
      <c r="T803" s="213"/>
      <c r="U803" s="213"/>
      <c r="V803" s="213"/>
      <c r="W803" s="213"/>
      <c r="X803" s="213"/>
      <c r="Y803" s="213"/>
      <c r="Z803" s="213"/>
      <c r="AA803" s="213"/>
      <c r="AB803" s="213"/>
      <c r="AC803" s="213"/>
      <c r="AD803" s="213"/>
      <c r="AE803" s="213"/>
      <c r="AF803" s="213"/>
      <c r="AG803" s="213"/>
      <c r="AH803" s="213"/>
      <c r="AI803" s="213"/>
      <c r="AJ803" s="213"/>
      <c r="AK803" s="213"/>
      <c r="AL803" s="213"/>
      <c r="AM803" s="302"/>
      <c r="AN803" s="302"/>
      <c r="AO803" s="303"/>
      <c r="AP803" s="285"/>
      <c r="AQ803" s="258"/>
      <c r="AR803" s="258"/>
    </row>
    <row r="804" spans="10:44" s="48" customFormat="1" hidden="1">
      <c r="J804" s="213"/>
      <c r="K804" s="213"/>
      <c r="L804" s="213"/>
      <c r="M804" s="213"/>
      <c r="N804" s="213"/>
      <c r="O804" s="213"/>
      <c r="P804" s="213"/>
      <c r="Q804" s="213"/>
      <c r="R804" s="213"/>
      <c r="S804" s="213"/>
      <c r="T804" s="213"/>
      <c r="U804" s="213"/>
      <c r="V804" s="213"/>
      <c r="W804" s="213"/>
      <c r="X804" s="213"/>
      <c r="Y804" s="213"/>
      <c r="Z804" s="213"/>
      <c r="AA804" s="213"/>
      <c r="AB804" s="213"/>
      <c r="AC804" s="213"/>
      <c r="AD804" s="213"/>
      <c r="AE804" s="213"/>
      <c r="AF804" s="213"/>
      <c r="AG804" s="213"/>
      <c r="AH804" s="213"/>
      <c r="AI804" s="213"/>
      <c r="AJ804" s="213"/>
      <c r="AK804" s="213"/>
      <c r="AL804" s="213"/>
      <c r="AM804" s="302"/>
      <c r="AN804" s="302"/>
      <c r="AO804" s="303"/>
      <c r="AP804" s="285"/>
      <c r="AQ804" s="258"/>
      <c r="AR804" s="258"/>
    </row>
    <row r="805" spans="10:44" s="48" customFormat="1" hidden="1">
      <c r="J805" s="213"/>
      <c r="K805" s="213"/>
      <c r="L805" s="213"/>
      <c r="M805" s="213"/>
      <c r="N805" s="213"/>
      <c r="O805" s="213"/>
      <c r="P805" s="213"/>
      <c r="Q805" s="213"/>
      <c r="R805" s="213"/>
      <c r="S805" s="213"/>
      <c r="T805" s="213"/>
      <c r="U805" s="213"/>
      <c r="V805" s="213"/>
      <c r="W805" s="213"/>
      <c r="X805" s="213"/>
      <c r="Y805" s="213"/>
      <c r="Z805" s="213"/>
      <c r="AA805" s="213"/>
      <c r="AB805" s="213"/>
      <c r="AC805" s="213"/>
      <c r="AD805" s="213"/>
      <c r="AE805" s="213"/>
      <c r="AF805" s="213"/>
      <c r="AG805" s="213"/>
      <c r="AH805" s="213"/>
      <c r="AI805" s="213"/>
      <c r="AJ805" s="213"/>
      <c r="AK805" s="213"/>
      <c r="AL805" s="213"/>
      <c r="AM805" s="302"/>
      <c r="AN805" s="302"/>
      <c r="AO805" s="303"/>
      <c r="AP805" s="285"/>
      <c r="AQ805" s="258"/>
      <c r="AR805" s="258"/>
    </row>
    <row r="806" spans="10:44" s="48" customFormat="1" hidden="1">
      <c r="J806" s="213"/>
      <c r="K806" s="213"/>
      <c r="L806" s="213"/>
      <c r="M806" s="213"/>
      <c r="N806" s="213"/>
      <c r="O806" s="213"/>
      <c r="P806" s="213"/>
      <c r="Q806" s="213"/>
      <c r="R806" s="213"/>
      <c r="S806" s="213"/>
      <c r="T806" s="213"/>
      <c r="U806" s="213"/>
      <c r="V806" s="213"/>
      <c r="W806" s="213"/>
      <c r="X806" s="213"/>
      <c r="Y806" s="213"/>
      <c r="Z806" s="213"/>
      <c r="AA806" s="213"/>
      <c r="AB806" s="213"/>
      <c r="AC806" s="213"/>
      <c r="AD806" s="213"/>
      <c r="AE806" s="213"/>
      <c r="AF806" s="213"/>
      <c r="AG806" s="213"/>
      <c r="AH806" s="213"/>
      <c r="AI806" s="213"/>
      <c r="AJ806" s="213"/>
      <c r="AK806" s="213"/>
      <c r="AL806" s="213"/>
      <c r="AM806" s="302"/>
      <c r="AN806" s="302"/>
      <c r="AO806" s="303"/>
      <c r="AP806" s="285"/>
      <c r="AQ806" s="258"/>
      <c r="AR806" s="258"/>
    </row>
    <row r="807" spans="10:44" s="48" customFormat="1" hidden="1">
      <c r="J807" s="213"/>
      <c r="K807" s="213"/>
      <c r="L807" s="213"/>
      <c r="M807" s="213"/>
      <c r="N807" s="213"/>
      <c r="O807" s="213"/>
      <c r="P807" s="213"/>
      <c r="Q807" s="213"/>
      <c r="R807" s="213"/>
      <c r="S807" s="213"/>
      <c r="T807" s="213"/>
      <c r="U807" s="213"/>
      <c r="V807" s="213"/>
      <c r="W807" s="213"/>
      <c r="X807" s="213"/>
      <c r="Y807" s="213"/>
      <c r="Z807" s="213"/>
      <c r="AA807" s="213"/>
      <c r="AB807" s="213"/>
      <c r="AC807" s="213"/>
      <c r="AD807" s="213"/>
      <c r="AE807" s="213"/>
      <c r="AF807" s="213"/>
      <c r="AG807" s="213"/>
      <c r="AH807" s="213"/>
      <c r="AI807" s="213"/>
      <c r="AJ807" s="213"/>
      <c r="AK807" s="213"/>
      <c r="AL807" s="213"/>
      <c r="AM807" s="302"/>
      <c r="AN807" s="302"/>
      <c r="AO807" s="303"/>
      <c r="AP807" s="285"/>
      <c r="AQ807" s="258"/>
      <c r="AR807" s="258"/>
    </row>
    <row r="808" spans="10:44" s="48" customFormat="1" hidden="1">
      <c r="J808" s="213"/>
      <c r="K808" s="213"/>
      <c r="L808" s="213"/>
      <c r="M808" s="213"/>
      <c r="N808" s="213"/>
      <c r="O808" s="213"/>
      <c r="P808" s="213"/>
      <c r="Q808" s="213"/>
      <c r="R808" s="213"/>
      <c r="S808" s="213"/>
      <c r="T808" s="213"/>
      <c r="U808" s="213"/>
      <c r="V808" s="213"/>
      <c r="W808" s="213"/>
      <c r="X808" s="213"/>
      <c r="Y808" s="213"/>
      <c r="Z808" s="213"/>
      <c r="AA808" s="213"/>
      <c r="AB808" s="213"/>
      <c r="AC808" s="213"/>
      <c r="AD808" s="213"/>
      <c r="AE808" s="213"/>
      <c r="AF808" s="213"/>
      <c r="AG808" s="213"/>
      <c r="AH808" s="213"/>
      <c r="AI808" s="213"/>
      <c r="AJ808" s="213"/>
      <c r="AK808" s="213"/>
      <c r="AL808" s="213"/>
      <c r="AM808" s="302"/>
      <c r="AN808" s="302"/>
      <c r="AO808" s="303"/>
      <c r="AP808" s="285"/>
      <c r="AQ808" s="258"/>
      <c r="AR808" s="258"/>
    </row>
    <row r="809" spans="10:44" s="48" customFormat="1" hidden="1">
      <c r="J809" s="213"/>
      <c r="K809" s="213"/>
      <c r="L809" s="213"/>
      <c r="M809" s="213"/>
      <c r="N809" s="213"/>
      <c r="O809" s="213"/>
      <c r="P809" s="213"/>
      <c r="Q809" s="213"/>
      <c r="R809" s="213"/>
      <c r="S809" s="213"/>
      <c r="T809" s="213"/>
      <c r="U809" s="213"/>
      <c r="V809" s="213"/>
      <c r="W809" s="213"/>
      <c r="X809" s="213"/>
      <c r="Y809" s="213"/>
      <c r="Z809" s="213"/>
      <c r="AA809" s="213"/>
      <c r="AB809" s="213"/>
      <c r="AC809" s="213"/>
      <c r="AD809" s="213"/>
      <c r="AE809" s="213"/>
      <c r="AF809" s="213"/>
      <c r="AG809" s="213"/>
      <c r="AH809" s="213"/>
      <c r="AI809" s="213"/>
      <c r="AJ809" s="213"/>
      <c r="AK809" s="213"/>
      <c r="AL809" s="213"/>
      <c r="AM809" s="302"/>
      <c r="AN809" s="302"/>
      <c r="AO809" s="303"/>
      <c r="AP809" s="285"/>
      <c r="AQ809" s="258"/>
      <c r="AR809" s="258"/>
    </row>
    <row r="810" spans="10:44" s="48" customFormat="1" hidden="1">
      <c r="J810" s="213"/>
      <c r="K810" s="213"/>
      <c r="L810" s="213"/>
      <c r="M810" s="213"/>
      <c r="N810" s="213"/>
      <c r="O810" s="213"/>
      <c r="P810" s="213"/>
      <c r="Q810" s="213"/>
      <c r="R810" s="213"/>
      <c r="S810" s="213"/>
      <c r="T810" s="213"/>
      <c r="U810" s="213"/>
      <c r="V810" s="213"/>
      <c r="W810" s="213"/>
      <c r="X810" s="213"/>
      <c r="Y810" s="213"/>
      <c r="Z810" s="213"/>
      <c r="AA810" s="213"/>
      <c r="AB810" s="213"/>
      <c r="AC810" s="213"/>
      <c r="AD810" s="213"/>
      <c r="AE810" s="213"/>
      <c r="AF810" s="213"/>
      <c r="AG810" s="213"/>
      <c r="AH810" s="213"/>
      <c r="AI810" s="213"/>
      <c r="AJ810" s="213"/>
      <c r="AK810" s="213"/>
      <c r="AL810" s="213"/>
      <c r="AM810" s="302"/>
      <c r="AN810" s="302"/>
      <c r="AO810" s="303"/>
      <c r="AP810" s="285"/>
      <c r="AQ810" s="258"/>
      <c r="AR810" s="258"/>
    </row>
    <row r="811" spans="10:44" s="48" customFormat="1" hidden="1">
      <c r="J811" s="213"/>
      <c r="K811" s="213"/>
      <c r="L811" s="213"/>
      <c r="M811" s="213"/>
      <c r="N811" s="213"/>
      <c r="O811" s="213"/>
      <c r="P811" s="213"/>
      <c r="Q811" s="213"/>
      <c r="R811" s="213"/>
      <c r="S811" s="213"/>
      <c r="T811" s="213"/>
      <c r="U811" s="213"/>
      <c r="V811" s="213"/>
      <c r="W811" s="213"/>
      <c r="X811" s="213"/>
      <c r="Y811" s="213"/>
      <c r="Z811" s="213"/>
      <c r="AA811" s="213"/>
      <c r="AB811" s="213"/>
      <c r="AC811" s="213"/>
      <c r="AD811" s="213"/>
      <c r="AE811" s="213"/>
      <c r="AF811" s="213"/>
      <c r="AG811" s="213"/>
      <c r="AH811" s="213"/>
      <c r="AI811" s="213"/>
      <c r="AJ811" s="213"/>
      <c r="AK811" s="213"/>
      <c r="AL811" s="213"/>
      <c r="AM811" s="302"/>
      <c r="AN811" s="302"/>
      <c r="AO811" s="303"/>
      <c r="AP811" s="285"/>
      <c r="AQ811" s="258"/>
      <c r="AR811" s="258"/>
    </row>
    <row r="812" spans="10:44" s="48" customFormat="1" hidden="1">
      <c r="J812" s="213"/>
      <c r="K812" s="213"/>
      <c r="L812" s="213"/>
      <c r="M812" s="213"/>
      <c r="N812" s="213"/>
      <c r="O812" s="213"/>
      <c r="P812" s="213"/>
      <c r="Q812" s="213"/>
      <c r="R812" s="213"/>
      <c r="S812" s="213"/>
      <c r="T812" s="213"/>
      <c r="U812" s="213"/>
      <c r="V812" s="213"/>
      <c r="W812" s="213"/>
      <c r="X812" s="213"/>
      <c r="Y812" s="213"/>
      <c r="Z812" s="213"/>
      <c r="AA812" s="213"/>
      <c r="AB812" s="213"/>
      <c r="AC812" s="213"/>
      <c r="AD812" s="213"/>
      <c r="AE812" s="213"/>
      <c r="AF812" s="213"/>
      <c r="AG812" s="213"/>
      <c r="AH812" s="213"/>
      <c r="AI812" s="213"/>
      <c r="AJ812" s="213"/>
      <c r="AK812" s="213"/>
      <c r="AL812" s="213"/>
      <c r="AM812" s="302"/>
      <c r="AN812" s="302"/>
      <c r="AO812" s="303"/>
      <c r="AP812" s="285"/>
      <c r="AQ812" s="258"/>
      <c r="AR812" s="258"/>
    </row>
    <row r="813" spans="10:44" s="48" customFormat="1" hidden="1">
      <c r="J813" s="213"/>
      <c r="K813" s="213"/>
      <c r="L813" s="213"/>
      <c r="M813" s="213"/>
      <c r="N813" s="213"/>
      <c r="O813" s="213"/>
      <c r="P813" s="213"/>
      <c r="Q813" s="213"/>
      <c r="R813" s="213"/>
      <c r="S813" s="213"/>
      <c r="T813" s="213"/>
      <c r="U813" s="213"/>
      <c r="V813" s="213"/>
      <c r="W813" s="213"/>
      <c r="X813" s="213"/>
      <c r="Y813" s="213"/>
      <c r="Z813" s="213"/>
      <c r="AA813" s="213"/>
      <c r="AB813" s="213"/>
      <c r="AC813" s="213"/>
      <c r="AD813" s="213"/>
      <c r="AE813" s="213"/>
      <c r="AF813" s="213"/>
      <c r="AG813" s="213"/>
      <c r="AH813" s="213"/>
      <c r="AI813" s="213"/>
      <c r="AJ813" s="213"/>
      <c r="AK813" s="213"/>
      <c r="AL813" s="213"/>
      <c r="AM813" s="302"/>
      <c r="AN813" s="302"/>
      <c r="AO813" s="303"/>
      <c r="AP813" s="285"/>
      <c r="AQ813" s="258"/>
      <c r="AR813" s="258"/>
    </row>
    <row r="814" spans="10:44" s="48" customFormat="1" hidden="1">
      <c r="J814" s="213"/>
      <c r="K814" s="213"/>
      <c r="L814" s="213"/>
      <c r="M814" s="213"/>
      <c r="N814" s="213"/>
      <c r="O814" s="213"/>
      <c r="P814" s="213"/>
      <c r="Q814" s="213"/>
      <c r="R814" s="213"/>
      <c r="S814" s="213"/>
      <c r="T814" s="213"/>
      <c r="U814" s="213"/>
      <c r="V814" s="213"/>
      <c r="W814" s="213"/>
      <c r="X814" s="213"/>
      <c r="Y814" s="213"/>
      <c r="Z814" s="213"/>
      <c r="AA814" s="213"/>
      <c r="AB814" s="213"/>
      <c r="AC814" s="213"/>
      <c r="AD814" s="213"/>
      <c r="AE814" s="213"/>
      <c r="AF814" s="213"/>
      <c r="AG814" s="213"/>
      <c r="AH814" s="213"/>
      <c r="AI814" s="213"/>
      <c r="AJ814" s="213"/>
      <c r="AK814" s="213"/>
      <c r="AL814" s="213"/>
      <c r="AM814" s="302"/>
      <c r="AN814" s="302"/>
      <c r="AO814" s="303"/>
      <c r="AP814" s="285"/>
      <c r="AQ814" s="258"/>
      <c r="AR814" s="258"/>
    </row>
    <row r="815" spans="10:44" s="48" customFormat="1" hidden="1">
      <c r="J815" s="213"/>
      <c r="K815" s="213"/>
      <c r="L815" s="213"/>
      <c r="M815" s="213"/>
      <c r="N815" s="213"/>
      <c r="O815" s="213"/>
      <c r="P815" s="213"/>
      <c r="Q815" s="213"/>
      <c r="R815" s="213"/>
      <c r="S815" s="213"/>
      <c r="T815" s="213"/>
      <c r="U815" s="213"/>
      <c r="V815" s="213"/>
      <c r="W815" s="213"/>
      <c r="X815" s="213"/>
      <c r="Y815" s="213"/>
      <c r="Z815" s="213"/>
      <c r="AA815" s="213"/>
      <c r="AB815" s="213"/>
      <c r="AC815" s="213"/>
      <c r="AD815" s="213"/>
      <c r="AE815" s="213"/>
      <c r="AF815" s="213"/>
      <c r="AG815" s="213"/>
      <c r="AH815" s="213"/>
      <c r="AI815" s="213"/>
      <c r="AJ815" s="213"/>
      <c r="AK815" s="213"/>
      <c r="AL815" s="213"/>
      <c r="AM815" s="302"/>
      <c r="AN815" s="302"/>
      <c r="AO815" s="303"/>
      <c r="AP815" s="285"/>
      <c r="AQ815" s="258"/>
      <c r="AR815" s="258"/>
    </row>
    <row r="816" spans="10:44" s="48" customFormat="1" hidden="1">
      <c r="J816" s="213"/>
      <c r="K816" s="213"/>
      <c r="L816" s="213"/>
      <c r="M816" s="213"/>
      <c r="N816" s="213"/>
      <c r="O816" s="213"/>
      <c r="P816" s="213"/>
      <c r="Q816" s="213"/>
      <c r="R816" s="213"/>
      <c r="S816" s="213"/>
      <c r="T816" s="213"/>
      <c r="U816" s="213"/>
      <c r="V816" s="213"/>
      <c r="W816" s="213"/>
      <c r="X816" s="213"/>
      <c r="Y816" s="213"/>
      <c r="Z816" s="213"/>
      <c r="AA816" s="213"/>
      <c r="AB816" s="213"/>
      <c r="AC816" s="213"/>
      <c r="AD816" s="213"/>
      <c r="AE816" s="213"/>
      <c r="AF816" s="213"/>
      <c r="AG816" s="213"/>
      <c r="AH816" s="213"/>
      <c r="AI816" s="213"/>
      <c r="AJ816" s="213"/>
      <c r="AK816" s="213"/>
      <c r="AL816" s="213"/>
      <c r="AM816" s="302"/>
      <c r="AN816" s="302"/>
      <c r="AO816" s="303"/>
      <c r="AP816" s="285"/>
      <c r="AQ816" s="258"/>
      <c r="AR816" s="258"/>
    </row>
    <row r="817" spans="10:44" s="48" customFormat="1" hidden="1">
      <c r="J817" s="213"/>
      <c r="K817" s="213"/>
      <c r="L817" s="213"/>
      <c r="M817" s="213"/>
      <c r="N817" s="213"/>
      <c r="O817" s="213"/>
      <c r="P817" s="213"/>
      <c r="Q817" s="213"/>
      <c r="R817" s="213"/>
      <c r="S817" s="213"/>
      <c r="T817" s="213"/>
      <c r="U817" s="213"/>
      <c r="V817" s="213"/>
      <c r="W817" s="213"/>
      <c r="X817" s="213"/>
      <c r="Y817" s="213"/>
      <c r="Z817" s="213"/>
      <c r="AA817" s="213"/>
      <c r="AB817" s="213"/>
      <c r="AC817" s="213"/>
      <c r="AD817" s="213"/>
      <c r="AE817" s="213"/>
      <c r="AF817" s="213"/>
      <c r="AG817" s="213"/>
      <c r="AH817" s="213"/>
      <c r="AI817" s="213"/>
      <c r="AJ817" s="213"/>
      <c r="AK817" s="213"/>
      <c r="AL817" s="213"/>
      <c r="AM817" s="302"/>
      <c r="AN817" s="302"/>
      <c r="AO817" s="303"/>
      <c r="AP817" s="285"/>
      <c r="AQ817" s="258"/>
      <c r="AR817" s="258"/>
    </row>
    <row r="818" spans="10:44" s="48" customFormat="1" hidden="1">
      <c r="J818" s="213"/>
      <c r="K818" s="213"/>
      <c r="L818" s="213"/>
      <c r="M818" s="213"/>
      <c r="N818" s="213"/>
      <c r="O818" s="213"/>
      <c r="P818" s="213"/>
      <c r="Q818" s="213"/>
      <c r="R818" s="213"/>
      <c r="S818" s="213"/>
      <c r="T818" s="213"/>
      <c r="U818" s="213"/>
      <c r="V818" s="213"/>
      <c r="W818" s="213"/>
      <c r="X818" s="213"/>
      <c r="Y818" s="213"/>
      <c r="Z818" s="213"/>
      <c r="AA818" s="213"/>
      <c r="AB818" s="213"/>
      <c r="AC818" s="213"/>
      <c r="AD818" s="213"/>
      <c r="AE818" s="213"/>
      <c r="AF818" s="213"/>
      <c r="AG818" s="213"/>
      <c r="AH818" s="213"/>
      <c r="AI818" s="213"/>
      <c r="AJ818" s="213"/>
      <c r="AK818" s="213"/>
      <c r="AL818" s="213"/>
      <c r="AM818" s="302"/>
      <c r="AN818" s="302"/>
      <c r="AO818" s="303"/>
      <c r="AP818" s="285"/>
      <c r="AQ818" s="258"/>
      <c r="AR818" s="258"/>
    </row>
    <row r="819" spans="10:44" s="48" customFormat="1" hidden="1">
      <c r="J819" s="213"/>
      <c r="K819" s="213"/>
      <c r="L819" s="213"/>
      <c r="M819" s="213"/>
      <c r="N819" s="213"/>
      <c r="O819" s="213"/>
      <c r="P819" s="213"/>
      <c r="Q819" s="213"/>
      <c r="R819" s="213"/>
      <c r="S819" s="213"/>
      <c r="T819" s="213"/>
      <c r="U819" s="213"/>
      <c r="V819" s="213"/>
      <c r="W819" s="213"/>
      <c r="X819" s="213"/>
      <c r="Y819" s="213"/>
      <c r="Z819" s="213"/>
      <c r="AA819" s="213"/>
      <c r="AB819" s="213"/>
      <c r="AC819" s="213"/>
      <c r="AD819" s="213"/>
      <c r="AE819" s="213"/>
      <c r="AF819" s="213"/>
      <c r="AG819" s="213"/>
      <c r="AH819" s="213"/>
      <c r="AI819" s="213"/>
      <c r="AJ819" s="213"/>
      <c r="AK819" s="213"/>
      <c r="AL819" s="213"/>
      <c r="AM819" s="302"/>
      <c r="AN819" s="302"/>
      <c r="AO819" s="303"/>
      <c r="AP819" s="285"/>
      <c r="AQ819" s="258"/>
      <c r="AR819" s="258"/>
    </row>
    <row r="820" spans="10:44" s="48" customFormat="1" hidden="1">
      <c r="J820" s="213"/>
      <c r="K820" s="213"/>
      <c r="L820" s="213"/>
      <c r="M820" s="213"/>
      <c r="N820" s="213"/>
      <c r="O820" s="213"/>
      <c r="P820" s="213"/>
      <c r="Q820" s="213"/>
      <c r="R820" s="213"/>
      <c r="S820" s="213"/>
      <c r="T820" s="213"/>
      <c r="U820" s="213"/>
      <c r="V820" s="213"/>
      <c r="W820" s="213"/>
      <c r="X820" s="213"/>
      <c r="Y820" s="213"/>
      <c r="Z820" s="213"/>
      <c r="AA820" s="213"/>
      <c r="AB820" s="213"/>
      <c r="AC820" s="213"/>
      <c r="AD820" s="213"/>
      <c r="AE820" s="213"/>
      <c r="AF820" s="213"/>
      <c r="AG820" s="213"/>
      <c r="AH820" s="213"/>
      <c r="AI820" s="213"/>
      <c r="AJ820" s="213"/>
      <c r="AK820" s="213"/>
      <c r="AL820" s="213"/>
      <c r="AM820" s="302"/>
      <c r="AN820" s="302"/>
      <c r="AO820" s="303"/>
      <c r="AP820" s="285"/>
      <c r="AQ820" s="258"/>
      <c r="AR820" s="258"/>
    </row>
    <row r="821" spans="10:44" s="48" customFormat="1" hidden="1">
      <c r="J821" s="213"/>
      <c r="K821" s="213"/>
      <c r="L821" s="213"/>
      <c r="M821" s="213"/>
      <c r="N821" s="213"/>
      <c r="O821" s="213"/>
      <c r="P821" s="213"/>
      <c r="Q821" s="213"/>
      <c r="R821" s="213"/>
      <c r="S821" s="213"/>
      <c r="T821" s="213"/>
      <c r="U821" s="213"/>
      <c r="V821" s="213"/>
      <c r="W821" s="213"/>
      <c r="X821" s="213"/>
      <c r="Y821" s="213"/>
      <c r="Z821" s="213"/>
      <c r="AA821" s="213"/>
      <c r="AB821" s="213"/>
      <c r="AC821" s="213"/>
      <c r="AD821" s="213"/>
      <c r="AE821" s="213"/>
      <c r="AF821" s="213"/>
      <c r="AG821" s="213"/>
      <c r="AH821" s="213"/>
      <c r="AI821" s="213"/>
      <c r="AJ821" s="213"/>
      <c r="AK821" s="213"/>
      <c r="AL821" s="213"/>
      <c r="AM821" s="302"/>
      <c r="AN821" s="302"/>
      <c r="AO821" s="303"/>
      <c r="AP821" s="285"/>
      <c r="AQ821" s="258"/>
      <c r="AR821" s="258"/>
    </row>
    <row r="822" spans="10:44" s="48" customFormat="1" hidden="1">
      <c r="J822" s="213"/>
      <c r="K822" s="213"/>
      <c r="L822" s="213"/>
      <c r="M822" s="213"/>
      <c r="N822" s="213"/>
      <c r="O822" s="213"/>
      <c r="P822" s="213"/>
      <c r="Q822" s="213"/>
      <c r="R822" s="213"/>
      <c r="S822" s="213"/>
      <c r="T822" s="213"/>
      <c r="U822" s="213"/>
      <c r="V822" s="213"/>
      <c r="W822" s="213"/>
      <c r="X822" s="213"/>
      <c r="Y822" s="213"/>
      <c r="Z822" s="213"/>
      <c r="AA822" s="213"/>
      <c r="AB822" s="213"/>
      <c r="AC822" s="213"/>
      <c r="AD822" s="213"/>
      <c r="AE822" s="213"/>
      <c r="AF822" s="213"/>
      <c r="AG822" s="213"/>
      <c r="AH822" s="213"/>
      <c r="AI822" s="213"/>
      <c r="AJ822" s="213"/>
      <c r="AK822" s="213"/>
      <c r="AL822" s="213"/>
      <c r="AM822" s="302"/>
      <c r="AN822" s="302"/>
      <c r="AO822" s="303"/>
      <c r="AP822" s="285"/>
      <c r="AQ822" s="258"/>
      <c r="AR822" s="258"/>
    </row>
    <row r="823" spans="10:44" s="48" customFormat="1" hidden="1">
      <c r="J823" s="213"/>
      <c r="K823" s="213"/>
      <c r="L823" s="213"/>
      <c r="M823" s="213"/>
      <c r="N823" s="213"/>
      <c r="O823" s="213"/>
      <c r="P823" s="213"/>
      <c r="Q823" s="213"/>
      <c r="R823" s="213"/>
      <c r="S823" s="213"/>
      <c r="T823" s="213"/>
      <c r="U823" s="213"/>
      <c r="V823" s="213"/>
      <c r="W823" s="213"/>
      <c r="X823" s="213"/>
      <c r="Y823" s="213"/>
      <c r="Z823" s="213"/>
      <c r="AA823" s="213"/>
      <c r="AB823" s="213"/>
      <c r="AC823" s="213"/>
      <c r="AD823" s="213"/>
      <c r="AE823" s="213"/>
      <c r="AF823" s="213"/>
      <c r="AG823" s="213"/>
      <c r="AH823" s="213"/>
      <c r="AI823" s="213"/>
      <c r="AJ823" s="213"/>
      <c r="AK823" s="213"/>
      <c r="AL823" s="213"/>
      <c r="AM823" s="302"/>
      <c r="AN823" s="302"/>
      <c r="AO823" s="303"/>
      <c r="AP823" s="285"/>
      <c r="AQ823" s="258"/>
      <c r="AR823" s="258"/>
    </row>
    <row r="824" spans="10:44" s="48" customFormat="1" hidden="1">
      <c r="J824" s="213"/>
      <c r="K824" s="213"/>
      <c r="L824" s="213"/>
      <c r="M824" s="213"/>
      <c r="N824" s="213"/>
      <c r="O824" s="213"/>
      <c r="P824" s="213"/>
      <c r="Q824" s="213"/>
      <c r="R824" s="213"/>
      <c r="S824" s="213"/>
      <c r="T824" s="213"/>
      <c r="U824" s="213"/>
      <c r="V824" s="213"/>
      <c r="W824" s="213"/>
      <c r="X824" s="213"/>
      <c r="Y824" s="213"/>
      <c r="Z824" s="213"/>
      <c r="AA824" s="213"/>
      <c r="AB824" s="213"/>
      <c r="AC824" s="213"/>
      <c r="AD824" s="213"/>
      <c r="AE824" s="213"/>
      <c r="AF824" s="213"/>
      <c r="AG824" s="213"/>
      <c r="AH824" s="213"/>
      <c r="AI824" s="213"/>
      <c r="AJ824" s="213"/>
      <c r="AK824" s="213"/>
      <c r="AL824" s="213"/>
      <c r="AM824" s="302"/>
      <c r="AN824" s="302"/>
      <c r="AO824" s="303"/>
      <c r="AP824" s="285"/>
      <c r="AQ824" s="258"/>
      <c r="AR824" s="258"/>
    </row>
    <row r="825" spans="10:44" s="48" customFormat="1" hidden="1">
      <c r="J825" s="213"/>
      <c r="K825" s="213"/>
      <c r="L825" s="213"/>
      <c r="M825" s="213"/>
      <c r="N825" s="213"/>
      <c r="O825" s="213"/>
      <c r="P825" s="213"/>
      <c r="Q825" s="213"/>
      <c r="R825" s="213"/>
      <c r="S825" s="213"/>
      <c r="T825" s="213"/>
      <c r="U825" s="213"/>
      <c r="V825" s="213"/>
      <c r="W825" s="213"/>
      <c r="X825" s="213"/>
      <c r="Y825" s="213"/>
      <c r="Z825" s="213"/>
      <c r="AA825" s="213"/>
      <c r="AB825" s="213"/>
      <c r="AC825" s="213"/>
      <c r="AD825" s="213"/>
      <c r="AE825" s="213"/>
      <c r="AF825" s="213"/>
      <c r="AG825" s="213"/>
      <c r="AH825" s="213"/>
      <c r="AI825" s="213"/>
      <c r="AJ825" s="213"/>
      <c r="AK825" s="213"/>
      <c r="AL825" s="213"/>
      <c r="AM825" s="302"/>
      <c r="AN825" s="302"/>
      <c r="AO825" s="303"/>
      <c r="AP825" s="285"/>
      <c r="AQ825" s="258"/>
      <c r="AR825" s="258"/>
    </row>
    <row r="826" spans="10:44" s="48" customFormat="1" hidden="1">
      <c r="J826" s="213"/>
      <c r="K826" s="213"/>
      <c r="L826" s="213"/>
      <c r="M826" s="213"/>
      <c r="N826" s="213"/>
      <c r="O826" s="213"/>
      <c r="P826" s="213"/>
      <c r="Q826" s="213"/>
      <c r="R826" s="213"/>
      <c r="S826" s="213"/>
      <c r="T826" s="213"/>
      <c r="U826" s="213"/>
      <c r="V826" s="213"/>
      <c r="W826" s="213"/>
      <c r="X826" s="213"/>
      <c r="Y826" s="213"/>
      <c r="Z826" s="213"/>
      <c r="AA826" s="213"/>
      <c r="AB826" s="213"/>
      <c r="AC826" s="213"/>
      <c r="AD826" s="213"/>
      <c r="AE826" s="213"/>
      <c r="AF826" s="213"/>
      <c r="AG826" s="213"/>
      <c r="AH826" s="213"/>
      <c r="AI826" s="213"/>
      <c r="AJ826" s="213"/>
      <c r="AK826" s="213"/>
      <c r="AL826" s="213"/>
      <c r="AM826" s="302"/>
      <c r="AN826" s="302"/>
      <c r="AO826" s="303"/>
      <c r="AP826" s="285"/>
      <c r="AQ826" s="258"/>
      <c r="AR826" s="258"/>
    </row>
    <row r="827" spans="10:44" s="48" customFormat="1" hidden="1">
      <c r="J827" s="213"/>
      <c r="K827" s="213"/>
      <c r="L827" s="213"/>
      <c r="M827" s="213"/>
      <c r="N827" s="213"/>
      <c r="O827" s="213"/>
      <c r="P827" s="213"/>
      <c r="Q827" s="213"/>
      <c r="R827" s="213"/>
      <c r="S827" s="213"/>
      <c r="T827" s="213"/>
      <c r="U827" s="213"/>
      <c r="V827" s="213"/>
      <c r="W827" s="213"/>
      <c r="X827" s="213"/>
      <c r="Y827" s="213"/>
      <c r="Z827" s="213"/>
      <c r="AA827" s="213"/>
      <c r="AB827" s="213"/>
      <c r="AC827" s="213"/>
      <c r="AD827" s="213"/>
      <c r="AE827" s="213"/>
      <c r="AF827" s="213"/>
      <c r="AG827" s="213"/>
      <c r="AH827" s="213"/>
      <c r="AI827" s="213"/>
      <c r="AJ827" s="213"/>
      <c r="AK827" s="213"/>
      <c r="AL827" s="213"/>
      <c r="AM827" s="302"/>
      <c r="AN827" s="302"/>
      <c r="AO827" s="303"/>
      <c r="AP827" s="285"/>
      <c r="AQ827" s="258"/>
      <c r="AR827" s="258"/>
    </row>
    <row r="828" spans="10:44" s="48" customFormat="1" hidden="1">
      <c r="J828" s="213"/>
      <c r="K828" s="213"/>
      <c r="L828" s="213"/>
      <c r="M828" s="213"/>
      <c r="N828" s="213"/>
      <c r="O828" s="213"/>
      <c r="P828" s="213"/>
      <c r="Q828" s="213"/>
      <c r="R828" s="213"/>
      <c r="S828" s="213"/>
      <c r="T828" s="213"/>
      <c r="U828" s="213"/>
      <c r="V828" s="213"/>
      <c r="W828" s="213"/>
      <c r="X828" s="213"/>
      <c r="Y828" s="213"/>
      <c r="Z828" s="213"/>
      <c r="AA828" s="213"/>
      <c r="AB828" s="213"/>
      <c r="AC828" s="213"/>
      <c r="AD828" s="213"/>
      <c r="AE828" s="213"/>
      <c r="AF828" s="213"/>
      <c r="AG828" s="213"/>
      <c r="AH828" s="213"/>
      <c r="AI828" s="213"/>
      <c r="AJ828" s="213"/>
      <c r="AK828" s="213"/>
      <c r="AL828" s="213"/>
      <c r="AM828" s="302"/>
      <c r="AN828" s="302"/>
      <c r="AO828" s="303"/>
      <c r="AP828" s="285"/>
      <c r="AQ828" s="258"/>
      <c r="AR828" s="258"/>
    </row>
    <row r="829" spans="10:44" s="48" customFormat="1" hidden="1">
      <c r="J829" s="213"/>
      <c r="K829" s="213"/>
      <c r="L829" s="213"/>
      <c r="M829" s="213"/>
      <c r="N829" s="213"/>
      <c r="O829" s="213"/>
      <c r="P829" s="213"/>
      <c r="Q829" s="213"/>
      <c r="R829" s="213"/>
      <c r="S829" s="213"/>
      <c r="T829" s="213"/>
      <c r="U829" s="213"/>
      <c r="V829" s="213"/>
      <c r="W829" s="213"/>
      <c r="X829" s="213"/>
      <c r="Y829" s="213"/>
      <c r="Z829" s="213"/>
      <c r="AA829" s="213"/>
      <c r="AB829" s="213"/>
      <c r="AC829" s="213"/>
      <c r="AD829" s="213"/>
      <c r="AE829" s="213"/>
      <c r="AF829" s="213"/>
      <c r="AG829" s="213"/>
      <c r="AH829" s="213"/>
      <c r="AI829" s="213"/>
      <c r="AJ829" s="213"/>
      <c r="AK829" s="213"/>
      <c r="AL829" s="213"/>
      <c r="AM829" s="302"/>
      <c r="AN829" s="302"/>
      <c r="AO829" s="303"/>
      <c r="AP829" s="285"/>
      <c r="AQ829" s="258"/>
      <c r="AR829" s="258"/>
    </row>
    <row r="830" spans="10:44" s="48" customFormat="1" hidden="1">
      <c r="J830" s="213"/>
      <c r="K830" s="213"/>
      <c r="L830" s="213"/>
      <c r="M830" s="213"/>
      <c r="N830" s="213"/>
      <c r="O830" s="213"/>
      <c r="P830" s="213"/>
      <c r="Q830" s="213"/>
      <c r="R830" s="213"/>
      <c r="S830" s="213"/>
      <c r="T830" s="213"/>
      <c r="U830" s="213"/>
      <c r="V830" s="213"/>
      <c r="W830" s="213"/>
      <c r="X830" s="213"/>
      <c r="Y830" s="213"/>
      <c r="Z830" s="213"/>
      <c r="AA830" s="213"/>
      <c r="AB830" s="213"/>
      <c r="AC830" s="213"/>
      <c r="AD830" s="213"/>
      <c r="AE830" s="213"/>
      <c r="AF830" s="213"/>
      <c r="AG830" s="213"/>
      <c r="AH830" s="213"/>
      <c r="AI830" s="213"/>
      <c r="AJ830" s="213"/>
      <c r="AK830" s="213"/>
      <c r="AL830" s="213"/>
      <c r="AM830" s="302"/>
      <c r="AN830" s="302"/>
      <c r="AO830" s="303"/>
      <c r="AP830" s="285"/>
      <c r="AQ830" s="258"/>
      <c r="AR830" s="258"/>
    </row>
    <row r="831" spans="10:44" s="48" customFormat="1" hidden="1">
      <c r="J831" s="213"/>
      <c r="K831" s="213"/>
      <c r="L831" s="213"/>
      <c r="M831" s="213"/>
      <c r="N831" s="213"/>
      <c r="O831" s="213"/>
      <c r="P831" s="213"/>
      <c r="Q831" s="213"/>
      <c r="R831" s="213"/>
      <c r="S831" s="213"/>
      <c r="T831" s="213"/>
      <c r="U831" s="213"/>
      <c r="V831" s="213"/>
      <c r="W831" s="213"/>
      <c r="X831" s="213"/>
      <c r="Y831" s="213"/>
      <c r="Z831" s="213"/>
      <c r="AA831" s="213"/>
      <c r="AB831" s="213"/>
      <c r="AC831" s="213"/>
      <c r="AD831" s="213"/>
      <c r="AE831" s="213"/>
      <c r="AF831" s="213"/>
      <c r="AG831" s="213"/>
      <c r="AH831" s="213"/>
      <c r="AI831" s="213"/>
      <c r="AJ831" s="213"/>
      <c r="AK831" s="213"/>
      <c r="AL831" s="213"/>
      <c r="AM831" s="302"/>
      <c r="AN831" s="302"/>
      <c r="AO831" s="303"/>
      <c r="AP831" s="285"/>
      <c r="AQ831" s="258"/>
      <c r="AR831" s="258"/>
    </row>
    <row r="832" spans="10:44" s="48" customFormat="1" hidden="1">
      <c r="J832" s="213"/>
      <c r="K832" s="213"/>
      <c r="L832" s="213"/>
      <c r="M832" s="213"/>
      <c r="N832" s="213"/>
      <c r="O832" s="213"/>
      <c r="P832" s="213"/>
      <c r="Q832" s="213"/>
      <c r="R832" s="213"/>
      <c r="S832" s="213"/>
      <c r="T832" s="213"/>
      <c r="U832" s="213"/>
      <c r="V832" s="213"/>
      <c r="W832" s="213"/>
      <c r="X832" s="213"/>
      <c r="Y832" s="213"/>
      <c r="Z832" s="213"/>
      <c r="AA832" s="213"/>
      <c r="AB832" s="213"/>
      <c r="AC832" s="213"/>
      <c r="AD832" s="213"/>
      <c r="AE832" s="213"/>
      <c r="AF832" s="213"/>
      <c r="AG832" s="213"/>
      <c r="AH832" s="213"/>
      <c r="AI832" s="213"/>
      <c r="AJ832" s="213"/>
      <c r="AK832" s="213"/>
      <c r="AL832" s="213"/>
      <c r="AM832" s="302"/>
      <c r="AN832" s="302"/>
      <c r="AO832" s="303"/>
      <c r="AP832" s="285"/>
      <c r="AQ832" s="258"/>
      <c r="AR832" s="258"/>
    </row>
    <row r="833" spans="10:44" s="48" customFormat="1" hidden="1">
      <c r="J833" s="213"/>
      <c r="K833" s="213"/>
      <c r="L833" s="213"/>
      <c r="M833" s="213"/>
      <c r="N833" s="213"/>
      <c r="O833" s="213"/>
      <c r="P833" s="213"/>
      <c r="Q833" s="213"/>
      <c r="R833" s="213"/>
      <c r="S833" s="213"/>
      <c r="T833" s="213"/>
      <c r="U833" s="213"/>
      <c r="V833" s="213"/>
      <c r="W833" s="213"/>
      <c r="X833" s="213"/>
      <c r="Y833" s="213"/>
      <c r="Z833" s="213"/>
      <c r="AA833" s="213"/>
      <c r="AB833" s="213"/>
      <c r="AC833" s="213"/>
      <c r="AD833" s="213"/>
      <c r="AE833" s="213"/>
      <c r="AF833" s="213"/>
      <c r="AG833" s="213"/>
      <c r="AH833" s="213"/>
      <c r="AI833" s="213"/>
      <c r="AJ833" s="213"/>
      <c r="AK833" s="213"/>
      <c r="AL833" s="213"/>
      <c r="AM833" s="302"/>
      <c r="AN833" s="302"/>
      <c r="AO833" s="303"/>
      <c r="AP833" s="285"/>
      <c r="AQ833" s="258"/>
      <c r="AR833" s="258"/>
    </row>
    <row r="834" spans="10:44" s="48" customFormat="1" hidden="1">
      <c r="J834" s="213"/>
      <c r="K834" s="213"/>
      <c r="L834" s="213"/>
      <c r="M834" s="213"/>
      <c r="N834" s="213"/>
      <c r="O834" s="213"/>
      <c r="P834" s="213"/>
      <c r="Q834" s="213"/>
      <c r="R834" s="213"/>
      <c r="S834" s="213"/>
      <c r="T834" s="213"/>
      <c r="U834" s="213"/>
      <c r="V834" s="213"/>
      <c r="W834" s="213"/>
      <c r="X834" s="213"/>
      <c r="Y834" s="213"/>
      <c r="Z834" s="213"/>
      <c r="AA834" s="213"/>
      <c r="AB834" s="213"/>
      <c r="AC834" s="213"/>
      <c r="AD834" s="213"/>
      <c r="AE834" s="213"/>
      <c r="AF834" s="213"/>
      <c r="AG834" s="213"/>
      <c r="AH834" s="213"/>
      <c r="AI834" s="213"/>
      <c r="AJ834" s="213"/>
      <c r="AK834" s="213"/>
      <c r="AL834" s="213"/>
      <c r="AM834" s="302"/>
      <c r="AN834" s="302"/>
      <c r="AO834" s="303"/>
      <c r="AP834" s="285"/>
      <c r="AQ834" s="258"/>
      <c r="AR834" s="258"/>
    </row>
    <row r="835" spans="10:44" s="48" customFormat="1" hidden="1">
      <c r="J835" s="213"/>
      <c r="K835" s="213"/>
      <c r="L835" s="213"/>
      <c r="M835" s="213"/>
      <c r="N835" s="213"/>
      <c r="O835" s="213"/>
      <c r="P835" s="213"/>
      <c r="Q835" s="213"/>
      <c r="R835" s="213"/>
      <c r="S835" s="213"/>
      <c r="T835" s="213"/>
      <c r="U835" s="213"/>
      <c r="V835" s="213"/>
      <c r="W835" s="213"/>
      <c r="X835" s="213"/>
      <c r="Y835" s="213"/>
      <c r="Z835" s="213"/>
      <c r="AA835" s="213"/>
      <c r="AB835" s="213"/>
      <c r="AC835" s="213"/>
      <c r="AD835" s="213"/>
      <c r="AE835" s="213"/>
      <c r="AF835" s="213"/>
      <c r="AG835" s="213"/>
      <c r="AH835" s="213"/>
      <c r="AI835" s="213"/>
      <c r="AJ835" s="213"/>
      <c r="AK835" s="213"/>
      <c r="AL835" s="213"/>
      <c r="AM835" s="302"/>
      <c r="AN835" s="302"/>
      <c r="AO835" s="303"/>
      <c r="AP835" s="285"/>
      <c r="AQ835" s="258"/>
      <c r="AR835" s="258"/>
    </row>
    <row r="836" spans="10:44" s="48" customFormat="1" hidden="1">
      <c r="J836" s="213"/>
      <c r="K836" s="213"/>
      <c r="L836" s="213"/>
      <c r="M836" s="213"/>
      <c r="N836" s="213"/>
      <c r="O836" s="213"/>
      <c r="P836" s="213"/>
      <c r="Q836" s="213"/>
      <c r="R836" s="213"/>
      <c r="S836" s="213"/>
      <c r="T836" s="213"/>
      <c r="U836" s="213"/>
      <c r="V836" s="213"/>
      <c r="W836" s="213"/>
      <c r="X836" s="213"/>
      <c r="Y836" s="213"/>
      <c r="Z836" s="213"/>
      <c r="AA836" s="213"/>
      <c r="AB836" s="213"/>
      <c r="AC836" s="213"/>
      <c r="AD836" s="213"/>
      <c r="AE836" s="213"/>
      <c r="AF836" s="213"/>
      <c r="AG836" s="213"/>
      <c r="AH836" s="213"/>
      <c r="AI836" s="213"/>
      <c r="AJ836" s="213"/>
      <c r="AK836" s="213"/>
      <c r="AL836" s="213"/>
      <c r="AM836" s="302"/>
      <c r="AN836" s="302"/>
      <c r="AO836" s="303"/>
      <c r="AP836" s="285"/>
      <c r="AQ836" s="258"/>
      <c r="AR836" s="258"/>
    </row>
    <row r="837" spans="10:44" s="48" customFormat="1" hidden="1">
      <c r="J837" s="213"/>
      <c r="K837" s="213"/>
      <c r="L837" s="213"/>
      <c r="M837" s="213"/>
      <c r="N837" s="213"/>
      <c r="O837" s="213"/>
      <c r="P837" s="213"/>
      <c r="Q837" s="213"/>
      <c r="R837" s="213"/>
      <c r="S837" s="213"/>
      <c r="T837" s="213"/>
      <c r="U837" s="213"/>
      <c r="V837" s="213"/>
      <c r="W837" s="213"/>
      <c r="X837" s="213"/>
      <c r="Y837" s="213"/>
      <c r="Z837" s="213"/>
      <c r="AA837" s="213"/>
      <c r="AB837" s="213"/>
      <c r="AC837" s="213"/>
      <c r="AD837" s="213"/>
      <c r="AE837" s="213"/>
      <c r="AF837" s="213"/>
      <c r="AG837" s="213"/>
      <c r="AH837" s="213"/>
      <c r="AI837" s="213"/>
      <c r="AJ837" s="213"/>
      <c r="AK837" s="213"/>
      <c r="AL837" s="213"/>
      <c r="AM837" s="302"/>
      <c r="AN837" s="302"/>
      <c r="AO837" s="303"/>
      <c r="AP837" s="285"/>
      <c r="AQ837" s="258"/>
      <c r="AR837" s="258"/>
    </row>
    <row r="838" spans="10:44" s="48" customFormat="1" hidden="1">
      <c r="J838" s="213"/>
      <c r="K838" s="213"/>
      <c r="L838" s="213"/>
      <c r="M838" s="213"/>
      <c r="N838" s="213"/>
      <c r="O838" s="213"/>
      <c r="P838" s="213"/>
      <c r="Q838" s="213"/>
      <c r="R838" s="213"/>
      <c r="S838" s="213"/>
      <c r="T838" s="213"/>
      <c r="U838" s="213"/>
      <c r="V838" s="213"/>
      <c r="W838" s="213"/>
      <c r="X838" s="213"/>
      <c r="Y838" s="213"/>
      <c r="Z838" s="213"/>
      <c r="AA838" s="213"/>
      <c r="AB838" s="213"/>
      <c r="AC838" s="213"/>
      <c r="AD838" s="213"/>
      <c r="AE838" s="213"/>
      <c r="AF838" s="213"/>
      <c r="AG838" s="213"/>
      <c r="AH838" s="213"/>
      <c r="AI838" s="213"/>
      <c r="AJ838" s="213"/>
      <c r="AK838" s="213"/>
      <c r="AL838" s="213"/>
      <c r="AM838" s="302"/>
      <c r="AN838" s="302"/>
      <c r="AO838" s="303"/>
      <c r="AP838" s="285"/>
      <c r="AQ838" s="258"/>
      <c r="AR838" s="258"/>
    </row>
    <row r="839" spans="10:44" s="48" customFormat="1" hidden="1">
      <c r="J839" s="213"/>
      <c r="K839" s="213"/>
      <c r="L839" s="213"/>
      <c r="M839" s="213"/>
      <c r="N839" s="213"/>
      <c r="O839" s="213"/>
      <c r="P839" s="213"/>
      <c r="Q839" s="213"/>
      <c r="R839" s="213"/>
      <c r="S839" s="213"/>
      <c r="T839" s="213"/>
      <c r="U839" s="213"/>
      <c r="V839" s="213"/>
      <c r="W839" s="213"/>
      <c r="X839" s="213"/>
      <c r="Y839" s="213"/>
      <c r="Z839" s="213"/>
      <c r="AA839" s="213"/>
      <c r="AB839" s="213"/>
      <c r="AC839" s="213"/>
      <c r="AD839" s="213"/>
      <c r="AE839" s="213"/>
      <c r="AF839" s="213"/>
      <c r="AG839" s="213"/>
      <c r="AH839" s="213"/>
      <c r="AI839" s="213"/>
      <c r="AJ839" s="213"/>
      <c r="AK839" s="213"/>
      <c r="AL839" s="213"/>
      <c r="AM839" s="302"/>
      <c r="AN839" s="302"/>
      <c r="AO839" s="303"/>
      <c r="AP839" s="285"/>
      <c r="AQ839" s="258"/>
      <c r="AR839" s="258"/>
    </row>
    <row r="840" spans="10:44" s="48" customFormat="1" hidden="1">
      <c r="J840" s="213"/>
      <c r="K840" s="213"/>
      <c r="L840" s="213"/>
      <c r="M840" s="213"/>
      <c r="N840" s="213"/>
      <c r="O840" s="213"/>
      <c r="P840" s="213"/>
      <c r="Q840" s="213"/>
      <c r="R840" s="213"/>
      <c r="S840" s="213"/>
      <c r="T840" s="213"/>
      <c r="U840" s="213"/>
      <c r="V840" s="213"/>
      <c r="W840" s="213"/>
      <c r="X840" s="213"/>
      <c r="Y840" s="213"/>
      <c r="Z840" s="213"/>
      <c r="AA840" s="213"/>
      <c r="AB840" s="213"/>
      <c r="AC840" s="213"/>
      <c r="AD840" s="213"/>
      <c r="AE840" s="213"/>
      <c r="AF840" s="213"/>
      <c r="AG840" s="213"/>
      <c r="AH840" s="213"/>
      <c r="AI840" s="213"/>
      <c r="AJ840" s="213"/>
      <c r="AK840" s="213"/>
      <c r="AL840" s="213"/>
      <c r="AM840" s="302"/>
      <c r="AN840" s="302"/>
      <c r="AO840" s="303"/>
      <c r="AP840" s="285"/>
      <c r="AQ840" s="258"/>
      <c r="AR840" s="258"/>
    </row>
    <row r="841" spans="10:44" s="48" customFormat="1" hidden="1">
      <c r="J841" s="213"/>
      <c r="K841" s="213"/>
      <c r="L841" s="213"/>
      <c r="M841" s="213"/>
      <c r="N841" s="213"/>
      <c r="O841" s="213"/>
      <c r="P841" s="213"/>
      <c r="Q841" s="213"/>
      <c r="R841" s="213"/>
      <c r="S841" s="213"/>
      <c r="T841" s="213"/>
      <c r="U841" s="213"/>
      <c r="V841" s="213"/>
      <c r="W841" s="213"/>
      <c r="X841" s="213"/>
      <c r="Y841" s="213"/>
      <c r="Z841" s="213"/>
      <c r="AA841" s="213"/>
      <c r="AB841" s="213"/>
      <c r="AC841" s="213"/>
      <c r="AD841" s="213"/>
      <c r="AE841" s="213"/>
      <c r="AF841" s="213"/>
      <c r="AG841" s="213"/>
      <c r="AH841" s="213"/>
      <c r="AI841" s="213"/>
      <c r="AJ841" s="213"/>
      <c r="AK841" s="213"/>
      <c r="AL841" s="213"/>
      <c r="AM841" s="302"/>
      <c r="AN841" s="302"/>
      <c r="AO841" s="303"/>
      <c r="AP841" s="285"/>
      <c r="AQ841" s="258"/>
      <c r="AR841" s="258"/>
    </row>
    <row r="842" spans="10:44" s="48" customFormat="1" hidden="1">
      <c r="J842" s="213"/>
      <c r="K842" s="213"/>
      <c r="L842" s="213"/>
      <c r="M842" s="213"/>
      <c r="N842" s="213"/>
      <c r="O842" s="213"/>
      <c r="P842" s="213"/>
      <c r="Q842" s="213"/>
      <c r="R842" s="213"/>
      <c r="S842" s="213"/>
      <c r="T842" s="213"/>
      <c r="U842" s="213"/>
      <c r="V842" s="213"/>
      <c r="W842" s="213"/>
      <c r="X842" s="213"/>
      <c r="Y842" s="213"/>
      <c r="Z842" s="213"/>
      <c r="AA842" s="213"/>
      <c r="AB842" s="213"/>
      <c r="AC842" s="213"/>
      <c r="AD842" s="213"/>
      <c r="AE842" s="213"/>
      <c r="AF842" s="213"/>
      <c r="AG842" s="213"/>
      <c r="AH842" s="213"/>
      <c r="AI842" s="213"/>
      <c r="AJ842" s="213"/>
      <c r="AK842" s="213"/>
      <c r="AL842" s="213"/>
      <c r="AM842" s="302"/>
      <c r="AN842" s="302"/>
      <c r="AO842" s="303"/>
      <c r="AP842" s="285"/>
      <c r="AQ842" s="258"/>
      <c r="AR842" s="258"/>
    </row>
    <row r="843" spans="10:44" s="48" customFormat="1" hidden="1">
      <c r="J843" s="213"/>
      <c r="K843" s="213"/>
      <c r="L843" s="213"/>
      <c r="M843" s="213"/>
      <c r="N843" s="213"/>
      <c r="O843" s="213"/>
      <c r="P843" s="213"/>
      <c r="Q843" s="213"/>
      <c r="R843" s="213"/>
      <c r="S843" s="213"/>
      <c r="T843" s="213"/>
      <c r="U843" s="213"/>
      <c r="V843" s="213"/>
      <c r="W843" s="213"/>
      <c r="X843" s="213"/>
      <c r="Y843" s="213"/>
      <c r="Z843" s="213"/>
      <c r="AA843" s="213"/>
      <c r="AB843" s="213"/>
      <c r="AC843" s="213"/>
      <c r="AD843" s="213"/>
      <c r="AE843" s="213"/>
      <c r="AF843" s="213"/>
      <c r="AG843" s="213"/>
      <c r="AH843" s="213"/>
      <c r="AI843" s="213"/>
      <c r="AJ843" s="213"/>
      <c r="AK843" s="213"/>
      <c r="AL843" s="213"/>
      <c r="AM843" s="302"/>
      <c r="AN843" s="302"/>
      <c r="AO843" s="303"/>
      <c r="AP843" s="285"/>
      <c r="AQ843" s="258"/>
      <c r="AR843" s="258"/>
    </row>
    <row r="844" spans="10:44" s="48" customFormat="1" hidden="1">
      <c r="J844" s="213"/>
      <c r="K844" s="213"/>
      <c r="L844" s="213"/>
      <c r="M844" s="213"/>
      <c r="N844" s="213"/>
      <c r="O844" s="213"/>
      <c r="P844" s="213"/>
      <c r="Q844" s="213"/>
      <c r="R844" s="213"/>
      <c r="S844" s="213"/>
      <c r="T844" s="213"/>
      <c r="U844" s="213"/>
      <c r="V844" s="213"/>
      <c r="W844" s="213"/>
      <c r="X844" s="213"/>
      <c r="Y844" s="213"/>
      <c r="Z844" s="213"/>
      <c r="AA844" s="213"/>
      <c r="AB844" s="213"/>
      <c r="AC844" s="213"/>
      <c r="AD844" s="213"/>
      <c r="AE844" s="213"/>
      <c r="AF844" s="213"/>
      <c r="AG844" s="213"/>
      <c r="AH844" s="213"/>
      <c r="AI844" s="213"/>
      <c r="AJ844" s="213"/>
      <c r="AK844" s="213"/>
      <c r="AL844" s="213"/>
      <c r="AM844" s="302"/>
      <c r="AN844" s="302"/>
      <c r="AO844" s="303"/>
      <c r="AP844" s="285"/>
      <c r="AQ844" s="258"/>
      <c r="AR844" s="258"/>
    </row>
    <row r="845" spans="10:44" s="48" customFormat="1" hidden="1">
      <c r="J845" s="213"/>
      <c r="K845" s="213"/>
      <c r="L845" s="213"/>
      <c r="M845" s="213"/>
      <c r="N845" s="213"/>
      <c r="O845" s="213"/>
      <c r="P845" s="213"/>
      <c r="Q845" s="213"/>
      <c r="R845" s="213"/>
      <c r="S845" s="213"/>
      <c r="T845" s="213"/>
      <c r="U845" s="213"/>
      <c r="V845" s="213"/>
      <c r="W845" s="213"/>
      <c r="X845" s="213"/>
      <c r="Y845" s="213"/>
      <c r="Z845" s="213"/>
      <c r="AA845" s="213"/>
      <c r="AB845" s="213"/>
      <c r="AC845" s="213"/>
      <c r="AD845" s="213"/>
      <c r="AE845" s="213"/>
      <c r="AF845" s="213"/>
      <c r="AG845" s="213"/>
      <c r="AH845" s="213"/>
      <c r="AI845" s="213"/>
      <c r="AJ845" s="213"/>
      <c r="AK845" s="213"/>
      <c r="AL845" s="213"/>
      <c r="AM845" s="302"/>
      <c r="AN845" s="302"/>
      <c r="AO845" s="303"/>
      <c r="AP845" s="285"/>
      <c r="AQ845" s="258"/>
      <c r="AR845" s="258"/>
    </row>
    <row r="846" spans="10:44" s="48" customFormat="1" hidden="1">
      <c r="J846" s="213"/>
      <c r="K846" s="213"/>
      <c r="L846" s="213"/>
      <c r="M846" s="213"/>
      <c r="N846" s="213"/>
      <c r="O846" s="213"/>
      <c r="P846" s="213"/>
      <c r="Q846" s="213"/>
      <c r="R846" s="213"/>
      <c r="S846" s="213"/>
      <c r="T846" s="213"/>
      <c r="U846" s="213"/>
      <c r="V846" s="213"/>
      <c r="W846" s="213"/>
      <c r="X846" s="213"/>
      <c r="Y846" s="213"/>
      <c r="Z846" s="213"/>
      <c r="AA846" s="213"/>
      <c r="AB846" s="213"/>
      <c r="AC846" s="213"/>
      <c r="AD846" s="213"/>
      <c r="AE846" s="213"/>
      <c r="AF846" s="213"/>
      <c r="AG846" s="213"/>
      <c r="AH846" s="213"/>
      <c r="AI846" s="213"/>
      <c r="AJ846" s="213"/>
      <c r="AK846" s="213"/>
      <c r="AL846" s="213"/>
      <c r="AM846" s="302"/>
      <c r="AN846" s="302"/>
      <c r="AO846" s="303"/>
      <c r="AP846" s="285"/>
      <c r="AQ846" s="258"/>
      <c r="AR846" s="258"/>
    </row>
    <row r="847" spans="10:44" s="48" customFormat="1" hidden="1">
      <c r="J847" s="213"/>
      <c r="K847" s="213"/>
      <c r="L847" s="213"/>
      <c r="M847" s="213"/>
      <c r="N847" s="213"/>
      <c r="O847" s="213"/>
      <c r="P847" s="213"/>
      <c r="Q847" s="213"/>
      <c r="R847" s="213"/>
      <c r="S847" s="213"/>
      <c r="T847" s="213"/>
      <c r="U847" s="213"/>
      <c r="V847" s="213"/>
      <c r="W847" s="213"/>
      <c r="X847" s="213"/>
      <c r="Y847" s="213"/>
      <c r="Z847" s="213"/>
      <c r="AA847" s="213"/>
      <c r="AB847" s="213"/>
      <c r="AC847" s="213"/>
      <c r="AD847" s="213"/>
      <c r="AE847" s="213"/>
      <c r="AF847" s="213"/>
      <c r="AG847" s="213"/>
      <c r="AH847" s="213"/>
      <c r="AI847" s="213"/>
      <c r="AJ847" s="213"/>
      <c r="AK847" s="213"/>
      <c r="AL847" s="213"/>
      <c r="AM847" s="302"/>
      <c r="AN847" s="302"/>
      <c r="AO847" s="303"/>
      <c r="AP847" s="285"/>
      <c r="AQ847" s="258"/>
      <c r="AR847" s="258"/>
    </row>
    <row r="848" spans="10:44" s="48" customFormat="1" hidden="1">
      <c r="J848" s="213"/>
      <c r="K848" s="213"/>
      <c r="L848" s="213"/>
      <c r="M848" s="213"/>
      <c r="N848" s="213"/>
      <c r="O848" s="213"/>
      <c r="P848" s="213"/>
      <c r="Q848" s="213"/>
      <c r="R848" s="213"/>
      <c r="S848" s="213"/>
      <c r="T848" s="213"/>
      <c r="U848" s="213"/>
      <c r="V848" s="213"/>
      <c r="W848" s="213"/>
      <c r="X848" s="213"/>
      <c r="Y848" s="213"/>
      <c r="Z848" s="213"/>
      <c r="AA848" s="213"/>
      <c r="AB848" s="213"/>
      <c r="AC848" s="213"/>
      <c r="AD848" s="213"/>
      <c r="AE848" s="213"/>
      <c r="AF848" s="213"/>
      <c r="AG848" s="213"/>
      <c r="AH848" s="213"/>
      <c r="AI848" s="213"/>
      <c r="AJ848" s="213"/>
      <c r="AK848" s="213"/>
      <c r="AL848" s="213"/>
      <c r="AM848" s="302"/>
      <c r="AN848" s="302"/>
      <c r="AO848" s="303"/>
      <c r="AP848" s="285"/>
      <c r="AQ848" s="258"/>
      <c r="AR848" s="258"/>
    </row>
    <row r="849" spans="10:44" s="48" customFormat="1" hidden="1">
      <c r="J849" s="213"/>
      <c r="K849" s="213"/>
      <c r="L849" s="213"/>
      <c r="M849" s="213"/>
      <c r="N849" s="213"/>
      <c r="O849" s="213"/>
      <c r="P849" s="213"/>
      <c r="Q849" s="213"/>
      <c r="R849" s="213"/>
      <c r="S849" s="213"/>
      <c r="T849" s="213"/>
      <c r="U849" s="213"/>
      <c r="V849" s="213"/>
      <c r="W849" s="213"/>
      <c r="X849" s="213"/>
      <c r="Y849" s="213"/>
      <c r="Z849" s="213"/>
      <c r="AA849" s="213"/>
      <c r="AB849" s="213"/>
      <c r="AC849" s="213"/>
      <c r="AD849" s="213"/>
      <c r="AE849" s="213"/>
      <c r="AF849" s="213"/>
      <c r="AG849" s="213"/>
      <c r="AH849" s="213"/>
      <c r="AI849" s="213"/>
      <c r="AJ849" s="213"/>
      <c r="AK849" s="213"/>
      <c r="AL849" s="213"/>
      <c r="AM849" s="302"/>
      <c r="AN849" s="302"/>
      <c r="AO849" s="303"/>
      <c r="AP849" s="285"/>
      <c r="AQ849" s="258"/>
      <c r="AR849" s="258"/>
    </row>
    <row r="850" spans="10:44" s="48" customFormat="1" hidden="1">
      <c r="J850" s="213"/>
      <c r="K850" s="213"/>
      <c r="L850" s="213"/>
      <c r="M850" s="213"/>
      <c r="N850" s="213"/>
      <c r="O850" s="213"/>
      <c r="P850" s="213"/>
      <c r="Q850" s="213"/>
      <c r="R850" s="213"/>
      <c r="S850" s="213"/>
      <c r="T850" s="213"/>
      <c r="U850" s="213"/>
      <c r="V850" s="213"/>
      <c r="W850" s="213"/>
      <c r="X850" s="213"/>
      <c r="Y850" s="213"/>
      <c r="Z850" s="213"/>
      <c r="AA850" s="213"/>
      <c r="AB850" s="213"/>
      <c r="AC850" s="213"/>
      <c r="AD850" s="213"/>
      <c r="AE850" s="213"/>
      <c r="AF850" s="213"/>
      <c r="AG850" s="213"/>
      <c r="AH850" s="213"/>
      <c r="AI850" s="213"/>
      <c r="AJ850" s="213"/>
      <c r="AK850" s="213"/>
      <c r="AL850" s="213"/>
      <c r="AM850" s="302"/>
      <c r="AN850" s="302"/>
      <c r="AO850" s="303"/>
      <c r="AP850" s="285"/>
      <c r="AQ850" s="258"/>
      <c r="AR850" s="258"/>
    </row>
    <row r="851" spans="10:44" s="48" customFormat="1" hidden="1">
      <c r="J851" s="213"/>
      <c r="K851" s="213"/>
      <c r="L851" s="213"/>
      <c r="M851" s="213"/>
      <c r="N851" s="213"/>
      <c r="O851" s="213"/>
      <c r="P851" s="213"/>
      <c r="Q851" s="213"/>
      <c r="R851" s="213"/>
      <c r="S851" s="213"/>
      <c r="T851" s="213"/>
      <c r="U851" s="213"/>
      <c r="V851" s="213"/>
      <c r="W851" s="213"/>
      <c r="X851" s="213"/>
      <c r="Y851" s="213"/>
      <c r="Z851" s="213"/>
      <c r="AA851" s="213"/>
      <c r="AB851" s="213"/>
      <c r="AC851" s="213"/>
      <c r="AD851" s="213"/>
      <c r="AE851" s="213"/>
      <c r="AF851" s="213"/>
      <c r="AG851" s="213"/>
      <c r="AH851" s="213"/>
      <c r="AI851" s="213"/>
      <c r="AJ851" s="213"/>
      <c r="AK851" s="213"/>
      <c r="AL851" s="213"/>
      <c r="AM851" s="302"/>
      <c r="AN851" s="302"/>
      <c r="AO851" s="303"/>
      <c r="AP851" s="285"/>
      <c r="AQ851" s="258"/>
      <c r="AR851" s="258"/>
    </row>
    <row r="852" spans="10:44" s="48" customFormat="1" hidden="1">
      <c r="J852" s="213"/>
      <c r="K852" s="213"/>
      <c r="L852" s="213"/>
      <c r="M852" s="213"/>
      <c r="N852" s="213"/>
      <c r="O852" s="213"/>
      <c r="P852" s="213"/>
      <c r="Q852" s="213"/>
      <c r="R852" s="213"/>
      <c r="S852" s="213"/>
      <c r="T852" s="213"/>
      <c r="U852" s="213"/>
      <c r="V852" s="213"/>
      <c r="W852" s="213"/>
      <c r="X852" s="213"/>
      <c r="Y852" s="213"/>
      <c r="Z852" s="213"/>
      <c r="AA852" s="213"/>
      <c r="AB852" s="213"/>
      <c r="AC852" s="213"/>
      <c r="AD852" s="213"/>
      <c r="AE852" s="213"/>
      <c r="AF852" s="213"/>
      <c r="AG852" s="213"/>
      <c r="AH852" s="213"/>
      <c r="AI852" s="213"/>
      <c r="AJ852" s="213"/>
      <c r="AK852" s="213"/>
      <c r="AL852" s="213"/>
      <c r="AM852" s="302"/>
      <c r="AN852" s="302"/>
      <c r="AO852" s="303"/>
      <c r="AP852" s="285"/>
      <c r="AQ852" s="258"/>
      <c r="AR852" s="258"/>
    </row>
    <row r="853" spans="10:44" s="48" customFormat="1" hidden="1">
      <c r="J853" s="213"/>
      <c r="K853" s="213"/>
      <c r="L853" s="213"/>
      <c r="M853" s="213"/>
      <c r="N853" s="213"/>
      <c r="O853" s="213"/>
      <c r="P853" s="213"/>
      <c r="Q853" s="213"/>
      <c r="R853" s="213"/>
      <c r="S853" s="213"/>
      <c r="T853" s="213"/>
      <c r="U853" s="213"/>
      <c r="V853" s="213"/>
      <c r="W853" s="213"/>
      <c r="X853" s="213"/>
      <c r="Y853" s="213"/>
      <c r="Z853" s="213"/>
      <c r="AA853" s="213"/>
      <c r="AB853" s="213"/>
      <c r="AC853" s="213"/>
      <c r="AD853" s="213"/>
      <c r="AE853" s="213"/>
      <c r="AF853" s="213"/>
      <c r="AG853" s="213"/>
      <c r="AH853" s="213"/>
      <c r="AI853" s="213"/>
      <c r="AJ853" s="213"/>
      <c r="AK853" s="213"/>
      <c r="AL853" s="213"/>
      <c r="AM853" s="302"/>
      <c r="AN853" s="302"/>
      <c r="AO853" s="303"/>
      <c r="AP853" s="285"/>
      <c r="AQ853" s="258"/>
      <c r="AR853" s="258"/>
    </row>
    <row r="854" spans="10:44" s="48" customFormat="1" hidden="1">
      <c r="J854" s="213"/>
      <c r="K854" s="213"/>
      <c r="L854" s="213"/>
      <c r="M854" s="213"/>
      <c r="N854" s="213"/>
      <c r="O854" s="213"/>
      <c r="P854" s="213"/>
      <c r="Q854" s="213"/>
      <c r="R854" s="213"/>
      <c r="S854" s="213"/>
      <c r="T854" s="213"/>
      <c r="U854" s="213"/>
      <c r="V854" s="213"/>
      <c r="W854" s="213"/>
      <c r="X854" s="213"/>
      <c r="Y854" s="213"/>
      <c r="Z854" s="213"/>
      <c r="AA854" s="213"/>
      <c r="AB854" s="213"/>
      <c r="AC854" s="213"/>
      <c r="AD854" s="213"/>
      <c r="AE854" s="213"/>
      <c r="AF854" s="213"/>
      <c r="AG854" s="213"/>
      <c r="AH854" s="213"/>
      <c r="AI854" s="213"/>
      <c r="AJ854" s="213"/>
      <c r="AK854" s="213"/>
      <c r="AL854" s="213"/>
      <c r="AM854" s="302"/>
      <c r="AN854" s="302"/>
      <c r="AO854" s="303"/>
      <c r="AP854" s="285"/>
      <c r="AQ854" s="258"/>
      <c r="AR854" s="258"/>
    </row>
    <row r="855" spans="10:44" s="48" customFormat="1" hidden="1">
      <c r="J855" s="213"/>
      <c r="K855" s="213"/>
      <c r="L855" s="213"/>
      <c r="M855" s="213"/>
      <c r="N855" s="213"/>
      <c r="O855" s="213"/>
      <c r="P855" s="213"/>
      <c r="Q855" s="213"/>
      <c r="R855" s="213"/>
      <c r="S855" s="213"/>
      <c r="T855" s="213"/>
      <c r="U855" s="213"/>
      <c r="V855" s="213"/>
      <c r="W855" s="213"/>
      <c r="X855" s="213"/>
      <c r="Y855" s="213"/>
      <c r="Z855" s="213"/>
      <c r="AA855" s="213"/>
      <c r="AB855" s="213"/>
      <c r="AC855" s="213"/>
      <c r="AD855" s="213"/>
      <c r="AE855" s="213"/>
      <c r="AF855" s="213"/>
      <c r="AG855" s="213"/>
      <c r="AH855" s="213"/>
      <c r="AI855" s="213"/>
      <c r="AJ855" s="213"/>
      <c r="AK855" s="213"/>
      <c r="AL855" s="213"/>
      <c r="AM855" s="302"/>
      <c r="AN855" s="302"/>
      <c r="AO855" s="303"/>
      <c r="AP855" s="285"/>
      <c r="AQ855" s="258"/>
      <c r="AR855" s="258"/>
    </row>
    <row r="856" spans="10:44" s="48" customFormat="1" hidden="1">
      <c r="J856" s="213"/>
      <c r="K856" s="213"/>
      <c r="L856" s="213"/>
      <c r="M856" s="213"/>
      <c r="N856" s="213"/>
      <c r="O856" s="213"/>
      <c r="P856" s="213"/>
      <c r="Q856" s="213"/>
      <c r="R856" s="213"/>
      <c r="S856" s="213"/>
      <c r="T856" s="213"/>
      <c r="U856" s="213"/>
      <c r="V856" s="213"/>
      <c r="W856" s="213"/>
      <c r="X856" s="213"/>
      <c r="Y856" s="213"/>
      <c r="Z856" s="213"/>
      <c r="AA856" s="213"/>
      <c r="AB856" s="213"/>
      <c r="AC856" s="213"/>
      <c r="AD856" s="213"/>
      <c r="AE856" s="213"/>
      <c r="AF856" s="213"/>
      <c r="AG856" s="213"/>
      <c r="AH856" s="213"/>
      <c r="AI856" s="213"/>
      <c r="AJ856" s="213"/>
      <c r="AK856" s="213"/>
      <c r="AL856" s="213"/>
      <c r="AM856" s="302"/>
      <c r="AN856" s="302"/>
      <c r="AO856" s="303"/>
      <c r="AP856" s="285"/>
      <c r="AQ856" s="258"/>
      <c r="AR856" s="258"/>
    </row>
    <row r="857" spans="10:44" s="48" customFormat="1" hidden="1">
      <c r="J857" s="213"/>
      <c r="K857" s="213"/>
      <c r="L857" s="213"/>
      <c r="M857" s="213"/>
      <c r="N857" s="213"/>
      <c r="O857" s="213"/>
      <c r="P857" s="213"/>
      <c r="Q857" s="213"/>
      <c r="R857" s="213"/>
      <c r="S857" s="213"/>
      <c r="T857" s="213"/>
      <c r="U857" s="213"/>
      <c r="V857" s="213"/>
      <c r="W857" s="213"/>
      <c r="X857" s="213"/>
      <c r="Y857" s="213"/>
      <c r="Z857" s="213"/>
      <c r="AA857" s="213"/>
      <c r="AB857" s="213"/>
      <c r="AC857" s="213"/>
      <c r="AD857" s="213"/>
      <c r="AE857" s="213"/>
      <c r="AF857" s="213"/>
      <c r="AG857" s="213"/>
      <c r="AH857" s="213"/>
      <c r="AI857" s="213"/>
      <c r="AJ857" s="213"/>
      <c r="AK857" s="213"/>
      <c r="AL857" s="213"/>
      <c r="AM857" s="302"/>
      <c r="AN857" s="302"/>
      <c r="AO857" s="303"/>
      <c r="AP857" s="285"/>
      <c r="AQ857" s="258"/>
      <c r="AR857" s="258"/>
    </row>
    <row r="858" spans="10:44" s="48" customFormat="1" hidden="1">
      <c r="J858" s="213"/>
      <c r="K858" s="213"/>
      <c r="L858" s="213"/>
      <c r="M858" s="213"/>
      <c r="N858" s="213"/>
      <c r="O858" s="213"/>
      <c r="P858" s="213"/>
      <c r="Q858" s="213"/>
      <c r="R858" s="213"/>
      <c r="S858" s="213"/>
      <c r="T858" s="213"/>
      <c r="U858" s="213"/>
      <c r="V858" s="213"/>
      <c r="W858" s="213"/>
      <c r="X858" s="213"/>
      <c r="Y858" s="213"/>
      <c r="Z858" s="213"/>
      <c r="AA858" s="213"/>
      <c r="AB858" s="213"/>
      <c r="AC858" s="213"/>
      <c r="AD858" s="213"/>
      <c r="AE858" s="213"/>
      <c r="AF858" s="213"/>
      <c r="AG858" s="213"/>
      <c r="AH858" s="213"/>
      <c r="AI858" s="213"/>
      <c r="AJ858" s="213"/>
      <c r="AK858" s="213"/>
      <c r="AL858" s="213"/>
      <c r="AM858" s="302"/>
      <c r="AN858" s="302"/>
      <c r="AO858" s="303"/>
      <c r="AP858" s="285"/>
      <c r="AQ858" s="258"/>
      <c r="AR858" s="258"/>
    </row>
    <row r="859" spans="10:44" s="48" customFormat="1" hidden="1">
      <c r="J859" s="213"/>
      <c r="K859" s="213"/>
      <c r="L859" s="213"/>
      <c r="M859" s="213"/>
      <c r="N859" s="213"/>
      <c r="O859" s="213"/>
      <c r="P859" s="213"/>
      <c r="Q859" s="213"/>
      <c r="R859" s="213"/>
      <c r="S859" s="213"/>
      <c r="T859" s="213"/>
      <c r="U859" s="213"/>
      <c r="V859" s="213"/>
      <c r="W859" s="213"/>
      <c r="X859" s="213"/>
      <c r="Y859" s="213"/>
      <c r="Z859" s="213"/>
      <c r="AA859" s="213"/>
      <c r="AB859" s="213"/>
      <c r="AC859" s="213"/>
      <c r="AD859" s="213"/>
      <c r="AE859" s="213"/>
      <c r="AF859" s="213"/>
      <c r="AG859" s="213"/>
      <c r="AH859" s="213"/>
      <c r="AI859" s="213"/>
      <c r="AJ859" s="213"/>
      <c r="AK859" s="213"/>
      <c r="AL859" s="213"/>
      <c r="AM859" s="302"/>
      <c r="AN859" s="302"/>
      <c r="AO859" s="303"/>
      <c r="AP859" s="285"/>
      <c r="AQ859" s="258"/>
      <c r="AR859" s="258"/>
    </row>
    <row r="860" spans="10:44" s="48" customFormat="1" hidden="1">
      <c r="J860" s="213"/>
      <c r="K860" s="213"/>
      <c r="L860" s="213"/>
      <c r="M860" s="213"/>
      <c r="N860" s="213"/>
      <c r="O860" s="213"/>
      <c r="P860" s="213"/>
      <c r="Q860" s="213"/>
      <c r="R860" s="213"/>
      <c r="S860" s="213"/>
      <c r="T860" s="213"/>
      <c r="U860" s="213"/>
      <c r="V860" s="213"/>
      <c r="W860" s="213"/>
      <c r="X860" s="213"/>
      <c r="Y860" s="213"/>
      <c r="Z860" s="213"/>
      <c r="AA860" s="213"/>
      <c r="AB860" s="213"/>
      <c r="AC860" s="213"/>
      <c r="AD860" s="213"/>
      <c r="AE860" s="213"/>
      <c r="AF860" s="213"/>
      <c r="AG860" s="213"/>
      <c r="AH860" s="213"/>
      <c r="AI860" s="213"/>
      <c r="AJ860" s="213"/>
      <c r="AK860" s="213"/>
      <c r="AL860" s="213"/>
      <c r="AM860" s="302"/>
      <c r="AN860" s="302"/>
      <c r="AO860" s="303"/>
      <c r="AP860" s="285"/>
      <c r="AQ860" s="258"/>
      <c r="AR860" s="258"/>
    </row>
    <row r="861" spans="10:44" s="48" customFormat="1" hidden="1">
      <c r="J861" s="213"/>
      <c r="K861" s="213"/>
      <c r="L861" s="213"/>
      <c r="M861" s="213"/>
      <c r="N861" s="213"/>
      <c r="O861" s="213"/>
      <c r="P861" s="213"/>
      <c r="Q861" s="213"/>
      <c r="R861" s="213"/>
      <c r="S861" s="213"/>
      <c r="T861" s="213"/>
      <c r="U861" s="213"/>
      <c r="V861" s="213"/>
      <c r="W861" s="213"/>
      <c r="X861" s="213"/>
      <c r="Y861" s="213"/>
      <c r="Z861" s="213"/>
      <c r="AA861" s="213"/>
      <c r="AB861" s="213"/>
      <c r="AC861" s="213"/>
      <c r="AD861" s="213"/>
      <c r="AE861" s="213"/>
      <c r="AF861" s="213"/>
      <c r="AG861" s="213"/>
      <c r="AH861" s="213"/>
      <c r="AI861" s="213"/>
      <c r="AJ861" s="213"/>
      <c r="AK861" s="213"/>
      <c r="AL861" s="213"/>
      <c r="AM861" s="302"/>
      <c r="AN861" s="302"/>
      <c r="AO861" s="303"/>
      <c r="AP861" s="285"/>
      <c r="AQ861" s="258"/>
      <c r="AR861" s="258"/>
    </row>
    <row r="862" spans="10:44" s="48" customFormat="1" hidden="1">
      <c r="J862" s="213"/>
      <c r="K862" s="213"/>
      <c r="L862" s="213"/>
      <c r="M862" s="213"/>
      <c r="N862" s="213"/>
      <c r="O862" s="213"/>
      <c r="P862" s="213"/>
      <c r="Q862" s="213"/>
      <c r="R862" s="213"/>
      <c r="S862" s="213"/>
      <c r="T862" s="213"/>
      <c r="U862" s="213"/>
      <c r="V862" s="213"/>
      <c r="W862" s="213"/>
      <c r="X862" s="213"/>
      <c r="Y862" s="213"/>
      <c r="Z862" s="213"/>
      <c r="AA862" s="213"/>
      <c r="AB862" s="213"/>
      <c r="AC862" s="213"/>
      <c r="AD862" s="213"/>
      <c r="AE862" s="213"/>
      <c r="AF862" s="213"/>
      <c r="AG862" s="213"/>
      <c r="AH862" s="213"/>
      <c r="AI862" s="213"/>
      <c r="AJ862" s="213"/>
      <c r="AK862" s="213"/>
      <c r="AL862" s="213"/>
      <c r="AM862" s="302"/>
      <c r="AN862" s="302"/>
      <c r="AO862" s="303"/>
      <c r="AP862" s="285"/>
      <c r="AQ862" s="258"/>
      <c r="AR862" s="258"/>
    </row>
    <row r="863" spans="10:44" s="48" customFormat="1" hidden="1">
      <c r="J863" s="213"/>
      <c r="K863" s="213"/>
      <c r="L863" s="213"/>
      <c r="M863" s="213"/>
      <c r="N863" s="213"/>
      <c r="O863" s="213"/>
      <c r="P863" s="213"/>
      <c r="Q863" s="213"/>
      <c r="R863" s="213"/>
      <c r="S863" s="213"/>
      <c r="T863" s="213"/>
      <c r="U863" s="213"/>
      <c r="V863" s="213"/>
      <c r="W863" s="213"/>
      <c r="X863" s="213"/>
      <c r="Y863" s="213"/>
      <c r="Z863" s="213"/>
      <c r="AA863" s="213"/>
      <c r="AB863" s="213"/>
      <c r="AC863" s="213"/>
      <c r="AD863" s="213"/>
      <c r="AE863" s="213"/>
      <c r="AF863" s="213"/>
      <c r="AG863" s="213"/>
      <c r="AH863" s="213"/>
      <c r="AI863" s="213"/>
      <c r="AJ863" s="213"/>
      <c r="AK863" s="213"/>
      <c r="AL863" s="213"/>
      <c r="AM863" s="302"/>
      <c r="AN863" s="302"/>
      <c r="AO863" s="303"/>
      <c r="AP863" s="285"/>
      <c r="AQ863" s="258"/>
      <c r="AR863" s="258"/>
    </row>
    <row r="864" spans="10:44" s="48" customFormat="1" hidden="1">
      <c r="J864" s="213"/>
      <c r="K864" s="213"/>
      <c r="L864" s="213"/>
      <c r="M864" s="213"/>
      <c r="N864" s="213"/>
      <c r="O864" s="213"/>
      <c r="P864" s="213"/>
      <c r="Q864" s="213"/>
      <c r="R864" s="213"/>
      <c r="S864" s="213"/>
      <c r="T864" s="213"/>
      <c r="U864" s="213"/>
      <c r="V864" s="213"/>
      <c r="W864" s="213"/>
      <c r="X864" s="213"/>
      <c r="Y864" s="213"/>
      <c r="Z864" s="213"/>
      <c r="AA864" s="213"/>
      <c r="AB864" s="213"/>
      <c r="AC864" s="213"/>
      <c r="AD864" s="213"/>
      <c r="AE864" s="213"/>
      <c r="AF864" s="213"/>
      <c r="AG864" s="213"/>
      <c r="AH864" s="213"/>
      <c r="AI864" s="213"/>
      <c r="AJ864" s="213"/>
      <c r="AK864" s="213"/>
      <c r="AL864" s="213"/>
      <c r="AM864" s="302"/>
      <c r="AN864" s="302"/>
      <c r="AO864" s="303"/>
      <c r="AP864" s="285"/>
      <c r="AQ864" s="258"/>
      <c r="AR864" s="258"/>
    </row>
    <row r="865" spans="10:44" s="48" customFormat="1" hidden="1">
      <c r="J865" s="213"/>
      <c r="K865" s="213"/>
      <c r="L865" s="213"/>
      <c r="M865" s="213"/>
      <c r="N865" s="213"/>
      <c r="O865" s="213"/>
      <c r="P865" s="213"/>
      <c r="Q865" s="213"/>
      <c r="R865" s="213"/>
      <c r="S865" s="213"/>
      <c r="T865" s="213"/>
      <c r="U865" s="213"/>
      <c r="V865" s="213"/>
      <c r="W865" s="213"/>
      <c r="X865" s="213"/>
      <c r="Y865" s="213"/>
      <c r="Z865" s="213"/>
      <c r="AA865" s="213"/>
      <c r="AB865" s="213"/>
      <c r="AC865" s="213"/>
      <c r="AD865" s="213"/>
      <c r="AE865" s="213"/>
      <c r="AF865" s="213"/>
      <c r="AG865" s="213"/>
      <c r="AH865" s="213"/>
      <c r="AI865" s="213"/>
      <c r="AJ865" s="213"/>
      <c r="AK865" s="213"/>
      <c r="AL865" s="213"/>
      <c r="AM865" s="302"/>
      <c r="AN865" s="302"/>
      <c r="AO865" s="303"/>
      <c r="AP865" s="285"/>
      <c r="AQ865" s="258"/>
      <c r="AR865" s="258"/>
    </row>
    <row r="866" spans="10:44" s="48" customFormat="1" hidden="1">
      <c r="J866" s="213"/>
      <c r="K866" s="213"/>
      <c r="L866" s="213"/>
      <c r="M866" s="213"/>
      <c r="N866" s="213"/>
      <c r="O866" s="213"/>
      <c r="P866" s="213"/>
      <c r="Q866" s="213"/>
      <c r="R866" s="213"/>
      <c r="S866" s="213"/>
      <c r="T866" s="213"/>
      <c r="U866" s="213"/>
      <c r="V866" s="213"/>
      <c r="W866" s="213"/>
      <c r="X866" s="213"/>
      <c r="Y866" s="213"/>
      <c r="Z866" s="213"/>
      <c r="AA866" s="213"/>
      <c r="AB866" s="213"/>
      <c r="AC866" s="213"/>
      <c r="AD866" s="213"/>
      <c r="AE866" s="213"/>
      <c r="AF866" s="213"/>
      <c r="AG866" s="213"/>
      <c r="AH866" s="213"/>
      <c r="AI866" s="213"/>
      <c r="AJ866" s="213"/>
      <c r="AK866" s="213"/>
      <c r="AL866" s="213"/>
      <c r="AM866" s="302"/>
      <c r="AN866" s="302"/>
      <c r="AO866" s="303"/>
      <c r="AP866" s="285"/>
      <c r="AQ866" s="258"/>
      <c r="AR866" s="258"/>
    </row>
    <row r="867" spans="10:44" s="48" customFormat="1" hidden="1">
      <c r="J867" s="213"/>
      <c r="K867" s="213"/>
      <c r="L867" s="213"/>
      <c r="M867" s="213"/>
      <c r="N867" s="213"/>
      <c r="O867" s="213"/>
      <c r="P867" s="213"/>
      <c r="Q867" s="213"/>
      <c r="R867" s="213"/>
      <c r="S867" s="213"/>
      <c r="T867" s="213"/>
      <c r="U867" s="213"/>
      <c r="V867" s="213"/>
      <c r="W867" s="213"/>
      <c r="X867" s="213"/>
      <c r="Y867" s="213"/>
      <c r="Z867" s="213"/>
      <c r="AA867" s="213"/>
      <c r="AB867" s="213"/>
      <c r="AC867" s="213"/>
      <c r="AD867" s="213"/>
      <c r="AE867" s="213"/>
      <c r="AF867" s="213"/>
      <c r="AG867" s="213"/>
      <c r="AH867" s="213"/>
      <c r="AI867" s="213"/>
      <c r="AJ867" s="213"/>
      <c r="AK867" s="213"/>
      <c r="AL867" s="213"/>
      <c r="AM867" s="302"/>
      <c r="AN867" s="302"/>
      <c r="AO867" s="303"/>
      <c r="AP867" s="285"/>
      <c r="AQ867" s="258"/>
      <c r="AR867" s="258"/>
    </row>
    <row r="868" spans="10:44" s="48" customFormat="1" hidden="1">
      <c r="J868" s="213"/>
      <c r="K868" s="213"/>
      <c r="L868" s="213"/>
      <c r="M868" s="213"/>
      <c r="N868" s="213"/>
      <c r="O868" s="213"/>
      <c r="P868" s="213"/>
      <c r="Q868" s="213"/>
      <c r="R868" s="213"/>
      <c r="S868" s="213"/>
      <c r="T868" s="213"/>
      <c r="U868" s="213"/>
      <c r="V868" s="213"/>
      <c r="W868" s="213"/>
      <c r="X868" s="213"/>
      <c r="Y868" s="213"/>
      <c r="Z868" s="213"/>
      <c r="AA868" s="213"/>
      <c r="AB868" s="213"/>
      <c r="AC868" s="213"/>
      <c r="AD868" s="213"/>
      <c r="AE868" s="213"/>
      <c r="AF868" s="213"/>
      <c r="AG868" s="213"/>
      <c r="AH868" s="213"/>
      <c r="AI868" s="213"/>
      <c r="AJ868" s="213"/>
      <c r="AK868" s="213"/>
      <c r="AL868" s="213"/>
      <c r="AM868" s="302"/>
      <c r="AN868" s="302"/>
      <c r="AO868" s="303"/>
      <c r="AP868" s="285"/>
      <c r="AQ868" s="258"/>
      <c r="AR868" s="258"/>
    </row>
    <row r="869" spans="10:44" s="48" customFormat="1" hidden="1">
      <c r="J869" s="213"/>
      <c r="K869" s="213"/>
      <c r="L869" s="213"/>
      <c r="M869" s="213"/>
      <c r="N869" s="213"/>
      <c r="O869" s="213"/>
      <c r="P869" s="213"/>
      <c r="Q869" s="213"/>
      <c r="R869" s="213"/>
      <c r="S869" s="213"/>
      <c r="T869" s="213"/>
      <c r="U869" s="213"/>
      <c r="V869" s="213"/>
      <c r="W869" s="213"/>
      <c r="X869" s="213"/>
      <c r="Y869" s="213"/>
      <c r="Z869" s="213"/>
      <c r="AA869" s="213"/>
      <c r="AB869" s="213"/>
      <c r="AC869" s="213"/>
      <c r="AD869" s="213"/>
      <c r="AE869" s="213"/>
      <c r="AF869" s="213"/>
      <c r="AG869" s="213"/>
      <c r="AH869" s="213"/>
      <c r="AI869" s="213"/>
      <c r="AJ869" s="213"/>
      <c r="AK869" s="213"/>
      <c r="AL869" s="213"/>
      <c r="AM869" s="302"/>
      <c r="AN869" s="302"/>
      <c r="AO869" s="303"/>
      <c r="AP869" s="285"/>
      <c r="AQ869" s="258"/>
      <c r="AR869" s="258"/>
    </row>
    <row r="870" spans="10:44" s="48" customFormat="1" hidden="1">
      <c r="J870" s="213"/>
      <c r="K870" s="213"/>
      <c r="L870" s="213"/>
      <c r="M870" s="213"/>
      <c r="N870" s="213"/>
      <c r="O870" s="213"/>
      <c r="P870" s="213"/>
      <c r="Q870" s="213"/>
      <c r="R870" s="213"/>
      <c r="S870" s="213"/>
      <c r="T870" s="213"/>
      <c r="U870" s="213"/>
      <c r="V870" s="213"/>
      <c r="W870" s="213"/>
      <c r="X870" s="213"/>
      <c r="Y870" s="213"/>
      <c r="Z870" s="213"/>
      <c r="AA870" s="213"/>
      <c r="AB870" s="213"/>
      <c r="AC870" s="213"/>
      <c r="AD870" s="213"/>
      <c r="AE870" s="213"/>
      <c r="AF870" s="213"/>
      <c r="AG870" s="213"/>
      <c r="AH870" s="213"/>
      <c r="AI870" s="213"/>
      <c r="AJ870" s="213"/>
      <c r="AK870" s="213"/>
      <c r="AL870" s="213"/>
      <c r="AM870" s="302"/>
      <c r="AN870" s="302"/>
      <c r="AO870" s="303"/>
      <c r="AP870" s="285"/>
      <c r="AQ870" s="258"/>
      <c r="AR870" s="258"/>
    </row>
    <row r="871" spans="10:44" s="48" customFormat="1" hidden="1">
      <c r="J871" s="213"/>
      <c r="K871" s="213"/>
      <c r="L871" s="213"/>
      <c r="M871" s="213"/>
      <c r="N871" s="213"/>
      <c r="O871" s="213"/>
      <c r="P871" s="213"/>
      <c r="Q871" s="213"/>
      <c r="R871" s="213"/>
      <c r="S871" s="213"/>
      <c r="T871" s="213"/>
      <c r="U871" s="213"/>
      <c r="V871" s="213"/>
      <c r="W871" s="213"/>
      <c r="X871" s="213"/>
      <c r="Y871" s="213"/>
      <c r="Z871" s="213"/>
      <c r="AA871" s="213"/>
      <c r="AB871" s="213"/>
      <c r="AC871" s="213"/>
      <c r="AD871" s="213"/>
      <c r="AE871" s="213"/>
      <c r="AF871" s="213"/>
      <c r="AG871" s="213"/>
      <c r="AH871" s="213"/>
      <c r="AI871" s="213"/>
      <c r="AJ871" s="213"/>
      <c r="AK871" s="213"/>
      <c r="AL871" s="213"/>
      <c r="AM871" s="302"/>
      <c r="AN871" s="302"/>
      <c r="AO871" s="303"/>
      <c r="AP871" s="285"/>
      <c r="AQ871" s="258"/>
      <c r="AR871" s="258"/>
    </row>
    <row r="872" spans="10:44" s="48" customFormat="1" hidden="1">
      <c r="J872" s="213"/>
      <c r="K872" s="213"/>
      <c r="L872" s="213"/>
      <c r="M872" s="213"/>
      <c r="N872" s="213"/>
      <c r="O872" s="213"/>
      <c r="P872" s="213"/>
      <c r="Q872" s="213"/>
      <c r="R872" s="213"/>
      <c r="S872" s="213"/>
      <c r="T872" s="213"/>
      <c r="U872" s="213"/>
      <c r="V872" s="213"/>
      <c r="W872" s="213"/>
      <c r="X872" s="213"/>
      <c r="Y872" s="213"/>
      <c r="Z872" s="213"/>
      <c r="AA872" s="213"/>
      <c r="AB872" s="213"/>
      <c r="AC872" s="213"/>
      <c r="AD872" s="213"/>
      <c r="AE872" s="213"/>
      <c r="AF872" s="213"/>
      <c r="AG872" s="213"/>
      <c r="AH872" s="213"/>
      <c r="AI872" s="213"/>
      <c r="AJ872" s="213"/>
      <c r="AK872" s="213"/>
      <c r="AL872" s="213"/>
      <c r="AM872" s="302"/>
      <c r="AN872" s="302"/>
      <c r="AO872" s="303"/>
      <c r="AP872" s="285"/>
      <c r="AQ872" s="258"/>
      <c r="AR872" s="258"/>
    </row>
    <row r="873" spans="10:44" s="48" customFormat="1" hidden="1">
      <c r="J873" s="213"/>
      <c r="K873" s="213"/>
      <c r="L873" s="213"/>
      <c r="M873" s="213"/>
      <c r="N873" s="213"/>
      <c r="O873" s="213"/>
      <c r="P873" s="213"/>
      <c r="Q873" s="213"/>
      <c r="R873" s="213"/>
      <c r="S873" s="213"/>
      <c r="T873" s="213"/>
      <c r="U873" s="213"/>
      <c r="V873" s="213"/>
      <c r="W873" s="213"/>
      <c r="X873" s="213"/>
      <c r="Y873" s="213"/>
      <c r="Z873" s="213"/>
      <c r="AA873" s="213"/>
      <c r="AB873" s="213"/>
      <c r="AC873" s="213"/>
      <c r="AD873" s="213"/>
      <c r="AE873" s="213"/>
      <c r="AF873" s="213"/>
      <c r="AG873" s="213"/>
      <c r="AH873" s="213"/>
      <c r="AI873" s="213"/>
      <c r="AJ873" s="213"/>
      <c r="AK873" s="213"/>
      <c r="AL873" s="213"/>
      <c r="AM873" s="302"/>
      <c r="AN873" s="302"/>
      <c r="AO873" s="303"/>
      <c r="AP873" s="285"/>
      <c r="AQ873" s="258"/>
      <c r="AR873" s="258"/>
    </row>
    <row r="874" spans="10:44" s="48" customFormat="1" hidden="1">
      <c r="J874" s="213"/>
      <c r="K874" s="213"/>
      <c r="L874" s="213"/>
      <c r="M874" s="213"/>
      <c r="N874" s="213"/>
      <c r="O874" s="213"/>
      <c r="P874" s="213"/>
      <c r="Q874" s="213"/>
      <c r="R874" s="213"/>
      <c r="S874" s="213"/>
      <c r="T874" s="213"/>
      <c r="U874" s="213"/>
      <c r="V874" s="213"/>
      <c r="W874" s="213"/>
      <c r="X874" s="213"/>
      <c r="Y874" s="213"/>
      <c r="Z874" s="213"/>
      <c r="AA874" s="213"/>
      <c r="AB874" s="213"/>
      <c r="AC874" s="213"/>
      <c r="AD874" s="213"/>
      <c r="AE874" s="213"/>
      <c r="AF874" s="213"/>
      <c r="AG874" s="213"/>
      <c r="AH874" s="213"/>
      <c r="AI874" s="213"/>
      <c r="AJ874" s="213"/>
      <c r="AK874" s="213"/>
      <c r="AL874" s="213"/>
      <c r="AM874" s="302"/>
      <c r="AN874" s="302"/>
      <c r="AO874" s="303"/>
      <c r="AP874" s="285"/>
      <c r="AQ874" s="258"/>
      <c r="AR874" s="258"/>
    </row>
    <row r="875" spans="10:44" s="48" customFormat="1" hidden="1">
      <c r="J875" s="213"/>
      <c r="K875" s="213"/>
      <c r="L875" s="213"/>
      <c r="M875" s="213"/>
      <c r="N875" s="213"/>
      <c r="O875" s="213"/>
      <c r="P875" s="213"/>
      <c r="Q875" s="213"/>
      <c r="R875" s="213"/>
      <c r="S875" s="213"/>
      <c r="T875" s="213"/>
      <c r="U875" s="213"/>
      <c r="V875" s="213"/>
      <c r="W875" s="213"/>
      <c r="X875" s="213"/>
      <c r="Y875" s="213"/>
      <c r="Z875" s="213"/>
      <c r="AA875" s="213"/>
      <c r="AB875" s="213"/>
      <c r="AC875" s="213"/>
      <c r="AD875" s="213"/>
      <c r="AE875" s="213"/>
      <c r="AF875" s="213"/>
      <c r="AG875" s="213"/>
      <c r="AH875" s="213"/>
      <c r="AI875" s="213"/>
      <c r="AJ875" s="213"/>
      <c r="AK875" s="213"/>
      <c r="AL875" s="213"/>
      <c r="AM875" s="302"/>
      <c r="AN875" s="302"/>
      <c r="AO875" s="303"/>
      <c r="AP875" s="285"/>
      <c r="AQ875" s="258"/>
      <c r="AR875" s="258"/>
    </row>
    <row r="876" spans="10:44" s="48" customFormat="1" hidden="1">
      <c r="J876" s="213"/>
      <c r="K876" s="213"/>
      <c r="L876" s="213"/>
      <c r="M876" s="213"/>
      <c r="N876" s="213"/>
      <c r="O876" s="213"/>
      <c r="P876" s="213"/>
      <c r="Q876" s="213"/>
      <c r="R876" s="213"/>
      <c r="S876" s="213"/>
      <c r="T876" s="213"/>
      <c r="U876" s="213"/>
      <c r="V876" s="213"/>
      <c r="W876" s="213"/>
      <c r="X876" s="213"/>
      <c r="Y876" s="213"/>
      <c r="Z876" s="213"/>
      <c r="AA876" s="213"/>
      <c r="AB876" s="213"/>
      <c r="AC876" s="213"/>
      <c r="AD876" s="213"/>
      <c r="AE876" s="213"/>
      <c r="AF876" s="213"/>
      <c r="AG876" s="213"/>
      <c r="AH876" s="213"/>
      <c r="AI876" s="213"/>
      <c r="AJ876" s="213"/>
      <c r="AK876" s="213"/>
      <c r="AL876" s="213"/>
      <c r="AM876" s="302"/>
      <c r="AN876" s="302"/>
      <c r="AO876" s="303"/>
      <c r="AP876" s="285"/>
      <c r="AQ876" s="258"/>
      <c r="AR876" s="258"/>
    </row>
    <row r="877" spans="10:44" s="48" customFormat="1" hidden="1">
      <c r="J877" s="213"/>
      <c r="K877" s="213"/>
      <c r="L877" s="213"/>
      <c r="M877" s="213"/>
      <c r="N877" s="213"/>
      <c r="O877" s="213"/>
      <c r="P877" s="213"/>
      <c r="Q877" s="213"/>
      <c r="R877" s="213"/>
      <c r="S877" s="213"/>
      <c r="T877" s="213"/>
      <c r="U877" s="213"/>
      <c r="V877" s="213"/>
      <c r="W877" s="213"/>
      <c r="X877" s="213"/>
      <c r="Y877" s="213"/>
      <c r="Z877" s="213"/>
      <c r="AA877" s="213"/>
      <c r="AB877" s="213"/>
      <c r="AC877" s="213"/>
      <c r="AD877" s="213"/>
      <c r="AE877" s="213"/>
      <c r="AF877" s="213"/>
      <c r="AG877" s="213"/>
      <c r="AH877" s="213"/>
      <c r="AI877" s="213"/>
      <c r="AJ877" s="213"/>
      <c r="AK877" s="213"/>
      <c r="AL877" s="213"/>
      <c r="AM877" s="302"/>
      <c r="AN877" s="302"/>
      <c r="AO877" s="303"/>
      <c r="AP877" s="285"/>
      <c r="AQ877" s="258"/>
      <c r="AR877" s="258"/>
    </row>
    <row r="878" spans="10:44" s="48" customFormat="1" hidden="1">
      <c r="J878" s="213"/>
      <c r="K878" s="213"/>
      <c r="L878" s="213"/>
      <c r="M878" s="213"/>
      <c r="N878" s="213"/>
      <c r="O878" s="213"/>
      <c r="P878" s="213"/>
      <c r="Q878" s="213"/>
      <c r="R878" s="213"/>
      <c r="S878" s="213"/>
      <c r="T878" s="213"/>
      <c r="U878" s="213"/>
      <c r="V878" s="213"/>
      <c r="W878" s="213"/>
      <c r="X878" s="213"/>
      <c r="Y878" s="213"/>
      <c r="Z878" s="213"/>
      <c r="AA878" s="213"/>
      <c r="AB878" s="213"/>
      <c r="AC878" s="213"/>
      <c r="AD878" s="213"/>
      <c r="AE878" s="213"/>
      <c r="AF878" s="213"/>
      <c r="AG878" s="213"/>
      <c r="AH878" s="213"/>
      <c r="AI878" s="213"/>
      <c r="AJ878" s="213"/>
      <c r="AK878" s="213"/>
      <c r="AL878" s="213"/>
      <c r="AM878" s="302"/>
      <c r="AN878" s="302"/>
      <c r="AO878" s="303"/>
      <c r="AP878" s="285"/>
      <c r="AQ878" s="258"/>
      <c r="AR878" s="258"/>
    </row>
    <row r="879" spans="10:44" s="48" customFormat="1" hidden="1">
      <c r="J879" s="213"/>
      <c r="K879" s="213"/>
      <c r="L879" s="213"/>
      <c r="M879" s="213"/>
      <c r="N879" s="213"/>
      <c r="O879" s="213"/>
      <c r="P879" s="213"/>
      <c r="Q879" s="213"/>
      <c r="R879" s="213"/>
      <c r="S879" s="213"/>
      <c r="T879" s="213"/>
      <c r="U879" s="213"/>
      <c r="V879" s="213"/>
      <c r="W879" s="213"/>
      <c r="X879" s="213"/>
      <c r="Y879" s="213"/>
      <c r="Z879" s="213"/>
      <c r="AA879" s="213"/>
      <c r="AB879" s="213"/>
      <c r="AC879" s="213"/>
      <c r="AD879" s="213"/>
      <c r="AE879" s="213"/>
      <c r="AF879" s="213"/>
      <c r="AG879" s="213"/>
      <c r="AH879" s="213"/>
      <c r="AI879" s="213"/>
      <c r="AJ879" s="213"/>
      <c r="AK879" s="213"/>
      <c r="AL879" s="213"/>
      <c r="AM879" s="302"/>
      <c r="AN879" s="302"/>
      <c r="AO879" s="303"/>
      <c r="AP879" s="285"/>
      <c r="AQ879" s="258"/>
      <c r="AR879" s="258"/>
    </row>
    <row r="880" spans="10:44" s="48" customFormat="1" hidden="1">
      <c r="J880" s="213"/>
      <c r="K880" s="213"/>
      <c r="L880" s="213"/>
      <c r="M880" s="213"/>
      <c r="N880" s="213"/>
      <c r="O880" s="213"/>
      <c r="P880" s="213"/>
      <c r="Q880" s="213"/>
      <c r="R880" s="213"/>
      <c r="S880" s="213"/>
      <c r="T880" s="213"/>
      <c r="U880" s="213"/>
      <c r="V880" s="213"/>
      <c r="W880" s="213"/>
      <c r="X880" s="213"/>
      <c r="Y880" s="213"/>
      <c r="Z880" s="213"/>
      <c r="AA880" s="213"/>
      <c r="AB880" s="213"/>
      <c r="AC880" s="213"/>
      <c r="AD880" s="213"/>
      <c r="AE880" s="213"/>
      <c r="AF880" s="213"/>
      <c r="AG880" s="213"/>
      <c r="AH880" s="213"/>
      <c r="AI880" s="213"/>
      <c r="AJ880" s="213"/>
      <c r="AK880" s="213"/>
      <c r="AL880" s="213"/>
      <c r="AM880" s="302"/>
      <c r="AN880" s="302"/>
      <c r="AO880" s="303"/>
      <c r="AP880" s="285"/>
      <c r="AQ880" s="258"/>
      <c r="AR880" s="258"/>
    </row>
    <row r="881" spans="10:44" s="48" customFormat="1" hidden="1">
      <c r="J881" s="213"/>
      <c r="K881" s="213"/>
      <c r="L881" s="213"/>
      <c r="M881" s="213"/>
      <c r="N881" s="213"/>
      <c r="O881" s="213"/>
      <c r="P881" s="213"/>
      <c r="Q881" s="213"/>
      <c r="R881" s="213"/>
      <c r="S881" s="213"/>
      <c r="T881" s="213"/>
      <c r="U881" s="213"/>
      <c r="V881" s="213"/>
      <c r="W881" s="213"/>
      <c r="X881" s="213"/>
      <c r="Y881" s="213"/>
      <c r="Z881" s="213"/>
      <c r="AA881" s="213"/>
      <c r="AB881" s="213"/>
      <c r="AC881" s="213"/>
      <c r="AD881" s="213"/>
      <c r="AE881" s="213"/>
      <c r="AF881" s="213"/>
      <c r="AG881" s="213"/>
      <c r="AH881" s="213"/>
      <c r="AI881" s="213"/>
      <c r="AJ881" s="213"/>
      <c r="AK881" s="213"/>
      <c r="AL881" s="213"/>
      <c r="AM881" s="302"/>
      <c r="AN881" s="302"/>
      <c r="AO881" s="303"/>
      <c r="AP881" s="285"/>
      <c r="AQ881" s="258"/>
      <c r="AR881" s="258"/>
    </row>
    <row r="882" spans="10:44" s="48" customFormat="1" hidden="1">
      <c r="J882" s="213"/>
      <c r="K882" s="213"/>
      <c r="L882" s="213"/>
      <c r="M882" s="213"/>
      <c r="N882" s="213"/>
      <c r="O882" s="213"/>
      <c r="P882" s="213"/>
      <c r="Q882" s="213"/>
      <c r="R882" s="213"/>
      <c r="S882" s="213"/>
      <c r="T882" s="213"/>
      <c r="U882" s="213"/>
      <c r="V882" s="213"/>
      <c r="W882" s="213"/>
      <c r="X882" s="213"/>
      <c r="Y882" s="213"/>
      <c r="Z882" s="213"/>
      <c r="AA882" s="213"/>
      <c r="AB882" s="213"/>
      <c r="AC882" s="213"/>
      <c r="AD882" s="213"/>
      <c r="AE882" s="213"/>
      <c r="AF882" s="213"/>
      <c r="AG882" s="213"/>
      <c r="AH882" s="213"/>
      <c r="AI882" s="213"/>
      <c r="AJ882" s="213"/>
      <c r="AK882" s="213"/>
      <c r="AL882" s="213"/>
      <c r="AM882" s="302"/>
      <c r="AN882" s="302"/>
      <c r="AO882" s="303"/>
      <c r="AP882" s="285"/>
      <c r="AQ882" s="258"/>
      <c r="AR882" s="258"/>
    </row>
    <row r="883" spans="10:44" s="48" customFormat="1" hidden="1">
      <c r="J883" s="213"/>
      <c r="K883" s="213"/>
      <c r="L883" s="213"/>
      <c r="M883" s="213"/>
      <c r="N883" s="213"/>
      <c r="O883" s="213"/>
      <c r="P883" s="213"/>
      <c r="Q883" s="213"/>
      <c r="R883" s="213"/>
      <c r="S883" s="213"/>
      <c r="T883" s="213"/>
      <c r="U883" s="213"/>
      <c r="V883" s="213"/>
      <c r="W883" s="213"/>
      <c r="X883" s="213"/>
      <c r="Y883" s="213"/>
      <c r="Z883" s="213"/>
      <c r="AA883" s="213"/>
      <c r="AB883" s="213"/>
      <c r="AC883" s="213"/>
      <c r="AD883" s="213"/>
      <c r="AE883" s="213"/>
      <c r="AF883" s="213"/>
      <c r="AG883" s="213"/>
      <c r="AH883" s="213"/>
      <c r="AI883" s="213"/>
      <c r="AJ883" s="213"/>
      <c r="AK883" s="213"/>
      <c r="AL883" s="213"/>
      <c r="AM883" s="302"/>
      <c r="AN883" s="302"/>
      <c r="AO883" s="303"/>
      <c r="AP883" s="285"/>
      <c r="AQ883" s="258"/>
      <c r="AR883" s="258"/>
    </row>
    <row r="884" spans="10:44" s="48" customFormat="1" hidden="1">
      <c r="J884" s="213"/>
      <c r="K884" s="213"/>
      <c r="L884" s="213"/>
      <c r="M884" s="213"/>
      <c r="N884" s="213"/>
      <c r="O884" s="213"/>
      <c r="P884" s="213"/>
      <c r="Q884" s="213"/>
      <c r="R884" s="213"/>
      <c r="S884" s="213"/>
      <c r="T884" s="213"/>
      <c r="U884" s="213"/>
      <c r="V884" s="213"/>
      <c r="W884" s="213"/>
      <c r="X884" s="213"/>
      <c r="Y884" s="213"/>
      <c r="Z884" s="213"/>
      <c r="AA884" s="213"/>
      <c r="AB884" s="213"/>
      <c r="AC884" s="213"/>
      <c r="AD884" s="213"/>
      <c r="AE884" s="213"/>
      <c r="AF884" s="213"/>
      <c r="AG884" s="213"/>
      <c r="AH884" s="213"/>
      <c r="AI884" s="213"/>
      <c r="AJ884" s="213"/>
      <c r="AK884" s="213"/>
      <c r="AL884" s="213"/>
      <c r="AM884" s="302"/>
      <c r="AN884" s="302"/>
      <c r="AO884" s="303"/>
      <c r="AP884" s="285"/>
      <c r="AQ884" s="258"/>
      <c r="AR884" s="258"/>
    </row>
    <row r="885" spans="10:44" s="48" customFormat="1" hidden="1">
      <c r="J885" s="213"/>
      <c r="K885" s="213"/>
      <c r="L885" s="213"/>
      <c r="M885" s="213"/>
      <c r="N885" s="213"/>
      <c r="O885" s="213"/>
      <c r="P885" s="213"/>
      <c r="Q885" s="213"/>
      <c r="R885" s="213"/>
      <c r="S885" s="213"/>
      <c r="T885" s="213"/>
      <c r="U885" s="213"/>
      <c r="V885" s="213"/>
      <c r="W885" s="213"/>
      <c r="X885" s="213"/>
      <c r="Y885" s="213"/>
      <c r="Z885" s="213"/>
      <c r="AA885" s="213"/>
      <c r="AB885" s="213"/>
      <c r="AC885" s="213"/>
      <c r="AD885" s="213"/>
      <c r="AE885" s="213"/>
      <c r="AF885" s="213"/>
      <c r="AG885" s="213"/>
      <c r="AH885" s="213"/>
      <c r="AI885" s="213"/>
      <c r="AJ885" s="213"/>
      <c r="AK885" s="213"/>
      <c r="AL885" s="213"/>
      <c r="AM885" s="302"/>
      <c r="AN885" s="302"/>
      <c r="AO885" s="303"/>
      <c r="AP885" s="285"/>
      <c r="AQ885" s="258"/>
      <c r="AR885" s="258"/>
    </row>
    <row r="886" spans="10:44" s="48" customFormat="1" hidden="1">
      <c r="J886" s="213"/>
      <c r="K886" s="213"/>
      <c r="L886" s="213"/>
      <c r="M886" s="213"/>
      <c r="N886" s="213"/>
      <c r="O886" s="213"/>
      <c r="P886" s="213"/>
      <c r="Q886" s="213"/>
      <c r="R886" s="213"/>
      <c r="S886" s="213"/>
      <c r="T886" s="213"/>
      <c r="U886" s="213"/>
      <c r="V886" s="213"/>
      <c r="W886" s="213"/>
      <c r="X886" s="213"/>
      <c r="Y886" s="213"/>
      <c r="Z886" s="213"/>
      <c r="AA886" s="213"/>
      <c r="AB886" s="213"/>
      <c r="AC886" s="213"/>
      <c r="AD886" s="213"/>
      <c r="AE886" s="213"/>
      <c r="AF886" s="213"/>
      <c r="AG886" s="213"/>
      <c r="AH886" s="213"/>
      <c r="AI886" s="213"/>
      <c r="AJ886" s="213"/>
      <c r="AK886" s="213"/>
      <c r="AL886" s="213"/>
      <c r="AM886" s="302"/>
      <c r="AN886" s="302"/>
      <c r="AO886" s="303"/>
      <c r="AP886" s="285"/>
      <c r="AQ886" s="258"/>
      <c r="AR886" s="258"/>
    </row>
    <row r="887" spans="10:44" s="48" customFormat="1" hidden="1">
      <c r="J887" s="213"/>
      <c r="K887" s="213"/>
      <c r="L887" s="213"/>
      <c r="M887" s="213"/>
      <c r="N887" s="213"/>
      <c r="O887" s="213"/>
      <c r="P887" s="213"/>
      <c r="Q887" s="213"/>
      <c r="R887" s="213"/>
      <c r="S887" s="213"/>
      <c r="T887" s="213"/>
      <c r="U887" s="213"/>
      <c r="V887" s="213"/>
      <c r="W887" s="213"/>
      <c r="X887" s="213"/>
      <c r="Y887" s="213"/>
      <c r="Z887" s="213"/>
      <c r="AA887" s="213"/>
      <c r="AB887" s="213"/>
      <c r="AC887" s="213"/>
      <c r="AD887" s="213"/>
      <c r="AE887" s="213"/>
      <c r="AF887" s="213"/>
      <c r="AG887" s="213"/>
      <c r="AH887" s="213"/>
      <c r="AI887" s="213"/>
      <c r="AJ887" s="213"/>
      <c r="AK887" s="213"/>
      <c r="AL887" s="213"/>
      <c r="AM887" s="302"/>
      <c r="AN887" s="302"/>
      <c r="AO887" s="303"/>
      <c r="AP887" s="285"/>
      <c r="AQ887" s="258"/>
      <c r="AR887" s="258"/>
    </row>
    <row r="888" spans="10:44" s="48" customFormat="1" hidden="1">
      <c r="J888" s="213"/>
      <c r="K888" s="213"/>
      <c r="L888" s="213"/>
      <c r="M888" s="213"/>
      <c r="N888" s="213"/>
      <c r="O888" s="213"/>
      <c r="P888" s="213"/>
      <c r="Q888" s="213"/>
      <c r="R888" s="213"/>
      <c r="S888" s="213"/>
      <c r="T888" s="213"/>
      <c r="U888" s="213"/>
      <c r="V888" s="213"/>
      <c r="W888" s="213"/>
      <c r="X888" s="213"/>
      <c r="Y888" s="213"/>
      <c r="Z888" s="213"/>
      <c r="AA888" s="213"/>
      <c r="AB888" s="213"/>
      <c r="AC888" s="213"/>
      <c r="AD888" s="213"/>
      <c r="AE888" s="213"/>
      <c r="AF888" s="213"/>
      <c r="AG888" s="213"/>
      <c r="AH888" s="213"/>
      <c r="AI888" s="213"/>
      <c r="AJ888" s="213"/>
      <c r="AK888" s="213"/>
      <c r="AL888" s="213"/>
      <c r="AM888" s="302"/>
      <c r="AN888" s="302"/>
      <c r="AO888" s="303"/>
      <c r="AP888" s="285"/>
      <c r="AQ888" s="258"/>
      <c r="AR888" s="258"/>
    </row>
    <row r="889" spans="10:44" s="48" customFormat="1" hidden="1">
      <c r="J889" s="213"/>
      <c r="K889" s="213"/>
      <c r="L889" s="213"/>
      <c r="M889" s="213"/>
      <c r="N889" s="213"/>
      <c r="O889" s="213"/>
      <c r="P889" s="213"/>
      <c r="Q889" s="213"/>
      <c r="R889" s="213"/>
      <c r="S889" s="213"/>
      <c r="T889" s="213"/>
      <c r="U889" s="213"/>
      <c r="V889" s="213"/>
      <c r="W889" s="213"/>
      <c r="X889" s="213"/>
      <c r="Y889" s="213"/>
      <c r="Z889" s="213"/>
      <c r="AA889" s="213"/>
      <c r="AB889" s="213"/>
      <c r="AC889" s="213"/>
      <c r="AD889" s="213"/>
      <c r="AE889" s="213"/>
      <c r="AF889" s="213"/>
      <c r="AG889" s="213"/>
      <c r="AH889" s="213"/>
      <c r="AI889" s="213"/>
      <c r="AJ889" s="213"/>
      <c r="AK889" s="213"/>
      <c r="AL889" s="213"/>
      <c r="AM889" s="302"/>
      <c r="AN889" s="302"/>
      <c r="AO889" s="303"/>
      <c r="AP889" s="285"/>
      <c r="AQ889" s="258"/>
      <c r="AR889" s="258"/>
    </row>
    <row r="890" spans="10:44" s="48" customFormat="1" hidden="1">
      <c r="J890" s="213"/>
      <c r="K890" s="213"/>
      <c r="L890" s="213"/>
      <c r="M890" s="213"/>
      <c r="N890" s="213"/>
      <c r="O890" s="213"/>
      <c r="P890" s="213"/>
      <c r="Q890" s="213"/>
      <c r="R890" s="213"/>
      <c r="S890" s="213"/>
      <c r="T890" s="213"/>
      <c r="U890" s="213"/>
      <c r="V890" s="213"/>
      <c r="W890" s="213"/>
      <c r="X890" s="213"/>
      <c r="Y890" s="213"/>
      <c r="Z890" s="213"/>
      <c r="AA890" s="213"/>
      <c r="AB890" s="213"/>
      <c r="AC890" s="213"/>
      <c r="AD890" s="213"/>
      <c r="AE890" s="213"/>
      <c r="AF890" s="213"/>
      <c r="AG890" s="213"/>
      <c r="AH890" s="213"/>
      <c r="AI890" s="213"/>
      <c r="AJ890" s="213"/>
      <c r="AK890" s="213"/>
      <c r="AL890" s="213"/>
      <c r="AM890" s="302"/>
      <c r="AN890" s="302"/>
      <c r="AO890" s="303"/>
      <c r="AP890" s="285"/>
      <c r="AQ890" s="258"/>
      <c r="AR890" s="258"/>
    </row>
    <row r="891" spans="10:44" s="48" customFormat="1" hidden="1">
      <c r="J891" s="213"/>
      <c r="K891" s="213"/>
      <c r="L891" s="213"/>
      <c r="M891" s="213"/>
      <c r="N891" s="213"/>
      <c r="O891" s="213"/>
      <c r="P891" s="213"/>
      <c r="Q891" s="213"/>
      <c r="R891" s="213"/>
      <c r="S891" s="213"/>
      <c r="T891" s="213"/>
      <c r="U891" s="213"/>
      <c r="V891" s="213"/>
      <c r="W891" s="213"/>
      <c r="X891" s="213"/>
      <c r="Y891" s="213"/>
      <c r="Z891" s="213"/>
      <c r="AA891" s="213"/>
      <c r="AB891" s="213"/>
      <c r="AC891" s="213"/>
      <c r="AD891" s="213"/>
      <c r="AE891" s="213"/>
      <c r="AF891" s="213"/>
      <c r="AG891" s="213"/>
      <c r="AH891" s="213"/>
      <c r="AI891" s="213"/>
      <c r="AJ891" s="213"/>
      <c r="AK891" s="213"/>
      <c r="AL891" s="213"/>
      <c r="AM891" s="302"/>
      <c r="AN891" s="302"/>
      <c r="AO891" s="303"/>
      <c r="AP891" s="285"/>
      <c r="AQ891" s="258"/>
      <c r="AR891" s="258"/>
    </row>
    <row r="892" spans="10:44" s="48" customFormat="1" hidden="1">
      <c r="J892" s="213"/>
      <c r="K892" s="213"/>
      <c r="L892" s="213"/>
      <c r="M892" s="213"/>
      <c r="N892" s="213"/>
      <c r="O892" s="213"/>
      <c r="P892" s="213"/>
      <c r="Q892" s="213"/>
      <c r="R892" s="213"/>
      <c r="S892" s="213"/>
      <c r="T892" s="213"/>
      <c r="U892" s="213"/>
      <c r="V892" s="213"/>
      <c r="W892" s="213"/>
      <c r="X892" s="213"/>
      <c r="Y892" s="213"/>
      <c r="Z892" s="213"/>
      <c r="AA892" s="213"/>
      <c r="AB892" s="213"/>
      <c r="AC892" s="213"/>
      <c r="AD892" s="213"/>
      <c r="AE892" s="213"/>
      <c r="AF892" s="213"/>
      <c r="AG892" s="213"/>
      <c r="AH892" s="213"/>
      <c r="AI892" s="213"/>
      <c r="AJ892" s="213"/>
      <c r="AK892" s="213"/>
      <c r="AL892" s="213"/>
      <c r="AM892" s="302"/>
      <c r="AN892" s="302"/>
      <c r="AO892" s="303"/>
      <c r="AP892" s="285"/>
      <c r="AQ892" s="258"/>
      <c r="AR892" s="258"/>
    </row>
    <row r="893" spans="10:44" s="48" customFormat="1" hidden="1">
      <c r="J893" s="213"/>
      <c r="K893" s="213"/>
      <c r="L893" s="213"/>
      <c r="M893" s="213"/>
      <c r="N893" s="213"/>
      <c r="O893" s="213"/>
      <c r="P893" s="213"/>
      <c r="Q893" s="213"/>
      <c r="R893" s="213"/>
      <c r="S893" s="213"/>
      <c r="T893" s="213"/>
      <c r="U893" s="213"/>
      <c r="V893" s="213"/>
      <c r="W893" s="213"/>
      <c r="X893" s="213"/>
      <c r="Y893" s="213"/>
      <c r="Z893" s="213"/>
      <c r="AA893" s="213"/>
      <c r="AB893" s="213"/>
      <c r="AC893" s="213"/>
      <c r="AD893" s="213"/>
      <c r="AE893" s="213"/>
      <c r="AF893" s="213"/>
      <c r="AG893" s="213"/>
      <c r="AH893" s="213"/>
      <c r="AI893" s="213"/>
      <c r="AJ893" s="213"/>
      <c r="AK893" s="213"/>
      <c r="AL893" s="213"/>
      <c r="AM893" s="302"/>
      <c r="AN893" s="302"/>
      <c r="AO893" s="303"/>
      <c r="AP893" s="285"/>
      <c r="AQ893" s="258"/>
      <c r="AR893" s="258"/>
    </row>
    <row r="894" spans="10:44" s="48" customFormat="1" hidden="1">
      <c r="J894" s="213"/>
      <c r="K894" s="213"/>
      <c r="L894" s="213"/>
      <c r="M894" s="213"/>
      <c r="N894" s="213"/>
      <c r="O894" s="213"/>
      <c r="P894" s="213"/>
      <c r="Q894" s="213"/>
      <c r="R894" s="213"/>
      <c r="S894" s="213"/>
      <c r="T894" s="213"/>
      <c r="U894" s="213"/>
      <c r="V894" s="213"/>
      <c r="W894" s="213"/>
      <c r="X894" s="213"/>
      <c r="Y894" s="213"/>
      <c r="Z894" s="213"/>
      <c r="AA894" s="213"/>
      <c r="AB894" s="213"/>
      <c r="AC894" s="213"/>
      <c r="AD894" s="213"/>
      <c r="AE894" s="213"/>
      <c r="AF894" s="213"/>
      <c r="AG894" s="213"/>
      <c r="AH894" s="213"/>
      <c r="AI894" s="213"/>
      <c r="AJ894" s="213"/>
      <c r="AK894" s="213"/>
      <c r="AL894" s="213"/>
      <c r="AM894" s="302"/>
      <c r="AN894" s="302"/>
      <c r="AO894" s="303"/>
      <c r="AP894" s="285"/>
      <c r="AQ894" s="258"/>
      <c r="AR894" s="258"/>
    </row>
    <row r="895" spans="10:44" s="48" customFormat="1" hidden="1">
      <c r="J895" s="213"/>
      <c r="K895" s="213"/>
      <c r="L895" s="213"/>
      <c r="M895" s="213"/>
      <c r="N895" s="213"/>
      <c r="O895" s="213"/>
      <c r="P895" s="213"/>
      <c r="Q895" s="213"/>
      <c r="R895" s="213"/>
      <c r="S895" s="213"/>
      <c r="T895" s="213"/>
      <c r="U895" s="213"/>
      <c r="V895" s="213"/>
      <c r="W895" s="213"/>
      <c r="X895" s="213"/>
      <c r="Y895" s="213"/>
      <c r="Z895" s="213"/>
      <c r="AA895" s="213"/>
      <c r="AB895" s="213"/>
      <c r="AC895" s="213"/>
      <c r="AD895" s="213"/>
      <c r="AE895" s="213"/>
      <c r="AF895" s="213"/>
      <c r="AG895" s="213"/>
      <c r="AH895" s="213"/>
      <c r="AI895" s="213"/>
      <c r="AJ895" s="213"/>
      <c r="AK895" s="213"/>
      <c r="AL895" s="213"/>
      <c r="AM895" s="302"/>
      <c r="AN895" s="302"/>
      <c r="AO895" s="303"/>
      <c r="AP895" s="285"/>
      <c r="AQ895" s="258"/>
      <c r="AR895" s="258"/>
    </row>
    <row r="896" spans="10:44" s="48" customFormat="1" hidden="1">
      <c r="J896" s="213"/>
      <c r="K896" s="213"/>
      <c r="L896" s="213"/>
      <c r="M896" s="213"/>
      <c r="N896" s="213"/>
      <c r="O896" s="213"/>
      <c r="P896" s="213"/>
      <c r="Q896" s="213"/>
      <c r="R896" s="213"/>
      <c r="S896" s="213"/>
      <c r="T896" s="213"/>
      <c r="U896" s="213"/>
      <c r="V896" s="213"/>
      <c r="W896" s="213"/>
      <c r="X896" s="213"/>
      <c r="Y896" s="213"/>
      <c r="Z896" s="213"/>
      <c r="AA896" s="213"/>
      <c r="AB896" s="213"/>
      <c r="AC896" s="213"/>
      <c r="AD896" s="213"/>
      <c r="AE896" s="213"/>
      <c r="AF896" s="213"/>
      <c r="AG896" s="213"/>
      <c r="AH896" s="213"/>
      <c r="AI896" s="213"/>
      <c r="AJ896" s="213"/>
      <c r="AK896" s="213"/>
      <c r="AL896" s="213"/>
      <c r="AM896" s="302"/>
      <c r="AN896" s="302"/>
      <c r="AO896" s="303"/>
      <c r="AP896" s="285"/>
      <c r="AQ896" s="258"/>
      <c r="AR896" s="258"/>
    </row>
    <row r="897" spans="10:44" s="48" customFormat="1" hidden="1">
      <c r="J897" s="213"/>
      <c r="K897" s="213"/>
      <c r="L897" s="213"/>
      <c r="M897" s="213"/>
      <c r="N897" s="213"/>
      <c r="O897" s="213"/>
      <c r="P897" s="213"/>
      <c r="Q897" s="213"/>
      <c r="R897" s="213"/>
      <c r="S897" s="213"/>
      <c r="T897" s="213"/>
      <c r="U897" s="213"/>
      <c r="V897" s="213"/>
      <c r="W897" s="213"/>
      <c r="X897" s="213"/>
      <c r="Y897" s="213"/>
      <c r="Z897" s="213"/>
      <c r="AA897" s="213"/>
      <c r="AB897" s="213"/>
      <c r="AC897" s="213"/>
      <c r="AD897" s="213"/>
      <c r="AE897" s="213"/>
      <c r="AF897" s="213"/>
      <c r="AG897" s="213"/>
      <c r="AH897" s="213"/>
      <c r="AI897" s="213"/>
      <c r="AJ897" s="213"/>
      <c r="AK897" s="213"/>
      <c r="AL897" s="213"/>
      <c r="AM897" s="302"/>
      <c r="AN897" s="302"/>
      <c r="AO897" s="303"/>
      <c r="AP897" s="285"/>
      <c r="AQ897" s="258"/>
      <c r="AR897" s="258"/>
    </row>
    <row r="898" spans="10:44" s="48" customFormat="1" hidden="1">
      <c r="J898" s="213"/>
      <c r="K898" s="213"/>
      <c r="L898" s="213"/>
      <c r="M898" s="213"/>
      <c r="N898" s="213"/>
      <c r="O898" s="213"/>
      <c r="P898" s="213"/>
      <c r="Q898" s="213"/>
      <c r="R898" s="213"/>
      <c r="S898" s="213"/>
      <c r="T898" s="213"/>
      <c r="U898" s="213"/>
      <c r="V898" s="213"/>
      <c r="W898" s="213"/>
      <c r="X898" s="213"/>
      <c r="Y898" s="213"/>
      <c r="Z898" s="213"/>
      <c r="AA898" s="213"/>
      <c r="AB898" s="213"/>
      <c r="AC898" s="213"/>
      <c r="AD898" s="213"/>
      <c r="AE898" s="213"/>
      <c r="AF898" s="213"/>
      <c r="AG898" s="213"/>
      <c r="AH898" s="213"/>
      <c r="AI898" s="213"/>
      <c r="AJ898" s="213"/>
      <c r="AK898" s="213"/>
      <c r="AL898" s="213"/>
      <c r="AM898" s="302"/>
      <c r="AN898" s="302"/>
      <c r="AO898" s="303"/>
      <c r="AP898" s="285"/>
      <c r="AQ898" s="258"/>
      <c r="AR898" s="258"/>
    </row>
    <row r="899" spans="10:44" s="48" customFormat="1" hidden="1">
      <c r="J899" s="213"/>
      <c r="K899" s="213"/>
      <c r="L899" s="213"/>
      <c r="M899" s="213"/>
      <c r="N899" s="213"/>
      <c r="O899" s="213"/>
      <c r="P899" s="213"/>
      <c r="Q899" s="213"/>
      <c r="R899" s="213"/>
      <c r="S899" s="213"/>
      <c r="T899" s="213"/>
      <c r="U899" s="213"/>
      <c r="V899" s="213"/>
      <c r="W899" s="213"/>
      <c r="X899" s="213"/>
      <c r="Y899" s="213"/>
      <c r="Z899" s="213"/>
      <c r="AA899" s="213"/>
      <c r="AB899" s="213"/>
      <c r="AC899" s="213"/>
      <c r="AD899" s="213"/>
      <c r="AE899" s="213"/>
      <c r="AF899" s="213"/>
      <c r="AG899" s="213"/>
      <c r="AH899" s="213"/>
      <c r="AI899" s="213"/>
      <c r="AJ899" s="213"/>
      <c r="AK899" s="213"/>
      <c r="AL899" s="213"/>
      <c r="AM899" s="302"/>
      <c r="AN899" s="302"/>
      <c r="AO899" s="303"/>
      <c r="AP899" s="285"/>
      <c r="AQ899" s="258"/>
      <c r="AR899" s="258"/>
    </row>
    <row r="900" spans="10:44" s="48" customFormat="1" hidden="1">
      <c r="J900" s="213"/>
      <c r="K900" s="213"/>
      <c r="L900" s="213"/>
      <c r="M900" s="213"/>
      <c r="N900" s="213"/>
      <c r="O900" s="213"/>
      <c r="P900" s="213"/>
      <c r="Q900" s="213"/>
      <c r="R900" s="213"/>
      <c r="S900" s="213"/>
      <c r="T900" s="213"/>
      <c r="U900" s="213"/>
      <c r="V900" s="213"/>
      <c r="W900" s="213"/>
      <c r="X900" s="213"/>
      <c r="Y900" s="213"/>
      <c r="Z900" s="213"/>
      <c r="AA900" s="213"/>
      <c r="AB900" s="213"/>
      <c r="AC900" s="213"/>
      <c r="AD900" s="213"/>
      <c r="AE900" s="213"/>
      <c r="AF900" s="213"/>
      <c r="AG900" s="213"/>
      <c r="AH900" s="213"/>
      <c r="AI900" s="213"/>
      <c r="AJ900" s="213"/>
      <c r="AK900" s="213"/>
      <c r="AL900" s="213"/>
      <c r="AM900" s="302"/>
      <c r="AN900" s="302"/>
      <c r="AO900" s="303"/>
      <c r="AP900" s="285"/>
      <c r="AQ900" s="258"/>
      <c r="AR900" s="258"/>
    </row>
    <row r="901" spans="10:44" s="48" customFormat="1" hidden="1">
      <c r="J901" s="213"/>
      <c r="K901" s="213"/>
      <c r="L901" s="213"/>
      <c r="M901" s="213"/>
      <c r="N901" s="213"/>
      <c r="O901" s="213"/>
      <c r="P901" s="213"/>
      <c r="Q901" s="213"/>
      <c r="R901" s="213"/>
      <c r="S901" s="213"/>
      <c r="T901" s="213"/>
      <c r="U901" s="213"/>
      <c r="V901" s="213"/>
      <c r="W901" s="213"/>
      <c r="X901" s="213"/>
      <c r="Y901" s="213"/>
      <c r="Z901" s="213"/>
      <c r="AA901" s="213"/>
      <c r="AB901" s="213"/>
      <c r="AC901" s="213"/>
      <c r="AD901" s="213"/>
      <c r="AE901" s="213"/>
      <c r="AF901" s="213"/>
      <c r="AG901" s="213"/>
      <c r="AH901" s="213"/>
      <c r="AI901" s="213"/>
      <c r="AJ901" s="213"/>
      <c r="AK901" s="213"/>
      <c r="AL901" s="213"/>
      <c r="AM901" s="302"/>
      <c r="AN901" s="302"/>
      <c r="AO901" s="303"/>
      <c r="AP901" s="285"/>
      <c r="AQ901" s="258"/>
      <c r="AR901" s="258"/>
    </row>
    <row r="902" spans="10:44" s="48" customFormat="1" hidden="1">
      <c r="J902" s="213"/>
      <c r="K902" s="213"/>
      <c r="L902" s="213"/>
      <c r="M902" s="213"/>
      <c r="N902" s="213"/>
      <c r="O902" s="213"/>
      <c r="P902" s="213"/>
      <c r="Q902" s="213"/>
      <c r="R902" s="213"/>
      <c r="S902" s="213"/>
      <c r="T902" s="213"/>
      <c r="U902" s="213"/>
      <c r="V902" s="213"/>
      <c r="W902" s="213"/>
      <c r="X902" s="213"/>
      <c r="Y902" s="213"/>
      <c r="Z902" s="213"/>
      <c r="AA902" s="213"/>
      <c r="AB902" s="213"/>
      <c r="AC902" s="213"/>
      <c r="AD902" s="213"/>
      <c r="AE902" s="213"/>
      <c r="AF902" s="213"/>
      <c r="AG902" s="213"/>
      <c r="AH902" s="213"/>
      <c r="AI902" s="213"/>
      <c r="AJ902" s="213"/>
      <c r="AK902" s="213"/>
      <c r="AL902" s="213"/>
      <c r="AM902" s="302"/>
      <c r="AN902" s="302"/>
      <c r="AO902" s="303"/>
      <c r="AP902" s="285"/>
      <c r="AQ902" s="258"/>
      <c r="AR902" s="258"/>
    </row>
    <row r="903" spans="10:44" s="48" customFormat="1" hidden="1">
      <c r="J903" s="213"/>
      <c r="K903" s="213"/>
      <c r="L903" s="213"/>
      <c r="M903" s="213"/>
      <c r="N903" s="213"/>
      <c r="O903" s="213"/>
      <c r="P903" s="213"/>
      <c r="Q903" s="213"/>
      <c r="R903" s="213"/>
      <c r="S903" s="213"/>
      <c r="T903" s="213"/>
      <c r="U903" s="213"/>
      <c r="V903" s="213"/>
      <c r="W903" s="213"/>
      <c r="X903" s="213"/>
      <c r="Y903" s="213"/>
      <c r="Z903" s="213"/>
      <c r="AA903" s="213"/>
      <c r="AB903" s="213"/>
      <c r="AC903" s="213"/>
      <c r="AD903" s="213"/>
      <c r="AE903" s="213"/>
      <c r="AF903" s="213"/>
      <c r="AG903" s="213"/>
      <c r="AH903" s="213"/>
      <c r="AI903" s="213"/>
      <c r="AJ903" s="213"/>
      <c r="AK903" s="213"/>
      <c r="AL903" s="213"/>
      <c r="AM903" s="302"/>
      <c r="AN903" s="302"/>
      <c r="AO903" s="303"/>
      <c r="AP903" s="285"/>
      <c r="AQ903" s="258"/>
      <c r="AR903" s="258"/>
    </row>
    <row r="904" spans="10:44" s="48" customFormat="1" hidden="1">
      <c r="J904" s="213"/>
      <c r="K904" s="213"/>
      <c r="L904" s="213"/>
      <c r="M904" s="213"/>
      <c r="N904" s="213"/>
      <c r="O904" s="213"/>
      <c r="P904" s="213"/>
      <c r="Q904" s="213"/>
      <c r="R904" s="213"/>
      <c r="S904" s="213"/>
      <c r="T904" s="213"/>
      <c r="U904" s="213"/>
      <c r="V904" s="213"/>
      <c r="W904" s="213"/>
      <c r="X904" s="213"/>
      <c r="Y904" s="213"/>
      <c r="Z904" s="213"/>
      <c r="AA904" s="213"/>
      <c r="AB904" s="213"/>
      <c r="AC904" s="213"/>
      <c r="AD904" s="213"/>
      <c r="AE904" s="213"/>
      <c r="AF904" s="213"/>
      <c r="AG904" s="213"/>
      <c r="AH904" s="213"/>
      <c r="AI904" s="213"/>
      <c r="AJ904" s="213"/>
      <c r="AK904" s="213"/>
      <c r="AL904" s="213"/>
      <c r="AM904" s="302"/>
      <c r="AN904" s="302"/>
      <c r="AO904" s="303"/>
      <c r="AP904" s="285"/>
      <c r="AQ904" s="258"/>
      <c r="AR904" s="258"/>
    </row>
    <row r="905" spans="10:44" s="48" customFormat="1" hidden="1">
      <c r="J905" s="213"/>
      <c r="K905" s="213"/>
      <c r="L905" s="213"/>
      <c r="M905" s="213"/>
      <c r="N905" s="213"/>
      <c r="O905" s="213"/>
      <c r="P905" s="213"/>
      <c r="Q905" s="213"/>
      <c r="R905" s="213"/>
      <c r="S905" s="213"/>
      <c r="T905" s="213"/>
      <c r="U905" s="213"/>
      <c r="V905" s="213"/>
      <c r="W905" s="213"/>
      <c r="X905" s="213"/>
      <c r="Y905" s="213"/>
      <c r="Z905" s="213"/>
      <c r="AA905" s="213"/>
      <c r="AB905" s="213"/>
      <c r="AC905" s="213"/>
      <c r="AD905" s="213"/>
      <c r="AE905" s="213"/>
      <c r="AF905" s="213"/>
      <c r="AG905" s="213"/>
      <c r="AH905" s="213"/>
      <c r="AI905" s="213"/>
      <c r="AJ905" s="213"/>
      <c r="AK905" s="213"/>
      <c r="AL905" s="213"/>
      <c r="AM905" s="302"/>
      <c r="AN905" s="302"/>
      <c r="AO905" s="303"/>
      <c r="AP905" s="285"/>
      <c r="AQ905" s="258"/>
      <c r="AR905" s="258"/>
    </row>
    <row r="906" spans="10:44" s="48" customFormat="1" hidden="1">
      <c r="J906" s="213"/>
      <c r="K906" s="213"/>
      <c r="L906" s="213"/>
      <c r="M906" s="213"/>
      <c r="N906" s="213"/>
      <c r="O906" s="213"/>
      <c r="P906" s="213"/>
      <c r="Q906" s="213"/>
      <c r="R906" s="213"/>
      <c r="S906" s="213"/>
      <c r="T906" s="213"/>
      <c r="U906" s="213"/>
      <c r="V906" s="213"/>
      <c r="W906" s="213"/>
      <c r="X906" s="213"/>
      <c r="Y906" s="213"/>
      <c r="Z906" s="213"/>
      <c r="AA906" s="213"/>
      <c r="AB906" s="213"/>
      <c r="AC906" s="213"/>
      <c r="AD906" s="213"/>
      <c r="AE906" s="213"/>
      <c r="AF906" s="213"/>
      <c r="AG906" s="213"/>
      <c r="AH906" s="213"/>
      <c r="AI906" s="213"/>
      <c r="AJ906" s="213"/>
      <c r="AK906" s="213"/>
      <c r="AL906" s="213"/>
      <c r="AM906" s="302"/>
      <c r="AN906" s="302"/>
      <c r="AO906" s="303"/>
      <c r="AP906" s="285"/>
      <c r="AQ906" s="258"/>
      <c r="AR906" s="258"/>
    </row>
    <row r="907" spans="10:44" s="48" customFormat="1" hidden="1">
      <c r="J907" s="213"/>
      <c r="K907" s="213"/>
      <c r="L907" s="213"/>
      <c r="M907" s="213"/>
      <c r="N907" s="213"/>
      <c r="O907" s="213"/>
      <c r="P907" s="213"/>
      <c r="Q907" s="213"/>
      <c r="R907" s="213"/>
      <c r="S907" s="213"/>
      <c r="T907" s="213"/>
      <c r="U907" s="213"/>
      <c r="V907" s="213"/>
      <c r="W907" s="213"/>
      <c r="X907" s="213"/>
      <c r="Y907" s="213"/>
      <c r="Z907" s="213"/>
      <c r="AA907" s="213"/>
      <c r="AB907" s="213"/>
      <c r="AC907" s="213"/>
      <c r="AD907" s="213"/>
      <c r="AE907" s="213"/>
      <c r="AF907" s="213"/>
      <c r="AG907" s="213"/>
      <c r="AH907" s="213"/>
      <c r="AI907" s="213"/>
      <c r="AJ907" s="213"/>
      <c r="AK907" s="213"/>
      <c r="AL907" s="213"/>
      <c r="AM907" s="302"/>
      <c r="AN907" s="302"/>
      <c r="AO907" s="303"/>
      <c r="AP907" s="285"/>
      <c r="AQ907" s="258"/>
      <c r="AR907" s="258"/>
    </row>
    <row r="908" spans="10:44" s="48" customFormat="1" hidden="1">
      <c r="J908" s="213"/>
      <c r="K908" s="213"/>
      <c r="L908" s="213"/>
      <c r="M908" s="213"/>
      <c r="N908" s="213"/>
      <c r="O908" s="213"/>
      <c r="P908" s="213"/>
      <c r="Q908" s="213"/>
      <c r="R908" s="213"/>
      <c r="S908" s="213"/>
      <c r="T908" s="213"/>
      <c r="U908" s="213"/>
      <c r="V908" s="213"/>
      <c r="W908" s="213"/>
      <c r="X908" s="213"/>
      <c r="Y908" s="213"/>
      <c r="Z908" s="213"/>
      <c r="AA908" s="213"/>
      <c r="AB908" s="213"/>
      <c r="AC908" s="213"/>
      <c r="AD908" s="213"/>
      <c r="AE908" s="213"/>
      <c r="AF908" s="213"/>
      <c r="AG908" s="213"/>
      <c r="AH908" s="213"/>
      <c r="AI908" s="213"/>
      <c r="AJ908" s="213"/>
      <c r="AK908" s="213"/>
      <c r="AL908" s="213"/>
      <c r="AM908" s="302"/>
      <c r="AN908" s="302"/>
      <c r="AO908" s="303"/>
      <c r="AP908" s="285"/>
      <c r="AQ908" s="258"/>
      <c r="AR908" s="258"/>
    </row>
    <row r="909" spans="10:44" s="48" customFormat="1" hidden="1">
      <c r="J909" s="213"/>
      <c r="K909" s="213"/>
      <c r="L909" s="213"/>
      <c r="M909" s="213"/>
      <c r="N909" s="213"/>
      <c r="O909" s="213"/>
      <c r="P909" s="213"/>
      <c r="Q909" s="213"/>
      <c r="R909" s="213"/>
      <c r="S909" s="213"/>
      <c r="T909" s="213"/>
      <c r="U909" s="213"/>
      <c r="V909" s="213"/>
      <c r="W909" s="213"/>
      <c r="X909" s="213"/>
      <c r="Y909" s="213"/>
      <c r="Z909" s="213"/>
      <c r="AA909" s="213"/>
      <c r="AB909" s="213"/>
      <c r="AC909" s="213"/>
      <c r="AD909" s="213"/>
      <c r="AE909" s="213"/>
      <c r="AF909" s="213"/>
      <c r="AG909" s="213"/>
      <c r="AH909" s="213"/>
      <c r="AI909" s="213"/>
      <c r="AJ909" s="213"/>
      <c r="AK909" s="213"/>
      <c r="AL909" s="213"/>
      <c r="AM909" s="302"/>
      <c r="AN909" s="302"/>
      <c r="AO909" s="303"/>
      <c r="AP909" s="285"/>
      <c r="AQ909" s="258"/>
      <c r="AR909" s="258"/>
    </row>
    <row r="910" spans="10:44" s="48" customFormat="1" hidden="1">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302"/>
      <c r="AN910" s="302"/>
      <c r="AO910" s="303"/>
      <c r="AP910" s="285"/>
      <c r="AQ910" s="258"/>
      <c r="AR910" s="258"/>
    </row>
    <row r="911" spans="10:44" s="48" customFormat="1" hidden="1">
      <c r="J911" s="213"/>
      <c r="K911" s="213"/>
      <c r="L911" s="213"/>
      <c r="M911" s="213"/>
      <c r="N911" s="213"/>
      <c r="O911" s="213"/>
      <c r="P911" s="213"/>
      <c r="Q911" s="213"/>
      <c r="R911" s="213"/>
      <c r="S911" s="213"/>
      <c r="T911" s="213"/>
      <c r="U911" s="213"/>
      <c r="V911" s="213"/>
      <c r="W911" s="213"/>
      <c r="X911" s="213"/>
      <c r="Y911" s="213"/>
      <c r="Z911" s="213"/>
      <c r="AA911" s="213"/>
      <c r="AB911" s="213"/>
      <c r="AC911" s="213"/>
      <c r="AD911" s="213"/>
      <c r="AE911" s="213"/>
      <c r="AF911" s="213"/>
      <c r="AG911" s="213"/>
      <c r="AH911" s="213"/>
      <c r="AI911" s="213"/>
      <c r="AJ911" s="213"/>
      <c r="AK911" s="213"/>
      <c r="AL911" s="213"/>
      <c r="AM911" s="302"/>
      <c r="AN911" s="302"/>
      <c r="AO911" s="303"/>
      <c r="AP911" s="285"/>
      <c r="AQ911" s="258"/>
      <c r="AR911" s="258"/>
    </row>
    <row r="912" spans="10:44" s="48" customFormat="1" hidden="1">
      <c r="J912" s="213"/>
      <c r="K912" s="213"/>
      <c r="L912" s="213"/>
      <c r="M912" s="213"/>
      <c r="N912" s="213"/>
      <c r="O912" s="213"/>
      <c r="P912" s="213"/>
      <c r="Q912" s="213"/>
      <c r="R912" s="213"/>
      <c r="S912" s="213"/>
      <c r="T912" s="213"/>
      <c r="U912" s="213"/>
      <c r="V912" s="213"/>
      <c r="W912" s="213"/>
      <c r="X912" s="213"/>
      <c r="Y912" s="213"/>
      <c r="Z912" s="213"/>
      <c r="AA912" s="213"/>
      <c r="AB912" s="213"/>
      <c r="AC912" s="213"/>
      <c r="AD912" s="213"/>
      <c r="AE912" s="213"/>
      <c r="AF912" s="213"/>
      <c r="AG912" s="213"/>
      <c r="AH912" s="213"/>
      <c r="AI912" s="213"/>
      <c r="AJ912" s="213"/>
      <c r="AK912" s="213"/>
      <c r="AL912" s="213"/>
      <c r="AM912" s="302"/>
      <c r="AN912" s="302"/>
      <c r="AO912" s="303"/>
      <c r="AP912" s="285"/>
      <c r="AQ912" s="258"/>
      <c r="AR912" s="258"/>
    </row>
    <row r="913" spans="10:44" s="48" customFormat="1" hidden="1">
      <c r="J913" s="213"/>
      <c r="K913" s="213"/>
      <c r="L913" s="213"/>
      <c r="M913" s="213"/>
      <c r="N913" s="213"/>
      <c r="O913" s="213"/>
      <c r="P913" s="213"/>
      <c r="Q913" s="213"/>
      <c r="R913" s="213"/>
      <c r="S913" s="213"/>
      <c r="T913" s="213"/>
      <c r="U913" s="213"/>
      <c r="V913" s="213"/>
      <c r="W913" s="213"/>
      <c r="X913" s="213"/>
      <c r="Y913" s="213"/>
      <c r="Z913" s="213"/>
      <c r="AA913" s="213"/>
      <c r="AB913" s="213"/>
      <c r="AC913" s="213"/>
      <c r="AD913" s="213"/>
      <c r="AE913" s="213"/>
      <c r="AF913" s="213"/>
      <c r="AG913" s="213"/>
      <c r="AH913" s="213"/>
      <c r="AI913" s="213"/>
      <c r="AJ913" s="213"/>
      <c r="AK913" s="213"/>
      <c r="AL913" s="213"/>
      <c r="AM913" s="302"/>
      <c r="AN913" s="302"/>
      <c r="AO913" s="303"/>
      <c r="AP913" s="285"/>
      <c r="AQ913" s="258"/>
      <c r="AR913" s="258"/>
    </row>
    <row r="914" spans="10:44" s="48" customFormat="1" hidden="1">
      <c r="J914" s="213"/>
      <c r="K914" s="213"/>
      <c r="L914" s="213"/>
      <c r="M914" s="213"/>
      <c r="N914" s="213"/>
      <c r="O914" s="213"/>
      <c r="P914" s="213"/>
      <c r="Q914" s="213"/>
      <c r="R914" s="213"/>
      <c r="S914" s="213"/>
      <c r="T914" s="213"/>
      <c r="U914" s="213"/>
      <c r="V914" s="213"/>
      <c r="W914" s="213"/>
      <c r="X914" s="213"/>
      <c r="Y914" s="213"/>
      <c r="Z914" s="213"/>
      <c r="AA914" s="213"/>
      <c r="AB914" s="213"/>
      <c r="AC914" s="213"/>
      <c r="AD914" s="213"/>
      <c r="AE914" s="213"/>
      <c r="AF914" s="213"/>
      <c r="AG914" s="213"/>
      <c r="AH914" s="213"/>
      <c r="AI914" s="213"/>
      <c r="AJ914" s="213"/>
      <c r="AK914" s="213"/>
      <c r="AL914" s="213"/>
      <c r="AM914" s="302"/>
      <c r="AN914" s="302"/>
      <c r="AO914" s="303"/>
      <c r="AP914" s="285"/>
      <c r="AQ914" s="258"/>
      <c r="AR914" s="258"/>
    </row>
    <row r="915" spans="10:44" s="48" customFormat="1" hidden="1">
      <c r="J915" s="213"/>
      <c r="K915" s="213"/>
      <c r="L915" s="213"/>
      <c r="M915" s="213"/>
      <c r="N915" s="213"/>
      <c r="O915" s="213"/>
      <c r="P915" s="213"/>
      <c r="Q915" s="213"/>
      <c r="R915" s="213"/>
      <c r="S915" s="213"/>
      <c r="T915" s="213"/>
      <c r="U915" s="213"/>
      <c r="V915" s="213"/>
      <c r="W915" s="213"/>
      <c r="X915" s="213"/>
      <c r="Y915" s="213"/>
      <c r="Z915" s="213"/>
      <c r="AA915" s="213"/>
      <c r="AB915" s="213"/>
      <c r="AC915" s="213"/>
      <c r="AD915" s="213"/>
      <c r="AE915" s="213"/>
      <c r="AF915" s="213"/>
      <c r="AG915" s="213"/>
      <c r="AH915" s="213"/>
      <c r="AI915" s="213"/>
      <c r="AJ915" s="213"/>
      <c r="AK915" s="213"/>
      <c r="AL915" s="213"/>
      <c r="AM915" s="302"/>
      <c r="AN915" s="302"/>
      <c r="AO915" s="303"/>
      <c r="AP915" s="285"/>
      <c r="AQ915" s="258"/>
      <c r="AR915" s="258"/>
    </row>
    <row r="916" spans="10:44" s="48" customFormat="1" hidden="1">
      <c r="J916" s="213"/>
      <c r="K916" s="213"/>
      <c r="L916" s="213"/>
      <c r="M916" s="213"/>
      <c r="N916" s="213"/>
      <c r="O916" s="213"/>
      <c r="P916" s="213"/>
      <c r="Q916" s="213"/>
      <c r="R916" s="213"/>
      <c r="S916" s="213"/>
      <c r="T916" s="213"/>
      <c r="U916" s="213"/>
      <c r="V916" s="213"/>
      <c r="W916" s="213"/>
      <c r="X916" s="213"/>
      <c r="Y916" s="213"/>
      <c r="Z916" s="213"/>
      <c r="AA916" s="213"/>
      <c r="AB916" s="213"/>
      <c r="AC916" s="213"/>
      <c r="AD916" s="213"/>
      <c r="AE916" s="213"/>
      <c r="AF916" s="213"/>
      <c r="AG916" s="213"/>
      <c r="AH916" s="213"/>
      <c r="AI916" s="213"/>
      <c r="AJ916" s="213"/>
      <c r="AK916" s="213"/>
      <c r="AL916" s="213"/>
      <c r="AM916" s="302"/>
      <c r="AN916" s="302"/>
      <c r="AO916" s="303"/>
      <c r="AP916" s="285"/>
      <c r="AQ916" s="258"/>
      <c r="AR916" s="258"/>
    </row>
    <row r="917" spans="10:44" s="48" customFormat="1" hidden="1">
      <c r="J917" s="213"/>
      <c r="K917" s="213"/>
      <c r="L917" s="213"/>
      <c r="M917" s="213"/>
      <c r="N917" s="213"/>
      <c r="O917" s="213"/>
      <c r="P917" s="213"/>
      <c r="Q917" s="213"/>
      <c r="R917" s="213"/>
      <c r="S917" s="213"/>
      <c r="T917" s="213"/>
      <c r="U917" s="213"/>
      <c r="V917" s="213"/>
      <c r="W917" s="213"/>
      <c r="X917" s="213"/>
      <c r="Y917" s="213"/>
      <c r="Z917" s="213"/>
      <c r="AA917" s="213"/>
      <c r="AB917" s="213"/>
      <c r="AC917" s="213"/>
      <c r="AD917" s="213"/>
      <c r="AE917" s="213"/>
      <c r="AF917" s="213"/>
      <c r="AG917" s="213"/>
      <c r="AH917" s="213"/>
      <c r="AI917" s="213"/>
      <c r="AJ917" s="213"/>
      <c r="AK917" s="213"/>
      <c r="AL917" s="213"/>
      <c r="AM917" s="302"/>
      <c r="AN917" s="302"/>
      <c r="AO917" s="303"/>
      <c r="AP917" s="285"/>
      <c r="AQ917" s="258"/>
      <c r="AR917" s="258"/>
    </row>
    <row r="918" spans="10:44" s="48" customFormat="1" hidden="1">
      <c r="J918" s="213"/>
      <c r="K918" s="213"/>
      <c r="L918" s="213"/>
      <c r="M918" s="213"/>
      <c r="N918" s="213"/>
      <c r="O918" s="213"/>
      <c r="P918" s="213"/>
      <c r="Q918" s="213"/>
      <c r="R918" s="213"/>
      <c r="S918" s="213"/>
      <c r="T918" s="213"/>
      <c r="U918" s="213"/>
      <c r="V918" s="213"/>
      <c r="W918" s="213"/>
      <c r="X918" s="213"/>
      <c r="Y918" s="213"/>
      <c r="Z918" s="213"/>
      <c r="AA918" s="213"/>
      <c r="AB918" s="213"/>
      <c r="AC918" s="213"/>
      <c r="AD918" s="213"/>
      <c r="AE918" s="213"/>
      <c r="AF918" s="213"/>
      <c r="AG918" s="213"/>
      <c r="AH918" s="213"/>
      <c r="AI918" s="213"/>
      <c r="AJ918" s="213"/>
      <c r="AK918" s="213"/>
      <c r="AL918" s="213"/>
      <c r="AM918" s="302"/>
      <c r="AN918" s="302"/>
      <c r="AO918" s="303"/>
      <c r="AP918" s="285"/>
      <c r="AQ918" s="258"/>
      <c r="AR918" s="258"/>
    </row>
    <row r="919" spans="10:44" s="48" customFormat="1" hidden="1">
      <c r="J919" s="213"/>
      <c r="K919" s="213"/>
      <c r="L919" s="213"/>
      <c r="M919" s="213"/>
      <c r="N919" s="213"/>
      <c r="O919" s="213"/>
      <c r="P919" s="213"/>
      <c r="Q919" s="213"/>
      <c r="R919" s="213"/>
      <c r="S919" s="213"/>
      <c r="T919" s="213"/>
      <c r="U919" s="213"/>
      <c r="V919" s="213"/>
      <c r="W919" s="213"/>
      <c r="X919" s="213"/>
      <c r="Y919" s="213"/>
      <c r="Z919" s="213"/>
      <c r="AA919" s="213"/>
      <c r="AB919" s="213"/>
      <c r="AC919" s="213"/>
      <c r="AD919" s="213"/>
      <c r="AE919" s="213"/>
      <c r="AF919" s="213"/>
      <c r="AG919" s="213"/>
      <c r="AH919" s="213"/>
      <c r="AI919" s="213"/>
      <c r="AJ919" s="213"/>
      <c r="AK919" s="213"/>
      <c r="AL919" s="213"/>
      <c r="AM919" s="302"/>
      <c r="AN919" s="302"/>
      <c r="AO919" s="303"/>
      <c r="AP919" s="285"/>
      <c r="AQ919" s="258"/>
      <c r="AR919" s="258"/>
    </row>
    <row r="920" spans="10:44" s="48" customFormat="1" hidden="1">
      <c r="J920" s="213"/>
      <c r="K920" s="213"/>
      <c r="L920" s="213"/>
      <c r="M920" s="213"/>
      <c r="N920" s="213"/>
      <c r="O920" s="213"/>
      <c r="P920" s="213"/>
      <c r="Q920" s="213"/>
      <c r="R920" s="213"/>
      <c r="S920" s="213"/>
      <c r="T920" s="213"/>
      <c r="U920" s="213"/>
      <c r="V920" s="213"/>
      <c r="W920" s="213"/>
      <c r="X920" s="213"/>
      <c r="Y920" s="213"/>
      <c r="Z920" s="213"/>
      <c r="AA920" s="213"/>
      <c r="AB920" s="213"/>
      <c r="AC920" s="213"/>
      <c r="AD920" s="213"/>
      <c r="AE920" s="213"/>
      <c r="AF920" s="213"/>
      <c r="AG920" s="213"/>
      <c r="AH920" s="213"/>
      <c r="AI920" s="213"/>
      <c r="AJ920" s="213"/>
      <c r="AK920" s="213"/>
      <c r="AL920" s="213"/>
      <c r="AM920" s="302"/>
      <c r="AN920" s="302"/>
      <c r="AO920" s="303"/>
      <c r="AP920" s="285"/>
      <c r="AQ920" s="258"/>
      <c r="AR920" s="258"/>
    </row>
    <row r="921" spans="10:44" s="48" customFormat="1" hidden="1">
      <c r="J921" s="213"/>
      <c r="K921" s="213"/>
      <c r="L921" s="213"/>
      <c r="M921" s="213"/>
      <c r="N921" s="213"/>
      <c r="O921" s="213"/>
      <c r="P921" s="213"/>
      <c r="Q921" s="213"/>
      <c r="R921" s="213"/>
      <c r="S921" s="213"/>
      <c r="T921" s="213"/>
      <c r="U921" s="213"/>
      <c r="V921" s="213"/>
      <c r="W921" s="213"/>
      <c r="X921" s="213"/>
      <c r="Y921" s="213"/>
      <c r="Z921" s="213"/>
      <c r="AA921" s="213"/>
      <c r="AB921" s="213"/>
      <c r="AC921" s="213"/>
      <c r="AD921" s="213"/>
      <c r="AE921" s="213"/>
      <c r="AF921" s="213"/>
      <c r="AG921" s="213"/>
      <c r="AH921" s="213"/>
      <c r="AI921" s="213"/>
      <c r="AJ921" s="213"/>
      <c r="AK921" s="213"/>
      <c r="AL921" s="213"/>
      <c r="AM921" s="302"/>
      <c r="AN921" s="302"/>
      <c r="AO921" s="303"/>
      <c r="AP921" s="285"/>
      <c r="AQ921" s="258"/>
      <c r="AR921" s="258"/>
    </row>
    <row r="922" spans="10:44" s="48" customFormat="1" hidden="1">
      <c r="J922" s="213"/>
      <c r="K922" s="213"/>
      <c r="L922" s="213"/>
      <c r="M922" s="213"/>
      <c r="N922" s="213"/>
      <c r="O922" s="213"/>
      <c r="P922" s="213"/>
      <c r="Q922" s="213"/>
      <c r="R922" s="213"/>
      <c r="S922" s="213"/>
      <c r="T922" s="213"/>
      <c r="U922" s="213"/>
      <c r="V922" s="213"/>
      <c r="W922" s="213"/>
      <c r="X922" s="213"/>
      <c r="Y922" s="213"/>
      <c r="Z922" s="213"/>
      <c r="AA922" s="213"/>
      <c r="AB922" s="213"/>
      <c r="AC922" s="213"/>
      <c r="AD922" s="213"/>
      <c r="AE922" s="213"/>
      <c r="AF922" s="213"/>
      <c r="AG922" s="213"/>
      <c r="AH922" s="213"/>
      <c r="AI922" s="213"/>
      <c r="AJ922" s="213"/>
      <c r="AK922" s="213"/>
      <c r="AL922" s="213"/>
      <c r="AM922" s="302"/>
      <c r="AN922" s="302"/>
      <c r="AO922" s="303"/>
      <c r="AP922" s="285"/>
      <c r="AQ922" s="258"/>
      <c r="AR922" s="258"/>
    </row>
    <row r="923" spans="10:44" s="48" customFormat="1" hidden="1">
      <c r="J923" s="213"/>
      <c r="K923" s="213"/>
      <c r="L923" s="213"/>
      <c r="M923" s="213"/>
      <c r="N923" s="213"/>
      <c r="O923" s="213"/>
      <c r="P923" s="213"/>
      <c r="Q923" s="213"/>
      <c r="R923" s="213"/>
      <c r="S923" s="213"/>
      <c r="T923" s="213"/>
      <c r="U923" s="213"/>
      <c r="V923" s="213"/>
      <c r="W923" s="213"/>
      <c r="X923" s="213"/>
      <c r="Y923" s="213"/>
      <c r="Z923" s="213"/>
      <c r="AA923" s="213"/>
      <c r="AB923" s="213"/>
      <c r="AC923" s="213"/>
      <c r="AD923" s="213"/>
      <c r="AE923" s="213"/>
      <c r="AF923" s="213"/>
      <c r="AG923" s="213"/>
      <c r="AH923" s="213"/>
      <c r="AI923" s="213"/>
      <c r="AJ923" s="213"/>
      <c r="AK923" s="213"/>
      <c r="AL923" s="213"/>
      <c r="AM923" s="302"/>
      <c r="AN923" s="302"/>
      <c r="AO923" s="303"/>
      <c r="AP923" s="285"/>
      <c r="AQ923" s="258"/>
      <c r="AR923" s="258"/>
    </row>
    <row r="924" spans="10:44" s="48" customFormat="1" hidden="1">
      <c r="J924" s="213"/>
      <c r="K924" s="213"/>
      <c r="L924" s="213"/>
      <c r="M924" s="213"/>
      <c r="N924" s="213"/>
      <c r="O924" s="213"/>
      <c r="P924" s="213"/>
      <c r="Q924" s="213"/>
      <c r="R924" s="213"/>
      <c r="S924" s="213"/>
      <c r="T924" s="213"/>
      <c r="U924" s="213"/>
      <c r="V924" s="213"/>
      <c r="W924" s="213"/>
      <c r="X924" s="213"/>
      <c r="Y924" s="213"/>
      <c r="Z924" s="213"/>
      <c r="AA924" s="213"/>
      <c r="AB924" s="213"/>
      <c r="AC924" s="213"/>
      <c r="AD924" s="213"/>
      <c r="AE924" s="213"/>
      <c r="AF924" s="213"/>
      <c r="AG924" s="213"/>
      <c r="AH924" s="213"/>
      <c r="AI924" s="213"/>
      <c r="AJ924" s="213"/>
      <c r="AK924" s="213"/>
      <c r="AL924" s="213"/>
      <c r="AM924" s="302"/>
      <c r="AN924" s="302"/>
      <c r="AO924" s="303"/>
      <c r="AP924" s="285"/>
      <c r="AQ924" s="258"/>
      <c r="AR924" s="258"/>
    </row>
    <row r="925" spans="10:44" s="48" customFormat="1" hidden="1">
      <c r="J925" s="213"/>
      <c r="K925" s="213"/>
      <c r="L925" s="213"/>
      <c r="M925" s="213"/>
      <c r="N925" s="213"/>
      <c r="O925" s="213"/>
      <c r="P925" s="213"/>
      <c r="Q925" s="213"/>
      <c r="R925" s="213"/>
      <c r="S925" s="213"/>
      <c r="T925" s="213"/>
      <c r="U925" s="213"/>
      <c r="V925" s="213"/>
      <c r="W925" s="213"/>
      <c r="X925" s="213"/>
      <c r="Y925" s="213"/>
      <c r="Z925" s="213"/>
      <c r="AA925" s="213"/>
      <c r="AB925" s="213"/>
      <c r="AC925" s="213"/>
      <c r="AD925" s="213"/>
      <c r="AE925" s="213"/>
      <c r="AF925" s="213"/>
      <c r="AG925" s="213"/>
      <c r="AH925" s="213"/>
      <c r="AI925" s="213"/>
      <c r="AJ925" s="213"/>
      <c r="AK925" s="213"/>
      <c r="AL925" s="213"/>
      <c r="AM925" s="302"/>
      <c r="AN925" s="302"/>
      <c r="AO925" s="303"/>
      <c r="AP925" s="285"/>
      <c r="AQ925" s="258"/>
      <c r="AR925" s="258"/>
    </row>
    <row r="926" spans="10:44" s="48" customFormat="1" hidden="1">
      <c r="J926" s="213"/>
      <c r="K926" s="213"/>
      <c r="L926" s="213"/>
      <c r="M926" s="213"/>
      <c r="N926" s="213"/>
      <c r="O926" s="213"/>
      <c r="P926" s="213"/>
      <c r="Q926" s="213"/>
      <c r="R926" s="213"/>
      <c r="S926" s="213"/>
      <c r="T926" s="213"/>
      <c r="U926" s="213"/>
      <c r="V926" s="213"/>
      <c r="W926" s="213"/>
      <c r="X926" s="213"/>
      <c r="Y926" s="213"/>
      <c r="Z926" s="213"/>
      <c r="AA926" s="213"/>
      <c r="AB926" s="213"/>
      <c r="AC926" s="213"/>
      <c r="AD926" s="213"/>
      <c r="AE926" s="213"/>
      <c r="AF926" s="213"/>
      <c r="AG926" s="213"/>
      <c r="AH926" s="213"/>
      <c r="AI926" s="213"/>
      <c r="AJ926" s="213"/>
      <c r="AK926" s="213"/>
      <c r="AL926" s="213"/>
      <c r="AM926" s="302"/>
      <c r="AN926" s="302"/>
      <c r="AO926" s="303"/>
      <c r="AP926" s="285"/>
      <c r="AQ926" s="258"/>
      <c r="AR926" s="258"/>
    </row>
    <row r="927" spans="10:44" s="48" customFormat="1" hidden="1">
      <c r="J927" s="213"/>
      <c r="K927" s="213"/>
      <c r="L927" s="213"/>
      <c r="M927" s="213"/>
      <c r="N927" s="213"/>
      <c r="O927" s="213"/>
      <c r="P927" s="213"/>
      <c r="Q927" s="213"/>
      <c r="R927" s="213"/>
      <c r="S927" s="213"/>
      <c r="T927" s="213"/>
      <c r="U927" s="213"/>
      <c r="V927" s="213"/>
      <c r="W927" s="213"/>
      <c r="X927" s="213"/>
      <c r="Y927" s="213"/>
      <c r="Z927" s="213"/>
      <c r="AA927" s="213"/>
      <c r="AB927" s="213"/>
      <c r="AC927" s="213"/>
      <c r="AD927" s="213"/>
      <c r="AE927" s="213"/>
      <c r="AF927" s="213"/>
      <c r="AG927" s="213"/>
      <c r="AH927" s="213"/>
      <c r="AI927" s="213"/>
      <c r="AJ927" s="213"/>
      <c r="AK927" s="213"/>
      <c r="AL927" s="213"/>
      <c r="AM927" s="302"/>
      <c r="AN927" s="302"/>
      <c r="AO927" s="303"/>
      <c r="AP927" s="285"/>
      <c r="AQ927" s="258"/>
      <c r="AR927" s="258"/>
    </row>
    <row r="928" spans="10:44" s="48" customFormat="1" hidden="1">
      <c r="J928" s="213"/>
      <c r="K928" s="213"/>
      <c r="L928" s="213"/>
      <c r="M928" s="213"/>
      <c r="N928" s="213"/>
      <c r="O928" s="213"/>
      <c r="P928" s="213"/>
      <c r="Q928" s="213"/>
      <c r="R928" s="213"/>
      <c r="S928" s="213"/>
      <c r="T928" s="213"/>
      <c r="U928" s="213"/>
      <c r="V928" s="213"/>
      <c r="W928" s="213"/>
      <c r="X928" s="213"/>
      <c r="Y928" s="213"/>
      <c r="Z928" s="213"/>
      <c r="AA928" s="213"/>
      <c r="AB928" s="213"/>
      <c r="AC928" s="213"/>
      <c r="AD928" s="213"/>
      <c r="AE928" s="213"/>
      <c r="AF928" s="213"/>
      <c r="AG928" s="213"/>
      <c r="AH928" s="213"/>
      <c r="AI928" s="213"/>
      <c r="AJ928" s="213"/>
      <c r="AK928" s="213"/>
      <c r="AL928" s="213"/>
      <c r="AM928" s="302"/>
      <c r="AN928" s="302"/>
      <c r="AO928" s="303"/>
      <c r="AP928" s="285"/>
      <c r="AQ928" s="258"/>
      <c r="AR928" s="258"/>
    </row>
    <row r="929" spans="10:44" s="48" customFormat="1" hidden="1">
      <c r="J929" s="213"/>
      <c r="K929" s="213"/>
      <c r="L929" s="213"/>
      <c r="M929" s="213"/>
      <c r="N929" s="213"/>
      <c r="O929" s="213"/>
      <c r="P929" s="213"/>
      <c r="Q929" s="213"/>
      <c r="R929" s="213"/>
      <c r="S929" s="213"/>
      <c r="T929" s="213"/>
      <c r="U929" s="213"/>
      <c r="V929" s="213"/>
      <c r="W929" s="213"/>
      <c r="X929" s="213"/>
      <c r="Y929" s="213"/>
      <c r="Z929" s="213"/>
      <c r="AA929" s="213"/>
      <c r="AB929" s="213"/>
      <c r="AC929" s="213"/>
      <c r="AD929" s="213"/>
      <c r="AE929" s="213"/>
      <c r="AF929" s="213"/>
      <c r="AG929" s="213"/>
      <c r="AH929" s="213"/>
      <c r="AI929" s="213"/>
      <c r="AJ929" s="213"/>
      <c r="AK929" s="213"/>
      <c r="AL929" s="213"/>
      <c r="AM929" s="302"/>
      <c r="AN929" s="302"/>
      <c r="AO929" s="303"/>
      <c r="AP929" s="285"/>
      <c r="AQ929" s="258"/>
      <c r="AR929" s="258"/>
    </row>
    <row r="930" spans="10:44" s="48" customFormat="1" hidden="1">
      <c r="J930" s="213"/>
      <c r="K930" s="213"/>
      <c r="L930" s="213"/>
      <c r="M930" s="213"/>
      <c r="N930" s="213"/>
      <c r="O930" s="213"/>
      <c r="P930" s="213"/>
      <c r="Q930" s="213"/>
      <c r="R930" s="213"/>
      <c r="S930" s="213"/>
      <c r="T930" s="213"/>
      <c r="U930" s="213"/>
      <c r="V930" s="213"/>
      <c r="W930" s="213"/>
      <c r="X930" s="213"/>
      <c r="Y930" s="213"/>
      <c r="Z930" s="213"/>
      <c r="AA930" s="213"/>
      <c r="AB930" s="213"/>
      <c r="AC930" s="213"/>
      <c r="AD930" s="213"/>
      <c r="AE930" s="213"/>
      <c r="AF930" s="213"/>
      <c r="AG930" s="213"/>
      <c r="AH930" s="213"/>
      <c r="AI930" s="213"/>
      <c r="AJ930" s="213"/>
      <c r="AK930" s="213"/>
      <c r="AL930" s="213"/>
      <c r="AM930" s="302"/>
      <c r="AN930" s="302"/>
      <c r="AO930" s="303"/>
      <c r="AP930" s="285"/>
      <c r="AQ930" s="258"/>
      <c r="AR930" s="258"/>
    </row>
    <row r="931" spans="10:44" s="48" customFormat="1" hidden="1">
      <c r="J931" s="213"/>
      <c r="K931" s="213"/>
      <c r="L931" s="213"/>
      <c r="M931" s="213"/>
      <c r="N931" s="213"/>
      <c r="O931" s="213"/>
      <c r="P931" s="213"/>
      <c r="Q931" s="213"/>
      <c r="R931" s="213"/>
      <c r="S931" s="213"/>
      <c r="T931" s="213"/>
      <c r="U931" s="213"/>
      <c r="V931" s="213"/>
      <c r="W931" s="213"/>
      <c r="X931" s="213"/>
      <c r="Y931" s="213"/>
      <c r="Z931" s="213"/>
      <c r="AA931" s="213"/>
      <c r="AB931" s="213"/>
      <c r="AC931" s="213"/>
      <c r="AD931" s="213"/>
      <c r="AE931" s="213"/>
      <c r="AF931" s="213"/>
      <c r="AG931" s="213"/>
      <c r="AH931" s="213"/>
      <c r="AI931" s="213"/>
      <c r="AJ931" s="213"/>
      <c r="AK931" s="213"/>
      <c r="AL931" s="213"/>
      <c r="AM931" s="302"/>
      <c r="AN931" s="302"/>
      <c r="AO931" s="303"/>
      <c r="AP931" s="285"/>
      <c r="AQ931" s="258"/>
      <c r="AR931" s="258"/>
    </row>
    <row r="932" spans="10:44" s="48" customFormat="1" hidden="1">
      <c r="J932" s="213"/>
      <c r="K932" s="213"/>
      <c r="L932" s="213"/>
      <c r="M932" s="213"/>
      <c r="N932" s="213"/>
      <c r="O932" s="213"/>
      <c r="P932" s="213"/>
      <c r="Q932" s="213"/>
      <c r="R932" s="213"/>
      <c r="S932" s="213"/>
      <c r="T932" s="213"/>
      <c r="U932" s="213"/>
      <c r="V932" s="213"/>
      <c r="W932" s="213"/>
      <c r="X932" s="213"/>
      <c r="Y932" s="213"/>
      <c r="Z932" s="213"/>
      <c r="AA932" s="213"/>
      <c r="AB932" s="213"/>
      <c r="AC932" s="213"/>
      <c r="AD932" s="213"/>
      <c r="AE932" s="213"/>
      <c r="AF932" s="213"/>
      <c r="AG932" s="213"/>
      <c r="AH932" s="213"/>
      <c r="AI932" s="213"/>
      <c r="AJ932" s="213"/>
      <c r="AK932" s="213"/>
      <c r="AL932" s="213"/>
      <c r="AM932" s="302"/>
      <c r="AN932" s="302"/>
      <c r="AO932" s="303"/>
      <c r="AP932" s="285"/>
      <c r="AQ932" s="258"/>
      <c r="AR932" s="258"/>
    </row>
    <row r="933" spans="10:44" s="48" customFormat="1" hidden="1">
      <c r="J933" s="213"/>
      <c r="K933" s="213"/>
      <c r="L933" s="213"/>
      <c r="M933" s="213"/>
      <c r="N933" s="213"/>
      <c r="O933" s="213"/>
      <c r="P933" s="213"/>
      <c r="Q933" s="213"/>
      <c r="R933" s="213"/>
      <c r="S933" s="213"/>
      <c r="T933" s="213"/>
      <c r="U933" s="213"/>
      <c r="V933" s="213"/>
      <c r="W933" s="213"/>
      <c r="X933" s="213"/>
      <c r="Y933" s="213"/>
      <c r="Z933" s="213"/>
      <c r="AA933" s="213"/>
      <c r="AB933" s="213"/>
      <c r="AC933" s="213"/>
      <c r="AD933" s="213"/>
      <c r="AE933" s="213"/>
      <c r="AF933" s="213"/>
      <c r="AG933" s="213"/>
      <c r="AH933" s="213"/>
      <c r="AI933" s="213"/>
      <c r="AJ933" s="213"/>
      <c r="AK933" s="213"/>
      <c r="AL933" s="213"/>
      <c r="AM933" s="302"/>
      <c r="AN933" s="302"/>
      <c r="AO933" s="303"/>
      <c r="AP933" s="285"/>
      <c r="AQ933" s="258"/>
      <c r="AR933" s="258"/>
    </row>
    <row r="934" spans="10:44" s="48" customFormat="1" hidden="1">
      <c r="J934" s="213"/>
      <c r="K934" s="213"/>
      <c r="L934" s="213"/>
      <c r="M934" s="213"/>
      <c r="N934" s="213"/>
      <c r="O934" s="213"/>
      <c r="P934" s="213"/>
      <c r="Q934" s="213"/>
      <c r="R934" s="213"/>
      <c r="S934" s="213"/>
      <c r="T934" s="213"/>
      <c r="U934" s="213"/>
      <c r="V934" s="213"/>
      <c r="W934" s="213"/>
      <c r="X934" s="213"/>
      <c r="Y934" s="213"/>
      <c r="Z934" s="213"/>
      <c r="AA934" s="213"/>
      <c r="AB934" s="213"/>
      <c r="AC934" s="213"/>
      <c r="AD934" s="213"/>
      <c r="AE934" s="213"/>
      <c r="AF934" s="213"/>
      <c r="AG934" s="213"/>
      <c r="AH934" s="213"/>
      <c r="AI934" s="213"/>
      <c r="AJ934" s="213"/>
      <c r="AK934" s="213"/>
      <c r="AL934" s="213"/>
      <c r="AM934" s="302"/>
      <c r="AN934" s="302"/>
      <c r="AO934" s="303"/>
      <c r="AP934" s="285"/>
      <c r="AQ934" s="258"/>
      <c r="AR934" s="258"/>
    </row>
    <row r="935" spans="10:44" s="48" customFormat="1" hidden="1">
      <c r="J935" s="213"/>
      <c r="K935" s="213"/>
      <c r="L935" s="213"/>
      <c r="M935" s="213"/>
      <c r="N935" s="213"/>
      <c r="O935" s="213"/>
      <c r="P935" s="213"/>
      <c r="Q935" s="213"/>
      <c r="R935" s="213"/>
      <c r="S935" s="213"/>
      <c r="T935" s="213"/>
      <c r="U935" s="213"/>
      <c r="V935" s="213"/>
      <c r="W935" s="213"/>
      <c r="X935" s="213"/>
      <c r="Y935" s="213"/>
      <c r="Z935" s="213"/>
      <c r="AA935" s="213"/>
      <c r="AB935" s="213"/>
      <c r="AC935" s="213"/>
      <c r="AD935" s="213"/>
      <c r="AE935" s="213"/>
      <c r="AF935" s="213"/>
      <c r="AG935" s="213"/>
      <c r="AH935" s="213"/>
      <c r="AI935" s="213"/>
      <c r="AJ935" s="213"/>
      <c r="AK935" s="213"/>
      <c r="AL935" s="213"/>
      <c r="AM935" s="302"/>
      <c r="AN935" s="302"/>
      <c r="AO935" s="303"/>
      <c r="AP935" s="285"/>
      <c r="AQ935" s="258"/>
      <c r="AR935" s="258"/>
    </row>
    <row r="936" spans="10:44" s="48" customFormat="1" hidden="1">
      <c r="J936" s="213"/>
      <c r="K936" s="213"/>
      <c r="L936" s="213"/>
      <c r="M936" s="213"/>
      <c r="N936" s="213"/>
      <c r="O936" s="213"/>
      <c r="P936" s="213"/>
      <c r="Q936" s="213"/>
      <c r="R936" s="213"/>
      <c r="S936" s="213"/>
      <c r="T936" s="213"/>
      <c r="U936" s="213"/>
      <c r="V936" s="213"/>
      <c r="W936" s="213"/>
      <c r="X936" s="213"/>
      <c r="Y936" s="213"/>
      <c r="Z936" s="213"/>
      <c r="AA936" s="213"/>
      <c r="AB936" s="213"/>
      <c r="AC936" s="213"/>
      <c r="AD936" s="213"/>
      <c r="AE936" s="213"/>
      <c r="AF936" s="213"/>
      <c r="AG936" s="213"/>
      <c r="AH936" s="213"/>
      <c r="AI936" s="213"/>
      <c r="AJ936" s="213"/>
      <c r="AK936" s="213"/>
      <c r="AL936" s="213"/>
      <c r="AM936" s="302"/>
      <c r="AN936" s="302"/>
      <c r="AO936" s="303"/>
      <c r="AP936" s="285"/>
      <c r="AQ936" s="258"/>
      <c r="AR936" s="258"/>
    </row>
    <row r="937" spans="10:44" s="48" customFormat="1" hidden="1">
      <c r="J937" s="213"/>
      <c r="K937" s="213"/>
      <c r="L937" s="213"/>
      <c r="M937" s="213"/>
      <c r="N937" s="213"/>
      <c r="O937" s="213"/>
      <c r="P937" s="213"/>
      <c r="Q937" s="213"/>
      <c r="R937" s="213"/>
      <c r="S937" s="213"/>
      <c r="T937" s="213"/>
      <c r="U937" s="213"/>
      <c r="V937" s="213"/>
      <c r="W937" s="213"/>
      <c r="X937" s="213"/>
      <c r="Y937" s="213"/>
      <c r="Z937" s="213"/>
      <c r="AA937" s="213"/>
      <c r="AB937" s="213"/>
      <c r="AC937" s="213"/>
      <c r="AD937" s="213"/>
      <c r="AE937" s="213"/>
      <c r="AF937" s="213"/>
      <c r="AG937" s="213"/>
      <c r="AH937" s="213"/>
      <c r="AI937" s="213"/>
      <c r="AJ937" s="213"/>
      <c r="AK937" s="213"/>
      <c r="AL937" s="213"/>
      <c r="AM937" s="302"/>
      <c r="AN937" s="302"/>
      <c r="AO937" s="303"/>
      <c r="AP937" s="285"/>
      <c r="AQ937" s="258"/>
      <c r="AR937" s="258"/>
    </row>
    <row r="938" spans="10:44" s="48" customFormat="1" hidden="1">
      <c r="J938" s="213"/>
      <c r="K938" s="213"/>
      <c r="L938" s="213"/>
      <c r="M938" s="213"/>
      <c r="N938" s="213"/>
      <c r="O938" s="213"/>
      <c r="P938" s="213"/>
      <c r="Q938" s="213"/>
      <c r="R938" s="213"/>
      <c r="S938" s="213"/>
      <c r="T938" s="213"/>
      <c r="U938" s="213"/>
      <c r="V938" s="213"/>
      <c r="W938" s="213"/>
      <c r="X938" s="213"/>
      <c r="Y938" s="213"/>
      <c r="Z938" s="213"/>
      <c r="AA938" s="213"/>
      <c r="AB938" s="213"/>
      <c r="AC938" s="213"/>
      <c r="AD938" s="213"/>
      <c r="AE938" s="213"/>
      <c r="AF938" s="213"/>
      <c r="AG938" s="213"/>
      <c r="AH938" s="213"/>
      <c r="AI938" s="213"/>
      <c r="AJ938" s="213"/>
      <c r="AK938" s="213"/>
      <c r="AL938" s="213"/>
      <c r="AM938" s="302"/>
      <c r="AN938" s="302"/>
      <c r="AO938" s="303"/>
      <c r="AP938" s="285"/>
      <c r="AQ938" s="258"/>
      <c r="AR938" s="258"/>
    </row>
    <row r="939" spans="10:44" s="48" customFormat="1" hidden="1">
      <c r="J939" s="213"/>
      <c r="K939" s="213"/>
      <c r="L939" s="213"/>
      <c r="M939" s="213"/>
      <c r="N939" s="213"/>
      <c r="O939" s="213"/>
      <c r="P939" s="213"/>
      <c r="Q939" s="213"/>
      <c r="R939" s="213"/>
      <c r="S939" s="213"/>
      <c r="T939" s="213"/>
      <c r="U939" s="213"/>
      <c r="V939" s="213"/>
      <c r="W939" s="213"/>
      <c r="X939" s="213"/>
      <c r="Y939" s="213"/>
      <c r="Z939" s="213"/>
      <c r="AA939" s="213"/>
      <c r="AB939" s="213"/>
      <c r="AC939" s="213"/>
      <c r="AD939" s="213"/>
      <c r="AE939" s="213"/>
      <c r="AF939" s="213"/>
      <c r="AG939" s="213"/>
      <c r="AH939" s="213"/>
      <c r="AI939" s="213"/>
      <c r="AJ939" s="213"/>
      <c r="AK939" s="213"/>
      <c r="AL939" s="213"/>
      <c r="AM939" s="302"/>
      <c r="AN939" s="302"/>
      <c r="AO939" s="303"/>
      <c r="AP939" s="285"/>
      <c r="AQ939" s="258"/>
      <c r="AR939" s="258"/>
    </row>
    <row r="940" spans="10:44" s="48" customFormat="1" hidden="1">
      <c r="J940" s="213"/>
      <c r="K940" s="213"/>
      <c r="L940" s="213"/>
      <c r="M940" s="213"/>
      <c r="N940" s="213"/>
      <c r="O940" s="213"/>
      <c r="P940" s="213"/>
      <c r="Q940" s="213"/>
      <c r="R940" s="213"/>
      <c r="S940" s="213"/>
      <c r="T940" s="213"/>
      <c r="U940" s="213"/>
      <c r="V940" s="213"/>
      <c r="W940" s="213"/>
      <c r="X940" s="213"/>
      <c r="Y940" s="213"/>
      <c r="Z940" s="213"/>
      <c r="AA940" s="213"/>
      <c r="AB940" s="213"/>
      <c r="AC940" s="213"/>
      <c r="AD940" s="213"/>
      <c r="AE940" s="213"/>
      <c r="AF940" s="213"/>
      <c r="AG940" s="213"/>
      <c r="AH940" s="213"/>
      <c r="AI940" s="213"/>
      <c r="AJ940" s="213"/>
      <c r="AK940" s="213"/>
      <c r="AL940" s="213"/>
      <c r="AM940" s="302"/>
      <c r="AN940" s="302"/>
      <c r="AO940" s="303"/>
      <c r="AP940" s="285"/>
      <c r="AQ940" s="258"/>
      <c r="AR940" s="258"/>
    </row>
    <row r="941" spans="10:44" s="48" customFormat="1" hidden="1">
      <c r="J941" s="213"/>
      <c r="K941" s="213"/>
      <c r="L941" s="213"/>
      <c r="M941" s="213"/>
      <c r="N941" s="213"/>
      <c r="O941" s="213"/>
      <c r="P941" s="213"/>
      <c r="Q941" s="213"/>
      <c r="R941" s="213"/>
      <c r="S941" s="213"/>
      <c r="T941" s="213"/>
      <c r="U941" s="213"/>
      <c r="V941" s="213"/>
      <c r="W941" s="213"/>
      <c r="X941" s="213"/>
      <c r="Y941" s="213"/>
      <c r="Z941" s="213"/>
      <c r="AA941" s="213"/>
      <c r="AB941" s="213"/>
      <c r="AC941" s="213"/>
      <c r="AD941" s="213"/>
      <c r="AE941" s="213"/>
      <c r="AF941" s="213"/>
      <c r="AG941" s="213"/>
      <c r="AH941" s="213"/>
      <c r="AI941" s="213"/>
      <c r="AJ941" s="213"/>
      <c r="AK941" s="213"/>
      <c r="AL941" s="213"/>
      <c r="AM941" s="302"/>
      <c r="AN941" s="302"/>
      <c r="AO941" s="303"/>
      <c r="AP941" s="285"/>
      <c r="AQ941" s="258"/>
      <c r="AR941" s="258"/>
    </row>
    <row r="942" spans="10:44" s="48" customFormat="1" hidden="1">
      <c r="J942" s="213"/>
      <c r="K942" s="213"/>
      <c r="L942" s="213"/>
      <c r="M942" s="213"/>
      <c r="N942" s="213"/>
      <c r="O942" s="213"/>
      <c r="P942" s="213"/>
      <c r="Q942" s="213"/>
      <c r="R942" s="213"/>
      <c r="S942" s="213"/>
      <c r="T942" s="213"/>
      <c r="U942" s="213"/>
      <c r="V942" s="213"/>
      <c r="W942" s="213"/>
      <c r="X942" s="213"/>
      <c r="Y942" s="213"/>
      <c r="Z942" s="213"/>
      <c r="AA942" s="213"/>
      <c r="AB942" s="213"/>
      <c r="AC942" s="213"/>
      <c r="AD942" s="213"/>
      <c r="AE942" s="213"/>
      <c r="AF942" s="213"/>
      <c r="AG942" s="213"/>
      <c r="AH942" s="213"/>
      <c r="AI942" s="213"/>
      <c r="AJ942" s="213"/>
      <c r="AK942" s="213"/>
      <c r="AL942" s="213"/>
      <c r="AM942" s="302"/>
      <c r="AN942" s="302"/>
      <c r="AO942" s="303"/>
      <c r="AP942" s="285"/>
      <c r="AQ942" s="258"/>
      <c r="AR942" s="258"/>
    </row>
    <row r="943" spans="10:44" s="48" customFormat="1" hidden="1">
      <c r="J943" s="213"/>
      <c r="K943" s="213"/>
      <c r="L943" s="213"/>
      <c r="M943" s="213"/>
      <c r="N943" s="213"/>
      <c r="O943" s="213"/>
      <c r="P943" s="213"/>
      <c r="Q943" s="213"/>
      <c r="R943" s="213"/>
      <c r="S943" s="213"/>
      <c r="T943" s="213"/>
      <c r="U943" s="213"/>
      <c r="V943" s="213"/>
      <c r="W943" s="213"/>
      <c r="X943" s="213"/>
      <c r="Y943" s="213"/>
      <c r="Z943" s="213"/>
      <c r="AA943" s="213"/>
      <c r="AB943" s="213"/>
      <c r="AC943" s="213"/>
      <c r="AD943" s="213"/>
      <c r="AE943" s="213"/>
      <c r="AF943" s="213"/>
      <c r="AG943" s="213"/>
      <c r="AH943" s="213"/>
      <c r="AI943" s="213"/>
      <c r="AJ943" s="213"/>
      <c r="AK943" s="213"/>
      <c r="AL943" s="213"/>
      <c r="AM943" s="302"/>
      <c r="AN943" s="302"/>
      <c r="AO943" s="303"/>
      <c r="AP943" s="285"/>
      <c r="AQ943" s="258"/>
      <c r="AR943" s="258"/>
    </row>
    <row r="944" spans="10:44" s="48" customFormat="1" hidden="1">
      <c r="J944" s="213"/>
      <c r="K944" s="213"/>
      <c r="L944" s="213"/>
      <c r="M944" s="213"/>
      <c r="N944" s="213"/>
      <c r="O944" s="213"/>
      <c r="P944" s="213"/>
      <c r="Q944" s="213"/>
      <c r="R944" s="213"/>
      <c r="S944" s="213"/>
      <c r="T944" s="213"/>
      <c r="U944" s="213"/>
      <c r="V944" s="213"/>
      <c r="W944" s="213"/>
      <c r="X944" s="213"/>
      <c r="Y944" s="213"/>
      <c r="Z944" s="213"/>
      <c r="AA944" s="213"/>
      <c r="AB944" s="213"/>
      <c r="AC944" s="213"/>
      <c r="AD944" s="213"/>
      <c r="AE944" s="213"/>
      <c r="AF944" s="213"/>
      <c r="AG944" s="213"/>
      <c r="AH944" s="213"/>
      <c r="AI944" s="213"/>
      <c r="AJ944" s="213"/>
      <c r="AK944" s="213"/>
      <c r="AL944" s="213"/>
      <c r="AM944" s="302"/>
      <c r="AN944" s="302"/>
      <c r="AO944" s="303"/>
      <c r="AP944" s="285"/>
      <c r="AQ944" s="258"/>
      <c r="AR944" s="258"/>
    </row>
    <row r="945" spans="10:44" s="48" customFormat="1" hidden="1">
      <c r="J945" s="213"/>
      <c r="K945" s="213"/>
      <c r="L945" s="213"/>
      <c r="M945" s="213"/>
      <c r="N945" s="213"/>
      <c r="O945" s="213"/>
      <c r="P945" s="213"/>
      <c r="Q945" s="213"/>
      <c r="R945" s="213"/>
      <c r="S945" s="213"/>
      <c r="T945" s="213"/>
      <c r="U945" s="213"/>
      <c r="V945" s="213"/>
      <c r="W945" s="213"/>
      <c r="X945" s="213"/>
      <c r="Y945" s="213"/>
      <c r="Z945" s="213"/>
      <c r="AA945" s="213"/>
      <c r="AB945" s="213"/>
      <c r="AC945" s="213"/>
      <c r="AD945" s="213"/>
      <c r="AE945" s="213"/>
      <c r="AF945" s="213"/>
      <c r="AG945" s="213"/>
      <c r="AH945" s="213"/>
      <c r="AI945" s="213"/>
      <c r="AJ945" s="213"/>
      <c r="AK945" s="213"/>
      <c r="AL945" s="213"/>
      <c r="AM945" s="302"/>
      <c r="AN945" s="302"/>
      <c r="AO945" s="303"/>
      <c r="AP945" s="285"/>
      <c r="AQ945" s="258"/>
      <c r="AR945" s="258"/>
    </row>
    <row r="946" spans="10:44" s="48" customFormat="1" hidden="1">
      <c r="J946" s="213"/>
      <c r="K946" s="213"/>
      <c r="L946" s="213"/>
      <c r="M946" s="213"/>
      <c r="N946" s="213"/>
      <c r="O946" s="213"/>
      <c r="P946" s="213"/>
      <c r="Q946" s="213"/>
      <c r="R946" s="213"/>
      <c r="S946" s="213"/>
      <c r="T946" s="213"/>
      <c r="U946" s="213"/>
      <c r="V946" s="213"/>
      <c r="W946" s="213"/>
      <c r="X946" s="213"/>
      <c r="Y946" s="213"/>
      <c r="Z946" s="213"/>
      <c r="AA946" s="213"/>
      <c r="AB946" s="213"/>
      <c r="AC946" s="213"/>
      <c r="AD946" s="213"/>
      <c r="AE946" s="213"/>
      <c r="AF946" s="213"/>
      <c r="AG946" s="213"/>
      <c r="AH946" s="213"/>
      <c r="AI946" s="213"/>
      <c r="AJ946" s="213"/>
      <c r="AK946" s="213"/>
      <c r="AL946" s="213"/>
      <c r="AM946" s="302"/>
      <c r="AN946" s="302"/>
      <c r="AO946" s="303"/>
      <c r="AP946" s="285"/>
      <c r="AQ946" s="258"/>
      <c r="AR946" s="258"/>
    </row>
    <row r="947" spans="10:44" s="48" customFormat="1" hidden="1">
      <c r="J947" s="213"/>
      <c r="K947" s="213"/>
      <c r="L947" s="213"/>
      <c r="M947" s="213"/>
      <c r="N947" s="213"/>
      <c r="O947" s="213"/>
      <c r="P947" s="213"/>
      <c r="Q947" s="213"/>
      <c r="R947" s="213"/>
      <c r="S947" s="213"/>
      <c r="T947" s="213"/>
      <c r="U947" s="213"/>
      <c r="V947" s="213"/>
      <c r="W947" s="213"/>
      <c r="X947" s="213"/>
      <c r="Y947" s="213"/>
      <c r="Z947" s="213"/>
      <c r="AA947" s="213"/>
      <c r="AB947" s="213"/>
      <c r="AC947" s="213"/>
      <c r="AD947" s="213"/>
      <c r="AE947" s="213"/>
      <c r="AF947" s="213"/>
      <c r="AG947" s="213"/>
      <c r="AH947" s="213"/>
      <c r="AI947" s="213"/>
      <c r="AJ947" s="213"/>
      <c r="AK947" s="213"/>
      <c r="AL947" s="213"/>
      <c r="AM947" s="302"/>
      <c r="AN947" s="302"/>
      <c r="AO947" s="303"/>
      <c r="AP947" s="285"/>
      <c r="AQ947" s="258"/>
      <c r="AR947" s="258"/>
    </row>
    <row r="948" spans="10:44" s="48" customFormat="1" hidden="1">
      <c r="J948" s="213"/>
      <c r="K948" s="213"/>
      <c r="L948" s="213"/>
      <c r="M948" s="213"/>
      <c r="N948" s="213"/>
      <c r="O948" s="213"/>
      <c r="P948" s="213"/>
      <c r="Q948" s="213"/>
      <c r="R948" s="213"/>
      <c r="S948" s="213"/>
      <c r="T948" s="213"/>
      <c r="U948" s="213"/>
      <c r="V948" s="213"/>
      <c r="W948" s="213"/>
      <c r="X948" s="213"/>
      <c r="Y948" s="213"/>
      <c r="Z948" s="213"/>
      <c r="AA948" s="213"/>
      <c r="AB948" s="213"/>
      <c r="AC948" s="213"/>
      <c r="AD948" s="213"/>
      <c r="AE948" s="213"/>
      <c r="AF948" s="213"/>
      <c r="AG948" s="213"/>
      <c r="AH948" s="213"/>
      <c r="AI948" s="213"/>
      <c r="AJ948" s="213"/>
      <c r="AK948" s="213"/>
      <c r="AL948" s="213"/>
      <c r="AM948" s="302"/>
      <c r="AN948" s="302"/>
      <c r="AO948" s="303"/>
      <c r="AP948" s="285"/>
      <c r="AQ948" s="258"/>
      <c r="AR948" s="258"/>
    </row>
    <row r="949" spans="10:44" s="48" customFormat="1" hidden="1">
      <c r="J949" s="213"/>
      <c r="K949" s="213"/>
      <c r="L949" s="213"/>
      <c r="M949" s="213"/>
      <c r="N949" s="213"/>
      <c r="O949" s="213"/>
      <c r="P949" s="213"/>
      <c r="Q949" s="213"/>
      <c r="R949" s="213"/>
      <c r="S949" s="213"/>
      <c r="T949" s="213"/>
      <c r="U949" s="213"/>
      <c r="V949" s="213"/>
      <c r="W949" s="213"/>
      <c r="X949" s="213"/>
      <c r="Y949" s="213"/>
      <c r="Z949" s="213"/>
      <c r="AA949" s="213"/>
      <c r="AB949" s="213"/>
      <c r="AC949" s="213"/>
      <c r="AD949" s="213"/>
      <c r="AE949" s="213"/>
      <c r="AF949" s="213"/>
      <c r="AG949" s="213"/>
      <c r="AH949" s="213"/>
      <c r="AI949" s="213"/>
      <c r="AJ949" s="213"/>
      <c r="AK949" s="213"/>
      <c r="AL949" s="213"/>
      <c r="AM949" s="302"/>
      <c r="AN949" s="302"/>
      <c r="AO949" s="303"/>
      <c r="AP949" s="285"/>
      <c r="AQ949" s="258"/>
      <c r="AR949" s="258"/>
    </row>
    <row r="950" spans="10:44" s="48" customFormat="1" hidden="1">
      <c r="J950" s="213"/>
      <c r="K950" s="213"/>
      <c r="L950" s="213"/>
      <c r="M950" s="213"/>
      <c r="N950" s="213"/>
      <c r="O950" s="213"/>
      <c r="P950" s="213"/>
      <c r="Q950" s="213"/>
      <c r="R950" s="213"/>
      <c r="S950" s="213"/>
      <c r="T950" s="213"/>
      <c r="U950" s="213"/>
      <c r="V950" s="213"/>
      <c r="W950" s="213"/>
      <c r="X950" s="213"/>
      <c r="Y950" s="213"/>
      <c r="Z950" s="213"/>
      <c r="AA950" s="213"/>
      <c r="AB950" s="213"/>
      <c r="AC950" s="213"/>
      <c r="AD950" s="213"/>
      <c r="AE950" s="213"/>
      <c r="AF950" s="213"/>
      <c r="AG950" s="213"/>
      <c r="AH950" s="213"/>
      <c r="AI950" s="213"/>
      <c r="AJ950" s="213"/>
      <c r="AK950" s="213"/>
      <c r="AL950" s="213"/>
      <c r="AM950" s="302"/>
      <c r="AN950" s="302"/>
      <c r="AO950" s="303"/>
      <c r="AP950" s="285"/>
      <c r="AQ950" s="258"/>
      <c r="AR950" s="258"/>
    </row>
    <row r="951" spans="10:44" s="48" customFormat="1" hidden="1">
      <c r="J951" s="213"/>
      <c r="K951" s="213"/>
      <c r="L951" s="213"/>
      <c r="M951" s="213"/>
      <c r="N951" s="213"/>
      <c r="O951" s="213"/>
      <c r="P951" s="213"/>
      <c r="Q951" s="213"/>
      <c r="R951" s="213"/>
      <c r="S951" s="213"/>
      <c r="T951" s="213"/>
      <c r="U951" s="213"/>
      <c r="V951" s="213"/>
      <c r="W951" s="213"/>
      <c r="X951" s="213"/>
      <c r="Y951" s="213"/>
      <c r="Z951" s="213"/>
      <c r="AA951" s="213"/>
      <c r="AB951" s="213"/>
      <c r="AC951" s="213"/>
      <c r="AD951" s="213"/>
      <c r="AE951" s="213"/>
      <c r="AF951" s="213"/>
      <c r="AG951" s="213"/>
      <c r="AH951" s="213"/>
      <c r="AI951" s="213"/>
      <c r="AJ951" s="213"/>
      <c r="AK951" s="213"/>
      <c r="AL951" s="213"/>
      <c r="AM951" s="302"/>
      <c r="AN951" s="302"/>
      <c r="AO951" s="303"/>
      <c r="AP951" s="285"/>
      <c r="AQ951" s="258"/>
      <c r="AR951" s="258"/>
    </row>
    <row r="952" spans="10:44" s="48" customFormat="1" hidden="1">
      <c r="J952" s="213"/>
      <c r="K952" s="213"/>
      <c r="L952" s="213"/>
      <c r="M952" s="213"/>
      <c r="N952" s="213"/>
      <c r="O952" s="213"/>
      <c r="P952" s="213"/>
      <c r="Q952" s="213"/>
      <c r="R952" s="213"/>
      <c r="S952" s="213"/>
      <c r="T952" s="213"/>
      <c r="U952" s="213"/>
      <c r="V952" s="213"/>
      <c r="W952" s="213"/>
      <c r="X952" s="213"/>
      <c r="Y952" s="213"/>
      <c r="Z952" s="213"/>
      <c r="AA952" s="213"/>
      <c r="AB952" s="213"/>
      <c r="AC952" s="213"/>
      <c r="AD952" s="213"/>
      <c r="AE952" s="213"/>
      <c r="AF952" s="213"/>
      <c r="AG952" s="213"/>
      <c r="AH952" s="213"/>
      <c r="AI952" s="213"/>
      <c r="AJ952" s="213"/>
      <c r="AK952" s="213"/>
      <c r="AL952" s="213"/>
      <c r="AM952" s="302"/>
      <c r="AN952" s="302"/>
      <c r="AO952" s="303"/>
      <c r="AP952" s="285"/>
      <c r="AQ952" s="258"/>
      <c r="AR952" s="258"/>
    </row>
    <row r="953" spans="10:44" s="48" customFormat="1" hidden="1">
      <c r="J953" s="213"/>
      <c r="K953" s="213"/>
      <c r="L953" s="213"/>
      <c r="M953" s="213"/>
      <c r="N953" s="213"/>
      <c r="O953" s="213"/>
      <c r="P953" s="213"/>
      <c r="Q953" s="213"/>
      <c r="R953" s="213"/>
      <c r="S953" s="213"/>
      <c r="T953" s="213"/>
      <c r="U953" s="213"/>
      <c r="V953" s="213"/>
      <c r="W953" s="213"/>
      <c r="X953" s="213"/>
      <c r="Y953" s="213"/>
      <c r="Z953" s="213"/>
      <c r="AA953" s="213"/>
      <c r="AB953" s="213"/>
      <c r="AC953" s="213"/>
      <c r="AD953" s="213"/>
      <c r="AE953" s="213"/>
      <c r="AF953" s="213"/>
      <c r="AG953" s="213"/>
      <c r="AH953" s="213"/>
      <c r="AI953" s="213"/>
      <c r="AJ953" s="213"/>
      <c r="AK953" s="213"/>
      <c r="AL953" s="213"/>
      <c r="AM953" s="302"/>
      <c r="AN953" s="302"/>
      <c r="AO953" s="303"/>
      <c r="AP953" s="285"/>
      <c r="AQ953" s="258"/>
      <c r="AR953" s="258"/>
    </row>
    <row r="954" spans="10:44" s="48" customFormat="1" hidden="1">
      <c r="J954" s="213"/>
      <c r="K954" s="213"/>
      <c r="L954" s="213"/>
      <c r="M954" s="213"/>
      <c r="N954" s="213"/>
      <c r="O954" s="213"/>
      <c r="P954" s="213"/>
      <c r="Q954" s="213"/>
      <c r="R954" s="213"/>
      <c r="S954" s="213"/>
      <c r="T954" s="213"/>
      <c r="U954" s="213"/>
      <c r="V954" s="213"/>
      <c r="W954" s="213"/>
      <c r="X954" s="213"/>
      <c r="Y954" s="213"/>
      <c r="Z954" s="213"/>
      <c r="AA954" s="213"/>
      <c r="AB954" s="213"/>
      <c r="AC954" s="213"/>
      <c r="AD954" s="213"/>
      <c r="AE954" s="213"/>
      <c r="AF954" s="213"/>
      <c r="AG954" s="213"/>
      <c r="AH954" s="213"/>
      <c r="AI954" s="213"/>
      <c r="AJ954" s="213"/>
      <c r="AK954" s="213"/>
      <c r="AL954" s="213"/>
      <c r="AM954" s="302"/>
      <c r="AN954" s="302"/>
      <c r="AO954" s="303"/>
      <c r="AP954" s="285"/>
      <c r="AQ954" s="258"/>
      <c r="AR954" s="258"/>
    </row>
    <row r="955" spans="10:44" s="48" customFormat="1" hidden="1">
      <c r="J955" s="213"/>
      <c r="K955" s="213"/>
      <c r="L955" s="213"/>
      <c r="M955" s="213"/>
      <c r="N955" s="213"/>
      <c r="O955" s="213"/>
      <c r="P955" s="213"/>
      <c r="Q955" s="213"/>
      <c r="R955" s="213"/>
      <c r="S955" s="213"/>
      <c r="T955" s="213"/>
      <c r="U955" s="213"/>
      <c r="V955" s="213"/>
      <c r="W955" s="213"/>
      <c r="X955" s="213"/>
      <c r="Y955" s="213"/>
      <c r="Z955" s="213"/>
      <c r="AA955" s="213"/>
      <c r="AB955" s="213"/>
      <c r="AC955" s="213"/>
      <c r="AD955" s="213"/>
      <c r="AE955" s="213"/>
      <c r="AF955" s="213"/>
      <c r="AG955" s="213"/>
      <c r="AH955" s="213"/>
      <c r="AI955" s="213"/>
      <c r="AJ955" s="213"/>
      <c r="AK955" s="213"/>
      <c r="AL955" s="213"/>
      <c r="AM955" s="302"/>
      <c r="AN955" s="302"/>
      <c r="AO955" s="303"/>
      <c r="AP955" s="285"/>
      <c r="AQ955" s="258"/>
      <c r="AR955" s="258"/>
    </row>
    <row r="956" spans="10:44" s="48" customFormat="1" hidden="1">
      <c r="J956" s="213"/>
      <c r="K956" s="213"/>
      <c r="L956" s="213"/>
      <c r="M956" s="213"/>
      <c r="N956" s="213"/>
      <c r="O956" s="213"/>
      <c r="P956" s="213"/>
      <c r="Q956" s="213"/>
      <c r="R956" s="213"/>
      <c r="S956" s="213"/>
      <c r="T956" s="213"/>
      <c r="U956" s="213"/>
      <c r="V956" s="213"/>
      <c r="W956" s="213"/>
      <c r="X956" s="213"/>
      <c r="Y956" s="213"/>
      <c r="Z956" s="213"/>
      <c r="AA956" s="213"/>
      <c r="AB956" s="213"/>
      <c r="AC956" s="213"/>
      <c r="AD956" s="213"/>
      <c r="AE956" s="213"/>
      <c r="AF956" s="213"/>
      <c r="AG956" s="213"/>
      <c r="AH956" s="213"/>
      <c r="AI956" s="213"/>
      <c r="AJ956" s="213"/>
      <c r="AK956" s="213"/>
      <c r="AL956" s="213"/>
      <c r="AM956" s="302"/>
      <c r="AN956" s="302"/>
      <c r="AO956" s="303"/>
      <c r="AP956" s="285"/>
      <c r="AQ956" s="258"/>
      <c r="AR956" s="258"/>
    </row>
    <row r="957" spans="10:44" s="48" customFormat="1" hidden="1">
      <c r="J957" s="213"/>
      <c r="K957" s="213"/>
      <c r="L957" s="213"/>
      <c r="M957" s="213"/>
      <c r="N957" s="213"/>
      <c r="O957" s="213"/>
      <c r="P957" s="213"/>
      <c r="Q957" s="213"/>
      <c r="R957" s="213"/>
      <c r="S957" s="213"/>
      <c r="T957" s="213"/>
      <c r="U957" s="213"/>
      <c r="V957" s="213"/>
      <c r="W957" s="213"/>
      <c r="X957" s="213"/>
      <c r="Y957" s="213"/>
      <c r="Z957" s="213"/>
      <c r="AA957" s="213"/>
      <c r="AB957" s="213"/>
      <c r="AC957" s="213"/>
      <c r="AD957" s="213"/>
      <c r="AE957" s="213"/>
      <c r="AF957" s="213"/>
      <c r="AG957" s="213"/>
      <c r="AH957" s="213"/>
      <c r="AI957" s="213"/>
      <c r="AJ957" s="213"/>
      <c r="AK957" s="213"/>
      <c r="AL957" s="213"/>
      <c r="AM957" s="302"/>
      <c r="AN957" s="302"/>
      <c r="AO957" s="303"/>
      <c r="AP957" s="285"/>
      <c r="AQ957" s="258"/>
      <c r="AR957" s="258"/>
    </row>
    <row r="958" spans="10:44" s="48" customFormat="1" hidden="1">
      <c r="J958" s="213"/>
      <c r="K958" s="213"/>
      <c r="L958" s="213"/>
      <c r="M958" s="213"/>
      <c r="N958" s="213"/>
      <c r="O958" s="213"/>
      <c r="P958" s="213"/>
      <c r="Q958" s="213"/>
      <c r="R958" s="213"/>
      <c r="S958" s="213"/>
      <c r="T958" s="213"/>
      <c r="U958" s="213"/>
      <c r="V958" s="213"/>
      <c r="W958" s="213"/>
      <c r="X958" s="213"/>
      <c r="Y958" s="213"/>
      <c r="Z958" s="213"/>
      <c r="AA958" s="213"/>
      <c r="AB958" s="213"/>
      <c r="AC958" s="213"/>
      <c r="AD958" s="213"/>
      <c r="AE958" s="213"/>
      <c r="AF958" s="213"/>
      <c r="AG958" s="213"/>
      <c r="AH958" s="213"/>
      <c r="AI958" s="213"/>
      <c r="AJ958" s="213"/>
      <c r="AK958" s="213"/>
      <c r="AL958" s="213"/>
      <c r="AM958" s="302"/>
      <c r="AN958" s="302"/>
      <c r="AO958" s="303"/>
      <c r="AP958" s="285"/>
      <c r="AQ958" s="258"/>
      <c r="AR958" s="258"/>
    </row>
    <row r="959" spans="10:44" s="48" customFormat="1" hidden="1">
      <c r="J959" s="213"/>
      <c r="K959" s="213"/>
      <c r="L959" s="213"/>
      <c r="M959" s="213"/>
      <c r="N959" s="213"/>
      <c r="O959" s="213"/>
      <c r="P959" s="213"/>
      <c r="Q959" s="213"/>
      <c r="R959" s="213"/>
      <c r="S959" s="213"/>
      <c r="T959" s="213"/>
      <c r="U959" s="213"/>
      <c r="V959" s="213"/>
      <c r="W959" s="213"/>
      <c r="X959" s="213"/>
      <c r="Y959" s="213"/>
      <c r="Z959" s="213"/>
      <c r="AA959" s="213"/>
      <c r="AB959" s="213"/>
      <c r="AC959" s="213"/>
      <c r="AD959" s="213"/>
      <c r="AE959" s="213"/>
      <c r="AF959" s="213"/>
      <c r="AG959" s="213"/>
      <c r="AH959" s="213"/>
      <c r="AI959" s="213"/>
      <c r="AJ959" s="213"/>
      <c r="AK959" s="213"/>
      <c r="AL959" s="213"/>
      <c r="AM959" s="302"/>
      <c r="AN959" s="302"/>
      <c r="AO959" s="303"/>
      <c r="AP959" s="285"/>
      <c r="AQ959" s="258"/>
      <c r="AR959" s="258"/>
    </row>
    <row r="960" spans="10:44" s="48" customFormat="1" hidden="1">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302"/>
      <c r="AN960" s="302"/>
      <c r="AO960" s="303"/>
      <c r="AP960" s="285"/>
      <c r="AQ960" s="258"/>
      <c r="AR960" s="258"/>
    </row>
    <row r="961" spans="10:44" s="48" customFormat="1" hidden="1">
      <c r="J961" s="213"/>
      <c r="K961" s="213"/>
      <c r="L961" s="213"/>
      <c r="M961" s="213"/>
      <c r="N961" s="213"/>
      <c r="O961" s="213"/>
      <c r="P961" s="213"/>
      <c r="Q961" s="213"/>
      <c r="R961" s="213"/>
      <c r="S961" s="213"/>
      <c r="T961" s="213"/>
      <c r="U961" s="213"/>
      <c r="V961" s="213"/>
      <c r="W961" s="213"/>
      <c r="X961" s="213"/>
      <c r="Y961" s="213"/>
      <c r="Z961" s="213"/>
      <c r="AA961" s="213"/>
      <c r="AB961" s="213"/>
      <c r="AC961" s="213"/>
      <c r="AD961" s="213"/>
      <c r="AE961" s="213"/>
      <c r="AF961" s="213"/>
      <c r="AG961" s="213"/>
      <c r="AH961" s="213"/>
      <c r="AI961" s="213"/>
      <c r="AJ961" s="213"/>
      <c r="AK961" s="213"/>
      <c r="AL961" s="213"/>
      <c r="AM961" s="302"/>
      <c r="AN961" s="302"/>
      <c r="AO961" s="303"/>
      <c r="AP961" s="285"/>
      <c r="AQ961" s="258"/>
      <c r="AR961" s="258"/>
    </row>
    <row r="962" spans="10:44" s="48" customFormat="1" hidden="1">
      <c r="J962" s="213"/>
      <c r="K962" s="213"/>
      <c r="L962" s="213"/>
      <c r="M962" s="213"/>
      <c r="N962" s="213"/>
      <c r="O962" s="213"/>
      <c r="P962" s="213"/>
      <c r="Q962" s="213"/>
      <c r="R962" s="213"/>
      <c r="S962" s="213"/>
      <c r="T962" s="213"/>
      <c r="U962" s="213"/>
      <c r="V962" s="213"/>
      <c r="W962" s="213"/>
      <c r="X962" s="213"/>
      <c r="Y962" s="213"/>
      <c r="Z962" s="213"/>
      <c r="AA962" s="213"/>
      <c r="AB962" s="213"/>
      <c r="AC962" s="213"/>
      <c r="AD962" s="213"/>
      <c r="AE962" s="213"/>
      <c r="AF962" s="213"/>
      <c r="AG962" s="213"/>
      <c r="AH962" s="213"/>
      <c r="AI962" s="213"/>
      <c r="AJ962" s="213"/>
      <c r="AK962" s="213"/>
      <c r="AL962" s="213"/>
      <c r="AM962" s="302"/>
      <c r="AN962" s="302"/>
      <c r="AO962" s="303"/>
      <c r="AP962" s="285"/>
      <c r="AQ962" s="258"/>
      <c r="AR962" s="258"/>
    </row>
    <row r="963" spans="10:44" s="48" customFormat="1" hidden="1">
      <c r="J963" s="213"/>
      <c r="K963" s="213"/>
      <c r="L963" s="213"/>
      <c r="M963" s="213"/>
      <c r="N963" s="213"/>
      <c r="O963" s="213"/>
      <c r="P963" s="213"/>
      <c r="Q963" s="213"/>
      <c r="R963" s="213"/>
      <c r="S963" s="213"/>
      <c r="T963" s="213"/>
      <c r="U963" s="213"/>
      <c r="V963" s="213"/>
      <c r="W963" s="213"/>
      <c r="X963" s="213"/>
      <c r="Y963" s="213"/>
      <c r="Z963" s="213"/>
      <c r="AA963" s="213"/>
      <c r="AB963" s="213"/>
      <c r="AC963" s="213"/>
      <c r="AD963" s="213"/>
      <c r="AE963" s="213"/>
      <c r="AF963" s="213"/>
      <c r="AG963" s="213"/>
      <c r="AH963" s="213"/>
      <c r="AI963" s="213"/>
      <c r="AJ963" s="213"/>
      <c r="AK963" s="213"/>
      <c r="AL963" s="213"/>
      <c r="AM963" s="302"/>
      <c r="AN963" s="302"/>
      <c r="AO963" s="303"/>
      <c r="AP963" s="285"/>
      <c r="AQ963" s="258"/>
      <c r="AR963" s="258"/>
    </row>
    <row r="964" spans="10:44" s="48" customFormat="1" hidden="1">
      <c r="J964" s="213"/>
      <c r="K964" s="213"/>
      <c r="L964" s="213"/>
      <c r="M964" s="213"/>
      <c r="N964" s="213"/>
      <c r="O964" s="213"/>
      <c r="P964" s="213"/>
      <c r="Q964" s="213"/>
      <c r="R964" s="213"/>
      <c r="S964" s="213"/>
      <c r="T964" s="213"/>
      <c r="U964" s="213"/>
      <c r="V964" s="213"/>
      <c r="W964" s="213"/>
      <c r="X964" s="213"/>
      <c r="Y964" s="213"/>
      <c r="Z964" s="213"/>
      <c r="AA964" s="213"/>
      <c r="AB964" s="213"/>
      <c r="AC964" s="213"/>
      <c r="AD964" s="213"/>
      <c r="AE964" s="213"/>
      <c r="AF964" s="213"/>
      <c r="AG964" s="213"/>
      <c r="AH964" s="213"/>
      <c r="AI964" s="213"/>
      <c r="AJ964" s="213"/>
      <c r="AK964" s="213"/>
      <c r="AL964" s="213"/>
      <c r="AM964" s="302"/>
      <c r="AN964" s="302"/>
      <c r="AO964" s="303"/>
      <c r="AP964" s="285"/>
      <c r="AQ964" s="258"/>
      <c r="AR964" s="258"/>
    </row>
    <row r="965" spans="10:44" s="48" customFormat="1" hidden="1">
      <c r="J965" s="213"/>
      <c r="K965" s="213"/>
      <c r="L965" s="213"/>
      <c r="M965" s="213"/>
      <c r="N965" s="213"/>
      <c r="O965" s="213"/>
      <c r="P965" s="213"/>
      <c r="Q965" s="213"/>
      <c r="R965" s="213"/>
      <c r="S965" s="213"/>
      <c r="T965" s="213"/>
      <c r="U965" s="213"/>
      <c r="V965" s="213"/>
      <c r="W965" s="213"/>
      <c r="X965" s="213"/>
      <c r="Y965" s="213"/>
      <c r="Z965" s="213"/>
      <c r="AA965" s="213"/>
      <c r="AB965" s="213"/>
      <c r="AC965" s="213"/>
      <c r="AD965" s="213"/>
      <c r="AE965" s="213"/>
      <c r="AF965" s="213"/>
      <c r="AG965" s="213"/>
      <c r="AH965" s="213"/>
      <c r="AI965" s="213"/>
      <c r="AJ965" s="213"/>
      <c r="AK965" s="213"/>
      <c r="AL965" s="213"/>
      <c r="AM965" s="302"/>
      <c r="AN965" s="302"/>
      <c r="AO965" s="303"/>
      <c r="AP965" s="285"/>
      <c r="AQ965" s="258"/>
      <c r="AR965" s="258"/>
    </row>
    <row r="966" spans="10:44" s="48" customFormat="1" hidden="1">
      <c r="J966" s="213"/>
      <c r="K966" s="213"/>
      <c r="L966" s="213"/>
      <c r="M966" s="213"/>
      <c r="N966" s="213"/>
      <c r="O966" s="213"/>
      <c r="P966" s="213"/>
      <c r="Q966" s="213"/>
      <c r="R966" s="213"/>
      <c r="S966" s="213"/>
      <c r="T966" s="213"/>
      <c r="U966" s="213"/>
      <c r="V966" s="213"/>
      <c r="W966" s="213"/>
      <c r="X966" s="213"/>
      <c r="Y966" s="213"/>
      <c r="Z966" s="213"/>
      <c r="AA966" s="213"/>
      <c r="AB966" s="213"/>
      <c r="AC966" s="213"/>
      <c r="AD966" s="213"/>
      <c r="AE966" s="213"/>
      <c r="AF966" s="213"/>
      <c r="AG966" s="213"/>
      <c r="AH966" s="213"/>
      <c r="AI966" s="213"/>
      <c r="AJ966" s="213"/>
      <c r="AK966" s="213"/>
      <c r="AL966" s="213"/>
      <c r="AM966" s="302"/>
      <c r="AN966" s="302"/>
      <c r="AO966" s="303"/>
      <c r="AP966" s="285"/>
      <c r="AQ966" s="258"/>
      <c r="AR966" s="258"/>
    </row>
    <row r="967" spans="10:44" s="48" customFormat="1" hidden="1">
      <c r="J967" s="213"/>
      <c r="K967" s="213"/>
      <c r="L967" s="213"/>
      <c r="M967" s="213"/>
      <c r="N967" s="213"/>
      <c r="O967" s="213"/>
      <c r="P967" s="213"/>
      <c r="Q967" s="213"/>
      <c r="R967" s="213"/>
      <c r="S967" s="213"/>
      <c r="T967" s="213"/>
      <c r="U967" s="213"/>
      <c r="V967" s="213"/>
      <c r="W967" s="213"/>
      <c r="X967" s="213"/>
      <c r="Y967" s="213"/>
      <c r="Z967" s="213"/>
      <c r="AA967" s="213"/>
      <c r="AB967" s="213"/>
      <c r="AC967" s="213"/>
      <c r="AD967" s="213"/>
      <c r="AE967" s="213"/>
      <c r="AF967" s="213"/>
      <c r="AG967" s="213"/>
      <c r="AH967" s="213"/>
      <c r="AI967" s="213"/>
      <c r="AJ967" s="213"/>
      <c r="AK967" s="213"/>
      <c r="AL967" s="213"/>
      <c r="AM967" s="302"/>
      <c r="AN967" s="302"/>
      <c r="AO967" s="303"/>
      <c r="AP967" s="285"/>
      <c r="AQ967" s="258"/>
      <c r="AR967" s="258"/>
    </row>
    <row r="968" spans="10:44" s="48" customFormat="1" hidden="1">
      <c r="J968" s="213"/>
      <c r="K968" s="213"/>
      <c r="L968" s="213"/>
      <c r="M968" s="213"/>
      <c r="N968" s="213"/>
      <c r="O968" s="213"/>
      <c r="P968" s="213"/>
      <c r="Q968" s="213"/>
      <c r="R968" s="213"/>
      <c r="S968" s="213"/>
      <c r="T968" s="213"/>
      <c r="U968" s="213"/>
      <c r="V968" s="213"/>
      <c r="W968" s="213"/>
      <c r="X968" s="213"/>
      <c r="Y968" s="213"/>
      <c r="Z968" s="213"/>
      <c r="AA968" s="213"/>
      <c r="AB968" s="213"/>
      <c r="AC968" s="213"/>
      <c r="AD968" s="213"/>
      <c r="AE968" s="213"/>
      <c r="AF968" s="213"/>
      <c r="AG968" s="213"/>
      <c r="AH968" s="213"/>
      <c r="AI968" s="213"/>
      <c r="AJ968" s="213"/>
      <c r="AK968" s="213"/>
      <c r="AL968" s="213"/>
      <c r="AM968" s="302"/>
      <c r="AN968" s="302"/>
      <c r="AO968" s="303"/>
      <c r="AP968" s="285"/>
      <c r="AQ968" s="258"/>
      <c r="AR968" s="258"/>
    </row>
    <row r="969" spans="10:44" s="48" customFormat="1" hidden="1">
      <c r="J969" s="213"/>
      <c r="K969" s="213"/>
      <c r="L969" s="213"/>
      <c r="M969" s="213"/>
      <c r="N969" s="213"/>
      <c r="O969" s="213"/>
      <c r="P969" s="213"/>
      <c r="Q969" s="213"/>
      <c r="R969" s="213"/>
      <c r="S969" s="213"/>
      <c r="T969" s="213"/>
      <c r="U969" s="213"/>
      <c r="V969" s="213"/>
      <c r="W969" s="213"/>
      <c r="X969" s="213"/>
      <c r="Y969" s="213"/>
      <c r="Z969" s="213"/>
      <c r="AA969" s="213"/>
      <c r="AB969" s="213"/>
      <c r="AC969" s="213"/>
      <c r="AD969" s="213"/>
      <c r="AE969" s="213"/>
      <c r="AF969" s="213"/>
      <c r="AG969" s="213"/>
      <c r="AH969" s="213"/>
      <c r="AI969" s="213"/>
      <c r="AJ969" s="213"/>
      <c r="AK969" s="213"/>
      <c r="AL969" s="213"/>
      <c r="AM969" s="302"/>
      <c r="AN969" s="302"/>
      <c r="AO969" s="303"/>
      <c r="AP969" s="285"/>
      <c r="AQ969" s="258"/>
      <c r="AR969" s="258"/>
    </row>
    <row r="970" spans="10:44" s="48" customFormat="1" hidden="1">
      <c r="J970" s="213"/>
      <c r="K970" s="213"/>
      <c r="L970" s="213"/>
      <c r="M970" s="213"/>
      <c r="N970" s="213"/>
      <c r="O970" s="213"/>
      <c r="P970" s="213"/>
      <c r="Q970" s="213"/>
      <c r="R970" s="213"/>
      <c r="S970" s="213"/>
      <c r="T970" s="213"/>
      <c r="U970" s="213"/>
      <c r="V970" s="213"/>
      <c r="W970" s="213"/>
      <c r="X970" s="213"/>
      <c r="Y970" s="213"/>
      <c r="Z970" s="213"/>
      <c r="AA970" s="213"/>
      <c r="AB970" s="213"/>
      <c r="AC970" s="213"/>
      <c r="AD970" s="213"/>
      <c r="AE970" s="213"/>
      <c r="AF970" s="213"/>
      <c r="AG970" s="213"/>
      <c r="AH970" s="213"/>
      <c r="AI970" s="213"/>
      <c r="AJ970" s="213"/>
      <c r="AK970" s="213"/>
      <c r="AL970" s="213"/>
      <c r="AM970" s="302"/>
      <c r="AN970" s="302"/>
      <c r="AO970" s="303"/>
      <c r="AP970" s="285"/>
      <c r="AQ970" s="258"/>
      <c r="AR970" s="258"/>
    </row>
    <row r="971" spans="10:44" s="48" customFormat="1" hidden="1">
      <c r="J971" s="213"/>
      <c r="K971" s="213"/>
      <c r="L971" s="213"/>
      <c r="M971" s="213"/>
      <c r="N971" s="213"/>
      <c r="O971" s="213"/>
      <c r="P971" s="213"/>
      <c r="Q971" s="213"/>
      <c r="R971" s="213"/>
      <c r="S971" s="213"/>
      <c r="T971" s="213"/>
      <c r="U971" s="213"/>
      <c r="V971" s="213"/>
      <c r="W971" s="213"/>
      <c r="X971" s="213"/>
      <c r="Y971" s="213"/>
      <c r="Z971" s="213"/>
      <c r="AA971" s="213"/>
      <c r="AB971" s="213"/>
      <c r="AC971" s="213"/>
      <c r="AD971" s="213"/>
      <c r="AE971" s="213"/>
      <c r="AF971" s="213"/>
      <c r="AG971" s="213"/>
      <c r="AH971" s="213"/>
      <c r="AI971" s="213"/>
      <c r="AJ971" s="213"/>
      <c r="AK971" s="213"/>
      <c r="AL971" s="213"/>
      <c r="AM971" s="302"/>
      <c r="AN971" s="302"/>
      <c r="AO971" s="303"/>
      <c r="AP971" s="285"/>
      <c r="AQ971" s="258"/>
      <c r="AR971" s="258"/>
    </row>
    <row r="972" spans="10:44" s="48" customFormat="1" hidden="1">
      <c r="J972" s="213"/>
      <c r="K972" s="213"/>
      <c r="L972" s="213"/>
      <c r="M972" s="213"/>
      <c r="N972" s="213"/>
      <c r="O972" s="213"/>
      <c r="P972" s="213"/>
      <c r="Q972" s="213"/>
      <c r="R972" s="213"/>
      <c r="S972" s="213"/>
      <c r="T972" s="213"/>
      <c r="U972" s="213"/>
      <c r="V972" s="213"/>
      <c r="W972" s="213"/>
      <c r="X972" s="213"/>
      <c r="Y972" s="213"/>
      <c r="Z972" s="213"/>
      <c r="AA972" s="213"/>
      <c r="AB972" s="213"/>
      <c r="AC972" s="213"/>
      <c r="AD972" s="213"/>
      <c r="AE972" s="213"/>
      <c r="AF972" s="213"/>
      <c r="AG972" s="213"/>
      <c r="AH972" s="213"/>
      <c r="AI972" s="213"/>
      <c r="AJ972" s="213"/>
      <c r="AK972" s="213"/>
      <c r="AL972" s="213"/>
      <c r="AM972" s="302"/>
      <c r="AN972" s="302"/>
      <c r="AO972" s="303"/>
      <c r="AP972" s="285"/>
      <c r="AQ972" s="258"/>
      <c r="AR972" s="258"/>
    </row>
    <row r="973" spans="10:44" s="48" customFormat="1" hidden="1">
      <c r="J973" s="213"/>
      <c r="K973" s="213"/>
      <c r="L973" s="213"/>
      <c r="M973" s="213"/>
      <c r="N973" s="213"/>
      <c r="O973" s="213"/>
      <c r="P973" s="213"/>
      <c r="Q973" s="213"/>
      <c r="R973" s="213"/>
      <c r="S973" s="213"/>
      <c r="T973" s="213"/>
      <c r="U973" s="213"/>
      <c r="V973" s="213"/>
      <c r="W973" s="213"/>
      <c r="X973" s="213"/>
      <c r="Y973" s="213"/>
      <c r="Z973" s="213"/>
      <c r="AA973" s="213"/>
      <c r="AB973" s="213"/>
      <c r="AC973" s="213"/>
      <c r="AD973" s="213"/>
      <c r="AE973" s="213"/>
      <c r="AF973" s="213"/>
      <c r="AG973" s="213"/>
      <c r="AH973" s="213"/>
      <c r="AI973" s="213"/>
      <c r="AJ973" s="213"/>
      <c r="AK973" s="213"/>
      <c r="AL973" s="213"/>
      <c r="AM973" s="302"/>
      <c r="AN973" s="302"/>
      <c r="AO973" s="303"/>
      <c r="AP973" s="285"/>
      <c r="AQ973" s="258"/>
      <c r="AR973" s="258"/>
    </row>
    <row r="974" spans="10:44" s="48" customFormat="1" hidden="1">
      <c r="J974" s="213"/>
      <c r="K974" s="213"/>
      <c r="L974" s="213"/>
      <c r="M974" s="213"/>
      <c r="N974" s="213"/>
      <c r="O974" s="213"/>
      <c r="P974" s="213"/>
      <c r="Q974" s="213"/>
      <c r="R974" s="213"/>
      <c r="S974" s="213"/>
      <c r="T974" s="213"/>
      <c r="U974" s="213"/>
      <c r="V974" s="213"/>
      <c r="W974" s="213"/>
      <c r="X974" s="213"/>
      <c r="Y974" s="213"/>
      <c r="Z974" s="213"/>
      <c r="AA974" s="213"/>
      <c r="AB974" s="213"/>
      <c r="AC974" s="213"/>
      <c r="AD974" s="213"/>
      <c r="AE974" s="213"/>
      <c r="AF974" s="213"/>
      <c r="AG974" s="213"/>
      <c r="AH974" s="213"/>
      <c r="AI974" s="213"/>
      <c r="AJ974" s="213"/>
      <c r="AK974" s="213"/>
      <c r="AL974" s="213"/>
      <c r="AM974" s="302"/>
      <c r="AN974" s="302"/>
      <c r="AO974" s="303"/>
      <c r="AP974" s="285"/>
      <c r="AQ974" s="258"/>
      <c r="AR974" s="258"/>
    </row>
    <row r="975" spans="10:44" s="48" customFormat="1" hidden="1">
      <c r="J975" s="213"/>
      <c r="K975" s="213"/>
      <c r="L975" s="213"/>
      <c r="M975" s="213"/>
      <c r="N975" s="213"/>
      <c r="O975" s="213"/>
      <c r="P975" s="213"/>
      <c r="Q975" s="213"/>
      <c r="R975" s="213"/>
      <c r="S975" s="213"/>
      <c r="T975" s="213"/>
      <c r="U975" s="213"/>
      <c r="V975" s="213"/>
      <c r="W975" s="213"/>
      <c r="X975" s="213"/>
      <c r="Y975" s="213"/>
      <c r="Z975" s="213"/>
      <c r="AA975" s="213"/>
      <c r="AB975" s="213"/>
      <c r="AC975" s="213"/>
      <c r="AD975" s="213"/>
      <c r="AE975" s="213"/>
      <c r="AF975" s="213"/>
      <c r="AG975" s="213"/>
      <c r="AH975" s="213"/>
      <c r="AI975" s="213"/>
      <c r="AJ975" s="213"/>
      <c r="AK975" s="213"/>
      <c r="AL975" s="213"/>
      <c r="AM975" s="302"/>
      <c r="AN975" s="302"/>
      <c r="AO975" s="303"/>
      <c r="AP975" s="285"/>
      <c r="AQ975" s="258"/>
      <c r="AR975" s="258"/>
    </row>
    <row r="976" spans="10:44" s="48" customFormat="1" hidden="1">
      <c r="J976" s="213"/>
      <c r="K976" s="213"/>
      <c r="L976" s="213"/>
      <c r="M976" s="213"/>
      <c r="N976" s="213"/>
      <c r="O976" s="213"/>
      <c r="P976" s="213"/>
      <c r="Q976" s="213"/>
      <c r="R976" s="213"/>
      <c r="S976" s="213"/>
      <c r="T976" s="213"/>
      <c r="U976" s="213"/>
      <c r="V976" s="213"/>
      <c r="W976" s="213"/>
      <c r="X976" s="213"/>
      <c r="Y976" s="213"/>
      <c r="Z976" s="213"/>
      <c r="AA976" s="213"/>
      <c r="AB976" s="213"/>
      <c r="AC976" s="213"/>
      <c r="AD976" s="213"/>
      <c r="AE976" s="213"/>
      <c r="AF976" s="213"/>
      <c r="AG976" s="213"/>
      <c r="AH976" s="213"/>
      <c r="AI976" s="213"/>
      <c r="AJ976" s="213"/>
      <c r="AK976" s="213"/>
      <c r="AL976" s="213"/>
      <c r="AM976" s="302"/>
      <c r="AN976" s="302"/>
      <c r="AO976" s="303"/>
      <c r="AP976" s="285"/>
      <c r="AQ976" s="258"/>
      <c r="AR976" s="258"/>
    </row>
    <row r="977" spans="10:44" s="48" customFormat="1" hidden="1">
      <c r="J977" s="213"/>
      <c r="K977" s="213"/>
      <c r="L977" s="213"/>
      <c r="M977" s="213"/>
      <c r="N977" s="213"/>
      <c r="O977" s="213"/>
      <c r="P977" s="213"/>
      <c r="Q977" s="213"/>
      <c r="R977" s="213"/>
      <c r="S977" s="213"/>
      <c r="T977" s="213"/>
      <c r="U977" s="213"/>
      <c r="V977" s="213"/>
      <c r="W977" s="213"/>
      <c r="X977" s="213"/>
      <c r="Y977" s="213"/>
      <c r="Z977" s="213"/>
      <c r="AA977" s="213"/>
      <c r="AB977" s="213"/>
      <c r="AC977" s="213"/>
      <c r="AD977" s="213"/>
      <c r="AE977" s="213"/>
      <c r="AF977" s="213"/>
      <c r="AG977" s="213"/>
      <c r="AH977" s="213"/>
      <c r="AI977" s="213"/>
      <c r="AJ977" s="213"/>
      <c r="AK977" s="213"/>
      <c r="AL977" s="213"/>
      <c r="AM977" s="302"/>
      <c r="AN977" s="302"/>
      <c r="AO977" s="303"/>
      <c r="AP977" s="285"/>
      <c r="AQ977" s="258"/>
      <c r="AR977" s="258"/>
    </row>
    <row r="978" spans="10:44" s="48" customFormat="1" hidden="1">
      <c r="J978" s="213"/>
      <c r="K978" s="213"/>
      <c r="L978" s="213"/>
      <c r="M978" s="213"/>
      <c r="N978" s="213"/>
      <c r="O978" s="213"/>
      <c r="P978" s="213"/>
      <c r="Q978" s="213"/>
      <c r="R978" s="213"/>
      <c r="S978" s="213"/>
      <c r="T978" s="213"/>
      <c r="U978" s="213"/>
      <c r="V978" s="213"/>
      <c r="W978" s="213"/>
      <c r="X978" s="213"/>
      <c r="Y978" s="213"/>
      <c r="Z978" s="213"/>
      <c r="AA978" s="213"/>
      <c r="AB978" s="213"/>
      <c r="AC978" s="213"/>
      <c r="AD978" s="213"/>
      <c r="AE978" s="213"/>
      <c r="AF978" s="213"/>
      <c r="AG978" s="213"/>
      <c r="AH978" s="213"/>
      <c r="AI978" s="213"/>
      <c r="AJ978" s="213"/>
      <c r="AK978" s="213"/>
      <c r="AL978" s="213"/>
      <c r="AM978" s="302"/>
      <c r="AN978" s="302"/>
      <c r="AO978" s="303"/>
      <c r="AP978" s="285"/>
      <c r="AQ978" s="258"/>
      <c r="AR978" s="258"/>
    </row>
    <row r="979" spans="10:44" s="48" customFormat="1" hidden="1">
      <c r="J979" s="213"/>
      <c r="K979" s="213"/>
      <c r="L979" s="213"/>
      <c r="M979" s="213"/>
      <c r="N979" s="213"/>
      <c r="O979" s="213"/>
      <c r="P979" s="213"/>
      <c r="Q979" s="213"/>
      <c r="R979" s="213"/>
      <c r="S979" s="213"/>
      <c r="T979" s="213"/>
      <c r="U979" s="213"/>
      <c r="V979" s="213"/>
      <c r="W979" s="213"/>
      <c r="X979" s="213"/>
      <c r="Y979" s="213"/>
      <c r="Z979" s="213"/>
      <c r="AA979" s="213"/>
      <c r="AB979" s="213"/>
      <c r="AC979" s="213"/>
      <c r="AD979" s="213"/>
      <c r="AE979" s="213"/>
      <c r="AF979" s="213"/>
      <c r="AG979" s="213"/>
      <c r="AH979" s="213"/>
      <c r="AI979" s="213"/>
      <c r="AJ979" s="213"/>
      <c r="AK979" s="213"/>
      <c r="AL979" s="213"/>
      <c r="AM979" s="302"/>
      <c r="AN979" s="302"/>
      <c r="AO979" s="303"/>
      <c r="AP979" s="285"/>
      <c r="AQ979" s="258"/>
      <c r="AR979" s="258"/>
    </row>
    <row r="980" spans="10:44" s="48" customFormat="1" hidden="1">
      <c r="J980" s="213"/>
      <c r="K980" s="213"/>
      <c r="L980" s="213"/>
      <c r="M980" s="213"/>
      <c r="N980" s="213"/>
      <c r="O980" s="213"/>
      <c r="P980" s="213"/>
      <c r="Q980" s="213"/>
      <c r="R980" s="213"/>
      <c r="S980" s="213"/>
      <c r="T980" s="213"/>
      <c r="U980" s="213"/>
      <c r="V980" s="213"/>
      <c r="W980" s="213"/>
      <c r="X980" s="213"/>
      <c r="Y980" s="213"/>
      <c r="Z980" s="213"/>
      <c r="AA980" s="213"/>
      <c r="AB980" s="213"/>
      <c r="AC980" s="213"/>
      <c r="AD980" s="213"/>
      <c r="AE980" s="213"/>
      <c r="AF980" s="213"/>
      <c r="AG980" s="213"/>
      <c r="AH980" s="213"/>
      <c r="AI980" s="213"/>
      <c r="AJ980" s="213"/>
      <c r="AK980" s="213"/>
      <c r="AL980" s="213"/>
      <c r="AM980" s="302"/>
      <c r="AN980" s="302"/>
      <c r="AO980" s="303"/>
      <c r="AP980" s="285"/>
      <c r="AQ980" s="258"/>
      <c r="AR980" s="258"/>
    </row>
    <row r="981" spans="10:44" s="48" customFormat="1" hidden="1">
      <c r="J981" s="213"/>
      <c r="K981" s="213"/>
      <c r="L981" s="213"/>
      <c r="M981" s="213"/>
      <c r="N981" s="213"/>
      <c r="O981" s="213"/>
      <c r="P981" s="213"/>
      <c r="Q981" s="213"/>
      <c r="R981" s="213"/>
      <c r="S981" s="213"/>
      <c r="T981" s="213"/>
      <c r="U981" s="213"/>
      <c r="V981" s="213"/>
      <c r="W981" s="213"/>
      <c r="X981" s="213"/>
      <c r="Y981" s="213"/>
      <c r="Z981" s="213"/>
      <c r="AA981" s="213"/>
      <c r="AB981" s="213"/>
      <c r="AC981" s="213"/>
      <c r="AD981" s="213"/>
      <c r="AE981" s="213"/>
      <c r="AF981" s="213"/>
      <c r="AG981" s="213"/>
      <c r="AH981" s="213"/>
      <c r="AI981" s="213"/>
      <c r="AJ981" s="213"/>
      <c r="AK981" s="213"/>
      <c r="AL981" s="213"/>
      <c r="AM981" s="302"/>
      <c r="AN981" s="302"/>
      <c r="AO981" s="303"/>
      <c r="AP981" s="285"/>
      <c r="AQ981" s="258"/>
      <c r="AR981" s="258"/>
    </row>
    <row r="982" spans="10:44" s="48" customFormat="1" hidden="1">
      <c r="J982" s="213"/>
      <c r="K982" s="213"/>
      <c r="L982" s="213"/>
      <c r="M982" s="213"/>
      <c r="N982" s="213"/>
      <c r="O982" s="213"/>
      <c r="P982" s="213"/>
      <c r="Q982" s="213"/>
      <c r="R982" s="213"/>
      <c r="S982" s="213"/>
      <c r="T982" s="213"/>
      <c r="U982" s="213"/>
      <c r="V982" s="213"/>
      <c r="W982" s="213"/>
      <c r="X982" s="213"/>
      <c r="Y982" s="213"/>
      <c r="Z982" s="213"/>
      <c r="AA982" s="213"/>
      <c r="AB982" s="213"/>
      <c r="AC982" s="213"/>
      <c r="AD982" s="213"/>
      <c r="AE982" s="213"/>
      <c r="AF982" s="213"/>
      <c r="AG982" s="213"/>
      <c r="AH982" s="213"/>
      <c r="AI982" s="213"/>
      <c r="AJ982" s="213"/>
      <c r="AK982" s="213"/>
      <c r="AL982" s="213"/>
      <c r="AM982" s="302"/>
      <c r="AN982" s="302"/>
      <c r="AO982" s="303"/>
      <c r="AP982" s="285"/>
      <c r="AQ982" s="258"/>
      <c r="AR982" s="258"/>
    </row>
    <row r="983" spans="10:44" s="48" customFormat="1" hidden="1">
      <c r="J983" s="213"/>
      <c r="K983" s="213"/>
      <c r="L983" s="213"/>
      <c r="M983" s="213"/>
      <c r="N983" s="213"/>
      <c r="O983" s="213"/>
      <c r="P983" s="213"/>
      <c r="Q983" s="213"/>
      <c r="R983" s="213"/>
      <c r="S983" s="213"/>
      <c r="T983" s="213"/>
      <c r="U983" s="213"/>
      <c r="V983" s="213"/>
      <c r="W983" s="213"/>
      <c r="X983" s="213"/>
      <c r="Y983" s="213"/>
      <c r="Z983" s="213"/>
      <c r="AA983" s="213"/>
      <c r="AB983" s="213"/>
      <c r="AC983" s="213"/>
      <c r="AD983" s="213"/>
      <c r="AE983" s="213"/>
      <c r="AF983" s="213"/>
      <c r="AG983" s="213"/>
      <c r="AH983" s="213"/>
      <c r="AI983" s="213"/>
      <c r="AJ983" s="213"/>
      <c r="AK983" s="213"/>
      <c r="AL983" s="213"/>
      <c r="AM983" s="302"/>
      <c r="AN983" s="302"/>
      <c r="AO983" s="303"/>
      <c r="AP983" s="285"/>
      <c r="AQ983" s="258"/>
      <c r="AR983" s="258"/>
    </row>
    <row r="984" spans="10:44" s="48" customFormat="1" hidden="1">
      <c r="J984" s="213"/>
      <c r="K984" s="213"/>
      <c r="L984" s="213"/>
      <c r="M984" s="213"/>
      <c r="N984" s="213"/>
      <c r="O984" s="213"/>
      <c r="P984" s="213"/>
      <c r="Q984" s="213"/>
      <c r="R984" s="213"/>
      <c r="S984" s="213"/>
      <c r="T984" s="213"/>
      <c r="U984" s="213"/>
      <c r="V984" s="213"/>
      <c r="W984" s="213"/>
      <c r="X984" s="213"/>
      <c r="Y984" s="213"/>
      <c r="Z984" s="213"/>
      <c r="AA984" s="213"/>
      <c r="AB984" s="213"/>
      <c r="AC984" s="213"/>
      <c r="AD984" s="213"/>
      <c r="AE984" s="213"/>
      <c r="AF984" s="213"/>
      <c r="AG984" s="213"/>
      <c r="AH984" s="213"/>
      <c r="AI984" s="213"/>
      <c r="AJ984" s="213"/>
      <c r="AK984" s="213"/>
      <c r="AL984" s="213"/>
      <c r="AM984" s="302"/>
      <c r="AN984" s="302"/>
      <c r="AO984" s="303"/>
      <c r="AP984" s="285"/>
      <c r="AQ984" s="258"/>
      <c r="AR984" s="258"/>
    </row>
    <row r="985" spans="10:44" s="48" customFormat="1" hidden="1">
      <c r="J985" s="213"/>
      <c r="K985" s="213"/>
      <c r="L985" s="213"/>
      <c r="M985" s="213"/>
      <c r="N985" s="213"/>
      <c r="O985" s="213"/>
      <c r="P985" s="213"/>
      <c r="Q985" s="213"/>
      <c r="R985" s="213"/>
      <c r="S985" s="213"/>
      <c r="T985" s="213"/>
      <c r="U985" s="213"/>
      <c r="V985" s="213"/>
      <c r="W985" s="213"/>
      <c r="X985" s="213"/>
      <c r="Y985" s="213"/>
      <c r="Z985" s="213"/>
      <c r="AA985" s="213"/>
      <c r="AB985" s="213"/>
      <c r="AC985" s="213"/>
      <c r="AD985" s="213"/>
      <c r="AE985" s="213"/>
      <c r="AF985" s="213"/>
      <c r="AG985" s="213"/>
      <c r="AH985" s="213"/>
      <c r="AI985" s="213"/>
      <c r="AJ985" s="213"/>
      <c r="AK985" s="213"/>
      <c r="AL985" s="213"/>
      <c r="AM985" s="302"/>
      <c r="AN985" s="302"/>
      <c r="AO985" s="303"/>
      <c r="AP985" s="285"/>
      <c r="AQ985" s="258"/>
      <c r="AR985" s="258"/>
    </row>
    <row r="986" spans="10:44" s="48" customFormat="1" hidden="1">
      <c r="J986" s="213"/>
      <c r="K986" s="213"/>
      <c r="L986" s="213"/>
      <c r="M986" s="213"/>
      <c r="N986" s="213"/>
      <c r="O986" s="213"/>
      <c r="P986" s="213"/>
      <c r="Q986" s="213"/>
      <c r="R986" s="213"/>
      <c r="S986" s="213"/>
      <c r="T986" s="213"/>
      <c r="U986" s="213"/>
      <c r="V986" s="213"/>
      <c r="W986" s="213"/>
      <c r="X986" s="213"/>
      <c r="Y986" s="213"/>
      <c r="Z986" s="213"/>
      <c r="AA986" s="213"/>
      <c r="AB986" s="213"/>
      <c r="AC986" s="213"/>
      <c r="AD986" s="213"/>
      <c r="AE986" s="213"/>
      <c r="AF986" s="213"/>
      <c r="AG986" s="213"/>
      <c r="AH986" s="213"/>
      <c r="AI986" s="213"/>
      <c r="AJ986" s="213"/>
      <c r="AK986" s="213"/>
      <c r="AL986" s="213"/>
      <c r="AM986" s="302"/>
      <c r="AN986" s="302"/>
      <c r="AO986" s="303"/>
      <c r="AP986" s="285"/>
      <c r="AQ986" s="258"/>
      <c r="AR986" s="258"/>
    </row>
    <row r="987" spans="10:44" s="48" customFormat="1" hidden="1">
      <c r="J987" s="213"/>
      <c r="K987" s="213"/>
      <c r="L987" s="213"/>
      <c r="M987" s="213"/>
      <c r="N987" s="213"/>
      <c r="O987" s="213"/>
      <c r="P987" s="213"/>
      <c r="Q987" s="213"/>
      <c r="R987" s="213"/>
      <c r="S987" s="213"/>
      <c r="T987" s="213"/>
      <c r="U987" s="213"/>
      <c r="V987" s="213"/>
      <c r="W987" s="213"/>
      <c r="X987" s="213"/>
      <c r="Y987" s="213"/>
      <c r="Z987" s="213"/>
      <c r="AA987" s="213"/>
      <c r="AB987" s="213"/>
      <c r="AC987" s="213"/>
      <c r="AD987" s="213"/>
      <c r="AE987" s="213"/>
      <c r="AF987" s="213"/>
      <c r="AG987" s="213"/>
      <c r="AH987" s="213"/>
      <c r="AI987" s="213"/>
      <c r="AJ987" s="213"/>
      <c r="AK987" s="213"/>
      <c r="AL987" s="213"/>
      <c r="AM987" s="302"/>
      <c r="AN987" s="302"/>
      <c r="AO987" s="303"/>
      <c r="AP987" s="285"/>
      <c r="AQ987" s="258"/>
      <c r="AR987" s="258"/>
    </row>
    <row r="988" spans="10:44" s="48" customFormat="1" hidden="1">
      <c r="J988" s="213"/>
      <c r="K988" s="213"/>
      <c r="L988" s="213"/>
      <c r="M988" s="213"/>
      <c r="N988" s="213"/>
      <c r="O988" s="213"/>
      <c r="P988" s="213"/>
      <c r="Q988" s="213"/>
      <c r="R988" s="213"/>
      <c r="S988" s="213"/>
      <c r="T988" s="213"/>
      <c r="U988" s="213"/>
      <c r="V988" s="213"/>
      <c r="W988" s="213"/>
      <c r="X988" s="213"/>
      <c r="Y988" s="213"/>
      <c r="Z988" s="213"/>
      <c r="AA988" s="213"/>
      <c r="AB988" s="213"/>
      <c r="AC988" s="213"/>
      <c r="AD988" s="213"/>
      <c r="AE988" s="213"/>
      <c r="AF988" s="213"/>
      <c r="AG988" s="213"/>
      <c r="AH988" s="213"/>
      <c r="AI988" s="213"/>
      <c r="AJ988" s="213"/>
      <c r="AK988" s="213"/>
      <c r="AL988" s="213"/>
      <c r="AM988" s="302"/>
      <c r="AN988" s="302"/>
      <c r="AO988" s="303"/>
      <c r="AP988" s="285"/>
      <c r="AQ988" s="258"/>
      <c r="AR988" s="258"/>
    </row>
    <row r="989" spans="10:44" s="48" customFormat="1" hidden="1">
      <c r="J989" s="213"/>
      <c r="K989" s="213"/>
      <c r="L989" s="213"/>
      <c r="M989" s="213"/>
      <c r="N989" s="213"/>
      <c r="O989" s="213"/>
      <c r="P989" s="213"/>
      <c r="Q989" s="213"/>
      <c r="R989" s="213"/>
      <c r="S989" s="213"/>
      <c r="T989" s="213"/>
      <c r="U989" s="213"/>
      <c r="V989" s="213"/>
      <c r="W989" s="213"/>
      <c r="X989" s="213"/>
      <c r="Y989" s="213"/>
      <c r="Z989" s="213"/>
      <c r="AA989" s="213"/>
      <c r="AB989" s="213"/>
      <c r="AC989" s="213"/>
      <c r="AD989" s="213"/>
      <c r="AE989" s="213"/>
      <c r="AF989" s="213"/>
      <c r="AG989" s="213"/>
      <c r="AH989" s="213"/>
      <c r="AI989" s="213"/>
      <c r="AJ989" s="213"/>
      <c r="AK989" s="213"/>
      <c r="AL989" s="213"/>
      <c r="AM989" s="302"/>
      <c r="AN989" s="302"/>
      <c r="AO989" s="303"/>
      <c r="AP989" s="285"/>
      <c r="AQ989" s="258"/>
      <c r="AR989" s="258"/>
    </row>
    <row r="990" spans="10:44" s="48" customFormat="1" hidden="1">
      <c r="J990" s="213"/>
      <c r="K990" s="213"/>
      <c r="L990" s="213"/>
      <c r="M990" s="213"/>
      <c r="N990" s="213"/>
      <c r="O990" s="213"/>
      <c r="P990" s="213"/>
      <c r="Q990" s="213"/>
      <c r="R990" s="213"/>
      <c r="S990" s="213"/>
      <c r="T990" s="213"/>
      <c r="U990" s="213"/>
      <c r="V990" s="213"/>
      <c r="W990" s="213"/>
      <c r="X990" s="213"/>
      <c r="Y990" s="213"/>
      <c r="Z990" s="213"/>
      <c r="AA990" s="213"/>
      <c r="AB990" s="213"/>
      <c r="AC990" s="213"/>
      <c r="AD990" s="213"/>
      <c r="AE990" s="213"/>
      <c r="AF990" s="213"/>
      <c r="AG990" s="213"/>
      <c r="AH990" s="213"/>
      <c r="AI990" s="213"/>
      <c r="AJ990" s="213"/>
      <c r="AK990" s="213"/>
      <c r="AL990" s="213"/>
      <c r="AM990" s="302"/>
      <c r="AN990" s="302"/>
      <c r="AO990" s="303"/>
      <c r="AP990" s="285"/>
      <c r="AQ990" s="258"/>
      <c r="AR990" s="258"/>
    </row>
    <row r="991" spans="10:44" s="48" customFormat="1" hidden="1">
      <c r="J991" s="213"/>
      <c r="K991" s="213"/>
      <c r="L991" s="213"/>
      <c r="M991" s="213"/>
      <c r="N991" s="213"/>
      <c r="O991" s="213"/>
      <c r="P991" s="213"/>
      <c r="Q991" s="213"/>
      <c r="R991" s="213"/>
      <c r="S991" s="213"/>
      <c r="T991" s="213"/>
      <c r="U991" s="213"/>
      <c r="V991" s="213"/>
      <c r="W991" s="213"/>
      <c r="X991" s="213"/>
      <c r="Y991" s="213"/>
      <c r="Z991" s="213"/>
      <c r="AA991" s="213"/>
      <c r="AB991" s="213"/>
      <c r="AC991" s="213"/>
      <c r="AD991" s="213"/>
      <c r="AE991" s="213"/>
      <c r="AF991" s="213"/>
      <c r="AG991" s="213"/>
      <c r="AH991" s="213"/>
      <c r="AI991" s="213"/>
      <c r="AJ991" s="213"/>
      <c r="AK991" s="213"/>
      <c r="AL991" s="213"/>
      <c r="AM991" s="302"/>
      <c r="AN991" s="302"/>
      <c r="AO991" s="303"/>
      <c r="AP991" s="285"/>
      <c r="AQ991" s="258"/>
      <c r="AR991" s="258"/>
    </row>
    <row r="992" spans="10:44" s="48" customFormat="1" hidden="1">
      <c r="J992" s="213"/>
      <c r="K992" s="213"/>
      <c r="L992" s="213"/>
      <c r="M992" s="213"/>
      <c r="N992" s="213"/>
      <c r="O992" s="213"/>
      <c r="P992" s="213"/>
      <c r="Q992" s="213"/>
      <c r="R992" s="213"/>
      <c r="S992" s="213"/>
      <c r="T992" s="213"/>
      <c r="U992" s="213"/>
      <c r="V992" s="213"/>
      <c r="W992" s="213"/>
      <c r="X992" s="213"/>
      <c r="Y992" s="213"/>
      <c r="Z992" s="213"/>
      <c r="AA992" s="213"/>
      <c r="AB992" s="213"/>
      <c r="AC992" s="213"/>
      <c r="AD992" s="213"/>
      <c r="AE992" s="213"/>
      <c r="AF992" s="213"/>
      <c r="AG992" s="213"/>
      <c r="AH992" s="213"/>
      <c r="AI992" s="213"/>
      <c r="AJ992" s="213"/>
      <c r="AK992" s="213"/>
      <c r="AL992" s="213"/>
      <c r="AM992" s="302"/>
      <c r="AN992" s="302"/>
      <c r="AO992" s="303"/>
      <c r="AP992" s="285"/>
      <c r="AQ992" s="258"/>
      <c r="AR992" s="258"/>
    </row>
    <row r="993" spans="10:44" s="48" customFormat="1" hidden="1">
      <c r="J993" s="213"/>
      <c r="K993" s="213"/>
      <c r="L993" s="213"/>
      <c r="M993" s="213"/>
      <c r="N993" s="213"/>
      <c r="O993" s="213"/>
      <c r="P993" s="213"/>
      <c r="Q993" s="213"/>
      <c r="R993" s="213"/>
      <c r="S993" s="213"/>
      <c r="T993" s="213"/>
      <c r="U993" s="213"/>
      <c r="V993" s="213"/>
      <c r="W993" s="213"/>
      <c r="X993" s="213"/>
      <c r="Y993" s="213"/>
      <c r="Z993" s="213"/>
      <c r="AA993" s="213"/>
      <c r="AB993" s="213"/>
      <c r="AC993" s="213"/>
      <c r="AD993" s="213"/>
      <c r="AE993" s="213"/>
      <c r="AF993" s="213"/>
      <c r="AG993" s="213"/>
      <c r="AH993" s="213"/>
      <c r="AI993" s="213"/>
      <c r="AJ993" s="213"/>
      <c r="AK993" s="213"/>
      <c r="AL993" s="213"/>
      <c r="AM993" s="302"/>
      <c r="AN993" s="302"/>
      <c r="AO993" s="303"/>
      <c r="AP993" s="285"/>
      <c r="AQ993" s="258"/>
      <c r="AR993" s="258"/>
    </row>
    <row r="994" spans="10:44" s="48" customFormat="1" hidden="1">
      <c r="J994" s="213"/>
      <c r="K994" s="213"/>
      <c r="L994" s="213"/>
      <c r="M994" s="213"/>
      <c r="N994" s="213"/>
      <c r="O994" s="213"/>
      <c r="P994" s="213"/>
      <c r="Q994" s="213"/>
      <c r="R994" s="213"/>
      <c r="S994" s="213"/>
      <c r="T994" s="213"/>
      <c r="U994" s="213"/>
      <c r="V994" s="213"/>
      <c r="W994" s="213"/>
      <c r="X994" s="213"/>
      <c r="Y994" s="213"/>
      <c r="Z994" s="213"/>
      <c r="AA994" s="213"/>
      <c r="AB994" s="213"/>
      <c r="AC994" s="213"/>
      <c r="AD994" s="213"/>
      <c r="AE994" s="213"/>
      <c r="AF994" s="213"/>
      <c r="AG994" s="213"/>
      <c r="AH994" s="213"/>
      <c r="AI994" s="213"/>
      <c r="AJ994" s="213"/>
      <c r="AK994" s="213"/>
      <c r="AL994" s="213"/>
      <c r="AM994" s="302"/>
      <c r="AN994" s="302"/>
      <c r="AO994" s="303"/>
      <c r="AP994" s="285"/>
      <c r="AQ994" s="258"/>
      <c r="AR994" s="258"/>
    </row>
    <row r="995" spans="10:44" s="48" customFormat="1" hidden="1">
      <c r="J995" s="213"/>
      <c r="K995" s="213"/>
      <c r="L995" s="213"/>
      <c r="M995" s="213"/>
      <c r="N995" s="213"/>
      <c r="O995" s="213"/>
      <c r="P995" s="213"/>
      <c r="Q995" s="213"/>
      <c r="R995" s="213"/>
      <c r="S995" s="213"/>
      <c r="T995" s="213"/>
      <c r="U995" s="213"/>
      <c r="V995" s="213"/>
      <c r="W995" s="213"/>
      <c r="X995" s="213"/>
      <c r="Y995" s="213"/>
      <c r="Z995" s="213"/>
      <c r="AA995" s="213"/>
      <c r="AB995" s="213"/>
      <c r="AC995" s="213"/>
      <c r="AD995" s="213"/>
      <c r="AE995" s="213"/>
      <c r="AF995" s="213"/>
      <c r="AG995" s="213"/>
      <c r="AH995" s="213"/>
      <c r="AI995" s="213"/>
      <c r="AJ995" s="213"/>
      <c r="AK995" s="213"/>
      <c r="AL995" s="213"/>
      <c r="AM995" s="302"/>
      <c r="AN995" s="302"/>
      <c r="AO995" s="303"/>
      <c r="AP995" s="285"/>
      <c r="AQ995" s="258"/>
      <c r="AR995" s="258"/>
    </row>
    <row r="996" spans="10:44" s="48" customFormat="1" hidden="1">
      <c r="J996" s="213"/>
      <c r="K996" s="213"/>
      <c r="L996" s="213"/>
      <c r="M996" s="213"/>
      <c r="N996" s="213"/>
      <c r="O996" s="213"/>
      <c r="P996" s="213"/>
      <c r="Q996" s="213"/>
      <c r="R996" s="213"/>
      <c r="S996" s="213"/>
      <c r="T996" s="213"/>
      <c r="U996" s="213"/>
      <c r="V996" s="213"/>
      <c r="W996" s="213"/>
      <c r="X996" s="213"/>
      <c r="Y996" s="213"/>
      <c r="Z996" s="213"/>
      <c r="AA996" s="213"/>
      <c r="AB996" s="213"/>
      <c r="AC996" s="213"/>
      <c r="AD996" s="213"/>
      <c r="AE996" s="213"/>
      <c r="AF996" s="213"/>
      <c r="AG996" s="213"/>
      <c r="AH996" s="213"/>
      <c r="AI996" s="213"/>
      <c r="AJ996" s="213"/>
      <c r="AK996" s="213"/>
      <c r="AL996" s="213"/>
      <c r="AM996" s="302"/>
      <c r="AN996" s="302"/>
      <c r="AO996" s="303"/>
      <c r="AP996" s="285"/>
      <c r="AQ996" s="258"/>
      <c r="AR996" s="258"/>
    </row>
    <row r="997" spans="10:44" s="48" customFormat="1" hidden="1">
      <c r="J997" s="213"/>
      <c r="K997" s="213"/>
      <c r="L997" s="213"/>
      <c r="M997" s="213"/>
      <c r="N997" s="213"/>
      <c r="O997" s="213"/>
      <c r="P997" s="213"/>
      <c r="Q997" s="213"/>
      <c r="R997" s="213"/>
      <c r="S997" s="213"/>
      <c r="T997" s="213"/>
      <c r="U997" s="213"/>
      <c r="V997" s="213"/>
      <c r="W997" s="213"/>
      <c r="X997" s="213"/>
      <c r="Y997" s="213"/>
      <c r="Z997" s="213"/>
      <c r="AA997" s="213"/>
      <c r="AB997" s="213"/>
      <c r="AC997" s="213"/>
      <c r="AD997" s="213"/>
      <c r="AE997" s="213"/>
      <c r="AF997" s="213"/>
      <c r="AG997" s="213"/>
      <c r="AH997" s="213"/>
      <c r="AI997" s="213"/>
      <c r="AJ997" s="213"/>
      <c r="AK997" s="213"/>
      <c r="AL997" s="213"/>
      <c r="AM997" s="302"/>
      <c r="AN997" s="302"/>
      <c r="AO997" s="303"/>
      <c r="AP997" s="285"/>
      <c r="AQ997" s="258"/>
      <c r="AR997" s="258"/>
    </row>
    <row r="998" spans="10:44" s="48" customFormat="1" hidden="1">
      <c r="J998" s="213"/>
      <c r="K998" s="213"/>
      <c r="L998" s="213"/>
      <c r="M998" s="213"/>
      <c r="N998" s="213"/>
      <c r="O998" s="213"/>
      <c r="P998" s="213"/>
      <c r="Q998" s="213"/>
      <c r="R998" s="213"/>
      <c r="S998" s="213"/>
      <c r="T998" s="213"/>
      <c r="U998" s="213"/>
      <c r="V998" s="213"/>
      <c r="W998" s="213"/>
      <c r="X998" s="213"/>
      <c r="Y998" s="213"/>
      <c r="Z998" s="213"/>
      <c r="AA998" s="213"/>
      <c r="AB998" s="213"/>
      <c r="AC998" s="213"/>
      <c r="AD998" s="213"/>
      <c r="AE998" s="213"/>
      <c r="AF998" s="213"/>
      <c r="AG998" s="213"/>
      <c r="AH998" s="213"/>
      <c r="AI998" s="213"/>
      <c r="AJ998" s="213"/>
      <c r="AK998" s="213"/>
      <c r="AL998" s="213"/>
      <c r="AM998" s="302"/>
      <c r="AN998" s="302"/>
      <c r="AO998" s="303"/>
      <c r="AP998" s="285"/>
      <c r="AQ998" s="258"/>
      <c r="AR998" s="258"/>
    </row>
    <row r="999" spans="10:44" s="48" customFormat="1" hidden="1">
      <c r="J999" s="213"/>
      <c r="K999" s="213"/>
      <c r="L999" s="213"/>
      <c r="M999" s="213"/>
      <c r="N999" s="213"/>
      <c r="O999" s="213"/>
      <c r="P999" s="213"/>
      <c r="Q999" s="213"/>
      <c r="R999" s="213"/>
      <c r="S999" s="213"/>
      <c r="T999" s="213"/>
      <c r="U999" s="213"/>
      <c r="V999" s="213"/>
      <c r="W999" s="213"/>
      <c r="X999" s="213"/>
      <c r="Y999" s="213"/>
      <c r="Z999" s="213"/>
      <c r="AA999" s="213"/>
      <c r="AB999" s="213"/>
      <c r="AC999" s="213"/>
      <c r="AD999" s="213"/>
      <c r="AE999" s="213"/>
      <c r="AF999" s="213"/>
      <c r="AG999" s="213"/>
      <c r="AH999" s="213"/>
      <c r="AI999" s="213"/>
      <c r="AJ999" s="213"/>
      <c r="AK999" s="213"/>
      <c r="AL999" s="213"/>
      <c r="AM999" s="302"/>
      <c r="AN999" s="302"/>
      <c r="AO999" s="303"/>
      <c r="AP999" s="285"/>
      <c r="AQ999" s="258"/>
      <c r="AR999" s="258"/>
    </row>
    <row r="1000" spans="10:44" s="48" customFormat="1" hidden="1">
      <c r="J1000" s="213"/>
      <c r="K1000" s="213"/>
      <c r="L1000" s="213"/>
      <c r="M1000" s="213"/>
      <c r="N1000" s="213"/>
      <c r="O1000" s="213"/>
      <c r="P1000" s="213"/>
      <c r="Q1000" s="213"/>
      <c r="R1000" s="213"/>
      <c r="S1000" s="213"/>
      <c r="T1000" s="213"/>
      <c r="U1000" s="213"/>
      <c r="V1000" s="213"/>
      <c r="W1000" s="213"/>
      <c r="X1000" s="213"/>
      <c r="Y1000" s="213"/>
      <c r="Z1000" s="213"/>
      <c r="AA1000" s="213"/>
      <c r="AB1000" s="213"/>
      <c r="AC1000" s="213"/>
      <c r="AD1000" s="213"/>
      <c r="AE1000" s="213"/>
      <c r="AF1000" s="213"/>
      <c r="AG1000" s="213"/>
      <c r="AH1000" s="213"/>
      <c r="AI1000" s="213"/>
      <c r="AJ1000" s="213"/>
      <c r="AK1000" s="213"/>
      <c r="AL1000" s="213"/>
      <c r="AM1000" s="283"/>
      <c r="AN1000" s="283"/>
      <c r="AO1000" s="215"/>
      <c r="AP1000" s="286"/>
      <c r="AQ1000" s="265"/>
      <c r="AR1000" s="265"/>
    </row>
    <row r="1001" spans="10:44" s="48" customFormat="1">
      <c r="J1001" s="213"/>
      <c r="K1001" s="213"/>
      <c r="L1001" s="213"/>
      <c r="M1001" s="213"/>
      <c r="N1001" s="213"/>
      <c r="O1001" s="213"/>
      <c r="P1001" s="213"/>
      <c r="Q1001" s="213"/>
      <c r="R1001" s="213"/>
      <c r="S1001" s="213"/>
      <c r="T1001" s="213"/>
      <c r="U1001" s="213"/>
      <c r="V1001" s="213"/>
      <c r="W1001" s="213"/>
      <c r="X1001" s="213"/>
      <c r="Y1001" s="213"/>
      <c r="Z1001" s="213"/>
      <c r="AA1001" s="213"/>
      <c r="AB1001" s="213"/>
      <c r="AC1001" s="213"/>
      <c r="AD1001" s="213"/>
      <c r="AE1001" s="213"/>
      <c r="AF1001" s="213"/>
      <c r="AG1001" s="213"/>
      <c r="AH1001" s="213"/>
      <c r="AI1001" s="213"/>
      <c r="AJ1001" s="213"/>
      <c r="AK1001" s="213"/>
      <c r="AL1001" s="213"/>
      <c r="AM1001" s="199"/>
      <c r="AN1001" s="199"/>
      <c r="AP1001" s="121"/>
      <c r="AQ1001" s="121"/>
    </row>
  </sheetData>
  <sheetProtection password="FA9C" sheet="1" objects="1" scenarios="1" formatColumns="0" formatRows="0"/>
  <mergeCells count="5">
    <mergeCell ref="AM9:AP9"/>
    <mergeCell ref="AM11:AM12"/>
    <mergeCell ref="AN11:AN12"/>
    <mergeCell ref="AO11:AO12"/>
    <mergeCell ref="AP11:AP12"/>
  </mergeCells>
  <phoneticPr fontId="8" type="noConversion"/>
  <dataValidations count="1">
    <dataValidation type="decimal" allowBlank="1" showInputMessage="1" showErrorMessage="1" error="Ввведеное значение неверно" sqref="AP178:AP188 AP191">
      <formula1>-1000000000000000</formula1>
      <formula2>1000000000000000</formula2>
    </dataValidation>
  </dataValidations>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sheetPr codeName="HEAT_TM1_PERIOD1">
    <tabColor rgb="FFFFC000"/>
    <pageSetUpPr fitToPage="1"/>
  </sheetPr>
  <dimension ref="A1:EV22"/>
  <sheetViews>
    <sheetView showGridLines="0" topLeftCell="E3" workbookViewId="0">
      <pane xSplit="5" ySplit="19" topLeftCell="J22" activePane="bottomRight" state="frozen"/>
      <selection activeCell="I3" sqref="I3"/>
      <selection pane="topRight" activeCell="I3" sqref="I3"/>
      <selection pane="bottomLeft" activeCell="I3" sqref="I3"/>
      <selection pane="bottomRight"/>
    </sheetView>
  </sheetViews>
  <sheetFormatPr defaultRowHeight="11.25"/>
  <cols>
    <col min="1" max="3" width="5.7109375" style="162" hidden="1" customWidth="1"/>
    <col min="4" max="4" width="3.7109375" style="159" hidden="1" customWidth="1"/>
    <col min="5" max="5" width="5.7109375" style="179" customWidth="1"/>
    <col min="6" max="6" width="4.7109375" style="39" customWidth="1"/>
    <col min="7" max="7" width="40.7109375" style="39" customWidth="1"/>
    <col min="8" max="8" width="12.5703125" style="39" customWidth="1"/>
    <col min="9" max="9" width="25.28515625" style="39" customWidth="1"/>
    <col min="10" max="10" width="20.7109375" style="39" customWidth="1"/>
    <col min="11" max="12" width="10.7109375" style="39" hidden="1" customWidth="1"/>
    <col min="13" max="14" width="12.7109375" style="39" hidden="1" customWidth="1"/>
    <col min="15" max="15" width="0.140625" style="39" hidden="1" customWidth="1"/>
    <col min="16" max="19" width="12.7109375" style="39" hidden="1" customWidth="1"/>
    <col min="20" max="21" width="0.140625" style="39" hidden="1" customWidth="1"/>
    <col min="22" max="23" width="12.7109375" style="39" hidden="1" customWidth="1"/>
    <col min="24" max="24" width="10.7109375" style="39" hidden="1" customWidth="1"/>
    <col min="25" max="26" width="0.140625" style="39" customWidth="1"/>
    <col min="27" max="30" width="9.7109375" style="39" customWidth="1"/>
    <col min="31" max="31" width="17.7109375" style="39" customWidth="1"/>
    <col min="32" max="33" width="9.7109375" style="39" customWidth="1"/>
    <col min="34" max="36" width="0.140625" style="39" customWidth="1"/>
    <col min="37" max="38" width="9.7109375" style="39" customWidth="1"/>
    <col min="39" max="39" width="15.7109375" style="39" customWidth="1"/>
    <col min="40" max="41" width="9.7109375" style="39" customWidth="1"/>
    <col min="42" max="42" width="15.7109375" style="39" customWidth="1"/>
    <col min="43" max="44" width="9.7109375" style="39" customWidth="1"/>
    <col min="45" max="45" width="15.7109375" style="39" customWidth="1"/>
    <col min="46" max="47" width="9.7109375" style="39" customWidth="1"/>
    <col min="48" max="48" width="15.7109375" style="39" customWidth="1"/>
    <col min="49" max="50" width="9.7109375" style="39" customWidth="1"/>
    <col min="51" max="51" width="15.7109375" style="39" customWidth="1"/>
    <col min="52" max="108" width="1.7109375" style="162" customWidth="1"/>
    <col min="109" max="109" width="8.7109375" style="162" hidden="1" customWidth="1"/>
    <col min="110" max="121" width="6.7109375" style="162" hidden="1" customWidth="1"/>
    <col min="122" max="126" width="6.7109375" customWidth="1"/>
    <col min="127" max="127" width="2.7109375" style="162" customWidth="1"/>
    <col min="128" max="152" width="9.140625" style="162"/>
    <col min="153" max="16384" width="9.140625" style="39"/>
  </cols>
  <sheetData>
    <row r="1" spans="1:126" ht="12" hidden="1" customHeight="1">
      <c r="A1" s="178"/>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row>
    <row r="2" spans="1:126" ht="12" hidden="1" customHeight="1">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row>
    <row r="3" spans="1:126" ht="12" customHeight="1">
      <c r="F3" s="637"/>
      <c r="G3" s="123" t="str">
        <f>"Необходимо указывать " &amp; IF(TARIFF_SETUP_METHOD_CODE="BY_PSEUDO_YEARS","общегодовые значения","значения по периодам")</f>
        <v>Необходимо указывать значения по периодам</v>
      </c>
      <c r="H3" s="616" t="s">
        <v>785</v>
      </c>
      <c r="I3" s="637">
        <f>IF(TARIFF_SETUP_METHOD_CODE="BY_PSEUDO_YEARS",12,6)</f>
        <v>6</v>
      </c>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row>
    <row r="4" spans="1:126" ht="3" customHeight="1">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row>
    <row r="5" spans="1:126" s="419" customFormat="1" ht="18" customHeight="1">
      <c r="D5" s="420"/>
      <c r="E5" s="421"/>
      <c r="F5" s="422" t="str">
        <f>"Тарифы организаций " &amp; TEMPLATE_SPHERE &amp; " на услуги по передаче (транспортировке) по муниципальному образованию - " &amp; IF(mo="","Не определено",mo)</f>
        <v>Тарифы организаций водоотведения на услуги по передаче (транспортировке) по муниципальному образованию - Село Булава</v>
      </c>
      <c r="G5" s="416"/>
      <c r="H5" s="416"/>
      <c r="I5" s="416"/>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21"/>
      <c r="BA5" s="421"/>
      <c r="BB5" s="421"/>
      <c r="BC5" s="421"/>
      <c r="BD5" s="421"/>
      <c r="BE5" s="421"/>
      <c r="BF5" s="421"/>
      <c r="BG5" s="421"/>
      <c r="BH5" s="421"/>
      <c r="BI5" s="421"/>
      <c r="BJ5" s="421"/>
      <c r="BK5" s="421"/>
      <c r="BL5" s="421"/>
      <c r="BM5" s="421"/>
      <c r="BN5" s="421"/>
      <c r="BO5" s="421"/>
      <c r="BP5" s="421"/>
      <c r="BQ5" s="421"/>
      <c r="BR5" s="421"/>
      <c r="BS5" s="421"/>
      <c r="BT5" s="421"/>
      <c r="BU5" s="421"/>
      <c r="BV5" s="421"/>
      <c r="BW5" s="421"/>
      <c r="BX5" s="421"/>
      <c r="BY5" s="421"/>
      <c r="BZ5" s="421"/>
      <c r="CA5" s="421"/>
      <c r="CB5" s="421"/>
      <c r="CC5" s="421"/>
      <c r="CD5" s="421"/>
      <c r="CE5" s="421"/>
      <c r="CF5" s="421"/>
      <c r="CG5" s="421"/>
      <c r="CH5" s="421"/>
      <c r="CI5" s="421"/>
      <c r="CJ5" s="421"/>
      <c r="CK5" s="421"/>
      <c r="CL5" s="421"/>
      <c r="CM5" s="421"/>
      <c r="CN5" s="421"/>
      <c r="CO5" s="421"/>
      <c r="CP5" s="421"/>
      <c r="CQ5" s="421"/>
      <c r="CR5" s="421"/>
      <c r="CS5" s="421"/>
      <c r="CT5" s="421"/>
      <c r="CU5" s="421"/>
      <c r="CV5" s="421"/>
      <c r="CW5" s="421"/>
      <c r="CX5" s="421"/>
      <c r="CY5" s="421"/>
      <c r="CZ5" s="421"/>
      <c r="DA5" s="421"/>
      <c r="DB5" s="421"/>
      <c r="DC5" s="421"/>
      <c r="DD5" s="421"/>
      <c r="DE5" s="421"/>
      <c r="DF5" s="421"/>
      <c r="DG5" s="421"/>
      <c r="DR5"/>
      <c r="DS5"/>
      <c r="DT5"/>
      <c r="DU5"/>
      <c r="DV5"/>
    </row>
    <row r="6" spans="1:126" ht="2.25" customHeight="1">
      <c r="E6" s="184"/>
      <c r="F6" s="185"/>
      <c r="G6" s="162"/>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B6" s="185"/>
      <c r="DC6" s="185"/>
      <c r="DD6" s="185"/>
      <c r="DE6" s="185"/>
      <c r="DF6" s="185"/>
      <c r="DG6" s="185"/>
    </row>
    <row r="7" spans="1:126" ht="12" customHeight="1">
      <c r="E7" s="184"/>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row>
    <row r="8" spans="1:126" s="164" customFormat="1" ht="12" customHeight="1">
      <c r="D8" s="165"/>
      <c r="E8" s="166"/>
      <c r="F8" s="158"/>
      <c r="G8" s="188"/>
      <c r="H8" s="180"/>
      <c r="I8" s="195" t="s">
        <v>625</v>
      </c>
      <c r="J8" s="180"/>
      <c r="K8" s="921"/>
      <c r="L8" s="921"/>
      <c r="M8" s="921"/>
      <c r="N8" s="921"/>
      <c r="O8" s="921"/>
      <c r="P8" s="921"/>
      <c r="Q8" s="921"/>
      <c r="R8" s="921"/>
      <c r="S8" s="921"/>
      <c r="T8" s="921"/>
      <c r="U8" s="921"/>
      <c r="V8" s="921"/>
      <c r="W8" s="921"/>
      <c r="X8" s="921"/>
      <c r="Y8" s="921"/>
      <c r="Z8" s="921"/>
      <c r="AA8" s="921"/>
      <c r="AB8" s="921"/>
      <c r="AC8" s="921"/>
      <c r="AD8" s="921"/>
      <c r="AE8" s="921"/>
      <c r="AF8" s="158"/>
      <c r="AG8" s="158"/>
      <c r="AH8" s="158"/>
      <c r="AI8" s="158"/>
      <c r="AJ8" s="158"/>
      <c r="AK8" s="921"/>
      <c r="AL8" s="921"/>
      <c r="AM8" s="921"/>
      <c r="AN8" s="921"/>
      <c r="AO8" s="921"/>
      <c r="AP8" s="921"/>
      <c r="AQ8" s="921"/>
      <c r="AR8" s="921"/>
      <c r="AS8" s="921"/>
      <c r="AT8" s="921"/>
      <c r="AU8" s="921"/>
      <c r="AV8" s="921"/>
      <c r="AW8" s="921"/>
      <c r="AX8" s="921"/>
      <c r="AY8" s="921"/>
      <c r="AZ8" s="921"/>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c r="DR8"/>
      <c r="DS8"/>
      <c r="DT8"/>
      <c r="DU8"/>
      <c r="DV8"/>
    </row>
    <row r="9" spans="1:126" customFormat="1" ht="12" hidden="1" customHeight="1"/>
    <row r="10" spans="1:126" customFormat="1" ht="12" hidden="1" customHeight="1"/>
    <row r="11" spans="1:126" customFormat="1" ht="12" customHeight="1">
      <c r="K11" s="444" t="s">
        <v>652</v>
      </c>
    </row>
    <row r="12" spans="1:126" customFormat="1" ht="12" hidden="1" customHeight="1"/>
    <row r="13" spans="1:126" s="164" customFormat="1" ht="12" customHeight="1">
      <c r="D13" s="165"/>
      <c r="E13" s="166"/>
      <c r="F13" s="158"/>
      <c r="G13" s="167"/>
      <c r="H13" s="180"/>
      <c r="J13" s="120"/>
      <c r="K13" s="922" t="s">
        <v>2863</v>
      </c>
      <c r="L13" s="922"/>
      <c r="M13" s="922"/>
      <c r="N13" s="922"/>
      <c r="O13" s="922"/>
      <c r="P13" s="922"/>
      <c r="Q13" s="922"/>
      <c r="R13" s="922"/>
      <c r="S13" s="922"/>
      <c r="T13" s="922"/>
      <c r="U13" s="922"/>
      <c r="V13" s="922"/>
      <c r="W13" s="922"/>
      <c r="X13" s="922"/>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R13"/>
      <c r="DS13"/>
      <c r="DT13"/>
      <c r="DU13"/>
      <c r="DV13"/>
    </row>
    <row r="14" spans="1:126" ht="27" customHeight="1">
      <c r="E14" s="184"/>
      <c r="F14" s="827" t="s">
        <v>641</v>
      </c>
      <c r="G14" s="827" t="s">
        <v>735</v>
      </c>
      <c r="H14" s="870" t="s">
        <v>2179</v>
      </c>
      <c r="I14" s="870"/>
      <c r="J14" s="827" t="s">
        <v>626</v>
      </c>
      <c r="K14" s="802" t="s">
        <v>2584</v>
      </c>
      <c r="L14" s="802"/>
      <c r="M14" s="802"/>
      <c r="N14" s="802" t="s">
        <v>2569</v>
      </c>
      <c r="O14" s="802"/>
      <c r="P14" s="802" t="s">
        <v>2570</v>
      </c>
      <c r="Q14" s="802"/>
      <c r="R14" s="802" t="s">
        <v>2862</v>
      </c>
      <c r="S14" s="802"/>
      <c r="T14" s="802"/>
      <c r="U14" s="802"/>
      <c r="V14" s="802" t="s">
        <v>2571</v>
      </c>
      <c r="W14" s="802"/>
      <c r="X14" s="802" t="s">
        <v>2572</v>
      </c>
      <c r="Y14" s="596"/>
      <c r="Z14" s="596"/>
      <c r="AA14" s="872" t="str">
        <f>"Средневзвешенный тариф на услуги по передаче (транспортировке) " &amp; RESOURCE_IDENTIFIER &amp; " с учётом инвестиционной составляющей, " &amp; IF(TRANSMISSION_TARIFF="","?",TRANSMISSION_TARIFF)</f>
        <v>Средневзвешенный тариф на услуги по передаче (транспортировке) стоков с учётом инвестиционной составляющей, руб/куб.м</v>
      </c>
      <c r="AB14" s="873"/>
      <c r="AC14" s="872" t="str">
        <f>"Средневзвешенный тариф на услуги по передаче (транспортировке) " &amp; RESOURCE_IDENTIFIER &amp; " без учёта инвестиционной составляющей, " &amp; IF(TRANSMISSION_TARIFF="","?",TRANSMISSION_TARIFF)</f>
        <v>Средневзвешенный тариф на услуги по передаче (транспортировке) стоков без учёта инвестиционной составляющей, руб/куб.м</v>
      </c>
      <c r="AD14" s="873"/>
      <c r="AE14" s="879" t="str">
        <f>"Объём " &amp; IF(RESOURCE_IDENTIFIER="стоков","перекачиваемых " &amp; RESOURCE_IDENTIFIER,"передаваемой " &amp; RESOURCE_IDENTIFIER) &amp; " при транспортировке, "&amp; IF(TRANSMISSION_TARIFF="руб/Гкал","Гкал",IF(TRANSMISSION_TARIFF="руб/Гкал*час в мес","Гкал*час в мес",IF(TRANSMISSION_TARIFF="руб/куб.м","куб.м","(размерность не указана)")))</f>
        <v>Объём перекачиваемых стоков при транспортировке, куб.м</v>
      </c>
      <c r="AF14" s="872" t="str">
        <f>"Инвестиционная составляющая, " &amp; IF(TRANSMISSION_TARIFF="","?",TRANSMISSION_TARIFF)</f>
        <v>Инвестиционная составляющая, руб/куб.м</v>
      </c>
      <c r="AG14" s="873"/>
      <c r="AH14" s="872"/>
      <c r="AI14" s="873"/>
      <c r="AJ14" s="830"/>
      <c r="AK14" s="828" t="s">
        <v>3154</v>
      </c>
      <c r="AL14" s="828"/>
      <c r="AM14" s="828"/>
      <c r="AN14" s="828" t="s">
        <v>424</v>
      </c>
      <c r="AO14" s="828"/>
      <c r="AP14" s="828"/>
      <c r="AQ14" s="828" t="s">
        <v>3155</v>
      </c>
      <c r="AR14" s="828"/>
      <c r="AS14" s="828"/>
      <c r="AT14" s="828" t="s">
        <v>3156</v>
      </c>
      <c r="AU14" s="828"/>
      <c r="AV14" s="878"/>
      <c r="AW14" s="828" t="s">
        <v>3157</v>
      </c>
      <c r="AX14" s="828"/>
      <c r="AY14" s="828"/>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row>
    <row r="15" spans="1:126" ht="69" customHeight="1">
      <c r="E15" s="184"/>
      <c r="F15" s="827"/>
      <c r="G15" s="827"/>
      <c r="H15" s="870"/>
      <c r="I15" s="870"/>
      <c r="J15" s="827"/>
      <c r="K15" s="802" t="s">
        <v>2581</v>
      </c>
      <c r="L15" s="802" t="s">
        <v>2582</v>
      </c>
      <c r="M15" s="802" t="s">
        <v>2583</v>
      </c>
      <c r="N15" s="802"/>
      <c r="O15" s="802"/>
      <c r="P15" s="802" t="s">
        <v>2573</v>
      </c>
      <c r="Q15" s="802" t="s">
        <v>2574</v>
      </c>
      <c r="R15" s="802" t="s">
        <v>2573</v>
      </c>
      <c r="S15" s="802" t="s">
        <v>2574</v>
      </c>
      <c r="T15" s="802"/>
      <c r="U15" s="802"/>
      <c r="V15" s="802" t="s">
        <v>2575</v>
      </c>
      <c r="W15" s="802" t="s">
        <v>2576</v>
      </c>
      <c r="X15" s="802"/>
      <c r="Y15" s="597"/>
      <c r="Z15" s="597"/>
      <c r="AA15" s="874"/>
      <c r="AB15" s="875"/>
      <c r="AC15" s="874"/>
      <c r="AD15" s="875"/>
      <c r="AE15" s="879"/>
      <c r="AF15" s="874"/>
      <c r="AG15" s="875"/>
      <c r="AH15" s="876"/>
      <c r="AI15" s="877"/>
      <c r="AJ15" s="923"/>
      <c r="AK15" s="828" t="str">
        <f>"Тариф, " &amp; IF(TRANSMISSION_TARIFF="","?",TRANSMISSION_TARIFF)</f>
        <v>Тариф, руб/куб.м</v>
      </c>
      <c r="AL15" s="828"/>
      <c r="AM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N15" s="828" t="str">
        <f>"Тариф, " &amp; IF(TRANSMISSION_TARIFF="","?",TRANSMISSION_TARIFF)</f>
        <v>Тариф, руб/куб.м</v>
      </c>
      <c r="AO15" s="828"/>
      <c r="AP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Q15" s="828" t="str">
        <f>"Тариф, " &amp; IF(TRANSMISSION_TARIFF="","?",TRANSMISSION_TARIFF)</f>
        <v>Тариф, руб/куб.м</v>
      </c>
      <c r="AR15" s="828"/>
      <c r="AS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T15" s="828" t="str">
        <f>"Тариф, " &amp; IF(TRANSMISSION_TARIFF="","?",TRANSMISSION_TARIFF)</f>
        <v>Тариф, руб/куб.м</v>
      </c>
      <c r="AU15" s="828"/>
      <c r="AV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W15" s="828" t="str">
        <f>"Тариф, " &amp; IF(TRANSMISSION_TARIFF="","?",TRANSMISSION_TARIFF)</f>
        <v>Тариф, руб/куб.м</v>
      </c>
      <c r="AX15" s="828"/>
      <c r="AY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row>
    <row r="16" spans="1:126" ht="18" customHeight="1">
      <c r="E16" s="184"/>
      <c r="F16" s="827"/>
      <c r="G16" s="827"/>
      <c r="H16" s="870"/>
      <c r="I16" s="870"/>
      <c r="J16" s="827"/>
      <c r="K16" s="802"/>
      <c r="L16" s="802"/>
      <c r="M16" s="802"/>
      <c r="N16" s="802"/>
      <c r="O16" s="802"/>
      <c r="P16" s="802"/>
      <c r="Q16" s="802"/>
      <c r="R16" s="802"/>
      <c r="S16" s="802"/>
      <c r="T16" s="802"/>
      <c r="U16" s="802"/>
      <c r="V16" s="802"/>
      <c r="W16" s="802"/>
      <c r="X16" s="802"/>
      <c r="Y16" s="498"/>
      <c r="Z16" s="498"/>
      <c r="AA16" s="128" t="s">
        <v>627</v>
      </c>
      <c r="AB16" s="128" t="s">
        <v>628</v>
      </c>
      <c r="AC16" s="128" t="s">
        <v>627</v>
      </c>
      <c r="AD16" s="128" t="s">
        <v>628</v>
      </c>
      <c r="AE16" s="879"/>
      <c r="AF16" s="128" t="s">
        <v>627</v>
      </c>
      <c r="AG16" s="128" t="s">
        <v>628</v>
      </c>
      <c r="AH16" s="128"/>
      <c r="AI16" s="128"/>
      <c r="AJ16" s="831"/>
      <c r="AK16" s="128" t="s">
        <v>627</v>
      </c>
      <c r="AL16" s="128" t="s">
        <v>628</v>
      </c>
      <c r="AM16" s="831"/>
      <c r="AN16" s="128" t="s">
        <v>627</v>
      </c>
      <c r="AO16" s="128" t="s">
        <v>628</v>
      </c>
      <c r="AP16" s="831"/>
      <c r="AQ16" s="128" t="s">
        <v>627</v>
      </c>
      <c r="AR16" s="128" t="s">
        <v>628</v>
      </c>
      <c r="AS16" s="831"/>
      <c r="AT16" s="128" t="s">
        <v>627</v>
      </c>
      <c r="AU16" s="128" t="s">
        <v>628</v>
      </c>
      <c r="AV16" s="831"/>
      <c r="AW16" s="128" t="s">
        <v>627</v>
      </c>
      <c r="AX16" s="128" t="s">
        <v>628</v>
      </c>
      <c r="AY16" s="831"/>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c r="DG16"/>
      <c r="DH16"/>
      <c r="DI16"/>
      <c r="DJ16"/>
      <c r="DK16"/>
      <c r="DL16"/>
      <c r="DM16"/>
      <c r="DN16"/>
      <c r="DO16"/>
      <c r="DP16"/>
      <c r="DQ16"/>
    </row>
    <row r="17" spans="1:121" ht="12" customHeight="1">
      <c r="E17" s="184"/>
      <c r="F17" s="182"/>
      <c r="G17" s="182" t="s">
        <v>759</v>
      </c>
      <c r="H17" s="183" t="s">
        <v>629</v>
      </c>
      <c r="I17" s="183" t="s">
        <v>630</v>
      </c>
      <c r="J17" s="183" t="s">
        <v>631</v>
      </c>
      <c r="K17" s="183" t="s">
        <v>2851</v>
      </c>
      <c r="L17" s="183" t="s">
        <v>2852</v>
      </c>
      <c r="M17" s="183" t="s">
        <v>2853</v>
      </c>
      <c r="N17" s="183" t="s">
        <v>2854</v>
      </c>
      <c r="O17" s="183"/>
      <c r="P17" s="183" t="s">
        <v>2855</v>
      </c>
      <c r="Q17" s="183" t="s">
        <v>2856</v>
      </c>
      <c r="R17" s="183" t="s">
        <v>2857</v>
      </c>
      <c r="S17" s="183" t="s">
        <v>2858</v>
      </c>
      <c r="T17" s="183"/>
      <c r="U17" s="183"/>
      <c r="V17" s="183" t="s">
        <v>2859</v>
      </c>
      <c r="W17" s="183" t="s">
        <v>2860</v>
      </c>
      <c r="X17" s="183" t="s">
        <v>2861</v>
      </c>
      <c r="Y17" s="183"/>
      <c r="Z17" s="183"/>
      <c r="AA17" s="472" t="s">
        <v>2501</v>
      </c>
      <c r="AB17" s="472" t="s">
        <v>2502</v>
      </c>
      <c r="AC17" s="472" t="s">
        <v>794</v>
      </c>
      <c r="AD17" s="472" t="s">
        <v>61</v>
      </c>
      <c r="AE17" s="183" t="s">
        <v>63</v>
      </c>
      <c r="AF17" s="472" t="s">
        <v>2397</v>
      </c>
      <c r="AG17" s="472" t="s">
        <v>2398</v>
      </c>
      <c r="AH17" s="472"/>
      <c r="AI17" s="472"/>
      <c r="AJ17" s="472"/>
      <c r="AK17" s="183" t="s">
        <v>632</v>
      </c>
      <c r="AL17" s="183" t="s">
        <v>633</v>
      </c>
      <c r="AM17" s="183" t="s">
        <v>634</v>
      </c>
      <c r="AN17" s="183" t="s">
        <v>635</v>
      </c>
      <c r="AO17" s="183" t="s">
        <v>883</v>
      </c>
      <c r="AP17" s="183" t="s">
        <v>884</v>
      </c>
      <c r="AQ17" s="183" t="s">
        <v>885</v>
      </c>
      <c r="AR17" s="183" t="s">
        <v>886</v>
      </c>
      <c r="AS17" s="183" t="s">
        <v>887</v>
      </c>
      <c r="AT17" s="183" t="s">
        <v>888</v>
      </c>
      <c r="AU17" s="183" t="s">
        <v>889</v>
      </c>
      <c r="AV17" s="477" t="s">
        <v>890</v>
      </c>
      <c r="AW17" s="183" t="s">
        <v>891</v>
      </c>
      <c r="AX17" s="183" t="s">
        <v>892</v>
      </c>
      <c r="AY17" s="183" t="s">
        <v>893</v>
      </c>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472" t="s">
        <v>96</v>
      </c>
      <c r="DF17" s="472" t="s">
        <v>289</v>
      </c>
      <c r="DG17" s="472" t="s">
        <v>290</v>
      </c>
      <c r="DH17" s="472" t="s">
        <v>632</v>
      </c>
      <c r="DI17" s="472" t="s">
        <v>633</v>
      </c>
      <c r="DJ17" s="472" t="s">
        <v>635</v>
      </c>
      <c r="DK17" s="472" t="s">
        <v>883</v>
      </c>
      <c r="DL17" s="472" t="s">
        <v>885</v>
      </c>
      <c r="DM17" s="472" t="s">
        <v>886</v>
      </c>
      <c r="DN17" s="472" t="s">
        <v>888</v>
      </c>
      <c r="DO17" s="472" t="s">
        <v>889</v>
      </c>
      <c r="DP17" s="472" t="s">
        <v>891</v>
      </c>
      <c r="DQ17" s="472" t="s">
        <v>892</v>
      </c>
    </row>
    <row r="18" spans="1:121" ht="24" customHeight="1">
      <c r="A18" s="181"/>
      <c r="B18" s="181"/>
      <c r="C18" s="181"/>
      <c r="E18" s="184"/>
      <c r="F18" s="619" t="s">
        <v>3141</v>
      </c>
      <c r="G18" s="581" t="s">
        <v>778</v>
      </c>
      <c r="H18" s="583" t="s">
        <v>1768</v>
      </c>
      <c r="I18" s="129"/>
      <c r="J18" s="177"/>
      <c r="K18" s="129"/>
      <c r="L18" s="129"/>
      <c r="M18" s="129"/>
      <c r="N18" s="129"/>
      <c r="O18" s="129"/>
      <c r="P18" s="129"/>
      <c r="Q18" s="129"/>
      <c r="R18" s="129"/>
      <c r="S18" s="129"/>
      <c r="T18" s="129"/>
      <c r="U18" s="129"/>
      <c r="V18" s="129"/>
      <c r="W18" s="129"/>
      <c r="X18" s="129"/>
      <c r="Y18" s="129"/>
      <c r="Z18" s="129"/>
      <c r="AA18" s="398">
        <f>IF((AS18+AV18+AY18)=0,0,(AQ18*AS18+AT18*AV18+AW18*AY18)/(AS18+AV18+AY18))</f>
        <v>0</v>
      </c>
      <c r="AB18" s="398">
        <f>IF((AS18+AV18+AY18)=0,0,(AR18*AS18+AU18*AV18+AX18*AY18)/(AS18+AV18+AY18))</f>
        <v>0</v>
      </c>
      <c r="AC18" s="398">
        <f>IF((AS18+AV18+AY18)=0,0,(AQ18*AS18+AT18*AV18+AW18*AY18-AF18*(AS18+AV18+AY18))/(AS18+AV18+AY18))</f>
        <v>0</v>
      </c>
      <c r="AD18" s="398">
        <f>IF((AS18+AV18+AY18)=0,0,(AR18*AS18+AU18*AV18+AX18*AY18-AG18*(AS18+AV18+AY18))/(AS18+AV18+AY18))</f>
        <v>0</v>
      </c>
      <c r="AE18" s="271">
        <f>AM18+AP18+AS18+AV18+AY18</f>
        <v>0</v>
      </c>
      <c r="AF18" s="400">
        <f>IF(AE18&gt;0,INDEX($DF$18:$DQ$18,MATCH(AF$17,$DF$17:$DQ$17))/AE18,0)</f>
        <v>0</v>
      </c>
      <c r="AG18" s="400">
        <f>IF(AE18&gt;0,INDEX($DF$18:$DQ$18,MATCH(AG$17,$DF$17:$DQ$17))/AE18,0)</f>
        <v>0</v>
      </c>
      <c r="AH18" s="129"/>
      <c r="AI18" s="129"/>
      <c r="AJ18" s="129"/>
      <c r="AK18" s="400">
        <f>IF(AM18&gt;0,INDEX($DF$18:$DQ$18,MATCH(AK$17,$DF$17:$DQ$17))/AM18,0)</f>
        <v>0</v>
      </c>
      <c r="AL18" s="400">
        <f>IF(AM18&gt;0,INDEX($DF$18:$DQ$18,MATCH(AL$17,$DF$17:$DQ$17))/AM18,0)</f>
        <v>0</v>
      </c>
      <c r="AM18" s="271">
        <f>SUMIF($H$21:$H$22,$H18,AM$21:AM$22)</f>
        <v>0</v>
      </c>
      <c r="AN18" s="400">
        <f>IF(AP18&gt;0,INDEX($DF$18:$DQ$18,MATCH(AN$17,$DF$17:$DQ$17))/AP18,0)</f>
        <v>0</v>
      </c>
      <c r="AO18" s="400">
        <f>IF(AP18&gt;0,INDEX($DF$18:$DQ$18,MATCH(AO$17,$DF$17:$DQ$17))/AP18,0)</f>
        <v>0</v>
      </c>
      <c r="AP18" s="271">
        <f>SUMIF($H$21:$H$22,$H18,AP$21:AP$22)</f>
        <v>0</v>
      </c>
      <c r="AQ18" s="400">
        <f>IF(AS18&gt;0,INDEX($DF$18:$DQ$18,MATCH(AQ$17,$DF$17:$DQ$17))/AS18,0)</f>
        <v>0</v>
      </c>
      <c r="AR18" s="400">
        <f>IF(AS18&gt;0,INDEX($DF$18:$DQ$18,MATCH(AR$17,$DF$17:$DQ$17))/AS18,0)</f>
        <v>0</v>
      </c>
      <c r="AS18" s="271">
        <f>SUMIF($H$21:$H$22,$H18,AS$21:AS$22)</f>
        <v>0</v>
      </c>
      <c r="AT18" s="400">
        <f>IF(AV18&gt;0,INDEX($DF$18:$DQ$18,MATCH(AT$17,$DF$17:$DQ$17))/AV18,0)</f>
        <v>0</v>
      </c>
      <c r="AU18" s="400">
        <f>IF(AV18&gt;0,INDEX($DF$18:$DQ$18,MATCH(AU$17,$DF$17:$DQ$17))/AV18,0)</f>
        <v>0</v>
      </c>
      <c r="AV18" s="271">
        <f>SUMIF($H$21:$H$22,$H18,AV$21:AV$22)</f>
        <v>0</v>
      </c>
      <c r="AW18" s="400">
        <f>IF(AY18&gt;0,INDEX($DF$18:$DQ$18,MATCH(AW$17,$DF$17:$DQ$17))/AY18,0)</f>
        <v>0</v>
      </c>
      <c r="AX18" s="400">
        <f>IF(AY18&gt;0,INDEX($DF$18:$DQ$18,MATCH(AX$17,$DF$17:$DQ$17))/AY18,0)</f>
        <v>0</v>
      </c>
      <c r="AY18" s="271">
        <f>SUMIF($H$21:$H$22,$H18,AY$21:AY$22)</f>
        <v>0</v>
      </c>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98">
        <f>AS18+AV18+AY18</f>
        <v>0</v>
      </c>
      <c r="DF18" s="480">
        <f t="shared" ref="DF18:DQ18" si="0">SUMIF($H21:$H22,$H18,DF21:DF22)</f>
        <v>0</v>
      </c>
      <c r="DG18" s="480">
        <f t="shared" si="0"/>
        <v>0</v>
      </c>
      <c r="DH18" s="480">
        <f t="shared" si="0"/>
        <v>0</v>
      </c>
      <c r="DI18" s="480">
        <f t="shared" si="0"/>
        <v>0</v>
      </c>
      <c r="DJ18" s="480">
        <f t="shared" si="0"/>
        <v>0</v>
      </c>
      <c r="DK18" s="480">
        <f t="shared" si="0"/>
        <v>0</v>
      </c>
      <c r="DL18" s="480">
        <f t="shared" si="0"/>
        <v>0</v>
      </c>
      <c r="DM18" s="480">
        <f t="shared" si="0"/>
        <v>0</v>
      </c>
      <c r="DN18" s="480">
        <f t="shared" si="0"/>
        <v>0</v>
      </c>
      <c r="DO18" s="480">
        <f t="shared" si="0"/>
        <v>0</v>
      </c>
      <c r="DP18" s="480">
        <f t="shared" si="0"/>
        <v>0</v>
      </c>
      <c r="DQ18" s="480">
        <f t="shared" si="0"/>
        <v>0</v>
      </c>
    </row>
    <row r="19" spans="1:121" ht="0.75" customHeight="1">
      <c r="A19" s="181"/>
      <c r="B19" s="181"/>
      <c r="C19" s="181"/>
      <c r="E19" s="184"/>
      <c r="F19" s="575"/>
      <c r="G19" s="576"/>
      <c r="H19" s="583"/>
      <c r="I19" s="129"/>
      <c r="J19" s="576"/>
      <c r="K19" s="576"/>
      <c r="L19" s="576"/>
      <c r="M19" s="576"/>
      <c r="N19" s="576"/>
      <c r="O19" s="576"/>
      <c r="P19" s="576"/>
      <c r="Q19" s="576"/>
      <c r="R19" s="576"/>
      <c r="S19" s="576"/>
      <c r="T19" s="576"/>
      <c r="U19" s="576"/>
      <c r="V19" s="576"/>
      <c r="W19" s="576"/>
      <c r="X19" s="576"/>
      <c r="Y19" s="576"/>
      <c r="Z19" s="576"/>
      <c r="AA19" s="576"/>
      <c r="AB19" s="576"/>
      <c r="AC19" s="576"/>
      <c r="AD19" s="576"/>
      <c r="AE19" s="576"/>
      <c r="AF19" s="576"/>
      <c r="AG19" s="576"/>
      <c r="AH19" s="576"/>
      <c r="AI19" s="576"/>
      <c r="AJ19" s="576"/>
      <c r="AK19" s="576"/>
      <c r="AL19" s="576"/>
      <c r="AM19" s="576"/>
      <c r="AN19" s="576"/>
      <c r="AO19" s="576"/>
      <c r="AP19" s="576"/>
      <c r="AQ19" s="576"/>
      <c r="AR19" s="576"/>
      <c r="AS19" s="576"/>
      <c r="AT19" s="576"/>
      <c r="AU19" s="576"/>
      <c r="AV19" s="576"/>
      <c r="AW19" s="576"/>
      <c r="AX19" s="576"/>
      <c r="AY19" s="578"/>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480"/>
      <c r="DG19" s="480"/>
      <c r="DH19" s="480"/>
      <c r="DI19" s="480"/>
      <c r="DJ19" s="480"/>
      <c r="DK19" s="480"/>
      <c r="DL19" s="480"/>
      <c r="DM19" s="480"/>
      <c r="DN19" s="480"/>
      <c r="DO19" s="480"/>
      <c r="DP19" s="480"/>
      <c r="DQ19" s="480"/>
    </row>
    <row r="20" spans="1:121" ht="0.75" customHeight="1">
      <c r="A20" s="181"/>
      <c r="B20" s="181"/>
      <c r="C20" s="181"/>
      <c r="E20" s="184"/>
      <c r="F20" s="575"/>
      <c r="G20" s="576"/>
      <c r="H20" s="583"/>
      <c r="I20" s="129"/>
      <c r="J20" s="576"/>
      <c r="K20" s="576"/>
      <c r="L20" s="576"/>
      <c r="M20" s="576"/>
      <c r="N20" s="576"/>
      <c r="O20" s="576"/>
      <c r="P20" s="576"/>
      <c r="Q20" s="576"/>
      <c r="R20" s="576"/>
      <c r="S20" s="576"/>
      <c r="T20" s="576"/>
      <c r="U20" s="576"/>
      <c r="V20" s="576"/>
      <c r="W20" s="576"/>
      <c r="X20" s="576"/>
      <c r="Y20" s="576"/>
      <c r="Z20" s="576"/>
      <c r="AA20" s="576"/>
      <c r="AB20" s="576"/>
      <c r="AC20" s="576"/>
      <c r="AD20" s="576"/>
      <c r="AE20" s="576"/>
      <c r="AF20" s="576"/>
      <c r="AG20" s="576"/>
      <c r="AH20" s="576"/>
      <c r="AI20" s="576"/>
      <c r="AJ20" s="576"/>
      <c r="AK20" s="576"/>
      <c r="AL20" s="576"/>
      <c r="AM20" s="576"/>
      <c r="AN20" s="576"/>
      <c r="AO20" s="576"/>
      <c r="AP20" s="576"/>
      <c r="AQ20" s="576"/>
      <c r="AR20" s="576"/>
      <c r="AS20" s="576"/>
      <c r="AT20" s="576"/>
      <c r="AU20" s="576"/>
      <c r="AV20" s="576"/>
      <c r="AW20" s="576"/>
      <c r="AX20" s="576"/>
      <c r="AY20" s="578"/>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480"/>
      <c r="DG20" s="480"/>
      <c r="DH20" s="480"/>
      <c r="DI20" s="480"/>
      <c r="DJ20" s="480"/>
      <c r="DK20" s="480"/>
      <c r="DL20" s="480"/>
      <c r="DM20" s="480"/>
      <c r="DN20" s="480"/>
      <c r="DO20" s="480"/>
      <c r="DP20" s="480"/>
      <c r="DQ20" s="480"/>
    </row>
    <row r="21" spans="1:121" ht="12" hidden="1" customHeight="1">
      <c r="A21" s="181"/>
      <c r="B21" s="181"/>
      <c r="C21" s="181"/>
      <c r="E21" s="184"/>
      <c r="F21" s="186">
        <v>0</v>
      </c>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479"/>
      <c r="AX21" s="479"/>
      <c r="AY21" s="574"/>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row>
    <row r="22" spans="1:121" ht="0.75" customHeight="1">
      <c r="A22" s="181"/>
      <c r="B22" s="181"/>
      <c r="C22" s="181"/>
      <c r="E22" s="184"/>
      <c r="F22" s="110"/>
      <c r="G22" s="111" t="s">
        <v>720</v>
      </c>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3"/>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row>
  </sheetData>
  <sheetProtection password="FA9C" sheet="1" objects="1" scenarios="1" formatColumns="0" formatRows="0"/>
  <mergeCells count="54">
    <mergeCell ref="AC14:AD15"/>
    <mergeCell ref="AK15:AL15"/>
    <mergeCell ref="X14:X16"/>
    <mergeCell ref="AA14:AB15"/>
    <mergeCell ref="AJ14:AJ16"/>
    <mergeCell ref="AM15:AM16"/>
    <mergeCell ref="AN15:AO15"/>
    <mergeCell ref="AF14:AG15"/>
    <mergeCell ref="AP15:AP16"/>
    <mergeCell ref="AH14:AI15"/>
    <mergeCell ref="AE14:AE16"/>
    <mergeCell ref="AQ8:AR8"/>
    <mergeCell ref="AQ14:AS14"/>
    <mergeCell ref="AK14:AM14"/>
    <mergeCell ref="AN14:AP14"/>
    <mergeCell ref="AM8:AN8"/>
    <mergeCell ref="AK8:AL8"/>
    <mergeCell ref="AO8:AP8"/>
    <mergeCell ref="K8:AE8"/>
    <mergeCell ref="Q15:Q16"/>
    <mergeCell ref="R14:S14"/>
    <mergeCell ref="K13:X13"/>
    <mergeCell ref="T15:T16"/>
    <mergeCell ref="S15:S16"/>
    <mergeCell ref="AQ15:AR15"/>
    <mergeCell ref="AY8:AZ8"/>
    <mergeCell ref="AS8:AT8"/>
    <mergeCell ref="AU8:AV8"/>
    <mergeCell ref="AW8:AX8"/>
    <mergeCell ref="AS15:AS16"/>
    <mergeCell ref="AY15:AY16"/>
    <mergeCell ref="AW15:AX15"/>
    <mergeCell ref="AW14:AY14"/>
    <mergeCell ref="AT15:AU15"/>
    <mergeCell ref="AT14:AV14"/>
    <mergeCell ref="AV15:AV16"/>
    <mergeCell ref="N14:N16"/>
    <mergeCell ref="W15:W16"/>
    <mergeCell ref="T14:U14"/>
    <mergeCell ref="V14:W14"/>
    <mergeCell ref="V15:V16"/>
    <mergeCell ref="U15:U16"/>
    <mergeCell ref="P14:Q14"/>
    <mergeCell ref="P15:P16"/>
    <mergeCell ref="R15:R16"/>
    <mergeCell ref="O14:O16"/>
    <mergeCell ref="F14:F16"/>
    <mergeCell ref="G14:G16"/>
    <mergeCell ref="H14:I16"/>
    <mergeCell ref="K15:K16"/>
    <mergeCell ref="J14:J16"/>
    <mergeCell ref="K14:M14"/>
    <mergeCell ref="M15:M16"/>
    <mergeCell ref="L15:L16"/>
  </mergeCells>
  <phoneticPr fontId="8" type="noConversion"/>
  <hyperlinks>
    <hyperlink ref="I8" location="'ТС.ТМ1 01.01 - 30.06'!A1" tooltip="Скрыть все детали" display="Скрыть все детали"/>
    <hyperlink ref="K11" location="'ТС.ТМ1 01.01 - 30.06'!A1" tooltip="Отобразить / Скрыть блок" display="-"/>
  </hyperlinks>
  <pageMargins left="0.37" right="0.35" top="1" bottom="1" header="0.5" footer="0.5"/>
  <pageSetup paperSize="9" scale="37" orientation="landscape" horizontalDpi="4294967292" verticalDpi="4294967292"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sheetPr codeName="HEAT_TM1_PERIOD2">
    <tabColor rgb="FFFFC000"/>
    <pageSetUpPr fitToPage="1"/>
  </sheetPr>
  <dimension ref="A1:EV22"/>
  <sheetViews>
    <sheetView showGridLines="0" topLeftCell="E3" workbookViewId="0">
      <pane xSplit="5" ySplit="19" topLeftCell="J22" activePane="bottomRight" state="frozen"/>
      <selection activeCell="H3" sqref="H3"/>
      <selection pane="topRight" activeCell="H3" sqref="H3"/>
      <selection pane="bottomLeft" activeCell="H3" sqref="H3"/>
      <selection pane="bottomRight"/>
    </sheetView>
  </sheetViews>
  <sheetFormatPr defaultRowHeight="11.25"/>
  <cols>
    <col min="1" max="3" width="5.7109375" style="162" hidden="1" customWidth="1"/>
    <col min="4" max="4" width="3.7109375" style="159" hidden="1" customWidth="1"/>
    <col min="5" max="5" width="5.7109375" style="179" customWidth="1"/>
    <col min="6" max="6" width="4.7109375" style="39" customWidth="1"/>
    <col min="7" max="7" width="40.7109375" style="39" customWidth="1"/>
    <col min="8" max="8" width="12.5703125" style="39" customWidth="1"/>
    <col min="9" max="9" width="25.28515625" style="39" customWidth="1"/>
    <col min="10" max="10" width="20.7109375" style="39" customWidth="1"/>
    <col min="11" max="12" width="10.7109375" style="39" hidden="1" customWidth="1"/>
    <col min="13" max="14" width="12.7109375" style="39" hidden="1" customWidth="1"/>
    <col min="15" max="15" width="0.140625" style="39" hidden="1" customWidth="1"/>
    <col min="16" max="19" width="12.7109375" style="39" hidden="1" customWidth="1"/>
    <col min="20" max="21" width="0.140625" style="39" hidden="1" customWidth="1"/>
    <col min="22" max="23" width="12.7109375" style="39" hidden="1" customWidth="1"/>
    <col min="24" max="24" width="10.7109375" style="39" hidden="1" customWidth="1"/>
    <col min="25" max="26" width="0.140625" style="39" customWidth="1"/>
    <col min="27" max="30" width="9.7109375" style="39" customWidth="1"/>
    <col min="31" max="31" width="17.7109375" style="39" customWidth="1"/>
    <col min="32" max="33" width="9.7109375" style="39" customWidth="1"/>
    <col min="34" max="36" width="0.140625" style="39" customWidth="1"/>
    <col min="37" max="38" width="9.7109375" style="39" customWidth="1"/>
    <col min="39" max="39" width="15.7109375" style="39" customWidth="1"/>
    <col min="40" max="41" width="9.7109375" style="39" customWidth="1"/>
    <col min="42" max="42" width="15.7109375" style="39" customWidth="1"/>
    <col min="43" max="44" width="9.7109375" style="39" customWidth="1"/>
    <col min="45" max="45" width="15.7109375" style="39" customWidth="1"/>
    <col min="46" max="47" width="9.7109375" style="39" customWidth="1"/>
    <col min="48" max="48" width="15.7109375" style="39" customWidth="1"/>
    <col min="49" max="50" width="9.7109375" style="39" customWidth="1"/>
    <col min="51" max="51" width="15.7109375" style="39" customWidth="1"/>
    <col min="52" max="108" width="1.7109375" style="162" customWidth="1"/>
    <col min="109" max="109" width="8.7109375" style="162" hidden="1" customWidth="1"/>
    <col min="110" max="121" width="6.7109375" style="162" hidden="1" customWidth="1"/>
    <col min="122" max="126" width="6.7109375" style="162" customWidth="1"/>
    <col min="127" max="127" width="2.7109375" style="162" customWidth="1"/>
    <col min="128" max="152" width="9.140625" style="162"/>
    <col min="153" max="16384" width="9.140625" style="39"/>
  </cols>
  <sheetData>
    <row r="1" spans="1:126" ht="12" hidden="1" customHeight="1">
      <c r="A1" s="178"/>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row>
    <row r="2" spans="1:126" ht="12" hidden="1" customHeight="1">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row>
    <row r="3" spans="1:126" ht="12" customHeight="1">
      <c r="F3" s="637"/>
      <c r="G3" s="123" t="str">
        <f>"Необходимо указывать " &amp; IF(TARIFF_SETUP_METHOD_CODE="BY_PSEUDO_YEARS","общегодовые значения","значения по периодам")</f>
        <v>Необходимо указывать значения по периодам</v>
      </c>
      <c r="H3" s="616" t="s">
        <v>2497</v>
      </c>
      <c r="I3" s="637">
        <f>IF(TARIFF_SETUP_METHOD_CODE="BY_PSEUDO_YEARS",12,IF(TEMPLATE_CLAIM="P",6,2))</f>
        <v>2</v>
      </c>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row>
    <row r="4" spans="1:126" ht="3" customHeight="1">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row>
    <row r="5" spans="1:126" s="419" customFormat="1" ht="18" customHeight="1">
      <c r="D5" s="420"/>
      <c r="E5" s="421"/>
      <c r="F5" s="422" t="str">
        <f>"Тарифы организаций " &amp; TEMPLATE_SPHERE &amp; " на услуги по передаче (транспортировке) по муниципальному образованию - " &amp; IF(mo="","Не определено",mo)</f>
        <v>Тарифы организаций водоотведения на услуги по передаче (транспортировке) по муниципальному образованию - Село Булава</v>
      </c>
      <c r="G5" s="416"/>
      <c r="H5" s="416"/>
      <c r="I5" s="416"/>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21"/>
      <c r="BA5" s="421"/>
      <c r="BB5" s="421"/>
      <c r="BC5" s="421"/>
      <c r="BD5" s="421"/>
      <c r="BE5" s="421"/>
      <c r="BF5" s="421"/>
      <c r="BG5" s="421"/>
      <c r="BH5" s="421"/>
      <c r="BI5" s="421"/>
      <c r="BJ5" s="421"/>
      <c r="BK5" s="421"/>
      <c r="BL5" s="421"/>
      <c r="BM5" s="421"/>
      <c r="BN5" s="421"/>
      <c r="BO5" s="421"/>
      <c r="BP5" s="421"/>
      <c r="BQ5" s="421"/>
      <c r="BR5" s="421"/>
      <c r="BS5" s="421"/>
      <c r="BT5" s="421"/>
      <c r="BU5" s="421"/>
      <c r="BV5" s="421"/>
      <c r="BW5" s="421"/>
      <c r="BX5" s="421"/>
      <c r="BY5" s="421"/>
      <c r="BZ5" s="421"/>
      <c r="CA5" s="421"/>
      <c r="CB5" s="421"/>
      <c r="CC5" s="421"/>
      <c r="CD5" s="421"/>
      <c r="CE5" s="421"/>
      <c r="CF5" s="421"/>
      <c r="CG5" s="421"/>
      <c r="CH5" s="421"/>
      <c r="CI5" s="421"/>
      <c r="CJ5" s="421"/>
      <c r="CK5" s="421"/>
      <c r="CL5" s="421"/>
      <c r="CM5" s="421"/>
      <c r="CN5" s="421"/>
      <c r="CO5" s="421"/>
      <c r="CP5" s="421"/>
      <c r="CQ5" s="421"/>
      <c r="CR5" s="421"/>
      <c r="CS5" s="421"/>
      <c r="CT5" s="421"/>
      <c r="CU5" s="421"/>
      <c r="CV5" s="421"/>
      <c r="CW5" s="421"/>
      <c r="CX5" s="421"/>
      <c r="CY5" s="421"/>
      <c r="CZ5" s="421"/>
      <c r="DA5" s="421"/>
      <c r="DB5" s="421"/>
      <c r="DC5" s="421"/>
      <c r="DD5" s="421"/>
      <c r="DE5" s="421"/>
      <c r="DF5" s="421"/>
      <c r="DG5" s="421"/>
    </row>
    <row r="6" spans="1:126" ht="2.25" customHeight="1">
      <c r="E6" s="184"/>
      <c r="F6" s="185"/>
      <c r="G6" s="162"/>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B6" s="185"/>
      <c r="DC6" s="185"/>
      <c r="DD6" s="185"/>
      <c r="DE6" s="185"/>
      <c r="DF6" s="185"/>
      <c r="DG6" s="185"/>
    </row>
    <row r="7" spans="1:126" ht="12" customHeight="1">
      <c r="E7" s="184"/>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row>
    <row r="8" spans="1:126" s="164" customFormat="1" ht="12" customHeight="1">
      <c r="D8" s="165"/>
      <c r="E8" s="166"/>
      <c r="F8" s="158"/>
      <c r="G8" s="188"/>
      <c r="H8" s="180"/>
      <c r="I8" s="195" t="s">
        <v>625</v>
      </c>
      <c r="J8" s="180"/>
      <c r="K8" s="921"/>
      <c r="L8" s="921"/>
      <c r="M8" s="921"/>
      <c r="N8" s="921"/>
      <c r="O8" s="921"/>
      <c r="P8" s="921"/>
      <c r="Q8" s="921"/>
      <c r="R8" s="921"/>
      <c r="S8" s="921"/>
      <c r="T8" s="921"/>
      <c r="U8" s="921"/>
      <c r="V8" s="921"/>
      <c r="W8" s="921"/>
      <c r="X8" s="921"/>
      <c r="Y8" s="921"/>
      <c r="Z8" s="921"/>
      <c r="AA8" s="921"/>
      <c r="AB8" s="921"/>
      <c r="AC8" s="921"/>
      <c r="AD8" s="921"/>
      <c r="AE8" s="921"/>
      <c r="AF8" s="158"/>
      <c r="AG8" s="158"/>
      <c r="AH8" s="158"/>
      <c r="AI8" s="158"/>
      <c r="AJ8" s="158"/>
      <c r="AK8" s="921"/>
      <c r="AL8" s="921"/>
      <c r="AM8" s="921"/>
      <c r="AN8" s="921"/>
      <c r="AO8" s="921"/>
      <c r="AP8" s="921"/>
      <c r="AQ8" s="921"/>
      <c r="AR8" s="921"/>
      <c r="AS8" s="921"/>
      <c r="AT8" s="921"/>
      <c r="AU8" s="921"/>
      <c r="AV8" s="921"/>
      <c r="AW8" s="921"/>
      <c r="AX8" s="921"/>
      <c r="AY8" s="921"/>
      <c r="AZ8" s="921"/>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row>
    <row r="9" spans="1:126" customFormat="1" ht="12" hidden="1" customHeight="1"/>
    <row r="10" spans="1:126" customFormat="1" ht="12" hidden="1" customHeight="1"/>
    <row r="11" spans="1:126" customFormat="1" ht="12" customHeight="1">
      <c r="K11" s="444" t="s">
        <v>652</v>
      </c>
    </row>
    <row r="12" spans="1:126" customFormat="1" ht="12" hidden="1" customHeight="1"/>
    <row r="13" spans="1:126" s="164" customFormat="1" ht="12" customHeight="1">
      <c r="D13" s="165"/>
      <c r="E13" s="166"/>
      <c r="F13" s="158"/>
      <c r="G13" s="167"/>
      <c r="H13" s="180"/>
      <c r="J13" s="120"/>
      <c r="K13" s="871" t="s">
        <v>2863</v>
      </c>
      <c r="L13" s="871"/>
      <c r="M13" s="871"/>
      <c r="N13" s="871"/>
      <c r="O13" s="871"/>
      <c r="P13" s="871"/>
      <c r="Q13" s="871"/>
      <c r="R13" s="871"/>
      <c r="S13" s="871"/>
      <c r="T13" s="871"/>
      <c r="U13" s="871"/>
      <c r="V13" s="871"/>
      <c r="W13" s="871"/>
      <c r="X13" s="871"/>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row>
    <row r="14" spans="1:126" ht="27" customHeight="1">
      <c r="E14" s="184"/>
      <c r="F14" s="827" t="s">
        <v>641</v>
      </c>
      <c r="G14" s="827" t="s">
        <v>735</v>
      </c>
      <c r="H14" s="870" t="s">
        <v>2179</v>
      </c>
      <c r="I14" s="870"/>
      <c r="J14" s="827" t="s">
        <v>626</v>
      </c>
      <c r="K14" s="802" t="s">
        <v>2584</v>
      </c>
      <c r="L14" s="802"/>
      <c r="M14" s="802"/>
      <c r="N14" s="802" t="s">
        <v>2569</v>
      </c>
      <c r="O14" s="802"/>
      <c r="P14" s="802" t="s">
        <v>2570</v>
      </c>
      <c r="Q14" s="802"/>
      <c r="R14" s="802" t="s">
        <v>2862</v>
      </c>
      <c r="S14" s="802"/>
      <c r="T14" s="802"/>
      <c r="U14" s="802"/>
      <c r="V14" s="802" t="s">
        <v>2571</v>
      </c>
      <c r="W14" s="802"/>
      <c r="X14" s="802" t="s">
        <v>2572</v>
      </c>
      <c r="Y14" s="596"/>
      <c r="Z14" s="596"/>
      <c r="AA14" s="872" t="str">
        <f>"Средневзвешенный тариф на услуги по передаче (транспортировке) " &amp; RESOURCE_IDENTIFIER &amp; " с учётом инвестиционной составляющей, " &amp; IF(TRANSMISSION_TARIFF="","?",TRANSMISSION_TARIFF)</f>
        <v>Средневзвешенный тариф на услуги по передаче (транспортировке) стоков с учётом инвестиционной составляющей, руб/куб.м</v>
      </c>
      <c r="AB14" s="873"/>
      <c r="AC14" s="872" t="str">
        <f>"Средневзвешенный тариф на услуги по передаче (транспортировке) " &amp; RESOURCE_IDENTIFIER &amp; " без учёта инвестиционной составляющей, " &amp; IF(TRANSMISSION_TARIFF="","?",TRANSMISSION_TARIFF)</f>
        <v>Средневзвешенный тариф на услуги по передаче (транспортировке) стоков без учёта инвестиционной составляющей, руб/куб.м</v>
      </c>
      <c r="AD14" s="873"/>
      <c r="AE14" s="879" t="str">
        <f>"Объём " &amp; IF(RESOURCE_IDENTIFIER="стоков","перекачиваемых " &amp; RESOURCE_IDENTIFIER,"передаваемой " &amp; RESOURCE_IDENTIFIER) &amp; " при транспортировке, "&amp; IF(TRANSMISSION_TARIFF="руб/Гкал","Гкал",IF(TRANSMISSION_TARIFF="руб/Гкал*час в мес","Гкал*час в мес",IF(TRANSMISSION_TARIFF="руб/куб.м","куб.м","(размерность не указана)")))</f>
        <v>Объём перекачиваемых стоков при транспортировке, куб.м</v>
      </c>
      <c r="AF14" s="872" t="str">
        <f>"Инвестиционная составляющая, " &amp; IF(TRANSMISSION_TARIFF="","?",TRANSMISSION_TARIFF)</f>
        <v>Инвестиционная составляющая, руб/куб.м</v>
      </c>
      <c r="AG14" s="873"/>
      <c r="AH14" s="872"/>
      <c r="AI14" s="873"/>
      <c r="AJ14" s="830"/>
      <c r="AK14" s="828" t="s">
        <v>3154</v>
      </c>
      <c r="AL14" s="828"/>
      <c r="AM14" s="828"/>
      <c r="AN14" s="828" t="s">
        <v>424</v>
      </c>
      <c r="AO14" s="828"/>
      <c r="AP14" s="828"/>
      <c r="AQ14" s="828" t="s">
        <v>3155</v>
      </c>
      <c r="AR14" s="828"/>
      <c r="AS14" s="828"/>
      <c r="AT14" s="828" t="s">
        <v>3156</v>
      </c>
      <c r="AU14" s="828"/>
      <c r="AV14" s="878"/>
      <c r="AW14" s="828" t="s">
        <v>3157</v>
      </c>
      <c r="AX14" s="828"/>
      <c r="AY14" s="828"/>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row>
    <row r="15" spans="1:126" ht="69" customHeight="1">
      <c r="E15" s="184"/>
      <c r="F15" s="827"/>
      <c r="G15" s="827"/>
      <c r="H15" s="870"/>
      <c r="I15" s="870"/>
      <c r="J15" s="827"/>
      <c r="K15" s="802" t="s">
        <v>2581</v>
      </c>
      <c r="L15" s="802" t="s">
        <v>2582</v>
      </c>
      <c r="M15" s="802" t="s">
        <v>2583</v>
      </c>
      <c r="N15" s="802"/>
      <c r="O15" s="802"/>
      <c r="P15" s="802" t="s">
        <v>2573</v>
      </c>
      <c r="Q15" s="802" t="s">
        <v>2574</v>
      </c>
      <c r="R15" s="802" t="s">
        <v>2573</v>
      </c>
      <c r="S15" s="802" t="s">
        <v>2574</v>
      </c>
      <c r="T15" s="802"/>
      <c r="U15" s="802"/>
      <c r="V15" s="802" t="s">
        <v>2575</v>
      </c>
      <c r="W15" s="802" t="s">
        <v>2576</v>
      </c>
      <c r="X15" s="802"/>
      <c r="Y15" s="597"/>
      <c r="Z15" s="597"/>
      <c r="AA15" s="874"/>
      <c r="AB15" s="875"/>
      <c r="AC15" s="874"/>
      <c r="AD15" s="875"/>
      <c r="AE15" s="879"/>
      <c r="AF15" s="874"/>
      <c r="AG15" s="875"/>
      <c r="AH15" s="876"/>
      <c r="AI15" s="877"/>
      <c r="AJ15" s="923"/>
      <c r="AK15" s="828" t="str">
        <f>"Тариф, " &amp; IF(TRANSMISSION_TARIFF="","?",TRANSMISSION_TARIFF)</f>
        <v>Тариф, руб/куб.м</v>
      </c>
      <c r="AL15" s="828"/>
      <c r="AM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N15" s="828" t="str">
        <f>"Тариф, " &amp; IF(TRANSMISSION_TARIFF="","?",TRANSMISSION_TARIFF)</f>
        <v>Тариф, руб/куб.м</v>
      </c>
      <c r="AO15" s="828"/>
      <c r="AP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Q15" s="828" t="str">
        <f>"Тариф, " &amp; IF(TRANSMISSION_TARIFF="","?",TRANSMISSION_TARIFF)</f>
        <v>Тариф, руб/куб.м</v>
      </c>
      <c r="AR15" s="828"/>
      <c r="AS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T15" s="828" t="str">
        <f>"Тариф, " &amp; IF(TRANSMISSION_TARIFF="","?",TRANSMISSION_TARIFF)</f>
        <v>Тариф, руб/куб.м</v>
      </c>
      <c r="AU15" s="828"/>
      <c r="AV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W15" s="828" t="str">
        <f>"Тариф, " &amp; IF(TRANSMISSION_TARIFF="","?",TRANSMISSION_TARIFF)</f>
        <v>Тариф, руб/куб.м</v>
      </c>
      <c r="AX15" s="828"/>
      <c r="AY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row>
    <row r="16" spans="1:126" ht="18" customHeight="1">
      <c r="E16" s="184"/>
      <c r="F16" s="827"/>
      <c r="G16" s="827"/>
      <c r="H16" s="870"/>
      <c r="I16" s="870"/>
      <c r="J16" s="827"/>
      <c r="K16" s="802"/>
      <c r="L16" s="802"/>
      <c r="M16" s="802"/>
      <c r="N16" s="802"/>
      <c r="O16" s="802"/>
      <c r="P16" s="802"/>
      <c r="Q16" s="802"/>
      <c r="R16" s="802"/>
      <c r="S16" s="802"/>
      <c r="T16" s="802"/>
      <c r="U16" s="802"/>
      <c r="V16" s="802"/>
      <c r="W16" s="802"/>
      <c r="X16" s="802"/>
      <c r="Y16" s="498"/>
      <c r="Z16" s="498"/>
      <c r="AA16" s="128" t="s">
        <v>627</v>
      </c>
      <c r="AB16" s="128" t="s">
        <v>628</v>
      </c>
      <c r="AC16" s="128" t="s">
        <v>627</v>
      </c>
      <c r="AD16" s="128" t="s">
        <v>628</v>
      </c>
      <c r="AE16" s="879"/>
      <c r="AF16" s="128" t="s">
        <v>627</v>
      </c>
      <c r="AG16" s="128" t="s">
        <v>628</v>
      </c>
      <c r="AH16" s="128"/>
      <c r="AI16" s="128"/>
      <c r="AJ16" s="831"/>
      <c r="AK16" s="128" t="s">
        <v>627</v>
      </c>
      <c r="AL16" s="128" t="s">
        <v>628</v>
      </c>
      <c r="AM16" s="831"/>
      <c r="AN16" s="128" t="s">
        <v>627</v>
      </c>
      <c r="AO16" s="128" t="s">
        <v>628</v>
      </c>
      <c r="AP16" s="831"/>
      <c r="AQ16" s="128" t="s">
        <v>627</v>
      </c>
      <c r="AR16" s="128" t="s">
        <v>628</v>
      </c>
      <c r="AS16" s="831"/>
      <c r="AT16" s="128" t="s">
        <v>627</v>
      </c>
      <c r="AU16" s="128" t="s">
        <v>628</v>
      </c>
      <c r="AV16" s="831"/>
      <c r="AW16" s="128" t="s">
        <v>627</v>
      </c>
      <c r="AX16" s="128" t="s">
        <v>628</v>
      </c>
      <c r="AY16" s="831"/>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c r="DG16"/>
      <c r="DH16"/>
      <c r="DI16"/>
      <c r="DJ16"/>
      <c r="DK16"/>
      <c r="DL16"/>
      <c r="DM16"/>
      <c r="DN16"/>
      <c r="DO16"/>
      <c r="DP16"/>
      <c r="DQ16"/>
      <c r="DR16"/>
      <c r="DS16"/>
      <c r="DT16"/>
      <c r="DU16"/>
      <c r="DV16"/>
    </row>
    <row r="17" spans="1:126" ht="12" customHeight="1">
      <c r="E17" s="184"/>
      <c r="F17" s="182"/>
      <c r="G17" s="182" t="s">
        <v>759</v>
      </c>
      <c r="H17" s="183" t="s">
        <v>629</v>
      </c>
      <c r="I17" s="183" t="s">
        <v>630</v>
      </c>
      <c r="J17" s="183" t="s">
        <v>631</v>
      </c>
      <c r="K17" s="183" t="s">
        <v>2851</v>
      </c>
      <c r="L17" s="183" t="s">
        <v>2852</v>
      </c>
      <c r="M17" s="183" t="s">
        <v>2853</v>
      </c>
      <c r="N17" s="183" t="s">
        <v>2854</v>
      </c>
      <c r="O17" s="183"/>
      <c r="P17" s="183" t="s">
        <v>2855</v>
      </c>
      <c r="Q17" s="183" t="s">
        <v>2856</v>
      </c>
      <c r="R17" s="183" t="s">
        <v>2857</v>
      </c>
      <c r="S17" s="183" t="s">
        <v>2858</v>
      </c>
      <c r="T17" s="183"/>
      <c r="U17" s="183"/>
      <c r="V17" s="183" t="s">
        <v>2859</v>
      </c>
      <c r="W17" s="183" t="s">
        <v>2860</v>
      </c>
      <c r="X17" s="183" t="s">
        <v>2861</v>
      </c>
      <c r="Y17" s="183"/>
      <c r="Z17" s="183"/>
      <c r="AA17" s="472" t="s">
        <v>2501</v>
      </c>
      <c r="AB17" s="472" t="s">
        <v>2502</v>
      </c>
      <c r="AC17" s="472" t="s">
        <v>794</v>
      </c>
      <c r="AD17" s="472" t="s">
        <v>61</v>
      </c>
      <c r="AE17" s="183" t="s">
        <v>63</v>
      </c>
      <c r="AF17" s="472" t="s">
        <v>2397</v>
      </c>
      <c r="AG17" s="472" t="s">
        <v>2398</v>
      </c>
      <c r="AH17" s="472"/>
      <c r="AI17" s="472"/>
      <c r="AJ17" s="472"/>
      <c r="AK17" s="183" t="s">
        <v>632</v>
      </c>
      <c r="AL17" s="183" t="s">
        <v>633</v>
      </c>
      <c r="AM17" s="183" t="s">
        <v>634</v>
      </c>
      <c r="AN17" s="183" t="s">
        <v>635</v>
      </c>
      <c r="AO17" s="183" t="s">
        <v>883</v>
      </c>
      <c r="AP17" s="183" t="s">
        <v>884</v>
      </c>
      <c r="AQ17" s="183" t="s">
        <v>885</v>
      </c>
      <c r="AR17" s="183" t="s">
        <v>886</v>
      </c>
      <c r="AS17" s="183" t="s">
        <v>887</v>
      </c>
      <c r="AT17" s="183" t="s">
        <v>888</v>
      </c>
      <c r="AU17" s="183" t="s">
        <v>889</v>
      </c>
      <c r="AV17" s="477" t="s">
        <v>890</v>
      </c>
      <c r="AW17" s="183" t="s">
        <v>891</v>
      </c>
      <c r="AX17" s="183" t="s">
        <v>892</v>
      </c>
      <c r="AY17" s="183" t="s">
        <v>893</v>
      </c>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472" t="s">
        <v>96</v>
      </c>
      <c r="DF17" s="472" t="s">
        <v>289</v>
      </c>
      <c r="DG17" s="472" t="s">
        <v>290</v>
      </c>
      <c r="DH17" s="472" t="s">
        <v>632</v>
      </c>
      <c r="DI17" s="472" t="s">
        <v>633</v>
      </c>
      <c r="DJ17" s="472" t="s">
        <v>635</v>
      </c>
      <c r="DK17" s="472" t="s">
        <v>883</v>
      </c>
      <c r="DL17" s="472" t="s">
        <v>885</v>
      </c>
      <c r="DM17" s="472" t="s">
        <v>886</v>
      </c>
      <c r="DN17" s="472" t="s">
        <v>888</v>
      </c>
      <c r="DO17" s="472" t="s">
        <v>889</v>
      </c>
      <c r="DP17" s="472" t="s">
        <v>891</v>
      </c>
      <c r="DQ17" s="472" t="s">
        <v>892</v>
      </c>
    </row>
    <row r="18" spans="1:126" ht="24" customHeight="1">
      <c r="A18" s="181"/>
      <c r="B18" s="181"/>
      <c r="C18" s="181"/>
      <c r="E18" s="184"/>
      <c r="F18" s="619" t="s">
        <v>3141</v>
      </c>
      <c r="G18" s="581" t="s">
        <v>778</v>
      </c>
      <c r="H18" s="583" t="s">
        <v>1768</v>
      </c>
      <c r="I18" s="129"/>
      <c r="J18" s="177"/>
      <c r="K18" s="129"/>
      <c r="L18" s="129"/>
      <c r="M18" s="129"/>
      <c r="N18" s="129"/>
      <c r="O18" s="129"/>
      <c r="P18" s="129"/>
      <c r="Q18" s="129"/>
      <c r="R18" s="129"/>
      <c r="S18" s="129"/>
      <c r="T18" s="129"/>
      <c r="U18" s="129"/>
      <c r="V18" s="129"/>
      <c r="W18" s="129"/>
      <c r="X18" s="129"/>
      <c r="Y18" s="129"/>
      <c r="Z18" s="129"/>
      <c r="AA18" s="398">
        <f>IF((AS18+AV18+AY18)=0,0,(AQ18*AS18+AT18*AV18+AW18*AY18)/(AS18+AV18+AY18))</f>
        <v>0</v>
      </c>
      <c r="AB18" s="398">
        <f>IF((AS18+AV18+AY18)=0,0,(AR18*AS18+AU18*AV18+AX18*AY18)/(AS18+AV18+AY18))</f>
        <v>0</v>
      </c>
      <c r="AC18" s="398">
        <f>IF((AS18+AV18+AY18)=0,0,(AQ18*AS18+AT18*AV18+AW18*AY18-AF18*(AS18+AV18+AY18))/(AS18+AV18+AY18))</f>
        <v>0</v>
      </c>
      <c r="AD18" s="398">
        <f>IF((AS18+AV18+AY18)=0,0,(AR18*AS18+AU18*AV18+AX18*AY18-AG18*(AS18+AV18+AY18))/(AS18+AV18+AY18))</f>
        <v>0</v>
      </c>
      <c r="AE18" s="271">
        <f>AM18+AP18+AS18+AV18+AY18</f>
        <v>0</v>
      </c>
      <c r="AF18" s="400">
        <f>IF(AE18&gt;0,INDEX($DF$18:$DQ$18,MATCH(AF$17,$DF$17:$DQ$17))/AE18,0)</f>
        <v>0</v>
      </c>
      <c r="AG18" s="400">
        <f>IF(AE18&gt;0,INDEX($DF$18:$DQ$18,MATCH(AG$17,$DF$17:$DQ$17))/AE18,0)</f>
        <v>0</v>
      </c>
      <c r="AH18" s="129"/>
      <c r="AI18" s="129"/>
      <c r="AJ18" s="129"/>
      <c r="AK18" s="400">
        <f>IF(AM18&gt;0,INDEX($DF$18:$DQ$18,MATCH(AK$17,$DF$17:$DQ$17))/AM18,0)</f>
        <v>0</v>
      </c>
      <c r="AL18" s="400">
        <f>IF(AM18&gt;0,INDEX($DF$18:$DQ$18,MATCH(AL$17,$DF$17:$DQ$17))/AM18,0)</f>
        <v>0</v>
      </c>
      <c r="AM18" s="271">
        <f>SUMIF($H$21:$H$22,$H18,AM$21:AM$22)</f>
        <v>0</v>
      </c>
      <c r="AN18" s="400">
        <f>IF(AP18&gt;0,INDEX($DF$18:$DQ$18,MATCH(AN$17,$DF$17:$DQ$17))/AP18,0)</f>
        <v>0</v>
      </c>
      <c r="AO18" s="400">
        <f>IF(AP18&gt;0,INDEX($DF$18:$DQ$18,MATCH(AO$17,$DF$17:$DQ$17))/AP18,0)</f>
        <v>0</v>
      </c>
      <c r="AP18" s="271">
        <f>SUMIF($H$21:$H$22,$H18,AP$21:AP$22)</f>
        <v>0</v>
      </c>
      <c r="AQ18" s="400">
        <f>IF(AS18&gt;0,INDEX($DF$18:$DQ$18,MATCH(AQ$17,$DF$17:$DQ$17))/AS18,0)</f>
        <v>0</v>
      </c>
      <c r="AR18" s="400">
        <f>IF(AS18&gt;0,INDEX($DF$18:$DQ$18,MATCH(AR$17,$DF$17:$DQ$17))/AS18,0)</f>
        <v>0</v>
      </c>
      <c r="AS18" s="271">
        <f>SUMIF($H$21:$H$22,$H18,AS$21:AS$22)</f>
        <v>0</v>
      </c>
      <c r="AT18" s="400">
        <f>IF(AV18&gt;0,INDEX($DF$18:$DQ$18,MATCH(AT$17,$DF$17:$DQ$17))/AV18,0)</f>
        <v>0</v>
      </c>
      <c r="AU18" s="400">
        <f>IF(AV18&gt;0,INDEX($DF$18:$DQ$18,MATCH(AU$17,$DF$17:$DQ$17))/AV18,0)</f>
        <v>0</v>
      </c>
      <c r="AV18" s="271">
        <f>SUMIF($H$21:$H$22,$H18,AV$21:AV$22)</f>
        <v>0</v>
      </c>
      <c r="AW18" s="400">
        <f>IF(AY18&gt;0,INDEX($DF$18:$DQ$18,MATCH(AW$17,$DF$17:$DQ$17))/AY18,0)</f>
        <v>0</v>
      </c>
      <c r="AX18" s="400">
        <f>IF(AY18&gt;0,INDEX($DF$18:$DQ$18,MATCH(AX$17,$DF$17:$DQ$17))/AY18,0)</f>
        <v>0</v>
      </c>
      <c r="AY18" s="271">
        <f>SUMIF($H$21:$H$22,$H18,AY$21:AY$22)</f>
        <v>0</v>
      </c>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98">
        <f>AS18+AV18+AY18</f>
        <v>0</v>
      </c>
      <c r="DF18" s="480">
        <f t="shared" ref="DF18:DQ18" si="0">SUMIF($H21:$H22,$H18,DF21:DF22)</f>
        <v>0</v>
      </c>
      <c r="DG18" s="480">
        <f t="shared" si="0"/>
        <v>0</v>
      </c>
      <c r="DH18" s="480">
        <f t="shared" si="0"/>
        <v>0</v>
      </c>
      <c r="DI18" s="480">
        <f t="shared" si="0"/>
        <v>0</v>
      </c>
      <c r="DJ18" s="480">
        <f t="shared" si="0"/>
        <v>0</v>
      </c>
      <c r="DK18" s="480">
        <f t="shared" si="0"/>
        <v>0</v>
      </c>
      <c r="DL18" s="480">
        <f t="shared" si="0"/>
        <v>0</v>
      </c>
      <c r="DM18" s="480">
        <f t="shared" si="0"/>
        <v>0</v>
      </c>
      <c r="DN18" s="480">
        <f t="shared" si="0"/>
        <v>0</v>
      </c>
      <c r="DO18" s="480">
        <f t="shared" si="0"/>
        <v>0</v>
      </c>
      <c r="DP18" s="480">
        <f t="shared" si="0"/>
        <v>0</v>
      </c>
      <c r="DQ18" s="480">
        <f t="shared" si="0"/>
        <v>0</v>
      </c>
      <c r="DR18"/>
      <c r="DS18"/>
      <c r="DT18"/>
      <c r="DU18"/>
      <c r="DV18"/>
    </row>
    <row r="19" spans="1:126" ht="0.75" customHeight="1">
      <c r="A19" s="181"/>
      <c r="B19" s="181"/>
      <c r="C19" s="181"/>
      <c r="E19" s="184"/>
      <c r="F19" s="575"/>
      <c r="G19" s="576"/>
      <c r="H19" s="576"/>
      <c r="I19" s="576"/>
      <c r="J19" s="576"/>
      <c r="K19" s="577"/>
      <c r="L19" s="577"/>
      <c r="M19" s="577"/>
      <c r="N19" s="577"/>
      <c r="O19" s="577"/>
      <c r="P19" s="577"/>
      <c r="Q19" s="577"/>
      <c r="R19" s="577"/>
      <c r="S19" s="577"/>
      <c r="T19" s="577"/>
      <c r="U19" s="577"/>
      <c r="V19" s="577"/>
      <c r="W19" s="577"/>
      <c r="X19" s="577"/>
      <c r="Y19" s="577"/>
      <c r="Z19" s="577"/>
      <c r="AA19" s="577"/>
      <c r="AB19" s="577"/>
      <c r="AC19" s="577"/>
      <c r="AD19" s="577"/>
      <c r="AE19" s="577"/>
      <c r="AF19" s="577"/>
      <c r="AG19" s="577"/>
      <c r="AH19" s="577"/>
      <c r="AI19" s="577"/>
      <c r="AJ19" s="577"/>
      <c r="AK19" s="577"/>
      <c r="AL19" s="577"/>
      <c r="AM19" s="577"/>
      <c r="AN19" s="577"/>
      <c r="AO19" s="577"/>
      <c r="AP19" s="577"/>
      <c r="AQ19" s="577"/>
      <c r="AR19" s="577"/>
      <c r="AS19" s="577"/>
      <c r="AT19" s="577"/>
      <c r="AU19" s="577"/>
      <c r="AV19" s="577"/>
      <c r="AW19" s="577"/>
      <c r="AX19" s="577"/>
      <c r="AY19" s="579"/>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480"/>
      <c r="DG19" s="480"/>
      <c r="DH19" s="480"/>
      <c r="DI19" s="480"/>
      <c r="DJ19" s="480"/>
      <c r="DK19" s="480"/>
      <c r="DL19" s="480"/>
      <c r="DM19" s="480"/>
      <c r="DN19" s="480"/>
      <c r="DO19" s="480"/>
      <c r="DP19" s="480"/>
      <c r="DQ19" s="480"/>
      <c r="DR19" s="481"/>
      <c r="DS19" s="481"/>
      <c r="DT19" s="481"/>
      <c r="DU19" s="481"/>
      <c r="DV19" s="481"/>
    </row>
    <row r="20" spans="1:126" ht="0.75" customHeight="1">
      <c r="A20" s="181"/>
      <c r="B20" s="181"/>
      <c r="C20" s="181"/>
      <c r="E20" s="184"/>
      <c r="F20" s="575"/>
      <c r="G20" s="576"/>
      <c r="H20" s="576"/>
      <c r="I20" s="576"/>
      <c r="J20" s="576"/>
      <c r="K20" s="577"/>
      <c r="L20" s="577"/>
      <c r="M20" s="577"/>
      <c r="N20" s="577"/>
      <c r="O20" s="577"/>
      <c r="P20" s="577"/>
      <c r="Q20" s="577"/>
      <c r="R20" s="577"/>
      <c r="S20" s="577"/>
      <c r="T20" s="577"/>
      <c r="U20" s="577"/>
      <c r="V20" s="577"/>
      <c r="W20" s="577"/>
      <c r="X20" s="577"/>
      <c r="Y20" s="577"/>
      <c r="Z20" s="577"/>
      <c r="AA20" s="577"/>
      <c r="AB20" s="577"/>
      <c r="AC20" s="577"/>
      <c r="AD20" s="577"/>
      <c r="AE20" s="577"/>
      <c r="AF20" s="577"/>
      <c r="AG20" s="577"/>
      <c r="AH20" s="577"/>
      <c r="AI20" s="577"/>
      <c r="AJ20" s="577"/>
      <c r="AK20" s="577"/>
      <c r="AL20" s="577"/>
      <c r="AM20" s="577"/>
      <c r="AN20" s="577"/>
      <c r="AO20" s="577"/>
      <c r="AP20" s="577"/>
      <c r="AQ20" s="577"/>
      <c r="AR20" s="577"/>
      <c r="AS20" s="577"/>
      <c r="AT20" s="577"/>
      <c r="AU20" s="577"/>
      <c r="AV20" s="577"/>
      <c r="AW20" s="577"/>
      <c r="AX20" s="577"/>
      <c r="AY20" s="579"/>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480"/>
      <c r="DG20" s="480"/>
      <c r="DH20" s="480"/>
      <c r="DI20" s="480"/>
      <c r="DJ20" s="480"/>
      <c r="DK20" s="480"/>
      <c r="DL20" s="480"/>
      <c r="DM20" s="480"/>
      <c r="DN20" s="480"/>
      <c r="DO20" s="480"/>
      <c r="DP20" s="480"/>
      <c r="DQ20" s="480"/>
      <c r="DR20" s="481"/>
      <c r="DS20" s="481"/>
      <c r="DT20" s="481"/>
      <c r="DU20" s="481"/>
      <c r="DV20" s="481"/>
    </row>
    <row r="21" spans="1:126" ht="12" hidden="1" customHeight="1">
      <c r="A21" s="181"/>
      <c r="B21" s="181"/>
      <c r="C21" s="181"/>
      <c r="E21" s="184"/>
      <c r="F21" s="186">
        <v>0</v>
      </c>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479"/>
      <c r="AX21" s="479"/>
      <c r="AY21" s="574"/>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row>
    <row r="22" spans="1:126" ht="0.75" customHeight="1">
      <c r="A22" s="181"/>
      <c r="B22" s="181"/>
      <c r="C22" s="181"/>
      <c r="E22" s="184"/>
      <c r="F22" s="110"/>
      <c r="G22" s="111" t="s">
        <v>720</v>
      </c>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3"/>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row>
  </sheetData>
  <sheetProtection password="FA9C" sheet="1" objects="1" scenarios="1" formatColumns="0" formatRows="0"/>
  <mergeCells count="54">
    <mergeCell ref="AN14:AP14"/>
    <mergeCell ref="AN15:AO15"/>
    <mergeCell ref="AP15:AP16"/>
    <mergeCell ref="N14:N16"/>
    <mergeCell ref="P15:P16"/>
    <mergeCell ref="U15:U16"/>
    <mergeCell ref="AA14:AB15"/>
    <mergeCell ref="AH14:AI15"/>
    <mergeCell ref="AC14:AD15"/>
    <mergeCell ref="AE14:AE16"/>
    <mergeCell ref="AK14:AM14"/>
    <mergeCell ref="AW8:AX8"/>
    <mergeCell ref="AQ14:AS14"/>
    <mergeCell ref="AQ15:AR15"/>
    <mergeCell ref="AS15:AS16"/>
    <mergeCell ref="AQ8:AR8"/>
    <mergeCell ref="AK8:AL8"/>
    <mergeCell ref="AM8:AN8"/>
    <mergeCell ref="AK15:AL15"/>
    <mergeCell ref="AM15:AM16"/>
    <mergeCell ref="K8:AE8"/>
    <mergeCell ref="R15:R16"/>
    <mergeCell ref="K14:M14"/>
    <mergeCell ref="K13:X13"/>
    <mergeCell ref="F14:F16"/>
    <mergeCell ref="G14:G16"/>
    <mergeCell ref="H14:I16"/>
    <mergeCell ref="J14:J16"/>
    <mergeCell ref="AY8:AZ8"/>
    <mergeCell ref="AU8:AV8"/>
    <mergeCell ref="AT15:AU15"/>
    <mergeCell ref="AT14:AV14"/>
    <mergeCell ref="AV15:AV16"/>
    <mergeCell ref="AW15:AX15"/>
    <mergeCell ref="AY15:AY16"/>
    <mergeCell ref="AO8:AP8"/>
    <mergeCell ref="AJ14:AJ16"/>
    <mergeCell ref="AF14:AG15"/>
    <mergeCell ref="AW14:AY14"/>
    <mergeCell ref="AS8:AT8"/>
    <mergeCell ref="K15:K16"/>
    <mergeCell ref="T15:T16"/>
    <mergeCell ref="Q15:Q16"/>
    <mergeCell ref="P14:Q14"/>
    <mergeCell ref="L15:L16"/>
    <mergeCell ref="O14:O16"/>
    <mergeCell ref="M15:M16"/>
    <mergeCell ref="X14:X16"/>
    <mergeCell ref="W15:W16"/>
    <mergeCell ref="V14:W14"/>
    <mergeCell ref="S15:S16"/>
    <mergeCell ref="R14:S14"/>
    <mergeCell ref="V15:V16"/>
    <mergeCell ref="T14:U14"/>
  </mergeCells>
  <phoneticPr fontId="8" type="noConversion"/>
  <hyperlinks>
    <hyperlink ref="K11" location="'ТС.ТМ1 01.07 - 31.08'!A1" tooltip="Отобразить / Скрыть блок" display="-"/>
    <hyperlink ref="I8" location="'ТС.ТМ1 01.07 - 31.08'!A1" tooltip="Скрыть все детали" display="Скрыть все детали"/>
  </hyperlinks>
  <pageMargins left="0.37" right="0.35" top="1" bottom="1" header="0.5" footer="0.5"/>
  <pageSetup paperSize="9" scale="37" orientation="landscape" horizontalDpi="4294967292" verticalDpi="4294967292"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sheetPr codeName="HEAT_TM1_PERIOD3">
    <tabColor rgb="FFFFC000"/>
    <pageSetUpPr fitToPage="1"/>
  </sheetPr>
  <dimension ref="A1:EV22"/>
  <sheetViews>
    <sheetView showGridLines="0" topLeftCell="E3" workbookViewId="0">
      <pane xSplit="5" ySplit="19" topLeftCell="J22" activePane="bottomRight" state="frozen"/>
      <selection activeCell="H3" sqref="H3"/>
      <selection pane="topRight" activeCell="H3" sqref="H3"/>
      <selection pane="bottomLeft" activeCell="H3" sqref="H3"/>
      <selection pane="bottomRight"/>
    </sheetView>
  </sheetViews>
  <sheetFormatPr defaultRowHeight="11.25"/>
  <cols>
    <col min="1" max="3" width="5.7109375" style="162" hidden="1" customWidth="1"/>
    <col min="4" max="4" width="3.7109375" style="159" hidden="1" customWidth="1"/>
    <col min="5" max="5" width="5.7109375" style="179" customWidth="1"/>
    <col min="6" max="6" width="4.7109375" style="39" customWidth="1"/>
    <col min="7" max="7" width="40.7109375" style="39" customWidth="1"/>
    <col min="8" max="8" width="12.5703125" style="39" customWidth="1"/>
    <col min="9" max="9" width="25.28515625" style="39" customWidth="1"/>
    <col min="10" max="10" width="20.7109375" style="39" customWidth="1"/>
    <col min="11" max="12" width="10.7109375" style="39" hidden="1" customWidth="1"/>
    <col min="13" max="14" width="12.7109375" style="39" hidden="1" customWidth="1"/>
    <col min="15" max="15" width="0.140625" style="39" hidden="1" customWidth="1"/>
    <col min="16" max="19" width="12.7109375" style="39" hidden="1" customWidth="1"/>
    <col min="20" max="21" width="0.140625" style="39" hidden="1" customWidth="1"/>
    <col min="22" max="23" width="12.7109375" style="39" hidden="1" customWidth="1"/>
    <col min="24" max="24" width="10.7109375" style="39" hidden="1" customWidth="1"/>
    <col min="25" max="26" width="0.140625" style="39" customWidth="1"/>
    <col min="27" max="30" width="9.7109375" style="39" customWidth="1"/>
    <col min="31" max="31" width="17.7109375" style="39" customWidth="1"/>
    <col min="32" max="33" width="9.7109375" style="39" customWidth="1"/>
    <col min="34" max="36" width="0.140625" style="39" customWidth="1"/>
    <col min="37" max="38" width="9.7109375" style="39" customWidth="1"/>
    <col min="39" max="39" width="15.7109375" style="39" customWidth="1"/>
    <col min="40" max="41" width="9.7109375" style="39" customWidth="1"/>
    <col min="42" max="42" width="15.7109375" style="39" customWidth="1"/>
    <col min="43" max="44" width="9.7109375" style="39" customWidth="1"/>
    <col min="45" max="45" width="15.7109375" style="39" customWidth="1"/>
    <col min="46" max="47" width="9.7109375" style="39" customWidth="1"/>
    <col min="48" max="48" width="15.7109375" style="39" customWidth="1"/>
    <col min="49" max="50" width="9.7109375" style="39" customWidth="1"/>
    <col min="51" max="51" width="15.7109375" style="39" customWidth="1"/>
    <col min="52" max="108" width="1.7109375" style="162" customWidth="1"/>
    <col min="109" max="109" width="8.7109375" style="162" hidden="1" customWidth="1"/>
    <col min="110" max="121" width="6.7109375" style="162" hidden="1" customWidth="1"/>
    <col min="122" max="126" width="6.7109375" style="162" customWidth="1"/>
    <col min="127" max="127" width="2.7109375" style="162" customWidth="1"/>
    <col min="128" max="152" width="9.140625" style="162"/>
    <col min="153" max="16384" width="9.140625" style="39"/>
  </cols>
  <sheetData>
    <row r="1" spans="1:126" ht="12" hidden="1" customHeight="1">
      <c r="A1" s="178"/>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row>
    <row r="2" spans="1:126" ht="12" hidden="1" customHeight="1">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row>
    <row r="3" spans="1:126" ht="12" customHeight="1">
      <c r="F3" s="637"/>
      <c r="G3" s="123" t="str">
        <f>"Необходимо указывать " &amp; IF(TARIFF_SETUP_METHOD_CODE="BY_PSEUDO_YEARS","общегодовые значения","значения по периодам")</f>
        <v>Необходимо указывать значения по периодам</v>
      </c>
      <c r="H3" s="616" t="s">
        <v>2498</v>
      </c>
      <c r="I3" s="637">
        <f>IF(TARIFF_SETUP_METHOD_CODE="BY_PSEUDO_YEARS",12,4)</f>
        <v>4</v>
      </c>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row>
    <row r="4" spans="1:126" ht="3" customHeight="1">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row>
    <row r="5" spans="1:126" s="419" customFormat="1" ht="18" customHeight="1">
      <c r="D5" s="420"/>
      <c r="E5" s="421"/>
      <c r="F5" s="422" t="str">
        <f>"Тарифы организаций " &amp; TEMPLATE_SPHERE &amp; " на услуги по передаче (транспортировке) по муниципальному образованию - " &amp; IF(mo="","Не определено",mo)</f>
        <v>Тарифы организаций водоотведения на услуги по передаче (транспортировке) по муниципальному образованию - Село Булава</v>
      </c>
      <c r="G5" s="416"/>
      <c r="H5" s="416"/>
      <c r="I5" s="416"/>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21"/>
      <c r="BA5" s="421"/>
      <c r="BB5" s="421"/>
      <c r="BC5" s="421"/>
      <c r="BD5" s="421"/>
      <c r="BE5" s="421"/>
      <c r="BF5" s="421"/>
      <c r="BG5" s="421"/>
      <c r="BH5" s="421"/>
      <c r="BI5" s="421"/>
      <c r="BJ5" s="421"/>
      <c r="BK5" s="421"/>
      <c r="BL5" s="421"/>
      <c r="BM5" s="421"/>
      <c r="BN5" s="421"/>
      <c r="BO5" s="421"/>
      <c r="BP5" s="421"/>
      <c r="BQ5" s="421"/>
      <c r="BR5" s="421"/>
      <c r="BS5" s="421"/>
      <c r="BT5" s="421"/>
      <c r="BU5" s="421"/>
      <c r="BV5" s="421"/>
      <c r="BW5" s="421"/>
      <c r="BX5" s="421"/>
      <c r="BY5" s="421"/>
      <c r="BZ5" s="421"/>
      <c r="CA5" s="421"/>
      <c r="CB5" s="421"/>
      <c r="CC5" s="421"/>
      <c r="CD5" s="421"/>
      <c r="CE5" s="421"/>
      <c r="CF5" s="421"/>
      <c r="CG5" s="421"/>
      <c r="CH5" s="421"/>
      <c r="CI5" s="421"/>
      <c r="CJ5" s="421"/>
      <c r="CK5" s="421"/>
      <c r="CL5" s="421"/>
      <c r="CM5" s="421"/>
      <c r="CN5" s="421"/>
      <c r="CO5" s="421"/>
      <c r="CP5" s="421"/>
      <c r="CQ5" s="421"/>
      <c r="CR5" s="421"/>
      <c r="CS5" s="421"/>
      <c r="CT5" s="421"/>
      <c r="CU5" s="421"/>
      <c r="CV5" s="421"/>
      <c r="CW5" s="421"/>
      <c r="CX5" s="421"/>
      <c r="CY5" s="421"/>
      <c r="CZ5" s="421"/>
      <c r="DA5" s="421"/>
      <c r="DB5" s="421"/>
      <c r="DC5" s="421"/>
      <c r="DD5" s="421"/>
      <c r="DE5" s="421"/>
      <c r="DF5" s="421"/>
      <c r="DG5" s="421"/>
    </row>
    <row r="6" spans="1:126" ht="2.25" customHeight="1">
      <c r="E6" s="184"/>
      <c r="F6" s="185"/>
      <c r="G6" s="162"/>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B6" s="185"/>
      <c r="DC6" s="185"/>
      <c r="DD6" s="185"/>
      <c r="DE6" s="185"/>
      <c r="DF6" s="185"/>
      <c r="DG6" s="185"/>
    </row>
    <row r="7" spans="1:126" ht="12" customHeight="1">
      <c r="E7" s="184"/>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row>
    <row r="8" spans="1:126" s="164" customFormat="1" ht="12" customHeight="1">
      <c r="D8" s="165"/>
      <c r="E8" s="166"/>
      <c r="F8" s="158"/>
      <c r="G8" s="188"/>
      <c r="H8" s="180"/>
      <c r="I8" s="195" t="s">
        <v>625</v>
      </c>
      <c r="J8" s="180"/>
      <c r="K8" s="921"/>
      <c r="L8" s="921"/>
      <c r="M8" s="921"/>
      <c r="N8" s="921"/>
      <c r="O8" s="921"/>
      <c r="P8" s="921"/>
      <c r="Q8" s="921"/>
      <c r="R8" s="921"/>
      <c r="S8" s="921"/>
      <c r="T8" s="921"/>
      <c r="U8" s="921"/>
      <c r="V8" s="921"/>
      <c r="W8" s="921"/>
      <c r="X8" s="921"/>
      <c r="Y8" s="921"/>
      <c r="Z8" s="921"/>
      <c r="AA8" s="921"/>
      <c r="AB8" s="921"/>
      <c r="AC8" s="921"/>
      <c r="AD8" s="921"/>
      <c r="AE8" s="921"/>
      <c r="AF8" s="158"/>
      <c r="AG8" s="158"/>
      <c r="AH8" s="158"/>
      <c r="AI8" s="158"/>
      <c r="AJ8" s="158"/>
      <c r="AK8" s="921"/>
      <c r="AL8" s="921"/>
      <c r="AM8" s="921"/>
      <c r="AN8" s="921"/>
      <c r="AO8" s="921"/>
      <c r="AP8" s="921"/>
      <c r="AQ8" s="921"/>
      <c r="AR8" s="921"/>
      <c r="AS8" s="921"/>
      <c r="AT8" s="921"/>
      <c r="AU8" s="921"/>
      <c r="AV8" s="921"/>
      <c r="AW8" s="921"/>
      <c r="AX8" s="921"/>
      <c r="AY8" s="921"/>
      <c r="AZ8" s="921"/>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row>
    <row r="9" spans="1:126" customFormat="1" ht="12" hidden="1" customHeight="1"/>
    <row r="10" spans="1:126" customFormat="1" ht="12" hidden="1" customHeight="1"/>
    <row r="11" spans="1:126" customFormat="1" ht="12" customHeight="1">
      <c r="K11" s="444" t="s">
        <v>652</v>
      </c>
    </row>
    <row r="12" spans="1:126" customFormat="1" ht="12" hidden="1" customHeight="1"/>
    <row r="13" spans="1:126" s="164" customFormat="1" ht="12" customHeight="1">
      <c r="D13" s="165"/>
      <c r="E13" s="166"/>
      <c r="F13" s="158"/>
      <c r="G13" s="167"/>
      <c r="H13" s="180"/>
      <c r="J13" s="120"/>
      <c r="K13" s="871" t="s">
        <v>2863</v>
      </c>
      <c r="L13" s="871"/>
      <c r="M13" s="871"/>
      <c r="N13" s="871"/>
      <c r="O13" s="871"/>
      <c r="P13" s="871"/>
      <c r="Q13" s="871"/>
      <c r="R13" s="871"/>
      <c r="S13" s="871"/>
      <c r="T13" s="871"/>
      <c r="U13" s="871"/>
      <c r="V13" s="871"/>
      <c r="W13" s="871"/>
      <c r="X13" s="871"/>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row>
    <row r="14" spans="1:126" ht="27" customHeight="1">
      <c r="E14" s="184"/>
      <c r="F14" s="827" t="s">
        <v>641</v>
      </c>
      <c r="G14" s="827" t="s">
        <v>735</v>
      </c>
      <c r="H14" s="870" t="s">
        <v>2179</v>
      </c>
      <c r="I14" s="870"/>
      <c r="J14" s="827" t="s">
        <v>626</v>
      </c>
      <c r="K14" s="802" t="s">
        <v>2584</v>
      </c>
      <c r="L14" s="802"/>
      <c r="M14" s="802"/>
      <c r="N14" s="802" t="s">
        <v>2569</v>
      </c>
      <c r="O14" s="802"/>
      <c r="P14" s="802" t="s">
        <v>2570</v>
      </c>
      <c r="Q14" s="802"/>
      <c r="R14" s="802" t="s">
        <v>2862</v>
      </c>
      <c r="S14" s="802"/>
      <c r="T14" s="802"/>
      <c r="U14" s="802"/>
      <c r="V14" s="802" t="s">
        <v>2571</v>
      </c>
      <c r="W14" s="802"/>
      <c r="X14" s="802" t="s">
        <v>2572</v>
      </c>
      <c r="Y14" s="596"/>
      <c r="Z14" s="596"/>
      <c r="AA14" s="872" t="str">
        <f>"Средневзвешенный тариф на услуги по передаче (транспортировке) " &amp; RESOURCE_IDENTIFIER &amp; " с учётом инвестиционной составляющей, " &amp; IF(TRANSMISSION_TARIFF="","?",TRANSMISSION_TARIFF)</f>
        <v>Средневзвешенный тариф на услуги по передаче (транспортировке) стоков с учётом инвестиционной составляющей, руб/куб.м</v>
      </c>
      <c r="AB14" s="873"/>
      <c r="AC14" s="872" t="str">
        <f>"Средневзвешенный тариф на услуги по передаче (транспортировке) " &amp; RESOURCE_IDENTIFIER &amp; " без учёта инвестиционной составляющей, " &amp; IF(TRANSMISSION_TARIFF="","?",TRANSMISSION_TARIFF)</f>
        <v>Средневзвешенный тариф на услуги по передаче (транспортировке) стоков без учёта инвестиционной составляющей, руб/куб.м</v>
      </c>
      <c r="AD14" s="873"/>
      <c r="AE14" s="879" t="str">
        <f>"Объём " &amp; IF(RESOURCE_IDENTIFIER="стоков","перекачиваемых " &amp; RESOURCE_IDENTIFIER,"передаваемой " &amp; RESOURCE_IDENTIFIER) &amp; " при транспортировке, "&amp; IF(TRANSMISSION_TARIFF="руб/Гкал","Гкал",IF(TRANSMISSION_TARIFF="руб/Гкал*час в мес","Гкал*час в мес",IF(TRANSMISSION_TARIFF="руб/куб.м","куб.м","(размерность не указана)")))</f>
        <v>Объём перекачиваемых стоков при транспортировке, куб.м</v>
      </c>
      <c r="AF14" s="872" t="str">
        <f>"Инвестиционная составляющая, " &amp; IF(TRANSMISSION_TARIFF="","?",TRANSMISSION_TARIFF)</f>
        <v>Инвестиционная составляющая, руб/куб.м</v>
      </c>
      <c r="AG14" s="873"/>
      <c r="AH14" s="872"/>
      <c r="AI14" s="873"/>
      <c r="AJ14" s="830"/>
      <c r="AK14" s="828" t="s">
        <v>3154</v>
      </c>
      <c r="AL14" s="828"/>
      <c r="AM14" s="828"/>
      <c r="AN14" s="828" t="s">
        <v>424</v>
      </c>
      <c r="AO14" s="828"/>
      <c r="AP14" s="828"/>
      <c r="AQ14" s="828" t="s">
        <v>3155</v>
      </c>
      <c r="AR14" s="828"/>
      <c r="AS14" s="828"/>
      <c r="AT14" s="828" t="s">
        <v>3156</v>
      </c>
      <c r="AU14" s="828"/>
      <c r="AV14" s="878"/>
      <c r="AW14" s="828" t="s">
        <v>3157</v>
      </c>
      <c r="AX14" s="828"/>
      <c r="AY14" s="828"/>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row>
    <row r="15" spans="1:126" ht="69" customHeight="1">
      <c r="E15" s="184"/>
      <c r="F15" s="827"/>
      <c r="G15" s="827"/>
      <c r="H15" s="870"/>
      <c r="I15" s="870"/>
      <c r="J15" s="827"/>
      <c r="K15" s="802" t="s">
        <v>2581</v>
      </c>
      <c r="L15" s="802" t="s">
        <v>2582</v>
      </c>
      <c r="M15" s="802" t="s">
        <v>2583</v>
      </c>
      <c r="N15" s="802"/>
      <c r="O15" s="802"/>
      <c r="P15" s="802" t="s">
        <v>2573</v>
      </c>
      <c r="Q15" s="802" t="s">
        <v>2574</v>
      </c>
      <c r="R15" s="802" t="s">
        <v>2573</v>
      </c>
      <c r="S15" s="802" t="s">
        <v>2574</v>
      </c>
      <c r="T15" s="802"/>
      <c r="U15" s="802"/>
      <c r="V15" s="802" t="s">
        <v>2575</v>
      </c>
      <c r="W15" s="802" t="s">
        <v>2576</v>
      </c>
      <c r="X15" s="802"/>
      <c r="Y15" s="597"/>
      <c r="Z15" s="597"/>
      <c r="AA15" s="874"/>
      <c r="AB15" s="875"/>
      <c r="AC15" s="874"/>
      <c r="AD15" s="875"/>
      <c r="AE15" s="879"/>
      <c r="AF15" s="874"/>
      <c r="AG15" s="875"/>
      <c r="AH15" s="876"/>
      <c r="AI15" s="877"/>
      <c r="AJ15" s="923"/>
      <c r="AK15" s="828" t="str">
        <f>"Тариф, " &amp; IF(TRANSMISSION_TARIFF="","?",TRANSMISSION_TARIFF)</f>
        <v>Тариф, руб/куб.м</v>
      </c>
      <c r="AL15" s="828"/>
      <c r="AM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N15" s="828" t="str">
        <f>"Тариф, " &amp; IF(TRANSMISSION_TARIFF="","?",TRANSMISSION_TARIFF)</f>
        <v>Тариф, руб/куб.м</v>
      </c>
      <c r="AO15" s="828"/>
      <c r="AP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Q15" s="828" t="str">
        <f>"Тариф, " &amp; IF(TRANSMISSION_TARIFF="","?",TRANSMISSION_TARIFF)</f>
        <v>Тариф, руб/куб.м</v>
      </c>
      <c r="AR15" s="828"/>
      <c r="AS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T15" s="828" t="str">
        <f>"Тариф, " &amp; IF(TRANSMISSION_TARIFF="","?",TRANSMISSION_TARIFF)</f>
        <v>Тариф, руб/куб.м</v>
      </c>
      <c r="AU15" s="828"/>
      <c r="AV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W15" s="828" t="str">
        <f>"Тариф, " &amp; IF(TRANSMISSION_TARIFF="","?",TRANSMISSION_TARIFF)</f>
        <v>Тариф, руб/куб.м</v>
      </c>
      <c r="AX15" s="828"/>
      <c r="AY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row>
    <row r="16" spans="1:126" ht="18" customHeight="1">
      <c r="E16" s="184"/>
      <c r="F16" s="827"/>
      <c r="G16" s="827"/>
      <c r="H16" s="870"/>
      <c r="I16" s="870"/>
      <c r="J16" s="827"/>
      <c r="K16" s="802"/>
      <c r="L16" s="802"/>
      <c r="M16" s="802"/>
      <c r="N16" s="802"/>
      <c r="O16" s="802"/>
      <c r="P16" s="802"/>
      <c r="Q16" s="802"/>
      <c r="R16" s="802"/>
      <c r="S16" s="802"/>
      <c r="T16" s="802"/>
      <c r="U16" s="802"/>
      <c r="V16" s="802"/>
      <c r="W16" s="802"/>
      <c r="X16" s="802"/>
      <c r="Y16" s="498"/>
      <c r="Z16" s="498"/>
      <c r="AA16" s="128" t="s">
        <v>627</v>
      </c>
      <c r="AB16" s="128" t="s">
        <v>628</v>
      </c>
      <c r="AC16" s="128" t="s">
        <v>627</v>
      </c>
      <c r="AD16" s="128" t="s">
        <v>628</v>
      </c>
      <c r="AE16" s="879"/>
      <c r="AF16" s="128" t="s">
        <v>627</v>
      </c>
      <c r="AG16" s="128" t="s">
        <v>628</v>
      </c>
      <c r="AH16" s="128"/>
      <c r="AI16" s="128"/>
      <c r="AJ16" s="831"/>
      <c r="AK16" s="128" t="s">
        <v>627</v>
      </c>
      <c r="AL16" s="128" t="s">
        <v>628</v>
      </c>
      <c r="AM16" s="831"/>
      <c r="AN16" s="128" t="s">
        <v>627</v>
      </c>
      <c r="AO16" s="128" t="s">
        <v>628</v>
      </c>
      <c r="AP16" s="831"/>
      <c r="AQ16" s="128" t="s">
        <v>627</v>
      </c>
      <c r="AR16" s="128" t="s">
        <v>628</v>
      </c>
      <c r="AS16" s="831"/>
      <c r="AT16" s="128" t="s">
        <v>627</v>
      </c>
      <c r="AU16" s="128" t="s">
        <v>628</v>
      </c>
      <c r="AV16" s="831"/>
      <c r="AW16" s="128" t="s">
        <v>627</v>
      </c>
      <c r="AX16" s="128" t="s">
        <v>628</v>
      </c>
      <c r="AY16" s="831"/>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c r="DG16"/>
      <c r="DH16"/>
      <c r="DI16"/>
      <c r="DJ16"/>
      <c r="DK16"/>
      <c r="DL16"/>
      <c r="DM16"/>
      <c r="DN16"/>
      <c r="DO16"/>
      <c r="DP16"/>
      <c r="DQ16"/>
      <c r="DR16"/>
      <c r="DS16"/>
      <c r="DT16"/>
      <c r="DU16"/>
      <c r="DV16"/>
    </row>
    <row r="17" spans="1:126" ht="12" customHeight="1">
      <c r="E17" s="184"/>
      <c r="F17" s="182"/>
      <c r="G17" s="182" t="s">
        <v>759</v>
      </c>
      <c r="H17" s="183" t="s">
        <v>629</v>
      </c>
      <c r="I17" s="183" t="s">
        <v>630</v>
      </c>
      <c r="J17" s="183" t="s">
        <v>631</v>
      </c>
      <c r="K17" s="183" t="s">
        <v>2851</v>
      </c>
      <c r="L17" s="183" t="s">
        <v>2852</v>
      </c>
      <c r="M17" s="183" t="s">
        <v>2853</v>
      </c>
      <c r="N17" s="183" t="s">
        <v>2854</v>
      </c>
      <c r="O17" s="183"/>
      <c r="P17" s="183" t="s">
        <v>2855</v>
      </c>
      <c r="Q17" s="183" t="s">
        <v>2856</v>
      </c>
      <c r="R17" s="183" t="s">
        <v>2857</v>
      </c>
      <c r="S17" s="183" t="s">
        <v>2858</v>
      </c>
      <c r="T17" s="183"/>
      <c r="U17" s="183"/>
      <c r="V17" s="183" t="s">
        <v>2859</v>
      </c>
      <c r="W17" s="183" t="s">
        <v>2860</v>
      </c>
      <c r="X17" s="183" t="s">
        <v>2861</v>
      </c>
      <c r="Y17" s="183"/>
      <c r="Z17" s="183"/>
      <c r="AA17" s="472" t="s">
        <v>2501</v>
      </c>
      <c r="AB17" s="472" t="s">
        <v>2502</v>
      </c>
      <c r="AC17" s="472" t="s">
        <v>794</v>
      </c>
      <c r="AD17" s="472" t="s">
        <v>61</v>
      </c>
      <c r="AE17" s="183" t="s">
        <v>63</v>
      </c>
      <c r="AF17" s="472" t="s">
        <v>2397</v>
      </c>
      <c r="AG17" s="472" t="s">
        <v>2398</v>
      </c>
      <c r="AH17" s="472"/>
      <c r="AI17" s="472"/>
      <c r="AJ17" s="472"/>
      <c r="AK17" s="183" t="s">
        <v>632</v>
      </c>
      <c r="AL17" s="183" t="s">
        <v>633</v>
      </c>
      <c r="AM17" s="183" t="s">
        <v>634</v>
      </c>
      <c r="AN17" s="183" t="s">
        <v>635</v>
      </c>
      <c r="AO17" s="183" t="s">
        <v>883</v>
      </c>
      <c r="AP17" s="183" t="s">
        <v>884</v>
      </c>
      <c r="AQ17" s="183" t="s">
        <v>885</v>
      </c>
      <c r="AR17" s="183" t="s">
        <v>886</v>
      </c>
      <c r="AS17" s="183" t="s">
        <v>887</v>
      </c>
      <c r="AT17" s="183" t="s">
        <v>888</v>
      </c>
      <c r="AU17" s="183" t="s">
        <v>889</v>
      </c>
      <c r="AV17" s="477" t="s">
        <v>890</v>
      </c>
      <c r="AW17" s="183" t="s">
        <v>891</v>
      </c>
      <c r="AX17" s="183" t="s">
        <v>892</v>
      </c>
      <c r="AY17" s="183" t="s">
        <v>893</v>
      </c>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472" t="s">
        <v>96</v>
      </c>
      <c r="DF17" s="472" t="s">
        <v>289</v>
      </c>
      <c r="DG17" s="472" t="s">
        <v>290</v>
      </c>
      <c r="DH17" s="472" t="s">
        <v>632</v>
      </c>
      <c r="DI17" s="472" t="s">
        <v>633</v>
      </c>
      <c r="DJ17" s="472" t="s">
        <v>635</v>
      </c>
      <c r="DK17" s="472" t="s">
        <v>883</v>
      </c>
      <c r="DL17" s="472" t="s">
        <v>885</v>
      </c>
      <c r="DM17" s="472" t="s">
        <v>886</v>
      </c>
      <c r="DN17" s="472" t="s">
        <v>888</v>
      </c>
      <c r="DO17" s="472" t="s">
        <v>889</v>
      </c>
      <c r="DP17" s="472" t="s">
        <v>891</v>
      </c>
      <c r="DQ17" s="472" t="s">
        <v>892</v>
      </c>
    </row>
    <row r="18" spans="1:126" ht="24" customHeight="1">
      <c r="A18" s="181"/>
      <c r="B18" s="181"/>
      <c r="C18" s="181"/>
      <c r="E18" s="184"/>
      <c r="F18" s="619" t="s">
        <v>3141</v>
      </c>
      <c r="G18" s="581" t="s">
        <v>778</v>
      </c>
      <c r="H18" s="583" t="s">
        <v>1768</v>
      </c>
      <c r="I18" s="129"/>
      <c r="J18" s="177"/>
      <c r="K18" s="129"/>
      <c r="L18" s="129"/>
      <c r="M18" s="129"/>
      <c r="N18" s="129"/>
      <c r="O18" s="129"/>
      <c r="P18" s="129"/>
      <c r="Q18" s="129"/>
      <c r="R18" s="129"/>
      <c r="S18" s="129"/>
      <c r="T18" s="129"/>
      <c r="U18" s="129"/>
      <c r="V18" s="129"/>
      <c r="W18" s="129"/>
      <c r="X18" s="129"/>
      <c r="Y18" s="129"/>
      <c r="Z18" s="129"/>
      <c r="AA18" s="398">
        <f>IF((AS18+AV18+AY18)=0,0,(AQ18*AS18+AT18*AV18+AW18*AY18)/(AS18+AV18+AY18))</f>
        <v>0</v>
      </c>
      <c r="AB18" s="398">
        <f>IF((AS18+AV18+AY18)=0,0,(AR18*AS18+AU18*AV18+AX18*AY18)/(AS18+AV18+AY18))</f>
        <v>0</v>
      </c>
      <c r="AC18" s="398">
        <f>IF((AS18+AV18+AY18)=0,0,(AQ18*AS18+AT18*AV18+AW18*AY18-AF18*(AS18+AV18+AY18))/(AS18+AV18+AY18))</f>
        <v>0</v>
      </c>
      <c r="AD18" s="398">
        <f>IF((AS18+AV18+AY18)=0,0,(AR18*AS18+AU18*AV18+AX18*AY18-AG18*(AS18+AV18+AY18))/(AS18+AV18+AY18))</f>
        <v>0</v>
      </c>
      <c r="AE18" s="271">
        <f>AM18+AP18+AS18+AV18+AY18</f>
        <v>0</v>
      </c>
      <c r="AF18" s="400">
        <f>IF(AE18&gt;0,INDEX($DF$18:$DQ$18,MATCH(AF$17,$DF$17:$DQ$17))/AE18,0)</f>
        <v>0</v>
      </c>
      <c r="AG18" s="400">
        <f>IF(AE18&gt;0,INDEX($DF$18:$DQ$18,MATCH(AG$17,$DF$17:$DQ$17))/AE18,0)</f>
        <v>0</v>
      </c>
      <c r="AH18" s="129"/>
      <c r="AI18" s="129"/>
      <c r="AJ18" s="129"/>
      <c r="AK18" s="400">
        <f>IF(AM18&gt;0,INDEX($DF$18:$DQ$18,MATCH(AK$17,$DF$17:$DQ$17))/AM18,0)</f>
        <v>0</v>
      </c>
      <c r="AL18" s="400">
        <f>IF(AM18&gt;0,INDEX($DF$18:$DQ$18,MATCH(AL$17,$DF$17:$DQ$17))/AM18,0)</f>
        <v>0</v>
      </c>
      <c r="AM18" s="271">
        <f>SUMIF($H$21:$H$22,$H18,AM$21:AM$22)</f>
        <v>0</v>
      </c>
      <c r="AN18" s="400">
        <f>IF(AP18&gt;0,INDEX($DF$18:$DQ$18,MATCH(AN$17,$DF$17:$DQ$17))/AP18,0)</f>
        <v>0</v>
      </c>
      <c r="AO18" s="400">
        <f>IF(AP18&gt;0,INDEX($DF$18:$DQ$18,MATCH(AO$17,$DF$17:$DQ$17))/AP18,0)</f>
        <v>0</v>
      </c>
      <c r="AP18" s="271">
        <f>SUMIF($H$21:$H$22,$H18,AP$21:AP$22)</f>
        <v>0</v>
      </c>
      <c r="AQ18" s="400">
        <f>IF(AS18&gt;0,INDEX($DF$18:$DQ$18,MATCH(AQ$17,$DF$17:$DQ$17))/AS18,0)</f>
        <v>0</v>
      </c>
      <c r="AR18" s="400">
        <f>IF(AS18&gt;0,INDEX($DF$18:$DQ$18,MATCH(AR$17,$DF$17:$DQ$17))/AS18,0)</f>
        <v>0</v>
      </c>
      <c r="AS18" s="271">
        <f>SUMIF($H$21:$H$22,$H18,AS$21:AS$22)</f>
        <v>0</v>
      </c>
      <c r="AT18" s="400">
        <f>IF(AV18&gt;0,INDEX($DF$18:$DQ$18,MATCH(AT$17,$DF$17:$DQ$17))/AV18,0)</f>
        <v>0</v>
      </c>
      <c r="AU18" s="400">
        <f>IF(AV18&gt;0,INDEX($DF$18:$DQ$18,MATCH(AU$17,$DF$17:$DQ$17))/AV18,0)</f>
        <v>0</v>
      </c>
      <c r="AV18" s="271">
        <f>SUMIF($H$21:$H$22,$H18,AV$21:AV$22)</f>
        <v>0</v>
      </c>
      <c r="AW18" s="400">
        <f>IF(AY18&gt;0,INDEX($DF$18:$DQ$18,MATCH(AW$17,$DF$17:$DQ$17))/AY18,0)</f>
        <v>0</v>
      </c>
      <c r="AX18" s="400">
        <f>IF(AY18&gt;0,INDEX($DF$18:$DQ$18,MATCH(AX$17,$DF$17:$DQ$17))/AY18,0)</f>
        <v>0</v>
      </c>
      <c r="AY18" s="271">
        <f>SUMIF($H$21:$H$22,$H18,AY$21:AY$22)</f>
        <v>0</v>
      </c>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98">
        <f>AS18+AV18+AY18</f>
        <v>0</v>
      </c>
      <c r="DF18" s="480">
        <f t="shared" ref="DF18:DQ18" si="0">SUMIF($H21:$H22,$H18,DF21:DF22)</f>
        <v>0</v>
      </c>
      <c r="DG18" s="480">
        <f t="shared" si="0"/>
        <v>0</v>
      </c>
      <c r="DH18" s="480">
        <f t="shared" si="0"/>
        <v>0</v>
      </c>
      <c r="DI18" s="480">
        <f t="shared" si="0"/>
        <v>0</v>
      </c>
      <c r="DJ18" s="480">
        <f t="shared" si="0"/>
        <v>0</v>
      </c>
      <c r="DK18" s="480">
        <f t="shared" si="0"/>
        <v>0</v>
      </c>
      <c r="DL18" s="480">
        <f t="shared" si="0"/>
        <v>0</v>
      </c>
      <c r="DM18" s="480">
        <f t="shared" si="0"/>
        <v>0</v>
      </c>
      <c r="DN18" s="480">
        <f t="shared" si="0"/>
        <v>0</v>
      </c>
      <c r="DO18" s="480">
        <f t="shared" si="0"/>
        <v>0</v>
      </c>
      <c r="DP18" s="480">
        <f t="shared" si="0"/>
        <v>0</v>
      </c>
      <c r="DQ18" s="480">
        <f t="shared" si="0"/>
        <v>0</v>
      </c>
      <c r="DR18"/>
      <c r="DS18"/>
      <c r="DT18"/>
      <c r="DU18"/>
      <c r="DV18"/>
    </row>
    <row r="19" spans="1:126" ht="0.75" customHeight="1">
      <c r="A19" s="181"/>
      <c r="B19" s="181"/>
      <c r="C19" s="181"/>
      <c r="E19" s="184"/>
      <c r="F19" s="620"/>
      <c r="G19" s="576"/>
      <c r="H19" s="576"/>
      <c r="I19" s="576"/>
      <c r="J19" s="576"/>
      <c r="K19" s="577"/>
      <c r="L19" s="577"/>
      <c r="M19" s="577"/>
      <c r="N19" s="577"/>
      <c r="O19" s="577"/>
      <c r="P19" s="577"/>
      <c r="Q19" s="577"/>
      <c r="R19" s="577"/>
      <c r="S19" s="577"/>
      <c r="T19" s="577"/>
      <c r="U19" s="577"/>
      <c r="V19" s="577"/>
      <c r="W19" s="577"/>
      <c r="X19" s="577"/>
      <c r="Y19" s="577"/>
      <c r="Z19" s="577"/>
      <c r="AA19" s="577"/>
      <c r="AB19" s="577"/>
      <c r="AC19" s="577"/>
      <c r="AD19" s="577"/>
      <c r="AE19" s="577"/>
      <c r="AF19" s="577"/>
      <c r="AG19" s="577"/>
      <c r="AH19" s="577"/>
      <c r="AI19" s="577"/>
      <c r="AJ19" s="577"/>
      <c r="AK19" s="577"/>
      <c r="AL19" s="577"/>
      <c r="AM19" s="577"/>
      <c r="AN19" s="577"/>
      <c r="AO19" s="577"/>
      <c r="AP19" s="577"/>
      <c r="AQ19" s="577"/>
      <c r="AR19" s="577"/>
      <c r="AS19" s="577"/>
      <c r="AT19" s="577"/>
      <c r="AU19" s="577"/>
      <c r="AV19" s="577"/>
      <c r="AW19" s="577"/>
      <c r="AX19" s="577"/>
      <c r="AY19" s="579"/>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480"/>
      <c r="DG19" s="480"/>
      <c r="DH19" s="480"/>
      <c r="DI19" s="480"/>
      <c r="DJ19" s="480"/>
      <c r="DK19" s="480"/>
      <c r="DL19" s="480"/>
      <c r="DM19" s="480"/>
      <c r="DN19" s="480"/>
      <c r="DO19" s="480"/>
      <c r="DP19" s="480"/>
      <c r="DQ19" s="480"/>
      <c r="DR19" s="481"/>
      <c r="DS19" s="481"/>
      <c r="DT19" s="481"/>
      <c r="DU19" s="481"/>
      <c r="DV19" s="481"/>
    </row>
    <row r="20" spans="1:126" ht="0.75" customHeight="1">
      <c r="A20" s="181"/>
      <c r="B20" s="181"/>
      <c r="C20" s="181"/>
      <c r="E20" s="184"/>
      <c r="F20" s="620"/>
      <c r="G20" s="576"/>
      <c r="H20" s="576"/>
      <c r="I20" s="576"/>
      <c r="J20" s="576"/>
      <c r="K20" s="577"/>
      <c r="L20" s="577"/>
      <c r="M20" s="577"/>
      <c r="N20" s="577"/>
      <c r="O20" s="577"/>
      <c r="P20" s="577"/>
      <c r="Q20" s="577"/>
      <c r="R20" s="577"/>
      <c r="S20" s="577"/>
      <c r="T20" s="577"/>
      <c r="U20" s="577"/>
      <c r="V20" s="577"/>
      <c r="W20" s="577"/>
      <c r="X20" s="577"/>
      <c r="Y20" s="577"/>
      <c r="Z20" s="577"/>
      <c r="AA20" s="577"/>
      <c r="AB20" s="577"/>
      <c r="AC20" s="577"/>
      <c r="AD20" s="577"/>
      <c r="AE20" s="577"/>
      <c r="AF20" s="577"/>
      <c r="AG20" s="577"/>
      <c r="AH20" s="577"/>
      <c r="AI20" s="577"/>
      <c r="AJ20" s="577"/>
      <c r="AK20" s="577"/>
      <c r="AL20" s="577"/>
      <c r="AM20" s="577"/>
      <c r="AN20" s="577"/>
      <c r="AO20" s="577"/>
      <c r="AP20" s="577"/>
      <c r="AQ20" s="577"/>
      <c r="AR20" s="577"/>
      <c r="AS20" s="577"/>
      <c r="AT20" s="577"/>
      <c r="AU20" s="577"/>
      <c r="AV20" s="577"/>
      <c r="AW20" s="577"/>
      <c r="AX20" s="577"/>
      <c r="AY20" s="579"/>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480"/>
      <c r="DG20" s="480"/>
      <c r="DH20" s="480"/>
      <c r="DI20" s="480"/>
      <c r="DJ20" s="480"/>
      <c r="DK20" s="480"/>
      <c r="DL20" s="480"/>
      <c r="DM20" s="480"/>
      <c r="DN20" s="480"/>
      <c r="DO20" s="480"/>
      <c r="DP20" s="480"/>
      <c r="DQ20" s="480"/>
      <c r="DR20" s="481"/>
      <c r="DS20" s="481"/>
      <c r="DT20" s="481"/>
      <c r="DU20" s="481"/>
      <c r="DV20" s="481"/>
    </row>
    <row r="21" spans="1:126" ht="12" hidden="1" customHeight="1">
      <c r="A21" s="181"/>
      <c r="B21" s="181"/>
      <c r="C21" s="181"/>
      <c r="E21" s="184"/>
      <c r="F21" s="186">
        <v>0</v>
      </c>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479"/>
      <c r="AX21" s="479"/>
      <c r="AY21" s="574"/>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row>
    <row r="22" spans="1:126" ht="0.75" customHeight="1">
      <c r="A22" s="181"/>
      <c r="B22" s="181"/>
      <c r="C22" s="181"/>
      <c r="E22" s="184"/>
      <c r="F22" s="110"/>
      <c r="G22" s="111" t="s">
        <v>720</v>
      </c>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3"/>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row>
  </sheetData>
  <sheetProtection password="FA9C" sheet="1" objects="1" scenarios="1" formatColumns="0" formatRows="0"/>
  <mergeCells count="54">
    <mergeCell ref="W15:W16"/>
    <mergeCell ref="AQ8:AR8"/>
    <mergeCell ref="AV15:AV16"/>
    <mergeCell ref="AY8:AZ8"/>
    <mergeCell ref="AU8:AV8"/>
    <mergeCell ref="AW8:AX8"/>
    <mergeCell ref="AW14:AY14"/>
    <mergeCell ref="AW15:AX15"/>
    <mergeCell ref="AQ14:AS14"/>
    <mergeCell ref="AM15:AM16"/>
    <mergeCell ref="AY15:AY16"/>
    <mergeCell ref="AT14:AV14"/>
    <mergeCell ref="AN14:AP14"/>
    <mergeCell ref="AT15:AU15"/>
    <mergeCell ref="AS15:AS16"/>
    <mergeCell ref="AN15:AO15"/>
    <mergeCell ref="F14:F16"/>
    <mergeCell ref="G14:G16"/>
    <mergeCell ref="H14:I16"/>
    <mergeCell ref="J14:J16"/>
    <mergeCell ref="AS8:AT8"/>
    <mergeCell ref="AQ15:AR15"/>
    <mergeCell ref="AO8:AP8"/>
    <mergeCell ref="AP15:AP16"/>
    <mergeCell ref="AE14:AE16"/>
    <mergeCell ref="T15:T16"/>
    <mergeCell ref="K13:X13"/>
    <mergeCell ref="K14:M14"/>
    <mergeCell ref="AK14:AM14"/>
    <mergeCell ref="AJ14:AJ16"/>
    <mergeCell ref="AK15:AL15"/>
    <mergeCell ref="T14:U14"/>
    <mergeCell ref="AM8:AN8"/>
    <mergeCell ref="X14:X16"/>
    <mergeCell ref="V15:V16"/>
    <mergeCell ref="AA14:AB15"/>
    <mergeCell ref="K8:AE8"/>
    <mergeCell ref="K15:K16"/>
    <mergeCell ref="AK8:AL8"/>
    <mergeCell ref="AC14:AD15"/>
    <mergeCell ref="AH14:AI15"/>
    <mergeCell ref="V14:W14"/>
    <mergeCell ref="AF14:AG15"/>
    <mergeCell ref="M15:M16"/>
    <mergeCell ref="R14:S14"/>
    <mergeCell ref="O14:O16"/>
    <mergeCell ref="L15:L16"/>
    <mergeCell ref="N14:N16"/>
    <mergeCell ref="Q15:Q16"/>
    <mergeCell ref="R15:R16"/>
    <mergeCell ref="P14:Q14"/>
    <mergeCell ref="P15:P16"/>
    <mergeCell ref="U15:U16"/>
    <mergeCell ref="S15:S16"/>
  </mergeCells>
  <phoneticPr fontId="8" type="noConversion"/>
  <hyperlinks>
    <hyperlink ref="I8" location="'ТС.ТМ1 01.09 - 31.12'!A1" tooltip="Скрыть все детали" display="Скрыть все детали"/>
    <hyperlink ref="K11" location="'ТС.ТМ1 01.09 - 31.12'!A1" tooltip="Отобразить / Скрыть блок" display="-"/>
  </hyperlinks>
  <pageMargins left="0.37" right="0.35" top="1" bottom="1" header="0.5" footer="0.5"/>
  <pageSetup paperSize="9" scale="37" orientation="landscape" horizontalDpi="4294967292" verticalDpi="4294967292"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sheetPr codeName="HEAT_TM2_PERIOD1">
    <tabColor rgb="FFFFC000"/>
    <pageSetUpPr fitToPage="1"/>
  </sheetPr>
  <dimension ref="A1:EV23"/>
  <sheetViews>
    <sheetView showGridLines="0" topLeftCell="E3" workbookViewId="0">
      <pane xSplit="5" ySplit="19" topLeftCell="J22" activePane="bottomRight" state="frozen"/>
      <selection activeCell="E11" sqref="A11:IV11"/>
      <selection pane="topRight" activeCell="E11" sqref="A11:IV11"/>
      <selection pane="bottomLeft" activeCell="E11" sqref="A11:IV11"/>
      <selection pane="bottomRight"/>
    </sheetView>
  </sheetViews>
  <sheetFormatPr defaultRowHeight="11.25"/>
  <cols>
    <col min="1" max="3" width="5.7109375" style="162" hidden="1" customWidth="1"/>
    <col min="4" max="4" width="3.7109375" style="159" hidden="1" customWidth="1"/>
    <col min="5" max="5" width="5.7109375" style="179" customWidth="1"/>
    <col min="6" max="6" width="4.7109375" style="39" customWidth="1"/>
    <col min="7" max="7" width="40.7109375" style="39" customWidth="1"/>
    <col min="8" max="8" width="28.5703125" style="39" customWidth="1"/>
    <col min="9" max="9" width="20.85546875" style="39" customWidth="1"/>
    <col min="10" max="10" width="20.7109375" style="39" customWidth="1"/>
    <col min="11" max="13" width="10.85546875" style="39" hidden="1" customWidth="1"/>
    <col min="14" max="14" width="11.7109375" style="39" hidden="1" customWidth="1"/>
    <col min="15" max="15" width="0.140625" style="39" hidden="1" customWidth="1"/>
    <col min="16" max="19" width="10.85546875" style="39" hidden="1" customWidth="1"/>
    <col min="20" max="21" width="0.140625" style="39" hidden="1" customWidth="1"/>
    <col min="22" max="24" width="10.85546875" style="39" hidden="1" customWidth="1"/>
    <col min="25" max="26" width="11.7109375" style="39" customWidth="1"/>
    <col min="27" max="28" width="0.140625" style="39" customWidth="1"/>
    <col min="29" max="32" width="18.7109375" style="39" customWidth="1"/>
    <col min="33" max="33" width="15.7109375" style="39" customWidth="1"/>
    <col min="34" max="35" width="11.7109375" style="39" customWidth="1"/>
    <col min="36" max="38" width="0.140625" style="39" customWidth="1"/>
    <col min="39" max="48" width="11.7109375" style="39" customWidth="1"/>
    <col min="49" max="50" width="13.7109375" style="39" customWidth="1"/>
    <col min="51" max="58" width="12.5703125" style="39" customWidth="1"/>
    <col min="59" max="63" width="12.7109375" style="39" customWidth="1"/>
    <col min="64" max="65" width="13.85546875" style="39" customWidth="1"/>
    <col min="66" max="78" width="12.7109375" style="39" customWidth="1"/>
    <col min="79" max="80" width="13.85546875" style="39" customWidth="1"/>
    <col min="81" max="88" width="12.7109375" style="39" customWidth="1"/>
    <col min="89" max="95" width="15.7109375" style="39" customWidth="1"/>
    <col min="96" max="96" width="19.5703125" style="39" customWidth="1"/>
    <col min="97" max="109" width="1.7109375" style="162" customWidth="1"/>
    <col min="110" max="112" width="8.7109375" style="78" hidden="1" customWidth="1"/>
    <col min="113" max="118" width="8.7109375" style="77" hidden="1" customWidth="1"/>
    <col min="119" max="119" width="8.7109375" style="78" hidden="1" customWidth="1"/>
    <col min="120" max="124" width="8.7109375" style="77" hidden="1" customWidth="1"/>
    <col min="125" max="149" width="8.7109375" style="39" hidden="1" customWidth="1"/>
    <col min="150" max="152" width="0" style="39" hidden="1" customWidth="1"/>
    <col min="153" max="16384" width="9.140625" style="39"/>
  </cols>
  <sheetData>
    <row r="1" spans="4:152" s="162" customFormat="1" hidden="1">
      <c r="D1" s="159"/>
      <c r="E1" s="179"/>
      <c r="DF1" s="78"/>
      <c r="DG1" s="78"/>
      <c r="DH1" s="78"/>
      <c r="DI1" s="78"/>
      <c r="DJ1" s="78"/>
      <c r="DK1" s="78"/>
      <c r="DL1" s="78"/>
      <c r="DM1" s="78"/>
      <c r="DN1" s="78"/>
      <c r="DO1" s="78"/>
      <c r="DP1" s="78"/>
      <c r="DQ1" s="78"/>
      <c r="DR1" s="78"/>
      <c r="DS1" s="78"/>
      <c r="DT1" s="78"/>
    </row>
    <row r="2" spans="4:152" s="162" customFormat="1" hidden="1">
      <c r="D2" s="159"/>
      <c r="E2" s="179"/>
      <c r="DF2" s="78"/>
      <c r="DG2" s="78"/>
      <c r="DH2" s="78"/>
      <c r="DI2" s="78"/>
      <c r="DJ2" s="78"/>
      <c r="DK2" s="78"/>
      <c r="DL2" s="78"/>
      <c r="DM2" s="78"/>
      <c r="DN2" s="78"/>
      <c r="DO2" s="78"/>
      <c r="DP2" s="78"/>
      <c r="DQ2" s="78"/>
      <c r="DR2" s="78"/>
      <c r="DS2" s="78"/>
      <c r="DT2" s="78"/>
    </row>
    <row r="3" spans="4:152" s="162" customFormat="1" ht="12" customHeight="1">
      <c r="D3" s="159"/>
      <c r="E3" s="179"/>
      <c r="F3" s="637"/>
      <c r="G3" s="219" t="str">
        <f>"Необходимо указывать " &amp; IF(TARIFF_SETUP_METHOD_CODE="BY_PSEUDO_YEARS","общегодовые значения","значения по периодам")</f>
        <v>Необходимо указывать значения по периодам</v>
      </c>
      <c r="H3" s="616" t="s">
        <v>785</v>
      </c>
      <c r="I3" s="637">
        <f>IF(TARIFF_SETUP_METHOD_CODE="BY_PSEUDO_YEARS",12,6)</f>
        <v>6</v>
      </c>
      <c r="DF3" s="78"/>
      <c r="DG3" s="78"/>
      <c r="DH3" s="78"/>
      <c r="DI3" s="78"/>
      <c r="DJ3" s="78"/>
      <c r="DK3" s="78"/>
      <c r="DL3" s="78"/>
      <c r="DM3" s="78"/>
      <c r="DN3" s="78"/>
      <c r="DO3" s="78"/>
      <c r="DP3" s="78"/>
      <c r="DQ3" s="78"/>
      <c r="DR3" s="78"/>
      <c r="DS3" s="78"/>
      <c r="DT3" s="78"/>
    </row>
    <row r="4" spans="4:152" s="162" customFormat="1" ht="0.75" customHeight="1">
      <c r="D4" s="159"/>
      <c r="E4" s="184"/>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5"/>
      <c r="CZ4" s="185"/>
      <c r="DA4" s="185"/>
      <c r="DB4" s="185"/>
      <c r="DC4" s="185"/>
      <c r="DD4" s="185"/>
      <c r="DE4" s="185"/>
      <c r="DF4" s="78"/>
      <c r="DG4" s="78"/>
      <c r="DH4" s="78"/>
      <c r="DI4" s="78"/>
      <c r="DJ4" s="78"/>
      <c r="DK4" s="78"/>
      <c r="DL4" s="78"/>
      <c r="DM4" s="78"/>
      <c r="DN4" s="78"/>
      <c r="DO4" s="78"/>
      <c r="DP4" s="78"/>
      <c r="DQ4" s="78"/>
      <c r="DR4" s="78"/>
      <c r="DS4" s="78"/>
      <c r="DT4" s="78"/>
    </row>
    <row r="5" spans="4:152" s="423" customFormat="1" ht="18" customHeight="1">
      <c r="F5" s="422" t="str">
        <f>"Тарифное меню для организаций " &amp; TEMPLATE_SPHERE &amp; ", отпускающих " &amp; RESOURCE_IDENTIFIER &amp; ", в том числе с коллекторов по муниципальному образованию - " &amp; IF(mo="","Не определено",mo)</f>
        <v>Тарифное меню для организаций водоотведения, отпускающих стоков, в том числе с коллекторов по муниципальному образованию - Село Булава</v>
      </c>
      <c r="G5" s="416"/>
      <c r="H5" s="416"/>
      <c r="I5" s="416"/>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H5" s="407"/>
      <c r="BI5" s="407"/>
      <c r="BJ5" s="407"/>
      <c r="BK5" s="407"/>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L5" s="407"/>
      <c r="CM5" s="407"/>
      <c r="CN5" s="407"/>
      <c r="CO5" s="407"/>
      <c r="CP5" s="407"/>
      <c r="CQ5" s="407"/>
      <c r="CR5" s="407"/>
      <c r="DF5" s="424"/>
      <c r="DG5" s="424"/>
      <c r="DH5" s="424"/>
      <c r="DI5" s="424"/>
      <c r="DJ5" s="424"/>
      <c r="DK5" s="424"/>
      <c r="DL5" s="424"/>
      <c r="DM5" s="424"/>
      <c r="DN5" s="424"/>
      <c r="DO5" s="424"/>
      <c r="DP5" s="424"/>
      <c r="DQ5" s="424"/>
    </row>
    <row r="6" spans="4:152" s="164" customFormat="1" ht="0.75" customHeight="1">
      <c r="D6" s="165"/>
      <c r="E6" s="190"/>
      <c r="F6" s="158"/>
      <c r="G6" s="158"/>
      <c r="H6" s="158"/>
      <c r="I6" s="158"/>
      <c r="J6" s="158"/>
      <c r="K6" s="180"/>
      <c r="L6" s="180"/>
      <c r="M6" s="180"/>
      <c r="N6" s="180"/>
      <c r="O6" s="180"/>
      <c r="P6" s="180"/>
      <c r="Q6" s="180"/>
      <c r="R6" s="180"/>
      <c r="S6" s="180"/>
      <c r="T6" s="180"/>
      <c r="U6" s="180"/>
      <c r="V6" s="180"/>
      <c r="W6" s="180"/>
      <c r="X6" s="180"/>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91"/>
      <c r="CQ6" s="191"/>
      <c r="CR6" s="191"/>
      <c r="CS6" s="158"/>
      <c r="CT6" s="158"/>
      <c r="CU6" s="158"/>
      <c r="CV6" s="158"/>
      <c r="CW6" s="158"/>
      <c r="CX6" s="158"/>
      <c r="CY6" s="158"/>
      <c r="CZ6" s="158"/>
      <c r="DA6" s="158"/>
      <c r="DB6" s="158"/>
      <c r="DC6" s="158"/>
      <c r="DD6" s="158"/>
      <c r="DE6" s="158"/>
      <c r="DF6" s="81"/>
      <c r="DG6" s="81"/>
      <c r="DH6" s="81"/>
      <c r="DI6" s="81"/>
      <c r="DJ6" s="81"/>
      <c r="DK6" s="81"/>
      <c r="DL6" s="81"/>
      <c r="DM6" s="81"/>
      <c r="DN6" s="81"/>
      <c r="DO6" s="81"/>
      <c r="DP6" s="81"/>
      <c r="DQ6" s="81"/>
      <c r="DR6" s="81"/>
      <c r="DS6" s="81"/>
      <c r="DT6" s="81"/>
    </row>
    <row r="7" spans="4:152" s="164" customFormat="1" ht="36" customHeight="1">
      <c r="D7" s="165"/>
      <c r="E7" s="190"/>
      <c r="F7" s="158"/>
      <c r="G7" s="158"/>
      <c r="H7" s="158"/>
      <c r="I7" s="158"/>
      <c r="J7" s="158"/>
      <c r="K7" s="191"/>
      <c r="L7" s="191"/>
      <c r="M7" s="191"/>
      <c r="N7" s="191"/>
      <c r="O7" s="191"/>
      <c r="P7" s="191"/>
      <c r="Q7" s="191"/>
      <c r="R7" s="191"/>
      <c r="S7" s="191"/>
      <c r="T7" s="191"/>
      <c r="U7" s="191"/>
      <c r="V7" s="191"/>
      <c r="W7" s="191"/>
      <c r="X7" s="191"/>
      <c r="Y7" s="191"/>
      <c r="Z7" s="191"/>
      <c r="AA7" s="191"/>
      <c r="AB7" s="191"/>
      <c r="AC7" s="824" t="str">
        <f>"Средневзвешенный тариф с учётом передачи (транспортировки) и с учётом инвестиционной состаляющей, руб./" &amp; $G$12</f>
        <v>Средневзвешенный тариф с учётом передачи (транспортировки) и с учётом инвестиционной состаляющей, руб./Гкал</v>
      </c>
      <c r="AD7" s="924"/>
      <c r="AE7" s="824" t="str">
        <f>"Средневзвешенный тариф с учётом передачи (транспортировки) без учёта инвестиционной составляющей, руб./" &amp; $G$12</f>
        <v>Средневзвешенный тариф с учётом передачи (транспортировки) без учёта инвестиционной составляющей, руб./Гкал</v>
      </c>
      <c r="AF7" s="924"/>
      <c r="AG7" s="925" t="s">
        <v>3158</v>
      </c>
      <c r="AH7" s="191"/>
      <c r="AI7" s="191"/>
      <c r="AJ7" s="191"/>
      <c r="AK7" s="191"/>
      <c r="AL7" s="191"/>
      <c r="AM7" s="191"/>
      <c r="AN7" s="191"/>
      <c r="AO7" s="191"/>
      <c r="AP7" s="191"/>
      <c r="AQ7" s="191"/>
      <c r="AR7" s="191"/>
      <c r="AS7" s="191"/>
      <c r="AT7" s="191"/>
      <c r="AU7" s="191"/>
      <c r="AV7" s="158"/>
      <c r="AW7" s="824" t="str">
        <f>"Средневзвешенный тариф по группе ""Бюджетные потребители"", руб./" &amp; $G$12</f>
        <v>Средневзвешенный тариф по группе "Бюджетные потребители", руб./Гкал</v>
      </c>
      <c r="AX7" s="824"/>
      <c r="AY7" s="158"/>
      <c r="AZ7" s="158"/>
      <c r="BA7" s="158"/>
      <c r="BB7" s="158"/>
      <c r="BC7" s="158"/>
      <c r="BD7" s="158"/>
      <c r="BE7" s="158"/>
      <c r="BF7" s="158"/>
      <c r="BG7" s="158"/>
      <c r="BH7" s="158"/>
      <c r="BI7" s="158"/>
      <c r="BJ7" s="158"/>
      <c r="BK7" s="158"/>
      <c r="BL7" s="824" t="str">
        <f>"Средневзвешенный тариф по группе ""Население"", руб./" &amp; $G$12</f>
        <v>Средневзвешенный тариф по группе "Население", руб./Гкал</v>
      </c>
      <c r="BM7" s="824"/>
      <c r="BN7" s="158"/>
      <c r="BO7" s="158"/>
      <c r="BP7" s="158"/>
      <c r="BQ7" s="158"/>
      <c r="BR7" s="158"/>
      <c r="BS7" s="158"/>
      <c r="BT7" s="158"/>
      <c r="BU7" s="158"/>
      <c r="BV7" s="158"/>
      <c r="BW7" s="158"/>
      <c r="BX7" s="158"/>
      <c r="BY7" s="158"/>
      <c r="BZ7" s="158"/>
      <c r="CA7" s="824" t="str">
        <f>"Средневзвешенный тариф по группе ""Прочие"", руб./" &amp; $G$12</f>
        <v>Средневзвешенный тариф по группе "Прочие", руб./Гкал</v>
      </c>
      <c r="CB7" s="824"/>
      <c r="CC7" s="158"/>
      <c r="CD7" s="158"/>
      <c r="CE7" s="158"/>
      <c r="CF7" s="158"/>
      <c r="CG7" s="158"/>
      <c r="CH7" s="158"/>
      <c r="CI7" s="158"/>
      <c r="CJ7" s="158"/>
      <c r="CK7" s="158"/>
      <c r="CL7" s="158"/>
      <c r="CM7" s="158"/>
      <c r="CN7" s="158"/>
      <c r="CO7" s="158"/>
      <c r="CP7" s="158"/>
      <c r="CQ7" s="158"/>
      <c r="CR7" s="191"/>
      <c r="CS7" s="158"/>
      <c r="CT7" s="158"/>
      <c r="CU7" s="158"/>
      <c r="CV7" s="158"/>
      <c r="CW7" s="158"/>
      <c r="CX7" s="158"/>
      <c r="CY7" s="158"/>
      <c r="CZ7" s="158"/>
      <c r="DA7" s="158"/>
      <c r="DB7" s="158"/>
      <c r="DC7" s="158"/>
      <c r="DD7" s="158"/>
      <c r="DE7" s="158"/>
      <c r="DF7" s="81"/>
      <c r="DG7" s="81"/>
      <c r="DH7" s="81"/>
      <c r="DI7" s="81"/>
      <c r="DJ7" s="81"/>
      <c r="DK7" s="81"/>
      <c r="DL7" s="81"/>
      <c r="DM7" s="81"/>
      <c r="DN7" s="81"/>
      <c r="DO7" s="81"/>
      <c r="DP7" s="81"/>
      <c r="DQ7" s="81"/>
      <c r="DR7" s="81"/>
      <c r="DS7" s="81"/>
      <c r="DT7" s="81"/>
    </row>
    <row r="8" spans="4:152" s="164" customFormat="1" ht="12" customHeight="1">
      <c r="D8" s="165"/>
      <c r="E8" s="190"/>
      <c r="F8" s="158"/>
      <c r="G8" s="197"/>
      <c r="H8" s="198"/>
      <c r="I8" s="195" t="s">
        <v>625</v>
      </c>
      <c r="J8" s="120"/>
      <c r="K8" s="189"/>
      <c r="L8" s="189"/>
      <c r="M8" s="189"/>
      <c r="N8" s="189"/>
      <c r="O8" s="189"/>
      <c r="P8" s="189"/>
      <c r="Q8" s="189"/>
      <c r="R8" s="189"/>
      <c r="S8" s="189"/>
      <c r="T8" s="189"/>
      <c r="U8" s="189"/>
      <c r="V8" s="189"/>
      <c r="W8" s="189"/>
      <c r="X8" s="189"/>
      <c r="Y8" s="158"/>
      <c r="Z8" s="191"/>
      <c r="AA8" s="191"/>
      <c r="AB8" s="158"/>
      <c r="AC8" s="337" t="s">
        <v>627</v>
      </c>
      <c r="AD8" s="428" t="s">
        <v>628</v>
      </c>
      <c r="AE8" s="337" t="s">
        <v>627</v>
      </c>
      <c r="AF8" s="428" t="s">
        <v>628</v>
      </c>
      <c r="AG8" s="926"/>
      <c r="AH8" s="158"/>
      <c r="AI8" s="158"/>
      <c r="AJ8" s="158"/>
      <c r="AK8" s="158"/>
      <c r="AL8" s="158"/>
      <c r="AM8" s="158"/>
      <c r="AN8" s="158"/>
      <c r="AO8" s="158"/>
      <c r="AP8" s="158"/>
      <c r="AQ8" s="158"/>
      <c r="AR8" s="158"/>
      <c r="AS8" s="158"/>
      <c r="AT8" s="158"/>
      <c r="AU8" s="158"/>
      <c r="AV8" s="158"/>
      <c r="AW8" s="337" t="s">
        <v>627</v>
      </c>
      <c r="AX8" s="337" t="s">
        <v>628</v>
      </c>
      <c r="AY8" s="158"/>
      <c r="AZ8" s="158"/>
      <c r="BA8" s="158"/>
      <c r="BB8" s="158"/>
      <c r="BC8" s="158"/>
      <c r="BD8" s="158"/>
      <c r="BE8" s="158"/>
      <c r="BF8" s="158"/>
      <c r="BG8" s="158"/>
      <c r="BH8" s="158"/>
      <c r="BI8" s="158"/>
      <c r="BJ8" s="158"/>
      <c r="BK8" s="158"/>
      <c r="BL8" s="337" t="s">
        <v>627</v>
      </c>
      <c r="BM8" s="337" t="s">
        <v>628</v>
      </c>
      <c r="BN8" s="158"/>
      <c r="BO8" s="158"/>
      <c r="BP8" s="158"/>
      <c r="BQ8" s="158"/>
      <c r="BR8" s="158"/>
      <c r="BS8" s="158"/>
      <c r="BT8" s="158"/>
      <c r="BU8" s="158"/>
      <c r="BV8" s="158"/>
      <c r="BW8" s="158"/>
      <c r="BX8" s="158"/>
      <c r="BY8" s="158"/>
      <c r="BZ8" s="158"/>
      <c r="CA8" s="337" t="s">
        <v>627</v>
      </c>
      <c r="CB8" s="337" t="s">
        <v>628</v>
      </c>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81"/>
      <c r="DG8" s="81"/>
      <c r="DH8" s="81"/>
      <c r="DI8" s="81"/>
      <c r="DJ8" s="81"/>
      <c r="DK8" s="81"/>
      <c r="DL8" s="81"/>
      <c r="DM8" s="81"/>
      <c r="DN8" s="81"/>
      <c r="DO8" s="81"/>
      <c r="DP8" s="81"/>
      <c r="DQ8" s="81"/>
      <c r="DR8" s="81"/>
      <c r="DS8" s="81"/>
      <c r="DT8" s="81"/>
    </row>
    <row r="9" spans="4:152" s="164" customFormat="1" ht="12" customHeight="1">
      <c r="D9" s="165"/>
      <c r="E9" s="190"/>
      <c r="F9" s="158"/>
      <c r="G9"/>
      <c r="H9" s="84"/>
      <c r="I9" s="158"/>
      <c r="J9" s="158"/>
      <c r="K9" s="189"/>
      <c r="L9" s="189"/>
      <c r="M9" s="189"/>
      <c r="N9" s="189"/>
      <c r="O9" s="189"/>
      <c r="P9" s="189"/>
      <c r="Q9" s="189"/>
      <c r="R9" s="189"/>
      <c r="S9" s="189"/>
      <c r="T9" s="189"/>
      <c r="U9" s="189"/>
      <c r="V9" s="189"/>
      <c r="W9" s="189"/>
      <c r="X9" s="189"/>
      <c r="Y9" s="158"/>
      <c r="Z9" s="191"/>
      <c r="AA9" s="191"/>
      <c r="AB9" s="158"/>
      <c r="AC9" s="398">
        <f>IF(AG18=0,0,((('ТС.ТМ1 01.01 - 30.06'!AQ18*'ТС.ТМ1 01.01 - 30.06'!AS18*$AG9)+('ТС.ТМ1 01.01 - 30.06'!AT18*'ТС.ТМ1 01.01 - 30.06'!AV18*$AG9)+('ТС.ТМ1 01.01 - 30.06'!AW18*'ТС.ТМ1 01.01 - 30.06'!AY18*$AG9))+ (AC18*AG18))/AG18)</f>
        <v>0</v>
      </c>
      <c r="AD9" s="429">
        <f>IF(AG18=0,0,((('ТС.ТМ1 01.01 - 30.06'!AR18*'ТС.ТМ1 01.01 - 30.06'!AS18*$AG9)+('ТС.ТМ1 01.01 - 30.06'!AU18*'ТС.ТМ1 01.01 - 30.06'!AV18*$AG9)+('ТС.ТМ1 01.01 - 30.06'!AX18*'ТС.ТМ1 01.01 - 30.06'!AY18*$AG9))+ (AD18*AG18))/AG18)</f>
        <v>0</v>
      </c>
      <c r="AE9" s="398">
        <f>IF(AG18=0,0,((('ТС.ТМ1 01.01 - 30.06'!AQ18*'ТС.ТМ1 01.01 - 30.06'!AS18*$AG9)+('ТС.ТМ1 01.01 - 30.06'!AT18*'ТС.ТМ1 01.01 - 30.06'!AV18*$AG9)+('ТС.ТМ1 01.01 - 30.06'!AW18*'ТС.ТМ1 01.01 - 30.06'!AY18*$AG9))+ (AE18*AG18))/AG18)</f>
        <v>0</v>
      </c>
      <c r="AF9" s="429">
        <f>IF(AG18=0,0,((('ТС.ТМ1 01.01 - 30.06'!AR18*'ТС.ТМ1 01.01 - 30.06'!AS18*$AG9)+('ТС.ТМ1 01.01 - 30.06'!AU18*'ТС.ТМ1 01.01 - 30.06'!AV18*$AG9)+('ТС.ТМ1 01.01 - 30.06'!AX18*'ТС.ТМ1 01.01 - 30.06'!AY18*$AG9))+ (AF18*AG18))/AG18)</f>
        <v>0</v>
      </c>
      <c r="AG9" s="130">
        <f>IF(TRANSMISSION_TARIFF="руб/Гкал*час в мес",12,1)</f>
        <v>1</v>
      </c>
      <c r="AH9" s="158"/>
      <c r="AI9" s="158"/>
      <c r="AJ9" s="158"/>
      <c r="AK9" s="158"/>
      <c r="AL9" s="158"/>
      <c r="AM9" s="158"/>
      <c r="AN9" s="158"/>
      <c r="AO9" s="158"/>
      <c r="AP9" s="158"/>
      <c r="AQ9" s="158"/>
      <c r="AR9" s="158"/>
      <c r="AS9" s="158"/>
      <c r="AT9" s="158"/>
      <c r="AU9" s="158"/>
      <c r="AV9" s="158"/>
      <c r="AW9" s="398">
        <f>IF(AV18+BA18&gt;0,(AR18*AV18+AW18*BA18)/(AV18+BA18),0)</f>
        <v>0</v>
      </c>
      <c r="AX9" s="398">
        <f>IF(AV18+BA18&gt;0,(AS18*AV18+AX18*BA18)/(AV18+BA18),0)</f>
        <v>0</v>
      </c>
      <c r="AY9" s="158"/>
      <c r="AZ9" s="158"/>
      <c r="BA9" s="158"/>
      <c r="BB9" s="158"/>
      <c r="BC9" s="158"/>
      <c r="BD9" s="158"/>
      <c r="BE9" s="158"/>
      <c r="BF9" s="158"/>
      <c r="BG9" s="158"/>
      <c r="BH9" s="158"/>
      <c r="BI9" s="158"/>
      <c r="BJ9" s="158"/>
      <c r="BK9" s="158"/>
      <c r="BL9" s="398">
        <f>IF(BK18+BP18&gt;0,(BG18*BK18+BL18*BP18)/(BK18+BP18),0)</f>
        <v>0</v>
      </c>
      <c r="BM9" s="398">
        <f>IF(BK18+BP18&gt;0,(BH18*BK18+BM18*BP18)/(BK18+BP18),0)</f>
        <v>0</v>
      </c>
      <c r="BN9" s="158"/>
      <c r="BO9" s="158"/>
      <c r="BP9" s="158"/>
      <c r="BQ9" s="158"/>
      <c r="BR9" s="158"/>
      <c r="BS9" s="158"/>
      <c r="BT9" s="158"/>
      <c r="BU9" s="158"/>
      <c r="BV9" s="158"/>
      <c r="BW9" s="158"/>
      <c r="BX9" s="158"/>
      <c r="BY9" s="158"/>
      <c r="BZ9" s="158"/>
      <c r="CA9" s="398">
        <f>IF(BZ18+CE18&gt;0,(BV18*BZ18+CA18*CE18)/(BZ18+CE18),0)</f>
        <v>0</v>
      </c>
      <c r="CB9" s="398">
        <f>IF(BZ18&gt;0,(BW18*BZ18+CB18*CE18)/BZ18,0)</f>
        <v>0</v>
      </c>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81"/>
      <c r="DG9" s="81"/>
      <c r="DH9" s="81"/>
      <c r="DI9" s="81"/>
      <c r="DJ9" s="81"/>
      <c r="DK9" s="81"/>
      <c r="DL9" s="81"/>
      <c r="DM9" s="81"/>
      <c r="DN9" s="81"/>
      <c r="DO9" s="81"/>
      <c r="DP9" s="81"/>
      <c r="DQ9" s="81"/>
      <c r="DR9" s="81"/>
      <c r="DS9" s="81"/>
      <c r="DT9" s="81"/>
    </row>
    <row r="10" spans="4:152" s="164" customFormat="1" ht="12" customHeight="1">
      <c r="D10" s="165"/>
      <c r="E10" s="190"/>
      <c r="F10" s="158"/>
      <c r="G10"/>
      <c r="H10" s="84"/>
      <c r="I10" s="158"/>
      <c r="J10" s="158"/>
      <c r="K10" s="444" t="s">
        <v>652</v>
      </c>
      <c r="L10" s="189"/>
      <c r="M10" s="189"/>
      <c r="N10" s="189"/>
      <c r="O10" s="189"/>
      <c r="P10" s="189"/>
      <c r="Q10" s="189"/>
      <c r="R10" s="189"/>
      <c r="S10" s="189"/>
      <c r="T10" s="189"/>
      <c r="U10" s="189"/>
      <c r="V10" s="189"/>
      <c r="W10" s="189"/>
      <c r="X10" s="189"/>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81"/>
      <c r="DG10" s="81"/>
      <c r="DH10" s="81"/>
      <c r="DI10" s="81"/>
      <c r="DJ10" s="81"/>
      <c r="DK10" s="81"/>
      <c r="DL10" s="81"/>
      <c r="DM10" s="81"/>
      <c r="DN10" s="81"/>
      <c r="DO10" s="81"/>
      <c r="DP10" s="81"/>
      <c r="DQ10" s="81"/>
      <c r="DR10" s="81"/>
      <c r="DS10" s="81"/>
      <c r="DT10" s="81"/>
    </row>
    <row r="11" spans="4:152" s="164" customFormat="1" ht="0.75" customHeight="1">
      <c r="D11" s="165"/>
      <c r="E11" s="190"/>
      <c r="F11" s="158"/>
      <c r="G11"/>
      <c r="H11" s="84"/>
      <c r="I11" s="158"/>
      <c r="J11" s="158"/>
      <c r="K11" s="189"/>
      <c r="L11" s="189"/>
      <c r="M11" s="189"/>
      <c r="N11" s="189"/>
      <c r="O11" s="189"/>
      <c r="P11" s="189"/>
      <c r="Q11" s="189"/>
      <c r="R11" s="189"/>
      <c r="S11" s="189"/>
      <c r="T11" s="189"/>
      <c r="U11" s="189"/>
      <c r="V11" s="189"/>
      <c r="W11" s="189"/>
      <c r="X11" s="189"/>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c r="BU11" s="158"/>
      <c r="BV11" s="158"/>
      <c r="BW11" s="158"/>
      <c r="BX11" s="158"/>
      <c r="BY11" s="158"/>
      <c r="BZ11" s="158"/>
      <c r="CA11" s="158"/>
      <c r="CB11" s="158"/>
      <c r="CC11" s="158"/>
      <c r="CD11" s="158"/>
      <c r="CE11" s="158"/>
      <c r="CF11" s="158"/>
      <c r="CG11" s="158"/>
      <c r="CH11" s="158"/>
      <c r="CI11" s="158"/>
      <c r="CJ11" s="158"/>
      <c r="CK11" s="158"/>
      <c r="CL11" s="158"/>
      <c r="CM11" s="158"/>
      <c r="CN11" s="158"/>
      <c r="CO11" s="158"/>
      <c r="CP11" s="158"/>
      <c r="CQ11" s="158"/>
      <c r="CR11" s="158"/>
      <c r="CS11" s="158"/>
      <c r="CT11" s="158"/>
      <c r="CU11" s="158"/>
      <c r="CV11" s="158"/>
      <c r="CW11" s="158"/>
      <c r="CX11" s="158"/>
      <c r="CY11" s="158"/>
      <c r="CZ11" s="158"/>
      <c r="DA11" s="158"/>
      <c r="DB11" s="158"/>
      <c r="DC11" s="158"/>
      <c r="DD11" s="158"/>
      <c r="DE11" s="158"/>
      <c r="DF11" s="81"/>
      <c r="DG11" s="81"/>
      <c r="DH11" s="81"/>
      <c r="DI11" s="81"/>
      <c r="DJ11" s="81"/>
      <c r="DK11" s="81"/>
      <c r="DL11" s="81"/>
      <c r="DM11" s="81"/>
      <c r="DN11" s="81"/>
      <c r="DO11" s="81"/>
      <c r="DP11" s="81"/>
      <c r="DQ11" s="81"/>
      <c r="DR11" s="81"/>
      <c r="DS11" s="81"/>
      <c r="DT11" s="81"/>
    </row>
    <row r="12" spans="4:152" s="164" customFormat="1" ht="12" customHeight="1">
      <c r="D12" s="165"/>
      <c r="E12" s="190"/>
      <c r="F12" s="158"/>
      <c r="G12" s="589" t="s">
        <v>734</v>
      </c>
      <c r="H12" s="588"/>
      <c r="I12" s="158"/>
      <c r="J12" s="158"/>
      <c r="K12" s="922" t="s">
        <v>2863</v>
      </c>
      <c r="L12" s="922"/>
      <c r="M12" s="922"/>
      <c r="N12" s="922"/>
      <c r="O12" s="922"/>
      <c r="P12" s="922"/>
      <c r="Q12" s="922"/>
      <c r="R12" s="922"/>
      <c r="S12" s="922"/>
      <c r="T12" s="922"/>
      <c r="U12" s="922"/>
      <c r="V12" s="922"/>
      <c r="W12" s="922"/>
      <c r="X12" s="922"/>
      <c r="Y12" s="158"/>
      <c r="Z12" s="191"/>
      <c r="AA12" s="191"/>
      <c r="AB12" s="158"/>
      <c r="AC12" s="158"/>
      <c r="AD12" s="158"/>
      <c r="AE12" s="158"/>
      <c r="AF12" s="158"/>
      <c r="AG12" s="158"/>
      <c r="AH12" s="158"/>
      <c r="AI12" s="158"/>
      <c r="AJ12" s="158"/>
      <c r="AK12" s="158"/>
      <c r="AL12" s="158"/>
      <c r="AM12" s="158"/>
      <c r="AN12" s="158"/>
      <c r="AO12" s="158"/>
      <c r="AP12" s="158"/>
      <c r="AQ12" s="158"/>
      <c r="AR12" s="158"/>
      <c r="AS12" s="158"/>
      <c r="AT12" s="158"/>
      <c r="AU12" s="158"/>
      <c r="AV12" s="427"/>
      <c r="AW12" s="158"/>
      <c r="AX12" s="158"/>
      <c r="AY12" s="158"/>
      <c r="AZ12" s="158"/>
      <c r="BA12" s="158"/>
      <c r="BB12" s="158"/>
      <c r="BC12" s="158"/>
      <c r="BD12" s="158"/>
      <c r="BE12" s="158"/>
      <c r="BF12" s="158"/>
      <c r="BG12" s="158"/>
      <c r="BH12" s="158"/>
      <c r="BI12" s="158"/>
      <c r="BJ12" s="158"/>
      <c r="BK12" s="427"/>
      <c r="BL12" s="158"/>
      <c r="BM12" s="158"/>
      <c r="BN12" s="158"/>
      <c r="BO12" s="158"/>
      <c r="BP12" s="158"/>
      <c r="BQ12" s="158"/>
      <c r="BR12" s="158"/>
      <c r="BS12" s="158"/>
      <c r="BT12" s="158"/>
      <c r="BU12" s="158"/>
      <c r="BV12" s="158"/>
      <c r="BW12" s="158"/>
      <c r="BX12" s="158"/>
      <c r="BY12" s="158"/>
      <c r="BZ12" s="427"/>
      <c r="CA12" s="158"/>
      <c r="CB12" s="158"/>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81"/>
      <c r="DG12" s="81"/>
      <c r="DH12" s="81"/>
      <c r="DI12" s="81"/>
      <c r="DJ12" s="81"/>
      <c r="DK12" s="81"/>
      <c r="DL12" s="81"/>
      <c r="DM12" s="81"/>
      <c r="DN12" s="81"/>
      <c r="DO12" s="81"/>
      <c r="DP12" s="81"/>
      <c r="DQ12" s="81"/>
      <c r="DR12" s="81"/>
      <c r="DS12" s="81"/>
      <c r="DT12" s="81"/>
    </row>
    <row r="13" spans="4:152" ht="24" customHeight="1">
      <c r="E13" s="192"/>
      <c r="F13" s="827" t="s">
        <v>641</v>
      </c>
      <c r="G13" s="827" t="s">
        <v>735</v>
      </c>
      <c r="H13" s="870" t="s">
        <v>2179</v>
      </c>
      <c r="I13" s="870"/>
      <c r="J13" s="827" t="s">
        <v>626</v>
      </c>
      <c r="K13" s="802" t="s">
        <v>2584</v>
      </c>
      <c r="L13" s="802"/>
      <c r="M13" s="802"/>
      <c r="N13" s="803" t="s">
        <v>2569</v>
      </c>
      <c r="O13" s="803"/>
      <c r="P13" s="802" t="s">
        <v>2570</v>
      </c>
      <c r="Q13" s="802"/>
      <c r="R13" s="802" t="s">
        <v>2862</v>
      </c>
      <c r="S13" s="802"/>
      <c r="T13" s="802"/>
      <c r="U13" s="802"/>
      <c r="V13" s="802" t="s">
        <v>2571</v>
      </c>
      <c r="W13" s="802"/>
      <c r="X13" s="803" t="s">
        <v>2572</v>
      </c>
      <c r="Y13" s="828" t="str">
        <f>"Экономически обоснованный тариф, руб./" &amp; $G$12</f>
        <v>Экономически обоснованный тариф, руб./Гкал</v>
      </c>
      <c r="Z13" s="828"/>
      <c r="AA13" s="872"/>
      <c r="AB13" s="873"/>
      <c r="AC13" s="872" t="str">
        <f>"Средневзвешенный тариф с учётом инвестиционной составляющей, руб./" &amp; $G$12</f>
        <v>Средневзвешенный тариф с учётом инвестиционной составляющей, руб./Гкал</v>
      </c>
      <c r="AD13" s="873"/>
      <c r="AE13" s="872" t="str">
        <f>"Средневзвешенный тариф без учёта инвестиционной составляющей, руб./" &amp; $G$12</f>
        <v>Средневзвешенный тариф без учёта инвестиционной составляющей, руб./Гкал</v>
      </c>
      <c r="AF13" s="873"/>
      <c r="AG13" s="828" t="str">
        <f>"Объём реализации услуги потребителям, всего, " &amp; $G$12</f>
        <v>Объём реализации услуги потребителям, всего, Гкал</v>
      </c>
      <c r="AH13" s="872" t="str">
        <f>"Инвестиционная составляющая, руб./" &amp; $G$12</f>
        <v>Инвестиционная составляющая, руб./Гкал</v>
      </c>
      <c r="AI13" s="873"/>
      <c r="AJ13" s="872"/>
      <c r="AK13" s="873"/>
      <c r="AL13" s="828"/>
      <c r="AM13" s="828" t="s">
        <v>2459</v>
      </c>
      <c r="AN13" s="828"/>
      <c r="AO13" s="828"/>
      <c r="AP13" s="828"/>
      <c r="AQ13" s="828"/>
      <c r="AR13" s="828" t="s">
        <v>747</v>
      </c>
      <c r="AS13" s="828"/>
      <c r="AT13" s="828"/>
      <c r="AU13" s="828"/>
      <c r="AV13" s="831"/>
      <c r="AW13" s="828"/>
      <c r="AX13" s="828"/>
      <c r="AY13" s="828"/>
      <c r="AZ13" s="828"/>
      <c r="BA13" s="828"/>
      <c r="BB13" s="828"/>
      <c r="BC13" s="828"/>
      <c r="BD13" s="828"/>
      <c r="BE13" s="828"/>
      <c r="BF13" s="828"/>
      <c r="BG13" s="828" t="s">
        <v>748</v>
      </c>
      <c r="BH13" s="828"/>
      <c r="BI13" s="828"/>
      <c r="BJ13" s="828"/>
      <c r="BK13" s="831"/>
      <c r="BL13" s="828"/>
      <c r="BM13" s="828"/>
      <c r="BN13" s="828"/>
      <c r="BO13" s="828"/>
      <c r="BP13" s="828"/>
      <c r="BQ13" s="828"/>
      <c r="BR13" s="828"/>
      <c r="BS13" s="828"/>
      <c r="BT13" s="828"/>
      <c r="BU13" s="828"/>
      <c r="BV13" s="828" t="s">
        <v>758</v>
      </c>
      <c r="BW13" s="828"/>
      <c r="BX13" s="828"/>
      <c r="BY13" s="828"/>
      <c r="BZ13" s="831"/>
      <c r="CA13" s="828"/>
      <c r="CB13" s="828"/>
      <c r="CC13" s="828"/>
      <c r="CD13" s="828"/>
      <c r="CE13" s="828"/>
      <c r="CF13" s="828"/>
      <c r="CG13" s="828"/>
      <c r="CH13" s="828"/>
      <c r="CI13" s="828"/>
      <c r="CJ13" s="828"/>
      <c r="CK13" s="828" t="s">
        <v>896</v>
      </c>
      <c r="CL13" s="828" t="s">
        <v>897</v>
      </c>
      <c r="CM13" s="828" t="s">
        <v>898</v>
      </c>
      <c r="CN13" s="828"/>
      <c r="CO13" s="828"/>
      <c r="CP13" s="828"/>
      <c r="CQ13" s="828"/>
      <c r="CR13" s="828" t="s">
        <v>899</v>
      </c>
      <c r="CS13" s="185"/>
      <c r="CT13" s="185"/>
      <c r="CU13" s="185"/>
      <c r="CV13" s="185"/>
      <c r="CW13" s="185"/>
      <c r="CX13" s="185"/>
      <c r="CY13" s="185"/>
      <c r="CZ13" s="185"/>
      <c r="DA13" s="185"/>
      <c r="DB13" s="185"/>
      <c r="DC13" s="185"/>
      <c r="DD13" s="185"/>
      <c r="DE13" s="185"/>
    </row>
    <row r="14" spans="4:152" ht="18.75" customHeight="1">
      <c r="E14" s="192"/>
      <c r="F14" s="869"/>
      <c r="G14" s="869"/>
      <c r="H14" s="870"/>
      <c r="I14" s="870"/>
      <c r="J14" s="827"/>
      <c r="K14" s="803" t="s">
        <v>2581</v>
      </c>
      <c r="L14" s="803" t="s">
        <v>2582</v>
      </c>
      <c r="M14" s="803" t="s">
        <v>2583</v>
      </c>
      <c r="N14" s="860"/>
      <c r="O14" s="860"/>
      <c r="P14" s="803" t="s">
        <v>2573</v>
      </c>
      <c r="Q14" s="803" t="s">
        <v>2574</v>
      </c>
      <c r="R14" s="803" t="s">
        <v>2573</v>
      </c>
      <c r="S14" s="803" t="s">
        <v>2574</v>
      </c>
      <c r="T14" s="803"/>
      <c r="U14" s="803"/>
      <c r="V14" s="803" t="s">
        <v>2575</v>
      </c>
      <c r="W14" s="803" t="s">
        <v>2576</v>
      </c>
      <c r="X14" s="860"/>
      <c r="Y14" s="828"/>
      <c r="Z14" s="828"/>
      <c r="AA14" s="874"/>
      <c r="AB14" s="875"/>
      <c r="AC14" s="874"/>
      <c r="AD14" s="875"/>
      <c r="AE14" s="874"/>
      <c r="AF14" s="875"/>
      <c r="AG14" s="828"/>
      <c r="AH14" s="874"/>
      <c r="AI14" s="875"/>
      <c r="AJ14" s="874"/>
      <c r="AK14" s="875"/>
      <c r="AL14" s="828"/>
      <c r="AM14" s="828" t="str">
        <f>"Тариф, руб./" &amp; $G$12</f>
        <v>Тариф, руб./Гкал</v>
      </c>
      <c r="AN14" s="828"/>
      <c r="AO14" s="828" t="str">
        <f>"Льготный тариф, руб./" &amp; $G$12</f>
        <v>Льготный тариф, руб./Гкал</v>
      </c>
      <c r="AP14" s="828"/>
      <c r="AQ14" s="828" t="str">
        <f>"Объём реализации услуги, " &amp; $G$12</f>
        <v>Объём реализации услуги, Гкал</v>
      </c>
      <c r="AR14" s="872" t="str">
        <f>"Одноставочный тариф, руб./" &amp; $G$12</f>
        <v>Одноставочный тариф, руб./Гкал</v>
      </c>
      <c r="AS14" s="873"/>
      <c r="AT14" s="828" t="str">
        <f>"Льготный тариф, руб./" &amp; $G$12</f>
        <v>Льготный тариф, руб./Гкал</v>
      </c>
      <c r="AU14" s="828"/>
      <c r="AV14" s="828" t="str">
        <f>"Объём реализации услуги, " &amp; $G$12</f>
        <v>Объём реализации услуги, Гкал</v>
      </c>
      <c r="AW14" s="828" t="s">
        <v>903</v>
      </c>
      <c r="AX14" s="828"/>
      <c r="AY14" s="828"/>
      <c r="AZ14" s="828"/>
      <c r="BA14" s="828"/>
      <c r="BB14" s="828"/>
      <c r="BC14" s="828"/>
      <c r="BD14" s="828"/>
      <c r="BE14" s="828" t="s">
        <v>906</v>
      </c>
      <c r="BF14" s="828" t="str">
        <f>"Удельная величина дотаций, руб./" &amp; $G$12</f>
        <v>Удельная величина дотаций, руб./Гкал</v>
      </c>
      <c r="BG14" s="872" t="str">
        <f>"Одноставочный тариф, руб./" &amp; $G$12</f>
        <v>Одноставочный тариф, руб./Гкал</v>
      </c>
      <c r="BH14" s="873"/>
      <c r="BI14" s="828" t="str">
        <f>"Льготный тариф, руб./" &amp; $G$12</f>
        <v>Льготный тариф, руб./Гкал</v>
      </c>
      <c r="BJ14" s="828"/>
      <c r="BK14" s="828" t="str">
        <f>"Объём реализации услуги, " &amp; $G$12</f>
        <v>Объём реализации услуги, Гкал</v>
      </c>
      <c r="BL14" s="828" t="s">
        <v>903</v>
      </c>
      <c r="BM14" s="828"/>
      <c r="BN14" s="828"/>
      <c r="BO14" s="828"/>
      <c r="BP14" s="828"/>
      <c r="BQ14" s="828"/>
      <c r="BR14" s="828"/>
      <c r="BS14" s="828"/>
      <c r="BT14" s="828" t="s">
        <v>906</v>
      </c>
      <c r="BU14" s="828" t="str">
        <f>"Удельная величина дотаций, руб./" &amp; $G$12</f>
        <v>Удельная величина дотаций, руб./Гкал</v>
      </c>
      <c r="BV14" s="872" t="str">
        <f>"Одноставочный тариф, руб./" &amp; $G$12</f>
        <v>Одноставочный тариф, руб./Гкал</v>
      </c>
      <c r="BW14" s="873"/>
      <c r="BX14" s="828" t="str">
        <f>"Льготный тариф, руб./" &amp; $G$12</f>
        <v>Льготный тариф, руб./Гкал</v>
      </c>
      <c r="BY14" s="828"/>
      <c r="BZ14" s="828" t="str">
        <f>"Объём реализации услуги, " &amp; $G$12</f>
        <v>Объём реализации услуги, Гкал</v>
      </c>
      <c r="CA14" s="828" t="s">
        <v>903</v>
      </c>
      <c r="CB14" s="828"/>
      <c r="CC14" s="828"/>
      <c r="CD14" s="828"/>
      <c r="CE14" s="828"/>
      <c r="CF14" s="828"/>
      <c r="CG14" s="828"/>
      <c r="CH14" s="828"/>
      <c r="CI14" s="828" t="s">
        <v>906</v>
      </c>
      <c r="CJ14" s="828" t="str">
        <f>"Удельная величина дотаций, руб./" &amp; $G$12</f>
        <v>Удельная величина дотаций, руб./Гкал</v>
      </c>
      <c r="CK14" s="828"/>
      <c r="CL14" s="828"/>
      <c r="CM14" s="828" t="s">
        <v>907</v>
      </c>
      <c r="CN14" s="828" t="s">
        <v>908</v>
      </c>
      <c r="CO14" s="828" t="s">
        <v>909</v>
      </c>
      <c r="CP14" s="828" t="s">
        <v>910</v>
      </c>
      <c r="CQ14" s="828" t="s">
        <v>911</v>
      </c>
      <c r="CR14" s="828"/>
      <c r="CS14" s="185"/>
      <c r="CT14" s="185"/>
      <c r="CU14" s="185"/>
      <c r="CV14" s="185"/>
      <c r="CW14" s="185"/>
      <c r="CX14" s="185"/>
      <c r="CY14" s="185"/>
      <c r="CZ14" s="185"/>
      <c r="DA14" s="185"/>
      <c r="DB14" s="185"/>
      <c r="DC14" s="185"/>
      <c r="DD14" s="185"/>
      <c r="DE14" s="185"/>
    </row>
    <row r="15" spans="4:152" ht="30" customHeight="1">
      <c r="E15" s="192"/>
      <c r="F15" s="869"/>
      <c r="G15" s="869"/>
      <c r="H15" s="870"/>
      <c r="I15" s="870"/>
      <c r="J15" s="827"/>
      <c r="K15" s="860"/>
      <c r="L15" s="860"/>
      <c r="M15" s="860"/>
      <c r="N15" s="860"/>
      <c r="O15" s="860"/>
      <c r="P15" s="860"/>
      <c r="Q15" s="860"/>
      <c r="R15" s="860"/>
      <c r="S15" s="860"/>
      <c r="T15" s="860"/>
      <c r="U15" s="860"/>
      <c r="V15" s="860"/>
      <c r="W15" s="860"/>
      <c r="X15" s="860"/>
      <c r="Y15" s="828"/>
      <c r="Z15" s="828"/>
      <c r="AA15" s="876"/>
      <c r="AB15" s="877"/>
      <c r="AC15" s="876"/>
      <c r="AD15" s="877"/>
      <c r="AE15" s="876"/>
      <c r="AF15" s="877"/>
      <c r="AG15" s="828"/>
      <c r="AH15" s="876"/>
      <c r="AI15" s="877"/>
      <c r="AJ15" s="876"/>
      <c r="AK15" s="877"/>
      <c r="AL15" s="828"/>
      <c r="AM15" s="828"/>
      <c r="AN15" s="828"/>
      <c r="AO15" s="828"/>
      <c r="AP15" s="828"/>
      <c r="AQ15" s="828"/>
      <c r="AR15" s="876"/>
      <c r="AS15" s="877"/>
      <c r="AT15" s="828"/>
      <c r="AU15" s="828"/>
      <c r="AV15" s="828"/>
      <c r="AW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AX15" s="828"/>
      <c r="AY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AZ15" s="828"/>
      <c r="BA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B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C15" s="828"/>
      <c r="BD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E15" s="828"/>
      <c r="BF15" s="828"/>
      <c r="BG15" s="876"/>
      <c r="BH15" s="877"/>
      <c r="BI15" s="828"/>
      <c r="BJ15" s="828"/>
      <c r="BK15" s="828"/>
      <c r="BL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BM15" s="828"/>
      <c r="BN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BO15" s="828"/>
      <c r="BP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Q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R15" s="828"/>
      <c r="BS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T15" s="828"/>
      <c r="BU15" s="828"/>
      <c r="BV15" s="876"/>
      <c r="BW15" s="877"/>
      <c r="BX15" s="828"/>
      <c r="BY15" s="828"/>
      <c r="BZ15" s="828"/>
      <c r="CA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CB15" s="828"/>
      <c r="CC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CD15" s="828"/>
      <c r="CE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CF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CG15" s="828"/>
      <c r="CH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CI15" s="828"/>
      <c r="CJ15" s="828"/>
      <c r="CK15" s="828"/>
      <c r="CL15" s="828"/>
      <c r="CM15" s="828"/>
      <c r="CN15" s="828"/>
      <c r="CO15" s="828"/>
      <c r="CP15" s="828"/>
      <c r="CQ15" s="828"/>
      <c r="CR15" s="828"/>
      <c r="CS15" s="185"/>
      <c r="CT15" s="185"/>
      <c r="CU15" s="185"/>
      <c r="CV15" s="185"/>
      <c r="CW15" s="185"/>
      <c r="CX15" s="185"/>
      <c r="CY15" s="185"/>
      <c r="CZ15" s="185"/>
      <c r="DA15" s="185"/>
      <c r="DB15" s="185"/>
      <c r="DC15" s="185"/>
      <c r="DD15" s="185"/>
      <c r="DE15" s="185"/>
      <c r="DP15" s="78"/>
      <c r="DQ15" s="78"/>
      <c r="DR15" s="78"/>
      <c r="DS15" s="78"/>
      <c r="DT15" s="78"/>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row>
    <row r="16" spans="4:152" ht="12" customHeight="1">
      <c r="E16" s="192"/>
      <c r="F16" s="869"/>
      <c r="G16" s="869"/>
      <c r="H16" s="870"/>
      <c r="I16" s="870"/>
      <c r="J16" s="827"/>
      <c r="K16" s="826"/>
      <c r="L16" s="826"/>
      <c r="M16" s="826"/>
      <c r="N16" s="826"/>
      <c r="O16" s="826"/>
      <c r="P16" s="826"/>
      <c r="Q16" s="826"/>
      <c r="R16" s="826"/>
      <c r="S16" s="826"/>
      <c r="T16" s="826"/>
      <c r="U16" s="826"/>
      <c r="V16" s="826"/>
      <c r="W16" s="826"/>
      <c r="X16" s="826"/>
      <c r="Y16" s="193" t="s">
        <v>627</v>
      </c>
      <c r="Z16" s="193" t="s">
        <v>628</v>
      </c>
      <c r="AA16" s="193"/>
      <c r="AB16" s="193"/>
      <c r="AC16" s="193" t="s">
        <v>627</v>
      </c>
      <c r="AD16" s="193" t="s">
        <v>628</v>
      </c>
      <c r="AE16" s="193" t="s">
        <v>627</v>
      </c>
      <c r="AF16" s="193" t="s">
        <v>628</v>
      </c>
      <c r="AG16" s="828"/>
      <c r="AH16" s="193" t="s">
        <v>627</v>
      </c>
      <c r="AI16" s="193" t="s">
        <v>628</v>
      </c>
      <c r="AJ16" s="193"/>
      <c r="AK16" s="193"/>
      <c r="AL16" s="828"/>
      <c r="AM16" s="193" t="s">
        <v>627</v>
      </c>
      <c r="AN16" s="193" t="s">
        <v>628</v>
      </c>
      <c r="AO16" s="193" t="s">
        <v>627</v>
      </c>
      <c r="AP16" s="193" t="s">
        <v>628</v>
      </c>
      <c r="AQ16" s="828"/>
      <c r="AR16" s="193" t="s">
        <v>627</v>
      </c>
      <c r="AS16" s="193" t="s">
        <v>628</v>
      </c>
      <c r="AT16" s="193" t="s">
        <v>627</v>
      </c>
      <c r="AU16" s="193" t="s">
        <v>628</v>
      </c>
      <c r="AV16" s="828"/>
      <c r="AW16" s="193" t="s">
        <v>627</v>
      </c>
      <c r="AX16" s="193" t="s">
        <v>628</v>
      </c>
      <c r="AY16" s="193" t="s">
        <v>627</v>
      </c>
      <c r="AZ16" s="193" t="s">
        <v>628</v>
      </c>
      <c r="BA16" s="828"/>
      <c r="BB16" s="193" t="s">
        <v>627</v>
      </c>
      <c r="BC16" s="193" t="s">
        <v>628</v>
      </c>
      <c r="BD16" s="828"/>
      <c r="BE16" s="828"/>
      <c r="BF16" s="828"/>
      <c r="BG16" s="193" t="s">
        <v>627</v>
      </c>
      <c r="BH16" s="193" t="s">
        <v>628</v>
      </c>
      <c r="BI16" s="193" t="s">
        <v>627</v>
      </c>
      <c r="BJ16" s="193" t="s">
        <v>628</v>
      </c>
      <c r="BK16" s="828"/>
      <c r="BL16" s="193" t="s">
        <v>627</v>
      </c>
      <c r="BM16" s="193" t="s">
        <v>628</v>
      </c>
      <c r="BN16" s="193" t="s">
        <v>627</v>
      </c>
      <c r="BO16" s="193" t="s">
        <v>628</v>
      </c>
      <c r="BP16" s="828"/>
      <c r="BQ16" s="193" t="s">
        <v>627</v>
      </c>
      <c r="BR16" s="193" t="s">
        <v>628</v>
      </c>
      <c r="BS16" s="828"/>
      <c r="BT16" s="828"/>
      <c r="BU16" s="828"/>
      <c r="BV16" s="193" t="s">
        <v>627</v>
      </c>
      <c r="BW16" s="193" t="s">
        <v>628</v>
      </c>
      <c r="BX16" s="193" t="s">
        <v>627</v>
      </c>
      <c r="BY16" s="193" t="s">
        <v>628</v>
      </c>
      <c r="BZ16" s="828"/>
      <c r="CA16" s="193" t="s">
        <v>627</v>
      </c>
      <c r="CB16" s="193" t="s">
        <v>628</v>
      </c>
      <c r="CC16" s="193" t="s">
        <v>627</v>
      </c>
      <c r="CD16" s="193" t="s">
        <v>628</v>
      </c>
      <c r="CE16" s="828"/>
      <c r="CF16" s="193" t="s">
        <v>627</v>
      </c>
      <c r="CG16" s="193" t="s">
        <v>628</v>
      </c>
      <c r="CH16" s="828"/>
      <c r="CI16" s="828"/>
      <c r="CJ16" s="828"/>
      <c r="CK16" s="828"/>
      <c r="CL16" s="828"/>
      <c r="CM16" s="828"/>
      <c r="CN16" s="828"/>
      <c r="CO16" s="828"/>
      <c r="CP16" s="828"/>
      <c r="CQ16" s="828"/>
      <c r="CR16" s="828"/>
      <c r="CS16" s="185"/>
      <c r="CT16" s="185"/>
      <c r="CU16" s="185"/>
      <c r="CV16" s="185"/>
      <c r="CW16" s="185"/>
      <c r="CX16" s="185"/>
      <c r="CY16" s="185"/>
      <c r="CZ16" s="185"/>
      <c r="DA16" s="185"/>
      <c r="DB16" s="185"/>
      <c r="DC16" s="185"/>
      <c r="DD16" s="185"/>
      <c r="DE16" s="185"/>
      <c r="DF16" s="829" t="s">
        <v>295</v>
      </c>
      <c r="DG16" s="829"/>
      <c r="DH16" s="829"/>
      <c r="DI16" s="829"/>
      <c r="DJ16" s="829"/>
      <c r="DK16" s="829"/>
      <c r="DL16" s="829"/>
      <c r="DM16" s="829"/>
      <c r="DN16" s="829"/>
      <c r="DO16" s="829"/>
      <c r="DP16" s="829" t="s">
        <v>296</v>
      </c>
      <c r="DQ16" s="829"/>
      <c r="DR16" s="829"/>
      <c r="DS16" s="829"/>
      <c r="DT16" s="829"/>
      <c r="DU16" s="829"/>
      <c r="DV16" s="829"/>
      <c r="DW16" s="829"/>
      <c r="DX16" s="829"/>
      <c r="DY16" s="829"/>
      <c r="DZ16" s="829"/>
      <c r="EA16" s="829"/>
      <c r="EB16" s="829"/>
      <c r="EC16" s="829"/>
      <c r="ED16" s="829"/>
      <c r="EE16" s="829"/>
      <c r="EF16" s="829"/>
      <c r="EG16" s="829"/>
      <c r="EH16" s="829" t="s">
        <v>293</v>
      </c>
      <c r="EI16" s="829"/>
      <c r="EJ16" s="829" t="s">
        <v>294</v>
      </c>
      <c r="EK16" s="829"/>
      <c r="EL16" s="829"/>
      <c r="EM16" s="829"/>
      <c r="EN16" s="829"/>
      <c r="EO16" s="829"/>
      <c r="EP16" s="829"/>
      <c r="EQ16" s="829"/>
      <c r="ER16" s="829" t="s">
        <v>444</v>
      </c>
      <c r="ES16" s="829"/>
      <c r="ET16" s="829" t="s">
        <v>1783</v>
      </c>
      <c r="EU16" s="829"/>
      <c r="EV16" s="829"/>
    </row>
    <row r="17" spans="1:152" ht="12" customHeight="1">
      <c r="E17" s="192"/>
      <c r="F17" s="182"/>
      <c r="G17" s="182" t="s">
        <v>759</v>
      </c>
      <c r="H17" s="183" t="s">
        <v>629</v>
      </c>
      <c r="I17" s="183" t="s">
        <v>630</v>
      </c>
      <c r="J17" s="183" t="s">
        <v>631</v>
      </c>
      <c r="K17" s="183" t="s">
        <v>2851</v>
      </c>
      <c r="L17" s="183" t="s">
        <v>2852</v>
      </c>
      <c r="M17" s="183" t="s">
        <v>2853</v>
      </c>
      <c r="N17" s="183" t="s">
        <v>2854</v>
      </c>
      <c r="O17" s="183"/>
      <c r="P17" s="183" t="s">
        <v>2855</v>
      </c>
      <c r="Q17" s="183" t="s">
        <v>2856</v>
      </c>
      <c r="R17" s="183" t="s">
        <v>2857</v>
      </c>
      <c r="S17" s="183" t="s">
        <v>2858</v>
      </c>
      <c r="T17" s="183"/>
      <c r="U17" s="183"/>
      <c r="V17" s="183" t="s">
        <v>2859</v>
      </c>
      <c r="W17" s="183" t="s">
        <v>2860</v>
      </c>
      <c r="X17" s="183" t="s">
        <v>2861</v>
      </c>
      <c r="Y17" s="472" t="s">
        <v>790</v>
      </c>
      <c r="Z17" s="472" t="s">
        <v>792</v>
      </c>
      <c r="AA17" s="472"/>
      <c r="AB17" s="472"/>
      <c r="AC17" s="472" t="s">
        <v>635</v>
      </c>
      <c r="AD17" s="472" t="s">
        <v>883</v>
      </c>
      <c r="AE17" s="472" t="s">
        <v>885</v>
      </c>
      <c r="AF17" s="472" t="s">
        <v>886</v>
      </c>
      <c r="AG17" s="183" t="s">
        <v>761</v>
      </c>
      <c r="AH17" s="472" t="s">
        <v>888</v>
      </c>
      <c r="AI17" s="472" t="s">
        <v>889</v>
      </c>
      <c r="AJ17" s="472"/>
      <c r="AK17" s="472"/>
      <c r="AL17" s="472"/>
      <c r="AM17" s="183" t="s">
        <v>767</v>
      </c>
      <c r="AN17" s="183" t="s">
        <v>918</v>
      </c>
      <c r="AO17" s="183" t="s">
        <v>919</v>
      </c>
      <c r="AP17" s="183" t="s">
        <v>1799</v>
      </c>
      <c r="AQ17" s="183" t="s">
        <v>768</v>
      </c>
      <c r="AR17" s="183" t="s">
        <v>2993</v>
      </c>
      <c r="AS17" s="183" t="s">
        <v>3003</v>
      </c>
      <c r="AT17" s="183" t="s">
        <v>1800</v>
      </c>
      <c r="AU17" s="183" t="s">
        <v>1801</v>
      </c>
      <c r="AV17" s="183" t="s">
        <v>771</v>
      </c>
      <c r="AW17" s="183" t="s">
        <v>1802</v>
      </c>
      <c r="AX17" s="183" t="s">
        <v>1803</v>
      </c>
      <c r="AY17" s="183" t="s">
        <v>1804</v>
      </c>
      <c r="AZ17" s="183" t="s">
        <v>1805</v>
      </c>
      <c r="BA17" s="183" t="s">
        <v>1806</v>
      </c>
      <c r="BB17" s="183" t="s">
        <v>1807</v>
      </c>
      <c r="BC17" s="183" t="s">
        <v>1808</v>
      </c>
      <c r="BD17" s="183" t="s">
        <v>1809</v>
      </c>
      <c r="BE17" s="183" t="s">
        <v>1810</v>
      </c>
      <c r="BF17" s="183" t="s">
        <v>1811</v>
      </c>
      <c r="BG17" s="183" t="s">
        <v>1833</v>
      </c>
      <c r="BH17" s="183" t="s">
        <v>1835</v>
      </c>
      <c r="BI17" s="183" t="s">
        <v>1812</v>
      </c>
      <c r="BJ17" s="183" t="s">
        <v>1813</v>
      </c>
      <c r="BK17" s="183" t="s">
        <v>62</v>
      </c>
      <c r="BL17" s="183" t="s">
        <v>71</v>
      </c>
      <c r="BM17" s="183" t="s">
        <v>1845</v>
      </c>
      <c r="BN17" s="183" t="s">
        <v>1814</v>
      </c>
      <c r="BO17" s="183" t="s">
        <v>1815</v>
      </c>
      <c r="BP17" s="183" t="s">
        <v>1816</v>
      </c>
      <c r="BQ17" s="183" t="s">
        <v>1817</v>
      </c>
      <c r="BR17" s="183" t="s">
        <v>1818</v>
      </c>
      <c r="BS17" s="183" t="s">
        <v>1819</v>
      </c>
      <c r="BT17" s="183" t="s">
        <v>1848</v>
      </c>
      <c r="BU17" s="183" t="s">
        <v>1855</v>
      </c>
      <c r="BV17" s="183" t="s">
        <v>1820</v>
      </c>
      <c r="BW17" s="183" t="s">
        <v>1821</v>
      </c>
      <c r="BX17" s="183" t="s">
        <v>1822</v>
      </c>
      <c r="BY17" s="183" t="s">
        <v>1823</v>
      </c>
      <c r="BZ17" s="183" t="s">
        <v>2416</v>
      </c>
      <c r="CA17" s="183" t="s">
        <v>1824</v>
      </c>
      <c r="CB17" s="183" t="s">
        <v>1825</v>
      </c>
      <c r="CC17" s="183" t="s">
        <v>1826</v>
      </c>
      <c r="CD17" s="183" t="s">
        <v>1827</v>
      </c>
      <c r="CE17" s="183" t="s">
        <v>1828</v>
      </c>
      <c r="CF17" s="183" t="s">
        <v>1829</v>
      </c>
      <c r="CG17" s="183" t="s">
        <v>1830</v>
      </c>
      <c r="CH17" s="183" t="s">
        <v>1831</v>
      </c>
      <c r="CI17" s="183" t="s">
        <v>2422</v>
      </c>
      <c r="CJ17" s="183" t="s">
        <v>2425</v>
      </c>
      <c r="CK17" s="183" t="s">
        <v>2427</v>
      </c>
      <c r="CL17" s="183" t="s">
        <v>2431</v>
      </c>
      <c r="CM17" s="183" t="s">
        <v>845</v>
      </c>
      <c r="CN17" s="183" t="s">
        <v>1847</v>
      </c>
      <c r="CO17" s="183" t="s">
        <v>1854</v>
      </c>
      <c r="CP17" s="183" t="s">
        <v>2421</v>
      </c>
      <c r="CQ17" s="183" t="s">
        <v>2424</v>
      </c>
      <c r="CR17" s="183" t="s">
        <v>3005</v>
      </c>
      <c r="CS17" s="185"/>
      <c r="CT17" s="185"/>
      <c r="CU17" s="185"/>
      <c r="CV17" s="185"/>
      <c r="CW17" s="185"/>
      <c r="CX17" s="185"/>
      <c r="CY17" s="185"/>
      <c r="CZ17" s="185"/>
      <c r="DA17" s="185"/>
      <c r="DB17" s="185"/>
      <c r="DC17" s="185"/>
      <c r="DD17" s="185"/>
      <c r="DE17" s="185"/>
      <c r="DF17" s="472"/>
      <c r="DG17" s="472"/>
      <c r="DH17" s="472"/>
      <c r="DI17" s="472"/>
      <c r="DJ17" s="472"/>
      <c r="DK17" s="472"/>
      <c r="DL17" s="472"/>
      <c r="DM17" s="472"/>
      <c r="DN17" s="472"/>
      <c r="DO17" s="472"/>
      <c r="DP17" s="472" t="s">
        <v>1802</v>
      </c>
      <c r="DQ17" s="472" t="s">
        <v>1803</v>
      </c>
      <c r="DR17" s="472" t="s">
        <v>1804</v>
      </c>
      <c r="DS17" s="472" t="s">
        <v>1805</v>
      </c>
      <c r="DT17" s="472" t="s">
        <v>1807</v>
      </c>
      <c r="DU17" s="472" t="s">
        <v>1808</v>
      </c>
      <c r="DV17" s="472" t="s">
        <v>71</v>
      </c>
      <c r="DW17" s="472" t="s">
        <v>1845</v>
      </c>
      <c r="DX17" s="472" t="s">
        <v>1814</v>
      </c>
      <c r="DY17" s="472" t="s">
        <v>1815</v>
      </c>
      <c r="DZ17" s="472" t="s">
        <v>1817</v>
      </c>
      <c r="EA17" s="472" t="s">
        <v>1818</v>
      </c>
      <c r="EB17" s="472" t="s">
        <v>1824</v>
      </c>
      <c r="EC17" s="472" t="s">
        <v>1825</v>
      </c>
      <c r="ED17" s="472" t="s">
        <v>1826</v>
      </c>
      <c r="EE17" s="472" t="s">
        <v>1827</v>
      </c>
      <c r="EF17" s="472" t="s">
        <v>1829</v>
      </c>
      <c r="EG17" s="472" t="s">
        <v>1830</v>
      </c>
      <c r="EH17" s="183"/>
      <c r="EI17" s="183"/>
      <c r="EJ17" s="472"/>
      <c r="EK17" s="472"/>
      <c r="EL17" s="472"/>
      <c r="EM17" s="472"/>
      <c r="EN17" s="472"/>
      <c r="EO17" s="472"/>
      <c r="EP17" s="472"/>
      <c r="EQ17" s="472"/>
      <c r="ER17" s="183"/>
      <c r="ES17" s="183"/>
      <c r="ET17" s="183"/>
      <c r="EU17" s="183"/>
      <c r="EV17" s="183"/>
    </row>
    <row r="18" spans="1:152" ht="24" customHeight="1">
      <c r="A18" s="181"/>
      <c r="B18" s="181"/>
      <c r="C18" s="181"/>
      <c r="E18" s="192"/>
      <c r="F18" s="927" t="s">
        <v>3141</v>
      </c>
      <c r="G18" s="581" t="s">
        <v>778</v>
      </c>
      <c r="H18" s="583" t="s">
        <v>1768</v>
      </c>
      <c r="I18" s="129"/>
      <c r="J18" s="177"/>
      <c r="K18" s="129"/>
      <c r="L18" s="129"/>
      <c r="M18" s="129"/>
      <c r="N18" s="129"/>
      <c r="O18" s="129"/>
      <c r="P18" s="129"/>
      <c r="Q18" s="129"/>
      <c r="R18" s="129"/>
      <c r="S18" s="129"/>
      <c r="T18" s="129"/>
      <c r="U18" s="129"/>
      <c r="V18" s="129"/>
      <c r="W18" s="129"/>
      <c r="X18" s="129"/>
      <c r="Y18" s="398">
        <f>IF((AG18+AQ18)&gt;0,SUMIF($H21:$H22,$H$18,$EH21:$EH22)/(AG18+AQ18),0)</f>
        <v>0</v>
      </c>
      <c r="Z18" s="398">
        <f>IF((AG18+AQ18)&gt;0,SUMIF($H21:$H22,$H$18,$EI21:$EI22)/(AG18+AQ18),0)</f>
        <v>0</v>
      </c>
      <c r="AA18" s="117"/>
      <c r="AB18" s="117"/>
      <c r="AC18" s="271">
        <f>IF($AG18&gt;0,(AR18*AV18+BG18*BK18+BV18*BZ18+AW18*BA18+BL18*BP18+CA18*CE18)/$AG18,0)</f>
        <v>0</v>
      </c>
      <c r="AD18" s="271">
        <f>IF($AG18&gt;0,(AS18*AV18+BH18*BK18+BW18*BZ18+AX18*BA18+BM18*BP18+CB18*CE18)/$AG18,0)</f>
        <v>0</v>
      </c>
      <c r="AE18" s="398">
        <f>IF($AG18&gt;0,(AR18*AV18+BG18*BK18+BV18*BZ18+AW18*BA18+BL18*BP18+CA18*CE18-AH18*$AG18)/$AG18,0)</f>
        <v>0</v>
      </c>
      <c r="AF18" s="398">
        <f>IF($AG18&gt;0,(AS18*AV18+BH18*BK18+BW18*BZ18+AX18*BA18+BM18*BP18+CB18*CE18-AI18*$AG18)/$AG18,0)</f>
        <v>0</v>
      </c>
      <c r="AG18" s="271">
        <f>SUMIF($H21:$H22,$H$18,AG21:AG22)</f>
        <v>0</v>
      </c>
      <c r="AH18" s="271">
        <f>IF($AG18&gt;0,SUMIF($H21:$H22,$H$18,DF21:DF22)/$AG18,0)</f>
        <v>0</v>
      </c>
      <c r="AI18" s="271">
        <f>IF($AG18&gt;0,SUMIF($H21:$H22,$H$18,DG21:DG22)/$AG18,0)</f>
        <v>0</v>
      </c>
      <c r="AJ18" s="117"/>
      <c r="AK18" s="117"/>
      <c r="AL18" s="117"/>
      <c r="AM18" s="271">
        <f>IF($AQ18&gt;0,SUMIF($H21:$H22,$H$18,DH21:DH22)/$AQ18,0)</f>
        <v>0</v>
      </c>
      <c r="AN18" s="271">
        <f>IF($AQ18&gt;0,SUMIF($H21:$H22,$H$18,DI21:DI22)/$AQ18,0)</f>
        <v>0</v>
      </c>
      <c r="AO18" s="271">
        <f>IF($AQ18&gt;0,SUMIF($H21:$H22,$H$18,EJ21:EJ22)/$AQ18,0)</f>
        <v>0</v>
      </c>
      <c r="AP18" s="271">
        <f>IF($AQ18&gt;0,SUMIF($H21:$H22,$H$18,EK21:EK22)/$AQ18,0)</f>
        <v>0</v>
      </c>
      <c r="AQ18" s="271">
        <f>SUMIF($H21:$H22,$H$18,AQ21:AQ22)</f>
        <v>0</v>
      </c>
      <c r="AR18" s="271">
        <f>IF($AV18&gt;0,SUMIF($H21:$H22,$H$18,DJ21:DJ22)/$AV18,0)</f>
        <v>0</v>
      </c>
      <c r="AS18" s="271">
        <f>IF($AV18&gt;0,SUMIF($H21:$H22,$H$18,DK21:DK22)/$AV18,0)</f>
        <v>0</v>
      </c>
      <c r="AT18" s="271">
        <f>IF($AV18&gt;0,SUMIF($H21:$H22,$H$18,EL21:EL22)/$AV18,0)</f>
        <v>0</v>
      </c>
      <c r="AU18" s="271">
        <f>IF($AV18&gt;0,SUMIF($H21:$H22,$H$18,EM21:EM22)/$AV18,0)</f>
        <v>0</v>
      </c>
      <c r="AV18" s="271">
        <f>SUMIF($H21:$H22,$H$18,AV21:AV22)</f>
        <v>0</v>
      </c>
      <c r="AW18" s="271">
        <f>IF(BA18&gt;0,INDEX($DP$18:$EG$18,MATCH(AW17,$DP17:$EG$17))/BA18,0)</f>
        <v>0</v>
      </c>
      <c r="AX18" s="271">
        <f>IF(BA18&gt;0,INDEX($DP$18:$EG$18,MATCH(AX17,$DP17:$EG$17))/BA18,0)</f>
        <v>0</v>
      </c>
      <c r="AY18" s="271">
        <f>IF(BA18&gt;0,INDEX($DP$18:$EG$18,MATCH(AY17,$DP17:$EG$17))/BA18,0)</f>
        <v>0</v>
      </c>
      <c r="AZ18" s="271">
        <f>IF(BA18&gt;0,INDEX($DP$18:$EG$18,MATCH(AZ17,$DP17:$EG$17))/BA18,0)</f>
        <v>0</v>
      </c>
      <c r="BA18" s="271">
        <f t="array" ref="BA18">SUM(($H21:$H22=$H$18)*($AR21:$AR22="")*BA21:BA22)</f>
        <v>0</v>
      </c>
      <c r="BB18" s="271">
        <f>IF(BD18&gt;0,INDEX($DP$18:$EG$18,MATCH(BB17,$DP17:$EG$17))/BD18,0)</f>
        <v>0</v>
      </c>
      <c r="BC18" s="271">
        <f>IF(BD18&gt;0,INDEX($DP$18:$EG$18,MATCH(BC17,$DP17:$EG$17))/BD18,0)</f>
        <v>0</v>
      </c>
      <c r="BD18" s="271">
        <f t="array" ref="BD18">SUM(($H21:$H22=$H$18)*($AR21:$AR22="")*BD21:BD22)</f>
        <v>0</v>
      </c>
      <c r="BE18" s="271">
        <f>SUMIF($H21:$H22,$H$18,BE21:BE22)</f>
        <v>0</v>
      </c>
      <c r="BF18" s="117"/>
      <c r="BG18" s="271">
        <f>IF($BK18&gt;0,SUMIF($H21:$H22,$H$18,DL21:DL22)/$BK18,0)</f>
        <v>0</v>
      </c>
      <c r="BH18" s="271">
        <f>IF($BK18&gt;0,SUMIF($H21:$H22,$H$18,DM21:DM22)/$BK18,0)</f>
        <v>0</v>
      </c>
      <c r="BI18" s="271">
        <f>IF($BK18&gt;0,SUMIF($H21:$H22,$H$18,EN21:EN22)/$BK18,0)</f>
        <v>0</v>
      </c>
      <c r="BJ18" s="271">
        <f>IF($BK18&gt;0,SUMIF($H21:$H22,$H$18,EO21:EO22)/$BK18,0)</f>
        <v>0</v>
      </c>
      <c r="BK18" s="271">
        <f>SUMIF($H21:$H22,$H$18,BK21:BK22)</f>
        <v>0</v>
      </c>
      <c r="BL18" s="271">
        <f>IF(BP18&gt;0,INDEX($DP$18:$EG$18,MATCH(BL17,$DP17:$EG$17))/BP18,0)</f>
        <v>0</v>
      </c>
      <c r="BM18" s="271">
        <f>IF(BP18&gt;0,INDEX($DP$18:$EG$18,MATCH(BM17,$DP17:$EG$17))/BP18,0)</f>
        <v>0</v>
      </c>
      <c r="BN18" s="271">
        <f>IF(BP18&gt;0,INDEX($DP$18:$EG$18,MATCH(BN17,$DP17:$EG$17))/BP18,0)</f>
        <v>0</v>
      </c>
      <c r="BO18" s="271">
        <f>IF(BP18&gt;0,INDEX($DP$18:$EG$18,MATCH(BO17,$DP17:$EG$17))/BP18,0)</f>
        <v>0</v>
      </c>
      <c r="BP18" s="271">
        <f t="array" ref="BP18">SUM(($H21:$H22=$H$18)*($AR21:$AR22="")*BP21:BP22)</f>
        <v>0</v>
      </c>
      <c r="BQ18" s="271">
        <f>IF(BS18&gt;0,INDEX($DP$18:$EG$18,MATCH(BQ17,$DP17:$EG$17))/BS18,0)</f>
        <v>0</v>
      </c>
      <c r="BR18" s="271">
        <f>IF(BS18&gt;0,INDEX($DP$18:$EG$18,MATCH(BR17,$DP17:$EG$17))/BS18,0)</f>
        <v>0</v>
      </c>
      <c r="BS18" s="271">
        <f t="array" ref="BS18">SUM(($H21:$H22=$H$18)*($AR21:$AR22="")*BS21:BS22)</f>
        <v>0</v>
      </c>
      <c r="BT18" s="271">
        <f>SUMIF($H21:$H22,$H$18,BT21:BT22)</f>
        <v>0</v>
      </c>
      <c r="BU18" s="117"/>
      <c r="BV18" s="271">
        <f>IF($BZ18&gt;0,SUMIF($H21:$H22,$H$18,DN21:DN22)/$BZ18,0)</f>
        <v>0</v>
      </c>
      <c r="BW18" s="271">
        <f>IF($BZ18&gt;0,SUMIF($H21:$H22,$H$18,DO21:DO22)/$BZ18,0)</f>
        <v>0</v>
      </c>
      <c r="BX18" s="271">
        <f>IF($BZ18&gt;0,SUMIF($H21:$H22,$H$18,EP21:EP22)/$BZ18,0)</f>
        <v>0</v>
      </c>
      <c r="BY18" s="271">
        <f>IF($BZ18&gt;0,SUMIF($H21:$H22,$H$18,EQ21:EQ22)/$BZ18,0)</f>
        <v>0</v>
      </c>
      <c r="BZ18" s="271">
        <f>SUMIF($H21:$H22,$H$18,BZ21:BZ22)</f>
        <v>0</v>
      </c>
      <c r="CA18" s="271">
        <f>IF(CE18&gt;0,INDEX($DP$18:$EG$18,MATCH(CA17,$DP17:$EG$17))/CE18,0)</f>
        <v>0</v>
      </c>
      <c r="CB18" s="271">
        <f>IF(CE18&gt;0,INDEX($DP$18:$EG$18,MATCH(CB17,$DP17:$EG$17))/CE18,0)</f>
        <v>0</v>
      </c>
      <c r="CC18" s="271">
        <f>IF(CE18&gt;0,INDEX($DP$18:$EG$18,MATCH(CC17,$DP17:$EG$17))/CE18,0)</f>
        <v>0</v>
      </c>
      <c r="CD18" s="271">
        <f>IF(CE18&gt;0,INDEX($DP$18:$EG$18,MATCH(CD17,$DP17:$EG$17))/CE18,0)</f>
        <v>0</v>
      </c>
      <c r="CE18" s="271">
        <f t="array" ref="CE18">SUM(($H21:$H22=$H$18)*($AR21:$AR22="")*CE21:CE22)</f>
        <v>0</v>
      </c>
      <c r="CF18" s="271">
        <f>IF(CH18&gt;0,INDEX($DP$18:$EG$18,MATCH(CF17,$DP17:$EG$17))/CH18,0)</f>
        <v>0</v>
      </c>
      <c r="CG18" s="271">
        <f>IF(CH18&gt;0,INDEX($DP$18:$EG$18,MATCH(CG17,$DP17:$EG$17))/CH18,0)</f>
        <v>0</v>
      </c>
      <c r="CH18" s="271">
        <f t="array" ref="CH18">SUM(($H21:$H22=$H$18)*($AR21:$AR22="")*CH21:CH22)</f>
        <v>0</v>
      </c>
      <c r="CI18" s="271">
        <f>SUMIF($H21:$H22,$H$18,CI21:CI22)</f>
        <v>0</v>
      </c>
      <c r="CJ18" s="117"/>
      <c r="CK18" s="271">
        <f>SUMIF($H21:$H22,$H$18,CK21:CK22)</f>
        <v>0</v>
      </c>
      <c r="CL18" s="117"/>
      <c r="CM18" s="271">
        <f>SUMIF($H21:$H22,$H$18,CM21:CM22)</f>
        <v>0</v>
      </c>
      <c r="CN18" s="271">
        <f>SUMIF($H21:$H22,$H$18,CN21:CN22)</f>
        <v>0</v>
      </c>
      <c r="CO18" s="271">
        <f>SUMIF($H21:$H22,$H$18,CO21:CO22)</f>
        <v>0</v>
      </c>
      <c r="CP18" s="271">
        <f>SUMIF($H21:$H22,$H$18,CP21:CP22)</f>
        <v>0</v>
      </c>
      <c r="CQ18" s="271">
        <f>SUMIF($H21:$H22,$H$18,CQ21:CQ22)</f>
        <v>0</v>
      </c>
      <c r="CR18" s="194"/>
      <c r="CS18" s="185"/>
      <c r="CT18" s="185"/>
      <c r="CU18" s="185"/>
      <c r="CV18" s="185"/>
      <c r="CW18" s="185"/>
      <c r="CX18" s="185"/>
      <c r="CY18" s="185"/>
      <c r="CZ18" s="185"/>
      <c r="DA18" s="185"/>
      <c r="DB18" s="185"/>
      <c r="DC18" s="185"/>
      <c r="DD18" s="185"/>
      <c r="DE18" s="185"/>
      <c r="DP18" s="480">
        <f t="shared" ref="DP18:EG18" si="0">SUMIF($H21:$H22,$H18,DP21:DP22)</f>
        <v>0</v>
      </c>
      <c r="DQ18" s="480">
        <f t="shared" si="0"/>
        <v>0</v>
      </c>
      <c r="DR18" s="480">
        <f t="shared" si="0"/>
        <v>0</v>
      </c>
      <c r="DS18" s="480">
        <f t="shared" si="0"/>
        <v>0</v>
      </c>
      <c r="DT18" s="480">
        <f t="shared" si="0"/>
        <v>0</v>
      </c>
      <c r="DU18" s="480">
        <f t="shared" si="0"/>
        <v>0</v>
      </c>
      <c r="DV18" s="480">
        <f t="shared" si="0"/>
        <v>0</v>
      </c>
      <c r="DW18" s="480">
        <f t="shared" si="0"/>
        <v>0</v>
      </c>
      <c r="DX18" s="480">
        <f t="shared" si="0"/>
        <v>0</v>
      </c>
      <c r="DY18" s="480">
        <f t="shared" si="0"/>
        <v>0</v>
      </c>
      <c r="DZ18" s="480">
        <f t="shared" si="0"/>
        <v>0</v>
      </c>
      <c r="EA18" s="480">
        <f t="shared" si="0"/>
        <v>0</v>
      </c>
      <c r="EB18" s="480">
        <f t="shared" si="0"/>
        <v>0</v>
      </c>
      <c r="EC18" s="480">
        <f t="shared" si="0"/>
        <v>0</v>
      </c>
      <c r="ED18" s="480">
        <f t="shared" si="0"/>
        <v>0</v>
      </c>
      <c r="EE18" s="480">
        <f t="shared" si="0"/>
        <v>0</v>
      </c>
      <c r="EF18" s="480">
        <f t="shared" si="0"/>
        <v>0</v>
      </c>
      <c r="EG18" s="480">
        <f t="shared" si="0"/>
        <v>0</v>
      </c>
      <c r="EH18" s="162"/>
      <c r="EI18" s="162"/>
      <c r="EJ18" s="162"/>
      <c r="EK18" s="162"/>
      <c r="EL18" s="162"/>
      <c r="EM18" s="162"/>
      <c r="EN18" s="162"/>
      <c r="EO18" s="162"/>
      <c r="EP18" s="162"/>
      <c r="EQ18" s="162"/>
      <c r="ER18" s="162"/>
      <c r="ES18" s="162"/>
    </row>
    <row r="19" spans="1:152" ht="0.75" customHeight="1">
      <c r="A19" s="181"/>
      <c r="B19" s="181"/>
      <c r="C19" s="181"/>
      <c r="E19" s="192"/>
      <c r="F19" s="928"/>
      <c r="G19" s="576"/>
      <c r="H19" s="583"/>
      <c r="I19" s="129"/>
      <c r="J19" s="576"/>
      <c r="K19" s="577"/>
      <c r="L19" s="577"/>
      <c r="M19" s="577"/>
      <c r="N19" s="577"/>
      <c r="O19" s="577"/>
      <c r="P19" s="577"/>
      <c r="Q19" s="577"/>
      <c r="R19" s="577"/>
      <c r="S19" s="577"/>
      <c r="T19" s="577"/>
      <c r="U19" s="577"/>
      <c r="V19" s="577"/>
      <c r="W19" s="577"/>
      <c r="X19" s="577"/>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582"/>
      <c r="CS19" s="185"/>
      <c r="CT19" s="185"/>
      <c r="CU19" s="185"/>
      <c r="CV19" s="185"/>
      <c r="CW19" s="185"/>
      <c r="CX19" s="185"/>
      <c r="CY19" s="185"/>
      <c r="CZ19" s="185"/>
      <c r="DA19" s="185"/>
      <c r="DB19" s="185"/>
      <c r="DC19" s="185"/>
      <c r="DD19" s="185"/>
      <c r="DE19" s="185"/>
      <c r="DP19" s="78"/>
      <c r="DQ19" s="78"/>
      <c r="DR19" s="78"/>
      <c r="DS19" s="78"/>
      <c r="DT19" s="78"/>
      <c r="DU19" s="78"/>
      <c r="DV19" s="78"/>
      <c r="DW19" s="78"/>
      <c r="DX19" s="78"/>
      <c r="DY19" s="78"/>
      <c r="DZ19" s="78"/>
      <c r="EA19" s="78"/>
      <c r="EB19" s="78"/>
      <c r="EC19" s="78"/>
      <c r="ED19" s="78"/>
      <c r="EE19" s="78"/>
      <c r="EF19" s="78"/>
      <c r="EG19" s="78"/>
      <c r="EH19" s="162"/>
      <c r="EI19" s="162"/>
      <c r="EJ19" s="162"/>
      <c r="EK19" s="162"/>
      <c r="EL19" s="162"/>
      <c r="EM19" s="162"/>
      <c r="EN19" s="162"/>
      <c r="EO19" s="162"/>
      <c r="EP19" s="162"/>
      <c r="EQ19" s="162"/>
      <c r="ER19" s="162"/>
      <c r="ES19" s="162"/>
    </row>
    <row r="20" spans="1:152" ht="0.75" customHeight="1">
      <c r="A20" s="181"/>
      <c r="B20" s="181"/>
      <c r="C20" s="181"/>
      <c r="E20" s="192"/>
      <c r="F20" s="929"/>
      <c r="G20" s="576"/>
      <c r="H20" s="583"/>
      <c r="I20" s="129"/>
      <c r="J20" s="576"/>
      <c r="K20" s="577"/>
      <c r="L20" s="577"/>
      <c r="M20" s="577"/>
      <c r="N20" s="577"/>
      <c r="O20" s="577"/>
      <c r="P20" s="577"/>
      <c r="Q20" s="577"/>
      <c r="R20" s="577"/>
      <c r="S20" s="577"/>
      <c r="T20" s="577"/>
      <c r="U20" s="577"/>
      <c r="V20" s="577"/>
      <c r="W20" s="577"/>
      <c r="X20" s="577"/>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582"/>
      <c r="CS20" s="185"/>
      <c r="CT20" s="185"/>
      <c r="CU20" s="185"/>
      <c r="CV20" s="185"/>
      <c r="CW20" s="185"/>
      <c r="CX20" s="185"/>
      <c r="CY20" s="185"/>
      <c r="CZ20" s="185"/>
      <c r="DA20" s="185"/>
      <c r="DB20" s="185"/>
      <c r="DC20" s="185"/>
      <c r="DD20" s="185"/>
      <c r="DE20" s="185"/>
      <c r="DP20" s="78"/>
      <c r="DQ20" s="78"/>
      <c r="DR20" s="78"/>
      <c r="DS20" s="78"/>
      <c r="DT20" s="78"/>
      <c r="DU20" s="78"/>
      <c r="DV20" s="78"/>
      <c r="DW20" s="78"/>
      <c r="DX20" s="78"/>
      <c r="DY20" s="78"/>
      <c r="DZ20" s="78"/>
      <c r="EA20" s="78"/>
      <c r="EB20" s="78"/>
      <c r="EC20" s="78"/>
      <c r="ED20" s="78"/>
      <c r="EE20" s="78"/>
      <c r="EF20" s="78"/>
      <c r="EG20" s="78"/>
      <c r="EH20" s="162"/>
      <c r="EI20" s="162"/>
      <c r="EJ20" s="162"/>
      <c r="EK20" s="162"/>
      <c r="EL20" s="162"/>
      <c r="EM20" s="162"/>
      <c r="EN20" s="162"/>
      <c r="EO20" s="162"/>
      <c r="EP20" s="162"/>
      <c r="EQ20" s="162"/>
      <c r="ER20" s="162"/>
      <c r="ES20" s="162"/>
    </row>
    <row r="21" spans="1:152" ht="12" hidden="1" customHeight="1">
      <c r="A21" s="181"/>
      <c r="B21" s="181"/>
      <c r="C21" s="181"/>
      <c r="E21" s="192"/>
      <c r="F21" s="186">
        <v>0</v>
      </c>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96"/>
      <c r="CS21" s="185"/>
      <c r="CT21" s="185"/>
      <c r="CU21" s="185"/>
      <c r="CV21" s="185"/>
      <c r="CW21" s="185"/>
      <c r="CX21" s="185"/>
      <c r="CY21" s="185"/>
      <c r="CZ21" s="185"/>
      <c r="DA21" s="185"/>
      <c r="DB21" s="185"/>
      <c r="DC21" s="185"/>
      <c r="DD21" s="185"/>
      <c r="DE21" s="185"/>
      <c r="DP21" s="78"/>
      <c r="DQ21" s="78"/>
      <c r="DR21" s="78"/>
      <c r="DS21" s="78"/>
      <c r="DT21" s="78"/>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row>
    <row r="22" spans="1:152" ht="0.75" customHeight="1">
      <c r="A22" s="181"/>
      <c r="B22" s="181"/>
      <c r="C22" s="181"/>
      <c r="E22" s="192"/>
      <c r="F22" s="110"/>
      <c r="G22" s="111" t="s">
        <v>720</v>
      </c>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c r="CR22" s="113"/>
      <c r="CS22" s="185"/>
      <c r="CT22" s="185"/>
      <c r="CU22" s="185"/>
      <c r="CV22" s="185"/>
      <c r="CW22" s="185"/>
      <c r="CX22" s="185"/>
      <c r="CY22" s="185"/>
      <c r="CZ22" s="185"/>
      <c r="DA22" s="185"/>
      <c r="DB22" s="185"/>
      <c r="DC22" s="185"/>
      <c r="DD22" s="185"/>
      <c r="DE22" s="185"/>
      <c r="DP22" s="78"/>
      <c r="DQ22" s="78"/>
      <c r="DR22" s="78"/>
      <c r="DS22" s="78"/>
      <c r="DT22" s="78"/>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row>
    <row r="23" spans="1:152" s="162" customFormat="1" ht="12" customHeight="1">
      <c r="A23" s="181"/>
      <c r="B23" s="181"/>
      <c r="C23" s="181"/>
      <c r="D23" s="159"/>
      <c r="E23" s="192"/>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78"/>
      <c r="DG23" s="78"/>
      <c r="DH23" s="78"/>
      <c r="DI23" s="78"/>
      <c r="DJ23" s="78"/>
      <c r="DK23" s="78"/>
      <c r="DL23" s="78"/>
      <c r="DM23" s="78"/>
      <c r="DN23" s="78"/>
      <c r="DO23" s="78"/>
      <c r="DP23" s="78"/>
      <c r="DQ23" s="78"/>
      <c r="DR23" s="78"/>
      <c r="DS23" s="78"/>
      <c r="DT23" s="78"/>
    </row>
  </sheetData>
  <sheetProtection password="FA9C" sheet="1" objects="1" scenarios="1" formatColumns="0" formatRows="0"/>
  <mergeCells count="94">
    <mergeCell ref="CJ14:CJ16"/>
    <mergeCell ref="BK14:BK16"/>
    <mergeCell ref="CC15:CD15"/>
    <mergeCell ref="CP14:CP16"/>
    <mergeCell ref="CN14:CN16"/>
    <mergeCell ref="CH15:CH16"/>
    <mergeCell ref="CA15:CB15"/>
    <mergeCell ref="CI14:CI16"/>
    <mergeCell ref="CF15:CG15"/>
    <mergeCell ref="CL13:CL16"/>
    <mergeCell ref="CM14:CM16"/>
    <mergeCell ref="CK13:CK16"/>
    <mergeCell ref="ET16:EV16"/>
    <mergeCell ref="CQ14:CQ16"/>
    <mergeCell ref="CR13:CR16"/>
    <mergeCell ref="CM13:CQ13"/>
    <mergeCell ref="EH16:EI16"/>
    <mergeCell ref="ER16:ES16"/>
    <mergeCell ref="EJ16:EQ16"/>
    <mergeCell ref="DP16:EG16"/>
    <mergeCell ref="CO14:CO16"/>
    <mergeCell ref="DF16:DO16"/>
    <mergeCell ref="F18:F20"/>
    <mergeCell ref="AJ13:AK15"/>
    <mergeCell ref="AL13:AL16"/>
    <mergeCell ref="AA13:AB15"/>
    <mergeCell ref="K13:M13"/>
    <mergeCell ref="M14:M16"/>
    <mergeCell ref="S14:S16"/>
    <mergeCell ref="R14:R16"/>
    <mergeCell ref="F13:F16"/>
    <mergeCell ref="H13:I16"/>
    <mergeCell ref="L14:L16"/>
    <mergeCell ref="K14:K16"/>
    <mergeCell ref="R13:S13"/>
    <mergeCell ref="O13:O16"/>
    <mergeCell ref="P14:P16"/>
    <mergeCell ref="N13:N16"/>
    <mergeCell ref="G13:G16"/>
    <mergeCell ref="J13:J16"/>
    <mergeCell ref="P13:Q13"/>
    <mergeCell ref="Q14:Q16"/>
    <mergeCell ref="U14:U16"/>
    <mergeCell ref="T13:U13"/>
    <mergeCell ref="T14:T16"/>
    <mergeCell ref="K12:X12"/>
    <mergeCell ref="AR14:AS15"/>
    <mergeCell ref="V13:W13"/>
    <mergeCell ref="BZ14:BZ16"/>
    <mergeCell ref="BG14:BH15"/>
    <mergeCell ref="BS15:BS16"/>
    <mergeCell ref="AC13:AD15"/>
    <mergeCell ref="AM13:AQ13"/>
    <mergeCell ref="AE13:AF15"/>
    <mergeCell ref="AY15:AZ15"/>
    <mergeCell ref="Y13:Z15"/>
    <mergeCell ref="V14:V16"/>
    <mergeCell ref="X13:X16"/>
    <mergeCell ref="BU14:BU16"/>
    <mergeCell ref="BA15:BA16"/>
    <mergeCell ref="BV13:CJ13"/>
    <mergeCell ref="W14:W16"/>
    <mergeCell ref="BL15:BM15"/>
    <mergeCell ref="BL14:BS14"/>
    <mergeCell ref="AT14:AU15"/>
    <mergeCell ref="BF14:BF16"/>
    <mergeCell ref="AV14:AV16"/>
    <mergeCell ref="BQ15:BR15"/>
    <mergeCell ref="AW14:BD14"/>
    <mergeCell ref="AW15:AX15"/>
    <mergeCell ref="BI14:BJ15"/>
    <mergeCell ref="AC7:AD7"/>
    <mergeCell ref="AE7:AF7"/>
    <mergeCell ref="AW7:AX7"/>
    <mergeCell ref="BT14:BT16"/>
    <mergeCell ref="BG13:BU13"/>
    <mergeCell ref="AG7:AG8"/>
    <mergeCell ref="BB15:BC15"/>
    <mergeCell ref="BN15:BO15"/>
    <mergeCell ref="BL7:BM7"/>
    <mergeCell ref="BE14:BE16"/>
    <mergeCell ref="CA7:CB7"/>
    <mergeCell ref="AR13:BF13"/>
    <mergeCell ref="AG13:AG16"/>
    <mergeCell ref="AM14:AN15"/>
    <mergeCell ref="AO14:AP15"/>
    <mergeCell ref="AH13:AI15"/>
    <mergeCell ref="AQ14:AQ16"/>
    <mergeCell ref="BD15:BD16"/>
    <mergeCell ref="BV14:BW15"/>
    <mergeCell ref="BP15:BP16"/>
    <mergeCell ref="CA14:CH14"/>
    <mergeCell ref="CE15:CE16"/>
    <mergeCell ref="BX14:BY15"/>
  </mergeCells>
  <phoneticPr fontId="8" type="noConversion"/>
  <dataValidations count="2">
    <dataValidation allowBlank="1" showInputMessage="1" showErrorMessage="1" sqref="CM14:CP15"/>
    <dataValidation allowBlank="1" showInputMessage="1" showErrorMessage="1" errorTitle="Ошибка" error="Допускается ввод ТОЛЬКО числовых значений!" sqref="AW9"/>
  </dataValidations>
  <hyperlinks>
    <hyperlink ref="K10" location="'ТС.ТМ2 01.01 - 30.06'!A1" tooltip="Отобразить / Скрыть блок" display="-"/>
    <hyperlink ref="I8" location="'ТС.ТМ2 01.01 - 30.06'!A1" tooltip="Скрыть все детали" display="Скрыть все детали"/>
  </hyperlinks>
  <pageMargins left="0.37" right="0.35" top="1" bottom="1" header="0.5" footer="0.5"/>
  <pageSetup paperSize="9" scale="37" orientation="landscape" horizontalDpi="4294967292" verticalDpi="4294967292"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sheetPr codeName="HEAT_TM2_PERIOD2">
    <tabColor rgb="FFFFC000"/>
    <pageSetUpPr fitToPage="1"/>
  </sheetPr>
  <dimension ref="A1:EV23"/>
  <sheetViews>
    <sheetView showGridLines="0" topLeftCell="E3" workbookViewId="0">
      <pane xSplit="5" ySplit="19" topLeftCell="J22" activePane="bottomRight" state="frozen"/>
      <selection activeCell="E15" sqref="A15:IV15"/>
      <selection pane="topRight" activeCell="E15" sqref="A15:IV15"/>
      <selection pane="bottomLeft" activeCell="E15" sqref="A15:IV15"/>
      <selection pane="bottomRight"/>
    </sheetView>
  </sheetViews>
  <sheetFormatPr defaultRowHeight="11.25"/>
  <cols>
    <col min="1" max="3" width="5.7109375" style="162" hidden="1" customWidth="1"/>
    <col min="4" max="4" width="3.7109375" style="159" hidden="1" customWidth="1"/>
    <col min="5" max="5" width="5.7109375" style="179" customWidth="1"/>
    <col min="6" max="6" width="4.7109375" style="39" customWidth="1"/>
    <col min="7" max="7" width="40.7109375" style="39" customWidth="1"/>
    <col min="8" max="8" width="28.5703125" style="39" customWidth="1"/>
    <col min="9" max="9" width="20.85546875" style="39" customWidth="1"/>
    <col min="10" max="10" width="20.7109375" style="39" customWidth="1"/>
    <col min="11" max="13" width="10.85546875" style="39" hidden="1" customWidth="1"/>
    <col min="14" max="14" width="11.7109375" style="39" hidden="1" customWidth="1"/>
    <col min="15" max="15" width="0.140625" style="39" hidden="1" customWidth="1"/>
    <col min="16" max="19" width="10.85546875" style="39" hidden="1" customWidth="1"/>
    <col min="20" max="21" width="0.140625" style="39" hidden="1" customWidth="1"/>
    <col min="22" max="24" width="10.85546875" style="39" hidden="1" customWidth="1"/>
    <col min="25" max="26" width="11.7109375" style="39" customWidth="1"/>
    <col min="27" max="28" width="0.140625" style="39" customWidth="1"/>
    <col min="29" max="32" width="18.7109375" style="39" customWidth="1"/>
    <col min="33" max="33" width="15.7109375" style="39" customWidth="1"/>
    <col min="34" max="35" width="11.7109375" style="39" customWidth="1"/>
    <col min="36" max="38" width="0.140625" style="39" customWidth="1"/>
    <col min="39" max="48" width="11.7109375" style="39" customWidth="1"/>
    <col min="49" max="50" width="13.7109375" style="39" customWidth="1"/>
    <col min="51" max="58" width="12.5703125" style="39" customWidth="1"/>
    <col min="59" max="63" width="12.7109375" style="39" customWidth="1"/>
    <col min="64" max="65" width="13.85546875" style="39" customWidth="1"/>
    <col min="66" max="78" width="12.7109375" style="39" customWidth="1"/>
    <col min="79" max="80" width="13.85546875" style="39" customWidth="1"/>
    <col min="81" max="88" width="12.7109375" style="39" customWidth="1"/>
    <col min="89" max="95" width="15.7109375" style="39" customWidth="1"/>
    <col min="96" max="96" width="19.5703125" style="39" customWidth="1"/>
    <col min="97" max="109" width="1.7109375" style="162" customWidth="1"/>
    <col min="110" max="112" width="8.7109375" style="78" hidden="1" customWidth="1"/>
    <col min="113" max="118" width="8.7109375" style="77" hidden="1" customWidth="1"/>
    <col min="119" max="119" width="8.7109375" style="78" hidden="1" customWidth="1"/>
    <col min="120" max="124" width="8.7109375" style="77" hidden="1" customWidth="1"/>
    <col min="125" max="149" width="8.7109375" style="39" hidden="1" customWidth="1"/>
    <col min="150" max="152" width="0" style="39" hidden="1" customWidth="1"/>
    <col min="153" max="16384" width="9.140625" style="39"/>
  </cols>
  <sheetData>
    <row r="1" spans="4:152" s="162" customFormat="1" hidden="1">
      <c r="D1" s="159"/>
      <c r="E1" s="179"/>
      <c r="DF1" s="78"/>
      <c r="DG1" s="78"/>
      <c r="DH1" s="78"/>
      <c r="DI1" s="78"/>
      <c r="DJ1" s="78"/>
      <c r="DK1" s="78"/>
      <c r="DL1" s="78"/>
      <c r="DM1" s="78"/>
      <c r="DN1" s="78"/>
      <c r="DO1" s="78"/>
      <c r="DP1" s="78"/>
      <c r="DQ1" s="78"/>
      <c r="DR1" s="78"/>
      <c r="DS1" s="78"/>
      <c r="DT1" s="78"/>
    </row>
    <row r="2" spans="4:152" s="162" customFormat="1" hidden="1">
      <c r="D2" s="159"/>
      <c r="E2" s="179"/>
      <c r="DF2" s="78"/>
      <c r="DG2" s="78"/>
      <c r="DH2" s="78"/>
      <c r="DI2" s="78"/>
      <c r="DJ2" s="78"/>
      <c r="DK2" s="78"/>
      <c r="DL2" s="78"/>
      <c r="DM2" s="78"/>
      <c r="DN2" s="78"/>
      <c r="DO2" s="78"/>
      <c r="DP2" s="78"/>
      <c r="DQ2" s="78"/>
      <c r="DR2" s="78"/>
      <c r="DS2" s="78"/>
      <c r="DT2" s="78"/>
    </row>
    <row r="3" spans="4:152" s="162" customFormat="1" ht="12" customHeight="1">
      <c r="D3" s="159"/>
      <c r="E3" s="179"/>
      <c r="F3" s="637"/>
      <c r="G3" s="219" t="str">
        <f>"Необходимо указывать " &amp; IF(TARIFF_SETUP_METHOD_CODE="BY_PSEUDO_YEARS","общегодовые значения","значения по периодам")</f>
        <v>Необходимо указывать значения по периодам</v>
      </c>
      <c r="H3" s="616" t="s">
        <v>2497</v>
      </c>
      <c r="I3" s="637">
        <f>IF(TARIFF_SETUP_METHOD_CODE="BY_PSEUDO_YEARS",12,IF(TEMPLATE_CLAIM="P",6,2))</f>
        <v>2</v>
      </c>
      <c r="DF3" s="78"/>
      <c r="DG3" s="78"/>
      <c r="DH3" s="78"/>
      <c r="DI3" s="78"/>
      <c r="DJ3" s="78"/>
      <c r="DK3" s="78"/>
      <c r="DL3" s="78"/>
      <c r="DM3" s="78"/>
      <c r="DN3" s="78"/>
      <c r="DO3" s="78"/>
      <c r="DP3" s="78"/>
      <c r="DQ3" s="78"/>
      <c r="DR3" s="78"/>
      <c r="DS3" s="78"/>
      <c r="DT3" s="78"/>
    </row>
    <row r="4" spans="4:152" s="162" customFormat="1" ht="0.75" customHeight="1">
      <c r="D4" s="159"/>
      <c r="E4" s="184"/>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5"/>
      <c r="CZ4" s="185"/>
      <c r="DA4" s="185"/>
      <c r="DB4" s="185"/>
      <c r="DC4" s="185"/>
      <c r="DD4" s="185"/>
      <c r="DE4" s="185"/>
      <c r="DF4" s="78"/>
      <c r="DG4" s="78"/>
      <c r="DH4" s="78"/>
      <c r="DI4" s="78"/>
      <c r="DJ4" s="78"/>
      <c r="DK4" s="78"/>
      <c r="DL4" s="78"/>
      <c r="DM4" s="78"/>
      <c r="DN4" s="78"/>
      <c r="DO4" s="78"/>
      <c r="DP4" s="78"/>
      <c r="DQ4" s="78"/>
      <c r="DR4" s="78"/>
      <c r="DS4" s="78"/>
      <c r="DT4" s="78"/>
    </row>
    <row r="5" spans="4:152" s="423" customFormat="1" ht="18" customHeight="1">
      <c r="F5" s="422" t="str">
        <f>"Тарифное меню для организаций " &amp; TEMPLATE_SPHERE &amp; ", отпускающих " &amp; RESOURCE_IDENTIFIER &amp; ", в том числе с коллекторов по муниципальному образованию - " &amp; IF(mo="","Не определено",mo)</f>
        <v>Тарифное меню для организаций водоотведения, отпускающих стоков, в том числе с коллекторов по муниципальному образованию - Село Булава</v>
      </c>
      <c r="G5" s="416"/>
      <c r="H5" s="416"/>
      <c r="I5" s="416"/>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H5" s="407"/>
      <c r="BI5" s="407"/>
      <c r="BJ5" s="407"/>
      <c r="BK5" s="407"/>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L5" s="407"/>
      <c r="CM5" s="407"/>
      <c r="CN5" s="407"/>
      <c r="CO5" s="407"/>
      <c r="CP5" s="407"/>
      <c r="CQ5" s="407"/>
      <c r="CR5" s="407"/>
      <c r="DF5" s="424"/>
      <c r="DG5" s="424"/>
      <c r="DH5" s="424"/>
      <c r="DI5" s="424"/>
      <c r="DJ5" s="424"/>
      <c r="DK5" s="424"/>
      <c r="DL5" s="424"/>
      <c r="DM5" s="424"/>
      <c r="DN5" s="424"/>
      <c r="DO5" s="424"/>
      <c r="DP5" s="424"/>
      <c r="DQ5" s="424"/>
    </row>
    <row r="6" spans="4:152" s="164" customFormat="1" ht="0.75" customHeight="1">
      <c r="D6" s="165"/>
      <c r="E6" s="190"/>
      <c r="F6" s="158"/>
      <c r="G6" s="158"/>
      <c r="H6" s="158"/>
      <c r="I6" s="158"/>
      <c r="J6" s="158"/>
      <c r="K6" s="180"/>
      <c r="L6" s="180"/>
      <c r="M6" s="180"/>
      <c r="N6" s="180"/>
      <c r="O6" s="180"/>
      <c r="P6" s="180"/>
      <c r="Q6" s="180"/>
      <c r="R6" s="180"/>
      <c r="S6" s="180"/>
      <c r="T6" s="180"/>
      <c r="U6" s="180"/>
      <c r="V6" s="180"/>
      <c r="W6" s="180"/>
      <c r="X6" s="180"/>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91"/>
      <c r="CQ6" s="191"/>
      <c r="CR6" s="191"/>
      <c r="CS6" s="158"/>
      <c r="CT6" s="158"/>
      <c r="CU6" s="158"/>
      <c r="CV6" s="158"/>
      <c r="CW6" s="158"/>
      <c r="CX6" s="158"/>
      <c r="CY6" s="158"/>
      <c r="CZ6" s="158"/>
      <c r="DA6" s="158"/>
      <c r="DB6" s="158"/>
      <c r="DC6" s="158"/>
      <c r="DD6" s="158"/>
      <c r="DE6" s="158"/>
      <c r="DF6" s="81"/>
      <c r="DG6" s="81"/>
      <c r="DH6" s="81"/>
      <c r="DI6" s="81"/>
      <c r="DJ6" s="81"/>
      <c r="DK6" s="81"/>
      <c r="DL6" s="81"/>
      <c r="DM6" s="81"/>
      <c r="DN6" s="81"/>
      <c r="DO6" s="81"/>
      <c r="DP6" s="81"/>
      <c r="DQ6" s="81"/>
      <c r="DR6" s="81"/>
      <c r="DS6" s="81"/>
      <c r="DT6" s="81"/>
    </row>
    <row r="7" spans="4:152" s="164" customFormat="1" ht="36" customHeight="1">
      <c r="D7" s="165"/>
      <c r="E7" s="190"/>
      <c r="F7" s="158"/>
      <c r="G7" s="158"/>
      <c r="H7" s="158"/>
      <c r="I7" s="158"/>
      <c r="J7" s="158"/>
      <c r="K7" s="191"/>
      <c r="L7" s="191"/>
      <c r="M7" s="191"/>
      <c r="N7" s="191"/>
      <c r="O7" s="191"/>
      <c r="P7" s="191"/>
      <c r="Q7" s="191"/>
      <c r="R7" s="191"/>
      <c r="S7" s="191"/>
      <c r="T7" s="191"/>
      <c r="U7" s="191"/>
      <c r="V7" s="191"/>
      <c r="W7" s="191"/>
      <c r="X7" s="191"/>
      <c r="Y7" s="191"/>
      <c r="Z7" s="191"/>
      <c r="AA7" s="191"/>
      <c r="AB7" s="191"/>
      <c r="AC7" s="824" t="str">
        <f>"Средневзвешенный тариф с учётом передачи (транспортировки) и с учётом инвестиционной состаляющей, руб./" &amp; $G$12</f>
        <v>Средневзвешенный тариф с учётом передачи (транспортировки) и с учётом инвестиционной состаляющей, руб./Гкал</v>
      </c>
      <c r="AD7" s="924"/>
      <c r="AE7" s="824" t="str">
        <f>"Средневзвешенный тариф с учётом передачи (транспортировки) без учёта инвестиционной составляющей, руб./" &amp; $G$12</f>
        <v>Средневзвешенный тариф с учётом передачи (транспортировки) без учёта инвестиционной составляющей, руб./Гкал</v>
      </c>
      <c r="AF7" s="924"/>
      <c r="AG7" s="925" t="s">
        <v>3158</v>
      </c>
      <c r="AH7" s="191"/>
      <c r="AI7" s="191"/>
      <c r="AJ7" s="191"/>
      <c r="AK7" s="191"/>
      <c r="AL7" s="191"/>
      <c r="AM7" s="191"/>
      <c r="AN7" s="191"/>
      <c r="AO7" s="191"/>
      <c r="AP7" s="191"/>
      <c r="AQ7" s="191"/>
      <c r="AR7" s="191"/>
      <c r="AS7" s="191"/>
      <c r="AT7" s="191"/>
      <c r="AU7" s="191"/>
      <c r="AV7" s="158"/>
      <c r="AW7" s="824" t="str">
        <f>"Средневзвешенный тариф по группе ""Бюджетные потребители"", руб./" &amp; $G$12</f>
        <v>Средневзвешенный тариф по группе "Бюджетные потребители", руб./Гкал</v>
      </c>
      <c r="AX7" s="824"/>
      <c r="AY7" s="158"/>
      <c r="AZ7" s="158"/>
      <c r="BA7" s="158"/>
      <c r="BB7" s="158"/>
      <c r="BC7" s="158"/>
      <c r="BD7" s="158"/>
      <c r="BE7" s="158"/>
      <c r="BF7" s="158"/>
      <c r="BG7" s="158"/>
      <c r="BH7" s="158"/>
      <c r="BI7" s="158"/>
      <c r="BJ7" s="158"/>
      <c r="BK7" s="158"/>
      <c r="BL7" s="824" t="str">
        <f>"Средневзвешенный тариф по группе ""Население"", руб./" &amp; $G$12</f>
        <v>Средневзвешенный тариф по группе "Население", руб./Гкал</v>
      </c>
      <c r="BM7" s="824"/>
      <c r="BN7" s="158"/>
      <c r="BO7" s="158"/>
      <c r="BP7" s="158"/>
      <c r="BQ7" s="158"/>
      <c r="BR7" s="158"/>
      <c r="BS7" s="158"/>
      <c r="BT7" s="158"/>
      <c r="BU7" s="158"/>
      <c r="BV7" s="158"/>
      <c r="BW7" s="158"/>
      <c r="BX7" s="158"/>
      <c r="BY7" s="158"/>
      <c r="BZ7" s="158"/>
      <c r="CA7" s="824" t="str">
        <f>"Средневзвешенный тариф по группе ""Прочие"", руб./" &amp; $G$12</f>
        <v>Средневзвешенный тариф по группе "Прочие", руб./Гкал</v>
      </c>
      <c r="CB7" s="824"/>
      <c r="CC7" s="158"/>
      <c r="CD7" s="158"/>
      <c r="CE7" s="158"/>
      <c r="CF7" s="158"/>
      <c r="CG7" s="158"/>
      <c r="CH7" s="158"/>
      <c r="CI7" s="158"/>
      <c r="CJ7" s="158"/>
      <c r="CK7" s="158"/>
      <c r="CL7" s="158"/>
      <c r="CM7" s="158"/>
      <c r="CN7" s="158"/>
      <c r="CO7" s="158"/>
      <c r="CP7" s="158"/>
      <c r="CQ7" s="158"/>
      <c r="CR7" s="191"/>
      <c r="CS7" s="158"/>
      <c r="CT7" s="158"/>
      <c r="CU7" s="158"/>
      <c r="CV7" s="158"/>
      <c r="CW7" s="158"/>
      <c r="CX7" s="158"/>
      <c r="CY7" s="158"/>
      <c r="CZ7" s="158"/>
      <c r="DA7" s="158"/>
      <c r="DB7" s="158"/>
      <c r="DC7" s="158"/>
      <c r="DD7" s="158"/>
      <c r="DE7" s="158"/>
      <c r="DF7" s="81"/>
      <c r="DG7" s="81"/>
      <c r="DH7" s="81"/>
      <c r="DI7" s="81"/>
      <c r="DJ7" s="81"/>
      <c r="DK7" s="81"/>
      <c r="DL7" s="81"/>
      <c r="DM7" s="81"/>
      <c r="DN7" s="81"/>
      <c r="DO7" s="81"/>
      <c r="DP7" s="81"/>
      <c r="DQ7" s="81"/>
      <c r="DR7" s="81"/>
      <c r="DS7" s="81"/>
      <c r="DT7" s="81"/>
    </row>
    <row r="8" spans="4:152" s="164" customFormat="1" ht="12" customHeight="1">
      <c r="D8" s="165"/>
      <c r="E8" s="190"/>
      <c r="F8" s="158"/>
      <c r="G8" s="197"/>
      <c r="H8" s="198"/>
      <c r="I8" s="195" t="s">
        <v>625</v>
      </c>
      <c r="J8" s="120"/>
      <c r="K8" s="189"/>
      <c r="L8" s="189"/>
      <c r="M8" s="189"/>
      <c r="N8" s="189"/>
      <c r="O8" s="189"/>
      <c r="P8" s="189"/>
      <c r="Q8" s="189"/>
      <c r="R8" s="189"/>
      <c r="S8" s="189"/>
      <c r="T8" s="189"/>
      <c r="U8" s="189"/>
      <c r="V8" s="189"/>
      <c r="W8" s="189"/>
      <c r="X8" s="189"/>
      <c r="Y8" s="158"/>
      <c r="Z8" s="191"/>
      <c r="AA8" s="191"/>
      <c r="AB8" s="158"/>
      <c r="AC8" s="337" t="s">
        <v>627</v>
      </c>
      <c r="AD8" s="428" t="s">
        <v>628</v>
      </c>
      <c r="AE8" s="337" t="s">
        <v>627</v>
      </c>
      <c r="AF8" s="428" t="s">
        <v>628</v>
      </c>
      <c r="AG8" s="926"/>
      <c r="AH8" s="158"/>
      <c r="AI8" s="158"/>
      <c r="AJ8" s="158"/>
      <c r="AK8" s="158"/>
      <c r="AL8" s="158"/>
      <c r="AM8" s="158"/>
      <c r="AN8" s="158"/>
      <c r="AO8" s="158"/>
      <c r="AP8" s="158"/>
      <c r="AQ8" s="158"/>
      <c r="AR8" s="158"/>
      <c r="AS8" s="158"/>
      <c r="AT8" s="158"/>
      <c r="AU8" s="158"/>
      <c r="AV8" s="158"/>
      <c r="AW8" s="337" t="s">
        <v>627</v>
      </c>
      <c r="AX8" s="337" t="s">
        <v>628</v>
      </c>
      <c r="AY8" s="158"/>
      <c r="AZ8" s="158"/>
      <c r="BA8" s="158"/>
      <c r="BB8" s="158"/>
      <c r="BC8" s="158"/>
      <c r="BD8" s="158"/>
      <c r="BE8" s="158"/>
      <c r="BF8" s="158"/>
      <c r="BG8" s="158"/>
      <c r="BH8" s="158"/>
      <c r="BI8" s="158"/>
      <c r="BJ8" s="158"/>
      <c r="BK8" s="158"/>
      <c r="BL8" s="337" t="s">
        <v>627</v>
      </c>
      <c r="BM8" s="337" t="s">
        <v>628</v>
      </c>
      <c r="BN8" s="158"/>
      <c r="BO8" s="158"/>
      <c r="BP8" s="158"/>
      <c r="BQ8" s="158"/>
      <c r="BR8" s="158"/>
      <c r="BS8" s="158"/>
      <c r="BT8" s="158"/>
      <c r="BU8" s="158"/>
      <c r="BV8" s="158"/>
      <c r="BW8" s="158"/>
      <c r="BX8" s="158"/>
      <c r="BY8" s="158"/>
      <c r="BZ8" s="158"/>
      <c r="CA8" s="337" t="s">
        <v>627</v>
      </c>
      <c r="CB8" s="337" t="s">
        <v>628</v>
      </c>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81"/>
      <c r="DG8" s="81"/>
      <c r="DH8" s="81"/>
      <c r="DI8" s="81"/>
      <c r="DJ8" s="81"/>
      <c r="DK8" s="81"/>
      <c r="DL8" s="81"/>
      <c r="DM8" s="81"/>
      <c r="DN8" s="81"/>
      <c r="DO8" s="81"/>
      <c r="DP8" s="81"/>
      <c r="DQ8" s="81"/>
      <c r="DR8" s="81"/>
      <c r="DS8" s="81"/>
      <c r="DT8" s="81"/>
    </row>
    <row r="9" spans="4:152" s="164" customFormat="1" ht="12" customHeight="1">
      <c r="D9" s="165"/>
      <c r="E9" s="190"/>
      <c r="F9" s="158"/>
      <c r="G9"/>
      <c r="H9" s="84"/>
      <c r="I9" s="158"/>
      <c r="J9" s="158"/>
      <c r="K9" s="189"/>
      <c r="L9" s="189"/>
      <c r="M9" s="189"/>
      <c r="N9" s="189"/>
      <c r="O9" s="189"/>
      <c r="P9" s="189"/>
      <c r="Q9" s="189"/>
      <c r="R9" s="189"/>
      <c r="S9" s="189"/>
      <c r="T9" s="189"/>
      <c r="U9" s="189"/>
      <c r="V9" s="189"/>
      <c r="W9" s="189"/>
      <c r="X9" s="189"/>
      <c r="Y9" s="158"/>
      <c r="Z9" s="191"/>
      <c r="AA9" s="191"/>
      <c r="AB9" s="158"/>
      <c r="AC9" s="398">
        <f>IF(AG18=0,0,((('ТС.ТМ1 01.07 - 31.08'!AQ18*'ТС.ТМ1 01.07 - 31.08'!AS18*$AG9)+('ТС.ТМ1 01.07 - 31.08'!AT18*'ТС.ТМ1 01.07 - 31.08'!AV18*$AG9)+('ТС.ТМ1 01.07 - 31.08'!AW18*'ТС.ТМ1 01.07 - 31.08'!AY18*$AG9))+ (AC18*AG18))/AG18)</f>
        <v>0</v>
      </c>
      <c r="AD9" s="429">
        <f>IF(AG18=0,0,((('ТС.ТМ1 01.07 - 31.08'!AR18*'ТС.ТМ1 01.07 - 31.08'!AS18*$AG9)+('ТС.ТМ1 01.07 - 31.08'!AU18*'ТС.ТМ1 01.07 - 31.08'!AV18*$AG9)+('ТС.ТМ1 01.07 - 31.08'!AX18*'ТС.ТМ1 01.07 - 31.08'!AY18*$AG9))+ (AD18*AG18))/AG18)</f>
        <v>0</v>
      </c>
      <c r="AE9" s="398">
        <f>IF(AG18=0,0,((('ТС.ТМ1 01.07 - 31.08'!AQ18*'ТС.ТМ1 01.07 - 31.08'!AS18*$AG9)+('ТС.ТМ1 01.07 - 31.08'!AT18*'ТС.ТМ1 01.07 - 31.08'!AV18*$AG9)+('ТС.ТМ1 01.07 - 31.08'!AW18*'ТС.ТМ1 01.07 - 31.08'!AY18*$AG9))+ (AE18*AG18))/AG18)</f>
        <v>0</v>
      </c>
      <c r="AF9" s="429">
        <f>IF(AG18=0,0,((('ТС.ТМ1 01.07 - 31.08'!AR18*'ТС.ТМ1 01.07 - 31.08'!AS18*$AG9)+('ТС.ТМ1 01.07 - 31.08'!AU18*'ТС.ТМ1 01.07 - 31.08'!AV18*$AG9)+('ТС.ТМ1 01.07 - 31.08'!AX18*'ТС.ТМ1 01.07 - 31.08'!AY18*$AG9))+ (AF18*AG18))/AG18)</f>
        <v>0</v>
      </c>
      <c r="AG9" s="130">
        <f>IF(TRANSMISSION_TARIFF="руб/Гкал*час в мес",12,1)</f>
        <v>1</v>
      </c>
      <c r="AH9" s="158"/>
      <c r="AI9" s="158"/>
      <c r="AJ9" s="158"/>
      <c r="AK9" s="158"/>
      <c r="AL9" s="158"/>
      <c r="AM9" s="158"/>
      <c r="AN9" s="158"/>
      <c r="AO9" s="158"/>
      <c r="AP9" s="158"/>
      <c r="AQ9" s="158"/>
      <c r="AR9" s="158"/>
      <c r="AS9" s="158"/>
      <c r="AT9" s="158"/>
      <c r="AU9" s="158"/>
      <c r="AV9" s="158"/>
      <c r="AW9" s="398">
        <f>IF(AV18+BA18&gt;0,(AR18*AV18+AW18*BA18)/(AV18+BA18),0)</f>
        <v>0</v>
      </c>
      <c r="AX9" s="398">
        <f>IF(AV18+BA18&gt;0,(AS18*AV18+AX18*BA18)/(AV18+BA18),0)</f>
        <v>0</v>
      </c>
      <c r="AY9" s="158"/>
      <c r="AZ9" s="158"/>
      <c r="BA9" s="158"/>
      <c r="BB9" s="158"/>
      <c r="BC9" s="158"/>
      <c r="BD9" s="158"/>
      <c r="BE9" s="158"/>
      <c r="BF9" s="158"/>
      <c r="BG9" s="158"/>
      <c r="BH9" s="158"/>
      <c r="BI9" s="158"/>
      <c r="BJ9" s="158"/>
      <c r="BK9" s="158"/>
      <c r="BL9" s="398">
        <f>IF(BK18+BP18&gt;0,(BG18*BK18+BL18*BP18)/(BK18+BP18),0)</f>
        <v>0</v>
      </c>
      <c r="BM9" s="398">
        <f>IF(BK18+BP18&gt;0,(BH18*BK18+BM18*BP18)/(BK18+BP18),0)</f>
        <v>0</v>
      </c>
      <c r="BN9" s="158"/>
      <c r="BO9" s="158"/>
      <c r="BP9" s="158"/>
      <c r="BQ9" s="158"/>
      <c r="BR9" s="158"/>
      <c r="BS9" s="158"/>
      <c r="BT9" s="158"/>
      <c r="BU9" s="158"/>
      <c r="BV9" s="158"/>
      <c r="BW9" s="158"/>
      <c r="BX9" s="158"/>
      <c r="BY9" s="158"/>
      <c r="BZ9" s="158"/>
      <c r="CA9" s="398">
        <f>IF(BZ18+CE18&gt;0,(BV18*BZ18+CA18*CE18)/(BZ18+CE18),0)</f>
        <v>0</v>
      </c>
      <c r="CB9" s="398">
        <f>IF(BZ18&gt;0,(BW18*BZ18+CB18*CE18)/BZ18,0)</f>
        <v>0</v>
      </c>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81"/>
      <c r="DG9" s="81"/>
      <c r="DH9" s="81"/>
      <c r="DI9" s="81"/>
      <c r="DJ9" s="81"/>
      <c r="DK9" s="81"/>
      <c r="DL9" s="81"/>
      <c r="DM9" s="81"/>
      <c r="DN9" s="81"/>
      <c r="DO9" s="81"/>
      <c r="DP9" s="81"/>
      <c r="DQ9" s="81"/>
      <c r="DR9" s="81"/>
      <c r="DS9" s="81"/>
      <c r="DT9" s="81"/>
    </row>
    <row r="10" spans="4:152" s="164" customFormat="1" ht="12" customHeight="1">
      <c r="D10" s="165"/>
      <c r="E10" s="190"/>
      <c r="F10" s="158"/>
      <c r="G10"/>
      <c r="H10" s="84"/>
      <c r="I10" s="158"/>
      <c r="J10" s="158"/>
      <c r="K10" s="444" t="s">
        <v>652</v>
      </c>
      <c r="L10" s="189"/>
      <c r="M10" s="189"/>
      <c r="N10" s="189"/>
      <c r="O10" s="189"/>
      <c r="P10" s="189"/>
      <c r="Q10" s="189"/>
      <c r="R10" s="189"/>
      <c r="S10" s="189"/>
      <c r="T10" s="189"/>
      <c r="U10" s="189"/>
      <c r="V10" s="189"/>
      <c r="W10" s="189"/>
      <c r="X10" s="189"/>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81"/>
      <c r="DG10" s="81"/>
      <c r="DH10" s="81"/>
      <c r="DI10" s="81"/>
      <c r="DJ10" s="81"/>
      <c r="DK10" s="81"/>
      <c r="DL10" s="81"/>
      <c r="DM10" s="81"/>
      <c r="DN10" s="81"/>
      <c r="DO10" s="81"/>
      <c r="DP10" s="81"/>
      <c r="DQ10" s="81"/>
      <c r="DR10" s="81"/>
      <c r="DS10" s="81"/>
      <c r="DT10" s="81"/>
    </row>
    <row r="11" spans="4:152" s="164" customFormat="1" ht="0.75" customHeight="1">
      <c r="D11" s="165"/>
      <c r="E11" s="190"/>
      <c r="F11" s="158"/>
      <c r="G11"/>
      <c r="H11" s="84"/>
      <c r="I11" s="158"/>
      <c r="J11" s="158"/>
      <c r="K11" s="189"/>
      <c r="L11" s="189"/>
      <c r="M11" s="189"/>
      <c r="N11" s="189"/>
      <c r="O11" s="189"/>
      <c r="P11" s="189"/>
      <c r="Q11" s="189"/>
      <c r="R11" s="189"/>
      <c r="S11" s="189"/>
      <c r="T11" s="189"/>
      <c r="U11" s="189"/>
      <c r="V11" s="189"/>
      <c r="W11" s="189"/>
      <c r="X11" s="189"/>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c r="BU11" s="158"/>
      <c r="BV11" s="158"/>
      <c r="BW11" s="158"/>
      <c r="BX11" s="158"/>
      <c r="BY11" s="158"/>
      <c r="BZ11" s="158"/>
      <c r="CA11" s="158"/>
      <c r="CB11" s="158"/>
      <c r="CC11" s="158"/>
      <c r="CD11" s="158"/>
      <c r="CE11" s="158"/>
      <c r="CF11" s="158"/>
      <c r="CG11" s="158"/>
      <c r="CH11" s="158"/>
      <c r="CI11" s="158"/>
      <c r="CJ11" s="158"/>
      <c r="CK11" s="158"/>
      <c r="CL11" s="158"/>
      <c r="CM11" s="158"/>
      <c r="CN11" s="158"/>
      <c r="CO11" s="158"/>
      <c r="CP11" s="158"/>
      <c r="CQ11" s="158"/>
      <c r="CR11" s="158"/>
      <c r="CS11" s="158"/>
      <c r="CT11" s="158"/>
      <c r="CU11" s="158"/>
      <c r="CV11" s="158"/>
      <c r="CW11" s="158"/>
      <c r="CX11" s="158"/>
      <c r="CY11" s="158"/>
      <c r="CZ11" s="158"/>
      <c r="DA11" s="158"/>
      <c r="DB11" s="158"/>
      <c r="DC11" s="158"/>
      <c r="DD11" s="158"/>
      <c r="DE11" s="158"/>
      <c r="DF11" s="81"/>
      <c r="DG11" s="81"/>
      <c r="DH11" s="81"/>
      <c r="DI11" s="81"/>
      <c r="DJ11" s="81"/>
      <c r="DK11" s="81"/>
      <c r="DL11" s="81"/>
      <c r="DM11" s="81"/>
      <c r="DN11" s="81"/>
      <c r="DO11" s="81"/>
      <c r="DP11" s="81"/>
      <c r="DQ11" s="81"/>
      <c r="DR11" s="81"/>
      <c r="DS11" s="81"/>
      <c r="DT11" s="81"/>
    </row>
    <row r="12" spans="4:152" s="164" customFormat="1" ht="12" customHeight="1">
      <c r="D12" s="165"/>
      <c r="E12" s="190"/>
      <c r="F12" s="158"/>
      <c r="G12" s="589" t="s">
        <v>734</v>
      </c>
      <c r="H12" s="588"/>
      <c r="I12" s="158"/>
      <c r="J12" s="158"/>
      <c r="K12" s="922" t="s">
        <v>2863</v>
      </c>
      <c r="L12" s="922"/>
      <c r="M12" s="922"/>
      <c r="N12" s="922"/>
      <c r="O12" s="922"/>
      <c r="P12" s="922"/>
      <c r="Q12" s="922"/>
      <c r="R12" s="922"/>
      <c r="S12" s="922"/>
      <c r="T12" s="922"/>
      <c r="U12" s="922"/>
      <c r="V12" s="922"/>
      <c r="W12" s="922"/>
      <c r="X12" s="922"/>
      <c r="Y12" s="158"/>
      <c r="Z12" s="191"/>
      <c r="AA12" s="191"/>
      <c r="AB12" s="158"/>
      <c r="AC12" s="158"/>
      <c r="AD12" s="158"/>
      <c r="AE12" s="158"/>
      <c r="AF12" s="158"/>
      <c r="AG12" s="158"/>
      <c r="AH12" s="158"/>
      <c r="AI12" s="158"/>
      <c r="AJ12" s="158"/>
      <c r="AK12" s="158"/>
      <c r="AL12" s="158"/>
      <c r="AM12" s="158"/>
      <c r="AN12" s="158"/>
      <c r="AO12" s="158"/>
      <c r="AP12" s="158"/>
      <c r="AQ12" s="158"/>
      <c r="AR12" s="158"/>
      <c r="AS12" s="158"/>
      <c r="AT12" s="158"/>
      <c r="AU12" s="158"/>
      <c r="AV12" s="427"/>
      <c r="AW12" s="158"/>
      <c r="AX12" s="158"/>
      <c r="AY12" s="158"/>
      <c r="AZ12" s="158"/>
      <c r="BA12" s="158"/>
      <c r="BB12" s="158"/>
      <c r="BC12" s="158"/>
      <c r="BD12" s="158"/>
      <c r="BE12" s="158"/>
      <c r="BF12" s="158"/>
      <c r="BG12" s="158"/>
      <c r="BH12" s="158"/>
      <c r="BI12" s="158"/>
      <c r="BJ12" s="158"/>
      <c r="BK12" s="427"/>
      <c r="BL12" s="158"/>
      <c r="BM12" s="158"/>
      <c r="BN12" s="158"/>
      <c r="BO12" s="158"/>
      <c r="BP12" s="158"/>
      <c r="BQ12" s="158"/>
      <c r="BR12" s="158"/>
      <c r="BS12" s="158"/>
      <c r="BT12" s="158"/>
      <c r="BU12" s="158"/>
      <c r="BV12" s="158"/>
      <c r="BW12" s="158"/>
      <c r="BX12" s="158"/>
      <c r="BY12" s="158"/>
      <c r="BZ12" s="427"/>
      <c r="CA12" s="158"/>
      <c r="CB12" s="158"/>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81"/>
      <c r="DG12" s="81"/>
      <c r="DH12" s="81"/>
      <c r="DI12" s="81"/>
      <c r="DJ12" s="81"/>
      <c r="DK12" s="81"/>
      <c r="DL12" s="81"/>
      <c r="DM12" s="81"/>
      <c r="DN12" s="81"/>
      <c r="DO12" s="81"/>
      <c r="DP12" s="81"/>
      <c r="DQ12" s="81"/>
      <c r="DR12" s="81"/>
      <c r="DS12" s="81"/>
      <c r="DT12" s="81"/>
    </row>
    <row r="13" spans="4:152" ht="24" customHeight="1">
      <c r="E13" s="192"/>
      <c r="F13" s="827" t="s">
        <v>641</v>
      </c>
      <c r="G13" s="827" t="s">
        <v>735</v>
      </c>
      <c r="H13" s="870" t="s">
        <v>2179</v>
      </c>
      <c r="I13" s="870"/>
      <c r="J13" s="827" t="s">
        <v>626</v>
      </c>
      <c r="K13" s="802" t="s">
        <v>2584</v>
      </c>
      <c r="L13" s="802"/>
      <c r="M13" s="802"/>
      <c r="N13" s="803" t="s">
        <v>2569</v>
      </c>
      <c r="O13" s="803"/>
      <c r="P13" s="802" t="s">
        <v>2570</v>
      </c>
      <c r="Q13" s="802"/>
      <c r="R13" s="802" t="s">
        <v>2862</v>
      </c>
      <c r="S13" s="802"/>
      <c r="T13" s="802"/>
      <c r="U13" s="802"/>
      <c r="V13" s="802" t="s">
        <v>2571</v>
      </c>
      <c r="W13" s="802"/>
      <c r="X13" s="803" t="s">
        <v>2572</v>
      </c>
      <c r="Y13" s="828" t="str">
        <f>"Экономически обоснованный тариф, руб./" &amp; $G$12</f>
        <v>Экономически обоснованный тариф, руб./Гкал</v>
      </c>
      <c r="Z13" s="828"/>
      <c r="AA13" s="872"/>
      <c r="AB13" s="873"/>
      <c r="AC13" s="872" t="str">
        <f>"Средневзвешенный тариф с учётом инвестиционной составляющей, руб./" &amp; $G$12</f>
        <v>Средневзвешенный тариф с учётом инвестиционной составляющей, руб./Гкал</v>
      </c>
      <c r="AD13" s="873"/>
      <c r="AE13" s="872" t="str">
        <f>"Средневзвешенный тариф без учёта инвестиционной составляющей, руб./" &amp; $G$12</f>
        <v>Средневзвешенный тариф без учёта инвестиционной составляющей, руб./Гкал</v>
      </c>
      <c r="AF13" s="873"/>
      <c r="AG13" s="828" t="str">
        <f>"Объём реализации услуги потребителям, всего, " &amp; $G$12</f>
        <v>Объём реализации услуги потребителям, всего, Гкал</v>
      </c>
      <c r="AH13" s="872" t="str">
        <f>"Инвестиционная составляющая, руб./" &amp; $G$12</f>
        <v>Инвестиционная составляющая, руб./Гкал</v>
      </c>
      <c r="AI13" s="873"/>
      <c r="AJ13" s="872"/>
      <c r="AK13" s="873"/>
      <c r="AL13" s="828"/>
      <c r="AM13" s="828" t="s">
        <v>2459</v>
      </c>
      <c r="AN13" s="828"/>
      <c r="AO13" s="828"/>
      <c r="AP13" s="828"/>
      <c r="AQ13" s="828"/>
      <c r="AR13" s="828" t="s">
        <v>747</v>
      </c>
      <c r="AS13" s="828"/>
      <c r="AT13" s="828"/>
      <c r="AU13" s="828"/>
      <c r="AV13" s="831"/>
      <c r="AW13" s="828"/>
      <c r="AX13" s="828"/>
      <c r="AY13" s="828"/>
      <c r="AZ13" s="828"/>
      <c r="BA13" s="828"/>
      <c r="BB13" s="828"/>
      <c r="BC13" s="828"/>
      <c r="BD13" s="828"/>
      <c r="BE13" s="828"/>
      <c r="BF13" s="828"/>
      <c r="BG13" s="828" t="s">
        <v>748</v>
      </c>
      <c r="BH13" s="828"/>
      <c r="BI13" s="828"/>
      <c r="BJ13" s="828"/>
      <c r="BK13" s="831"/>
      <c r="BL13" s="828"/>
      <c r="BM13" s="828"/>
      <c r="BN13" s="828"/>
      <c r="BO13" s="828"/>
      <c r="BP13" s="828"/>
      <c r="BQ13" s="828"/>
      <c r="BR13" s="828"/>
      <c r="BS13" s="828"/>
      <c r="BT13" s="828"/>
      <c r="BU13" s="828"/>
      <c r="BV13" s="828" t="s">
        <v>758</v>
      </c>
      <c r="BW13" s="828"/>
      <c r="BX13" s="828"/>
      <c r="BY13" s="828"/>
      <c r="BZ13" s="831"/>
      <c r="CA13" s="828"/>
      <c r="CB13" s="828"/>
      <c r="CC13" s="828"/>
      <c r="CD13" s="828"/>
      <c r="CE13" s="828"/>
      <c r="CF13" s="828"/>
      <c r="CG13" s="828"/>
      <c r="CH13" s="828"/>
      <c r="CI13" s="828"/>
      <c r="CJ13" s="828"/>
      <c r="CK13" s="828" t="s">
        <v>896</v>
      </c>
      <c r="CL13" s="828" t="s">
        <v>897</v>
      </c>
      <c r="CM13" s="828" t="s">
        <v>898</v>
      </c>
      <c r="CN13" s="828"/>
      <c r="CO13" s="828"/>
      <c r="CP13" s="828"/>
      <c r="CQ13" s="828"/>
      <c r="CR13" s="828" t="s">
        <v>899</v>
      </c>
      <c r="CS13" s="185"/>
      <c r="CT13" s="185"/>
      <c r="CU13" s="185"/>
      <c r="CV13" s="185"/>
      <c r="CW13" s="185"/>
      <c r="CX13" s="185"/>
      <c r="CY13" s="185"/>
      <c r="CZ13" s="185"/>
      <c r="DA13" s="185"/>
      <c r="DB13" s="185"/>
      <c r="DC13" s="185"/>
      <c r="DD13" s="185"/>
      <c r="DE13" s="185"/>
    </row>
    <row r="14" spans="4:152" ht="18.75" customHeight="1">
      <c r="E14" s="192"/>
      <c r="F14" s="869"/>
      <c r="G14" s="869"/>
      <c r="H14" s="870"/>
      <c r="I14" s="870"/>
      <c r="J14" s="827"/>
      <c r="K14" s="803" t="s">
        <v>2581</v>
      </c>
      <c r="L14" s="803" t="s">
        <v>2582</v>
      </c>
      <c r="M14" s="803" t="s">
        <v>2583</v>
      </c>
      <c r="N14" s="860"/>
      <c r="O14" s="860"/>
      <c r="P14" s="803" t="s">
        <v>2573</v>
      </c>
      <c r="Q14" s="803" t="s">
        <v>2574</v>
      </c>
      <c r="R14" s="803" t="s">
        <v>2573</v>
      </c>
      <c r="S14" s="803" t="s">
        <v>2574</v>
      </c>
      <c r="T14" s="803"/>
      <c r="U14" s="803"/>
      <c r="V14" s="803" t="s">
        <v>2575</v>
      </c>
      <c r="W14" s="803" t="s">
        <v>2576</v>
      </c>
      <c r="X14" s="860"/>
      <c r="Y14" s="828"/>
      <c r="Z14" s="828"/>
      <c r="AA14" s="874"/>
      <c r="AB14" s="875"/>
      <c r="AC14" s="874"/>
      <c r="AD14" s="875"/>
      <c r="AE14" s="874"/>
      <c r="AF14" s="875"/>
      <c r="AG14" s="828"/>
      <c r="AH14" s="874"/>
      <c r="AI14" s="875"/>
      <c r="AJ14" s="874"/>
      <c r="AK14" s="875"/>
      <c r="AL14" s="828"/>
      <c r="AM14" s="828" t="str">
        <f>"Тариф, руб./" &amp; $G$12</f>
        <v>Тариф, руб./Гкал</v>
      </c>
      <c r="AN14" s="828"/>
      <c r="AO14" s="828" t="str">
        <f>"Льготный тариф, руб./" &amp; $G$12</f>
        <v>Льготный тариф, руб./Гкал</v>
      </c>
      <c r="AP14" s="828"/>
      <c r="AQ14" s="828" t="str">
        <f>"Объём реализации услуги, " &amp; $G$12</f>
        <v>Объём реализации услуги, Гкал</v>
      </c>
      <c r="AR14" s="872" t="str">
        <f>"Одноставочный тариф, руб./" &amp; $G$12</f>
        <v>Одноставочный тариф, руб./Гкал</v>
      </c>
      <c r="AS14" s="873"/>
      <c r="AT14" s="828" t="str">
        <f>"Льготный тариф, руб./" &amp; $G$12</f>
        <v>Льготный тариф, руб./Гкал</v>
      </c>
      <c r="AU14" s="828"/>
      <c r="AV14" s="828" t="str">
        <f>"Объём реализации услуги, " &amp; $G$12</f>
        <v>Объём реализации услуги, Гкал</v>
      </c>
      <c r="AW14" s="828" t="s">
        <v>903</v>
      </c>
      <c r="AX14" s="828"/>
      <c r="AY14" s="828"/>
      <c r="AZ14" s="828"/>
      <c r="BA14" s="828"/>
      <c r="BB14" s="828"/>
      <c r="BC14" s="828"/>
      <c r="BD14" s="828"/>
      <c r="BE14" s="828" t="s">
        <v>906</v>
      </c>
      <c r="BF14" s="828" t="str">
        <f>"Удельная величина дотаций, руб./" &amp; $G$12</f>
        <v>Удельная величина дотаций, руб./Гкал</v>
      </c>
      <c r="BG14" s="872" t="str">
        <f>"Одноставочный тариф, руб./" &amp; $G$12</f>
        <v>Одноставочный тариф, руб./Гкал</v>
      </c>
      <c r="BH14" s="873"/>
      <c r="BI14" s="828" t="str">
        <f>"Льготный тариф, руб./" &amp; $G$12</f>
        <v>Льготный тариф, руб./Гкал</v>
      </c>
      <c r="BJ14" s="828"/>
      <c r="BK14" s="828" t="str">
        <f>"Объём реализации услуги, " &amp; $G$12</f>
        <v>Объём реализации услуги, Гкал</v>
      </c>
      <c r="BL14" s="828" t="s">
        <v>903</v>
      </c>
      <c r="BM14" s="828"/>
      <c r="BN14" s="828"/>
      <c r="BO14" s="828"/>
      <c r="BP14" s="828"/>
      <c r="BQ14" s="828"/>
      <c r="BR14" s="828"/>
      <c r="BS14" s="828"/>
      <c r="BT14" s="828" t="s">
        <v>906</v>
      </c>
      <c r="BU14" s="828" t="str">
        <f>"Удельная величина дотаций, руб./" &amp; $G$12</f>
        <v>Удельная величина дотаций, руб./Гкал</v>
      </c>
      <c r="BV14" s="872" t="str">
        <f>"Одноставочный тариф, руб./" &amp; $G$12</f>
        <v>Одноставочный тариф, руб./Гкал</v>
      </c>
      <c r="BW14" s="873"/>
      <c r="BX14" s="828" t="str">
        <f>"Льготный тариф, руб./" &amp; $G$12</f>
        <v>Льготный тариф, руб./Гкал</v>
      </c>
      <c r="BY14" s="828"/>
      <c r="BZ14" s="828" t="str">
        <f>"Объём реализации услуги, " &amp; $G$12</f>
        <v>Объём реализации услуги, Гкал</v>
      </c>
      <c r="CA14" s="828" t="s">
        <v>903</v>
      </c>
      <c r="CB14" s="828"/>
      <c r="CC14" s="828"/>
      <c r="CD14" s="828"/>
      <c r="CE14" s="828"/>
      <c r="CF14" s="828"/>
      <c r="CG14" s="828"/>
      <c r="CH14" s="828"/>
      <c r="CI14" s="828" t="s">
        <v>906</v>
      </c>
      <c r="CJ14" s="828" t="str">
        <f>"Удельная величина дотаций, руб./" &amp; $G$12</f>
        <v>Удельная величина дотаций, руб./Гкал</v>
      </c>
      <c r="CK14" s="828"/>
      <c r="CL14" s="828"/>
      <c r="CM14" s="828" t="s">
        <v>907</v>
      </c>
      <c r="CN14" s="828" t="s">
        <v>908</v>
      </c>
      <c r="CO14" s="828" t="s">
        <v>909</v>
      </c>
      <c r="CP14" s="828" t="s">
        <v>910</v>
      </c>
      <c r="CQ14" s="828" t="s">
        <v>911</v>
      </c>
      <c r="CR14" s="828"/>
      <c r="CS14" s="185"/>
      <c r="CT14" s="185"/>
      <c r="CU14" s="185"/>
      <c r="CV14" s="185"/>
      <c r="CW14" s="185"/>
      <c r="CX14" s="185"/>
      <c r="CY14" s="185"/>
      <c r="CZ14" s="185"/>
      <c r="DA14" s="185"/>
      <c r="DB14" s="185"/>
      <c r="DC14" s="185"/>
      <c r="DD14" s="185"/>
      <c r="DE14" s="185"/>
    </row>
    <row r="15" spans="4:152" ht="30" customHeight="1">
      <c r="E15" s="192"/>
      <c r="F15" s="869"/>
      <c r="G15" s="869"/>
      <c r="H15" s="870"/>
      <c r="I15" s="870"/>
      <c r="J15" s="827"/>
      <c r="K15" s="860"/>
      <c r="L15" s="860"/>
      <c r="M15" s="860"/>
      <c r="N15" s="860"/>
      <c r="O15" s="860"/>
      <c r="P15" s="860"/>
      <c r="Q15" s="860"/>
      <c r="R15" s="860"/>
      <c r="S15" s="860"/>
      <c r="T15" s="860"/>
      <c r="U15" s="860"/>
      <c r="V15" s="860"/>
      <c r="W15" s="860"/>
      <c r="X15" s="860"/>
      <c r="Y15" s="828"/>
      <c r="Z15" s="828"/>
      <c r="AA15" s="876"/>
      <c r="AB15" s="877"/>
      <c r="AC15" s="876"/>
      <c r="AD15" s="877"/>
      <c r="AE15" s="876"/>
      <c r="AF15" s="877"/>
      <c r="AG15" s="828"/>
      <c r="AH15" s="876"/>
      <c r="AI15" s="877"/>
      <c r="AJ15" s="876"/>
      <c r="AK15" s="877"/>
      <c r="AL15" s="828"/>
      <c r="AM15" s="828"/>
      <c r="AN15" s="828"/>
      <c r="AO15" s="828"/>
      <c r="AP15" s="828"/>
      <c r="AQ15" s="828"/>
      <c r="AR15" s="876"/>
      <c r="AS15" s="877"/>
      <c r="AT15" s="828"/>
      <c r="AU15" s="828"/>
      <c r="AV15" s="828"/>
      <c r="AW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AX15" s="828"/>
      <c r="AY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AZ15" s="828"/>
      <c r="BA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B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C15" s="828"/>
      <c r="BD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E15" s="828"/>
      <c r="BF15" s="828"/>
      <c r="BG15" s="876"/>
      <c r="BH15" s="877"/>
      <c r="BI15" s="828"/>
      <c r="BJ15" s="828"/>
      <c r="BK15" s="828"/>
      <c r="BL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BM15" s="828"/>
      <c r="BN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BO15" s="828"/>
      <c r="BP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Q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R15" s="828"/>
      <c r="BS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T15" s="828"/>
      <c r="BU15" s="828"/>
      <c r="BV15" s="876"/>
      <c r="BW15" s="877"/>
      <c r="BX15" s="828"/>
      <c r="BY15" s="828"/>
      <c r="BZ15" s="828"/>
      <c r="CA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CB15" s="828"/>
      <c r="CC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CD15" s="828"/>
      <c r="CE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CF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CG15" s="828"/>
      <c r="CH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CI15" s="828"/>
      <c r="CJ15" s="828"/>
      <c r="CK15" s="828"/>
      <c r="CL15" s="828"/>
      <c r="CM15" s="828"/>
      <c r="CN15" s="828"/>
      <c r="CO15" s="828"/>
      <c r="CP15" s="828"/>
      <c r="CQ15" s="828"/>
      <c r="CR15" s="828"/>
      <c r="CS15" s="185"/>
      <c r="CT15" s="185"/>
      <c r="CU15" s="185"/>
      <c r="CV15" s="185"/>
      <c r="CW15" s="185"/>
      <c r="CX15" s="185"/>
      <c r="CY15" s="185"/>
      <c r="CZ15" s="185"/>
      <c r="DA15" s="185"/>
      <c r="DB15" s="185"/>
      <c r="DC15" s="185"/>
      <c r="DD15" s="185"/>
      <c r="DE15" s="185"/>
      <c r="DP15" s="78"/>
      <c r="DQ15" s="78"/>
      <c r="DR15" s="78"/>
      <c r="DS15" s="78"/>
      <c r="DT15" s="78"/>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row>
    <row r="16" spans="4:152" ht="12" customHeight="1">
      <c r="E16" s="192"/>
      <c r="F16" s="869"/>
      <c r="G16" s="869"/>
      <c r="H16" s="870"/>
      <c r="I16" s="870"/>
      <c r="J16" s="827"/>
      <c r="K16" s="826"/>
      <c r="L16" s="826"/>
      <c r="M16" s="826"/>
      <c r="N16" s="826"/>
      <c r="O16" s="826"/>
      <c r="P16" s="826"/>
      <c r="Q16" s="826"/>
      <c r="R16" s="826"/>
      <c r="S16" s="826"/>
      <c r="T16" s="826"/>
      <c r="U16" s="826"/>
      <c r="V16" s="826"/>
      <c r="W16" s="826"/>
      <c r="X16" s="826"/>
      <c r="Y16" s="193" t="s">
        <v>627</v>
      </c>
      <c r="Z16" s="193" t="s">
        <v>628</v>
      </c>
      <c r="AA16" s="193"/>
      <c r="AB16" s="193"/>
      <c r="AC16" s="193" t="s">
        <v>627</v>
      </c>
      <c r="AD16" s="193" t="s">
        <v>628</v>
      </c>
      <c r="AE16" s="193" t="s">
        <v>627</v>
      </c>
      <c r="AF16" s="193" t="s">
        <v>628</v>
      </c>
      <c r="AG16" s="828"/>
      <c r="AH16" s="193" t="s">
        <v>627</v>
      </c>
      <c r="AI16" s="193" t="s">
        <v>628</v>
      </c>
      <c r="AJ16" s="193"/>
      <c r="AK16" s="193"/>
      <c r="AL16" s="828"/>
      <c r="AM16" s="193" t="s">
        <v>627</v>
      </c>
      <c r="AN16" s="193" t="s">
        <v>628</v>
      </c>
      <c r="AO16" s="193" t="s">
        <v>627</v>
      </c>
      <c r="AP16" s="193" t="s">
        <v>628</v>
      </c>
      <c r="AQ16" s="828"/>
      <c r="AR16" s="193" t="s">
        <v>627</v>
      </c>
      <c r="AS16" s="193" t="s">
        <v>628</v>
      </c>
      <c r="AT16" s="193" t="s">
        <v>627</v>
      </c>
      <c r="AU16" s="193" t="s">
        <v>628</v>
      </c>
      <c r="AV16" s="828"/>
      <c r="AW16" s="193" t="s">
        <v>627</v>
      </c>
      <c r="AX16" s="193" t="s">
        <v>628</v>
      </c>
      <c r="AY16" s="193" t="s">
        <v>627</v>
      </c>
      <c r="AZ16" s="193" t="s">
        <v>628</v>
      </c>
      <c r="BA16" s="828"/>
      <c r="BB16" s="193" t="s">
        <v>627</v>
      </c>
      <c r="BC16" s="193" t="s">
        <v>628</v>
      </c>
      <c r="BD16" s="828"/>
      <c r="BE16" s="828"/>
      <c r="BF16" s="828"/>
      <c r="BG16" s="193" t="s">
        <v>627</v>
      </c>
      <c r="BH16" s="193" t="s">
        <v>628</v>
      </c>
      <c r="BI16" s="193" t="s">
        <v>627</v>
      </c>
      <c r="BJ16" s="193" t="s">
        <v>628</v>
      </c>
      <c r="BK16" s="828"/>
      <c r="BL16" s="193" t="s">
        <v>627</v>
      </c>
      <c r="BM16" s="193" t="s">
        <v>628</v>
      </c>
      <c r="BN16" s="193" t="s">
        <v>627</v>
      </c>
      <c r="BO16" s="193" t="s">
        <v>628</v>
      </c>
      <c r="BP16" s="828"/>
      <c r="BQ16" s="193" t="s">
        <v>627</v>
      </c>
      <c r="BR16" s="193" t="s">
        <v>628</v>
      </c>
      <c r="BS16" s="828"/>
      <c r="BT16" s="828"/>
      <c r="BU16" s="828"/>
      <c r="BV16" s="193" t="s">
        <v>627</v>
      </c>
      <c r="BW16" s="193" t="s">
        <v>628</v>
      </c>
      <c r="BX16" s="193" t="s">
        <v>627</v>
      </c>
      <c r="BY16" s="193" t="s">
        <v>628</v>
      </c>
      <c r="BZ16" s="828"/>
      <c r="CA16" s="193" t="s">
        <v>627</v>
      </c>
      <c r="CB16" s="193" t="s">
        <v>628</v>
      </c>
      <c r="CC16" s="193" t="s">
        <v>627</v>
      </c>
      <c r="CD16" s="193" t="s">
        <v>628</v>
      </c>
      <c r="CE16" s="828"/>
      <c r="CF16" s="193" t="s">
        <v>627</v>
      </c>
      <c r="CG16" s="193" t="s">
        <v>628</v>
      </c>
      <c r="CH16" s="828"/>
      <c r="CI16" s="828"/>
      <c r="CJ16" s="828"/>
      <c r="CK16" s="828"/>
      <c r="CL16" s="828"/>
      <c r="CM16" s="828"/>
      <c r="CN16" s="828"/>
      <c r="CO16" s="828"/>
      <c r="CP16" s="828"/>
      <c r="CQ16" s="828"/>
      <c r="CR16" s="828"/>
      <c r="CS16" s="185"/>
      <c r="CT16" s="185"/>
      <c r="CU16" s="185"/>
      <c r="CV16" s="185"/>
      <c r="CW16" s="185"/>
      <c r="CX16" s="185"/>
      <c r="CY16" s="185"/>
      <c r="CZ16" s="185"/>
      <c r="DA16" s="185"/>
      <c r="DB16" s="185"/>
      <c r="DC16" s="185"/>
      <c r="DD16" s="185"/>
      <c r="DE16" s="185"/>
      <c r="DF16" s="829" t="s">
        <v>295</v>
      </c>
      <c r="DG16" s="829"/>
      <c r="DH16" s="829"/>
      <c r="DI16" s="829"/>
      <c r="DJ16" s="829"/>
      <c r="DK16" s="829"/>
      <c r="DL16" s="829"/>
      <c r="DM16" s="829"/>
      <c r="DN16" s="829"/>
      <c r="DO16" s="829"/>
      <c r="DP16" s="829" t="s">
        <v>296</v>
      </c>
      <c r="DQ16" s="829"/>
      <c r="DR16" s="829"/>
      <c r="DS16" s="829"/>
      <c r="DT16" s="829"/>
      <c r="DU16" s="829"/>
      <c r="DV16" s="829"/>
      <c r="DW16" s="829"/>
      <c r="DX16" s="829"/>
      <c r="DY16" s="829"/>
      <c r="DZ16" s="829"/>
      <c r="EA16" s="829"/>
      <c r="EB16" s="829"/>
      <c r="EC16" s="829"/>
      <c r="ED16" s="829"/>
      <c r="EE16" s="829"/>
      <c r="EF16" s="829"/>
      <c r="EG16" s="829"/>
      <c r="EH16" s="829" t="s">
        <v>293</v>
      </c>
      <c r="EI16" s="829"/>
      <c r="EJ16" s="829" t="s">
        <v>294</v>
      </c>
      <c r="EK16" s="829"/>
      <c r="EL16" s="829"/>
      <c r="EM16" s="829"/>
      <c r="EN16" s="829"/>
      <c r="EO16" s="829"/>
      <c r="EP16" s="829"/>
      <c r="EQ16" s="829"/>
      <c r="ER16" s="829" t="s">
        <v>444</v>
      </c>
      <c r="ES16" s="829"/>
      <c r="ET16" s="829" t="s">
        <v>1783</v>
      </c>
      <c r="EU16" s="829"/>
      <c r="EV16" s="829"/>
    </row>
    <row r="17" spans="1:152" ht="12" customHeight="1">
      <c r="E17" s="192"/>
      <c r="F17" s="182"/>
      <c r="G17" s="182" t="s">
        <v>759</v>
      </c>
      <c r="H17" s="183" t="s">
        <v>629</v>
      </c>
      <c r="I17" s="183" t="s">
        <v>630</v>
      </c>
      <c r="J17" s="183" t="s">
        <v>631</v>
      </c>
      <c r="K17" s="183" t="s">
        <v>2851</v>
      </c>
      <c r="L17" s="183" t="s">
        <v>2852</v>
      </c>
      <c r="M17" s="183" t="s">
        <v>2853</v>
      </c>
      <c r="N17" s="183" t="s">
        <v>2854</v>
      </c>
      <c r="O17" s="183"/>
      <c r="P17" s="183" t="s">
        <v>2855</v>
      </c>
      <c r="Q17" s="183" t="s">
        <v>2856</v>
      </c>
      <c r="R17" s="183" t="s">
        <v>2857</v>
      </c>
      <c r="S17" s="183" t="s">
        <v>2858</v>
      </c>
      <c r="T17" s="183"/>
      <c r="U17" s="183"/>
      <c r="V17" s="183" t="s">
        <v>2859</v>
      </c>
      <c r="W17" s="183" t="s">
        <v>2860</v>
      </c>
      <c r="X17" s="183" t="s">
        <v>2861</v>
      </c>
      <c r="Y17" s="472" t="s">
        <v>790</v>
      </c>
      <c r="Z17" s="472" t="s">
        <v>792</v>
      </c>
      <c r="AA17" s="472"/>
      <c r="AB17" s="472"/>
      <c r="AC17" s="472" t="s">
        <v>635</v>
      </c>
      <c r="AD17" s="472" t="s">
        <v>883</v>
      </c>
      <c r="AE17" s="472" t="s">
        <v>885</v>
      </c>
      <c r="AF17" s="472" t="s">
        <v>886</v>
      </c>
      <c r="AG17" s="183" t="s">
        <v>761</v>
      </c>
      <c r="AH17" s="472" t="s">
        <v>888</v>
      </c>
      <c r="AI17" s="472" t="s">
        <v>889</v>
      </c>
      <c r="AJ17" s="472"/>
      <c r="AK17" s="472"/>
      <c r="AL17" s="472"/>
      <c r="AM17" s="183" t="s">
        <v>767</v>
      </c>
      <c r="AN17" s="183" t="s">
        <v>918</v>
      </c>
      <c r="AO17" s="183" t="s">
        <v>919</v>
      </c>
      <c r="AP17" s="183" t="s">
        <v>1799</v>
      </c>
      <c r="AQ17" s="183" t="s">
        <v>768</v>
      </c>
      <c r="AR17" s="183" t="s">
        <v>2993</v>
      </c>
      <c r="AS17" s="183" t="s">
        <v>3003</v>
      </c>
      <c r="AT17" s="183" t="s">
        <v>1800</v>
      </c>
      <c r="AU17" s="183" t="s">
        <v>1801</v>
      </c>
      <c r="AV17" s="183" t="s">
        <v>771</v>
      </c>
      <c r="AW17" s="183" t="s">
        <v>1802</v>
      </c>
      <c r="AX17" s="183" t="s">
        <v>1803</v>
      </c>
      <c r="AY17" s="183" t="s">
        <v>1804</v>
      </c>
      <c r="AZ17" s="183" t="s">
        <v>1805</v>
      </c>
      <c r="BA17" s="183" t="s">
        <v>1806</v>
      </c>
      <c r="BB17" s="183" t="s">
        <v>1807</v>
      </c>
      <c r="BC17" s="183" t="s">
        <v>1808</v>
      </c>
      <c r="BD17" s="183" t="s">
        <v>1809</v>
      </c>
      <c r="BE17" s="183" t="s">
        <v>1810</v>
      </c>
      <c r="BF17" s="183" t="s">
        <v>1811</v>
      </c>
      <c r="BG17" s="183" t="s">
        <v>1833</v>
      </c>
      <c r="BH17" s="183" t="s">
        <v>1835</v>
      </c>
      <c r="BI17" s="183" t="s">
        <v>1812</v>
      </c>
      <c r="BJ17" s="183" t="s">
        <v>1813</v>
      </c>
      <c r="BK17" s="183" t="s">
        <v>62</v>
      </c>
      <c r="BL17" s="183" t="s">
        <v>71</v>
      </c>
      <c r="BM17" s="183" t="s">
        <v>1845</v>
      </c>
      <c r="BN17" s="183" t="s">
        <v>1814</v>
      </c>
      <c r="BO17" s="183" t="s">
        <v>1815</v>
      </c>
      <c r="BP17" s="183" t="s">
        <v>1816</v>
      </c>
      <c r="BQ17" s="183" t="s">
        <v>1817</v>
      </c>
      <c r="BR17" s="183" t="s">
        <v>1818</v>
      </c>
      <c r="BS17" s="183" t="s">
        <v>1819</v>
      </c>
      <c r="BT17" s="183" t="s">
        <v>1848</v>
      </c>
      <c r="BU17" s="183" t="s">
        <v>1855</v>
      </c>
      <c r="BV17" s="183" t="s">
        <v>1820</v>
      </c>
      <c r="BW17" s="183" t="s">
        <v>1821</v>
      </c>
      <c r="BX17" s="183" t="s">
        <v>1822</v>
      </c>
      <c r="BY17" s="183" t="s">
        <v>1823</v>
      </c>
      <c r="BZ17" s="183" t="s">
        <v>2416</v>
      </c>
      <c r="CA17" s="183" t="s">
        <v>1824</v>
      </c>
      <c r="CB17" s="183" t="s">
        <v>1825</v>
      </c>
      <c r="CC17" s="183" t="s">
        <v>1826</v>
      </c>
      <c r="CD17" s="183" t="s">
        <v>1827</v>
      </c>
      <c r="CE17" s="183" t="s">
        <v>1828</v>
      </c>
      <c r="CF17" s="183" t="s">
        <v>1829</v>
      </c>
      <c r="CG17" s="183" t="s">
        <v>1830</v>
      </c>
      <c r="CH17" s="183" t="s">
        <v>1831</v>
      </c>
      <c r="CI17" s="183" t="s">
        <v>2422</v>
      </c>
      <c r="CJ17" s="183" t="s">
        <v>2425</v>
      </c>
      <c r="CK17" s="183" t="s">
        <v>2427</v>
      </c>
      <c r="CL17" s="183" t="s">
        <v>2431</v>
      </c>
      <c r="CM17" s="183" t="s">
        <v>845</v>
      </c>
      <c r="CN17" s="183" t="s">
        <v>1847</v>
      </c>
      <c r="CO17" s="183" t="s">
        <v>1854</v>
      </c>
      <c r="CP17" s="183" t="s">
        <v>2421</v>
      </c>
      <c r="CQ17" s="183" t="s">
        <v>2424</v>
      </c>
      <c r="CR17" s="183" t="s">
        <v>3005</v>
      </c>
      <c r="CS17" s="185"/>
      <c r="CT17" s="185"/>
      <c r="CU17" s="185"/>
      <c r="CV17" s="185"/>
      <c r="CW17" s="185"/>
      <c r="CX17" s="185"/>
      <c r="CY17" s="185"/>
      <c r="CZ17" s="185"/>
      <c r="DA17" s="185"/>
      <c r="DB17" s="185"/>
      <c r="DC17" s="185"/>
      <c r="DD17" s="185"/>
      <c r="DE17" s="185"/>
      <c r="DF17" s="472"/>
      <c r="DG17" s="472"/>
      <c r="DH17" s="472"/>
      <c r="DI17" s="472"/>
      <c r="DJ17" s="472"/>
      <c r="DK17" s="472"/>
      <c r="DL17" s="472"/>
      <c r="DM17" s="472"/>
      <c r="DN17" s="472"/>
      <c r="DO17" s="472"/>
      <c r="DP17" s="472" t="s">
        <v>1802</v>
      </c>
      <c r="DQ17" s="472" t="s">
        <v>1803</v>
      </c>
      <c r="DR17" s="472" t="s">
        <v>1804</v>
      </c>
      <c r="DS17" s="472" t="s">
        <v>1805</v>
      </c>
      <c r="DT17" s="472" t="s">
        <v>1807</v>
      </c>
      <c r="DU17" s="472" t="s">
        <v>1808</v>
      </c>
      <c r="DV17" s="472" t="s">
        <v>71</v>
      </c>
      <c r="DW17" s="472" t="s">
        <v>1845</v>
      </c>
      <c r="DX17" s="472" t="s">
        <v>1814</v>
      </c>
      <c r="DY17" s="472" t="s">
        <v>1815</v>
      </c>
      <c r="DZ17" s="472" t="s">
        <v>1817</v>
      </c>
      <c r="EA17" s="472" t="s">
        <v>1818</v>
      </c>
      <c r="EB17" s="472" t="s">
        <v>1824</v>
      </c>
      <c r="EC17" s="472" t="s">
        <v>1825</v>
      </c>
      <c r="ED17" s="472" t="s">
        <v>1826</v>
      </c>
      <c r="EE17" s="472" t="s">
        <v>1827</v>
      </c>
      <c r="EF17" s="472" t="s">
        <v>1829</v>
      </c>
      <c r="EG17" s="472" t="s">
        <v>1830</v>
      </c>
      <c r="EH17" s="183"/>
      <c r="EI17" s="183"/>
      <c r="EJ17" s="472"/>
      <c r="EK17" s="472"/>
      <c r="EL17" s="472"/>
      <c r="EM17" s="472"/>
      <c r="EN17" s="472"/>
      <c r="EO17" s="472"/>
      <c r="EP17" s="472"/>
      <c r="EQ17" s="472"/>
      <c r="ER17" s="183"/>
      <c r="ES17" s="183"/>
      <c r="ET17" s="183"/>
      <c r="EU17" s="183"/>
      <c r="EV17" s="183"/>
    </row>
    <row r="18" spans="1:152" ht="24" customHeight="1">
      <c r="A18" s="181"/>
      <c r="B18" s="181"/>
      <c r="C18" s="181"/>
      <c r="E18" s="192"/>
      <c r="F18" s="927" t="s">
        <v>3141</v>
      </c>
      <c r="G18" s="581" t="s">
        <v>778</v>
      </c>
      <c r="H18" s="583" t="s">
        <v>1768</v>
      </c>
      <c r="I18" s="129"/>
      <c r="J18" s="177"/>
      <c r="K18" s="129"/>
      <c r="L18" s="129"/>
      <c r="M18" s="129"/>
      <c r="N18" s="129"/>
      <c r="O18" s="129"/>
      <c r="P18" s="129"/>
      <c r="Q18" s="129"/>
      <c r="R18" s="129"/>
      <c r="S18" s="129"/>
      <c r="T18" s="129"/>
      <c r="U18" s="129"/>
      <c r="V18" s="129"/>
      <c r="W18" s="129"/>
      <c r="X18" s="129"/>
      <c r="Y18" s="398">
        <f>IF((AG18+AQ18)&gt;0,SUMIF($H21:$H22,$H$18,$EH21:$EH22)/(AG18+AQ18),0)</f>
        <v>0</v>
      </c>
      <c r="Z18" s="398">
        <f>IF((AG18+AQ18)&gt;0,SUMIF($H21:$H22,$H$18,$EI21:$EI22)/(AG18+AQ18),0)</f>
        <v>0</v>
      </c>
      <c r="AA18" s="117"/>
      <c r="AB18" s="117"/>
      <c r="AC18" s="271">
        <f>IF($AG18&gt;0,(AR18*AV18+BG18*BK18+BV18*BZ18+AW18*BA18+BL18*BP18+CA18*CE18)/$AG18,0)</f>
        <v>0</v>
      </c>
      <c r="AD18" s="271">
        <f>IF($AG18&gt;0,(AS18*AV18+BH18*BK18+BW18*BZ18+AX18*BA18+BM18*BP18+CB18*CE18)/$AG18,0)</f>
        <v>0</v>
      </c>
      <c r="AE18" s="398">
        <f>IF($AG18&gt;0,(AR18*AV18+BG18*BK18+BV18*BZ18+AW18*BA18+BL18*BP18+CA18*CE18-AH18*$AG18)/$AG18,0)</f>
        <v>0</v>
      </c>
      <c r="AF18" s="398">
        <f>IF($AG18&gt;0,(AS18*AV18+BH18*BK18+BW18*BZ18+AX18*BA18+BM18*BP18+CB18*CE18-AI18*$AG18)/$AG18,0)</f>
        <v>0</v>
      </c>
      <c r="AG18" s="271">
        <f>SUMIF($H21:$H22,$H$18,AG21:AG22)</f>
        <v>0</v>
      </c>
      <c r="AH18" s="271">
        <f>IF($AG18&gt;0,SUMIF($H21:$H22,$H$18,DF21:DF22)/$AG18,0)</f>
        <v>0</v>
      </c>
      <c r="AI18" s="271">
        <f>IF($AG18&gt;0,SUMIF($H21:$H22,$H$18,DG21:DG22)/$AG18,0)</f>
        <v>0</v>
      </c>
      <c r="AJ18" s="117"/>
      <c r="AK18" s="117"/>
      <c r="AL18" s="117"/>
      <c r="AM18" s="271">
        <f>IF($AQ18&gt;0,SUMIF($H21:$H22,$H$18,DH21:DH22)/$AQ18,0)</f>
        <v>0</v>
      </c>
      <c r="AN18" s="271">
        <f>IF($AQ18&gt;0,SUMIF($H21:$H22,$H$18,DI21:DI22)/$AQ18,0)</f>
        <v>0</v>
      </c>
      <c r="AO18" s="271">
        <f>IF($AQ18&gt;0,SUMIF($H21:$H22,$H$18,EJ21:EJ22)/$AQ18,0)</f>
        <v>0</v>
      </c>
      <c r="AP18" s="271">
        <f>IF($AQ18&gt;0,SUMIF($H21:$H22,$H$18,EK21:EK22)/$AQ18,0)</f>
        <v>0</v>
      </c>
      <c r="AQ18" s="271">
        <f>SUMIF($H21:$H22,$H$18,AQ21:AQ22)</f>
        <v>0</v>
      </c>
      <c r="AR18" s="271">
        <f>IF($AV18&gt;0,SUMIF($H21:$H22,$H$18,DJ21:DJ22)/$AV18,0)</f>
        <v>0</v>
      </c>
      <c r="AS18" s="271">
        <f>IF($AV18&gt;0,SUMIF($H21:$H22,$H$18,DK21:DK22)/$AV18,0)</f>
        <v>0</v>
      </c>
      <c r="AT18" s="271">
        <f>IF($AV18&gt;0,SUMIF($H21:$H22,$H$18,EL21:EL22)/$AV18,0)</f>
        <v>0</v>
      </c>
      <c r="AU18" s="271">
        <f>IF($AV18&gt;0,SUMIF($H21:$H22,$H$18,EM21:EM22)/$AV18,0)</f>
        <v>0</v>
      </c>
      <c r="AV18" s="271">
        <f>SUMIF($H21:$H22,$H$18,AV21:AV22)</f>
        <v>0</v>
      </c>
      <c r="AW18" s="271">
        <f>IF(BA18&gt;0,INDEX($DP$18:$EG$18,MATCH(AW17,$DP17:$EG$17))/BA18,0)</f>
        <v>0</v>
      </c>
      <c r="AX18" s="271">
        <f>IF(BA18&gt;0,INDEX($DP$18:$EG$18,MATCH(AX17,$DP17:$EG$17))/BA18,0)</f>
        <v>0</v>
      </c>
      <c r="AY18" s="271">
        <f>IF(BA18&gt;0,INDEX($DP$18:$EG$18,MATCH(AY17,$DP17:$EG$17))/BA18,0)</f>
        <v>0</v>
      </c>
      <c r="AZ18" s="271">
        <f>IF(BA18&gt;0,INDEX($DP$18:$EG$18,MATCH(AZ17,$DP17:$EG$17))/BA18,0)</f>
        <v>0</v>
      </c>
      <c r="BA18" s="271">
        <f t="array" ref="BA18">SUM(($H21:$H22=$H$18)*($AR21:$AR22="")*BA21:BA22)</f>
        <v>0</v>
      </c>
      <c r="BB18" s="271">
        <f>IF(BD18&gt;0,INDEX($DP$18:$EG$18,MATCH(BB17,$DP17:$EG$17))/BD18,0)</f>
        <v>0</v>
      </c>
      <c r="BC18" s="271">
        <f>IF(BD18&gt;0,INDEX($DP$18:$EG$18,MATCH(BC17,$DP17:$EG$17))/BD18,0)</f>
        <v>0</v>
      </c>
      <c r="BD18" s="271">
        <f t="array" ref="BD18">SUM(($H21:$H22=$H$18)*($AR21:$AR22="")*BD21:BD22)</f>
        <v>0</v>
      </c>
      <c r="BE18" s="271">
        <f>SUMIF($H21:$H22,$H$18,BE21:BE22)</f>
        <v>0</v>
      </c>
      <c r="BF18" s="117"/>
      <c r="BG18" s="271">
        <f>IF($BK18&gt;0,SUMIF($H21:$H22,$H$18,DL21:DL22)/$BK18,0)</f>
        <v>0</v>
      </c>
      <c r="BH18" s="271">
        <f>IF($BK18&gt;0,SUMIF($H21:$H22,$H$18,DM21:DM22)/$BK18,0)</f>
        <v>0</v>
      </c>
      <c r="BI18" s="271">
        <f>IF($BK18&gt;0,SUMIF($H21:$H22,$H$18,EN21:EN22)/$BK18,0)</f>
        <v>0</v>
      </c>
      <c r="BJ18" s="271">
        <f>IF($BK18&gt;0,SUMIF($H21:$H22,$H$18,EO21:EO22)/$BK18,0)</f>
        <v>0</v>
      </c>
      <c r="BK18" s="271">
        <f>SUMIF($H21:$H22,$H$18,BK21:BK22)</f>
        <v>0</v>
      </c>
      <c r="BL18" s="271">
        <f>IF(BP18&gt;0,INDEX($DP$18:$EG$18,MATCH(BL17,$DP17:$EG$17))/BP18,0)</f>
        <v>0</v>
      </c>
      <c r="BM18" s="271">
        <f>IF(BP18&gt;0,INDEX($DP$18:$EG$18,MATCH(BM17,$DP17:$EG$17))/BP18,0)</f>
        <v>0</v>
      </c>
      <c r="BN18" s="271">
        <f>IF(BP18&gt;0,INDEX($DP$18:$EG$18,MATCH(BN17,$DP17:$EG$17))/BP18,0)</f>
        <v>0</v>
      </c>
      <c r="BO18" s="271">
        <f>IF(BP18&gt;0,INDEX($DP$18:$EG$18,MATCH(BO17,$DP17:$EG$17))/BP18,0)</f>
        <v>0</v>
      </c>
      <c r="BP18" s="271">
        <f t="array" ref="BP18">SUM(($H21:$H22=$H$18)*($AR21:$AR22="")*BP21:BP22)</f>
        <v>0</v>
      </c>
      <c r="BQ18" s="271">
        <f>IF(BS18&gt;0,INDEX($DP$18:$EG$18,MATCH(BQ17,$DP17:$EG$17))/BS18,0)</f>
        <v>0</v>
      </c>
      <c r="BR18" s="271">
        <f>IF(BS18&gt;0,INDEX($DP$18:$EG$18,MATCH(BR17,$DP17:$EG$17))/BS18,0)</f>
        <v>0</v>
      </c>
      <c r="BS18" s="271">
        <f t="array" ref="BS18">SUM(($H21:$H22=$H$18)*($AR21:$AR22="")*BS21:BS22)</f>
        <v>0</v>
      </c>
      <c r="BT18" s="271">
        <f>SUMIF($H21:$H22,$H$18,BT21:BT22)</f>
        <v>0</v>
      </c>
      <c r="BU18" s="117"/>
      <c r="BV18" s="271">
        <f>IF($BZ18&gt;0,SUMIF($H21:$H22,$H$18,DN21:DN22)/$BZ18,0)</f>
        <v>0</v>
      </c>
      <c r="BW18" s="271">
        <f>IF($BZ18&gt;0,SUMIF($H21:$H22,$H$18,DO21:DO22)/$BZ18,0)</f>
        <v>0</v>
      </c>
      <c r="BX18" s="271">
        <f>IF($BZ18&gt;0,SUMIF($H21:$H22,$H$18,EP21:EP22)/$BZ18,0)</f>
        <v>0</v>
      </c>
      <c r="BY18" s="271">
        <f>IF($BZ18&gt;0,SUMIF($H21:$H22,$H$18,EQ21:EQ22)/$BZ18,0)</f>
        <v>0</v>
      </c>
      <c r="BZ18" s="271">
        <f>SUMIF($H21:$H22,$H$18,BZ21:BZ22)</f>
        <v>0</v>
      </c>
      <c r="CA18" s="271">
        <f>IF(CE18&gt;0,INDEX($DP$18:$EG$18,MATCH(CA17,$DP17:$EG$17))/CE18,0)</f>
        <v>0</v>
      </c>
      <c r="CB18" s="271">
        <f>IF(CE18&gt;0,INDEX($DP$18:$EG$18,MATCH(CB17,$DP17:$EG$17))/CE18,0)</f>
        <v>0</v>
      </c>
      <c r="CC18" s="271">
        <f>IF(CE18&gt;0,INDEX($DP$18:$EG$18,MATCH(CC17,$DP17:$EG$17))/CE18,0)</f>
        <v>0</v>
      </c>
      <c r="CD18" s="271">
        <f>IF(CE18&gt;0,INDEX($DP$18:$EG$18,MATCH(CD17,$DP17:$EG$17))/CE18,0)</f>
        <v>0</v>
      </c>
      <c r="CE18" s="271">
        <f t="array" ref="CE18">SUM(($H21:$H22=$H$18)*($AR21:$AR22="")*CE21:CE22)</f>
        <v>0</v>
      </c>
      <c r="CF18" s="271">
        <f>IF(CH18&gt;0,INDEX($DP$18:$EG$18,MATCH(CF17,$DP17:$EG$17))/CH18,0)</f>
        <v>0</v>
      </c>
      <c r="CG18" s="271">
        <f>IF(CH18&gt;0,INDEX($DP$18:$EG$18,MATCH(CG17,$DP17:$EG$17))/CH18,0)</f>
        <v>0</v>
      </c>
      <c r="CH18" s="271">
        <f t="array" ref="CH18">SUM(($H21:$H22=$H$18)*($AR21:$AR22="")*CH21:CH22)</f>
        <v>0</v>
      </c>
      <c r="CI18" s="271">
        <f>SUMIF($H21:$H22,$H$18,CI21:CI22)</f>
        <v>0</v>
      </c>
      <c r="CJ18" s="117"/>
      <c r="CK18" s="271">
        <f>SUMIF($H21:$H22,$H$18,CK21:CK22)</f>
        <v>0</v>
      </c>
      <c r="CL18" s="117"/>
      <c r="CM18" s="271">
        <f>SUMIF($H21:$H22,$H$18,CM21:CM22)</f>
        <v>0</v>
      </c>
      <c r="CN18" s="271">
        <f>SUMIF($H21:$H22,$H$18,CN21:CN22)</f>
        <v>0</v>
      </c>
      <c r="CO18" s="271">
        <f>SUMIF($H21:$H22,$H$18,CO21:CO22)</f>
        <v>0</v>
      </c>
      <c r="CP18" s="271">
        <f>SUMIF($H21:$H22,$H$18,CP21:CP22)</f>
        <v>0</v>
      </c>
      <c r="CQ18" s="271">
        <f>SUMIF($H21:$H22,$H$18,CQ21:CQ22)</f>
        <v>0</v>
      </c>
      <c r="CR18" s="194"/>
      <c r="CS18" s="185"/>
      <c r="CT18" s="185"/>
      <c r="CU18" s="185"/>
      <c r="CV18" s="185"/>
      <c r="CW18" s="185"/>
      <c r="CX18" s="185"/>
      <c r="CY18" s="185"/>
      <c r="CZ18" s="185"/>
      <c r="DA18" s="185"/>
      <c r="DB18" s="185"/>
      <c r="DC18" s="185"/>
      <c r="DD18" s="185"/>
      <c r="DE18" s="185"/>
      <c r="DP18" s="480">
        <f t="shared" ref="DP18:EG18" si="0">SUMIF($H21:$H22,$H18,DP21:DP22)</f>
        <v>0</v>
      </c>
      <c r="DQ18" s="480">
        <f t="shared" si="0"/>
        <v>0</v>
      </c>
      <c r="DR18" s="480">
        <f t="shared" si="0"/>
        <v>0</v>
      </c>
      <c r="DS18" s="480">
        <f t="shared" si="0"/>
        <v>0</v>
      </c>
      <c r="DT18" s="480">
        <f t="shared" si="0"/>
        <v>0</v>
      </c>
      <c r="DU18" s="480">
        <f t="shared" si="0"/>
        <v>0</v>
      </c>
      <c r="DV18" s="480">
        <f t="shared" si="0"/>
        <v>0</v>
      </c>
      <c r="DW18" s="480">
        <f t="shared" si="0"/>
        <v>0</v>
      </c>
      <c r="DX18" s="480">
        <f t="shared" si="0"/>
        <v>0</v>
      </c>
      <c r="DY18" s="480">
        <f t="shared" si="0"/>
        <v>0</v>
      </c>
      <c r="DZ18" s="480">
        <f t="shared" si="0"/>
        <v>0</v>
      </c>
      <c r="EA18" s="480">
        <f t="shared" si="0"/>
        <v>0</v>
      </c>
      <c r="EB18" s="480">
        <f t="shared" si="0"/>
        <v>0</v>
      </c>
      <c r="EC18" s="480">
        <f t="shared" si="0"/>
        <v>0</v>
      </c>
      <c r="ED18" s="480">
        <f t="shared" si="0"/>
        <v>0</v>
      </c>
      <c r="EE18" s="480">
        <f t="shared" si="0"/>
        <v>0</v>
      </c>
      <c r="EF18" s="480">
        <f t="shared" si="0"/>
        <v>0</v>
      </c>
      <c r="EG18" s="480">
        <f t="shared" si="0"/>
        <v>0</v>
      </c>
      <c r="EH18" s="162"/>
      <c r="EI18" s="162"/>
      <c r="EJ18" s="162"/>
      <c r="EK18" s="162"/>
      <c r="EL18" s="162"/>
      <c r="EM18" s="162"/>
      <c r="EN18" s="162"/>
      <c r="EO18" s="162"/>
      <c r="EP18" s="162"/>
      <c r="EQ18" s="162"/>
      <c r="ER18" s="162"/>
      <c r="ES18" s="162"/>
    </row>
    <row r="19" spans="1:152" ht="0.75" customHeight="1">
      <c r="A19" s="181"/>
      <c r="B19" s="181"/>
      <c r="C19" s="181"/>
      <c r="E19" s="192"/>
      <c r="F19" s="928"/>
      <c r="G19" s="576"/>
      <c r="H19" s="583"/>
      <c r="I19" s="129"/>
      <c r="J19" s="576"/>
      <c r="K19" s="577"/>
      <c r="L19" s="577"/>
      <c r="M19" s="577"/>
      <c r="N19" s="577"/>
      <c r="O19" s="577"/>
      <c r="P19" s="577"/>
      <c r="Q19" s="577"/>
      <c r="R19" s="577"/>
      <c r="S19" s="577"/>
      <c r="T19" s="577"/>
      <c r="U19" s="577"/>
      <c r="V19" s="577"/>
      <c r="W19" s="577"/>
      <c r="X19" s="577"/>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582"/>
      <c r="CS19" s="185"/>
      <c r="CT19" s="185"/>
      <c r="CU19" s="185"/>
      <c r="CV19" s="185"/>
      <c r="CW19" s="185"/>
      <c r="CX19" s="185"/>
      <c r="CY19" s="185"/>
      <c r="CZ19" s="185"/>
      <c r="DA19" s="185"/>
      <c r="DB19" s="185"/>
      <c r="DC19" s="185"/>
      <c r="DD19" s="185"/>
      <c r="DE19" s="185"/>
      <c r="DP19" s="78"/>
      <c r="DQ19" s="78"/>
      <c r="DR19" s="78"/>
      <c r="DS19" s="78"/>
      <c r="DT19" s="78"/>
      <c r="DU19" s="78"/>
      <c r="DV19" s="78"/>
      <c r="DW19" s="78"/>
      <c r="DX19" s="78"/>
      <c r="DY19" s="78"/>
      <c r="DZ19" s="78"/>
      <c r="EA19" s="78"/>
      <c r="EB19" s="78"/>
      <c r="EC19" s="78"/>
      <c r="ED19" s="78"/>
      <c r="EE19" s="78"/>
      <c r="EF19" s="78"/>
      <c r="EG19" s="78"/>
      <c r="EH19" s="162"/>
      <c r="EI19" s="162"/>
      <c r="EJ19" s="162"/>
      <c r="EK19" s="162"/>
      <c r="EL19" s="162"/>
      <c r="EM19" s="162"/>
      <c r="EN19" s="162"/>
      <c r="EO19" s="162"/>
      <c r="EP19" s="162"/>
      <c r="EQ19" s="162"/>
      <c r="ER19" s="162"/>
      <c r="ES19" s="162"/>
    </row>
    <row r="20" spans="1:152" ht="0.75" customHeight="1">
      <c r="A20" s="181"/>
      <c r="B20" s="181"/>
      <c r="C20" s="181"/>
      <c r="E20" s="192"/>
      <c r="F20" s="929"/>
      <c r="G20" s="576"/>
      <c r="H20" s="583"/>
      <c r="I20" s="129"/>
      <c r="J20" s="576"/>
      <c r="K20" s="577"/>
      <c r="L20" s="577"/>
      <c r="M20" s="577"/>
      <c r="N20" s="577"/>
      <c r="O20" s="577"/>
      <c r="P20" s="577"/>
      <c r="Q20" s="577"/>
      <c r="R20" s="577"/>
      <c r="S20" s="577"/>
      <c r="T20" s="577"/>
      <c r="U20" s="577"/>
      <c r="V20" s="577"/>
      <c r="W20" s="577"/>
      <c r="X20" s="577"/>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582"/>
      <c r="CS20" s="185"/>
      <c r="CT20" s="185"/>
      <c r="CU20" s="185"/>
      <c r="CV20" s="185"/>
      <c r="CW20" s="185"/>
      <c r="CX20" s="185"/>
      <c r="CY20" s="185"/>
      <c r="CZ20" s="185"/>
      <c r="DA20" s="185"/>
      <c r="DB20" s="185"/>
      <c r="DC20" s="185"/>
      <c r="DD20" s="185"/>
      <c r="DE20" s="185"/>
      <c r="DP20" s="78"/>
      <c r="DQ20" s="78"/>
      <c r="DR20" s="78"/>
      <c r="DS20" s="78"/>
      <c r="DT20" s="78"/>
      <c r="DU20" s="78"/>
      <c r="DV20" s="78"/>
      <c r="DW20" s="78"/>
      <c r="DX20" s="78"/>
      <c r="DY20" s="78"/>
      <c r="DZ20" s="78"/>
      <c r="EA20" s="78"/>
      <c r="EB20" s="78"/>
      <c r="EC20" s="78"/>
      <c r="ED20" s="78"/>
      <c r="EE20" s="78"/>
      <c r="EF20" s="78"/>
      <c r="EG20" s="78"/>
      <c r="EH20" s="162"/>
      <c r="EI20" s="162"/>
      <c r="EJ20" s="162"/>
      <c r="EK20" s="162"/>
      <c r="EL20" s="162"/>
      <c r="EM20" s="162"/>
      <c r="EN20" s="162"/>
      <c r="EO20" s="162"/>
      <c r="EP20" s="162"/>
      <c r="EQ20" s="162"/>
      <c r="ER20" s="162"/>
      <c r="ES20" s="162"/>
    </row>
    <row r="21" spans="1:152" ht="12" hidden="1" customHeight="1">
      <c r="A21" s="181"/>
      <c r="B21" s="181"/>
      <c r="C21" s="181"/>
      <c r="E21" s="192"/>
      <c r="F21" s="186">
        <v>0</v>
      </c>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96"/>
      <c r="CS21" s="185"/>
      <c r="CT21" s="185"/>
      <c r="CU21" s="185"/>
      <c r="CV21" s="185"/>
      <c r="CW21" s="185"/>
      <c r="CX21" s="185"/>
      <c r="CY21" s="185"/>
      <c r="CZ21" s="185"/>
      <c r="DA21" s="185"/>
      <c r="DB21" s="185"/>
      <c r="DC21" s="185"/>
      <c r="DD21" s="185"/>
      <c r="DE21" s="185"/>
      <c r="DP21" s="78"/>
      <c r="DQ21" s="78"/>
      <c r="DR21" s="78"/>
      <c r="DS21" s="78"/>
      <c r="DT21" s="78"/>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row>
    <row r="22" spans="1:152" ht="0.75" customHeight="1">
      <c r="A22" s="181"/>
      <c r="B22" s="181"/>
      <c r="C22" s="181"/>
      <c r="E22" s="192"/>
      <c r="F22" s="110"/>
      <c r="G22" s="111" t="s">
        <v>720</v>
      </c>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c r="CR22" s="113"/>
      <c r="CS22" s="185"/>
      <c r="CT22" s="185"/>
      <c r="CU22" s="185"/>
      <c r="CV22" s="185"/>
      <c r="CW22" s="185"/>
      <c r="CX22" s="185"/>
      <c r="CY22" s="185"/>
      <c r="CZ22" s="185"/>
      <c r="DA22" s="185"/>
      <c r="DB22" s="185"/>
      <c r="DC22" s="185"/>
      <c r="DD22" s="185"/>
      <c r="DE22" s="185"/>
      <c r="DP22" s="78"/>
      <c r="DQ22" s="78"/>
      <c r="DR22" s="78"/>
      <c r="DS22" s="78"/>
      <c r="DT22" s="78"/>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row>
    <row r="23" spans="1:152" s="162" customFormat="1" ht="12" customHeight="1">
      <c r="A23" s="181"/>
      <c r="B23" s="181"/>
      <c r="C23" s="181"/>
      <c r="D23" s="159"/>
      <c r="E23" s="192"/>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78"/>
      <c r="DG23" s="78"/>
      <c r="DH23" s="78"/>
      <c r="DI23" s="78"/>
      <c r="DJ23" s="78"/>
      <c r="DK23" s="78"/>
      <c r="DL23" s="78"/>
      <c r="DM23" s="78"/>
      <c r="DN23" s="78"/>
      <c r="DO23" s="78"/>
      <c r="DP23" s="78"/>
      <c r="DQ23" s="78"/>
      <c r="DR23" s="78"/>
      <c r="DS23" s="78"/>
      <c r="DT23" s="78"/>
    </row>
  </sheetData>
  <sheetProtection password="FA9C" sheet="1" objects="1" scenarios="1" formatColumns="0" formatRows="0"/>
  <mergeCells count="94">
    <mergeCell ref="R14:R16"/>
    <mergeCell ref="S14:S16"/>
    <mergeCell ref="T14:T16"/>
    <mergeCell ref="AA13:AB15"/>
    <mergeCell ref="R13:S13"/>
    <mergeCell ref="V13:W13"/>
    <mergeCell ref="ET16:EV16"/>
    <mergeCell ref="ER16:ES16"/>
    <mergeCell ref="EJ16:EQ16"/>
    <mergeCell ref="EH16:EI16"/>
    <mergeCell ref="BS15:BS16"/>
    <mergeCell ref="CL13:CL16"/>
    <mergeCell ref="CA14:CH14"/>
    <mergeCell ref="CJ14:CJ16"/>
    <mergeCell ref="CI14:CI16"/>
    <mergeCell ref="BL14:BS14"/>
    <mergeCell ref="CC15:CD15"/>
    <mergeCell ref="DP16:EG16"/>
    <mergeCell ref="CF15:CG15"/>
    <mergeCell ref="CK13:CK16"/>
    <mergeCell ref="DF16:DO16"/>
    <mergeCell ref="CH15:CH16"/>
    <mergeCell ref="CO14:CO16"/>
    <mergeCell ref="CM14:CM16"/>
    <mergeCell ref="CM13:CQ13"/>
    <mergeCell ref="CP14:CP16"/>
    <mergeCell ref="CQ14:CQ16"/>
    <mergeCell ref="F18:F20"/>
    <mergeCell ref="CR13:CR16"/>
    <mergeCell ref="CN14:CN16"/>
    <mergeCell ref="BV13:CJ13"/>
    <mergeCell ref="CE15:CE16"/>
    <mergeCell ref="BZ14:BZ16"/>
    <mergeCell ref="BU14:BU16"/>
    <mergeCell ref="BI14:BJ15"/>
    <mergeCell ref="V14:V16"/>
    <mergeCell ref="AJ13:AK15"/>
    <mergeCell ref="F13:F16"/>
    <mergeCell ref="G13:G16"/>
    <mergeCell ref="N13:N16"/>
    <mergeCell ref="H13:I16"/>
    <mergeCell ref="J13:J16"/>
    <mergeCell ref="K14:K16"/>
    <mergeCell ref="K12:X12"/>
    <mergeCell ref="L14:L16"/>
    <mergeCell ref="AE13:AF15"/>
    <mergeCell ref="AQ14:AQ16"/>
    <mergeCell ref="AL13:AL16"/>
    <mergeCell ref="T13:U13"/>
    <mergeCell ref="U14:U16"/>
    <mergeCell ref="Q14:Q16"/>
    <mergeCell ref="P13:Q13"/>
    <mergeCell ref="O13:O16"/>
    <mergeCell ref="M14:M16"/>
    <mergeCell ref="K13:M13"/>
    <mergeCell ref="X13:X16"/>
    <mergeCell ref="W14:W16"/>
    <mergeCell ref="Y13:Z15"/>
    <mergeCell ref="P14:P16"/>
    <mergeCell ref="AW7:AX7"/>
    <mergeCell ref="AR14:AS15"/>
    <mergeCell ref="BB15:BC15"/>
    <mergeCell ref="BG14:BH15"/>
    <mergeCell ref="AV14:AV16"/>
    <mergeCell ref="AW14:BD14"/>
    <mergeCell ref="BA15:BA16"/>
    <mergeCell ref="BE14:BE16"/>
    <mergeCell ref="AR13:BF13"/>
    <mergeCell ref="BF14:BF16"/>
    <mergeCell ref="AY15:AZ15"/>
    <mergeCell ref="AT14:AU15"/>
    <mergeCell ref="BD15:BD16"/>
    <mergeCell ref="AW15:AX15"/>
    <mergeCell ref="AC7:AD7"/>
    <mergeCell ref="AC13:AD15"/>
    <mergeCell ref="AH13:AI15"/>
    <mergeCell ref="AM13:AQ13"/>
    <mergeCell ref="AO14:AP15"/>
    <mergeCell ref="AM14:AN15"/>
    <mergeCell ref="AE7:AF7"/>
    <mergeCell ref="AG7:AG8"/>
    <mergeCell ref="AG13:AG16"/>
    <mergeCell ref="CA7:CB7"/>
    <mergeCell ref="BX14:BY15"/>
    <mergeCell ref="CA15:CB15"/>
    <mergeCell ref="BL7:BM7"/>
    <mergeCell ref="BV14:BW15"/>
    <mergeCell ref="BT14:BT16"/>
    <mergeCell ref="BG13:BU13"/>
    <mergeCell ref="BQ15:BR15"/>
    <mergeCell ref="BL15:BM15"/>
    <mergeCell ref="BN15:BO15"/>
    <mergeCell ref="BP15:BP16"/>
    <mergeCell ref="BK14:BK16"/>
  </mergeCells>
  <phoneticPr fontId="8" type="noConversion"/>
  <dataValidations count="2">
    <dataValidation allowBlank="1" showInputMessage="1" showErrorMessage="1" errorTitle="Ошибка" error="Допускается ввод ТОЛЬКО числовых значений!" sqref="AW9"/>
    <dataValidation allowBlank="1" showInputMessage="1" showErrorMessage="1" sqref="CM14:CP15"/>
  </dataValidations>
  <hyperlinks>
    <hyperlink ref="K10" location="'ТС.ТМ2 01.07 - 31.08'!A1" tooltip="Отобразить / Скрыть блок" display="-"/>
    <hyperlink ref="I8" location="'ТС.ТМ2 01.07 - 31.08'!A1" tooltip="Скрыть все детали" display="Скрыть все детали"/>
  </hyperlinks>
  <pageMargins left="0.37" right="0.35" top="1" bottom="1" header="0.5" footer="0.5"/>
  <pageSetup paperSize="9" scale="37" orientation="landscape" horizontalDpi="4294967292" verticalDpi="4294967292"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sheetPr codeName="HEAT_TM2_PERIOD3">
    <tabColor rgb="FFFFC000"/>
    <pageSetUpPr fitToPage="1"/>
  </sheetPr>
  <dimension ref="A1:EV23"/>
  <sheetViews>
    <sheetView showGridLines="0" topLeftCell="E3" workbookViewId="0">
      <pane xSplit="5" ySplit="19" topLeftCell="J22" activePane="bottomRight" state="frozen"/>
      <selection activeCell="E15" sqref="A15:IV15"/>
      <selection pane="topRight" activeCell="E15" sqref="A15:IV15"/>
      <selection pane="bottomLeft" activeCell="E15" sqref="A15:IV15"/>
      <selection pane="bottomRight"/>
    </sheetView>
  </sheetViews>
  <sheetFormatPr defaultRowHeight="11.25"/>
  <cols>
    <col min="1" max="3" width="5.7109375" style="162" hidden="1" customWidth="1"/>
    <col min="4" max="4" width="3.7109375" style="159" hidden="1" customWidth="1"/>
    <col min="5" max="5" width="5.7109375" style="179" customWidth="1"/>
    <col min="6" max="6" width="4.7109375" style="39" customWidth="1"/>
    <col min="7" max="7" width="40.7109375" style="39" customWidth="1"/>
    <col min="8" max="8" width="28.5703125" style="39" customWidth="1"/>
    <col min="9" max="9" width="20.85546875" style="39" customWidth="1"/>
    <col min="10" max="10" width="20.7109375" style="39" customWidth="1"/>
    <col min="11" max="13" width="10.85546875" style="39" hidden="1" customWidth="1"/>
    <col min="14" max="14" width="11.7109375" style="39" hidden="1" customWidth="1"/>
    <col min="15" max="15" width="0.140625" style="39" hidden="1" customWidth="1"/>
    <col min="16" max="19" width="10.85546875" style="39" hidden="1" customWidth="1"/>
    <col min="20" max="21" width="0.140625" style="39" hidden="1" customWidth="1"/>
    <col min="22" max="24" width="10.85546875" style="39" hidden="1" customWidth="1"/>
    <col min="25" max="26" width="11.7109375" style="39" customWidth="1"/>
    <col min="27" max="28" width="0.140625" style="39" customWidth="1"/>
    <col min="29" max="32" width="18.7109375" style="39" customWidth="1"/>
    <col min="33" max="33" width="15.7109375" style="39" customWidth="1"/>
    <col min="34" max="35" width="11.7109375" style="39" customWidth="1"/>
    <col min="36" max="38" width="0.140625" style="39" customWidth="1"/>
    <col min="39" max="48" width="11.7109375" style="39" customWidth="1"/>
    <col min="49" max="50" width="13.7109375" style="39" customWidth="1"/>
    <col min="51" max="58" width="12.5703125" style="39" customWidth="1"/>
    <col min="59" max="63" width="12.7109375" style="39" customWidth="1"/>
    <col min="64" max="65" width="13.85546875" style="39" customWidth="1"/>
    <col min="66" max="78" width="12.7109375" style="39" customWidth="1"/>
    <col min="79" max="80" width="13.85546875" style="39" customWidth="1"/>
    <col min="81" max="88" width="12.7109375" style="39" customWidth="1"/>
    <col min="89" max="95" width="15.7109375" style="39" customWidth="1"/>
    <col min="96" max="96" width="19.5703125" style="39" customWidth="1"/>
    <col min="97" max="109" width="1.7109375" style="162" customWidth="1"/>
    <col min="110" max="112" width="8.7109375" style="78" hidden="1" customWidth="1"/>
    <col min="113" max="118" width="8.7109375" style="77" hidden="1" customWidth="1"/>
    <col min="119" max="119" width="8.7109375" style="78" hidden="1" customWidth="1"/>
    <col min="120" max="124" width="8.7109375" style="77" hidden="1" customWidth="1"/>
    <col min="125" max="149" width="8.7109375" style="39" hidden="1" customWidth="1"/>
    <col min="150" max="152" width="0" style="39" hidden="1" customWidth="1"/>
    <col min="153" max="16384" width="9.140625" style="39"/>
  </cols>
  <sheetData>
    <row r="1" spans="4:152" s="162" customFormat="1" hidden="1">
      <c r="D1" s="159"/>
      <c r="E1" s="179"/>
      <c r="DF1" s="78"/>
      <c r="DG1" s="78"/>
      <c r="DH1" s="78"/>
      <c r="DI1" s="78"/>
      <c r="DJ1" s="78"/>
      <c r="DK1" s="78"/>
      <c r="DL1" s="78"/>
      <c r="DM1" s="78"/>
      <c r="DN1" s="78"/>
      <c r="DO1" s="78"/>
      <c r="DP1" s="78"/>
      <c r="DQ1" s="78"/>
      <c r="DR1" s="78"/>
      <c r="DS1" s="78"/>
      <c r="DT1" s="78"/>
    </row>
    <row r="2" spans="4:152" s="162" customFormat="1" hidden="1">
      <c r="D2" s="159"/>
      <c r="E2" s="179"/>
      <c r="DF2" s="78"/>
      <c r="DG2" s="78"/>
      <c r="DH2" s="78"/>
      <c r="DI2" s="78"/>
      <c r="DJ2" s="78"/>
      <c r="DK2" s="78"/>
      <c r="DL2" s="78"/>
      <c r="DM2" s="78"/>
      <c r="DN2" s="78"/>
      <c r="DO2" s="78"/>
      <c r="DP2" s="78"/>
      <c r="DQ2" s="78"/>
      <c r="DR2" s="78"/>
      <c r="DS2" s="78"/>
      <c r="DT2" s="78"/>
    </row>
    <row r="3" spans="4:152" s="162" customFormat="1" ht="12" customHeight="1">
      <c r="D3" s="159"/>
      <c r="E3" s="179"/>
      <c r="F3" s="637"/>
      <c r="G3" s="219" t="str">
        <f>"Необходимо указывать " &amp; IF(TARIFF_SETUP_METHOD_CODE="BY_PSEUDO_YEARS","общегодовые значения","значения по периодам")</f>
        <v>Необходимо указывать значения по периодам</v>
      </c>
      <c r="H3" s="616" t="s">
        <v>2498</v>
      </c>
      <c r="I3" s="637">
        <f>IF(TARIFF_SETUP_METHOD_CODE="BY_PSEUDO_YEARS",12,4)</f>
        <v>4</v>
      </c>
      <c r="DF3" s="78"/>
      <c r="DG3" s="78"/>
      <c r="DH3" s="78"/>
      <c r="DI3" s="78"/>
      <c r="DJ3" s="78"/>
      <c r="DK3" s="78"/>
      <c r="DL3" s="78"/>
      <c r="DM3" s="78"/>
      <c r="DN3" s="78"/>
      <c r="DO3" s="78"/>
      <c r="DP3" s="78"/>
      <c r="DQ3" s="78"/>
      <c r="DR3" s="78"/>
      <c r="DS3" s="78"/>
      <c r="DT3" s="78"/>
    </row>
    <row r="4" spans="4:152" s="162" customFormat="1" ht="0.75" customHeight="1">
      <c r="D4" s="159"/>
      <c r="E4" s="184"/>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5"/>
      <c r="CZ4" s="185"/>
      <c r="DA4" s="185"/>
      <c r="DB4" s="185"/>
      <c r="DC4" s="185"/>
      <c r="DD4" s="185"/>
      <c r="DE4" s="185"/>
      <c r="DF4" s="78"/>
      <c r="DG4" s="78"/>
      <c r="DH4" s="78"/>
      <c r="DI4" s="78"/>
      <c r="DJ4" s="78"/>
      <c r="DK4" s="78"/>
      <c r="DL4" s="78"/>
      <c r="DM4" s="78"/>
      <c r="DN4" s="78"/>
      <c r="DO4" s="78"/>
      <c r="DP4" s="78"/>
      <c r="DQ4" s="78"/>
      <c r="DR4" s="78"/>
      <c r="DS4" s="78"/>
      <c r="DT4" s="78"/>
    </row>
    <row r="5" spans="4:152" s="423" customFormat="1" ht="18" customHeight="1">
      <c r="F5" s="422" t="str">
        <f>"Тарифное меню для организаций " &amp; TEMPLATE_SPHERE &amp; ", отпускающих " &amp; RESOURCE_IDENTIFIER &amp; ", в том числе с коллекторов по муниципальному образованию - " &amp; IF(mo="","Не определено",mo)</f>
        <v>Тарифное меню для организаций водоотведения, отпускающих стоков, в том числе с коллекторов по муниципальному образованию - Село Булава</v>
      </c>
      <c r="G5" s="416"/>
      <c r="H5" s="416"/>
      <c r="I5" s="416"/>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H5" s="407"/>
      <c r="BI5" s="407"/>
      <c r="BJ5" s="407"/>
      <c r="BK5" s="407"/>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L5" s="407"/>
      <c r="CM5" s="407"/>
      <c r="CN5" s="407"/>
      <c r="CO5" s="407"/>
      <c r="CP5" s="407"/>
      <c r="CQ5" s="407"/>
      <c r="CR5" s="407"/>
      <c r="DF5" s="424"/>
      <c r="DG5" s="424"/>
      <c r="DH5" s="424"/>
      <c r="DI5" s="424"/>
      <c r="DJ5" s="424"/>
      <c r="DK5" s="424"/>
      <c r="DL5" s="424"/>
      <c r="DM5" s="424"/>
      <c r="DN5" s="424"/>
      <c r="DO5" s="424"/>
      <c r="DP5" s="424"/>
      <c r="DQ5" s="424"/>
    </row>
    <row r="6" spans="4:152" s="164" customFormat="1" ht="0.75" customHeight="1">
      <c r="D6" s="165"/>
      <c r="E6" s="190"/>
      <c r="F6" s="158"/>
      <c r="G6" s="158"/>
      <c r="H6" s="158"/>
      <c r="I6" s="158"/>
      <c r="J6" s="158"/>
      <c r="K6" s="180"/>
      <c r="L6" s="180"/>
      <c r="M6" s="180"/>
      <c r="N6" s="180"/>
      <c r="O6" s="180"/>
      <c r="P6" s="180"/>
      <c r="Q6" s="180"/>
      <c r="R6" s="180"/>
      <c r="S6" s="180"/>
      <c r="T6" s="180"/>
      <c r="U6" s="180"/>
      <c r="V6" s="180"/>
      <c r="W6" s="180"/>
      <c r="X6" s="180"/>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91"/>
      <c r="CQ6" s="191"/>
      <c r="CR6" s="191"/>
      <c r="CS6" s="158"/>
      <c r="CT6" s="158"/>
      <c r="CU6" s="158"/>
      <c r="CV6" s="158"/>
      <c r="CW6" s="158"/>
      <c r="CX6" s="158"/>
      <c r="CY6" s="158"/>
      <c r="CZ6" s="158"/>
      <c r="DA6" s="158"/>
      <c r="DB6" s="158"/>
      <c r="DC6" s="158"/>
      <c r="DD6" s="158"/>
      <c r="DE6" s="158"/>
      <c r="DF6" s="81"/>
      <c r="DG6" s="81"/>
      <c r="DH6" s="81"/>
      <c r="DI6" s="81"/>
      <c r="DJ6" s="81"/>
      <c r="DK6" s="81"/>
      <c r="DL6" s="81"/>
      <c r="DM6" s="81"/>
      <c r="DN6" s="81"/>
      <c r="DO6" s="81"/>
      <c r="DP6" s="81"/>
      <c r="DQ6" s="81"/>
      <c r="DR6" s="81"/>
      <c r="DS6" s="81"/>
      <c r="DT6" s="81"/>
    </row>
    <row r="7" spans="4:152" s="164" customFormat="1" ht="36" customHeight="1">
      <c r="D7" s="165"/>
      <c r="E7" s="190"/>
      <c r="F7" s="158"/>
      <c r="G7" s="158"/>
      <c r="H7" s="158"/>
      <c r="I7" s="158"/>
      <c r="J7" s="158"/>
      <c r="K7" s="191"/>
      <c r="L7" s="191"/>
      <c r="M7" s="191"/>
      <c r="N7" s="191"/>
      <c r="O7" s="191"/>
      <c r="P7" s="191"/>
      <c r="Q7" s="191"/>
      <c r="R7" s="191"/>
      <c r="S7" s="191"/>
      <c r="T7" s="191"/>
      <c r="U7" s="191"/>
      <c r="V7" s="191"/>
      <c r="W7" s="191"/>
      <c r="X7" s="191"/>
      <c r="Y7" s="191"/>
      <c r="Z7" s="191"/>
      <c r="AA7" s="191"/>
      <c r="AB7" s="191"/>
      <c r="AC7" s="824" t="str">
        <f>"Средневзвешенный тариф с учётом передачи (транспортировки) и с учётом инвестиционной состаляющей, руб./" &amp; $G$12</f>
        <v>Средневзвешенный тариф с учётом передачи (транспортировки) и с учётом инвестиционной состаляющей, руб./Гкал</v>
      </c>
      <c r="AD7" s="924"/>
      <c r="AE7" s="824" t="str">
        <f>"Средневзвешенный тариф с учётом передачи (транспортировки) без учёта инвестиционной составляющей, руб./" &amp; $G$12</f>
        <v>Средневзвешенный тариф с учётом передачи (транспортировки) без учёта инвестиционной составляющей, руб./Гкал</v>
      </c>
      <c r="AF7" s="924"/>
      <c r="AG7" s="925" t="s">
        <v>3158</v>
      </c>
      <c r="AH7" s="191"/>
      <c r="AI7" s="191"/>
      <c r="AJ7" s="191"/>
      <c r="AK7" s="191"/>
      <c r="AL7" s="191"/>
      <c r="AM7" s="191"/>
      <c r="AN7" s="191"/>
      <c r="AO7" s="191"/>
      <c r="AP7" s="191"/>
      <c r="AQ7" s="191"/>
      <c r="AR7" s="191"/>
      <c r="AS7" s="191"/>
      <c r="AT7" s="191"/>
      <c r="AU7" s="191"/>
      <c r="AV7" s="158"/>
      <c r="AW7" s="824" t="str">
        <f>"Средневзвешенный тариф по группе ""Бюджетные потребители"", руб./" &amp; $G$12</f>
        <v>Средневзвешенный тариф по группе "Бюджетные потребители", руб./Гкал</v>
      </c>
      <c r="AX7" s="824"/>
      <c r="AY7" s="158"/>
      <c r="AZ7" s="158"/>
      <c r="BA7" s="158"/>
      <c r="BB7" s="158"/>
      <c r="BC7" s="158"/>
      <c r="BD7" s="158"/>
      <c r="BE7" s="158"/>
      <c r="BF7" s="158"/>
      <c r="BG7" s="158"/>
      <c r="BH7" s="158"/>
      <c r="BI7" s="158"/>
      <c r="BJ7" s="158"/>
      <c r="BK7" s="158"/>
      <c r="BL7" s="824" t="str">
        <f>"Средневзвешенный тариф по группе ""Население"", руб./" &amp; $G$12</f>
        <v>Средневзвешенный тариф по группе "Население", руб./Гкал</v>
      </c>
      <c r="BM7" s="824"/>
      <c r="BN7" s="158"/>
      <c r="BO7" s="158"/>
      <c r="BP7" s="158"/>
      <c r="BQ7" s="158"/>
      <c r="BR7" s="158"/>
      <c r="BS7" s="158"/>
      <c r="BT7" s="158"/>
      <c r="BU7" s="158"/>
      <c r="BV7" s="158"/>
      <c r="BW7" s="158"/>
      <c r="BX7" s="158"/>
      <c r="BY7" s="158"/>
      <c r="BZ7" s="158"/>
      <c r="CA7" s="824" t="str">
        <f>"Средневзвешенный тариф по группе ""Прочие"", руб./" &amp; $G$12</f>
        <v>Средневзвешенный тариф по группе "Прочие", руб./Гкал</v>
      </c>
      <c r="CB7" s="824"/>
      <c r="CC7" s="158"/>
      <c r="CD7" s="158"/>
      <c r="CE7" s="158"/>
      <c r="CF7" s="158"/>
      <c r="CG7" s="158"/>
      <c r="CH7" s="158"/>
      <c r="CI7" s="158"/>
      <c r="CJ7" s="158"/>
      <c r="CK7" s="158"/>
      <c r="CL7" s="158"/>
      <c r="CM7" s="158"/>
      <c r="CN7" s="158"/>
      <c r="CO7" s="158"/>
      <c r="CP7" s="158"/>
      <c r="CQ7" s="158"/>
      <c r="CR7" s="191"/>
      <c r="CS7" s="158"/>
      <c r="CT7" s="158"/>
      <c r="CU7" s="158"/>
      <c r="CV7" s="158"/>
      <c r="CW7" s="158"/>
      <c r="CX7" s="158"/>
      <c r="CY7" s="158"/>
      <c r="CZ7" s="158"/>
      <c r="DA7" s="158"/>
      <c r="DB7" s="158"/>
      <c r="DC7" s="158"/>
      <c r="DD7" s="158"/>
      <c r="DE7" s="158"/>
      <c r="DF7" s="81"/>
      <c r="DG7" s="81"/>
      <c r="DH7" s="81"/>
      <c r="DI7" s="81"/>
      <c r="DJ7" s="81"/>
      <c r="DK7" s="81"/>
      <c r="DL7" s="81"/>
      <c r="DM7" s="81"/>
      <c r="DN7" s="81"/>
      <c r="DO7" s="81"/>
      <c r="DP7" s="81"/>
      <c r="DQ7" s="81"/>
      <c r="DR7" s="81"/>
      <c r="DS7" s="81"/>
      <c r="DT7" s="81"/>
    </row>
    <row r="8" spans="4:152" s="164" customFormat="1" ht="12" customHeight="1">
      <c r="D8" s="165"/>
      <c r="E8" s="190"/>
      <c r="F8" s="158"/>
      <c r="G8" s="197"/>
      <c r="H8" s="198"/>
      <c r="I8" s="195" t="s">
        <v>625</v>
      </c>
      <c r="J8" s="120"/>
      <c r="K8" s="189"/>
      <c r="L8" s="189"/>
      <c r="M8" s="189"/>
      <c r="N8" s="189"/>
      <c r="O8" s="189"/>
      <c r="P8" s="189"/>
      <c r="Q8" s="189"/>
      <c r="R8" s="189"/>
      <c r="S8" s="189"/>
      <c r="T8" s="189"/>
      <c r="U8" s="189"/>
      <c r="V8" s="189"/>
      <c r="W8" s="189"/>
      <c r="X8" s="189"/>
      <c r="Y8" s="158"/>
      <c r="Z8" s="191"/>
      <c r="AA8" s="191"/>
      <c r="AB8" s="158"/>
      <c r="AC8" s="337" t="s">
        <v>627</v>
      </c>
      <c r="AD8" s="428" t="s">
        <v>628</v>
      </c>
      <c r="AE8" s="337" t="s">
        <v>627</v>
      </c>
      <c r="AF8" s="428" t="s">
        <v>628</v>
      </c>
      <c r="AG8" s="926"/>
      <c r="AH8" s="158"/>
      <c r="AI8" s="158"/>
      <c r="AJ8" s="158"/>
      <c r="AK8" s="158"/>
      <c r="AL8" s="158"/>
      <c r="AM8" s="158"/>
      <c r="AN8" s="158"/>
      <c r="AO8" s="158"/>
      <c r="AP8" s="158"/>
      <c r="AQ8" s="158"/>
      <c r="AR8" s="158"/>
      <c r="AS8" s="158"/>
      <c r="AT8" s="158"/>
      <c r="AU8" s="158"/>
      <c r="AV8" s="158"/>
      <c r="AW8" s="337" t="s">
        <v>627</v>
      </c>
      <c r="AX8" s="337" t="s">
        <v>628</v>
      </c>
      <c r="AY8" s="158"/>
      <c r="AZ8" s="158"/>
      <c r="BA8" s="158"/>
      <c r="BB8" s="158"/>
      <c r="BC8" s="158"/>
      <c r="BD8" s="158"/>
      <c r="BE8" s="158"/>
      <c r="BF8" s="158"/>
      <c r="BG8" s="158"/>
      <c r="BH8" s="158"/>
      <c r="BI8" s="158"/>
      <c r="BJ8" s="158"/>
      <c r="BK8" s="158"/>
      <c r="BL8" s="337" t="s">
        <v>627</v>
      </c>
      <c r="BM8" s="337" t="s">
        <v>628</v>
      </c>
      <c r="BN8" s="158"/>
      <c r="BO8" s="158"/>
      <c r="BP8" s="158"/>
      <c r="BQ8" s="158"/>
      <c r="BR8" s="158"/>
      <c r="BS8" s="158"/>
      <c r="BT8" s="158"/>
      <c r="BU8" s="158"/>
      <c r="BV8" s="158"/>
      <c r="BW8" s="158"/>
      <c r="BX8" s="158"/>
      <c r="BY8" s="158"/>
      <c r="BZ8" s="158"/>
      <c r="CA8" s="337" t="s">
        <v>627</v>
      </c>
      <c r="CB8" s="337" t="s">
        <v>628</v>
      </c>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81"/>
      <c r="DG8" s="81"/>
      <c r="DH8" s="81"/>
      <c r="DI8" s="81"/>
      <c r="DJ8" s="81"/>
      <c r="DK8" s="81"/>
      <c r="DL8" s="81"/>
      <c r="DM8" s="81"/>
      <c r="DN8" s="81"/>
      <c r="DO8" s="81"/>
      <c r="DP8" s="81"/>
      <c r="DQ8" s="81"/>
      <c r="DR8" s="81"/>
      <c r="DS8" s="81"/>
      <c r="DT8" s="81"/>
    </row>
    <row r="9" spans="4:152" s="164" customFormat="1" ht="12" customHeight="1">
      <c r="D9" s="165"/>
      <c r="E9" s="190"/>
      <c r="F9" s="158"/>
      <c r="G9"/>
      <c r="H9" s="84"/>
      <c r="I9" s="158"/>
      <c r="J9" s="158"/>
      <c r="K9" s="189"/>
      <c r="L9" s="189"/>
      <c r="M9" s="189"/>
      <c r="N9" s="189"/>
      <c r="O9" s="189"/>
      <c r="P9" s="189"/>
      <c r="Q9" s="189"/>
      <c r="R9" s="189"/>
      <c r="S9" s="189"/>
      <c r="T9" s="189"/>
      <c r="U9" s="189"/>
      <c r="V9" s="189"/>
      <c r="W9" s="189"/>
      <c r="X9" s="189"/>
      <c r="Y9" s="158"/>
      <c r="Z9" s="191"/>
      <c r="AA9" s="191"/>
      <c r="AB9" s="158"/>
      <c r="AC9" s="398">
        <f>IF(AG18=0,0,((('ТС.ТМ1 01.09 - 31.12'!AQ18*'ТС.ТМ1 01.09 - 31.12'!AS18*$AG9)+('ТС.ТМ1 01.09 - 31.12'!AT18*'ТС.ТМ1 01.09 - 31.12'!AV18*$AG9)+('ТС.ТМ1 01.09 - 31.12'!AW18*'ТС.ТМ1 01.09 - 31.12'!AY18*$AG9))+ (AC18*AG18))/AG18)</f>
        <v>0</v>
      </c>
      <c r="AD9" s="429">
        <f>IF(AG18=0,0,((('ТС.ТМ1 01.09 - 31.12'!AR18*'ТС.ТМ1 01.09 - 31.12'!AS18*$AG9)+('ТС.ТМ1 01.09 - 31.12'!AU18*'ТС.ТМ1 01.09 - 31.12'!AV18*$AG9)+('ТС.ТМ1 01.09 - 31.12'!AX18*'ТС.ТМ1 01.09 - 31.12'!AY18*$AG9))+ (AD18*AG18))/AG18)</f>
        <v>0</v>
      </c>
      <c r="AE9" s="398">
        <f>IF(AG18=0,0,((('ТС.ТМ1 01.09 - 31.12'!AQ18*'ТС.ТМ1 01.09 - 31.12'!AS18*$AG9)+('ТС.ТМ1 01.09 - 31.12'!AT18*'ТС.ТМ1 01.09 - 31.12'!AV18*$AG9)+('ТС.ТМ1 01.09 - 31.12'!AW18*'ТС.ТМ1 01.09 - 31.12'!AY18*$AG9))+ (AE18*AG18))/AG18)</f>
        <v>0</v>
      </c>
      <c r="AF9" s="429">
        <f>IF(AG18=0,0,((('ТС.ТМ1 01.09 - 31.12'!AR18*'ТС.ТМ1 01.09 - 31.12'!AS18*$AG9)+('ТС.ТМ1 01.09 - 31.12'!AU18*'ТС.ТМ1 01.09 - 31.12'!AV18*$AG9)+('ТС.ТМ1 01.09 - 31.12'!AX18*'ТС.ТМ1 01.09 - 31.12'!AY18*$AG9))+ (AF18*AG18))/AG18)</f>
        <v>0</v>
      </c>
      <c r="AG9" s="130">
        <f>IF(TRANSMISSION_TARIFF="руб/Гкал*час в мес",12,1)</f>
        <v>1</v>
      </c>
      <c r="AH9" s="158"/>
      <c r="AI9" s="158"/>
      <c r="AJ9" s="158"/>
      <c r="AK9" s="158"/>
      <c r="AL9" s="158"/>
      <c r="AM9" s="158"/>
      <c r="AN9" s="158"/>
      <c r="AO9" s="158"/>
      <c r="AP9" s="158"/>
      <c r="AQ9" s="158"/>
      <c r="AR9" s="158"/>
      <c r="AS9" s="158"/>
      <c r="AT9" s="158"/>
      <c r="AU9" s="158"/>
      <c r="AV9" s="158"/>
      <c r="AW9" s="398">
        <f>IF(AV18+BA18&gt;0,(AR18*AV18+AW18*BA18)/(AV18+BA18),0)</f>
        <v>0</v>
      </c>
      <c r="AX9" s="398">
        <f>IF(AV18+BA18&gt;0,(AS18*AV18+AX18*BA18)/(AV18+BA18),0)</f>
        <v>0</v>
      </c>
      <c r="AY9" s="158"/>
      <c r="AZ9" s="158"/>
      <c r="BA9" s="158"/>
      <c r="BB9" s="158"/>
      <c r="BC9" s="158"/>
      <c r="BD9" s="158"/>
      <c r="BE9" s="158"/>
      <c r="BF9" s="158"/>
      <c r="BG9" s="158"/>
      <c r="BH9" s="158"/>
      <c r="BI9" s="158"/>
      <c r="BJ9" s="158"/>
      <c r="BK9" s="158"/>
      <c r="BL9" s="398">
        <f>IF(BK18+BP18&gt;0,(BG18*BK18+BL18*BP18)/(BK18+BP18),0)</f>
        <v>0</v>
      </c>
      <c r="BM9" s="398">
        <f>IF(BK18+BP18&gt;0,(BH18*BK18+BM18*BP18)/(BK18+BP18),0)</f>
        <v>0</v>
      </c>
      <c r="BN9" s="158"/>
      <c r="BO9" s="158"/>
      <c r="BP9" s="158"/>
      <c r="BQ9" s="158"/>
      <c r="BR9" s="158"/>
      <c r="BS9" s="158"/>
      <c r="BT9" s="158"/>
      <c r="BU9" s="158"/>
      <c r="BV9" s="158"/>
      <c r="BW9" s="158"/>
      <c r="BX9" s="158"/>
      <c r="BY9" s="158"/>
      <c r="BZ9" s="158"/>
      <c r="CA9" s="398">
        <f>IF(BZ18+CE18&gt;0,(BV18*BZ18+CA18*CE18)/(BZ18+CE18),0)</f>
        <v>0</v>
      </c>
      <c r="CB9" s="398">
        <f>IF(BZ18&gt;0,(BW18*BZ18+CB18*CE18)/BZ18,0)</f>
        <v>0</v>
      </c>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81"/>
      <c r="DG9" s="81"/>
      <c r="DH9" s="81"/>
      <c r="DI9" s="81"/>
      <c r="DJ9" s="81"/>
      <c r="DK9" s="81"/>
      <c r="DL9" s="81"/>
      <c r="DM9" s="81"/>
      <c r="DN9" s="81"/>
      <c r="DO9" s="81"/>
      <c r="DP9" s="81"/>
      <c r="DQ9" s="81"/>
      <c r="DR9" s="81"/>
      <c r="DS9" s="81"/>
      <c r="DT9" s="81"/>
    </row>
    <row r="10" spans="4:152" s="164" customFormat="1" ht="12" customHeight="1">
      <c r="D10" s="165"/>
      <c r="E10" s="190"/>
      <c r="F10" s="158"/>
      <c r="G10"/>
      <c r="H10" s="84"/>
      <c r="I10" s="158"/>
      <c r="J10" s="158"/>
      <c r="K10" s="444" t="s">
        <v>652</v>
      </c>
      <c r="L10" s="189"/>
      <c r="M10" s="189"/>
      <c r="N10" s="189"/>
      <c r="O10" s="189"/>
      <c r="P10" s="189"/>
      <c r="Q10" s="189"/>
      <c r="R10" s="189"/>
      <c r="S10" s="189"/>
      <c r="T10" s="189"/>
      <c r="U10" s="189"/>
      <c r="V10" s="189"/>
      <c r="W10" s="189"/>
      <c r="X10" s="189"/>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81"/>
      <c r="DG10" s="81"/>
      <c r="DH10" s="81"/>
      <c r="DI10" s="81"/>
      <c r="DJ10" s="81"/>
      <c r="DK10" s="81"/>
      <c r="DL10" s="81"/>
      <c r="DM10" s="81"/>
      <c r="DN10" s="81"/>
      <c r="DO10" s="81"/>
      <c r="DP10" s="81"/>
      <c r="DQ10" s="81"/>
      <c r="DR10" s="81"/>
      <c r="DS10" s="81"/>
      <c r="DT10" s="81"/>
    </row>
    <row r="11" spans="4:152" s="164" customFormat="1" ht="0.75" customHeight="1">
      <c r="D11" s="165"/>
      <c r="E11" s="190"/>
      <c r="F11" s="158"/>
      <c r="G11"/>
      <c r="H11" s="84"/>
      <c r="I11" s="158"/>
      <c r="J11" s="158"/>
      <c r="K11" s="189"/>
      <c r="L11" s="189"/>
      <c r="M11" s="189"/>
      <c r="N11" s="189"/>
      <c r="O11" s="189"/>
      <c r="P11" s="189"/>
      <c r="Q11" s="189"/>
      <c r="R11" s="189"/>
      <c r="S11" s="189"/>
      <c r="T11" s="189"/>
      <c r="U11" s="189"/>
      <c r="V11" s="189"/>
      <c r="W11" s="189"/>
      <c r="X11" s="189"/>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c r="BU11" s="158"/>
      <c r="BV11" s="158"/>
      <c r="BW11" s="158"/>
      <c r="BX11" s="158"/>
      <c r="BY11" s="158"/>
      <c r="BZ11" s="158"/>
      <c r="CA11" s="158"/>
      <c r="CB11" s="158"/>
      <c r="CC11" s="158"/>
      <c r="CD11" s="158"/>
      <c r="CE11" s="158"/>
      <c r="CF11" s="158"/>
      <c r="CG11" s="158"/>
      <c r="CH11" s="158"/>
      <c r="CI11" s="158"/>
      <c r="CJ11" s="158"/>
      <c r="CK11" s="158"/>
      <c r="CL11" s="158"/>
      <c r="CM11" s="158"/>
      <c r="CN11" s="158"/>
      <c r="CO11" s="158"/>
      <c r="CP11" s="158"/>
      <c r="CQ11" s="158"/>
      <c r="CR11" s="158"/>
      <c r="CS11" s="158"/>
      <c r="CT11" s="158"/>
      <c r="CU11" s="158"/>
      <c r="CV11" s="158"/>
      <c r="CW11" s="158"/>
      <c r="CX11" s="158"/>
      <c r="CY11" s="158"/>
      <c r="CZ11" s="158"/>
      <c r="DA11" s="158"/>
      <c r="DB11" s="158"/>
      <c r="DC11" s="158"/>
      <c r="DD11" s="158"/>
      <c r="DE11" s="158"/>
      <c r="DF11" s="81"/>
      <c r="DG11" s="81"/>
      <c r="DH11" s="81"/>
      <c r="DI11" s="81"/>
      <c r="DJ11" s="81"/>
      <c r="DK11" s="81"/>
      <c r="DL11" s="81"/>
      <c r="DM11" s="81"/>
      <c r="DN11" s="81"/>
      <c r="DO11" s="81"/>
      <c r="DP11" s="81"/>
      <c r="DQ11" s="81"/>
      <c r="DR11" s="81"/>
      <c r="DS11" s="81"/>
      <c r="DT11" s="81"/>
    </row>
    <row r="12" spans="4:152" s="164" customFormat="1" ht="12" customHeight="1">
      <c r="D12" s="165"/>
      <c r="E12" s="190"/>
      <c r="F12" s="158"/>
      <c r="G12" s="589" t="s">
        <v>734</v>
      </c>
      <c r="H12" s="588"/>
      <c r="I12" s="158"/>
      <c r="J12" s="158"/>
      <c r="K12" s="922" t="s">
        <v>2863</v>
      </c>
      <c r="L12" s="922"/>
      <c r="M12" s="922"/>
      <c r="N12" s="922"/>
      <c r="O12" s="922"/>
      <c r="P12" s="922"/>
      <c r="Q12" s="922"/>
      <c r="R12" s="922"/>
      <c r="S12" s="922"/>
      <c r="T12" s="922"/>
      <c r="U12" s="922"/>
      <c r="V12" s="922"/>
      <c r="W12" s="922"/>
      <c r="X12" s="922"/>
      <c r="Y12" s="158"/>
      <c r="Z12" s="191"/>
      <c r="AA12" s="191"/>
      <c r="AB12" s="158"/>
      <c r="AC12" s="158"/>
      <c r="AD12" s="158"/>
      <c r="AE12" s="158"/>
      <c r="AF12" s="158"/>
      <c r="AG12" s="158"/>
      <c r="AH12" s="158"/>
      <c r="AI12" s="158"/>
      <c r="AJ12" s="158"/>
      <c r="AK12" s="158"/>
      <c r="AL12" s="158"/>
      <c r="AM12" s="158"/>
      <c r="AN12" s="158"/>
      <c r="AO12" s="158"/>
      <c r="AP12" s="158"/>
      <c r="AQ12" s="158"/>
      <c r="AR12" s="158"/>
      <c r="AS12" s="158"/>
      <c r="AT12" s="158"/>
      <c r="AU12" s="158"/>
      <c r="AV12" s="427"/>
      <c r="AW12" s="158"/>
      <c r="AX12" s="158"/>
      <c r="AY12" s="158"/>
      <c r="AZ12" s="158"/>
      <c r="BA12" s="158"/>
      <c r="BB12" s="158"/>
      <c r="BC12" s="158"/>
      <c r="BD12" s="158"/>
      <c r="BE12" s="158"/>
      <c r="BF12" s="158"/>
      <c r="BG12" s="158"/>
      <c r="BH12" s="158"/>
      <c r="BI12" s="158"/>
      <c r="BJ12" s="158"/>
      <c r="BK12" s="427"/>
      <c r="BL12" s="158"/>
      <c r="BM12" s="158"/>
      <c r="BN12" s="158"/>
      <c r="BO12" s="158"/>
      <c r="BP12" s="158"/>
      <c r="BQ12" s="158"/>
      <c r="BR12" s="158"/>
      <c r="BS12" s="158"/>
      <c r="BT12" s="158"/>
      <c r="BU12" s="158"/>
      <c r="BV12" s="158"/>
      <c r="BW12" s="158"/>
      <c r="BX12" s="158"/>
      <c r="BY12" s="158"/>
      <c r="BZ12" s="427"/>
      <c r="CA12" s="158"/>
      <c r="CB12" s="158"/>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81"/>
      <c r="DG12" s="81"/>
      <c r="DH12" s="81"/>
      <c r="DI12" s="81"/>
      <c r="DJ12" s="81"/>
      <c r="DK12" s="81"/>
      <c r="DL12" s="81"/>
      <c r="DM12" s="81"/>
      <c r="DN12" s="81"/>
      <c r="DO12" s="81"/>
      <c r="DP12" s="81"/>
      <c r="DQ12" s="81"/>
      <c r="DR12" s="81"/>
      <c r="DS12" s="81"/>
      <c r="DT12" s="81"/>
    </row>
    <row r="13" spans="4:152" ht="24" customHeight="1">
      <c r="E13" s="192"/>
      <c r="F13" s="827" t="s">
        <v>641</v>
      </c>
      <c r="G13" s="827" t="s">
        <v>735</v>
      </c>
      <c r="H13" s="870" t="s">
        <v>2179</v>
      </c>
      <c r="I13" s="870"/>
      <c r="J13" s="827" t="s">
        <v>626</v>
      </c>
      <c r="K13" s="802" t="s">
        <v>2584</v>
      </c>
      <c r="L13" s="802"/>
      <c r="M13" s="802"/>
      <c r="N13" s="803" t="s">
        <v>2569</v>
      </c>
      <c r="O13" s="803"/>
      <c r="P13" s="802" t="s">
        <v>2570</v>
      </c>
      <c r="Q13" s="802"/>
      <c r="R13" s="802" t="s">
        <v>2862</v>
      </c>
      <c r="S13" s="802"/>
      <c r="T13" s="802"/>
      <c r="U13" s="802"/>
      <c r="V13" s="802" t="s">
        <v>2571</v>
      </c>
      <c r="W13" s="802"/>
      <c r="X13" s="803" t="s">
        <v>2572</v>
      </c>
      <c r="Y13" s="828" t="str">
        <f>"Экономически обоснованный тариф, руб./" &amp; $G$12</f>
        <v>Экономически обоснованный тариф, руб./Гкал</v>
      </c>
      <c r="Z13" s="828"/>
      <c r="AA13" s="872"/>
      <c r="AB13" s="873"/>
      <c r="AC13" s="872" t="str">
        <f>"Средневзвешенный тариф с учётом инвестиционной составляющей, руб./" &amp; $G$12</f>
        <v>Средневзвешенный тариф с учётом инвестиционной составляющей, руб./Гкал</v>
      </c>
      <c r="AD13" s="873"/>
      <c r="AE13" s="872" t="str">
        <f>"Средневзвешенный тариф без учёта инвестиционной составляющей, руб./" &amp; $G$12</f>
        <v>Средневзвешенный тариф без учёта инвестиционной составляющей, руб./Гкал</v>
      </c>
      <c r="AF13" s="873"/>
      <c r="AG13" s="828" t="str">
        <f>"Объём реализации услуги потребителям, всего, " &amp; $G$12</f>
        <v>Объём реализации услуги потребителям, всего, Гкал</v>
      </c>
      <c r="AH13" s="872" t="str">
        <f>"Инвестиционная составляющая, руб./" &amp; $G$12</f>
        <v>Инвестиционная составляющая, руб./Гкал</v>
      </c>
      <c r="AI13" s="873"/>
      <c r="AJ13" s="872"/>
      <c r="AK13" s="873"/>
      <c r="AL13" s="828"/>
      <c r="AM13" s="828" t="s">
        <v>2459</v>
      </c>
      <c r="AN13" s="828"/>
      <c r="AO13" s="828"/>
      <c r="AP13" s="828"/>
      <c r="AQ13" s="828"/>
      <c r="AR13" s="828" t="s">
        <v>747</v>
      </c>
      <c r="AS13" s="828"/>
      <c r="AT13" s="828"/>
      <c r="AU13" s="828"/>
      <c r="AV13" s="831"/>
      <c r="AW13" s="828"/>
      <c r="AX13" s="828"/>
      <c r="AY13" s="828"/>
      <c r="AZ13" s="828"/>
      <c r="BA13" s="828"/>
      <c r="BB13" s="828"/>
      <c r="BC13" s="828"/>
      <c r="BD13" s="828"/>
      <c r="BE13" s="828"/>
      <c r="BF13" s="828"/>
      <c r="BG13" s="828" t="s">
        <v>748</v>
      </c>
      <c r="BH13" s="828"/>
      <c r="BI13" s="828"/>
      <c r="BJ13" s="828"/>
      <c r="BK13" s="831"/>
      <c r="BL13" s="828"/>
      <c r="BM13" s="828"/>
      <c r="BN13" s="828"/>
      <c r="BO13" s="828"/>
      <c r="BP13" s="828"/>
      <c r="BQ13" s="828"/>
      <c r="BR13" s="828"/>
      <c r="BS13" s="828"/>
      <c r="BT13" s="828"/>
      <c r="BU13" s="828"/>
      <c r="BV13" s="828" t="s">
        <v>758</v>
      </c>
      <c r="BW13" s="828"/>
      <c r="BX13" s="828"/>
      <c r="BY13" s="828"/>
      <c r="BZ13" s="831"/>
      <c r="CA13" s="828"/>
      <c r="CB13" s="828"/>
      <c r="CC13" s="828"/>
      <c r="CD13" s="828"/>
      <c r="CE13" s="828"/>
      <c r="CF13" s="828"/>
      <c r="CG13" s="828"/>
      <c r="CH13" s="828"/>
      <c r="CI13" s="828"/>
      <c r="CJ13" s="828"/>
      <c r="CK13" s="828" t="s">
        <v>896</v>
      </c>
      <c r="CL13" s="828" t="s">
        <v>897</v>
      </c>
      <c r="CM13" s="828" t="s">
        <v>898</v>
      </c>
      <c r="CN13" s="828"/>
      <c r="CO13" s="828"/>
      <c r="CP13" s="828"/>
      <c r="CQ13" s="828"/>
      <c r="CR13" s="828" t="s">
        <v>899</v>
      </c>
      <c r="CS13" s="185"/>
      <c r="CT13" s="185"/>
      <c r="CU13" s="185"/>
      <c r="CV13" s="185"/>
      <c r="CW13" s="185"/>
      <c r="CX13" s="185"/>
      <c r="CY13" s="185"/>
      <c r="CZ13" s="185"/>
      <c r="DA13" s="185"/>
      <c r="DB13" s="185"/>
      <c r="DC13" s="185"/>
      <c r="DD13" s="185"/>
      <c r="DE13" s="185"/>
    </row>
    <row r="14" spans="4:152" ht="18.75" customHeight="1">
      <c r="E14" s="192"/>
      <c r="F14" s="869"/>
      <c r="G14" s="869"/>
      <c r="H14" s="870"/>
      <c r="I14" s="870"/>
      <c r="J14" s="827"/>
      <c r="K14" s="803" t="s">
        <v>2581</v>
      </c>
      <c r="L14" s="803" t="s">
        <v>2582</v>
      </c>
      <c r="M14" s="803" t="s">
        <v>2583</v>
      </c>
      <c r="N14" s="860"/>
      <c r="O14" s="860"/>
      <c r="P14" s="803" t="s">
        <v>2573</v>
      </c>
      <c r="Q14" s="803" t="s">
        <v>2574</v>
      </c>
      <c r="R14" s="803" t="s">
        <v>2573</v>
      </c>
      <c r="S14" s="803" t="s">
        <v>2574</v>
      </c>
      <c r="T14" s="803"/>
      <c r="U14" s="803"/>
      <c r="V14" s="803" t="s">
        <v>2575</v>
      </c>
      <c r="W14" s="803" t="s">
        <v>2576</v>
      </c>
      <c r="X14" s="860"/>
      <c r="Y14" s="828"/>
      <c r="Z14" s="828"/>
      <c r="AA14" s="874"/>
      <c r="AB14" s="875"/>
      <c r="AC14" s="874"/>
      <c r="AD14" s="875"/>
      <c r="AE14" s="874"/>
      <c r="AF14" s="875"/>
      <c r="AG14" s="828"/>
      <c r="AH14" s="874"/>
      <c r="AI14" s="875"/>
      <c r="AJ14" s="874"/>
      <c r="AK14" s="875"/>
      <c r="AL14" s="828"/>
      <c r="AM14" s="828" t="str">
        <f>"Тариф, руб./" &amp; $G$12</f>
        <v>Тариф, руб./Гкал</v>
      </c>
      <c r="AN14" s="828"/>
      <c r="AO14" s="828" t="str">
        <f>"Льготный тариф, руб./" &amp; $G$12</f>
        <v>Льготный тариф, руб./Гкал</v>
      </c>
      <c r="AP14" s="828"/>
      <c r="AQ14" s="828" t="str">
        <f>"Объём реализации услуги, " &amp; $G$12</f>
        <v>Объём реализации услуги, Гкал</v>
      </c>
      <c r="AR14" s="872" t="str">
        <f>"Одноставочный тариф, руб./" &amp; $G$12</f>
        <v>Одноставочный тариф, руб./Гкал</v>
      </c>
      <c r="AS14" s="873"/>
      <c r="AT14" s="828" t="str">
        <f>"Льготный тариф, руб./" &amp; $G$12</f>
        <v>Льготный тариф, руб./Гкал</v>
      </c>
      <c r="AU14" s="828"/>
      <c r="AV14" s="828" t="str">
        <f>"Объём реализации услуги, " &amp; $G$12</f>
        <v>Объём реализации услуги, Гкал</v>
      </c>
      <c r="AW14" s="828" t="s">
        <v>903</v>
      </c>
      <c r="AX14" s="828"/>
      <c r="AY14" s="828"/>
      <c r="AZ14" s="828"/>
      <c r="BA14" s="828"/>
      <c r="BB14" s="828"/>
      <c r="BC14" s="828"/>
      <c r="BD14" s="828"/>
      <c r="BE14" s="828" t="s">
        <v>906</v>
      </c>
      <c r="BF14" s="828" t="str">
        <f>"Удельная величина дотаций, руб./" &amp; $G$12</f>
        <v>Удельная величина дотаций, руб./Гкал</v>
      </c>
      <c r="BG14" s="872" t="str">
        <f>"Одноставочный тариф, руб./" &amp; $G$12</f>
        <v>Одноставочный тариф, руб./Гкал</v>
      </c>
      <c r="BH14" s="873"/>
      <c r="BI14" s="828" t="str">
        <f>"Льготный тариф, руб./" &amp; $G$12</f>
        <v>Льготный тариф, руб./Гкал</v>
      </c>
      <c r="BJ14" s="828"/>
      <c r="BK14" s="828" t="str">
        <f>"Объём реализации услуги, " &amp; $G$12</f>
        <v>Объём реализации услуги, Гкал</v>
      </c>
      <c r="BL14" s="828" t="s">
        <v>903</v>
      </c>
      <c r="BM14" s="828"/>
      <c r="BN14" s="828"/>
      <c r="BO14" s="828"/>
      <c r="BP14" s="828"/>
      <c r="BQ14" s="828"/>
      <c r="BR14" s="828"/>
      <c r="BS14" s="828"/>
      <c r="BT14" s="828" t="s">
        <v>906</v>
      </c>
      <c r="BU14" s="828" t="str">
        <f>"Удельная величина дотаций, руб./" &amp; $G$12</f>
        <v>Удельная величина дотаций, руб./Гкал</v>
      </c>
      <c r="BV14" s="872" t="str">
        <f>"Одноставочный тариф, руб./" &amp; $G$12</f>
        <v>Одноставочный тариф, руб./Гкал</v>
      </c>
      <c r="BW14" s="873"/>
      <c r="BX14" s="828" t="str">
        <f>"Льготный тариф, руб./" &amp; $G$12</f>
        <v>Льготный тариф, руб./Гкал</v>
      </c>
      <c r="BY14" s="828"/>
      <c r="BZ14" s="828" t="str">
        <f>"Объём реализации услуги, " &amp; $G$12</f>
        <v>Объём реализации услуги, Гкал</v>
      </c>
      <c r="CA14" s="828" t="s">
        <v>903</v>
      </c>
      <c r="CB14" s="828"/>
      <c r="CC14" s="828"/>
      <c r="CD14" s="828"/>
      <c r="CE14" s="828"/>
      <c r="CF14" s="828"/>
      <c r="CG14" s="828"/>
      <c r="CH14" s="828"/>
      <c r="CI14" s="828" t="s">
        <v>906</v>
      </c>
      <c r="CJ14" s="828" t="str">
        <f>"Удельная величина дотаций, руб./" &amp; $G$12</f>
        <v>Удельная величина дотаций, руб./Гкал</v>
      </c>
      <c r="CK14" s="828"/>
      <c r="CL14" s="828"/>
      <c r="CM14" s="828" t="s">
        <v>907</v>
      </c>
      <c r="CN14" s="828" t="s">
        <v>908</v>
      </c>
      <c r="CO14" s="828" t="s">
        <v>909</v>
      </c>
      <c r="CP14" s="828" t="s">
        <v>910</v>
      </c>
      <c r="CQ14" s="828" t="s">
        <v>911</v>
      </c>
      <c r="CR14" s="828"/>
      <c r="CS14" s="185"/>
      <c r="CT14" s="185"/>
      <c r="CU14" s="185"/>
      <c r="CV14" s="185"/>
      <c r="CW14" s="185"/>
      <c r="CX14" s="185"/>
      <c r="CY14" s="185"/>
      <c r="CZ14" s="185"/>
      <c r="DA14" s="185"/>
      <c r="DB14" s="185"/>
      <c r="DC14" s="185"/>
      <c r="DD14" s="185"/>
      <c r="DE14" s="185"/>
    </row>
    <row r="15" spans="4:152" ht="30" customHeight="1">
      <c r="E15" s="192"/>
      <c r="F15" s="869"/>
      <c r="G15" s="869"/>
      <c r="H15" s="870"/>
      <c r="I15" s="870"/>
      <c r="J15" s="827"/>
      <c r="K15" s="860"/>
      <c r="L15" s="860"/>
      <c r="M15" s="860"/>
      <c r="N15" s="860"/>
      <c r="O15" s="860"/>
      <c r="P15" s="860"/>
      <c r="Q15" s="860"/>
      <c r="R15" s="860"/>
      <c r="S15" s="860"/>
      <c r="T15" s="860"/>
      <c r="U15" s="860"/>
      <c r="V15" s="860"/>
      <c r="W15" s="860"/>
      <c r="X15" s="860"/>
      <c r="Y15" s="828"/>
      <c r="Z15" s="828"/>
      <c r="AA15" s="876"/>
      <c r="AB15" s="877"/>
      <c r="AC15" s="876"/>
      <c r="AD15" s="877"/>
      <c r="AE15" s="876"/>
      <c r="AF15" s="877"/>
      <c r="AG15" s="828"/>
      <c r="AH15" s="876"/>
      <c r="AI15" s="877"/>
      <c r="AJ15" s="876"/>
      <c r="AK15" s="877"/>
      <c r="AL15" s="828"/>
      <c r="AM15" s="828"/>
      <c r="AN15" s="828"/>
      <c r="AO15" s="828"/>
      <c r="AP15" s="828"/>
      <c r="AQ15" s="828"/>
      <c r="AR15" s="876"/>
      <c r="AS15" s="877"/>
      <c r="AT15" s="828"/>
      <c r="AU15" s="828"/>
      <c r="AV15" s="828"/>
      <c r="AW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AX15" s="828"/>
      <c r="AY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AZ15" s="828"/>
      <c r="BA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B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C15" s="828"/>
      <c r="BD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E15" s="828"/>
      <c r="BF15" s="828"/>
      <c r="BG15" s="876"/>
      <c r="BH15" s="877"/>
      <c r="BI15" s="828"/>
      <c r="BJ15" s="828"/>
      <c r="BK15" s="828"/>
      <c r="BL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BM15" s="828"/>
      <c r="BN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BO15" s="828"/>
      <c r="BP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Q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R15" s="828"/>
      <c r="BS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T15" s="828"/>
      <c r="BU15" s="828"/>
      <c r="BV15" s="876"/>
      <c r="BW15" s="877"/>
      <c r="BX15" s="828"/>
      <c r="BY15" s="828"/>
      <c r="BZ15" s="828"/>
      <c r="CA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CB15" s="828"/>
      <c r="CC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CD15" s="828"/>
      <c r="CE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CF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CG15" s="828"/>
      <c r="CH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CI15" s="828"/>
      <c r="CJ15" s="828"/>
      <c r="CK15" s="828"/>
      <c r="CL15" s="828"/>
      <c r="CM15" s="828"/>
      <c r="CN15" s="828"/>
      <c r="CO15" s="828"/>
      <c r="CP15" s="828"/>
      <c r="CQ15" s="828"/>
      <c r="CR15" s="828"/>
      <c r="CS15" s="185"/>
      <c r="CT15" s="185"/>
      <c r="CU15" s="185"/>
      <c r="CV15" s="185"/>
      <c r="CW15" s="185"/>
      <c r="CX15" s="185"/>
      <c r="CY15" s="185"/>
      <c r="CZ15" s="185"/>
      <c r="DA15" s="185"/>
      <c r="DB15" s="185"/>
      <c r="DC15" s="185"/>
      <c r="DD15" s="185"/>
      <c r="DE15" s="185"/>
      <c r="DP15" s="78"/>
      <c r="DQ15" s="78"/>
      <c r="DR15" s="78"/>
      <c r="DS15" s="78"/>
      <c r="DT15" s="78"/>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row>
    <row r="16" spans="4:152" ht="12" customHeight="1">
      <c r="E16" s="192"/>
      <c r="F16" s="869"/>
      <c r="G16" s="869"/>
      <c r="H16" s="870"/>
      <c r="I16" s="870"/>
      <c r="J16" s="827"/>
      <c r="K16" s="826"/>
      <c r="L16" s="826"/>
      <c r="M16" s="826"/>
      <c r="N16" s="826"/>
      <c r="O16" s="826"/>
      <c r="P16" s="826"/>
      <c r="Q16" s="826"/>
      <c r="R16" s="826"/>
      <c r="S16" s="826"/>
      <c r="T16" s="826"/>
      <c r="U16" s="826"/>
      <c r="V16" s="826"/>
      <c r="W16" s="826"/>
      <c r="X16" s="826"/>
      <c r="Y16" s="193" t="s">
        <v>627</v>
      </c>
      <c r="Z16" s="193" t="s">
        <v>628</v>
      </c>
      <c r="AA16" s="193"/>
      <c r="AB16" s="193"/>
      <c r="AC16" s="193" t="s">
        <v>627</v>
      </c>
      <c r="AD16" s="193" t="s">
        <v>628</v>
      </c>
      <c r="AE16" s="193" t="s">
        <v>627</v>
      </c>
      <c r="AF16" s="193" t="s">
        <v>628</v>
      </c>
      <c r="AG16" s="828"/>
      <c r="AH16" s="193" t="s">
        <v>627</v>
      </c>
      <c r="AI16" s="193" t="s">
        <v>628</v>
      </c>
      <c r="AJ16" s="193"/>
      <c r="AK16" s="193"/>
      <c r="AL16" s="828"/>
      <c r="AM16" s="193" t="s">
        <v>627</v>
      </c>
      <c r="AN16" s="193" t="s">
        <v>628</v>
      </c>
      <c r="AO16" s="193" t="s">
        <v>627</v>
      </c>
      <c r="AP16" s="193" t="s">
        <v>628</v>
      </c>
      <c r="AQ16" s="828"/>
      <c r="AR16" s="193" t="s">
        <v>627</v>
      </c>
      <c r="AS16" s="193" t="s">
        <v>628</v>
      </c>
      <c r="AT16" s="193" t="s">
        <v>627</v>
      </c>
      <c r="AU16" s="193" t="s">
        <v>628</v>
      </c>
      <c r="AV16" s="828"/>
      <c r="AW16" s="193" t="s">
        <v>627</v>
      </c>
      <c r="AX16" s="193" t="s">
        <v>628</v>
      </c>
      <c r="AY16" s="193" t="s">
        <v>627</v>
      </c>
      <c r="AZ16" s="193" t="s">
        <v>628</v>
      </c>
      <c r="BA16" s="828"/>
      <c r="BB16" s="193" t="s">
        <v>627</v>
      </c>
      <c r="BC16" s="193" t="s">
        <v>628</v>
      </c>
      <c r="BD16" s="828"/>
      <c r="BE16" s="828"/>
      <c r="BF16" s="828"/>
      <c r="BG16" s="193" t="s">
        <v>627</v>
      </c>
      <c r="BH16" s="193" t="s">
        <v>628</v>
      </c>
      <c r="BI16" s="193" t="s">
        <v>627</v>
      </c>
      <c r="BJ16" s="193" t="s">
        <v>628</v>
      </c>
      <c r="BK16" s="828"/>
      <c r="BL16" s="193" t="s">
        <v>627</v>
      </c>
      <c r="BM16" s="193" t="s">
        <v>628</v>
      </c>
      <c r="BN16" s="193" t="s">
        <v>627</v>
      </c>
      <c r="BO16" s="193" t="s">
        <v>628</v>
      </c>
      <c r="BP16" s="828"/>
      <c r="BQ16" s="193" t="s">
        <v>627</v>
      </c>
      <c r="BR16" s="193" t="s">
        <v>628</v>
      </c>
      <c r="BS16" s="828"/>
      <c r="BT16" s="828"/>
      <c r="BU16" s="828"/>
      <c r="BV16" s="193" t="s">
        <v>627</v>
      </c>
      <c r="BW16" s="193" t="s">
        <v>628</v>
      </c>
      <c r="BX16" s="193" t="s">
        <v>627</v>
      </c>
      <c r="BY16" s="193" t="s">
        <v>628</v>
      </c>
      <c r="BZ16" s="828"/>
      <c r="CA16" s="193" t="s">
        <v>627</v>
      </c>
      <c r="CB16" s="193" t="s">
        <v>628</v>
      </c>
      <c r="CC16" s="193" t="s">
        <v>627</v>
      </c>
      <c r="CD16" s="193" t="s">
        <v>628</v>
      </c>
      <c r="CE16" s="828"/>
      <c r="CF16" s="193" t="s">
        <v>627</v>
      </c>
      <c r="CG16" s="193" t="s">
        <v>628</v>
      </c>
      <c r="CH16" s="828"/>
      <c r="CI16" s="828"/>
      <c r="CJ16" s="828"/>
      <c r="CK16" s="828"/>
      <c r="CL16" s="828"/>
      <c r="CM16" s="828"/>
      <c r="CN16" s="828"/>
      <c r="CO16" s="828"/>
      <c r="CP16" s="828"/>
      <c r="CQ16" s="828"/>
      <c r="CR16" s="828"/>
      <c r="CS16" s="185"/>
      <c r="CT16" s="185"/>
      <c r="CU16" s="185"/>
      <c r="CV16" s="185"/>
      <c r="CW16" s="185"/>
      <c r="CX16" s="185"/>
      <c r="CY16" s="185"/>
      <c r="CZ16" s="185"/>
      <c r="DA16" s="185"/>
      <c r="DB16" s="185"/>
      <c r="DC16" s="185"/>
      <c r="DD16" s="185"/>
      <c r="DE16" s="185"/>
      <c r="DF16" s="829" t="s">
        <v>295</v>
      </c>
      <c r="DG16" s="829"/>
      <c r="DH16" s="829"/>
      <c r="DI16" s="829"/>
      <c r="DJ16" s="829"/>
      <c r="DK16" s="829"/>
      <c r="DL16" s="829"/>
      <c r="DM16" s="829"/>
      <c r="DN16" s="829"/>
      <c r="DO16" s="829"/>
      <c r="DP16" s="829" t="s">
        <v>296</v>
      </c>
      <c r="DQ16" s="829"/>
      <c r="DR16" s="829"/>
      <c r="DS16" s="829"/>
      <c r="DT16" s="829"/>
      <c r="DU16" s="829"/>
      <c r="DV16" s="829"/>
      <c r="DW16" s="829"/>
      <c r="DX16" s="829"/>
      <c r="DY16" s="829"/>
      <c r="DZ16" s="829"/>
      <c r="EA16" s="829"/>
      <c r="EB16" s="829"/>
      <c r="EC16" s="829"/>
      <c r="ED16" s="829"/>
      <c r="EE16" s="829"/>
      <c r="EF16" s="829"/>
      <c r="EG16" s="829"/>
      <c r="EH16" s="829" t="s">
        <v>293</v>
      </c>
      <c r="EI16" s="829"/>
      <c r="EJ16" s="829" t="s">
        <v>294</v>
      </c>
      <c r="EK16" s="829"/>
      <c r="EL16" s="829"/>
      <c r="EM16" s="829"/>
      <c r="EN16" s="829"/>
      <c r="EO16" s="829"/>
      <c r="EP16" s="829"/>
      <c r="EQ16" s="829"/>
      <c r="ER16" s="829" t="s">
        <v>444</v>
      </c>
      <c r="ES16" s="829"/>
      <c r="ET16" s="829" t="s">
        <v>1783</v>
      </c>
      <c r="EU16" s="829"/>
      <c r="EV16" s="829"/>
    </row>
    <row r="17" spans="1:152" ht="12" customHeight="1">
      <c r="E17" s="192"/>
      <c r="F17" s="182"/>
      <c r="G17" s="182" t="s">
        <v>759</v>
      </c>
      <c r="H17" s="183" t="s">
        <v>629</v>
      </c>
      <c r="I17" s="183" t="s">
        <v>630</v>
      </c>
      <c r="J17" s="183" t="s">
        <v>631</v>
      </c>
      <c r="K17" s="183" t="s">
        <v>2851</v>
      </c>
      <c r="L17" s="183" t="s">
        <v>2852</v>
      </c>
      <c r="M17" s="183" t="s">
        <v>2853</v>
      </c>
      <c r="N17" s="183" t="s">
        <v>2854</v>
      </c>
      <c r="O17" s="183"/>
      <c r="P17" s="183" t="s">
        <v>2855</v>
      </c>
      <c r="Q17" s="183" t="s">
        <v>2856</v>
      </c>
      <c r="R17" s="183" t="s">
        <v>2857</v>
      </c>
      <c r="S17" s="183" t="s">
        <v>2858</v>
      </c>
      <c r="T17" s="183"/>
      <c r="U17" s="183"/>
      <c r="V17" s="183" t="s">
        <v>2859</v>
      </c>
      <c r="W17" s="183" t="s">
        <v>2860</v>
      </c>
      <c r="X17" s="183" t="s">
        <v>2861</v>
      </c>
      <c r="Y17" s="472" t="s">
        <v>790</v>
      </c>
      <c r="Z17" s="472" t="s">
        <v>792</v>
      </c>
      <c r="AA17" s="472"/>
      <c r="AB17" s="472"/>
      <c r="AC17" s="472" t="s">
        <v>635</v>
      </c>
      <c r="AD17" s="472" t="s">
        <v>883</v>
      </c>
      <c r="AE17" s="472" t="s">
        <v>885</v>
      </c>
      <c r="AF17" s="472" t="s">
        <v>886</v>
      </c>
      <c r="AG17" s="183" t="s">
        <v>761</v>
      </c>
      <c r="AH17" s="472" t="s">
        <v>888</v>
      </c>
      <c r="AI17" s="472" t="s">
        <v>889</v>
      </c>
      <c r="AJ17" s="472"/>
      <c r="AK17" s="472"/>
      <c r="AL17" s="472"/>
      <c r="AM17" s="183" t="s">
        <v>767</v>
      </c>
      <c r="AN17" s="183" t="s">
        <v>918</v>
      </c>
      <c r="AO17" s="183" t="s">
        <v>919</v>
      </c>
      <c r="AP17" s="183" t="s">
        <v>1799</v>
      </c>
      <c r="AQ17" s="183" t="s">
        <v>768</v>
      </c>
      <c r="AR17" s="183" t="s">
        <v>2993</v>
      </c>
      <c r="AS17" s="183" t="s">
        <v>3003</v>
      </c>
      <c r="AT17" s="183" t="s">
        <v>1800</v>
      </c>
      <c r="AU17" s="183" t="s">
        <v>1801</v>
      </c>
      <c r="AV17" s="183" t="s">
        <v>771</v>
      </c>
      <c r="AW17" s="183" t="s">
        <v>1802</v>
      </c>
      <c r="AX17" s="183" t="s">
        <v>1803</v>
      </c>
      <c r="AY17" s="183" t="s">
        <v>1804</v>
      </c>
      <c r="AZ17" s="183" t="s">
        <v>1805</v>
      </c>
      <c r="BA17" s="183" t="s">
        <v>1806</v>
      </c>
      <c r="BB17" s="183" t="s">
        <v>1807</v>
      </c>
      <c r="BC17" s="183" t="s">
        <v>1808</v>
      </c>
      <c r="BD17" s="183" t="s">
        <v>1809</v>
      </c>
      <c r="BE17" s="183" t="s">
        <v>1810</v>
      </c>
      <c r="BF17" s="183" t="s">
        <v>1811</v>
      </c>
      <c r="BG17" s="183" t="s">
        <v>1833</v>
      </c>
      <c r="BH17" s="183" t="s">
        <v>1835</v>
      </c>
      <c r="BI17" s="183" t="s">
        <v>1812</v>
      </c>
      <c r="BJ17" s="183" t="s">
        <v>1813</v>
      </c>
      <c r="BK17" s="183" t="s">
        <v>62</v>
      </c>
      <c r="BL17" s="183" t="s">
        <v>71</v>
      </c>
      <c r="BM17" s="183" t="s">
        <v>1845</v>
      </c>
      <c r="BN17" s="183" t="s">
        <v>1814</v>
      </c>
      <c r="BO17" s="183" t="s">
        <v>1815</v>
      </c>
      <c r="BP17" s="183" t="s">
        <v>1816</v>
      </c>
      <c r="BQ17" s="183" t="s">
        <v>1817</v>
      </c>
      <c r="BR17" s="183" t="s">
        <v>1818</v>
      </c>
      <c r="BS17" s="183" t="s">
        <v>1819</v>
      </c>
      <c r="BT17" s="183" t="s">
        <v>1848</v>
      </c>
      <c r="BU17" s="183" t="s">
        <v>1855</v>
      </c>
      <c r="BV17" s="183" t="s">
        <v>1820</v>
      </c>
      <c r="BW17" s="183" t="s">
        <v>1821</v>
      </c>
      <c r="BX17" s="183" t="s">
        <v>1822</v>
      </c>
      <c r="BY17" s="183" t="s">
        <v>1823</v>
      </c>
      <c r="BZ17" s="183" t="s">
        <v>2416</v>
      </c>
      <c r="CA17" s="183" t="s">
        <v>1824</v>
      </c>
      <c r="CB17" s="183" t="s">
        <v>1825</v>
      </c>
      <c r="CC17" s="183" t="s">
        <v>1826</v>
      </c>
      <c r="CD17" s="183" t="s">
        <v>1827</v>
      </c>
      <c r="CE17" s="183" t="s">
        <v>1828</v>
      </c>
      <c r="CF17" s="183" t="s">
        <v>1829</v>
      </c>
      <c r="CG17" s="183" t="s">
        <v>1830</v>
      </c>
      <c r="CH17" s="183" t="s">
        <v>1831</v>
      </c>
      <c r="CI17" s="183" t="s">
        <v>2422</v>
      </c>
      <c r="CJ17" s="183" t="s">
        <v>2425</v>
      </c>
      <c r="CK17" s="183" t="s">
        <v>2427</v>
      </c>
      <c r="CL17" s="183" t="s">
        <v>2431</v>
      </c>
      <c r="CM17" s="183" t="s">
        <v>845</v>
      </c>
      <c r="CN17" s="183" t="s">
        <v>1847</v>
      </c>
      <c r="CO17" s="183" t="s">
        <v>1854</v>
      </c>
      <c r="CP17" s="183" t="s">
        <v>2421</v>
      </c>
      <c r="CQ17" s="183" t="s">
        <v>2424</v>
      </c>
      <c r="CR17" s="183" t="s">
        <v>3005</v>
      </c>
      <c r="CS17" s="185"/>
      <c r="CT17" s="185"/>
      <c r="CU17" s="185"/>
      <c r="CV17" s="185"/>
      <c r="CW17" s="185"/>
      <c r="CX17" s="185"/>
      <c r="CY17" s="185"/>
      <c r="CZ17" s="185"/>
      <c r="DA17" s="185"/>
      <c r="DB17" s="185"/>
      <c r="DC17" s="185"/>
      <c r="DD17" s="185"/>
      <c r="DE17" s="185"/>
      <c r="DF17" s="472"/>
      <c r="DG17" s="472"/>
      <c r="DH17" s="472"/>
      <c r="DI17" s="472"/>
      <c r="DJ17" s="472"/>
      <c r="DK17" s="472"/>
      <c r="DL17" s="472"/>
      <c r="DM17" s="472"/>
      <c r="DN17" s="472"/>
      <c r="DO17" s="472"/>
      <c r="DP17" s="472" t="s">
        <v>1802</v>
      </c>
      <c r="DQ17" s="472" t="s">
        <v>1803</v>
      </c>
      <c r="DR17" s="472" t="s">
        <v>1804</v>
      </c>
      <c r="DS17" s="472" t="s">
        <v>1805</v>
      </c>
      <c r="DT17" s="472" t="s">
        <v>1807</v>
      </c>
      <c r="DU17" s="472" t="s">
        <v>1808</v>
      </c>
      <c r="DV17" s="472" t="s">
        <v>71</v>
      </c>
      <c r="DW17" s="472" t="s">
        <v>1845</v>
      </c>
      <c r="DX17" s="472" t="s">
        <v>1814</v>
      </c>
      <c r="DY17" s="472" t="s">
        <v>1815</v>
      </c>
      <c r="DZ17" s="472" t="s">
        <v>1817</v>
      </c>
      <c r="EA17" s="472" t="s">
        <v>1818</v>
      </c>
      <c r="EB17" s="472" t="s">
        <v>1824</v>
      </c>
      <c r="EC17" s="472" t="s">
        <v>1825</v>
      </c>
      <c r="ED17" s="472" t="s">
        <v>1826</v>
      </c>
      <c r="EE17" s="472" t="s">
        <v>1827</v>
      </c>
      <c r="EF17" s="472" t="s">
        <v>1829</v>
      </c>
      <c r="EG17" s="472" t="s">
        <v>1830</v>
      </c>
      <c r="EH17" s="183"/>
      <c r="EI17" s="183"/>
      <c r="EJ17" s="472"/>
      <c r="EK17" s="472"/>
      <c r="EL17" s="472"/>
      <c r="EM17" s="472"/>
      <c r="EN17" s="472"/>
      <c r="EO17" s="472"/>
      <c r="EP17" s="472"/>
      <c r="EQ17" s="472"/>
      <c r="ER17" s="183"/>
      <c r="ES17" s="183"/>
      <c r="ET17" s="183"/>
      <c r="EU17" s="183"/>
      <c r="EV17" s="183"/>
    </row>
    <row r="18" spans="1:152" ht="24" customHeight="1">
      <c r="A18" s="181"/>
      <c r="B18" s="181"/>
      <c r="C18" s="181"/>
      <c r="E18" s="192"/>
      <c r="F18" s="927" t="s">
        <v>3141</v>
      </c>
      <c r="G18" s="581" t="s">
        <v>778</v>
      </c>
      <c r="H18" s="583" t="s">
        <v>1768</v>
      </c>
      <c r="I18" s="129"/>
      <c r="J18" s="177"/>
      <c r="K18" s="129"/>
      <c r="L18" s="129"/>
      <c r="M18" s="129"/>
      <c r="N18" s="129"/>
      <c r="O18" s="129"/>
      <c r="P18" s="129"/>
      <c r="Q18" s="129"/>
      <c r="R18" s="129"/>
      <c r="S18" s="129"/>
      <c r="T18" s="129"/>
      <c r="U18" s="129"/>
      <c r="V18" s="129"/>
      <c r="W18" s="129"/>
      <c r="X18" s="129"/>
      <c r="Y18" s="398">
        <f>IF((AG18+AQ18)&gt;0,SUMIF($H21:$H22,$H$18,$EH21:$EH22)/(AG18+AQ18),0)</f>
        <v>0</v>
      </c>
      <c r="Z18" s="398">
        <f>IF((AG18+AQ18)&gt;0,SUMIF($H21:$H22,$H$18,$EI21:$EI22)/(AG18+AQ18),0)</f>
        <v>0</v>
      </c>
      <c r="AA18" s="117"/>
      <c r="AB18" s="117"/>
      <c r="AC18" s="271">
        <f>IF($AG18&gt;0,(AR18*AV18+BG18*BK18+BV18*BZ18+AW18*BA18+BL18*BP18+CA18*CE18)/$AG18,0)</f>
        <v>0</v>
      </c>
      <c r="AD18" s="271">
        <f>IF($AG18&gt;0,(AS18*AV18+BH18*BK18+BW18*BZ18+AX18*BA18+BM18*BP18+CB18*CE18)/$AG18,0)</f>
        <v>0</v>
      </c>
      <c r="AE18" s="398">
        <f>IF($AG18&gt;0,(AR18*AV18+BG18*BK18+BV18*BZ18+AW18*BA18+BL18*BP18+CA18*CE18-AH18*$AG18)/$AG18,0)</f>
        <v>0</v>
      </c>
      <c r="AF18" s="398">
        <f>IF($AG18&gt;0,(AS18*AV18+BH18*BK18+BW18*BZ18+AX18*BA18+BM18*BP18+CB18*CE18-AI18*$AG18)/$AG18,0)</f>
        <v>0</v>
      </c>
      <c r="AG18" s="271">
        <f>SUMIF($H21:$H22,$H$18,AG21:AG22)</f>
        <v>0</v>
      </c>
      <c r="AH18" s="271">
        <f>IF($AG18&gt;0,SUMIF($H21:$H22,$H$18,DF21:DF22)/$AG18,0)</f>
        <v>0</v>
      </c>
      <c r="AI18" s="271">
        <f>IF($AG18&gt;0,SUMIF($H21:$H22,$H$18,DG21:DG22)/$AG18,0)</f>
        <v>0</v>
      </c>
      <c r="AJ18" s="117"/>
      <c r="AK18" s="117"/>
      <c r="AL18" s="117"/>
      <c r="AM18" s="271">
        <f>IF($AQ18&gt;0,SUMIF($H21:$H22,$H$18,DH21:DH22)/$AQ18,0)</f>
        <v>0</v>
      </c>
      <c r="AN18" s="271">
        <f>IF($AQ18&gt;0,SUMIF($H21:$H22,$H$18,DI21:DI22)/$AQ18,0)</f>
        <v>0</v>
      </c>
      <c r="AO18" s="271">
        <f>IF($AQ18&gt;0,SUMIF($H21:$H22,$H$18,EJ21:EJ22)/$AQ18,0)</f>
        <v>0</v>
      </c>
      <c r="AP18" s="271">
        <f>IF($AQ18&gt;0,SUMIF($H21:$H22,$H$18,EK21:EK22)/$AQ18,0)</f>
        <v>0</v>
      </c>
      <c r="AQ18" s="271">
        <f>SUMIF($H21:$H22,$H$18,AQ21:AQ22)</f>
        <v>0</v>
      </c>
      <c r="AR18" s="271">
        <f>IF($AV18&gt;0,SUMIF($H21:$H22,$H$18,DJ21:DJ22)/$AV18,0)</f>
        <v>0</v>
      </c>
      <c r="AS18" s="271">
        <f>IF($AV18&gt;0,SUMIF($H21:$H22,$H$18,DK21:DK22)/$AV18,0)</f>
        <v>0</v>
      </c>
      <c r="AT18" s="271">
        <f>IF($AV18&gt;0,SUMIF($H21:$H22,$H$18,EL21:EL22)/$AV18,0)</f>
        <v>0</v>
      </c>
      <c r="AU18" s="271">
        <f>IF($AV18&gt;0,SUMIF($H21:$H22,$H$18,EM21:EM22)/$AV18,0)</f>
        <v>0</v>
      </c>
      <c r="AV18" s="271">
        <f>SUMIF($H21:$H22,$H$18,AV21:AV22)</f>
        <v>0</v>
      </c>
      <c r="AW18" s="271">
        <f>IF(BA18&gt;0,INDEX($DP$18:$EG$18,MATCH(AW17,$DP17:$EG$17))/BA18,0)</f>
        <v>0</v>
      </c>
      <c r="AX18" s="271">
        <f>IF(BA18&gt;0,INDEX($DP$18:$EG$18,MATCH(AX17,$DP17:$EG$17))/BA18,0)</f>
        <v>0</v>
      </c>
      <c r="AY18" s="271">
        <f>IF(BA18&gt;0,INDEX($DP$18:$EG$18,MATCH(AY17,$DP17:$EG$17))/BA18,0)</f>
        <v>0</v>
      </c>
      <c r="AZ18" s="271">
        <f>IF(BA18&gt;0,INDEX($DP$18:$EG$18,MATCH(AZ17,$DP17:$EG$17))/BA18,0)</f>
        <v>0</v>
      </c>
      <c r="BA18" s="271">
        <f t="array" ref="BA18">SUM(($H21:$H22=$H$18)*($AR21:$AR22="")*BA21:BA22)</f>
        <v>0</v>
      </c>
      <c r="BB18" s="271">
        <f>IF(BD18&gt;0,INDEX($DP$18:$EG$18,MATCH(BB17,$DP17:$EG$17))/BD18,0)</f>
        <v>0</v>
      </c>
      <c r="BC18" s="271">
        <f>IF(BD18&gt;0,INDEX($DP$18:$EG$18,MATCH(BC17,$DP17:$EG$17))/BD18,0)</f>
        <v>0</v>
      </c>
      <c r="BD18" s="271">
        <f t="array" ref="BD18">SUM(($H21:$H22=$H$18)*($AR21:$AR22="")*BD21:BD22)</f>
        <v>0</v>
      </c>
      <c r="BE18" s="271">
        <f>SUMIF($H21:$H22,$H$18,BE21:BE22)</f>
        <v>0</v>
      </c>
      <c r="BF18" s="117"/>
      <c r="BG18" s="271">
        <f>IF($BK18&gt;0,SUMIF($H21:$H22,$H$18,DL21:DL22)/$BK18,0)</f>
        <v>0</v>
      </c>
      <c r="BH18" s="271">
        <f>IF($BK18&gt;0,SUMIF($H21:$H22,$H$18,DM21:DM22)/$BK18,0)</f>
        <v>0</v>
      </c>
      <c r="BI18" s="271">
        <f>IF($BK18&gt;0,SUMIF($H21:$H22,$H$18,EN21:EN22)/$BK18,0)</f>
        <v>0</v>
      </c>
      <c r="BJ18" s="271">
        <f>IF($BK18&gt;0,SUMIF($H21:$H22,$H$18,EO21:EO22)/$BK18,0)</f>
        <v>0</v>
      </c>
      <c r="BK18" s="271">
        <f>SUMIF($H21:$H22,$H$18,BK21:BK22)</f>
        <v>0</v>
      </c>
      <c r="BL18" s="271">
        <f>IF(BP18&gt;0,INDEX($DP$18:$EG$18,MATCH(BL17,$DP17:$EG$17))/BP18,0)</f>
        <v>0</v>
      </c>
      <c r="BM18" s="271">
        <f>IF(BP18&gt;0,INDEX($DP$18:$EG$18,MATCH(BM17,$DP17:$EG$17))/BP18,0)</f>
        <v>0</v>
      </c>
      <c r="BN18" s="271">
        <f>IF(BP18&gt;0,INDEX($DP$18:$EG$18,MATCH(BN17,$DP17:$EG$17))/BP18,0)</f>
        <v>0</v>
      </c>
      <c r="BO18" s="271">
        <f>IF(BP18&gt;0,INDEX($DP$18:$EG$18,MATCH(BO17,$DP17:$EG$17))/BP18,0)</f>
        <v>0</v>
      </c>
      <c r="BP18" s="271">
        <f t="array" ref="BP18">SUM(($H21:$H22=$H$18)*($AR21:$AR22="")*BP21:BP22)</f>
        <v>0</v>
      </c>
      <c r="BQ18" s="271">
        <f>IF(BS18&gt;0,INDEX($DP$18:$EG$18,MATCH(BQ17,$DP17:$EG$17))/BS18,0)</f>
        <v>0</v>
      </c>
      <c r="BR18" s="271">
        <f>IF(BS18&gt;0,INDEX($DP$18:$EG$18,MATCH(BR17,$DP17:$EG$17))/BS18,0)</f>
        <v>0</v>
      </c>
      <c r="BS18" s="271">
        <f t="array" ref="BS18">SUM(($H21:$H22=$H$18)*($AR21:$AR22="")*BS21:BS22)</f>
        <v>0</v>
      </c>
      <c r="BT18" s="271">
        <f>SUMIF($H21:$H22,$H$18,BT21:BT22)</f>
        <v>0</v>
      </c>
      <c r="BU18" s="117"/>
      <c r="BV18" s="271">
        <f>IF($BZ18&gt;0,SUMIF($H21:$H22,$H$18,DN21:DN22)/$BZ18,0)</f>
        <v>0</v>
      </c>
      <c r="BW18" s="271">
        <f>IF($BZ18&gt;0,SUMIF($H21:$H22,$H$18,DO21:DO22)/$BZ18,0)</f>
        <v>0</v>
      </c>
      <c r="BX18" s="271">
        <f>IF($BZ18&gt;0,SUMIF($H21:$H22,$H$18,EP21:EP22)/$BZ18,0)</f>
        <v>0</v>
      </c>
      <c r="BY18" s="271">
        <f>IF($BZ18&gt;0,SUMIF($H21:$H22,$H$18,EQ21:EQ22)/$BZ18,0)</f>
        <v>0</v>
      </c>
      <c r="BZ18" s="271">
        <f>SUMIF($H21:$H22,$H$18,BZ21:BZ22)</f>
        <v>0</v>
      </c>
      <c r="CA18" s="271">
        <f>IF(CE18&gt;0,INDEX($DP$18:$EG$18,MATCH(CA17,$DP17:$EG$17))/CE18,0)</f>
        <v>0</v>
      </c>
      <c r="CB18" s="271">
        <f>IF(CE18&gt;0,INDEX($DP$18:$EG$18,MATCH(CB17,$DP17:$EG$17))/CE18,0)</f>
        <v>0</v>
      </c>
      <c r="CC18" s="271">
        <f>IF(CE18&gt;0,INDEX($DP$18:$EG$18,MATCH(CC17,$DP17:$EG$17))/CE18,0)</f>
        <v>0</v>
      </c>
      <c r="CD18" s="271">
        <f>IF(CE18&gt;0,INDEX($DP$18:$EG$18,MATCH(CD17,$DP17:$EG$17))/CE18,0)</f>
        <v>0</v>
      </c>
      <c r="CE18" s="271">
        <f t="array" ref="CE18">SUM(($H21:$H22=$H$18)*($AR21:$AR22="")*CE21:CE22)</f>
        <v>0</v>
      </c>
      <c r="CF18" s="271">
        <f>IF(CH18&gt;0,INDEX($DP$18:$EG$18,MATCH(CF17,$DP17:$EG$17))/CH18,0)</f>
        <v>0</v>
      </c>
      <c r="CG18" s="271">
        <f>IF(CH18&gt;0,INDEX($DP$18:$EG$18,MATCH(CG17,$DP17:$EG$17))/CH18,0)</f>
        <v>0</v>
      </c>
      <c r="CH18" s="271">
        <f t="array" ref="CH18">SUM(($H21:$H22=$H$18)*($AR21:$AR22="")*CH21:CH22)</f>
        <v>0</v>
      </c>
      <c r="CI18" s="271">
        <f>SUMIF($H21:$H22,$H$18,CI21:CI22)</f>
        <v>0</v>
      </c>
      <c r="CJ18" s="117"/>
      <c r="CK18" s="271">
        <f>SUMIF($H21:$H22,$H$18,CK21:CK22)</f>
        <v>0</v>
      </c>
      <c r="CL18" s="117"/>
      <c r="CM18" s="271">
        <f>SUMIF($H21:$H22,$H$18,CM21:CM22)</f>
        <v>0</v>
      </c>
      <c r="CN18" s="271">
        <f>SUMIF($H21:$H22,$H$18,CN21:CN22)</f>
        <v>0</v>
      </c>
      <c r="CO18" s="271">
        <f>SUMIF($H21:$H22,$H$18,CO21:CO22)</f>
        <v>0</v>
      </c>
      <c r="CP18" s="271">
        <f>SUMIF($H21:$H22,$H$18,CP21:CP22)</f>
        <v>0</v>
      </c>
      <c r="CQ18" s="271">
        <f>SUMIF($H21:$H22,$H$18,CQ21:CQ22)</f>
        <v>0</v>
      </c>
      <c r="CR18" s="194"/>
      <c r="CS18" s="185"/>
      <c r="CT18" s="185"/>
      <c r="CU18" s="185"/>
      <c r="CV18" s="185"/>
      <c r="CW18" s="185"/>
      <c r="CX18" s="185"/>
      <c r="CY18" s="185"/>
      <c r="CZ18" s="185"/>
      <c r="DA18" s="185"/>
      <c r="DB18" s="185"/>
      <c r="DC18" s="185"/>
      <c r="DD18" s="185"/>
      <c r="DE18" s="185"/>
      <c r="DP18" s="480">
        <f t="shared" ref="DP18:EG18" si="0">SUMIF($H21:$H22,$H18,DP21:DP22)</f>
        <v>0</v>
      </c>
      <c r="DQ18" s="480">
        <f t="shared" si="0"/>
        <v>0</v>
      </c>
      <c r="DR18" s="480">
        <f t="shared" si="0"/>
        <v>0</v>
      </c>
      <c r="DS18" s="480">
        <f t="shared" si="0"/>
        <v>0</v>
      </c>
      <c r="DT18" s="480">
        <f t="shared" si="0"/>
        <v>0</v>
      </c>
      <c r="DU18" s="480">
        <f t="shared" si="0"/>
        <v>0</v>
      </c>
      <c r="DV18" s="480">
        <f t="shared" si="0"/>
        <v>0</v>
      </c>
      <c r="DW18" s="480">
        <f t="shared" si="0"/>
        <v>0</v>
      </c>
      <c r="DX18" s="480">
        <f t="shared" si="0"/>
        <v>0</v>
      </c>
      <c r="DY18" s="480">
        <f t="shared" si="0"/>
        <v>0</v>
      </c>
      <c r="DZ18" s="480">
        <f t="shared" si="0"/>
        <v>0</v>
      </c>
      <c r="EA18" s="480">
        <f t="shared" si="0"/>
        <v>0</v>
      </c>
      <c r="EB18" s="480">
        <f t="shared" si="0"/>
        <v>0</v>
      </c>
      <c r="EC18" s="480">
        <f t="shared" si="0"/>
        <v>0</v>
      </c>
      <c r="ED18" s="480">
        <f t="shared" si="0"/>
        <v>0</v>
      </c>
      <c r="EE18" s="480">
        <f t="shared" si="0"/>
        <v>0</v>
      </c>
      <c r="EF18" s="480">
        <f t="shared" si="0"/>
        <v>0</v>
      </c>
      <c r="EG18" s="480">
        <f t="shared" si="0"/>
        <v>0</v>
      </c>
      <c r="EH18" s="162"/>
      <c r="EI18" s="162"/>
      <c r="EJ18" s="162"/>
      <c r="EK18" s="162"/>
      <c r="EL18" s="162"/>
      <c r="EM18" s="162"/>
      <c r="EN18" s="162"/>
      <c r="EO18" s="162"/>
      <c r="EP18" s="162"/>
      <c r="EQ18" s="162"/>
      <c r="ER18" s="162"/>
      <c r="ES18" s="162"/>
    </row>
    <row r="19" spans="1:152" ht="0.75" customHeight="1">
      <c r="A19" s="181"/>
      <c r="B19" s="181"/>
      <c r="C19" s="181"/>
      <c r="E19" s="192"/>
      <c r="F19" s="928"/>
      <c r="G19" s="576"/>
      <c r="H19" s="583"/>
      <c r="I19" s="129"/>
      <c r="J19" s="576"/>
      <c r="K19" s="577"/>
      <c r="L19" s="577"/>
      <c r="M19" s="577"/>
      <c r="N19" s="577"/>
      <c r="O19" s="577"/>
      <c r="P19" s="577"/>
      <c r="Q19" s="577"/>
      <c r="R19" s="577"/>
      <c r="S19" s="577"/>
      <c r="T19" s="577"/>
      <c r="U19" s="577"/>
      <c r="V19" s="577"/>
      <c r="W19" s="577"/>
      <c r="X19" s="577"/>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582"/>
      <c r="CS19" s="185"/>
      <c r="CT19" s="185"/>
      <c r="CU19" s="185"/>
      <c r="CV19" s="185"/>
      <c r="CW19" s="185"/>
      <c r="CX19" s="185"/>
      <c r="CY19" s="185"/>
      <c r="CZ19" s="185"/>
      <c r="DA19" s="185"/>
      <c r="DB19" s="185"/>
      <c r="DC19" s="185"/>
      <c r="DD19" s="185"/>
      <c r="DE19" s="185"/>
      <c r="DP19" s="78"/>
      <c r="DQ19" s="78"/>
      <c r="DR19" s="78"/>
      <c r="DS19" s="78"/>
      <c r="DT19" s="78"/>
      <c r="DU19" s="78"/>
      <c r="DV19" s="78"/>
      <c r="DW19" s="78"/>
      <c r="DX19" s="78"/>
      <c r="DY19" s="78"/>
      <c r="DZ19" s="78"/>
      <c r="EA19" s="78"/>
      <c r="EB19" s="78"/>
      <c r="EC19" s="78"/>
      <c r="ED19" s="78"/>
      <c r="EE19" s="78"/>
      <c r="EF19" s="78"/>
      <c r="EG19" s="78"/>
      <c r="EH19" s="162"/>
      <c r="EI19" s="162"/>
      <c r="EJ19" s="162"/>
      <c r="EK19" s="162"/>
      <c r="EL19" s="162"/>
      <c r="EM19" s="162"/>
      <c r="EN19" s="162"/>
      <c r="EO19" s="162"/>
      <c r="EP19" s="162"/>
      <c r="EQ19" s="162"/>
      <c r="ER19" s="162"/>
      <c r="ES19" s="162"/>
    </row>
    <row r="20" spans="1:152" ht="0.75" customHeight="1">
      <c r="A20" s="181"/>
      <c r="B20" s="181"/>
      <c r="C20" s="181"/>
      <c r="E20" s="192"/>
      <c r="F20" s="929"/>
      <c r="G20" s="576"/>
      <c r="H20" s="583"/>
      <c r="I20" s="129"/>
      <c r="J20" s="576"/>
      <c r="K20" s="577"/>
      <c r="L20" s="577"/>
      <c r="M20" s="577"/>
      <c r="N20" s="577"/>
      <c r="O20" s="577"/>
      <c r="P20" s="577"/>
      <c r="Q20" s="577"/>
      <c r="R20" s="577"/>
      <c r="S20" s="577"/>
      <c r="T20" s="577"/>
      <c r="U20" s="577"/>
      <c r="V20" s="577"/>
      <c r="W20" s="577"/>
      <c r="X20" s="577"/>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582"/>
      <c r="CS20" s="185"/>
      <c r="CT20" s="185"/>
      <c r="CU20" s="185"/>
      <c r="CV20" s="185"/>
      <c r="CW20" s="185"/>
      <c r="CX20" s="185"/>
      <c r="CY20" s="185"/>
      <c r="CZ20" s="185"/>
      <c r="DA20" s="185"/>
      <c r="DB20" s="185"/>
      <c r="DC20" s="185"/>
      <c r="DD20" s="185"/>
      <c r="DE20" s="185"/>
      <c r="DP20" s="78"/>
      <c r="DQ20" s="78"/>
      <c r="DR20" s="78"/>
      <c r="DS20" s="78"/>
      <c r="DT20" s="78"/>
      <c r="DU20" s="78"/>
      <c r="DV20" s="78"/>
      <c r="DW20" s="78"/>
      <c r="DX20" s="78"/>
      <c r="DY20" s="78"/>
      <c r="DZ20" s="78"/>
      <c r="EA20" s="78"/>
      <c r="EB20" s="78"/>
      <c r="EC20" s="78"/>
      <c r="ED20" s="78"/>
      <c r="EE20" s="78"/>
      <c r="EF20" s="78"/>
      <c r="EG20" s="78"/>
      <c r="EH20" s="162"/>
      <c r="EI20" s="162"/>
      <c r="EJ20" s="162"/>
      <c r="EK20" s="162"/>
      <c r="EL20" s="162"/>
      <c r="EM20" s="162"/>
      <c r="EN20" s="162"/>
      <c r="EO20" s="162"/>
      <c r="EP20" s="162"/>
      <c r="EQ20" s="162"/>
      <c r="ER20" s="162"/>
      <c r="ES20" s="162"/>
    </row>
    <row r="21" spans="1:152" ht="12" hidden="1" customHeight="1">
      <c r="A21" s="181"/>
      <c r="B21" s="181"/>
      <c r="C21" s="181"/>
      <c r="E21" s="192"/>
      <c r="F21" s="186">
        <v>0</v>
      </c>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96"/>
      <c r="CS21" s="185"/>
      <c r="CT21" s="185"/>
      <c r="CU21" s="185"/>
      <c r="CV21" s="185"/>
      <c r="CW21" s="185"/>
      <c r="CX21" s="185"/>
      <c r="CY21" s="185"/>
      <c r="CZ21" s="185"/>
      <c r="DA21" s="185"/>
      <c r="DB21" s="185"/>
      <c r="DC21" s="185"/>
      <c r="DD21" s="185"/>
      <c r="DE21" s="185"/>
      <c r="DP21" s="78"/>
      <c r="DQ21" s="78"/>
      <c r="DR21" s="78"/>
      <c r="DS21" s="78"/>
      <c r="DT21" s="78"/>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row>
    <row r="22" spans="1:152" ht="0.75" customHeight="1">
      <c r="A22" s="181"/>
      <c r="B22" s="181"/>
      <c r="C22" s="181"/>
      <c r="E22" s="192"/>
      <c r="F22" s="110"/>
      <c r="G22" s="111" t="s">
        <v>720</v>
      </c>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c r="CR22" s="113"/>
      <c r="CS22" s="185"/>
      <c r="CT22" s="185"/>
      <c r="CU22" s="185"/>
      <c r="CV22" s="185"/>
      <c r="CW22" s="185"/>
      <c r="CX22" s="185"/>
      <c r="CY22" s="185"/>
      <c r="CZ22" s="185"/>
      <c r="DA22" s="185"/>
      <c r="DB22" s="185"/>
      <c r="DC22" s="185"/>
      <c r="DD22" s="185"/>
      <c r="DE22" s="185"/>
      <c r="DP22" s="78"/>
      <c r="DQ22" s="78"/>
      <c r="DR22" s="78"/>
      <c r="DS22" s="78"/>
      <c r="DT22" s="78"/>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row>
    <row r="23" spans="1:152" s="162" customFormat="1" ht="12" customHeight="1">
      <c r="A23" s="181"/>
      <c r="B23" s="181"/>
      <c r="C23" s="181"/>
      <c r="D23" s="159"/>
      <c r="E23" s="192"/>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78"/>
      <c r="DG23" s="78"/>
      <c r="DH23" s="78"/>
      <c r="DI23" s="78"/>
      <c r="DJ23" s="78"/>
      <c r="DK23" s="78"/>
      <c r="DL23" s="78"/>
      <c r="DM23" s="78"/>
      <c r="DN23" s="78"/>
      <c r="DO23" s="78"/>
      <c r="DP23" s="78"/>
      <c r="DQ23" s="78"/>
      <c r="DR23" s="78"/>
      <c r="DS23" s="78"/>
      <c r="DT23" s="78"/>
    </row>
  </sheetData>
  <sheetProtection password="FA9C" sheet="1" objects="1" scenarios="1" formatColumns="0" formatRows="0"/>
  <mergeCells count="94">
    <mergeCell ref="ET16:EV16"/>
    <mergeCell ref="ER16:ES16"/>
    <mergeCell ref="CK13:CK16"/>
    <mergeCell ref="CL13:CL16"/>
    <mergeCell ref="CM13:CQ13"/>
    <mergeCell ref="CM14:CM16"/>
    <mergeCell ref="DP16:EG16"/>
    <mergeCell ref="CR13:CR16"/>
    <mergeCell ref="CP14:CP16"/>
    <mergeCell ref="CO14:CO16"/>
    <mergeCell ref="EJ16:EQ16"/>
    <mergeCell ref="EH16:EI16"/>
    <mergeCell ref="DF16:DO16"/>
    <mergeCell ref="CQ14:CQ16"/>
    <mergeCell ref="CN14:CN16"/>
    <mergeCell ref="CA14:CH14"/>
    <mergeCell ref="BV14:BW15"/>
    <mergeCell ref="AT14:AU15"/>
    <mergeCell ref="CI14:CI16"/>
    <mergeCell ref="BX14:BY15"/>
    <mergeCell ref="CF15:CG15"/>
    <mergeCell ref="CE15:CE16"/>
    <mergeCell ref="AM13:AQ13"/>
    <mergeCell ref="AQ14:AQ16"/>
    <mergeCell ref="AO14:AP15"/>
    <mergeCell ref="AL13:AL16"/>
    <mergeCell ref="AA13:AB15"/>
    <mergeCell ref="AJ13:AK15"/>
    <mergeCell ref="AH13:AI15"/>
    <mergeCell ref="AC13:AD15"/>
    <mergeCell ref="AE13:AF15"/>
    <mergeCell ref="AM14:AN15"/>
    <mergeCell ref="AG7:AG8"/>
    <mergeCell ref="AG13:AG16"/>
    <mergeCell ref="AC7:AD7"/>
    <mergeCell ref="AE7:AF7"/>
    <mergeCell ref="K13:M13"/>
    <mergeCell ref="O13:O16"/>
    <mergeCell ref="M14:M16"/>
    <mergeCell ref="P14:P16"/>
    <mergeCell ref="K14:K16"/>
    <mergeCell ref="R13:S13"/>
    <mergeCell ref="K12:X12"/>
    <mergeCell ref="U14:U16"/>
    <mergeCell ref="N13:N16"/>
    <mergeCell ref="P13:Q13"/>
    <mergeCell ref="F18:F20"/>
    <mergeCell ref="Y13:Z15"/>
    <mergeCell ref="Q14:Q16"/>
    <mergeCell ref="X13:X16"/>
    <mergeCell ref="V13:W13"/>
    <mergeCell ref="J13:J16"/>
    <mergeCell ref="F13:F16"/>
    <mergeCell ref="G13:G16"/>
    <mergeCell ref="H13:I16"/>
    <mergeCell ref="R14:R16"/>
    <mergeCell ref="L14:L16"/>
    <mergeCell ref="S14:S16"/>
    <mergeCell ref="V14:V16"/>
    <mergeCell ref="T13:U13"/>
    <mergeCell ref="T14:T16"/>
    <mergeCell ref="W14:W16"/>
    <mergeCell ref="AW7:AX7"/>
    <mergeCell ref="AY15:AZ15"/>
    <mergeCell ref="AV14:AV16"/>
    <mergeCell ref="BL7:BM7"/>
    <mergeCell ref="BG14:BH15"/>
    <mergeCell ref="BF14:BF16"/>
    <mergeCell ref="BE14:BE16"/>
    <mergeCell ref="BB15:BC15"/>
    <mergeCell ref="BD15:BD16"/>
    <mergeCell ref="AR13:BF13"/>
    <mergeCell ref="AR14:AS15"/>
    <mergeCell ref="BA15:BA16"/>
    <mergeCell ref="AW14:BD14"/>
    <mergeCell ref="AW15:AX15"/>
    <mergeCell ref="BK14:BK16"/>
    <mergeCell ref="BL14:BS14"/>
    <mergeCell ref="CA7:CB7"/>
    <mergeCell ref="BZ14:BZ16"/>
    <mergeCell ref="BN15:BO15"/>
    <mergeCell ref="CA15:CB15"/>
    <mergeCell ref="BG13:BU13"/>
    <mergeCell ref="BP15:BP16"/>
    <mergeCell ref="BU14:BU16"/>
    <mergeCell ref="BQ15:BR15"/>
    <mergeCell ref="BI14:BJ15"/>
    <mergeCell ref="BL15:BM15"/>
    <mergeCell ref="BT14:BT16"/>
    <mergeCell ref="BS15:BS16"/>
    <mergeCell ref="BV13:CJ13"/>
    <mergeCell ref="CJ14:CJ16"/>
    <mergeCell ref="CH15:CH16"/>
    <mergeCell ref="CC15:CD15"/>
  </mergeCells>
  <phoneticPr fontId="8" type="noConversion"/>
  <dataValidations count="2">
    <dataValidation allowBlank="1" showInputMessage="1" showErrorMessage="1" errorTitle="Ошибка" error="Допускается ввод ТОЛЬКО числовых значений!" sqref="AW9"/>
    <dataValidation allowBlank="1" showInputMessage="1" showErrorMessage="1" sqref="CM14:CP15"/>
  </dataValidations>
  <hyperlinks>
    <hyperlink ref="K10" location="'ТС.ТМ2 01.09 - 31.12'!A1" tooltip="Отобразить / Скрыть блок" display="-"/>
    <hyperlink ref="I8" location="'ТС.ТМ2 01.09 - 31.12'!A1" tooltip="Скрыть все детали" display="Скрыть все детали"/>
  </hyperlinks>
  <pageMargins left="0.37" right="0.35" top="1" bottom="1" header="0.5" footer="0.5"/>
  <pageSetup paperSize="9" scale="37" orientation="landscape" horizontalDpi="4294967292" verticalDpi="4294967292"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sheetPr codeName="modUpdTemplLogger">
    <tabColor indexed="24"/>
  </sheetPr>
  <dimension ref="A2:E20"/>
  <sheetViews>
    <sheetView showGridLines="0" topLeftCell="B1" workbookViewId="0"/>
  </sheetViews>
  <sheetFormatPr defaultColWidth="10.28515625" defaultRowHeight="11.25"/>
  <cols>
    <col min="1" max="1" width="4.85546875" style="4" hidden="1" customWidth="1"/>
    <col min="2" max="2" width="34.42578125" style="24" customWidth="1"/>
    <col min="3" max="3" width="90.7109375" style="5" customWidth="1"/>
    <col min="4" max="4" width="29.85546875" style="25" customWidth="1"/>
    <col min="5" max="16384" width="10.28515625" style="4"/>
  </cols>
  <sheetData>
    <row r="2" spans="1:5" ht="24" customHeight="1">
      <c r="A2" s="4" t="s">
        <v>685</v>
      </c>
      <c r="B2" s="704" t="s">
        <v>646</v>
      </c>
      <c r="C2" s="701" t="s">
        <v>647</v>
      </c>
      <c r="D2" s="705" t="s">
        <v>648</v>
      </c>
      <c r="E2" s="3"/>
    </row>
    <row r="3" spans="1:5">
      <c r="B3" s="24" t="s">
        <v>2868</v>
      </c>
      <c r="C3" s="5" t="s">
        <v>2869</v>
      </c>
      <c r="D3" s="25" t="s">
        <v>2870</v>
      </c>
    </row>
    <row r="4" spans="1:5">
      <c r="B4" s="24" t="s">
        <v>2871</v>
      </c>
      <c r="C4" s="5" t="s">
        <v>2872</v>
      </c>
      <c r="D4" s="25" t="s">
        <v>2870</v>
      </c>
    </row>
    <row r="5" spans="1:5">
      <c r="B5" s="24" t="s">
        <v>2378</v>
      </c>
      <c r="C5" s="5" t="s">
        <v>2869</v>
      </c>
      <c r="D5" s="25" t="s">
        <v>2870</v>
      </c>
    </row>
    <row r="6" spans="1:5">
      <c r="B6" s="24" t="s">
        <v>2379</v>
      </c>
      <c r="C6" s="5" t="s">
        <v>2872</v>
      </c>
      <c r="D6" s="25" t="s">
        <v>2870</v>
      </c>
    </row>
    <row r="7" spans="1:5">
      <c r="B7" s="24" t="s">
        <v>451</v>
      </c>
      <c r="C7" s="5" t="s">
        <v>2869</v>
      </c>
      <c r="D7" s="25" t="s">
        <v>2870</v>
      </c>
    </row>
    <row r="8" spans="1:5">
      <c r="B8" s="24" t="s">
        <v>452</v>
      </c>
      <c r="C8" s="5" t="s">
        <v>2872</v>
      </c>
      <c r="D8" s="25" t="s">
        <v>2870</v>
      </c>
    </row>
    <row r="9" spans="1:5">
      <c r="B9" s="24" t="s">
        <v>3253</v>
      </c>
      <c r="C9" s="5" t="s">
        <v>2869</v>
      </c>
      <c r="D9" s="25" t="s">
        <v>2870</v>
      </c>
    </row>
    <row r="10" spans="1:5">
      <c r="B10" s="24" t="s">
        <v>3254</v>
      </c>
      <c r="C10" s="5" t="s">
        <v>2872</v>
      </c>
      <c r="D10" s="25" t="s">
        <v>2870</v>
      </c>
    </row>
    <row r="11" spans="1:5">
      <c r="B11" s="24" t="s">
        <v>3270</v>
      </c>
      <c r="C11" s="5" t="s">
        <v>2869</v>
      </c>
      <c r="D11" s="25" t="s">
        <v>2870</v>
      </c>
    </row>
    <row r="12" spans="1:5">
      <c r="B12" s="24" t="s">
        <v>3271</v>
      </c>
      <c r="C12" s="5" t="s">
        <v>2872</v>
      </c>
      <c r="D12" s="25" t="s">
        <v>2870</v>
      </c>
    </row>
    <row r="13" spans="1:5">
      <c r="B13" s="24" t="s">
        <v>3272</v>
      </c>
      <c r="C13" s="5" t="s">
        <v>2869</v>
      </c>
      <c r="D13" s="25" t="s">
        <v>2870</v>
      </c>
    </row>
    <row r="14" spans="1:5">
      <c r="B14" s="24" t="s">
        <v>3273</v>
      </c>
      <c r="C14" s="5" t="s">
        <v>2872</v>
      </c>
      <c r="D14" s="25" t="s">
        <v>2870</v>
      </c>
    </row>
    <row r="15" spans="1:5">
      <c r="B15" s="24" t="s">
        <v>3274</v>
      </c>
      <c r="C15" s="5" t="s">
        <v>2869</v>
      </c>
      <c r="D15" s="25" t="s">
        <v>2870</v>
      </c>
    </row>
    <row r="16" spans="1:5">
      <c r="B16" s="24" t="s">
        <v>3275</v>
      </c>
      <c r="C16" s="5" t="s">
        <v>2872</v>
      </c>
      <c r="D16" s="25" t="s">
        <v>2870</v>
      </c>
    </row>
    <row r="17" spans="2:4">
      <c r="B17" s="24" t="s">
        <v>3278</v>
      </c>
      <c r="C17" s="5" t="s">
        <v>2869</v>
      </c>
      <c r="D17" s="25" t="s">
        <v>2870</v>
      </c>
    </row>
    <row r="18" spans="2:4">
      <c r="B18" s="24" t="s">
        <v>3279</v>
      </c>
      <c r="C18" s="5" t="s">
        <v>2872</v>
      </c>
      <c r="D18" s="25" t="s">
        <v>2870</v>
      </c>
    </row>
    <row r="19" spans="2:4">
      <c r="B19" s="24" t="s">
        <v>3280</v>
      </c>
      <c r="C19" s="5" t="s">
        <v>2869</v>
      </c>
      <c r="D19" s="25" t="s">
        <v>2870</v>
      </c>
    </row>
    <row r="20" spans="2:4">
      <c r="B20" s="24" t="s">
        <v>3281</v>
      </c>
      <c r="C20" s="5" t="s">
        <v>2872</v>
      </c>
      <c r="D20" s="25" t="s">
        <v>2870</v>
      </c>
    </row>
  </sheetData>
  <sheetProtection password="FA9C" sheet="1" objects="1" scenarios="1" formatColumns="0" formatRows="0" autoFilter="0"/>
  <phoneticPr fontId="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codeName="VSNA_BAL_PR">
    <tabColor indexed="31"/>
    <pageSetUpPr fitToPage="1"/>
  </sheetPr>
  <dimension ref="A1:BM141"/>
  <sheetViews>
    <sheetView showGridLines="0" topLeftCell="D118" workbookViewId="0">
      <pane xSplit="4" ySplit="9" topLeftCell="H127" activePane="bottomRight" state="frozen"/>
      <selection activeCell="D118" sqref="D118"/>
      <selection pane="topRight" activeCell="H118" sqref="H118"/>
      <selection pane="bottomLeft" activeCell="D127" sqref="D127"/>
      <selection pane="bottomRight"/>
    </sheetView>
  </sheetViews>
  <sheetFormatPr defaultRowHeight="18"/>
  <cols>
    <col min="1" max="1" width="5.7109375" style="39" hidden="1" customWidth="1"/>
    <col min="2" max="2" width="5.7109375" style="40" hidden="1" customWidth="1"/>
    <col min="3" max="3" width="5.7109375" style="39" hidden="1" customWidth="1"/>
    <col min="4" max="4" width="5.7109375" style="711" customWidth="1"/>
    <col min="5" max="5" width="4.7109375" style="41" hidden="1" customWidth="1"/>
    <col min="6" max="6" width="9.7109375" style="39" customWidth="1"/>
    <col min="7" max="7" width="40.7109375" style="39" customWidth="1"/>
    <col min="8" max="8" width="27.5703125" style="39" customWidth="1"/>
    <col min="9" max="9" width="0.140625" style="39" customWidth="1"/>
    <col min="10" max="10" width="17.5703125" style="39" customWidth="1"/>
    <col min="11" max="11" width="17.7109375" style="39" customWidth="1"/>
    <col min="12" max="12" width="13.7109375" style="39" customWidth="1"/>
    <col min="13" max="13" width="17.5703125" style="39" customWidth="1"/>
    <col min="14" max="14" width="19.140625" style="39" customWidth="1"/>
    <col min="15" max="16" width="17.7109375" style="39" customWidth="1"/>
    <col min="17" max="20" width="13.7109375" style="39" customWidth="1"/>
    <col min="21" max="21" width="15.7109375" style="39" customWidth="1"/>
    <col min="22" max="24" width="16.7109375" style="39" hidden="1" customWidth="1"/>
    <col min="25" max="25" width="16.5703125" style="39" hidden="1" customWidth="1"/>
    <col min="26" max="31" width="15.7109375" style="39" customWidth="1"/>
    <col min="32" max="52" width="2.7109375" customWidth="1"/>
    <col min="53" max="53" width="10.7109375" hidden="1" customWidth="1"/>
    <col min="54" max="57" width="2.7109375" customWidth="1"/>
    <col min="58" max="58" width="19.7109375" style="95" hidden="1" customWidth="1"/>
    <col min="59" max="60" width="8.7109375" style="114" customWidth="1"/>
    <col min="61" max="62" width="8.7109375" style="289" customWidth="1"/>
    <col min="63" max="63" width="9.140625" style="40"/>
    <col min="64" max="16384" width="9.140625" style="39"/>
  </cols>
  <sheetData>
    <row r="1" spans="1:63" ht="12" hidden="1" customHeight="1">
      <c r="A1" s="95"/>
      <c r="B1" s="910"/>
      <c r="C1" s="119" t="str">
        <f>B1 &amp; ".1"</f>
        <v>.1</v>
      </c>
      <c r="D1" s="714" t="s">
        <v>652</v>
      </c>
      <c r="E1" s="96"/>
      <c r="F1" s="835">
        <f>B1</f>
        <v>0</v>
      </c>
      <c r="G1" s="933"/>
      <c r="H1" s="336"/>
      <c r="I1" s="266"/>
      <c r="J1" s="266"/>
      <c r="K1" s="266"/>
      <c r="L1" s="266"/>
      <c r="M1" s="266"/>
      <c r="N1" s="266"/>
      <c r="O1" s="266"/>
      <c r="P1" s="266"/>
      <c r="Q1" s="266"/>
      <c r="R1" s="266"/>
      <c r="S1" s="266"/>
      <c r="T1" s="266"/>
      <c r="U1" s="266"/>
      <c r="V1" s="266"/>
      <c r="W1" s="266"/>
      <c r="X1" s="266"/>
      <c r="Y1" s="266"/>
      <c r="Z1" s="266"/>
      <c r="AA1" s="266"/>
      <c r="AB1" s="266"/>
      <c r="AC1" s="266"/>
      <c r="AD1" s="266"/>
      <c r="AE1" s="266"/>
      <c r="BF1" s="114" t="s">
        <v>344</v>
      </c>
      <c r="BG1" s="115"/>
      <c r="BH1" s="115"/>
      <c r="BI1" s="288"/>
      <c r="BJ1" s="288"/>
      <c r="BK1" s="159"/>
    </row>
    <row r="2" spans="1:63" ht="12" hidden="1" customHeight="1">
      <c r="A2" s="95"/>
      <c r="B2" s="910"/>
      <c r="C2" s="119" t="str">
        <f>B1 &amp; ".2"</f>
        <v>.2</v>
      </c>
      <c r="D2" s="714" t="s">
        <v>652</v>
      </c>
      <c r="E2" s="96"/>
      <c r="F2" s="935"/>
      <c r="G2" s="933"/>
      <c r="H2" s="336"/>
      <c r="I2" s="266"/>
      <c r="J2" s="266"/>
      <c r="K2" s="266"/>
      <c r="L2" s="266"/>
      <c r="M2" s="266"/>
      <c r="N2" s="266"/>
      <c r="O2" s="266"/>
      <c r="P2" s="266"/>
      <c r="Q2" s="266"/>
      <c r="R2" s="266"/>
      <c r="S2" s="266"/>
      <c r="T2" s="266"/>
      <c r="U2" s="266"/>
      <c r="V2" s="266"/>
      <c r="W2" s="266"/>
      <c r="X2" s="266"/>
      <c r="Y2" s="266"/>
      <c r="Z2" s="266"/>
      <c r="AA2" s="266"/>
      <c r="AB2" s="266"/>
      <c r="AC2" s="266"/>
      <c r="AD2" s="266"/>
      <c r="AE2" s="266"/>
      <c r="BF2" s="114" t="s">
        <v>345</v>
      </c>
      <c r="BG2" s="115"/>
      <c r="BH2" s="115"/>
      <c r="BI2" s="288"/>
      <c r="BJ2" s="288"/>
      <c r="BK2" s="159"/>
    </row>
    <row r="3" spans="1:63" ht="12" hidden="1" customHeight="1">
      <c r="A3" s="95"/>
      <c r="B3" s="910"/>
      <c r="C3" s="910"/>
      <c r="D3" s="707"/>
      <c r="E3" s="96"/>
      <c r="F3" s="106" t="str">
        <f>C1 &amp; ".0"</f>
        <v>.1.0</v>
      </c>
      <c r="G3" s="105" t="s">
        <v>721</v>
      </c>
      <c r="H3" s="105"/>
      <c r="I3" s="266"/>
      <c r="J3" s="266"/>
      <c r="K3" s="266"/>
      <c r="L3" s="266"/>
      <c r="M3" s="266"/>
      <c r="N3" s="266"/>
      <c r="O3" s="266"/>
      <c r="P3" s="266"/>
      <c r="Q3" s="266"/>
      <c r="R3" s="266"/>
      <c r="S3" s="266"/>
      <c r="T3" s="266"/>
      <c r="U3" s="266"/>
      <c r="V3" s="266"/>
      <c r="W3" s="266"/>
      <c r="X3" s="266"/>
      <c r="Y3" s="266"/>
      <c r="Z3" s="266"/>
      <c r="AA3" s="266"/>
      <c r="AB3" s="266"/>
      <c r="AC3" s="266"/>
      <c r="AD3" s="266"/>
      <c r="AE3" s="266"/>
      <c r="BF3" s="114" t="s">
        <v>334</v>
      </c>
      <c r="BG3" s="115"/>
      <c r="BH3" s="115"/>
      <c r="BI3" s="288"/>
      <c r="BJ3" s="288"/>
      <c r="BK3" s="159"/>
    </row>
    <row r="4" spans="1:63" ht="12" hidden="1" customHeight="1">
      <c r="A4" s="95"/>
      <c r="B4" s="910"/>
      <c r="C4" s="910"/>
      <c r="D4" s="707"/>
      <c r="E4" s="96"/>
      <c r="F4" s="106" t="str">
        <f>C1 &amp; ".1"</f>
        <v>.1.1</v>
      </c>
      <c r="G4" s="105" t="s">
        <v>722</v>
      </c>
      <c r="H4" s="105"/>
      <c r="I4" s="266"/>
      <c r="J4" s="266"/>
      <c r="K4" s="266"/>
      <c r="L4" s="266"/>
      <c r="M4" s="266"/>
      <c r="N4" s="266"/>
      <c r="O4" s="266"/>
      <c r="P4" s="266"/>
      <c r="Q4" s="266"/>
      <c r="R4" s="266"/>
      <c r="S4" s="266"/>
      <c r="T4" s="266"/>
      <c r="U4" s="266"/>
      <c r="V4" s="266"/>
      <c r="W4" s="266"/>
      <c r="X4" s="266"/>
      <c r="Y4" s="266"/>
      <c r="Z4" s="266"/>
      <c r="AA4" s="266"/>
      <c r="AB4" s="266"/>
      <c r="AC4" s="266"/>
      <c r="AD4" s="266"/>
      <c r="AE4" s="266"/>
      <c r="BF4" s="158" t="str">
        <f>C1 &amp; "-I"</f>
        <v>.1-I</v>
      </c>
      <c r="BG4" s="115"/>
      <c r="BH4" s="115"/>
      <c r="BI4" s="288"/>
      <c r="BJ4" s="288"/>
      <c r="BK4" s="159"/>
    </row>
    <row r="5" spans="1:63" ht="12" hidden="1" customHeight="1">
      <c r="A5" s="95"/>
      <c r="B5" s="910"/>
      <c r="C5" s="910"/>
      <c r="D5" s="707"/>
      <c r="E5" s="96"/>
      <c r="F5" s="106" t="str">
        <f>C1 &amp; ".2"</f>
        <v>.1.2</v>
      </c>
      <c r="G5" s="105" t="s">
        <v>723</v>
      </c>
      <c r="H5" s="105"/>
      <c r="I5" s="266"/>
      <c r="J5" s="266"/>
      <c r="K5" s="266"/>
      <c r="L5" s="266"/>
      <c r="M5" s="266"/>
      <c r="N5" s="266"/>
      <c r="O5" s="266"/>
      <c r="P5" s="266"/>
      <c r="Q5" s="266"/>
      <c r="R5" s="266"/>
      <c r="S5" s="266"/>
      <c r="T5" s="266"/>
      <c r="U5" s="266"/>
      <c r="V5" s="266"/>
      <c r="W5" s="266"/>
      <c r="X5" s="266"/>
      <c r="Y5" s="266"/>
      <c r="Z5" s="266"/>
      <c r="AA5" s="266"/>
      <c r="AB5" s="266"/>
      <c r="AC5" s="266"/>
      <c r="AD5" s="266"/>
      <c r="AE5" s="266"/>
      <c r="BF5" s="158" t="str">
        <f>C1 &amp; "-I"</f>
        <v>.1-I</v>
      </c>
      <c r="BG5" s="115"/>
      <c r="BH5" s="115"/>
      <c r="BI5" s="288"/>
      <c r="BJ5" s="288"/>
      <c r="BK5" s="159"/>
    </row>
    <row r="6" spans="1:63" ht="12" hidden="1" customHeight="1">
      <c r="A6" s="95"/>
      <c r="B6" s="910"/>
      <c r="C6" s="910"/>
      <c r="D6" s="707"/>
      <c r="E6" s="96"/>
      <c r="F6" s="106" t="str">
        <f>C1 &amp; ".3"</f>
        <v>.1.3</v>
      </c>
      <c r="G6" s="105" t="s">
        <v>724</v>
      </c>
      <c r="H6" s="105"/>
      <c r="I6" s="266"/>
      <c r="J6" s="266"/>
      <c r="K6" s="266"/>
      <c r="L6" s="266"/>
      <c r="M6" s="266"/>
      <c r="N6" s="266"/>
      <c r="O6" s="266"/>
      <c r="P6" s="266"/>
      <c r="Q6" s="266"/>
      <c r="R6" s="266"/>
      <c r="S6" s="266"/>
      <c r="T6" s="266"/>
      <c r="U6" s="266"/>
      <c r="V6" s="266"/>
      <c r="W6" s="266"/>
      <c r="X6" s="266"/>
      <c r="Y6" s="266"/>
      <c r="Z6" s="266"/>
      <c r="AA6" s="266"/>
      <c r="AB6" s="266"/>
      <c r="AC6" s="266"/>
      <c r="AD6" s="266"/>
      <c r="AE6" s="266"/>
      <c r="BF6" s="158" t="str">
        <f>C1 &amp; "-I"</f>
        <v>.1-I</v>
      </c>
      <c r="BG6" s="115"/>
      <c r="BH6" s="115"/>
      <c r="BI6" s="288"/>
      <c r="BJ6" s="288"/>
      <c r="BK6" s="159"/>
    </row>
    <row r="7" spans="1:63" ht="12" hidden="1" customHeight="1">
      <c r="A7" s="95"/>
      <c r="B7" s="910"/>
      <c r="C7" s="910"/>
      <c r="D7" s="707"/>
      <c r="E7" s="96"/>
      <c r="F7" s="106" t="str">
        <f>C1 &amp; ".4"</f>
        <v>.1.4</v>
      </c>
      <c r="G7" s="105" t="s">
        <v>725</v>
      </c>
      <c r="H7" s="105"/>
      <c r="I7" s="266"/>
      <c r="J7" s="266"/>
      <c r="K7" s="266"/>
      <c r="L7" s="266"/>
      <c r="M7" s="266"/>
      <c r="N7" s="266"/>
      <c r="O7" s="266"/>
      <c r="P7" s="266"/>
      <c r="Q7" s="266"/>
      <c r="R7" s="266"/>
      <c r="S7" s="266"/>
      <c r="T7" s="266"/>
      <c r="U7" s="266"/>
      <c r="V7" s="266"/>
      <c r="W7" s="266"/>
      <c r="X7" s="266"/>
      <c r="Y7" s="266"/>
      <c r="Z7" s="266"/>
      <c r="AA7" s="266"/>
      <c r="AB7" s="266"/>
      <c r="AC7" s="266"/>
      <c r="AD7" s="266"/>
      <c r="AE7" s="266"/>
      <c r="BF7" s="158" t="str">
        <f>C1 &amp; "-I"</f>
        <v>.1-I</v>
      </c>
      <c r="BG7" s="115"/>
      <c r="BH7" s="115"/>
      <c r="BI7" s="288"/>
      <c r="BJ7" s="288"/>
      <c r="BK7" s="159"/>
    </row>
    <row r="8" spans="1:63" ht="12" hidden="1" customHeight="1">
      <c r="A8" s="95"/>
      <c r="B8" s="910"/>
      <c r="C8" s="910"/>
      <c r="D8" s="707"/>
      <c r="E8" s="96"/>
      <c r="F8" s="106" t="str">
        <f>C1 &amp; ".5"</f>
        <v>.1.5</v>
      </c>
      <c r="G8" s="105" t="s">
        <v>726</v>
      </c>
      <c r="H8" s="105"/>
      <c r="I8" s="266"/>
      <c r="J8" s="266"/>
      <c r="K8" s="266"/>
      <c r="L8" s="266"/>
      <c r="M8" s="266"/>
      <c r="N8" s="266"/>
      <c r="O8" s="266"/>
      <c r="P8" s="266"/>
      <c r="Q8" s="266"/>
      <c r="R8" s="266"/>
      <c r="S8" s="266"/>
      <c r="T8" s="266"/>
      <c r="U8" s="266"/>
      <c r="V8" s="266"/>
      <c r="W8" s="266"/>
      <c r="X8" s="266"/>
      <c r="Y8" s="266"/>
      <c r="Z8" s="266"/>
      <c r="AA8" s="266"/>
      <c r="AB8" s="266"/>
      <c r="AC8" s="266"/>
      <c r="AD8" s="266"/>
      <c r="AE8" s="266"/>
      <c r="BF8" s="158" t="str">
        <f>C1 &amp; "-I"</f>
        <v>.1-I</v>
      </c>
      <c r="BG8" s="115"/>
      <c r="BH8" s="115"/>
      <c r="BI8" s="288"/>
      <c r="BJ8" s="288"/>
      <c r="BK8" s="159"/>
    </row>
    <row r="9" spans="1:63" ht="12" hidden="1" customHeight="1">
      <c r="A9" s="95"/>
      <c r="B9" s="910"/>
      <c r="C9" s="910"/>
      <c r="D9" s="707"/>
      <c r="E9" s="96"/>
      <c r="F9" s="106" t="str">
        <f>C1 &amp; ".6"</f>
        <v>.1.6</v>
      </c>
      <c r="G9" s="105" t="s">
        <v>727</v>
      </c>
      <c r="H9" s="105"/>
      <c r="I9" s="266"/>
      <c r="J9" s="266"/>
      <c r="K9" s="266"/>
      <c r="L9" s="266"/>
      <c r="M9" s="266"/>
      <c r="N9" s="266"/>
      <c r="O9" s="266"/>
      <c r="P9" s="266"/>
      <c r="Q9" s="266"/>
      <c r="R9" s="266"/>
      <c r="S9" s="266"/>
      <c r="T9" s="266"/>
      <c r="U9" s="266"/>
      <c r="V9" s="266"/>
      <c r="W9" s="266"/>
      <c r="X9" s="266"/>
      <c r="Y9" s="266"/>
      <c r="Z9" s="266"/>
      <c r="AA9" s="266"/>
      <c r="AB9" s="266"/>
      <c r="AC9" s="266"/>
      <c r="AD9" s="266"/>
      <c r="AE9" s="266"/>
      <c r="BF9" s="158" t="str">
        <f>C1 &amp; "-I"</f>
        <v>.1-I</v>
      </c>
      <c r="BG9" s="115"/>
      <c r="BH9" s="115"/>
      <c r="BI9" s="288"/>
      <c r="BJ9" s="288"/>
      <c r="BK9" s="159"/>
    </row>
    <row r="10" spans="1:63" ht="12" hidden="1" customHeight="1">
      <c r="A10" s="95"/>
      <c r="B10" s="910"/>
      <c r="C10" s="910"/>
      <c r="D10" s="707"/>
      <c r="E10" s="96"/>
      <c r="F10" s="106" t="str">
        <f>C1 &amp; ".7"</f>
        <v>.1.7</v>
      </c>
      <c r="G10" s="105" t="s">
        <v>728</v>
      </c>
      <c r="H10" s="105"/>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BF10" s="158" t="str">
        <f>C1 &amp; "-II"</f>
        <v>.1-II</v>
      </c>
      <c r="BG10" s="115"/>
      <c r="BH10" s="115"/>
      <c r="BI10" s="288"/>
      <c r="BJ10" s="288"/>
      <c r="BK10" s="159"/>
    </row>
    <row r="11" spans="1:63" ht="12" hidden="1" customHeight="1">
      <c r="A11" s="95"/>
      <c r="B11" s="910"/>
      <c r="C11" s="910"/>
      <c r="D11" s="707"/>
      <c r="E11" s="96"/>
      <c r="F11" s="106" t="str">
        <f>C1 &amp; ".8"</f>
        <v>.1.8</v>
      </c>
      <c r="G11" s="105" t="s">
        <v>729</v>
      </c>
      <c r="H11" s="105"/>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BF11" s="158" t="str">
        <f>C1 &amp; "-II"</f>
        <v>.1-II</v>
      </c>
      <c r="BG11" s="115"/>
      <c r="BH11" s="115"/>
      <c r="BI11" s="288"/>
      <c r="BJ11" s="288"/>
      <c r="BK11" s="159"/>
    </row>
    <row r="12" spans="1:63" ht="12" hidden="1" customHeight="1">
      <c r="A12" s="95"/>
      <c r="B12" s="910"/>
      <c r="C12" s="910"/>
      <c r="D12" s="707"/>
      <c r="E12" s="96"/>
      <c r="F12" s="106" t="str">
        <f>C1 &amp; ".9"</f>
        <v>.1.9</v>
      </c>
      <c r="G12" s="105" t="s">
        <v>730</v>
      </c>
      <c r="H12" s="105"/>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BF12" s="158" t="str">
        <f>C1 &amp; IF(TEMPLATE_CLAIM="P","-II","-III")</f>
        <v>.1-III</v>
      </c>
      <c r="BG12" s="115"/>
      <c r="BH12" s="115"/>
      <c r="BI12" s="288"/>
      <c r="BJ12" s="288"/>
      <c r="BK12" s="159"/>
    </row>
    <row r="13" spans="1:63" ht="12" hidden="1" customHeight="1">
      <c r="A13" s="95"/>
      <c r="B13" s="910"/>
      <c r="C13" s="910"/>
      <c r="D13" s="707"/>
      <c r="E13" s="96"/>
      <c r="F13" s="106" t="str">
        <f>C1 &amp; ".10"</f>
        <v>.1.10</v>
      </c>
      <c r="G13" s="105" t="s">
        <v>731</v>
      </c>
      <c r="H13" s="105"/>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BF13" s="158" t="str">
        <f>C1 &amp; IF(TEMPLATE_CLAIM="P","-II","-III")</f>
        <v>.1-III</v>
      </c>
      <c r="BG13" s="115"/>
      <c r="BH13" s="115"/>
      <c r="BI13" s="288"/>
      <c r="BJ13" s="288"/>
      <c r="BK13" s="159"/>
    </row>
    <row r="14" spans="1:63" ht="12" hidden="1" customHeight="1">
      <c r="A14" s="95"/>
      <c r="B14" s="910"/>
      <c r="C14" s="910"/>
      <c r="D14" s="707"/>
      <c r="E14" s="96"/>
      <c r="F14" s="106" t="str">
        <f>C1 &amp; ".11"</f>
        <v>.1.11</v>
      </c>
      <c r="G14" s="105" t="s">
        <v>732</v>
      </c>
      <c r="H14" s="105"/>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BF14" s="158" t="str">
        <f>C1 &amp; IF(TEMPLATE_CLAIM="P","-II","-III")</f>
        <v>.1-III</v>
      </c>
      <c r="BG14" s="115"/>
      <c r="BH14" s="115"/>
      <c r="BI14" s="288"/>
      <c r="BJ14" s="288"/>
      <c r="BK14" s="159"/>
    </row>
    <row r="15" spans="1:63" ht="12" hidden="1" customHeight="1">
      <c r="A15" s="95"/>
      <c r="B15" s="910"/>
      <c r="C15" s="910"/>
      <c r="D15" s="707"/>
      <c r="E15" s="96"/>
      <c r="F15" s="106" t="str">
        <f>C1 &amp; ".12"</f>
        <v>.1.12</v>
      </c>
      <c r="G15" s="105" t="s">
        <v>733</v>
      </c>
      <c r="H15" s="105"/>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BF15" s="158" t="str">
        <f>C1 &amp; IF(TEMPLATE_CLAIM="P","-II","-III")</f>
        <v>.1-III</v>
      </c>
      <c r="BG15" s="115"/>
      <c r="BH15" s="115"/>
      <c r="BI15" s="288"/>
      <c r="BJ15" s="288"/>
      <c r="BK15" s="159"/>
    </row>
    <row r="16" spans="1:63" ht="12" hidden="1" customHeight="1">
      <c r="A16" s="95"/>
      <c r="B16" s="910"/>
      <c r="C16" s="910"/>
      <c r="D16" s="707"/>
      <c r="E16" s="96"/>
      <c r="F16" s="106" t="str">
        <f>C2 &amp; ".0"</f>
        <v>.2.0</v>
      </c>
      <c r="G16" s="105" t="s">
        <v>721</v>
      </c>
      <c r="H16" s="105"/>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BF16" s="114" t="s">
        <v>335</v>
      </c>
      <c r="BG16" s="115"/>
      <c r="BH16" s="115"/>
      <c r="BI16" s="288"/>
      <c r="BJ16" s="288"/>
      <c r="BK16" s="159"/>
    </row>
    <row r="17" spans="1:63" ht="12" hidden="1" customHeight="1">
      <c r="A17" s="95"/>
      <c r="B17" s="910"/>
      <c r="C17" s="910"/>
      <c r="D17" s="707"/>
      <c r="E17" s="96"/>
      <c r="F17" s="106" t="str">
        <f>C2 &amp; ".1"</f>
        <v>.2.1</v>
      </c>
      <c r="G17" s="105" t="s">
        <v>722</v>
      </c>
      <c r="H17" s="105"/>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BF17" s="158" t="str">
        <f>C2 &amp; "-I"</f>
        <v>.2-I</v>
      </c>
      <c r="BG17" s="115"/>
      <c r="BH17" s="115"/>
      <c r="BI17" s="288"/>
      <c r="BJ17" s="288"/>
      <c r="BK17" s="159"/>
    </row>
    <row r="18" spans="1:63" ht="12" hidden="1" customHeight="1">
      <c r="A18" s="95"/>
      <c r="B18" s="910"/>
      <c r="C18" s="910"/>
      <c r="D18" s="707"/>
      <c r="E18" s="96"/>
      <c r="F18" s="106" t="str">
        <f>C2 &amp; ".2"</f>
        <v>.2.2</v>
      </c>
      <c r="G18" s="105" t="s">
        <v>723</v>
      </c>
      <c r="H18" s="105"/>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BF18" s="158" t="str">
        <f>C2 &amp; "-I"</f>
        <v>.2-I</v>
      </c>
      <c r="BG18" s="115"/>
      <c r="BH18" s="115"/>
      <c r="BI18" s="288"/>
      <c r="BJ18" s="288"/>
      <c r="BK18" s="159"/>
    </row>
    <row r="19" spans="1:63" ht="12" hidden="1" customHeight="1">
      <c r="A19" s="95"/>
      <c r="B19" s="910"/>
      <c r="C19" s="910"/>
      <c r="D19" s="707"/>
      <c r="E19" s="96"/>
      <c r="F19" s="106" t="str">
        <f>C2 &amp; ".3"</f>
        <v>.2.3</v>
      </c>
      <c r="G19" s="105" t="s">
        <v>724</v>
      </c>
      <c r="H19" s="105"/>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c r="BF19" s="158" t="str">
        <f>C2 &amp; "-I"</f>
        <v>.2-I</v>
      </c>
      <c r="BG19" s="115"/>
      <c r="BH19" s="115"/>
      <c r="BI19" s="288"/>
      <c r="BJ19" s="288"/>
      <c r="BK19" s="159"/>
    </row>
    <row r="20" spans="1:63" ht="12" hidden="1" customHeight="1">
      <c r="A20" s="95"/>
      <c r="B20" s="910"/>
      <c r="C20" s="910"/>
      <c r="D20" s="707"/>
      <c r="E20" s="96"/>
      <c r="F20" s="106" t="str">
        <f>C2 &amp; ".4"</f>
        <v>.2.4</v>
      </c>
      <c r="G20" s="105" t="s">
        <v>725</v>
      </c>
      <c r="H20" s="105"/>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BF20" s="158" t="str">
        <f>C2 &amp; "-I"</f>
        <v>.2-I</v>
      </c>
      <c r="BG20" s="115"/>
      <c r="BH20" s="115"/>
      <c r="BI20" s="288"/>
      <c r="BJ20" s="288"/>
      <c r="BK20" s="159"/>
    </row>
    <row r="21" spans="1:63" ht="12" hidden="1" customHeight="1">
      <c r="A21" s="95"/>
      <c r="B21" s="910"/>
      <c r="C21" s="910"/>
      <c r="D21" s="707"/>
      <c r="E21" s="96"/>
      <c r="F21" s="106" t="str">
        <f>C2 &amp; ".5"</f>
        <v>.2.5</v>
      </c>
      <c r="G21" s="105" t="s">
        <v>726</v>
      </c>
      <c r="H21" s="105"/>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BF21" s="158" t="str">
        <f>C2 &amp; "-I"</f>
        <v>.2-I</v>
      </c>
      <c r="BG21" s="115"/>
      <c r="BH21" s="115"/>
      <c r="BI21" s="288"/>
      <c r="BJ21" s="288"/>
      <c r="BK21" s="159"/>
    </row>
    <row r="22" spans="1:63" ht="12" hidden="1" customHeight="1">
      <c r="A22" s="95"/>
      <c r="B22" s="910"/>
      <c r="C22" s="910"/>
      <c r="D22" s="707"/>
      <c r="E22" s="96"/>
      <c r="F22" s="106" t="str">
        <f>C2 &amp; ".6"</f>
        <v>.2.6</v>
      </c>
      <c r="G22" s="105" t="s">
        <v>727</v>
      </c>
      <c r="H22" s="105"/>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BF22" s="158" t="str">
        <f>C2 &amp; "-I"</f>
        <v>.2-I</v>
      </c>
      <c r="BG22" s="115"/>
      <c r="BH22" s="115"/>
      <c r="BI22" s="288"/>
      <c r="BJ22" s="288"/>
      <c r="BK22" s="159"/>
    </row>
    <row r="23" spans="1:63" ht="12" hidden="1" customHeight="1">
      <c r="A23" s="95"/>
      <c r="B23" s="910"/>
      <c r="C23" s="910"/>
      <c r="D23" s="707"/>
      <c r="E23" s="96"/>
      <c r="F23" s="106" t="str">
        <f>C2 &amp; ".7"</f>
        <v>.2.7</v>
      </c>
      <c r="G23" s="105" t="s">
        <v>728</v>
      </c>
      <c r="H23" s="105"/>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BF23" s="158" t="str">
        <f>C2 &amp; "-II"</f>
        <v>.2-II</v>
      </c>
      <c r="BG23" s="115"/>
      <c r="BH23" s="115"/>
      <c r="BI23" s="288"/>
      <c r="BJ23" s="288"/>
      <c r="BK23" s="159"/>
    </row>
    <row r="24" spans="1:63" ht="12" hidden="1" customHeight="1">
      <c r="A24" s="95"/>
      <c r="B24" s="910"/>
      <c r="C24" s="910"/>
      <c r="D24" s="707"/>
      <c r="E24" s="96"/>
      <c r="F24" s="106" t="str">
        <f>C2 &amp; ".8"</f>
        <v>.2.8</v>
      </c>
      <c r="G24" s="105" t="s">
        <v>729</v>
      </c>
      <c r="H24" s="105"/>
      <c r="I24" s="266"/>
      <c r="J24" s="266"/>
      <c r="K24" s="266"/>
      <c r="L24" s="266"/>
      <c r="M24" s="266"/>
      <c r="N24" s="266"/>
      <c r="O24" s="266"/>
      <c r="P24" s="266"/>
      <c r="Q24" s="266"/>
      <c r="R24" s="266"/>
      <c r="S24" s="266"/>
      <c r="T24" s="266"/>
      <c r="U24" s="266"/>
      <c r="V24" s="266"/>
      <c r="W24" s="266"/>
      <c r="X24" s="266"/>
      <c r="Y24" s="266"/>
      <c r="Z24" s="266"/>
      <c r="AA24" s="266"/>
      <c r="AB24" s="266"/>
      <c r="AC24" s="266"/>
      <c r="AD24" s="266"/>
      <c r="AE24" s="266"/>
      <c r="BF24" s="158" t="str">
        <f>C2 &amp; "-II"</f>
        <v>.2-II</v>
      </c>
      <c r="BG24" s="115"/>
      <c r="BH24" s="115"/>
      <c r="BI24" s="288"/>
      <c r="BJ24" s="288"/>
      <c r="BK24" s="159"/>
    </row>
    <row r="25" spans="1:63" ht="12" hidden="1" customHeight="1">
      <c r="A25" s="95"/>
      <c r="B25" s="910"/>
      <c r="C25" s="910"/>
      <c r="D25" s="707"/>
      <c r="E25" s="96"/>
      <c r="F25" s="106" t="str">
        <f>C2 &amp; ".9"</f>
        <v>.2.9</v>
      </c>
      <c r="G25" s="105" t="s">
        <v>730</v>
      </c>
      <c r="H25" s="105"/>
      <c r="I25" s="266"/>
      <c r="J25" s="266"/>
      <c r="K25" s="266"/>
      <c r="L25" s="266"/>
      <c r="M25" s="266"/>
      <c r="N25" s="266"/>
      <c r="O25" s="266"/>
      <c r="P25" s="266"/>
      <c r="Q25" s="266"/>
      <c r="R25" s="266"/>
      <c r="S25" s="266"/>
      <c r="T25" s="266"/>
      <c r="U25" s="266"/>
      <c r="V25" s="266"/>
      <c r="W25" s="266"/>
      <c r="X25" s="266"/>
      <c r="Y25" s="266"/>
      <c r="Z25" s="266"/>
      <c r="AA25" s="266"/>
      <c r="AB25" s="266"/>
      <c r="AC25" s="266"/>
      <c r="AD25" s="266"/>
      <c r="AE25" s="266"/>
      <c r="BF25" s="158" t="str">
        <f>C2 &amp; IF(TEMPLATE_CLAIM="P","-II","-III")</f>
        <v>.2-III</v>
      </c>
      <c r="BG25" s="115"/>
      <c r="BH25" s="115"/>
      <c r="BI25" s="288"/>
      <c r="BJ25" s="288"/>
      <c r="BK25" s="159"/>
    </row>
    <row r="26" spans="1:63" ht="12" hidden="1" customHeight="1">
      <c r="A26" s="95"/>
      <c r="B26" s="910"/>
      <c r="C26" s="910"/>
      <c r="D26" s="707"/>
      <c r="E26" s="96"/>
      <c r="F26" s="106" t="str">
        <f>C2 &amp; ".10"</f>
        <v>.2.10</v>
      </c>
      <c r="G26" s="105" t="s">
        <v>731</v>
      </c>
      <c r="H26" s="105"/>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BF26" s="158" t="str">
        <f>C2 &amp; IF(TEMPLATE_CLAIM="P","-II","-III")</f>
        <v>.2-III</v>
      </c>
      <c r="BG26" s="115"/>
      <c r="BH26" s="115"/>
      <c r="BI26" s="288"/>
      <c r="BJ26" s="288"/>
      <c r="BK26" s="159"/>
    </row>
    <row r="27" spans="1:63" ht="12" hidden="1" customHeight="1">
      <c r="A27" s="95"/>
      <c r="B27" s="910"/>
      <c r="C27" s="910"/>
      <c r="D27" s="707"/>
      <c r="E27" s="96"/>
      <c r="F27" s="106" t="str">
        <f>C2 &amp; ".11"</f>
        <v>.2.11</v>
      </c>
      <c r="G27" s="105" t="s">
        <v>732</v>
      </c>
      <c r="H27" s="105"/>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c r="BF27" s="158" t="str">
        <f>C2 &amp; IF(TEMPLATE_CLAIM="P","-II","-III")</f>
        <v>.2-III</v>
      </c>
      <c r="BG27" s="115"/>
      <c r="BH27" s="115"/>
      <c r="BI27" s="288"/>
      <c r="BJ27" s="288"/>
      <c r="BK27" s="159"/>
    </row>
    <row r="28" spans="1:63" ht="12" hidden="1" customHeight="1">
      <c r="A28" s="95"/>
      <c r="B28" s="910"/>
      <c r="C28" s="910"/>
      <c r="D28" s="707"/>
      <c r="E28" s="96"/>
      <c r="F28" s="106" t="str">
        <f>C2 &amp; ".12"</f>
        <v>.2.12</v>
      </c>
      <c r="G28" s="105" t="s">
        <v>733</v>
      </c>
      <c r="H28" s="105"/>
      <c r="I28" s="266"/>
      <c r="J28" s="266"/>
      <c r="K28" s="266"/>
      <c r="L28" s="266"/>
      <c r="M28" s="266"/>
      <c r="N28" s="266"/>
      <c r="O28" s="266"/>
      <c r="P28" s="266"/>
      <c r="Q28" s="266"/>
      <c r="R28" s="266"/>
      <c r="S28" s="266"/>
      <c r="T28" s="266"/>
      <c r="U28" s="266"/>
      <c r="V28" s="266"/>
      <c r="W28" s="266"/>
      <c r="X28" s="266"/>
      <c r="Y28" s="266"/>
      <c r="Z28" s="266"/>
      <c r="AA28" s="266"/>
      <c r="AB28" s="266"/>
      <c r="AC28" s="266"/>
      <c r="AD28" s="266"/>
      <c r="AE28" s="266"/>
      <c r="BF28" s="158" t="str">
        <f>C2 &amp; IF(TEMPLATE_CLAIM="P","-II","-III")</f>
        <v>.2-III</v>
      </c>
      <c r="BG28" s="115"/>
      <c r="BH28" s="115"/>
      <c r="BI28" s="288"/>
      <c r="BJ28" s="288"/>
      <c r="BK28" s="159"/>
    </row>
    <row r="29" spans="1:63" ht="12" hidden="1" customHeight="1">
      <c r="A29" s="95"/>
      <c r="B29" s="910"/>
      <c r="C29" s="119" t="str">
        <f>B29 &amp; ".1"</f>
        <v>.1</v>
      </c>
      <c r="D29" s="714" t="s">
        <v>652</v>
      </c>
      <c r="E29" s="96"/>
      <c r="F29" s="835">
        <f>B29</f>
        <v>0</v>
      </c>
      <c r="G29" s="933"/>
      <c r="H29" s="336" t="s">
        <v>346</v>
      </c>
      <c r="I29" s="266"/>
      <c r="J29" s="694">
        <f>IF(TEMPLATE_CLAIM="P","",N29+K29-L29)</f>
        <v>0</v>
      </c>
      <c r="K29" s="274"/>
      <c r="L29" s="274"/>
      <c r="M29" s="274"/>
      <c r="N29" s="695">
        <f>IF(TEMPLATE_CLAIM="P","",P29+O29)</f>
        <v>0</v>
      </c>
      <c r="O29" s="274"/>
      <c r="P29" s="695">
        <f>IF(TEMPLATE_CLAIM="P","",Q29+U29+Z29)</f>
        <v>0</v>
      </c>
      <c r="Q29" s="691">
        <f>IF(TEMPLATE_CLAIM="P","",SUM(R29:T29))</f>
        <v>0</v>
      </c>
      <c r="R29" s="274"/>
      <c r="S29" s="274"/>
      <c r="T29" s="274"/>
      <c r="U29" s="691">
        <f>IF(TEMPLATE_CLAIM="P","",SUM(V29:Y29))</f>
        <v>0</v>
      </c>
      <c r="V29" s="692"/>
      <c r="W29" s="692"/>
      <c r="X29" s="692"/>
      <c r="Y29" s="692"/>
      <c r="Z29" s="691">
        <f>IF(TEMPLATE_CLAIM="P","",SUM(AA29:AC29))</f>
        <v>0</v>
      </c>
      <c r="AA29" s="274"/>
      <c r="AB29" s="274"/>
      <c r="AC29" s="274"/>
      <c r="AD29" s="274"/>
      <c r="AE29" s="274"/>
      <c r="BF29" s="114" t="s">
        <v>344</v>
      </c>
      <c r="BG29" s="115"/>
      <c r="BH29" s="115"/>
      <c r="BI29" s="288"/>
      <c r="BJ29" s="288"/>
      <c r="BK29" s="159"/>
    </row>
    <row r="30" spans="1:63" ht="12" hidden="1" customHeight="1">
      <c r="A30" s="95"/>
      <c r="B30" s="910"/>
      <c r="C30" s="119" t="str">
        <f>B29 &amp; ".2"</f>
        <v>.2</v>
      </c>
      <c r="D30" s="714" t="s">
        <v>652</v>
      </c>
      <c r="E30" s="96"/>
      <c r="F30" s="935"/>
      <c r="G30" s="933"/>
      <c r="H30" s="336"/>
      <c r="I30" s="266"/>
      <c r="J30" s="266"/>
      <c r="K30" s="266"/>
      <c r="L30" s="266"/>
      <c r="M30" s="266"/>
      <c r="N30" s="266"/>
      <c r="O30" s="266"/>
      <c r="P30" s="266"/>
      <c r="Q30" s="266"/>
      <c r="R30" s="266"/>
      <c r="S30" s="266"/>
      <c r="T30" s="266"/>
      <c r="U30" s="266"/>
      <c r="V30" s="266"/>
      <c r="W30" s="266"/>
      <c r="X30" s="266"/>
      <c r="Y30" s="266"/>
      <c r="Z30" s="266"/>
      <c r="AA30" s="266"/>
      <c r="AB30" s="266"/>
      <c r="AC30" s="266"/>
      <c r="AD30" s="266"/>
      <c r="AE30" s="266"/>
      <c r="BF30" s="114" t="s">
        <v>345</v>
      </c>
      <c r="BG30" s="115"/>
      <c r="BH30" s="115"/>
      <c r="BI30" s="288"/>
      <c r="BJ30" s="288"/>
      <c r="BK30" s="159"/>
    </row>
    <row r="31" spans="1:63" ht="12" hidden="1" customHeight="1">
      <c r="A31" s="95"/>
      <c r="B31" s="910"/>
      <c r="C31" s="910"/>
      <c r="D31" s="707"/>
      <c r="E31" s="96"/>
      <c r="F31" s="106" t="str">
        <f>C29 &amp; ".0"</f>
        <v>.1.0</v>
      </c>
      <c r="G31" s="105" t="s">
        <v>721</v>
      </c>
      <c r="H31" s="336" t="s">
        <v>346</v>
      </c>
      <c r="I31" s="266"/>
      <c r="J31" s="505">
        <f>N31+K31-L31</f>
        <v>0</v>
      </c>
      <c r="K31" s="272"/>
      <c r="L31" s="272"/>
      <c r="M31" s="272"/>
      <c r="N31" s="506">
        <f>P31+O31</f>
        <v>0</v>
      </c>
      <c r="O31" s="272"/>
      <c r="P31" s="506">
        <f t="shared" ref="P31:P43" si="0">Q31+U31+Z31</f>
        <v>0</v>
      </c>
      <c r="Q31" s="271">
        <f>SUM(R31:T31)</f>
        <v>0</v>
      </c>
      <c r="R31" s="271">
        <f>SUM(R32:R43)</f>
        <v>0</v>
      </c>
      <c r="S31" s="271">
        <f>SUM(S32:S43)</f>
        <v>0</v>
      </c>
      <c r="T31" s="271">
        <f>SUM(T32:T43)</f>
        <v>0</v>
      </c>
      <c r="U31" s="271">
        <f>SUM(V31:Y31)</f>
        <v>0</v>
      </c>
      <c r="V31" s="266"/>
      <c r="W31" s="266"/>
      <c r="X31" s="266"/>
      <c r="Y31" s="266"/>
      <c r="Z31" s="271">
        <f>SUM(AA31:AC31)</f>
        <v>0</v>
      </c>
      <c r="AA31" s="271">
        <f>SUM(AA32:AA43)</f>
        <v>0</v>
      </c>
      <c r="AB31" s="271">
        <f>SUM(AB32:AB43)</f>
        <v>0</v>
      </c>
      <c r="AC31" s="271">
        <f>SUM(AC32:AC43)</f>
        <v>0</v>
      </c>
      <c r="AD31" s="271">
        <f>SUM(AD32:AD43)</f>
        <v>0</v>
      </c>
      <c r="AE31" s="271">
        <f>SUM(AE32:AE43)</f>
        <v>0</v>
      </c>
      <c r="BA31" s="471">
        <f>IF(J31=0,0,K31/J31*100)</f>
        <v>0</v>
      </c>
      <c r="BF31" s="114" t="s">
        <v>334</v>
      </c>
      <c r="BG31" s="115"/>
      <c r="BH31" s="115"/>
      <c r="BI31" s="288"/>
      <c r="BJ31" s="288"/>
      <c r="BK31" s="159"/>
    </row>
    <row r="32" spans="1:63" ht="12" hidden="1" customHeight="1">
      <c r="A32" s="95"/>
      <c r="B32" s="910"/>
      <c r="C32" s="910"/>
      <c r="D32" s="707"/>
      <c r="E32" s="96"/>
      <c r="F32" s="106" t="str">
        <f>C29 &amp; ".1"</f>
        <v>.1.1</v>
      </c>
      <c r="G32" s="105" t="s">
        <v>722</v>
      </c>
      <c r="H32" s="336" t="s">
        <v>346</v>
      </c>
      <c r="I32" s="266"/>
      <c r="J32" s="266"/>
      <c r="K32" s="266"/>
      <c r="L32" s="266"/>
      <c r="M32" s="266"/>
      <c r="N32" s="266"/>
      <c r="O32" s="266"/>
      <c r="P32" s="506">
        <f t="shared" si="0"/>
        <v>0</v>
      </c>
      <c r="Q32" s="271">
        <f t="shared" ref="Q32:Q43" si="1">SUM(R32:T32)</f>
        <v>0</v>
      </c>
      <c r="R32" s="272"/>
      <c r="S32" s="272"/>
      <c r="T32" s="272"/>
      <c r="U32" s="271">
        <f t="shared" ref="U32:U43" si="2">SUM(V32:Y32)</f>
        <v>0</v>
      </c>
      <c r="V32" s="266"/>
      <c r="W32" s="266"/>
      <c r="X32" s="266"/>
      <c r="Y32" s="266"/>
      <c r="Z32" s="271">
        <f t="shared" ref="Z32:Z43" si="3">SUM(AA32:AC32)</f>
        <v>0</v>
      </c>
      <c r="AA32" s="272"/>
      <c r="AB32" s="272"/>
      <c r="AC32" s="272"/>
      <c r="AD32" s="272"/>
      <c r="AE32" s="272"/>
      <c r="BF32" s="158" t="str">
        <f>C29 &amp; "-I"</f>
        <v>.1-I</v>
      </c>
      <c r="BG32" s="115"/>
      <c r="BH32" s="115"/>
      <c r="BI32" s="288"/>
      <c r="BJ32" s="288"/>
      <c r="BK32" s="159"/>
    </row>
    <row r="33" spans="1:63" ht="12" hidden="1" customHeight="1">
      <c r="A33" s="95"/>
      <c r="B33" s="910"/>
      <c r="C33" s="910"/>
      <c r="D33" s="707"/>
      <c r="E33" s="96"/>
      <c r="F33" s="106" t="str">
        <f>C29 &amp; ".2"</f>
        <v>.1.2</v>
      </c>
      <c r="G33" s="105" t="s">
        <v>723</v>
      </c>
      <c r="H33" s="336" t="s">
        <v>346</v>
      </c>
      <c r="I33" s="266"/>
      <c r="J33" s="266"/>
      <c r="K33" s="266"/>
      <c r="L33" s="266"/>
      <c r="M33" s="266"/>
      <c r="N33" s="266"/>
      <c r="O33" s="266"/>
      <c r="P33" s="506">
        <f t="shared" si="0"/>
        <v>0</v>
      </c>
      <c r="Q33" s="271">
        <f t="shared" si="1"/>
        <v>0</v>
      </c>
      <c r="R33" s="272"/>
      <c r="S33" s="272"/>
      <c r="T33" s="272"/>
      <c r="U33" s="271">
        <f t="shared" si="2"/>
        <v>0</v>
      </c>
      <c r="V33" s="266"/>
      <c r="W33" s="266"/>
      <c r="X33" s="266"/>
      <c r="Y33" s="266"/>
      <c r="Z33" s="271">
        <f t="shared" si="3"/>
        <v>0</v>
      </c>
      <c r="AA33" s="272"/>
      <c r="AB33" s="272"/>
      <c r="AC33" s="272"/>
      <c r="AD33" s="272"/>
      <c r="AE33" s="272"/>
      <c r="BF33" s="158" t="str">
        <f>C29 &amp; "-I"</f>
        <v>.1-I</v>
      </c>
      <c r="BG33" s="115"/>
      <c r="BH33" s="115"/>
      <c r="BI33" s="288"/>
      <c r="BJ33" s="288"/>
      <c r="BK33" s="159"/>
    </row>
    <row r="34" spans="1:63" ht="12" hidden="1" customHeight="1">
      <c r="A34" s="95"/>
      <c r="B34" s="910"/>
      <c r="C34" s="910"/>
      <c r="D34" s="707"/>
      <c r="E34" s="96"/>
      <c r="F34" s="106" t="str">
        <f>C29 &amp; ".3"</f>
        <v>.1.3</v>
      </c>
      <c r="G34" s="105" t="s">
        <v>724</v>
      </c>
      <c r="H34" s="336" t="s">
        <v>346</v>
      </c>
      <c r="I34" s="266"/>
      <c r="J34" s="266"/>
      <c r="K34" s="266"/>
      <c r="L34" s="266"/>
      <c r="M34" s="266"/>
      <c r="N34" s="266"/>
      <c r="O34" s="266"/>
      <c r="P34" s="506">
        <f t="shared" si="0"/>
        <v>0</v>
      </c>
      <c r="Q34" s="271">
        <f t="shared" si="1"/>
        <v>0</v>
      </c>
      <c r="R34" s="272"/>
      <c r="S34" s="272"/>
      <c r="T34" s="272"/>
      <c r="U34" s="271">
        <f t="shared" si="2"/>
        <v>0</v>
      </c>
      <c r="V34" s="266"/>
      <c r="W34" s="266"/>
      <c r="X34" s="266"/>
      <c r="Y34" s="266"/>
      <c r="Z34" s="271">
        <f t="shared" si="3"/>
        <v>0</v>
      </c>
      <c r="AA34" s="272"/>
      <c r="AB34" s="272"/>
      <c r="AC34" s="272"/>
      <c r="AD34" s="272"/>
      <c r="AE34" s="272"/>
      <c r="BF34" s="158" t="str">
        <f>C29 &amp; "-I"</f>
        <v>.1-I</v>
      </c>
      <c r="BG34" s="115"/>
      <c r="BH34" s="115"/>
      <c r="BI34" s="288"/>
      <c r="BJ34" s="288"/>
      <c r="BK34" s="159"/>
    </row>
    <row r="35" spans="1:63" ht="12" hidden="1" customHeight="1">
      <c r="A35" s="95"/>
      <c r="B35" s="910"/>
      <c r="C35" s="910"/>
      <c r="D35" s="707"/>
      <c r="E35" s="96"/>
      <c r="F35" s="106" t="str">
        <f>C29 &amp; ".4"</f>
        <v>.1.4</v>
      </c>
      <c r="G35" s="105" t="s">
        <v>725</v>
      </c>
      <c r="H35" s="336" t="s">
        <v>346</v>
      </c>
      <c r="I35" s="266"/>
      <c r="J35" s="266"/>
      <c r="K35" s="266"/>
      <c r="L35" s="266"/>
      <c r="M35" s="266"/>
      <c r="N35" s="266"/>
      <c r="O35" s="266"/>
      <c r="P35" s="506">
        <f t="shared" si="0"/>
        <v>0</v>
      </c>
      <c r="Q35" s="271">
        <f t="shared" si="1"/>
        <v>0</v>
      </c>
      <c r="R35" s="272"/>
      <c r="S35" s="272"/>
      <c r="T35" s="272"/>
      <c r="U35" s="271">
        <f t="shared" si="2"/>
        <v>0</v>
      </c>
      <c r="V35" s="266"/>
      <c r="W35" s="266"/>
      <c r="X35" s="266"/>
      <c r="Y35" s="266"/>
      <c r="Z35" s="271">
        <f t="shared" si="3"/>
        <v>0</v>
      </c>
      <c r="AA35" s="272"/>
      <c r="AB35" s="272"/>
      <c r="AC35" s="272"/>
      <c r="AD35" s="272"/>
      <c r="AE35" s="272"/>
      <c r="BF35" s="158" t="str">
        <f>C29 &amp; "-I"</f>
        <v>.1-I</v>
      </c>
      <c r="BG35" s="115"/>
      <c r="BH35" s="115"/>
      <c r="BI35" s="288"/>
      <c r="BJ35" s="288"/>
      <c r="BK35" s="159"/>
    </row>
    <row r="36" spans="1:63" ht="12" hidden="1" customHeight="1">
      <c r="A36" s="95"/>
      <c r="B36" s="910"/>
      <c r="C36" s="910"/>
      <c r="D36" s="707"/>
      <c r="E36" s="96"/>
      <c r="F36" s="106" t="str">
        <f>C29 &amp; ".5"</f>
        <v>.1.5</v>
      </c>
      <c r="G36" s="105" t="s">
        <v>726</v>
      </c>
      <c r="H36" s="336" t="s">
        <v>346</v>
      </c>
      <c r="I36" s="266"/>
      <c r="J36" s="266"/>
      <c r="K36" s="266"/>
      <c r="L36" s="266"/>
      <c r="M36" s="266"/>
      <c r="N36" s="266"/>
      <c r="O36" s="266"/>
      <c r="P36" s="506">
        <f t="shared" si="0"/>
        <v>0</v>
      </c>
      <c r="Q36" s="271">
        <f t="shared" si="1"/>
        <v>0</v>
      </c>
      <c r="R36" s="272"/>
      <c r="S36" s="272"/>
      <c r="T36" s="272"/>
      <c r="U36" s="271">
        <f t="shared" si="2"/>
        <v>0</v>
      </c>
      <c r="V36" s="266"/>
      <c r="W36" s="266"/>
      <c r="X36" s="266"/>
      <c r="Y36" s="266"/>
      <c r="Z36" s="271">
        <f t="shared" si="3"/>
        <v>0</v>
      </c>
      <c r="AA36" s="272"/>
      <c r="AB36" s="272"/>
      <c r="AC36" s="272"/>
      <c r="AD36" s="272"/>
      <c r="AE36" s="272"/>
      <c r="BF36" s="158" t="str">
        <f>C29 &amp; "-I"</f>
        <v>.1-I</v>
      </c>
      <c r="BG36" s="115"/>
      <c r="BH36" s="115"/>
      <c r="BI36" s="288"/>
      <c r="BJ36" s="288"/>
      <c r="BK36" s="159"/>
    </row>
    <row r="37" spans="1:63" ht="12" hidden="1" customHeight="1">
      <c r="A37" s="95"/>
      <c r="B37" s="910"/>
      <c r="C37" s="910"/>
      <c r="D37" s="707"/>
      <c r="E37" s="96"/>
      <c r="F37" s="106" t="str">
        <f>C29 &amp; ".6"</f>
        <v>.1.6</v>
      </c>
      <c r="G37" s="105" t="s">
        <v>727</v>
      </c>
      <c r="H37" s="336" t="s">
        <v>346</v>
      </c>
      <c r="I37" s="266"/>
      <c r="J37" s="266"/>
      <c r="K37" s="266"/>
      <c r="L37" s="266"/>
      <c r="M37" s="266"/>
      <c r="N37" s="266"/>
      <c r="O37" s="266"/>
      <c r="P37" s="506">
        <f t="shared" si="0"/>
        <v>0</v>
      </c>
      <c r="Q37" s="271">
        <f t="shared" si="1"/>
        <v>0</v>
      </c>
      <c r="R37" s="272"/>
      <c r="S37" s="272"/>
      <c r="T37" s="272"/>
      <c r="U37" s="271">
        <f t="shared" si="2"/>
        <v>0</v>
      </c>
      <c r="V37" s="266"/>
      <c r="W37" s="266"/>
      <c r="X37" s="266"/>
      <c r="Y37" s="266"/>
      <c r="Z37" s="271">
        <f t="shared" si="3"/>
        <v>0</v>
      </c>
      <c r="AA37" s="272"/>
      <c r="AB37" s="272"/>
      <c r="AC37" s="272"/>
      <c r="AD37" s="272"/>
      <c r="AE37" s="272"/>
      <c r="BF37" s="158" t="str">
        <f>C29 &amp; "-I"</f>
        <v>.1-I</v>
      </c>
      <c r="BG37" s="115"/>
      <c r="BH37" s="115"/>
      <c r="BI37" s="288"/>
      <c r="BJ37" s="288"/>
      <c r="BK37" s="159"/>
    </row>
    <row r="38" spans="1:63" ht="12" hidden="1" customHeight="1">
      <c r="A38" s="95"/>
      <c r="B38" s="910"/>
      <c r="C38" s="910"/>
      <c r="D38" s="707"/>
      <c r="E38" s="96"/>
      <c r="F38" s="106" t="str">
        <f>C29 &amp; ".7"</f>
        <v>.1.7</v>
      </c>
      <c r="G38" s="105" t="s">
        <v>728</v>
      </c>
      <c r="H38" s="336" t="s">
        <v>346</v>
      </c>
      <c r="I38" s="266"/>
      <c r="J38" s="266"/>
      <c r="K38" s="266"/>
      <c r="L38" s="266"/>
      <c r="M38" s="266"/>
      <c r="N38" s="266"/>
      <c r="O38" s="266"/>
      <c r="P38" s="506">
        <f t="shared" si="0"/>
        <v>0</v>
      </c>
      <c r="Q38" s="271">
        <f t="shared" si="1"/>
        <v>0</v>
      </c>
      <c r="R38" s="272"/>
      <c r="S38" s="272"/>
      <c r="T38" s="272"/>
      <c r="U38" s="271">
        <f t="shared" si="2"/>
        <v>0</v>
      </c>
      <c r="V38" s="266"/>
      <c r="W38" s="266"/>
      <c r="X38" s="266"/>
      <c r="Y38" s="266"/>
      <c r="Z38" s="271">
        <f t="shared" si="3"/>
        <v>0</v>
      </c>
      <c r="AA38" s="272"/>
      <c r="AB38" s="272"/>
      <c r="AC38" s="272"/>
      <c r="AD38" s="272"/>
      <c r="AE38" s="272"/>
      <c r="BF38" s="158" t="str">
        <f>C29 &amp; "-II"</f>
        <v>.1-II</v>
      </c>
      <c r="BG38" s="115"/>
      <c r="BH38" s="115"/>
      <c r="BI38" s="288"/>
      <c r="BJ38" s="288"/>
      <c r="BK38" s="159"/>
    </row>
    <row r="39" spans="1:63" ht="12" hidden="1" customHeight="1">
      <c r="A39" s="95"/>
      <c r="B39" s="910"/>
      <c r="C39" s="910"/>
      <c r="D39" s="707"/>
      <c r="E39" s="96"/>
      <c r="F39" s="106" t="str">
        <f>C29 &amp; ".8"</f>
        <v>.1.8</v>
      </c>
      <c r="G39" s="105" t="s">
        <v>729</v>
      </c>
      <c r="H39" s="336" t="s">
        <v>346</v>
      </c>
      <c r="I39" s="266"/>
      <c r="J39" s="266"/>
      <c r="K39" s="266"/>
      <c r="L39" s="266"/>
      <c r="M39" s="266"/>
      <c r="N39" s="266"/>
      <c r="O39" s="266"/>
      <c r="P39" s="506">
        <f t="shared" si="0"/>
        <v>0</v>
      </c>
      <c r="Q39" s="271">
        <f t="shared" si="1"/>
        <v>0</v>
      </c>
      <c r="R39" s="272"/>
      <c r="S39" s="272"/>
      <c r="T39" s="272"/>
      <c r="U39" s="271">
        <f t="shared" si="2"/>
        <v>0</v>
      </c>
      <c r="V39" s="266"/>
      <c r="W39" s="266"/>
      <c r="X39" s="266"/>
      <c r="Y39" s="266"/>
      <c r="Z39" s="271">
        <f t="shared" si="3"/>
        <v>0</v>
      </c>
      <c r="AA39" s="272"/>
      <c r="AB39" s="272"/>
      <c r="AC39" s="272"/>
      <c r="AD39" s="272"/>
      <c r="AE39" s="272"/>
      <c r="BF39" s="158" t="str">
        <f>C29 &amp; "-II"</f>
        <v>.1-II</v>
      </c>
      <c r="BG39" s="115"/>
      <c r="BH39" s="115"/>
      <c r="BI39" s="288"/>
      <c r="BJ39" s="288"/>
      <c r="BK39" s="159"/>
    </row>
    <row r="40" spans="1:63" ht="12" hidden="1" customHeight="1">
      <c r="A40" s="95"/>
      <c r="B40" s="910"/>
      <c r="C40" s="910"/>
      <c r="D40" s="707"/>
      <c r="E40" s="96"/>
      <c r="F40" s="106" t="str">
        <f>C29 &amp; ".9"</f>
        <v>.1.9</v>
      </c>
      <c r="G40" s="105" t="s">
        <v>730</v>
      </c>
      <c r="H40" s="336" t="s">
        <v>346</v>
      </c>
      <c r="I40" s="266"/>
      <c r="J40" s="266"/>
      <c r="K40" s="266"/>
      <c r="L40" s="266"/>
      <c r="M40" s="266"/>
      <c r="N40" s="266"/>
      <c r="O40" s="266"/>
      <c r="P40" s="506">
        <f t="shared" si="0"/>
        <v>0</v>
      </c>
      <c r="Q40" s="271">
        <f t="shared" si="1"/>
        <v>0</v>
      </c>
      <c r="R40" s="272"/>
      <c r="S40" s="272"/>
      <c r="T40" s="272"/>
      <c r="U40" s="271">
        <f t="shared" si="2"/>
        <v>0</v>
      </c>
      <c r="V40" s="266"/>
      <c r="W40" s="266"/>
      <c r="X40" s="266"/>
      <c r="Y40" s="266"/>
      <c r="Z40" s="271">
        <f t="shared" si="3"/>
        <v>0</v>
      </c>
      <c r="AA40" s="272"/>
      <c r="AB40" s="272"/>
      <c r="AC40" s="272"/>
      <c r="AD40" s="272"/>
      <c r="AE40" s="272"/>
      <c r="BF40" s="158" t="str">
        <f>C29 &amp; IF(TEMPLATE_CLAIM="P","-II","-III")</f>
        <v>.1-III</v>
      </c>
      <c r="BG40" s="115"/>
      <c r="BH40" s="115"/>
      <c r="BI40" s="288"/>
      <c r="BJ40" s="288"/>
      <c r="BK40" s="159"/>
    </row>
    <row r="41" spans="1:63" ht="12" hidden="1" customHeight="1">
      <c r="A41" s="95"/>
      <c r="B41" s="910"/>
      <c r="C41" s="910"/>
      <c r="D41" s="707"/>
      <c r="E41" s="96"/>
      <c r="F41" s="106" t="str">
        <f>C29 &amp; ".10"</f>
        <v>.1.10</v>
      </c>
      <c r="G41" s="105" t="s">
        <v>731</v>
      </c>
      <c r="H41" s="336" t="s">
        <v>346</v>
      </c>
      <c r="I41" s="266"/>
      <c r="J41" s="266"/>
      <c r="K41" s="266"/>
      <c r="L41" s="266"/>
      <c r="M41" s="266"/>
      <c r="N41" s="266"/>
      <c r="O41" s="266"/>
      <c r="P41" s="506">
        <f t="shared" si="0"/>
        <v>0</v>
      </c>
      <c r="Q41" s="271">
        <f t="shared" si="1"/>
        <v>0</v>
      </c>
      <c r="R41" s="272"/>
      <c r="S41" s="272"/>
      <c r="T41" s="272"/>
      <c r="U41" s="271">
        <f t="shared" si="2"/>
        <v>0</v>
      </c>
      <c r="V41" s="266"/>
      <c r="W41" s="266"/>
      <c r="X41" s="266"/>
      <c r="Y41" s="266"/>
      <c r="Z41" s="271">
        <f t="shared" si="3"/>
        <v>0</v>
      </c>
      <c r="AA41" s="272"/>
      <c r="AB41" s="272"/>
      <c r="AC41" s="272"/>
      <c r="AD41" s="272"/>
      <c r="AE41" s="272"/>
      <c r="BF41" s="158" t="str">
        <f>C29 &amp; IF(TEMPLATE_CLAIM="P","-II","-III")</f>
        <v>.1-III</v>
      </c>
      <c r="BG41" s="115"/>
      <c r="BH41" s="115"/>
      <c r="BI41" s="288"/>
      <c r="BJ41" s="288"/>
      <c r="BK41" s="159"/>
    </row>
    <row r="42" spans="1:63" ht="12" hidden="1" customHeight="1">
      <c r="A42" s="95"/>
      <c r="B42" s="910"/>
      <c r="C42" s="910"/>
      <c r="D42" s="707"/>
      <c r="E42" s="96"/>
      <c r="F42" s="106" t="str">
        <f>C29 &amp; ".11"</f>
        <v>.1.11</v>
      </c>
      <c r="G42" s="105" t="s">
        <v>732</v>
      </c>
      <c r="H42" s="336" t="s">
        <v>346</v>
      </c>
      <c r="I42" s="266"/>
      <c r="J42" s="266"/>
      <c r="K42" s="266"/>
      <c r="L42" s="266"/>
      <c r="M42" s="266"/>
      <c r="N42" s="266"/>
      <c r="O42" s="266"/>
      <c r="P42" s="506">
        <f t="shared" si="0"/>
        <v>0</v>
      </c>
      <c r="Q42" s="271">
        <f t="shared" si="1"/>
        <v>0</v>
      </c>
      <c r="R42" s="272"/>
      <c r="S42" s="272"/>
      <c r="T42" s="272"/>
      <c r="U42" s="271">
        <f t="shared" si="2"/>
        <v>0</v>
      </c>
      <c r="V42" s="266"/>
      <c r="W42" s="266"/>
      <c r="X42" s="266"/>
      <c r="Y42" s="266"/>
      <c r="Z42" s="271">
        <f t="shared" si="3"/>
        <v>0</v>
      </c>
      <c r="AA42" s="272"/>
      <c r="AB42" s="272"/>
      <c r="AC42" s="272"/>
      <c r="AD42" s="272"/>
      <c r="AE42" s="272"/>
      <c r="BF42" s="158" t="str">
        <f>C29 &amp; IF(TEMPLATE_CLAIM="P","-II","-III")</f>
        <v>.1-III</v>
      </c>
      <c r="BG42" s="115"/>
      <c r="BH42" s="115"/>
      <c r="BI42" s="288"/>
      <c r="BJ42" s="288"/>
      <c r="BK42" s="159"/>
    </row>
    <row r="43" spans="1:63" ht="12" hidden="1" customHeight="1">
      <c r="A43" s="95"/>
      <c r="B43" s="910"/>
      <c r="C43" s="910"/>
      <c r="D43" s="707"/>
      <c r="E43" s="96"/>
      <c r="F43" s="106" t="str">
        <f>C29 &amp; ".12"</f>
        <v>.1.12</v>
      </c>
      <c r="G43" s="105" t="s">
        <v>733</v>
      </c>
      <c r="H43" s="336" t="s">
        <v>346</v>
      </c>
      <c r="I43" s="266"/>
      <c r="J43" s="266"/>
      <c r="K43" s="266"/>
      <c r="L43" s="266"/>
      <c r="M43" s="266"/>
      <c r="N43" s="266"/>
      <c r="O43" s="266"/>
      <c r="P43" s="506">
        <f t="shared" si="0"/>
        <v>0</v>
      </c>
      <c r="Q43" s="271">
        <f t="shared" si="1"/>
        <v>0</v>
      </c>
      <c r="R43" s="272"/>
      <c r="S43" s="272"/>
      <c r="T43" s="272"/>
      <c r="U43" s="271">
        <f t="shared" si="2"/>
        <v>0</v>
      </c>
      <c r="V43" s="266"/>
      <c r="W43" s="266"/>
      <c r="X43" s="266"/>
      <c r="Y43" s="266"/>
      <c r="Z43" s="271">
        <f t="shared" si="3"/>
        <v>0</v>
      </c>
      <c r="AA43" s="272"/>
      <c r="AB43" s="272"/>
      <c r="AC43" s="272"/>
      <c r="AD43" s="272"/>
      <c r="AE43" s="272"/>
      <c r="BF43" s="158" t="str">
        <f>C29 &amp; IF(TEMPLATE_CLAIM="P","-II","-III")</f>
        <v>.1-III</v>
      </c>
      <c r="BG43" s="115"/>
      <c r="BH43" s="115"/>
      <c r="BI43" s="288"/>
      <c r="BJ43" s="288"/>
      <c r="BK43" s="159"/>
    </row>
    <row r="44" spans="1:63" ht="12" hidden="1" customHeight="1">
      <c r="A44" s="95"/>
      <c r="B44" s="910"/>
      <c r="C44" s="910"/>
      <c r="D44" s="707"/>
      <c r="E44" s="96"/>
      <c r="F44" s="106" t="str">
        <f>C30 &amp; ".0"</f>
        <v>.2.0</v>
      </c>
      <c r="G44" s="105" t="s">
        <v>721</v>
      </c>
      <c r="H44" s="336"/>
      <c r="I44" s="266"/>
      <c r="J44" s="266"/>
      <c r="K44" s="266"/>
      <c r="L44" s="266"/>
      <c r="M44" s="266"/>
      <c r="N44" s="266"/>
      <c r="O44" s="266"/>
      <c r="P44" s="266"/>
      <c r="Q44" s="266"/>
      <c r="R44" s="266"/>
      <c r="S44" s="266"/>
      <c r="T44" s="266"/>
      <c r="U44" s="266"/>
      <c r="V44" s="266"/>
      <c r="W44" s="266"/>
      <c r="X44" s="266"/>
      <c r="Y44" s="266"/>
      <c r="Z44" s="266"/>
      <c r="AA44" s="266"/>
      <c r="AB44" s="266"/>
      <c r="AC44" s="266"/>
      <c r="AD44" s="266"/>
      <c r="AE44" s="266"/>
      <c r="BF44" s="114" t="s">
        <v>335</v>
      </c>
      <c r="BG44" s="115"/>
      <c r="BH44" s="115"/>
      <c r="BI44" s="288"/>
      <c r="BJ44" s="288"/>
      <c r="BK44" s="159"/>
    </row>
    <row r="45" spans="1:63" ht="12" hidden="1" customHeight="1">
      <c r="A45" s="95"/>
      <c r="B45" s="910"/>
      <c r="C45" s="910"/>
      <c r="D45" s="707"/>
      <c r="E45" s="96"/>
      <c r="F45" s="106" t="str">
        <f>C30 &amp; ".1"</f>
        <v>.2.1</v>
      </c>
      <c r="G45" s="105" t="s">
        <v>722</v>
      </c>
      <c r="H45" s="33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BF45" s="158" t="str">
        <f>C30 &amp; "-I"</f>
        <v>.2-I</v>
      </c>
      <c r="BG45" s="115"/>
      <c r="BH45" s="115"/>
      <c r="BI45" s="288"/>
      <c r="BJ45" s="288"/>
      <c r="BK45" s="159"/>
    </row>
    <row r="46" spans="1:63" ht="12" hidden="1" customHeight="1">
      <c r="A46" s="95"/>
      <c r="B46" s="910"/>
      <c r="C46" s="910"/>
      <c r="D46" s="707"/>
      <c r="E46" s="96"/>
      <c r="F46" s="106" t="str">
        <f>C30 &amp; ".2"</f>
        <v>.2.2</v>
      </c>
      <c r="G46" s="105" t="s">
        <v>723</v>
      </c>
      <c r="H46" s="336"/>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BF46" s="158" t="str">
        <f>C30 &amp; "-I"</f>
        <v>.2-I</v>
      </c>
      <c r="BG46" s="115"/>
      <c r="BH46" s="115"/>
      <c r="BI46" s="288"/>
      <c r="BJ46" s="288"/>
      <c r="BK46" s="159"/>
    </row>
    <row r="47" spans="1:63" ht="12" hidden="1" customHeight="1">
      <c r="A47" s="95"/>
      <c r="B47" s="910"/>
      <c r="C47" s="910"/>
      <c r="D47" s="707"/>
      <c r="E47" s="96"/>
      <c r="F47" s="106" t="str">
        <f>C30 &amp; ".3"</f>
        <v>.2.3</v>
      </c>
      <c r="G47" s="105" t="s">
        <v>724</v>
      </c>
      <c r="H47" s="336"/>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BF47" s="158" t="str">
        <f>C30 &amp; "-I"</f>
        <v>.2-I</v>
      </c>
      <c r="BG47" s="115"/>
      <c r="BH47" s="115"/>
      <c r="BI47" s="288"/>
      <c r="BJ47" s="288"/>
      <c r="BK47" s="159"/>
    </row>
    <row r="48" spans="1:63" ht="12" hidden="1" customHeight="1">
      <c r="A48" s="95"/>
      <c r="B48" s="910"/>
      <c r="C48" s="910"/>
      <c r="D48" s="707"/>
      <c r="E48" s="96"/>
      <c r="F48" s="106" t="str">
        <f>C30 &amp; ".4"</f>
        <v>.2.4</v>
      </c>
      <c r="G48" s="105" t="s">
        <v>725</v>
      </c>
      <c r="H48" s="336"/>
      <c r="I48" s="266"/>
      <c r="J48" s="266"/>
      <c r="K48" s="266"/>
      <c r="L48" s="266"/>
      <c r="M48" s="266"/>
      <c r="N48" s="266"/>
      <c r="O48" s="266"/>
      <c r="P48" s="266"/>
      <c r="Q48" s="266"/>
      <c r="R48" s="266"/>
      <c r="S48" s="266"/>
      <c r="T48" s="266"/>
      <c r="U48" s="266"/>
      <c r="V48" s="266"/>
      <c r="W48" s="266"/>
      <c r="X48" s="266"/>
      <c r="Y48" s="266"/>
      <c r="Z48" s="266"/>
      <c r="AA48" s="266"/>
      <c r="AB48" s="266"/>
      <c r="AC48" s="266"/>
      <c r="AD48" s="266"/>
      <c r="AE48" s="266"/>
      <c r="BF48" s="158" t="str">
        <f>C30 &amp; "-I"</f>
        <v>.2-I</v>
      </c>
      <c r="BG48" s="115"/>
      <c r="BH48" s="115"/>
      <c r="BI48" s="288"/>
      <c r="BJ48" s="288"/>
      <c r="BK48" s="159"/>
    </row>
    <row r="49" spans="1:63" ht="12" hidden="1" customHeight="1">
      <c r="A49" s="95"/>
      <c r="B49" s="910"/>
      <c r="C49" s="910"/>
      <c r="D49" s="707"/>
      <c r="E49" s="96"/>
      <c r="F49" s="106" t="str">
        <f>C30 &amp; ".5"</f>
        <v>.2.5</v>
      </c>
      <c r="G49" s="105" t="s">
        <v>726</v>
      </c>
      <c r="H49" s="336"/>
      <c r="I49" s="266"/>
      <c r="J49" s="266"/>
      <c r="K49" s="266"/>
      <c r="L49" s="266"/>
      <c r="M49" s="266"/>
      <c r="N49" s="266"/>
      <c r="O49" s="266"/>
      <c r="P49" s="266"/>
      <c r="Q49" s="266"/>
      <c r="R49" s="266"/>
      <c r="S49" s="266"/>
      <c r="T49" s="266"/>
      <c r="U49" s="266"/>
      <c r="V49" s="266"/>
      <c r="W49" s="266"/>
      <c r="X49" s="266"/>
      <c r="Y49" s="266"/>
      <c r="Z49" s="266"/>
      <c r="AA49" s="266"/>
      <c r="AB49" s="266"/>
      <c r="AC49" s="266"/>
      <c r="AD49" s="266"/>
      <c r="AE49" s="266"/>
      <c r="BF49" s="158" t="str">
        <f>C30 &amp; "-I"</f>
        <v>.2-I</v>
      </c>
      <c r="BG49" s="115"/>
      <c r="BH49" s="115"/>
      <c r="BI49" s="288"/>
      <c r="BJ49" s="288"/>
      <c r="BK49" s="159"/>
    </row>
    <row r="50" spans="1:63" ht="12" hidden="1" customHeight="1">
      <c r="A50" s="95"/>
      <c r="B50" s="910"/>
      <c r="C50" s="910"/>
      <c r="D50" s="707"/>
      <c r="E50" s="96"/>
      <c r="F50" s="106" t="str">
        <f>C30 &amp; ".6"</f>
        <v>.2.6</v>
      </c>
      <c r="G50" s="105" t="s">
        <v>727</v>
      </c>
      <c r="H50" s="33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BF50" s="158" t="str">
        <f>C30 &amp; "-I"</f>
        <v>.2-I</v>
      </c>
      <c r="BG50" s="115"/>
      <c r="BH50" s="115"/>
      <c r="BI50" s="288"/>
      <c r="BJ50" s="288"/>
      <c r="BK50" s="159"/>
    </row>
    <row r="51" spans="1:63" ht="12" hidden="1" customHeight="1">
      <c r="A51" s="95"/>
      <c r="B51" s="910"/>
      <c r="C51" s="910"/>
      <c r="D51" s="707"/>
      <c r="E51" s="96"/>
      <c r="F51" s="106" t="str">
        <f>C30 &amp; ".7"</f>
        <v>.2.7</v>
      </c>
      <c r="G51" s="105" t="s">
        <v>728</v>
      </c>
      <c r="H51" s="33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BF51" s="158" t="str">
        <f>C30 &amp; "-II"</f>
        <v>.2-II</v>
      </c>
      <c r="BG51" s="115"/>
      <c r="BH51" s="115"/>
      <c r="BI51" s="288"/>
      <c r="BJ51" s="288"/>
      <c r="BK51" s="159"/>
    </row>
    <row r="52" spans="1:63" ht="12" hidden="1" customHeight="1">
      <c r="A52" s="95"/>
      <c r="B52" s="910"/>
      <c r="C52" s="910"/>
      <c r="D52" s="707"/>
      <c r="E52" s="96"/>
      <c r="F52" s="106" t="str">
        <f>C30 &amp; ".8"</f>
        <v>.2.8</v>
      </c>
      <c r="G52" s="105" t="s">
        <v>729</v>
      </c>
      <c r="H52" s="33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BF52" s="158" t="str">
        <f>C30 &amp; "-II"</f>
        <v>.2-II</v>
      </c>
      <c r="BG52" s="115"/>
      <c r="BH52" s="115"/>
      <c r="BI52" s="288"/>
      <c r="BJ52" s="288"/>
      <c r="BK52" s="159"/>
    </row>
    <row r="53" spans="1:63" ht="12" hidden="1" customHeight="1">
      <c r="A53" s="95"/>
      <c r="B53" s="910"/>
      <c r="C53" s="910"/>
      <c r="D53" s="707"/>
      <c r="E53" s="96"/>
      <c r="F53" s="106" t="str">
        <f>C30 &amp; ".9"</f>
        <v>.2.9</v>
      </c>
      <c r="G53" s="105" t="s">
        <v>730</v>
      </c>
      <c r="H53" s="33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BF53" s="158" t="str">
        <f>C30 &amp; IF(TEMPLATE_CLAIM="P","-II","-III")</f>
        <v>.2-III</v>
      </c>
      <c r="BG53" s="115"/>
      <c r="BH53" s="115"/>
      <c r="BI53" s="288"/>
      <c r="BJ53" s="288"/>
      <c r="BK53" s="159"/>
    </row>
    <row r="54" spans="1:63" ht="12" hidden="1" customHeight="1">
      <c r="A54" s="95"/>
      <c r="B54" s="910"/>
      <c r="C54" s="910"/>
      <c r="D54" s="707"/>
      <c r="E54" s="96"/>
      <c r="F54" s="106" t="str">
        <f>C30 &amp; ".10"</f>
        <v>.2.10</v>
      </c>
      <c r="G54" s="105" t="s">
        <v>731</v>
      </c>
      <c r="H54" s="336"/>
      <c r="I54" s="266"/>
      <c r="J54" s="266"/>
      <c r="K54" s="266"/>
      <c r="L54" s="266"/>
      <c r="M54" s="266"/>
      <c r="N54" s="266"/>
      <c r="O54" s="266"/>
      <c r="P54" s="266"/>
      <c r="Q54" s="266"/>
      <c r="R54" s="266"/>
      <c r="S54" s="266"/>
      <c r="T54" s="266"/>
      <c r="U54" s="266"/>
      <c r="V54" s="266"/>
      <c r="W54" s="266"/>
      <c r="X54" s="266"/>
      <c r="Y54" s="266"/>
      <c r="Z54" s="266"/>
      <c r="AA54" s="266"/>
      <c r="AB54" s="266"/>
      <c r="AC54" s="266"/>
      <c r="AD54" s="266"/>
      <c r="AE54" s="266"/>
      <c r="BF54" s="158" t="str">
        <f>C30 &amp; IF(TEMPLATE_CLAIM="P","-II","-III")</f>
        <v>.2-III</v>
      </c>
      <c r="BG54" s="115"/>
      <c r="BH54" s="115"/>
      <c r="BI54" s="288"/>
      <c r="BJ54" s="288"/>
      <c r="BK54" s="159"/>
    </row>
    <row r="55" spans="1:63" ht="12" hidden="1" customHeight="1">
      <c r="A55" s="95"/>
      <c r="B55" s="910"/>
      <c r="C55" s="910"/>
      <c r="D55" s="707"/>
      <c r="E55" s="96"/>
      <c r="F55" s="106" t="str">
        <f>C30 &amp; ".11"</f>
        <v>.2.11</v>
      </c>
      <c r="G55" s="105" t="s">
        <v>732</v>
      </c>
      <c r="H55" s="336"/>
      <c r="I55" s="266"/>
      <c r="J55" s="266"/>
      <c r="K55" s="266"/>
      <c r="L55" s="266"/>
      <c r="M55" s="266"/>
      <c r="N55" s="266"/>
      <c r="O55" s="266"/>
      <c r="P55" s="266"/>
      <c r="Q55" s="266"/>
      <c r="R55" s="266"/>
      <c r="S55" s="266"/>
      <c r="T55" s="266"/>
      <c r="U55" s="266"/>
      <c r="V55" s="266"/>
      <c r="W55" s="266"/>
      <c r="X55" s="266"/>
      <c r="Y55" s="266"/>
      <c r="Z55" s="266"/>
      <c r="AA55" s="266"/>
      <c r="AB55" s="266"/>
      <c r="AC55" s="266"/>
      <c r="AD55" s="266"/>
      <c r="AE55" s="266"/>
      <c r="BF55" s="158" t="str">
        <f>C30 &amp; IF(TEMPLATE_CLAIM="P","-II","-III")</f>
        <v>.2-III</v>
      </c>
      <c r="BG55" s="115"/>
      <c r="BH55" s="115"/>
      <c r="BI55" s="288"/>
      <c r="BJ55" s="288"/>
      <c r="BK55" s="159"/>
    </row>
    <row r="56" spans="1:63" ht="12" hidden="1" customHeight="1">
      <c r="A56" s="95"/>
      <c r="B56" s="910"/>
      <c r="C56" s="910"/>
      <c r="D56" s="707"/>
      <c r="E56" s="96"/>
      <c r="F56" s="106" t="str">
        <f>C30 &amp; ".12"</f>
        <v>.2.12</v>
      </c>
      <c r="G56" s="105" t="s">
        <v>733</v>
      </c>
      <c r="H56" s="33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BF56" s="158" t="str">
        <f>C30 &amp; IF(TEMPLATE_CLAIM="P","-II","-III")</f>
        <v>.2-III</v>
      </c>
      <c r="BG56" s="115"/>
      <c r="BH56" s="115"/>
      <c r="BI56" s="288"/>
      <c r="BJ56" s="288"/>
      <c r="BK56" s="159"/>
    </row>
    <row r="57" spans="1:63" ht="12" hidden="1" customHeight="1">
      <c r="A57" s="95"/>
      <c r="B57" s="910"/>
      <c r="C57" s="119" t="str">
        <f>B57 &amp; ".1"</f>
        <v>.1</v>
      </c>
      <c r="D57" s="714" t="s">
        <v>652</v>
      </c>
      <c r="E57" s="96"/>
      <c r="F57" s="835">
        <f>B57</f>
        <v>0</v>
      </c>
      <c r="G57" s="933"/>
      <c r="H57" s="336"/>
      <c r="I57" s="266"/>
      <c r="J57" s="266"/>
      <c r="K57" s="266"/>
      <c r="L57" s="266"/>
      <c r="M57" s="266"/>
      <c r="N57" s="266"/>
      <c r="O57" s="266"/>
      <c r="P57" s="266"/>
      <c r="Q57" s="266"/>
      <c r="R57" s="266"/>
      <c r="S57" s="266"/>
      <c r="T57" s="266"/>
      <c r="U57" s="266"/>
      <c r="V57" s="266"/>
      <c r="W57" s="266"/>
      <c r="X57" s="266"/>
      <c r="Y57" s="266"/>
      <c r="Z57" s="266"/>
      <c r="AA57" s="266"/>
      <c r="AB57" s="266"/>
      <c r="AC57" s="266"/>
      <c r="AD57" s="266"/>
      <c r="AE57" s="266"/>
      <c r="BF57" s="114" t="s">
        <v>344</v>
      </c>
      <c r="BG57" s="115"/>
      <c r="BH57" s="115"/>
      <c r="BI57" s="288"/>
      <c r="BJ57" s="288"/>
      <c r="BK57" s="159"/>
    </row>
    <row r="58" spans="1:63" ht="12" hidden="1" customHeight="1">
      <c r="A58" s="95"/>
      <c r="B58" s="910"/>
      <c r="C58" s="119" t="str">
        <f>B57 &amp; ".2"</f>
        <v>.2</v>
      </c>
      <c r="D58" s="714" t="s">
        <v>652</v>
      </c>
      <c r="E58" s="96"/>
      <c r="F58" s="935"/>
      <c r="G58" s="933"/>
      <c r="H58" s="336" t="s">
        <v>347</v>
      </c>
      <c r="I58" s="266"/>
      <c r="J58" s="694">
        <f>IF(TEMPLATE_CLAIM="P","",N58+K58-L58)</f>
        <v>0</v>
      </c>
      <c r="K58" s="274"/>
      <c r="L58" s="274"/>
      <c r="M58" s="274"/>
      <c r="N58" s="695">
        <f>IF(TEMPLATE_CLAIM="P","",P58+O58)</f>
        <v>0</v>
      </c>
      <c r="O58" s="274"/>
      <c r="P58" s="695">
        <f>IF(TEMPLATE_CLAIM="P","",Q58+U58+Z58)</f>
        <v>0</v>
      </c>
      <c r="Q58" s="691">
        <f>IF(TEMPLATE_CLAIM="P","",SUM(R58:T58))</f>
        <v>0</v>
      </c>
      <c r="R58" s="274"/>
      <c r="S58" s="274"/>
      <c r="T58" s="274"/>
      <c r="U58" s="691">
        <f>IF(TEMPLATE_CLAIM="P","",SUM(V58:Y58))</f>
        <v>0</v>
      </c>
      <c r="V58" s="692"/>
      <c r="W58" s="692"/>
      <c r="X58" s="692"/>
      <c r="Y58" s="692"/>
      <c r="Z58" s="691">
        <f>IF(TEMPLATE_CLAIM="P","",SUM(AA58:AC58))</f>
        <v>0</v>
      </c>
      <c r="AA58" s="274"/>
      <c r="AB58" s="274"/>
      <c r="AC58" s="274"/>
      <c r="AD58" s="692"/>
      <c r="AE58" s="692"/>
      <c r="BF58" s="114" t="s">
        <v>345</v>
      </c>
      <c r="BG58" s="115"/>
      <c r="BH58" s="115"/>
      <c r="BI58" s="288"/>
      <c r="BJ58" s="288"/>
      <c r="BK58" s="159"/>
    </row>
    <row r="59" spans="1:63" ht="12" hidden="1" customHeight="1">
      <c r="A59" s="95"/>
      <c r="B59" s="910"/>
      <c r="C59" s="910"/>
      <c r="D59" s="707"/>
      <c r="E59" s="96"/>
      <c r="F59" s="106" t="str">
        <f>C57 &amp; ".0"</f>
        <v>.1.0</v>
      </c>
      <c r="G59" s="105" t="s">
        <v>721</v>
      </c>
      <c r="H59" s="33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BF59" s="114" t="s">
        <v>334</v>
      </c>
      <c r="BG59" s="115"/>
      <c r="BH59" s="115"/>
      <c r="BI59" s="288"/>
      <c r="BJ59" s="288"/>
      <c r="BK59" s="159"/>
    </row>
    <row r="60" spans="1:63" ht="12" hidden="1" customHeight="1">
      <c r="A60" s="95"/>
      <c r="B60" s="910"/>
      <c r="C60" s="910"/>
      <c r="D60" s="707"/>
      <c r="E60" s="96"/>
      <c r="F60" s="106" t="str">
        <f>C57 &amp; ".1"</f>
        <v>.1.1</v>
      </c>
      <c r="G60" s="105" t="s">
        <v>722</v>
      </c>
      <c r="H60" s="336"/>
      <c r="I60" s="266"/>
      <c r="J60" s="266"/>
      <c r="K60" s="266"/>
      <c r="L60" s="266"/>
      <c r="M60" s="266"/>
      <c r="N60" s="266"/>
      <c r="O60" s="266"/>
      <c r="P60" s="266"/>
      <c r="Q60" s="266"/>
      <c r="R60" s="266"/>
      <c r="S60" s="266"/>
      <c r="T60" s="266"/>
      <c r="U60" s="266"/>
      <c r="V60" s="266"/>
      <c r="W60" s="266"/>
      <c r="X60" s="266"/>
      <c r="Y60" s="266"/>
      <c r="Z60" s="266"/>
      <c r="AA60" s="266"/>
      <c r="AB60" s="266"/>
      <c r="AC60" s="266"/>
      <c r="AD60" s="266"/>
      <c r="AE60" s="266"/>
      <c r="BF60" s="158" t="str">
        <f>C57 &amp; "-I"</f>
        <v>.1-I</v>
      </c>
      <c r="BG60" s="115"/>
      <c r="BH60" s="115"/>
      <c r="BI60" s="288"/>
      <c r="BJ60" s="288"/>
      <c r="BK60" s="159"/>
    </row>
    <row r="61" spans="1:63" ht="12" hidden="1" customHeight="1">
      <c r="A61" s="95"/>
      <c r="B61" s="910"/>
      <c r="C61" s="910"/>
      <c r="D61" s="707"/>
      <c r="E61" s="96"/>
      <c r="F61" s="106" t="str">
        <f>C57 &amp; ".2"</f>
        <v>.1.2</v>
      </c>
      <c r="G61" s="105" t="s">
        <v>723</v>
      </c>
      <c r="H61" s="33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BF61" s="158" t="str">
        <f>C57 &amp; "-I"</f>
        <v>.1-I</v>
      </c>
      <c r="BG61" s="115"/>
      <c r="BH61" s="115"/>
      <c r="BI61" s="288"/>
      <c r="BJ61" s="288"/>
      <c r="BK61" s="159"/>
    </row>
    <row r="62" spans="1:63" ht="12" hidden="1" customHeight="1">
      <c r="A62" s="95"/>
      <c r="B62" s="910"/>
      <c r="C62" s="910"/>
      <c r="D62" s="707"/>
      <c r="E62" s="96"/>
      <c r="F62" s="106" t="str">
        <f>C57 &amp; ".3"</f>
        <v>.1.3</v>
      </c>
      <c r="G62" s="105" t="s">
        <v>724</v>
      </c>
      <c r="H62" s="336"/>
      <c r="I62" s="266"/>
      <c r="J62" s="266"/>
      <c r="K62" s="266"/>
      <c r="L62" s="266"/>
      <c r="M62" s="266"/>
      <c r="N62" s="266"/>
      <c r="O62" s="266"/>
      <c r="P62" s="266"/>
      <c r="Q62" s="266"/>
      <c r="R62" s="266"/>
      <c r="S62" s="266"/>
      <c r="T62" s="266"/>
      <c r="U62" s="266"/>
      <c r="V62" s="266"/>
      <c r="W62" s="266"/>
      <c r="X62" s="266"/>
      <c r="Y62" s="266"/>
      <c r="Z62" s="266"/>
      <c r="AA62" s="266"/>
      <c r="AB62" s="266"/>
      <c r="AC62" s="266"/>
      <c r="AD62" s="266"/>
      <c r="AE62" s="266"/>
      <c r="BF62" s="158" t="str">
        <f>C57 &amp; "-I"</f>
        <v>.1-I</v>
      </c>
      <c r="BG62" s="115"/>
      <c r="BH62" s="115"/>
      <c r="BI62" s="288"/>
      <c r="BJ62" s="288"/>
      <c r="BK62" s="159"/>
    </row>
    <row r="63" spans="1:63" ht="12" hidden="1" customHeight="1">
      <c r="A63" s="95"/>
      <c r="B63" s="910"/>
      <c r="C63" s="910"/>
      <c r="D63" s="707"/>
      <c r="E63" s="96"/>
      <c r="F63" s="106" t="str">
        <f>C57 &amp; ".4"</f>
        <v>.1.4</v>
      </c>
      <c r="G63" s="105" t="s">
        <v>725</v>
      </c>
      <c r="H63" s="336"/>
      <c r="I63" s="266"/>
      <c r="J63" s="266"/>
      <c r="K63" s="266"/>
      <c r="L63" s="266"/>
      <c r="M63" s="266"/>
      <c r="N63" s="266"/>
      <c r="O63" s="266"/>
      <c r="P63" s="266"/>
      <c r="Q63" s="266"/>
      <c r="R63" s="266"/>
      <c r="S63" s="266"/>
      <c r="T63" s="266"/>
      <c r="U63" s="266"/>
      <c r="V63" s="266"/>
      <c r="W63" s="266"/>
      <c r="X63" s="266"/>
      <c r="Y63" s="266"/>
      <c r="Z63" s="266"/>
      <c r="AA63" s="266"/>
      <c r="AB63" s="266"/>
      <c r="AC63" s="266"/>
      <c r="AD63" s="266"/>
      <c r="AE63" s="266"/>
      <c r="BF63" s="158" t="str">
        <f>C57 &amp; "-I"</f>
        <v>.1-I</v>
      </c>
      <c r="BG63" s="115"/>
      <c r="BH63" s="115"/>
      <c r="BI63" s="288"/>
      <c r="BJ63" s="288"/>
      <c r="BK63" s="159"/>
    </row>
    <row r="64" spans="1:63" ht="12" hidden="1" customHeight="1">
      <c r="A64" s="95"/>
      <c r="B64" s="910"/>
      <c r="C64" s="910"/>
      <c r="D64" s="707"/>
      <c r="E64" s="96"/>
      <c r="F64" s="106" t="str">
        <f>C57 &amp; ".5"</f>
        <v>.1.5</v>
      </c>
      <c r="G64" s="105" t="s">
        <v>726</v>
      </c>
      <c r="H64" s="33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BF64" s="158" t="str">
        <f>C57 &amp; "-I"</f>
        <v>.1-I</v>
      </c>
      <c r="BG64" s="115"/>
      <c r="BH64" s="115"/>
      <c r="BI64" s="288"/>
      <c r="BJ64" s="288"/>
      <c r="BK64" s="159"/>
    </row>
    <row r="65" spans="1:63" ht="12" hidden="1" customHeight="1">
      <c r="A65" s="95"/>
      <c r="B65" s="910"/>
      <c r="C65" s="910"/>
      <c r="D65" s="707"/>
      <c r="E65" s="96"/>
      <c r="F65" s="106" t="str">
        <f>C57 &amp; ".6"</f>
        <v>.1.6</v>
      </c>
      <c r="G65" s="105" t="s">
        <v>727</v>
      </c>
      <c r="H65" s="336"/>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BF65" s="158" t="str">
        <f>C57 &amp; "-I"</f>
        <v>.1-I</v>
      </c>
      <c r="BG65" s="115"/>
      <c r="BH65" s="115"/>
      <c r="BI65" s="288"/>
      <c r="BJ65" s="288"/>
      <c r="BK65" s="159"/>
    </row>
    <row r="66" spans="1:63" ht="12" hidden="1" customHeight="1">
      <c r="A66" s="95"/>
      <c r="B66" s="910"/>
      <c r="C66" s="910"/>
      <c r="D66" s="707"/>
      <c r="E66" s="96"/>
      <c r="F66" s="106" t="str">
        <f>C57 &amp; ".7"</f>
        <v>.1.7</v>
      </c>
      <c r="G66" s="105" t="s">
        <v>728</v>
      </c>
      <c r="H66" s="336"/>
      <c r="I66" s="266"/>
      <c r="J66" s="266"/>
      <c r="K66" s="266"/>
      <c r="L66" s="266"/>
      <c r="M66" s="266"/>
      <c r="N66" s="266"/>
      <c r="O66" s="266"/>
      <c r="P66" s="266"/>
      <c r="Q66" s="266"/>
      <c r="R66" s="266"/>
      <c r="S66" s="266"/>
      <c r="T66" s="266"/>
      <c r="U66" s="266"/>
      <c r="V66" s="266"/>
      <c r="W66" s="266"/>
      <c r="X66" s="266"/>
      <c r="Y66" s="266"/>
      <c r="Z66" s="266"/>
      <c r="AA66" s="266"/>
      <c r="AB66" s="266"/>
      <c r="AC66" s="266"/>
      <c r="AD66" s="266"/>
      <c r="AE66" s="266"/>
      <c r="BF66" s="158" t="str">
        <f>C57 &amp; "-II"</f>
        <v>.1-II</v>
      </c>
      <c r="BG66" s="115"/>
      <c r="BH66" s="115"/>
      <c r="BI66" s="288"/>
      <c r="BJ66" s="288"/>
      <c r="BK66" s="159"/>
    </row>
    <row r="67" spans="1:63" ht="12" hidden="1" customHeight="1">
      <c r="A67" s="95"/>
      <c r="B67" s="910"/>
      <c r="C67" s="910"/>
      <c r="D67" s="707"/>
      <c r="E67" s="96"/>
      <c r="F67" s="106" t="str">
        <f>C57 &amp; ".8"</f>
        <v>.1.8</v>
      </c>
      <c r="G67" s="105" t="s">
        <v>729</v>
      </c>
      <c r="H67" s="336"/>
      <c r="I67" s="266"/>
      <c r="J67" s="266"/>
      <c r="K67" s="266"/>
      <c r="L67" s="266"/>
      <c r="M67" s="266"/>
      <c r="N67" s="266"/>
      <c r="O67" s="266"/>
      <c r="P67" s="266"/>
      <c r="Q67" s="266"/>
      <c r="R67" s="266"/>
      <c r="S67" s="266"/>
      <c r="T67" s="266"/>
      <c r="U67" s="266"/>
      <c r="V67" s="266"/>
      <c r="W67" s="266"/>
      <c r="X67" s="266"/>
      <c r="Y67" s="266"/>
      <c r="Z67" s="266"/>
      <c r="AA67" s="266"/>
      <c r="AB67" s="266"/>
      <c r="AC67" s="266"/>
      <c r="AD67" s="266"/>
      <c r="AE67" s="266"/>
      <c r="BF67" s="158" t="str">
        <f>C57 &amp; "-II"</f>
        <v>.1-II</v>
      </c>
      <c r="BG67" s="115"/>
      <c r="BH67" s="115"/>
      <c r="BI67" s="288"/>
      <c r="BJ67" s="288"/>
      <c r="BK67" s="159"/>
    </row>
    <row r="68" spans="1:63" ht="12" hidden="1" customHeight="1">
      <c r="A68" s="95"/>
      <c r="B68" s="910"/>
      <c r="C68" s="910"/>
      <c r="D68" s="707"/>
      <c r="E68" s="96"/>
      <c r="F68" s="106" t="str">
        <f>C57 &amp; ".9"</f>
        <v>.1.9</v>
      </c>
      <c r="G68" s="105" t="s">
        <v>730</v>
      </c>
      <c r="H68" s="336"/>
      <c r="I68" s="266"/>
      <c r="J68" s="266"/>
      <c r="K68" s="266"/>
      <c r="L68" s="266"/>
      <c r="M68" s="266"/>
      <c r="N68" s="266"/>
      <c r="O68" s="266"/>
      <c r="P68" s="266"/>
      <c r="Q68" s="266"/>
      <c r="R68" s="266"/>
      <c r="S68" s="266"/>
      <c r="T68" s="266"/>
      <c r="U68" s="266"/>
      <c r="V68" s="266"/>
      <c r="W68" s="266"/>
      <c r="X68" s="266"/>
      <c r="Y68" s="266"/>
      <c r="Z68" s="266"/>
      <c r="AA68" s="266"/>
      <c r="AB68" s="266"/>
      <c r="AC68" s="266"/>
      <c r="AD68" s="266"/>
      <c r="AE68" s="266"/>
      <c r="BF68" s="158" t="str">
        <f>C57 &amp; IF(TEMPLATE_CLAIM="P","-II","-III")</f>
        <v>.1-III</v>
      </c>
      <c r="BG68" s="115"/>
      <c r="BH68" s="115"/>
      <c r="BI68" s="288"/>
      <c r="BJ68" s="288"/>
      <c r="BK68" s="159"/>
    </row>
    <row r="69" spans="1:63" ht="12" hidden="1" customHeight="1">
      <c r="A69" s="95"/>
      <c r="B69" s="910"/>
      <c r="C69" s="910"/>
      <c r="D69" s="707"/>
      <c r="E69" s="96"/>
      <c r="F69" s="106" t="str">
        <f>C57 &amp; ".10"</f>
        <v>.1.10</v>
      </c>
      <c r="G69" s="105" t="s">
        <v>731</v>
      </c>
      <c r="H69" s="33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BF69" s="158" t="str">
        <f>C57 &amp; IF(TEMPLATE_CLAIM="P","-II","-III")</f>
        <v>.1-III</v>
      </c>
      <c r="BG69" s="115"/>
      <c r="BH69" s="115"/>
      <c r="BI69" s="288"/>
      <c r="BJ69" s="288"/>
      <c r="BK69" s="159"/>
    </row>
    <row r="70" spans="1:63" ht="12" hidden="1" customHeight="1">
      <c r="A70" s="95"/>
      <c r="B70" s="910"/>
      <c r="C70" s="910"/>
      <c r="D70" s="707"/>
      <c r="E70" s="96"/>
      <c r="F70" s="106" t="str">
        <f>C57 &amp; ".11"</f>
        <v>.1.11</v>
      </c>
      <c r="G70" s="105" t="s">
        <v>732</v>
      </c>
      <c r="H70" s="336"/>
      <c r="I70" s="266"/>
      <c r="J70" s="266"/>
      <c r="K70" s="266"/>
      <c r="L70" s="266"/>
      <c r="M70" s="266"/>
      <c r="N70" s="266"/>
      <c r="O70" s="266"/>
      <c r="P70" s="266"/>
      <c r="Q70" s="266"/>
      <c r="R70" s="266"/>
      <c r="S70" s="266"/>
      <c r="T70" s="266"/>
      <c r="U70" s="266"/>
      <c r="V70" s="266"/>
      <c r="W70" s="266"/>
      <c r="X70" s="266"/>
      <c r="Y70" s="266"/>
      <c r="Z70" s="266"/>
      <c r="AA70" s="266"/>
      <c r="AB70" s="266"/>
      <c r="AC70" s="266"/>
      <c r="AD70" s="266"/>
      <c r="AE70" s="266"/>
      <c r="BF70" s="158" t="str">
        <f>C57 &amp; IF(TEMPLATE_CLAIM="P","-II","-III")</f>
        <v>.1-III</v>
      </c>
      <c r="BG70" s="115"/>
      <c r="BH70" s="115"/>
      <c r="BI70" s="288"/>
      <c r="BJ70" s="288"/>
      <c r="BK70" s="159"/>
    </row>
    <row r="71" spans="1:63" ht="12" hidden="1" customHeight="1">
      <c r="A71" s="95"/>
      <c r="B71" s="910"/>
      <c r="C71" s="910"/>
      <c r="D71" s="707"/>
      <c r="E71" s="96"/>
      <c r="F71" s="106" t="str">
        <f>C57 &amp; ".12"</f>
        <v>.1.12</v>
      </c>
      <c r="G71" s="105" t="s">
        <v>733</v>
      </c>
      <c r="H71" s="33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BF71" s="158" t="str">
        <f>C57 &amp; IF(TEMPLATE_CLAIM="P","-II","-III")</f>
        <v>.1-III</v>
      </c>
      <c r="BG71" s="115"/>
      <c r="BH71" s="115"/>
      <c r="BI71" s="288"/>
      <c r="BJ71" s="288"/>
      <c r="BK71" s="159"/>
    </row>
    <row r="72" spans="1:63" ht="12" hidden="1" customHeight="1">
      <c r="A72" s="95"/>
      <c r="B72" s="910"/>
      <c r="C72" s="910"/>
      <c r="D72" s="707"/>
      <c r="E72" s="96"/>
      <c r="F72" s="106" t="str">
        <f>C58 &amp; ".0"</f>
        <v>.2.0</v>
      </c>
      <c r="G72" s="105" t="s">
        <v>721</v>
      </c>
      <c r="H72" s="336" t="s">
        <v>347</v>
      </c>
      <c r="I72" s="266"/>
      <c r="J72" s="505">
        <f>N72+K72-L72</f>
        <v>0</v>
      </c>
      <c r="K72" s="272"/>
      <c r="L72" s="272"/>
      <c r="M72" s="272"/>
      <c r="N72" s="506">
        <f>P72+O72</f>
        <v>0</v>
      </c>
      <c r="O72" s="272"/>
      <c r="P72" s="506">
        <f t="shared" ref="P72:P84" si="4">Q72+U72+Z72</f>
        <v>0</v>
      </c>
      <c r="Q72" s="271">
        <f>SUM(R72:T72)</f>
        <v>0</v>
      </c>
      <c r="R72" s="271">
        <f>SUM(R73:R84)</f>
        <v>0</v>
      </c>
      <c r="S72" s="271">
        <f>SUM(S73:S84)</f>
        <v>0</v>
      </c>
      <c r="T72" s="271">
        <f>SUM(T73:T84)</f>
        <v>0</v>
      </c>
      <c r="U72" s="271">
        <f>SUM(V72:Y72)</f>
        <v>0</v>
      </c>
      <c r="V72" s="266"/>
      <c r="W72" s="266"/>
      <c r="X72" s="266"/>
      <c r="Y72" s="266"/>
      <c r="Z72" s="271">
        <f>SUM(AA72:AC72)</f>
        <v>0</v>
      </c>
      <c r="AA72" s="271">
        <f>SUM(AA73:AA84)</f>
        <v>0</v>
      </c>
      <c r="AB72" s="271">
        <f>SUM(AB73:AB84)</f>
        <v>0</v>
      </c>
      <c r="AC72" s="271">
        <f>SUM(AC73:AC84)</f>
        <v>0</v>
      </c>
      <c r="AD72" s="266"/>
      <c r="AE72" s="266"/>
      <c r="BA72" s="471">
        <f>IF(J72=0,0,K72/J72*100)</f>
        <v>0</v>
      </c>
      <c r="BF72" s="114" t="s">
        <v>335</v>
      </c>
      <c r="BG72" s="115"/>
      <c r="BH72" s="115"/>
      <c r="BI72" s="288"/>
      <c r="BJ72" s="288"/>
      <c r="BK72" s="159"/>
    </row>
    <row r="73" spans="1:63" ht="12" hidden="1" customHeight="1">
      <c r="A73" s="95"/>
      <c r="B73" s="910"/>
      <c r="C73" s="910"/>
      <c r="D73" s="707"/>
      <c r="E73" s="96"/>
      <c r="F73" s="106" t="str">
        <f>C58 &amp; ".1"</f>
        <v>.2.1</v>
      </c>
      <c r="G73" s="105" t="s">
        <v>722</v>
      </c>
      <c r="H73" s="336" t="s">
        <v>347</v>
      </c>
      <c r="I73" s="266"/>
      <c r="J73" s="266"/>
      <c r="K73" s="266"/>
      <c r="L73" s="266"/>
      <c r="M73" s="266"/>
      <c r="N73" s="266"/>
      <c r="O73" s="266"/>
      <c r="P73" s="506">
        <f t="shared" si="4"/>
        <v>0</v>
      </c>
      <c r="Q73" s="271">
        <f t="shared" ref="Q73:Q84" si="5">SUM(R73:T73)</f>
        <v>0</v>
      </c>
      <c r="R73" s="272"/>
      <c r="S73" s="272"/>
      <c r="T73" s="272"/>
      <c r="U73" s="271">
        <f t="shared" ref="U73:U84" si="6">SUM(V73:Y73)</f>
        <v>0</v>
      </c>
      <c r="V73" s="266"/>
      <c r="W73" s="266"/>
      <c r="X73" s="266"/>
      <c r="Y73" s="266"/>
      <c r="Z73" s="271">
        <f t="shared" ref="Z73:Z84" si="7">SUM(AA73:AC73)</f>
        <v>0</v>
      </c>
      <c r="AA73" s="272"/>
      <c r="AB73" s="272"/>
      <c r="AC73" s="272"/>
      <c r="AD73" s="266"/>
      <c r="AE73" s="266"/>
      <c r="BF73" s="158" t="str">
        <f>C58 &amp; "-I"</f>
        <v>.2-I</v>
      </c>
      <c r="BG73" s="115"/>
      <c r="BH73" s="115"/>
      <c r="BI73" s="288"/>
      <c r="BJ73" s="288"/>
      <c r="BK73" s="159"/>
    </row>
    <row r="74" spans="1:63" ht="12" hidden="1" customHeight="1">
      <c r="A74" s="95"/>
      <c r="B74" s="910"/>
      <c r="C74" s="910"/>
      <c r="D74" s="707"/>
      <c r="E74" s="96"/>
      <c r="F74" s="106" t="str">
        <f>C58 &amp; ".2"</f>
        <v>.2.2</v>
      </c>
      <c r="G74" s="105" t="s">
        <v>723</v>
      </c>
      <c r="H74" s="336" t="s">
        <v>347</v>
      </c>
      <c r="I74" s="266"/>
      <c r="J74" s="266"/>
      <c r="K74" s="266"/>
      <c r="L74" s="266"/>
      <c r="M74" s="266"/>
      <c r="N74" s="266"/>
      <c r="O74" s="266"/>
      <c r="P74" s="506">
        <f t="shared" si="4"/>
        <v>0</v>
      </c>
      <c r="Q74" s="271">
        <f t="shared" si="5"/>
        <v>0</v>
      </c>
      <c r="R74" s="272"/>
      <c r="S74" s="272"/>
      <c r="T74" s="272"/>
      <c r="U74" s="271">
        <f t="shared" si="6"/>
        <v>0</v>
      </c>
      <c r="V74" s="266"/>
      <c r="W74" s="266"/>
      <c r="X74" s="266"/>
      <c r="Y74" s="266"/>
      <c r="Z74" s="271">
        <f t="shared" si="7"/>
        <v>0</v>
      </c>
      <c r="AA74" s="272"/>
      <c r="AB74" s="272"/>
      <c r="AC74" s="272"/>
      <c r="AD74" s="266"/>
      <c r="AE74" s="266"/>
      <c r="BF74" s="158" t="str">
        <f>C58 &amp; "-I"</f>
        <v>.2-I</v>
      </c>
      <c r="BG74" s="115"/>
      <c r="BH74" s="115"/>
      <c r="BI74" s="288"/>
      <c r="BJ74" s="288"/>
      <c r="BK74" s="159"/>
    </row>
    <row r="75" spans="1:63" ht="12" hidden="1" customHeight="1">
      <c r="A75" s="95"/>
      <c r="B75" s="910"/>
      <c r="C75" s="910"/>
      <c r="D75" s="707"/>
      <c r="E75" s="96"/>
      <c r="F75" s="106" t="str">
        <f>C58 &amp; ".3"</f>
        <v>.2.3</v>
      </c>
      <c r="G75" s="105" t="s">
        <v>724</v>
      </c>
      <c r="H75" s="336" t="s">
        <v>347</v>
      </c>
      <c r="I75" s="266"/>
      <c r="J75" s="266"/>
      <c r="K75" s="266"/>
      <c r="L75" s="266"/>
      <c r="M75" s="266"/>
      <c r="N75" s="266"/>
      <c r="O75" s="266"/>
      <c r="P75" s="506">
        <f t="shared" si="4"/>
        <v>0</v>
      </c>
      <c r="Q75" s="271">
        <f t="shared" si="5"/>
        <v>0</v>
      </c>
      <c r="R75" s="272"/>
      <c r="S75" s="272"/>
      <c r="T75" s="272"/>
      <c r="U75" s="271">
        <f t="shared" si="6"/>
        <v>0</v>
      </c>
      <c r="V75" s="266"/>
      <c r="W75" s="266"/>
      <c r="X75" s="266"/>
      <c r="Y75" s="266"/>
      <c r="Z75" s="271">
        <f t="shared" si="7"/>
        <v>0</v>
      </c>
      <c r="AA75" s="272"/>
      <c r="AB75" s="272"/>
      <c r="AC75" s="272"/>
      <c r="AD75" s="266"/>
      <c r="AE75" s="266"/>
      <c r="BF75" s="158" t="str">
        <f>C58 &amp; "-I"</f>
        <v>.2-I</v>
      </c>
      <c r="BG75" s="115"/>
      <c r="BH75" s="115"/>
      <c r="BI75" s="288"/>
      <c r="BJ75" s="288"/>
      <c r="BK75" s="159"/>
    </row>
    <row r="76" spans="1:63" ht="12" hidden="1" customHeight="1">
      <c r="A76" s="95"/>
      <c r="B76" s="910"/>
      <c r="C76" s="910"/>
      <c r="D76" s="707"/>
      <c r="E76" s="96"/>
      <c r="F76" s="106" t="str">
        <f>C58 &amp; ".4"</f>
        <v>.2.4</v>
      </c>
      <c r="G76" s="105" t="s">
        <v>725</v>
      </c>
      <c r="H76" s="336" t="s">
        <v>347</v>
      </c>
      <c r="I76" s="266"/>
      <c r="J76" s="266"/>
      <c r="K76" s="266"/>
      <c r="L76" s="266"/>
      <c r="M76" s="266"/>
      <c r="N76" s="266"/>
      <c r="O76" s="266"/>
      <c r="P76" s="506">
        <f t="shared" si="4"/>
        <v>0</v>
      </c>
      <c r="Q76" s="271">
        <f t="shared" si="5"/>
        <v>0</v>
      </c>
      <c r="R76" s="272"/>
      <c r="S76" s="272"/>
      <c r="T76" s="272"/>
      <c r="U76" s="271">
        <f t="shared" si="6"/>
        <v>0</v>
      </c>
      <c r="V76" s="266"/>
      <c r="W76" s="266"/>
      <c r="X76" s="266"/>
      <c r="Y76" s="266"/>
      <c r="Z76" s="271">
        <f t="shared" si="7"/>
        <v>0</v>
      </c>
      <c r="AA76" s="272"/>
      <c r="AB76" s="272"/>
      <c r="AC76" s="272"/>
      <c r="AD76" s="266"/>
      <c r="AE76" s="266"/>
      <c r="BF76" s="158" t="str">
        <f>C58 &amp; "-I"</f>
        <v>.2-I</v>
      </c>
      <c r="BG76" s="115"/>
      <c r="BH76" s="115"/>
      <c r="BI76" s="288"/>
      <c r="BJ76" s="288"/>
      <c r="BK76" s="159"/>
    </row>
    <row r="77" spans="1:63" ht="12" hidden="1" customHeight="1">
      <c r="A77" s="95"/>
      <c r="B77" s="910"/>
      <c r="C77" s="910"/>
      <c r="D77" s="707"/>
      <c r="E77" s="96"/>
      <c r="F77" s="106" t="str">
        <f>C58 &amp; ".5"</f>
        <v>.2.5</v>
      </c>
      <c r="G77" s="105" t="s">
        <v>726</v>
      </c>
      <c r="H77" s="336" t="s">
        <v>347</v>
      </c>
      <c r="I77" s="266"/>
      <c r="J77" s="266"/>
      <c r="K77" s="266"/>
      <c r="L77" s="266"/>
      <c r="M77" s="266"/>
      <c r="N77" s="266"/>
      <c r="O77" s="266"/>
      <c r="P77" s="506">
        <f t="shared" si="4"/>
        <v>0</v>
      </c>
      <c r="Q77" s="271">
        <f t="shared" si="5"/>
        <v>0</v>
      </c>
      <c r="R77" s="272"/>
      <c r="S77" s="272"/>
      <c r="T77" s="272"/>
      <c r="U77" s="271">
        <f t="shared" si="6"/>
        <v>0</v>
      </c>
      <c r="V77" s="266"/>
      <c r="W77" s="266"/>
      <c r="X77" s="266"/>
      <c r="Y77" s="266"/>
      <c r="Z77" s="271">
        <f t="shared" si="7"/>
        <v>0</v>
      </c>
      <c r="AA77" s="272"/>
      <c r="AB77" s="272"/>
      <c r="AC77" s="272"/>
      <c r="AD77" s="266"/>
      <c r="AE77" s="266"/>
      <c r="BF77" s="158" t="str">
        <f>C58 &amp; "-I"</f>
        <v>.2-I</v>
      </c>
      <c r="BG77" s="115"/>
      <c r="BH77" s="115"/>
      <c r="BI77" s="288"/>
      <c r="BJ77" s="288"/>
      <c r="BK77" s="159"/>
    </row>
    <row r="78" spans="1:63" ht="12" hidden="1" customHeight="1">
      <c r="A78" s="95"/>
      <c r="B78" s="910"/>
      <c r="C78" s="910"/>
      <c r="D78" s="707"/>
      <c r="E78" s="96"/>
      <c r="F78" s="106" t="str">
        <f>C58 &amp; ".6"</f>
        <v>.2.6</v>
      </c>
      <c r="G78" s="105" t="s">
        <v>727</v>
      </c>
      <c r="H78" s="336" t="s">
        <v>347</v>
      </c>
      <c r="I78" s="266"/>
      <c r="J78" s="266"/>
      <c r="K78" s="266"/>
      <c r="L78" s="266"/>
      <c r="M78" s="266"/>
      <c r="N78" s="266"/>
      <c r="O78" s="266"/>
      <c r="P78" s="506">
        <f t="shared" si="4"/>
        <v>0</v>
      </c>
      <c r="Q78" s="271">
        <f t="shared" si="5"/>
        <v>0</v>
      </c>
      <c r="R78" s="272"/>
      <c r="S78" s="272"/>
      <c r="T78" s="272"/>
      <c r="U78" s="271">
        <f t="shared" si="6"/>
        <v>0</v>
      </c>
      <c r="V78" s="266"/>
      <c r="W78" s="266"/>
      <c r="X78" s="266"/>
      <c r="Y78" s="266"/>
      <c r="Z78" s="271">
        <f t="shared" si="7"/>
        <v>0</v>
      </c>
      <c r="AA78" s="272"/>
      <c r="AB78" s="272"/>
      <c r="AC78" s="272"/>
      <c r="AD78" s="266"/>
      <c r="AE78" s="266"/>
      <c r="BF78" s="158" t="str">
        <f>C58 &amp; "-I"</f>
        <v>.2-I</v>
      </c>
      <c r="BG78" s="115"/>
      <c r="BH78" s="115"/>
      <c r="BI78" s="288"/>
      <c r="BJ78" s="288"/>
      <c r="BK78" s="159"/>
    </row>
    <row r="79" spans="1:63" ht="12" hidden="1" customHeight="1">
      <c r="A79" s="95"/>
      <c r="B79" s="910"/>
      <c r="C79" s="910"/>
      <c r="D79" s="707"/>
      <c r="E79" s="96"/>
      <c r="F79" s="106" t="str">
        <f>C58 &amp; ".7"</f>
        <v>.2.7</v>
      </c>
      <c r="G79" s="105" t="s">
        <v>728</v>
      </c>
      <c r="H79" s="336" t="s">
        <v>347</v>
      </c>
      <c r="I79" s="266"/>
      <c r="J79" s="266"/>
      <c r="K79" s="266"/>
      <c r="L79" s="266"/>
      <c r="M79" s="266"/>
      <c r="N79" s="266"/>
      <c r="O79" s="266"/>
      <c r="P79" s="506">
        <f t="shared" si="4"/>
        <v>0</v>
      </c>
      <c r="Q79" s="271">
        <f t="shared" si="5"/>
        <v>0</v>
      </c>
      <c r="R79" s="272"/>
      <c r="S79" s="272"/>
      <c r="T79" s="272"/>
      <c r="U79" s="271">
        <f t="shared" si="6"/>
        <v>0</v>
      </c>
      <c r="V79" s="266"/>
      <c r="W79" s="266"/>
      <c r="X79" s="266"/>
      <c r="Y79" s="266"/>
      <c r="Z79" s="271">
        <f t="shared" si="7"/>
        <v>0</v>
      </c>
      <c r="AA79" s="272"/>
      <c r="AB79" s="272"/>
      <c r="AC79" s="272"/>
      <c r="AD79" s="266"/>
      <c r="AE79" s="266"/>
      <c r="BF79" s="158" t="str">
        <f>C58 &amp; "-II"</f>
        <v>.2-II</v>
      </c>
      <c r="BG79" s="115"/>
      <c r="BH79" s="115"/>
      <c r="BI79" s="288"/>
      <c r="BJ79" s="288"/>
      <c r="BK79" s="159"/>
    </row>
    <row r="80" spans="1:63" ht="12" hidden="1" customHeight="1">
      <c r="A80" s="95"/>
      <c r="B80" s="910"/>
      <c r="C80" s="910"/>
      <c r="D80" s="707"/>
      <c r="E80" s="96"/>
      <c r="F80" s="106" t="str">
        <f>C58 &amp; ".8"</f>
        <v>.2.8</v>
      </c>
      <c r="G80" s="105" t="s">
        <v>729</v>
      </c>
      <c r="H80" s="336" t="s">
        <v>347</v>
      </c>
      <c r="I80" s="266"/>
      <c r="J80" s="266"/>
      <c r="K80" s="266"/>
      <c r="L80" s="266"/>
      <c r="M80" s="266"/>
      <c r="N80" s="266"/>
      <c r="O80" s="266"/>
      <c r="P80" s="506">
        <f t="shared" si="4"/>
        <v>0</v>
      </c>
      <c r="Q80" s="271">
        <f t="shared" si="5"/>
        <v>0</v>
      </c>
      <c r="R80" s="272"/>
      <c r="S80" s="272"/>
      <c r="T80" s="272"/>
      <c r="U80" s="271">
        <f t="shared" si="6"/>
        <v>0</v>
      </c>
      <c r="V80" s="266"/>
      <c r="W80" s="266"/>
      <c r="X80" s="266"/>
      <c r="Y80" s="266"/>
      <c r="Z80" s="271">
        <f t="shared" si="7"/>
        <v>0</v>
      </c>
      <c r="AA80" s="272"/>
      <c r="AB80" s="272"/>
      <c r="AC80" s="272"/>
      <c r="AD80" s="266"/>
      <c r="AE80" s="266"/>
      <c r="BF80" s="158" t="str">
        <f>C58 &amp; "-II"</f>
        <v>.2-II</v>
      </c>
      <c r="BG80" s="115"/>
      <c r="BH80" s="115"/>
      <c r="BI80" s="288"/>
      <c r="BJ80" s="288"/>
      <c r="BK80" s="159"/>
    </row>
    <row r="81" spans="1:63" ht="12" hidden="1" customHeight="1">
      <c r="A81" s="95"/>
      <c r="B81" s="910"/>
      <c r="C81" s="910"/>
      <c r="D81" s="707"/>
      <c r="E81" s="96"/>
      <c r="F81" s="106" t="str">
        <f>C58 &amp; ".9"</f>
        <v>.2.9</v>
      </c>
      <c r="G81" s="105" t="s">
        <v>730</v>
      </c>
      <c r="H81" s="336" t="s">
        <v>347</v>
      </c>
      <c r="I81" s="266"/>
      <c r="J81" s="266"/>
      <c r="K81" s="266"/>
      <c r="L81" s="266"/>
      <c r="M81" s="266"/>
      <c r="N81" s="266"/>
      <c r="O81" s="266"/>
      <c r="P81" s="506">
        <f t="shared" si="4"/>
        <v>0</v>
      </c>
      <c r="Q81" s="271">
        <f t="shared" si="5"/>
        <v>0</v>
      </c>
      <c r="R81" s="272"/>
      <c r="S81" s="272"/>
      <c r="T81" s="272"/>
      <c r="U81" s="271">
        <f t="shared" si="6"/>
        <v>0</v>
      </c>
      <c r="V81" s="266"/>
      <c r="W81" s="266"/>
      <c r="X81" s="266"/>
      <c r="Y81" s="266"/>
      <c r="Z81" s="271">
        <f t="shared" si="7"/>
        <v>0</v>
      </c>
      <c r="AA81" s="272"/>
      <c r="AB81" s="272"/>
      <c r="AC81" s="272"/>
      <c r="AD81" s="266"/>
      <c r="AE81" s="266"/>
      <c r="BF81" s="158" t="str">
        <f>C58 &amp; IF(TEMPLATE_CLAIM="P","-II","-III")</f>
        <v>.2-III</v>
      </c>
      <c r="BG81" s="115"/>
      <c r="BH81" s="115"/>
      <c r="BI81" s="288"/>
      <c r="BJ81" s="288"/>
      <c r="BK81" s="159"/>
    </row>
    <row r="82" spans="1:63" ht="12" hidden="1" customHeight="1">
      <c r="A82" s="95"/>
      <c r="B82" s="910"/>
      <c r="C82" s="910"/>
      <c r="D82" s="707"/>
      <c r="E82" s="96"/>
      <c r="F82" s="106" t="str">
        <f>C58 &amp; ".10"</f>
        <v>.2.10</v>
      </c>
      <c r="G82" s="105" t="s">
        <v>731</v>
      </c>
      <c r="H82" s="336" t="s">
        <v>347</v>
      </c>
      <c r="I82" s="266"/>
      <c r="J82" s="266"/>
      <c r="K82" s="266"/>
      <c r="L82" s="266"/>
      <c r="M82" s="266"/>
      <c r="N82" s="266"/>
      <c r="O82" s="266"/>
      <c r="P82" s="506">
        <f t="shared" si="4"/>
        <v>0</v>
      </c>
      <c r="Q82" s="271">
        <f t="shared" si="5"/>
        <v>0</v>
      </c>
      <c r="R82" s="272"/>
      <c r="S82" s="272"/>
      <c r="T82" s="272"/>
      <c r="U82" s="271">
        <f t="shared" si="6"/>
        <v>0</v>
      </c>
      <c r="V82" s="266"/>
      <c r="W82" s="266"/>
      <c r="X82" s="266"/>
      <c r="Y82" s="266"/>
      <c r="Z82" s="271">
        <f t="shared" si="7"/>
        <v>0</v>
      </c>
      <c r="AA82" s="272"/>
      <c r="AB82" s="272"/>
      <c r="AC82" s="272"/>
      <c r="AD82" s="266"/>
      <c r="AE82" s="266"/>
      <c r="BF82" s="158" t="str">
        <f>C58 &amp; IF(TEMPLATE_CLAIM="P","-II","-III")</f>
        <v>.2-III</v>
      </c>
      <c r="BG82" s="115"/>
      <c r="BH82" s="115"/>
      <c r="BI82" s="288"/>
      <c r="BJ82" s="288"/>
      <c r="BK82" s="159"/>
    </row>
    <row r="83" spans="1:63" ht="12" hidden="1" customHeight="1">
      <c r="A83" s="95"/>
      <c r="B83" s="910"/>
      <c r="C83" s="910"/>
      <c r="D83" s="707"/>
      <c r="E83" s="96"/>
      <c r="F83" s="106" t="str">
        <f>C58 &amp; ".11"</f>
        <v>.2.11</v>
      </c>
      <c r="G83" s="105" t="s">
        <v>732</v>
      </c>
      <c r="H83" s="336" t="s">
        <v>347</v>
      </c>
      <c r="I83" s="266"/>
      <c r="J83" s="266"/>
      <c r="K83" s="266"/>
      <c r="L83" s="266"/>
      <c r="M83" s="266"/>
      <c r="N83" s="266"/>
      <c r="O83" s="266"/>
      <c r="P83" s="506">
        <f t="shared" si="4"/>
        <v>0</v>
      </c>
      <c r="Q83" s="271">
        <f t="shared" si="5"/>
        <v>0</v>
      </c>
      <c r="R83" s="272"/>
      <c r="S83" s="272"/>
      <c r="T83" s="272"/>
      <c r="U83" s="271">
        <f t="shared" si="6"/>
        <v>0</v>
      </c>
      <c r="V83" s="266"/>
      <c r="W83" s="266"/>
      <c r="X83" s="266"/>
      <c r="Y83" s="266"/>
      <c r="Z83" s="271">
        <f t="shared" si="7"/>
        <v>0</v>
      </c>
      <c r="AA83" s="272"/>
      <c r="AB83" s="272"/>
      <c r="AC83" s="272"/>
      <c r="AD83" s="266"/>
      <c r="AE83" s="266"/>
      <c r="BF83" s="158" t="str">
        <f>C58 &amp; IF(TEMPLATE_CLAIM="P","-II","-III")</f>
        <v>.2-III</v>
      </c>
      <c r="BG83" s="115"/>
      <c r="BH83" s="115"/>
      <c r="BI83" s="288"/>
      <c r="BJ83" s="288"/>
      <c r="BK83" s="159"/>
    </row>
    <row r="84" spans="1:63" ht="12" hidden="1" customHeight="1">
      <c r="A84" s="95"/>
      <c r="B84" s="910"/>
      <c r="C84" s="910"/>
      <c r="D84" s="707"/>
      <c r="E84" s="96"/>
      <c r="F84" s="106" t="str">
        <f>C58 &amp; ".12"</f>
        <v>.2.12</v>
      </c>
      <c r="G84" s="105" t="s">
        <v>733</v>
      </c>
      <c r="H84" s="336" t="s">
        <v>347</v>
      </c>
      <c r="I84" s="266"/>
      <c r="J84" s="266"/>
      <c r="K84" s="266"/>
      <c r="L84" s="266"/>
      <c r="M84" s="266"/>
      <c r="N84" s="266"/>
      <c r="O84" s="266"/>
      <c r="P84" s="506">
        <f t="shared" si="4"/>
        <v>0</v>
      </c>
      <c r="Q84" s="271">
        <f t="shared" si="5"/>
        <v>0</v>
      </c>
      <c r="R84" s="272"/>
      <c r="S84" s="272"/>
      <c r="T84" s="272"/>
      <c r="U84" s="271">
        <f t="shared" si="6"/>
        <v>0</v>
      </c>
      <c r="V84" s="266"/>
      <c r="W84" s="266"/>
      <c r="X84" s="266"/>
      <c r="Y84" s="266"/>
      <c r="Z84" s="271">
        <f t="shared" si="7"/>
        <v>0</v>
      </c>
      <c r="AA84" s="272"/>
      <c r="AB84" s="272"/>
      <c r="AC84" s="272"/>
      <c r="AD84" s="266"/>
      <c r="AE84" s="266"/>
      <c r="BF84" s="158" t="str">
        <f>C58 &amp; IF(TEMPLATE_CLAIM="P","-II","-III")</f>
        <v>.2-III</v>
      </c>
      <c r="BG84" s="115"/>
      <c r="BH84" s="115"/>
      <c r="BI84" s="288"/>
      <c r="BJ84" s="288"/>
      <c r="BK84" s="159"/>
    </row>
    <row r="85" spans="1:63" ht="12" hidden="1" customHeight="1">
      <c r="A85" s="95"/>
      <c r="B85" s="910"/>
      <c r="C85" s="119" t="str">
        <f>B85 &amp; ".1"</f>
        <v>.1</v>
      </c>
      <c r="D85" s="714" t="s">
        <v>652</v>
      </c>
      <c r="E85" s="96"/>
      <c r="F85" s="835">
        <f>B85</f>
        <v>0</v>
      </c>
      <c r="G85" s="933"/>
      <c r="H85" s="336" t="s">
        <v>346</v>
      </c>
      <c r="I85" s="266"/>
      <c r="J85" s="934">
        <f>IF(TEMPLATE_CLAIM="P","",N85+K85-L85+N86+K86-L86)</f>
        <v>0</v>
      </c>
      <c r="K85" s="274"/>
      <c r="L85" s="274"/>
      <c r="M85" s="274"/>
      <c r="N85" s="695">
        <f>IF(TEMPLATE_CLAIM="P","",P85+O85)</f>
        <v>0</v>
      </c>
      <c r="O85" s="274"/>
      <c r="P85" s="695">
        <f>IF(TEMPLATE_CLAIM="P","",Q85+U85+Z85)</f>
        <v>0</v>
      </c>
      <c r="Q85" s="691">
        <f>IF(TEMPLATE_CLAIM="P","",SUM(R85:T85))</f>
        <v>0</v>
      </c>
      <c r="R85" s="274"/>
      <c r="S85" s="274"/>
      <c r="T85" s="274"/>
      <c r="U85" s="691">
        <f>IF(TEMPLATE_CLAIM="P","",SUM(V85:Y85))</f>
        <v>0</v>
      </c>
      <c r="V85" s="692"/>
      <c r="W85" s="692"/>
      <c r="X85" s="692"/>
      <c r="Y85" s="692"/>
      <c r="Z85" s="691">
        <f>IF(TEMPLATE_CLAIM="P","",SUM(AA85:AC85))</f>
        <v>0</v>
      </c>
      <c r="AA85" s="274"/>
      <c r="AB85" s="274"/>
      <c r="AC85" s="274"/>
      <c r="AD85" s="274"/>
      <c r="AE85" s="274"/>
      <c r="BF85" s="114" t="s">
        <v>344</v>
      </c>
      <c r="BG85" s="115"/>
      <c r="BH85" s="115"/>
      <c r="BI85" s="288"/>
      <c r="BJ85" s="288"/>
      <c r="BK85" s="159"/>
    </row>
    <row r="86" spans="1:63" ht="12" hidden="1" customHeight="1">
      <c r="A86" s="95"/>
      <c r="B86" s="910"/>
      <c r="C86" s="119" t="str">
        <f>B85 &amp; ".2"</f>
        <v>.2</v>
      </c>
      <c r="D86" s="714" t="s">
        <v>652</v>
      </c>
      <c r="E86" s="96"/>
      <c r="F86" s="935"/>
      <c r="G86" s="933"/>
      <c r="H86" s="336" t="s">
        <v>347</v>
      </c>
      <c r="I86" s="266"/>
      <c r="J86" s="934"/>
      <c r="K86" s="274"/>
      <c r="L86" s="274"/>
      <c r="M86" s="274"/>
      <c r="N86" s="695">
        <f>IF(TEMPLATE_CLAIM="P","",P86+O86)</f>
        <v>0</v>
      </c>
      <c r="O86" s="274"/>
      <c r="P86" s="695">
        <f>IF(TEMPLATE_CLAIM="P","",Q86+U86+Z86)</f>
        <v>0</v>
      </c>
      <c r="Q86" s="691">
        <f>IF(TEMPLATE_CLAIM="P","",SUM(R86:T86))</f>
        <v>0</v>
      </c>
      <c r="R86" s="274"/>
      <c r="S86" s="274"/>
      <c r="T86" s="274"/>
      <c r="U86" s="691">
        <f>IF(TEMPLATE_CLAIM="P","",SUM(V86:Y86))</f>
        <v>0</v>
      </c>
      <c r="V86" s="692"/>
      <c r="W86" s="692"/>
      <c r="X86" s="692"/>
      <c r="Y86" s="692"/>
      <c r="Z86" s="691">
        <f>IF(TEMPLATE_CLAIM="P","",SUM(AA86:AC86))</f>
        <v>0</v>
      </c>
      <c r="AA86" s="274"/>
      <c r="AB86" s="274"/>
      <c r="AC86" s="274"/>
      <c r="AD86" s="692"/>
      <c r="AE86" s="692"/>
      <c r="BF86" s="114" t="s">
        <v>345</v>
      </c>
      <c r="BG86" s="115"/>
      <c r="BH86" s="115"/>
      <c r="BI86" s="288"/>
      <c r="BJ86" s="288"/>
      <c r="BK86" s="159"/>
    </row>
    <row r="87" spans="1:63" ht="12" hidden="1" customHeight="1">
      <c r="A87" s="95"/>
      <c r="B87" s="910"/>
      <c r="C87" s="910"/>
      <c r="D87" s="707"/>
      <c r="E87" s="96"/>
      <c r="F87" s="106" t="str">
        <f>C85 &amp; ".0"</f>
        <v>.1.0</v>
      </c>
      <c r="G87" s="513" t="s">
        <v>721</v>
      </c>
      <c r="H87" s="336" t="s">
        <v>346</v>
      </c>
      <c r="I87" s="266"/>
      <c r="J87" s="505">
        <f>N87+K87-L87</f>
        <v>0</v>
      </c>
      <c r="K87" s="272"/>
      <c r="L87" s="272"/>
      <c r="M87" s="272"/>
      <c r="N87" s="506">
        <f>P87+O87</f>
        <v>0</v>
      </c>
      <c r="O87" s="272"/>
      <c r="P87" s="506">
        <f t="shared" ref="P87:P112" si="8">Q87+U87+Z87</f>
        <v>0</v>
      </c>
      <c r="Q87" s="271">
        <f>SUM(R87:T87)</f>
        <v>0</v>
      </c>
      <c r="R87" s="271">
        <f>SUM(R88:R99)</f>
        <v>0</v>
      </c>
      <c r="S87" s="271">
        <f>SUM(S88:S99)</f>
        <v>0</v>
      </c>
      <c r="T87" s="271">
        <f>SUM(T88:T99)</f>
        <v>0</v>
      </c>
      <c r="U87" s="271">
        <f>SUM(V87:Y87)</f>
        <v>0</v>
      </c>
      <c r="V87" s="266"/>
      <c r="W87" s="266"/>
      <c r="X87" s="266"/>
      <c r="Y87" s="266"/>
      <c r="Z87" s="271">
        <f>SUM(AA87:AC87)</f>
        <v>0</v>
      </c>
      <c r="AA87" s="271">
        <f>SUM(AA88:AA99)</f>
        <v>0</v>
      </c>
      <c r="AB87" s="271">
        <f>SUM(AB88:AB99)</f>
        <v>0</v>
      </c>
      <c r="AC87" s="271">
        <f>SUM(AC88:AC99)</f>
        <v>0</v>
      </c>
      <c r="AD87" s="271">
        <f>SUM(AD88:AD99)</f>
        <v>0</v>
      </c>
      <c r="AE87" s="271">
        <f>SUM(AE88:AE99)</f>
        <v>0</v>
      </c>
      <c r="BA87" s="471">
        <f>IF(J87=0,0,K87/J87*100)</f>
        <v>0</v>
      </c>
      <c r="BF87" s="114" t="s">
        <v>334</v>
      </c>
      <c r="BG87" s="115"/>
      <c r="BH87" s="115"/>
      <c r="BI87" s="288"/>
      <c r="BJ87" s="288"/>
      <c r="BK87" s="159"/>
    </row>
    <row r="88" spans="1:63" ht="12" hidden="1" customHeight="1">
      <c r="A88" s="95"/>
      <c r="B88" s="910"/>
      <c r="C88" s="910"/>
      <c r="D88" s="707"/>
      <c r="E88" s="96"/>
      <c r="F88" s="106" t="str">
        <f>C85 &amp; ".1"</f>
        <v>.1.1</v>
      </c>
      <c r="G88" s="513" t="s">
        <v>722</v>
      </c>
      <c r="H88" s="336" t="s">
        <v>346</v>
      </c>
      <c r="I88" s="266"/>
      <c r="J88" s="266"/>
      <c r="K88" s="266"/>
      <c r="L88" s="266"/>
      <c r="M88" s="266"/>
      <c r="N88" s="266"/>
      <c r="O88" s="266"/>
      <c r="P88" s="506">
        <f t="shared" si="8"/>
        <v>0</v>
      </c>
      <c r="Q88" s="271">
        <f t="shared" ref="Q88:Q112" si="9">SUM(R88:T88)</f>
        <v>0</v>
      </c>
      <c r="R88" s="272"/>
      <c r="S88" s="272"/>
      <c r="T88" s="272"/>
      <c r="U88" s="271">
        <f t="shared" ref="U88:U112" si="10">SUM(V88:Y88)</f>
        <v>0</v>
      </c>
      <c r="V88" s="266"/>
      <c r="W88" s="266"/>
      <c r="X88" s="266"/>
      <c r="Y88" s="266"/>
      <c r="Z88" s="271">
        <f t="shared" ref="Z88:Z112" si="11">SUM(AA88:AC88)</f>
        <v>0</v>
      </c>
      <c r="AA88" s="272"/>
      <c r="AB88" s="272"/>
      <c r="AC88" s="272"/>
      <c r="AD88" s="272"/>
      <c r="AE88" s="272"/>
      <c r="BF88" s="158" t="str">
        <f>C85 &amp; "-I"</f>
        <v>.1-I</v>
      </c>
      <c r="BG88" s="115"/>
      <c r="BH88" s="115"/>
      <c r="BI88" s="288"/>
      <c r="BJ88" s="288"/>
      <c r="BK88" s="159"/>
    </row>
    <row r="89" spans="1:63" ht="12" hidden="1" customHeight="1">
      <c r="A89" s="95"/>
      <c r="B89" s="910"/>
      <c r="C89" s="910"/>
      <c r="D89" s="707"/>
      <c r="E89" s="96"/>
      <c r="F89" s="106" t="str">
        <f>C85 &amp; ".2"</f>
        <v>.1.2</v>
      </c>
      <c r="G89" s="513" t="s">
        <v>723</v>
      </c>
      <c r="H89" s="336" t="s">
        <v>346</v>
      </c>
      <c r="I89" s="266"/>
      <c r="J89" s="266"/>
      <c r="K89" s="266"/>
      <c r="L89" s="266"/>
      <c r="M89" s="266"/>
      <c r="N89" s="266"/>
      <c r="O89" s="266"/>
      <c r="P89" s="506">
        <f t="shared" si="8"/>
        <v>0</v>
      </c>
      <c r="Q89" s="271">
        <f t="shared" si="9"/>
        <v>0</v>
      </c>
      <c r="R89" s="272"/>
      <c r="S89" s="272"/>
      <c r="T89" s="272"/>
      <c r="U89" s="271">
        <f t="shared" si="10"/>
        <v>0</v>
      </c>
      <c r="V89" s="266"/>
      <c r="W89" s="266"/>
      <c r="X89" s="266"/>
      <c r="Y89" s="266"/>
      <c r="Z89" s="271">
        <f t="shared" si="11"/>
        <v>0</v>
      </c>
      <c r="AA89" s="272"/>
      <c r="AB89" s="272"/>
      <c r="AC89" s="272"/>
      <c r="AD89" s="272"/>
      <c r="AE89" s="272"/>
      <c r="BF89" s="158" t="str">
        <f>C85 &amp; "-I"</f>
        <v>.1-I</v>
      </c>
      <c r="BG89" s="115"/>
      <c r="BH89" s="115"/>
      <c r="BI89" s="288"/>
      <c r="BJ89" s="288"/>
      <c r="BK89" s="159"/>
    </row>
    <row r="90" spans="1:63" ht="12" hidden="1" customHeight="1">
      <c r="A90" s="95"/>
      <c r="B90" s="910"/>
      <c r="C90" s="910"/>
      <c r="D90" s="707"/>
      <c r="E90" s="96"/>
      <c r="F90" s="106" t="str">
        <f>C85 &amp; ".3"</f>
        <v>.1.3</v>
      </c>
      <c r="G90" s="513" t="s">
        <v>724</v>
      </c>
      <c r="H90" s="336" t="s">
        <v>346</v>
      </c>
      <c r="I90" s="266"/>
      <c r="J90" s="266"/>
      <c r="K90" s="266"/>
      <c r="L90" s="266"/>
      <c r="M90" s="266"/>
      <c r="N90" s="266"/>
      <c r="O90" s="266"/>
      <c r="P90" s="506">
        <f t="shared" si="8"/>
        <v>0</v>
      </c>
      <c r="Q90" s="271">
        <f t="shared" si="9"/>
        <v>0</v>
      </c>
      <c r="R90" s="272"/>
      <c r="S90" s="272"/>
      <c r="T90" s="272"/>
      <c r="U90" s="271">
        <f t="shared" si="10"/>
        <v>0</v>
      </c>
      <c r="V90" s="266"/>
      <c r="W90" s="266"/>
      <c r="X90" s="266"/>
      <c r="Y90" s="266"/>
      <c r="Z90" s="271">
        <f t="shared" si="11"/>
        <v>0</v>
      </c>
      <c r="AA90" s="272"/>
      <c r="AB90" s="272"/>
      <c r="AC90" s="272"/>
      <c r="AD90" s="272"/>
      <c r="AE90" s="272"/>
      <c r="BF90" s="158" t="str">
        <f>C85 &amp; "-I"</f>
        <v>.1-I</v>
      </c>
      <c r="BG90" s="115"/>
      <c r="BH90" s="115"/>
      <c r="BI90" s="288"/>
      <c r="BJ90" s="288"/>
      <c r="BK90" s="159"/>
    </row>
    <row r="91" spans="1:63" ht="12" hidden="1" customHeight="1">
      <c r="A91" s="95"/>
      <c r="B91" s="910"/>
      <c r="C91" s="910"/>
      <c r="D91" s="707"/>
      <c r="E91" s="96"/>
      <c r="F91" s="106" t="str">
        <f>C85 &amp; ".4"</f>
        <v>.1.4</v>
      </c>
      <c r="G91" s="513" t="s">
        <v>725</v>
      </c>
      <c r="H91" s="336" t="s">
        <v>346</v>
      </c>
      <c r="I91" s="266"/>
      <c r="J91" s="266"/>
      <c r="K91" s="266"/>
      <c r="L91" s="266"/>
      <c r="M91" s="266"/>
      <c r="N91" s="266"/>
      <c r="O91" s="266"/>
      <c r="P91" s="506">
        <f t="shared" si="8"/>
        <v>0</v>
      </c>
      <c r="Q91" s="271">
        <f t="shared" si="9"/>
        <v>0</v>
      </c>
      <c r="R91" s="272"/>
      <c r="S91" s="272"/>
      <c r="T91" s="272"/>
      <c r="U91" s="271">
        <f t="shared" si="10"/>
        <v>0</v>
      </c>
      <c r="V91" s="266"/>
      <c r="W91" s="266"/>
      <c r="X91" s="266"/>
      <c r="Y91" s="266"/>
      <c r="Z91" s="271">
        <f t="shared" si="11"/>
        <v>0</v>
      </c>
      <c r="AA91" s="272"/>
      <c r="AB91" s="272"/>
      <c r="AC91" s="272"/>
      <c r="AD91" s="272"/>
      <c r="AE91" s="272"/>
      <c r="BF91" s="158" t="str">
        <f>C85 &amp; "-I"</f>
        <v>.1-I</v>
      </c>
      <c r="BG91" s="115"/>
      <c r="BH91" s="115"/>
      <c r="BI91" s="288"/>
      <c r="BJ91" s="288"/>
      <c r="BK91" s="159"/>
    </row>
    <row r="92" spans="1:63" ht="12" hidden="1" customHeight="1">
      <c r="A92" s="95"/>
      <c r="B92" s="910"/>
      <c r="C92" s="910"/>
      <c r="D92" s="707"/>
      <c r="E92" s="96"/>
      <c r="F92" s="106" t="str">
        <f>C85 &amp; ".5"</f>
        <v>.1.5</v>
      </c>
      <c r="G92" s="513" t="s">
        <v>726</v>
      </c>
      <c r="H92" s="336" t="s">
        <v>346</v>
      </c>
      <c r="I92" s="266"/>
      <c r="J92" s="266"/>
      <c r="K92" s="266"/>
      <c r="L92" s="266"/>
      <c r="M92" s="266"/>
      <c r="N92" s="266"/>
      <c r="O92" s="266"/>
      <c r="P92" s="506">
        <f t="shared" si="8"/>
        <v>0</v>
      </c>
      <c r="Q92" s="271">
        <f t="shared" si="9"/>
        <v>0</v>
      </c>
      <c r="R92" s="272"/>
      <c r="S92" s="272"/>
      <c r="T92" s="272"/>
      <c r="U92" s="271">
        <f t="shared" si="10"/>
        <v>0</v>
      </c>
      <c r="V92" s="266"/>
      <c r="W92" s="266"/>
      <c r="X92" s="266"/>
      <c r="Y92" s="266"/>
      <c r="Z92" s="271">
        <f t="shared" si="11"/>
        <v>0</v>
      </c>
      <c r="AA92" s="272"/>
      <c r="AB92" s="272"/>
      <c r="AC92" s="272"/>
      <c r="AD92" s="272"/>
      <c r="AE92" s="272"/>
      <c r="BF92" s="158" t="str">
        <f>C85 &amp; "-I"</f>
        <v>.1-I</v>
      </c>
      <c r="BG92" s="115"/>
      <c r="BH92" s="115"/>
      <c r="BI92" s="288"/>
      <c r="BJ92" s="288"/>
      <c r="BK92" s="159"/>
    </row>
    <row r="93" spans="1:63" ht="12" hidden="1" customHeight="1">
      <c r="A93" s="95"/>
      <c r="B93" s="910"/>
      <c r="C93" s="910"/>
      <c r="D93" s="707"/>
      <c r="E93" s="96"/>
      <c r="F93" s="106" t="str">
        <f>C85 &amp; ".6"</f>
        <v>.1.6</v>
      </c>
      <c r="G93" s="513" t="s">
        <v>727</v>
      </c>
      <c r="H93" s="336" t="s">
        <v>346</v>
      </c>
      <c r="I93" s="266"/>
      <c r="J93" s="266"/>
      <c r="K93" s="266"/>
      <c r="L93" s="266"/>
      <c r="M93" s="266"/>
      <c r="N93" s="266"/>
      <c r="O93" s="266"/>
      <c r="P93" s="506">
        <f t="shared" si="8"/>
        <v>0</v>
      </c>
      <c r="Q93" s="271">
        <f t="shared" si="9"/>
        <v>0</v>
      </c>
      <c r="R93" s="272"/>
      <c r="S93" s="272"/>
      <c r="T93" s="272"/>
      <c r="U93" s="271">
        <f t="shared" si="10"/>
        <v>0</v>
      </c>
      <c r="V93" s="266"/>
      <c r="W93" s="266"/>
      <c r="X93" s="266"/>
      <c r="Y93" s="266"/>
      <c r="Z93" s="271">
        <f t="shared" si="11"/>
        <v>0</v>
      </c>
      <c r="AA93" s="272"/>
      <c r="AB93" s="272"/>
      <c r="AC93" s="272"/>
      <c r="AD93" s="272"/>
      <c r="AE93" s="272"/>
      <c r="BF93" s="158" t="str">
        <f>C85 &amp; "-I"</f>
        <v>.1-I</v>
      </c>
      <c r="BG93" s="115"/>
      <c r="BH93" s="115"/>
      <c r="BI93" s="288"/>
      <c r="BJ93" s="288"/>
      <c r="BK93" s="159"/>
    </row>
    <row r="94" spans="1:63" ht="12" hidden="1" customHeight="1">
      <c r="A94" s="95"/>
      <c r="B94" s="910"/>
      <c r="C94" s="910"/>
      <c r="D94" s="707"/>
      <c r="E94" s="96"/>
      <c r="F94" s="106" t="str">
        <f>C85 &amp; ".7"</f>
        <v>.1.7</v>
      </c>
      <c r="G94" s="513" t="s">
        <v>728</v>
      </c>
      <c r="H94" s="336" t="s">
        <v>346</v>
      </c>
      <c r="I94" s="266"/>
      <c r="J94" s="266"/>
      <c r="K94" s="266"/>
      <c r="L94" s="266"/>
      <c r="M94" s="266"/>
      <c r="N94" s="266"/>
      <c r="O94" s="266"/>
      <c r="P94" s="506">
        <f t="shared" si="8"/>
        <v>0</v>
      </c>
      <c r="Q94" s="271">
        <f t="shared" si="9"/>
        <v>0</v>
      </c>
      <c r="R94" s="272"/>
      <c r="S94" s="272"/>
      <c r="T94" s="272"/>
      <c r="U94" s="271">
        <f t="shared" si="10"/>
        <v>0</v>
      </c>
      <c r="V94" s="266"/>
      <c r="W94" s="266"/>
      <c r="X94" s="266"/>
      <c r="Y94" s="266"/>
      <c r="Z94" s="271">
        <f t="shared" si="11"/>
        <v>0</v>
      </c>
      <c r="AA94" s="272"/>
      <c r="AB94" s="272"/>
      <c r="AC94" s="272"/>
      <c r="AD94" s="272"/>
      <c r="AE94" s="272"/>
      <c r="BF94" s="158" t="str">
        <f>C85 &amp; "-II"</f>
        <v>.1-II</v>
      </c>
      <c r="BG94" s="115"/>
      <c r="BH94" s="115"/>
      <c r="BI94" s="288"/>
      <c r="BJ94" s="288"/>
      <c r="BK94" s="159"/>
    </row>
    <row r="95" spans="1:63" ht="12" hidden="1" customHeight="1">
      <c r="A95" s="95"/>
      <c r="B95" s="910"/>
      <c r="C95" s="910"/>
      <c r="D95" s="707"/>
      <c r="E95" s="96"/>
      <c r="F95" s="106" t="str">
        <f>C85 &amp; ".8"</f>
        <v>.1.8</v>
      </c>
      <c r="G95" s="513" t="s">
        <v>729</v>
      </c>
      <c r="H95" s="336" t="s">
        <v>346</v>
      </c>
      <c r="I95" s="266"/>
      <c r="J95" s="266"/>
      <c r="K95" s="266"/>
      <c r="L95" s="266"/>
      <c r="M95" s="266"/>
      <c r="N95" s="266"/>
      <c r="O95" s="266"/>
      <c r="P95" s="506">
        <f t="shared" si="8"/>
        <v>0</v>
      </c>
      <c r="Q95" s="271">
        <f t="shared" si="9"/>
        <v>0</v>
      </c>
      <c r="R95" s="272"/>
      <c r="S95" s="272"/>
      <c r="T95" s="272"/>
      <c r="U95" s="271">
        <f t="shared" si="10"/>
        <v>0</v>
      </c>
      <c r="V95" s="266"/>
      <c r="W95" s="266"/>
      <c r="X95" s="266"/>
      <c r="Y95" s="266"/>
      <c r="Z95" s="271">
        <f t="shared" si="11"/>
        <v>0</v>
      </c>
      <c r="AA95" s="272"/>
      <c r="AB95" s="272"/>
      <c r="AC95" s="272"/>
      <c r="AD95" s="272"/>
      <c r="AE95" s="272"/>
      <c r="BF95" s="158" t="str">
        <f>C85 &amp; "-II"</f>
        <v>.1-II</v>
      </c>
      <c r="BG95" s="115"/>
      <c r="BH95" s="115"/>
      <c r="BI95" s="288"/>
      <c r="BJ95" s="288"/>
      <c r="BK95" s="159"/>
    </row>
    <row r="96" spans="1:63" ht="12" hidden="1" customHeight="1">
      <c r="A96" s="95"/>
      <c r="B96" s="910"/>
      <c r="C96" s="910"/>
      <c r="D96" s="707"/>
      <c r="E96" s="96"/>
      <c r="F96" s="106" t="str">
        <f>C85 &amp; ".9"</f>
        <v>.1.9</v>
      </c>
      <c r="G96" s="513" t="s">
        <v>730</v>
      </c>
      <c r="H96" s="336" t="s">
        <v>346</v>
      </c>
      <c r="I96" s="266"/>
      <c r="J96" s="266"/>
      <c r="K96" s="266"/>
      <c r="L96" s="266"/>
      <c r="M96" s="266"/>
      <c r="N96" s="266"/>
      <c r="O96" s="266"/>
      <c r="P96" s="506">
        <f t="shared" si="8"/>
        <v>0</v>
      </c>
      <c r="Q96" s="271">
        <f t="shared" si="9"/>
        <v>0</v>
      </c>
      <c r="R96" s="272"/>
      <c r="S96" s="272"/>
      <c r="T96" s="272"/>
      <c r="U96" s="271">
        <f t="shared" si="10"/>
        <v>0</v>
      </c>
      <c r="V96" s="266"/>
      <c r="W96" s="266"/>
      <c r="X96" s="266"/>
      <c r="Y96" s="266"/>
      <c r="Z96" s="271">
        <f t="shared" si="11"/>
        <v>0</v>
      </c>
      <c r="AA96" s="272"/>
      <c r="AB96" s="272"/>
      <c r="AC96" s="272"/>
      <c r="AD96" s="272"/>
      <c r="AE96" s="272"/>
      <c r="BF96" s="158" t="str">
        <f>C85 &amp; IF(TEMPLATE_CLAIM="P","-II","-III")</f>
        <v>.1-III</v>
      </c>
      <c r="BG96" s="115"/>
      <c r="BH96" s="115"/>
      <c r="BI96" s="288"/>
      <c r="BJ96" s="288"/>
      <c r="BK96" s="159"/>
    </row>
    <row r="97" spans="1:63" ht="12" hidden="1" customHeight="1">
      <c r="A97" s="95"/>
      <c r="B97" s="910"/>
      <c r="C97" s="910"/>
      <c r="D97" s="707"/>
      <c r="E97" s="96"/>
      <c r="F97" s="106" t="str">
        <f>C85 &amp; ".10"</f>
        <v>.1.10</v>
      </c>
      <c r="G97" s="513" t="s">
        <v>731</v>
      </c>
      <c r="H97" s="336" t="s">
        <v>346</v>
      </c>
      <c r="I97" s="266"/>
      <c r="J97" s="266"/>
      <c r="K97" s="266"/>
      <c r="L97" s="266"/>
      <c r="M97" s="266"/>
      <c r="N97" s="266"/>
      <c r="O97" s="266"/>
      <c r="P97" s="506">
        <f t="shared" si="8"/>
        <v>0</v>
      </c>
      <c r="Q97" s="271">
        <f t="shared" si="9"/>
        <v>0</v>
      </c>
      <c r="R97" s="272"/>
      <c r="S97" s="272"/>
      <c r="T97" s="272"/>
      <c r="U97" s="271">
        <f t="shared" si="10"/>
        <v>0</v>
      </c>
      <c r="V97" s="266"/>
      <c r="W97" s="266"/>
      <c r="X97" s="266"/>
      <c r="Y97" s="266"/>
      <c r="Z97" s="271">
        <f t="shared" si="11"/>
        <v>0</v>
      </c>
      <c r="AA97" s="272"/>
      <c r="AB97" s="272"/>
      <c r="AC97" s="272"/>
      <c r="AD97" s="272"/>
      <c r="AE97" s="272"/>
      <c r="BF97" s="158" t="str">
        <f>C85 &amp; IF(TEMPLATE_CLAIM="P","-II","-III")</f>
        <v>.1-III</v>
      </c>
      <c r="BG97" s="115"/>
      <c r="BH97" s="115"/>
      <c r="BI97" s="288"/>
      <c r="BJ97" s="288"/>
      <c r="BK97" s="159"/>
    </row>
    <row r="98" spans="1:63" ht="12" hidden="1" customHeight="1">
      <c r="A98" s="95"/>
      <c r="B98" s="910"/>
      <c r="C98" s="910"/>
      <c r="D98" s="707"/>
      <c r="E98" s="96"/>
      <c r="F98" s="106" t="str">
        <f>C85 &amp; ".11"</f>
        <v>.1.11</v>
      </c>
      <c r="G98" s="513" t="s">
        <v>732</v>
      </c>
      <c r="H98" s="336" t="s">
        <v>346</v>
      </c>
      <c r="I98" s="266"/>
      <c r="J98" s="266"/>
      <c r="K98" s="266"/>
      <c r="L98" s="266"/>
      <c r="M98" s="266"/>
      <c r="N98" s="266"/>
      <c r="O98" s="266"/>
      <c r="P98" s="506">
        <f t="shared" si="8"/>
        <v>0</v>
      </c>
      <c r="Q98" s="271">
        <f t="shared" si="9"/>
        <v>0</v>
      </c>
      <c r="R98" s="272"/>
      <c r="S98" s="272"/>
      <c r="T98" s="272"/>
      <c r="U98" s="271">
        <f t="shared" si="10"/>
        <v>0</v>
      </c>
      <c r="V98" s="266"/>
      <c r="W98" s="266"/>
      <c r="X98" s="266"/>
      <c r="Y98" s="266"/>
      <c r="Z98" s="271">
        <f t="shared" si="11"/>
        <v>0</v>
      </c>
      <c r="AA98" s="272"/>
      <c r="AB98" s="272"/>
      <c r="AC98" s="272"/>
      <c r="AD98" s="272"/>
      <c r="AE98" s="272"/>
      <c r="BF98" s="158" t="str">
        <f>C85 &amp; IF(TEMPLATE_CLAIM="P","-II","-III")</f>
        <v>.1-III</v>
      </c>
      <c r="BG98" s="115"/>
      <c r="BH98" s="115"/>
      <c r="BI98" s="288"/>
      <c r="BJ98" s="288"/>
      <c r="BK98" s="159"/>
    </row>
    <row r="99" spans="1:63" ht="12" hidden="1" customHeight="1">
      <c r="A99" s="95"/>
      <c r="B99" s="910"/>
      <c r="C99" s="910"/>
      <c r="D99" s="707"/>
      <c r="E99" s="96"/>
      <c r="F99" s="106" t="str">
        <f>C85 &amp; ".12"</f>
        <v>.1.12</v>
      </c>
      <c r="G99" s="513" t="s">
        <v>733</v>
      </c>
      <c r="H99" s="336" t="s">
        <v>346</v>
      </c>
      <c r="I99" s="266"/>
      <c r="J99" s="266"/>
      <c r="K99" s="266"/>
      <c r="L99" s="266"/>
      <c r="M99" s="266"/>
      <c r="N99" s="266"/>
      <c r="O99" s="266"/>
      <c r="P99" s="506">
        <f t="shared" si="8"/>
        <v>0</v>
      </c>
      <c r="Q99" s="271">
        <f t="shared" si="9"/>
        <v>0</v>
      </c>
      <c r="R99" s="272"/>
      <c r="S99" s="272"/>
      <c r="T99" s="272"/>
      <c r="U99" s="271">
        <f t="shared" si="10"/>
        <v>0</v>
      </c>
      <c r="V99" s="266"/>
      <c r="W99" s="266"/>
      <c r="X99" s="266"/>
      <c r="Y99" s="266"/>
      <c r="Z99" s="271">
        <f t="shared" si="11"/>
        <v>0</v>
      </c>
      <c r="AA99" s="272"/>
      <c r="AB99" s="272"/>
      <c r="AC99" s="272"/>
      <c r="AD99" s="272"/>
      <c r="AE99" s="272"/>
      <c r="BF99" s="158" t="str">
        <f>C85 &amp; IF(TEMPLATE_CLAIM="P","-II","-III")</f>
        <v>.1-III</v>
      </c>
      <c r="BG99" s="115"/>
      <c r="BH99" s="115"/>
      <c r="BI99" s="288"/>
      <c r="BJ99" s="288"/>
      <c r="BK99" s="159"/>
    </row>
    <row r="100" spans="1:63" ht="12" hidden="1" customHeight="1">
      <c r="A100" s="95"/>
      <c r="B100" s="910"/>
      <c r="C100" s="910"/>
      <c r="D100" s="707"/>
      <c r="E100" s="96"/>
      <c r="F100" s="106" t="str">
        <f>C86 &amp; ".0"</f>
        <v>.2.0</v>
      </c>
      <c r="G100" s="513" t="s">
        <v>721</v>
      </c>
      <c r="H100" s="336" t="s">
        <v>347</v>
      </c>
      <c r="I100" s="266"/>
      <c r="J100" s="505">
        <f>N100+K100-L100</f>
        <v>0</v>
      </c>
      <c r="K100" s="272"/>
      <c r="L100" s="272"/>
      <c r="M100" s="272"/>
      <c r="N100" s="506">
        <f>P100+O100</f>
        <v>0</v>
      </c>
      <c r="O100" s="272"/>
      <c r="P100" s="506">
        <f t="shared" si="8"/>
        <v>0</v>
      </c>
      <c r="Q100" s="271">
        <f>SUM(R100:T100)</f>
        <v>0</v>
      </c>
      <c r="R100" s="271">
        <f>SUM(R101:R112)</f>
        <v>0</v>
      </c>
      <c r="S100" s="271">
        <f>SUM(S101:S112)</f>
        <v>0</v>
      </c>
      <c r="T100" s="271">
        <f>SUM(T101:T112)</f>
        <v>0</v>
      </c>
      <c r="U100" s="271">
        <f>SUM(V100:Y100)</f>
        <v>0</v>
      </c>
      <c r="V100" s="266"/>
      <c r="W100" s="266"/>
      <c r="X100" s="266"/>
      <c r="Y100" s="266"/>
      <c r="Z100" s="271">
        <f>SUM(AA100:AC100)</f>
        <v>0</v>
      </c>
      <c r="AA100" s="271">
        <f>SUM(AA101:AA112)</f>
        <v>0</v>
      </c>
      <c r="AB100" s="271">
        <f>SUM(AB101:AB112)</f>
        <v>0</v>
      </c>
      <c r="AC100" s="271">
        <f>SUM(AC101:AC112)</f>
        <v>0</v>
      </c>
      <c r="AD100" s="266"/>
      <c r="AE100" s="266"/>
      <c r="BA100" s="471">
        <f>IF(J100=0,0,K100/J100*100)</f>
        <v>0</v>
      </c>
      <c r="BF100" s="114" t="s">
        <v>335</v>
      </c>
      <c r="BG100" s="115"/>
      <c r="BH100" s="115"/>
      <c r="BI100" s="288"/>
      <c r="BJ100" s="288"/>
      <c r="BK100" s="159"/>
    </row>
    <row r="101" spans="1:63" ht="12" hidden="1" customHeight="1">
      <c r="A101" s="95"/>
      <c r="B101" s="910"/>
      <c r="C101" s="910"/>
      <c r="D101" s="707"/>
      <c r="E101" s="96"/>
      <c r="F101" s="106" t="str">
        <f>C86 &amp; ".1"</f>
        <v>.2.1</v>
      </c>
      <c r="G101" s="513" t="s">
        <v>722</v>
      </c>
      <c r="H101" s="336" t="s">
        <v>347</v>
      </c>
      <c r="I101" s="266"/>
      <c r="J101" s="266"/>
      <c r="K101" s="266"/>
      <c r="L101" s="266"/>
      <c r="M101" s="266"/>
      <c r="N101" s="266"/>
      <c r="O101" s="266"/>
      <c r="P101" s="506">
        <f t="shared" si="8"/>
        <v>0</v>
      </c>
      <c r="Q101" s="271">
        <f t="shared" si="9"/>
        <v>0</v>
      </c>
      <c r="R101" s="272"/>
      <c r="S101" s="272"/>
      <c r="T101" s="272"/>
      <c r="U101" s="271">
        <f t="shared" si="10"/>
        <v>0</v>
      </c>
      <c r="V101" s="266"/>
      <c r="W101" s="266"/>
      <c r="X101" s="266"/>
      <c r="Y101" s="266"/>
      <c r="Z101" s="271">
        <f t="shared" si="11"/>
        <v>0</v>
      </c>
      <c r="AA101" s="272"/>
      <c r="AB101" s="272"/>
      <c r="AC101" s="272"/>
      <c r="AD101" s="266"/>
      <c r="AE101" s="266"/>
      <c r="BF101" s="158" t="str">
        <f>C86 &amp; "-I"</f>
        <v>.2-I</v>
      </c>
      <c r="BG101" s="115"/>
      <c r="BH101" s="115"/>
      <c r="BI101" s="288"/>
      <c r="BJ101" s="288"/>
      <c r="BK101" s="159"/>
    </row>
    <row r="102" spans="1:63" ht="12" hidden="1" customHeight="1">
      <c r="A102" s="95"/>
      <c r="B102" s="910"/>
      <c r="C102" s="910"/>
      <c r="D102" s="707"/>
      <c r="E102" s="96"/>
      <c r="F102" s="106" t="str">
        <f>C86 &amp; ".2"</f>
        <v>.2.2</v>
      </c>
      <c r="G102" s="513" t="s">
        <v>723</v>
      </c>
      <c r="H102" s="336" t="s">
        <v>347</v>
      </c>
      <c r="I102" s="266"/>
      <c r="J102" s="266"/>
      <c r="K102" s="266"/>
      <c r="L102" s="266"/>
      <c r="M102" s="266"/>
      <c r="N102" s="266"/>
      <c r="O102" s="266"/>
      <c r="P102" s="506">
        <f t="shared" si="8"/>
        <v>0</v>
      </c>
      <c r="Q102" s="271">
        <f t="shared" si="9"/>
        <v>0</v>
      </c>
      <c r="R102" s="272"/>
      <c r="S102" s="272"/>
      <c r="T102" s="272"/>
      <c r="U102" s="271">
        <f t="shared" si="10"/>
        <v>0</v>
      </c>
      <c r="V102" s="266"/>
      <c r="W102" s="266"/>
      <c r="X102" s="266"/>
      <c r="Y102" s="266"/>
      <c r="Z102" s="271">
        <f t="shared" si="11"/>
        <v>0</v>
      </c>
      <c r="AA102" s="272"/>
      <c r="AB102" s="272"/>
      <c r="AC102" s="272"/>
      <c r="AD102" s="266"/>
      <c r="AE102" s="266"/>
      <c r="BF102" s="158" t="str">
        <f>C86 &amp; "-I"</f>
        <v>.2-I</v>
      </c>
      <c r="BG102" s="115"/>
      <c r="BH102" s="115"/>
      <c r="BI102" s="288"/>
      <c r="BJ102" s="288"/>
      <c r="BK102" s="159"/>
    </row>
    <row r="103" spans="1:63" ht="12" hidden="1" customHeight="1">
      <c r="A103" s="95"/>
      <c r="B103" s="910"/>
      <c r="C103" s="910"/>
      <c r="D103" s="707"/>
      <c r="E103" s="96"/>
      <c r="F103" s="106" t="str">
        <f>C86 &amp; ".3"</f>
        <v>.2.3</v>
      </c>
      <c r="G103" s="513" t="s">
        <v>724</v>
      </c>
      <c r="H103" s="336" t="s">
        <v>347</v>
      </c>
      <c r="I103" s="266"/>
      <c r="J103" s="266"/>
      <c r="K103" s="266"/>
      <c r="L103" s="266"/>
      <c r="M103" s="266"/>
      <c r="N103" s="266"/>
      <c r="O103" s="266"/>
      <c r="P103" s="506">
        <f t="shared" si="8"/>
        <v>0</v>
      </c>
      <c r="Q103" s="271">
        <f t="shared" si="9"/>
        <v>0</v>
      </c>
      <c r="R103" s="272"/>
      <c r="S103" s="272"/>
      <c r="T103" s="272"/>
      <c r="U103" s="271">
        <f t="shared" si="10"/>
        <v>0</v>
      </c>
      <c r="V103" s="266"/>
      <c r="W103" s="266"/>
      <c r="X103" s="266"/>
      <c r="Y103" s="266"/>
      <c r="Z103" s="271">
        <f t="shared" si="11"/>
        <v>0</v>
      </c>
      <c r="AA103" s="272"/>
      <c r="AB103" s="272"/>
      <c r="AC103" s="272"/>
      <c r="AD103" s="266"/>
      <c r="AE103" s="266"/>
      <c r="BF103" s="158" t="str">
        <f>C86 &amp; "-I"</f>
        <v>.2-I</v>
      </c>
      <c r="BG103" s="115"/>
      <c r="BH103" s="115"/>
      <c r="BI103" s="288"/>
      <c r="BJ103" s="288"/>
      <c r="BK103" s="159"/>
    </row>
    <row r="104" spans="1:63" ht="12" hidden="1" customHeight="1">
      <c r="A104" s="95"/>
      <c r="B104" s="910"/>
      <c r="C104" s="910"/>
      <c r="D104" s="707"/>
      <c r="E104" s="96"/>
      <c r="F104" s="106" t="str">
        <f>C86 &amp; ".4"</f>
        <v>.2.4</v>
      </c>
      <c r="G104" s="513" t="s">
        <v>725</v>
      </c>
      <c r="H104" s="336" t="s">
        <v>347</v>
      </c>
      <c r="I104" s="266"/>
      <c r="J104" s="266"/>
      <c r="K104" s="266"/>
      <c r="L104" s="266"/>
      <c r="M104" s="266"/>
      <c r="N104" s="266"/>
      <c r="O104" s="266"/>
      <c r="P104" s="506">
        <f t="shared" si="8"/>
        <v>0</v>
      </c>
      <c r="Q104" s="271">
        <f t="shared" si="9"/>
        <v>0</v>
      </c>
      <c r="R104" s="272"/>
      <c r="S104" s="272"/>
      <c r="T104" s="272"/>
      <c r="U104" s="271">
        <f t="shared" si="10"/>
        <v>0</v>
      </c>
      <c r="V104" s="266"/>
      <c r="W104" s="266"/>
      <c r="X104" s="266"/>
      <c r="Y104" s="266"/>
      <c r="Z104" s="271">
        <f t="shared" si="11"/>
        <v>0</v>
      </c>
      <c r="AA104" s="272"/>
      <c r="AB104" s="272"/>
      <c r="AC104" s="272"/>
      <c r="AD104" s="266"/>
      <c r="AE104" s="266"/>
      <c r="BF104" s="158" t="str">
        <f>C86 &amp; "-I"</f>
        <v>.2-I</v>
      </c>
      <c r="BG104" s="115"/>
      <c r="BH104" s="115"/>
      <c r="BI104" s="288"/>
      <c r="BJ104" s="288"/>
      <c r="BK104" s="159"/>
    </row>
    <row r="105" spans="1:63" ht="12" hidden="1" customHeight="1">
      <c r="A105" s="95"/>
      <c r="B105" s="910"/>
      <c r="C105" s="910"/>
      <c r="D105" s="707"/>
      <c r="E105" s="96"/>
      <c r="F105" s="106" t="str">
        <f>C86 &amp; ".5"</f>
        <v>.2.5</v>
      </c>
      <c r="G105" s="513" t="s">
        <v>726</v>
      </c>
      <c r="H105" s="336" t="s">
        <v>347</v>
      </c>
      <c r="I105" s="266"/>
      <c r="J105" s="266"/>
      <c r="K105" s="266"/>
      <c r="L105" s="266"/>
      <c r="M105" s="266"/>
      <c r="N105" s="266"/>
      <c r="O105" s="266"/>
      <c r="P105" s="506">
        <f t="shared" si="8"/>
        <v>0</v>
      </c>
      <c r="Q105" s="271">
        <f t="shared" si="9"/>
        <v>0</v>
      </c>
      <c r="R105" s="272"/>
      <c r="S105" s="272"/>
      <c r="T105" s="272"/>
      <c r="U105" s="271">
        <f t="shared" si="10"/>
        <v>0</v>
      </c>
      <c r="V105" s="266"/>
      <c r="W105" s="266"/>
      <c r="X105" s="266"/>
      <c r="Y105" s="266"/>
      <c r="Z105" s="271">
        <f t="shared" si="11"/>
        <v>0</v>
      </c>
      <c r="AA105" s="272"/>
      <c r="AB105" s="272"/>
      <c r="AC105" s="272"/>
      <c r="AD105" s="266"/>
      <c r="AE105" s="266"/>
      <c r="BF105" s="158" t="str">
        <f>C86 &amp; "-I"</f>
        <v>.2-I</v>
      </c>
      <c r="BG105" s="115"/>
      <c r="BH105" s="115"/>
      <c r="BI105" s="288"/>
      <c r="BJ105" s="288"/>
      <c r="BK105" s="159"/>
    </row>
    <row r="106" spans="1:63" ht="12" hidden="1" customHeight="1">
      <c r="A106" s="95"/>
      <c r="B106" s="910"/>
      <c r="C106" s="910"/>
      <c r="D106" s="707"/>
      <c r="E106" s="96"/>
      <c r="F106" s="106" t="str">
        <f>C86 &amp; ".6"</f>
        <v>.2.6</v>
      </c>
      <c r="G106" s="513" t="s">
        <v>727</v>
      </c>
      <c r="H106" s="336" t="s">
        <v>347</v>
      </c>
      <c r="I106" s="266"/>
      <c r="J106" s="266"/>
      <c r="K106" s="266"/>
      <c r="L106" s="266"/>
      <c r="M106" s="266"/>
      <c r="N106" s="266"/>
      <c r="O106" s="266"/>
      <c r="P106" s="506">
        <f t="shared" si="8"/>
        <v>0</v>
      </c>
      <c r="Q106" s="271">
        <f t="shared" si="9"/>
        <v>0</v>
      </c>
      <c r="R106" s="272"/>
      <c r="S106" s="272"/>
      <c r="T106" s="272"/>
      <c r="U106" s="271">
        <f t="shared" si="10"/>
        <v>0</v>
      </c>
      <c r="V106" s="266"/>
      <c r="W106" s="266"/>
      <c r="X106" s="266"/>
      <c r="Y106" s="266"/>
      <c r="Z106" s="271">
        <f t="shared" si="11"/>
        <v>0</v>
      </c>
      <c r="AA106" s="272"/>
      <c r="AB106" s="272"/>
      <c r="AC106" s="272"/>
      <c r="AD106" s="266"/>
      <c r="AE106" s="266"/>
      <c r="BF106" s="158" t="str">
        <f>C86 &amp; "-I"</f>
        <v>.2-I</v>
      </c>
      <c r="BG106" s="115"/>
      <c r="BH106" s="115"/>
      <c r="BI106" s="288"/>
      <c r="BJ106" s="288"/>
      <c r="BK106" s="159"/>
    </row>
    <row r="107" spans="1:63" ht="12" hidden="1" customHeight="1">
      <c r="A107" s="95"/>
      <c r="B107" s="910"/>
      <c r="C107" s="910"/>
      <c r="D107" s="707"/>
      <c r="E107" s="96"/>
      <c r="F107" s="106" t="str">
        <f>C86 &amp; ".7"</f>
        <v>.2.7</v>
      </c>
      <c r="G107" s="513" t="s">
        <v>728</v>
      </c>
      <c r="H107" s="336" t="s">
        <v>347</v>
      </c>
      <c r="I107" s="266"/>
      <c r="J107" s="266"/>
      <c r="K107" s="266"/>
      <c r="L107" s="266"/>
      <c r="M107" s="266"/>
      <c r="N107" s="266"/>
      <c r="O107" s="266"/>
      <c r="P107" s="506">
        <f t="shared" si="8"/>
        <v>0</v>
      </c>
      <c r="Q107" s="271">
        <f t="shared" si="9"/>
        <v>0</v>
      </c>
      <c r="R107" s="272"/>
      <c r="S107" s="272"/>
      <c r="T107" s="272"/>
      <c r="U107" s="271">
        <f t="shared" si="10"/>
        <v>0</v>
      </c>
      <c r="V107" s="266"/>
      <c r="W107" s="266"/>
      <c r="X107" s="266"/>
      <c r="Y107" s="266"/>
      <c r="Z107" s="271">
        <f t="shared" si="11"/>
        <v>0</v>
      </c>
      <c r="AA107" s="272"/>
      <c r="AB107" s="272"/>
      <c r="AC107" s="272"/>
      <c r="AD107" s="266"/>
      <c r="AE107" s="266"/>
      <c r="BF107" s="158" t="str">
        <f>C86 &amp; "-II"</f>
        <v>.2-II</v>
      </c>
      <c r="BG107" s="115"/>
      <c r="BH107" s="115"/>
      <c r="BI107" s="288"/>
      <c r="BJ107" s="288"/>
      <c r="BK107" s="159"/>
    </row>
    <row r="108" spans="1:63" ht="12" hidden="1" customHeight="1">
      <c r="A108" s="95"/>
      <c r="B108" s="910"/>
      <c r="C108" s="910"/>
      <c r="D108" s="707"/>
      <c r="E108" s="96"/>
      <c r="F108" s="106" t="str">
        <f>C86 &amp; ".8"</f>
        <v>.2.8</v>
      </c>
      <c r="G108" s="513" t="s">
        <v>729</v>
      </c>
      <c r="H108" s="336" t="s">
        <v>347</v>
      </c>
      <c r="I108" s="266"/>
      <c r="J108" s="266"/>
      <c r="K108" s="266"/>
      <c r="L108" s="266"/>
      <c r="M108" s="266"/>
      <c r="N108" s="266"/>
      <c r="O108" s="266"/>
      <c r="P108" s="506">
        <f t="shared" si="8"/>
        <v>0</v>
      </c>
      <c r="Q108" s="271">
        <f t="shared" si="9"/>
        <v>0</v>
      </c>
      <c r="R108" s="272"/>
      <c r="S108" s="272"/>
      <c r="T108" s="272"/>
      <c r="U108" s="271">
        <f t="shared" si="10"/>
        <v>0</v>
      </c>
      <c r="V108" s="266"/>
      <c r="W108" s="266"/>
      <c r="X108" s="266"/>
      <c r="Y108" s="266"/>
      <c r="Z108" s="271">
        <f t="shared" si="11"/>
        <v>0</v>
      </c>
      <c r="AA108" s="272"/>
      <c r="AB108" s="272"/>
      <c r="AC108" s="272"/>
      <c r="AD108" s="266"/>
      <c r="AE108" s="266"/>
      <c r="BF108" s="158" t="str">
        <f>C86 &amp; "-II"</f>
        <v>.2-II</v>
      </c>
      <c r="BG108" s="115"/>
      <c r="BH108" s="115"/>
      <c r="BI108" s="288"/>
      <c r="BJ108" s="288"/>
      <c r="BK108" s="159"/>
    </row>
    <row r="109" spans="1:63" ht="12" hidden="1" customHeight="1">
      <c r="A109" s="95"/>
      <c r="B109" s="910"/>
      <c r="C109" s="910"/>
      <c r="D109" s="707"/>
      <c r="E109" s="96"/>
      <c r="F109" s="106" t="str">
        <f>C86 &amp; ".9"</f>
        <v>.2.9</v>
      </c>
      <c r="G109" s="513" t="s">
        <v>730</v>
      </c>
      <c r="H109" s="336" t="s">
        <v>347</v>
      </c>
      <c r="I109" s="266"/>
      <c r="J109" s="266"/>
      <c r="K109" s="266"/>
      <c r="L109" s="266"/>
      <c r="M109" s="266"/>
      <c r="N109" s="266"/>
      <c r="O109" s="266"/>
      <c r="P109" s="506">
        <f t="shared" si="8"/>
        <v>0</v>
      </c>
      <c r="Q109" s="271">
        <f t="shared" si="9"/>
        <v>0</v>
      </c>
      <c r="R109" s="272"/>
      <c r="S109" s="272"/>
      <c r="T109" s="272"/>
      <c r="U109" s="271">
        <f t="shared" si="10"/>
        <v>0</v>
      </c>
      <c r="V109" s="266"/>
      <c r="W109" s="266"/>
      <c r="X109" s="266"/>
      <c r="Y109" s="266"/>
      <c r="Z109" s="271">
        <f t="shared" si="11"/>
        <v>0</v>
      </c>
      <c r="AA109" s="272"/>
      <c r="AB109" s="272"/>
      <c r="AC109" s="272"/>
      <c r="AD109" s="266"/>
      <c r="AE109" s="266"/>
      <c r="BF109" s="158" t="str">
        <f>C86 &amp; IF(TEMPLATE_CLAIM="P","-II","-III")</f>
        <v>.2-III</v>
      </c>
      <c r="BG109" s="115"/>
      <c r="BH109" s="115"/>
      <c r="BI109" s="288"/>
      <c r="BJ109" s="288"/>
      <c r="BK109" s="159"/>
    </row>
    <row r="110" spans="1:63" ht="12" hidden="1" customHeight="1">
      <c r="A110" s="95"/>
      <c r="B110" s="910"/>
      <c r="C110" s="910"/>
      <c r="D110" s="707"/>
      <c r="E110" s="96"/>
      <c r="F110" s="106" t="str">
        <f>C86 &amp; ".10"</f>
        <v>.2.10</v>
      </c>
      <c r="G110" s="513" t="s">
        <v>731</v>
      </c>
      <c r="H110" s="336" t="s">
        <v>347</v>
      </c>
      <c r="I110" s="266"/>
      <c r="J110" s="266"/>
      <c r="K110" s="266"/>
      <c r="L110" s="266"/>
      <c r="M110" s="266"/>
      <c r="N110" s="266"/>
      <c r="O110" s="266"/>
      <c r="P110" s="506">
        <f t="shared" si="8"/>
        <v>0</v>
      </c>
      <c r="Q110" s="271">
        <f t="shared" si="9"/>
        <v>0</v>
      </c>
      <c r="R110" s="272"/>
      <c r="S110" s="272"/>
      <c r="T110" s="272"/>
      <c r="U110" s="271">
        <f t="shared" si="10"/>
        <v>0</v>
      </c>
      <c r="V110" s="266"/>
      <c r="W110" s="266"/>
      <c r="X110" s="266"/>
      <c r="Y110" s="266"/>
      <c r="Z110" s="271">
        <f t="shared" si="11"/>
        <v>0</v>
      </c>
      <c r="AA110" s="272"/>
      <c r="AB110" s="272"/>
      <c r="AC110" s="272"/>
      <c r="AD110" s="266"/>
      <c r="AE110" s="266"/>
      <c r="BF110" s="158" t="str">
        <f>C86 &amp; IF(TEMPLATE_CLAIM="P","-II","-III")</f>
        <v>.2-III</v>
      </c>
      <c r="BG110" s="115"/>
      <c r="BH110" s="115"/>
      <c r="BI110" s="288"/>
      <c r="BJ110" s="288"/>
      <c r="BK110" s="159"/>
    </row>
    <row r="111" spans="1:63" ht="12" hidden="1" customHeight="1">
      <c r="A111" s="95"/>
      <c r="B111" s="910"/>
      <c r="C111" s="910"/>
      <c r="D111" s="707"/>
      <c r="E111" s="96"/>
      <c r="F111" s="106" t="str">
        <f>C86 &amp; ".11"</f>
        <v>.2.11</v>
      </c>
      <c r="G111" s="513" t="s">
        <v>732</v>
      </c>
      <c r="H111" s="336" t="s">
        <v>347</v>
      </c>
      <c r="I111" s="266"/>
      <c r="J111" s="266"/>
      <c r="K111" s="266"/>
      <c r="L111" s="266"/>
      <c r="M111" s="266"/>
      <c r="N111" s="266"/>
      <c r="O111" s="266"/>
      <c r="P111" s="506">
        <f t="shared" si="8"/>
        <v>0</v>
      </c>
      <c r="Q111" s="271">
        <f t="shared" si="9"/>
        <v>0</v>
      </c>
      <c r="R111" s="272"/>
      <c r="S111" s="272"/>
      <c r="T111" s="272"/>
      <c r="U111" s="271">
        <f t="shared" si="10"/>
        <v>0</v>
      </c>
      <c r="V111" s="266"/>
      <c r="W111" s="266"/>
      <c r="X111" s="266"/>
      <c r="Y111" s="266"/>
      <c r="Z111" s="271">
        <f t="shared" si="11"/>
        <v>0</v>
      </c>
      <c r="AA111" s="272"/>
      <c r="AB111" s="272"/>
      <c r="AC111" s="272"/>
      <c r="AD111" s="266"/>
      <c r="AE111" s="266"/>
      <c r="BF111" s="158" t="str">
        <f>C86 &amp; IF(TEMPLATE_CLAIM="P","-II","-III")</f>
        <v>.2-III</v>
      </c>
      <c r="BG111" s="115"/>
      <c r="BH111" s="115"/>
      <c r="BI111" s="288"/>
      <c r="BJ111" s="288"/>
      <c r="BK111" s="159"/>
    </row>
    <row r="112" spans="1:63" ht="12" hidden="1" customHeight="1">
      <c r="A112" s="95"/>
      <c r="B112" s="910"/>
      <c r="C112" s="910"/>
      <c r="D112" s="707"/>
      <c r="E112" s="96"/>
      <c r="F112" s="106" t="str">
        <f>C86 &amp; ".12"</f>
        <v>.2.12</v>
      </c>
      <c r="G112" s="513" t="s">
        <v>733</v>
      </c>
      <c r="H112" s="336" t="s">
        <v>347</v>
      </c>
      <c r="I112" s="266"/>
      <c r="J112" s="266"/>
      <c r="K112" s="266"/>
      <c r="L112" s="266"/>
      <c r="M112" s="266"/>
      <c r="N112" s="266"/>
      <c r="O112" s="266"/>
      <c r="P112" s="506">
        <f t="shared" si="8"/>
        <v>0</v>
      </c>
      <c r="Q112" s="271">
        <f t="shared" si="9"/>
        <v>0</v>
      </c>
      <c r="R112" s="272"/>
      <c r="S112" s="272"/>
      <c r="T112" s="272"/>
      <c r="U112" s="271">
        <f t="shared" si="10"/>
        <v>0</v>
      </c>
      <c r="V112" s="266"/>
      <c r="W112" s="266"/>
      <c r="X112" s="266"/>
      <c r="Y112" s="266"/>
      <c r="Z112" s="271">
        <f t="shared" si="11"/>
        <v>0</v>
      </c>
      <c r="AA112" s="272"/>
      <c r="AB112" s="272"/>
      <c r="AC112" s="272"/>
      <c r="AD112" s="266"/>
      <c r="AE112" s="266"/>
      <c r="BF112" s="158" t="str">
        <f>C86 &amp; IF(TEMPLATE_CLAIM="P","-II","-III")</f>
        <v>.2-III</v>
      </c>
      <c r="BG112" s="115"/>
      <c r="BH112" s="115"/>
      <c r="BI112" s="288"/>
      <c r="BJ112" s="288"/>
      <c r="BK112" s="159"/>
    </row>
    <row r="113" spans="1:65" hidden="1">
      <c r="A113" s="95"/>
      <c r="B113" s="79"/>
      <c r="C113" s="95"/>
      <c r="D113" s="707"/>
      <c r="E113" s="94"/>
      <c r="F113" s="42"/>
    </row>
    <row r="114" spans="1:65" hidden="1">
      <c r="A114" s="95"/>
      <c r="B114" s="79"/>
      <c r="C114" s="95"/>
      <c r="D114" s="707"/>
      <c r="F114" s="42"/>
    </row>
    <row r="115" spans="1:65" customFormat="1" hidden="1">
      <c r="A115" s="95"/>
      <c r="B115" s="79"/>
      <c r="C115" s="95"/>
      <c r="D115" s="707"/>
      <c r="F115" s="514"/>
    </row>
    <row r="116" spans="1:65" customFormat="1" hidden="1">
      <c r="A116" s="95"/>
      <c r="B116" s="79"/>
      <c r="C116" s="95"/>
      <c r="D116" s="707"/>
      <c r="F116" s="514"/>
    </row>
    <row r="117" spans="1:65" customFormat="1" hidden="1">
      <c r="A117" s="95"/>
      <c r="B117" s="79"/>
      <c r="C117" s="95"/>
      <c r="D117" s="707"/>
      <c r="F117" s="514"/>
    </row>
    <row r="118" spans="1:65" s="42" customFormat="1" ht="12" customHeight="1">
      <c r="A118" s="95"/>
      <c r="B118" s="100"/>
      <c r="C118" s="101"/>
      <c r="D118" s="709"/>
      <c r="E118" s="101"/>
      <c r="F118" s="101"/>
      <c r="G118" s="730" t="s">
        <v>2665</v>
      </c>
      <c r="H118" s="101"/>
      <c r="I118" s="101"/>
      <c r="J118" s="101"/>
      <c r="K118" s="101"/>
      <c r="L118" s="101"/>
      <c r="M118" s="101"/>
      <c r="N118" s="101"/>
      <c r="O118" s="101"/>
      <c r="P118" s="101"/>
      <c r="Q118" s="101"/>
      <c r="R118" s="101"/>
      <c r="S118" s="101"/>
      <c r="T118" s="101"/>
      <c r="U118" s="101"/>
      <c r="V118" s="101"/>
      <c r="W118" s="101"/>
      <c r="X118" s="101"/>
      <c r="Y118" s="440"/>
      <c r="Z118" s="440"/>
      <c r="AA118" s="440"/>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61"/>
      <c r="BJ118" s="159"/>
      <c r="BK118" s="159"/>
      <c r="BL118" s="39"/>
      <c r="BM118" s="39"/>
    </row>
    <row r="119" spans="1:65" s="42" customFormat="1" ht="18" customHeight="1">
      <c r="A119" s="95"/>
      <c r="B119" s="100"/>
      <c r="C119" s="101"/>
      <c r="D119" s="709"/>
      <c r="E119" s="96"/>
      <c r="F119" s="422" t="str">
        <f>"Баланс " &amp; TEMPLATE_SPHERE &amp; " по муниципальному образованию - " &amp; IF(mo="","Не определено",mo)</f>
        <v>Баланс водоотведения по муниципальному образованию - Село Булава</v>
      </c>
      <c r="G119" s="415"/>
      <c r="H119" s="415"/>
      <c r="I119" s="415"/>
      <c r="J119" s="415"/>
      <c r="K119" s="414"/>
      <c r="L119" s="414"/>
      <c r="M119" s="414"/>
      <c r="N119" s="414"/>
      <c r="O119" s="414"/>
      <c r="P119" s="414"/>
      <c r="Q119" s="414"/>
      <c r="R119" s="414"/>
      <c r="S119" s="414"/>
      <c r="T119" s="414"/>
      <c r="U119" s="414"/>
      <c r="V119" s="414"/>
      <c r="W119" s="414"/>
      <c r="X119" s="414"/>
      <c r="Y119" s="441"/>
      <c r="Z119" s="441"/>
      <c r="AA119" s="444"/>
      <c r="AB119" s="414"/>
      <c r="AC119" s="414"/>
      <c r="AD119" s="414"/>
      <c r="AE119" s="414"/>
      <c r="AF119" s="414"/>
      <c r="AG119" s="414"/>
      <c r="AH119" s="414"/>
      <c r="AI119" s="414"/>
      <c r="AJ119" s="414"/>
      <c r="AK119" s="414"/>
      <c r="AL119" s="414"/>
      <c r="AM119" s="414"/>
      <c r="AN119" s="414"/>
      <c r="AO119" s="414"/>
      <c r="AP119" s="414"/>
      <c r="AQ119" s="414"/>
      <c r="AR119" s="414"/>
      <c r="AS119" s="414"/>
      <c r="AT119" s="414"/>
      <c r="AU119" s="414"/>
      <c r="AV119" s="414"/>
      <c r="AW119" s="414"/>
      <c r="AX119" s="414"/>
      <c r="AY119" s="414"/>
      <c r="AZ119" s="414"/>
      <c r="BA119" s="414"/>
      <c r="BB119" s="414"/>
      <c r="BC119" s="414"/>
      <c r="BD119" s="414"/>
      <c r="BE119" s="414"/>
      <c r="BF119" s="407"/>
      <c r="BG119" s="407"/>
      <c r="BH119" s="407"/>
      <c r="BI119" s="161"/>
      <c r="BJ119" s="159"/>
      <c r="BK119" s="159"/>
      <c r="BL119" s="39"/>
      <c r="BM119" s="39"/>
    </row>
    <row r="120" spans="1:65" customFormat="1" ht="12" customHeight="1">
      <c r="A120" s="95"/>
      <c r="B120" s="100"/>
      <c r="C120" s="101"/>
      <c r="D120" s="709"/>
      <c r="F120" s="44" t="s">
        <v>343</v>
      </c>
      <c r="Y120" s="100" t="s">
        <v>720</v>
      </c>
    </row>
    <row r="121" spans="1:65" ht="24" customHeight="1">
      <c r="B121" s="79"/>
      <c r="C121" s="95"/>
      <c r="D121" s="708"/>
      <c r="E121"/>
      <c r="F121" s="936" t="s">
        <v>641</v>
      </c>
      <c r="G121" s="930" t="s">
        <v>735</v>
      </c>
      <c r="H121" s="930" t="s">
        <v>2738</v>
      </c>
      <c r="I121" s="930"/>
      <c r="J121" s="930" t="s">
        <v>2795</v>
      </c>
      <c r="K121" s="930" t="s">
        <v>43</v>
      </c>
      <c r="L121" s="930" t="s">
        <v>2796</v>
      </c>
      <c r="M121" s="930" t="s">
        <v>2797</v>
      </c>
      <c r="N121" s="930" t="s">
        <v>2798</v>
      </c>
      <c r="O121" s="930" t="s">
        <v>2799</v>
      </c>
      <c r="P121" s="930" t="s">
        <v>2800</v>
      </c>
      <c r="Q121" s="930" t="s">
        <v>2801</v>
      </c>
      <c r="R121" s="930"/>
      <c r="S121" s="930"/>
      <c r="T121" s="930"/>
      <c r="U121" s="930" t="s">
        <v>2802</v>
      </c>
      <c r="V121" s="930"/>
      <c r="W121" s="930"/>
      <c r="X121" s="930"/>
      <c r="Y121" s="930"/>
      <c r="Z121" s="930" t="s">
        <v>2803</v>
      </c>
      <c r="AA121" s="930"/>
      <c r="AB121" s="930"/>
      <c r="AC121" s="930"/>
      <c r="AD121" s="931" t="s">
        <v>2804</v>
      </c>
      <c r="AE121" s="931" t="s">
        <v>2805</v>
      </c>
      <c r="BF121" s="114"/>
    </row>
    <row r="122" spans="1:65" s="45" customFormat="1" ht="15.75" customHeight="1">
      <c r="A122" s="39"/>
      <c r="B122" s="103"/>
      <c r="C122" s="102"/>
      <c r="D122" s="708"/>
      <c r="E122"/>
      <c r="F122" s="936"/>
      <c r="G122" s="930"/>
      <c r="H122" s="930"/>
      <c r="I122" s="930"/>
      <c r="J122" s="930"/>
      <c r="K122" s="930"/>
      <c r="L122" s="930"/>
      <c r="M122" s="930"/>
      <c r="N122" s="930"/>
      <c r="O122" s="930"/>
      <c r="P122" s="930"/>
      <c r="Q122" s="930" t="s">
        <v>2806</v>
      </c>
      <c r="R122" s="932" t="s">
        <v>2807</v>
      </c>
      <c r="S122" s="932" t="s">
        <v>2808</v>
      </c>
      <c r="T122" s="932" t="s">
        <v>2809</v>
      </c>
      <c r="U122" s="930" t="s">
        <v>745</v>
      </c>
      <c r="V122" s="151"/>
      <c r="W122" s="498"/>
      <c r="X122" s="152">
        <v>0</v>
      </c>
      <c r="Y122" s="151"/>
      <c r="Z122" s="930" t="s">
        <v>745</v>
      </c>
      <c r="AA122" s="930" t="s">
        <v>757</v>
      </c>
      <c r="AB122" s="930" t="s">
        <v>748</v>
      </c>
      <c r="AC122" s="930" t="s">
        <v>749</v>
      </c>
      <c r="AD122" s="931"/>
      <c r="AE122" s="931"/>
      <c r="AF122"/>
      <c r="AG122"/>
      <c r="AH122"/>
      <c r="AI122"/>
      <c r="AJ122"/>
      <c r="AK122"/>
      <c r="AL122"/>
      <c r="AM122"/>
      <c r="AN122"/>
      <c r="AO122"/>
      <c r="AP122"/>
      <c r="AQ122"/>
      <c r="AR122"/>
      <c r="AS122"/>
      <c r="AT122"/>
      <c r="AU122"/>
      <c r="AV122"/>
      <c r="AW122"/>
      <c r="AX122"/>
      <c r="AY122"/>
      <c r="AZ122"/>
      <c r="BA122"/>
      <c r="BB122"/>
      <c r="BC122"/>
      <c r="BD122"/>
      <c r="BE122"/>
      <c r="BF122" s="221"/>
      <c r="BG122" s="221"/>
      <c r="BH122" s="221"/>
      <c r="BI122" s="291"/>
      <c r="BJ122" s="291"/>
      <c r="BK122" s="290"/>
    </row>
    <row r="123" spans="1:65" s="45" customFormat="1" ht="48.75" customHeight="1">
      <c r="A123" s="39"/>
      <c r="B123" s="103"/>
      <c r="C123" s="102"/>
      <c r="D123" s="708"/>
      <c r="E123"/>
      <c r="F123" s="936"/>
      <c r="G123" s="930"/>
      <c r="H123" s="930"/>
      <c r="I123" s="930"/>
      <c r="J123" s="930"/>
      <c r="K123" s="930"/>
      <c r="L123" s="930"/>
      <c r="M123" s="930"/>
      <c r="N123" s="930"/>
      <c r="O123" s="930"/>
      <c r="P123" s="930"/>
      <c r="Q123" s="930"/>
      <c r="R123" s="932"/>
      <c r="S123" s="932"/>
      <c r="T123" s="932"/>
      <c r="U123" s="930"/>
      <c r="V123" s="151"/>
      <c r="W123" s="507"/>
      <c r="X123" s="151"/>
      <c r="Y123" s="151"/>
      <c r="Z123" s="930"/>
      <c r="AA123" s="930"/>
      <c r="AB123" s="930"/>
      <c r="AC123" s="930"/>
      <c r="AD123" s="931"/>
      <c r="AE123" s="931"/>
      <c r="AF123"/>
      <c r="AG123"/>
      <c r="AH123"/>
      <c r="AI123"/>
      <c r="AJ123"/>
      <c r="AK123"/>
      <c r="AL123"/>
      <c r="AM123"/>
      <c r="AN123"/>
      <c r="AO123"/>
      <c r="AP123"/>
      <c r="AQ123"/>
      <c r="AR123"/>
      <c r="AS123"/>
      <c r="AT123"/>
      <c r="AU123"/>
      <c r="AV123"/>
      <c r="AW123"/>
      <c r="AX123"/>
      <c r="AY123"/>
      <c r="AZ123"/>
      <c r="BA123"/>
      <c r="BB123"/>
      <c r="BC123"/>
      <c r="BD123"/>
      <c r="BE123"/>
      <c r="BF123" s="221"/>
      <c r="BG123" s="221"/>
      <c r="BH123" s="221"/>
      <c r="BI123" s="291"/>
      <c r="BJ123" s="291"/>
      <c r="BK123" s="290"/>
    </row>
    <row r="124" spans="1:65" s="45" customFormat="1" ht="12" customHeight="1">
      <c r="A124" s="39"/>
      <c r="B124" s="103"/>
      <c r="C124" s="102"/>
      <c r="D124" s="710"/>
      <c r="E124"/>
      <c r="F124" s="176"/>
      <c r="G124" s="508" t="s">
        <v>759</v>
      </c>
      <c r="H124" s="508" t="s">
        <v>629</v>
      </c>
      <c r="I124" s="508"/>
      <c r="J124" s="508" t="s">
        <v>642</v>
      </c>
      <c r="K124" s="508" t="s">
        <v>751</v>
      </c>
      <c r="L124" s="508" t="s">
        <v>752</v>
      </c>
      <c r="M124" s="508" t="s">
        <v>753</v>
      </c>
      <c r="N124" s="508" t="s">
        <v>769</v>
      </c>
      <c r="O124" s="508" t="s">
        <v>770</v>
      </c>
      <c r="P124" s="508" t="s">
        <v>771</v>
      </c>
      <c r="Q124" s="508" t="s">
        <v>772</v>
      </c>
      <c r="R124" s="508" t="s">
        <v>2563</v>
      </c>
      <c r="S124" s="508" t="s">
        <v>2564</v>
      </c>
      <c r="T124" s="508" t="s">
        <v>2810</v>
      </c>
      <c r="U124" s="508" t="s">
        <v>773</v>
      </c>
      <c r="V124" s="156"/>
      <c r="W124" s="509" t="str">
        <f>"5.2.2." &amp; W122</f>
        <v>5.2.2.</v>
      </c>
      <c r="X124" s="156"/>
      <c r="Y124" s="156"/>
      <c r="Z124" s="509" t="s">
        <v>774</v>
      </c>
      <c r="AA124" s="509" t="s">
        <v>775</v>
      </c>
      <c r="AB124" s="509" t="s">
        <v>776</v>
      </c>
      <c r="AC124" s="509" t="s">
        <v>777</v>
      </c>
      <c r="AD124" s="509" t="s">
        <v>75</v>
      </c>
      <c r="AE124" s="509" t="s">
        <v>62</v>
      </c>
      <c r="AF124"/>
      <c r="AG124"/>
      <c r="AH124"/>
      <c r="AI124"/>
      <c r="AJ124"/>
      <c r="AK124"/>
      <c r="AL124"/>
      <c r="AM124"/>
      <c r="AN124"/>
      <c r="AO124"/>
      <c r="AP124"/>
      <c r="AQ124"/>
      <c r="AR124"/>
      <c r="AS124"/>
      <c r="AT124"/>
      <c r="AU124"/>
      <c r="AV124"/>
      <c r="AW124"/>
      <c r="AX124"/>
      <c r="AY124"/>
      <c r="AZ124"/>
      <c r="BA124"/>
      <c r="BB124"/>
      <c r="BC124"/>
      <c r="BD124"/>
      <c r="BE124"/>
      <c r="BF124" s="221"/>
      <c r="BG124" s="221"/>
      <c r="BH124" s="221"/>
      <c r="BI124" s="291"/>
      <c r="BJ124" s="291"/>
      <c r="BK124" s="290"/>
    </row>
    <row r="125" spans="1:65" ht="24" customHeight="1">
      <c r="B125" s="104" t="s">
        <v>3141</v>
      </c>
      <c r="C125" s="99"/>
      <c r="D125" s="714" t="s">
        <v>652</v>
      </c>
      <c r="E125"/>
      <c r="F125" s="911" t="str">
        <f>B125</f>
        <v>0.1</v>
      </c>
      <c r="G125" s="913" t="s">
        <v>778</v>
      </c>
      <c r="H125" s="510" t="s">
        <v>346</v>
      </c>
      <c r="I125" s="266"/>
      <c r="J125" s="939">
        <f>N125+K125-L125+N126+K126-L126</f>
        <v>0</v>
      </c>
      <c r="K125" s="398">
        <f t="shared" ref="K125:U125" si="12">SUMIF($BF129:$BF130,$BF125,K129:K130)</f>
        <v>0</v>
      </c>
      <c r="L125" s="398">
        <f t="shared" si="12"/>
        <v>0</v>
      </c>
      <c r="M125" s="398">
        <f t="shared" si="12"/>
        <v>0</v>
      </c>
      <c r="N125" s="398">
        <f t="shared" si="12"/>
        <v>0</v>
      </c>
      <c r="O125" s="398">
        <f t="shared" si="12"/>
        <v>0</v>
      </c>
      <c r="P125" s="398">
        <f t="shared" si="12"/>
        <v>0</v>
      </c>
      <c r="Q125" s="398">
        <f t="shared" si="12"/>
        <v>0</v>
      </c>
      <c r="R125" s="398">
        <f t="shared" si="12"/>
        <v>0</v>
      </c>
      <c r="S125" s="398">
        <f t="shared" si="12"/>
        <v>0</v>
      </c>
      <c r="T125" s="398">
        <f t="shared" si="12"/>
        <v>0</v>
      </c>
      <c r="U125" s="398">
        <f t="shared" si="12"/>
        <v>0</v>
      </c>
      <c r="V125" s="270"/>
      <c r="W125" s="398">
        <f>SUMIF($BF129:$BF130,$BF125,W129:W130)</f>
        <v>0</v>
      </c>
      <c r="X125" s="270"/>
      <c r="Y125" s="270"/>
      <c r="Z125" s="398">
        <f t="shared" ref="Z125:AE125" si="13">SUMIF($BF129:$BF130,$BF125,Z129:Z130)</f>
        <v>0</v>
      </c>
      <c r="AA125" s="398">
        <f t="shared" si="13"/>
        <v>0</v>
      </c>
      <c r="AB125" s="398">
        <f t="shared" si="13"/>
        <v>0</v>
      </c>
      <c r="AC125" s="398">
        <f t="shared" si="13"/>
        <v>0</v>
      </c>
      <c r="AD125" s="398">
        <f t="shared" si="13"/>
        <v>0</v>
      </c>
      <c r="AE125" s="398">
        <f t="shared" si="13"/>
        <v>0</v>
      </c>
      <c r="BF125" s="114" t="s">
        <v>334</v>
      </c>
    </row>
    <row r="126" spans="1:65" ht="24" customHeight="1">
      <c r="B126" s="104"/>
      <c r="C126" s="99"/>
      <c r="D126" s="710"/>
      <c r="E126"/>
      <c r="F126" s="911"/>
      <c r="G126" s="913"/>
      <c r="H126" s="510" t="s">
        <v>347</v>
      </c>
      <c r="I126" s="266"/>
      <c r="J126" s="940"/>
      <c r="K126" s="398">
        <f t="shared" ref="K126:U126" si="14">SUMIF($BF129:$BF130,$BF126,K129:K130)</f>
        <v>0</v>
      </c>
      <c r="L126" s="398">
        <f t="shared" si="14"/>
        <v>0</v>
      </c>
      <c r="M126" s="398">
        <f t="shared" si="14"/>
        <v>0</v>
      </c>
      <c r="N126" s="398">
        <f t="shared" si="14"/>
        <v>0</v>
      </c>
      <c r="O126" s="398">
        <f t="shared" si="14"/>
        <v>0</v>
      </c>
      <c r="P126" s="398">
        <f t="shared" si="14"/>
        <v>0</v>
      </c>
      <c r="Q126" s="398">
        <f t="shared" si="14"/>
        <v>0</v>
      </c>
      <c r="R126" s="398">
        <f t="shared" si="14"/>
        <v>0</v>
      </c>
      <c r="S126" s="398">
        <f t="shared" si="14"/>
        <v>0</v>
      </c>
      <c r="T126" s="398">
        <f t="shared" si="14"/>
        <v>0</v>
      </c>
      <c r="U126" s="398">
        <f t="shared" si="14"/>
        <v>0</v>
      </c>
      <c r="V126" s="270"/>
      <c r="W126" s="398">
        <f>SUMIF($BF129:$BF130,$BF126,W129:W130)</f>
        <v>0</v>
      </c>
      <c r="X126" s="270"/>
      <c r="Y126" s="270"/>
      <c r="Z126" s="398">
        <f>SUMIF($BF129:$BF130,$BF126,Z129:Z130)</f>
        <v>0</v>
      </c>
      <c r="AA126" s="398">
        <f>SUMIF($BF129:$BF130,$BF126,AA129:AA130)</f>
        <v>0</v>
      </c>
      <c r="AB126" s="398">
        <f>SUMIF($BF129:$BF130,$BF126,AB129:AB130)</f>
        <v>0</v>
      </c>
      <c r="AC126" s="398">
        <f>SUMIF($BF129:$BF130,$BF126,AC129:AC130)</f>
        <v>0</v>
      </c>
      <c r="AD126" s="266"/>
      <c r="AE126" s="266"/>
      <c r="BF126" s="114" t="s">
        <v>335</v>
      </c>
    </row>
    <row r="127" spans="1:65" ht="24" customHeight="1">
      <c r="B127" s="104" t="s">
        <v>3142</v>
      </c>
      <c r="C127" s="99"/>
      <c r="D127" s="707"/>
      <c r="E127"/>
      <c r="F127" s="911" t="str">
        <f>B127</f>
        <v>0.2</v>
      </c>
      <c r="G127" s="913" t="str">
        <f>IF(TEMPLATE_CLAIM="U","Всего по МО (только годовые значения по данным предыдущего мониторинга)","")</f>
        <v>Всего по МО (только годовые значения по данным предыдущего мониторинга)</v>
      </c>
      <c r="H127" s="510" t="s">
        <v>346</v>
      </c>
      <c r="I127" s="266"/>
      <c r="J127" s="937">
        <f>IF(TEMPLATE_CLAIM="P","",N127+K127-L127+N128+K128-L128)</f>
        <v>0</v>
      </c>
      <c r="K127" s="274">
        <f t="shared" ref="K127:U127" si="15">IF(TEMPLATE_CLAIM="P","",SUMIF($BF129:$BF130,$BF127,K129:K130))</f>
        <v>0</v>
      </c>
      <c r="L127" s="274">
        <f t="shared" si="15"/>
        <v>0</v>
      </c>
      <c r="M127" s="274">
        <f t="shared" si="15"/>
        <v>0</v>
      </c>
      <c r="N127" s="274">
        <f t="shared" si="15"/>
        <v>0</v>
      </c>
      <c r="O127" s="274">
        <f t="shared" si="15"/>
        <v>0</v>
      </c>
      <c r="P127" s="274">
        <f t="shared" si="15"/>
        <v>0</v>
      </c>
      <c r="Q127" s="274">
        <f t="shared" si="15"/>
        <v>0</v>
      </c>
      <c r="R127" s="274">
        <f t="shared" si="15"/>
        <v>0</v>
      </c>
      <c r="S127" s="274">
        <f t="shared" si="15"/>
        <v>0</v>
      </c>
      <c r="T127" s="274">
        <f t="shared" si="15"/>
        <v>0</v>
      </c>
      <c r="U127" s="274">
        <f t="shared" si="15"/>
        <v>0</v>
      </c>
      <c r="V127" s="270"/>
      <c r="W127" s="274">
        <f>IF(TEMPLATE_CLAIM="P","",SUMIF($BF129:$BF130,$BF127,W129:W130))</f>
        <v>0</v>
      </c>
      <c r="X127" s="270"/>
      <c r="Y127" s="270"/>
      <c r="Z127" s="274">
        <f t="shared" ref="Z127:AE127" si="16">IF(TEMPLATE_CLAIM="P","",SUMIF($BF129:$BF130,$BF127,Z129:Z130))</f>
        <v>0</v>
      </c>
      <c r="AA127" s="274">
        <f t="shared" si="16"/>
        <v>0</v>
      </c>
      <c r="AB127" s="274">
        <f t="shared" si="16"/>
        <v>0</v>
      </c>
      <c r="AC127" s="274">
        <f t="shared" si="16"/>
        <v>0</v>
      </c>
      <c r="AD127" s="274">
        <f t="shared" si="16"/>
        <v>0</v>
      </c>
      <c r="AE127" s="274">
        <f t="shared" si="16"/>
        <v>0</v>
      </c>
      <c r="BF127" s="114" t="s">
        <v>344</v>
      </c>
    </row>
    <row r="128" spans="1:65" ht="24" customHeight="1">
      <c r="B128" s="104"/>
      <c r="C128" s="99"/>
      <c r="D128" s="707"/>
      <c r="E128"/>
      <c r="F128" s="911"/>
      <c r="G128" s="941"/>
      <c r="H128" s="510" t="s">
        <v>347</v>
      </c>
      <c r="I128" s="266"/>
      <c r="J128" s="938"/>
      <c r="K128" s="274">
        <f t="shared" ref="K128:U128" si="17">IF(TEMPLATE_CLAIM="P","",SUMIF($BF129:$BF130,$BF128,K129:K130))</f>
        <v>0</v>
      </c>
      <c r="L128" s="274">
        <f t="shared" si="17"/>
        <v>0</v>
      </c>
      <c r="M128" s="274">
        <f t="shared" si="17"/>
        <v>0</v>
      </c>
      <c r="N128" s="274">
        <f t="shared" si="17"/>
        <v>0</v>
      </c>
      <c r="O128" s="274">
        <f t="shared" si="17"/>
        <v>0</v>
      </c>
      <c r="P128" s="274">
        <f t="shared" si="17"/>
        <v>0</v>
      </c>
      <c r="Q128" s="274">
        <f t="shared" si="17"/>
        <v>0</v>
      </c>
      <c r="R128" s="274">
        <f t="shared" si="17"/>
        <v>0</v>
      </c>
      <c r="S128" s="274">
        <f t="shared" si="17"/>
        <v>0</v>
      </c>
      <c r="T128" s="274">
        <f t="shared" si="17"/>
        <v>0</v>
      </c>
      <c r="U128" s="274">
        <f t="shared" si="17"/>
        <v>0</v>
      </c>
      <c r="V128" s="270"/>
      <c r="W128" s="274">
        <f>IF(TEMPLATE_CLAIM="P","",SUMIF($BF129:$BF130,$BF128,W129:W130))</f>
        <v>0</v>
      </c>
      <c r="X128" s="270"/>
      <c r="Y128" s="270"/>
      <c r="Z128" s="274">
        <f>IF(TEMPLATE_CLAIM="P","",SUMIF($BF129:$BF130,$BF128,Z129:Z130))</f>
        <v>0</v>
      </c>
      <c r="AA128" s="274">
        <f>IF(TEMPLATE_CLAIM="P","",SUMIF($BF129:$BF130,$BF128,AA129:AA130))</f>
        <v>0</v>
      </c>
      <c r="AB128" s="274">
        <f>IF(TEMPLATE_CLAIM="P","",SUMIF($BF129:$BF130,$BF128,AB129:AB130))</f>
        <v>0</v>
      </c>
      <c r="AC128" s="274">
        <f>IF(TEMPLATE_CLAIM="P","",SUMIF($BF129:$BF130,$BF128,AC129:AC130))</f>
        <v>0</v>
      </c>
      <c r="AD128" s="267"/>
      <c r="AE128" s="267"/>
      <c r="BF128" s="114" t="s">
        <v>345</v>
      </c>
    </row>
    <row r="129" spans="1:64" ht="12" hidden="1" customHeight="1">
      <c r="B129" s="104">
        <v>0</v>
      </c>
      <c r="C129" s="99"/>
      <c r="D129" s="707"/>
      <c r="E129"/>
      <c r="F129" s="585"/>
      <c r="G129" s="585"/>
      <c r="H129" s="585"/>
      <c r="I129" s="585"/>
      <c r="J129" s="585"/>
      <c r="K129" s="585"/>
      <c r="L129" s="585"/>
      <c r="M129" s="585"/>
      <c r="N129" s="585"/>
      <c r="O129" s="585"/>
      <c r="P129" s="585"/>
      <c r="Q129" s="585"/>
      <c r="R129" s="585"/>
      <c r="S129" s="585"/>
      <c r="T129" s="585"/>
      <c r="U129" s="585"/>
      <c r="V129" s="585"/>
      <c r="W129" s="585"/>
      <c r="X129" s="585"/>
      <c r="Y129" s="585"/>
      <c r="Z129" s="585"/>
      <c r="AA129" s="585"/>
      <c r="AB129" s="585"/>
      <c r="AC129" s="585"/>
      <c r="AD129" s="585"/>
      <c r="AE129" s="585"/>
      <c r="BF129" s="426"/>
    </row>
    <row r="130" spans="1:64" ht="0.75" customHeight="1">
      <c r="A130" s="95"/>
      <c r="B130" s="104"/>
      <c r="C130" s="99"/>
      <c r="D130" s="707"/>
      <c r="E130"/>
      <c r="F130" s="515"/>
      <c r="G130" s="111" t="s">
        <v>720</v>
      </c>
      <c r="H130" s="111"/>
      <c r="I130" s="111"/>
      <c r="J130" s="112"/>
      <c r="K130" s="112"/>
      <c r="L130" s="112"/>
      <c r="M130" s="112"/>
      <c r="N130" s="112"/>
      <c r="O130" s="112"/>
      <c r="P130" s="112"/>
      <c r="Q130" s="112"/>
      <c r="R130" s="112"/>
      <c r="S130" s="112"/>
      <c r="T130" s="112"/>
      <c r="U130" s="112"/>
      <c r="V130" s="112"/>
      <c r="W130" s="112"/>
      <c r="X130" s="112"/>
      <c r="Y130" s="112"/>
      <c r="Z130" s="112"/>
      <c r="AA130" s="112"/>
      <c r="AB130" s="112"/>
      <c r="AC130" s="112"/>
      <c r="AD130" s="112"/>
      <c r="AE130" s="113"/>
      <c r="BL130" s="292"/>
    </row>
    <row r="131" spans="1:64" customFormat="1" ht="12" customHeight="1">
      <c r="A131" s="95"/>
      <c r="B131" s="79"/>
      <c r="C131" s="95"/>
      <c r="D131" s="707"/>
      <c r="F131" s="514"/>
      <c r="V131" s="39"/>
      <c r="X131" s="39"/>
      <c r="Y131" s="39"/>
    </row>
    <row r="132" spans="1:64" customFormat="1">
      <c r="A132" s="39"/>
      <c r="B132" s="40"/>
      <c r="C132" s="39"/>
      <c r="D132" s="707"/>
      <c r="F132" s="514"/>
    </row>
    <row r="133" spans="1:64">
      <c r="D133" s="707"/>
    </row>
    <row r="134" spans="1:64">
      <c r="D134" s="707"/>
    </row>
    <row r="135" spans="1:64">
      <c r="D135" s="707"/>
    </row>
    <row r="136" spans="1:64">
      <c r="D136" s="707"/>
    </row>
    <row r="137" spans="1:64">
      <c r="D137" s="707"/>
    </row>
    <row r="138" spans="1:64">
      <c r="D138" s="707"/>
    </row>
    <row r="139" spans="1:64">
      <c r="D139" s="707"/>
    </row>
    <row r="140" spans="1:64">
      <c r="D140" s="707"/>
    </row>
    <row r="141" spans="1:64">
      <c r="D141" s="707"/>
    </row>
  </sheetData>
  <sheetProtection password="FA9C" sheet="1" objects="1" scenarios="1" formatColumns="0" formatRows="0"/>
  <mergeCells count="52">
    <mergeCell ref="J127:J128"/>
    <mergeCell ref="F125:F126"/>
    <mergeCell ref="G125:G126"/>
    <mergeCell ref="J125:J126"/>
    <mergeCell ref="F127:F128"/>
    <mergeCell ref="G127:G128"/>
    <mergeCell ref="B1:B28"/>
    <mergeCell ref="F1:F2"/>
    <mergeCell ref="C87:C99"/>
    <mergeCell ref="J121:J123"/>
    <mergeCell ref="G1:G2"/>
    <mergeCell ref="C3:C15"/>
    <mergeCell ref="C16:C28"/>
    <mergeCell ref="F57:F58"/>
    <mergeCell ref="C100:C112"/>
    <mergeCell ref="I121:I123"/>
    <mergeCell ref="F121:F123"/>
    <mergeCell ref="H121:H123"/>
    <mergeCell ref="C72:C84"/>
    <mergeCell ref="C59:C71"/>
    <mergeCell ref="B85:B112"/>
    <mergeCell ref="B29:B56"/>
    <mergeCell ref="F29:F30"/>
    <mergeCell ref="G29:G30"/>
    <mergeCell ref="F85:F86"/>
    <mergeCell ref="C31:C43"/>
    <mergeCell ref="C44:C56"/>
    <mergeCell ref="G85:G86"/>
    <mergeCell ref="B57:B84"/>
    <mergeCell ref="U121:Y121"/>
    <mergeCell ref="Q122:Q123"/>
    <mergeCell ref="R122:R123"/>
    <mergeCell ref="S122:S123"/>
    <mergeCell ref="T122:T123"/>
    <mergeCell ref="U122:U123"/>
    <mergeCell ref="O121:O123"/>
    <mergeCell ref="P121:P123"/>
    <mergeCell ref="Q121:T121"/>
    <mergeCell ref="G57:G58"/>
    <mergeCell ref="L121:L123"/>
    <mergeCell ref="M121:M123"/>
    <mergeCell ref="G121:G123"/>
    <mergeCell ref="J85:J86"/>
    <mergeCell ref="K121:K123"/>
    <mergeCell ref="N121:N123"/>
    <mergeCell ref="AE121:AE123"/>
    <mergeCell ref="Z122:Z123"/>
    <mergeCell ref="AD121:AD123"/>
    <mergeCell ref="AB122:AB123"/>
    <mergeCell ref="AC122:AC123"/>
    <mergeCell ref="AA122:AA123"/>
    <mergeCell ref="Z121:AC121"/>
  </mergeCells>
  <phoneticPr fontId="0" type="noConversion"/>
  <dataValidations count="1">
    <dataValidation type="decimal" operator="greaterThanOrEqual" allowBlank="1" showInputMessage="1" showErrorMessage="1" errorTitle="Ошибка" error="Допускается ввод только неотрицательных значений!" sqref="AD126:AE126 AD128:AE128">
      <formula1>0</formula1>
    </dataValidation>
  </dataValidations>
  <pageMargins left="0.37" right="0.35" top="1" bottom="1" header="0.5" footer="0.5"/>
  <pageSetup paperSize="9" scale="30" orientation="landscape" horizontalDpi="4294967292" verticalDpi="4294967292"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sheetPr codeName="VSNA_BAL_TR">
    <tabColor indexed="31"/>
    <pageSetUpPr fitToPage="1"/>
  </sheetPr>
  <dimension ref="A1:BF141"/>
  <sheetViews>
    <sheetView showGridLines="0" topLeftCell="D119" workbookViewId="0">
      <pane xSplit="4" ySplit="8" topLeftCell="H127" activePane="bottomRight" state="frozen"/>
      <selection activeCell="D119" sqref="D119"/>
      <selection pane="topRight" activeCell="H119" sqref="H119"/>
      <selection pane="bottomLeft" activeCell="D127" sqref="D127"/>
      <selection pane="bottomRight"/>
    </sheetView>
  </sheetViews>
  <sheetFormatPr defaultRowHeight="18"/>
  <cols>
    <col min="1" max="2" width="5.7109375" style="40" hidden="1" customWidth="1"/>
    <col min="3" max="3" width="5.7109375" style="39" hidden="1" customWidth="1"/>
    <col min="4" max="4" width="5.7109375" style="711" customWidth="1"/>
    <col min="5" max="5" width="4.7109375" style="41" hidden="1" customWidth="1"/>
    <col min="6" max="6" width="9.7109375" style="39" customWidth="1"/>
    <col min="7" max="7" width="40.7109375" style="39" customWidth="1"/>
    <col min="8" max="8" width="27.5703125" style="39" customWidth="1"/>
    <col min="9" max="9" width="0.140625" style="39" customWidth="1"/>
    <col min="10" max="17" width="15.7109375" style="39" customWidth="1"/>
    <col min="18" max="57" width="2.7109375" customWidth="1"/>
    <col min="58" max="58" width="18.7109375" style="95" hidden="1" customWidth="1"/>
    <col min="59" max="16384" width="9.140625" style="39"/>
  </cols>
  <sheetData>
    <row r="1" spans="1:58" ht="12" hidden="1" customHeight="1">
      <c r="A1" s="46"/>
      <c r="B1" s="910"/>
      <c r="C1" s="119" t="str">
        <f>B1 &amp; ".1"</f>
        <v>.1</v>
      </c>
      <c r="D1" s="714" t="s">
        <v>652</v>
      </c>
      <c r="E1" s="96"/>
      <c r="F1" s="835">
        <f>B1</f>
        <v>0</v>
      </c>
      <c r="G1" s="933"/>
      <c r="H1" s="336"/>
      <c r="I1" s="107"/>
      <c r="J1" s="107"/>
      <c r="K1" s="107"/>
      <c r="L1" s="107"/>
      <c r="M1" s="107"/>
      <c r="N1" s="107"/>
      <c r="O1" s="107"/>
      <c r="P1" s="107"/>
      <c r="Q1" s="107"/>
      <c r="BF1" s="114" t="s">
        <v>344</v>
      </c>
    </row>
    <row r="2" spans="1:58" ht="12" hidden="1" customHeight="1">
      <c r="A2" s="46"/>
      <c r="B2" s="910"/>
      <c r="C2" s="119" t="str">
        <f>B1 &amp; ".2"</f>
        <v>.2</v>
      </c>
      <c r="D2" s="714" t="s">
        <v>652</v>
      </c>
      <c r="E2" s="96"/>
      <c r="F2" s="935"/>
      <c r="G2" s="933"/>
      <c r="H2" s="336"/>
      <c r="I2" s="107"/>
      <c r="J2" s="107"/>
      <c r="K2" s="107"/>
      <c r="L2" s="107"/>
      <c r="M2" s="107"/>
      <c r="N2" s="107"/>
      <c r="O2" s="107"/>
      <c r="P2" s="107"/>
      <c r="Q2" s="107"/>
      <c r="BF2" s="114" t="s">
        <v>345</v>
      </c>
    </row>
    <row r="3" spans="1:58" ht="12" hidden="1" customHeight="1">
      <c r="A3" s="46"/>
      <c r="B3" s="910"/>
      <c r="C3" s="910"/>
      <c r="D3" s="707"/>
      <c r="E3" s="96"/>
      <c r="F3" s="106" t="str">
        <f>C1 &amp; ".0"</f>
        <v>.1.0</v>
      </c>
      <c r="G3" s="105" t="s">
        <v>721</v>
      </c>
      <c r="H3" s="105"/>
      <c r="I3" s="107"/>
      <c r="J3" s="107"/>
      <c r="K3" s="107"/>
      <c r="L3" s="107"/>
      <c r="M3" s="107"/>
      <c r="N3" s="107"/>
      <c r="O3" s="107"/>
      <c r="P3" s="107"/>
      <c r="Q3" s="107"/>
      <c r="BF3" s="114" t="s">
        <v>334</v>
      </c>
    </row>
    <row r="4" spans="1:58" ht="12" hidden="1" customHeight="1">
      <c r="A4" s="46"/>
      <c r="B4" s="910"/>
      <c r="C4" s="910"/>
      <c r="D4" s="707"/>
      <c r="E4" s="96"/>
      <c r="F4" s="106" t="str">
        <f>C1 &amp; ".1"</f>
        <v>.1.1</v>
      </c>
      <c r="G4" s="105" t="s">
        <v>722</v>
      </c>
      <c r="H4" s="105"/>
      <c r="I4" s="107"/>
      <c r="J4" s="107"/>
      <c r="K4" s="107"/>
      <c r="L4" s="107"/>
      <c r="M4" s="107"/>
      <c r="N4" s="107"/>
      <c r="O4" s="107"/>
      <c r="P4" s="107"/>
      <c r="Q4" s="107"/>
      <c r="BF4" s="158" t="str">
        <f>C1 &amp; "-I"</f>
        <v>.1-I</v>
      </c>
    </row>
    <row r="5" spans="1:58" ht="12" hidden="1" customHeight="1">
      <c r="A5" s="46"/>
      <c r="B5" s="910"/>
      <c r="C5" s="910"/>
      <c r="D5" s="707"/>
      <c r="E5" s="96"/>
      <c r="F5" s="106" t="str">
        <f>C1 &amp; ".2"</f>
        <v>.1.2</v>
      </c>
      <c r="G5" s="105" t="s">
        <v>723</v>
      </c>
      <c r="H5" s="105"/>
      <c r="I5" s="107"/>
      <c r="J5" s="107"/>
      <c r="K5" s="107"/>
      <c r="L5" s="107"/>
      <c r="M5" s="107"/>
      <c r="N5" s="107"/>
      <c r="O5" s="107"/>
      <c r="P5" s="107"/>
      <c r="Q5" s="107"/>
      <c r="BF5" s="158" t="str">
        <f>C1 &amp; "-I"</f>
        <v>.1-I</v>
      </c>
    </row>
    <row r="6" spans="1:58" ht="12" hidden="1" customHeight="1">
      <c r="A6" s="46"/>
      <c r="B6" s="910"/>
      <c r="C6" s="910"/>
      <c r="D6" s="707"/>
      <c r="E6" s="96"/>
      <c r="F6" s="106" t="str">
        <f>C1 &amp; ".3"</f>
        <v>.1.3</v>
      </c>
      <c r="G6" s="105" t="s">
        <v>724</v>
      </c>
      <c r="H6" s="105"/>
      <c r="I6" s="107"/>
      <c r="J6" s="107"/>
      <c r="K6" s="107"/>
      <c r="L6" s="107"/>
      <c r="M6" s="107"/>
      <c r="N6" s="107"/>
      <c r="O6" s="107"/>
      <c r="P6" s="107"/>
      <c r="Q6" s="107"/>
      <c r="BF6" s="158" t="str">
        <f>C1 &amp; "-I"</f>
        <v>.1-I</v>
      </c>
    </row>
    <row r="7" spans="1:58" ht="12" hidden="1" customHeight="1">
      <c r="A7" s="46"/>
      <c r="B7" s="910"/>
      <c r="C7" s="910"/>
      <c r="D7" s="707"/>
      <c r="E7" s="96"/>
      <c r="F7" s="106" t="str">
        <f>C1 &amp; ".4"</f>
        <v>.1.4</v>
      </c>
      <c r="G7" s="105" t="s">
        <v>725</v>
      </c>
      <c r="H7" s="105"/>
      <c r="I7" s="107"/>
      <c r="J7" s="107"/>
      <c r="K7" s="107"/>
      <c r="L7" s="107"/>
      <c r="M7" s="107"/>
      <c r="N7" s="107"/>
      <c r="O7" s="107"/>
      <c r="P7" s="107"/>
      <c r="Q7" s="107"/>
      <c r="BF7" s="158" t="str">
        <f>C1 &amp; "-I"</f>
        <v>.1-I</v>
      </c>
    </row>
    <row r="8" spans="1:58" ht="12" hidden="1" customHeight="1">
      <c r="A8" s="46"/>
      <c r="B8" s="910"/>
      <c r="C8" s="910"/>
      <c r="D8" s="707"/>
      <c r="E8" s="96"/>
      <c r="F8" s="106" t="str">
        <f>C1 &amp; ".5"</f>
        <v>.1.5</v>
      </c>
      <c r="G8" s="105" t="s">
        <v>726</v>
      </c>
      <c r="H8" s="105"/>
      <c r="I8" s="107"/>
      <c r="J8" s="107"/>
      <c r="K8" s="107"/>
      <c r="L8" s="107"/>
      <c r="M8" s="107"/>
      <c r="N8" s="107"/>
      <c r="O8" s="107"/>
      <c r="P8" s="107"/>
      <c r="Q8" s="107"/>
      <c r="BF8" s="158" t="str">
        <f>C1 &amp; "-I"</f>
        <v>.1-I</v>
      </c>
    </row>
    <row r="9" spans="1:58" ht="12" hidden="1" customHeight="1">
      <c r="A9" s="46"/>
      <c r="B9" s="910"/>
      <c r="C9" s="910"/>
      <c r="D9" s="707"/>
      <c r="E9" s="96"/>
      <c r="F9" s="106" t="str">
        <f>C1 &amp; ".6"</f>
        <v>.1.6</v>
      </c>
      <c r="G9" s="105" t="s">
        <v>727</v>
      </c>
      <c r="H9" s="105"/>
      <c r="I9" s="107"/>
      <c r="J9" s="107"/>
      <c r="K9" s="107"/>
      <c r="L9" s="107"/>
      <c r="M9" s="107"/>
      <c r="N9" s="107"/>
      <c r="O9" s="107"/>
      <c r="P9" s="107"/>
      <c r="Q9" s="107"/>
      <c r="BF9" s="158" t="str">
        <f>C1 &amp; "-I"</f>
        <v>.1-I</v>
      </c>
    </row>
    <row r="10" spans="1:58" ht="12" hidden="1" customHeight="1">
      <c r="A10" s="46"/>
      <c r="B10" s="910"/>
      <c r="C10" s="910"/>
      <c r="D10" s="707"/>
      <c r="E10" s="96"/>
      <c r="F10" s="106" t="str">
        <f>C1 &amp; ".7"</f>
        <v>.1.7</v>
      </c>
      <c r="G10" s="105" t="s">
        <v>728</v>
      </c>
      <c r="H10" s="105"/>
      <c r="I10" s="107"/>
      <c r="J10" s="107"/>
      <c r="K10" s="107"/>
      <c r="L10" s="107"/>
      <c r="M10" s="107"/>
      <c r="N10" s="107"/>
      <c r="O10" s="107"/>
      <c r="P10" s="107"/>
      <c r="Q10" s="107"/>
      <c r="BF10" s="158" t="str">
        <f>C1 &amp; "-II"</f>
        <v>.1-II</v>
      </c>
    </row>
    <row r="11" spans="1:58" ht="12" hidden="1" customHeight="1">
      <c r="A11" s="46"/>
      <c r="B11" s="910"/>
      <c r="C11" s="910"/>
      <c r="D11" s="707"/>
      <c r="E11" s="96"/>
      <c r="F11" s="106" t="str">
        <f>C1 &amp; ".8"</f>
        <v>.1.8</v>
      </c>
      <c r="G11" s="105" t="s">
        <v>729</v>
      </c>
      <c r="H11" s="105"/>
      <c r="I11" s="107"/>
      <c r="J11" s="107"/>
      <c r="K11" s="107"/>
      <c r="L11" s="107"/>
      <c r="M11" s="107"/>
      <c r="N11" s="107"/>
      <c r="O11" s="107"/>
      <c r="P11" s="107"/>
      <c r="Q11" s="107"/>
      <c r="BF11" s="158" t="str">
        <f>C1 &amp; "-II"</f>
        <v>.1-II</v>
      </c>
    </row>
    <row r="12" spans="1:58" ht="12" hidden="1" customHeight="1">
      <c r="A12" s="46"/>
      <c r="B12" s="910"/>
      <c r="C12" s="910"/>
      <c r="D12" s="707"/>
      <c r="E12" s="96"/>
      <c r="F12" s="106" t="str">
        <f>C1 &amp; ".9"</f>
        <v>.1.9</v>
      </c>
      <c r="G12" s="105" t="s">
        <v>730</v>
      </c>
      <c r="H12" s="105"/>
      <c r="I12" s="107"/>
      <c r="J12" s="107"/>
      <c r="K12" s="107"/>
      <c r="L12" s="107"/>
      <c r="M12" s="107"/>
      <c r="N12" s="107"/>
      <c r="O12" s="107"/>
      <c r="P12" s="107"/>
      <c r="Q12" s="107"/>
      <c r="BF12" s="158" t="str">
        <f>C1 &amp; IF(TEMPLATE_CLAIM="P","-II","-III")</f>
        <v>.1-III</v>
      </c>
    </row>
    <row r="13" spans="1:58" ht="12" hidden="1" customHeight="1">
      <c r="A13" s="46"/>
      <c r="B13" s="910"/>
      <c r="C13" s="910"/>
      <c r="D13" s="707"/>
      <c r="E13" s="96"/>
      <c r="F13" s="106" t="str">
        <f>C1 &amp; ".10"</f>
        <v>.1.10</v>
      </c>
      <c r="G13" s="105" t="s">
        <v>731</v>
      </c>
      <c r="H13" s="105"/>
      <c r="I13" s="107"/>
      <c r="J13" s="107"/>
      <c r="K13" s="107"/>
      <c r="L13" s="107"/>
      <c r="M13" s="107"/>
      <c r="N13" s="107"/>
      <c r="O13" s="107"/>
      <c r="P13" s="107"/>
      <c r="Q13" s="107"/>
      <c r="BF13" s="158" t="str">
        <f>C1 &amp; IF(TEMPLATE_CLAIM="P","-II","-III")</f>
        <v>.1-III</v>
      </c>
    </row>
    <row r="14" spans="1:58" ht="12" hidden="1" customHeight="1">
      <c r="A14" s="46"/>
      <c r="B14" s="910"/>
      <c r="C14" s="910"/>
      <c r="D14" s="707"/>
      <c r="E14" s="96"/>
      <c r="F14" s="106" t="str">
        <f>C1 &amp; ".11"</f>
        <v>.1.11</v>
      </c>
      <c r="G14" s="105" t="s">
        <v>732</v>
      </c>
      <c r="H14" s="105"/>
      <c r="I14" s="107"/>
      <c r="J14" s="107"/>
      <c r="K14" s="107"/>
      <c r="L14" s="107"/>
      <c r="M14" s="107"/>
      <c r="N14" s="107"/>
      <c r="O14" s="107"/>
      <c r="P14" s="107"/>
      <c r="Q14" s="107"/>
      <c r="BF14" s="158" t="str">
        <f>C1 &amp; IF(TEMPLATE_CLAIM="P","-II","-III")</f>
        <v>.1-III</v>
      </c>
    </row>
    <row r="15" spans="1:58" ht="12" hidden="1" customHeight="1">
      <c r="A15" s="46"/>
      <c r="B15" s="910"/>
      <c r="C15" s="910"/>
      <c r="D15" s="707"/>
      <c r="E15" s="96"/>
      <c r="F15" s="106" t="str">
        <f>C1 &amp; ".12"</f>
        <v>.1.12</v>
      </c>
      <c r="G15" s="105" t="s">
        <v>733</v>
      </c>
      <c r="H15" s="105"/>
      <c r="I15" s="107"/>
      <c r="J15" s="107"/>
      <c r="K15" s="107"/>
      <c r="L15" s="107"/>
      <c r="M15" s="107"/>
      <c r="N15" s="107"/>
      <c r="O15" s="107"/>
      <c r="P15" s="107"/>
      <c r="Q15" s="107"/>
      <c r="BF15" s="158" t="str">
        <f>C1 &amp; IF(TEMPLATE_CLAIM="P","-II","-III")</f>
        <v>.1-III</v>
      </c>
    </row>
    <row r="16" spans="1:58" ht="12" hidden="1" customHeight="1">
      <c r="A16" s="46"/>
      <c r="B16" s="910"/>
      <c r="C16" s="910"/>
      <c r="D16" s="707"/>
      <c r="E16" s="96"/>
      <c r="F16" s="106" t="str">
        <f>C2 &amp; ".0"</f>
        <v>.2.0</v>
      </c>
      <c r="G16" s="105" t="s">
        <v>721</v>
      </c>
      <c r="H16" s="105"/>
      <c r="I16" s="107"/>
      <c r="J16" s="107"/>
      <c r="K16" s="107"/>
      <c r="L16" s="107"/>
      <c r="M16" s="107"/>
      <c r="N16" s="107"/>
      <c r="O16" s="107"/>
      <c r="P16" s="107"/>
      <c r="Q16" s="107"/>
      <c r="BF16" s="114" t="s">
        <v>335</v>
      </c>
    </row>
    <row r="17" spans="1:58" ht="12" hidden="1" customHeight="1">
      <c r="A17" s="46"/>
      <c r="B17" s="910"/>
      <c r="C17" s="910"/>
      <c r="D17" s="707"/>
      <c r="E17" s="96"/>
      <c r="F17" s="106" t="str">
        <f>C2 &amp; ".1"</f>
        <v>.2.1</v>
      </c>
      <c r="G17" s="105" t="s">
        <v>722</v>
      </c>
      <c r="H17" s="105"/>
      <c r="I17" s="107"/>
      <c r="J17" s="107"/>
      <c r="K17" s="107"/>
      <c r="L17" s="107"/>
      <c r="M17" s="107"/>
      <c r="N17" s="107"/>
      <c r="O17" s="107"/>
      <c r="P17" s="107"/>
      <c r="Q17" s="107"/>
      <c r="BF17" s="158" t="str">
        <f>C2 &amp; "-I"</f>
        <v>.2-I</v>
      </c>
    </row>
    <row r="18" spans="1:58" ht="12" hidden="1" customHeight="1">
      <c r="A18" s="46"/>
      <c r="B18" s="910"/>
      <c r="C18" s="910"/>
      <c r="D18" s="707"/>
      <c r="E18" s="96"/>
      <c r="F18" s="106" t="str">
        <f>C2 &amp; ".2"</f>
        <v>.2.2</v>
      </c>
      <c r="G18" s="105" t="s">
        <v>723</v>
      </c>
      <c r="H18" s="105"/>
      <c r="I18" s="107"/>
      <c r="J18" s="107"/>
      <c r="K18" s="107"/>
      <c r="L18" s="107"/>
      <c r="M18" s="107"/>
      <c r="N18" s="107"/>
      <c r="O18" s="107"/>
      <c r="P18" s="107"/>
      <c r="Q18" s="107"/>
      <c r="BF18" s="158" t="str">
        <f>C2 &amp; "-I"</f>
        <v>.2-I</v>
      </c>
    </row>
    <row r="19" spans="1:58" ht="12" hidden="1" customHeight="1">
      <c r="A19" s="46"/>
      <c r="B19" s="910"/>
      <c r="C19" s="910"/>
      <c r="D19" s="707"/>
      <c r="E19" s="96"/>
      <c r="F19" s="106" t="str">
        <f>C2 &amp; ".3"</f>
        <v>.2.3</v>
      </c>
      <c r="G19" s="105" t="s">
        <v>724</v>
      </c>
      <c r="H19" s="105"/>
      <c r="I19" s="107"/>
      <c r="J19" s="107"/>
      <c r="K19" s="107"/>
      <c r="L19" s="107"/>
      <c r="M19" s="107"/>
      <c r="N19" s="107"/>
      <c r="O19" s="107"/>
      <c r="P19" s="107"/>
      <c r="Q19" s="107"/>
      <c r="BF19" s="158" t="str">
        <f>C2 &amp; "-I"</f>
        <v>.2-I</v>
      </c>
    </row>
    <row r="20" spans="1:58" ht="12" hidden="1" customHeight="1">
      <c r="A20" s="46"/>
      <c r="B20" s="910"/>
      <c r="C20" s="910"/>
      <c r="D20" s="707"/>
      <c r="E20" s="96"/>
      <c r="F20" s="106" t="str">
        <f>C2 &amp; ".4"</f>
        <v>.2.4</v>
      </c>
      <c r="G20" s="105" t="s">
        <v>725</v>
      </c>
      <c r="H20" s="105"/>
      <c r="I20" s="107"/>
      <c r="J20" s="107"/>
      <c r="K20" s="107"/>
      <c r="L20" s="107"/>
      <c r="M20" s="107"/>
      <c r="N20" s="107"/>
      <c r="O20" s="107"/>
      <c r="P20" s="107"/>
      <c r="Q20" s="107"/>
      <c r="BF20" s="158" t="str">
        <f>C2 &amp; "-I"</f>
        <v>.2-I</v>
      </c>
    </row>
    <row r="21" spans="1:58" ht="12" hidden="1" customHeight="1">
      <c r="A21" s="46"/>
      <c r="B21" s="910"/>
      <c r="C21" s="910"/>
      <c r="D21" s="707"/>
      <c r="E21" s="96"/>
      <c r="F21" s="106" t="str">
        <f>C2 &amp; ".5"</f>
        <v>.2.5</v>
      </c>
      <c r="G21" s="105" t="s">
        <v>726</v>
      </c>
      <c r="H21" s="105"/>
      <c r="I21" s="107"/>
      <c r="J21" s="107"/>
      <c r="K21" s="107"/>
      <c r="L21" s="107"/>
      <c r="M21" s="107"/>
      <c r="N21" s="107"/>
      <c r="O21" s="107"/>
      <c r="P21" s="107"/>
      <c r="Q21" s="107"/>
      <c r="BF21" s="158" t="str">
        <f>C2 &amp; "-I"</f>
        <v>.2-I</v>
      </c>
    </row>
    <row r="22" spans="1:58" ht="12" hidden="1" customHeight="1">
      <c r="A22" s="46"/>
      <c r="B22" s="910"/>
      <c r="C22" s="910"/>
      <c r="D22" s="707"/>
      <c r="E22" s="96"/>
      <c r="F22" s="106" t="str">
        <f>C2 &amp; ".6"</f>
        <v>.2.6</v>
      </c>
      <c r="G22" s="105" t="s">
        <v>727</v>
      </c>
      <c r="H22" s="105"/>
      <c r="I22" s="107"/>
      <c r="J22" s="107"/>
      <c r="K22" s="107"/>
      <c r="L22" s="107"/>
      <c r="M22" s="107"/>
      <c r="N22" s="107"/>
      <c r="O22" s="107"/>
      <c r="P22" s="107"/>
      <c r="Q22" s="107"/>
      <c r="BF22" s="158" t="str">
        <f>C2 &amp; "-I"</f>
        <v>.2-I</v>
      </c>
    </row>
    <row r="23" spans="1:58" ht="12" hidden="1" customHeight="1">
      <c r="A23" s="46"/>
      <c r="B23" s="910"/>
      <c r="C23" s="910"/>
      <c r="D23" s="707"/>
      <c r="E23" s="96"/>
      <c r="F23" s="106" t="str">
        <f>C2 &amp; ".7"</f>
        <v>.2.7</v>
      </c>
      <c r="G23" s="105" t="s">
        <v>728</v>
      </c>
      <c r="H23" s="105"/>
      <c r="I23" s="107"/>
      <c r="J23" s="107"/>
      <c r="K23" s="107"/>
      <c r="L23" s="107"/>
      <c r="M23" s="107"/>
      <c r="N23" s="107"/>
      <c r="O23" s="107"/>
      <c r="P23" s="107"/>
      <c r="Q23" s="107"/>
      <c r="BF23" s="158" t="str">
        <f>C2 &amp; "-II"</f>
        <v>.2-II</v>
      </c>
    </row>
    <row r="24" spans="1:58" ht="12" hidden="1" customHeight="1">
      <c r="A24" s="46"/>
      <c r="B24" s="910"/>
      <c r="C24" s="910"/>
      <c r="D24" s="707"/>
      <c r="E24" s="96"/>
      <c r="F24" s="106" t="str">
        <f>C2 &amp; ".8"</f>
        <v>.2.8</v>
      </c>
      <c r="G24" s="105" t="s">
        <v>729</v>
      </c>
      <c r="H24" s="105"/>
      <c r="I24" s="107"/>
      <c r="J24" s="107"/>
      <c r="K24" s="107"/>
      <c r="L24" s="107"/>
      <c r="M24" s="107"/>
      <c r="N24" s="107"/>
      <c r="O24" s="107"/>
      <c r="P24" s="107"/>
      <c r="Q24" s="107"/>
      <c r="BF24" s="158" t="str">
        <f>C2 &amp; "-II"</f>
        <v>.2-II</v>
      </c>
    </row>
    <row r="25" spans="1:58" ht="12" hidden="1" customHeight="1">
      <c r="A25" s="46"/>
      <c r="B25" s="910"/>
      <c r="C25" s="910"/>
      <c r="D25" s="707"/>
      <c r="E25" s="96"/>
      <c r="F25" s="106" t="str">
        <f>C2 &amp; ".9"</f>
        <v>.2.9</v>
      </c>
      <c r="G25" s="105" t="s">
        <v>730</v>
      </c>
      <c r="H25" s="105"/>
      <c r="I25" s="107"/>
      <c r="J25" s="107"/>
      <c r="K25" s="107"/>
      <c r="L25" s="107"/>
      <c r="M25" s="107"/>
      <c r="N25" s="107"/>
      <c r="O25" s="107"/>
      <c r="P25" s="107"/>
      <c r="Q25" s="107"/>
      <c r="BF25" s="158" t="str">
        <f>C2 &amp; IF(TEMPLATE_CLAIM="P","-II","-III")</f>
        <v>.2-III</v>
      </c>
    </row>
    <row r="26" spans="1:58" ht="12" hidden="1" customHeight="1">
      <c r="A26" s="46"/>
      <c r="B26" s="910"/>
      <c r="C26" s="910"/>
      <c r="D26" s="707"/>
      <c r="E26" s="96"/>
      <c r="F26" s="106" t="str">
        <f>C2 &amp; ".10"</f>
        <v>.2.10</v>
      </c>
      <c r="G26" s="105" t="s">
        <v>731</v>
      </c>
      <c r="H26" s="105"/>
      <c r="I26" s="107"/>
      <c r="J26" s="107"/>
      <c r="K26" s="107"/>
      <c r="L26" s="107"/>
      <c r="M26" s="107"/>
      <c r="N26" s="107"/>
      <c r="O26" s="107"/>
      <c r="P26" s="107"/>
      <c r="Q26" s="107"/>
      <c r="BF26" s="158" t="str">
        <f>C2 &amp; IF(TEMPLATE_CLAIM="P","-II","-III")</f>
        <v>.2-III</v>
      </c>
    </row>
    <row r="27" spans="1:58" ht="12" hidden="1" customHeight="1">
      <c r="A27" s="46"/>
      <c r="B27" s="910"/>
      <c r="C27" s="910"/>
      <c r="D27" s="707"/>
      <c r="E27" s="96"/>
      <c r="F27" s="106" t="str">
        <f>C2 &amp; ".11"</f>
        <v>.2.11</v>
      </c>
      <c r="G27" s="105" t="s">
        <v>732</v>
      </c>
      <c r="H27" s="105"/>
      <c r="I27" s="107"/>
      <c r="J27" s="107"/>
      <c r="K27" s="107"/>
      <c r="L27" s="107"/>
      <c r="M27" s="107"/>
      <c r="N27" s="107"/>
      <c r="O27" s="107"/>
      <c r="P27" s="107"/>
      <c r="Q27" s="107"/>
      <c r="BF27" s="158" t="str">
        <f>C2 &amp; IF(TEMPLATE_CLAIM="P","-II","-III")</f>
        <v>.2-III</v>
      </c>
    </row>
    <row r="28" spans="1:58" ht="12" hidden="1" customHeight="1">
      <c r="A28" s="46"/>
      <c r="B28" s="910"/>
      <c r="C28" s="910"/>
      <c r="D28" s="707"/>
      <c r="E28" s="96"/>
      <c r="F28" s="106" t="str">
        <f>C2 &amp; ".12"</f>
        <v>.2.12</v>
      </c>
      <c r="G28" s="105" t="s">
        <v>733</v>
      </c>
      <c r="H28" s="105"/>
      <c r="I28" s="107"/>
      <c r="J28" s="107"/>
      <c r="K28" s="107"/>
      <c r="L28" s="107"/>
      <c r="M28" s="107"/>
      <c r="N28" s="107"/>
      <c r="O28" s="107"/>
      <c r="P28" s="107"/>
      <c r="Q28" s="107"/>
      <c r="BF28" s="158" t="str">
        <f>C2 &amp; IF(TEMPLATE_CLAIM="P","-II","-III")</f>
        <v>.2-III</v>
      </c>
    </row>
    <row r="29" spans="1:58" ht="12" hidden="1" customHeight="1">
      <c r="A29" s="46"/>
      <c r="B29" s="910"/>
      <c r="C29" s="119" t="str">
        <f>B29 &amp; ".1"</f>
        <v>.1</v>
      </c>
      <c r="D29" s="714" t="s">
        <v>652</v>
      </c>
      <c r="E29" s="96"/>
      <c r="F29" s="835">
        <f>B29</f>
        <v>0</v>
      </c>
      <c r="G29" s="933"/>
      <c r="H29" s="336" t="s">
        <v>346</v>
      </c>
      <c r="I29" s="107"/>
      <c r="J29" s="691">
        <f>IF(TEMPLATE_CLAIM="P","",L29+K29)</f>
        <v>0</v>
      </c>
      <c r="K29" s="274"/>
      <c r="L29" s="695">
        <f>IF(TEMPLATE_CLAIM="P","",M29+O29+N29+P29+Q29)</f>
        <v>0</v>
      </c>
      <c r="M29" s="274"/>
      <c r="N29" s="274"/>
      <c r="O29" s="274"/>
      <c r="P29" s="274"/>
      <c r="Q29" s="274"/>
      <c r="BF29" s="114" t="s">
        <v>344</v>
      </c>
    </row>
    <row r="30" spans="1:58" ht="12" hidden="1" customHeight="1">
      <c r="A30" s="46"/>
      <c r="B30" s="910"/>
      <c r="C30" s="119" t="str">
        <f>B29 &amp; ".2"</f>
        <v>.2</v>
      </c>
      <c r="D30" s="714" t="s">
        <v>652</v>
      </c>
      <c r="E30" s="96"/>
      <c r="F30" s="935"/>
      <c r="G30" s="933"/>
      <c r="H30" s="336"/>
      <c r="I30" s="107"/>
      <c r="J30" s="266"/>
      <c r="K30" s="266"/>
      <c r="L30" s="266"/>
      <c r="M30" s="266"/>
      <c r="N30" s="266"/>
      <c r="O30" s="266"/>
      <c r="P30" s="266"/>
      <c r="Q30" s="266"/>
      <c r="BF30" s="114" t="s">
        <v>345</v>
      </c>
    </row>
    <row r="31" spans="1:58" ht="12" hidden="1" customHeight="1">
      <c r="A31" s="46"/>
      <c r="B31" s="910"/>
      <c r="C31" s="910"/>
      <c r="D31" s="707"/>
      <c r="E31" s="96"/>
      <c r="F31" s="106" t="str">
        <f>C29 &amp; ".0"</f>
        <v>.1.0</v>
      </c>
      <c r="G31" s="105" t="s">
        <v>721</v>
      </c>
      <c r="H31" s="336" t="s">
        <v>346</v>
      </c>
      <c r="I31" s="107"/>
      <c r="J31" s="271">
        <f>L31+K31</f>
        <v>0</v>
      </c>
      <c r="K31" s="277"/>
      <c r="L31" s="271">
        <f t="shared" ref="L31:Q31" si="0">SUM(L32:L43)</f>
        <v>0</v>
      </c>
      <c r="M31" s="271">
        <f t="shared" si="0"/>
        <v>0</v>
      </c>
      <c r="N31" s="271">
        <f t="shared" si="0"/>
        <v>0</v>
      </c>
      <c r="O31" s="271">
        <f t="shared" si="0"/>
        <v>0</v>
      </c>
      <c r="P31" s="271">
        <f t="shared" si="0"/>
        <v>0</v>
      </c>
      <c r="Q31" s="271">
        <f t="shared" si="0"/>
        <v>0</v>
      </c>
      <c r="BF31" s="114" t="s">
        <v>334</v>
      </c>
    </row>
    <row r="32" spans="1:58" ht="12" hidden="1" customHeight="1">
      <c r="A32" s="46"/>
      <c r="B32" s="910"/>
      <c r="C32" s="910"/>
      <c r="D32" s="707"/>
      <c r="E32" s="96"/>
      <c r="F32" s="106" t="str">
        <f>C29 &amp; ".1"</f>
        <v>.1.1</v>
      </c>
      <c r="G32" s="105" t="s">
        <v>722</v>
      </c>
      <c r="H32" s="336" t="s">
        <v>346</v>
      </c>
      <c r="I32" s="107"/>
      <c r="J32" s="266"/>
      <c r="K32" s="266"/>
      <c r="L32" s="506">
        <f t="shared" ref="L32:L43" si="1">M32+O32+N32+P32+Q32</f>
        <v>0</v>
      </c>
      <c r="M32" s="277"/>
      <c r="N32" s="277"/>
      <c r="O32" s="277"/>
      <c r="P32" s="277"/>
      <c r="Q32" s="277"/>
      <c r="BF32" s="158" t="str">
        <f>C29 &amp; "-I"</f>
        <v>.1-I</v>
      </c>
    </row>
    <row r="33" spans="1:58" ht="12" hidden="1" customHeight="1">
      <c r="A33" s="46"/>
      <c r="B33" s="910"/>
      <c r="C33" s="910"/>
      <c r="D33" s="707"/>
      <c r="E33" s="96"/>
      <c r="F33" s="106" t="str">
        <f>C29 &amp; ".2"</f>
        <v>.1.2</v>
      </c>
      <c r="G33" s="105" t="s">
        <v>723</v>
      </c>
      <c r="H33" s="336" t="s">
        <v>346</v>
      </c>
      <c r="I33" s="107"/>
      <c r="J33" s="266"/>
      <c r="K33" s="266"/>
      <c r="L33" s="506">
        <f t="shared" si="1"/>
        <v>0</v>
      </c>
      <c r="M33" s="277"/>
      <c r="N33" s="277"/>
      <c r="O33" s="277"/>
      <c r="P33" s="277"/>
      <c r="Q33" s="277"/>
      <c r="BF33" s="158" t="str">
        <f>C29 &amp; "-I"</f>
        <v>.1-I</v>
      </c>
    </row>
    <row r="34" spans="1:58" ht="12" hidden="1" customHeight="1">
      <c r="A34" s="46"/>
      <c r="B34" s="910"/>
      <c r="C34" s="910"/>
      <c r="D34" s="707"/>
      <c r="E34" s="96"/>
      <c r="F34" s="106" t="str">
        <f>C29 &amp; ".3"</f>
        <v>.1.3</v>
      </c>
      <c r="G34" s="105" t="s">
        <v>724</v>
      </c>
      <c r="H34" s="336" t="s">
        <v>346</v>
      </c>
      <c r="I34" s="107"/>
      <c r="J34" s="266"/>
      <c r="K34" s="266"/>
      <c r="L34" s="506">
        <f t="shared" si="1"/>
        <v>0</v>
      </c>
      <c r="M34" s="277"/>
      <c r="N34" s="277"/>
      <c r="O34" s="277"/>
      <c r="P34" s="277"/>
      <c r="Q34" s="277"/>
      <c r="BF34" s="158" t="str">
        <f>C29 &amp; "-I"</f>
        <v>.1-I</v>
      </c>
    </row>
    <row r="35" spans="1:58" ht="12" hidden="1" customHeight="1">
      <c r="A35" s="46"/>
      <c r="B35" s="910"/>
      <c r="C35" s="910"/>
      <c r="D35" s="707"/>
      <c r="E35" s="96"/>
      <c r="F35" s="106" t="str">
        <f>C29 &amp; ".4"</f>
        <v>.1.4</v>
      </c>
      <c r="G35" s="105" t="s">
        <v>725</v>
      </c>
      <c r="H35" s="336" t="s">
        <v>346</v>
      </c>
      <c r="I35" s="107"/>
      <c r="J35" s="266"/>
      <c r="K35" s="266"/>
      <c r="L35" s="506">
        <f t="shared" si="1"/>
        <v>0</v>
      </c>
      <c r="M35" s="277"/>
      <c r="N35" s="277"/>
      <c r="O35" s="277"/>
      <c r="P35" s="277"/>
      <c r="Q35" s="277"/>
      <c r="BF35" s="158" t="str">
        <f>C29 &amp; "-I"</f>
        <v>.1-I</v>
      </c>
    </row>
    <row r="36" spans="1:58" ht="12" hidden="1" customHeight="1">
      <c r="A36" s="46"/>
      <c r="B36" s="910"/>
      <c r="C36" s="910"/>
      <c r="D36" s="707"/>
      <c r="E36" s="96"/>
      <c r="F36" s="106" t="str">
        <f>C29 &amp; ".5"</f>
        <v>.1.5</v>
      </c>
      <c r="G36" s="105" t="s">
        <v>726</v>
      </c>
      <c r="H36" s="336" t="s">
        <v>346</v>
      </c>
      <c r="I36" s="107"/>
      <c r="J36" s="266"/>
      <c r="K36" s="266"/>
      <c r="L36" s="506">
        <f t="shared" si="1"/>
        <v>0</v>
      </c>
      <c r="M36" s="277"/>
      <c r="N36" s="277"/>
      <c r="O36" s="277"/>
      <c r="P36" s="277"/>
      <c r="Q36" s="277"/>
      <c r="BF36" s="158" t="str">
        <f>C29 &amp; "-I"</f>
        <v>.1-I</v>
      </c>
    </row>
    <row r="37" spans="1:58" ht="12" hidden="1" customHeight="1">
      <c r="A37" s="46"/>
      <c r="B37" s="910"/>
      <c r="C37" s="910"/>
      <c r="D37" s="707"/>
      <c r="E37" s="96"/>
      <c r="F37" s="106" t="str">
        <f>C29 &amp; ".6"</f>
        <v>.1.6</v>
      </c>
      <c r="G37" s="105" t="s">
        <v>727</v>
      </c>
      <c r="H37" s="336" t="s">
        <v>346</v>
      </c>
      <c r="I37" s="107"/>
      <c r="J37" s="266"/>
      <c r="K37" s="266"/>
      <c r="L37" s="506">
        <f t="shared" si="1"/>
        <v>0</v>
      </c>
      <c r="M37" s="277"/>
      <c r="N37" s="277"/>
      <c r="O37" s="277"/>
      <c r="P37" s="277"/>
      <c r="Q37" s="277"/>
      <c r="BF37" s="158" t="str">
        <f>C29 &amp; "-I"</f>
        <v>.1-I</v>
      </c>
    </row>
    <row r="38" spans="1:58" ht="12" hidden="1" customHeight="1">
      <c r="A38" s="46"/>
      <c r="B38" s="910"/>
      <c r="C38" s="910"/>
      <c r="D38" s="707"/>
      <c r="E38" s="96"/>
      <c r="F38" s="106" t="str">
        <f>C29 &amp; ".7"</f>
        <v>.1.7</v>
      </c>
      <c r="G38" s="105" t="s">
        <v>728</v>
      </c>
      <c r="H38" s="336" t="s">
        <v>346</v>
      </c>
      <c r="I38" s="107"/>
      <c r="J38" s="266"/>
      <c r="K38" s="266"/>
      <c r="L38" s="506">
        <f t="shared" si="1"/>
        <v>0</v>
      </c>
      <c r="M38" s="277"/>
      <c r="N38" s="277"/>
      <c r="O38" s="277"/>
      <c r="P38" s="277"/>
      <c r="Q38" s="277"/>
      <c r="BF38" s="158" t="str">
        <f>C29 &amp; "-II"</f>
        <v>.1-II</v>
      </c>
    </row>
    <row r="39" spans="1:58" ht="12" hidden="1" customHeight="1">
      <c r="A39" s="46"/>
      <c r="B39" s="910"/>
      <c r="C39" s="910"/>
      <c r="D39" s="707"/>
      <c r="E39" s="96"/>
      <c r="F39" s="106" t="str">
        <f>C29 &amp; ".8"</f>
        <v>.1.8</v>
      </c>
      <c r="G39" s="105" t="s">
        <v>729</v>
      </c>
      <c r="H39" s="336" t="s">
        <v>346</v>
      </c>
      <c r="I39" s="107"/>
      <c r="J39" s="266"/>
      <c r="K39" s="266"/>
      <c r="L39" s="506">
        <f t="shared" si="1"/>
        <v>0</v>
      </c>
      <c r="M39" s="277"/>
      <c r="N39" s="277"/>
      <c r="O39" s="277"/>
      <c r="P39" s="277"/>
      <c r="Q39" s="277"/>
      <c r="BF39" s="158" t="str">
        <f>C29 &amp; "-II"</f>
        <v>.1-II</v>
      </c>
    </row>
    <row r="40" spans="1:58" ht="12" hidden="1" customHeight="1">
      <c r="A40" s="46"/>
      <c r="B40" s="910"/>
      <c r="C40" s="910"/>
      <c r="D40" s="707"/>
      <c r="E40" s="96"/>
      <c r="F40" s="106" t="str">
        <f>C29 &amp; ".9"</f>
        <v>.1.9</v>
      </c>
      <c r="G40" s="105" t="s">
        <v>730</v>
      </c>
      <c r="H40" s="336" t="s">
        <v>346</v>
      </c>
      <c r="I40" s="107"/>
      <c r="J40" s="266"/>
      <c r="K40" s="266"/>
      <c r="L40" s="506">
        <f t="shared" si="1"/>
        <v>0</v>
      </c>
      <c r="M40" s="277"/>
      <c r="N40" s="277"/>
      <c r="O40" s="277"/>
      <c r="P40" s="277"/>
      <c r="Q40" s="277"/>
      <c r="BF40" s="158" t="str">
        <f>C29 &amp; IF(TEMPLATE_CLAIM="P","-II","-III")</f>
        <v>.1-III</v>
      </c>
    </row>
    <row r="41" spans="1:58" ht="12" hidden="1" customHeight="1">
      <c r="A41" s="46"/>
      <c r="B41" s="910"/>
      <c r="C41" s="910"/>
      <c r="D41" s="707"/>
      <c r="E41" s="96"/>
      <c r="F41" s="106" t="str">
        <f>C29 &amp; ".10"</f>
        <v>.1.10</v>
      </c>
      <c r="G41" s="105" t="s">
        <v>731</v>
      </c>
      <c r="H41" s="336" t="s">
        <v>346</v>
      </c>
      <c r="I41" s="107"/>
      <c r="J41" s="266"/>
      <c r="K41" s="266"/>
      <c r="L41" s="506">
        <f t="shared" si="1"/>
        <v>0</v>
      </c>
      <c r="M41" s="277"/>
      <c r="N41" s="277"/>
      <c r="O41" s="277"/>
      <c r="P41" s="277"/>
      <c r="Q41" s="277"/>
      <c r="BF41" s="158" t="str">
        <f>C29 &amp; IF(TEMPLATE_CLAIM="P","-II","-III")</f>
        <v>.1-III</v>
      </c>
    </row>
    <row r="42" spans="1:58" ht="12" hidden="1" customHeight="1">
      <c r="A42" s="46"/>
      <c r="B42" s="910"/>
      <c r="C42" s="910"/>
      <c r="D42" s="707"/>
      <c r="E42" s="96"/>
      <c r="F42" s="106" t="str">
        <f>C29 &amp; ".11"</f>
        <v>.1.11</v>
      </c>
      <c r="G42" s="105" t="s">
        <v>732</v>
      </c>
      <c r="H42" s="336" t="s">
        <v>346</v>
      </c>
      <c r="I42" s="107"/>
      <c r="J42" s="266"/>
      <c r="K42" s="266"/>
      <c r="L42" s="506">
        <f t="shared" si="1"/>
        <v>0</v>
      </c>
      <c r="M42" s="277"/>
      <c r="N42" s="277"/>
      <c r="O42" s="277"/>
      <c r="P42" s="277"/>
      <c r="Q42" s="277"/>
      <c r="BF42" s="158" t="str">
        <f>C29 &amp; IF(TEMPLATE_CLAIM="P","-II","-III")</f>
        <v>.1-III</v>
      </c>
    </row>
    <row r="43" spans="1:58" ht="12" hidden="1" customHeight="1">
      <c r="A43" s="46"/>
      <c r="B43" s="910"/>
      <c r="C43" s="910"/>
      <c r="D43" s="707"/>
      <c r="E43" s="96"/>
      <c r="F43" s="106" t="str">
        <f>C29 &amp; ".12"</f>
        <v>.1.12</v>
      </c>
      <c r="G43" s="105" t="s">
        <v>733</v>
      </c>
      <c r="H43" s="336" t="s">
        <v>346</v>
      </c>
      <c r="I43" s="107"/>
      <c r="J43" s="266"/>
      <c r="K43" s="266"/>
      <c r="L43" s="506">
        <f t="shared" si="1"/>
        <v>0</v>
      </c>
      <c r="M43" s="277"/>
      <c r="N43" s="277"/>
      <c r="O43" s="277"/>
      <c r="P43" s="277"/>
      <c r="Q43" s="277"/>
      <c r="BF43" s="158" t="str">
        <f>C29 &amp; IF(TEMPLATE_CLAIM="P","-II","-III")</f>
        <v>.1-III</v>
      </c>
    </row>
    <row r="44" spans="1:58" ht="12" hidden="1" customHeight="1">
      <c r="A44" s="46"/>
      <c r="B44" s="910"/>
      <c r="C44" s="910"/>
      <c r="D44" s="707"/>
      <c r="E44" s="96"/>
      <c r="F44" s="106" t="str">
        <f>C30 &amp; ".0"</f>
        <v>.2.0</v>
      </c>
      <c r="G44" s="105" t="s">
        <v>721</v>
      </c>
      <c r="H44" s="336"/>
      <c r="I44" s="107"/>
      <c r="J44" s="266"/>
      <c r="K44" s="266"/>
      <c r="L44" s="266"/>
      <c r="M44" s="266"/>
      <c r="N44" s="266"/>
      <c r="O44" s="266"/>
      <c r="P44" s="266"/>
      <c r="Q44" s="266"/>
      <c r="BF44" s="114" t="s">
        <v>335</v>
      </c>
    </row>
    <row r="45" spans="1:58" ht="12" hidden="1" customHeight="1">
      <c r="A45" s="46"/>
      <c r="B45" s="910"/>
      <c r="C45" s="910"/>
      <c r="D45" s="707"/>
      <c r="E45" s="96"/>
      <c r="F45" s="106" t="str">
        <f>C30 &amp; ".1"</f>
        <v>.2.1</v>
      </c>
      <c r="G45" s="105" t="s">
        <v>722</v>
      </c>
      <c r="H45" s="336"/>
      <c r="I45" s="107"/>
      <c r="J45" s="266"/>
      <c r="K45" s="266"/>
      <c r="L45" s="266"/>
      <c r="M45" s="266"/>
      <c r="N45" s="266"/>
      <c r="O45" s="266"/>
      <c r="P45" s="266"/>
      <c r="Q45" s="266"/>
      <c r="BF45" s="158" t="str">
        <f>C30 &amp; "-I"</f>
        <v>.2-I</v>
      </c>
    </row>
    <row r="46" spans="1:58" ht="12" hidden="1" customHeight="1">
      <c r="A46" s="46"/>
      <c r="B46" s="910"/>
      <c r="C46" s="910"/>
      <c r="D46" s="707"/>
      <c r="E46" s="96"/>
      <c r="F46" s="106" t="str">
        <f>C30 &amp; ".2"</f>
        <v>.2.2</v>
      </c>
      <c r="G46" s="105" t="s">
        <v>723</v>
      </c>
      <c r="H46" s="336"/>
      <c r="I46" s="107"/>
      <c r="J46" s="266"/>
      <c r="K46" s="266"/>
      <c r="L46" s="266"/>
      <c r="M46" s="266"/>
      <c r="N46" s="266"/>
      <c r="O46" s="266"/>
      <c r="P46" s="266"/>
      <c r="Q46" s="266"/>
      <c r="BF46" s="158" t="str">
        <f>C30 &amp; "-I"</f>
        <v>.2-I</v>
      </c>
    </row>
    <row r="47" spans="1:58" ht="12" hidden="1" customHeight="1">
      <c r="A47" s="46"/>
      <c r="B47" s="910"/>
      <c r="C47" s="910"/>
      <c r="D47" s="707"/>
      <c r="E47" s="96"/>
      <c r="F47" s="106" t="str">
        <f>C30 &amp; ".3"</f>
        <v>.2.3</v>
      </c>
      <c r="G47" s="105" t="s">
        <v>724</v>
      </c>
      <c r="H47" s="336"/>
      <c r="I47" s="107"/>
      <c r="J47" s="266"/>
      <c r="K47" s="266"/>
      <c r="L47" s="266"/>
      <c r="M47" s="266"/>
      <c r="N47" s="266"/>
      <c r="O47" s="266"/>
      <c r="P47" s="266"/>
      <c r="Q47" s="266"/>
      <c r="BF47" s="158" t="str">
        <f>C30 &amp; "-I"</f>
        <v>.2-I</v>
      </c>
    </row>
    <row r="48" spans="1:58" ht="12" hidden="1" customHeight="1">
      <c r="A48" s="46"/>
      <c r="B48" s="910"/>
      <c r="C48" s="910"/>
      <c r="D48" s="707"/>
      <c r="E48" s="96"/>
      <c r="F48" s="106" t="str">
        <f>C30 &amp; ".4"</f>
        <v>.2.4</v>
      </c>
      <c r="G48" s="105" t="s">
        <v>725</v>
      </c>
      <c r="H48" s="336"/>
      <c r="I48" s="107"/>
      <c r="J48" s="266"/>
      <c r="K48" s="266"/>
      <c r="L48" s="266"/>
      <c r="M48" s="266"/>
      <c r="N48" s="266"/>
      <c r="O48" s="266"/>
      <c r="P48" s="266"/>
      <c r="Q48" s="266"/>
      <c r="BF48" s="158" t="str">
        <f>C30 &amp; "-I"</f>
        <v>.2-I</v>
      </c>
    </row>
    <row r="49" spans="1:58" ht="12" hidden="1" customHeight="1">
      <c r="A49" s="46"/>
      <c r="B49" s="910"/>
      <c r="C49" s="910"/>
      <c r="D49" s="707"/>
      <c r="E49" s="96"/>
      <c r="F49" s="106" t="str">
        <f>C30 &amp; ".5"</f>
        <v>.2.5</v>
      </c>
      <c r="G49" s="105" t="s">
        <v>726</v>
      </c>
      <c r="H49" s="336"/>
      <c r="I49" s="107"/>
      <c r="J49" s="266"/>
      <c r="K49" s="266"/>
      <c r="L49" s="266"/>
      <c r="M49" s="266"/>
      <c r="N49" s="266"/>
      <c r="O49" s="266"/>
      <c r="P49" s="266"/>
      <c r="Q49" s="266"/>
      <c r="BF49" s="158" t="str">
        <f>C30 &amp; "-I"</f>
        <v>.2-I</v>
      </c>
    </row>
    <row r="50" spans="1:58" ht="12" hidden="1" customHeight="1">
      <c r="A50" s="46"/>
      <c r="B50" s="910"/>
      <c r="C50" s="910"/>
      <c r="D50" s="707"/>
      <c r="E50" s="96"/>
      <c r="F50" s="106" t="str">
        <f>C30 &amp; ".6"</f>
        <v>.2.6</v>
      </c>
      <c r="G50" s="105" t="s">
        <v>727</v>
      </c>
      <c r="H50" s="336"/>
      <c r="I50" s="107"/>
      <c r="J50" s="266"/>
      <c r="K50" s="266"/>
      <c r="L50" s="266"/>
      <c r="M50" s="266"/>
      <c r="N50" s="266"/>
      <c r="O50" s="266"/>
      <c r="P50" s="266"/>
      <c r="Q50" s="266"/>
      <c r="BF50" s="158" t="str">
        <f>C30 &amp; "-I"</f>
        <v>.2-I</v>
      </c>
    </row>
    <row r="51" spans="1:58" ht="12" hidden="1" customHeight="1">
      <c r="A51" s="46"/>
      <c r="B51" s="910"/>
      <c r="C51" s="910"/>
      <c r="D51" s="707"/>
      <c r="E51" s="96"/>
      <c r="F51" s="106" t="str">
        <f>C30 &amp; ".7"</f>
        <v>.2.7</v>
      </c>
      <c r="G51" s="105" t="s">
        <v>728</v>
      </c>
      <c r="H51" s="336"/>
      <c r="I51" s="107"/>
      <c r="J51" s="266"/>
      <c r="K51" s="266"/>
      <c r="L51" s="266"/>
      <c r="M51" s="266"/>
      <c r="N51" s="266"/>
      <c r="O51" s="266"/>
      <c r="P51" s="266"/>
      <c r="Q51" s="266"/>
      <c r="BF51" s="158" t="str">
        <f>C30 &amp; "-II"</f>
        <v>.2-II</v>
      </c>
    </row>
    <row r="52" spans="1:58" ht="12" hidden="1" customHeight="1">
      <c r="A52" s="46"/>
      <c r="B52" s="910"/>
      <c r="C52" s="910"/>
      <c r="D52" s="707"/>
      <c r="E52" s="96"/>
      <c r="F52" s="106" t="str">
        <f>C30 &amp; ".8"</f>
        <v>.2.8</v>
      </c>
      <c r="G52" s="105" t="s">
        <v>729</v>
      </c>
      <c r="H52" s="336"/>
      <c r="I52" s="107"/>
      <c r="J52" s="266"/>
      <c r="K52" s="266"/>
      <c r="L52" s="266"/>
      <c r="M52" s="266"/>
      <c r="N52" s="266"/>
      <c r="O52" s="266"/>
      <c r="P52" s="266"/>
      <c r="Q52" s="266"/>
      <c r="BF52" s="158" t="str">
        <f>C30 &amp; "-II"</f>
        <v>.2-II</v>
      </c>
    </row>
    <row r="53" spans="1:58" ht="12" hidden="1" customHeight="1">
      <c r="A53" s="46"/>
      <c r="B53" s="910"/>
      <c r="C53" s="910"/>
      <c r="D53" s="707"/>
      <c r="E53" s="96"/>
      <c r="F53" s="106" t="str">
        <f>C30 &amp; ".9"</f>
        <v>.2.9</v>
      </c>
      <c r="G53" s="105" t="s">
        <v>730</v>
      </c>
      <c r="H53" s="336"/>
      <c r="I53" s="107"/>
      <c r="J53" s="266"/>
      <c r="K53" s="266"/>
      <c r="L53" s="266"/>
      <c r="M53" s="266"/>
      <c r="N53" s="266"/>
      <c r="O53" s="266"/>
      <c r="P53" s="266"/>
      <c r="Q53" s="266"/>
      <c r="BF53" s="158" t="str">
        <f>C30 &amp; IF(TEMPLATE_CLAIM="P","-II","-III")</f>
        <v>.2-III</v>
      </c>
    </row>
    <row r="54" spans="1:58" ht="12" hidden="1" customHeight="1">
      <c r="A54" s="46"/>
      <c r="B54" s="910"/>
      <c r="C54" s="910"/>
      <c r="D54" s="707"/>
      <c r="E54" s="96"/>
      <c r="F54" s="106" t="str">
        <f>C30 &amp; ".10"</f>
        <v>.2.10</v>
      </c>
      <c r="G54" s="105" t="s">
        <v>731</v>
      </c>
      <c r="H54" s="336"/>
      <c r="I54" s="107"/>
      <c r="J54" s="266"/>
      <c r="K54" s="266"/>
      <c r="L54" s="266"/>
      <c r="M54" s="266"/>
      <c r="N54" s="266"/>
      <c r="O54" s="266"/>
      <c r="P54" s="266"/>
      <c r="Q54" s="266"/>
      <c r="BF54" s="158" t="str">
        <f>C30 &amp; IF(TEMPLATE_CLAIM="P","-II","-III")</f>
        <v>.2-III</v>
      </c>
    </row>
    <row r="55" spans="1:58" ht="12" hidden="1" customHeight="1">
      <c r="A55" s="46"/>
      <c r="B55" s="910"/>
      <c r="C55" s="910"/>
      <c r="D55" s="707"/>
      <c r="E55" s="96"/>
      <c r="F55" s="106" t="str">
        <f>C30 &amp; ".11"</f>
        <v>.2.11</v>
      </c>
      <c r="G55" s="105" t="s">
        <v>732</v>
      </c>
      <c r="H55" s="336"/>
      <c r="I55" s="107"/>
      <c r="J55" s="266"/>
      <c r="K55" s="266"/>
      <c r="L55" s="266"/>
      <c r="M55" s="266"/>
      <c r="N55" s="266"/>
      <c r="O55" s="266"/>
      <c r="P55" s="266"/>
      <c r="Q55" s="266"/>
      <c r="BF55" s="158" t="str">
        <f>C30 &amp; IF(TEMPLATE_CLAIM="P","-II","-III")</f>
        <v>.2-III</v>
      </c>
    </row>
    <row r="56" spans="1:58" ht="12" hidden="1" customHeight="1">
      <c r="A56" s="46"/>
      <c r="B56" s="910"/>
      <c r="C56" s="910"/>
      <c r="D56" s="707"/>
      <c r="E56" s="96"/>
      <c r="F56" s="106" t="str">
        <f>C30 &amp; ".12"</f>
        <v>.2.12</v>
      </c>
      <c r="G56" s="105" t="s">
        <v>733</v>
      </c>
      <c r="H56" s="336"/>
      <c r="I56" s="107"/>
      <c r="J56" s="266"/>
      <c r="K56" s="266"/>
      <c r="L56" s="266"/>
      <c r="M56" s="266"/>
      <c r="N56" s="266"/>
      <c r="O56" s="266"/>
      <c r="P56" s="266"/>
      <c r="Q56" s="266"/>
      <c r="BF56" s="158" t="str">
        <f>C30 &amp; IF(TEMPLATE_CLAIM="P","-II","-III")</f>
        <v>.2-III</v>
      </c>
    </row>
    <row r="57" spans="1:58" ht="12" hidden="1" customHeight="1">
      <c r="A57" s="46"/>
      <c r="B57" s="910"/>
      <c r="C57" s="119" t="str">
        <f>B57 &amp; ".1"</f>
        <v>.1</v>
      </c>
      <c r="D57" s="714" t="s">
        <v>652</v>
      </c>
      <c r="E57" s="96"/>
      <c r="F57" s="835">
        <f>B57</f>
        <v>0</v>
      </c>
      <c r="G57" s="933"/>
      <c r="H57" s="336"/>
      <c r="I57" s="107"/>
      <c r="J57" s="266"/>
      <c r="K57" s="266"/>
      <c r="L57" s="266"/>
      <c r="M57" s="266"/>
      <c r="N57" s="266"/>
      <c r="O57" s="266"/>
      <c r="P57" s="266"/>
      <c r="Q57" s="266"/>
      <c r="BF57" s="114" t="s">
        <v>344</v>
      </c>
    </row>
    <row r="58" spans="1:58" ht="12" hidden="1" customHeight="1">
      <c r="A58" s="46"/>
      <c r="B58" s="910"/>
      <c r="C58" s="119" t="str">
        <f>B57 &amp; ".2"</f>
        <v>.2</v>
      </c>
      <c r="D58" s="714" t="s">
        <v>652</v>
      </c>
      <c r="E58" s="96"/>
      <c r="F58" s="935"/>
      <c r="G58" s="933"/>
      <c r="H58" s="336" t="s">
        <v>347</v>
      </c>
      <c r="I58" s="107"/>
      <c r="J58" s="691">
        <f>IF(TEMPLATE_CLAIM="P","",L58+K58)</f>
        <v>0</v>
      </c>
      <c r="K58" s="274"/>
      <c r="L58" s="695">
        <f>IF(TEMPLATE_CLAIM="P","",M58+O58+N58+P58+Q58)</f>
        <v>0</v>
      </c>
      <c r="M58" s="274"/>
      <c r="N58" s="274"/>
      <c r="O58" s="274"/>
      <c r="P58" s="274"/>
      <c r="Q58" s="274"/>
      <c r="BF58" s="114" t="s">
        <v>345</v>
      </c>
    </row>
    <row r="59" spans="1:58" ht="12" hidden="1" customHeight="1">
      <c r="A59" s="46"/>
      <c r="B59" s="910"/>
      <c r="C59" s="910"/>
      <c r="D59" s="707"/>
      <c r="E59" s="96"/>
      <c r="F59" s="106" t="str">
        <f>C57 &amp; ".0"</f>
        <v>.1.0</v>
      </c>
      <c r="G59" s="105" t="s">
        <v>721</v>
      </c>
      <c r="H59" s="336"/>
      <c r="I59" s="107"/>
      <c r="J59" s="266"/>
      <c r="K59" s="266"/>
      <c r="L59" s="266"/>
      <c r="M59" s="266"/>
      <c r="N59" s="266"/>
      <c r="O59" s="266"/>
      <c r="P59" s="266"/>
      <c r="Q59" s="266"/>
      <c r="BF59" s="114" t="s">
        <v>334</v>
      </c>
    </row>
    <row r="60" spans="1:58" ht="12" hidden="1" customHeight="1">
      <c r="A60" s="46"/>
      <c r="B60" s="910"/>
      <c r="C60" s="910"/>
      <c r="D60" s="707"/>
      <c r="E60" s="96"/>
      <c r="F60" s="106" t="str">
        <f>C57 &amp; ".1"</f>
        <v>.1.1</v>
      </c>
      <c r="G60" s="105" t="s">
        <v>722</v>
      </c>
      <c r="H60" s="336"/>
      <c r="I60" s="107"/>
      <c r="J60" s="266"/>
      <c r="K60" s="266"/>
      <c r="L60" s="266"/>
      <c r="M60" s="266"/>
      <c r="N60" s="266"/>
      <c r="O60" s="266"/>
      <c r="P60" s="266"/>
      <c r="Q60" s="266"/>
      <c r="BF60" s="158" t="str">
        <f>C57 &amp; "-I"</f>
        <v>.1-I</v>
      </c>
    </row>
    <row r="61" spans="1:58" ht="12" hidden="1" customHeight="1">
      <c r="A61" s="46"/>
      <c r="B61" s="910"/>
      <c r="C61" s="910"/>
      <c r="D61" s="707"/>
      <c r="E61" s="96"/>
      <c r="F61" s="106" t="str">
        <f>C57 &amp; ".2"</f>
        <v>.1.2</v>
      </c>
      <c r="G61" s="105" t="s">
        <v>723</v>
      </c>
      <c r="H61" s="336"/>
      <c r="I61" s="107"/>
      <c r="J61" s="266"/>
      <c r="K61" s="266"/>
      <c r="L61" s="266"/>
      <c r="M61" s="266"/>
      <c r="N61" s="266"/>
      <c r="O61" s="266"/>
      <c r="P61" s="266"/>
      <c r="Q61" s="266"/>
      <c r="BF61" s="158" t="str">
        <f>C57 &amp; "-I"</f>
        <v>.1-I</v>
      </c>
    </row>
    <row r="62" spans="1:58" ht="12" hidden="1" customHeight="1">
      <c r="A62" s="46"/>
      <c r="B62" s="910"/>
      <c r="C62" s="910"/>
      <c r="D62" s="707"/>
      <c r="E62" s="96"/>
      <c r="F62" s="106" t="str">
        <f>C57 &amp; ".3"</f>
        <v>.1.3</v>
      </c>
      <c r="G62" s="105" t="s">
        <v>724</v>
      </c>
      <c r="H62" s="336"/>
      <c r="I62" s="107"/>
      <c r="J62" s="266"/>
      <c r="K62" s="266"/>
      <c r="L62" s="266"/>
      <c r="M62" s="266"/>
      <c r="N62" s="266"/>
      <c r="O62" s="266"/>
      <c r="P62" s="266"/>
      <c r="Q62" s="266"/>
      <c r="BF62" s="158" t="str">
        <f>C57 &amp; "-I"</f>
        <v>.1-I</v>
      </c>
    </row>
    <row r="63" spans="1:58" ht="12" hidden="1" customHeight="1">
      <c r="A63" s="46"/>
      <c r="B63" s="910"/>
      <c r="C63" s="910"/>
      <c r="D63" s="707"/>
      <c r="E63" s="96"/>
      <c r="F63" s="106" t="str">
        <f>C57 &amp; ".4"</f>
        <v>.1.4</v>
      </c>
      <c r="G63" s="105" t="s">
        <v>725</v>
      </c>
      <c r="H63" s="336"/>
      <c r="I63" s="107"/>
      <c r="J63" s="266"/>
      <c r="K63" s="266"/>
      <c r="L63" s="266"/>
      <c r="M63" s="266"/>
      <c r="N63" s="266"/>
      <c r="O63" s="266"/>
      <c r="P63" s="266"/>
      <c r="Q63" s="266"/>
      <c r="BF63" s="158" t="str">
        <f>C57 &amp; "-I"</f>
        <v>.1-I</v>
      </c>
    </row>
    <row r="64" spans="1:58" ht="12" hidden="1" customHeight="1">
      <c r="A64" s="46"/>
      <c r="B64" s="910"/>
      <c r="C64" s="910"/>
      <c r="D64" s="707"/>
      <c r="E64" s="96"/>
      <c r="F64" s="106" t="str">
        <f>C57 &amp; ".5"</f>
        <v>.1.5</v>
      </c>
      <c r="G64" s="105" t="s">
        <v>726</v>
      </c>
      <c r="H64" s="336"/>
      <c r="I64" s="107"/>
      <c r="J64" s="266"/>
      <c r="K64" s="266"/>
      <c r="L64" s="266"/>
      <c r="M64" s="266"/>
      <c r="N64" s="266"/>
      <c r="O64" s="266"/>
      <c r="P64" s="266"/>
      <c r="Q64" s="266"/>
      <c r="BF64" s="158" t="str">
        <f>C57 &amp; "-I"</f>
        <v>.1-I</v>
      </c>
    </row>
    <row r="65" spans="1:58" ht="12" hidden="1" customHeight="1">
      <c r="A65" s="46"/>
      <c r="B65" s="910"/>
      <c r="C65" s="910"/>
      <c r="D65" s="707"/>
      <c r="E65" s="96"/>
      <c r="F65" s="106" t="str">
        <f>C57 &amp; ".6"</f>
        <v>.1.6</v>
      </c>
      <c r="G65" s="105" t="s">
        <v>727</v>
      </c>
      <c r="H65" s="336"/>
      <c r="I65" s="107"/>
      <c r="J65" s="266"/>
      <c r="K65" s="266"/>
      <c r="L65" s="266"/>
      <c r="M65" s="266"/>
      <c r="N65" s="266"/>
      <c r="O65" s="266"/>
      <c r="P65" s="266"/>
      <c r="Q65" s="266"/>
      <c r="BF65" s="158" t="str">
        <f>C57 &amp; "-I"</f>
        <v>.1-I</v>
      </c>
    </row>
    <row r="66" spans="1:58" ht="12" hidden="1" customHeight="1">
      <c r="A66" s="46"/>
      <c r="B66" s="910"/>
      <c r="C66" s="910"/>
      <c r="D66" s="707"/>
      <c r="E66" s="96"/>
      <c r="F66" s="106" t="str">
        <f>C57 &amp; ".7"</f>
        <v>.1.7</v>
      </c>
      <c r="G66" s="105" t="s">
        <v>728</v>
      </c>
      <c r="H66" s="336"/>
      <c r="I66" s="107"/>
      <c r="J66" s="266"/>
      <c r="K66" s="266"/>
      <c r="L66" s="266"/>
      <c r="M66" s="266"/>
      <c r="N66" s="266"/>
      <c r="O66" s="266"/>
      <c r="P66" s="266"/>
      <c r="Q66" s="266"/>
      <c r="BF66" s="158" t="str">
        <f>C57 &amp; "-II"</f>
        <v>.1-II</v>
      </c>
    </row>
    <row r="67" spans="1:58" ht="12" hidden="1" customHeight="1">
      <c r="A67" s="46"/>
      <c r="B67" s="910"/>
      <c r="C67" s="910"/>
      <c r="D67" s="707"/>
      <c r="E67" s="96"/>
      <c r="F67" s="106" t="str">
        <f>C57 &amp; ".8"</f>
        <v>.1.8</v>
      </c>
      <c r="G67" s="105" t="s">
        <v>729</v>
      </c>
      <c r="H67" s="336"/>
      <c r="I67" s="107"/>
      <c r="J67" s="266"/>
      <c r="K67" s="266"/>
      <c r="L67" s="266"/>
      <c r="M67" s="266"/>
      <c r="N67" s="266"/>
      <c r="O67" s="266"/>
      <c r="P67" s="266"/>
      <c r="Q67" s="266"/>
      <c r="BF67" s="158" t="str">
        <f>C57 &amp; "-II"</f>
        <v>.1-II</v>
      </c>
    </row>
    <row r="68" spans="1:58" ht="12" hidden="1" customHeight="1">
      <c r="A68" s="46"/>
      <c r="B68" s="910"/>
      <c r="C68" s="910"/>
      <c r="D68" s="707"/>
      <c r="E68" s="96"/>
      <c r="F68" s="106" t="str">
        <f>C57 &amp; ".9"</f>
        <v>.1.9</v>
      </c>
      <c r="G68" s="105" t="s">
        <v>730</v>
      </c>
      <c r="H68" s="336"/>
      <c r="I68" s="107"/>
      <c r="J68" s="266"/>
      <c r="K68" s="266"/>
      <c r="L68" s="266"/>
      <c r="M68" s="266"/>
      <c r="N68" s="266"/>
      <c r="O68" s="266"/>
      <c r="P68" s="266"/>
      <c r="Q68" s="266"/>
      <c r="BF68" s="158" t="str">
        <f>C57 &amp; IF(TEMPLATE_CLAIM="P","-II","-III")</f>
        <v>.1-III</v>
      </c>
    </row>
    <row r="69" spans="1:58" ht="12" hidden="1" customHeight="1">
      <c r="A69" s="46"/>
      <c r="B69" s="910"/>
      <c r="C69" s="910"/>
      <c r="D69" s="707"/>
      <c r="E69" s="96"/>
      <c r="F69" s="106" t="str">
        <f>C57 &amp; ".10"</f>
        <v>.1.10</v>
      </c>
      <c r="G69" s="105" t="s">
        <v>731</v>
      </c>
      <c r="H69" s="336"/>
      <c r="I69" s="107"/>
      <c r="J69" s="266"/>
      <c r="K69" s="266"/>
      <c r="L69" s="266"/>
      <c r="M69" s="266"/>
      <c r="N69" s="266"/>
      <c r="O69" s="266"/>
      <c r="P69" s="266"/>
      <c r="Q69" s="266"/>
      <c r="BF69" s="158" t="str">
        <f>C57 &amp; IF(TEMPLATE_CLAIM="P","-II","-III")</f>
        <v>.1-III</v>
      </c>
    </row>
    <row r="70" spans="1:58" ht="12" hidden="1" customHeight="1">
      <c r="A70" s="46"/>
      <c r="B70" s="910"/>
      <c r="C70" s="910"/>
      <c r="D70" s="707"/>
      <c r="E70" s="96"/>
      <c r="F70" s="106" t="str">
        <f>C57 &amp; ".11"</f>
        <v>.1.11</v>
      </c>
      <c r="G70" s="105" t="s">
        <v>732</v>
      </c>
      <c r="H70" s="336"/>
      <c r="I70" s="107"/>
      <c r="J70" s="266"/>
      <c r="K70" s="266"/>
      <c r="L70" s="266"/>
      <c r="M70" s="266"/>
      <c r="N70" s="266"/>
      <c r="O70" s="266"/>
      <c r="P70" s="266"/>
      <c r="Q70" s="266"/>
      <c r="BF70" s="158" t="str">
        <f>C57 &amp; IF(TEMPLATE_CLAIM="P","-II","-III")</f>
        <v>.1-III</v>
      </c>
    </row>
    <row r="71" spans="1:58" ht="12" hidden="1" customHeight="1">
      <c r="A71" s="46"/>
      <c r="B71" s="910"/>
      <c r="C71" s="910"/>
      <c r="D71" s="707"/>
      <c r="E71" s="96"/>
      <c r="F71" s="106" t="str">
        <f>C57 &amp; ".12"</f>
        <v>.1.12</v>
      </c>
      <c r="G71" s="105" t="s">
        <v>733</v>
      </c>
      <c r="H71" s="336"/>
      <c r="I71" s="107"/>
      <c r="J71" s="266"/>
      <c r="K71" s="266"/>
      <c r="L71" s="266"/>
      <c r="M71" s="266"/>
      <c r="N71" s="266"/>
      <c r="O71" s="266"/>
      <c r="P71" s="266"/>
      <c r="Q71" s="266"/>
      <c r="BF71" s="158" t="str">
        <f>C57 &amp; IF(TEMPLATE_CLAIM="P","-II","-III")</f>
        <v>.1-III</v>
      </c>
    </row>
    <row r="72" spans="1:58" ht="12" hidden="1" customHeight="1">
      <c r="A72" s="46"/>
      <c r="B72" s="910"/>
      <c r="C72" s="910"/>
      <c r="D72" s="707"/>
      <c r="E72" s="96"/>
      <c r="F72" s="106" t="str">
        <f>C58 &amp; ".0"</f>
        <v>.2.0</v>
      </c>
      <c r="G72" s="105" t="s">
        <v>721</v>
      </c>
      <c r="H72" s="336" t="s">
        <v>347</v>
      </c>
      <c r="I72" s="107"/>
      <c r="J72" s="271">
        <f>L72+K72</f>
        <v>0</v>
      </c>
      <c r="K72" s="277"/>
      <c r="L72" s="271">
        <f t="shared" ref="L72:Q72" si="2">SUM(L73:L84)</f>
        <v>0</v>
      </c>
      <c r="M72" s="271">
        <f t="shared" si="2"/>
        <v>0</v>
      </c>
      <c r="N72" s="271">
        <f t="shared" si="2"/>
        <v>0</v>
      </c>
      <c r="O72" s="271">
        <f t="shared" si="2"/>
        <v>0</v>
      </c>
      <c r="P72" s="271">
        <f t="shared" si="2"/>
        <v>0</v>
      </c>
      <c r="Q72" s="271">
        <f t="shared" si="2"/>
        <v>0</v>
      </c>
      <c r="BF72" s="114" t="s">
        <v>335</v>
      </c>
    </row>
    <row r="73" spans="1:58" ht="12" hidden="1" customHeight="1">
      <c r="A73" s="46"/>
      <c r="B73" s="910"/>
      <c r="C73" s="910"/>
      <c r="D73" s="707"/>
      <c r="E73" s="96"/>
      <c r="F73" s="106" t="str">
        <f>C58 &amp; ".1"</f>
        <v>.2.1</v>
      </c>
      <c r="G73" s="105" t="s">
        <v>722</v>
      </c>
      <c r="H73" s="336" t="s">
        <v>347</v>
      </c>
      <c r="I73" s="107"/>
      <c r="J73" s="266"/>
      <c r="K73" s="266"/>
      <c r="L73" s="506">
        <f t="shared" ref="L73:L84" si="3">M73+O73+N73+P73+Q73</f>
        <v>0</v>
      </c>
      <c r="M73" s="277"/>
      <c r="N73" s="277"/>
      <c r="O73" s="277"/>
      <c r="P73" s="277"/>
      <c r="Q73" s="277"/>
      <c r="BF73" s="158" t="str">
        <f>C58 &amp; "-I"</f>
        <v>.2-I</v>
      </c>
    </row>
    <row r="74" spans="1:58" ht="12" hidden="1" customHeight="1">
      <c r="A74" s="46"/>
      <c r="B74" s="910"/>
      <c r="C74" s="910"/>
      <c r="D74" s="707"/>
      <c r="E74" s="96"/>
      <c r="F74" s="106" t="str">
        <f>C58 &amp; ".2"</f>
        <v>.2.2</v>
      </c>
      <c r="G74" s="105" t="s">
        <v>723</v>
      </c>
      <c r="H74" s="336" t="s">
        <v>347</v>
      </c>
      <c r="I74" s="107"/>
      <c r="J74" s="266"/>
      <c r="K74" s="266"/>
      <c r="L74" s="506">
        <f t="shared" si="3"/>
        <v>0</v>
      </c>
      <c r="M74" s="277"/>
      <c r="N74" s="277"/>
      <c r="O74" s="277"/>
      <c r="P74" s="277"/>
      <c r="Q74" s="277"/>
      <c r="BF74" s="158" t="str">
        <f>C58 &amp; "-I"</f>
        <v>.2-I</v>
      </c>
    </row>
    <row r="75" spans="1:58" ht="12" hidden="1" customHeight="1">
      <c r="A75" s="46"/>
      <c r="B75" s="910"/>
      <c r="C75" s="910"/>
      <c r="D75" s="707"/>
      <c r="E75" s="96"/>
      <c r="F75" s="106" t="str">
        <f>C58 &amp; ".3"</f>
        <v>.2.3</v>
      </c>
      <c r="G75" s="105" t="s">
        <v>724</v>
      </c>
      <c r="H75" s="336" t="s">
        <v>347</v>
      </c>
      <c r="I75" s="107"/>
      <c r="J75" s="266"/>
      <c r="K75" s="266"/>
      <c r="L75" s="506">
        <f t="shared" si="3"/>
        <v>0</v>
      </c>
      <c r="M75" s="277"/>
      <c r="N75" s="277"/>
      <c r="O75" s="277"/>
      <c r="P75" s="277"/>
      <c r="Q75" s="277"/>
      <c r="BF75" s="158" t="str">
        <f>C58 &amp; "-I"</f>
        <v>.2-I</v>
      </c>
    </row>
    <row r="76" spans="1:58" ht="12" hidden="1" customHeight="1">
      <c r="A76" s="46"/>
      <c r="B76" s="910"/>
      <c r="C76" s="910"/>
      <c r="D76" s="707"/>
      <c r="E76" s="96"/>
      <c r="F76" s="106" t="str">
        <f>C58 &amp; ".4"</f>
        <v>.2.4</v>
      </c>
      <c r="G76" s="105" t="s">
        <v>725</v>
      </c>
      <c r="H76" s="336" t="s">
        <v>347</v>
      </c>
      <c r="I76" s="107"/>
      <c r="J76" s="266"/>
      <c r="K76" s="266"/>
      <c r="L76" s="506">
        <f t="shared" si="3"/>
        <v>0</v>
      </c>
      <c r="M76" s="277"/>
      <c r="N76" s="277"/>
      <c r="O76" s="277"/>
      <c r="P76" s="277"/>
      <c r="Q76" s="277"/>
      <c r="BF76" s="158" t="str">
        <f>C58 &amp; "-I"</f>
        <v>.2-I</v>
      </c>
    </row>
    <row r="77" spans="1:58" ht="12" hidden="1" customHeight="1">
      <c r="A77" s="46"/>
      <c r="B77" s="910"/>
      <c r="C77" s="910"/>
      <c r="D77" s="707"/>
      <c r="E77" s="96"/>
      <c r="F77" s="106" t="str">
        <f>C58 &amp; ".5"</f>
        <v>.2.5</v>
      </c>
      <c r="G77" s="105" t="s">
        <v>726</v>
      </c>
      <c r="H77" s="336" t="s">
        <v>347</v>
      </c>
      <c r="I77" s="107"/>
      <c r="J77" s="266"/>
      <c r="K77" s="266"/>
      <c r="L77" s="506">
        <f t="shared" si="3"/>
        <v>0</v>
      </c>
      <c r="M77" s="277"/>
      <c r="N77" s="277"/>
      <c r="O77" s="277"/>
      <c r="P77" s="277"/>
      <c r="Q77" s="277"/>
      <c r="BF77" s="158" t="str">
        <f>C58 &amp; "-I"</f>
        <v>.2-I</v>
      </c>
    </row>
    <row r="78" spans="1:58" ht="12" hidden="1" customHeight="1">
      <c r="A78" s="46"/>
      <c r="B78" s="910"/>
      <c r="C78" s="910"/>
      <c r="D78" s="707"/>
      <c r="E78" s="96"/>
      <c r="F78" s="106" t="str">
        <f>C58 &amp; ".6"</f>
        <v>.2.6</v>
      </c>
      <c r="G78" s="105" t="s">
        <v>727</v>
      </c>
      <c r="H78" s="336" t="s">
        <v>347</v>
      </c>
      <c r="I78" s="107"/>
      <c r="J78" s="266"/>
      <c r="K78" s="266"/>
      <c r="L78" s="506">
        <f t="shared" si="3"/>
        <v>0</v>
      </c>
      <c r="M78" s="277"/>
      <c r="N78" s="277"/>
      <c r="O78" s="277"/>
      <c r="P78" s="277"/>
      <c r="Q78" s="277"/>
      <c r="BF78" s="158" t="str">
        <f>C58 &amp; "-I"</f>
        <v>.2-I</v>
      </c>
    </row>
    <row r="79" spans="1:58" ht="12" hidden="1" customHeight="1">
      <c r="A79" s="46"/>
      <c r="B79" s="910"/>
      <c r="C79" s="910"/>
      <c r="D79" s="707"/>
      <c r="E79" s="96"/>
      <c r="F79" s="106" t="str">
        <f>C58 &amp; ".7"</f>
        <v>.2.7</v>
      </c>
      <c r="G79" s="105" t="s">
        <v>728</v>
      </c>
      <c r="H79" s="336" t="s">
        <v>347</v>
      </c>
      <c r="I79" s="107"/>
      <c r="J79" s="266"/>
      <c r="K79" s="266"/>
      <c r="L79" s="506">
        <f t="shared" si="3"/>
        <v>0</v>
      </c>
      <c r="M79" s="277"/>
      <c r="N79" s="277"/>
      <c r="O79" s="277"/>
      <c r="P79" s="277"/>
      <c r="Q79" s="277"/>
      <c r="BF79" s="158" t="str">
        <f>C58 &amp; "-II"</f>
        <v>.2-II</v>
      </c>
    </row>
    <row r="80" spans="1:58" ht="12" hidden="1" customHeight="1">
      <c r="A80" s="46"/>
      <c r="B80" s="910"/>
      <c r="C80" s="910"/>
      <c r="D80" s="707"/>
      <c r="E80" s="96"/>
      <c r="F80" s="106" t="str">
        <f>C58 &amp; ".8"</f>
        <v>.2.8</v>
      </c>
      <c r="G80" s="105" t="s">
        <v>729</v>
      </c>
      <c r="H80" s="336" t="s">
        <v>347</v>
      </c>
      <c r="I80" s="107"/>
      <c r="J80" s="266"/>
      <c r="K80" s="266"/>
      <c r="L80" s="506">
        <f t="shared" si="3"/>
        <v>0</v>
      </c>
      <c r="M80" s="277"/>
      <c r="N80" s="277"/>
      <c r="O80" s="277"/>
      <c r="P80" s="277"/>
      <c r="Q80" s="277"/>
      <c r="BF80" s="158" t="str">
        <f>C58 &amp; "-II"</f>
        <v>.2-II</v>
      </c>
    </row>
    <row r="81" spans="1:58" ht="12" hidden="1" customHeight="1">
      <c r="A81" s="46"/>
      <c r="B81" s="910"/>
      <c r="C81" s="910"/>
      <c r="D81" s="707"/>
      <c r="E81" s="96"/>
      <c r="F81" s="106" t="str">
        <f>C58 &amp; ".9"</f>
        <v>.2.9</v>
      </c>
      <c r="G81" s="105" t="s">
        <v>730</v>
      </c>
      <c r="H81" s="336" t="s">
        <v>347</v>
      </c>
      <c r="I81" s="107"/>
      <c r="J81" s="266"/>
      <c r="K81" s="266"/>
      <c r="L81" s="506">
        <f t="shared" si="3"/>
        <v>0</v>
      </c>
      <c r="M81" s="277"/>
      <c r="N81" s="277"/>
      <c r="O81" s="277"/>
      <c r="P81" s="277"/>
      <c r="Q81" s="277"/>
      <c r="BF81" s="158" t="str">
        <f>C58 &amp; IF(TEMPLATE_CLAIM="P","-II","-III")</f>
        <v>.2-III</v>
      </c>
    </row>
    <row r="82" spans="1:58" ht="12" hidden="1" customHeight="1">
      <c r="A82" s="46"/>
      <c r="B82" s="910"/>
      <c r="C82" s="910"/>
      <c r="D82" s="707"/>
      <c r="E82" s="96"/>
      <c r="F82" s="106" t="str">
        <f>C58 &amp; ".10"</f>
        <v>.2.10</v>
      </c>
      <c r="G82" s="105" t="s">
        <v>731</v>
      </c>
      <c r="H82" s="336" t="s">
        <v>347</v>
      </c>
      <c r="I82" s="107"/>
      <c r="J82" s="266"/>
      <c r="K82" s="266"/>
      <c r="L82" s="506">
        <f t="shared" si="3"/>
        <v>0</v>
      </c>
      <c r="M82" s="277"/>
      <c r="N82" s="277"/>
      <c r="O82" s="277"/>
      <c r="P82" s="277"/>
      <c r="Q82" s="277"/>
      <c r="BF82" s="158" t="str">
        <f>C58 &amp; IF(TEMPLATE_CLAIM="P","-II","-III")</f>
        <v>.2-III</v>
      </c>
    </row>
    <row r="83" spans="1:58" ht="12" hidden="1" customHeight="1">
      <c r="A83" s="46"/>
      <c r="B83" s="910"/>
      <c r="C83" s="910"/>
      <c r="D83" s="707"/>
      <c r="E83" s="96"/>
      <c r="F83" s="106" t="str">
        <f>C58 &amp; ".11"</f>
        <v>.2.11</v>
      </c>
      <c r="G83" s="105" t="s">
        <v>732</v>
      </c>
      <c r="H83" s="336" t="s">
        <v>347</v>
      </c>
      <c r="I83" s="107"/>
      <c r="J83" s="266"/>
      <c r="K83" s="266"/>
      <c r="L83" s="506">
        <f t="shared" si="3"/>
        <v>0</v>
      </c>
      <c r="M83" s="277"/>
      <c r="N83" s="277"/>
      <c r="O83" s="277"/>
      <c r="P83" s="277"/>
      <c r="Q83" s="277"/>
      <c r="BF83" s="158" t="str">
        <f>C58 &amp; IF(TEMPLATE_CLAIM="P","-II","-III")</f>
        <v>.2-III</v>
      </c>
    </row>
    <row r="84" spans="1:58" ht="12" hidden="1" customHeight="1">
      <c r="A84" s="46"/>
      <c r="B84" s="910"/>
      <c r="C84" s="910"/>
      <c r="D84" s="707"/>
      <c r="E84" s="96"/>
      <c r="F84" s="106" t="str">
        <f>C58 &amp; ".12"</f>
        <v>.2.12</v>
      </c>
      <c r="G84" s="105" t="s">
        <v>733</v>
      </c>
      <c r="H84" s="336" t="s">
        <v>347</v>
      </c>
      <c r="I84" s="107"/>
      <c r="J84" s="266"/>
      <c r="K84" s="266"/>
      <c r="L84" s="506">
        <f t="shared" si="3"/>
        <v>0</v>
      </c>
      <c r="M84" s="277"/>
      <c r="N84" s="277"/>
      <c r="O84" s="277"/>
      <c r="P84" s="277"/>
      <c r="Q84" s="277"/>
      <c r="BF84" s="158" t="str">
        <f>C58 &amp; IF(TEMPLATE_CLAIM="P","-II","-III")</f>
        <v>.2-III</v>
      </c>
    </row>
    <row r="85" spans="1:58" ht="12" hidden="1" customHeight="1">
      <c r="A85" s="46"/>
      <c r="B85" s="910"/>
      <c r="C85" s="119" t="str">
        <f>B85 &amp; ".1"</f>
        <v>.1</v>
      </c>
      <c r="D85" s="714" t="s">
        <v>652</v>
      </c>
      <c r="E85" s="96"/>
      <c r="F85" s="835">
        <f>B85</f>
        <v>0</v>
      </c>
      <c r="G85" s="933"/>
      <c r="H85" s="336" t="s">
        <v>346</v>
      </c>
      <c r="I85" s="107"/>
      <c r="J85" s="691">
        <f>IF(TEMPLATE_CLAIM="P","",L85+K85)</f>
        <v>0</v>
      </c>
      <c r="K85" s="274"/>
      <c r="L85" s="695">
        <f>IF(TEMPLATE_CLAIM="P","",M85+O85+N85+P85+Q85)</f>
        <v>0</v>
      </c>
      <c r="M85" s="274"/>
      <c r="N85" s="274"/>
      <c r="O85" s="274"/>
      <c r="P85" s="274"/>
      <c r="Q85" s="274"/>
      <c r="BF85" s="114" t="s">
        <v>344</v>
      </c>
    </row>
    <row r="86" spans="1:58" ht="12" hidden="1" customHeight="1">
      <c r="A86" s="46"/>
      <c r="B86" s="910"/>
      <c r="C86" s="119" t="str">
        <f>B85 &amp; ".2"</f>
        <v>.2</v>
      </c>
      <c r="D86" s="714" t="s">
        <v>652</v>
      </c>
      <c r="E86" s="96"/>
      <c r="F86" s="935"/>
      <c r="G86" s="933"/>
      <c r="H86" s="336" t="s">
        <v>347</v>
      </c>
      <c r="I86" s="107"/>
      <c r="J86" s="691">
        <f>IF(TEMPLATE_CLAIM="P","",L86+K86)</f>
        <v>0</v>
      </c>
      <c r="K86" s="274"/>
      <c r="L86" s="695">
        <f>IF(TEMPLATE_CLAIM="P","",M86+O86+N86+P86+Q86)</f>
        <v>0</v>
      </c>
      <c r="M86" s="274"/>
      <c r="N86" s="274"/>
      <c r="O86" s="274"/>
      <c r="P86" s="274"/>
      <c r="Q86" s="274"/>
      <c r="BF86" s="114" t="s">
        <v>345</v>
      </c>
    </row>
    <row r="87" spans="1:58" ht="12" hidden="1" customHeight="1">
      <c r="A87" s="46"/>
      <c r="B87" s="910"/>
      <c r="C87" s="910"/>
      <c r="D87" s="707"/>
      <c r="E87" s="96"/>
      <c r="F87" s="106" t="str">
        <f>C85 &amp; ".0"</f>
        <v>.1.0</v>
      </c>
      <c r="G87" s="513" t="s">
        <v>721</v>
      </c>
      <c r="H87" s="336" t="s">
        <v>346</v>
      </c>
      <c r="I87" s="107"/>
      <c r="J87" s="271">
        <f>L87+K87</f>
        <v>0</v>
      </c>
      <c r="K87" s="277"/>
      <c r="L87" s="271">
        <f t="shared" ref="L87:Q87" si="4">SUM(L88:L99)</f>
        <v>0</v>
      </c>
      <c r="M87" s="271">
        <f t="shared" si="4"/>
        <v>0</v>
      </c>
      <c r="N87" s="271">
        <f t="shared" si="4"/>
        <v>0</v>
      </c>
      <c r="O87" s="271">
        <f t="shared" si="4"/>
        <v>0</v>
      </c>
      <c r="P87" s="271">
        <f t="shared" si="4"/>
        <v>0</v>
      </c>
      <c r="Q87" s="271">
        <f t="shared" si="4"/>
        <v>0</v>
      </c>
      <c r="BF87" s="114" t="s">
        <v>334</v>
      </c>
    </row>
    <row r="88" spans="1:58" ht="12" hidden="1" customHeight="1">
      <c r="A88" s="46"/>
      <c r="B88" s="910"/>
      <c r="C88" s="910"/>
      <c r="D88" s="707"/>
      <c r="E88" s="96"/>
      <c r="F88" s="106" t="str">
        <f>C85 &amp; ".1"</f>
        <v>.1.1</v>
      </c>
      <c r="G88" s="513" t="s">
        <v>722</v>
      </c>
      <c r="H88" s="336" t="s">
        <v>346</v>
      </c>
      <c r="I88" s="107"/>
      <c r="J88" s="266"/>
      <c r="K88" s="266"/>
      <c r="L88" s="506">
        <f t="shared" ref="L88:L99" si="5">M88+O88+N88+P88+Q88</f>
        <v>0</v>
      </c>
      <c r="M88" s="277"/>
      <c r="N88" s="277"/>
      <c r="O88" s="277"/>
      <c r="P88" s="277"/>
      <c r="Q88" s="277"/>
      <c r="BF88" s="158" t="str">
        <f>C85 &amp; "-I"</f>
        <v>.1-I</v>
      </c>
    </row>
    <row r="89" spans="1:58" ht="12" hidden="1" customHeight="1">
      <c r="A89" s="46"/>
      <c r="B89" s="910"/>
      <c r="C89" s="910"/>
      <c r="D89" s="707"/>
      <c r="E89" s="96"/>
      <c r="F89" s="106" t="str">
        <f>C85 &amp; ".2"</f>
        <v>.1.2</v>
      </c>
      <c r="G89" s="513" t="s">
        <v>723</v>
      </c>
      <c r="H89" s="336" t="s">
        <v>346</v>
      </c>
      <c r="I89" s="107"/>
      <c r="J89" s="266"/>
      <c r="K89" s="266"/>
      <c r="L89" s="506">
        <f t="shared" si="5"/>
        <v>0</v>
      </c>
      <c r="M89" s="277"/>
      <c r="N89" s="277"/>
      <c r="O89" s="277"/>
      <c r="P89" s="277"/>
      <c r="Q89" s="277"/>
      <c r="BF89" s="158" t="str">
        <f>C85 &amp; "-I"</f>
        <v>.1-I</v>
      </c>
    </row>
    <row r="90" spans="1:58" ht="12" hidden="1" customHeight="1">
      <c r="A90" s="46"/>
      <c r="B90" s="910"/>
      <c r="C90" s="910"/>
      <c r="D90" s="707"/>
      <c r="E90" s="96"/>
      <c r="F90" s="106" t="str">
        <f>C85 &amp; ".3"</f>
        <v>.1.3</v>
      </c>
      <c r="G90" s="513" t="s">
        <v>724</v>
      </c>
      <c r="H90" s="336" t="s">
        <v>346</v>
      </c>
      <c r="I90" s="107"/>
      <c r="J90" s="266"/>
      <c r="K90" s="266"/>
      <c r="L90" s="506">
        <f t="shared" si="5"/>
        <v>0</v>
      </c>
      <c r="M90" s="277"/>
      <c r="N90" s="277"/>
      <c r="O90" s="277"/>
      <c r="P90" s="277"/>
      <c r="Q90" s="277"/>
      <c r="BF90" s="158" t="str">
        <f>C85 &amp; "-I"</f>
        <v>.1-I</v>
      </c>
    </row>
    <row r="91" spans="1:58" ht="12" hidden="1" customHeight="1">
      <c r="A91" s="46"/>
      <c r="B91" s="910"/>
      <c r="C91" s="910"/>
      <c r="D91" s="707"/>
      <c r="E91" s="96"/>
      <c r="F91" s="106" t="str">
        <f>C85 &amp; ".4"</f>
        <v>.1.4</v>
      </c>
      <c r="G91" s="513" t="s">
        <v>725</v>
      </c>
      <c r="H91" s="336" t="s">
        <v>346</v>
      </c>
      <c r="I91" s="107"/>
      <c r="J91" s="266"/>
      <c r="K91" s="266"/>
      <c r="L91" s="506">
        <f t="shared" si="5"/>
        <v>0</v>
      </c>
      <c r="M91" s="277"/>
      <c r="N91" s="277"/>
      <c r="O91" s="277"/>
      <c r="P91" s="277"/>
      <c r="Q91" s="277"/>
      <c r="BF91" s="158" t="str">
        <f>C85 &amp; "-I"</f>
        <v>.1-I</v>
      </c>
    </row>
    <row r="92" spans="1:58" ht="12" hidden="1" customHeight="1">
      <c r="A92" s="46"/>
      <c r="B92" s="910"/>
      <c r="C92" s="910"/>
      <c r="D92" s="707"/>
      <c r="E92" s="96"/>
      <c r="F92" s="106" t="str">
        <f>C85 &amp; ".5"</f>
        <v>.1.5</v>
      </c>
      <c r="G92" s="513" t="s">
        <v>726</v>
      </c>
      <c r="H92" s="336" t="s">
        <v>346</v>
      </c>
      <c r="I92" s="107"/>
      <c r="J92" s="266"/>
      <c r="K92" s="266"/>
      <c r="L92" s="506">
        <f t="shared" si="5"/>
        <v>0</v>
      </c>
      <c r="M92" s="277"/>
      <c r="N92" s="277"/>
      <c r="O92" s="277"/>
      <c r="P92" s="277"/>
      <c r="Q92" s="277"/>
      <c r="BF92" s="158" t="str">
        <f>C85 &amp; "-I"</f>
        <v>.1-I</v>
      </c>
    </row>
    <row r="93" spans="1:58" ht="12" hidden="1" customHeight="1">
      <c r="A93" s="46"/>
      <c r="B93" s="910"/>
      <c r="C93" s="910"/>
      <c r="D93" s="707"/>
      <c r="E93" s="96"/>
      <c r="F93" s="106" t="str">
        <f>C85 &amp; ".6"</f>
        <v>.1.6</v>
      </c>
      <c r="G93" s="513" t="s">
        <v>727</v>
      </c>
      <c r="H93" s="336" t="s">
        <v>346</v>
      </c>
      <c r="I93" s="107"/>
      <c r="J93" s="266"/>
      <c r="K93" s="266"/>
      <c r="L93" s="506">
        <f t="shared" si="5"/>
        <v>0</v>
      </c>
      <c r="M93" s="277"/>
      <c r="N93" s="277"/>
      <c r="O93" s="277"/>
      <c r="P93" s="277"/>
      <c r="Q93" s="277"/>
      <c r="BF93" s="158" t="str">
        <f>C85 &amp; "-I"</f>
        <v>.1-I</v>
      </c>
    </row>
    <row r="94" spans="1:58" ht="12" hidden="1" customHeight="1">
      <c r="A94" s="46"/>
      <c r="B94" s="910"/>
      <c r="C94" s="910"/>
      <c r="D94" s="707"/>
      <c r="E94" s="96"/>
      <c r="F94" s="106" t="str">
        <f>C85 &amp; ".7"</f>
        <v>.1.7</v>
      </c>
      <c r="G94" s="513" t="s">
        <v>728</v>
      </c>
      <c r="H94" s="336" t="s">
        <v>346</v>
      </c>
      <c r="I94" s="107"/>
      <c r="J94" s="266"/>
      <c r="K94" s="266"/>
      <c r="L94" s="506">
        <f t="shared" si="5"/>
        <v>0</v>
      </c>
      <c r="M94" s="277"/>
      <c r="N94" s="277"/>
      <c r="O94" s="277"/>
      <c r="P94" s="277"/>
      <c r="Q94" s="277"/>
      <c r="BF94" s="158" t="str">
        <f>C85 &amp; "-II"</f>
        <v>.1-II</v>
      </c>
    </row>
    <row r="95" spans="1:58" ht="12" hidden="1" customHeight="1">
      <c r="A95" s="46"/>
      <c r="B95" s="910"/>
      <c r="C95" s="910"/>
      <c r="D95" s="707"/>
      <c r="E95" s="96"/>
      <c r="F95" s="106" t="str">
        <f>C85 &amp; ".8"</f>
        <v>.1.8</v>
      </c>
      <c r="G95" s="513" t="s">
        <v>729</v>
      </c>
      <c r="H95" s="336" t="s">
        <v>346</v>
      </c>
      <c r="I95" s="107"/>
      <c r="J95" s="266"/>
      <c r="K95" s="266"/>
      <c r="L95" s="506">
        <f t="shared" si="5"/>
        <v>0</v>
      </c>
      <c r="M95" s="277"/>
      <c r="N95" s="277"/>
      <c r="O95" s="277"/>
      <c r="P95" s="277"/>
      <c r="Q95" s="277"/>
      <c r="BF95" s="158" t="str">
        <f>C85 &amp; "-II"</f>
        <v>.1-II</v>
      </c>
    </row>
    <row r="96" spans="1:58" ht="12" hidden="1" customHeight="1">
      <c r="A96" s="46"/>
      <c r="B96" s="910"/>
      <c r="C96" s="910"/>
      <c r="D96" s="707"/>
      <c r="E96" s="96"/>
      <c r="F96" s="106" t="str">
        <f>C85 &amp; ".9"</f>
        <v>.1.9</v>
      </c>
      <c r="G96" s="513" t="s">
        <v>730</v>
      </c>
      <c r="H96" s="336" t="s">
        <v>346</v>
      </c>
      <c r="I96" s="107"/>
      <c r="J96" s="266"/>
      <c r="K96" s="266"/>
      <c r="L96" s="506">
        <f t="shared" si="5"/>
        <v>0</v>
      </c>
      <c r="M96" s="277"/>
      <c r="N96" s="277"/>
      <c r="O96" s="277"/>
      <c r="P96" s="277"/>
      <c r="Q96" s="277"/>
      <c r="BF96" s="158" t="str">
        <f>C85 &amp; IF(TEMPLATE_CLAIM="P","-II","-III")</f>
        <v>.1-III</v>
      </c>
    </row>
    <row r="97" spans="1:58" ht="12" hidden="1" customHeight="1">
      <c r="A97" s="46"/>
      <c r="B97" s="910"/>
      <c r="C97" s="910"/>
      <c r="D97" s="707"/>
      <c r="E97" s="96"/>
      <c r="F97" s="106" t="str">
        <f>C85 &amp; ".10"</f>
        <v>.1.10</v>
      </c>
      <c r="G97" s="513" t="s">
        <v>731</v>
      </c>
      <c r="H97" s="336" t="s">
        <v>346</v>
      </c>
      <c r="I97" s="107"/>
      <c r="J97" s="266"/>
      <c r="K97" s="266"/>
      <c r="L97" s="506">
        <f t="shared" si="5"/>
        <v>0</v>
      </c>
      <c r="M97" s="277"/>
      <c r="N97" s="277"/>
      <c r="O97" s="277"/>
      <c r="P97" s="277"/>
      <c r="Q97" s="277"/>
      <c r="BF97" s="158" t="str">
        <f>C85 &amp; IF(TEMPLATE_CLAIM="P","-II","-III")</f>
        <v>.1-III</v>
      </c>
    </row>
    <row r="98" spans="1:58" ht="12" hidden="1" customHeight="1">
      <c r="A98" s="46"/>
      <c r="B98" s="910"/>
      <c r="C98" s="910"/>
      <c r="D98" s="707"/>
      <c r="E98" s="96"/>
      <c r="F98" s="106" t="str">
        <f>C85 &amp; ".11"</f>
        <v>.1.11</v>
      </c>
      <c r="G98" s="513" t="s">
        <v>732</v>
      </c>
      <c r="H98" s="336" t="s">
        <v>346</v>
      </c>
      <c r="I98" s="107"/>
      <c r="J98" s="266"/>
      <c r="K98" s="266"/>
      <c r="L98" s="506">
        <f t="shared" si="5"/>
        <v>0</v>
      </c>
      <c r="M98" s="277"/>
      <c r="N98" s="277"/>
      <c r="O98" s="277"/>
      <c r="P98" s="277"/>
      <c r="Q98" s="277"/>
      <c r="BF98" s="158" t="str">
        <f>C85 &amp; IF(TEMPLATE_CLAIM="P","-II","-III")</f>
        <v>.1-III</v>
      </c>
    </row>
    <row r="99" spans="1:58" ht="12" hidden="1" customHeight="1">
      <c r="A99" s="46"/>
      <c r="B99" s="910"/>
      <c r="C99" s="910"/>
      <c r="D99" s="707"/>
      <c r="E99" s="96"/>
      <c r="F99" s="106" t="str">
        <f>C85 &amp; ".12"</f>
        <v>.1.12</v>
      </c>
      <c r="G99" s="513" t="s">
        <v>733</v>
      </c>
      <c r="H99" s="336" t="s">
        <v>346</v>
      </c>
      <c r="I99" s="107"/>
      <c r="J99" s="266"/>
      <c r="K99" s="266"/>
      <c r="L99" s="506">
        <f t="shared" si="5"/>
        <v>0</v>
      </c>
      <c r="M99" s="277"/>
      <c r="N99" s="277"/>
      <c r="O99" s="277"/>
      <c r="P99" s="277"/>
      <c r="Q99" s="277"/>
      <c r="BF99" s="158" t="str">
        <f>C85 &amp; IF(TEMPLATE_CLAIM="P","-II","-III")</f>
        <v>.1-III</v>
      </c>
    </row>
    <row r="100" spans="1:58" ht="12" hidden="1" customHeight="1">
      <c r="A100" s="46"/>
      <c r="B100" s="910"/>
      <c r="C100" s="910"/>
      <c r="D100" s="707"/>
      <c r="E100" s="96"/>
      <c r="F100" s="106" t="str">
        <f>C86 &amp; ".0"</f>
        <v>.2.0</v>
      </c>
      <c r="G100" s="513" t="s">
        <v>721</v>
      </c>
      <c r="H100" s="336" t="s">
        <v>347</v>
      </c>
      <c r="I100" s="107"/>
      <c r="J100" s="271">
        <f>L100+K100</f>
        <v>0</v>
      </c>
      <c r="K100" s="277"/>
      <c r="L100" s="271">
        <f t="shared" ref="L100:Q100" si="6">SUM(L101:L112)</f>
        <v>0</v>
      </c>
      <c r="M100" s="271">
        <f t="shared" si="6"/>
        <v>0</v>
      </c>
      <c r="N100" s="271">
        <f t="shared" si="6"/>
        <v>0</v>
      </c>
      <c r="O100" s="271">
        <f t="shared" si="6"/>
        <v>0</v>
      </c>
      <c r="P100" s="271">
        <f t="shared" si="6"/>
        <v>0</v>
      </c>
      <c r="Q100" s="271">
        <f t="shared" si="6"/>
        <v>0</v>
      </c>
      <c r="BF100" s="114" t="s">
        <v>335</v>
      </c>
    </row>
    <row r="101" spans="1:58" ht="12" hidden="1" customHeight="1">
      <c r="A101" s="46"/>
      <c r="B101" s="910"/>
      <c r="C101" s="910"/>
      <c r="D101" s="707"/>
      <c r="E101" s="96"/>
      <c r="F101" s="106" t="str">
        <f>C86 &amp; ".1"</f>
        <v>.2.1</v>
      </c>
      <c r="G101" s="513" t="s">
        <v>722</v>
      </c>
      <c r="H101" s="336" t="s">
        <v>347</v>
      </c>
      <c r="I101" s="107"/>
      <c r="J101" s="266"/>
      <c r="K101" s="266"/>
      <c r="L101" s="506">
        <f t="shared" ref="L101:L112" si="7">M101+O101+N101+P101+Q101</f>
        <v>0</v>
      </c>
      <c r="M101" s="277"/>
      <c r="N101" s="277"/>
      <c r="O101" s="277"/>
      <c r="P101" s="277"/>
      <c r="Q101" s="277"/>
      <c r="BF101" s="158" t="str">
        <f>C86 &amp; "-I"</f>
        <v>.2-I</v>
      </c>
    </row>
    <row r="102" spans="1:58" ht="12" hidden="1" customHeight="1">
      <c r="A102" s="46"/>
      <c r="B102" s="910"/>
      <c r="C102" s="910"/>
      <c r="D102" s="707"/>
      <c r="E102" s="96"/>
      <c r="F102" s="106" t="str">
        <f>C86 &amp; ".2"</f>
        <v>.2.2</v>
      </c>
      <c r="G102" s="513" t="s">
        <v>723</v>
      </c>
      <c r="H102" s="336" t="s">
        <v>347</v>
      </c>
      <c r="I102" s="107"/>
      <c r="J102" s="266"/>
      <c r="K102" s="266"/>
      <c r="L102" s="506">
        <f t="shared" si="7"/>
        <v>0</v>
      </c>
      <c r="M102" s="277"/>
      <c r="N102" s="277"/>
      <c r="O102" s="277"/>
      <c r="P102" s="277"/>
      <c r="Q102" s="277"/>
      <c r="BF102" s="158" t="str">
        <f>C86 &amp; "-I"</f>
        <v>.2-I</v>
      </c>
    </row>
    <row r="103" spans="1:58" ht="12" hidden="1" customHeight="1">
      <c r="A103" s="46"/>
      <c r="B103" s="910"/>
      <c r="C103" s="910"/>
      <c r="D103" s="707"/>
      <c r="E103" s="96"/>
      <c r="F103" s="106" t="str">
        <f>C86 &amp; ".3"</f>
        <v>.2.3</v>
      </c>
      <c r="G103" s="513" t="s">
        <v>724</v>
      </c>
      <c r="H103" s="336" t="s">
        <v>347</v>
      </c>
      <c r="I103" s="107"/>
      <c r="J103" s="266"/>
      <c r="K103" s="266"/>
      <c r="L103" s="506">
        <f t="shared" si="7"/>
        <v>0</v>
      </c>
      <c r="M103" s="277"/>
      <c r="N103" s="277"/>
      <c r="O103" s="277"/>
      <c r="P103" s="277"/>
      <c r="Q103" s="277"/>
      <c r="BF103" s="158" t="str">
        <f>C86 &amp; "-I"</f>
        <v>.2-I</v>
      </c>
    </row>
    <row r="104" spans="1:58" ht="12" hidden="1" customHeight="1">
      <c r="A104" s="46"/>
      <c r="B104" s="910"/>
      <c r="C104" s="910"/>
      <c r="D104" s="707"/>
      <c r="E104" s="96"/>
      <c r="F104" s="106" t="str">
        <f>C86 &amp; ".4"</f>
        <v>.2.4</v>
      </c>
      <c r="G104" s="513" t="s">
        <v>725</v>
      </c>
      <c r="H104" s="336" t="s">
        <v>347</v>
      </c>
      <c r="I104" s="107"/>
      <c r="J104" s="266"/>
      <c r="K104" s="266"/>
      <c r="L104" s="506">
        <f t="shared" si="7"/>
        <v>0</v>
      </c>
      <c r="M104" s="277"/>
      <c r="N104" s="277"/>
      <c r="O104" s="277"/>
      <c r="P104" s="277"/>
      <c r="Q104" s="277"/>
      <c r="BF104" s="158" t="str">
        <f>C86 &amp; "-I"</f>
        <v>.2-I</v>
      </c>
    </row>
    <row r="105" spans="1:58" ht="12" hidden="1" customHeight="1">
      <c r="A105" s="46"/>
      <c r="B105" s="910"/>
      <c r="C105" s="910"/>
      <c r="D105" s="707"/>
      <c r="E105" s="96"/>
      <c r="F105" s="106" t="str">
        <f>C86 &amp; ".5"</f>
        <v>.2.5</v>
      </c>
      <c r="G105" s="513" t="s">
        <v>726</v>
      </c>
      <c r="H105" s="336" t="s">
        <v>347</v>
      </c>
      <c r="I105" s="107"/>
      <c r="J105" s="266"/>
      <c r="K105" s="266"/>
      <c r="L105" s="506">
        <f t="shared" si="7"/>
        <v>0</v>
      </c>
      <c r="M105" s="277"/>
      <c r="N105" s="277"/>
      <c r="O105" s="277"/>
      <c r="P105" s="277"/>
      <c r="Q105" s="277"/>
      <c r="BF105" s="158" t="str">
        <f>C86 &amp; "-I"</f>
        <v>.2-I</v>
      </c>
    </row>
    <row r="106" spans="1:58" ht="12" hidden="1" customHeight="1">
      <c r="A106" s="46"/>
      <c r="B106" s="910"/>
      <c r="C106" s="910"/>
      <c r="D106" s="707"/>
      <c r="E106" s="96"/>
      <c r="F106" s="106" t="str">
        <f>C86 &amp; ".6"</f>
        <v>.2.6</v>
      </c>
      <c r="G106" s="513" t="s">
        <v>727</v>
      </c>
      <c r="H106" s="336" t="s">
        <v>347</v>
      </c>
      <c r="I106" s="107"/>
      <c r="J106" s="266"/>
      <c r="K106" s="266"/>
      <c r="L106" s="506">
        <f t="shared" si="7"/>
        <v>0</v>
      </c>
      <c r="M106" s="277"/>
      <c r="N106" s="277"/>
      <c r="O106" s="277"/>
      <c r="P106" s="277"/>
      <c r="Q106" s="277"/>
      <c r="BF106" s="158" t="str">
        <f>C86 &amp; "-I"</f>
        <v>.2-I</v>
      </c>
    </row>
    <row r="107" spans="1:58" ht="12" hidden="1" customHeight="1">
      <c r="A107" s="46"/>
      <c r="B107" s="910"/>
      <c r="C107" s="910"/>
      <c r="D107" s="707"/>
      <c r="E107" s="96"/>
      <c r="F107" s="106" t="str">
        <f>C86 &amp; ".7"</f>
        <v>.2.7</v>
      </c>
      <c r="G107" s="513" t="s">
        <v>728</v>
      </c>
      <c r="H107" s="336" t="s">
        <v>347</v>
      </c>
      <c r="I107" s="107"/>
      <c r="J107" s="266"/>
      <c r="K107" s="266"/>
      <c r="L107" s="506">
        <f t="shared" si="7"/>
        <v>0</v>
      </c>
      <c r="M107" s="277"/>
      <c r="N107" s="277"/>
      <c r="O107" s="277"/>
      <c r="P107" s="277"/>
      <c r="Q107" s="277"/>
      <c r="BF107" s="158" t="str">
        <f>C86 &amp; "-II"</f>
        <v>.2-II</v>
      </c>
    </row>
    <row r="108" spans="1:58" ht="12" hidden="1" customHeight="1">
      <c r="A108" s="46"/>
      <c r="B108" s="910"/>
      <c r="C108" s="910"/>
      <c r="D108" s="707"/>
      <c r="E108" s="96"/>
      <c r="F108" s="106" t="str">
        <f>C86 &amp; ".8"</f>
        <v>.2.8</v>
      </c>
      <c r="G108" s="513" t="s">
        <v>729</v>
      </c>
      <c r="H108" s="336" t="s">
        <v>347</v>
      </c>
      <c r="I108" s="107"/>
      <c r="J108" s="266"/>
      <c r="K108" s="266"/>
      <c r="L108" s="506">
        <f t="shared" si="7"/>
        <v>0</v>
      </c>
      <c r="M108" s="277"/>
      <c r="N108" s="277"/>
      <c r="O108" s="277"/>
      <c r="P108" s="277"/>
      <c r="Q108" s="277"/>
      <c r="BF108" s="158" t="str">
        <f>C86 &amp; "-II"</f>
        <v>.2-II</v>
      </c>
    </row>
    <row r="109" spans="1:58" ht="12" hidden="1" customHeight="1">
      <c r="A109" s="46"/>
      <c r="B109" s="910"/>
      <c r="C109" s="910"/>
      <c r="D109" s="707"/>
      <c r="E109" s="96"/>
      <c r="F109" s="106" t="str">
        <f>C86 &amp; ".9"</f>
        <v>.2.9</v>
      </c>
      <c r="G109" s="513" t="s">
        <v>730</v>
      </c>
      <c r="H109" s="336" t="s">
        <v>347</v>
      </c>
      <c r="I109" s="107"/>
      <c r="J109" s="266"/>
      <c r="K109" s="266"/>
      <c r="L109" s="506">
        <f t="shared" si="7"/>
        <v>0</v>
      </c>
      <c r="M109" s="277"/>
      <c r="N109" s="277"/>
      <c r="O109" s="277"/>
      <c r="P109" s="277"/>
      <c r="Q109" s="277"/>
      <c r="BF109" s="158" t="str">
        <f>C86 &amp; IF(TEMPLATE_CLAIM="P","-II","-III")</f>
        <v>.2-III</v>
      </c>
    </row>
    <row r="110" spans="1:58" ht="12" hidden="1" customHeight="1">
      <c r="A110" s="46"/>
      <c r="B110" s="910"/>
      <c r="C110" s="910"/>
      <c r="D110" s="707"/>
      <c r="E110" s="96"/>
      <c r="F110" s="106" t="str">
        <f>C86 &amp; ".10"</f>
        <v>.2.10</v>
      </c>
      <c r="G110" s="513" t="s">
        <v>731</v>
      </c>
      <c r="H110" s="336" t="s">
        <v>347</v>
      </c>
      <c r="I110" s="107"/>
      <c r="J110" s="266"/>
      <c r="K110" s="266"/>
      <c r="L110" s="506">
        <f t="shared" si="7"/>
        <v>0</v>
      </c>
      <c r="M110" s="277"/>
      <c r="N110" s="277"/>
      <c r="O110" s="277"/>
      <c r="P110" s="277"/>
      <c r="Q110" s="277"/>
      <c r="BF110" s="158" t="str">
        <f>C86 &amp; IF(TEMPLATE_CLAIM="P","-II","-III")</f>
        <v>.2-III</v>
      </c>
    </row>
    <row r="111" spans="1:58" ht="12" hidden="1" customHeight="1">
      <c r="A111" s="46"/>
      <c r="B111" s="910"/>
      <c r="C111" s="910"/>
      <c r="D111" s="707"/>
      <c r="E111" s="96"/>
      <c r="F111" s="106" t="str">
        <f>C86 &amp; ".11"</f>
        <v>.2.11</v>
      </c>
      <c r="G111" s="513" t="s">
        <v>732</v>
      </c>
      <c r="H111" s="336" t="s">
        <v>347</v>
      </c>
      <c r="I111" s="107"/>
      <c r="J111" s="266"/>
      <c r="K111" s="266"/>
      <c r="L111" s="506">
        <f t="shared" si="7"/>
        <v>0</v>
      </c>
      <c r="M111" s="277"/>
      <c r="N111" s="277"/>
      <c r="O111" s="277"/>
      <c r="P111" s="277"/>
      <c r="Q111" s="277"/>
      <c r="BF111" s="158" t="str">
        <f>C86 &amp; IF(TEMPLATE_CLAIM="P","-II","-III")</f>
        <v>.2-III</v>
      </c>
    </row>
    <row r="112" spans="1:58" ht="12" hidden="1" customHeight="1">
      <c r="A112" s="46"/>
      <c r="B112" s="910"/>
      <c r="C112" s="910"/>
      <c r="D112" s="707"/>
      <c r="E112" s="96"/>
      <c r="F112" s="106" t="str">
        <f>C86 &amp; ".12"</f>
        <v>.2.12</v>
      </c>
      <c r="G112" s="513" t="s">
        <v>733</v>
      </c>
      <c r="H112" s="336" t="s">
        <v>347</v>
      </c>
      <c r="I112" s="107"/>
      <c r="J112" s="266"/>
      <c r="K112" s="266"/>
      <c r="L112" s="506">
        <f t="shared" si="7"/>
        <v>0</v>
      </c>
      <c r="M112" s="277"/>
      <c r="N112" s="277"/>
      <c r="O112" s="277"/>
      <c r="P112" s="277"/>
      <c r="Q112" s="277"/>
      <c r="BF112" s="158" t="str">
        <f>C86 &amp; IF(TEMPLATE_CLAIM="P","-II","-III")</f>
        <v>.2-III</v>
      </c>
    </row>
    <row r="113" spans="1:58" hidden="1">
      <c r="B113" s="79"/>
      <c r="C113" s="95"/>
      <c r="D113" s="707"/>
      <c r="E113" s="94"/>
    </row>
    <row r="114" spans="1:58" hidden="1">
      <c r="B114" s="79"/>
      <c r="C114" s="95"/>
      <c r="D114" s="707"/>
    </row>
    <row r="115" spans="1:58" customFormat="1" hidden="1">
      <c r="B115" s="79"/>
      <c r="C115" s="95"/>
      <c r="D115" s="707"/>
    </row>
    <row r="116" spans="1:58" customFormat="1" hidden="1">
      <c r="B116" s="79"/>
      <c r="C116" s="95"/>
      <c r="D116" s="707"/>
    </row>
    <row r="117" spans="1:58" customFormat="1" hidden="1">
      <c r="B117" s="79"/>
      <c r="C117" s="95"/>
      <c r="D117" s="707"/>
    </row>
    <row r="118" spans="1:58" customFormat="1" hidden="1">
      <c r="B118" s="79"/>
      <c r="C118" s="95"/>
      <c r="D118" s="707"/>
    </row>
    <row r="119" spans="1:58" customFormat="1" ht="11.25" customHeight="1">
      <c r="B119" s="100"/>
      <c r="C119" s="101"/>
      <c r="D119" s="709"/>
      <c r="E119" s="101"/>
      <c r="G119" s="730" t="s">
        <v>2665</v>
      </c>
    </row>
    <row r="120" spans="1:58" customFormat="1" ht="18" customHeight="1">
      <c r="B120" s="100"/>
      <c r="C120" s="101"/>
      <c r="D120" s="709"/>
      <c r="E120" s="96"/>
      <c r="F120" s="422" t="str">
        <f>"Баланс организаций " &amp; TEMPLATE_SPHERE &amp; ", осуществляющих передачу (транспортировку) по муниципальному образованию - " &amp; IF(mo="","Не определено",mo)</f>
        <v>Баланс организаций водоотведения, осуществляющих передачу (транспортировку) по муниципальному образованию - Село Булава</v>
      </c>
      <c r="G120" s="415"/>
      <c r="H120" s="415"/>
      <c r="I120" s="415"/>
      <c r="J120" s="415"/>
      <c r="K120" s="414"/>
    </row>
    <row r="121" spans="1:58" customFormat="1" ht="12" customHeight="1">
      <c r="B121" s="100"/>
      <c r="C121" s="101"/>
      <c r="D121" s="709"/>
      <c r="F121" s="44" t="s">
        <v>343</v>
      </c>
    </row>
    <row r="122" spans="1:58" ht="30" customHeight="1">
      <c r="B122" s="103"/>
      <c r="C122" s="102"/>
      <c r="D122" s="708"/>
      <c r="E122"/>
      <c r="F122" s="930" t="s">
        <v>641</v>
      </c>
      <c r="G122" s="930" t="s">
        <v>735</v>
      </c>
      <c r="H122" s="930" t="s">
        <v>2738</v>
      </c>
      <c r="I122" s="930"/>
      <c r="J122" s="942" t="s">
        <v>2811</v>
      </c>
      <c r="K122" s="942" t="s">
        <v>781</v>
      </c>
      <c r="L122" s="942" t="s">
        <v>2812</v>
      </c>
      <c r="M122" s="942"/>
      <c r="N122" s="942"/>
      <c r="O122" s="942"/>
      <c r="P122" s="942"/>
      <c r="Q122" s="942"/>
      <c r="BF122" s="114"/>
    </row>
    <row r="123" spans="1:58" ht="42" customHeight="1">
      <c r="B123" s="103"/>
      <c r="C123" s="102"/>
      <c r="D123" s="708"/>
      <c r="E123"/>
      <c r="F123" s="930"/>
      <c r="G123" s="930"/>
      <c r="H123" s="930"/>
      <c r="I123" s="930"/>
      <c r="J123" s="942"/>
      <c r="K123" s="942"/>
      <c r="L123" s="512" t="s">
        <v>745</v>
      </c>
      <c r="M123" s="512" t="s">
        <v>783</v>
      </c>
      <c r="N123" s="512" t="s">
        <v>2813</v>
      </c>
      <c r="O123" s="512" t="s">
        <v>747</v>
      </c>
      <c r="P123" s="512" t="s">
        <v>748</v>
      </c>
      <c r="Q123" s="512" t="s">
        <v>749</v>
      </c>
      <c r="BF123" s="114"/>
    </row>
    <row r="124" spans="1:58" ht="12" customHeight="1">
      <c r="B124" s="103"/>
      <c r="C124" s="102"/>
      <c r="D124" s="710"/>
      <c r="E124"/>
      <c r="F124" s="508"/>
      <c r="G124" s="508" t="s">
        <v>759</v>
      </c>
      <c r="H124" s="508" t="s">
        <v>629</v>
      </c>
      <c r="I124" s="508"/>
      <c r="J124" s="508">
        <v>1</v>
      </c>
      <c r="K124" s="508">
        <v>2</v>
      </c>
      <c r="L124" s="508">
        <v>3</v>
      </c>
      <c r="M124" s="508" t="s">
        <v>760</v>
      </c>
      <c r="N124" s="508" t="s">
        <v>761</v>
      </c>
      <c r="O124" s="508" t="s">
        <v>762</v>
      </c>
      <c r="P124" s="508" t="s">
        <v>763</v>
      </c>
      <c r="Q124" s="508" t="s">
        <v>764</v>
      </c>
      <c r="BF124" s="114"/>
    </row>
    <row r="125" spans="1:58" ht="24" customHeight="1">
      <c r="A125" s="46"/>
      <c r="B125" s="104" t="s">
        <v>3141</v>
      </c>
      <c r="C125" s="99"/>
      <c r="D125" s="714" t="s">
        <v>652</v>
      </c>
      <c r="E125"/>
      <c r="F125" s="911" t="str">
        <f>B125</f>
        <v>0.1</v>
      </c>
      <c r="G125" s="913" t="s">
        <v>778</v>
      </c>
      <c r="H125" s="510" t="s">
        <v>346</v>
      </c>
      <c r="I125" s="510"/>
      <c r="J125" s="398">
        <f t="shared" ref="J125:Q125" si="8">SUMIF($BF129:$BF130,$BF125,J129:J130)</f>
        <v>0</v>
      </c>
      <c r="K125" s="398">
        <f t="shared" si="8"/>
        <v>0</v>
      </c>
      <c r="L125" s="398">
        <f t="shared" si="8"/>
        <v>0</v>
      </c>
      <c r="M125" s="398">
        <f t="shared" si="8"/>
        <v>0</v>
      </c>
      <c r="N125" s="398">
        <f t="shared" si="8"/>
        <v>0</v>
      </c>
      <c r="O125" s="398">
        <f t="shared" si="8"/>
        <v>0</v>
      </c>
      <c r="P125" s="398">
        <f t="shared" si="8"/>
        <v>0</v>
      </c>
      <c r="Q125" s="398">
        <f t="shared" si="8"/>
        <v>0</v>
      </c>
      <c r="BF125" s="114" t="s">
        <v>334</v>
      </c>
    </row>
    <row r="126" spans="1:58" ht="24" customHeight="1">
      <c r="A126" s="46"/>
      <c r="B126" s="104"/>
      <c r="C126" s="99"/>
      <c r="D126" s="710"/>
      <c r="E126"/>
      <c r="F126" s="911"/>
      <c r="G126" s="913"/>
      <c r="H126" s="510" t="s">
        <v>347</v>
      </c>
      <c r="I126" s="510"/>
      <c r="J126" s="398">
        <f t="shared" ref="J126:Q126" si="9">SUMIF($BF129:$BF130,$BF126,J129:J130)</f>
        <v>0</v>
      </c>
      <c r="K126" s="398">
        <f t="shared" si="9"/>
        <v>0</v>
      </c>
      <c r="L126" s="398">
        <f t="shared" si="9"/>
        <v>0</v>
      </c>
      <c r="M126" s="398">
        <f t="shared" si="9"/>
        <v>0</v>
      </c>
      <c r="N126" s="398">
        <f t="shared" si="9"/>
        <v>0</v>
      </c>
      <c r="O126" s="398">
        <f t="shared" si="9"/>
        <v>0</v>
      </c>
      <c r="P126" s="398">
        <f t="shared" si="9"/>
        <v>0</v>
      </c>
      <c r="Q126" s="398">
        <f t="shared" si="9"/>
        <v>0</v>
      </c>
      <c r="BF126" s="114" t="s">
        <v>335</v>
      </c>
    </row>
    <row r="127" spans="1:58" ht="24" customHeight="1">
      <c r="A127" s="46"/>
      <c r="B127" s="104" t="s">
        <v>3142</v>
      </c>
      <c r="C127" s="99"/>
      <c r="D127" s="707"/>
      <c r="E127"/>
      <c r="F127" s="911" t="str">
        <f>B127</f>
        <v>0.2</v>
      </c>
      <c r="G127" s="913" t="str">
        <f>IF(TEMPLATE_CLAIM="U","Всего по МО (только годовые значения по данным предыдущего мониторинга)","")</f>
        <v>Всего по МО (только годовые значения по данным предыдущего мониторинга)</v>
      </c>
      <c r="H127" s="510" t="s">
        <v>346</v>
      </c>
      <c r="I127" s="510"/>
      <c r="J127" s="274">
        <f t="shared" ref="J127:Q127" si="10">IF(TEMPLATE_CLAIM="P","",SUMIF($BF129:$BF130,$BF127,J129:J130))</f>
        <v>0</v>
      </c>
      <c r="K127" s="274">
        <f t="shared" si="10"/>
        <v>0</v>
      </c>
      <c r="L127" s="274">
        <f t="shared" si="10"/>
        <v>0</v>
      </c>
      <c r="M127" s="274">
        <f t="shared" si="10"/>
        <v>0</v>
      </c>
      <c r="N127" s="274">
        <f t="shared" si="10"/>
        <v>0</v>
      </c>
      <c r="O127" s="274">
        <f t="shared" si="10"/>
        <v>0</v>
      </c>
      <c r="P127" s="274">
        <f t="shared" si="10"/>
        <v>0</v>
      </c>
      <c r="Q127" s="274">
        <f t="shared" si="10"/>
        <v>0</v>
      </c>
      <c r="BF127" s="114" t="s">
        <v>344</v>
      </c>
    </row>
    <row r="128" spans="1:58" ht="24" customHeight="1">
      <c r="A128" s="46"/>
      <c r="B128" s="104"/>
      <c r="C128" s="99"/>
      <c r="D128" s="707"/>
      <c r="E128"/>
      <c r="F128" s="943"/>
      <c r="G128" s="941"/>
      <c r="H128" s="511" t="s">
        <v>347</v>
      </c>
      <c r="I128" s="511"/>
      <c r="J128" s="274">
        <f t="shared" ref="J128:Q128" si="11">IF(TEMPLATE_CLAIM="P","",SUMIF($BF129:$BF130,$BF128,J129:J130))</f>
        <v>0</v>
      </c>
      <c r="K128" s="274">
        <f t="shared" si="11"/>
        <v>0</v>
      </c>
      <c r="L128" s="274">
        <f t="shared" si="11"/>
        <v>0</v>
      </c>
      <c r="M128" s="274">
        <f t="shared" si="11"/>
        <v>0</v>
      </c>
      <c r="N128" s="274">
        <f t="shared" si="11"/>
        <v>0</v>
      </c>
      <c r="O128" s="274">
        <f t="shared" si="11"/>
        <v>0</v>
      </c>
      <c r="P128" s="274">
        <f t="shared" si="11"/>
        <v>0</v>
      </c>
      <c r="Q128" s="274">
        <f t="shared" si="11"/>
        <v>0</v>
      </c>
      <c r="BF128" s="114" t="s">
        <v>345</v>
      </c>
    </row>
    <row r="129" spans="1:58" ht="12" hidden="1" customHeight="1">
      <c r="A129" s="46"/>
      <c r="B129" s="104">
        <v>0</v>
      </c>
      <c r="C129" s="99"/>
      <c r="D129" s="707"/>
      <c r="E129"/>
      <c r="F129" s="585"/>
      <c r="G129" s="585"/>
      <c r="H129" s="585"/>
      <c r="I129" s="585"/>
      <c r="J129" s="585"/>
      <c r="K129" s="585"/>
      <c r="L129" s="585"/>
      <c r="M129" s="585"/>
      <c r="N129" s="585"/>
      <c r="O129" s="585"/>
      <c r="P129" s="585"/>
      <c r="Q129" s="585"/>
      <c r="BF129" s="114"/>
    </row>
    <row r="130" spans="1:58" ht="0.75" customHeight="1">
      <c r="A130" s="46"/>
      <c r="B130" s="104"/>
      <c r="C130" s="99"/>
      <c r="D130" s="707"/>
      <c r="E130"/>
      <c r="F130" s="110"/>
      <c r="G130" s="111" t="s">
        <v>720</v>
      </c>
      <c r="H130" s="111"/>
      <c r="I130" s="111"/>
      <c r="J130" s="112"/>
      <c r="K130" s="112"/>
      <c r="L130" s="112"/>
      <c r="M130" s="112"/>
      <c r="N130" s="112"/>
      <c r="O130" s="112"/>
      <c r="P130" s="112"/>
      <c r="Q130" s="113"/>
      <c r="BF130" s="114"/>
    </row>
    <row r="131" spans="1:58" ht="12" customHeight="1">
      <c r="A131" s="46"/>
      <c r="B131" s="79"/>
      <c r="C131" s="95"/>
      <c r="D131" s="707"/>
      <c r="E131"/>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BF131" s="114"/>
    </row>
    <row r="132" spans="1:58" ht="12" customHeight="1">
      <c r="D132" s="707"/>
      <c r="E132"/>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row>
    <row r="133" spans="1:58">
      <c r="D133" s="707"/>
    </row>
    <row r="134" spans="1:58">
      <c r="D134" s="707"/>
    </row>
    <row r="135" spans="1:58">
      <c r="D135" s="707"/>
    </row>
    <row r="136" spans="1:58">
      <c r="D136" s="707"/>
    </row>
    <row r="137" spans="1:58">
      <c r="D137" s="707"/>
    </row>
    <row r="138" spans="1:58">
      <c r="D138" s="707"/>
    </row>
    <row r="139" spans="1:58">
      <c r="D139" s="707"/>
    </row>
    <row r="140" spans="1:58">
      <c r="D140" s="707"/>
    </row>
    <row r="141" spans="1:58">
      <c r="D141" s="707"/>
    </row>
  </sheetData>
  <sheetProtection password="FA9C" sheet="1" objects="1" scenarios="1" formatColumns="0" formatRows="0"/>
  <mergeCells count="31">
    <mergeCell ref="B1:B28"/>
    <mergeCell ref="F1:F2"/>
    <mergeCell ref="B29:B56"/>
    <mergeCell ref="B57:B84"/>
    <mergeCell ref="F57:F58"/>
    <mergeCell ref="C59:C71"/>
    <mergeCell ref="C72:C84"/>
    <mergeCell ref="C31:C43"/>
    <mergeCell ref="F127:F128"/>
    <mergeCell ref="G127:G128"/>
    <mergeCell ref="F125:F126"/>
    <mergeCell ref="G125:G126"/>
    <mergeCell ref="G85:G86"/>
    <mergeCell ref="G57:G58"/>
    <mergeCell ref="C44:C56"/>
    <mergeCell ref="C87:C99"/>
    <mergeCell ref="B85:B112"/>
    <mergeCell ref="C100:C112"/>
    <mergeCell ref="F85:F86"/>
    <mergeCell ref="G1:G2"/>
    <mergeCell ref="C3:C15"/>
    <mergeCell ref="C16:C28"/>
    <mergeCell ref="G29:G30"/>
    <mergeCell ref="F29:F30"/>
    <mergeCell ref="K122:K123"/>
    <mergeCell ref="F122:F123"/>
    <mergeCell ref="L122:Q122"/>
    <mergeCell ref="I122:I123"/>
    <mergeCell ref="H122:H123"/>
    <mergeCell ref="J122:J123"/>
    <mergeCell ref="G122:G123"/>
  </mergeCells>
  <phoneticPr fontId="0" type="noConversion"/>
  <dataValidations disablePrompts="1" count="1">
    <dataValidation allowBlank="1" showInputMessage="1" showErrorMessage="1" sqref="N123:O123"/>
  </dataValidations>
  <pageMargins left="0.37" right="0.35" top="1" bottom="1" header="0.5" footer="0.5"/>
  <pageSetup paperSize="9" scale="37" orientation="landscape" horizontalDpi="4294967292" verticalDpi="4294967292"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sheetPr codeName="VSNA_DF">
    <tabColor rgb="FFFFC000"/>
    <outlinePr summaryBelow="0"/>
  </sheetPr>
  <dimension ref="A1:AU166"/>
  <sheetViews>
    <sheetView showGridLines="0" topLeftCell="AL8" workbookViewId="0"/>
  </sheetViews>
  <sheetFormatPr defaultColWidth="8.7109375" defaultRowHeight="11.25"/>
  <cols>
    <col min="1" max="37" width="2.7109375"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4" width="0.140625" style="47" customWidth="1"/>
    <col min="45" max="46" width="2.7109375" style="47" customWidth="1"/>
    <col min="47" max="16384" width="8.7109375" style="47"/>
  </cols>
  <sheetData>
    <row r="1" spans="1:47" s="48" customFormat="1" ht="12" hidden="1" customHeight="1">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199"/>
      <c r="AQ1" s="47"/>
      <c r="AR1" s="47"/>
      <c r="AS1" s="47"/>
      <c r="AT1" s="47"/>
      <c r="AU1" s="47"/>
    </row>
    <row r="2" spans="1:47" s="48" customFormat="1" ht="12" hidden="1" customHeight="1">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199"/>
      <c r="AQ2" s="47"/>
      <c r="AR2" s="47"/>
      <c r="AS2" s="47"/>
      <c r="AT2" s="47"/>
      <c r="AU2" s="47"/>
    </row>
    <row r="3" spans="1:47" s="48" customFormat="1" ht="12" hidden="1" customHeight="1">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199"/>
      <c r="AQ3" s="47"/>
      <c r="AR3" s="47"/>
      <c r="AS3" s="47"/>
      <c r="AT3" s="47"/>
      <c r="AU3" s="47"/>
    </row>
    <row r="4" spans="1:47" s="48" customFormat="1" ht="12" hidden="1" customHeight="1">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199"/>
      <c r="AQ4" s="47"/>
      <c r="AR4" s="47"/>
      <c r="AS4" s="47"/>
      <c r="AT4" s="47"/>
      <c r="AU4" s="47"/>
    </row>
    <row r="5" spans="1:47" s="48" customFormat="1" ht="12" hidden="1" customHeight="1">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199"/>
      <c r="AQ5" s="47"/>
      <c r="AR5" s="47"/>
      <c r="AS5" s="47"/>
      <c r="AT5" s="47"/>
      <c r="AU5" s="47"/>
    </row>
    <row r="6" spans="1:47" s="48" customFormat="1" ht="12" hidden="1" customHeight="1">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199"/>
      <c r="AQ6" s="47"/>
      <c r="AR6" s="47"/>
      <c r="AS6" s="47"/>
      <c r="AT6" s="47"/>
      <c r="AU6" s="47"/>
    </row>
    <row r="7" spans="1:47" s="48" customFormat="1" ht="12" hidden="1" customHeight="1">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199"/>
      <c r="AO7" s="158"/>
      <c r="AQ7" s="47"/>
      <c r="AR7" s="47"/>
      <c r="AS7" s="47"/>
      <c r="AT7" s="47"/>
      <c r="AU7" s="47"/>
    </row>
    <row r="8" spans="1:47" s="312" customFormat="1" ht="12" customHeight="1">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308"/>
      <c r="AN8" s="618"/>
      <c r="AO8" s="432"/>
      <c r="AP8" s="616" t="s">
        <v>2790</v>
      </c>
      <c r="AQ8" s="522"/>
      <c r="AR8" s="522"/>
      <c r="AS8" s="522"/>
      <c r="AT8" s="520"/>
      <c r="AU8" s="520"/>
    </row>
    <row r="9" spans="1:47"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"Дополнительные факторы организаций " &amp; TEMPLATE_SPHERE &amp; " по муниципальному образованию - " &amp; IF(mo="","Не определено",mo)</f>
        <v>Дополнительные факторы организаций водоотведения по муниципальному образованию - Село Булава</v>
      </c>
      <c r="AO9" s="917"/>
      <c r="AP9" s="917"/>
      <c r="AQ9" s="201"/>
      <c r="AR9" s="122"/>
      <c r="AS9" s="200"/>
    </row>
    <row r="10" spans="1:47" s="48" customFormat="1" ht="12" customHeight="1">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189"/>
      <c r="AO10" s="209"/>
      <c r="AP10" s="214" t="s">
        <v>786</v>
      </c>
      <c r="AQ10" s="201"/>
      <c r="AR10" s="168" t="s">
        <v>720</v>
      </c>
      <c r="AS10" s="53"/>
      <c r="AT10" s="47"/>
      <c r="AU10" s="47"/>
    </row>
    <row r="11" spans="1:47" ht="12" customHeight="1">
      <c r="A11" s="47"/>
      <c r="B11" s="47"/>
      <c r="C11" s="47"/>
      <c r="D11" s="47"/>
      <c r="E11" s="47"/>
      <c r="F11" s="47"/>
      <c r="G11" s="47"/>
      <c r="H11" s="47"/>
      <c r="I11" s="47"/>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50"/>
      <c r="AM11" s="125"/>
      <c r="AN11" s="802" t="s">
        <v>641</v>
      </c>
      <c r="AO11" s="804" t="s">
        <v>787</v>
      </c>
      <c r="AP11" s="819" t="s">
        <v>778</v>
      </c>
      <c r="AQ11" s="206">
        <v>0</v>
      </c>
      <c r="AR11" s="206"/>
      <c r="AS11" s="220"/>
    </row>
    <row r="12" spans="1:47" ht="48" customHeight="1">
      <c r="A12" s="47"/>
      <c r="B12" s="47"/>
      <c r="C12" s="47"/>
      <c r="D12" s="47"/>
      <c r="E12" s="47"/>
      <c r="F12" s="47"/>
      <c r="G12" s="47"/>
      <c r="H12" s="47"/>
      <c r="I12" s="47"/>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50"/>
      <c r="AM12" s="125"/>
      <c r="AN12" s="803"/>
      <c r="AO12" s="805"/>
      <c r="AP12" s="819"/>
      <c r="AQ12" s="207"/>
      <c r="AR12" s="207"/>
      <c r="AS12" s="121"/>
      <c r="AT12" s="121"/>
    </row>
    <row r="13" spans="1:47" ht="11.25" customHeight="1">
      <c r="A13" s="47"/>
      <c r="B13" s="47"/>
      <c r="C13" s="47"/>
      <c r="D13" s="47"/>
      <c r="E13" s="47"/>
      <c r="F13" s="47"/>
      <c r="G13" s="47"/>
      <c r="H13" s="47"/>
      <c r="I13" s="47"/>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222"/>
      <c r="AO13" s="501" t="s">
        <v>788</v>
      </c>
      <c r="AP13" s="564"/>
      <c r="AQ13" s="330"/>
      <c r="AR13" s="207"/>
      <c r="AS13" s="121"/>
      <c r="AT13" s="121"/>
    </row>
    <row r="14" spans="1:47" ht="24" customHeight="1">
      <c r="A14" s="47"/>
      <c r="B14" s="47"/>
      <c r="C14" s="47"/>
      <c r="D14" s="47"/>
      <c r="E14" s="47"/>
      <c r="F14" s="47"/>
      <c r="G14" s="47"/>
      <c r="H14" s="47"/>
      <c r="I14" s="47"/>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222"/>
      <c r="AO14" s="556" t="str">
        <f>IF(CALC_IDENTIFIER="","",CALC_IDENTIFIER)</f>
        <v/>
      </c>
      <c r="AP14" s="557" t="s">
        <v>745</v>
      </c>
      <c r="AQ14" s="330"/>
      <c r="AR14" s="207"/>
      <c r="AS14" s="121"/>
      <c r="AT14" s="121"/>
    </row>
    <row r="15" spans="1:47" ht="0.75" customHeight="1">
      <c r="AL15" s="121"/>
      <c r="AM15" s="121"/>
      <c r="AN15" s="504"/>
      <c r="AO15" s="566"/>
      <c r="AP15" s="543"/>
      <c r="AQ15" s="321"/>
      <c r="AR15" s="258"/>
      <c r="AS15" s="121"/>
      <c r="AT15" s="121"/>
    </row>
    <row r="16" spans="1:47" ht="0.75" customHeight="1">
      <c r="AL16" s="121"/>
      <c r="AM16" s="121"/>
      <c r="AN16" s="504"/>
      <c r="AO16" s="527"/>
      <c r="AP16" s="543"/>
      <c r="AQ16" s="321"/>
      <c r="AR16" s="258"/>
      <c r="AS16" s="121"/>
      <c r="AT16" s="121"/>
    </row>
    <row r="17" spans="38:46">
      <c r="AL17" s="121"/>
      <c r="AM17" s="121"/>
      <c r="AN17" s="504" t="s">
        <v>751</v>
      </c>
      <c r="AO17" s="526" t="s">
        <v>2814</v>
      </c>
      <c r="AP17" s="257">
        <f>SUMIF(AQ$14:AR$14,AP$14,AQ17:AR17)</f>
        <v>0</v>
      </c>
      <c r="AQ17" s="321"/>
      <c r="AR17" s="258"/>
      <c r="AS17" s="121"/>
      <c r="AT17" s="121"/>
    </row>
    <row r="18" spans="38:46">
      <c r="AL18" s="121"/>
      <c r="AM18" s="121"/>
      <c r="AN18" s="504" t="s">
        <v>66</v>
      </c>
      <c r="AO18" s="527" t="s">
        <v>2815</v>
      </c>
      <c r="AP18" s="257">
        <f>SUMIF(AQ$14:AR$14,AP$14,AQ18:AR18)</f>
        <v>0</v>
      </c>
      <c r="AQ18" s="321"/>
      <c r="AR18" s="258"/>
      <c r="AS18" s="121"/>
      <c r="AT18" s="121"/>
    </row>
    <row r="19" spans="38:46">
      <c r="AL19" s="121"/>
      <c r="AM19" s="121"/>
      <c r="AN19" s="504" t="s">
        <v>632</v>
      </c>
      <c r="AO19" s="528" t="s">
        <v>2816</v>
      </c>
      <c r="AP19" s="257">
        <f>SUMIF(AQ$14:AR$14,AP$14,AQ19:AR19)</f>
        <v>0</v>
      </c>
      <c r="AQ19" s="321"/>
      <c r="AR19" s="258"/>
      <c r="AS19" s="121"/>
      <c r="AT19" s="121"/>
    </row>
    <row r="20" spans="38:46">
      <c r="AL20" s="121"/>
      <c r="AM20" s="121"/>
      <c r="AN20" s="223" t="s">
        <v>2817</v>
      </c>
      <c r="AO20" s="529" t="s">
        <v>2972</v>
      </c>
      <c r="AP20" s="257">
        <f>SUMIF(AQ$14:AR$14,AP$14,AQ20:AR20)</f>
        <v>0</v>
      </c>
      <c r="AQ20" s="321"/>
      <c r="AR20" s="258"/>
      <c r="AS20" s="121"/>
      <c r="AT20" s="121"/>
    </row>
    <row r="21" spans="38:46">
      <c r="AL21" s="121"/>
      <c r="AM21" s="121"/>
      <c r="AN21" s="223" t="s">
        <v>2818</v>
      </c>
      <c r="AO21" s="529" t="s">
        <v>2988</v>
      </c>
      <c r="AP21" s="257">
        <f>SUMIF(AQ$14:AR$14,AP$14,AQ21:AR21)</f>
        <v>0</v>
      </c>
      <c r="AQ21" s="321"/>
      <c r="AR21" s="258"/>
      <c r="AS21" s="121"/>
      <c r="AT21" s="121"/>
    </row>
    <row r="22" spans="38:46" hidden="1">
      <c r="AL22" s="121"/>
      <c r="AM22" s="121"/>
      <c r="AN22" s="223"/>
      <c r="AO22" s="529"/>
      <c r="AP22" s="260"/>
      <c r="AQ22" s="321"/>
      <c r="AR22" s="258"/>
      <c r="AS22" s="121"/>
      <c r="AT22" s="121"/>
    </row>
    <row r="23" spans="38:46" hidden="1">
      <c r="AL23" s="121"/>
      <c r="AM23" s="121"/>
      <c r="AN23" s="524"/>
      <c r="AO23" s="530"/>
      <c r="AP23" s="255"/>
      <c r="AQ23" s="321"/>
      <c r="AR23" s="258"/>
      <c r="AS23" s="121"/>
      <c r="AT23" s="121"/>
    </row>
    <row r="24" spans="38:46" hidden="1">
      <c r="AL24" s="121"/>
      <c r="AM24" s="121"/>
      <c r="AN24" s="524"/>
      <c r="AO24" s="530"/>
      <c r="AP24" s="260"/>
      <c r="AQ24" s="321"/>
      <c r="AR24" s="258"/>
      <c r="AS24" s="121"/>
      <c r="AT24" s="121"/>
    </row>
    <row r="25" spans="38:46" hidden="1">
      <c r="AL25" s="121"/>
      <c r="AM25" s="121"/>
      <c r="AN25" s="223"/>
      <c r="AO25" s="531"/>
      <c r="AP25" s="260"/>
      <c r="AQ25" s="321"/>
      <c r="AR25" s="258"/>
      <c r="AS25" s="121"/>
      <c r="AT25" s="121"/>
    </row>
    <row r="26" spans="38:46" hidden="1">
      <c r="AL26" s="121"/>
      <c r="AM26" s="121"/>
      <c r="AN26" s="524"/>
      <c r="AO26" s="530"/>
      <c r="AP26" s="255"/>
      <c r="AQ26" s="321"/>
      <c r="AR26" s="258"/>
      <c r="AS26" s="121"/>
      <c r="AT26" s="121"/>
    </row>
    <row r="27" spans="38:46" hidden="1">
      <c r="AL27" s="121"/>
      <c r="AM27" s="121"/>
      <c r="AN27" s="524"/>
      <c r="AO27" s="530"/>
      <c r="AP27" s="260"/>
      <c r="AQ27" s="321"/>
      <c r="AR27" s="258"/>
      <c r="AS27" s="121"/>
      <c r="AT27" s="121"/>
    </row>
    <row r="28" spans="38:46" hidden="1">
      <c r="AL28" s="121"/>
      <c r="AM28" s="121"/>
      <c r="AN28" s="223"/>
      <c r="AO28" s="529"/>
      <c r="AP28" s="260"/>
      <c r="AQ28" s="321"/>
      <c r="AR28" s="258"/>
      <c r="AS28" s="121"/>
      <c r="AT28" s="121"/>
    </row>
    <row r="29" spans="38:46" hidden="1">
      <c r="AL29" s="121"/>
      <c r="AM29" s="121"/>
      <c r="AN29" s="524"/>
      <c r="AO29" s="530"/>
      <c r="AP29" s="255"/>
      <c r="AQ29" s="321"/>
      <c r="AR29" s="258"/>
      <c r="AS29" s="121"/>
      <c r="AT29" s="121"/>
    </row>
    <row r="30" spans="38:46" hidden="1">
      <c r="AL30" s="121"/>
      <c r="AM30" s="121"/>
      <c r="AN30" s="524"/>
      <c r="AO30" s="530"/>
      <c r="AP30" s="260"/>
      <c r="AQ30" s="321"/>
      <c r="AR30" s="258"/>
      <c r="AS30" s="121"/>
      <c r="AT30" s="121"/>
    </row>
    <row r="31" spans="38:46" hidden="1">
      <c r="AL31" s="121"/>
      <c r="AM31" s="121"/>
      <c r="AN31" s="223"/>
      <c r="AO31" s="531"/>
      <c r="AP31" s="260"/>
      <c r="AQ31" s="321"/>
      <c r="AR31" s="258"/>
      <c r="AS31" s="121"/>
      <c r="AT31" s="121"/>
    </row>
    <row r="32" spans="38:46" hidden="1">
      <c r="AL32" s="121"/>
      <c r="AM32" s="121"/>
      <c r="AN32" s="524"/>
      <c r="AO32" s="530"/>
      <c r="AP32" s="255"/>
      <c r="AQ32" s="321"/>
      <c r="AR32" s="258"/>
      <c r="AS32" s="121"/>
      <c r="AT32" s="121"/>
    </row>
    <row r="33" spans="38:46" hidden="1">
      <c r="AL33" s="121"/>
      <c r="AM33" s="121"/>
      <c r="AN33" s="524"/>
      <c r="AO33" s="530"/>
      <c r="AP33" s="260"/>
      <c r="AQ33" s="321"/>
      <c r="AR33" s="258"/>
      <c r="AS33" s="121"/>
      <c r="AT33" s="121"/>
    </row>
    <row r="34" spans="38:46" hidden="1">
      <c r="AL34" s="121"/>
      <c r="AM34" s="121"/>
      <c r="AN34" s="223"/>
      <c r="AO34" s="529"/>
      <c r="AP34" s="260"/>
      <c r="AQ34" s="321"/>
      <c r="AR34" s="258"/>
      <c r="AS34" s="121"/>
      <c r="AT34" s="121"/>
    </row>
    <row r="35" spans="38:46" hidden="1">
      <c r="AL35" s="121"/>
      <c r="AM35" s="121"/>
      <c r="AN35" s="524"/>
      <c r="AO35" s="530"/>
      <c r="AP35" s="255"/>
      <c r="AQ35" s="321"/>
      <c r="AR35" s="258"/>
      <c r="AS35" s="121"/>
      <c r="AT35" s="121"/>
    </row>
    <row r="36" spans="38:46" hidden="1">
      <c r="AL36" s="121"/>
      <c r="AM36" s="121"/>
      <c r="AN36" s="524"/>
      <c r="AO36" s="530"/>
      <c r="AP36" s="260"/>
      <c r="AQ36" s="321"/>
      <c r="AR36" s="258"/>
      <c r="AS36" s="121"/>
      <c r="AT36" s="121"/>
    </row>
    <row r="37" spans="38:46" hidden="1">
      <c r="AL37" s="121"/>
      <c r="AM37" s="121"/>
      <c r="AN37" s="223"/>
      <c r="AO37" s="531"/>
      <c r="AP37" s="260"/>
      <c r="AQ37" s="321"/>
      <c r="AR37" s="258"/>
      <c r="AS37" s="121"/>
      <c r="AT37" s="121"/>
    </row>
    <row r="38" spans="38:46" hidden="1">
      <c r="AL38" s="121"/>
      <c r="AM38" s="121"/>
      <c r="AN38" s="524"/>
      <c r="AO38" s="530"/>
      <c r="AP38" s="255"/>
      <c r="AQ38" s="321"/>
      <c r="AR38" s="258"/>
      <c r="AS38" s="121"/>
      <c r="AT38" s="121"/>
    </row>
    <row r="39" spans="38:46" hidden="1">
      <c r="AL39" s="121"/>
      <c r="AM39" s="121"/>
      <c r="AN39" s="524"/>
      <c r="AO39" s="530"/>
      <c r="AP39" s="260"/>
      <c r="AQ39" s="321"/>
      <c r="AR39" s="258"/>
      <c r="AS39" s="121"/>
      <c r="AT39" s="121"/>
    </row>
    <row r="40" spans="38:46" hidden="1">
      <c r="AL40" s="121"/>
      <c r="AM40" s="121"/>
      <c r="AN40" s="223"/>
      <c r="AO40" s="529"/>
      <c r="AP40" s="260"/>
      <c r="AQ40" s="321"/>
      <c r="AR40" s="258"/>
      <c r="AS40" s="121"/>
      <c r="AT40" s="121"/>
    </row>
    <row r="41" spans="38:46" hidden="1">
      <c r="AL41" s="121"/>
      <c r="AM41" s="121"/>
      <c r="AN41" s="524"/>
      <c r="AO41" s="530"/>
      <c r="AP41" s="255"/>
      <c r="AQ41" s="321"/>
      <c r="AR41" s="258"/>
      <c r="AS41" s="121"/>
      <c r="AT41" s="121"/>
    </row>
    <row r="42" spans="38:46" hidden="1">
      <c r="AL42" s="121"/>
      <c r="AM42" s="121"/>
      <c r="AN42" s="524"/>
      <c r="AO42" s="530"/>
      <c r="AP42" s="260"/>
      <c r="AQ42" s="321"/>
      <c r="AR42" s="258"/>
      <c r="AS42" s="121"/>
      <c r="AT42" s="121"/>
    </row>
    <row r="43" spans="38:46" hidden="1">
      <c r="AL43" s="121"/>
      <c r="AM43" s="121"/>
      <c r="AN43" s="223"/>
      <c r="AO43" s="531"/>
      <c r="AP43" s="260"/>
      <c r="AQ43" s="321"/>
      <c r="AR43" s="258"/>
      <c r="AS43" s="121"/>
      <c r="AT43" s="121"/>
    </row>
    <row r="44" spans="38:46" hidden="1">
      <c r="AL44" s="121"/>
      <c r="AM44" s="121"/>
      <c r="AN44" s="524"/>
      <c r="AO44" s="530"/>
      <c r="AP44" s="255"/>
      <c r="AQ44" s="321"/>
      <c r="AR44" s="258"/>
      <c r="AS44" s="121"/>
      <c r="AT44" s="121"/>
    </row>
    <row r="45" spans="38:46" hidden="1">
      <c r="AL45" s="121"/>
      <c r="AM45" s="121"/>
      <c r="AN45" s="524"/>
      <c r="AO45" s="530"/>
      <c r="AP45" s="260"/>
      <c r="AQ45" s="321"/>
      <c r="AR45" s="258"/>
      <c r="AS45" s="121"/>
      <c r="AT45" s="121"/>
    </row>
    <row r="46" spans="38:46">
      <c r="AL46" s="121"/>
      <c r="AM46" s="121"/>
      <c r="AN46" s="504" t="s">
        <v>633</v>
      </c>
      <c r="AO46" s="532" t="s">
        <v>2819</v>
      </c>
      <c r="AP46" s="257">
        <f t="shared" ref="AP46:AP55" si="0">SUMIF(AQ$14:AR$14,AP$14,AQ46:AR46)</f>
        <v>0</v>
      </c>
      <c r="AQ46" s="321"/>
      <c r="AR46" s="258"/>
      <c r="AS46" s="121"/>
      <c r="AT46" s="121"/>
    </row>
    <row r="47" spans="38:46">
      <c r="AL47" s="121"/>
      <c r="AM47" s="121"/>
      <c r="AN47" s="504" t="s">
        <v>69</v>
      </c>
      <c r="AO47" s="527" t="s">
        <v>2820</v>
      </c>
      <c r="AP47" s="257">
        <f t="shared" si="0"/>
        <v>0</v>
      </c>
      <c r="AQ47" s="321"/>
      <c r="AR47" s="258"/>
      <c r="AS47" s="121"/>
      <c r="AT47" s="121"/>
    </row>
    <row r="48" spans="38:46">
      <c r="AL48" s="121"/>
      <c r="AM48" s="121"/>
      <c r="AN48" s="504" t="s">
        <v>72</v>
      </c>
      <c r="AO48" s="527" t="s">
        <v>2471</v>
      </c>
      <c r="AP48" s="257">
        <f t="shared" si="0"/>
        <v>0</v>
      </c>
      <c r="AQ48" s="321"/>
      <c r="AR48" s="258"/>
      <c r="AS48" s="121"/>
      <c r="AT48" s="121"/>
    </row>
    <row r="49" spans="38:46">
      <c r="AL49" s="121"/>
      <c r="AM49" s="121"/>
      <c r="AN49" s="504" t="s">
        <v>2821</v>
      </c>
      <c r="AO49" s="527" t="s">
        <v>2822</v>
      </c>
      <c r="AP49" s="257">
        <f t="shared" si="0"/>
        <v>0</v>
      </c>
      <c r="AQ49" s="321"/>
      <c r="AR49" s="258"/>
      <c r="AS49" s="121"/>
      <c r="AT49" s="121"/>
    </row>
    <row r="50" spans="38:46">
      <c r="AL50" s="121"/>
      <c r="AM50" s="121"/>
      <c r="AN50" s="504" t="s">
        <v>888</v>
      </c>
      <c r="AO50" s="528" t="s">
        <v>2823</v>
      </c>
      <c r="AP50" s="257">
        <f t="shared" si="0"/>
        <v>0</v>
      </c>
      <c r="AQ50" s="321"/>
      <c r="AR50" s="258"/>
      <c r="AS50" s="121"/>
      <c r="AT50" s="121"/>
    </row>
    <row r="51" spans="38:46">
      <c r="AL51" s="121"/>
      <c r="AM51" s="121"/>
      <c r="AN51" s="504" t="s">
        <v>889</v>
      </c>
      <c r="AO51" s="528" t="s">
        <v>2824</v>
      </c>
      <c r="AP51" s="257">
        <f t="shared" si="0"/>
        <v>0</v>
      </c>
      <c r="AQ51" s="321"/>
      <c r="AR51" s="258"/>
      <c r="AS51" s="121"/>
      <c r="AT51" s="121"/>
    </row>
    <row r="52" spans="38:46">
      <c r="AL52" s="121"/>
      <c r="AM52" s="121"/>
      <c r="AN52" s="504" t="s">
        <v>890</v>
      </c>
      <c r="AO52" s="528" t="s">
        <v>2825</v>
      </c>
      <c r="AP52" s="257">
        <f t="shared" si="0"/>
        <v>0</v>
      </c>
      <c r="AQ52" s="321"/>
      <c r="AR52" s="258"/>
      <c r="AS52" s="121"/>
      <c r="AT52" s="121"/>
    </row>
    <row r="53" spans="38:46">
      <c r="AL53" s="121"/>
      <c r="AM53" s="121"/>
      <c r="AN53" s="504" t="s">
        <v>2826</v>
      </c>
      <c r="AO53" s="527" t="s">
        <v>2827</v>
      </c>
      <c r="AP53" s="257">
        <f t="shared" si="0"/>
        <v>0</v>
      </c>
      <c r="AQ53" s="321"/>
      <c r="AR53" s="258"/>
      <c r="AS53" s="121"/>
      <c r="AT53" s="121"/>
    </row>
    <row r="54" spans="38:46">
      <c r="AL54" s="121"/>
      <c r="AM54" s="121"/>
      <c r="AN54" s="504" t="s">
        <v>2828</v>
      </c>
      <c r="AO54" s="527" t="s">
        <v>2829</v>
      </c>
      <c r="AP54" s="257">
        <f t="shared" si="0"/>
        <v>0</v>
      </c>
      <c r="AQ54" s="321"/>
      <c r="AR54" s="258"/>
      <c r="AS54" s="121"/>
      <c r="AT54" s="121"/>
    </row>
    <row r="55" spans="38:46">
      <c r="AL55" s="121"/>
      <c r="AM55" s="121"/>
      <c r="AN55" s="504" t="s">
        <v>2830</v>
      </c>
      <c r="AO55" s="527" t="s">
        <v>2831</v>
      </c>
      <c r="AP55" s="257">
        <f t="shared" si="0"/>
        <v>0</v>
      </c>
      <c r="AQ55" s="321"/>
      <c r="AR55" s="258"/>
      <c r="AS55" s="121"/>
      <c r="AT55" s="121"/>
    </row>
    <row r="56" spans="38:46" hidden="1">
      <c r="AL56" s="121"/>
      <c r="AM56" s="121"/>
      <c r="AN56" s="222"/>
      <c r="AO56" s="529"/>
      <c r="AP56" s="255"/>
      <c r="AQ56" s="321"/>
      <c r="AR56" s="258"/>
      <c r="AS56" s="121"/>
      <c r="AT56" s="121"/>
    </row>
    <row r="57" spans="38:46" hidden="1">
      <c r="AL57" s="121"/>
      <c r="AM57" s="121"/>
      <c r="AN57" s="222"/>
      <c r="AO57" s="529"/>
      <c r="AP57" s="255"/>
      <c r="AQ57" s="321"/>
      <c r="AR57" s="258"/>
      <c r="AS57" s="121"/>
      <c r="AT57" s="121"/>
    </row>
    <row r="58" spans="38:46" hidden="1">
      <c r="AL58" s="121"/>
      <c r="AM58" s="121"/>
      <c r="AN58" s="222"/>
      <c r="AO58" s="529"/>
      <c r="AP58" s="255"/>
      <c r="AQ58" s="321"/>
      <c r="AR58" s="258"/>
      <c r="AS58" s="121"/>
      <c r="AT58" s="121"/>
    </row>
    <row r="59" spans="38:46">
      <c r="AL59" s="121"/>
      <c r="AM59" s="121"/>
      <c r="AN59" s="222" t="s">
        <v>2832</v>
      </c>
      <c r="AO59" s="533" t="s">
        <v>1832</v>
      </c>
      <c r="AP59" s="257">
        <f>SUMIF(AQ$14:AR$14,AP$14,AQ59:AR59)</f>
        <v>0</v>
      </c>
      <c r="AQ59" s="321"/>
      <c r="AR59" s="258"/>
      <c r="AS59" s="121"/>
      <c r="AT59" s="121"/>
    </row>
    <row r="60" spans="38:46" hidden="1">
      <c r="AL60" s="121"/>
      <c r="AM60" s="121"/>
      <c r="AN60" s="222"/>
      <c r="AO60" s="529"/>
      <c r="AP60" s="255"/>
      <c r="AQ60" s="321"/>
      <c r="AR60" s="258"/>
      <c r="AS60" s="121"/>
      <c r="AT60" s="121"/>
    </row>
    <row r="61" spans="38:46" hidden="1">
      <c r="AL61" s="121"/>
      <c r="AM61" s="121"/>
      <c r="AN61" s="222"/>
      <c r="AO61" s="529"/>
      <c r="AP61" s="260"/>
      <c r="AQ61" s="321"/>
      <c r="AR61" s="258"/>
      <c r="AS61" s="121"/>
      <c r="AT61" s="121"/>
    </row>
    <row r="62" spans="38:46" hidden="1">
      <c r="AL62" s="121"/>
      <c r="AM62" s="121"/>
      <c r="AN62" s="222"/>
      <c r="AO62" s="563"/>
      <c r="AP62" s="260"/>
      <c r="AQ62" s="321"/>
      <c r="AR62" s="258"/>
      <c r="AS62" s="121"/>
      <c r="AT62" s="121"/>
    </row>
    <row r="63" spans="38:46" hidden="1">
      <c r="AL63" s="121"/>
      <c r="AM63" s="121"/>
      <c r="AN63" s="222"/>
      <c r="AO63" s="563"/>
      <c r="AP63" s="260"/>
      <c r="AQ63" s="321"/>
      <c r="AR63" s="258"/>
      <c r="AS63" s="121"/>
      <c r="AT63" s="121"/>
    </row>
    <row r="64" spans="38:46" hidden="1">
      <c r="AL64" s="121"/>
      <c r="AM64" s="121"/>
      <c r="AN64" s="222"/>
      <c r="AO64" s="563"/>
      <c r="AP64" s="260"/>
      <c r="AQ64" s="321"/>
      <c r="AR64" s="258"/>
      <c r="AS64" s="121"/>
      <c r="AT64" s="121"/>
    </row>
    <row r="65" spans="38:46">
      <c r="AL65" s="121"/>
      <c r="AM65" s="121"/>
      <c r="AN65" s="222" t="s">
        <v>2835</v>
      </c>
      <c r="AO65" s="533" t="s">
        <v>1838</v>
      </c>
      <c r="AP65" s="257">
        <f>SUMIF(AQ$14:AR$14,AP$14,AQ65:AR65)</f>
        <v>0</v>
      </c>
      <c r="AQ65" s="321"/>
      <c r="AR65" s="258"/>
      <c r="AS65" s="121"/>
      <c r="AT65" s="121"/>
    </row>
    <row r="66" spans="38:46" hidden="1">
      <c r="AL66" s="121"/>
      <c r="AM66" s="121"/>
      <c r="AN66" s="222"/>
      <c r="AO66" s="529"/>
      <c r="AP66" s="255"/>
      <c r="AQ66" s="321"/>
      <c r="AR66" s="258"/>
      <c r="AS66" s="121"/>
      <c r="AT66" s="121"/>
    </row>
    <row r="67" spans="38:46" hidden="1">
      <c r="AL67" s="121"/>
      <c r="AM67" s="121"/>
      <c r="AN67" s="222"/>
      <c r="AO67" s="529"/>
      <c r="AP67" s="255"/>
      <c r="AQ67" s="321"/>
      <c r="AR67" s="258"/>
      <c r="AS67" s="121"/>
      <c r="AT67" s="121"/>
    </row>
    <row r="68" spans="38:46" hidden="1">
      <c r="AL68" s="121"/>
      <c r="AM68" s="121"/>
      <c r="AN68" s="222"/>
      <c r="AO68" s="529"/>
      <c r="AP68" s="255"/>
      <c r="AQ68" s="321"/>
      <c r="AR68" s="258"/>
      <c r="AS68" s="121"/>
      <c r="AT68" s="121"/>
    </row>
    <row r="69" spans="38:46" hidden="1">
      <c r="AL69" s="121"/>
      <c r="AM69" s="121"/>
      <c r="AN69" s="222"/>
      <c r="AO69" s="529"/>
      <c r="AP69" s="255"/>
      <c r="AQ69" s="321"/>
      <c r="AR69" s="258"/>
      <c r="AS69" s="121"/>
      <c r="AT69" s="121"/>
    </row>
    <row r="70" spans="38:46" hidden="1">
      <c r="AL70" s="121"/>
      <c r="AM70" s="121"/>
      <c r="AN70" s="222"/>
      <c r="AO70" s="529"/>
      <c r="AP70" s="255"/>
      <c r="AQ70" s="321"/>
      <c r="AR70" s="258"/>
      <c r="AS70" s="121"/>
      <c r="AT70" s="121"/>
    </row>
    <row r="71" spans="38:46">
      <c r="AL71" s="121"/>
      <c r="AM71" s="121"/>
      <c r="AN71" s="222" t="s">
        <v>2838</v>
      </c>
      <c r="AO71" s="533" t="s">
        <v>1843</v>
      </c>
      <c r="AP71" s="257">
        <f>SUMIF(AQ$14:AR$14,AP$14,AQ71:AR71)</f>
        <v>0</v>
      </c>
      <c r="AQ71" s="321"/>
      <c r="AR71" s="258"/>
      <c r="AS71" s="121"/>
      <c r="AT71" s="121"/>
    </row>
    <row r="72" spans="38:46" hidden="1">
      <c r="AL72" s="121"/>
      <c r="AM72" s="121"/>
      <c r="AN72" s="222"/>
      <c r="AO72" s="529"/>
      <c r="AP72" s="255"/>
      <c r="AQ72" s="321"/>
      <c r="AR72" s="258"/>
      <c r="AS72" s="121"/>
      <c r="AT72" s="121"/>
    </row>
    <row r="73" spans="38:46" hidden="1">
      <c r="AL73" s="121"/>
      <c r="AM73" s="121"/>
      <c r="AN73" s="222"/>
      <c r="AO73" s="529"/>
      <c r="AP73" s="255"/>
      <c r="AQ73" s="321"/>
      <c r="AR73" s="258"/>
      <c r="AS73" s="121"/>
      <c r="AT73" s="121"/>
    </row>
    <row r="74" spans="38:46">
      <c r="AL74" s="121"/>
      <c r="AM74" s="121"/>
      <c r="AN74" s="222" t="s">
        <v>2841</v>
      </c>
      <c r="AO74" s="533" t="s">
        <v>1849</v>
      </c>
      <c r="AP74" s="257">
        <f>SUMIF(AQ$14:AR$14,AP$14,AQ74:AR74)</f>
        <v>0</v>
      </c>
      <c r="AQ74" s="321"/>
      <c r="AR74" s="258"/>
      <c r="AS74" s="121"/>
      <c r="AT74" s="121"/>
    </row>
    <row r="75" spans="38:46" hidden="1">
      <c r="AL75" s="121"/>
      <c r="AM75" s="121"/>
      <c r="AN75" s="222"/>
      <c r="AO75" s="529"/>
      <c r="AP75" s="255"/>
      <c r="AQ75" s="321"/>
      <c r="AR75" s="258"/>
      <c r="AS75" s="121"/>
      <c r="AT75" s="121"/>
    </row>
    <row r="76" spans="38:46" hidden="1">
      <c r="AL76" s="121"/>
      <c r="AM76" s="121"/>
      <c r="AN76" s="222"/>
      <c r="AO76" s="529"/>
      <c r="AP76" s="255"/>
      <c r="AQ76" s="321"/>
      <c r="AR76" s="258"/>
      <c r="AS76" s="121"/>
      <c r="AT76" s="121"/>
    </row>
    <row r="77" spans="38:46" ht="22.5">
      <c r="AL77" s="121"/>
      <c r="AM77" s="121"/>
      <c r="AN77" s="222" t="s">
        <v>2844</v>
      </c>
      <c r="AO77" s="533" t="s">
        <v>1856</v>
      </c>
      <c r="AP77" s="257">
        <f>SUMIF(AQ$14:AR$14,AP$14,AQ77:AR77)</f>
        <v>0</v>
      </c>
      <c r="AQ77" s="321"/>
      <c r="AR77" s="258"/>
      <c r="AS77" s="121"/>
      <c r="AT77" s="121"/>
    </row>
    <row r="78" spans="38:46" hidden="1">
      <c r="AL78" s="121"/>
      <c r="AM78" s="121"/>
      <c r="AN78" s="222"/>
      <c r="AO78" s="529"/>
      <c r="AP78" s="255"/>
      <c r="AQ78" s="321"/>
      <c r="AR78" s="258"/>
      <c r="AS78" s="121"/>
      <c r="AT78" s="121"/>
    </row>
    <row r="79" spans="38:46" hidden="1">
      <c r="AL79" s="121"/>
      <c r="AM79" s="121"/>
      <c r="AN79" s="222"/>
      <c r="AO79" s="529"/>
      <c r="AP79" s="255"/>
      <c r="AQ79" s="321"/>
      <c r="AR79" s="258"/>
      <c r="AS79" s="121"/>
      <c r="AT79" s="121"/>
    </row>
    <row r="80" spans="38:46">
      <c r="AL80" s="121"/>
      <c r="AM80" s="121"/>
      <c r="AN80" s="504" t="s">
        <v>2847</v>
      </c>
      <c r="AO80" s="535" t="s">
        <v>2848</v>
      </c>
      <c r="AP80" s="257">
        <f t="shared" ref="AP80:AP85" si="1">SUMIF(AQ$14:AR$14,AP$14,AQ80:AR80)</f>
        <v>0</v>
      </c>
      <c r="AQ80" s="321"/>
      <c r="AR80" s="258"/>
      <c r="AS80" s="121"/>
      <c r="AT80" s="121"/>
    </row>
    <row r="81" spans="38:46" ht="22.5">
      <c r="AL81" s="121"/>
      <c r="AM81" s="121"/>
      <c r="AN81" s="504" t="s">
        <v>2849</v>
      </c>
      <c r="AO81" s="533" t="s">
        <v>2415</v>
      </c>
      <c r="AP81" s="257">
        <f t="shared" si="1"/>
        <v>0</v>
      </c>
      <c r="AQ81" s="321"/>
      <c r="AR81" s="258"/>
      <c r="AS81" s="121"/>
      <c r="AT81" s="121"/>
    </row>
    <row r="82" spans="38:46" ht="22.5">
      <c r="AL82" s="121"/>
      <c r="AM82" s="121"/>
      <c r="AN82" s="504" t="s">
        <v>2850</v>
      </c>
      <c r="AO82" s="533" t="s">
        <v>2417</v>
      </c>
      <c r="AP82" s="257">
        <f t="shared" si="1"/>
        <v>0</v>
      </c>
      <c r="AQ82" s="321"/>
      <c r="AR82" s="258"/>
      <c r="AS82" s="121"/>
      <c r="AT82" s="121"/>
    </row>
    <row r="83" spans="38:46" ht="22.5">
      <c r="AL83" s="121"/>
      <c r="AM83" s="121"/>
      <c r="AN83" s="504" t="s">
        <v>2316</v>
      </c>
      <c r="AO83" s="533" t="s">
        <v>2420</v>
      </c>
      <c r="AP83" s="257">
        <f t="shared" si="1"/>
        <v>0</v>
      </c>
      <c r="AQ83" s="321"/>
      <c r="AR83" s="258"/>
      <c r="AS83" s="121"/>
      <c r="AT83" s="121"/>
    </row>
    <row r="84" spans="38:46">
      <c r="AL84" s="121"/>
      <c r="AM84" s="121"/>
      <c r="AN84" s="504" t="s">
        <v>2317</v>
      </c>
      <c r="AO84" s="533" t="s">
        <v>2423</v>
      </c>
      <c r="AP84" s="257">
        <f t="shared" si="1"/>
        <v>0</v>
      </c>
      <c r="AQ84" s="321"/>
      <c r="AR84" s="258"/>
      <c r="AS84" s="121"/>
      <c r="AT84" s="121"/>
    </row>
    <row r="85" spans="38:46" ht="22.5">
      <c r="AL85" s="121"/>
      <c r="AM85" s="121"/>
      <c r="AN85" s="504" t="s">
        <v>2318</v>
      </c>
      <c r="AO85" s="533" t="s">
        <v>2426</v>
      </c>
      <c r="AP85" s="257">
        <f t="shared" si="1"/>
        <v>0</v>
      </c>
      <c r="AQ85" s="321"/>
      <c r="AR85" s="258"/>
      <c r="AS85" s="121"/>
      <c r="AT85" s="121"/>
    </row>
    <row r="86" spans="38:46">
      <c r="AL86" s="121"/>
      <c r="AM86" s="121"/>
      <c r="AN86" s="560" t="str">
        <f>IF(TEMPLATE_SPHERE="водоснабжения","2.9","")</f>
        <v/>
      </c>
      <c r="AO86" s="561" t="str">
        <f>IF(TEMPLATE_SPHERE="водоснабжения","Покупная вода","")</f>
        <v/>
      </c>
      <c r="AP86" s="257" t="str">
        <f>IF(TEMPLATE_SPHERE="водоснабжения",SUMIF(AQ$14:AR$14,AP$14,AQ86:AR86),"")</f>
        <v/>
      </c>
      <c r="AQ86" s="321"/>
      <c r="AR86" s="258"/>
      <c r="AS86" s="121"/>
      <c r="AT86" s="121"/>
    </row>
    <row r="87" spans="38:46" hidden="1">
      <c r="AL87" s="121"/>
      <c r="AM87" s="121"/>
      <c r="AN87" s="222"/>
      <c r="AO87" s="529"/>
      <c r="AP87" s="255"/>
      <c r="AQ87" s="321"/>
      <c r="AR87" s="258"/>
      <c r="AS87" s="121"/>
      <c r="AT87" s="121"/>
    </row>
    <row r="88" spans="38:46" hidden="1">
      <c r="AL88" s="121"/>
      <c r="AM88" s="121"/>
      <c r="AN88" s="222"/>
      <c r="AO88" s="529"/>
      <c r="AP88" s="255"/>
      <c r="AQ88" s="321"/>
      <c r="AR88" s="258"/>
      <c r="AS88" s="121"/>
      <c r="AT88" s="121"/>
    </row>
    <row r="89" spans="38:46" hidden="1">
      <c r="AL89" s="121"/>
      <c r="AM89" s="121"/>
      <c r="AN89" s="222"/>
      <c r="AO89" s="529"/>
      <c r="AP89" s="255"/>
      <c r="AQ89" s="321"/>
      <c r="AR89" s="258"/>
      <c r="AS89" s="121"/>
      <c r="AT89" s="121"/>
    </row>
    <row r="90" spans="38:46" ht="22.5">
      <c r="AL90" s="121"/>
      <c r="AM90" s="121"/>
      <c r="AN90" s="504" t="s">
        <v>2323</v>
      </c>
      <c r="AO90"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AP90" s="257">
        <f t="shared" ref="AP90:AP136" si="2">SUMIF(AQ$14:AR$14,AP$14,AQ90:AR90)</f>
        <v>0</v>
      </c>
      <c r="AQ90" s="321"/>
      <c r="AR90" s="258"/>
      <c r="AS90" s="121"/>
      <c r="AT90" s="121"/>
    </row>
    <row r="91" spans="38:46" ht="22.5">
      <c r="AL91" s="121"/>
      <c r="AM91" s="121"/>
      <c r="AN91" s="504" t="s">
        <v>2324</v>
      </c>
      <c r="AO91"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AP91" s="257">
        <f t="shared" si="2"/>
        <v>0</v>
      </c>
      <c r="AQ91" s="321"/>
      <c r="AR91" s="258"/>
      <c r="AS91" s="121"/>
      <c r="AT91" s="121"/>
    </row>
    <row r="92" spans="38:46" ht="22.5">
      <c r="AL92" s="121"/>
      <c r="AM92" s="121"/>
      <c r="AN92" s="504" t="s">
        <v>2325</v>
      </c>
      <c r="AO92"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AP92" s="257">
        <f t="shared" si="2"/>
        <v>0</v>
      </c>
      <c r="AQ92" s="321"/>
      <c r="AR92" s="258"/>
      <c r="AS92" s="121"/>
      <c r="AT92" s="121"/>
    </row>
    <row r="93" spans="38:46">
      <c r="AL93" s="121"/>
      <c r="AM93" s="121"/>
      <c r="AN93" s="504" t="s">
        <v>2326</v>
      </c>
      <c r="AO93" s="527" t="s">
        <v>2327</v>
      </c>
      <c r="AP93" s="257">
        <f t="shared" si="2"/>
        <v>0</v>
      </c>
      <c r="AQ93" s="321"/>
      <c r="AR93" s="258"/>
      <c r="AS93" s="121"/>
      <c r="AT93" s="121"/>
    </row>
    <row r="94" spans="38:46">
      <c r="AL94" s="121"/>
      <c r="AM94" s="121"/>
      <c r="AN94" s="504" t="s">
        <v>2328</v>
      </c>
      <c r="AO94" s="528" t="s">
        <v>2329</v>
      </c>
      <c r="AP94" s="257">
        <f t="shared" si="2"/>
        <v>0</v>
      </c>
      <c r="AQ94" s="321"/>
      <c r="AR94" s="258"/>
      <c r="AS94" s="121"/>
      <c r="AT94" s="121"/>
    </row>
    <row r="95" spans="38:46">
      <c r="AL95" s="121"/>
      <c r="AM95" s="121"/>
      <c r="AN95" s="504" t="s">
        <v>2330</v>
      </c>
      <c r="AO95" s="528" t="s">
        <v>2331</v>
      </c>
      <c r="AP95" s="257">
        <f t="shared" si="2"/>
        <v>0</v>
      </c>
      <c r="AQ95" s="321"/>
      <c r="AR95" s="258"/>
      <c r="AS95" s="121"/>
      <c r="AT95" s="121"/>
    </row>
    <row r="96" spans="38:46">
      <c r="AL96" s="121"/>
      <c r="AM96" s="121"/>
      <c r="AN96" s="504" t="s">
        <v>2332</v>
      </c>
      <c r="AO96" s="527" t="s">
        <v>2333</v>
      </c>
      <c r="AP96" s="257">
        <f t="shared" si="2"/>
        <v>0</v>
      </c>
      <c r="AQ96" s="321"/>
      <c r="AR96" s="258"/>
      <c r="AS96" s="121"/>
      <c r="AT96" s="121"/>
    </row>
    <row r="97" spans="38:46">
      <c r="AL97" s="121"/>
      <c r="AM97" s="121"/>
      <c r="AN97" s="504" t="s">
        <v>2334</v>
      </c>
      <c r="AO97" s="527" t="s">
        <v>2335</v>
      </c>
      <c r="AP97" s="257">
        <f t="shared" si="2"/>
        <v>0</v>
      </c>
      <c r="AQ97" s="321"/>
      <c r="AR97" s="258"/>
      <c r="AS97" s="121"/>
      <c r="AT97" s="121"/>
    </row>
    <row r="98" spans="38:46" ht="22.5">
      <c r="AL98" s="121"/>
      <c r="AM98" s="121"/>
      <c r="AN98" s="504" t="s">
        <v>2336</v>
      </c>
      <c r="AO98" s="527" t="s">
        <v>2337</v>
      </c>
      <c r="AP98" s="257">
        <f t="shared" si="2"/>
        <v>0</v>
      </c>
      <c r="AQ98" s="321"/>
      <c r="AR98" s="258"/>
      <c r="AS98" s="121"/>
      <c r="AT98" s="121"/>
    </row>
    <row r="99" spans="38:46">
      <c r="AL99" s="121"/>
      <c r="AM99" s="121"/>
      <c r="AN99" s="504" t="s">
        <v>2338</v>
      </c>
      <c r="AO99" s="527" t="s">
        <v>2339</v>
      </c>
      <c r="AP99" s="257">
        <f t="shared" si="2"/>
        <v>0</v>
      </c>
      <c r="AQ99" s="321"/>
      <c r="AR99" s="258"/>
      <c r="AS99" s="121"/>
      <c r="AT99" s="121"/>
    </row>
    <row r="100" spans="38:46">
      <c r="AL100" s="121"/>
      <c r="AM100" s="121"/>
      <c r="AN100" s="504" t="s">
        <v>2340</v>
      </c>
      <c r="AO100" s="528" t="s">
        <v>2341</v>
      </c>
      <c r="AP100" s="257">
        <f t="shared" si="2"/>
        <v>0</v>
      </c>
      <c r="AQ100" s="321"/>
      <c r="AR100" s="258"/>
      <c r="AS100" s="121"/>
      <c r="AT100" s="121"/>
    </row>
    <row r="101" spans="38:46">
      <c r="AL101" s="121"/>
      <c r="AM101" s="121"/>
      <c r="AN101" s="504" t="s">
        <v>2342</v>
      </c>
      <c r="AO101" s="528" t="s">
        <v>2343</v>
      </c>
      <c r="AP101" s="257">
        <f t="shared" si="2"/>
        <v>0</v>
      </c>
      <c r="AQ101" s="321"/>
      <c r="AR101" s="258"/>
      <c r="AS101" s="121"/>
      <c r="AT101" s="121"/>
    </row>
    <row r="102" spans="38:46">
      <c r="AL102" s="121"/>
      <c r="AM102" s="121"/>
      <c r="AN102" s="504" t="s">
        <v>2344</v>
      </c>
      <c r="AO102" s="528" t="s">
        <v>2345</v>
      </c>
      <c r="AP102" s="257">
        <f t="shared" si="2"/>
        <v>0</v>
      </c>
      <c r="AQ102" s="321"/>
      <c r="AR102" s="258"/>
      <c r="AS102" s="121"/>
      <c r="AT102" s="121"/>
    </row>
    <row r="103" spans="38:46">
      <c r="AL103" s="121"/>
      <c r="AM103" s="121"/>
      <c r="AN103" s="504" t="s">
        <v>2346</v>
      </c>
      <c r="AO103" s="528" t="s">
        <v>2347</v>
      </c>
      <c r="AP103" s="257">
        <f t="shared" si="2"/>
        <v>0</v>
      </c>
      <c r="AQ103" s="321"/>
      <c r="AR103" s="258"/>
      <c r="AS103" s="121"/>
      <c r="AT103" s="121"/>
    </row>
    <row r="104" spans="38:46">
      <c r="AL104" s="121"/>
      <c r="AM104" s="121"/>
      <c r="AN104" s="504" t="s">
        <v>2348</v>
      </c>
      <c r="AO104" s="528" t="s">
        <v>2349</v>
      </c>
      <c r="AP104" s="257">
        <f t="shared" si="2"/>
        <v>0</v>
      </c>
      <c r="AQ104" s="321"/>
      <c r="AR104" s="258"/>
      <c r="AS104" s="121"/>
      <c r="AT104" s="121"/>
    </row>
    <row r="105" spans="38:46">
      <c r="AL105" s="121"/>
      <c r="AM105" s="121"/>
      <c r="AN105" s="504" t="s">
        <v>2350</v>
      </c>
      <c r="AO105" s="528" t="s">
        <v>2351</v>
      </c>
      <c r="AP105" s="257">
        <f t="shared" si="2"/>
        <v>0</v>
      </c>
      <c r="AQ105" s="321"/>
      <c r="AR105" s="258"/>
      <c r="AS105" s="121"/>
      <c r="AT105" s="121"/>
    </row>
    <row r="106" spans="38:46">
      <c r="AL106" s="121"/>
      <c r="AM106" s="121"/>
      <c r="AN106" s="504" t="s">
        <v>2352</v>
      </c>
      <c r="AO106" s="528" t="s">
        <v>2353</v>
      </c>
      <c r="AP106" s="257">
        <f t="shared" si="2"/>
        <v>0</v>
      </c>
      <c r="AQ106" s="321"/>
      <c r="AR106" s="258"/>
      <c r="AS106" s="121"/>
      <c r="AT106" s="121"/>
    </row>
    <row r="107" spans="38:46">
      <c r="AL107" s="121"/>
      <c r="AM107" s="121"/>
      <c r="AN107" s="504" t="s">
        <v>2354</v>
      </c>
      <c r="AO107" s="528" t="s">
        <v>2355</v>
      </c>
      <c r="AP107" s="257">
        <f t="shared" si="2"/>
        <v>0</v>
      </c>
      <c r="AQ107" s="321"/>
      <c r="AR107" s="258"/>
      <c r="AS107" s="121"/>
      <c r="AT107" s="121"/>
    </row>
    <row r="108" spans="38:46">
      <c r="AL108" s="121"/>
      <c r="AM108" s="121"/>
      <c r="AN108" s="504" t="s">
        <v>2356</v>
      </c>
      <c r="AO108" s="528" t="s">
        <v>2357</v>
      </c>
      <c r="AP108" s="257">
        <f t="shared" si="2"/>
        <v>0</v>
      </c>
      <c r="AQ108" s="321"/>
      <c r="AR108" s="258"/>
      <c r="AS108" s="121"/>
      <c r="AT108" s="121"/>
    </row>
    <row r="109" spans="38:46" ht="22.5">
      <c r="AL109" s="121"/>
      <c r="AM109" s="121"/>
      <c r="AN109" s="504" t="s">
        <v>2358</v>
      </c>
      <c r="AO109" s="536" t="s">
        <v>2359</v>
      </c>
      <c r="AP109" s="257">
        <f t="shared" si="2"/>
        <v>0</v>
      </c>
      <c r="AQ109" s="321"/>
      <c r="AR109" s="258"/>
      <c r="AS109" s="121"/>
      <c r="AT109" s="121"/>
    </row>
    <row r="110" spans="38:46">
      <c r="AL110" s="121"/>
      <c r="AM110" s="121"/>
      <c r="AN110" s="504" t="s">
        <v>2360</v>
      </c>
      <c r="AO110" s="537" t="s">
        <v>2444</v>
      </c>
      <c r="AP110" s="257">
        <f t="shared" si="2"/>
        <v>0</v>
      </c>
      <c r="AQ110" s="321"/>
      <c r="AR110" s="258"/>
      <c r="AS110" s="121"/>
      <c r="AT110" s="121"/>
    </row>
    <row r="111" spans="38:46">
      <c r="AL111" s="121"/>
      <c r="AM111" s="121"/>
      <c r="AN111" s="504" t="s">
        <v>2361</v>
      </c>
      <c r="AO111" s="537" t="s">
        <v>2362</v>
      </c>
      <c r="AP111" s="257">
        <f t="shared" si="2"/>
        <v>0</v>
      </c>
      <c r="AQ111" s="321"/>
      <c r="AR111" s="258"/>
      <c r="AS111" s="121"/>
      <c r="AT111" s="121"/>
    </row>
    <row r="112" spans="38:46">
      <c r="AL112" s="121"/>
      <c r="AM112" s="121"/>
      <c r="AN112" s="504" t="s">
        <v>2363</v>
      </c>
      <c r="AO112" s="528" t="s">
        <v>872</v>
      </c>
      <c r="AP112" s="257">
        <f t="shared" si="2"/>
        <v>0</v>
      </c>
      <c r="AQ112" s="321"/>
      <c r="AR112" s="258"/>
      <c r="AS112" s="121"/>
      <c r="AT112" s="121"/>
    </row>
    <row r="113" spans="38:46" ht="22.5">
      <c r="AL113" s="121"/>
      <c r="AM113" s="121"/>
      <c r="AN113" s="504" t="s">
        <v>2364</v>
      </c>
      <c r="AO113" s="528" t="s">
        <v>2365</v>
      </c>
      <c r="AP113" s="257">
        <f t="shared" si="2"/>
        <v>0</v>
      </c>
      <c r="AQ113" s="321"/>
      <c r="AR113" s="258"/>
      <c r="AS113" s="121"/>
      <c r="AT113" s="121"/>
    </row>
    <row r="114" spans="38:46">
      <c r="AL114" s="121"/>
      <c r="AM114" s="121"/>
      <c r="AN114" s="504" t="s">
        <v>2366</v>
      </c>
      <c r="AO114" s="528" t="s">
        <v>2367</v>
      </c>
      <c r="AP114" s="257">
        <f t="shared" si="2"/>
        <v>0</v>
      </c>
      <c r="AQ114" s="321"/>
      <c r="AR114" s="258"/>
      <c r="AS114" s="121"/>
      <c r="AT114" s="121"/>
    </row>
    <row r="115" spans="38:46">
      <c r="AL115" s="121"/>
      <c r="AM115" s="121"/>
      <c r="AN115" s="504" t="s">
        <v>752</v>
      </c>
      <c r="AO115" s="526" t="s">
        <v>856</v>
      </c>
      <c r="AP115" s="257">
        <f t="shared" si="2"/>
        <v>0</v>
      </c>
      <c r="AQ115" s="321"/>
      <c r="AR115" s="258"/>
      <c r="AS115" s="121"/>
      <c r="AT115" s="121"/>
    </row>
    <row r="116" spans="38:46">
      <c r="AL116" s="121"/>
      <c r="AM116" s="121"/>
      <c r="AN116" s="504" t="s">
        <v>760</v>
      </c>
      <c r="AO116" s="527" t="s">
        <v>2368</v>
      </c>
      <c r="AP116" s="257">
        <f t="shared" si="2"/>
        <v>0</v>
      </c>
      <c r="AQ116" s="321"/>
      <c r="AR116" s="258"/>
      <c r="AS116" s="121"/>
      <c r="AT116" s="121"/>
    </row>
    <row r="117" spans="38:46">
      <c r="AL117" s="121"/>
      <c r="AM117" s="121"/>
      <c r="AN117" s="504" t="s">
        <v>917</v>
      </c>
      <c r="AO117" s="528" t="s">
        <v>2369</v>
      </c>
      <c r="AP117" s="257">
        <f t="shared" si="2"/>
        <v>0</v>
      </c>
      <c r="AQ117" s="321"/>
      <c r="AR117" s="258"/>
      <c r="AS117" s="121"/>
      <c r="AT117" s="121"/>
    </row>
    <row r="118" spans="38:46">
      <c r="AL118" s="121"/>
      <c r="AM118" s="121"/>
      <c r="AN118" s="504" t="s">
        <v>761</v>
      </c>
      <c r="AO118" s="527" t="s">
        <v>862</v>
      </c>
      <c r="AP118" s="257">
        <f t="shared" si="2"/>
        <v>0</v>
      </c>
      <c r="AQ118" s="321"/>
      <c r="AR118" s="258"/>
      <c r="AS118" s="121"/>
      <c r="AT118" s="121"/>
    </row>
    <row r="119" spans="38:46">
      <c r="AL119" s="121"/>
      <c r="AM119" s="121"/>
      <c r="AN119" s="504" t="s">
        <v>762</v>
      </c>
      <c r="AO119" s="527" t="s">
        <v>864</v>
      </c>
      <c r="AP119" s="257">
        <f t="shared" si="2"/>
        <v>0</v>
      </c>
      <c r="AQ119" s="321"/>
      <c r="AR119" s="258"/>
      <c r="AS119" s="121"/>
      <c r="AT119" s="121"/>
    </row>
    <row r="120" spans="38:46">
      <c r="AL120" s="121"/>
      <c r="AM120" s="121"/>
      <c r="AN120" s="504" t="s">
        <v>763</v>
      </c>
      <c r="AO120" s="527" t="s">
        <v>866</v>
      </c>
      <c r="AP120" s="257">
        <f t="shared" si="2"/>
        <v>0</v>
      </c>
      <c r="AQ120" s="321"/>
      <c r="AR120" s="258"/>
      <c r="AS120" s="121"/>
      <c r="AT120" s="121"/>
    </row>
    <row r="121" spans="38:46">
      <c r="AL121" s="121"/>
      <c r="AM121" s="121"/>
      <c r="AN121" s="504" t="s">
        <v>764</v>
      </c>
      <c r="AO121" s="527" t="s">
        <v>2370</v>
      </c>
      <c r="AP121" s="257">
        <f t="shared" si="2"/>
        <v>0</v>
      </c>
      <c r="AQ121" s="321"/>
      <c r="AR121" s="258"/>
      <c r="AS121" s="121"/>
      <c r="AT121" s="121"/>
    </row>
    <row r="122" spans="38:46">
      <c r="AL122" s="121"/>
      <c r="AM122" s="121"/>
      <c r="AN122" s="504" t="s">
        <v>2371</v>
      </c>
      <c r="AO122" s="528" t="s">
        <v>2372</v>
      </c>
      <c r="AP122" s="257">
        <f t="shared" si="2"/>
        <v>0</v>
      </c>
      <c r="AQ122" s="321"/>
      <c r="AR122" s="258"/>
      <c r="AS122" s="121"/>
      <c r="AT122" s="121"/>
    </row>
    <row r="123" spans="38:46">
      <c r="AL123" s="121"/>
      <c r="AM123" s="121"/>
      <c r="AN123" s="504" t="s">
        <v>2373</v>
      </c>
      <c r="AO123" s="538" t="s">
        <v>2374</v>
      </c>
      <c r="AP123" s="257">
        <f t="shared" si="2"/>
        <v>0</v>
      </c>
      <c r="AQ123" s="321"/>
      <c r="AR123" s="258"/>
      <c r="AS123" s="121"/>
      <c r="AT123" s="121"/>
    </row>
    <row r="124" spans="38:46">
      <c r="AL124" s="121"/>
      <c r="AM124" s="121"/>
      <c r="AN124" s="504" t="s">
        <v>2375</v>
      </c>
      <c r="AO124" s="528" t="s">
        <v>2376</v>
      </c>
      <c r="AP124" s="257">
        <f t="shared" si="2"/>
        <v>0</v>
      </c>
      <c r="AQ124" s="321"/>
      <c r="AR124" s="258"/>
      <c r="AS124" s="121"/>
      <c r="AT124" s="121"/>
    </row>
    <row r="125" spans="38:46">
      <c r="AL125" s="121"/>
      <c r="AM125" s="121"/>
      <c r="AN125" s="504" t="s">
        <v>753</v>
      </c>
      <c r="AO125" s="527" t="s">
        <v>2377</v>
      </c>
      <c r="AP125" s="257">
        <f t="shared" si="2"/>
        <v>0</v>
      </c>
      <c r="AQ125" s="321"/>
      <c r="AR125" s="258"/>
      <c r="AS125" s="121"/>
      <c r="AT125" s="121"/>
    </row>
    <row r="126" spans="38:46">
      <c r="AL126" s="121"/>
      <c r="AM126" s="121"/>
      <c r="AN126" s="240" t="s">
        <v>352</v>
      </c>
      <c r="AO126" s="563" t="s">
        <v>288</v>
      </c>
      <c r="AP126" s="257">
        <f t="shared" si="2"/>
        <v>0</v>
      </c>
      <c r="AQ126" s="321"/>
      <c r="AR126" s="258"/>
      <c r="AS126" s="121"/>
      <c r="AT126" s="121"/>
    </row>
    <row r="127" spans="38:46">
      <c r="AL127" s="121"/>
      <c r="AM127" s="121"/>
      <c r="AN127" s="504" t="s">
        <v>766</v>
      </c>
      <c r="AO127" s="537" t="s">
        <v>847</v>
      </c>
      <c r="AP127" s="257">
        <f t="shared" si="2"/>
        <v>0</v>
      </c>
      <c r="AQ127" s="321"/>
      <c r="AR127" s="258"/>
      <c r="AS127" s="121"/>
      <c r="AT127" s="121"/>
    </row>
    <row r="128" spans="38:46" ht="22.5">
      <c r="AL128" s="121"/>
      <c r="AM128" s="121"/>
      <c r="AN128" s="504" t="s">
        <v>768</v>
      </c>
      <c r="AO128" s="688" t="s">
        <v>1688</v>
      </c>
      <c r="AP128" s="257">
        <f t="shared" si="2"/>
        <v>0</v>
      </c>
      <c r="AQ128" s="321"/>
      <c r="AR128" s="258"/>
      <c r="AS128" s="121"/>
      <c r="AT128" s="121"/>
    </row>
    <row r="129" spans="38:46" ht="22.5">
      <c r="AL129" s="121"/>
      <c r="AM129" s="121"/>
      <c r="AN129" s="504" t="s">
        <v>84</v>
      </c>
      <c r="AO129" s="537" t="s">
        <v>1689</v>
      </c>
      <c r="AP129" s="257">
        <f t="shared" si="2"/>
        <v>0</v>
      </c>
      <c r="AQ129" s="321"/>
      <c r="AR129" s="258"/>
      <c r="AS129" s="121"/>
      <c r="AT129" s="121"/>
    </row>
    <row r="130" spans="38:46">
      <c r="AL130" s="121"/>
      <c r="AM130" s="121"/>
      <c r="AN130" s="504" t="s">
        <v>769</v>
      </c>
      <c r="AO130" s="539" t="s">
        <v>851</v>
      </c>
      <c r="AP130" s="257">
        <f t="shared" si="2"/>
        <v>0</v>
      </c>
      <c r="AQ130" s="321"/>
      <c r="AR130" s="258"/>
      <c r="AS130" s="121"/>
      <c r="AT130" s="121"/>
    </row>
    <row r="131" spans="38:46">
      <c r="AL131" s="121"/>
      <c r="AM131" s="121"/>
      <c r="AN131" s="504" t="s">
        <v>3072</v>
      </c>
      <c r="AO131" s="526" t="s">
        <v>1690</v>
      </c>
      <c r="AP131" s="257">
        <f t="shared" si="2"/>
        <v>0</v>
      </c>
      <c r="AQ131" s="321"/>
      <c r="AR131" s="258"/>
      <c r="AS131" s="121"/>
      <c r="AT131" s="121"/>
    </row>
    <row r="132" spans="38:46">
      <c r="AL132" s="121"/>
      <c r="AM132" s="121"/>
      <c r="AN132" s="504" t="s">
        <v>2412</v>
      </c>
      <c r="AO132" s="604" t="s">
        <v>1691</v>
      </c>
      <c r="AP132" s="257">
        <f t="shared" si="2"/>
        <v>0</v>
      </c>
      <c r="AQ132" s="321"/>
      <c r="AR132" s="258"/>
      <c r="AS132" s="121"/>
      <c r="AT132" s="121"/>
    </row>
    <row r="133" spans="38:46">
      <c r="AL133" s="121"/>
      <c r="AM133" s="121"/>
      <c r="AN133" s="504" t="s">
        <v>2427</v>
      </c>
      <c r="AO133" s="604" t="s">
        <v>1692</v>
      </c>
      <c r="AP133" s="257">
        <f t="shared" si="2"/>
        <v>0</v>
      </c>
      <c r="AQ133" s="321"/>
      <c r="AR133" s="258"/>
      <c r="AS133" s="121"/>
      <c r="AT133" s="121"/>
    </row>
    <row r="134" spans="38:46">
      <c r="AL134" s="121"/>
      <c r="AM134" s="121"/>
      <c r="AN134" s="504" t="s">
        <v>2431</v>
      </c>
      <c r="AO134" s="526" t="s">
        <v>1693</v>
      </c>
      <c r="AP134" s="257">
        <f t="shared" si="2"/>
        <v>0</v>
      </c>
      <c r="AQ134" s="321"/>
      <c r="AR134" s="258"/>
      <c r="AS134" s="121"/>
      <c r="AT134" s="121"/>
    </row>
    <row r="135" spans="38:46">
      <c r="AL135" s="121"/>
      <c r="AM135" s="121"/>
      <c r="AN135" s="504" t="s">
        <v>845</v>
      </c>
      <c r="AO135" s="526" t="s">
        <v>1694</v>
      </c>
      <c r="AP135" s="257">
        <f t="shared" si="2"/>
        <v>0</v>
      </c>
      <c r="AQ135" s="321"/>
      <c r="AR135" s="258"/>
      <c r="AS135" s="121"/>
      <c r="AT135" s="121"/>
    </row>
    <row r="136" spans="38:46">
      <c r="AL136" s="121"/>
      <c r="AM136" s="121"/>
      <c r="AN136" s="504" t="s">
        <v>3005</v>
      </c>
      <c r="AO136" s="604" t="s">
        <v>1695</v>
      </c>
      <c r="AP136" s="257">
        <f t="shared" si="2"/>
        <v>0</v>
      </c>
      <c r="AQ136" s="321"/>
      <c r="AR136" s="258"/>
      <c r="AS136" s="121"/>
      <c r="AT136" s="121"/>
    </row>
    <row r="137" spans="38:46" ht="0.75" customHeight="1">
      <c r="AL137" s="121"/>
      <c r="AM137" s="121"/>
      <c r="AN137" s="504"/>
      <c r="AO137" s="526"/>
      <c r="AP137" s="285"/>
      <c r="AQ137" s="321"/>
      <c r="AR137" s="258"/>
      <c r="AS137" s="121"/>
      <c r="AT137" s="121"/>
    </row>
    <row r="138" spans="38:46" ht="0.75" customHeight="1">
      <c r="AL138" s="121"/>
      <c r="AM138" s="121"/>
      <c r="AN138" s="504"/>
      <c r="AO138" s="540"/>
      <c r="AP138" s="285"/>
      <c r="AQ138" s="321"/>
      <c r="AR138" s="258"/>
      <c r="AS138" s="121"/>
      <c r="AT138" s="121"/>
    </row>
    <row r="139" spans="38:46" ht="0.75" customHeight="1">
      <c r="AL139" s="121"/>
      <c r="AM139" s="121"/>
      <c r="AN139" s="504"/>
      <c r="AO139" s="526"/>
      <c r="AP139" s="285"/>
      <c r="AQ139" s="321"/>
      <c r="AR139" s="258"/>
      <c r="AS139" s="121"/>
      <c r="AT139" s="121"/>
    </row>
    <row r="140" spans="38:46" ht="0.75" customHeight="1">
      <c r="AL140" s="121"/>
      <c r="AM140" s="121"/>
      <c r="AN140" s="223"/>
      <c r="AO140" s="684"/>
      <c r="AP140" s="285"/>
      <c r="AQ140" s="321"/>
      <c r="AR140" s="258"/>
      <c r="AS140" s="121"/>
      <c r="AT140" s="121"/>
    </row>
    <row r="141" spans="38:46">
      <c r="AL141" s="121"/>
      <c r="AM141" s="121"/>
      <c r="AN141" s="223" t="s">
        <v>790</v>
      </c>
      <c r="AO141" s="685" t="str">
        <f>IF(TEMPLATE_SPHERE="водоснабжения","Изменение объёмов отпуска воды (тыс. куб.м)",IF(TEMPLATE_SPHERE="водоотведения","Изменение объёмов сточных вод, всего (тыс. куб.м)"))</f>
        <v>Изменение объёмов сточных вод, всего (тыс. куб.м)</v>
      </c>
      <c r="AP141" s="257">
        <f t="shared" ref="AP141:AP156" si="3">SUMIF(AQ$14:AR$14,AP$14,AQ141:AR141)</f>
        <v>0</v>
      </c>
      <c r="AQ141" s="321"/>
      <c r="AR141" s="258"/>
      <c r="AS141" s="121"/>
      <c r="AT141" s="121"/>
    </row>
    <row r="142" spans="38:46" ht="22.5">
      <c r="AL142" s="121"/>
      <c r="AM142" s="121"/>
      <c r="AN142" s="223" t="s">
        <v>2501</v>
      </c>
      <c r="AO142" s="686" t="str">
        <f>IF(TEMPLATE_SPHERE="водоснабжения","Изменение объёма отпуска воды на нужды предприятия (тыс. куб.м)",IF(TEMPLATE_SPHERE="водоотведения","Изменение объёма пропускаемых стоков на хозяйственные нужды (тыс. куб.м)"))</f>
        <v>Изменение объёма пропускаемых стоков на хозяйственные нужды (тыс. куб.м)</v>
      </c>
      <c r="AP142" s="257">
        <f t="shared" si="3"/>
        <v>0</v>
      </c>
      <c r="AQ142" s="321"/>
      <c r="AR142" s="258"/>
      <c r="AS142" s="121"/>
      <c r="AT142" s="121"/>
    </row>
    <row r="143" spans="38:46" ht="22.5">
      <c r="AL143" s="121"/>
      <c r="AM143" s="121"/>
      <c r="AN143" s="223" t="s">
        <v>2502</v>
      </c>
      <c r="AO143" s="686" t="str">
        <f>IF(TEMPLATE_SPHERE="водоснабжения","Изменение объёма отпуска воды другим водопроводам (тыс. куб.м)",IF(TEMPLATE_SPHERE="водоотведения","Изменение объёма передачи стоков другим канализациям (тыс. куб.м)"))</f>
        <v>Изменение объёма передачи стоков другим канализациям (тыс. куб.м)</v>
      </c>
      <c r="AP143" s="257">
        <f t="shared" si="3"/>
        <v>0</v>
      </c>
      <c r="AQ143" s="321"/>
      <c r="AR143" s="258"/>
      <c r="AS143" s="121"/>
      <c r="AT143" s="121"/>
    </row>
    <row r="144" spans="38:46">
      <c r="AL144" s="121"/>
      <c r="AM144" s="121"/>
      <c r="AN144" s="223" t="s">
        <v>2503</v>
      </c>
      <c r="AO144" s="686" t="s">
        <v>520</v>
      </c>
      <c r="AP144" s="257">
        <f t="shared" si="3"/>
        <v>0</v>
      </c>
      <c r="AQ144" s="321"/>
      <c r="AR144" s="258"/>
      <c r="AS144" s="121"/>
      <c r="AT144" s="121"/>
    </row>
    <row r="145" spans="1:46" s="121" customFormat="1">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N145" s="223" t="s">
        <v>6</v>
      </c>
      <c r="AO145" s="686" t="s">
        <v>521</v>
      </c>
      <c r="AP145" s="257">
        <f t="shared" si="3"/>
        <v>0</v>
      </c>
      <c r="AQ145" s="321"/>
      <c r="AR145" s="258"/>
    </row>
    <row r="146" spans="1:46" s="121" customFormat="1">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N146" s="223" t="s">
        <v>7</v>
      </c>
      <c r="AO146" s="686" t="s">
        <v>522</v>
      </c>
      <c r="AP146" s="257">
        <f t="shared" si="3"/>
        <v>0</v>
      </c>
      <c r="AQ146" s="321"/>
      <c r="AR146" s="258"/>
    </row>
    <row r="147" spans="1:46" s="121" customFormat="1">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N147" s="223" t="s">
        <v>792</v>
      </c>
      <c r="AO147" s="685" t="str">
        <f>IF(TEMPLATE_SPHERE="водоснабжения","Изменение объёма транспортировки воды (тыс. куб.м)",IF(TEMPLATE_SPHERE="водоотведения","Изменение объёма транспортировки стоков (тыс. куб.м)"))</f>
        <v>Изменение объёма транспортировки стоков (тыс. куб.м)</v>
      </c>
      <c r="AP147" s="257">
        <f t="shared" si="3"/>
        <v>0</v>
      </c>
      <c r="AQ147" s="321"/>
      <c r="AR147" s="258"/>
    </row>
    <row r="148" spans="1:46" s="121" customFormat="1" ht="2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N148" s="436" t="s">
        <v>1854</v>
      </c>
      <c r="AO148" s="687" t="s">
        <v>523</v>
      </c>
      <c r="AP148" s="257">
        <f t="shared" si="3"/>
        <v>0</v>
      </c>
      <c r="AQ148" s="321"/>
      <c r="AR148" s="258"/>
    </row>
    <row r="149" spans="1:46">
      <c r="AL149" s="121"/>
      <c r="AM149" s="121"/>
      <c r="AN149" s="236" t="s">
        <v>2466</v>
      </c>
      <c r="AO149" s="228" t="s">
        <v>2984</v>
      </c>
      <c r="AP149" s="257">
        <f t="shared" si="3"/>
        <v>0</v>
      </c>
      <c r="AQ149" s="321"/>
      <c r="AR149" s="258"/>
      <c r="AS149" s="121"/>
      <c r="AT149" s="121"/>
    </row>
    <row r="150" spans="1:46">
      <c r="AL150" s="121"/>
      <c r="AM150" s="121"/>
      <c r="AN150" s="236" t="s">
        <v>2467</v>
      </c>
      <c r="AO150" s="228" t="s">
        <v>2469</v>
      </c>
      <c r="AP150" s="257">
        <f t="shared" si="3"/>
        <v>0</v>
      </c>
      <c r="AQ150" s="321"/>
      <c r="AR150" s="258"/>
      <c r="AS150" s="121"/>
      <c r="AT150" s="121"/>
    </row>
    <row r="151" spans="1:46" s="121" customFormat="1">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N151" s="236" t="s">
        <v>2468</v>
      </c>
      <c r="AO151" s="228" t="s">
        <v>2471</v>
      </c>
      <c r="AP151" s="257">
        <f t="shared" si="3"/>
        <v>0</v>
      </c>
      <c r="AQ151" s="321"/>
      <c r="AR151" s="258"/>
    </row>
    <row r="152" spans="1:46" s="121" customFormat="1">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N152" s="236" t="s">
        <v>2470</v>
      </c>
      <c r="AO152" s="228" t="s">
        <v>2473</v>
      </c>
      <c r="AP152" s="257">
        <f t="shared" si="3"/>
        <v>0</v>
      </c>
      <c r="AQ152" s="321"/>
      <c r="AR152" s="258"/>
    </row>
    <row r="153" spans="1:46" s="121" customFormat="1">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N153" s="236" t="s">
        <v>2472</v>
      </c>
      <c r="AO153" s="228" t="s">
        <v>2475</v>
      </c>
      <c r="AP153" s="257">
        <f t="shared" si="3"/>
        <v>0</v>
      </c>
      <c r="AQ153" s="321"/>
      <c r="AR153" s="258"/>
    </row>
    <row r="154" spans="1:46" s="121" customFormat="1">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N154" s="236" t="s">
        <v>2474</v>
      </c>
      <c r="AO154" s="228" t="s">
        <v>2477</v>
      </c>
      <c r="AP154" s="257">
        <f t="shared" si="3"/>
        <v>0</v>
      </c>
      <c r="AQ154" s="321"/>
      <c r="AR154" s="258"/>
    </row>
    <row r="155" spans="1:46" s="121" customFormat="1">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N155" s="236" t="s">
        <v>2476</v>
      </c>
      <c r="AO155" s="228" t="s">
        <v>866</v>
      </c>
      <c r="AP155" s="257">
        <f t="shared" si="3"/>
        <v>0</v>
      </c>
      <c r="AQ155" s="321"/>
      <c r="AR155" s="258"/>
    </row>
    <row r="156" spans="1:46" s="121" customFormat="1">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N156" s="236" t="s">
        <v>2478</v>
      </c>
      <c r="AO156" s="682" t="s">
        <v>2479</v>
      </c>
      <c r="AP156" s="257">
        <f t="shared" si="3"/>
        <v>0</v>
      </c>
      <c r="AQ156" s="321"/>
      <c r="AR156" s="258"/>
    </row>
    <row r="157" spans="1:46" hidden="1">
      <c r="AL157" s="121"/>
      <c r="AM157" s="121"/>
      <c r="AN157" s="222"/>
      <c r="AO157" s="540"/>
      <c r="AP157" s="285"/>
      <c r="AQ157" s="321"/>
      <c r="AR157" s="258"/>
      <c r="AS157" s="121"/>
      <c r="AT157" s="121"/>
    </row>
    <row r="158" spans="1:46" s="121" customFormat="1" hidden="1">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N158" s="222"/>
      <c r="AO158" s="502"/>
      <c r="AP158" s="285"/>
      <c r="AQ158" s="321"/>
      <c r="AR158" s="258"/>
    </row>
    <row r="159" spans="1:46" s="121" customFormat="1" hidden="1">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N159" s="222"/>
      <c r="AO159" s="502"/>
      <c r="AP159" s="285"/>
      <c r="AQ159" s="321"/>
      <c r="AR159" s="258"/>
    </row>
    <row r="160" spans="1:46" s="121" customFormat="1" hidden="1">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N160" s="222"/>
      <c r="AO160" s="502"/>
      <c r="AP160" s="285"/>
      <c r="AQ160" s="321"/>
      <c r="AR160" s="258"/>
    </row>
    <row r="161" spans="1:47" s="121" customFormat="1" hidden="1">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N161" s="436"/>
      <c r="AO161" s="235"/>
      <c r="AP161" s="285"/>
      <c r="AQ161" s="321"/>
      <c r="AR161" s="258"/>
    </row>
    <row r="162" spans="1:47" s="121" customFormat="1" hidden="1">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N162" s="436"/>
      <c r="AO162" s="571"/>
      <c r="AP162" s="285"/>
      <c r="AQ162" s="321"/>
      <c r="AR162" s="258"/>
    </row>
    <row r="163" spans="1:47" s="121" customFormat="1" hidden="1">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N163" s="496"/>
      <c r="AO163" s="571"/>
      <c r="AP163" s="285"/>
      <c r="AQ163" s="321"/>
      <c r="AR163" s="258"/>
    </row>
    <row r="164" spans="1:47" ht="0.75" customHeight="1">
      <c r="A164" s="121"/>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223"/>
      <c r="AO164" s="216"/>
      <c r="AP164" s="543"/>
      <c r="AQ164" s="523"/>
      <c r="AR164" s="265"/>
      <c r="AS164" s="121"/>
      <c r="AT164" s="121"/>
    </row>
    <row r="165" spans="1:47" s="54" customFormat="1">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M165" s="55"/>
      <c r="AN165" s="56"/>
      <c r="AQ165" s="121"/>
      <c r="AR165" s="48"/>
      <c r="AS165" s="121"/>
      <c r="AT165" s="121"/>
    </row>
    <row r="166" spans="1:47">
      <c r="AS166" s="121"/>
      <c r="AT166" s="121"/>
      <c r="AU166" s="54"/>
    </row>
  </sheetData>
  <sheetProtection password="FA9C" sheet="1" objects="1" scenarios="1" formatColumns="0" formatRows="0"/>
  <mergeCells count="4">
    <mergeCell ref="AN9:AP9"/>
    <mergeCell ref="AN11:AN12"/>
    <mergeCell ref="AO11:AO12"/>
    <mergeCell ref="AP11:AP12"/>
  </mergeCells>
  <phoneticPr fontId="0"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sheetPr codeName="VSNA_CALC_PERIOD_YEAR">
    <tabColor rgb="FF002060"/>
    <outlinePr summaryBelow="0"/>
  </sheetPr>
  <dimension ref="A1:AU166"/>
  <sheetViews>
    <sheetView showGridLines="0" topLeftCell="AL8" workbookViewId="0"/>
  </sheetViews>
  <sheetFormatPr defaultColWidth="8.7109375" defaultRowHeight="11.25"/>
  <cols>
    <col min="1" max="37" width="2.7109375"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4" width="0.140625" style="47" customWidth="1"/>
    <col min="45" max="46" width="2.7109375" style="47" customWidth="1"/>
    <col min="47" max="16384" width="8.7109375" style="47"/>
  </cols>
  <sheetData>
    <row r="1" spans="1:47" s="48" customFormat="1" ht="12" hidden="1" customHeight="1">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199"/>
      <c r="AQ1" s="47"/>
      <c r="AR1" s="47"/>
      <c r="AS1" s="47"/>
      <c r="AT1" s="47"/>
      <c r="AU1" s="47"/>
    </row>
    <row r="2" spans="1:47" s="48" customFormat="1" ht="12" hidden="1" customHeight="1">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199"/>
      <c r="AQ2" s="47"/>
      <c r="AR2" s="47"/>
      <c r="AS2" s="47"/>
      <c r="AT2" s="47"/>
      <c r="AU2" s="47"/>
    </row>
    <row r="3" spans="1:47" s="48" customFormat="1" ht="12" hidden="1" customHeight="1">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199"/>
      <c r="AQ3" s="47"/>
      <c r="AR3" s="47"/>
      <c r="AS3" s="47"/>
      <c r="AT3" s="47"/>
      <c r="AU3" s="47"/>
    </row>
    <row r="4" spans="1:47" s="48" customFormat="1" ht="12" hidden="1" customHeight="1">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199"/>
      <c r="AQ4" s="47"/>
      <c r="AR4" s="47"/>
      <c r="AS4" s="47"/>
      <c r="AT4" s="47"/>
      <c r="AU4" s="47"/>
    </row>
    <row r="5" spans="1:47" s="48" customFormat="1" ht="12" hidden="1" customHeight="1">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199"/>
      <c r="AQ5" s="47"/>
      <c r="AR5" s="47"/>
      <c r="AS5" s="47"/>
      <c r="AT5" s="47"/>
      <c r="AU5" s="47"/>
    </row>
    <row r="6" spans="1:47" s="48" customFormat="1" ht="12" hidden="1" customHeight="1">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199"/>
      <c r="AQ6" s="47"/>
      <c r="AR6" s="47"/>
      <c r="AS6" s="47"/>
      <c r="AT6" s="47"/>
      <c r="AU6" s="47"/>
    </row>
    <row r="7" spans="1:47" s="48" customFormat="1" ht="12" hidden="1" customHeight="1">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199"/>
      <c r="AO7" s="158"/>
      <c r="AQ7" s="47"/>
      <c r="AR7" s="47"/>
      <c r="AS7" s="47"/>
      <c r="AT7" s="47"/>
      <c r="AU7" s="47"/>
    </row>
    <row r="8" spans="1:47" s="312" customFormat="1" ht="12" customHeight="1">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308"/>
      <c r="AN8" s="618"/>
      <c r="AO8" s="432"/>
      <c r="AP8" s="616" t="s">
        <v>2790</v>
      </c>
      <c r="AQ8" s="522"/>
      <c r="AR8" s="522"/>
      <c r="AS8" s="522"/>
      <c r="AT8" s="520"/>
      <c r="AU8" s="520"/>
    </row>
    <row r="9" spans="1:47"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по муниципальному образованию - " &amp; IF(mo="","Не определено",mo)</f>
        <v>Фактические расходы организаций водоотведения по муниципальному образованию - Село Булава</v>
      </c>
      <c r="AO9" s="917"/>
      <c r="AP9" s="917"/>
      <c r="AQ9" s="201"/>
      <c r="AR9" s="122"/>
      <c r="AS9" s="200"/>
    </row>
    <row r="10" spans="1:47" s="48" customFormat="1" ht="12" customHeight="1">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189"/>
      <c r="AO10" s="209"/>
      <c r="AP10" s="214" t="s">
        <v>786</v>
      </c>
      <c r="AQ10" s="201"/>
      <c r="AR10" s="168" t="s">
        <v>720</v>
      </c>
      <c r="AS10" s="53"/>
      <c r="AT10" s="47"/>
      <c r="AU10" s="47"/>
    </row>
    <row r="11" spans="1:47" ht="12" customHeight="1">
      <c r="A11" s="47"/>
      <c r="B11" s="47"/>
      <c r="C11" s="47"/>
      <c r="D11" s="47"/>
      <c r="E11" s="47"/>
      <c r="F11" s="47"/>
      <c r="G11" s="47"/>
      <c r="H11" s="47"/>
      <c r="I11" s="47"/>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50"/>
      <c r="AM11" s="125"/>
      <c r="AN11" s="802" t="s">
        <v>641</v>
      </c>
      <c r="AO11" s="804" t="s">
        <v>787</v>
      </c>
      <c r="AP11" s="819" t="s">
        <v>778</v>
      </c>
      <c r="AQ11" s="206">
        <v>0</v>
      </c>
      <c r="AR11" s="206"/>
      <c r="AS11" s="220"/>
    </row>
    <row r="12" spans="1:47" ht="48" customHeight="1">
      <c r="A12" s="47"/>
      <c r="B12" s="47"/>
      <c r="C12" s="47"/>
      <c r="D12" s="47"/>
      <c r="E12" s="47"/>
      <c r="F12" s="47"/>
      <c r="G12" s="47"/>
      <c r="H12" s="47"/>
      <c r="I12" s="47"/>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50"/>
      <c r="AM12" s="125"/>
      <c r="AN12" s="803"/>
      <c r="AO12" s="805"/>
      <c r="AP12" s="819"/>
      <c r="AQ12" s="207"/>
      <c r="AR12" s="207"/>
      <c r="AS12" s="121"/>
      <c r="AT12" s="121"/>
    </row>
    <row r="13" spans="1:47" ht="11.25" customHeight="1">
      <c r="A13" s="47"/>
      <c r="B13" s="47"/>
      <c r="C13" s="47"/>
      <c r="D13" s="47"/>
      <c r="E13" s="47"/>
      <c r="F13" s="47"/>
      <c r="G13" s="47"/>
      <c r="H13" s="47"/>
      <c r="I13" s="47"/>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222"/>
      <c r="AO13" s="501" t="s">
        <v>788</v>
      </c>
      <c r="AP13" s="564"/>
      <c r="AQ13" s="330"/>
      <c r="AR13" s="207"/>
      <c r="AS13" s="121"/>
      <c r="AT13" s="121"/>
    </row>
    <row r="14" spans="1:47" ht="24" customHeight="1">
      <c r="A14" s="47"/>
      <c r="B14" s="47"/>
      <c r="C14" s="47"/>
      <c r="D14" s="47"/>
      <c r="E14" s="47"/>
      <c r="F14" s="47"/>
      <c r="G14" s="47"/>
      <c r="H14" s="47"/>
      <c r="I14" s="47"/>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222"/>
      <c r="AO14" s="556" t="str">
        <f>IF(CALC_IDENTIFIER="","",CALC_IDENTIFIER)</f>
        <v/>
      </c>
      <c r="AP14" s="557" t="s">
        <v>745</v>
      </c>
      <c r="AQ14" s="330"/>
      <c r="AR14" s="207"/>
      <c r="AS14" s="121"/>
      <c r="AT14" s="121"/>
    </row>
    <row r="15" spans="1:47">
      <c r="AL15" s="121"/>
      <c r="AM15" s="121"/>
      <c r="AN15" s="504" t="s">
        <v>642</v>
      </c>
      <c r="AO15" s="566" t="str">
        <f>IF(TEMPLATE_SPHERE="водоснабжения","Объём отпуска воды (тыс. куб.м)",IF(TEMPLATE_SPHERE="водоотведения","Пропущено сточных вод, всего (тыс. куб.м)"))</f>
        <v>Пропущено сточных вод, всего (тыс. куб.м)</v>
      </c>
      <c r="AP15" s="551">
        <f t="shared" ref="AP15:AP21" si="0">SUMIF(AQ$14:AR$14,AP$14,AQ15:AR15)</f>
        <v>0</v>
      </c>
      <c r="AQ15" s="321"/>
      <c r="AR15" s="258"/>
      <c r="AS15" s="121"/>
      <c r="AT15" s="121"/>
    </row>
    <row r="16" spans="1:47" ht="22.5">
      <c r="AL16" s="121"/>
      <c r="AM16" s="121"/>
      <c r="AN16" s="504" t="s">
        <v>790</v>
      </c>
      <c r="AO16" s="527" t="s">
        <v>369</v>
      </c>
      <c r="AP16" s="257">
        <f t="shared" si="0"/>
        <v>0</v>
      </c>
      <c r="AQ16" s="321"/>
      <c r="AR16" s="258"/>
      <c r="AS16" s="121"/>
      <c r="AT16" s="121"/>
    </row>
    <row r="17" spans="38:46">
      <c r="AL17" s="121"/>
      <c r="AM17" s="121"/>
      <c r="AN17" s="504" t="s">
        <v>751</v>
      </c>
      <c r="AO17" s="526" t="s">
        <v>2814</v>
      </c>
      <c r="AP17" s="257">
        <f t="shared" si="0"/>
        <v>0</v>
      </c>
      <c r="AQ17" s="321"/>
      <c r="AR17" s="258"/>
      <c r="AS17" s="121"/>
      <c r="AT17" s="121"/>
    </row>
    <row r="18" spans="38:46">
      <c r="AL18" s="121"/>
      <c r="AM18" s="121"/>
      <c r="AN18" s="504" t="s">
        <v>66</v>
      </c>
      <c r="AO18" s="527" t="s">
        <v>2815</v>
      </c>
      <c r="AP18" s="257">
        <f t="shared" si="0"/>
        <v>0</v>
      </c>
      <c r="AQ18" s="321"/>
      <c r="AR18" s="258"/>
      <c r="AS18" s="121"/>
      <c r="AT18" s="121"/>
    </row>
    <row r="19" spans="38:46">
      <c r="AL19" s="121"/>
      <c r="AM19" s="121"/>
      <c r="AN19" s="504" t="s">
        <v>632</v>
      </c>
      <c r="AO19" s="528" t="s">
        <v>2816</v>
      </c>
      <c r="AP19" s="257">
        <f t="shared" si="0"/>
        <v>0</v>
      </c>
      <c r="AQ19" s="321"/>
      <c r="AR19" s="258"/>
      <c r="AS19" s="121"/>
      <c r="AT19" s="121"/>
    </row>
    <row r="20" spans="38:46">
      <c r="AL20" s="121"/>
      <c r="AM20" s="121"/>
      <c r="AN20" s="223" t="s">
        <v>2817</v>
      </c>
      <c r="AO20" s="529" t="s">
        <v>2972</v>
      </c>
      <c r="AP20" s="257">
        <f t="shared" si="0"/>
        <v>0</v>
      </c>
      <c r="AQ20" s="321"/>
      <c r="AR20" s="258"/>
      <c r="AS20" s="121"/>
      <c r="AT20" s="121"/>
    </row>
    <row r="21" spans="38:46">
      <c r="AL21" s="121"/>
      <c r="AM21" s="121"/>
      <c r="AN21" s="223" t="s">
        <v>2818</v>
      </c>
      <c r="AO21" s="529" t="s">
        <v>2988</v>
      </c>
      <c r="AP21" s="257">
        <f t="shared" si="0"/>
        <v>0</v>
      </c>
      <c r="AQ21" s="321"/>
      <c r="AR21" s="258"/>
      <c r="AS21" s="121"/>
      <c r="AT21" s="121"/>
    </row>
    <row r="22" spans="38:46" hidden="1">
      <c r="AL22" s="121"/>
      <c r="AM22" s="121"/>
      <c r="AN22" s="223"/>
      <c r="AO22" s="529"/>
      <c r="AP22" s="260"/>
      <c r="AQ22" s="321"/>
      <c r="AR22" s="258"/>
      <c r="AS22" s="121"/>
      <c r="AT22" s="121"/>
    </row>
    <row r="23" spans="38:46" hidden="1">
      <c r="AL23" s="121"/>
      <c r="AM23" s="121"/>
      <c r="AN23" s="524"/>
      <c r="AO23" s="530"/>
      <c r="AP23" s="255"/>
      <c r="AQ23" s="321"/>
      <c r="AR23" s="258"/>
      <c r="AS23" s="121"/>
      <c r="AT23" s="121"/>
    </row>
    <row r="24" spans="38:46" hidden="1">
      <c r="AL24" s="121"/>
      <c r="AM24" s="121"/>
      <c r="AN24" s="524"/>
      <c r="AO24" s="530"/>
      <c r="AP24" s="260"/>
      <c r="AQ24" s="321"/>
      <c r="AR24" s="258"/>
      <c r="AS24" s="121"/>
      <c r="AT24" s="121"/>
    </row>
    <row r="25" spans="38:46" hidden="1">
      <c r="AL25" s="121"/>
      <c r="AM25" s="121"/>
      <c r="AN25" s="223"/>
      <c r="AO25" s="531"/>
      <c r="AP25" s="260"/>
      <c r="AQ25" s="321"/>
      <c r="AR25" s="258"/>
      <c r="AS25" s="121"/>
      <c r="AT25" s="121"/>
    </row>
    <row r="26" spans="38:46" hidden="1">
      <c r="AL26" s="121"/>
      <c r="AM26" s="121"/>
      <c r="AN26" s="524"/>
      <c r="AO26" s="530"/>
      <c r="AP26" s="255"/>
      <c r="AQ26" s="321"/>
      <c r="AR26" s="258"/>
      <c r="AS26" s="121"/>
      <c r="AT26" s="121"/>
    </row>
    <row r="27" spans="38:46" hidden="1">
      <c r="AL27" s="121"/>
      <c r="AM27" s="121"/>
      <c r="AN27" s="524"/>
      <c r="AO27" s="530"/>
      <c r="AP27" s="260"/>
      <c r="AQ27" s="321"/>
      <c r="AR27" s="258"/>
      <c r="AS27" s="121"/>
      <c r="AT27" s="121"/>
    </row>
    <row r="28" spans="38:46" hidden="1">
      <c r="AL28" s="121"/>
      <c r="AM28" s="121"/>
      <c r="AN28" s="223"/>
      <c r="AO28" s="529"/>
      <c r="AP28" s="260"/>
      <c r="AQ28" s="321"/>
      <c r="AR28" s="258"/>
      <c r="AS28" s="121"/>
      <c r="AT28" s="121"/>
    </row>
    <row r="29" spans="38:46" hidden="1">
      <c r="AL29" s="121"/>
      <c r="AM29" s="121"/>
      <c r="AN29" s="524"/>
      <c r="AO29" s="530"/>
      <c r="AP29" s="255"/>
      <c r="AQ29" s="321"/>
      <c r="AR29" s="258"/>
      <c r="AS29" s="121"/>
      <c r="AT29" s="121"/>
    </row>
    <row r="30" spans="38:46" hidden="1">
      <c r="AL30" s="121"/>
      <c r="AM30" s="121"/>
      <c r="AN30" s="524"/>
      <c r="AO30" s="530"/>
      <c r="AP30" s="260"/>
      <c r="AQ30" s="321"/>
      <c r="AR30" s="258"/>
      <c r="AS30" s="121"/>
      <c r="AT30" s="121"/>
    </row>
    <row r="31" spans="38:46" hidden="1">
      <c r="AL31" s="121"/>
      <c r="AM31" s="121"/>
      <c r="AN31" s="223"/>
      <c r="AO31" s="531"/>
      <c r="AP31" s="260"/>
      <c r="AQ31" s="321"/>
      <c r="AR31" s="258"/>
      <c r="AS31" s="121"/>
      <c r="AT31" s="121"/>
    </row>
    <row r="32" spans="38:46" hidden="1">
      <c r="AL32" s="121"/>
      <c r="AM32" s="121"/>
      <c r="AN32" s="524"/>
      <c r="AO32" s="530"/>
      <c r="AP32" s="255"/>
      <c r="AQ32" s="321"/>
      <c r="AR32" s="258"/>
      <c r="AS32" s="121"/>
      <c r="AT32" s="121"/>
    </row>
    <row r="33" spans="38:46" hidden="1">
      <c r="AL33" s="121"/>
      <c r="AM33" s="121"/>
      <c r="AN33" s="524"/>
      <c r="AO33" s="530"/>
      <c r="AP33" s="260"/>
      <c r="AQ33" s="321"/>
      <c r="AR33" s="258"/>
      <c r="AS33" s="121"/>
      <c r="AT33" s="121"/>
    </row>
    <row r="34" spans="38:46" hidden="1">
      <c r="AL34" s="121"/>
      <c r="AM34" s="121"/>
      <c r="AN34" s="223"/>
      <c r="AO34" s="529"/>
      <c r="AP34" s="260"/>
      <c r="AQ34" s="321"/>
      <c r="AR34" s="258"/>
      <c r="AS34" s="121"/>
      <c r="AT34" s="121"/>
    </row>
    <row r="35" spans="38:46" hidden="1">
      <c r="AL35" s="121"/>
      <c r="AM35" s="121"/>
      <c r="AN35" s="524"/>
      <c r="AO35" s="530"/>
      <c r="AP35" s="255"/>
      <c r="AQ35" s="321"/>
      <c r="AR35" s="258"/>
      <c r="AS35" s="121"/>
      <c r="AT35" s="121"/>
    </row>
    <row r="36" spans="38:46" hidden="1">
      <c r="AL36" s="121"/>
      <c r="AM36" s="121"/>
      <c r="AN36" s="524"/>
      <c r="AO36" s="530"/>
      <c r="AP36" s="260"/>
      <c r="AQ36" s="321"/>
      <c r="AR36" s="258"/>
      <c r="AS36" s="121"/>
      <c r="AT36" s="121"/>
    </row>
    <row r="37" spans="38:46" hidden="1">
      <c r="AL37" s="121"/>
      <c r="AM37" s="121"/>
      <c r="AN37" s="223"/>
      <c r="AO37" s="531"/>
      <c r="AP37" s="260"/>
      <c r="AQ37" s="321"/>
      <c r="AR37" s="258"/>
      <c r="AS37" s="121"/>
      <c r="AT37" s="121"/>
    </row>
    <row r="38" spans="38:46" hidden="1">
      <c r="AL38" s="121"/>
      <c r="AM38" s="121"/>
      <c r="AN38" s="524"/>
      <c r="AO38" s="530"/>
      <c r="AP38" s="255"/>
      <c r="AQ38" s="321"/>
      <c r="AR38" s="258"/>
      <c r="AS38" s="121"/>
      <c r="AT38" s="121"/>
    </row>
    <row r="39" spans="38:46" hidden="1">
      <c r="AL39" s="121"/>
      <c r="AM39" s="121"/>
      <c r="AN39" s="524"/>
      <c r="AO39" s="530"/>
      <c r="AP39" s="260"/>
      <c r="AQ39" s="321"/>
      <c r="AR39" s="258"/>
      <c r="AS39" s="121"/>
      <c r="AT39" s="121"/>
    </row>
    <row r="40" spans="38:46" hidden="1">
      <c r="AL40" s="121"/>
      <c r="AM40" s="121"/>
      <c r="AN40" s="223"/>
      <c r="AO40" s="529"/>
      <c r="AP40" s="260"/>
      <c r="AQ40" s="321"/>
      <c r="AR40" s="258"/>
      <c r="AS40" s="121"/>
      <c r="AT40" s="121"/>
    </row>
    <row r="41" spans="38:46" hidden="1">
      <c r="AL41" s="121"/>
      <c r="AM41" s="121"/>
      <c r="AN41" s="524"/>
      <c r="AO41" s="530"/>
      <c r="AP41" s="255"/>
      <c r="AQ41" s="321"/>
      <c r="AR41" s="258"/>
      <c r="AS41" s="121"/>
      <c r="AT41" s="121"/>
    </row>
    <row r="42" spans="38:46" hidden="1">
      <c r="AL42" s="121"/>
      <c r="AM42" s="121"/>
      <c r="AN42" s="524"/>
      <c r="AO42" s="530"/>
      <c r="AP42" s="260"/>
      <c r="AQ42" s="321"/>
      <c r="AR42" s="258"/>
      <c r="AS42" s="121"/>
      <c r="AT42" s="121"/>
    </row>
    <row r="43" spans="38:46" hidden="1">
      <c r="AL43" s="121"/>
      <c r="AM43" s="121"/>
      <c r="AN43" s="223"/>
      <c r="AO43" s="531"/>
      <c r="AP43" s="260"/>
      <c r="AQ43" s="321"/>
      <c r="AR43" s="258"/>
      <c r="AS43" s="121"/>
      <c r="AT43" s="121"/>
    </row>
    <row r="44" spans="38:46" hidden="1">
      <c r="AL44" s="121"/>
      <c r="AM44" s="121"/>
      <c r="AN44" s="524"/>
      <c r="AO44" s="530"/>
      <c r="AP44" s="255"/>
      <c r="AQ44" s="321"/>
      <c r="AR44" s="258"/>
      <c r="AS44" s="121"/>
      <c r="AT44" s="121"/>
    </row>
    <row r="45" spans="38:46" hidden="1">
      <c r="AL45" s="121"/>
      <c r="AM45" s="121"/>
      <c r="AN45" s="524"/>
      <c r="AO45" s="530"/>
      <c r="AP45" s="260"/>
      <c r="AQ45" s="321"/>
      <c r="AR45" s="258"/>
      <c r="AS45" s="121"/>
      <c r="AT45" s="121"/>
    </row>
    <row r="46" spans="38:46">
      <c r="AL46" s="121"/>
      <c r="AM46" s="121"/>
      <c r="AN46" s="504" t="s">
        <v>633</v>
      </c>
      <c r="AO46" s="532" t="s">
        <v>2819</v>
      </c>
      <c r="AP46" s="257">
        <f t="shared" ref="AP46:AP55" si="1">SUMIF(AQ$14:AR$14,AP$14,AQ46:AR46)</f>
        <v>0</v>
      </c>
      <c r="AQ46" s="321"/>
      <c r="AR46" s="258"/>
      <c r="AS46" s="121"/>
      <c r="AT46" s="121"/>
    </row>
    <row r="47" spans="38:46">
      <c r="AL47" s="121"/>
      <c r="AM47" s="121"/>
      <c r="AN47" s="504" t="s">
        <v>69</v>
      </c>
      <c r="AO47" s="527" t="s">
        <v>2820</v>
      </c>
      <c r="AP47" s="257">
        <f t="shared" si="1"/>
        <v>0</v>
      </c>
      <c r="AQ47" s="321"/>
      <c r="AR47" s="258"/>
      <c r="AS47" s="121"/>
      <c r="AT47" s="121"/>
    </row>
    <row r="48" spans="38:46">
      <c r="AL48" s="121"/>
      <c r="AM48" s="121"/>
      <c r="AN48" s="504" t="s">
        <v>72</v>
      </c>
      <c r="AO48" s="527" t="s">
        <v>2471</v>
      </c>
      <c r="AP48" s="257">
        <f t="shared" si="1"/>
        <v>0</v>
      </c>
      <c r="AQ48" s="321"/>
      <c r="AR48" s="258"/>
      <c r="AS48" s="121"/>
      <c r="AT48" s="121"/>
    </row>
    <row r="49" spans="38:46">
      <c r="AL49" s="121"/>
      <c r="AM49" s="121"/>
      <c r="AN49" s="504" t="s">
        <v>2821</v>
      </c>
      <c r="AO49" s="527" t="s">
        <v>2822</v>
      </c>
      <c r="AP49" s="257">
        <f t="shared" si="1"/>
        <v>0</v>
      </c>
      <c r="AQ49" s="321"/>
      <c r="AR49" s="258"/>
      <c r="AS49" s="121"/>
      <c r="AT49" s="121"/>
    </row>
    <row r="50" spans="38:46">
      <c r="AL50" s="121"/>
      <c r="AM50" s="121"/>
      <c r="AN50" s="504" t="s">
        <v>888</v>
      </c>
      <c r="AO50" s="528" t="s">
        <v>2823</v>
      </c>
      <c r="AP50" s="257">
        <f t="shared" si="1"/>
        <v>0</v>
      </c>
      <c r="AQ50" s="321"/>
      <c r="AR50" s="258"/>
      <c r="AS50" s="121"/>
      <c r="AT50" s="121"/>
    </row>
    <row r="51" spans="38:46">
      <c r="AL51" s="121"/>
      <c r="AM51" s="121"/>
      <c r="AN51" s="504" t="s">
        <v>889</v>
      </c>
      <c r="AO51" s="528" t="s">
        <v>2824</v>
      </c>
      <c r="AP51" s="257">
        <f t="shared" si="1"/>
        <v>0</v>
      </c>
      <c r="AQ51" s="321"/>
      <c r="AR51" s="258"/>
      <c r="AS51" s="121"/>
      <c r="AT51" s="121"/>
    </row>
    <row r="52" spans="38:46">
      <c r="AL52" s="121"/>
      <c r="AM52" s="121"/>
      <c r="AN52" s="504" t="s">
        <v>890</v>
      </c>
      <c r="AO52" s="528" t="s">
        <v>2825</v>
      </c>
      <c r="AP52" s="257">
        <f t="shared" si="1"/>
        <v>0</v>
      </c>
      <c r="AQ52" s="321"/>
      <c r="AR52" s="258"/>
      <c r="AS52" s="121"/>
      <c r="AT52" s="121"/>
    </row>
    <row r="53" spans="38:46">
      <c r="AL53" s="121"/>
      <c r="AM53" s="121"/>
      <c r="AN53" s="504" t="s">
        <v>2826</v>
      </c>
      <c r="AO53" s="527" t="s">
        <v>2827</v>
      </c>
      <c r="AP53" s="257">
        <f t="shared" si="1"/>
        <v>0</v>
      </c>
      <c r="AQ53" s="321"/>
      <c r="AR53" s="258"/>
      <c r="AS53" s="121"/>
      <c r="AT53" s="121"/>
    </row>
    <row r="54" spans="38:46">
      <c r="AL54" s="121"/>
      <c r="AM54" s="121"/>
      <c r="AN54" s="504" t="s">
        <v>2828</v>
      </c>
      <c r="AO54" s="527" t="s">
        <v>2829</v>
      </c>
      <c r="AP54" s="257">
        <f t="shared" si="1"/>
        <v>0</v>
      </c>
      <c r="AQ54" s="321"/>
      <c r="AR54" s="258"/>
      <c r="AS54" s="121"/>
      <c r="AT54" s="121"/>
    </row>
    <row r="55" spans="38:46">
      <c r="AL55" s="121"/>
      <c r="AM55" s="121"/>
      <c r="AN55" s="504" t="s">
        <v>2830</v>
      </c>
      <c r="AO55" s="527" t="s">
        <v>2831</v>
      </c>
      <c r="AP55" s="257">
        <f t="shared" si="1"/>
        <v>0</v>
      </c>
      <c r="AQ55" s="321"/>
      <c r="AR55" s="258"/>
      <c r="AS55" s="121"/>
      <c r="AT55" s="121"/>
    </row>
    <row r="56" spans="38:46" hidden="1">
      <c r="AL56" s="121"/>
      <c r="AM56" s="121"/>
      <c r="AN56" s="222"/>
      <c r="AO56" s="529"/>
      <c r="AP56" s="255"/>
      <c r="AQ56" s="321"/>
      <c r="AR56" s="258"/>
      <c r="AS56" s="121"/>
      <c r="AT56" s="121"/>
    </row>
    <row r="57" spans="38:46" hidden="1">
      <c r="AL57" s="121"/>
      <c r="AM57" s="121"/>
      <c r="AN57" s="222"/>
      <c r="AO57" s="529"/>
      <c r="AP57" s="255"/>
      <c r="AQ57" s="321"/>
      <c r="AR57" s="258"/>
      <c r="AS57" s="121"/>
      <c r="AT57" s="121"/>
    </row>
    <row r="58" spans="38:46" hidden="1">
      <c r="AL58" s="121"/>
      <c r="AM58" s="121"/>
      <c r="AN58" s="222"/>
      <c r="AO58" s="529"/>
      <c r="AP58" s="255"/>
      <c r="AQ58" s="321"/>
      <c r="AR58" s="258"/>
      <c r="AS58" s="121"/>
      <c r="AT58" s="121"/>
    </row>
    <row r="59" spans="38:46">
      <c r="AL59" s="121"/>
      <c r="AM59" s="121"/>
      <c r="AN59" s="222" t="s">
        <v>2832</v>
      </c>
      <c r="AO59" s="533" t="s">
        <v>1832</v>
      </c>
      <c r="AP59" s="257">
        <f>SUMIF(AQ$14:AR$14,AP$14,AQ59:AR59)</f>
        <v>0</v>
      </c>
      <c r="AQ59" s="321"/>
      <c r="AR59" s="258"/>
      <c r="AS59" s="121"/>
      <c r="AT59" s="121"/>
    </row>
    <row r="60" spans="38:46" hidden="1">
      <c r="AL60" s="121"/>
      <c r="AM60" s="121"/>
      <c r="AN60" s="222"/>
      <c r="AO60" s="529"/>
      <c r="AP60" s="255"/>
      <c r="AQ60" s="321"/>
      <c r="AR60" s="258"/>
      <c r="AS60" s="121"/>
      <c r="AT60" s="121"/>
    </row>
    <row r="61" spans="38:46" hidden="1">
      <c r="AL61" s="121"/>
      <c r="AM61" s="121"/>
      <c r="AN61" s="222"/>
      <c r="AO61" s="529"/>
      <c r="AP61" s="260"/>
      <c r="AQ61" s="321"/>
      <c r="AR61" s="258"/>
      <c r="AS61" s="121"/>
      <c r="AT61" s="121"/>
    </row>
    <row r="62" spans="38:46" hidden="1">
      <c r="AL62" s="121"/>
      <c r="AM62" s="121"/>
      <c r="AN62" s="222"/>
      <c r="AO62" s="563"/>
      <c r="AP62" s="260"/>
      <c r="AQ62" s="321"/>
      <c r="AR62" s="258"/>
      <c r="AS62" s="121"/>
      <c r="AT62" s="121"/>
    </row>
    <row r="63" spans="38:46" hidden="1">
      <c r="AL63" s="121"/>
      <c r="AM63" s="121"/>
      <c r="AN63" s="222"/>
      <c r="AO63" s="563"/>
      <c r="AP63" s="260"/>
      <c r="AQ63" s="321"/>
      <c r="AR63" s="258"/>
      <c r="AS63" s="121"/>
      <c r="AT63" s="121"/>
    </row>
    <row r="64" spans="38:46" hidden="1">
      <c r="AL64" s="121"/>
      <c r="AM64" s="121"/>
      <c r="AN64" s="222"/>
      <c r="AO64" s="563"/>
      <c r="AP64" s="260"/>
      <c r="AQ64" s="321"/>
      <c r="AR64" s="258"/>
      <c r="AS64" s="121"/>
      <c r="AT64" s="121"/>
    </row>
    <row r="65" spans="38:46">
      <c r="AL65" s="121"/>
      <c r="AM65" s="121"/>
      <c r="AN65" s="222" t="s">
        <v>2835</v>
      </c>
      <c r="AO65" s="533" t="s">
        <v>1838</v>
      </c>
      <c r="AP65" s="257">
        <f>SUMIF(AQ$14:AR$14,AP$14,AQ65:AR65)</f>
        <v>0</v>
      </c>
      <c r="AQ65" s="321"/>
      <c r="AR65" s="258"/>
      <c r="AS65" s="121"/>
      <c r="AT65" s="121"/>
    </row>
    <row r="66" spans="38:46" hidden="1">
      <c r="AL66" s="121"/>
      <c r="AM66" s="121"/>
      <c r="AN66" s="222"/>
      <c r="AO66" s="529"/>
      <c r="AP66" s="255"/>
      <c r="AQ66" s="321"/>
      <c r="AR66" s="258"/>
      <c r="AS66" s="121"/>
      <c r="AT66" s="121"/>
    </row>
    <row r="67" spans="38:46" hidden="1">
      <c r="AL67" s="121"/>
      <c r="AM67" s="121"/>
      <c r="AN67" s="222"/>
      <c r="AO67" s="529"/>
      <c r="AP67" s="255"/>
      <c r="AQ67" s="321"/>
      <c r="AR67" s="258"/>
      <c r="AS67" s="121"/>
      <c r="AT67" s="121"/>
    </row>
    <row r="68" spans="38:46" hidden="1">
      <c r="AL68" s="121"/>
      <c r="AM68" s="121"/>
      <c r="AN68" s="222"/>
      <c r="AO68" s="529"/>
      <c r="AP68" s="255"/>
      <c r="AQ68" s="321"/>
      <c r="AR68" s="258"/>
      <c r="AS68" s="121"/>
      <c r="AT68" s="121"/>
    </row>
    <row r="69" spans="38:46" hidden="1">
      <c r="AL69" s="121"/>
      <c r="AM69" s="121"/>
      <c r="AN69" s="222"/>
      <c r="AO69" s="529"/>
      <c r="AP69" s="255"/>
      <c r="AQ69" s="321"/>
      <c r="AR69" s="258"/>
      <c r="AS69" s="121"/>
      <c r="AT69" s="121"/>
    </row>
    <row r="70" spans="38:46" hidden="1">
      <c r="AL70" s="121"/>
      <c r="AM70" s="121"/>
      <c r="AN70" s="222"/>
      <c r="AO70" s="529"/>
      <c r="AP70" s="255"/>
      <c r="AQ70" s="321"/>
      <c r="AR70" s="258"/>
      <c r="AS70" s="121"/>
      <c r="AT70" s="121"/>
    </row>
    <row r="71" spans="38:46">
      <c r="AL71" s="121"/>
      <c r="AM71" s="121"/>
      <c r="AN71" s="222" t="s">
        <v>2838</v>
      </c>
      <c r="AO71" s="533" t="s">
        <v>1843</v>
      </c>
      <c r="AP71" s="257">
        <f>SUMIF(AQ$14:AR$14,AP$14,AQ71:AR71)</f>
        <v>0</v>
      </c>
      <c r="AQ71" s="321"/>
      <c r="AR71" s="258"/>
      <c r="AS71" s="121"/>
      <c r="AT71" s="121"/>
    </row>
    <row r="72" spans="38:46" hidden="1">
      <c r="AL72" s="121"/>
      <c r="AM72" s="121"/>
      <c r="AN72" s="222"/>
      <c r="AO72" s="529"/>
      <c r="AP72" s="255"/>
      <c r="AQ72" s="321"/>
      <c r="AR72" s="258"/>
      <c r="AS72" s="121"/>
      <c r="AT72" s="121"/>
    </row>
    <row r="73" spans="38:46" hidden="1">
      <c r="AL73" s="121"/>
      <c r="AM73" s="121"/>
      <c r="AN73" s="222"/>
      <c r="AO73" s="529"/>
      <c r="AP73" s="255"/>
      <c r="AQ73" s="321"/>
      <c r="AR73" s="258"/>
      <c r="AS73" s="121"/>
      <c r="AT73" s="121"/>
    </row>
    <row r="74" spans="38:46">
      <c r="AL74" s="121"/>
      <c r="AM74" s="121"/>
      <c r="AN74" s="222" t="s">
        <v>2841</v>
      </c>
      <c r="AO74" s="533" t="s">
        <v>1849</v>
      </c>
      <c r="AP74" s="257">
        <f>SUMIF(AQ$14:AR$14,AP$14,AQ74:AR74)</f>
        <v>0</v>
      </c>
      <c r="AQ74" s="321"/>
      <c r="AR74" s="258"/>
      <c r="AS74" s="121"/>
      <c r="AT74" s="121"/>
    </row>
    <row r="75" spans="38:46" hidden="1">
      <c r="AL75" s="121"/>
      <c r="AM75" s="121"/>
      <c r="AN75" s="222"/>
      <c r="AO75" s="529"/>
      <c r="AP75" s="255"/>
      <c r="AQ75" s="321"/>
      <c r="AR75" s="258"/>
      <c r="AS75" s="121"/>
      <c r="AT75" s="121"/>
    </row>
    <row r="76" spans="38:46" hidden="1">
      <c r="AL76" s="121"/>
      <c r="AM76" s="121"/>
      <c r="AN76" s="222"/>
      <c r="AO76" s="529"/>
      <c r="AP76" s="255"/>
      <c r="AQ76" s="321"/>
      <c r="AR76" s="258"/>
      <c r="AS76" s="121"/>
      <c r="AT76" s="121"/>
    </row>
    <row r="77" spans="38:46" ht="22.5">
      <c r="AL77" s="121"/>
      <c r="AM77" s="121"/>
      <c r="AN77" s="222" t="s">
        <v>2844</v>
      </c>
      <c r="AO77" s="533" t="s">
        <v>1856</v>
      </c>
      <c r="AP77" s="257">
        <f>SUMIF(AQ$14:AR$14,AP$14,AQ77:AR77)</f>
        <v>0</v>
      </c>
      <c r="AQ77" s="321"/>
      <c r="AR77" s="258"/>
      <c r="AS77" s="121"/>
      <c r="AT77" s="121"/>
    </row>
    <row r="78" spans="38:46" hidden="1">
      <c r="AL78" s="121"/>
      <c r="AM78" s="121"/>
      <c r="AN78" s="222"/>
      <c r="AO78" s="529"/>
      <c r="AP78" s="255"/>
      <c r="AQ78" s="321"/>
      <c r="AR78" s="258"/>
      <c r="AS78" s="121"/>
      <c r="AT78" s="121"/>
    </row>
    <row r="79" spans="38:46" hidden="1">
      <c r="AL79" s="121"/>
      <c r="AM79" s="121"/>
      <c r="AN79" s="222"/>
      <c r="AO79" s="529"/>
      <c r="AP79" s="255"/>
      <c r="AQ79" s="321"/>
      <c r="AR79" s="258"/>
      <c r="AS79" s="121"/>
      <c r="AT79" s="121"/>
    </row>
    <row r="80" spans="38:46">
      <c r="AL80" s="121"/>
      <c r="AM80" s="121"/>
      <c r="AN80" s="504" t="s">
        <v>2847</v>
      </c>
      <c r="AO80" s="535" t="s">
        <v>2848</v>
      </c>
      <c r="AP80" s="257">
        <f t="shared" ref="AP80:AP85" si="2">SUMIF(AQ$14:AR$14,AP$14,AQ80:AR80)</f>
        <v>0</v>
      </c>
      <c r="AQ80" s="321"/>
      <c r="AR80" s="258"/>
      <c r="AS80" s="121"/>
      <c r="AT80" s="121"/>
    </row>
    <row r="81" spans="38:46" ht="22.5">
      <c r="AL81" s="121"/>
      <c r="AM81" s="121"/>
      <c r="AN81" s="504" t="s">
        <v>2849</v>
      </c>
      <c r="AO81" s="533" t="s">
        <v>2415</v>
      </c>
      <c r="AP81" s="257">
        <f t="shared" si="2"/>
        <v>0</v>
      </c>
      <c r="AQ81" s="321"/>
      <c r="AR81" s="258"/>
      <c r="AS81" s="121"/>
      <c r="AT81" s="121"/>
    </row>
    <row r="82" spans="38:46" ht="22.5">
      <c r="AL82" s="121"/>
      <c r="AM82" s="121"/>
      <c r="AN82" s="504" t="s">
        <v>2850</v>
      </c>
      <c r="AO82" s="533" t="s">
        <v>2417</v>
      </c>
      <c r="AP82" s="257">
        <f t="shared" si="2"/>
        <v>0</v>
      </c>
      <c r="AQ82" s="321"/>
      <c r="AR82" s="258"/>
      <c r="AS82" s="121"/>
      <c r="AT82" s="121"/>
    </row>
    <row r="83" spans="38:46" ht="22.5">
      <c r="AL83" s="121"/>
      <c r="AM83" s="121"/>
      <c r="AN83" s="504" t="s">
        <v>2316</v>
      </c>
      <c r="AO83" s="533" t="s">
        <v>2420</v>
      </c>
      <c r="AP83" s="257">
        <f t="shared" si="2"/>
        <v>0</v>
      </c>
      <c r="AQ83" s="321"/>
      <c r="AR83" s="258"/>
      <c r="AS83" s="121"/>
      <c r="AT83" s="121"/>
    </row>
    <row r="84" spans="38:46">
      <c r="AL84" s="121"/>
      <c r="AM84" s="121"/>
      <c r="AN84" s="504" t="s">
        <v>2317</v>
      </c>
      <c r="AO84" s="533" t="s">
        <v>2423</v>
      </c>
      <c r="AP84" s="257">
        <f t="shared" si="2"/>
        <v>0</v>
      </c>
      <c r="AQ84" s="321"/>
      <c r="AR84" s="258"/>
      <c r="AS84" s="121"/>
      <c r="AT84" s="121"/>
    </row>
    <row r="85" spans="38:46" ht="22.5">
      <c r="AL85" s="121"/>
      <c r="AM85" s="121"/>
      <c r="AN85" s="504" t="s">
        <v>2318</v>
      </c>
      <c r="AO85" s="533" t="s">
        <v>2426</v>
      </c>
      <c r="AP85" s="257">
        <f t="shared" si="2"/>
        <v>0</v>
      </c>
      <c r="AQ85" s="321"/>
      <c r="AR85" s="258"/>
      <c r="AS85" s="121"/>
      <c r="AT85" s="121"/>
    </row>
    <row r="86" spans="38:46">
      <c r="AL86" s="121"/>
      <c r="AM86" s="121"/>
      <c r="AN86" s="560" t="str">
        <f>IF(TEMPLATE_SPHERE="водоснабжения","2.9","")</f>
        <v/>
      </c>
      <c r="AO86" s="561" t="str">
        <f>IF(TEMPLATE_SPHERE="водоснабжения","Покупная вода","")</f>
        <v/>
      </c>
      <c r="AP86" s="257" t="str">
        <f>IF(TEMPLATE_SPHERE="водоснабжения",SUMIF(AQ$14:AR$14,AP$14,AQ86:AR86),"")</f>
        <v/>
      </c>
      <c r="AQ86" s="321"/>
      <c r="AR86" s="258"/>
      <c r="AS86" s="121"/>
      <c r="AT86" s="121"/>
    </row>
    <row r="87" spans="38:46" hidden="1">
      <c r="AL87" s="121"/>
      <c r="AM87" s="121"/>
      <c r="AN87" s="222"/>
      <c r="AO87" s="529"/>
      <c r="AP87" s="255"/>
      <c r="AQ87" s="321"/>
      <c r="AR87" s="258"/>
      <c r="AS87" s="121"/>
      <c r="AT87" s="121"/>
    </row>
    <row r="88" spans="38:46" hidden="1">
      <c r="AL88" s="121"/>
      <c r="AM88" s="121"/>
      <c r="AN88" s="222"/>
      <c r="AO88" s="529"/>
      <c r="AP88" s="255"/>
      <c r="AQ88" s="321"/>
      <c r="AR88" s="258"/>
      <c r="AS88" s="121"/>
      <c r="AT88" s="121"/>
    </row>
    <row r="89" spans="38:46" hidden="1">
      <c r="AL89" s="121"/>
      <c r="AM89" s="121"/>
      <c r="AN89" s="222"/>
      <c r="AO89" s="529"/>
      <c r="AP89" s="255"/>
      <c r="AQ89" s="321"/>
      <c r="AR89" s="258"/>
      <c r="AS89" s="121"/>
      <c r="AT89" s="121"/>
    </row>
    <row r="90" spans="38:46" ht="22.5">
      <c r="AL90" s="121"/>
      <c r="AM90" s="121"/>
      <c r="AN90" s="504" t="s">
        <v>2323</v>
      </c>
      <c r="AO90"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AP90" s="257">
        <f t="shared" ref="AP90:AP114" si="3">SUMIF(AQ$14:AR$14,AP$14,AQ90:AR90)</f>
        <v>0</v>
      </c>
      <c r="AQ90" s="321"/>
      <c r="AR90" s="258"/>
      <c r="AS90" s="121"/>
      <c r="AT90" s="121"/>
    </row>
    <row r="91" spans="38:46" ht="22.5">
      <c r="AL91" s="121"/>
      <c r="AM91" s="121"/>
      <c r="AN91" s="504" t="s">
        <v>2324</v>
      </c>
      <c r="AO91"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AP91" s="257">
        <f t="shared" si="3"/>
        <v>0</v>
      </c>
      <c r="AQ91" s="321"/>
      <c r="AR91" s="258"/>
      <c r="AS91" s="121"/>
      <c r="AT91" s="121"/>
    </row>
    <row r="92" spans="38:46" ht="22.5">
      <c r="AL92" s="121"/>
      <c r="AM92" s="121"/>
      <c r="AN92" s="504" t="s">
        <v>2325</v>
      </c>
      <c r="AO92"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AP92" s="257">
        <f t="shared" si="3"/>
        <v>0</v>
      </c>
      <c r="AQ92" s="321"/>
      <c r="AR92" s="258"/>
      <c r="AS92" s="121"/>
      <c r="AT92" s="121"/>
    </row>
    <row r="93" spans="38:46">
      <c r="AL93" s="121"/>
      <c r="AM93" s="121"/>
      <c r="AN93" s="504" t="s">
        <v>2326</v>
      </c>
      <c r="AO93" s="527" t="s">
        <v>2327</v>
      </c>
      <c r="AP93" s="257">
        <f t="shared" si="3"/>
        <v>0</v>
      </c>
      <c r="AQ93" s="321"/>
      <c r="AR93" s="258"/>
      <c r="AS93" s="121"/>
      <c r="AT93" s="121"/>
    </row>
    <row r="94" spans="38:46">
      <c r="AL94" s="121"/>
      <c r="AM94" s="121"/>
      <c r="AN94" s="504" t="s">
        <v>2328</v>
      </c>
      <c r="AO94" s="528" t="s">
        <v>2329</v>
      </c>
      <c r="AP94" s="257">
        <f t="shared" si="3"/>
        <v>0</v>
      </c>
      <c r="AQ94" s="321"/>
      <c r="AR94" s="258"/>
      <c r="AS94" s="121"/>
      <c r="AT94" s="121"/>
    </row>
    <row r="95" spans="38:46">
      <c r="AL95" s="121"/>
      <c r="AM95" s="121"/>
      <c r="AN95" s="504" t="s">
        <v>2330</v>
      </c>
      <c r="AO95" s="528" t="s">
        <v>2331</v>
      </c>
      <c r="AP95" s="257">
        <f t="shared" si="3"/>
        <v>0</v>
      </c>
      <c r="AQ95" s="321"/>
      <c r="AR95" s="258"/>
      <c r="AS95" s="121"/>
      <c r="AT95" s="121"/>
    </row>
    <row r="96" spans="38:46">
      <c r="AL96" s="121"/>
      <c r="AM96" s="121"/>
      <c r="AN96" s="504" t="s">
        <v>2332</v>
      </c>
      <c r="AO96" s="527" t="s">
        <v>2333</v>
      </c>
      <c r="AP96" s="257">
        <f t="shared" si="3"/>
        <v>0</v>
      </c>
      <c r="AQ96" s="321"/>
      <c r="AR96" s="258"/>
      <c r="AS96" s="121"/>
      <c r="AT96" s="121"/>
    </row>
    <row r="97" spans="38:46">
      <c r="AL97" s="121"/>
      <c r="AM97" s="121"/>
      <c r="AN97" s="504" t="s">
        <v>2334</v>
      </c>
      <c r="AO97" s="527" t="s">
        <v>2335</v>
      </c>
      <c r="AP97" s="257">
        <f t="shared" si="3"/>
        <v>0</v>
      </c>
      <c r="AQ97" s="321"/>
      <c r="AR97" s="258"/>
      <c r="AS97" s="121"/>
      <c r="AT97" s="121"/>
    </row>
    <row r="98" spans="38:46" ht="22.5">
      <c r="AL98" s="121"/>
      <c r="AM98" s="121"/>
      <c r="AN98" s="504" t="s">
        <v>2336</v>
      </c>
      <c r="AO98" s="527" t="s">
        <v>2337</v>
      </c>
      <c r="AP98" s="257">
        <f t="shared" si="3"/>
        <v>0</v>
      </c>
      <c r="AQ98" s="321"/>
      <c r="AR98" s="258"/>
      <c r="AS98" s="121"/>
      <c r="AT98" s="121"/>
    </row>
    <row r="99" spans="38:46">
      <c r="AL99" s="121"/>
      <c r="AM99" s="121"/>
      <c r="AN99" s="504" t="s">
        <v>2338</v>
      </c>
      <c r="AO99" s="527" t="s">
        <v>2339</v>
      </c>
      <c r="AP99" s="257">
        <f t="shared" si="3"/>
        <v>0</v>
      </c>
      <c r="AQ99" s="321"/>
      <c r="AR99" s="258"/>
      <c r="AS99" s="121"/>
      <c r="AT99" s="121"/>
    </row>
    <row r="100" spans="38:46">
      <c r="AL100" s="121"/>
      <c r="AM100" s="121"/>
      <c r="AN100" s="504" t="s">
        <v>2340</v>
      </c>
      <c r="AO100" s="528" t="s">
        <v>2341</v>
      </c>
      <c r="AP100" s="257">
        <f t="shared" si="3"/>
        <v>0</v>
      </c>
      <c r="AQ100" s="321"/>
      <c r="AR100" s="258"/>
      <c r="AS100" s="121"/>
      <c r="AT100" s="121"/>
    </row>
    <row r="101" spans="38:46">
      <c r="AL101" s="121"/>
      <c r="AM101" s="121"/>
      <c r="AN101" s="504" t="s">
        <v>2342</v>
      </c>
      <c r="AO101" s="528" t="s">
        <v>2343</v>
      </c>
      <c r="AP101" s="257">
        <f t="shared" si="3"/>
        <v>0</v>
      </c>
      <c r="AQ101" s="321"/>
      <c r="AR101" s="258"/>
      <c r="AS101" s="121"/>
      <c r="AT101" s="121"/>
    </row>
    <row r="102" spans="38:46">
      <c r="AL102" s="121"/>
      <c r="AM102" s="121"/>
      <c r="AN102" s="504" t="s">
        <v>2344</v>
      </c>
      <c r="AO102" s="528" t="s">
        <v>2345</v>
      </c>
      <c r="AP102" s="257">
        <f t="shared" si="3"/>
        <v>0</v>
      </c>
      <c r="AQ102" s="321"/>
      <c r="AR102" s="258"/>
      <c r="AS102" s="121"/>
      <c r="AT102" s="121"/>
    </row>
    <row r="103" spans="38:46">
      <c r="AL103" s="121"/>
      <c r="AM103" s="121"/>
      <c r="AN103" s="504" t="s">
        <v>2346</v>
      </c>
      <c r="AO103" s="528" t="s">
        <v>2347</v>
      </c>
      <c r="AP103" s="257">
        <f t="shared" si="3"/>
        <v>0</v>
      </c>
      <c r="AQ103" s="321"/>
      <c r="AR103" s="258"/>
      <c r="AS103" s="121"/>
      <c r="AT103" s="121"/>
    </row>
    <row r="104" spans="38:46">
      <c r="AL104" s="121"/>
      <c r="AM104" s="121"/>
      <c r="AN104" s="504" t="s">
        <v>2348</v>
      </c>
      <c r="AO104" s="528" t="s">
        <v>2349</v>
      </c>
      <c r="AP104" s="257">
        <f t="shared" si="3"/>
        <v>0</v>
      </c>
      <c r="AQ104" s="321"/>
      <c r="AR104" s="258"/>
      <c r="AS104" s="121"/>
      <c r="AT104" s="121"/>
    </row>
    <row r="105" spans="38:46">
      <c r="AL105" s="121"/>
      <c r="AM105" s="121"/>
      <c r="AN105" s="504" t="s">
        <v>2350</v>
      </c>
      <c r="AO105" s="528" t="s">
        <v>2351</v>
      </c>
      <c r="AP105" s="257">
        <f t="shared" si="3"/>
        <v>0</v>
      </c>
      <c r="AQ105" s="321"/>
      <c r="AR105" s="258"/>
      <c r="AS105" s="121"/>
      <c r="AT105" s="121"/>
    </row>
    <row r="106" spans="38:46">
      <c r="AL106" s="121"/>
      <c r="AM106" s="121"/>
      <c r="AN106" s="504" t="s">
        <v>2352</v>
      </c>
      <c r="AO106" s="528" t="s">
        <v>2353</v>
      </c>
      <c r="AP106" s="257">
        <f t="shared" si="3"/>
        <v>0</v>
      </c>
      <c r="AQ106" s="321"/>
      <c r="AR106" s="258"/>
      <c r="AS106" s="121"/>
      <c r="AT106" s="121"/>
    </row>
    <row r="107" spans="38:46">
      <c r="AL107" s="121"/>
      <c r="AM107" s="121"/>
      <c r="AN107" s="504" t="s">
        <v>2354</v>
      </c>
      <c r="AO107" s="528" t="s">
        <v>2355</v>
      </c>
      <c r="AP107" s="257">
        <f t="shared" si="3"/>
        <v>0</v>
      </c>
      <c r="AQ107" s="321"/>
      <c r="AR107" s="258"/>
      <c r="AS107" s="121"/>
      <c r="AT107" s="121"/>
    </row>
    <row r="108" spans="38:46">
      <c r="AL108" s="121"/>
      <c r="AM108" s="121"/>
      <c r="AN108" s="504" t="s">
        <v>2356</v>
      </c>
      <c r="AO108" s="528" t="s">
        <v>2357</v>
      </c>
      <c r="AP108" s="257">
        <f t="shared" si="3"/>
        <v>0</v>
      </c>
      <c r="AQ108" s="321"/>
      <c r="AR108" s="258"/>
      <c r="AS108" s="121"/>
      <c r="AT108" s="121"/>
    </row>
    <row r="109" spans="38:46" ht="22.5">
      <c r="AL109" s="121"/>
      <c r="AM109" s="121"/>
      <c r="AN109" s="504" t="s">
        <v>2358</v>
      </c>
      <c r="AO109" s="536" t="s">
        <v>2359</v>
      </c>
      <c r="AP109" s="257">
        <f t="shared" si="3"/>
        <v>0</v>
      </c>
      <c r="AQ109" s="321"/>
      <c r="AR109" s="258"/>
      <c r="AS109" s="121"/>
      <c r="AT109" s="121"/>
    </row>
    <row r="110" spans="38:46">
      <c r="AL110" s="121"/>
      <c r="AM110" s="121"/>
      <c r="AN110" s="504" t="s">
        <v>2360</v>
      </c>
      <c r="AO110" s="537" t="s">
        <v>2444</v>
      </c>
      <c r="AP110" s="257">
        <f t="shared" si="3"/>
        <v>0</v>
      </c>
      <c r="AQ110" s="321"/>
      <c r="AR110" s="258"/>
      <c r="AS110" s="121"/>
      <c r="AT110" s="121"/>
    </row>
    <row r="111" spans="38:46">
      <c r="AL111" s="121"/>
      <c r="AM111" s="121"/>
      <c r="AN111" s="504" t="s">
        <v>2361</v>
      </c>
      <c r="AO111" s="537" t="s">
        <v>2362</v>
      </c>
      <c r="AP111" s="257">
        <f t="shared" si="3"/>
        <v>0</v>
      </c>
      <c r="AQ111" s="321"/>
      <c r="AR111" s="258"/>
      <c r="AS111" s="121"/>
      <c r="AT111" s="121"/>
    </row>
    <row r="112" spans="38:46">
      <c r="AL112" s="121"/>
      <c r="AM112" s="121"/>
      <c r="AN112" s="504" t="s">
        <v>2363</v>
      </c>
      <c r="AO112" s="528" t="s">
        <v>872</v>
      </c>
      <c r="AP112" s="257">
        <f t="shared" si="3"/>
        <v>0</v>
      </c>
      <c r="AQ112" s="321"/>
      <c r="AR112" s="258"/>
      <c r="AS112" s="121"/>
      <c r="AT112" s="121"/>
    </row>
    <row r="113" spans="1:46" ht="22.5">
      <c r="AL113" s="121"/>
      <c r="AM113" s="121"/>
      <c r="AN113" s="504" t="s">
        <v>2364</v>
      </c>
      <c r="AO113" s="528" t="s">
        <v>2365</v>
      </c>
      <c r="AP113" s="257">
        <f t="shared" si="3"/>
        <v>0</v>
      </c>
      <c r="AQ113" s="321"/>
      <c r="AR113" s="258"/>
      <c r="AS113" s="121"/>
      <c r="AT113" s="121"/>
    </row>
    <row r="114" spans="1:46">
      <c r="AL114" s="121"/>
      <c r="AM114" s="121"/>
      <c r="AN114" s="504" t="s">
        <v>2366</v>
      </c>
      <c r="AO114" s="528" t="s">
        <v>2367</v>
      </c>
      <c r="AP114" s="257">
        <f t="shared" si="3"/>
        <v>0</v>
      </c>
      <c r="AQ114" s="321"/>
      <c r="AR114" s="258"/>
      <c r="AS114" s="121"/>
      <c r="AT114" s="121"/>
    </row>
    <row r="115" spans="1:46" ht="0.75" customHeight="1">
      <c r="AL115" s="121"/>
      <c r="AM115" s="121"/>
      <c r="AN115" s="504"/>
      <c r="AO115" s="526"/>
      <c r="AP115" s="527"/>
      <c r="AQ115" s="321"/>
      <c r="AR115" s="258"/>
      <c r="AS115" s="121"/>
      <c r="AT115" s="121"/>
    </row>
    <row r="116" spans="1:46" ht="0.75" customHeight="1">
      <c r="AL116" s="121"/>
      <c r="AM116" s="121"/>
      <c r="AN116" s="504"/>
      <c r="AO116" s="527"/>
      <c r="AP116" s="527"/>
      <c r="AQ116" s="321"/>
      <c r="AR116" s="258"/>
      <c r="AS116" s="121"/>
      <c r="AT116" s="121"/>
    </row>
    <row r="117" spans="1:46" ht="0.75" customHeight="1">
      <c r="AL117" s="121"/>
      <c r="AM117" s="121"/>
      <c r="AN117" s="504"/>
      <c r="AO117" s="528"/>
      <c r="AP117" s="527"/>
      <c r="AQ117" s="321"/>
      <c r="AR117" s="258"/>
      <c r="AS117" s="121"/>
      <c r="AT117" s="121"/>
    </row>
    <row r="118" spans="1:46" ht="0.75" customHeight="1">
      <c r="AL118" s="121"/>
      <c r="AM118" s="121"/>
      <c r="AN118" s="504"/>
      <c r="AO118" s="527"/>
      <c r="AP118" s="527"/>
      <c r="AQ118" s="321"/>
      <c r="AR118" s="258"/>
      <c r="AS118" s="121"/>
      <c r="AT118" s="121"/>
    </row>
    <row r="119" spans="1:46" ht="0.75" customHeight="1">
      <c r="AL119" s="121"/>
      <c r="AM119" s="121"/>
      <c r="AN119" s="504"/>
      <c r="AO119" s="527"/>
      <c r="AP119" s="527"/>
      <c r="AQ119" s="321"/>
      <c r="AR119" s="258"/>
      <c r="AS119" s="121"/>
      <c r="AT119" s="121"/>
    </row>
    <row r="120" spans="1:46" ht="0.75" customHeight="1">
      <c r="AL120" s="121"/>
      <c r="AM120" s="121"/>
      <c r="AN120" s="504"/>
      <c r="AO120" s="527"/>
      <c r="AP120" s="527"/>
      <c r="AQ120" s="321"/>
      <c r="AR120" s="258"/>
      <c r="AS120" s="121"/>
      <c r="AT120" s="121"/>
    </row>
    <row r="121" spans="1:46" ht="0.75" customHeight="1">
      <c r="AL121" s="121"/>
      <c r="AM121" s="121"/>
      <c r="AN121" s="504"/>
      <c r="AO121" s="527"/>
      <c r="AP121" s="527"/>
      <c r="AQ121" s="321"/>
      <c r="AR121" s="258"/>
      <c r="AS121" s="121"/>
      <c r="AT121" s="121"/>
    </row>
    <row r="122" spans="1:46" ht="0.75" customHeight="1">
      <c r="AL122" s="121"/>
      <c r="AM122" s="121"/>
      <c r="AN122" s="504"/>
      <c r="AO122" s="528"/>
      <c r="AP122" s="527"/>
      <c r="AQ122" s="321"/>
      <c r="AR122" s="258"/>
      <c r="AS122" s="121"/>
      <c r="AT122" s="121"/>
    </row>
    <row r="123" spans="1:46" ht="0.75" customHeight="1">
      <c r="AL123" s="121"/>
      <c r="AM123" s="121"/>
      <c r="AN123" s="504"/>
      <c r="AO123" s="538"/>
      <c r="AP123" s="527"/>
      <c r="AQ123" s="321"/>
      <c r="AR123" s="258"/>
      <c r="AS123" s="121"/>
      <c r="AT123" s="121"/>
    </row>
    <row r="124" spans="1:46" ht="0.75" customHeight="1">
      <c r="AL124" s="121"/>
      <c r="AM124" s="121"/>
      <c r="AN124" s="504"/>
      <c r="AO124" s="528"/>
      <c r="AP124" s="527"/>
      <c r="AQ124" s="321"/>
      <c r="AR124" s="258"/>
      <c r="AS124" s="121"/>
      <c r="AT124" s="121"/>
    </row>
    <row r="125" spans="1:46" ht="0.75" customHeight="1">
      <c r="A125" s="47"/>
      <c r="B125" s="47"/>
      <c r="C125" s="47"/>
      <c r="D125" s="47"/>
      <c r="E125" s="47"/>
      <c r="F125" s="47"/>
      <c r="G125" s="47"/>
      <c r="H125" s="47"/>
      <c r="I125" s="47"/>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50"/>
      <c r="AM125" s="126"/>
      <c r="AN125" s="223"/>
      <c r="AO125" s="728"/>
      <c r="AP125" s="260"/>
      <c r="AQ125" s="258"/>
      <c r="AR125" s="258"/>
      <c r="AS125" s="127"/>
    </row>
    <row r="126" spans="1:46" ht="0.75" customHeight="1">
      <c r="A126" s="47"/>
      <c r="B126" s="47"/>
      <c r="C126" s="47"/>
      <c r="D126" s="47"/>
      <c r="E126" s="47"/>
      <c r="F126" s="47"/>
      <c r="G126" s="47"/>
      <c r="H126" s="47"/>
      <c r="I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50"/>
      <c r="AM126" s="126"/>
      <c r="AN126" s="223"/>
      <c r="AO126" s="728"/>
      <c r="AP126" s="260"/>
      <c r="AQ126" s="258"/>
      <c r="AR126" s="258"/>
      <c r="AS126" s="127"/>
    </row>
    <row r="127" spans="1:46" ht="0.75" customHeight="1">
      <c r="A127" s="47"/>
      <c r="B127" s="47"/>
      <c r="C127" s="47"/>
      <c r="D127" s="47"/>
      <c r="E127" s="47"/>
      <c r="F127" s="47"/>
      <c r="G127" s="47"/>
      <c r="H127" s="47"/>
      <c r="I127" s="4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50"/>
      <c r="AM127" s="126"/>
      <c r="AN127" s="223"/>
      <c r="AO127" s="728"/>
      <c r="AP127" s="260"/>
      <c r="AQ127" s="258"/>
      <c r="AR127" s="258"/>
      <c r="AS127" s="127"/>
    </row>
    <row r="128" spans="1:46" ht="0.75" customHeight="1">
      <c r="A128" s="47"/>
      <c r="B128" s="47"/>
      <c r="C128" s="47"/>
      <c r="D128" s="47"/>
      <c r="E128" s="47"/>
      <c r="F128" s="47"/>
      <c r="G128" s="47"/>
      <c r="H128" s="47"/>
      <c r="I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50"/>
      <c r="AM128" s="126"/>
      <c r="AN128" s="223"/>
      <c r="AO128" s="728"/>
      <c r="AP128" s="260"/>
      <c r="AQ128" s="258"/>
      <c r="AR128" s="258"/>
      <c r="AS128" s="127"/>
    </row>
    <row r="129" spans="1:46" ht="0.75" customHeight="1">
      <c r="A129" s="47"/>
      <c r="B129" s="47"/>
      <c r="C129" s="47"/>
      <c r="D129" s="47"/>
      <c r="E129" s="47"/>
      <c r="F129" s="47"/>
      <c r="G129" s="47"/>
      <c r="H129" s="47"/>
      <c r="I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50"/>
      <c r="AM129" s="126"/>
      <c r="AN129" s="223"/>
      <c r="AO129" s="728"/>
      <c r="AP129" s="260"/>
      <c r="AQ129" s="258"/>
      <c r="AR129" s="258"/>
      <c r="AS129" s="127"/>
    </row>
    <row r="130" spans="1:46" ht="0.75" customHeight="1">
      <c r="A130" s="47"/>
      <c r="B130" s="47"/>
      <c r="C130" s="47"/>
      <c r="D130" s="47"/>
      <c r="E130" s="47"/>
      <c r="F130" s="47"/>
      <c r="G130" s="47"/>
      <c r="H130" s="47"/>
      <c r="I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50"/>
      <c r="AM130" s="126"/>
      <c r="AN130" s="223"/>
      <c r="AO130" s="728"/>
      <c r="AP130" s="260"/>
      <c r="AQ130" s="258"/>
      <c r="AR130" s="258"/>
      <c r="AS130" s="127"/>
    </row>
    <row r="131" spans="1:46" ht="0.75" customHeight="1">
      <c r="AL131" s="121"/>
      <c r="AM131" s="121"/>
      <c r="AN131" s="504"/>
      <c r="AO131" s="526"/>
      <c r="AP131" s="526"/>
      <c r="AQ131" s="321"/>
      <c r="AR131" s="258"/>
      <c r="AS131" s="121"/>
      <c r="AT131" s="121"/>
    </row>
    <row r="132" spans="1:46" ht="0.75" customHeight="1">
      <c r="AL132" s="121"/>
      <c r="AM132" s="121"/>
      <c r="AN132" s="504"/>
      <c r="AO132" s="526"/>
      <c r="AP132" s="526"/>
      <c r="AQ132" s="321"/>
      <c r="AR132" s="258"/>
      <c r="AS132" s="121"/>
      <c r="AT132" s="121"/>
    </row>
    <row r="133" spans="1:46" ht="0.75" customHeight="1">
      <c r="AL133" s="121"/>
      <c r="AM133" s="121"/>
      <c r="AN133" s="504"/>
      <c r="AO133" s="526"/>
      <c r="AP133" s="526"/>
      <c r="AQ133" s="321"/>
      <c r="AR133" s="258"/>
      <c r="AS133" s="121"/>
      <c r="AT133" s="121"/>
    </row>
    <row r="134" spans="1:46" ht="0.75" customHeight="1">
      <c r="AL134" s="121"/>
      <c r="AM134" s="121"/>
      <c r="AN134" s="504"/>
      <c r="AO134" s="526"/>
      <c r="AP134" s="526"/>
      <c r="AQ134" s="321"/>
      <c r="AR134" s="258"/>
      <c r="AS134" s="121"/>
      <c r="AT134" s="121"/>
    </row>
    <row r="135" spans="1:46" ht="0.75" customHeight="1">
      <c r="AL135" s="121"/>
      <c r="AM135" s="121"/>
      <c r="AN135" s="504"/>
      <c r="AO135" s="526"/>
      <c r="AP135" s="526"/>
      <c r="AQ135" s="321"/>
      <c r="AR135" s="258"/>
      <c r="AS135" s="121"/>
      <c r="AT135" s="121"/>
    </row>
    <row r="136" spans="1:46" ht="0.75" customHeight="1">
      <c r="AL136" s="121"/>
      <c r="AM136" s="121"/>
      <c r="AN136" s="504"/>
      <c r="AO136" s="526"/>
      <c r="AP136" s="526"/>
      <c r="AQ136" s="321"/>
      <c r="AR136" s="258"/>
      <c r="AS136" s="121"/>
      <c r="AT136" s="121"/>
    </row>
    <row r="137" spans="1:46" ht="0.75" customHeight="1">
      <c r="AL137" s="121"/>
      <c r="AM137" s="121"/>
      <c r="AN137" s="504"/>
      <c r="AO137" s="526"/>
      <c r="AP137" s="526"/>
      <c r="AQ137" s="321"/>
      <c r="AR137" s="258"/>
      <c r="AS137" s="121"/>
      <c r="AT137" s="121"/>
    </row>
    <row r="138" spans="1:46" ht="0.75" customHeight="1">
      <c r="AL138" s="121"/>
      <c r="AM138" s="121"/>
      <c r="AN138" s="504"/>
      <c r="AO138" s="540"/>
      <c r="AP138" s="526"/>
      <c r="AQ138" s="321"/>
      <c r="AR138" s="258"/>
      <c r="AS138" s="121"/>
      <c r="AT138" s="121"/>
    </row>
    <row r="139" spans="1:46" ht="0.75" customHeight="1">
      <c r="AL139" s="121"/>
      <c r="AM139" s="121"/>
      <c r="AN139" s="504"/>
      <c r="AO139" s="526"/>
      <c r="AP139" s="526"/>
      <c r="AQ139" s="321"/>
      <c r="AR139" s="258"/>
      <c r="AS139" s="121"/>
      <c r="AT139" s="121"/>
    </row>
    <row r="140" spans="1:46" ht="0.75" customHeight="1">
      <c r="AL140" s="121"/>
      <c r="AM140" s="121"/>
      <c r="AN140" s="504"/>
      <c r="AO140" s="526"/>
      <c r="AP140" s="526"/>
      <c r="AQ140" s="321"/>
      <c r="AR140" s="258"/>
      <c r="AS140" s="121"/>
      <c r="AT140" s="121"/>
    </row>
    <row r="141" spans="1:46" ht="0.75" customHeight="1">
      <c r="AL141" s="121"/>
      <c r="AM141" s="121"/>
      <c r="AN141" s="504"/>
      <c r="AO141" s="526"/>
      <c r="AP141" s="526"/>
      <c r="AQ141" s="321"/>
      <c r="AR141" s="258"/>
      <c r="AS141" s="121"/>
      <c r="AT141" s="121"/>
    </row>
    <row r="142" spans="1:46" ht="0.75" customHeight="1">
      <c r="AL142" s="121"/>
      <c r="AM142" s="121"/>
      <c r="AN142" s="504"/>
      <c r="AO142" s="526"/>
      <c r="AP142" s="526"/>
      <c r="AQ142" s="321"/>
      <c r="AR142" s="258"/>
      <c r="AS142" s="121"/>
      <c r="AT142" s="121"/>
    </row>
    <row r="143" spans="1:46" ht="0.75" customHeight="1">
      <c r="AL143" s="121"/>
      <c r="AM143" s="121"/>
      <c r="AN143" s="504"/>
      <c r="AO143" s="526"/>
      <c r="AP143" s="526"/>
      <c r="AQ143" s="321"/>
      <c r="AR143" s="258"/>
      <c r="AS143" s="121"/>
      <c r="AT143" s="121"/>
    </row>
    <row r="144" spans="1:46" ht="0.75" customHeight="1">
      <c r="AL144" s="121"/>
      <c r="AM144" s="121"/>
      <c r="AN144" s="559"/>
      <c r="AO144" s="604"/>
      <c r="AP144" s="526"/>
      <c r="AQ144" s="321"/>
      <c r="AR144" s="258"/>
      <c r="AS144" s="121"/>
      <c r="AT144" s="121"/>
    </row>
    <row r="145" spans="1:46" s="121" customFormat="1" ht="0.75" customHeight="1">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N145" s="504"/>
      <c r="AO145" s="526"/>
      <c r="AP145" s="526"/>
      <c r="AQ145" s="321"/>
      <c r="AR145" s="258"/>
    </row>
    <row r="146" spans="1:46" s="121" customFormat="1" ht="0.75" customHeight="1">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N146" s="222"/>
      <c r="AO146" s="540"/>
      <c r="AP146" s="526"/>
      <c r="AQ146" s="321"/>
      <c r="AR146" s="258"/>
    </row>
    <row r="147" spans="1:46" s="121" customFormat="1" ht="0.75" customHeight="1">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N147" s="222"/>
      <c r="AO147" s="540"/>
      <c r="AP147" s="526"/>
      <c r="AQ147" s="321"/>
      <c r="AR147" s="258"/>
    </row>
    <row r="148" spans="1:46" s="121" customFormat="1" ht="0.75" customHeight="1">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N148" s="222"/>
      <c r="AO148" s="541"/>
      <c r="AP148" s="526"/>
      <c r="AQ148" s="321"/>
      <c r="AR148" s="258"/>
    </row>
    <row r="149" spans="1:46" ht="0.75" customHeight="1">
      <c r="AL149" s="121"/>
      <c r="AM149" s="121"/>
      <c r="AN149" s="222"/>
      <c r="AO149" s="502"/>
      <c r="AP149" s="526"/>
      <c r="AQ149" s="321"/>
      <c r="AR149" s="258"/>
      <c r="AS149" s="121"/>
      <c r="AT149" s="121"/>
    </row>
    <row r="150" spans="1:46" ht="0.75" customHeight="1">
      <c r="AL150" s="121"/>
      <c r="AM150" s="121"/>
      <c r="AN150" s="222"/>
      <c r="AO150" s="502"/>
      <c r="AP150" s="526"/>
      <c r="AQ150" s="321"/>
      <c r="AR150" s="258"/>
      <c r="AS150" s="121"/>
      <c r="AT150" s="121"/>
    </row>
    <row r="151" spans="1:46" s="121" customFormat="1" ht="0.75" customHeight="1">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N151" s="222"/>
      <c r="AO151" s="540"/>
      <c r="AP151" s="526"/>
      <c r="AQ151" s="321"/>
      <c r="AR151" s="258"/>
    </row>
    <row r="152" spans="1:46" s="121" customFormat="1" ht="0.75" customHeight="1">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N152" s="222"/>
      <c r="AO152" s="502"/>
      <c r="AP152" s="526"/>
      <c r="AQ152" s="321"/>
      <c r="AR152" s="258"/>
    </row>
    <row r="153" spans="1:46" s="121" customFormat="1" ht="0.75" customHeight="1">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N153" s="222"/>
      <c r="AO153" s="502"/>
      <c r="AP153" s="526"/>
      <c r="AQ153" s="321"/>
      <c r="AR153" s="258"/>
    </row>
    <row r="154" spans="1:46" s="121" customFormat="1" ht="0.75" customHeight="1">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N154" s="222"/>
      <c r="AO154" s="540"/>
      <c r="AP154" s="526"/>
      <c r="AQ154" s="321"/>
      <c r="AR154" s="258"/>
    </row>
    <row r="155" spans="1:46" s="121" customFormat="1" ht="0.75" customHeight="1">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N155" s="222"/>
      <c r="AO155" s="502"/>
      <c r="AP155" s="526"/>
      <c r="AQ155" s="321"/>
      <c r="AR155" s="258"/>
    </row>
    <row r="156" spans="1:46" s="121" customFormat="1" ht="0.75" customHeight="1">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N156" s="222"/>
      <c r="AO156" s="502"/>
      <c r="AP156" s="526"/>
      <c r="AQ156" s="321"/>
      <c r="AR156" s="258"/>
    </row>
    <row r="157" spans="1:46" ht="0.75" customHeight="1">
      <c r="AL157" s="121"/>
      <c r="AM157" s="121"/>
      <c r="AN157" s="222"/>
      <c r="AO157" s="540"/>
      <c r="AP157" s="526"/>
      <c r="AQ157" s="321"/>
      <c r="AR157" s="258"/>
      <c r="AS157" s="121"/>
      <c r="AT157" s="121"/>
    </row>
    <row r="158" spans="1:46" s="121" customFormat="1" ht="0.75" customHeight="1">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N158" s="222"/>
      <c r="AO158" s="502"/>
      <c r="AP158" s="526"/>
      <c r="AQ158" s="321"/>
      <c r="AR158" s="258"/>
    </row>
    <row r="159" spans="1:46" s="121" customFormat="1" ht="0.75" customHeight="1">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N159" s="222"/>
      <c r="AO159" s="502"/>
      <c r="AP159" s="526"/>
      <c r="AQ159" s="321"/>
      <c r="AR159" s="258"/>
    </row>
    <row r="160" spans="1:46" s="121" customFormat="1" ht="0.75" customHeight="1">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N160" s="222"/>
      <c r="AO160" s="502"/>
      <c r="AP160" s="526"/>
      <c r="AQ160" s="321"/>
      <c r="AR160" s="258"/>
    </row>
    <row r="161" spans="1:47" s="121" customFormat="1" ht="0.75" customHeight="1">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N161" s="436"/>
      <c r="AO161" s="235"/>
      <c r="AP161" s="526"/>
      <c r="AQ161" s="321"/>
      <c r="AR161" s="258"/>
    </row>
    <row r="162" spans="1:47" s="121" customFormat="1" ht="0.75" customHeight="1">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N162" s="436"/>
      <c r="AO162" s="571"/>
      <c r="AP162" s="526"/>
      <c r="AQ162" s="321"/>
      <c r="AR162" s="258"/>
    </row>
    <row r="163" spans="1:47" s="121" customFormat="1" ht="0.75" customHeight="1">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N163" s="496"/>
      <c r="AO163" s="571"/>
      <c r="AP163" s="526"/>
      <c r="AQ163" s="321"/>
      <c r="AR163" s="258"/>
    </row>
    <row r="164" spans="1:47" ht="0.75" customHeight="1">
      <c r="A164" s="121"/>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223"/>
      <c r="AO164" s="216"/>
      <c r="AP164" s="543"/>
      <c r="AQ164" s="523"/>
      <c r="AR164" s="265"/>
      <c r="AS164" s="121"/>
      <c r="AT164" s="121"/>
    </row>
    <row r="165" spans="1:47" s="54" customFormat="1">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M165" s="55"/>
      <c r="AN165" s="56"/>
      <c r="AQ165" s="121"/>
      <c r="AR165" s="48"/>
      <c r="AS165" s="121"/>
      <c r="AT165" s="121"/>
    </row>
    <row r="166" spans="1:47">
      <c r="AS166" s="121"/>
      <c r="AT166" s="121"/>
      <c r="AU166" s="54"/>
    </row>
  </sheetData>
  <sheetProtection password="FA9C" sheet="1" objects="1" scenarios="1" formatColumns="0" formatRows="0"/>
  <mergeCells count="4">
    <mergeCell ref="AN9:AP9"/>
    <mergeCell ref="AN11:AN12"/>
    <mergeCell ref="AO11:AO12"/>
    <mergeCell ref="AP11:AP12"/>
  </mergeCells>
  <phoneticPr fontId="0"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sheetPr codeName="VSNA_CALC_PERIOD1">
    <tabColor rgb="FF00B050"/>
    <outlinePr summaryBelow="0"/>
  </sheetPr>
  <dimension ref="A1:AT167"/>
  <sheetViews>
    <sheetView showGridLines="0" topLeftCell="AL8" workbookViewId="0"/>
  </sheetViews>
  <sheetFormatPr defaultColWidth="8.7109375" defaultRowHeight="11.25"/>
  <cols>
    <col min="1" max="37" width="2.7109375" style="121"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4" width="0.140625" style="47" customWidth="1"/>
    <col min="45" max="46" width="2.7109375" style="47" customWidth="1"/>
    <col min="47" max="16384" width="8.7109375" style="47"/>
  </cols>
  <sheetData>
    <row r="1" spans="1:46" ht="12" hidden="1" customHeight="1">
      <c r="A1" s="47"/>
      <c r="B1" s="47"/>
      <c r="C1" s="47"/>
      <c r="D1" s="47"/>
      <c r="E1" s="47"/>
      <c r="F1" s="47"/>
      <c r="G1" s="47"/>
      <c r="H1" s="47"/>
      <c r="I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row>
    <row r="2" spans="1:46" ht="12" hidden="1" customHeight="1">
      <c r="A2" s="47"/>
      <c r="B2" s="47"/>
      <c r="C2" s="47"/>
      <c r="D2" s="47"/>
      <c r="E2" s="47"/>
      <c r="F2" s="47"/>
      <c r="G2" s="47"/>
      <c r="H2" s="47"/>
      <c r="I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row>
    <row r="3" spans="1:46" ht="12" hidden="1" customHeight="1">
      <c r="A3" s="47"/>
      <c r="B3" s="47"/>
      <c r="C3" s="47"/>
      <c r="D3" s="47"/>
      <c r="E3" s="47"/>
      <c r="F3" s="47"/>
      <c r="G3" s="47"/>
      <c r="H3" s="47"/>
      <c r="I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row>
    <row r="4" spans="1:46" ht="12" hidden="1" customHeight="1">
      <c r="A4" s="47"/>
      <c r="B4" s="47"/>
      <c r="C4" s="47"/>
      <c r="D4" s="47"/>
      <c r="E4" s="47"/>
      <c r="F4" s="47"/>
      <c r="G4" s="47"/>
      <c r="H4" s="47"/>
      <c r="I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row>
    <row r="5" spans="1:46" ht="12" hidden="1" customHeight="1">
      <c r="A5" s="47"/>
      <c r="B5" s="47"/>
      <c r="C5" s="47"/>
      <c r="D5" s="47"/>
      <c r="E5" s="47"/>
      <c r="F5" s="47"/>
      <c r="G5" s="47"/>
      <c r="H5" s="47"/>
      <c r="I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row>
    <row r="6" spans="1:46" ht="12" hidden="1" customHeight="1">
      <c r="A6" s="47"/>
      <c r="B6" s="47"/>
      <c r="C6" s="47"/>
      <c r="D6" s="47"/>
      <c r="E6" s="47"/>
      <c r="F6" s="47"/>
      <c r="G6" s="47"/>
      <c r="H6" s="47"/>
      <c r="I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row>
    <row r="7" spans="1:46" ht="12" hidden="1" customHeight="1">
      <c r="A7" s="47"/>
      <c r="B7" s="47"/>
      <c r="C7" s="47"/>
      <c r="D7" s="47"/>
      <c r="E7" s="47"/>
      <c r="F7" s="47"/>
      <c r="G7" s="47"/>
      <c r="H7" s="47"/>
      <c r="I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row>
    <row r="8" spans="1:46" s="520" customFormat="1" ht="11.25" customHeight="1">
      <c r="J8" s="521"/>
      <c r="AM8" s="522"/>
      <c r="AN8" s="637">
        <f>IF(TARIFF_SETUP_METHOD_CODE="BY_PSEUDO_YEARS",12,6)</f>
        <v>6</v>
      </c>
      <c r="AO8" s="431" t="str">
        <f>"Необходимо указывать " &amp; IF(TARIFF_SETUP_METHOD_CODE="BY_PSEUDO_YEARS","общегодовые значения","значения по периодам")</f>
        <v>Необходимо указывать значения по периодам</v>
      </c>
      <c r="AP8" s="616" t="s">
        <v>785</v>
      </c>
      <c r="AQ8" s="522"/>
      <c r="AR8" s="522"/>
      <c r="AS8" s="522"/>
    </row>
    <row r="9" spans="1:46"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по муниципальному образованию - " &amp; IF(mo="","Не определено",mo)</f>
        <v>Фактические расходы организаций водоотведения по муниципальному образованию - Село Булава</v>
      </c>
      <c r="AO9" s="917"/>
      <c r="AP9" s="917"/>
      <c r="AQ9" s="201"/>
      <c r="AR9" s="122"/>
      <c r="AS9" s="200"/>
    </row>
    <row r="10" spans="1:46" ht="12" customHeight="1">
      <c r="A10" s="47"/>
      <c r="B10" s="47"/>
      <c r="C10" s="47"/>
      <c r="D10" s="47"/>
      <c r="E10" s="47"/>
      <c r="F10" s="47"/>
      <c r="G10" s="47"/>
      <c r="H10" s="47"/>
      <c r="I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M10" s="124"/>
      <c r="AN10" s="430" t="s">
        <v>2489</v>
      </c>
      <c r="AO10" s="221"/>
      <c r="AP10" s="122" t="s">
        <v>786</v>
      </c>
      <c r="AQ10" s="201"/>
      <c r="AR10" s="168" t="s">
        <v>720</v>
      </c>
      <c r="AS10" s="53"/>
    </row>
    <row r="11" spans="1:46" ht="12" customHeight="1">
      <c r="A11" s="47"/>
      <c r="B11" s="47"/>
      <c r="C11" s="47"/>
      <c r="D11" s="47"/>
      <c r="E11" s="47"/>
      <c r="F11" s="47"/>
      <c r="G11" s="47"/>
      <c r="H11" s="47"/>
      <c r="I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50"/>
      <c r="AM11" s="125"/>
      <c r="AN11" s="802" t="s">
        <v>641</v>
      </c>
      <c r="AO11" s="804" t="s">
        <v>787</v>
      </c>
      <c r="AP11" s="806" t="s">
        <v>778</v>
      </c>
      <c r="AQ11" s="206">
        <v>0</v>
      </c>
      <c r="AR11" s="206"/>
      <c r="AS11" s="220"/>
    </row>
    <row r="12" spans="1:46" ht="48" customHeight="1">
      <c r="A12" s="47"/>
      <c r="B12" s="47"/>
      <c r="C12" s="47"/>
      <c r="D12" s="47"/>
      <c r="E12" s="47"/>
      <c r="F12" s="47"/>
      <c r="G12" s="47"/>
      <c r="H12" s="47"/>
      <c r="I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50"/>
      <c r="AM12" s="125"/>
      <c r="AN12" s="803"/>
      <c r="AO12" s="805"/>
      <c r="AP12" s="807"/>
      <c r="AQ12" s="207"/>
      <c r="AR12" s="207"/>
      <c r="AS12" s="121"/>
      <c r="AT12" s="121"/>
    </row>
    <row r="13" spans="1:46">
      <c r="A13" s="47"/>
      <c r="B13" s="47"/>
      <c r="C13" s="47"/>
      <c r="D13" s="47"/>
      <c r="E13" s="47"/>
      <c r="F13" s="47"/>
      <c r="G13" s="47"/>
      <c r="H13" s="47"/>
      <c r="I13" s="47"/>
      <c r="AL13" s="121"/>
      <c r="AM13" s="121"/>
      <c r="AN13" s="222"/>
      <c r="AO13" s="501" t="s">
        <v>788</v>
      </c>
      <c r="AP13" s="542"/>
      <c r="AQ13" s="330"/>
      <c r="AR13" s="207"/>
      <c r="AS13" s="121"/>
      <c r="AT13" s="121"/>
    </row>
    <row r="14" spans="1:46" ht="24" customHeight="1">
      <c r="A14" s="47"/>
      <c r="B14" s="47"/>
      <c r="C14" s="47"/>
      <c r="D14" s="47"/>
      <c r="E14" s="47"/>
      <c r="F14" s="47"/>
      <c r="G14" s="47"/>
      <c r="H14" s="47"/>
      <c r="I14" s="47"/>
      <c r="AL14" s="121"/>
      <c r="AM14" s="121"/>
      <c r="AN14" s="222"/>
      <c r="AO14" s="556" t="str">
        <f>IF(CALC_IDENTIFIER="","",CALC_IDENTIFIER)</f>
        <v/>
      </c>
      <c r="AP14" s="557" t="s">
        <v>745</v>
      </c>
      <c r="AQ14" s="330"/>
      <c r="AR14" s="207"/>
      <c r="AS14" s="121"/>
      <c r="AT14" s="121"/>
    </row>
    <row r="15" spans="1:46">
      <c r="AL15" s="121"/>
      <c r="AM15" s="121"/>
      <c r="AN15" s="504" t="s">
        <v>642</v>
      </c>
      <c r="AO15" s="566" t="str">
        <f>IF(TEMPLATE_SPHERE="водоснабжения","Объём отпуска воды (тыс. куб.м)",IF(TEMPLATE_SPHERE="водоотведения","Пропущено сточных вод, всего (тыс. куб.м)"))</f>
        <v>Пропущено сточных вод, всего (тыс. куб.м)</v>
      </c>
      <c r="AP15" s="551">
        <f t="shared" ref="AP15:AP22" si="0">SUMIF(AQ$14:AR$14,AP$14,AQ15:AR15)</f>
        <v>0</v>
      </c>
      <c r="AQ15" s="321"/>
      <c r="AR15" s="258"/>
      <c r="AS15" s="121"/>
      <c r="AT15" s="121"/>
    </row>
    <row r="16" spans="1:46" ht="22.5">
      <c r="AL16" s="121"/>
      <c r="AM16" s="121"/>
      <c r="AN16" s="504" t="s">
        <v>790</v>
      </c>
      <c r="AO16" s="527" t="s">
        <v>369</v>
      </c>
      <c r="AP16" s="257">
        <f t="shared" si="0"/>
        <v>0</v>
      </c>
      <c r="AQ16" s="321"/>
      <c r="AR16" s="258"/>
      <c r="AS16" s="121"/>
      <c r="AT16" s="121"/>
    </row>
    <row r="17" spans="38:46">
      <c r="AL17" s="121"/>
      <c r="AM17" s="121"/>
      <c r="AN17" s="504" t="s">
        <v>751</v>
      </c>
      <c r="AO17" s="526" t="s">
        <v>2814</v>
      </c>
      <c r="AP17" s="257">
        <f t="shared" si="0"/>
        <v>0</v>
      </c>
      <c r="AQ17" s="321"/>
      <c r="AR17" s="258"/>
      <c r="AS17" s="121"/>
      <c r="AT17" s="121"/>
    </row>
    <row r="18" spans="38:46">
      <c r="AL18" s="121"/>
      <c r="AM18" s="121"/>
      <c r="AN18" s="504" t="s">
        <v>66</v>
      </c>
      <c r="AO18" s="527" t="s">
        <v>2815</v>
      </c>
      <c r="AP18" s="257">
        <f t="shared" si="0"/>
        <v>0</v>
      </c>
      <c r="AQ18" s="321"/>
      <c r="AR18" s="258"/>
      <c r="AS18" s="121"/>
      <c r="AT18" s="121"/>
    </row>
    <row r="19" spans="38:46">
      <c r="AL19" s="121"/>
      <c r="AM19" s="121"/>
      <c r="AN19" s="504" t="s">
        <v>632</v>
      </c>
      <c r="AO19" s="528" t="s">
        <v>2816</v>
      </c>
      <c r="AP19" s="257">
        <f t="shared" si="0"/>
        <v>0</v>
      </c>
      <c r="AQ19" s="321"/>
      <c r="AR19" s="258"/>
      <c r="AS19" s="121"/>
      <c r="AT19" s="121"/>
    </row>
    <row r="20" spans="38:46">
      <c r="AL20" s="121"/>
      <c r="AM20" s="121"/>
      <c r="AN20" s="223" t="s">
        <v>2817</v>
      </c>
      <c r="AO20" s="529" t="s">
        <v>2972</v>
      </c>
      <c r="AP20" s="257">
        <f t="shared" si="0"/>
        <v>0</v>
      </c>
      <c r="AQ20" s="321"/>
      <c r="AR20" s="258"/>
      <c r="AS20" s="121"/>
      <c r="AT20" s="121"/>
    </row>
    <row r="21" spans="38:46">
      <c r="AL21" s="121"/>
      <c r="AM21" s="121"/>
      <c r="AN21" s="223" t="s">
        <v>2818</v>
      </c>
      <c r="AO21" s="529" t="s">
        <v>2988</v>
      </c>
      <c r="AP21" s="257">
        <f t="shared" si="0"/>
        <v>0</v>
      </c>
      <c r="AQ21" s="321"/>
      <c r="AR21" s="258"/>
      <c r="AS21" s="121"/>
      <c r="AT21" s="121"/>
    </row>
    <row r="22" spans="38:46">
      <c r="AL22" s="121"/>
      <c r="AM22" s="121"/>
      <c r="AN22" s="223" t="s">
        <v>8</v>
      </c>
      <c r="AO22" s="529" t="s">
        <v>3011</v>
      </c>
      <c r="AP22" s="257">
        <f t="shared" si="0"/>
        <v>0</v>
      </c>
      <c r="AQ22" s="321"/>
      <c r="AR22" s="258"/>
      <c r="AS22" s="121"/>
      <c r="AT22" s="121"/>
    </row>
    <row r="23" spans="38:46">
      <c r="AL23" s="121"/>
      <c r="AM23" s="121"/>
      <c r="AN23" s="524" t="s">
        <v>9</v>
      </c>
      <c r="AO23" s="530" t="s">
        <v>2968</v>
      </c>
      <c r="AP23" s="544">
        <f>IF(AP24=0,0,AP22/AP24)</f>
        <v>0</v>
      </c>
      <c r="AQ23" s="321"/>
      <c r="AR23" s="258"/>
      <c r="AS23" s="121"/>
      <c r="AT23" s="121"/>
    </row>
    <row r="24" spans="38:46">
      <c r="AL24" s="121"/>
      <c r="AM24" s="121"/>
      <c r="AN24" s="524" t="s">
        <v>10</v>
      </c>
      <c r="AO24" s="530" t="s">
        <v>2972</v>
      </c>
      <c r="AP24" s="257">
        <f>SUMIF(AQ$14:AR$14,AP$14,AQ24:AR24)</f>
        <v>0</v>
      </c>
      <c r="AQ24" s="321"/>
      <c r="AR24" s="258"/>
      <c r="AS24" s="121"/>
      <c r="AT24" s="121"/>
    </row>
    <row r="25" spans="38:46">
      <c r="AL25" s="121"/>
      <c r="AM25" s="121"/>
      <c r="AN25" s="223" t="s">
        <v>11</v>
      </c>
      <c r="AO25" s="531" t="s">
        <v>3015</v>
      </c>
      <c r="AP25" s="257">
        <f>SUMIF(AQ$14:AR$14,AP$14,AQ25:AR25)</f>
        <v>0</v>
      </c>
      <c r="AQ25" s="321"/>
      <c r="AR25" s="258"/>
      <c r="AS25" s="121"/>
      <c r="AT25" s="121"/>
    </row>
    <row r="26" spans="38:46">
      <c r="AL26" s="121"/>
      <c r="AM26" s="121"/>
      <c r="AN26" s="524" t="s">
        <v>12</v>
      </c>
      <c r="AO26" s="530" t="s">
        <v>2970</v>
      </c>
      <c r="AP26" s="544">
        <f>IF(AP27=0,0,AP25/AP27)</f>
        <v>0</v>
      </c>
      <c r="AQ26" s="321"/>
      <c r="AR26" s="258"/>
      <c r="AS26" s="121"/>
      <c r="AT26" s="121"/>
    </row>
    <row r="27" spans="38:46">
      <c r="AL27" s="121"/>
      <c r="AM27" s="121"/>
      <c r="AN27" s="524" t="s">
        <v>13</v>
      </c>
      <c r="AO27" s="530" t="s">
        <v>3018</v>
      </c>
      <c r="AP27" s="257">
        <f>SUMIF(AQ$14:AR$14,AP$14,AQ27:AR27)</f>
        <v>0</v>
      </c>
      <c r="AQ27" s="321"/>
      <c r="AR27" s="258"/>
      <c r="AS27" s="121"/>
      <c r="AT27" s="121"/>
    </row>
    <row r="28" spans="38:46">
      <c r="AL28" s="121"/>
      <c r="AM28" s="121"/>
      <c r="AN28" s="223" t="s">
        <v>14</v>
      </c>
      <c r="AO28" s="529" t="s">
        <v>3020</v>
      </c>
      <c r="AP28" s="257">
        <f>SUMIF(AQ$14:AR$14,AP$14,AQ28:AR28)</f>
        <v>0</v>
      </c>
      <c r="AQ28" s="321"/>
      <c r="AR28" s="258"/>
      <c r="AS28" s="121"/>
      <c r="AT28" s="121"/>
    </row>
    <row r="29" spans="38:46">
      <c r="AL29" s="121"/>
      <c r="AM29" s="121"/>
      <c r="AN29" s="524" t="s">
        <v>15</v>
      </c>
      <c r="AO29" s="530" t="s">
        <v>2968</v>
      </c>
      <c r="AP29" s="544">
        <f>IF(AP30=0,0,AP28/AP30)</f>
        <v>0</v>
      </c>
      <c r="AQ29" s="321"/>
      <c r="AR29" s="258"/>
      <c r="AS29" s="121"/>
      <c r="AT29" s="121"/>
    </row>
    <row r="30" spans="38:46">
      <c r="AL30" s="121"/>
      <c r="AM30" s="121"/>
      <c r="AN30" s="524" t="s">
        <v>16</v>
      </c>
      <c r="AO30" s="530" t="s">
        <v>2972</v>
      </c>
      <c r="AP30" s="257">
        <f>SUMIF(AQ$14:AR$14,AP$14,AQ30:AR30)</f>
        <v>0</v>
      </c>
      <c r="AQ30" s="321"/>
      <c r="AR30" s="258"/>
      <c r="AS30" s="121"/>
      <c r="AT30" s="121"/>
    </row>
    <row r="31" spans="38:46">
      <c r="AL31" s="121"/>
      <c r="AM31" s="121"/>
      <c r="AN31" s="223" t="s">
        <v>17</v>
      </c>
      <c r="AO31" s="531" t="s">
        <v>3024</v>
      </c>
      <c r="AP31" s="257">
        <f>SUMIF(AQ$14:AR$14,AP$14,AQ31:AR31)</f>
        <v>0</v>
      </c>
      <c r="AQ31" s="321"/>
      <c r="AR31" s="258"/>
      <c r="AS31" s="121"/>
      <c r="AT31" s="121"/>
    </row>
    <row r="32" spans="38:46">
      <c r="AL32" s="121"/>
      <c r="AM32" s="121"/>
      <c r="AN32" s="524" t="s">
        <v>18</v>
      </c>
      <c r="AO32" s="530" t="s">
        <v>2970</v>
      </c>
      <c r="AP32" s="544">
        <f>IF(AP33=0,0,AP31/AP33)</f>
        <v>0</v>
      </c>
      <c r="AQ32" s="321"/>
      <c r="AR32" s="258"/>
      <c r="AS32" s="121"/>
      <c r="AT32" s="121"/>
    </row>
    <row r="33" spans="38:46">
      <c r="AL33" s="121"/>
      <c r="AM33" s="121"/>
      <c r="AN33" s="524" t="s">
        <v>19</v>
      </c>
      <c r="AO33" s="530" t="s">
        <v>3018</v>
      </c>
      <c r="AP33" s="257">
        <f>SUMIF(AQ$14:AR$14,AP$14,AQ33:AR33)</f>
        <v>0</v>
      </c>
      <c r="AQ33" s="321"/>
      <c r="AR33" s="258"/>
      <c r="AS33" s="121"/>
      <c r="AT33" s="121"/>
    </row>
    <row r="34" spans="38:46">
      <c r="AL34" s="121"/>
      <c r="AM34" s="121"/>
      <c r="AN34" s="223" t="s">
        <v>20</v>
      </c>
      <c r="AO34" s="529" t="s">
        <v>3028</v>
      </c>
      <c r="AP34" s="257">
        <f>SUMIF(AQ$14:AR$14,AP$14,AQ34:AR34)</f>
        <v>0</v>
      </c>
      <c r="AQ34" s="321"/>
      <c r="AR34" s="258"/>
      <c r="AS34" s="121"/>
      <c r="AT34" s="121"/>
    </row>
    <row r="35" spans="38:46">
      <c r="AL35" s="121"/>
      <c r="AM35" s="121"/>
      <c r="AN35" s="524" t="s">
        <v>21</v>
      </c>
      <c r="AO35" s="530" t="s">
        <v>2968</v>
      </c>
      <c r="AP35" s="544">
        <f>IF(AP36=0,0,AP34/AP36)</f>
        <v>0</v>
      </c>
      <c r="AQ35" s="321"/>
      <c r="AR35" s="258"/>
      <c r="AS35" s="121"/>
      <c r="AT35" s="121"/>
    </row>
    <row r="36" spans="38:46">
      <c r="AL36" s="121"/>
      <c r="AM36" s="121"/>
      <c r="AN36" s="524" t="s">
        <v>22</v>
      </c>
      <c r="AO36" s="530" t="s">
        <v>2972</v>
      </c>
      <c r="AP36" s="257">
        <f>SUMIF(AQ$14:AR$14,AP$14,AQ36:AR36)</f>
        <v>0</v>
      </c>
      <c r="AQ36" s="321"/>
      <c r="AR36" s="258"/>
      <c r="AS36" s="121"/>
      <c r="AT36" s="121"/>
    </row>
    <row r="37" spans="38:46">
      <c r="AL37" s="121"/>
      <c r="AM37" s="121"/>
      <c r="AN37" s="223" t="s">
        <v>23</v>
      </c>
      <c r="AO37" s="531" t="s">
        <v>3032</v>
      </c>
      <c r="AP37" s="257">
        <f>SUMIF(AQ$14:AR$14,AP$14,AQ37:AR37)</f>
        <v>0</v>
      </c>
      <c r="AQ37" s="321"/>
      <c r="AR37" s="258"/>
      <c r="AS37" s="121"/>
      <c r="AT37" s="121"/>
    </row>
    <row r="38" spans="38:46">
      <c r="AL38" s="121"/>
      <c r="AM38" s="121"/>
      <c r="AN38" s="524" t="s">
        <v>24</v>
      </c>
      <c r="AO38" s="530" t="s">
        <v>2970</v>
      </c>
      <c r="AP38" s="544">
        <f>IF(AP39=0,0,AP37/AP39)</f>
        <v>0</v>
      </c>
      <c r="AQ38" s="321"/>
      <c r="AR38" s="258"/>
      <c r="AS38" s="121"/>
      <c r="AT38" s="121"/>
    </row>
    <row r="39" spans="38:46">
      <c r="AL39" s="121"/>
      <c r="AM39" s="121"/>
      <c r="AN39" s="524" t="s">
        <v>25</v>
      </c>
      <c r="AO39" s="530" t="s">
        <v>3018</v>
      </c>
      <c r="AP39" s="257">
        <f>SUMIF(AQ$14:AR$14,AP$14,AQ39:AR39)</f>
        <v>0</v>
      </c>
      <c r="AQ39" s="321"/>
      <c r="AR39" s="258"/>
      <c r="AS39" s="121"/>
      <c r="AT39" s="121"/>
    </row>
    <row r="40" spans="38:46">
      <c r="AL40" s="121"/>
      <c r="AM40" s="121"/>
      <c r="AN40" s="223" t="s">
        <v>26</v>
      </c>
      <c r="AO40" s="529" t="s">
        <v>3036</v>
      </c>
      <c r="AP40" s="257">
        <f>SUMIF(AQ$14:AR$14,AP$14,AQ40:AR40)</f>
        <v>0</v>
      </c>
      <c r="AQ40" s="321"/>
      <c r="AR40" s="258"/>
      <c r="AS40" s="121"/>
      <c r="AT40" s="121"/>
    </row>
    <row r="41" spans="38:46">
      <c r="AL41" s="121"/>
      <c r="AM41" s="121"/>
      <c r="AN41" s="524" t="s">
        <v>27</v>
      </c>
      <c r="AO41" s="530" t="s">
        <v>2968</v>
      </c>
      <c r="AP41" s="544">
        <f>IF(AP42=0,0,AP40/AP42)</f>
        <v>0</v>
      </c>
      <c r="AQ41" s="321"/>
      <c r="AR41" s="258"/>
      <c r="AS41" s="121"/>
      <c r="AT41" s="121"/>
    </row>
    <row r="42" spans="38:46">
      <c r="AL42" s="121"/>
      <c r="AM42" s="121"/>
      <c r="AN42" s="524" t="s">
        <v>28</v>
      </c>
      <c r="AO42" s="530" t="s">
        <v>2972</v>
      </c>
      <c r="AP42" s="257">
        <f>SUMIF(AQ$14:AR$14,AP$14,AQ42:AR42)</f>
        <v>0</v>
      </c>
      <c r="AQ42" s="321"/>
      <c r="AR42" s="258"/>
      <c r="AS42" s="121"/>
      <c r="AT42" s="121"/>
    </row>
    <row r="43" spans="38:46">
      <c r="AL43" s="121"/>
      <c r="AM43" s="121"/>
      <c r="AN43" s="223" t="s">
        <v>29</v>
      </c>
      <c r="AO43" s="531" t="s">
        <v>3040</v>
      </c>
      <c r="AP43" s="257">
        <f>SUMIF(AQ$14:AR$14,AP$14,AQ43:AR43)</f>
        <v>0</v>
      </c>
      <c r="AQ43" s="321"/>
      <c r="AR43" s="258"/>
      <c r="AS43" s="121"/>
      <c r="AT43" s="121"/>
    </row>
    <row r="44" spans="38:46">
      <c r="AL44" s="121"/>
      <c r="AM44" s="121"/>
      <c r="AN44" s="524" t="s">
        <v>30</v>
      </c>
      <c r="AO44" s="530" t="s">
        <v>2970</v>
      </c>
      <c r="AP44" s="544">
        <f>IF(AP45=0,0,AP43/AP45)</f>
        <v>0</v>
      </c>
      <c r="AQ44" s="321"/>
      <c r="AR44" s="258"/>
      <c r="AS44" s="121"/>
      <c r="AT44" s="121"/>
    </row>
    <row r="45" spans="38:46">
      <c r="AL45" s="121"/>
      <c r="AM45" s="121"/>
      <c r="AN45" s="524" t="s">
        <v>31</v>
      </c>
      <c r="AO45" s="530" t="s">
        <v>3018</v>
      </c>
      <c r="AP45" s="257">
        <f t="shared" ref="AP45:AP55" si="1">SUMIF(AQ$14:AR$14,AP$14,AQ45:AR45)</f>
        <v>0</v>
      </c>
      <c r="AQ45" s="321"/>
      <c r="AR45" s="258"/>
      <c r="AS45" s="121"/>
      <c r="AT45" s="121"/>
    </row>
    <row r="46" spans="38:46">
      <c r="AL46" s="121"/>
      <c r="AM46" s="121"/>
      <c r="AN46" s="504" t="s">
        <v>633</v>
      </c>
      <c r="AO46" s="532" t="s">
        <v>2819</v>
      </c>
      <c r="AP46" s="257">
        <f t="shared" si="1"/>
        <v>0</v>
      </c>
      <c r="AQ46" s="321"/>
      <c r="AR46" s="258"/>
      <c r="AS46" s="121"/>
      <c r="AT46" s="121"/>
    </row>
    <row r="47" spans="38:46">
      <c r="AL47" s="121"/>
      <c r="AM47" s="121"/>
      <c r="AN47" s="504" t="s">
        <v>69</v>
      </c>
      <c r="AO47" s="527" t="s">
        <v>2820</v>
      </c>
      <c r="AP47" s="257">
        <f t="shared" si="1"/>
        <v>0</v>
      </c>
      <c r="AQ47" s="321"/>
      <c r="AR47" s="258"/>
      <c r="AS47" s="121"/>
      <c r="AT47" s="121"/>
    </row>
    <row r="48" spans="38:46">
      <c r="AL48" s="121"/>
      <c r="AM48" s="121"/>
      <c r="AN48" s="504" t="s">
        <v>72</v>
      </c>
      <c r="AO48" s="527" t="s">
        <v>2471</v>
      </c>
      <c r="AP48" s="257">
        <f t="shared" si="1"/>
        <v>0</v>
      </c>
      <c r="AQ48" s="321"/>
      <c r="AR48" s="258"/>
      <c r="AS48" s="121"/>
      <c r="AT48" s="121"/>
    </row>
    <row r="49" spans="38:46">
      <c r="AL49" s="121"/>
      <c r="AM49" s="121"/>
      <c r="AN49" s="504" t="s">
        <v>2821</v>
      </c>
      <c r="AO49" s="527" t="s">
        <v>2822</v>
      </c>
      <c r="AP49" s="257">
        <f t="shared" si="1"/>
        <v>0</v>
      </c>
      <c r="AQ49" s="321"/>
      <c r="AR49" s="258"/>
      <c r="AS49" s="121"/>
      <c r="AT49" s="121"/>
    </row>
    <row r="50" spans="38:46">
      <c r="AL50" s="121"/>
      <c r="AM50" s="121"/>
      <c r="AN50" s="504" t="s">
        <v>888</v>
      </c>
      <c r="AO50" s="528" t="s">
        <v>2823</v>
      </c>
      <c r="AP50" s="257">
        <f t="shared" si="1"/>
        <v>0</v>
      </c>
      <c r="AQ50" s="321"/>
      <c r="AR50" s="258"/>
      <c r="AS50" s="121"/>
      <c r="AT50" s="121"/>
    </row>
    <row r="51" spans="38:46">
      <c r="AL51" s="121"/>
      <c r="AM51" s="121"/>
      <c r="AN51" s="504" t="s">
        <v>889</v>
      </c>
      <c r="AO51" s="528" t="s">
        <v>2824</v>
      </c>
      <c r="AP51" s="257">
        <f t="shared" si="1"/>
        <v>0</v>
      </c>
      <c r="AQ51" s="321"/>
      <c r="AR51" s="258"/>
      <c r="AS51" s="121"/>
      <c r="AT51" s="121"/>
    </row>
    <row r="52" spans="38:46">
      <c r="AL52" s="121"/>
      <c r="AM52" s="121"/>
      <c r="AN52" s="504" t="s">
        <v>890</v>
      </c>
      <c r="AO52" s="528" t="s">
        <v>2825</v>
      </c>
      <c r="AP52" s="257">
        <f t="shared" si="1"/>
        <v>0</v>
      </c>
      <c r="AQ52" s="321"/>
      <c r="AR52" s="258"/>
      <c r="AS52" s="121"/>
      <c r="AT52" s="121"/>
    </row>
    <row r="53" spans="38:46">
      <c r="AL53" s="121"/>
      <c r="AM53" s="121"/>
      <c r="AN53" s="504" t="s">
        <v>2826</v>
      </c>
      <c r="AO53" s="527" t="s">
        <v>2827</v>
      </c>
      <c r="AP53" s="257">
        <f t="shared" si="1"/>
        <v>0</v>
      </c>
      <c r="AQ53" s="321"/>
      <c r="AR53" s="258"/>
      <c r="AS53" s="121"/>
      <c r="AT53" s="121"/>
    </row>
    <row r="54" spans="38:46">
      <c r="AL54" s="121"/>
      <c r="AM54" s="121"/>
      <c r="AN54" s="504" t="s">
        <v>2828</v>
      </c>
      <c r="AO54" s="527" t="s">
        <v>2829</v>
      </c>
      <c r="AP54" s="257">
        <f t="shared" si="1"/>
        <v>0</v>
      </c>
      <c r="AQ54" s="321"/>
      <c r="AR54" s="258"/>
      <c r="AS54" s="121"/>
      <c r="AT54" s="121"/>
    </row>
    <row r="55" spans="38:46">
      <c r="AL55" s="121"/>
      <c r="AM55" s="121"/>
      <c r="AN55" s="504" t="s">
        <v>2830</v>
      </c>
      <c r="AO55" s="527" t="s">
        <v>2831</v>
      </c>
      <c r="AP55" s="257">
        <f t="shared" si="1"/>
        <v>0</v>
      </c>
      <c r="AQ55" s="321"/>
      <c r="AR55" s="258"/>
      <c r="AS55" s="121"/>
      <c r="AT55" s="121"/>
    </row>
    <row r="56" spans="38:46" ht="22.5">
      <c r="AL56" s="121"/>
      <c r="AM56" s="121"/>
      <c r="AN56" s="279" t="s">
        <v>353</v>
      </c>
      <c r="AO56" s="558" t="s">
        <v>2782</v>
      </c>
      <c r="AP56" s="257">
        <f>IF(AP57&lt;&gt;0,(1000*AP55/AP57)/$AN$8,0)</f>
        <v>0</v>
      </c>
      <c r="AQ56" s="321"/>
      <c r="AR56" s="258"/>
      <c r="AS56" s="121"/>
      <c r="AT56" s="121"/>
    </row>
    <row r="57" spans="38:46">
      <c r="AL57" s="121"/>
      <c r="AM57" s="121"/>
      <c r="AN57" s="279" t="s">
        <v>354</v>
      </c>
      <c r="AO57" s="558" t="s">
        <v>2783</v>
      </c>
      <c r="AP57" s="257">
        <f>SUM(AQ57:AR57)</f>
        <v>0</v>
      </c>
      <c r="AQ57" s="321"/>
      <c r="AR57" s="258"/>
      <c r="AS57" s="121"/>
      <c r="AT57" s="121"/>
    </row>
    <row r="58" spans="38:46" ht="22.5">
      <c r="AL58" s="121"/>
      <c r="AM58" s="121"/>
      <c r="AN58" s="279" t="s">
        <v>355</v>
      </c>
      <c r="AO58" s="558" t="s">
        <v>120</v>
      </c>
      <c r="AP58" s="263"/>
      <c r="AQ58" s="321"/>
      <c r="AR58" s="258"/>
      <c r="AS58" s="121"/>
      <c r="AT58" s="121"/>
    </row>
    <row r="59" spans="38:46">
      <c r="AL59" s="121"/>
      <c r="AM59" s="121"/>
      <c r="AN59" s="222" t="s">
        <v>2832</v>
      </c>
      <c r="AO59" s="533" t="s">
        <v>1832</v>
      </c>
      <c r="AP59" s="257">
        <f>SUMIF(AQ$14:AR$14,AP$14,AQ59:AR59)</f>
        <v>0</v>
      </c>
      <c r="AQ59" s="321"/>
      <c r="AR59" s="258"/>
      <c r="AS59" s="121"/>
      <c r="AT59" s="121"/>
    </row>
    <row r="60" spans="38:46" ht="22.5">
      <c r="AL60" s="121"/>
      <c r="AM60" s="121"/>
      <c r="AN60" s="222" t="s">
        <v>2833</v>
      </c>
      <c r="AO60" s="529" t="s">
        <v>1834</v>
      </c>
      <c r="AP60" s="254"/>
      <c r="AQ60" s="321"/>
      <c r="AR60" s="258"/>
      <c r="AS60" s="121"/>
      <c r="AT60" s="121"/>
    </row>
    <row r="61" spans="38:46" ht="22.5">
      <c r="AL61" s="121"/>
      <c r="AM61" s="121"/>
      <c r="AN61" s="222" t="s">
        <v>2834</v>
      </c>
      <c r="AO61" s="529" t="s">
        <v>1836</v>
      </c>
      <c r="AP61" s="257">
        <f>SUMIF(AQ$14:AR$14,AP$14,AQ61:AR61)</f>
        <v>0</v>
      </c>
      <c r="AQ61" s="321"/>
      <c r="AR61" s="258"/>
      <c r="AS61" s="121"/>
      <c r="AT61" s="121"/>
    </row>
    <row r="62" spans="38:46">
      <c r="AL62" s="121"/>
      <c r="AM62" s="121"/>
      <c r="AN62" s="222" t="s">
        <v>356</v>
      </c>
      <c r="AO62" s="558" t="s">
        <v>119</v>
      </c>
      <c r="AP62" s="263"/>
      <c r="AQ62" s="321"/>
      <c r="AR62" s="258"/>
      <c r="AS62" s="121"/>
      <c r="AT62" s="121"/>
    </row>
    <row r="63" spans="38:46">
      <c r="AL63" s="121"/>
      <c r="AM63" s="121"/>
      <c r="AN63" s="222" t="s">
        <v>357</v>
      </c>
      <c r="AO63" s="558" t="s">
        <v>121</v>
      </c>
      <c r="AP63" s="263"/>
      <c r="AQ63" s="321"/>
      <c r="AR63" s="258"/>
      <c r="AS63" s="121"/>
      <c r="AT63" s="121"/>
    </row>
    <row r="64" spans="38:46">
      <c r="AL64" s="121"/>
      <c r="AM64" s="121"/>
      <c r="AN64" s="222" t="s">
        <v>358</v>
      </c>
      <c r="AO64" s="558" t="s">
        <v>122</v>
      </c>
      <c r="AP64" s="263"/>
      <c r="AQ64" s="321"/>
      <c r="AR64" s="258"/>
      <c r="AS64" s="121"/>
      <c r="AT64" s="121"/>
    </row>
    <row r="65" spans="38:46">
      <c r="AL65" s="121"/>
      <c r="AM65" s="121"/>
      <c r="AN65" s="222" t="s">
        <v>2835</v>
      </c>
      <c r="AO65" s="533" t="s">
        <v>1838</v>
      </c>
      <c r="AP65" s="257">
        <f>SUMIF(AQ$14:AR$14,AP$14,AQ65:AR65)</f>
        <v>0</v>
      </c>
      <c r="AQ65" s="321"/>
      <c r="AR65" s="258"/>
      <c r="AS65" s="121"/>
      <c r="AT65" s="121"/>
    </row>
    <row r="66" spans="38:46">
      <c r="AL66" s="121"/>
      <c r="AM66" s="121"/>
      <c r="AN66" s="222" t="s">
        <v>2836</v>
      </c>
      <c r="AO66" s="534" t="s">
        <v>1839</v>
      </c>
      <c r="AP66" s="254"/>
      <c r="AQ66" s="321"/>
      <c r="AR66" s="258"/>
      <c r="AS66" s="121"/>
      <c r="AT66" s="121"/>
    </row>
    <row r="67" spans="38:46" ht="22.5">
      <c r="AL67" s="121"/>
      <c r="AM67" s="121"/>
      <c r="AN67" s="222" t="s">
        <v>2837</v>
      </c>
      <c r="AO67" s="534" t="s">
        <v>1841</v>
      </c>
      <c r="AP67" s="257">
        <f>SUMIF(AQ$14:AR$14,AP$14,AQ67:AR67)</f>
        <v>0</v>
      </c>
      <c r="AQ67" s="321"/>
      <c r="AR67" s="258"/>
      <c r="AS67" s="121"/>
      <c r="AT67" s="121"/>
    </row>
    <row r="68" spans="38:46">
      <c r="AL68" s="121"/>
      <c r="AM68" s="121"/>
      <c r="AN68" s="222" t="s">
        <v>359</v>
      </c>
      <c r="AO68" s="558" t="s">
        <v>119</v>
      </c>
      <c r="AP68" s="263"/>
      <c r="AQ68" s="321"/>
      <c r="AR68" s="258"/>
      <c r="AS68" s="121"/>
      <c r="AT68" s="121"/>
    </row>
    <row r="69" spans="38:46">
      <c r="AL69" s="121"/>
      <c r="AM69" s="121"/>
      <c r="AN69" s="222" t="s">
        <v>360</v>
      </c>
      <c r="AO69" s="558" t="s">
        <v>121</v>
      </c>
      <c r="AP69" s="263"/>
      <c r="AQ69" s="321"/>
      <c r="AR69" s="258"/>
      <c r="AS69" s="121"/>
      <c r="AT69" s="121"/>
    </row>
    <row r="70" spans="38:46">
      <c r="AL70" s="121"/>
      <c r="AM70" s="121"/>
      <c r="AN70" s="222" t="s">
        <v>361</v>
      </c>
      <c r="AO70" s="558" t="s">
        <v>122</v>
      </c>
      <c r="AP70" s="263"/>
      <c r="AQ70" s="321"/>
      <c r="AR70" s="258"/>
      <c r="AS70" s="121"/>
      <c r="AT70" s="121"/>
    </row>
    <row r="71" spans="38:46">
      <c r="AL71" s="121"/>
      <c r="AM71" s="121"/>
      <c r="AN71" s="222" t="s">
        <v>2838</v>
      </c>
      <c r="AO71" s="533" t="s">
        <v>1843</v>
      </c>
      <c r="AP71" s="257">
        <f>SUMIF(AQ$14:AR$14,AP$14,AQ71:AR71)</f>
        <v>0</v>
      </c>
      <c r="AQ71" s="321"/>
      <c r="AR71" s="258"/>
      <c r="AS71" s="121"/>
      <c r="AT71" s="121"/>
    </row>
    <row r="72" spans="38:46">
      <c r="AL72" s="121"/>
      <c r="AM72" s="121"/>
      <c r="AN72" s="222" t="s">
        <v>2839</v>
      </c>
      <c r="AO72" s="534" t="s">
        <v>1844</v>
      </c>
      <c r="AP72" s="254"/>
      <c r="AQ72" s="321"/>
      <c r="AR72" s="258"/>
      <c r="AS72" s="121"/>
      <c r="AT72" s="121"/>
    </row>
    <row r="73" spans="38:46" ht="22.5">
      <c r="AL73" s="121"/>
      <c r="AM73" s="121"/>
      <c r="AN73" s="222" t="s">
        <v>2840</v>
      </c>
      <c r="AO73" s="534" t="s">
        <v>1846</v>
      </c>
      <c r="AP73" s="257">
        <f>SUMIF(AQ$14:AR$14,AP$14,AQ73:AR73)</f>
        <v>0</v>
      </c>
      <c r="AQ73" s="321"/>
      <c r="AR73" s="258"/>
      <c r="AS73" s="121"/>
      <c r="AT73" s="121"/>
    </row>
    <row r="74" spans="38:46">
      <c r="AL74" s="121"/>
      <c r="AM74" s="121"/>
      <c r="AN74" s="222" t="s">
        <v>2841</v>
      </c>
      <c r="AO74" s="533" t="s">
        <v>1849</v>
      </c>
      <c r="AP74" s="257">
        <f>SUMIF(AQ$14:AR$14,AP$14,AQ74:AR74)</f>
        <v>0</v>
      </c>
      <c r="AQ74" s="321"/>
      <c r="AR74" s="258"/>
      <c r="AS74" s="121"/>
      <c r="AT74" s="121"/>
    </row>
    <row r="75" spans="38:46">
      <c r="AL75" s="121"/>
      <c r="AM75" s="121"/>
      <c r="AN75" s="222" t="s">
        <v>2842</v>
      </c>
      <c r="AO75" s="534" t="s">
        <v>1851</v>
      </c>
      <c r="AP75" s="254"/>
      <c r="AQ75" s="321"/>
      <c r="AR75" s="258"/>
      <c r="AS75" s="121"/>
      <c r="AT75" s="121"/>
    </row>
    <row r="76" spans="38:46" ht="22.5">
      <c r="AL76" s="121"/>
      <c r="AM76" s="121"/>
      <c r="AN76" s="222" t="s">
        <v>2843</v>
      </c>
      <c r="AO76" s="529" t="s">
        <v>1853</v>
      </c>
      <c r="AP76" s="257">
        <f>SUMIF(AQ$14:AR$14,AP$14,AQ76:AR76)</f>
        <v>0</v>
      </c>
      <c r="AQ76" s="321"/>
      <c r="AR76" s="258"/>
      <c r="AS76" s="121"/>
      <c r="AT76" s="121"/>
    </row>
    <row r="77" spans="38:46" ht="22.5">
      <c r="AL77" s="121"/>
      <c r="AM77" s="121"/>
      <c r="AN77" s="222" t="s">
        <v>2844</v>
      </c>
      <c r="AO77" s="533" t="s">
        <v>1856</v>
      </c>
      <c r="AP77" s="257">
        <f>SUMIF(AQ$14:AR$14,AP$14,AQ77:AR77)</f>
        <v>0</v>
      </c>
      <c r="AQ77" s="321"/>
      <c r="AR77" s="258"/>
      <c r="AS77" s="121"/>
      <c r="AT77" s="121"/>
    </row>
    <row r="78" spans="38:46" ht="22.5">
      <c r="AL78" s="121"/>
      <c r="AM78" s="121"/>
      <c r="AN78" s="222" t="s">
        <v>2845</v>
      </c>
      <c r="AO78" s="534" t="s">
        <v>2307</v>
      </c>
      <c r="AP78" s="254"/>
      <c r="AQ78" s="321"/>
      <c r="AR78" s="258"/>
      <c r="AS78" s="121"/>
      <c r="AT78" s="121"/>
    </row>
    <row r="79" spans="38:46" ht="22.5">
      <c r="AL79" s="121"/>
      <c r="AM79" s="121"/>
      <c r="AN79" s="222" t="s">
        <v>2846</v>
      </c>
      <c r="AO79" s="529" t="s">
        <v>1860</v>
      </c>
      <c r="AP79" s="257">
        <f t="shared" ref="AP79:AP85" si="2">SUMIF(AQ$14:AR$14,AP$14,AQ79:AR79)</f>
        <v>0</v>
      </c>
      <c r="AQ79" s="321"/>
      <c r="AR79" s="258"/>
      <c r="AS79" s="121"/>
      <c r="AT79" s="121"/>
    </row>
    <row r="80" spans="38:46">
      <c r="AL80" s="121"/>
      <c r="AM80" s="121"/>
      <c r="AN80" s="504" t="s">
        <v>2847</v>
      </c>
      <c r="AO80" s="535" t="s">
        <v>2848</v>
      </c>
      <c r="AP80" s="257">
        <f t="shared" si="2"/>
        <v>0</v>
      </c>
      <c r="AQ80" s="321"/>
      <c r="AR80" s="258"/>
      <c r="AS80" s="121"/>
      <c r="AT80" s="121"/>
    </row>
    <row r="81" spans="38:46" ht="22.5">
      <c r="AL81" s="121"/>
      <c r="AM81" s="121"/>
      <c r="AN81" s="504" t="s">
        <v>2849</v>
      </c>
      <c r="AO81" s="533" t="s">
        <v>2415</v>
      </c>
      <c r="AP81" s="257">
        <f t="shared" si="2"/>
        <v>0</v>
      </c>
      <c r="AQ81" s="321"/>
      <c r="AR81" s="258"/>
      <c r="AS81" s="121"/>
      <c r="AT81" s="121"/>
    </row>
    <row r="82" spans="38:46" ht="22.5">
      <c r="AL82" s="121"/>
      <c r="AM82" s="121"/>
      <c r="AN82" s="504" t="s">
        <v>2850</v>
      </c>
      <c r="AO82" s="533" t="s">
        <v>2417</v>
      </c>
      <c r="AP82" s="257">
        <f t="shared" si="2"/>
        <v>0</v>
      </c>
      <c r="AQ82" s="321"/>
      <c r="AR82" s="258"/>
      <c r="AS82" s="121"/>
      <c r="AT82" s="121"/>
    </row>
    <row r="83" spans="38:46" ht="22.5">
      <c r="AL83" s="121"/>
      <c r="AM83" s="121"/>
      <c r="AN83" s="504" t="s">
        <v>2316</v>
      </c>
      <c r="AO83" s="533" t="s">
        <v>2420</v>
      </c>
      <c r="AP83" s="257">
        <f t="shared" si="2"/>
        <v>0</v>
      </c>
      <c r="AQ83" s="321"/>
      <c r="AR83" s="258"/>
      <c r="AS83" s="121"/>
      <c r="AT83" s="121"/>
    </row>
    <row r="84" spans="38:46">
      <c r="AL84" s="121"/>
      <c r="AM84" s="121"/>
      <c r="AN84" s="504" t="s">
        <v>2317</v>
      </c>
      <c r="AO84" s="533" t="s">
        <v>2423</v>
      </c>
      <c r="AP84" s="257">
        <f t="shared" si="2"/>
        <v>0</v>
      </c>
      <c r="AQ84" s="321"/>
      <c r="AR84" s="258"/>
      <c r="AS84" s="121"/>
      <c r="AT84" s="121"/>
    </row>
    <row r="85" spans="38:46" ht="22.5">
      <c r="AL85" s="121"/>
      <c r="AM85" s="121"/>
      <c r="AN85" s="504" t="s">
        <v>2318</v>
      </c>
      <c r="AO85" s="533" t="s">
        <v>2426</v>
      </c>
      <c r="AP85" s="257">
        <f t="shared" si="2"/>
        <v>0</v>
      </c>
      <c r="AQ85" s="321"/>
      <c r="AR85" s="258"/>
      <c r="AS85" s="121"/>
      <c r="AT85" s="121"/>
    </row>
    <row r="86" spans="38:46">
      <c r="AL86" s="121"/>
      <c r="AM86" s="121"/>
      <c r="AN86" s="560" t="str">
        <f>IF(TEMPLATE_SPHERE="водоснабжения","2.9","")</f>
        <v/>
      </c>
      <c r="AO86" s="561" t="str">
        <f>IF(TEMPLATE_SPHERE="водоснабжения","Покупная вода","")</f>
        <v/>
      </c>
      <c r="AP86" s="257" t="str">
        <f>IF(TEMPLATE_SPHERE="водоснабжения",SUMIF(AQ$14:AR$14,AP$14,AQ86:AR86),"")</f>
        <v/>
      </c>
      <c r="AQ86" s="321"/>
      <c r="AR86" s="258"/>
      <c r="AS86" s="121"/>
      <c r="AT86" s="121"/>
    </row>
    <row r="87" spans="38:46">
      <c r="AL87" s="121"/>
      <c r="AM87" s="121"/>
      <c r="AN87" s="560" t="str">
        <f>IF(TEMPLATE_SPHERE="водоснабжения","2.9.1","")</f>
        <v/>
      </c>
      <c r="AO87" s="562" t="str">
        <f>IF(TEMPLATE_SPHERE="водоснабжения","тариф (руб./куб.м)","")</f>
        <v/>
      </c>
      <c r="AP87" s="257" t="str">
        <f>IF(TEMPLATE_SPHERE="водоснабжения",IF(AP88=0,0,(AP86-AP89)/AP88),"")</f>
        <v/>
      </c>
      <c r="AQ87" s="321"/>
      <c r="AR87" s="258"/>
      <c r="AS87" s="121"/>
      <c r="AT87" s="121"/>
    </row>
    <row r="88" spans="38:46">
      <c r="AL88" s="121"/>
      <c r="AM88" s="121"/>
      <c r="AN88" s="560" t="str">
        <f>IF(TEMPLATE_SPHERE="водоснабжения","2.9.2","")</f>
        <v/>
      </c>
      <c r="AO88" s="562" t="str">
        <f>IF(TEMPLATE_SPHERE="водоснабжения","объём (тыс. куб.м)","")</f>
        <v/>
      </c>
      <c r="AP88" s="257" t="str">
        <f>IF(TEMPLATE_SPHERE="водоснабжения",SUMIF(AQ$14:AR$14,AP$14,AQ88:AR88),"")</f>
        <v/>
      </c>
      <c r="AQ88" s="321"/>
      <c r="AR88" s="258"/>
      <c r="AS88" s="121"/>
      <c r="AT88" s="121"/>
    </row>
    <row r="89" spans="38:46">
      <c r="AL89" s="121"/>
      <c r="AM89" s="121"/>
      <c r="AN89" s="560" t="str">
        <f>IF(TEMPLATE_SPHERE="водоснабжения","2.9.3","")</f>
        <v/>
      </c>
      <c r="AO89" s="562" t="str">
        <f>IF(TEMPLATE_SPHERE="водоснабжения","покупка потерь","")</f>
        <v/>
      </c>
      <c r="AP89" s="257" t="str">
        <f>IF(TEMPLATE_SPHERE="водоснабжения",SUMIF(AQ$14:AR$14,AP$14,AQ89:AR89),"")</f>
        <v/>
      </c>
      <c r="AQ89" s="321"/>
      <c r="AR89" s="258"/>
      <c r="AS89" s="121"/>
      <c r="AT89" s="121"/>
    </row>
    <row r="90" spans="38:46" ht="22.5">
      <c r="AL90" s="121"/>
      <c r="AM90" s="121"/>
      <c r="AN90" s="504" t="s">
        <v>2323</v>
      </c>
      <c r="AO90"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AP90" s="257">
        <f t="shared" ref="AP90:AP114" si="3">SUMIF(AQ$14:AR$14,AP$14,AQ90:AR90)</f>
        <v>0</v>
      </c>
      <c r="AQ90" s="321"/>
      <c r="AR90" s="258"/>
      <c r="AS90" s="121"/>
      <c r="AT90" s="121"/>
    </row>
    <row r="91" spans="38:46" ht="22.5">
      <c r="AL91" s="121"/>
      <c r="AM91" s="121"/>
      <c r="AN91" s="504" t="s">
        <v>2324</v>
      </c>
      <c r="AO91"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AP91" s="257">
        <f t="shared" si="3"/>
        <v>0</v>
      </c>
      <c r="AQ91" s="321"/>
      <c r="AR91" s="258"/>
      <c r="AS91" s="121"/>
      <c r="AT91" s="121"/>
    </row>
    <row r="92" spans="38:46" ht="22.5">
      <c r="AL92" s="121"/>
      <c r="AM92" s="121"/>
      <c r="AN92" s="504" t="s">
        <v>2325</v>
      </c>
      <c r="AO92"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AP92" s="257">
        <f t="shared" si="3"/>
        <v>0</v>
      </c>
      <c r="AQ92" s="321"/>
      <c r="AR92" s="258"/>
      <c r="AS92" s="121"/>
      <c r="AT92" s="121"/>
    </row>
    <row r="93" spans="38:46">
      <c r="AL93" s="121"/>
      <c r="AM93" s="121"/>
      <c r="AN93" s="504" t="s">
        <v>2326</v>
      </c>
      <c r="AO93" s="527" t="s">
        <v>2327</v>
      </c>
      <c r="AP93" s="257">
        <f t="shared" si="3"/>
        <v>0</v>
      </c>
      <c r="AQ93" s="321"/>
      <c r="AR93" s="258"/>
      <c r="AS93" s="121"/>
      <c r="AT93" s="121"/>
    </row>
    <row r="94" spans="38:46">
      <c r="AL94" s="121"/>
      <c r="AM94" s="121"/>
      <c r="AN94" s="504" t="s">
        <v>2328</v>
      </c>
      <c r="AO94" s="528" t="s">
        <v>2329</v>
      </c>
      <c r="AP94" s="257">
        <f t="shared" si="3"/>
        <v>0</v>
      </c>
      <c r="AQ94" s="321"/>
      <c r="AR94" s="258"/>
      <c r="AS94" s="121"/>
      <c r="AT94" s="121"/>
    </row>
    <row r="95" spans="38:46">
      <c r="AL95" s="121"/>
      <c r="AM95" s="121"/>
      <c r="AN95" s="504" t="s">
        <v>2330</v>
      </c>
      <c r="AO95" s="528" t="s">
        <v>2331</v>
      </c>
      <c r="AP95" s="257">
        <f t="shared" si="3"/>
        <v>0</v>
      </c>
      <c r="AQ95" s="321"/>
      <c r="AR95" s="258"/>
      <c r="AS95" s="121"/>
      <c r="AT95" s="121"/>
    </row>
    <row r="96" spans="38:46">
      <c r="AL96" s="121"/>
      <c r="AM96" s="121"/>
      <c r="AN96" s="504" t="s">
        <v>2332</v>
      </c>
      <c r="AO96" s="527" t="s">
        <v>2333</v>
      </c>
      <c r="AP96" s="257">
        <f t="shared" si="3"/>
        <v>0</v>
      </c>
      <c r="AQ96" s="321"/>
      <c r="AR96" s="258"/>
      <c r="AS96" s="121"/>
      <c r="AT96" s="121"/>
    </row>
    <row r="97" spans="38:46">
      <c r="AL97" s="121"/>
      <c r="AM97" s="121"/>
      <c r="AN97" s="504" t="s">
        <v>2334</v>
      </c>
      <c r="AO97" s="527" t="s">
        <v>2335</v>
      </c>
      <c r="AP97" s="257">
        <f t="shared" si="3"/>
        <v>0</v>
      </c>
      <c r="AQ97" s="321"/>
      <c r="AR97" s="258"/>
      <c r="AS97" s="121"/>
      <c r="AT97" s="121"/>
    </row>
    <row r="98" spans="38:46" ht="22.5">
      <c r="AL98" s="121"/>
      <c r="AM98" s="121"/>
      <c r="AN98" s="504" t="s">
        <v>2336</v>
      </c>
      <c r="AO98" s="527" t="s">
        <v>2337</v>
      </c>
      <c r="AP98" s="257">
        <f t="shared" si="3"/>
        <v>0</v>
      </c>
      <c r="AQ98" s="321"/>
      <c r="AR98" s="258"/>
      <c r="AS98" s="121"/>
      <c r="AT98" s="121"/>
    </row>
    <row r="99" spans="38:46">
      <c r="AL99" s="121"/>
      <c r="AM99" s="121"/>
      <c r="AN99" s="504" t="s">
        <v>2338</v>
      </c>
      <c r="AO99" s="527" t="s">
        <v>2339</v>
      </c>
      <c r="AP99" s="257">
        <f t="shared" si="3"/>
        <v>0</v>
      </c>
      <c r="AQ99" s="321"/>
      <c r="AR99" s="258"/>
      <c r="AS99" s="121"/>
      <c r="AT99" s="121"/>
    </row>
    <row r="100" spans="38:46">
      <c r="AL100" s="121"/>
      <c r="AM100" s="121"/>
      <c r="AN100" s="504" t="s">
        <v>2340</v>
      </c>
      <c r="AO100" s="528" t="s">
        <v>2341</v>
      </c>
      <c r="AP100" s="257">
        <f t="shared" si="3"/>
        <v>0</v>
      </c>
      <c r="AQ100" s="321"/>
      <c r="AR100" s="258"/>
      <c r="AS100" s="121"/>
      <c r="AT100" s="121"/>
    </row>
    <row r="101" spans="38:46">
      <c r="AL101" s="121"/>
      <c r="AM101" s="121"/>
      <c r="AN101" s="504" t="s">
        <v>2342</v>
      </c>
      <c r="AO101" s="528" t="s">
        <v>2343</v>
      </c>
      <c r="AP101" s="257">
        <f t="shared" si="3"/>
        <v>0</v>
      </c>
      <c r="AQ101" s="321"/>
      <c r="AR101" s="258"/>
      <c r="AS101" s="121"/>
      <c r="AT101" s="121"/>
    </row>
    <row r="102" spans="38:46">
      <c r="AL102" s="121"/>
      <c r="AM102" s="121"/>
      <c r="AN102" s="504" t="s">
        <v>2344</v>
      </c>
      <c r="AO102" s="528" t="s">
        <v>2345</v>
      </c>
      <c r="AP102" s="257">
        <f t="shared" si="3"/>
        <v>0</v>
      </c>
      <c r="AQ102" s="321"/>
      <c r="AR102" s="258"/>
      <c r="AS102" s="121"/>
      <c r="AT102" s="121"/>
    </row>
    <row r="103" spans="38:46">
      <c r="AL103" s="121"/>
      <c r="AM103" s="121"/>
      <c r="AN103" s="504" t="s">
        <v>2346</v>
      </c>
      <c r="AO103" s="528" t="s">
        <v>2347</v>
      </c>
      <c r="AP103" s="257">
        <f t="shared" si="3"/>
        <v>0</v>
      </c>
      <c r="AQ103" s="321"/>
      <c r="AR103" s="258"/>
      <c r="AS103" s="121"/>
      <c r="AT103" s="121"/>
    </row>
    <row r="104" spans="38:46">
      <c r="AL104" s="121"/>
      <c r="AM104" s="121"/>
      <c r="AN104" s="504" t="s">
        <v>2348</v>
      </c>
      <c r="AO104" s="528" t="s">
        <v>2349</v>
      </c>
      <c r="AP104" s="257">
        <f t="shared" si="3"/>
        <v>0</v>
      </c>
      <c r="AQ104" s="321"/>
      <c r="AR104" s="258"/>
      <c r="AS104" s="121"/>
      <c r="AT104" s="121"/>
    </row>
    <row r="105" spans="38:46">
      <c r="AL105" s="121"/>
      <c r="AM105" s="121"/>
      <c r="AN105" s="504" t="s">
        <v>2350</v>
      </c>
      <c r="AO105" s="528" t="s">
        <v>2351</v>
      </c>
      <c r="AP105" s="257">
        <f t="shared" si="3"/>
        <v>0</v>
      </c>
      <c r="AQ105" s="321"/>
      <c r="AR105" s="258"/>
      <c r="AS105" s="121"/>
      <c r="AT105" s="121"/>
    </row>
    <row r="106" spans="38:46">
      <c r="AL106" s="121"/>
      <c r="AM106" s="121"/>
      <c r="AN106" s="504" t="s">
        <v>2352</v>
      </c>
      <c r="AO106" s="528" t="s">
        <v>2353</v>
      </c>
      <c r="AP106" s="257">
        <f t="shared" si="3"/>
        <v>0</v>
      </c>
      <c r="AQ106" s="321"/>
      <c r="AR106" s="258"/>
      <c r="AS106" s="121"/>
      <c r="AT106" s="121"/>
    </row>
    <row r="107" spans="38:46">
      <c r="AL107" s="121"/>
      <c r="AM107" s="121"/>
      <c r="AN107" s="504" t="s">
        <v>2354</v>
      </c>
      <c r="AO107" s="528" t="s">
        <v>2355</v>
      </c>
      <c r="AP107" s="257">
        <f t="shared" si="3"/>
        <v>0</v>
      </c>
      <c r="AQ107" s="321"/>
      <c r="AR107" s="258"/>
      <c r="AS107" s="121"/>
      <c r="AT107" s="121"/>
    </row>
    <row r="108" spans="38:46">
      <c r="AL108" s="121"/>
      <c r="AM108" s="121"/>
      <c r="AN108" s="504" t="s">
        <v>2356</v>
      </c>
      <c r="AO108" s="528" t="s">
        <v>2357</v>
      </c>
      <c r="AP108" s="257">
        <f t="shared" si="3"/>
        <v>0</v>
      </c>
      <c r="AQ108" s="321"/>
      <c r="AR108" s="258"/>
      <c r="AS108" s="121"/>
      <c r="AT108" s="121"/>
    </row>
    <row r="109" spans="38:46" ht="22.5">
      <c r="AL109" s="121"/>
      <c r="AM109" s="121"/>
      <c r="AN109" s="504" t="s">
        <v>2358</v>
      </c>
      <c r="AO109" s="536" t="s">
        <v>2359</v>
      </c>
      <c r="AP109" s="257">
        <f t="shared" si="3"/>
        <v>0</v>
      </c>
      <c r="AQ109" s="321"/>
      <c r="AR109" s="258"/>
      <c r="AS109" s="121"/>
      <c r="AT109" s="121"/>
    </row>
    <row r="110" spans="38:46">
      <c r="AL110" s="121"/>
      <c r="AM110" s="121"/>
      <c r="AN110" s="504" t="s">
        <v>2360</v>
      </c>
      <c r="AO110" s="537" t="s">
        <v>2444</v>
      </c>
      <c r="AP110" s="257">
        <f t="shared" si="3"/>
        <v>0</v>
      </c>
      <c r="AQ110" s="321"/>
      <c r="AR110" s="258"/>
      <c r="AS110" s="121"/>
      <c r="AT110" s="121"/>
    </row>
    <row r="111" spans="38:46">
      <c r="AL111" s="121"/>
      <c r="AM111" s="121"/>
      <c r="AN111" s="504" t="s">
        <v>2361</v>
      </c>
      <c r="AO111" s="537" t="s">
        <v>2362</v>
      </c>
      <c r="AP111" s="257">
        <f t="shared" si="3"/>
        <v>0</v>
      </c>
      <c r="AQ111" s="321"/>
      <c r="AR111" s="258"/>
      <c r="AS111" s="121"/>
      <c r="AT111" s="121"/>
    </row>
    <row r="112" spans="38:46">
      <c r="AL112" s="121"/>
      <c r="AM112" s="121"/>
      <c r="AN112" s="504" t="s">
        <v>2363</v>
      </c>
      <c r="AO112" s="528" t="s">
        <v>872</v>
      </c>
      <c r="AP112" s="257">
        <f t="shared" si="3"/>
        <v>0</v>
      </c>
      <c r="AQ112" s="321"/>
      <c r="AR112" s="258"/>
      <c r="AS112" s="121"/>
      <c r="AT112" s="121"/>
    </row>
    <row r="113" spans="1:46" ht="22.5">
      <c r="AL113" s="121"/>
      <c r="AM113" s="121"/>
      <c r="AN113" s="504" t="s">
        <v>2364</v>
      </c>
      <c r="AO113" s="528" t="s">
        <v>2365</v>
      </c>
      <c r="AP113" s="257">
        <f t="shared" si="3"/>
        <v>0</v>
      </c>
      <c r="AQ113" s="321"/>
      <c r="AR113" s="258"/>
      <c r="AS113" s="121"/>
      <c r="AT113" s="121"/>
    </row>
    <row r="114" spans="1:46">
      <c r="AL114" s="121"/>
      <c r="AM114" s="121"/>
      <c r="AN114" s="504" t="s">
        <v>2366</v>
      </c>
      <c r="AO114" s="528" t="s">
        <v>2367</v>
      </c>
      <c r="AP114" s="257">
        <f t="shared" si="3"/>
        <v>0</v>
      </c>
      <c r="AQ114" s="321"/>
      <c r="AR114" s="258"/>
      <c r="AS114" s="121"/>
      <c r="AT114" s="121"/>
    </row>
    <row r="115" spans="1:46" ht="0.75" customHeight="1">
      <c r="AL115" s="121"/>
      <c r="AM115" s="121"/>
      <c r="AN115" s="504"/>
      <c r="AO115" s="526"/>
      <c r="AP115" s="504"/>
      <c r="AQ115" s="321"/>
      <c r="AR115" s="258"/>
      <c r="AS115" s="121"/>
      <c r="AT115" s="121"/>
    </row>
    <row r="116" spans="1:46" ht="0.75" customHeight="1">
      <c r="AL116" s="121"/>
      <c r="AM116" s="121"/>
      <c r="AN116" s="504"/>
      <c r="AO116" s="527"/>
      <c r="AP116" s="504"/>
      <c r="AQ116" s="321"/>
      <c r="AR116" s="258"/>
      <c r="AS116" s="121"/>
      <c r="AT116" s="121"/>
    </row>
    <row r="117" spans="1:46" ht="0.75" customHeight="1">
      <c r="AL117" s="121"/>
      <c r="AM117" s="121"/>
      <c r="AN117" s="504"/>
      <c r="AO117" s="528"/>
      <c r="AP117" s="504"/>
      <c r="AQ117" s="321"/>
      <c r="AR117" s="258"/>
      <c r="AS117" s="121"/>
      <c r="AT117" s="121"/>
    </row>
    <row r="118" spans="1:46" ht="0.75" customHeight="1">
      <c r="AL118" s="121"/>
      <c r="AM118" s="121"/>
      <c r="AN118" s="504"/>
      <c r="AO118" s="527"/>
      <c r="AP118" s="504"/>
      <c r="AQ118" s="321"/>
      <c r="AR118" s="258"/>
      <c r="AS118" s="121"/>
      <c r="AT118" s="121"/>
    </row>
    <row r="119" spans="1:46" ht="0.75" customHeight="1">
      <c r="AL119" s="121"/>
      <c r="AM119" s="121"/>
      <c r="AN119" s="504"/>
      <c r="AO119" s="527"/>
      <c r="AP119" s="504"/>
      <c r="AQ119" s="321"/>
      <c r="AR119" s="258"/>
      <c r="AS119" s="121"/>
      <c r="AT119" s="121"/>
    </row>
    <row r="120" spans="1:46" ht="0.75" customHeight="1">
      <c r="AL120" s="121"/>
      <c r="AM120" s="121"/>
      <c r="AN120" s="504"/>
      <c r="AO120" s="527"/>
      <c r="AP120" s="504"/>
      <c r="AQ120" s="321"/>
      <c r="AR120" s="258"/>
      <c r="AS120" s="121"/>
      <c r="AT120" s="121"/>
    </row>
    <row r="121" spans="1:46" ht="0.75" customHeight="1">
      <c r="AL121" s="121"/>
      <c r="AM121" s="121"/>
      <c r="AN121" s="504"/>
      <c r="AO121" s="527"/>
      <c r="AP121" s="504"/>
      <c r="AQ121" s="321"/>
      <c r="AR121" s="258"/>
      <c r="AS121" s="121"/>
      <c r="AT121" s="121"/>
    </row>
    <row r="122" spans="1:46" ht="0.75" customHeight="1">
      <c r="AL122" s="121"/>
      <c r="AM122" s="121"/>
      <c r="AN122" s="504"/>
      <c r="AO122" s="528"/>
      <c r="AP122" s="504"/>
      <c r="AQ122" s="321"/>
      <c r="AR122" s="258"/>
      <c r="AS122" s="121"/>
      <c r="AT122" s="121"/>
    </row>
    <row r="123" spans="1:46" ht="0.75" customHeight="1">
      <c r="AL123" s="121"/>
      <c r="AM123" s="121"/>
      <c r="AN123" s="504"/>
      <c r="AO123" s="538"/>
      <c r="AP123" s="504"/>
      <c r="AQ123" s="321"/>
      <c r="AR123" s="258"/>
      <c r="AS123" s="121"/>
      <c r="AT123" s="121"/>
    </row>
    <row r="124" spans="1:46" ht="0.75" customHeight="1">
      <c r="AL124" s="121"/>
      <c r="AM124" s="121"/>
      <c r="AN124" s="504"/>
      <c r="AO124" s="528"/>
      <c r="AP124" s="504"/>
      <c r="AQ124" s="321"/>
      <c r="AR124" s="258"/>
      <c r="AS124" s="121"/>
      <c r="AT124" s="121"/>
    </row>
    <row r="125" spans="1:46" ht="0.75" customHeight="1">
      <c r="A125" s="47"/>
      <c r="B125" s="47"/>
      <c r="C125" s="47"/>
      <c r="D125" s="47"/>
      <c r="E125" s="47"/>
      <c r="F125" s="47"/>
      <c r="G125" s="47"/>
      <c r="H125" s="47"/>
      <c r="I125" s="47"/>
      <c r="J125"/>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50"/>
      <c r="AM125" s="126"/>
      <c r="AN125" s="223"/>
      <c r="AO125" s="728"/>
      <c r="AP125" s="260"/>
      <c r="AQ125" s="258"/>
      <c r="AR125" s="258"/>
      <c r="AS125" s="127"/>
    </row>
    <row r="126" spans="1:46" ht="0.75" customHeight="1">
      <c r="A126" s="47"/>
      <c r="B126" s="47"/>
      <c r="C126" s="47"/>
      <c r="D126" s="47"/>
      <c r="E126" s="47"/>
      <c r="F126" s="47"/>
      <c r="G126" s="47"/>
      <c r="H126" s="47"/>
      <c r="I126" s="47"/>
      <c r="J126"/>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50"/>
      <c r="AM126" s="126"/>
      <c r="AN126" s="223"/>
      <c r="AO126" s="728"/>
      <c r="AP126" s="260"/>
      <c r="AQ126" s="258"/>
      <c r="AR126" s="258"/>
      <c r="AS126" s="127"/>
    </row>
    <row r="127" spans="1:46" ht="0.75" customHeight="1">
      <c r="A127" s="47"/>
      <c r="B127" s="47"/>
      <c r="C127" s="47"/>
      <c r="D127" s="47"/>
      <c r="E127" s="47"/>
      <c r="F127" s="47"/>
      <c r="G127" s="47"/>
      <c r="H127" s="47"/>
      <c r="I127" s="47"/>
      <c r="J12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50"/>
      <c r="AM127" s="126"/>
      <c r="AN127" s="223"/>
      <c r="AO127" s="728"/>
      <c r="AP127" s="260"/>
      <c r="AQ127" s="258"/>
      <c r="AR127" s="258"/>
      <c r="AS127" s="127"/>
    </row>
    <row r="128" spans="1:46" ht="0.75" customHeight="1">
      <c r="A128" s="47"/>
      <c r="B128" s="47"/>
      <c r="C128" s="47"/>
      <c r="D128" s="47"/>
      <c r="E128" s="47"/>
      <c r="F128" s="47"/>
      <c r="G128" s="47"/>
      <c r="H128" s="47"/>
      <c r="I128" s="47"/>
      <c r="J128"/>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50"/>
      <c r="AM128" s="126"/>
      <c r="AN128" s="223"/>
      <c r="AO128" s="728"/>
      <c r="AP128" s="260"/>
      <c r="AQ128" s="258"/>
      <c r="AR128" s="258"/>
      <c r="AS128" s="127"/>
    </row>
    <row r="129" spans="1:46" ht="0.75" customHeight="1">
      <c r="A129" s="47"/>
      <c r="B129" s="47"/>
      <c r="C129" s="47"/>
      <c r="D129" s="47"/>
      <c r="E129" s="47"/>
      <c r="F129" s="47"/>
      <c r="G129" s="47"/>
      <c r="H129" s="47"/>
      <c r="I129" s="47"/>
      <c r="J129"/>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50"/>
      <c r="AM129" s="126"/>
      <c r="AN129" s="223"/>
      <c r="AO129" s="728"/>
      <c r="AP129" s="260"/>
      <c r="AQ129" s="258"/>
      <c r="AR129" s="258"/>
      <c r="AS129" s="127"/>
    </row>
    <row r="130" spans="1:46" ht="0.75" customHeight="1">
      <c r="A130" s="47"/>
      <c r="B130" s="47"/>
      <c r="C130" s="47"/>
      <c r="D130" s="47"/>
      <c r="E130" s="47"/>
      <c r="F130" s="47"/>
      <c r="G130" s="47"/>
      <c r="H130" s="47"/>
      <c r="I130" s="47"/>
      <c r="J130"/>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50"/>
      <c r="AM130" s="126"/>
      <c r="AN130" s="223"/>
      <c r="AO130" s="728"/>
      <c r="AP130" s="260"/>
      <c r="AQ130" s="258"/>
      <c r="AR130" s="258"/>
      <c r="AS130" s="127"/>
    </row>
    <row r="131" spans="1:46" ht="0.75" customHeight="1">
      <c r="AL131" s="121"/>
      <c r="AM131" s="121"/>
      <c r="AN131" s="504"/>
      <c r="AO131" s="526"/>
      <c r="AP131" s="504"/>
      <c r="AQ131" s="321"/>
      <c r="AR131" s="258"/>
      <c r="AS131" s="121"/>
      <c r="AT131" s="121"/>
    </row>
    <row r="132" spans="1:46" ht="0.75" customHeight="1">
      <c r="AL132" s="121"/>
      <c r="AM132" s="121"/>
      <c r="AN132" s="504"/>
      <c r="AO132" s="526"/>
      <c r="AP132" s="504"/>
      <c r="AQ132" s="321"/>
      <c r="AR132" s="258"/>
      <c r="AS132" s="121"/>
      <c r="AT132" s="121"/>
    </row>
    <row r="133" spans="1:46" ht="0.75" customHeight="1">
      <c r="AL133" s="121"/>
      <c r="AM133" s="121"/>
      <c r="AN133" s="504"/>
      <c r="AO133" s="526"/>
      <c r="AP133" s="504"/>
      <c r="AQ133" s="321"/>
      <c r="AR133" s="258"/>
      <c r="AS133" s="121"/>
      <c r="AT133" s="121"/>
    </row>
    <row r="134" spans="1:46" ht="0.75" customHeight="1">
      <c r="AL134" s="121"/>
      <c r="AM134" s="121"/>
      <c r="AN134" s="504"/>
      <c r="AO134" s="526"/>
      <c r="AP134" s="504"/>
      <c r="AQ134" s="321"/>
      <c r="AR134" s="258"/>
      <c r="AS134" s="121"/>
      <c r="AT134" s="121"/>
    </row>
    <row r="135" spans="1:46" ht="0.75" customHeight="1">
      <c r="AL135" s="121"/>
      <c r="AM135" s="121"/>
      <c r="AN135" s="504"/>
      <c r="AO135" s="526"/>
      <c r="AP135" s="504"/>
      <c r="AQ135" s="321"/>
      <c r="AR135" s="258"/>
      <c r="AS135" s="121"/>
      <c r="AT135" s="121"/>
    </row>
    <row r="136" spans="1:46" ht="0.75" customHeight="1">
      <c r="AL136" s="121"/>
      <c r="AM136" s="121"/>
      <c r="AN136" s="504"/>
      <c r="AO136" s="526"/>
      <c r="AP136" s="504"/>
      <c r="AQ136" s="321"/>
      <c r="AR136" s="258"/>
      <c r="AS136" s="121"/>
      <c r="AT136" s="121"/>
    </row>
    <row r="137" spans="1:46" ht="0.75" customHeight="1">
      <c r="AL137" s="121"/>
      <c r="AM137" s="121"/>
      <c r="AN137" s="504"/>
      <c r="AO137" s="526"/>
      <c r="AP137" s="504"/>
      <c r="AQ137" s="321"/>
      <c r="AR137" s="258"/>
      <c r="AS137" s="121"/>
      <c r="AT137" s="121"/>
    </row>
    <row r="138" spans="1:46" ht="0.75" hidden="1" customHeight="1">
      <c r="AL138" s="121"/>
      <c r="AM138" s="121"/>
      <c r="AN138" s="504"/>
      <c r="AO138" s="540"/>
      <c r="AP138" s="504"/>
      <c r="AQ138" s="321"/>
      <c r="AR138" s="258"/>
      <c r="AS138" s="121"/>
      <c r="AT138" s="121"/>
    </row>
    <row r="139" spans="1:46" ht="0.75" customHeight="1">
      <c r="AL139" s="121"/>
      <c r="AM139" s="121"/>
      <c r="AN139" s="504"/>
      <c r="AO139" s="526"/>
      <c r="AP139" s="504"/>
      <c r="AQ139" s="321"/>
      <c r="AR139" s="258"/>
      <c r="AS139" s="121"/>
      <c r="AT139" s="121"/>
    </row>
    <row r="140" spans="1:46" ht="0.75" customHeight="1">
      <c r="AL140" s="121"/>
      <c r="AM140" s="121"/>
      <c r="AN140" s="504"/>
      <c r="AO140" s="526"/>
      <c r="AP140" s="504"/>
      <c r="AQ140" s="321"/>
      <c r="AR140" s="258"/>
      <c r="AS140" s="121"/>
      <c r="AT140" s="121"/>
    </row>
    <row r="141" spans="1:46" ht="0.75" customHeight="1">
      <c r="AL141" s="121"/>
      <c r="AM141" s="121"/>
      <c r="AN141" s="504"/>
      <c r="AO141" s="526"/>
      <c r="AP141" s="504"/>
      <c r="AQ141" s="321"/>
      <c r="AR141" s="258"/>
      <c r="AS141" s="121"/>
      <c r="AT141" s="121"/>
    </row>
    <row r="142" spans="1:46" ht="0.75" customHeight="1">
      <c r="AL142" s="121"/>
      <c r="AM142" s="121"/>
      <c r="AN142" s="504"/>
      <c r="AO142" s="526"/>
      <c r="AP142" s="504"/>
      <c r="AQ142" s="321"/>
      <c r="AR142" s="258"/>
      <c r="AS142" s="121"/>
      <c r="AT142" s="121"/>
    </row>
    <row r="143" spans="1:46" ht="0.75" customHeight="1">
      <c r="AL143" s="121"/>
      <c r="AM143" s="121"/>
      <c r="AN143" s="504"/>
      <c r="AO143" s="526"/>
      <c r="AP143" s="504"/>
      <c r="AQ143" s="321"/>
      <c r="AR143" s="258"/>
      <c r="AS143" s="121"/>
      <c r="AT143" s="121"/>
    </row>
    <row r="144" spans="1:46" ht="0.75" customHeight="1">
      <c r="AL144" s="121"/>
      <c r="AM144" s="121"/>
      <c r="AN144" s="559"/>
      <c r="AO144" s="604"/>
      <c r="AP144" s="504"/>
      <c r="AQ144" s="321"/>
      <c r="AR144" s="258"/>
      <c r="AS144" s="121"/>
      <c r="AT144" s="121"/>
    </row>
    <row r="145" spans="38:46" s="121" customFormat="1" ht="0.75" customHeight="1">
      <c r="AN145" s="504"/>
      <c r="AO145" s="526"/>
      <c r="AP145" s="504"/>
      <c r="AQ145" s="321"/>
      <c r="AR145" s="258"/>
    </row>
    <row r="146" spans="38:46" s="121" customFormat="1" ht="0.75" customHeight="1">
      <c r="AN146" s="222"/>
      <c r="AO146" s="540"/>
      <c r="AP146" s="504"/>
      <c r="AQ146" s="321"/>
      <c r="AR146" s="258"/>
    </row>
    <row r="147" spans="38:46" s="121" customFormat="1" ht="0.75" customHeight="1">
      <c r="AN147" s="222"/>
      <c r="AO147" s="540"/>
      <c r="AP147" s="504"/>
      <c r="AQ147" s="321"/>
      <c r="AR147" s="258"/>
    </row>
    <row r="148" spans="38:46" s="121" customFormat="1" ht="0.75" customHeight="1">
      <c r="AN148" s="222"/>
      <c r="AO148" s="541"/>
      <c r="AP148" s="504"/>
      <c r="AQ148" s="321"/>
      <c r="AR148" s="258"/>
    </row>
    <row r="149" spans="38:46" ht="0.75" customHeight="1">
      <c r="AL149" s="121"/>
      <c r="AM149" s="121"/>
      <c r="AN149" s="222"/>
      <c r="AO149" s="502"/>
      <c r="AP149" s="504"/>
      <c r="AQ149" s="321"/>
      <c r="AR149" s="258"/>
      <c r="AS149" s="121"/>
      <c r="AT149" s="121"/>
    </row>
    <row r="150" spans="38:46" ht="0.75" customHeight="1">
      <c r="AL150" s="121"/>
      <c r="AM150" s="121"/>
      <c r="AN150" s="222"/>
      <c r="AO150" s="502"/>
      <c r="AP150" s="504"/>
      <c r="AQ150" s="321"/>
      <c r="AR150" s="258"/>
      <c r="AS150" s="121"/>
      <c r="AT150" s="121"/>
    </row>
    <row r="151" spans="38:46" s="121" customFormat="1" ht="0.75" customHeight="1">
      <c r="AN151" s="222"/>
      <c r="AO151" s="540"/>
      <c r="AP151" s="504"/>
      <c r="AQ151" s="321"/>
      <c r="AR151" s="258"/>
    </row>
    <row r="152" spans="38:46" s="121" customFormat="1" ht="0.75" customHeight="1">
      <c r="AN152" s="222"/>
      <c r="AO152" s="502"/>
      <c r="AP152" s="504"/>
      <c r="AQ152" s="321"/>
      <c r="AR152" s="258"/>
    </row>
    <row r="153" spans="38:46" s="121" customFormat="1" ht="0.75" customHeight="1">
      <c r="AN153" s="222"/>
      <c r="AO153" s="502"/>
      <c r="AP153" s="504"/>
      <c r="AQ153" s="321"/>
      <c r="AR153" s="258"/>
    </row>
    <row r="154" spans="38:46" s="121" customFormat="1" ht="0.75" customHeight="1">
      <c r="AN154" s="222"/>
      <c r="AO154" s="540"/>
      <c r="AP154" s="504"/>
      <c r="AQ154" s="321"/>
      <c r="AR154" s="258"/>
    </row>
    <row r="155" spans="38:46" s="121" customFormat="1" ht="0.75" customHeight="1">
      <c r="AN155" s="222"/>
      <c r="AO155" s="502"/>
      <c r="AP155" s="504"/>
      <c r="AQ155" s="321"/>
      <c r="AR155" s="258"/>
    </row>
    <row r="156" spans="38:46" s="121" customFormat="1" ht="0.75" customHeight="1">
      <c r="AN156" s="222"/>
      <c r="AO156" s="502"/>
      <c r="AP156" s="504"/>
      <c r="AQ156" s="321"/>
      <c r="AR156" s="258"/>
    </row>
    <row r="157" spans="38:46" ht="0.75" customHeight="1">
      <c r="AL157" s="121"/>
      <c r="AM157" s="121"/>
      <c r="AN157" s="222"/>
      <c r="AO157" s="540"/>
      <c r="AP157" s="504"/>
      <c r="AQ157" s="321"/>
      <c r="AR157" s="258"/>
      <c r="AS157" s="121"/>
      <c r="AT157" s="121"/>
    </row>
    <row r="158" spans="38:46" s="121" customFormat="1" ht="0.75" customHeight="1">
      <c r="AN158" s="222"/>
      <c r="AO158" s="502"/>
      <c r="AP158" s="504"/>
      <c r="AQ158" s="321"/>
      <c r="AR158" s="258"/>
    </row>
    <row r="159" spans="38:46" s="121" customFormat="1" ht="0.75" customHeight="1">
      <c r="AN159" s="222"/>
      <c r="AO159" s="502"/>
      <c r="AP159" s="504"/>
      <c r="AQ159" s="321"/>
      <c r="AR159" s="258"/>
    </row>
    <row r="160" spans="38:46" s="121" customFormat="1" hidden="1">
      <c r="AN160" s="222"/>
      <c r="AO160" s="502"/>
      <c r="AP160" s="323"/>
      <c r="AQ160" s="321"/>
      <c r="AR160" s="258"/>
    </row>
    <row r="161" spans="1:46" s="121" customFormat="1" hidden="1">
      <c r="AN161" s="222"/>
      <c r="AO161" s="502"/>
      <c r="AP161" s="323"/>
      <c r="AQ161" s="321"/>
      <c r="AR161" s="258"/>
    </row>
    <row r="162" spans="1:46" s="121" customFormat="1" hidden="1">
      <c r="AN162" s="222"/>
      <c r="AO162" s="502"/>
      <c r="AP162" s="323"/>
      <c r="AQ162" s="321"/>
      <c r="AR162" s="258"/>
    </row>
    <row r="163" spans="1:46" s="121" customFormat="1" hidden="1">
      <c r="AN163" s="222"/>
      <c r="AO163" s="502"/>
      <c r="AP163" s="323"/>
      <c r="AQ163" s="321"/>
      <c r="AR163" s="258"/>
    </row>
    <row r="164" spans="1:46" ht="0.75" customHeight="1">
      <c r="AL164" s="121"/>
      <c r="AM164" s="121"/>
      <c r="AN164" s="223"/>
      <c r="AO164" s="216"/>
      <c r="AP164" s="543"/>
      <c r="AQ164" s="523"/>
      <c r="AR164" s="265"/>
      <c r="AS164" s="121"/>
      <c r="AT164" s="121"/>
    </row>
    <row r="165" spans="1:46" s="54" customFormat="1">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48"/>
      <c r="AS165" s="121"/>
      <c r="AT165" s="121"/>
    </row>
    <row r="166" spans="1:46" s="54" customFormat="1">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47"/>
      <c r="AR166" s="47"/>
      <c r="AS166" s="121"/>
      <c r="AT166" s="121"/>
    </row>
    <row r="167" spans="1:46">
      <c r="AL167" s="121"/>
      <c r="AM167" s="121"/>
    </row>
  </sheetData>
  <sheetProtection password="FA9C" sheet="1" objects="1" scenarios="1" formatColumns="0" formatRows="0"/>
  <mergeCells count="4">
    <mergeCell ref="AN9:AP9"/>
    <mergeCell ref="AN11:AN12"/>
    <mergeCell ref="AO11:AO12"/>
    <mergeCell ref="AP11:AP12"/>
  </mergeCells>
  <phoneticPr fontId="0"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sheetPr codeName="VSNA_CALC_PERIOD2">
    <tabColor rgb="FF00B050"/>
    <outlinePr summaryBelow="0"/>
  </sheetPr>
  <dimension ref="A1:AT167"/>
  <sheetViews>
    <sheetView showGridLines="0" topLeftCell="AL8" workbookViewId="0"/>
  </sheetViews>
  <sheetFormatPr defaultColWidth="8.7109375" defaultRowHeight="11.25"/>
  <cols>
    <col min="1" max="37" width="2.7109375" style="121"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4" width="0.140625" style="47" customWidth="1"/>
    <col min="45" max="46" width="2.7109375" style="47" customWidth="1"/>
    <col min="47" max="16384" width="8.7109375" style="47"/>
  </cols>
  <sheetData>
    <row r="1" spans="1:46" ht="12" hidden="1" customHeight="1">
      <c r="A1" s="47"/>
      <c r="B1" s="47"/>
      <c r="C1" s="47"/>
      <c r="D1" s="47"/>
      <c r="E1" s="47"/>
      <c r="F1" s="47"/>
      <c r="G1" s="47"/>
      <c r="H1" s="47"/>
      <c r="I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row>
    <row r="2" spans="1:46" ht="12" hidden="1" customHeight="1">
      <c r="A2" s="47"/>
      <c r="B2" s="47"/>
      <c r="C2" s="47"/>
      <c r="D2" s="47"/>
      <c r="E2" s="47"/>
      <c r="F2" s="47"/>
      <c r="G2" s="47"/>
      <c r="H2" s="47"/>
      <c r="I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row>
    <row r="3" spans="1:46" ht="12" hidden="1" customHeight="1">
      <c r="A3" s="47"/>
      <c r="B3" s="47"/>
      <c r="C3" s="47"/>
      <c r="D3" s="47"/>
      <c r="E3" s="47"/>
      <c r="F3" s="47"/>
      <c r="G3" s="47"/>
      <c r="H3" s="47"/>
      <c r="I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row>
    <row r="4" spans="1:46" ht="12" hidden="1" customHeight="1">
      <c r="A4" s="47"/>
      <c r="B4" s="47"/>
      <c r="C4" s="47"/>
      <c r="D4" s="47"/>
      <c r="E4" s="47"/>
      <c r="F4" s="47"/>
      <c r="G4" s="47"/>
      <c r="H4" s="47"/>
      <c r="I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row>
    <row r="5" spans="1:46" ht="12" hidden="1" customHeight="1">
      <c r="A5" s="47"/>
      <c r="B5" s="47"/>
      <c r="C5" s="47"/>
      <c r="D5" s="47"/>
      <c r="E5" s="47"/>
      <c r="F5" s="47"/>
      <c r="G5" s="47"/>
      <c r="H5" s="47"/>
      <c r="I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row>
    <row r="6" spans="1:46" ht="12" hidden="1" customHeight="1">
      <c r="A6" s="47"/>
      <c r="B6" s="47"/>
      <c r="C6" s="47"/>
      <c r="D6" s="47"/>
      <c r="E6" s="47"/>
      <c r="F6" s="47"/>
      <c r="G6" s="47"/>
      <c r="H6" s="47"/>
      <c r="I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row>
    <row r="7" spans="1:46" ht="12" hidden="1" customHeight="1">
      <c r="A7" s="47"/>
      <c r="B7" s="47"/>
      <c r="C7" s="47"/>
      <c r="D7" s="47"/>
      <c r="E7" s="47"/>
      <c r="F7" s="47"/>
      <c r="G7" s="47"/>
      <c r="H7" s="47"/>
      <c r="I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row>
    <row r="8" spans="1:46" s="520" customFormat="1" ht="11.25" customHeight="1">
      <c r="J8" s="521"/>
      <c r="AM8" s="522"/>
      <c r="AN8" s="637">
        <f>IF(TARIFF_SETUP_METHOD_CODE="BY_PSEUDO_YEARS",12,IF(TEMPLATE_CLAIM="P",6,2))</f>
        <v>2</v>
      </c>
      <c r="AO8" s="431" t="str">
        <f>"Необходимо указывать " &amp; IF(TARIFF_SETUP_METHOD_CODE="BY_PSEUDO_YEARS","общегодовые значения","значения по периодам")</f>
        <v>Необходимо указывать значения по периодам</v>
      </c>
      <c r="AP8" s="616" t="s">
        <v>2497</v>
      </c>
      <c r="AQ8" s="522"/>
      <c r="AR8" s="522"/>
      <c r="AS8" s="522"/>
    </row>
    <row r="9" spans="1:46"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по муниципальному образованию - " &amp; IF(mo="","Не определено",mo)</f>
        <v>Фактические расходы организаций водоотведения по муниципальному образованию - Село Булава</v>
      </c>
      <c r="AO9" s="917"/>
      <c r="AP9" s="917"/>
      <c r="AQ9" s="201"/>
      <c r="AR9" s="122"/>
      <c r="AS9" s="200"/>
    </row>
    <row r="10" spans="1:46" ht="12" customHeight="1">
      <c r="A10" s="47"/>
      <c r="B10" s="47"/>
      <c r="C10" s="47"/>
      <c r="D10" s="47"/>
      <c r="E10" s="47"/>
      <c r="F10" s="47"/>
      <c r="G10" s="47"/>
      <c r="H10" s="47"/>
      <c r="I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M10" s="124"/>
      <c r="AN10" s="491" t="str">
        <f>IF(TEMPLATE_CLAIM="P","01.07 - 31.12","01.07 - 31.08")</f>
        <v>01.07 - 31.08</v>
      </c>
      <c r="AO10" s="221"/>
      <c r="AP10" s="122" t="s">
        <v>786</v>
      </c>
      <c r="AQ10" s="201"/>
      <c r="AR10" s="168" t="s">
        <v>720</v>
      </c>
      <c r="AS10" s="53"/>
    </row>
    <row r="11" spans="1:46" ht="12" customHeight="1">
      <c r="A11" s="47"/>
      <c r="B11" s="47"/>
      <c r="C11" s="47"/>
      <c r="D11" s="47"/>
      <c r="E11" s="47"/>
      <c r="F11" s="47"/>
      <c r="G11" s="47"/>
      <c r="H11" s="47"/>
      <c r="I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50"/>
      <c r="AM11" s="125"/>
      <c r="AN11" s="802" t="s">
        <v>641</v>
      </c>
      <c r="AO11" s="804" t="s">
        <v>787</v>
      </c>
      <c r="AP11" s="806" t="s">
        <v>778</v>
      </c>
      <c r="AQ11" s="206">
        <v>0</v>
      </c>
      <c r="AR11" s="206"/>
      <c r="AS11" s="220"/>
    </row>
    <row r="12" spans="1:46" ht="48" customHeight="1">
      <c r="A12" s="47"/>
      <c r="B12" s="47"/>
      <c r="C12" s="47"/>
      <c r="D12" s="47"/>
      <c r="E12" s="47"/>
      <c r="F12" s="47"/>
      <c r="G12" s="47"/>
      <c r="H12" s="47"/>
      <c r="I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50"/>
      <c r="AM12" s="125"/>
      <c r="AN12" s="803"/>
      <c r="AO12" s="805"/>
      <c r="AP12" s="807"/>
      <c r="AQ12" s="207"/>
      <c r="AR12" s="207"/>
      <c r="AS12" s="121"/>
      <c r="AT12" s="121"/>
    </row>
    <row r="13" spans="1:46">
      <c r="A13" s="47"/>
      <c r="B13" s="47"/>
      <c r="C13" s="47"/>
      <c r="D13" s="47"/>
      <c r="E13" s="47"/>
      <c r="F13" s="47"/>
      <c r="G13" s="47"/>
      <c r="H13" s="47"/>
      <c r="I13" s="47"/>
      <c r="AL13" s="121"/>
      <c r="AM13" s="121"/>
      <c r="AN13" s="222"/>
      <c r="AO13" s="501" t="s">
        <v>788</v>
      </c>
      <c r="AP13" s="542"/>
      <c r="AQ13" s="330"/>
      <c r="AR13" s="207"/>
      <c r="AS13" s="121"/>
      <c r="AT13" s="121"/>
    </row>
    <row r="14" spans="1:46" ht="24" customHeight="1">
      <c r="A14" s="47"/>
      <c r="B14" s="47"/>
      <c r="C14" s="47"/>
      <c r="D14" s="47"/>
      <c r="E14" s="47"/>
      <c r="F14" s="47"/>
      <c r="G14" s="47"/>
      <c r="H14" s="47"/>
      <c r="I14" s="47"/>
      <c r="AL14" s="121"/>
      <c r="AM14" s="121"/>
      <c r="AN14" s="222"/>
      <c r="AO14" s="556" t="str">
        <f>IF(CALC_IDENTIFIER="","",CALC_IDENTIFIER)</f>
        <v/>
      </c>
      <c r="AP14" s="557" t="s">
        <v>745</v>
      </c>
      <c r="AQ14" s="330"/>
      <c r="AR14" s="207"/>
      <c r="AS14" s="121"/>
      <c r="AT14" s="121"/>
    </row>
    <row r="15" spans="1:46">
      <c r="AL15" s="121"/>
      <c r="AM15" s="121"/>
      <c r="AN15" s="504" t="s">
        <v>642</v>
      </c>
      <c r="AO15" s="566" t="str">
        <f>IF(TEMPLATE_SPHERE="водоснабжения","Объём отпуска воды (тыс. куб.м)",IF(TEMPLATE_SPHERE="водоотведения","Пропущено сточных вод, всего (тыс. куб.м)"))</f>
        <v>Пропущено сточных вод, всего (тыс. куб.м)</v>
      </c>
      <c r="AP15" s="551">
        <f t="shared" ref="AP15:AP22" si="0">SUMIF(AQ$14:AR$14,AP$14,AQ15:AR15)</f>
        <v>0</v>
      </c>
      <c r="AQ15" s="321"/>
      <c r="AR15" s="258"/>
      <c r="AS15" s="121"/>
      <c r="AT15" s="121"/>
    </row>
    <row r="16" spans="1:46" ht="22.5">
      <c r="AL16" s="121"/>
      <c r="AM16" s="121"/>
      <c r="AN16" s="504" t="s">
        <v>790</v>
      </c>
      <c r="AO16" s="527" t="s">
        <v>369</v>
      </c>
      <c r="AP16" s="257">
        <f t="shared" si="0"/>
        <v>0</v>
      </c>
      <c r="AQ16" s="321"/>
      <c r="AR16" s="258"/>
      <c r="AS16" s="121"/>
      <c r="AT16" s="121"/>
    </row>
    <row r="17" spans="38:46">
      <c r="AL17" s="121"/>
      <c r="AM17" s="121"/>
      <c r="AN17" s="504" t="s">
        <v>751</v>
      </c>
      <c r="AO17" s="526" t="s">
        <v>2814</v>
      </c>
      <c r="AP17" s="257">
        <f t="shared" si="0"/>
        <v>0</v>
      </c>
      <c r="AQ17" s="321"/>
      <c r="AR17" s="258"/>
      <c r="AS17" s="121"/>
      <c r="AT17" s="121"/>
    </row>
    <row r="18" spans="38:46">
      <c r="AL18" s="121"/>
      <c r="AM18" s="121"/>
      <c r="AN18" s="504" t="s">
        <v>66</v>
      </c>
      <c r="AO18" s="527" t="s">
        <v>2815</v>
      </c>
      <c r="AP18" s="257">
        <f t="shared" si="0"/>
        <v>0</v>
      </c>
      <c r="AQ18" s="321"/>
      <c r="AR18" s="258"/>
      <c r="AS18" s="121"/>
      <c r="AT18" s="121"/>
    </row>
    <row r="19" spans="38:46">
      <c r="AL19" s="121"/>
      <c r="AM19" s="121"/>
      <c r="AN19" s="504" t="s">
        <v>632</v>
      </c>
      <c r="AO19" s="528" t="s">
        <v>2816</v>
      </c>
      <c r="AP19" s="257">
        <f t="shared" si="0"/>
        <v>0</v>
      </c>
      <c r="AQ19" s="321"/>
      <c r="AR19" s="258"/>
      <c r="AS19" s="121"/>
      <c r="AT19" s="121"/>
    </row>
    <row r="20" spans="38:46">
      <c r="AL20" s="121"/>
      <c r="AM20" s="121"/>
      <c r="AN20" s="223" t="s">
        <v>2817</v>
      </c>
      <c r="AO20" s="529" t="s">
        <v>2972</v>
      </c>
      <c r="AP20" s="257">
        <f t="shared" si="0"/>
        <v>0</v>
      </c>
      <c r="AQ20" s="321"/>
      <c r="AR20" s="258"/>
      <c r="AS20" s="121"/>
      <c r="AT20" s="121"/>
    </row>
    <row r="21" spans="38:46">
      <c r="AL21" s="121"/>
      <c r="AM21" s="121"/>
      <c r="AN21" s="223" t="s">
        <v>2818</v>
      </c>
      <c r="AO21" s="529" t="s">
        <v>2988</v>
      </c>
      <c r="AP21" s="257">
        <f t="shared" si="0"/>
        <v>0</v>
      </c>
      <c r="AQ21" s="321"/>
      <c r="AR21" s="258"/>
      <c r="AS21" s="121"/>
      <c r="AT21" s="121"/>
    </row>
    <row r="22" spans="38:46">
      <c r="AL22" s="121"/>
      <c r="AM22" s="121"/>
      <c r="AN22" s="223" t="s">
        <v>8</v>
      </c>
      <c r="AO22" s="529" t="s">
        <v>3011</v>
      </c>
      <c r="AP22" s="257">
        <f t="shared" si="0"/>
        <v>0</v>
      </c>
      <c r="AQ22" s="321"/>
      <c r="AR22" s="258"/>
      <c r="AS22" s="121"/>
      <c r="AT22" s="121"/>
    </row>
    <row r="23" spans="38:46">
      <c r="AL23" s="121"/>
      <c r="AM23" s="121"/>
      <c r="AN23" s="524" t="s">
        <v>9</v>
      </c>
      <c r="AO23" s="530" t="s">
        <v>2968</v>
      </c>
      <c r="AP23" s="544">
        <f>IF(AP24=0,0,AP22/AP24)</f>
        <v>0</v>
      </c>
      <c r="AQ23" s="321"/>
      <c r="AR23" s="258"/>
      <c r="AS23" s="121"/>
      <c r="AT23" s="121"/>
    </row>
    <row r="24" spans="38:46">
      <c r="AL24" s="121"/>
      <c r="AM24" s="121"/>
      <c r="AN24" s="524" t="s">
        <v>10</v>
      </c>
      <c r="AO24" s="530" t="s">
        <v>2972</v>
      </c>
      <c r="AP24" s="257">
        <f>SUMIF(AQ$14:AR$14,AP$14,AQ24:AR24)</f>
        <v>0</v>
      </c>
      <c r="AQ24" s="321"/>
      <c r="AR24" s="258"/>
      <c r="AS24" s="121"/>
      <c r="AT24" s="121"/>
    </row>
    <row r="25" spans="38:46">
      <c r="AL25" s="121"/>
      <c r="AM25" s="121"/>
      <c r="AN25" s="223" t="s">
        <v>11</v>
      </c>
      <c r="AO25" s="531" t="s">
        <v>3015</v>
      </c>
      <c r="AP25" s="257">
        <f>SUMIF(AQ$14:AR$14,AP$14,AQ25:AR25)</f>
        <v>0</v>
      </c>
      <c r="AQ25" s="321"/>
      <c r="AR25" s="258"/>
      <c r="AS25" s="121"/>
      <c r="AT25" s="121"/>
    </row>
    <row r="26" spans="38:46">
      <c r="AL26" s="121"/>
      <c r="AM26" s="121"/>
      <c r="AN26" s="524" t="s">
        <v>12</v>
      </c>
      <c r="AO26" s="530" t="s">
        <v>2970</v>
      </c>
      <c r="AP26" s="544">
        <f>IF(AP27=0,0,AP25/AP27)</f>
        <v>0</v>
      </c>
      <c r="AQ26" s="321"/>
      <c r="AR26" s="258"/>
      <c r="AS26" s="121"/>
      <c r="AT26" s="121"/>
    </row>
    <row r="27" spans="38:46">
      <c r="AL27" s="121"/>
      <c r="AM27" s="121"/>
      <c r="AN27" s="524" t="s">
        <v>13</v>
      </c>
      <c r="AO27" s="530" t="s">
        <v>3018</v>
      </c>
      <c r="AP27" s="257">
        <f>SUMIF(AQ$14:AR$14,AP$14,AQ27:AR27)</f>
        <v>0</v>
      </c>
      <c r="AQ27" s="321"/>
      <c r="AR27" s="258"/>
      <c r="AS27" s="121"/>
      <c r="AT27" s="121"/>
    </row>
    <row r="28" spans="38:46">
      <c r="AL28" s="121"/>
      <c r="AM28" s="121"/>
      <c r="AN28" s="223" t="s">
        <v>14</v>
      </c>
      <c r="AO28" s="529" t="s">
        <v>3020</v>
      </c>
      <c r="AP28" s="257">
        <f>SUMIF(AQ$14:AR$14,AP$14,AQ28:AR28)</f>
        <v>0</v>
      </c>
      <c r="AQ28" s="321"/>
      <c r="AR28" s="258"/>
      <c r="AS28" s="121"/>
      <c r="AT28" s="121"/>
    </row>
    <row r="29" spans="38:46">
      <c r="AL29" s="121"/>
      <c r="AM29" s="121"/>
      <c r="AN29" s="524" t="s">
        <v>15</v>
      </c>
      <c r="AO29" s="530" t="s">
        <v>2968</v>
      </c>
      <c r="AP29" s="544">
        <f>IF(AP30=0,0,AP28/AP30)</f>
        <v>0</v>
      </c>
      <c r="AQ29" s="321"/>
      <c r="AR29" s="258"/>
      <c r="AS29" s="121"/>
      <c r="AT29" s="121"/>
    </row>
    <row r="30" spans="38:46">
      <c r="AL30" s="121"/>
      <c r="AM30" s="121"/>
      <c r="AN30" s="524" t="s">
        <v>16</v>
      </c>
      <c r="AO30" s="530" t="s">
        <v>2972</v>
      </c>
      <c r="AP30" s="257">
        <f>SUMIF(AQ$14:AR$14,AP$14,AQ30:AR30)</f>
        <v>0</v>
      </c>
      <c r="AQ30" s="321"/>
      <c r="AR30" s="258"/>
      <c r="AS30" s="121"/>
      <c r="AT30" s="121"/>
    </row>
    <row r="31" spans="38:46">
      <c r="AL31" s="121"/>
      <c r="AM31" s="121"/>
      <c r="AN31" s="223" t="s">
        <v>17</v>
      </c>
      <c r="AO31" s="531" t="s">
        <v>3024</v>
      </c>
      <c r="AP31" s="257">
        <f>SUMIF(AQ$14:AR$14,AP$14,AQ31:AR31)</f>
        <v>0</v>
      </c>
      <c r="AQ31" s="321"/>
      <c r="AR31" s="258"/>
      <c r="AS31" s="121"/>
      <c r="AT31" s="121"/>
    </row>
    <row r="32" spans="38:46">
      <c r="AL32" s="121"/>
      <c r="AM32" s="121"/>
      <c r="AN32" s="524" t="s">
        <v>18</v>
      </c>
      <c r="AO32" s="530" t="s">
        <v>2970</v>
      </c>
      <c r="AP32" s="544">
        <f>IF(AP33=0,0,AP31/AP33)</f>
        <v>0</v>
      </c>
      <c r="AQ32" s="321"/>
      <c r="AR32" s="258"/>
      <c r="AS32" s="121"/>
      <c r="AT32" s="121"/>
    </row>
    <row r="33" spans="38:46">
      <c r="AL33" s="121"/>
      <c r="AM33" s="121"/>
      <c r="AN33" s="524" t="s">
        <v>19</v>
      </c>
      <c r="AO33" s="530" t="s">
        <v>3018</v>
      </c>
      <c r="AP33" s="257">
        <f>SUMIF(AQ$14:AR$14,AP$14,AQ33:AR33)</f>
        <v>0</v>
      </c>
      <c r="AQ33" s="321"/>
      <c r="AR33" s="258"/>
      <c r="AS33" s="121"/>
      <c r="AT33" s="121"/>
    </row>
    <row r="34" spans="38:46">
      <c r="AL34" s="121"/>
      <c r="AM34" s="121"/>
      <c r="AN34" s="223" t="s">
        <v>20</v>
      </c>
      <c r="AO34" s="529" t="s">
        <v>3028</v>
      </c>
      <c r="AP34" s="257">
        <f>SUMIF(AQ$14:AR$14,AP$14,AQ34:AR34)</f>
        <v>0</v>
      </c>
      <c r="AQ34" s="321"/>
      <c r="AR34" s="258"/>
      <c r="AS34" s="121"/>
      <c r="AT34" s="121"/>
    </row>
    <row r="35" spans="38:46">
      <c r="AL35" s="121"/>
      <c r="AM35" s="121"/>
      <c r="AN35" s="524" t="s">
        <v>21</v>
      </c>
      <c r="AO35" s="530" t="s">
        <v>2968</v>
      </c>
      <c r="AP35" s="544">
        <f>IF(AP36=0,0,AP34/AP36)</f>
        <v>0</v>
      </c>
      <c r="AQ35" s="321"/>
      <c r="AR35" s="258"/>
      <c r="AS35" s="121"/>
      <c r="AT35" s="121"/>
    </row>
    <row r="36" spans="38:46">
      <c r="AL36" s="121"/>
      <c r="AM36" s="121"/>
      <c r="AN36" s="524" t="s">
        <v>22</v>
      </c>
      <c r="AO36" s="530" t="s">
        <v>2972</v>
      </c>
      <c r="AP36" s="257">
        <f>SUMIF(AQ$14:AR$14,AP$14,AQ36:AR36)</f>
        <v>0</v>
      </c>
      <c r="AQ36" s="321"/>
      <c r="AR36" s="258"/>
      <c r="AS36" s="121"/>
      <c r="AT36" s="121"/>
    </row>
    <row r="37" spans="38:46">
      <c r="AL37" s="121"/>
      <c r="AM37" s="121"/>
      <c r="AN37" s="223" t="s">
        <v>23</v>
      </c>
      <c r="AO37" s="531" t="s">
        <v>3032</v>
      </c>
      <c r="AP37" s="257">
        <f>SUMIF(AQ$14:AR$14,AP$14,AQ37:AR37)</f>
        <v>0</v>
      </c>
      <c r="AQ37" s="321"/>
      <c r="AR37" s="258"/>
      <c r="AS37" s="121"/>
      <c r="AT37" s="121"/>
    </row>
    <row r="38" spans="38:46">
      <c r="AL38" s="121"/>
      <c r="AM38" s="121"/>
      <c r="AN38" s="524" t="s">
        <v>24</v>
      </c>
      <c r="AO38" s="530" t="s">
        <v>2970</v>
      </c>
      <c r="AP38" s="544">
        <f>IF(AP39=0,0,AP37/AP39)</f>
        <v>0</v>
      </c>
      <c r="AQ38" s="321"/>
      <c r="AR38" s="258"/>
      <c r="AS38" s="121"/>
      <c r="AT38" s="121"/>
    </row>
    <row r="39" spans="38:46">
      <c r="AL39" s="121"/>
      <c r="AM39" s="121"/>
      <c r="AN39" s="524" t="s">
        <v>25</v>
      </c>
      <c r="AO39" s="530" t="s">
        <v>3018</v>
      </c>
      <c r="AP39" s="257">
        <f>SUMIF(AQ$14:AR$14,AP$14,AQ39:AR39)</f>
        <v>0</v>
      </c>
      <c r="AQ39" s="321"/>
      <c r="AR39" s="258"/>
      <c r="AS39" s="121"/>
      <c r="AT39" s="121"/>
    </row>
    <row r="40" spans="38:46">
      <c r="AL40" s="121"/>
      <c r="AM40" s="121"/>
      <c r="AN40" s="223" t="s">
        <v>26</v>
      </c>
      <c r="AO40" s="529" t="s">
        <v>3036</v>
      </c>
      <c r="AP40" s="257">
        <f>SUMIF(AQ$14:AR$14,AP$14,AQ40:AR40)</f>
        <v>0</v>
      </c>
      <c r="AQ40" s="321"/>
      <c r="AR40" s="258"/>
      <c r="AS40" s="121"/>
      <c r="AT40" s="121"/>
    </row>
    <row r="41" spans="38:46">
      <c r="AL41" s="121"/>
      <c r="AM41" s="121"/>
      <c r="AN41" s="524" t="s">
        <v>27</v>
      </c>
      <c r="AO41" s="530" t="s">
        <v>2968</v>
      </c>
      <c r="AP41" s="544">
        <f>IF(AP42=0,0,AP40/AP42)</f>
        <v>0</v>
      </c>
      <c r="AQ41" s="321"/>
      <c r="AR41" s="258"/>
      <c r="AS41" s="121"/>
      <c r="AT41" s="121"/>
    </row>
    <row r="42" spans="38:46">
      <c r="AL42" s="121"/>
      <c r="AM42" s="121"/>
      <c r="AN42" s="524" t="s">
        <v>28</v>
      </c>
      <c r="AO42" s="530" t="s">
        <v>2972</v>
      </c>
      <c r="AP42" s="257">
        <f>SUMIF(AQ$14:AR$14,AP$14,AQ42:AR42)</f>
        <v>0</v>
      </c>
      <c r="AQ42" s="321"/>
      <c r="AR42" s="258"/>
      <c r="AS42" s="121"/>
      <c r="AT42" s="121"/>
    </row>
    <row r="43" spans="38:46">
      <c r="AL43" s="121"/>
      <c r="AM43" s="121"/>
      <c r="AN43" s="223" t="s">
        <v>29</v>
      </c>
      <c r="AO43" s="531" t="s">
        <v>3040</v>
      </c>
      <c r="AP43" s="257">
        <f>SUMIF(AQ$14:AR$14,AP$14,AQ43:AR43)</f>
        <v>0</v>
      </c>
      <c r="AQ43" s="321"/>
      <c r="AR43" s="258"/>
      <c r="AS43" s="121"/>
      <c r="AT43" s="121"/>
    </row>
    <row r="44" spans="38:46">
      <c r="AL44" s="121"/>
      <c r="AM44" s="121"/>
      <c r="AN44" s="524" t="s">
        <v>30</v>
      </c>
      <c r="AO44" s="530" t="s">
        <v>2970</v>
      </c>
      <c r="AP44" s="544">
        <f>IF(AP45=0,0,AP43/AP45)</f>
        <v>0</v>
      </c>
      <c r="AQ44" s="321"/>
      <c r="AR44" s="258"/>
      <c r="AS44" s="121"/>
      <c r="AT44" s="121"/>
    </row>
    <row r="45" spans="38:46">
      <c r="AL45" s="121"/>
      <c r="AM45" s="121"/>
      <c r="AN45" s="524" t="s">
        <v>31</v>
      </c>
      <c r="AO45" s="530" t="s">
        <v>3018</v>
      </c>
      <c r="AP45" s="257">
        <f t="shared" ref="AP45:AP55" si="1">SUMIF(AQ$14:AR$14,AP$14,AQ45:AR45)</f>
        <v>0</v>
      </c>
      <c r="AQ45" s="321"/>
      <c r="AR45" s="258"/>
      <c r="AS45" s="121"/>
      <c r="AT45" s="121"/>
    </row>
    <row r="46" spans="38:46">
      <c r="AL46" s="121"/>
      <c r="AM46" s="121"/>
      <c r="AN46" s="504" t="s">
        <v>633</v>
      </c>
      <c r="AO46" s="532" t="s">
        <v>2819</v>
      </c>
      <c r="AP46" s="257">
        <f t="shared" si="1"/>
        <v>0</v>
      </c>
      <c r="AQ46" s="321"/>
      <c r="AR46" s="258"/>
      <c r="AS46" s="121"/>
      <c r="AT46" s="121"/>
    </row>
    <row r="47" spans="38:46">
      <c r="AL47" s="121"/>
      <c r="AM47" s="121"/>
      <c r="AN47" s="504" t="s">
        <v>69</v>
      </c>
      <c r="AO47" s="527" t="s">
        <v>2820</v>
      </c>
      <c r="AP47" s="257">
        <f t="shared" si="1"/>
        <v>0</v>
      </c>
      <c r="AQ47" s="321"/>
      <c r="AR47" s="258"/>
      <c r="AS47" s="121"/>
      <c r="AT47" s="121"/>
    </row>
    <row r="48" spans="38:46">
      <c r="AL48" s="121"/>
      <c r="AM48" s="121"/>
      <c r="AN48" s="504" t="s">
        <v>72</v>
      </c>
      <c r="AO48" s="527" t="s">
        <v>2471</v>
      </c>
      <c r="AP48" s="257">
        <f t="shared" si="1"/>
        <v>0</v>
      </c>
      <c r="AQ48" s="321"/>
      <c r="AR48" s="258"/>
      <c r="AS48" s="121"/>
      <c r="AT48" s="121"/>
    </row>
    <row r="49" spans="38:46">
      <c r="AL49" s="121"/>
      <c r="AM49" s="121"/>
      <c r="AN49" s="504" t="s">
        <v>2821</v>
      </c>
      <c r="AO49" s="527" t="s">
        <v>2822</v>
      </c>
      <c r="AP49" s="257">
        <f t="shared" si="1"/>
        <v>0</v>
      </c>
      <c r="AQ49" s="321"/>
      <c r="AR49" s="258"/>
      <c r="AS49" s="121"/>
      <c r="AT49" s="121"/>
    </row>
    <row r="50" spans="38:46">
      <c r="AL50" s="121"/>
      <c r="AM50" s="121"/>
      <c r="AN50" s="504" t="s">
        <v>888</v>
      </c>
      <c r="AO50" s="528" t="s">
        <v>2823</v>
      </c>
      <c r="AP50" s="257">
        <f t="shared" si="1"/>
        <v>0</v>
      </c>
      <c r="AQ50" s="321"/>
      <c r="AR50" s="258"/>
      <c r="AS50" s="121"/>
      <c r="AT50" s="121"/>
    </row>
    <row r="51" spans="38:46">
      <c r="AL51" s="121"/>
      <c r="AM51" s="121"/>
      <c r="AN51" s="504" t="s">
        <v>889</v>
      </c>
      <c r="AO51" s="528" t="s">
        <v>2824</v>
      </c>
      <c r="AP51" s="257">
        <f t="shared" si="1"/>
        <v>0</v>
      </c>
      <c r="AQ51" s="321"/>
      <c r="AR51" s="258"/>
      <c r="AS51" s="121"/>
      <c r="AT51" s="121"/>
    </row>
    <row r="52" spans="38:46">
      <c r="AL52" s="121"/>
      <c r="AM52" s="121"/>
      <c r="AN52" s="504" t="s">
        <v>890</v>
      </c>
      <c r="AO52" s="528" t="s">
        <v>2825</v>
      </c>
      <c r="AP52" s="257">
        <f t="shared" si="1"/>
        <v>0</v>
      </c>
      <c r="AQ52" s="321"/>
      <c r="AR52" s="258"/>
      <c r="AS52" s="121"/>
      <c r="AT52" s="121"/>
    </row>
    <row r="53" spans="38:46">
      <c r="AL53" s="121"/>
      <c r="AM53" s="121"/>
      <c r="AN53" s="504" t="s">
        <v>2826</v>
      </c>
      <c r="AO53" s="527" t="s">
        <v>2827</v>
      </c>
      <c r="AP53" s="257">
        <f t="shared" si="1"/>
        <v>0</v>
      </c>
      <c r="AQ53" s="321"/>
      <c r="AR53" s="258"/>
      <c r="AS53" s="121"/>
      <c r="AT53" s="121"/>
    </row>
    <row r="54" spans="38:46">
      <c r="AL54" s="121"/>
      <c r="AM54" s="121"/>
      <c r="AN54" s="504" t="s">
        <v>2828</v>
      </c>
      <c r="AO54" s="527" t="s">
        <v>2829</v>
      </c>
      <c r="AP54" s="257">
        <f t="shared" si="1"/>
        <v>0</v>
      </c>
      <c r="AQ54" s="321"/>
      <c r="AR54" s="258"/>
      <c r="AS54" s="121"/>
      <c r="AT54" s="121"/>
    </row>
    <row r="55" spans="38:46">
      <c r="AL55" s="121"/>
      <c r="AM55" s="121"/>
      <c r="AN55" s="504" t="s">
        <v>2830</v>
      </c>
      <c r="AO55" s="527" t="s">
        <v>2831</v>
      </c>
      <c r="AP55" s="257">
        <f t="shared" si="1"/>
        <v>0</v>
      </c>
      <c r="AQ55" s="321"/>
      <c r="AR55" s="258"/>
      <c r="AS55" s="121"/>
      <c r="AT55" s="121"/>
    </row>
    <row r="56" spans="38:46" ht="22.5">
      <c r="AL56" s="121"/>
      <c r="AM56" s="121"/>
      <c r="AN56" s="279" t="s">
        <v>353</v>
      </c>
      <c r="AO56" s="558" t="s">
        <v>2782</v>
      </c>
      <c r="AP56" s="257">
        <f>IF(AP57&lt;&gt;0,(1000*AP55/AP57)/$AN$8,0)</f>
        <v>0</v>
      </c>
      <c r="AQ56" s="321"/>
      <c r="AR56" s="258"/>
      <c r="AS56" s="121"/>
      <c r="AT56" s="121"/>
    </row>
    <row r="57" spans="38:46">
      <c r="AL57" s="121"/>
      <c r="AM57" s="121"/>
      <c r="AN57" s="279" t="s">
        <v>354</v>
      </c>
      <c r="AO57" s="558" t="s">
        <v>2783</v>
      </c>
      <c r="AP57" s="257">
        <f>SUM(AQ57:AR57)</f>
        <v>0</v>
      </c>
      <c r="AQ57" s="321"/>
      <c r="AR57" s="258"/>
      <c r="AS57" s="121"/>
      <c r="AT57" s="121"/>
    </row>
    <row r="58" spans="38:46" ht="22.5">
      <c r="AL58" s="121"/>
      <c r="AM58" s="121"/>
      <c r="AN58" s="279" t="s">
        <v>355</v>
      </c>
      <c r="AO58" s="558" t="s">
        <v>120</v>
      </c>
      <c r="AP58" s="263"/>
      <c r="AQ58" s="321"/>
      <c r="AR58" s="258"/>
      <c r="AS58" s="121"/>
      <c r="AT58" s="121"/>
    </row>
    <row r="59" spans="38:46">
      <c r="AL59" s="121"/>
      <c r="AM59" s="121"/>
      <c r="AN59" s="222" t="s">
        <v>2832</v>
      </c>
      <c r="AO59" s="533" t="s">
        <v>1832</v>
      </c>
      <c r="AP59" s="257">
        <f>SUMIF(AQ$14:AR$14,AP$14,AQ59:AR59)</f>
        <v>0</v>
      </c>
      <c r="AQ59" s="321"/>
      <c r="AR59" s="258"/>
      <c r="AS59" s="121"/>
      <c r="AT59" s="121"/>
    </row>
    <row r="60" spans="38:46" ht="22.5">
      <c r="AL60" s="121"/>
      <c r="AM60" s="121"/>
      <c r="AN60" s="222" t="s">
        <v>2833</v>
      </c>
      <c r="AO60" s="529" t="s">
        <v>1834</v>
      </c>
      <c r="AP60" s="254"/>
      <c r="AQ60" s="321"/>
      <c r="AR60" s="258"/>
      <c r="AS60" s="121"/>
      <c r="AT60" s="121"/>
    </row>
    <row r="61" spans="38:46" ht="22.5">
      <c r="AL61" s="121"/>
      <c r="AM61" s="121"/>
      <c r="AN61" s="222" t="s">
        <v>2834</v>
      </c>
      <c r="AO61" s="529" t="s">
        <v>1836</v>
      </c>
      <c r="AP61" s="257">
        <f>SUMIF(AQ$14:AR$14,AP$14,AQ61:AR61)</f>
        <v>0</v>
      </c>
      <c r="AQ61" s="321"/>
      <c r="AR61" s="258"/>
      <c r="AS61" s="121"/>
      <c r="AT61" s="121"/>
    </row>
    <row r="62" spans="38:46">
      <c r="AL62" s="121"/>
      <c r="AM62" s="121"/>
      <c r="AN62" s="222" t="s">
        <v>356</v>
      </c>
      <c r="AO62" s="558" t="s">
        <v>119</v>
      </c>
      <c r="AP62" s="263"/>
      <c r="AQ62" s="321"/>
      <c r="AR62" s="258"/>
      <c r="AS62" s="121"/>
      <c r="AT62" s="121"/>
    </row>
    <row r="63" spans="38:46">
      <c r="AL63" s="121"/>
      <c r="AM63" s="121"/>
      <c r="AN63" s="222" t="s">
        <v>357</v>
      </c>
      <c r="AO63" s="558" t="s">
        <v>121</v>
      </c>
      <c r="AP63" s="263"/>
      <c r="AQ63" s="321"/>
      <c r="AR63" s="258"/>
      <c r="AS63" s="121"/>
      <c r="AT63" s="121"/>
    </row>
    <row r="64" spans="38:46">
      <c r="AL64" s="121"/>
      <c r="AM64" s="121"/>
      <c r="AN64" s="222" t="s">
        <v>358</v>
      </c>
      <c r="AO64" s="558" t="s">
        <v>122</v>
      </c>
      <c r="AP64" s="263"/>
      <c r="AQ64" s="321"/>
      <c r="AR64" s="258"/>
      <c r="AS64" s="121"/>
      <c r="AT64" s="121"/>
    </row>
    <row r="65" spans="38:46">
      <c r="AL65" s="121"/>
      <c r="AM65" s="121"/>
      <c r="AN65" s="222" t="s">
        <v>2835</v>
      </c>
      <c r="AO65" s="533" t="s">
        <v>1838</v>
      </c>
      <c r="AP65" s="257">
        <f>SUMIF(AQ$14:AR$14,AP$14,AQ65:AR65)</f>
        <v>0</v>
      </c>
      <c r="AQ65" s="321"/>
      <c r="AR65" s="258"/>
      <c r="AS65" s="121"/>
      <c r="AT65" s="121"/>
    </row>
    <row r="66" spans="38:46">
      <c r="AL66" s="121"/>
      <c r="AM66" s="121"/>
      <c r="AN66" s="222" t="s">
        <v>2836</v>
      </c>
      <c r="AO66" s="534" t="s">
        <v>1839</v>
      </c>
      <c r="AP66" s="254"/>
      <c r="AQ66" s="321"/>
      <c r="AR66" s="258"/>
      <c r="AS66" s="121"/>
      <c r="AT66" s="121"/>
    </row>
    <row r="67" spans="38:46" ht="22.5">
      <c r="AL67" s="121"/>
      <c r="AM67" s="121"/>
      <c r="AN67" s="222" t="s">
        <v>2837</v>
      </c>
      <c r="AO67" s="534" t="s">
        <v>1841</v>
      </c>
      <c r="AP67" s="257">
        <f>SUMIF(AQ$14:AR$14,AP$14,AQ67:AR67)</f>
        <v>0</v>
      </c>
      <c r="AQ67" s="321"/>
      <c r="AR67" s="258"/>
      <c r="AS67" s="121"/>
      <c r="AT67" s="121"/>
    </row>
    <row r="68" spans="38:46">
      <c r="AL68" s="121"/>
      <c r="AM68" s="121"/>
      <c r="AN68" s="222" t="s">
        <v>359</v>
      </c>
      <c r="AO68" s="558" t="s">
        <v>119</v>
      </c>
      <c r="AP68" s="263"/>
      <c r="AQ68" s="321"/>
      <c r="AR68" s="258"/>
      <c r="AS68" s="121"/>
      <c r="AT68" s="121"/>
    </row>
    <row r="69" spans="38:46">
      <c r="AL69" s="121"/>
      <c r="AM69" s="121"/>
      <c r="AN69" s="222" t="s">
        <v>360</v>
      </c>
      <c r="AO69" s="558" t="s">
        <v>121</v>
      </c>
      <c r="AP69" s="263"/>
      <c r="AQ69" s="321"/>
      <c r="AR69" s="258"/>
      <c r="AS69" s="121"/>
      <c r="AT69" s="121"/>
    </row>
    <row r="70" spans="38:46">
      <c r="AL70" s="121"/>
      <c r="AM70" s="121"/>
      <c r="AN70" s="222" t="s">
        <v>361</v>
      </c>
      <c r="AO70" s="558" t="s">
        <v>122</v>
      </c>
      <c r="AP70" s="263"/>
      <c r="AQ70" s="321"/>
      <c r="AR70" s="258"/>
      <c r="AS70" s="121"/>
      <c r="AT70" s="121"/>
    </row>
    <row r="71" spans="38:46">
      <c r="AL71" s="121"/>
      <c r="AM71" s="121"/>
      <c r="AN71" s="222" t="s">
        <v>2838</v>
      </c>
      <c r="AO71" s="533" t="s">
        <v>1843</v>
      </c>
      <c r="AP71" s="257">
        <f>SUMIF(AQ$14:AR$14,AP$14,AQ71:AR71)</f>
        <v>0</v>
      </c>
      <c r="AQ71" s="321"/>
      <c r="AR71" s="258"/>
      <c r="AS71" s="121"/>
      <c r="AT71" s="121"/>
    </row>
    <row r="72" spans="38:46">
      <c r="AL72" s="121"/>
      <c r="AM72" s="121"/>
      <c r="AN72" s="222" t="s">
        <v>2839</v>
      </c>
      <c r="AO72" s="534" t="s">
        <v>1844</v>
      </c>
      <c r="AP72" s="254"/>
      <c r="AQ72" s="321"/>
      <c r="AR72" s="258"/>
      <c r="AS72" s="121"/>
      <c r="AT72" s="121"/>
    </row>
    <row r="73" spans="38:46" ht="22.5">
      <c r="AL73" s="121"/>
      <c r="AM73" s="121"/>
      <c r="AN73" s="222" t="s">
        <v>2840</v>
      </c>
      <c r="AO73" s="534" t="s">
        <v>1846</v>
      </c>
      <c r="AP73" s="257">
        <f>SUMIF(AQ$14:AR$14,AP$14,AQ73:AR73)</f>
        <v>0</v>
      </c>
      <c r="AQ73" s="321"/>
      <c r="AR73" s="258"/>
      <c r="AS73" s="121"/>
      <c r="AT73" s="121"/>
    </row>
    <row r="74" spans="38:46">
      <c r="AL74" s="121"/>
      <c r="AM74" s="121"/>
      <c r="AN74" s="222" t="s">
        <v>2841</v>
      </c>
      <c r="AO74" s="533" t="s">
        <v>1849</v>
      </c>
      <c r="AP74" s="257">
        <f>SUMIF(AQ$14:AR$14,AP$14,AQ74:AR74)</f>
        <v>0</v>
      </c>
      <c r="AQ74" s="321"/>
      <c r="AR74" s="258"/>
      <c r="AS74" s="121"/>
      <c r="AT74" s="121"/>
    </row>
    <row r="75" spans="38:46">
      <c r="AL75" s="121"/>
      <c r="AM75" s="121"/>
      <c r="AN75" s="222" t="s">
        <v>2842</v>
      </c>
      <c r="AO75" s="534" t="s">
        <v>1851</v>
      </c>
      <c r="AP75" s="254"/>
      <c r="AQ75" s="321"/>
      <c r="AR75" s="258"/>
      <c r="AS75" s="121"/>
      <c r="AT75" s="121"/>
    </row>
    <row r="76" spans="38:46" ht="22.5">
      <c r="AL76" s="121"/>
      <c r="AM76" s="121"/>
      <c r="AN76" s="222" t="s">
        <v>2843</v>
      </c>
      <c r="AO76" s="529" t="s">
        <v>1853</v>
      </c>
      <c r="AP76" s="257">
        <f>SUMIF(AQ$14:AR$14,AP$14,AQ76:AR76)</f>
        <v>0</v>
      </c>
      <c r="AQ76" s="321"/>
      <c r="AR76" s="258"/>
      <c r="AS76" s="121"/>
      <c r="AT76" s="121"/>
    </row>
    <row r="77" spans="38:46" ht="22.5">
      <c r="AL77" s="121"/>
      <c r="AM77" s="121"/>
      <c r="AN77" s="222" t="s">
        <v>2844</v>
      </c>
      <c r="AO77" s="533" t="s">
        <v>1856</v>
      </c>
      <c r="AP77" s="257">
        <f>SUMIF(AQ$14:AR$14,AP$14,AQ77:AR77)</f>
        <v>0</v>
      </c>
      <c r="AQ77" s="321"/>
      <c r="AR77" s="258"/>
      <c r="AS77" s="121"/>
      <c r="AT77" s="121"/>
    </row>
    <row r="78" spans="38:46" ht="22.5">
      <c r="AL78" s="121"/>
      <c r="AM78" s="121"/>
      <c r="AN78" s="222" t="s">
        <v>2845</v>
      </c>
      <c r="AO78" s="534" t="s">
        <v>2307</v>
      </c>
      <c r="AP78" s="254"/>
      <c r="AQ78" s="321"/>
      <c r="AR78" s="258"/>
      <c r="AS78" s="121"/>
      <c r="AT78" s="121"/>
    </row>
    <row r="79" spans="38:46" ht="22.5">
      <c r="AL79" s="121"/>
      <c r="AM79" s="121"/>
      <c r="AN79" s="222" t="s">
        <v>2846</v>
      </c>
      <c r="AO79" s="529" t="s">
        <v>1860</v>
      </c>
      <c r="AP79" s="257">
        <f t="shared" ref="AP79:AP85" si="2">SUMIF(AQ$14:AR$14,AP$14,AQ79:AR79)</f>
        <v>0</v>
      </c>
      <c r="AQ79" s="321"/>
      <c r="AR79" s="258"/>
      <c r="AS79" s="121"/>
      <c r="AT79" s="121"/>
    </row>
    <row r="80" spans="38:46">
      <c r="AL80" s="121"/>
      <c r="AM80" s="121"/>
      <c r="AN80" s="504" t="s">
        <v>2847</v>
      </c>
      <c r="AO80" s="535" t="s">
        <v>2848</v>
      </c>
      <c r="AP80" s="257">
        <f t="shared" si="2"/>
        <v>0</v>
      </c>
      <c r="AQ80" s="321"/>
      <c r="AR80" s="258"/>
      <c r="AS80" s="121"/>
      <c r="AT80" s="121"/>
    </row>
    <row r="81" spans="38:46" ht="22.5">
      <c r="AL81" s="121"/>
      <c r="AM81" s="121"/>
      <c r="AN81" s="504" t="s">
        <v>2849</v>
      </c>
      <c r="AO81" s="533" t="s">
        <v>2415</v>
      </c>
      <c r="AP81" s="257">
        <f t="shared" si="2"/>
        <v>0</v>
      </c>
      <c r="AQ81" s="321"/>
      <c r="AR81" s="258"/>
      <c r="AS81" s="121"/>
      <c r="AT81" s="121"/>
    </row>
    <row r="82" spans="38:46" ht="22.5">
      <c r="AL82" s="121"/>
      <c r="AM82" s="121"/>
      <c r="AN82" s="504" t="s">
        <v>2850</v>
      </c>
      <c r="AO82" s="533" t="s">
        <v>2417</v>
      </c>
      <c r="AP82" s="257">
        <f t="shared" si="2"/>
        <v>0</v>
      </c>
      <c r="AQ82" s="321"/>
      <c r="AR82" s="258"/>
      <c r="AS82" s="121"/>
      <c r="AT82" s="121"/>
    </row>
    <row r="83" spans="38:46" ht="22.5">
      <c r="AL83" s="121"/>
      <c r="AM83" s="121"/>
      <c r="AN83" s="504" t="s">
        <v>2316</v>
      </c>
      <c r="AO83" s="533" t="s">
        <v>2420</v>
      </c>
      <c r="AP83" s="257">
        <f t="shared" si="2"/>
        <v>0</v>
      </c>
      <c r="AQ83" s="321"/>
      <c r="AR83" s="258"/>
      <c r="AS83" s="121"/>
      <c r="AT83" s="121"/>
    </row>
    <row r="84" spans="38:46">
      <c r="AL84" s="121"/>
      <c r="AM84" s="121"/>
      <c r="AN84" s="504" t="s">
        <v>2317</v>
      </c>
      <c r="AO84" s="533" t="s">
        <v>2423</v>
      </c>
      <c r="AP84" s="257">
        <f t="shared" si="2"/>
        <v>0</v>
      </c>
      <c r="AQ84" s="321"/>
      <c r="AR84" s="258"/>
      <c r="AS84" s="121"/>
      <c r="AT84" s="121"/>
    </row>
    <row r="85" spans="38:46" ht="22.5">
      <c r="AL85" s="121"/>
      <c r="AM85" s="121"/>
      <c r="AN85" s="504" t="s">
        <v>2318</v>
      </c>
      <c r="AO85" s="533" t="s">
        <v>2426</v>
      </c>
      <c r="AP85" s="257">
        <f t="shared" si="2"/>
        <v>0</v>
      </c>
      <c r="AQ85" s="321"/>
      <c r="AR85" s="258"/>
      <c r="AS85" s="121"/>
      <c r="AT85" s="121"/>
    </row>
    <row r="86" spans="38:46">
      <c r="AL86" s="121"/>
      <c r="AM86" s="121"/>
      <c r="AN86" s="560" t="str">
        <f>IF(TEMPLATE_SPHERE="водоснабжения","2.9","")</f>
        <v/>
      </c>
      <c r="AO86" s="561" t="str">
        <f>IF(TEMPLATE_SPHERE="водоснабжения","Покупная вода","")</f>
        <v/>
      </c>
      <c r="AP86" s="257" t="str">
        <f>IF(TEMPLATE_SPHERE="водоснабжения",SUMIF(AQ$14:AR$14,AP$14,AQ86:AR86),"")</f>
        <v/>
      </c>
      <c r="AQ86" s="321"/>
      <c r="AR86" s="258"/>
      <c r="AS86" s="121"/>
      <c r="AT86" s="121"/>
    </row>
    <row r="87" spans="38:46">
      <c r="AL87" s="121"/>
      <c r="AM87" s="121"/>
      <c r="AN87" s="560" t="str">
        <f>IF(TEMPLATE_SPHERE="водоснабжения","2.9.1","")</f>
        <v/>
      </c>
      <c r="AO87" s="562" t="str">
        <f>IF(TEMPLATE_SPHERE="водоснабжения","тариф (руб./куб.м)","")</f>
        <v/>
      </c>
      <c r="AP87" s="257" t="str">
        <f>IF(TEMPLATE_SPHERE="водоснабжения",IF(AP88=0,0,(AP86-AP89)/AP88),"")</f>
        <v/>
      </c>
      <c r="AQ87" s="321"/>
      <c r="AR87" s="258"/>
      <c r="AS87" s="121"/>
      <c r="AT87" s="121"/>
    </row>
    <row r="88" spans="38:46">
      <c r="AL88" s="121"/>
      <c r="AM88" s="121"/>
      <c r="AN88" s="560" t="str">
        <f>IF(TEMPLATE_SPHERE="водоснабжения","2.9.2","")</f>
        <v/>
      </c>
      <c r="AO88" s="562" t="str">
        <f>IF(TEMPLATE_SPHERE="водоснабжения","объём (тыс. куб.м)","")</f>
        <v/>
      </c>
      <c r="AP88" s="257" t="str">
        <f>IF(TEMPLATE_SPHERE="водоснабжения",SUMIF(AQ$14:AR$14,AP$14,AQ88:AR88),"")</f>
        <v/>
      </c>
      <c r="AQ88" s="321"/>
      <c r="AR88" s="258"/>
      <c r="AS88" s="121"/>
      <c r="AT88" s="121"/>
    </row>
    <row r="89" spans="38:46">
      <c r="AL89" s="121"/>
      <c r="AM89" s="121"/>
      <c r="AN89" s="560" t="str">
        <f>IF(TEMPLATE_SPHERE="водоснабжения","2.9.3","")</f>
        <v/>
      </c>
      <c r="AO89" s="562" t="str">
        <f>IF(TEMPLATE_SPHERE="водоснабжения","покупка потерь","")</f>
        <v/>
      </c>
      <c r="AP89" s="257" t="str">
        <f>IF(TEMPLATE_SPHERE="водоснабжения",SUMIF(AQ$14:AR$14,AP$14,AQ89:AR89),"")</f>
        <v/>
      </c>
      <c r="AQ89" s="321"/>
      <c r="AR89" s="258"/>
      <c r="AS89" s="121"/>
      <c r="AT89" s="121"/>
    </row>
    <row r="90" spans="38:46" ht="22.5">
      <c r="AL90" s="121"/>
      <c r="AM90" s="121"/>
      <c r="AN90" s="504" t="s">
        <v>2323</v>
      </c>
      <c r="AO90"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AP90" s="257">
        <f t="shared" ref="AP90:AP114" si="3">SUMIF(AQ$14:AR$14,AP$14,AQ90:AR90)</f>
        <v>0</v>
      </c>
      <c r="AQ90" s="321"/>
      <c r="AR90" s="258"/>
      <c r="AS90" s="121"/>
      <c r="AT90" s="121"/>
    </row>
    <row r="91" spans="38:46" ht="22.5">
      <c r="AL91" s="121"/>
      <c r="AM91" s="121"/>
      <c r="AN91" s="504" t="s">
        <v>2324</v>
      </c>
      <c r="AO91"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AP91" s="257">
        <f t="shared" si="3"/>
        <v>0</v>
      </c>
      <c r="AQ91" s="321"/>
      <c r="AR91" s="258"/>
      <c r="AS91" s="121"/>
      <c r="AT91" s="121"/>
    </row>
    <row r="92" spans="38:46" ht="22.5">
      <c r="AL92" s="121"/>
      <c r="AM92" s="121"/>
      <c r="AN92" s="504" t="s">
        <v>2325</v>
      </c>
      <c r="AO92"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AP92" s="257">
        <f t="shared" si="3"/>
        <v>0</v>
      </c>
      <c r="AQ92" s="321"/>
      <c r="AR92" s="258"/>
      <c r="AS92" s="121"/>
      <c r="AT92" s="121"/>
    </row>
    <row r="93" spans="38:46">
      <c r="AL93" s="121"/>
      <c r="AM93" s="121"/>
      <c r="AN93" s="504" t="s">
        <v>2326</v>
      </c>
      <c r="AO93" s="527" t="s">
        <v>2327</v>
      </c>
      <c r="AP93" s="257">
        <f t="shared" si="3"/>
        <v>0</v>
      </c>
      <c r="AQ93" s="321"/>
      <c r="AR93" s="258"/>
      <c r="AS93" s="121"/>
      <c r="AT93" s="121"/>
    </row>
    <row r="94" spans="38:46">
      <c r="AL94" s="121"/>
      <c r="AM94" s="121"/>
      <c r="AN94" s="504" t="s">
        <v>2328</v>
      </c>
      <c r="AO94" s="528" t="s">
        <v>2329</v>
      </c>
      <c r="AP94" s="257">
        <f t="shared" si="3"/>
        <v>0</v>
      </c>
      <c r="AQ94" s="321"/>
      <c r="AR94" s="258"/>
      <c r="AS94" s="121"/>
      <c r="AT94" s="121"/>
    </row>
    <row r="95" spans="38:46">
      <c r="AL95" s="121"/>
      <c r="AM95" s="121"/>
      <c r="AN95" s="504" t="s">
        <v>2330</v>
      </c>
      <c r="AO95" s="528" t="s">
        <v>2331</v>
      </c>
      <c r="AP95" s="257">
        <f t="shared" si="3"/>
        <v>0</v>
      </c>
      <c r="AQ95" s="321"/>
      <c r="AR95" s="258"/>
      <c r="AS95" s="121"/>
      <c r="AT95" s="121"/>
    </row>
    <row r="96" spans="38:46">
      <c r="AL96" s="121"/>
      <c r="AM96" s="121"/>
      <c r="AN96" s="504" t="s">
        <v>2332</v>
      </c>
      <c r="AO96" s="527" t="s">
        <v>2333</v>
      </c>
      <c r="AP96" s="257">
        <f t="shared" si="3"/>
        <v>0</v>
      </c>
      <c r="AQ96" s="321"/>
      <c r="AR96" s="258"/>
      <c r="AS96" s="121"/>
      <c r="AT96" s="121"/>
    </row>
    <row r="97" spans="38:46">
      <c r="AL97" s="121"/>
      <c r="AM97" s="121"/>
      <c r="AN97" s="504" t="s">
        <v>2334</v>
      </c>
      <c r="AO97" s="527" t="s">
        <v>2335</v>
      </c>
      <c r="AP97" s="257">
        <f t="shared" si="3"/>
        <v>0</v>
      </c>
      <c r="AQ97" s="321"/>
      <c r="AR97" s="258"/>
      <c r="AS97" s="121"/>
      <c r="AT97" s="121"/>
    </row>
    <row r="98" spans="38:46" ht="22.5">
      <c r="AL98" s="121"/>
      <c r="AM98" s="121"/>
      <c r="AN98" s="504" t="s">
        <v>2336</v>
      </c>
      <c r="AO98" s="527" t="s">
        <v>2337</v>
      </c>
      <c r="AP98" s="257">
        <f t="shared" si="3"/>
        <v>0</v>
      </c>
      <c r="AQ98" s="321"/>
      <c r="AR98" s="258"/>
      <c r="AS98" s="121"/>
      <c r="AT98" s="121"/>
    </row>
    <row r="99" spans="38:46">
      <c r="AL99" s="121"/>
      <c r="AM99" s="121"/>
      <c r="AN99" s="504" t="s">
        <v>2338</v>
      </c>
      <c r="AO99" s="527" t="s">
        <v>2339</v>
      </c>
      <c r="AP99" s="257">
        <f t="shared" si="3"/>
        <v>0</v>
      </c>
      <c r="AQ99" s="321"/>
      <c r="AR99" s="258"/>
      <c r="AS99" s="121"/>
      <c r="AT99" s="121"/>
    </row>
    <row r="100" spans="38:46">
      <c r="AL100" s="121"/>
      <c r="AM100" s="121"/>
      <c r="AN100" s="504" t="s">
        <v>2340</v>
      </c>
      <c r="AO100" s="528" t="s">
        <v>2341</v>
      </c>
      <c r="AP100" s="257">
        <f t="shared" si="3"/>
        <v>0</v>
      </c>
      <c r="AQ100" s="321"/>
      <c r="AR100" s="258"/>
      <c r="AS100" s="121"/>
      <c r="AT100" s="121"/>
    </row>
    <row r="101" spans="38:46">
      <c r="AL101" s="121"/>
      <c r="AM101" s="121"/>
      <c r="AN101" s="504" t="s">
        <v>2342</v>
      </c>
      <c r="AO101" s="528" t="s">
        <v>2343</v>
      </c>
      <c r="AP101" s="257">
        <f t="shared" si="3"/>
        <v>0</v>
      </c>
      <c r="AQ101" s="321"/>
      <c r="AR101" s="258"/>
      <c r="AS101" s="121"/>
      <c r="AT101" s="121"/>
    </row>
    <row r="102" spans="38:46">
      <c r="AL102" s="121"/>
      <c r="AM102" s="121"/>
      <c r="AN102" s="504" t="s">
        <v>2344</v>
      </c>
      <c r="AO102" s="528" t="s">
        <v>2345</v>
      </c>
      <c r="AP102" s="257">
        <f t="shared" si="3"/>
        <v>0</v>
      </c>
      <c r="AQ102" s="321"/>
      <c r="AR102" s="258"/>
      <c r="AS102" s="121"/>
      <c r="AT102" s="121"/>
    </row>
    <row r="103" spans="38:46">
      <c r="AL103" s="121"/>
      <c r="AM103" s="121"/>
      <c r="AN103" s="504" t="s">
        <v>2346</v>
      </c>
      <c r="AO103" s="528" t="s">
        <v>2347</v>
      </c>
      <c r="AP103" s="257">
        <f t="shared" si="3"/>
        <v>0</v>
      </c>
      <c r="AQ103" s="321"/>
      <c r="AR103" s="258"/>
      <c r="AS103" s="121"/>
      <c r="AT103" s="121"/>
    </row>
    <row r="104" spans="38:46">
      <c r="AL104" s="121"/>
      <c r="AM104" s="121"/>
      <c r="AN104" s="504" t="s">
        <v>2348</v>
      </c>
      <c r="AO104" s="528" t="s">
        <v>2349</v>
      </c>
      <c r="AP104" s="257">
        <f t="shared" si="3"/>
        <v>0</v>
      </c>
      <c r="AQ104" s="321"/>
      <c r="AR104" s="258"/>
      <c r="AS104" s="121"/>
      <c r="AT104" s="121"/>
    </row>
    <row r="105" spans="38:46">
      <c r="AL105" s="121"/>
      <c r="AM105" s="121"/>
      <c r="AN105" s="504" t="s">
        <v>2350</v>
      </c>
      <c r="AO105" s="528" t="s">
        <v>2351</v>
      </c>
      <c r="AP105" s="257">
        <f t="shared" si="3"/>
        <v>0</v>
      </c>
      <c r="AQ105" s="321"/>
      <c r="AR105" s="258"/>
      <c r="AS105" s="121"/>
      <c r="AT105" s="121"/>
    </row>
    <row r="106" spans="38:46">
      <c r="AL106" s="121"/>
      <c r="AM106" s="121"/>
      <c r="AN106" s="504" t="s">
        <v>2352</v>
      </c>
      <c r="AO106" s="528" t="s">
        <v>2353</v>
      </c>
      <c r="AP106" s="257">
        <f t="shared" si="3"/>
        <v>0</v>
      </c>
      <c r="AQ106" s="321"/>
      <c r="AR106" s="258"/>
      <c r="AS106" s="121"/>
      <c r="AT106" s="121"/>
    </row>
    <row r="107" spans="38:46">
      <c r="AL107" s="121"/>
      <c r="AM107" s="121"/>
      <c r="AN107" s="504" t="s">
        <v>2354</v>
      </c>
      <c r="AO107" s="528" t="s">
        <v>2355</v>
      </c>
      <c r="AP107" s="257">
        <f t="shared" si="3"/>
        <v>0</v>
      </c>
      <c r="AQ107" s="321"/>
      <c r="AR107" s="258"/>
      <c r="AS107" s="121"/>
      <c r="AT107" s="121"/>
    </row>
    <row r="108" spans="38:46">
      <c r="AL108" s="121"/>
      <c r="AM108" s="121"/>
      <c r="AN108" s="504" t="s">
        <v>2356</v>
      </c>
      <c r="AO108" s="528" t="s">
        <v>2357</v>
      </c>
      <c r="AP108" s="257">
        <f t="shared" si="3"/>
        <v>0</v>
      </c>
      <c r="AQ108" s="321"/>
      <c r="AR108" s="258"/>
      <c r="AS108" s="121"/>
      <c r="AT108" s="121"/>
    </row>
    <row r="109" spans="38:46" ht="22.5">
      <c r="AL109" s="121"/>
      <c r="AM109" s="121"/>
      <c r="AN109" s="504" t="s">
        <v>2358</v>
      </c>
      <c r="AO109" s="536" t="s">
        <v>2359</v>
      </c>
      <c r="AP109" s="257">
        <f t="shared" si="3"/>
        <v>0</v>
      </c>
      <c r="AQ109" s="321"/>
      <c r="AR109" s="258"/>
      <c r="AS109" s="121"/>
      <c r="AT109" s="121"/>
    </row>
    <row r="110" spans="38:46">
      <c r="AL110" s="121"/>
      <c r="AM110" s="121"/>
      <c r="AN110" s="504" t="s">
        <v>2360</v>
      </c>
      <c r="AO110" s="537" t="s">
        <v>2444</v>
      </c>
      <c r="AP110" s="257">
        <f t="shared" si="3"/>
        <v>0</v>
      </c>
      <c r="AQ110" s="321"/>
      <c r="AR110" s="258"/>
      <c r="AS110" s="121"/>
      <c r="AT110" s="121"/>
    </row>
    <row r="111" spans="38:46">
      <c r="AL111" s="121"/>
      <c r="AM111" s="121"/>
      <c r="AN111" s="504" t="s">
        <v>2361</v>
      </c>
      <c r="AO111" s="537" t="s">
        <v>2362</v>
      </c>
      <c r="AP111" s="257">
        <f t="shared" si="3"/>
        <v>0</v>
      </c>
      <c r="AQ111" s="321"/>
      <c r="AR111" s="258"/>
      <c r="AS111" s="121"/>
      <c r="AT111" s="121"/>
    </row>
    <row r="112" spans="38:46">
      <c r="AL112" s="121"/>
      <c r="AM112" s="121"/>
      <c r="AN112" s="504" t="s">
        <v>2363</v>
      </c>
      <c r="AO112" s="528" t="s">
        <v>872</v>
      </c>
      <c r="AP112" s="257">
        <f t="shared" si="3"/>
        <v>0</v>
      </c>
      <c r="AQ112" s="321"/>
      <c r="AR112" s="258"/>
      <c r="AS112" s="121"/>
      <c r="AT112" s="121"/>
    </row>
    <row r="113" spans="1:46" ht="22.5">
      <c r="AL113" s="121"/>
      <c r="AM113" s="121"/>
      <c r="AN113" s="504" t="s">
        <v>2364</v>
      </c>
      <c r="AO113" s="528" t="s">
        <v>2365</v>
      </c>
      <c r="AP113" s="257">
        <f t="shared" si="3"/>
        <v>0</v>
      </c>
      <c r="AQ113" s="321"/>
      <c r="AR113" s="258"/>
      <c r="AS113" s="121"/>
      <c r="AT113" s="121"/>
    </row>
    <row r="114" spans="1:46">
      <c r="AL114" s="121"/>
      <c r="AM114" s="121"/>
      <c r="AN114" s="504" t="s">
        <v>2366</v>
      </c>
      <c r="AO114" s="528" t="s">
        <v>2367</v>
      </c>
      <c r="AP114" s="257">
        <f t="shared" si="3"/>
        <v>0</v>
      </c>
      <c r="AQ114" s="321"/>
      <c r="AR114" s="258"/>
      <c r="AS114" s="121"/>
      <c r="AT114" s="121"/>
    </row>
    <row r="115" spans="1:46" ht="0.75" customHeight="1">
      <c r="AL115" s="121"/>
      <c r="AM115" s="121"/>
      <c r="AN115" s="504"/>
      <c r="AO115" s="526"/>
      <c r="AP115" s="504"/>
      <c r="AQ115" s="321"/>
      <c r="AR115" s="258"/>
      <c r="AS115" s="121"/>
      <c r="AT115" s="121"/>
    </row>
    <row r="116" spans="1:46" ht="0.75" customHeight="1">
      <c r="AL116" s="121"/>
      <c r="AM116" s="121"/>
      <c r="AN116" s="504"/>
      <c r="AO116" s="527"/>
      <c r="AP116" s="504"/>
      <c r="AQ116" s="321"/>
      <c r="AR116" s="258"/>
      <c r="AS116" s="121"/>
      <c r="AT116" s="121"/>
    </row>
    <row r="117" spans="1:46" ht="0.75" customHeight="1">
      <c r="AL117" s="121"/>
      <c r="AM117" s="121"/>
      <c r="AN117" s="504"/>
      <c r="AO117" s="528"/>
      <c r="AP117" s="504"/>
      <c r="AQ117" s="321"/>
      <c r="AR117" s="258"/>
      <c r="AS117" s="121"/>
      <c r="AT117" s="121"/>
    </row>
    <row r="118" spans="1:46" ht="0.75" customHeight="1">
      <c r="AL118" s="121"/>
      <c r="AM118" s="121"/>
      <c r="AN118" s="504"/>
      <c r="AO118" s="527"/>
      <c r="AP118" s="504"/>
      <c r="AQ118" s="321"/>
      <c r="AR118" s="258"/>
      <c r="AS118" s="121"/>
      <c r="AT118" s="121"/>
    </row>
    <row r="119" spans="1:46" ht="0.75" customHeight="1">
      <c r="AL119" s="121"/>
      <c r="AM119" s="121"/>
      <c r="AN119" s="504"/>
      <c r="AO119" s="527"/>
      <c r="AP119" s="504"/>
      <c r="AQ119" s="321"/>
      <c r="AR119" s="258"/>
      <c r="AS119" s="121"/>
      <c r="AT119" s="121"/>
    </row>
    <row r="120" spans="1:46" ht="0.75" customHeight="1">
      <c r="AL120" s="121"/>
      <c r="AM120" s="121"/>
      <c r="AN120" s="504"/>
      <c r="AO120" s="527"/>
      <c r="AP120" s="504"/>
      <c r="AQ120" s="321"/>
      <c r="AR120" s="258"/>
      <c r="AS120" s="121"/>
      <c r="AT120" s="121"/>
    </row>
    <row r="121" spans="1:46" ht="0.75" customHeight="1">
      <c r="AL121" s="121"/>
      <c r="AM121" s="121"/>
      <c r="AN121" s="504"/>
      <c r="AO121" s="527"/>
      <c r="AP121" s="504"/>
      <c r="AQ121" s="321"/>
      <c r="AR121" s="258"/>
      <c r="AS121" s="121"/>
      <c r="AT121" s="121"/>
    </row>
    <row r="122" spans="1:46" ht="0.75" customHeight="1">
      <c r="AL122" s="121"/>
      <c r="AM122" s="121"/>
      <c r="AN122" s="504"/>
      <c r="AO122" s="528"/>
      <c r="AP122" s="504"/>
      <c r="AQ122" s="321"/>
      <c r="AR122" s="258"/>
      <c r="AS122" s="121"/>
      <c r="AT122" s="121"/>
    </row>
    <row r="123" spans="1:46" ht="0.75" customHeight="1">
      <c r="AL123" s="121"/>
      <c r="AM123" s="121"/>
      <c r="AN123" s="504"/>
      <c r="AO123" s="538"/>
      <c r="AP123" s="504"/>
      <c r="AQ123" s="321"/>
      <c r="AR123" s="258"/>
      <c r="AS123" s="121"/>
      <c r="AT123" s="121"/>
    </row>
    <row r="124" spans="1:46" ht="0.75" customHeight="1">
      <c r="AL124" s="121"/>
      <c r="AM124" s="121"/>
      <c r="AN124" s="504"/>
      <c r="AO124" s="528"/>
      <c r="AP124" s="504"/>
      <c r="AQ124" s="321"/>
      <c r="AR124" s="258"/>
      <c r="AS124" s="121"/>
      <c r="AT124" s="121"/>
    </row>
    <row r="125" spans="1:46" ht="0.75" customHeight="1">
      <c r="A125" s="47"/>
      <c r="B125" s="47"/>
      <c r="C125" s="47"/>
      <c r="D125" s="47"/>
      <c r="E125" s="47"/>
      <c r="F125" s="47"/>
      <c r="G125" s="47"/>
      <c r="H125" s="47"/>
      <c r="I125" s="47"/>
      <c r="J125"/>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50"/>
      <c r="AM125" s="126"/>
      <c r="AN125" s="223"/>
      <c r="AO125" s="728"/>
      <c r="AP125" s="260"/>
      <c r="AQ125" s="258"/>
      <c r="AR125" s="258"/>
      <c r="AS125" s="127"/>
    </row>
    <row r="126" spans="1:46" ht="0.75" customHeight="1">
      <c r="A126" s="47"/>
      <c r="B126" s="47"/>
      <c r="C126" s="47"/>
      <c r="D126" s="47"/>
      <c r="E126" s="47"/>
      <c r="F126" s="47"/>
      <c r="G126" s="47"/>
      <c r="H126" s="47"/>
      <c r="I126" s="47"/>
      <c r="J126"/>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50"/>
      <c r="AM126" s="126"/>
      <c r="AN126" s="223"/>
      <c r="AO126" s="728"/>
      <c r="AP126" s="260"/>
      <c r="AQ126" s="258"/>
      <c r="AR126" s="258"/>
      <c r="AS126" s="127"/>
    </row>
    <row r="127" spans="1:46" ht="0.75" customHeight="1">
      <c r="A127" s="47"/>
      <c r="B127" s="47"/>
      <c r="C127" s="47"/>
      <c r="D127" s="47"/>
      <c r="E127" s="47"/>
      <c r="F127" s="47"/>
      <c r="G127" s="47"/>
      <c r="H127" s="47"/>
      <c r="I127" s="47"/>
      <c r="J12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50"/>
      <c r="AM127" s="126"/>
      <c r="AN127" s="223"/>
      <c r="AO127" s="728"/>
      <c r="AP127" s="260"/>
      <c r="AQ127" s="258"/>
      <c r="AR127" s="258"/>
      <c r="AS127" s="127"/>
    </row>
    <row r="128" spans="1:46" ht="0.75" customHeight="1">
      <c r="A128" s="47"/>
      <c r="B128" s="47"/>
      <c r="C128" s="47"/>
      <c r="D128" s="47"/>
      <c r="E128" s="47"/>
      <c r="F128" s="47"/>
      <c r="G128" s="47"/>
      <c r="H128" s="47"/>
      <c r="I128" s="47"/>
      <c r="J128"/>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50"/>
      <c r="AM128" s="126"/>
      <c r="AN128" s="223"/>
      <c r="AO128" s="728"/>
      <c r="AP128" s="260"/>
      <c r="AQ128" s="258"/>
      <c r="AR128" s="258"/>
      <c r="AS128" s="127"/>
    </row>
    <row r="129" spans="1:46" ht="0.75" customHeight="1">
      <c r="A129" s="47"/>
      <c r="B129" s="47"/>
      <c r="C129" s="47"/>
      <c r="D129" s="47"/>
      <c r="E129" s="47"/>
      <c r="F129" s="47"/>
      <c r="G129" s="47"/>
      <c r="H129" s="47"/>
      <c r="I129" s="47"/>
      <c r="J129"/>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50"/>
      <c r="AM129" s="126"/>
      <c r="AN129" s="223"/>
      <c r="AO129" s="728"/>
      <c r="AP129" s="260"/>
      <c r="AQ129" s="258"/>
      <c r="AR129" s="258"/>
      <c r="AS129" s="127"/>
    </row>
    <row r="130" spans="1:46" ht="0.75" customHeight="1">
      <c r="A130" s="47"/>
      <c r="B130" s="47"/>
      <c r="C130" s="47"/>
      <c r="D130" s="47"/>
      <c r="E130" s="47"/>
      <c r="F130" s="47"/>
      <c r="G130" s="47"/>
      <c r="H130" s="47"/>
      <c r="I130" s="47"/>
      <c r="J130"/>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50"/>
      <c r="AM130" s="126"/>
      <c r="AN130" s="223"/>
      <c r="AO130" s="728"/>
      <c r="AP130" s="260"/>
      <c r="AQ130" s="258"/>
      <c r="AR130" s="258"/>
      <c r="AS130" s="127"/>
    </row>
    <row r="131" spans="1:46" ht="0.75" customHeight="1">
      <c r="AL131" s="121"/>
      <c r="AM131" s="121"/>
      <c r="AN131" s="504"/>
      <c r="AO131" s="526"/>
      <c r="AP131" s="504"/>
      <c r="AQ131" s="321"/>
      <c r="AR131" s="258"/>
      <c r="AS131" s="121"/>
      <c r="AT131" s="121"/>
    </row>
    <row r="132" spans="1:46" ht="0.75" customHeight="1">
      <c r="AL132" s="121"/>
      <c r="AM132" s="121"/>
      <c r="AN132" s="504"/>
      <c r="AO132" s="526"/>
      <c r="AP132" s="504"/>
      <c r="AQ132" s="321"/>
      <c r="AR132" s="258"/>
      <c r="AS132" s="121"/>
      <c r="AT132" s="121"/>
    </row>
    <row r="133" spans="1:46" ht="0.75" customHeight="1">
      <c r="AL133" s="121"/>
      <c r="AM133" s="121"/>
      <c r="AN133" s="504"/>
      <c r="AO133" s="526"/>
      <c r="AP133" s="504"/>
      <c r="AQ133" s="321"/>
      <c r="AR133" s="258"/>
      <c r="AS133" s="121"/>
      <c r="AT133" s="121"/>
    </row>
    <row r="134" spans="1:46" ht="0.75" customHeight="1">
      <c r="AL134" s="121"/>
      <c r="AM134" s="121"/>
      <c r="AN134" s="504"/>
      <c r="AO134" s="526"/>
      <c r="AP134" s="504"/>
      <c r="AQ134" s="321"/>
      <c r="AR134" s="258"/>
      <c r="AS134" s="121"/>
      <c r="AT134" s="121"/>
    </row>
    <row r="135" spans="1:46" ht="0.75" customHeight="1">
      <c r="AL135" s="121"/>
      <c r="AM135" s="121"/>
      <c r="AN135" s="504"/>
      <c r="AO135" s="526"/>
      <c r="AP135" s="504"/>
      <c r="AQ135" s="321"/>
      <c r="AR135" s="258"/>
      <c r="AS135" s="121"/>
      <c r="AT135" s="121"/>
    </row>
    <row r="136" spans="1:46" ht="0.75" customHeight="1">
      <c r="AL136" s="121"/>
      <c r="AM136" s="121"/>
      <c r="AN136" s="504"/>
      <c r="AO136" s="526"/>
      <c r="AP136" s="504"/>
      <c r="AQ136" s="321"/>
      <c r="AR136" s="258"/>
      <c r="AS136" s="121"/>
      <c r="AT136" s="121"/>
    </row>
    <row r="137" spans="1:46" ht="0.75" customHeight="1">
      <c r="AL137" s="121"/>
      <c r="AM137" s="121"/>
      <c r="AN137" s="504"/>
      <c r="AO137" s="526"/>
      <c r="AP137" s="504"/>
      <c r="AQ137" s="321"/>
      <c r="AR137" s="258"/>
      <c r="AS137" s="121"/>
      <c r="AT137" s="121"/>
    </row>
    <row r="138" spans="1:46" ht="0.75" hidden="1" customHeight="1">
      <c r="AL138" s="121"/>
      <c r="AM138" s="121"/>
      <c r="AN138" s="504"/>
      <c r="AO138" s="540"/>
      <c r="AP138" s="504"/>
      <c r="AQ138" s="321"/>
      <c r="AR138" s="258"/>
      <c r="AS138" s="121"/>
      <c r="AT138" s="121"/>
    </row>
    <row r="139" spans="1:46" ht="0.75" customHeight="1">
      <c r="AL139" s="121"/>
      <c r="AM139" s="121"/>
      <c r="AN139" s="504"/>
      <c r="AO139" s="526"/>
      <c r="AP139" s="504"/>
      <c r="AQ139" s="321"/>
      <c r="AR139" s="258"/>
      <c r="AS139" s="121"/>
      <c r="AT139" s="121"/>
    </row>
    <row r="140" spans="1:46" ht="0.75" customHeight="1">
      <c r="AL140" s="121"/>
      <c r="AM140" s="121"/>
      <c r="AN140" s="504"/>
      <c r="AO140" s="526"/>
      <c r="AP140" s="504"/>
      <c r="AQ140" s="321"/>
      <c r="AR140" s="258"/>
      <c r="AS140" s="121"/>
      <c r="AT140" s="121"/>
    </row>
    <row r="141" spans="1:46" ht="0.75" customHeight="1">
      <c r="AL141" s="121"/>
      <c r="AM141" s="121"/>
      <c r="AN141" s="504"/>
      <c r="AO141" s="526"/>
      <c r="AP141" s="504"/>
      <c r="AQ141" s="321"/>
      <c r="AR141" s="258"/>
      <c r="AS141" s="121"/>
      <c r="AT141" s="121"/>
    </row>
    <row r="142" spans="1:46" ht="0.75" customHeight="1">
      <c r="AL142" s="121"/>
      <c r="AM142" s="121"/>
      <c r="AN142" s="504"/>
      <c r="AO142" s="526"/>
      <c r="AP142" s="504"/>
      <c r="AQ142" s="321"/>
      <c r="AR142" s="258"/>
      <c r="AS142" s="121"/>
      <c r="AT142" s="121"/>
    </row>
    <row r="143" spans="1:46" ht="0.75" customHeight="1">
      <c r="AL143" s="121"/>
      <c r="AM143" s="121"/>
      <c r="AN143" s="504"/>
      <c r="AO143" s="526"/>
      <c r="AP143" s="504"/>
      <c r="AQ143" s="321"/>
      <c r="AR143" s="258"/>
      <c r="AS143" s="121"/>
      <c r="AT143" s="121"/>
    </row>
    <row r="144" spans="1:46" ht="0.75" customHeight="1">
      <c r="AL144" s="121"/>
      <c r="AM144" s="121"/>
      <c r="AN144" s="559"/>
      <c r="AO144" s="604"/>
      <c r="AP144" s="504"/>
      <c r="AQ144" s="321"/>
      <c r="AR144" s="258"/>
      <c r="AS144" s="121"/>
      <c r="AT144" s="121"/>
    </row>
    <row r="145" spans="38:46" s="121" customFormat="1" ht="0.75" customHeight="1">
      <c r="AN145" s="504"/>
      <c r="AO145" s="526"/>
      <c r="AP145" s="504"/>
      <c r="AQ145" s="321"/>
      <c r="AR145" s="258"/>
    </row>
    <row r="146" spans="38:46" s="121" customFormat="1" ht="0.75" customHeight="1">
      <c r="AN146" s="222"/>
      <c r="AO146" s="540"/>
      <c r="AP146" s="504"/>
      <c r="AQ146" s="321"/>
      <c r="AR146" s="258"/>
    </row>
    <row r="147" spans="38:46" s="121" customFormat="1" ht="0.75" customHeight="1">
      <c r="AN147" s="222"/>
      <c r="AO147" s="540"/>
      <c r="AP147" s="504"/>
      <c r="AQ147" s="321"/>
      <c r="AR147" s="258"/>
    </row>
    <row r="148" spans="38:46" s="121" customFormat="1" ht="0.75" customHeight="1">
      <c r="AN148" s="222"/>
      <c r="AO148" s="541"/>
      <c r="AP148" s="504"/>
      <c r="AQ148" s="321"/>
      <c r="AR148" s="258"/>
    </row>
    <row r="149" spans="38:46" ht="0.75" customHeight="1">
      <c r="AL149" s="121"/>
      <c r="AM149" s="121"/>
      <c r="AN149" s="222"/>
      <c r="AO149" s="502"/>
      <c r="AP149" s="504"/>
      <c r="AQ149" s="321"/>
      <c r="AR149" s="258"/>
      <c r="AS149" s="121"/>
      <c r="AT149" s="121"/>
    </row>
    <row r="150" spans="38:46" ht="0.75" customHeight="1">
      <c r="AL150" s="121"/>
      <c r="AM150" s="121"/>
      <c r="AN150" s="222"/>
      <c r="AO150" s="502"/>
      <c r="AP150" s="504"/>
      <c r="AQ150" s="321"/>
      <c r="AR150" s="258"/>
      <c r="AS150" s="121"/>
      <c r="AT150" s="121"/>
    </row>
    <row r="151" spans="38:46" s="121" customFormat="1" ht="0.75" customHeight="1">
      <c r="AN151" s="222"/>
      <c r="AO151" s="540"/>
      <c r="AP151" s="504"/>
      <c r="AQ151" s="321"/>
      <c r="AR151" s="258"/>
    </row>
    <row r="152" spans="38:46" s="121" customFormat="1" ht="0.75" customHeight="1">
      <c r="AN152" s="222"/>
      <c r="AO152" s="502"/>
      <c r="AP152" s="504"/>
      <c r="AQ152" s="321"/>
      <c r="AR152" s="258"/>
    </row>
    <row r="153" spans="38:46" s="121" customFormat="1" ht="0.75" customHeight="1">
      <c r="AN153" s="222"/>
      <c r="AO153" s="502"/>
      <c r="AP153" s="504"/>
      <c r="AQ153" s="321"/>
      <c r="AR153" s="258"/>
    </row>
    <row r="154" spans="38:46" s="121" customFormat="1" ht="0.75" customHeight="1">
      <c r="AN154" s="222"/>
      <c r="AO154" s="540"/>
      <c r="AP154" s="504"/>
      <c r="AQ154" s="321"/>
      <c r="AR154" s="258"/>
    </row>
    <row r="155" spans="38:46" s="121" customFormat="1" ht="0.75" customHeight="1">
      <c r="AN155" s="222"/>
      <c r="AO155" s="502"/>
      <c r="AP155" s="504"/>
      <c r="AQ155" s="321"/>
      <c r="AR155" s="258"/>
    </row>
    <row r="156" spans="38:46" s="121" customFormat="1" ht="0.75" customHeight="1">
      <c r="AN156" s="222"/>
      <c r="AO156" s="502"/>
      <c r="AP156" s="504"/>
      <c r="AQ156" s="321"/>
      <c r="AR156" s="258"/>
    </row>
    <row r="157" spans="38:46" ht="0.75" customHeight="1">
      <c r="AL157" s="121"/>
      <c r="AM157" s="121"/>
      <c r="AN157" s="222"/>
      <c r="AO157" s="540"/>
      <c r="AP157" s="504"/>
      <c r="AQ157" s="321"/>
      <c r="AR157" s="258"/>
      <c r="AS157" s="121"/>
      <c r="AT157" s="121"/>
    </row>
    <row r="158" spans="38:46" s="121" customFormat="1" ht="0.75" customHeight="1">
      <c r="AN158" s="222"/>
      <c r="AO158" s="502"/>
      <c r="AP158" s="504"/>
      <c r="AQ158" s="321"/>
      <c r="AR158" s="258"/>
    </row>
    <row r="159" spans="38:46" s="121" customFormat="1" ht="0.75" customHeight="1">
      <c r="AN159" s="222"/>
      <c r="AO159" s="502"/>
      <c r="AP159" s="504"/>
      <c r="AQ159" s="321"/>
      <c r="AR159" s="258"/>
    </row>
    <row r="160" spans="38:46" s="121" customFormat="1" hidden="1">
      <c r="AN160" s="222"/>
      <c r="AO160" s="502"/>
      <c r="AP160" s="323"/>
      <c r="AQ160" s="321"/>
      <c r="AR160" s="258"/>
    </row>
    <row r="161" spans="1:46" s="121" customFormat="1" hidden="1">
      <c r="AN161" s="222"/>
      <c r="AO161" s="502"/>
      <c r="AP161" s="323"/>
      <c r="AQ161" s="321"/>
      <c r="AR161" s="258"/>
    </row>
    <row r="162" spans="1:46" s="121" customFormat="1" hidden="1">
      <c r="AN162" s="222"/>
      <c r="AO162" s="502"/>
      <c r="AP162" s="323"/>
      <c r="AQ162" s="321"/>
      <c r="AR162" s="258"/>
    </row>
    <row r="163" spans="1:46" s="121" customFormat="1" hidden="1">
      <c r="AN163" s="222"/>
      <c r="AO163" s="502"/>
      <c r="AP163" s="323"/>
      <c r="AQ163" s="321"/>
      <c r="AR163" s="258"/>
    </row>
    <row r="164" spans="1:46" ht="0.75" customHeight="1">
      <c r="AL164" s="121"/>
      <c r="AM164" s="121"/>
      <c r="AN164" s="223"/>
      <c r="AO164" s="216"/>
      <c r="AP164" s="543"/>
      <c r="AQ164" s="523"/>
      <c r="AR164" s="265"/>
      <c r="AS164" s="121"/>
      <c r="AT164" s="121"/>
    </row>
    <row r="165" spans="1:46" s="54" customFormat="1">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48"/>
      <c r="AS165" s="121"/>
      <c r="AT165" s="121"/>
    </row>
    <row r="166" spans="1:46" s="54" customFormat="1">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47"/>
      <c r="AR166" s="47"/>
      <c r="AS166" s="121"/>
      <c r="AT166" s="121"/>
    </row>
    <row r="167" spans="1:46">
      <c r="AL167" s="121"/>
      <c r="AM167" s="121"/>
    </row>
  </sheetData>
  <sheetProtection password="FA9C" sheet="1" objects="1" scenarios="1" formatColumns="0" formatRows="0"/>
  <mergeCells count="4">
    <mergeCell ref="AN9:AP9"/>
    <mergeCell ref="AN11:AN12"/>
    <mergeCell ref="AO11:AO12"/>
    <mergeCell ref="AP11:AP12"/>
  </mergeCells>
  <phoneticPr fontId="0"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sheetPr codeName="VSNA_CALC_PERIOD3">
    <tabColor rgb="FF00B050"/>
    <outlinePr summaryBelow="0"/>
  </sheetPr>
  <dimension ref="A1:AT167"/>
  <sheetViews>
    <sheetView showGridLines="0" topLeftCell="AL8" workbookViewId="0"/>
  </sheetViews>
  <sheetFormatPr defaultColWidth="8.7109375" defaultRowHeight="11.25"/>
  <cols>
    <col min="1" max="37" width="2.7109375" style="121"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4" width="0.140625" style="47" customWidth="1"/>
    <col min="45" max="46" width="2.7109375" style="47" customWidth="1"/>
    <col min="47" max="16384" width="8.7109375" style="47"/>
  </cols>
  <sheetData>
    <row r="1" spans="1:46" ht="12" hidden="1" customHeight="1">
      <c r="A1" s="47"/>
      <c r="B1" s="47"/>
      <c r="C1" s="47"/>
      <c r="D1" s="47"/>
      <c r="E1" s="47"/>
      <c r="F1" s="47"/>
      <c r="G1" s="47"/>
      <c r="H1" s="47"/>
      <c r="I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row>
    <row r="2" spans="1:46" ht="12" hidden="1" customHeight="1">
      <c r="A2" s="47"/>
      <c r="B2" s="47"/>
      <c r="C2" s="47"/>
      <c r="D2" s="47"/>
      <c r="E2" s="47"/>
      <c r="F2" s="47"/>
      <c r="G2" s="47"/>
      <c r="H2" s="47"/>
      <c r="I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row>
    <row r="3" spans="1:46" ht="12" hidden="1" customHeight="1">
      <c r="A3" s="47"/>
      <c r="B3" s="47"/>
      <c r="C3" s="47"/>
      <c r="D3" s="47"/>
      <c r="E3" s="47"/>
      <c r="F3" s="47"/>
      <c r="G3" s="47"/>
      <c r="H3" s="47"/>
      <c r="I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row>
    <row r="4" spans="1:46" ht="12" hidden="1" customHeight="1">
      <c r="A4" s="47"/>
      <c r="B4" s="47"/>
      <c r="C4" s="47"/>
      <c r="D4" s="47"/>
      <c r="E4" s="47"/>
      <c r="F4" s="47"/>
      <c r="G4" s="47"/>
      <c r="H4" s="47"/>
      <c r="I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row>
    <row r="5" spans="1:46" ht="12" hidden="1" customHeight="1">
      <c r="A5" s="47"/>
      <c r="B5" s="47"/>
      <c r="C5" s="47"/>
      <c r="D5" s="47"/>
      <c r="E5" s="47"/>
      <c r="F5" s="47"/>
      <c r="G5" s="47"/>
      <c r="H5" s="47"/>
      <c r="I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row>
    <row r="6" spans="1:46" ht="12" hidden="1" customHeight="1">
      <c r="A6" s="47"/>
      <c r="B6" s="47"/>
      <c r="C6" s="47"/>
      <c r="D6" s="47"/>
      <c r="E6" s="47"/>
      <c r="F6" s="47"/>
      <c r="G6" s="47"/>
      <c r="H6" s="47"/>
      <c r="I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row>
    <row r="7" spans="1:46" ht="12" hidden="1" customHeight="1">
      <c r="A7" s="47"/>
      <c r="B7" s="47"/>
      <c r="C7" s="47"/>
      <c r="D7" s="47"/>
      <c r="E7" s="47"/>
      <c r="F7" s="47"/>
      <c r="G7" s="47"/>
      <c r="H7" s="47"/>
      <c r="I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row>
    <row r="8" spans="1:46" s="520" customFormat="1" ht="11.25" customHeight="1">
      <c r="J8" s="521"/>
      <c r="AM8" s="522"/>
      <c r="AN8" s="637">
        <f>IF(TARIFF_SETUP_METHOD_CODE="BY_PSEUDO_YEARS",12,4)</f>
        <v>4</v>
      </c>
      <c r="AO8" s="431" t="str">
        <f>"Необходимо указывать " &amp; IF(TARIFF_SETUP_METHOD_CODE="BY_PSEUDO_YEARS","общегодовые значения","значения по периодам")</f>
        <v>Необходимо указывать значения по периодам</v>
      </c>
      <c r="AP8" s="616" t="s">
        <v>2498</v>
      </c>
      <c r="AQ8" s="522"/>
      <c r="AR8" s="522"/>
      <c r="AS8" s="522"/>
    </row>
    <row r="9" spans="1:46"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по муниципальному образованию - " &amp; IF(mo="","Не определено",mo)</f>
        <v>Фактические расходы организаций водоотведения по муниципальному образованию - Село Булава</v>
      </c>
      <c r="AO9" s="917"/>
      <c r="AP9" s="917"/>
      <c r="AQ9" s="201"/>
      <c r="AR9" s="122"/>
      <c r="AS9" s="200"/>
    </row>
    <row r="10" spans="1:46" ht="12" customHeight="1">
      <c r="A10" s="47"/>
      <c r="B10" s="47"/>
      <c r="C10" s="47"/>
      <c r="D10" s="47"/>
      <c r="E10" s="47"/>
      <c r="F10" s="47"/>
      <c r="G10" s="47"/>
      <c r="H10" s="47"/>
      <c r="I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M10" s="124"/>
      <c r="AN10" s="430" t="s">
        <v>2499</v>
      </c>
      <c r="AO10" s="221"/>
      <c r="AP10" s="122" t="s">
        <v>786</v>
      </c>
      <c r="AQ10" s="201"/>
      <c r="AR10" s="168" t="s">
        <v>720</v>
      </c>
      <c r="AS10" s="53"/>
    </row>
    <row r="11" spans="1:46" ht="12" customHeight="1">
      <c r="A11" s="47"/>
      <c r="B11" s="47"/>
      <c r="C11" s="47"/>
      <c r="D11" s="47"/>
      <c r="E11" s="47"/>
      <c r="F11" s="47"/>
      <c r="G11" s="47"/>
      <c r="H11" s="47"/>
      <c r="I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50"/>
      <c r="AM11" s="125"/>
      <c r="AN11" s="802" t="s">
        <v>641</v>
      </c>
      <c r="AO11" s="804" t="s">
        <v>787</v>
      </c>
      <c r="AP11" s="806" t="s">
        <v>778</v>
      </c>
      <c r="AQ11" s="206">
        <v>0</v>
      </c>
      <c r="AR11" s="206"/>
      <c r="AS11" s="220"/>
    </row>
    <row r="12" spans="1:46" ht="48" customHeight="1">
      <c r="A12" s="47"/>
      <c r="B12" s="47"/>
      <c r="C12" s="47"/>
      <c r="D12" s="47"/>
      <c r="E12" s="47"/>
      <c r="F12" s="47"/>
      <c r="G12" s="47"/>
      <c r="H12" s="47"/>
      <c r="I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50"/>
      <c r="AM12" s="125"/>
      <c r="AN12" s="803"/>
      <c r="AO12" s="805"/>
      <c r="AP12" s="807"/>
      <c r="AQ12" s="207"/>
      <c r="AR12" s="207"/>
      <c r="AS12" s="121"/>
      <c r="AT12" s="121"/>
    </row>
    <row r="13" spans="1:46">
      <c r="A13" s="47"/>
      <c r="B13" s="47"/>
      <c r="C13" s="47"/>
      <c r="D13" s="47"/>
      <c r="E13" s="47"/>
      <c r="F13" s="47"/>
      <c r="G13" s="47"/>
      <c r="H13" s="47"/>
      <c r="I13" s="47"/>
      <c r="AL13" s="121"/>
      <c r="AM13" s="121"/>
      <c r="AN13" s="222"/>
      <c r="AO13" s="501" t="s">
        <v>788</v>
      </c>
      <c r="AP13" s="542"/>
      <c r="AQ13" s="330"/>
      <c r="AR13" s="207"/>
      <c r="AS13" s="121"/>
      <c r="AT13" s="121"/>
    </row>
    <row r="14" spans="1:46" ht="24" customHeight="1">
      <c r="A14" s="47"/>
      <c r="B14" s="47"/>
      <c r="C14" s="47"/>
      <c r="D14" s="47"/>
      <c r="E14" s="47"/>
      <c r="F14" s="47"/>
      <c r="G14" s="47"/>
      <c r="H14" s="47"/>
      <c r="I14" s="47"/>
      <c r="AL14" s="121"/>
      <c r="AM14" s="121"/>
      <c r="AN14" s="222"/>
      <c r="AO14" s="556" t="str">
        <f>IF(CALC_IDENTIFIER="","",CALC_IDENTIFIER)</f>
        <v/>
      </c>
      <c r="AP14" s="557" t="s">
        <v>745</v>
      </c>
      <c r="AQ14" s="330"/>
      <c r="AR14" s="207"/>
      <c r="AS14" s="121"/>
      <c r="AT14" s="121"/>
    </row>
    <row r="15" spans="1:46">
      <c r="AL15" s="121"/>
      <c r="AM15" s="121"/>
      <c r="AN15" s="504" t="s">
        <v>642</v>
      </c>
      <c r="AO15" s="566" t="str">
        <f>IF(TEMPLATE_SPHERE="водоснабжения","Объём отпуска воды (тыс. куб.м)",IF(TEMPLATE_SPHERE="водоотведения","Пропущено сточных вод, всего (тыс. куб.м)"))</f>
        <v>Пропущено сточных вод, всего (тыс. куб.м)</v>
      </c>
      <c r="AP15" s="551">
        <f t="shared" ref="AP15:AP22" si="0">SUMIF(AQ$14:AR$14,AP$14,AQ15:AR15)</f>
        <v>0</v>
      </c>
      <c r="AQ15" s="321"/>
      <c r="AR15" s="258"/>
      <c r="AS15" s="121"/>
      <c r="AT15" s="121"/>
    </row>
    <row r="16" spans="1:46" ht="22.5">
      <c r="AL16" s="121"/>
      <c r="AM16" s="121"/>
      <c r="AN16" s="504" t="s">
        <v>790</v>
      </c>
      <c r="AO16" s="527" t="s">
        <v>369</v>
      </c>
      <c r="AP16" s="257">
        <f t="shared" si="0"/>
        <v>0</v>
      </c>
      <c r="AQ16" s="321"/>
      <c r="AR16" s="258"/>
      <c r="AS16" s="121"/>
      <c r="AT16" s="121"/>
    </row>
    <row r="17" spans="38:46">
      <c r="AL17" s="121"/>
      <c r="AM17" s="121"/>
      <c r="AN17" s="504" t="s">
        <v>751</v>
      </c>
      <c r="AO17" s="526" t="s">
        <v>2814</v>
      </c>
      <c r="AP17" s="257">
        <f t="shared" si="0"/>
        <v>0</v>
      </c>
      <c r="AQ17" s="321"/>
      <c r="AR17" s="258"/>
      <c r="AS17" s="121"/>
      <c r="AT17" s="121"/>
    </row>
    <row r="18" spans="38:46">
      <c r="AL18" s="121"/>
      <c r="AM18" s="121"/>
      <c r="AN18" s="504" t="s">
        <v>66</v>
      </c>
      <c r="AO18" s="527" t="s">
        <v>2815</v>
      </c>
      <c r="AP18" s="257">
        <f t="shared" si="0"/>
        <v>0</v>
      </c>
      <c r="AQ18" s="321"/>
      <c r="AR18" s="258"/>
      <c r="AS18" s="121"/>
      <c r="AT18" s="121"/>
    </row>
    <row r="19" spans="38:46">
      <c r="AL19" s="121"/>
      <c r="AM19" s="121"/>
      <c r="AN19" s="504" t="s">
        <v>632</v>
      </c>
      <c r="AO19" s="528" t="s">
        <v>2816</v>
      </c>
      <c r="AP19" s="257">
        <f t="shared" si="0"/>
        <v>0</v>
      </c>
      <c r="AQ19" s="321"/>
      <c r="AR19" s="258"/>
      <c r="AS19" s="121"/>
      <c r="AT19" s="121"/>
    </row>
    <row r="20" spans="38:46">
      <c r="AL20" s="121"/>
      <c r="AM20" s="121"/>
      <c r="AN20" s="223" t="s">
        <v>2817</v>
      </c>
      <c r="AO20" s="529" t="s">
        <v>2972</v>
      </c>
      <c r="AP20" s="257">
        <f t="shared" si="0"/>
        <v>0</v>
      </c>
      <c r="AQ20" s="321"/>
      <c r="AR20" s="258"/>
      <c r="AS20" s="121"/>
      <c r="AT20" s="121"/>
    </row>
    <row r="21" spans="38:46">
      <c r="AL21" s="121"/>
      <c r="AM21" s="121"/>
      <c r="AN21" s="223" t="s">
        <v>2818</v>
      </c>
      <c r="AO21" s="529" t="s">
        <v>2988</v>
      </c>
      <c r="AP21" s="257">
        <f t="shared" si="0"/>
        <v>0</v>
      </c>
      <c r="AQ21" s="321"/>
      <c r="AR21" s="258"/>
      <c r="AS21" s="121"/>
      <c r="AT21" s="121"/>
    </row>
    <row r="22" spans="38:46">
      <c r="AL22" s="121"/>
      <c r="AM22" s="121"/>
      <c r="AN22" s="223" t="s">
        <v>8</v>
      </c>
      <c r="AO22" s="529" t="s">
        <v>3011</v>
      </c>
      <c r="AP22" s="257">
        <f t="shared" si="0"/>
        <v>0</v>
      </c>
      <c r="AQ22" s="321"/>
      <c r="AR22" s="258"/>
      <c r="AS22" s="121"/>
      <c r="AT22" s="121"/>
    </row>
    <row r="23" spans="38:46">
      <c r="AL23" s="121"/>
      <c r="AM23" s="121"/>
      <c r="AN23" s="524" t="s">
        <v>9</v>
      </c>
      <c r="AO23" s="530" t="s">
        <v>2968</v>
      </c>
      <c r="AP23" s="544">
        <f>IF(AP24=0,0,AP22/AP24)</f>
        <v>0</v>
      </c>
      <c r="AQ23" s="321"/>
      <c r="AR23" s="258"/>
      <c r="AS23" s="121"/>
      <c r="AT23" s="121"/>
    </row>
    <row r="24" spans="38:46">
      <c r="AL24" s="121"/>
      <c r="AM24" s="121"/>
      <c r="AN24" s="524" t="s">
        <v>10</v>
      </c>
      <c r="AO24" s="530" t="s">
        <v>2972</v>
      </c>
      <c r="AP24" s="257">
        <f>SUMIF(AQ$14:AR$14,AP$14,AQ24:AR24)</f>
        <v>0</v>
      </c>
      <c r="AQ24" s="321"/>
      <c r="AR24" s="258"/>
      <c r="AS24" s="121"/>
      <c r="AT24" s="121"/>
    </row>
    <row r="25" spans="38:46">
      <c r="AL25" s="121"/>
      <c r="AM25" s="121"/>
      <c r="AN25" s="223" t="s">
        <v>11</v>
      </c>
      <c r="AO25" s="531" t="s">
        <v>3015</v>
      </c>
      <c r="AP25" s="257">
        <f>SUMIF(AQ$14:AR$14,AP$14,AQ25:AR25)</f>
        <v>0</v>
      </c>
      <c r="AQ25" s="321"/>
      <c r="AR25" s="258"/>
      <c r="AS25" s="121"/>
      <c r="AT25" s="121"/>
    </row>
    <row r="26" spans="38:46">
      <c r="AL26" s="121"/>
      <c r="AM26" s="121"/>
      <c r="AN26" s="524" t="s">
        <v>12</v>
      </c>
      <c r="AO26" s="530" t="s">
        <v>2970</v>
      </c>
      <c r="AP26" s="544">
        <f>IF(AP27=0,0,AP25/AP27)</f>
        <v>0</v>
      </c>
      <c r="AQ26" s="321"/>
      <c r="AR26" s="258"/>
      <c r="AS26" s="121"/>
      <c r="AT26" s="121"/>
    </row>
    <row r="27" spans="38:46">
      <c r="AL27" s="121"/>
      <c r="AM27" s="121"/>
      <c r="AN27" s="524" t="s">
        <v>13</v>
      </c>
      <c r="AO27" s="530" t="s">
        <v>3018</v>
      </c>
      <c r="AP27" s="257">
        <f>SUMIF(AQ$14:AR$14,AP$14,AQ27:AR27)</f>
        <v>0</v>
      </c>
      <c r="AQ27" s="321"/>
      <c r="AR27" s="258"/>
      <c r="AS27" s="121"/>
      <c r="AT27" s="121"/>
    </row>
    <row r="28" spans="38:46">
      <c r="AL28" s="121"/>
      <c r="AM28" s="121"/>
      <c r="AN28" s="223" t="s">
        <v>14</v>
      </c>
      <c r="AO28" s="529" t="s">
        <v>3020</v>
      </c>
      <c r="AP28" s="257">
        <f>SUMIF(AQ$14:AR$14,AP$14,AQ28:AR28)</f>
        <v>0</v>
      </c>
      <c r="AQ28" s="321"/>
      <c r="AR28" s="258"/>
      <c r="AS28" s="121"/>
      <c r="AT28" s="121"/>
    </row>
    <row r="29" spans="38:46">
      <c r="AL29" s="121"/>
      <c r="AM29" s="121"/>
      <c r="AN29" s="524" t="s">
        <v>15</v>
      </c>
      <c r="AO29" s="530" t="s">
        <v>2968</v>
      </c>
      <c r="AP29" s="544">
        <f>IF(AP30=0,0,AP28/AP30)</f>
        <v>0</v>
      </c>
      <c r="AQ29" s="321"/>
      <c r="AR29" s="258"/>
      <c r="AS29" s="121"/>
      <c r="AT29" s="121"/>
    </row>
    <row r="30" spans="38:46">
      <c r="AL30" s="121"/>
      <c r="AM30" s="121"/>
      <c r="AN30" s="524" t="s">
        <v>16</v>
      </c>
      <c r="AO30" s="530" t="s">
        <v>2972</v>
      </c>
      <c r="AP30" s="257">
        <f>SUMIF(AQ$14:AR$14,AP$14,AQ30:AR30)</f>
        <v>0</v>
      </c>
      <c r="AQ30" s="321"/>
      <c r="AR30" s="258"/>
      <c r="AS30" s="121"/>
      <c r="AT30" s="121"/>
    </row>
    <row r="31" spans="38:46">
      <c r="AL31" s="121"/>
      <c r="AM31" s="121"/>
      <c r="AN31" s="223" t="s">
        <v>17</v>
      </c>
      <c r="AO31" s="531" t="s">
        <v>3024</v>
      </c>
      <c r="AP31" s="257">
        <f>SUMIF(AQ$14:AR$14,AP$14,AQ31:AR31)</f>
        <v>0</v>
      </c>
      <c r="AQ31" s="321"/>
      <c r="AR31" s="258"/>
      <c r="AS31" s="121"/>
      <c r="AT31" s="121"/>
    </row>
    <row r="32" spans="38:46">
      <c r="AL32" s="121"/>
      <c r="AM32" s="121"/>
      <c r="AN32" s="524" t="s">
        <v>18</v>
      </c>
      <c r="AO32" s="530" t="s">
        <v>2970</v>
      </c>
      <c r="AP32" s="544">
        <f>IF(AP33=0,0,AP31/AP33)</f>
        <v>0</v>
      </c>
      <c r="AQ32" s="321"/>
      <c r="AR32" s="258"/>
      <c r="AS32" s="121"/>
      <c r="AT32" s="121"/>
    </row>
    <row r="33" spans="38:46">
      <c r="AL33" s="121"/>
      <c r="AM33" s="121"/>
      <c r="AN33" s="524" t="s">
        <v>19</v>
      </c>
      <c r="AO33" s="530" t="s">
        <v>3018</v>
      </c>
      <c r="AP33" s="257">
        <f>SUMIF(AQ$14:AR$14,AP$14,AQ33:AR33)</f>
        <v>0</v>
      </c>
      <c r="AQ33" s="321"/>
      <c r="AR33" s="258"/>
      <c r="AS33" s="121"/>
      <c r="AT33" s="121"/>
    </row>
    <row r="34" spans="38:46">
      <c r="AL34" s="121"/>
      <c r="AM34" s="121"/>
      <c r="AN34" s="223" t="s">
        <v>20</v>
      </c>
      <c r="AO34" s="529" t="s">
        <v>3028</v>
      </c>
      <c r="AP34" s="257">
        <f>SUMIF(AQ$14:AR$14,AP$14,AQ34:AR34)</f>
        <v>0</v>
      </c>
      <c r="AQ34" s="321"/>
      <c r="AR34" s="258"/>
      <c r="AS34" s="121"/>
      <c r="AT34" s="121"/>
    </row>
    <row r="35" spans="38:46">
      <c r="AL35" s="121"/>
      <c r="AM35" s="121"/>
      <c r="AN35" s="524" t="s">
        <v>21</v>
      </c>
      <c r="AO35" s="530" t="s">
        <v>2968</v>
      </c>
      <c r="AP35" s="544">
        <f>IF(AP36=0,0,AP34/AP36)</f>
        <v>0</v>
      </c>
      <c r="AQ35" s="321"/>
      <c r="AR35" s="258"/>
      <c r="AS35" s="121"/>
      <c r="AT35" s="121"/>
    </row>
    <row r="36" spans="38:46">
      <c r="AL36" s="121"/>
      <c r="AM36" s="121"/>
      <c r="AN36" s="524" t="s">
        <v>22</v>
      </c>
      <c r="AO36" s="530" t="s">
        <v>2972</v>
      </c>
      <c r="AP36" s="257">
        <f>SUMIF(AQ$14:AR$14,AP$14,AQ36:AR36)</f>
        <v>0</v>
      </c>
      <c r="AQ36" s="321"/>
      <c r="AR36" s="258"/>
      <c r="AS36" s="121"/>
      <c r="AT36" s="121"/>
    </row>
    <row r="37" spans="38:46">
      <c r="AL37" s="121"/>
      <c r="AM37" s="121"/>
      <c r="AN37" s="223" t="s">
        <v>23</v>
      </c>
      <c r="AO37" s="531" t="s">
        <v>3032</v>
      </c>
      <c r="AP37" s="257">
        <f>SUMIF(AQ$14:AR$14,AP$14,AQ37:AR37)</f>
        <v>0</v>
      </c>
      <c r="AQ37" s="321"/>
      <c r="AR37" s="258"/>
      <c r="AS37" s="121"/>
      <c r="AT37" s="121"/>
    </row>
    <row r="38" spans="38:46">
      <c r="AL38" s="121"/>
      <c r="AM38" s="121"/>
      <c r="AN38" s="524" t="s">
        <v>24</v>
      </c>
      <c r="AO38" s="530" t="s">
        <v>2970</v>
      </c>
      <c r="AP38" s="544">
        <f>IF(AP39=0,0,AP37/AP39)</f>
        <v>0</v>
      </c>
      <c r="AQ38" s="321"/>
      <c r="AR38" s="258"/>
      <c r="AS38" s="121"/>
      <c r="AT38" s="121"/>
    </row>
    <row r="39" spans="38:46">
      <c r="AL39" s="121"/>
      <c r="AM39" s="121"/>
      <c r="AN39" s="524" t="s">
        <v>25</v>
      </c>
      <c r="AO39" s="530" t="s">
        <v>3018</v>
      </c>
      <c r="AP39" s="257">
        <f>SUMIF(AQ$14:AR$14,AP$14,AQ39:AR39)</f>
        <v>0</v>
      </c>
      <c r="AQ39" s="321"/>
      <c r="AR39" s="258"/>
      <c r="AS39" s="121"/>
      <c r="AT39" s="121"/>
    </row>
    <row r="40" spans="38:46">
      <c r="AL40" s="121"/>
      <c r="AM40" s="121"/>
      <c r="AN40" s="223" t="s">
        <v>26</v>
      </c>
      <c r="AO40" s="529" t="s">
        <v>3036</v>
      </c>
      <c r="AP40" s="257">
        <f>SUMIF(AQ$14:AR$14,AP$14,AQ40:AR40)</f>
        <v>0</v>
      </c>
      <c r="AQ40" s="321"/>
      <c r="AR40" s="258"/>
      <c r="AS40" s="121"/>
      <c r="AT40" s="121"/>
    </row>
    <row r="41" spans="38:46">
      <c r="AL41" s="121"/>
      <c r="AM41" s="121"/>
      <c r="AN41" s="524" t="s">
        <v>27</v>
      </c>
      <c r="AO41" s="530" t="s">
        <v>2968</v>
      </c>
      <c r="AP41" s="544">
        <f>IF(AP42=0,0,AP40/AP42)</f>
        <v>0</v>
      </c>
      <c r="AQ41" s="321"/>
      <c r="AR41" s="258"/>
      <c r="AS41" s="121"/>
      <c r="AT41" s="121"/>
    </row>
    <row r="42" spans="38:46">
      <c r="AL42" s="121"/>
      <c r="AM42" s="121"/>
      <c r="AN42" s="524" t="s">
        <v>28</v>
      </c>
      <c r="AO42" s="530" t="s">
        <v>2972</v>
      </c>
      <c r="AP42" s="257">
        <f>SUMIF(AQ$14:AR$14,AP$14,AQ42:AR42)</f>
        <v>0</v>
      </c>
      <c r="AQ42" s="321"/>
      <c r="AR42" s="258"/>
      <c r="AS42" s="121"/>
      <c r="AT42" s="121"/>
    </row>
    <row r="43" spans="38:46">
      <c r="AL43" s="121"/>
      <c r="AM43" s="121"/>
      <c r="AN43" s="223" t="s">
        <v>29</v>
      </c>
      <c r="AO43" s="531" t="s">
        <v>3040</v>
      </c>
      <c r="AP43" s="257">
        <f>SUMIF(AQ$14:AR$14,AP$14,AQ43:AR43)</f>
        <v>0</v>
      </c>
      <c r="AQ43" s="321"/>
      <c r="AR43" s="258"/>
      <c r="AS43" s="121"/>
      <c r="AT43" s="121"/>
    </row>
    <row r="44" spans="38:46">
      <c r="AL44" s="121"/>
      <c r="AM44" s="121"/>
      <c r="AN44" s="524" t="s">
        <v>30</v>
      </c>
      <c r="AO44" s="530" t="s">
        <v>2970</v>
      </c>
      <c r="AP44" s="544">
        <f>IF(AP45=0,0,AP43/AP45)</f>
        <v>0</v>
      </c>
      <c r="AQ44" s="321"/>
      <c r="AR44" s="258"/>
      <c r="AS44" s="121"/>
      <c r="AT44" s="121"/>
    </row>
    <row r="45" spans="38:46">
      <c r="AL45" s="121"/>
      <c r="AM45" s="121"/>
      <c r="AN45" s="524" t="s">
        <v>31</v>
      </c>
      <c r="AO45" s="530" t="s">
        <v>3018</v>
      </c>
      <c r="AP45" s="257">
        <f t="shared" ref="AP45:AP55" si="1">SUMIF(AQ$14:AR$14,AP$14,AQ45:AR45)</f>
        <v>0</v>
      </c>
      <c r="AQ45" s="321"/>
      <c r="AR45" s="258"/>
      <c r="AS45" s="121"/>
      <c r="AT45" s="121"/>
    </row>
    <row r="46" spans="38:46">
      <c r="AL46" s="121"/>
      <c r="AM46" s="121"/>
      <c r="AN46" s="504" t="s">
        <v>633</v>
      </c>
      <c r="AO46" s="532" t="s">
        <v>2819</v>
      </c>
      <c r="AP46" s="257">
        <f t="shared" si="1"/>
        <v>0</v>
      </c>
      <c r="AQ46" s="321"/>
      <c r="AR46" s="258"/>
      <c r="AS46" s="121"/>
      <c r="AT46" s="121"/>
    </row>
    <row r="47" spans="38:46">
      <c r="AL47" s="121"/>
      <c r="AM47" s="121"/>
      <c r="AN47" s="504" t="s">
        <v>69</v>
      </c>
      <c r="AO47" s="527" t="s">
        <v>2820</v>
      </c>
      <c r="AP47" s="257">
        <f t="shared" si="1"/>
        <v>0</v>
      </c>
      <c r="AQ47" s="321"/>
      <c r="AR47" s="258"/>
      <c r="AS47" s="121"/>
      <c r="AT47" s="121"/>
    </row>
    <row r="48" spans="38:46">
      <c r="AL48" s="121"/>
      <c r="AM48" s="121"/>
      <c r="AN48" s="504" t="s">
        <v>72</v>
      </c>
      <c r="AO48" s="527" t="s">
        <v>2471</v>
      </c>
      <c r="AP48" s="257">
        <f t="shared" si="1"/>
        <v>0</v>
      </c>
      <c r="AQ48" s="321"/>
      <c r="AR48" s="258"/>
      <c r="AS48" s="121"/>
      <c r="AT48" s="121"/>
    </row>
    <row r="49" spans="38:46">
      <c r="AL49" s="121"/>
      <c r="AM49" s="121"/>
      <c r="AN49" s="504" t="s">
        <v>2821</v>
      </c>
      <c r="AO49" s="527" t="s">
        <v>2822</v>
      </c>
      <c r="AP49" s="257">
        <f t="shared" si="1"/>
        <v>0</v>
      </c>
      <c r="AQ49" s="321"/>
      <c r="AR49" s="258"/>
      <c r="AS49" s="121"/>
      <c r="AT49" s="121"/>
    </row>
    <row r="50" spans="38:46">
      <c r="AL50" s="121"/>
      <c r="AM50" s="121"/>
      <c r="AN50" s="504" t="s">
        <v>888</v>
      </c>
      <c r="AO50" s="528" t="s">
        <v>2823</v>
      </c>
      <c r="AP50" s="257">
        <f t="shared" si="1"/>
        <v>0</v>
      </c>
      <c r="AQ50" s="321"/>
      <c r="AR50" s="258"/>
      <c r="AS50" s="121"/>
      <c r="AT50" s="121"/>
    </row>
    <row r="51" spans="38:46">
      <c r="AL51" s="121"/>
      <c r="AM51" s="121"/>
      <c r="AN51" s="504" t="s">
        <v>889</v>
      </c>
      <c r="AO51" s="528" t="s">
        <v>2824</v>
      </c>
      <c r="AP51" s="257">
        <f t="shared" si="1"/>
        <v>0</v>
      </c>
      <c r="AQ51" s="321"/>
      <c r="AR51" s="258"/>
      <c r="AS51" s="121"/>
      <c r="AT51" s="121"/>
    </row>
    <row r="52" spans="38:46">
      <c r="AL52" s="121"/>
      <c r="AM52" s="121"/>
      <c r="AN52" s="504" t="s">
        <v>890</v>
      </c>
      <c r="AO52" s="528" t="s">
        <v>2825</v>
      </c>
      <c r="AP52" s="257">
        <f t="shared" si="1"/>
        <v>0</v>
      </c>
      <c r="AQ52" s="321"/>
      <c r="AR52" s="258"/>
      <c r="AS52" s="121"/>
      <c r="AT52" s="121"/>
    </row>
    <row r="53" spans="38:46">
      <c r="AL53" s="121"/>
      <c r="AM53" s="121"/>
      <c r="AN53" s="504" t="s">
        <v>2826</v>
      </c>
      <c r="AO53" s="527" t="s">
        <v>2827</v>
      </c>
      <c r="AP53" s="257">
        <f t="shared" si="1"/>
        <v>0</v>
      </c>
      <c r="AQ53" s="321"/>
      <c r="AR53" s="258"/>
      <c r="AS53" s="121"/>
      <c r="AT53" s="121"/>
    </row>
    <row r="54" spans="38:46">
      <c r="AL54" s="121"/>
      <c r="AM54" s="121"/>
      <c r="AN54" s="504" t="s">
        <v>2828</v>
      </c>
      <c r="AO54" s="527" t="s">
        <v>2829</v>
      </c>
      <c r="AP54" s="257">
        <f t="shared" si="1"/>
        <v>0</v>
      </c>
      <c r="AQ54" s="321"/>
      <c r="AR54" s="258"/>
      <c r="AS54" s="121"/>
      <c r="AT54" s="121"/>
    </row>
    <row r="55" spans="38:46">
      <c r="AL55" s="121"/>
      <c r="AM55" s="121"/>
      <c r="AN55" s="504" t="s">
        <v>2830</v>
      </c>
      <c r="AO55" s="527" t="s">
        <v>2831</v>
      </c>
      <c r="AP55" s="257">
        <f t="shared" si="1"/>
        <v>0</v>
      </c>
      <c r="AQ55" s="321"/>
      <c r="AR55" s="258"/>
      <c r="AS55" s="121"/>
      <c r="AT55" s="121"/>
    </row>
    <row r="56" spans="38:46" ht="22.5">
      <c r="AL56" s="121"/>
      <c r="AM56" s="121"/>
      <c r="AN56" s="279" t="s">
        <v>353</v>
      </c>
      <c r="AO56" s="558" t="s">
        <v>2782</v>
      </c>
      <c r="AP56" s="257">
        <f>IF(AP57&lt;&gt;0,(1000*AP55/AP57)/$AN$8,0)</f>
        <v>0</v>
      </c>
      <c r="AQ56" s="321"/>
      <c r="AR56" s="258"/>
      <c r="AS56" s="121"/>
      <c r="AT56" s="121"/>
    </row>
    <row r="57" spans="38:46">
      <c r="AL57" s="121"/>
      <c r="AM57" s="121"/>
      <c r="AN57" s="279" t="s">
        <v>354</v>
      </c>
      <c r="AO57" s="558" t="s">
        <v>2783</v>
      </c>
      <c r="AP57" s="257">
        <f>SUM(AQ57:AR57)</f>
        <v>0</v>
      </c>
      <c r="AQ57" s="321"/>
      <c r="AR57" s="258"/>
      <c r="AS57" s="121"/>
      <c r="AT57" s="121"/>
    </row>
    <row r="58" spans="38:46" ht="22.5">
      <c r="AL58" s="121"/>
      <c r="AM58" s="121"/>
      <c r="AN58" s="279" t="s">
        <v>355</v>
      </c>
      <c r="AO58" s="558" t="s">
        <v>120</v>
      </c>
      <c r="AP58" s="263"/>
      <c r="AQ58" s="321"/>
      <c r="AR58" s="258"/>
      <c r="AS58" s="121"/>
      <c r="AT58" s="121"/>
    </row>
    <row r="59" spans="38:46">
      <c r="AL59" s="121"/>
      <c r="AM59" s="121"/>
      <c r="AN59" s="222" t="s">
        <v>2832</v>
      </c>
      <c r="AO59" s="533" t="s">
        <v>1832</v>
      </c>
      <c r="AP59" s="257">
        <f>SUMIF(AQ$14:AR$14,AP$14,AQ59:AR59)</f>
        <v>0</v>
      </c>
      <c r="AQ59" s="321"/>
      <c r="AR59" s="258"/>
      <c r="AS59" s="121"/>
      <c r="AT59" s="121"/>
    </row>
    <row r="60" spans="38:46" ht="22.5">
      <c r="AL60" s="121"/>
      <c r="AM60" s="121"/>
      <c r="AN60" s="222" t="s">
        <v>2833</v>
      </c>
      <c r="AO60" s="529" t="s">
        <v>1834</v>
      </c>
      <c r="AP60" s="254"/>
      <c r="AQ60" s="321"/>
      <c r="AR60" s="258"/>
      <c r="AS60" s="121"/>
      <c r="AT60" s="121"/>
    </row>
    <row r="61" spans="38:46" ht="22.5">
      <c r="AL61" s="121"/>
      <c r="AM61" s="121"/>
      <c r="AN61" s="222" t="s">
        <v>2834</v>
      </c>
      <c r="AO61" s="529" t="s">
        <v>1836</v>
      </c>
      <c r="AP61" s="257">
        <f>SUMIF(AQ$14:AR$14,AP$14,AQ61:AR61)</f>
        <v>0</v>
      </c>
      <c r="AQ61" s="321"/>
      <c r="AR61" s="258"/>
      <c r="AS61" s="121"/>
      <c r="AT61" s="121"/>
    </row>
    <row r="62" spans="38:46">
      <c r="AL62" s="121"/>
      <c r="AM62" s="121"/>
      <c r="AN62" s="222" t="s">
        <v>356</v>
      </c>
      <c r="AO62" s="558" t="s">
        <v>119</v>
      </c>
      <c r="AP62" s="263"/>
      <c r="AQ62" s="321"/>
      <c r="AR62" s="258"/>
      <c r="AS62" s="121"/>
      <c r="AT62" s="121"/>
    </row>
    <row r="63" spans="38:46">
      <c r="AL63" s="121"/>
      <c r="AM63" s="121"/>
      <c r="AN63" s="222" t="s">
        <v>357</v>
      </c>
      <c r="AO63" s="558" t="s">
        <v>121</v>
      </c>
      <c r="AP63" s="263"/>
      <c r="AQ63" s="321"/>
      <c r="AR63" s="258"/>
      <c r="AS63" s="121"/>
      <c r="AT63" s="121"/>
    </row>
    <row r="64" spans="38:46">
      <c r="AL64" s="121"/>
      <c r="AM64" s="121"/>
      <c r="AN64" s="222" t="s">
        <v>358</v>
      </c>
      <c r="AO64" s="558" t="s">
        <v>122</v>
      </c>
      <c r="AP64" s="263"/>
      <c r="AQ64" s="321"/>
      <c r="AR64" s="258"/>
      <c r="AS64" s="121"/>
      <c r="AT64" s="121"/>
    </row>
    <row r="65" spans="38:46">
      <c r="AL65" s="121"/>
      <c r="AM65" s="121"/>
      <c r="AN65" s="222" t="s">
        <v>2835</v>
      </c>
      <c r="AO65" s="533" t="s">
        <v>1838</v>
      </c>
      <c r="AP65" s="257">
        <f>SUMIF(AQ$14:AR$14,AP$14,AQ65:AR65)</f>
        <v>0</v>
      </c>
      <c r="AQ65" s="321"/>
      <c r="AR65" s="258"/>
      <c r="AS65" s="121"/>
      <c r="AT65" s="121"/>
    </row>
    <row r="66" spans="38:46">
      <c r="AL66" s="121"/>
      <c r="AM66" s="121"/>
      <c r="AN66" s="222" t="s">
        <v>2836</v>
      </c>
      <c r="AO66" s="534" t="s">
        <v>1839</v>
      </c>
      <c r="AP66" s="254"/>
      <c r="AQ66" s="321"/>
      <c r="AR66" s="258"/>
      <c r="AS66" s="121"/>
      <c r="AT66" s="121"/>
    </row>
    <row r="67" spans="38:46" ht="22.5">
      <c r="AL67" s="121"/>
      <c r="AM67" s="121"/>
      <c r="AN67" s="222" t="s">
        <v>2837</v>
      </c>
      <c r="AO67" s="534" t="s">
        <v>1841</v>
      </c>
      <c r="AP67" s="257">
        <f>SUMIF(AQ$14:AR$14,AP$14,AQ67:AR67)</f>
        <v>0</v>
      </c>
      <c r="AQ67" s="321"/>
      <c r="AR67" s="258"/>
      <c r="AS67" s="121"/>
      <c r="AT67" s="121"/>
    </row>
    <row r="68" spans="38:46">
      <c r="AL68" s="121"/>
      <c r="AM68" s="121"/>
      <c r="AN68" s="222" t="s">
        <v>359</v>
      </c>
      <c r="AO68" s="558" t="s">
        <v>119</v>
      </c>
      <c r="AP68" s="263"/>
      <c r="AQ68" s="321"/>
      <c r="AR68" s="258"/>
      <c r="AS68" s="121"/>
      <c r="AT68" s="121"/>
    </row>
    <row r="69" spans="38:46">
      <c r="AL69" s="121"/>
      <c r="AM69" s="121"/>
      <c r="AN69" s="222" t="s">
        <v>360</v>
      </c>
      <c r="AO69" s="558" t="s">
        <v>121</v>
      </c>
      <c r="AP69" s="263"/>
      <c r="AQ69" s="321"/>
      <c r="AR69" s="258"/>
      <c r="AS69" s="121"/>
      <c r="AT69" s="121"/>
    </row>
    <row r="70" spans="38:46">
      <c r="AL70" s="121"/>
      <c r="AM70" s="121"/>
      <c r="AN70" s="222" t="s">
        <v>361</v>
      </c>
      <c r="AO70" s="558" t="s">
        <v>122</v>
      </c>
      <c r="AP70" s="263"/>
      <c r="AQ70" s="321"/>
      <c r="AR70" s="258"/>
      <c r="AS70" s="121"/>
      <c r="AT70" s="121"/>
    </row>
    <row r="71" spans="38:46">
      <c r="AL71" s="121"/>
      <c r="AM71" s="121"/>
      <c r="AN71" s="222" t="s">
        <v>2838</v>
      </c>
      <c r="AO71" s="533" t="s">
        <v>1843</v>
      </c>
      <c r="AP71" s="257">
        <f>SUMIF(AQ$14:AR$14,AP$14,AQ71:AR71)</f>
        <v>0</v>
      </c>
      <c r="AQ71" s="321"/>
      <c r="AR71" s="258"/>
      <c r="AS71" s="121"/>
      <c r="AT71" s="121"/>
    </row>
    <row r="72" spans="38:46">
      <c r="AL72" s="121"/>
      <c r="AM72" s="121"/>
      <c r="AN72" s="222" t="s">
        <v>2839</v>
      </c>
      <c r="AO72" s="534" t="s">
        <v>1844</v>
      </c>
      <c r="AP72" s="254"/>
      <c r="AQ72" s="321"/>
      <c r="AR72" s="258"/>
      <c r="AS72" s="121"/>
      <c r="AT72" s="121"/>
    </row>
    <row r="73" spans="38:46" ht="22.5">
      <c r="AL73" s="121"/>
      <c r="AM73" s="121"/>
      <c r="AN73" s="222" t="s">
        <v>2840</v>
      </c>
      <c r="AO73" s="534" t="s">
        <v>1846</v>
      </c>
      <c r="AP73" s="257">
        <f>SUMIF(AQ$14:AR$14,AP$14,AQ73:AR73)</f>
        <v>0</v>
      </c>
      <c r="AQ73" s="321"/>
      <c r="AR73" s="258"/>
      <c r="AS73" s="121"/>
      <c r="AT73" s="121"/>
    </row>
    <row r="74" spans="38:46">
      <c r="AL74" s="121"/>
      <c r="AM74" s="121"/>
      <c r="AN74" s="222" t="s">
        <v>2841</v>
      </c>
      <c r="AO74" s="533" t="s">
        <v>1849</v>
      </c>
      <c r="AP74" s="257">
        <f>SUMIF(AQ$14:AR$14,AP$14,AQ74:AR74)</f>
        <v>0</v>
      </c>
      <c r="AQ74" s="321"/>
      <c r="AR74" s="258"/>
      <c r="AS74" s="121"/>
      <c r="AT74" s="121"/>
    </row>
    <row r="75" spans="38:46">
      <c r="AL75" s="121"/>
      <c r="AM75" s="121"/>
      <c r="AN75" s="222" t="s">
        <v>2842</v>
      </c>
      <c r="AO75" s="534" t="s">
        <v>1851</v>
      </c>
      <c r="AP75" s="254"/>
      <c r="AQ75" s="321"/>
      <c r="AR75" s="258"/>
      <c r="AS75" s="121"/>
      <c r="AT75" s="121"/>
    </row>
    <row r="76" spans="38:46" ht="22.5">
      <c r="AL76" s="121"/>
      <c r="AM76" s="121"/>
      <c r="AN76" s="222" t="s">
        <v>2843</v>
      </c>
      <c r="AO76" s="529" t="s">
        <v>1853</v>
      </c>
      <c r="AP76" s="257">
        <f>SUMIF(AQ$14:AR$14,AP$14,AQ76:AR76)</f>
        <v>0</v>
      </c>
      <c r="AQ76" s="321"/>
      <c r="AR76" s="258"/>
      <c r="AS76" s="121"/>
      <c r="AT76" s="121"/>
    </row>
    <row r="77" spans="38:46" ht="22.5">
      <c r="AL77" s="121"/>
      <c r="AM77" s="121"/>
      <c r="AN77" s="222" t="s">
        <v>2844</v>
      </c>
      <c r="AO77" s="533" t="s">
        <v>1856</v>
      </c>
      <c r="AP77" s="257">
        <f>SUMIF(AQ$14:AR$14,AP$14,AQ77:AR77)</f>
        <v>0</v>
      </c>
      <c r="AQ77" s="321"/>
      <c r="AR77" s="258"/>
      <c r="AS77" s="121"/>
      <c r="AT77" s="121"/>
    </row>
    <row r="78" spans="38:46" ht="22.5">
      <c r="AL78" s="121"/>
      <c r="AM78" s="121"/>
      <c r="AN78" s="222" t="s">
        <v>2845</v>
      </c>
      <c r="AO78" s="534" t="s">
        <v>2307</v>
      </c>
      <c r="AP78" s="254"/>
      <c r="AQ78" s="321"/>
      <c r="AR78" s="258"/>
      <c r="AS78" s="121"/>
      <c r="AT78" s="121"/>
    </row>
    <row r="79" spans="38:46" ht="22.5">
      <c r="AL79" s="121"/>
      <c r="AM79" s="121"/>
      <c r="AN79" s="222" t="s">
        <v>2846</v>
      </c>
      <c r="AO79" s="529" t="s">
        <v>1860</v>
      </c>
      <c r="AP79" s="257">
        <f t="shared" ref="AP79:AP85" si="2">SUMIF(AQ$14:AR$14,AP$14,AQ79:AR79)</f>
        <v>0</v>
      </c>
      <c r="AQ79" s="321"/>
      <c r="AR79" s="258"/>
      <c r="AS79" s="121"/>
      <c r="AT79" s="121"/>
    </row>
    <row r="80" spans="38:46">
      <c r="AL80" s="121"/>
      <c r="AM80" s="121"/>
      <c r="AN80" s="504" t="s">
        <v>2847</v>
      </c>
      <c r="AO80" s="535" t="s">
        <v>2848</v>
      </c>
      <c r="AP80" s="257">
        <f t="shared" si="2"/>
        <v>0</v>
      </c>
      <c r="AQ80" s="321"/>
      <c r="AR80" s="258"/>
      <c r="AS80" s="121"/>
      <c r="AT80" s="121"/>
    </row>
    <row r="81" spans="38:46" ht="22.5">
      <c r="AL81" s="121"/>
      <c r="AM81" s="121"/>
      <c r="AN81" s="504" t="s">
        <v>2849</v>
      </c>
      <c r="AO81" s="533" t="s">
        <v>2415</v>
      </c>
      <c r="AP81" s="257">
        <f t="shared" si="2"/>
        <v>0</v>
      </c>
      <c r="AQ81" s="321"/>
      <c r="AR81" s="258"/>
      <c r="AS81" s="121"/>
      <c r="AT81" s="121"/>
    </row>
    <row r="82" spans="38:46" ht="22.5">
      <c r="AL82" s="121"/>
      <c r="AM82" s="121"/>
      <c r="AN82" s="504" t="s">
        <v>2850</v>
      </c>
      <c r="AO82" s="533" t="s">
        <v>2417</v>
      </c>
      <c r="AP82" s="257">
        <f t="shared" si="2"/>
        <v>0</v>
      </c>
      <c r="AQ82" s="321"/>
      <c r="AR82" s="258"/>
      <c r="AS82" s="121"/>
      <c r="AT82" s="121"/>
    </row>
    <row r="83" spans="38:46" ht="22.5">
      <c r="AL83" s="121"/>
      <c r="AM83" s="121"/>
      <c r="AN83" s="504" t="s">
        <v>2316</v>
      </c>
      <c r="AO83" s="533" t="s">
        <v>2420</v>
      </c>
      <c r="AP83" s="257">
        <f t="shared" si="2"/>
        <v>0</v>
      </c>
      <c r="AQ83" s="321"/>
      <c r="AR83" s="258"/>
      <c r="AS83" s="121"/>
      <c r="AT83" s="121"/>
    </row>
    <row r="84" spans="38:46">
      <c r="AL84" s="121"/>
      <c r="AM84" s="121"/>
      <c r="AN84" s="504" t="s">
        <v>2317</v>
      </c>
      <c r="AO84" s="533" t="s">
        <v>2423</v>
      </c>
      <c r="AP84" s="257">
        <f t="shared" si="2"/>
        <v>0</v>
      </c>
      <c r="AQ84" s="321"/>
      <c r="AR84" s="258"/>
      <c r="AS84" s="121"/>
      <c r="AT84" s="121"/>
    </row>
    <row r="85" spans="38:46" ht="22.5">
      <c r="AL85" s="121"/>
      <c r="AM85" s="121"/>
      <c r="AN85" s="504" t="s">
        <v>2318</v>
      </c>
      <c r="AO85" s="533" t="s">
        <v>2426</v>
      </c>
      <c r="AP85" s="257">
        <f t="shared" si="2"/>
        <v>0</v>
      </c>
      <c r="AQ85" s="321"/>
      <c r="AR85" s="258"/>
      <c r="AS85" s="121"/>
      <c r="AT85" s="121"/>
    </row>
    <row r="86" spans="38:46">
      <c r="AL86" s="121"/>
      <c r="AM86" s="121"/>
      <c r="AN86" s="560" t="str">
        <f>IF(TEMPLATE_SPHERE="водоснабжения","2.9","")</f>
        <v/>
      </c>
      <c r="AO86" s="561" t="str">
        <f>IF(TEMPLATE_SPHERE="водоснабжения","Покупная вода","")</f>
        <v/>
      </c>
      <c r="AP86" s="257" t="str">
        <f>IF(TEMPLATE_SPHERE="водоснабжения",SUMIF(AQ$14:AR$14,AP$14,AQ86:AR86),"")</f>
        <v/>
      </c>
      <c r="AQ86" s="321"/>
      <c r="AR86" s="258"/>
      <c r="AS86" s="121"/>
      <c r="AT86" s="121"/>
    </row>
    <row r="87" spans="38:46">
      <c r="AL87" s="121"/>
      <c r="AM87" s="121"/>
      <c r="AN87" s="560" t="str">
        <f>IF(TEMPLATE_SPHERE="водоснабжения","2.9.1","")</f>
        <v/>
      </c>
      <c r="AO87" s="562" t="str">
        <f>IF(TEMPLATE_SPHERE="водоснабжения","тариф (руб./куб.м)","")</f>
        <v/>
      </c>
      <c r="AP87" s="257" t="str">
        <f>IF(TEMPLATE_SPHERE="водоснабжения",IF(AP88=0,0,(AP86-AP89)/AP88),"")</f>
        <v/>
      </c>
      <c r="AQ87" s="321"/>
      <c r="AR87" s="258"/>
      <c r="AS87" s="121"/>
      <c r="AT87" s="121"/>
    </row>
    <row r="88" spans="38:46">
      <c r="AL88" s="121"/>
      <c r="AM88" s="121"/>
      <c r="AN88" s="560" t="str">
        <f>IF(TEMPLATE_SPHERE="водоснабжения","2.9.2","")</f>
        <v/>
      </c>
      <c r="AO88" s="562" t="str">
        <f>IF(TEMPLATE_SPHERE="водоснабжения","объём (тыс. куб.м)","")</f>
        <v/>
      </c>
      <c r="AP88" s="257" t="str">
        <f>IF(TEMPLATE_SPHERE="водоснабжения",SUMIF(AQ$14:AR$14,AP$14,AQ88:AR88),"")</f>
        <v/>
      </c>
      <c r="AQ88" s="321"/>
      <c r="AR88" s="258"/>
      <c r="AS88" s="121"/>
      <c r="AT88" s="121"/>
    </row>
    <row r="89" spans="38:46">
      <c r="AL89" s="121"/>
      <c r="AM89" s="121"/>
      <c r="AN89" s="560" t="str">
        <f>IF(TEMPLATE_SPHERE="водоснабжения","2.9.3","")</f>
        <v/>
      </c>
      <c r="AO89" s="562" t="str">
        <f>IF(TEMPLATE_SPHERE="водоснабжения","покупка потерь","")</f>
        <v/>
      </c>
      <c r="AP89" s="257" t="str">
        <f>IF(TEMPLATE_SPHERE="водоснабжения",SUMIF(AQ$14:AR$14,AP$14,AQ89:AR89),"")</f>
        <v/>
      </c>
      <c r="AQ89" s="321"/>
      <c r="AR89" s="258"/>
      <c r="AS89" s="121"/>
      <c r="AT89" s="121"/>
    </row>
    <row r="90" spans="38:46" ht="22.5">
      <c r="AL90" s="121"/>
      <c r="AM90" s="121"/>
      <c r="AN90" s="504" t="s">
        <v>2323</v>
      </c>
      <c r="AO90"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AP90" s="257">
        <f t="shared" ref="AP90:AP114" si="3">SUMIF(AQ$14:AR$14,AP$14,AQ90:AR90)</f>
        <v>0</v>
      </c>
      <c r="AQ90" s="321"/>
      <c r="AR90" s="258"/>
      <c r="AS90" s="121"/>
      <c r="AT90" s="121"/>
    </row>
    <row r="91" spans="38:46" ht="22.5">
      <c r="AL91" s="121"/>
      <c r="AM91" s="121"/>
      <c r="AN91" s="504" t="s">
        <v>2324</v>
      </c>
      <c r="AO91"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AP91" s="257">
        <f t="shared" si="3"/>
        <v>0</v>
      </c>
      <c r="AQ91" s="321"/>
      <c r="AR91" s="258"/>
      <c r="AS91" s="121"/>
      <c r="AT91" s="121"/>
    </row>
    <row r="92" spans="38:46" ht="22.5">
      <c r="AL92" s="121"/>
      <c r="AM92" s="121"/>
      <c r="AN92" s="504" t="s">
        <v>2325</v>
      </c>
      <c r="AO92"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AP92" s="257">
        <f t="shared" si="3"/>
        <v>0</v>
      </c>
      <c r="AQ92" s="321"/>
      <c r="AR92" s="258"/>
      <c r="AS92" s="121"/>
      <c r="AT92" s="121"/>
    </row>
    <row r="93" spans="38:46">
      <c r="AL93" s="121"/>
      <c r="AM93" s="121"/>
      <c r="AN93" s="504" t="s">
        <v>2326</v>
      </c>
      <c r="AO93" s="527" t="s">
        <v>2327</v>
      </c>
      <c r="AP93" s="257">
        <f t="shared" si="3"/>
        <v>0</v>
      </c>
      <c r="AQ93" s="321"/>
      <c r="AR93" s="258"/>
      <c r="AS93" s="121"/>
      <c r="AT93" s="121"/>
    </row>
    <row r="94" spans="38:46">
      <c r="AL94" s="121"/>
      <c r="AM94" s="121"/>
      <c r="AN94" s="504" t="s">
        <v>2328</v>
      </c>
      <c r="AO94" s="528" t="s">
        <v>2329</v>
      </c>
      <c r="AP94" s="257">
        <f t="shared" si="3"/>
        <v>0</v>
      </c>
      <c r="AQ94" s="321"/>
      <c r="AR94" s="258"/>
      <c r="AS94" s="121"/>
      <c r="AT94" s="121"/>
    </row>
    <row r="95" spans="38:46">
      <c r="AL95" s="121"/>
      <c r="AM95" s="121"/>
      <c r="AN95" s="504" t="s">
        <v>2330</v>
      </c>
      <c r="AO95" s="528" t="s">
        <v>2331</v>
      </c>
      <c r="AP95" s="257">
        <f t="shared" si="3"/>
        <v>0</v>
      </c>
      <c r="AQ95" s="321"/>
      <c r="AR95" s="258"/>
      <c r="AS95" s="121"/>
      <c r="AT95" s="121"/>
    </row>
    <row r="96" spans="38:46">
      <c r="AL96" s="121"/>
      <c r="AM96" s="121"/>
      <c r="AN96" s="504" t="s">
        <v>2332</v>
      </c>
      <c r="AO96" s="527" t="s">
        <v>2333</v>
      </c>
      <c r="AP96" s="257">
        <f t="shared" si="3"/>
        <v>0</v>
      </c>
      <c r="AQ96" s="321"/>
      <c r="AR96" s="258"/>
      <c r="AS96" s="121"/>
      <c r="AT96" s="121"/>
    </row>
    <row r="97" spans="38:46">
      <c r="AL97" s="121"/>
      <c r="AM97" s="121"/>
      <c r="AN97" s="504" t="s">
        <v>2334</v>
      </c>
      <c r="AO97" s="527" t="s">
        <v>2335</v>
      </c>
      <c r="AP97" s="257">
        <f t="shared" si="3"/>
        <v>0</v>
      </c>
      <c r="AQ97" s="321"/>
      <c r="AR97" s="258"/>
      <c r="AS97" s="121"/>
      <c r="AT97" s="121"/>
    </row>
    <row r="98" spans="38:46" ht="22.5">
      <c r="AL98" s="121"/>
      <c r="AM98" s="121"/>
      <c r="AN98" s="504" t="s">
        <v>2336</v>
      </c>
      <c r="AO98" s="527" t="s">
        <v>2337</v>
      </c>
      <c r="AP98" s="257">
        <f t="shared" si="3"/>
        <v>0</v>
      </c>
      <c r="AQ98" s="321"/>
      <c r="AR98" s="258"/>
      <c r="AS98" s="121"/>
      <c r="AT98" s="121"/>
    </row>
    <row r="99" spans="38:46">
      <c r="AL99" s="121"/>
      <c r="AM99" s="121"/>
      <c r="AN99" s="504" t="s">
        <v>2338</v>
      </c>
      <c r="AO99" s="527" t="s">
        <v>2339</v>
      </c>
      <c r="AP99" s="257">
        <f t="shared" si="3"/>
        <v>0</v>
      </c>
      <c r="AQ99" s="321"/>
      <c r="AR99" s="258"/>
      <c r="AS99" s="121"/>
      <c r="AT99" s="121"/>
    </row>
    <row r="100" spans="38:46">
      <c r="AL100" s="121"/>
      <c r="AM100" s="121"/>
      <c r="AN100" s="504" t="s">
        <v>2340</v>
      </c>
      <c r="AO100" s="528" t="s">
        <v>2341</v>
      </c>
      <c r="AP100" s="257">
        <f t="shared" si="3"/>
        <v>0</v>
      </c>
      <c r="AQ100" s="321"/>
      <c r="AR100" s="258"/>
      <c r="AS100" s="121"/>
      <c r="AT100" s="121"/>
    </row>
    <row r="101" spans="38:46">
      <c r="AL101" s="121"/>
      <c r="AM101" s="121"/>
      <c r="AN101" s="504" t="s">
        <v>2342</v>
      </c>
      <c r="AO101" s="528" t="s">
        <v>2343</v>
      </c>
      <c r="AP101" s="257">
        <f t="shared" si="3"/>
        <v>0</v>
      </c>
      <c r="AQ101" s="321"/>
      <c r="AR101" s="258"/>
      <c r="AS101" s="121"/>
      <c r="AT101" s="121"/>
    </row>
    <row r="102" spans="38:46">
      <c r="AL102" s="121"/>
      <c r="AM102" s="121"/>
      <c r="AN102" s="504" t="s">
        <v>2344</v>
      </c>
      <c r="AO102" s="528" t="s">
        <v>2345</v>
      </c>
      <c r="AP102" s="257">
        <f t="shared" si="3"/>
        <v>0</v>
      </c>
      <c r="AQ102" s="321"/>
      <c r="AR102" s="258"/>
      <c r="AS102" s="121"/>
      <c r="AT102" s="121"/>
    </row>
    <row r="103" spans="38:46">
      <c r="AL103" s="121"/>
      <c r="AM103" s="121"/>
      <c r="AN103" s="504" t="s">
        <v>2346</v>
      </c>
      <c r="AO103" s="528" t="s">
        <v>2347</v>
      </c>
      <c r="AP103" s="257">
        <f t="shared" si="3"/>
        <v>0</v>
      </c>
      <c r="AQ103" s="321"/>
      <c r="AR103" s="258"/>
      <c r="AS103" s="121"/>
      <c r="AT103" s="121"/>
    </row>
    <row r="104" spans="38:46">
      <c r="AL104" s="121"/>
      <c r="AM104" s="121"/>
      <c r="AN104" s="504" t="s">
        <v>2348</v>
      </c>
      <c r="AO104" s="528" t="s">
        <v>2349</v>
      </c>
      <c r="AP104" s="257">
        <f t="shared" si="3"/>
        <v>0</v>
      </c>
      <c r="AQ104" s="321"/>
      <c r="AR104" s="258"/>
      <c r="AS104" s="121"/>
      <c r="AT104" s="121"/>
    </row>
    <row r="105" spans="38:46">
      <c r="AL105" s="121"/>
      <c r="AM105" s="121"/>
      <c r="AN105" s="504" t="s">
        <v>2350</v>
      </c>
      <c r="AO105" s="528" t="s">
        <v>2351</v>
      </c>
      <c r="AP105" s="257">
        <f t="shared" si="3"/>
        <v>0</v>
      </c>
      <c r="AQ105" s="321"/>
      <c r="AR105" s="258"/>
      <c r="AS105" s="121"/>
      <c r="AT105" s="121"/>
    </row>
    <row r="106" spans="38:46">
      <c r="AL106" s="121"/>
      <c r="AM106" s="121"/>
      <c r="AN106" s="504" t="s">
        <v>2352</v>
      </c>
      <c r="AO106" s="528" t="s">
        <v>2353</v>
      </c>
      <c r="AP106" s="257">
        <f t="shared" si="3"/>
        <v>0</v>
      </c>
      <c r="AQ106" s="321"/>
      <c r="AR106" s="258"/>
      <c r="AS106" s="121"/>
      <c r="AT106" s="121"/>
    </row>
    <row r="107" spans="38:46">
      <c r="AL107" s="121"/>
      <c r="AM107" s="121"/>
      <c r="AN107" s="504" t="s">
        <v>2354</v>
      </c>
      <c r="AO107" s="528" t="s">
        <v>2355</v>
      </c>
      <c r="AP107" s="257">
        <f t="shared" si="3"/>
        <v>0</v>
      </c>
      <c r="AQ107" s="321"/>
      <c r="AR107" s="258"/>
      <c r="AS107" s="121"/>
      <c r="AT107" s="121"/>
    </row>
    <row r="108" spans="38:46">
      <c r="AL108" s="121"/>
      <c r="AM108" s="121"/>
      <c r="AN108" s="504" t="s">
        <v>2356</v>
      </c>
      <c r="AO108" s="528" t="s">
        <v>2357</v>
      </c>
      <c r="AP108" s="257">
        <f t="shared" si="3"/>
        <v>0</v>
      </c>
      <c r="AQ108" s="321"/>
      <c r="AR108" s="258"/>
      <c r="AS108" s="121"/>
      <c r="AT108" s="121"/>
    </row>
    <row r="109" spans="38:46" ht="22.5">
      <c r="AL109" s="121"/>
      <c r="AM109" s="121"/>
      <c r="AN109" s="504" t="s">
        <v>2358</v>
      </c>
      <c r="AO109" s="536" t="s">
        <v>2359</v>
      </c>
      <c r="AP109" s="257">
        <f t="shared" si="3"/>
        <v>0</v>
      </c>
      <c r="AQ109" s="321"/>
      <c r="AR109" s="258"/>
      <c r="AS109" s="121"/>
      <c r="AT109" s="121"/>
    </row>
    <row r="110" spans="38:46">
      <c r="AL110" s="121"/>
      <c r="AM110" s="121"/>
      <c r="AN110" s="504" t="s">
        <v>2360</v>
      </c>
      <c r="AO110" s="537" t="s">
        <v>2444</v>
      </c>
      <c r="AP110" s="257">
        <f t="shared" si="3"/>
        <v>0</v>
      </c>
      <c r="AQ110" s="321"/>
      <c r="AR110" s="258"/>
      <c r="AS110" s="121"/>
      <c r="AT110" s="121"/>
    </row>
    <row r="111" spans="38:46">
      <c r="AL111" s="121"/>
      <c r="AM111" s="121"/>
      <c r="AN111" s="504" t="s">
        <v>2361</v>
      </c>
      <c r="AO111" s="537" t="s">
        <v>2362</v>
      </c>
      <c r="AP111" s="257">
        <f t="shared" si="3"/>
        <v>0</v>
      </c>
      <c r="AQ111" s="321"/>
      <c r="AR111" s="258"/>
      <c r="AS111" s="121"/>
      <c r="AT111" s="121"/>
    </row>
    <row r="112" spans="38:46">
      <c r="AL112" s="121"/>
      <c r="AM112" s="121"/>
      <c r="AN112" s="504" t="s">
        <v>2363</v>
      </c>
      <c r="AO112" s="528" t="s">
        <v>872</v>
      </c>
      <c r="AP112" s="257">
        <f t="shared" si="3"/>
        <v>0</v>
      </c>
      <c r="AQ112" s="321"/>
      <c r="AR112" s="258"/>
      <c r="AS112" s="121"/>
      <c r="AT112" s="121"/>
    </row>
    <row r="113" spans="1:46" ht="22.5">
      <c r="AL113" s="121"/>
      <c r="AM113" s="121"/>
      <c r="AN113" s="504" t="s">
        <v>2364</v>
      </c>
      <c r="AO113" s="528" t="s">
        <v>2365</v>
      </c>
      <c r="AP113" s="257">
        <f t="shared" si="3"/>
        <v>0</v>
      </c>
      <c r="AQ113" s="321"/>
      <c r="AR113" s="258"/>
      <c r="AS113" s="121"/>
      <c r="AT113" s="121"/>
    </row>
    <row r="114" spans="1:46">
      <c r="AL114" s="121"/>
      <c r="AM114" s="121"/>
      <c r="AN114" s="504" t="s">
        <v>2366</v>
      </c>
      <c r="AO114" s="528" t="s">
        <v>2367</v>
      </c>
      <c r="AP114" s="257">
        <f t="shared" si="3"/>
        <v>0</v>
      </c>
      <c r="AQ114" s="321"/>
      <c r="AR114" s="258"/>
      <c r="AS114" s="121"/>
      <c r="AT114" s="121"/>
    </row>
    <row r="115" spans="1:46" ht="0.75" customHeight="1">
      <c r="AL115" s="121"/>
      <c r="AM115" s="121"/>
      <c r="AN115" s="504"/>
      <c r="AO115" s="526"/>
      <c r="AP115" s="504"/>
      <c r="AQ115" s="321"/>
      <c r="AR115" s="258"/>
      <c r="AS115" s="121"/>
      <c r="AT115" s="121"/>
    </row>
    <row r="116" spans="1:46" ht="0.75" customHeight="1">
      <c r="AL116" s="121"/>
      <c r="AM116" s="121"/>
      <c r="AN116" s="504"/>
      <c r="AO116" s="527"/>
      <c r="AP116" s="504"/>
      <c r="AQ116" s="321"/>
      <c r="AR116" s="258"/>
      <c r="AS116" s="121"/>
      <c r="AT116" s="121"/>
    </row>
    <row r="117" spans="1:46" ht="0.75" customHeight="1">
      <c r="AL117" s="121"/>
      <c r="AM117" s="121"/>
      <c r="AN117" s="504"/>
      <c r="AO117" s="528"/>
      <c r="AP117" s="504"/>
      <c r="AQ117" s="321"/>
      <c r="AR117" s="258"/>
      <c r="AS117" s="121"/>
      <c r="AT117" s="121"/>
    </row>
    <row r="118" spans="1:46" ht="0.75" customHeight="1">
      <c r="AL118" s="121"/>
      <c r="AM118" s="121"/>
      <c r="AN118" s="504"/>
      <c r="AO118" s="527"/>
      <c r="AP118" s="504"/>
      <c r="AQ118" s="321"/>
      <c r="AR118" s="258"/>
      <c r="AS118" s="121"/>
      <c r="AT118" s="121"/>
    </row>
    <row r="119" spans="1:46" ht="0.75" customHeight="1">
      <c r="AL119" s="121"/>
      <c r="AM119" s="121"/>
      <c r="AN119" s="504"/>
      <c r="AO119" s="527"/>
      <c r="AP119" s="504"/>
      <c r="AQ119" s="321"/>
      <c r="AR119" s="258"/>
      <c r="AS119" s="121"/>
      <c r="AT119" s="121"/>
    </row>
    <row r="120" spans="1:46" ht="0.75" customHeight="1">
      <c r="AL120" s="121"/>
      <c r="AM120" s="121"/>
      <c r="AN120" s="504"/>
      <c r="AO120" s="527"/>
      <c r="AP120" s="504"/>
      <c r="AQ120" s="321"/>
      <c r="AR120" s="258"/>
      <c r="AS120" s="121"/>
      <c r="AT120" s="121"/>
    </row>
    <row r="121" spans="1:46" ht="0.75" customHeight="1">
      <c r="AL121" s="121"/>
      <c r="AM121" s="121"/>
      <c r="AN121" s="504"/>
      <c r="AO121" s="527"/>
      <c r="AP121" s="504"/>
      <c r="AQ121" s="321"/>
      <c r="AR121" s="258"/>
      <c r="AS121" s="121"/>
      <c r="AT121" s="121"/>
    </row>
    <row r="122" spans="1:46" ht="0.75" customHeight="1">
      <c r="AL122" s="121"/>
      <c r="AM122" s="121"/>
      <c r="AN122" s="504"/>
      <c r="AO122" s="528"/>
      <c r="AP122" s="504"/>
      <c r="AQ122" s="321"/>
      <c r="AR122" s="258"/>
      <c r="AS122" s="121"/>
      <c r="AT122" s="121"/>
    </row>
    <row r="123" spans="1:46" ht="0.75" customHeight="1">
      <c r="AL123" s="121"/>
      <c r="AM123" s="121"/>
      <c r="AN123" s="504"/>
      <c r="AO123" s="538"/>
      <c r="AP123" s="504"/>
      <c r="AQ123" s="321"/>
      <c r="AR123" s="258"/>
      <c r="AS123" s="121"/>
      <c r="AT123" s="121"/>
    </row>
    <row r="124" spans="1:46" ht="0.75" customHeight="1">
      <c r="AL124" s="121"/>
      <c r="AM124" s="121"/>
      <c r="AN124" s="504"/>
      <c r="AO124" s="528"/>
      <c r="AP124" s="504"/>
      <c r="AQ124" s="321"/>
      <c r="AR124" s="258"/>
      <c r="AS124" s="121"/>
      <c r="AT124" s="121"/>
    </row>
    <row r="125" spans="1:46" ht="0.75" customHeight="1">
      <c r="A125" s="47"/>
      <c r="B125" s="47"/>
      <c r="C125" s="47"/>
      <c r="D125" s="47"/>
      <c r="E125" s="47"/>
      <c r="F125" s="47"/>
      <c r="G125" s="47"/>
      <c r="H125" s="47"/>
      <c r="I125" s="47"/>
      <c r="J125"/>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50"/>
      <c r="AM125" s="126"/>
      <c r="AN125" s="223"/>
      <c r="AO125" s="728"/>
      <c r="AP125" s="260"/>
      <c r="AQ125" s="258"/>
      <c r="AR125" s="258"/>
      <c r="AS125" s="127"/>
    </row>
    <row r="126" spans="1:46" ht="0.75" customHeight="1">
      <c r="A126" s="47"/>
      <c r="B126" s="47"/>
      <c r="C126" s="47"/>
      <c r="D126" s="47"/>
      <c r="E126" s="47"/>
      <c r="F126" s="47"/>
      <c r="G126" s="47"/>
      <c r="H126" s="47"/>
      <c r="I126" s="47"/>
      <c r="J126"/>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50"/>
      <c r="AM126" s="126"/>
      <c r="AN126" s="223"/>
      <c r="AO126" s="728"/>
      <c r="AP126" s="260"/>
      <c r="AQ126" s="258"/>
      <c r="AR126" s="258"/>
      <c r="AS126" s="127"/>
    </row>
    <row r="127" spans="1:46" ht="0.75" customHeight="1">
      <c r="A127" s="47"/>
      <c r="B127" s="47"/>
      <c r="C127" s="47"/>
      <c r="D127" s="47"/>
      <c r="E127" s="47"/>
      <c r="F127" s="47"/>
      <c r="G127" s="47"/>
      <c r="H127" s="47"/>
      <c r="I127" s="47"/>
      <c r="J12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50"/>
      <c r="AM127" s="126"/>
      <c r="AN127" s="223"/>
      <c r="AO127" s="728"/>
      <c r="AP127" s="260"/>
      <c r="AQ127" s="258"/>
      <c r="AR127" s="258"/>
      <c r="AS127" s="127"/>
    </row>
    <row r="128" spans="1:46" ht="0.75" customHeight="1">
      <c r="A128" s="47"/>
      <c r="B128" s="47"/>
      <c r="C128" s="47"/>
      <c r="D128" s="47"/>
      <c r="E128" s="47"/>
      <c r="F128" s="47"/>
      <c r="G128" s="47"/>
      <c r="H128" s="47"/>
      <c r="I128" s="47"/>
      <c r="J128"/>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50"/>
      <c r="AM128" s="126"/>
      <c r="AN128" s="223"/>
      <c r="AO128" s="728"/>
      <c r="AP128" s="260"/>
      <c r="AQ128" s="258"/>
      <c r="AR128" s="258"/>
      <c r="AS128" s="127"/>
    </row>
    <row r="129" spans="1:46" ht="0.75" customHeight="1">
      <c r="A129" s="47"/>
      <c r="B129" s="47"/>
      <c r="C129" s="47"/>
      <c r="D129" s="47"/>
      <c r="E129" s="47"/>
      <c r="F129" s="47"/>
      <c r="G129" s="47"/>
      <c r="H129" s="47"/>
      <c r="I129" s="47"/>
      <c r="J129"/>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50"/>
      <c r="AM129" s="126"/>
      <c r="AN129" s="223"/>
      <c r="AO129" s="728"/>
      <c r="AP129" s="260"/>
      <c r="AQ129" s="258"/>
      <c r="AR129" s="258"/>
      <c r="AS129" s="127"/>
    </row>
    <row r="130" spans="1:46" ht="0.75" customHeight="1">
      <c r="A130" s="47"/>
      <c r="B130" s="47"/>
      <c r="C130" s="47"/>
      <c r="D130" s="47"/>
      <c r="E130" s="47"/>
      <c r="F130" s="47"/>
      <c r="G130" s="47"/>
      <c r="H130" s="47"/>
      <c r="I130" s="47"/>
      <c r="J130"/>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50"/>
      <c r="AM130" s="126"/>
      <c r="AN130" s="223"/>
      <c r="AO130" s="728"/>
      <c r="AP130" s="260"/>
      <c r="AQ130" s="258"/>
      <c r="AR130" s="258"/>
      <c r="AS130" s="127"/>
    </row>
    <row r="131" spans="1:46" ht="0.75" customHeight="1">
      <c r="AL131" s="121"/>
      <c r="AM131" s="121"/>
      <c r="AN131" s="504"/>
      <c r="AO131" s="526"/>
      <c r="AP131" s="504"/>
      <c r="AQ131" s="321"/>
      <c r="AR131" s="258"/>
      <c r="AS131" s="121"/>
      <c r="AT131" s="121"/>
    </row>
    <row r="132" spans="1:46" ht="0.75" customHeight="1">
      <c r="AL132" s="121"/>
      <c r="AM132" s="121"/>
      <c r="AN132" s="504"/>
      <c r="AO132" s="526"/>
      <c r="AP132" s="504"/>
      <c r="AQ132" s="321"/>
      <c r="AR132" s="258"/>
      <c r="AS132" s="121"/>
      <c r="AT132" s="121"/>
    </row>
    <row r="133" spans="1:46" ht="0.75" customHeight="1">
      <c r="AL133" s="121"/>
      <c r="AM133" s="121"/>
      <c r="AN133" s="504"/>
      <c r="AO133" s="526"/>
      <c r="AP133" s="504"/>
      <c r="AQ133" s="321"/>
      <c r="AR133" s="258"/>
      <c r="AS133" s="121"/>
      <c r="AT133" s="121"/>
    </row>
    <row r="134" spans="1:46" ht="0.75" customHeight="1">
      <c r="AL134" s="121"/>
      <c r="AM134" s="121"/>
      <c r="AN134" s="504"/>
      <c r="AO134" s="526"/>
      <c r="AP134" s="504"/>
      <c r="AQ134" s="321"/>
      <c r="AR134" s="258"/>
      <c r="AS134" s="121"/>
      <c r="AT134" s="121"/>
    </row>
    <row r="135" spans="1:46" ht="0.75" customHeight="1">
      <c r="AL135" s="121"/>
      <c r="AM135" s="121"/>
      <c r="AN135" s="504"/>
      <c r="AO135" s="526"/>
      <c r="AP135" s="504"/>
      <c r="AQ135" s="321"/>
      <c r="AR135" s="258"/>
      <c r="AS135" s="121"/>
      <c r="AT135" s="121"/>
    </row>
    <row r="136" spans="1:46" ht="0.75" customHeight="1">
      <c r="AL136" s="121"/>
      <c r="AM136" s="121"/>
      <c r="AN136" s="504"/>
      <c r="AO136" s="526"/>
      <c r="AP136" s="504"/>
      <c r="AQ136" s="321"/>
      <c r="AR136" s="258"/>
      <c r="AS136" s="121"/>
      <c r="AT136" s="121"/>
    </row>
    <row r="137" spans="1:46" ht="0.75" customHeight="1">
      <c r="AL137" s="121"/>
      <c r="AM137" s="121"/>
      <c r="AN137" s="504"/>
      <c r="AO137" s="526"/>
      <c r="AP137" s="504"/>
      <c r="AQ137" s="321"/>
      <c r="AR137" s="258"/>
      <c r="AS137" s="121"/>
      <c r="AT137" s="121"/>
    </row>
    <row r="138" spans="1:46" ht="0.75" hidden="1" customHeight="1">
      <c r="AL138" s="121"/>
      <c r="AM138" s="121"/>
      <c r="AN138" s="504"/>
      <c r="AO138" s="540"/>
      <c r="AP138" s="504"/>
      <c r="AQ138" s="321"/>
      <c r="AR138" s="258"/>
      <c r="AS138" s="121"/>
      <c r="AT138" s="121"/>
    </row>
    <row r="139" spans="1:46" ht="0.75" customHeight="1">
      <c r="AL139" s="121"/>
      <c r="AM139" s="121"/>
      <c r="AN139" s="504"/>
      <c r="AO139" s="526"/>
      <c r="AP139" s="504"/>
      <c r="AQ139" s="321"/>
      <c r="AR139" s="258"/>
      <c r="AS139" s="121"/>
      <c r="AT139" s="121"/>
    </row>
    <row r="140" spans="1:46" ht="0.75" customHeight="1">
      <c r="AL140" s="121"/>
      <c r="AM140" s="121"/>
      <c r="AN140" s="504"/>
      <c r="AO140" s="526"/>
      <c r="AP140" s="504"/>
      <c r="AQ140" s="321"/>
      <c r="AR140" s="258"/>
      <c r="AS140" s="121"/>
      <c r="AT140" s="121"/>
    </row>
    <row r="141" spans="1:46" ht="0.75" customHeight="1">
      <c r="AL141" s="121"/>
      <c r="AM141" s="121"/>
      <c r="AN141" s="504"/>
      <c r="AO141" s="526"/>
      <c r="AP141" s="504"/>
      <c r="AQ141" s="321"/>
      <c r="AR141" s="258"/>
      <c r="AS141" s="121"/>
      <c r="AT141" s="121"/>
    </row>
    <row r="142" spans="1:46" ht="0.75" customHeight="1">
      <c r="AL142" s="121"/>
      <c r="AM142" s="121"/>
      <c r="AN142" s="504"/>
      <c r="AO142" s="526"/>
      <c r="AP142" s="504"/>
      <c r="AQ142" s="321"/>
      <c r="AR142" s="258"/>
      <c r="AS142" s="121"/>
      <c r="AT142" s="121"/>
    </row>
    <row r="143" spans="1:46" ht="0.75" customHeight="1">
      <c r="AL143" s="121"/>
      <c r="AM143" s="121"/>
      <c r="AN143" s="504"/>
      <c r="AO143" s="526"/>
      <c r="AP143" s="504"/>
      <c r="AQ143" s="321"/>
      <c r="AR143" s="258"/>
      <c r="AS143" s="121"/>
      <c r="AT143" s="121"/>
    </row>
    <row r="144" spans="1:46" ht="0.75" customHeight="1">
      <c r="AL144" s="121"/>
      <c r="AM144" s="121"/>
      <c r="AN144" s="559"/>
      <c r="AO144" s="604"/>
      <c r="AP144" s="504"/>
      <c r="AQ144" s="321"/>
      <c r="AR144" s="258"/>
      <c r="AS144" s="121"/>
      <c r="AT144" s="121"/>
    </row>
    <row r="145" spans="38:46" s="121" customFormat="1" ht="0.75" customHeight="1">
      <c r="AN145" s="504"/>
      <c r="AO145" s="526"/>
      <c r="AP145" s="504"/>
      <c r="AQ145" s="321"/>
      <c r="AR145" s="258"/>
    </row>
    <row r="146" spans="38:46" s="121" customFormat="1" ht="0.75" customHeight="1">
      <c r="AN146" s="222"/>
      <c r="AO146" s="540"/>
      <c r="AP146" s="504"/>
      <c r="AQ146" s="321"/>
      <c r="AR146" s="258"/>
    </row>
    <row r="147" spans="38:46" s="121" customFormat="1" ht="0.75" customHeight="1">
      <c r="AN147" s="222"/>
      <c r="AO147" s="540"/>
      <c r="AP147" s="504"/>
      <c r="AQ147" s="321"/>
      <c r="AR147" s="258"/>
    </row>
    <row r="148" spans="38:46" s="121" customFormat="1" ht="0.75" customHeight="1">
      <c r="AN148" s="222"/>
      <c r="AO148" s="541"/>
      <c r="AP148" s="504"/>
      <c r="AQ148" s="321"/>
      <c r="AR148" s="258"/>
    </row>
    <row r="149" spans="38:46" ht="0.75" customHeight="1">
      <c r="AL149" s="121"/>
      <c r="AM149" s="121"/>
      <c r="AN149" s="222"/>
      <c r="AO149" s="502"/>
      <c r="AP149" s="504"/>
      <c r="AQ149" s="321"/>
      <c r="AR149" s="258"/>
      <c r="AS149" s="121"/>
      <c r="AT149" s="121"/>
    </row>
    <row r="150" spans="38:46" ht="0.75" customHeight="1">
      <c r="AL150" s="121"/>
      <c r="AM150" s="121"/>
      <c r="AN150" s="222"/>
      <c r="AO150" s="502"/>
      <c r="AP150" s="504"/>
      <c r="AQ150" s="321"/>
      <c r="AR150" s="258"/>
      <c r="AS150" s="121"/>
      <c r="AT150" s="121"/>
    </row>
    <row r="151" spans="38:46" s="121" customFormat="1" ht="0.75" customHeight="1">
      <c r="AN151" s="222"/>
      <c r="AO151" s="540"/>
      <c r="AP151" s="504"/>
      <c r="AQ151" s="321"/>
      <c r="AR151" s="258"/>
    </row>
    <row r="152" spans="38:46" s="121" customFormat="1" ht="0.75" customHeight="1">
      <c r="AN152" s="222"/>
      <c r="AO152" s="502"/>
      <c r="AP152" s="504"/>
      <c r="AQ152" s="321"/>
      <c r="AR152" s="258"/>
    </row>
    <row r="153" spans="38:46" s="121" customFormat="1" ht="0.75" customHeight="1">
      <c r="AN153" s="222"/>
      <c r="AO153" s="502"/>
      <c r="AP153" s="504"/>
      <c r="AQ153" s="321"/>
      <c r="AR153" s="258"/>
    </row>
    <row r="154" spans="38:46" s="121" customFormat="1" ht="0.75" customHeight="1">
      <c r="AN154" s="222"/>
      <c r="AO154" s="540"/>
      <c r="AP154" s="504"/>
      <c r="AQ154" s="321"/>
      <c r="AR154" s="258"/>
    </row>
    <row r="155" spans="38:46" s="121" customFormat="1" ht="0.75" customHeight="1">
      <c r="AN155" s="222"/>
      <c r="AO155" s="502"/>
      <c r="AP155" s="504"/>
      <c r="AQ155" s="321"/>
      <c r="AR155" s="258"/>
    </row>
    <row r="156" spans="38:46" s="121" customFormat="1" ht="0.75" customHeight="1">
      <c r="AN156" s="222"/>
      <c r="AO156" s="502"/>
      <c r="AP156" s="504"/>
      <c r="AQ156" s="321"/>
      <c r="AR156" s="258"/>
    </row>
    <row r="157" spans="38:46" ht="0.75" customHeight="1">
      <c r="AL157" s="121"/>
      <c r="AM157" s="121"/>
      <c r="AN157" s="222"/>
      <c r="AO157" s="540"/>
      <c r="AP157" s="504"/>
      <c r="AQ157" s="321"/>
      <c r="AR157" s="258"/>
      <c r="AS157" s="121"/>
      <c r="AT157" s="121"/>
    </row>
    <row r="158" spans="38:46" s="121" customFormat="1" ht="0.75" customHeight="1">
      <c r="AN158" s="222"/>
      <c r="AO158" s="502"/>
      <c r="AP158" s="504"/>
      <c r="AQ158" s="321"/>
      <c r="AR158" s="258"/>
    </row>
    <row r="159" spans="38:46" s="121" customFormat="1" ht="0.75" customHeight="1">
      <c r="AN159" s="222"/>
      <c r="AO159" s="502"/>
      <c r="AP159" s="504"/>
      <c r="AQ159" s="321"/>
      <c r="AR159" s="258"/>
    </row>
    <row r="160" spans="38:46" s="121" customFormat="1" hidden="1">
      <c r="AN160" s="222"/>
      <c r="AO160" s="502"/>
      <c r="AP160" s="323"/>
      <c r="AQ160" s="321"/>
      <c r="AR160" s="258"/>
    </row>
    <row r="161" spans="1:46" s="121" customFormat="1" hidden="1">
      <c r="AN161" s="222"/>
      <c r="AO161" s="502"/>
      <c r="AP161" s="323"/>
      <c r="AQ161" s="321"/>
      <c r="AR161" s="258"/>
    </row>
    <row r="162" spans="1:46" s="121" customFormat="1" hidden="1">
      <c r="AN162" s="222"/>
      <c r="AO162" s="502"/>
      <c r="AP162" s="323"/>
      <c r="AQ162" s="321"/>
      <c r="AR162" s="258"/>
    </row>
    <row r="163" spans="1:46" s="121" customFormat="1" hidden="1">
      <c r="AN163" s="222"/>
      <c r="AO163" s="502"/>
      <c r="AP163" s="323"/>
      <c r="AQ163" s="321"/>
      <c r="AR163" s="258"/>
    </row>
    <row r="164" spans="1:46" ht="0.75" customHeight="1">
      <c r="AL164" s="121"/>
      <c r="AM164" s="121"/>
      <c r="AN164" s="223"/>
      <c r="AO164" s="216"/>
      <c r="AP164" s="543"/>
      <c r="AQ164" s="523"/>
      <c r="AR164" s="265"/>
      <c r="AS164" s="121"/>
      <c r="AT164" s="121"/>
    </row>
    <row r="165" spans="1:46" s="54" customFormat="1">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48"/>
      <c r="AS165" s="121"/>
      <c r="AT165" s="121"/>
    </row>
    <row r="166" spans="1:46" s="54" customFormat="1">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47"/>
      <c r="AR166" s="47"/>
      <c r="AS166" s="121"/>
      <c r="AT166" s="121"/>
    </row>
    <row r="167" spans="1:46">
      <c r="AL167" s="121"/>
      <c r="AM167" s="121"/>
    </row>
  </sheetData>
  <sheetProtection password="FA9C" sheet="1" objects="1" scenarios="1" formatColumns="0" formatRows="0"/>
  <mergeCells count="4">
    <mergeCell ref="AN9:AP9"/>
    <mergeCell ref="AN11:AN12"/>
    <mergeCell ref="AO11:AO12"/>
    <mergeCell ref="AP11:AP12"/>
  </mergeCells>
  <phoneticPr fontId="0"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sheetPr codeName="VSNA_ConR_PERIOD_YEAR">
    <tabColor rgb="FF002060"/>
    <outlinePr summaryBelow="0"/>
  </sheetPr>
  <dimension ref="A1:AU166"/>
  <sheetViews>
    <sheetView showGridLines="0" topLeftCell="AL8" workbookViewId="0"/>
  </sheetViews>
  <sheetFormatPr defaultColWidth="8.7109375" defaultRowHeight="11.25"/>
  <cols>
    <col min="1" max="37" width="2.7109375"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4" width="0.140625" style="47" customWidth="1"/>
    <col min="45" max="46" width="2.7109375" style="47" customWidth="1"/>
    <col min="47" max="16384" width="8.7109375" style="47"/>
  </cols>
  <sheetData>
    <row r="1" spans="1:47" s="48" customFormat="1" ht="12" hidden="1" customHeight="1">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199"/>
      <c r="AQ1" s="47"/>
      <c r="AR1" s="47"/>
      <c r="AS1" s="47"/>
      <c r="AT1" s="47"/>
      <c r="AU1" s="47"/>
    </row>
    <row r="2" spans="1:47" s="48" customFormat="1" ht="12" hidden="1" customHeight="1">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199"/>
      <c r="AQ2" s="47"/>
      <c r="AR2" s="47"/>
      <c r="AS2" s="47"/>
      <c r="AT2" s="47"/>
      <c r="AU2" s="47"/>
    </row>
    <row r="3" spans="1:47" s="48" customFormat="1" ht="12" hidden="1" customHeight="1">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199"/>
      <c r="AQ3" s="47"/>
      <c r="AR3" s="47"/>
      <c r="AS3" s="47"/>
      <c r="AT3" s="47"/>
      <c r="AU3" s="47"/>
    </row>
    <row r="4" spans="1:47" s="48" customFormat="1" ht="12" hidden="1" customHeight="1">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199"/>
      <c r="AQ4" s="47"/>
      <c r="AR4" s="47"/>
      <c r="AS4" s="47"/>
      <c r="AT4" s="47"/>
      <c r="AU4" s="47"/>
    </row>
    <row r="5" spans="1:47" s="48" customFormat="1" ht="12" hidden="1" customHeight="1">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199"/>
      <c r="AQ5" s="47"/>
      <c r="AR5" s="47"/>
      <c r="AS5" s="47"/>
      <c r="AT5" s="47"/>
      <c r="AU5" s="47"/>
    </row>
    <row r="6" spans="1:47" s="48" customFormat="1" ht="12" hidden="1" customHeight="1">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199"/>
      <c r="AQ6" s="47"/>
      <c r="AR6" s="47"/>
      <c r="AS6" s="47"/>
      <c r="AT6" s="47"/>
      <c r="AU6" s="47"/>
    </row>
    <row r="7" spans="1:47" s="48" customFormat="1" ht="12" hidden="1" customHeight="1">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199"/>
      <c r="AO7" s="158"/>
      <c r="AQ7" s="47"/>
      <c r="AR7" s="47"/>
      <c r="AS7" s="47"/>
      <c r="AT7" s="47"/>
      <c r="AU7" s="47"/>
    </row>
    <row r="8" spans="1:47" s="312" customFormat="1" ht="12" customHeight="1">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308"/>
      <c r="AN8" s="618"/>
      <c r="AO8" s="432"/>
      <c r="AP8" s="616" t="s">
        <v>2790</v>
      </c>
      <c r="AQ8" s="522"/>
      <c r="AR8" s="522"/>
      <c r="AS8" s="522"/>
      <c r="AT8" s="520"/>
      <c r="AU8" s="520"/>
    </row>
    <row r="9" spans="1:47"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на реализацию " &amp; RESOURCE_IDENTIFIER &amp; " конечным потребителям по муниципальному образованию - " &amp; IF(mo="","Не определено",mo)</f>
        <v>Фактические расходы организаций водоотведения на реализацию стоков конечным потребителям по муниципальному образованию - Село Булава</v>
      </c>
      <c r="AO9" s="917"/>
      <c r="AP9" s="917"/>
      <c r="AQ9" s="201"/>
      <c r="AR9" s="122"/>
      <c r="AS9" s="200"/>
    </row>
    <row r="10" spans="1:47" s="48" customFormat="1" ht="12" customHeight="1">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189"/>
      <c r="AO10" s="209"/>
      <c r="AP10" s="214" t="s">
        <v>786</v>
      </c>
      <c r="AQ10" s="201"/>
      <c r="AR10" s="168" t="s">
        <v>720</v>
      </c>
      <c r="AS10" s="53"/>
      <c r="AT10" s="47"/>
      <c r="AU10" s="47"/>
    </row>
    <row r="11" spans="1:47" ht="12" customHeight="1">
      <c r="A11" s="47"/>
      <c r="B11" s="47"/>
      <c r="C11" s="47"/>
      <c r="D11" s="47"/>
      <c r="E11" s="47"/>
      <c r="F11" s="47"/>
      <c r="G11" s="47"/>
      <c r="H11" s="47"/>
      <c r="I11" s="47"/>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50"/>
      <c r="AM11" s="125"/>
      <c r="AN11" s="802" t="s">
        <v>641</v>
      </c>
      <c r="AO11" s="804" t="s">
        <v>787</v>
      </c>
      <c r="AP11" s="819" t="s">
        <v>778</v>
      </c>
      <c r="AQ11" s="206">
        <v>0</v>
      </c>
      <c r="AR11" s="206"/>
      <c r="AS11" s="220"/>
    </row>
    <row r="12" spans="1:47" ht="48" customHeight="1">
      <c r="A12" s="47"/>
      <c r="B12" s="47"/>
      <c r="C12" s="47"/>
      <c r="D12" s="47"/>
      <c r="E12" s="47"/>
      <c r="F12" s="47"/>
      <c r="G12" s="47"/>
      <c r="H12" s="47"/>
      <c r="I12" s="47"/>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50"/>
      <c r="AM12" s="125"/>
      <c r="AN12" s="803"/>
      <c r="AO12" s="805"/>
      <c r="AP12" s="819"/>
      <c r="AQ12" s="207"/>
      <c r="AR12" s="207"/>
      <c r="AS12" s="121"/>
      <c r="AT12" s="121"/>
    </row>
    <row r="13" spans="1:47" ht="11.25" customHeight="1">
      <c r="A13" s="47"/>
      <c r="B13" s="47"/>
      <c r="C13" s="47"/>
      <c r="D13" s="47"/>
      <c r="E13" s="47"/>
      <c r="F13" s="47"/>
      <c r="G13" s="47"/>
      <c r="H13" s="47"/>
      <c r="I13" s="47"/>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222"/>
      <c r="AO13" s="501" t="s">
        <v>788</v>
      </c>
      <c r="AP13" s="564"/>
      <c r="AQ13" s="330"/>
      <c r="AR13" s="207"/>
      <c r="AS13" s="121"/>
      <c r="AT13" s="121"/>
    </row>
    <row r="14" spans="1:47" ht="24" customHeight="1">
      <c r="A14" s="47"/>
      <c r="B14" s="47"/>
      <c r="C14" s="47"/>
      <c r="D14" s="47"/>
      <c r="E14" s="47"/>
      <c r="F14" s="47"/>
      <c r="G14" s="47"/>
      <c r="H14" s="47"/>
      <c r="I14" s="47"/>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222"/>
      <c r="AO14" s="556" t="str">
        <f>IF(CALC_IDENTIFIER="","",CALC_IDENTIFIER)</f>
        <v/>
      </c>
      <c r="AP14" s="557" t="s">
        <v>745</v>
      </c>
      <c r="AQ14" s="330"/>
      <c r="AR14" s="207"/>
      <c r="AS14" s="121"/>
      <c r="AT14" s="121"/>
    </row>
    <row r="15" spans="1:47" ht="0.75" customHeight="1">
      <c r="AL15" s="121"/>
      <c r="AM15" s="121"/>
      <c r="AN15" s="504"/>
      <c r="AO15" s="566"/>
      <c r="AP15" s="504"/>
      <c r="AQ15" s="321"/>
      <c r="AR15" s="258"/>
      <c r="AS15" s="121"/>
      <c r="AT15" s="121"/>
    </row>
    <row r="16" spans="1:47" ht="0.75" customHeight="1">
      <c r="AL16" s="121"/>
      <c r="AM16" s="121"/>
      <c r="AN16" s="504"/>
      <c r="AO16" s="527"/>
      <c r="AP16" s="504"/>
      <c r="AQ16" s="321"/>
      <c r="AR16" s="258"/>
      <c r="AS16" s="121"/>
      <c r="AT16" s="121"/>
    </row>
    <row r="17" spans="38:46">
      <c r="AL17" s="121"/>
      <c r="AM17" s="121"/>
      <c r="AN17" s="504" t="s">
        <v>751</v>
      </c>
      <c r="AO17" s="526" t="s">
        <v>2814</v>
      </c>
      <c r="AP17" s="257">
        <f>SUMIF(AQ$14:AR$14,AP$14,AQ17:AR17)</f>
        <v>0</v>
      </c>
      <c r="AQ17" s="321"/>
      <c r="AR17" s="258"/>
      <c r="AS17" s="121"/>
      <c r="AT17" s="121"/>
    </row>
    <row r="18" spans="38:46">
      <c r="AL18" s="121"/>
      <c r="AM18" s="121"/>
      <c r="AN18" s="504" t="s">
        <v>66</v>
      </c>
      <c r="AO18" s="527" t="s">
        <v>2815</v>
      </c>
      <c r="AP18" s="257">
        <f>SUMIF(AQ$14:AR$14,AP$14,AQ18:AR18)</f>
        <v>0</v>
      </c>
      <c r="AQ18" s="321"/>
      <c r="AR18" s="258"/>
      <c r="AS18" s="121"/>
      <c r="AT18" s="121"/>
    </row>
    <row r="19" spans="38:46">
      <c r="AL19" s="121"/>
      <c r="AM19" s="121"/>
      <c r="AN19" s="504" t="s">
        <v>632</v>
      </c>
      <c r="AO19" s="528" t="s">
        <v>2816</v>
      </c>
      <c r="AP19" s="257">
        <f>SUMIF(AQ$14:AR$14,AP$14,AQ19:AR19)</f>
        <v>0</v>
      </c>
      <c r="AQ19" s="321"/>
      <c r="AR19" s="258"/>
      <c r="AS19" s="121"/>
      <c r="AT19" s="121"/>
    </row>
    <row r="20" spans="38:46">
      <c r="AL20" s="121"/>
      <c r="AM20" s="121"/>
      <c r="AN20" s="223" t="s">
        <v>2817</v>
      </c>
      <c r="AO20" s="529" t="s">
        <v>2972</v>
      </c>
      <c r="AP20" s="257">
        <f>SUMIF(AQ$14:AR$14,AP$14,AQ20:AR20)</f>
        <v>0</v>
      </c>
      <c r="AQ20" s="321"/>
      <c r="AR20" s="258"/>
      <c r="AS20" s="121"/>
      <c r="AT20" s="121"/>
    </row>
    <row r="21" spans="38:46">
      <c r="AL21" s="121"/>
      <c r="AM21" s="121"/>
      <c r="AN21" s="223" t="s">
        <v>2818</v>
      </c>
      <c r="AO21" s="529" t="s">
        <v>2988</v>
      </c>
      <c r="AP21" s="257">
        <f>SUMIF(AQ$14:AR$14,AP$14,AQ21:AR21)</f>
        <v>0</v>
      </c>
      <c r="AQ21" s="321"/>
      <c r="AR21" s="258"/>
      <c r="AS21" s="121"/>
      <c r="AT21" s="121"/>
    </row>
    <row r="22" spans="38:46" hidden="1">
      <c r="AL22" s="121"/>
      <c r="AM22" s="121"/>
      <c r="AN22" s="223"/>
      <c r="AO22" s="529"/>
      <c r="AP22" s="260"/>
      <c r="AQ22" s="321"/>
      <c r="AR22" s="258"/>
      <c r="AS22" s="121"/>
      <c r="AT22" s="121"/>
    </row>
    <row r="23" spans="38:46" hidden="1">
      <c r="AL23" s="121"/>
      <c r="AM23" s="121"/>
      <c r="AN23" s="524"/>
      <c r="AO23" s="530"/>
      <c r="AP23" s="255"/>
      <c r="AQ23" s="321"/>
      <c r="AR23" s="258"/>
      <c r="AS23" s="121"/>
      <c r="AT23" s="121"/>
    </row>
    <row r="24" spans="38:46" hidden="1">
      <c r="AL24" s="121"/>
      <c r="AM24" s="121"/>
      <c r="AN24" s="524"/>
      <c r="AO24" s="530"/>
      <c r="AP24" s="260"/>
      <c r="AQ24" s="321"/>
      <c r="AR24" s="258"/>
      <c r="AS24" s="121"/>
      <c r="AT24" s="121"/>
    </row>
    <row r="25" spans="38:46" hidden="1">
      <c r="AL25" s="121"/>
      <c r="AM25" s="121"/>
      <c r="AN25" s="223"/>
      <c r="AO25" s="531"/>
      <c r="AP25" s="260"/>
      <c r="AQ25" s="321"/>
      <c r="AR25" s="258"/>
      <c r="AS25" s="121"/>
      <c r="AT25" s="121"/>
    </row>
    <row r="26" spans="38:46" hidden="1">
      <c r="AL26" s="121"/>
      <c r="AM26" s="121"/>
      <c r="AN26" s="524"/>
      <c r="AO26" s="530"/>
      <c r="AP26" s="255"/>
      <c r="AQ26" s="321"/>
      <c r="AR26" s="258"/>
      <c r="AS26" s="121"/>
      <c r="AT26" s="121"/>
    </row>
    <row r="27" spans="38:46" hidden="1">
      <c r="AL27" s="121"/>
      <c r="AM27" s="121"/>
      <c r="AN27" s="524"/>
      <c r="AO27" s="530"/>
      <c r="AP27" s="260"/>
      <c r="AQ27" s="321"/>
      <c r="AR27" s="258"/>
      <c r="AS27" s="121"/>
      <c r="AT27" s="121"/>
    </row>
    <row r="28" spans="38:46" hidden="1">
      <c r="AL28" s="121"/>
      <c r="AM28" s="121"/>
      <c r="AN28" s="223"/>
      <c r="AO28" s="529"/>
      <c r="AP28" s="260"/>
      <c r="AQ28" s="321"/>
      <c r="AR28" s="258"/>
      <c r="AS28" s="121"/>
      <c r="AT28" s="121"/>
    </row>
    <row r="29" spans="38:46" hidden="1">
      <c r="AL29" s="121"/>
      <c r="AM29" s="121"/>
      <c r="AN29" s="524"/>
      <c r="AO29" s="530"/>
      <c r="AP29" s="255"/>
      <c r="AQ29" s="321"/>
      <c r="AR29" s="258"/>
      <c r="AS29" s="121"/>
      <c r="AT29" s="121"/>
    </row>
    <row r="30" spans="38:46" hidden="1">
      <c r="AL30" s="121"/>
      <c r="AM30" s="121"/>
      <c r="AN30" s="524"/>
      <c r="AO30" s="530"/>
      <c r="AP30" s="260"/>
      <c r="AQ30" s="321"/>
      <c r="AR30" s="258"/>
      <c r="AS30" s="121"/>
      <c r="AT30" s="121"/>
    </row>
    <row r="31" spans="38:46" hidden="1">
      <c r="AL31" s="121"/>
      <c r="AM31" s="121"/>
      <c r="AN31" s="223"/>
      <c r="AO31" s="531"/>
      <c r="AP31" s="260"/>
      <c r="AQ31" s="321"/>
      <c r="AR31" s="258"/>
      <c r="AS31" s="121"/>
      <c r="AT31" s="121"/>
    </row>
    <row r="32" spans="38:46" hidden="1">
      <c r="AL32" s="121"/>
      <c r="AM32" s="121"/>
      <c r="AN32" s="524"/>
      <c r="AO32" s="530"/>
      <c r="AP32" s="255"/>
      <c r="AQ32" s="321"/>
      <c r="AR32" s="258"/>
      <c r="AS32" s="121"/>
      <c r="AT32" s="121"/>
    </row>
    <row r="33" spans="38:46" hidden="1">
      <c r="AL33" s="121"/>
      <c r="AM33" s="121"/>
      <c r="AN33" s="524"/>
      <c r="AO33" s="530"/>
      <c r="AP33" s="260"/>
      <c r="AQ33" s="321"/>
      <c r="AR33" s="258"/>
      <c r="AS33" s="121"/>
      <c r="AT33" s="121"/>
    </row>
    <row r="34" spans="38:46" hidden="1">
      <c r="AL34" s="121"/>
      <c r="AM34" s="121"/>
      <c r="AN34" s="223"/>
      <c r="AO34" s="529"/>
      <c r="AP34" s="260"/>
      <c r="AQ34" s="321"/>
      <c r="AR34" s="258"/>
      <c r="AS34" s="121"/>
      <c r="AT34" s="121"/>
    </row>
    <row r="35" spans="38:46" hidden="1">
      <c r="AL35" s="121"/>
      <c r="AM35" s="121"/>
      <c r="AN35" s="524"/>
      <c r="AO35" s="530"/>
      <c r="AP35" s="255"/>
      <c r="AQ35" s="321"/>
      <c r="AR35" s="258"/>
      <c r="AS35" s="121"/>
      <c r="AT35" s="121"/>
    </row>
    <row r="36" spans="38:46" hidden="1">
      <c r="AL36" s="121"/>
      <c r="AM36" s="121"/>
      <c r="AN36" s="524"/>
      <c r="AO36" s="530"/>
      <c r="AP36" s="260"/>
      <c r="AQ36" s="321"/>
      <c r="AR36" s="258"/>
      <c r="AS36" s="121"/>
      <c r="AT36" s="121"/>
    </row>
    <row r="37" spans="38:46" hidden="1">
      <c r="AL37" s="121"/>
      <c r="AM37" s="121"/>
      <c r="AN37" s="223"/>
      <c r="AO37" s="531"/>
      <c r="AP37" s="260"/>
      <c r="AQ37" s="321"/>
      <c r="AR37" s="258"/>
      <c r="AS37" s="121"/>
      <c r="AT37" s="121"/>
    </row>
    <row r="38" spans="38:46" hidden="1">
      <c r="AL38" s="121"/>
      <c r="AM38" s="121"/>
      <c r="AN38" s="524"/>
      <c r="AO38" s="530"/>
      <c r="AP38" s="255"/>
      <c r="AQ38" s="321"/>
      <c r="AR38" s="258"/>
      <c r="AS38" s="121"/>
      <c r="AT38" s="121"/>
    </row>
    <row r="39" spans="38:46" hidden="1">
      <c r="AL39" s="121"/>
      <c r="AM39" s="121"/>
      <c r="AN39" s="524"/>
      <c r="AO39" s="530"/>
      <c r="AP39" s="260"/>
      <c r="AQ39" s="321"/>
      <c r="AR39" s="258"/>
      <c r="AS39" s="121"/>
      <c r="AT39" s="121"/>
    </row>
    <row r="40" spans="38:46" hidden="1">
      <c r="AL40" s="121"/>
      <c r="AM40" s="121"/>
      <c r="AN40" s="223"/>
      <c r="AO40" s="529"/>
      <c r="AP40" s="260"/>
      <c r="AQ40" s="321"/>
      <c r="AR40" s="258"/>
      <c r="AS40" s="121"/>
      <c r="AT40" s="121"/>
    </row>
    <row r="41" spans="38:46" hidden="1">
      <c r="AL41" s="121"/>
      <c r="AM41" s="121"/>
      <c r="AN41" s="524"/>
      <c r="AO41" s="530"/>
      <c r="AP41" s="255"/>
      <c r="AQ41" s="321"/>
      <c r="AR41" s="258"/>
      <c r="AS41" s="121"/>
      <c r="AT41" s="121"/>
    </row>
    <row r="42" spans="38:46" hidden="1">
      <c r="AL42" s="121"/>
      <c r="AM42" s="121"/>
      <c r="AN42" s="524"/>
      <c r="AO42" s="530"/>
      <c r="AP42" s="260"/>
      <c r="AQ42" s="321"/>
      <c r="AR42" s="258"/>
      <c r="AS42" s="121"/>
      <c r="AT42" s="121"/>
    </row>
    <row r="43" spans="38:46" hidden="1">
      <c r="AL43" s="121"/>
      <c r="AM43" s="121"/>
      <c r="AN43" s="223"/>
      <c r="AO43" s="531"/>
      <c r="AP43" s="260"/>
      <c r="AQ43" s="321"/>
      <c r="AR43" s="258"/>
      <c r="AS43" s="121"/>
      <c r="AT43" s="121"/>
    </row>
    <row r="44" spans="38:46" hidden="1">
      <c r="AL44" s="121"/>
      <c r="AM44" s="121"/>
      <c r="AN44" s="524"/>
      <c r="AO44" s="530"/>
      <c r="AP44" s="255"/>
      <c r="AQ44" s="321"/>
      <c r="AR44" s="258"/>
      <c r="AS44" s="121"/>
      <c r="AT44" s="121"/>
    </row>
    <row r="45" spans="38:46" hidden="1">
      <c r="AL45" s="121"/>
      <c r="AM45" s="121"/>
      <c r="AN45" s="524"/>
      <c r="AO45" s="530"/>
      <c r="AP45" s="260"/>
      <c r="AQ45" s="321"/>
      <c r="AR45" s="258"/>
      <c r="AS45" s="121"/>
      <c r="AT45" s="121"/>
    </row>
    <row r="46" spans="38:46">
      <c r="AL46" s="121"/>
      <c r="AM46" s="121"/>
      <c r="AN46" s="504" t="s">
        <v>633</v>
      </c>
      <c r="AO46" s="532" t="s">
        <v>2819</v>
      </c>
      <c r="AP46" s="257">
        <f t="shared" ref="AP46:AP55" si="0">SUMIF(AQ$14:AR$14,AP$14,AQ46:AR46)</f>
        <v>0</v>
      </c>
      <c r="AQ46" s="321"/>
      <c r="AR46" s="258"/>
      <c r="AS46" s="121"/>
      <c r="AT46" s="121"/>
    </row>
    <row r="47" spans="38:46">
      <c r="AL47" s="121"/>
      <c r="AM47" s="121"/>
      <c r="AN47" s="504" t="s">
        <v>69</v>
      </c>
      <c r="AO47" s="527" t="s">
        <v>2820</v>
      </c>
      <c r="AP47" s="257">
        <f t="shared" si="0"/>
        <v>0</v>
      </c>
      <c r="AQ47" s="321"/>
      <c r="AR47" s="258"/>
      <c r="AS47" s="121"/>
      <c r="AT47" s="121"/>
    </row>
    <row r="48" spans="38:46">
      <c r="AL48" s="121"/>
      <c r="AM48" s="121"/>
      <c r="AN48" s="504" t="s">
        <v>72</v>
      </c>
      <c r="AO48" s="527" t="s">
        <v>2471</v>
      </c>
      <c r="AP48" s="257">
        <f t="shared" si="0"/>
        <v>0</v>
      </c>
      <c r="AQ48" s="321"/>
      <c r="AR48" s="258"/>
      <c r="AS48" s="121"/>
      <c r="AT48" s="121"/>
    </row>
    <row r="49" spans="38:46">
      <c r="AL49" s="121"/>
      <c r="AM49" s="121"/>
      <c r="AN49" s="504" t="s">
        <v>2821</v>
      </c>
      <c r="AO49" s="527" t="s">
        <v>2822</v>
      </c>
      <c r="AP49" s="257">
        <f t="shared" si="0"/>
        <v>0</v>
      </c>
      <c r="AQ49" s="321"/>
      <c r="AR49" s="258"/>
      <c r="AS49" s="121"/>
      <c r="AT49" s="121"/>
    </row>
    <row r="50" spans="38:46">
      <c r="AL50" s="121"/>
      <c r="AM50" s="121"/>
      <c r="AN50" s="504" t="s">
        <v>888</v>
      </c>
      <c r="AO50" s="528" t="s">
        <v>2823</v>
      </c>
      <c r="AP50" s="257">
        <f t="shared" si="0"/>
        <v>0</v>
      </c>
      <c r="AQ50" s="321"/>
      <c r="AR50" s="258"/>
      <c r="AS50" s="121"/>
      <c r="AT50" s="121"/>
    </row>
    <row r="51" spans="38:46">
      <c r="AL51" s="121"/>
      <c r="AM51" s="121"/>
      <c r="AN51" s="504" t="s">
        <v>889</v>
      </c>
      <c r="AO51" s="528" t="s">
        <v>2824</v>
      </c>
      <c r="AP51" s="257">
        <f t="shared" si="0"/>
        <v>0</v>
      </c>
      <c r="AQ51" s="321"/>
      <c r="AR51" s="258"/>
      <c r="AS51" s="121"/>
      <c r="AT51" s="121"/>
    </row>
    <row r="52" spans="38:46">
      <c r="AL52" s="121"/>
      <c r="AM52" s="121"/>
      <c r="AN52" s="504" t="s">
        <v>890</v>
      </c>
      <c r="AO52" s="528" t="s">
        <v>2825</v>
      </c>
      <c r="AP52" s="257">
        <f t="shared" si="0"/>
        <v>0</v>
      </c>
      <c r="AQ52" s="321"/>
      <c r="AR52" s="258"/>
      <c r="AS52" s="121"/>
      <c r="AT52" s="121"/>
    </row>
    <row r="53" spans="38:46">
      <c r="AL53" s="121"/>
      <c r="AM53" s="121"/>
      <c r="AN53" s="504" t="s">
        <v>2826</v>
      </c>
      <c r="AO53" s="527" t="s">
        <v>2827</v>
      </c>
      <c r="AP53" s="257">
        <f t="shared" si="0"/>
        <v>0</v>
      </c>
      <c r="AQ53" s="321"/>
      <c r="AR53" s="258"/>
      <c r="AS53" s="121"/>
      <c r="AT53" s="121"/>
    </row>
    <row r="54" spans="38:46">
      <c r="AL54" s="121"/>
      <c r="AM54" s="121"/>
      <c r="AN54" s="504" t="s">
        <v>2828</v>
      </c>
      <c r="AO54" s="527" t="s">
        <v>2829</v>
      </c>
      <c r="AP54" s="257">
        <f t="shared" si="0"/>
        <v>0</v>
      </c>
      <c r="AQ54" s="321"/>
      <c r="AR54" s="258"/>
      <c r="AS54" s="121"/>
      <c r="AT54" s="121"/>
    </row>
    <row r="55" spans="38:46">
      <c r="AL55" s="121"/>
      <c r="AM55" s="121"/>
      <c r="AN55" s="504" t="s">
        <v>2830</v>
      </c>
      <c r="AO55" s="527" t="s">
        <v>2831</v>
      </c>
      <c r="AP55" s="257">
        <f t="shared" si="0"/>
        <v>0</v>
      </c>
      <c r="AQ55" s="321"/>
      <c r="AR55" s="258"/>
      <c r="AS55" s="121"/>
      <c r="AT55" s="121"/>
    </row>
    <row r="56" spans="38:46" hidden="1">
      <c r="AL56" s="121"/>
      <c r="AM56" s="121"/>
      <c r="AN56" s="222"/>
      <c r="AO56" s="529"/>
      <c r="AP56" s="255"/>
      <c r="AQ56" s="321"/>
      <c r="AR56" s="258"/>
      <c r="AS56" s="121"/>
      <c r="AT56" s="121"/>
    </row>
    <row r="57" spans="38:46" hidden="1">
      <c r="AL57" s="121"/>
      <c r="AM57" s="121"/>
      <c r="AN57" s="222"/>
      <c r="AO57" s="529"/>
      <c r="AP57" s="255"/>
      <c r="AQ57" s="321"/>
      <c r="AR57" s="258"/>
      <c r="AS57" s="121"/>
      <c r="AT57" s="121"/>
    </row>
    <row r="58" spans="38:46" hidden="1">
      <c r="AL58" s="121"/>
      <c r="AM58" s="121"/>
      <c r="AN58" s="222"/>
      <c r="AO58" s="529"/>
      <c r="AP58" s="255"/>
      <c r="AQ58" s="321"/>
      <c r="AR58" s="258"/>
      <c r="AS58" s="121"/>
      <c r="AT58" s="121"/>
    </row>
    <row r="59" spans="38:46">
      <c r="AL59" s="121"/>
      <c r="AM59" s="121"/>
      <c r="AN59" s="222" t="s">
        <v>2832</v>
      </c>
      <c r="AO59" s="533" t="s">
        <v>1832</v>
      </c>
      <c r="AP59" s="257">
        <f>SUMIF(AQ$14:AR$14,AP$14,AQ59:AR59)</f>
        <v>0</v>
      </c>
      <c r="AQ59" s="321"/>
      <c r="AR59" s="258"/>
      <c r="AS59" s="121"/>
      <c r="AT59" s="121"/>
    </row>
    <row r="60" spans="38:46" hidden="1">
      <c r="AL60" s="121"/>
      <c r="AM60" s="121"/>
      <c r="AN60" s="222"/>
      <c r="AO60" s="529"/>
      <c r="AP60" s="255"/>
      <c r="AQ60" s="321"/>
      <c r="AR60" s="258"/>
      <c r="AS60" s="121"/>
      <c r="AT60" s="121"/>
    </row>
    <row r="61" spans="38:46" hidden="1">
      <c r="AL61" s="121"/>
      <c r="AM61" s="121"/>
      <c r="AN61" s="222"/>
      <c r="AO61" s="529"/>
      <c r="AP61" s="260"/>
      <c r="AQ61" s="321"/>
      <c r="AR61" s="258"/>
      <c r="AS61" s="121"/>
      <c r="AT61" s="121"/>
    </row>
    <row r="62" spans="38:46" hidden="1">
      <c r="AL62" s="121"/>
      <c r="AM62" s="121"/>
      <c r="AN62" s="222"/>
      <c r="AO62" s="563"/>
      <c r="AP62" s="260"/>
      <c r="AQ62" s="321"/>
      <c r="AR62" s="258"/>
      <c r="AS62" s="121"/>
      <c r="AT62" s="121"/>
    </row>
    <row r="63" spans="38:46" hidden="1">
      <c r="AL63" s="121"/>
      <c r="AM63" s="121"/>
      <c r="AN63" s="222"/>
      <c r="AO63" s="563"/>
      <c r="AP63" s="260"/>
      <c r="AQ63" s="321"/>
      <c r="AR63" s="258"/>
      <c r="AS63" s="121"/>
      <c r="AT63" s="121"/>
    </row>
    <row r="64" spans="38:46" hidden="1">
      <c r="AL64" s="121"/>
      <c r="AM64" s="121"/>
      <c r="AN64" s="222"/>
      <c r="AO64" s="563"/>
      <c r="AP64" s="260"/>
      <c r="AQ64" s="321"/>
      <c r="AR64" s="258"/>
      <c r="AS64" s="121"/>
      <c r="AT64" s="121"/>
    </row>
    <row r="65" spans="38:46">
      <c r="AL65" s="121"/>
      <c r="AM65" s="121"/>
      <c r="AN65" s="222" t="s">
        <v>2835</v>
      </c>
      <c r="AO65" s="533" t="s">
        <v>1838</v>
      </c>
      <c r="AP65" s="257">
        <f>SUMIF(AQ$14:AR$14,AP$14,AQ65:AR65)</f>
        <v>0</v>
      </c>
      <c r="AQ65" s="321"/>
      <c r="AR65" s="258"/>
      <c r="AS65" s="121"/>
      <c r="AT65" s="121"/>
    </row>
    <row r="66" spans="38:46" hidden="1">
      <c r="AL66" s="121"/>
      <c r="AM66" s="121"/>
      <c r="AN66" s="222"/>
      <c r="AO66" s="529"/>
      <c r="AP66" s="255"/>
      <c r="AQ66" s="321"/>
      <c r="AR66" s="258"/>
      <c r="AS66" s="121"/>
      <c r="AT66" s="121"/>
    </row>
    <row r="67" spans="38:46" hidden="1">
      <c r="AL67" s="121"/>
      <c r="AM67" s="121"/>
      <c r="AN67" s="222"/>
      <c r="AO67" s="529"/>
      <c r="AP67" s="255"/>
      <c r="AQ67" s="321"/>
      <c r="AR67" s="258"/>
      <c r="AS67" s="121"/>
      <c r="AT67" s="121"/>
    </row>
    <row r="68" spans="38:46" hidden="1">
      <c r="AL68" s="121"/>
      <c r="AM68" s="121"/>
      <c r="AN68" s="222"/>
      <c r="AO68" s="529"/>
      <c r="AP68" s="255"/>
      <c r="AQ68" s="321"/>
      <c r="AR68" s="258"/>
      <c r="AS68" s="121"/>
      <c r="AT68" s="121"/>
    </row>
    <row r="69" spans="38:46" hidden="1">
      <c r="AL69" s="121"/>
      <c r="AM69" s="121"/>
      <c r="AN69" s="222"/>
      <c r="AO69" s="529"/>
      <c r="AP69" s="255"/>
      <c r="AQ69" s="321"/>
      <c r="AR69" s="258"/>
      <c r="AS69" s="121"/>
      <c r="AT69" s="121"/>
    </row>
    <row r="70" spans="38:46" hidden="1">
      <c r="AL70" s="121"/>
      <c r="AM70" s="121"/>
      <c r="AN70" s="222"/>
      <c r="AO70" s="529"/>
      <c r="AP70" s="255"/>
      <c r="AQ70" s="321"/>
      <c r="AR70" s="258"/>
      <c r="AS70" s="121"/>
      <c r="AT70" s="121"/>
    </row>
    <row r="71" spans="38:46">
      <c r="AL71" s="121"/>
      <c r="AM71" s="121"/>
      <c r="AN71" s="222" t="s">
        <v>2838</v>
      </c>
      <c r="AO71" s="533" t="s">
        <v>1843</v>
      </c>
      <c r="AP71" s="257">
        <f>SUMIF(AQ$14:AR$14,AP$14,AQ71:AR71)</f>
        <v>0</v>
      </c>
      <c r="AQ71" s="321"/>
      <c r="AR71" s="258"/>
      <c r="AS71" s="121"/>
      <c r="AT71" s="121"/>
    </row>
    <row r="72" spans="38:46" hidden="1">
      <c r="AL72" s="121"/>
      <c r="AM72" s="121"/>
      <c r="AN72" s="222"/>
      <c r="AO72" s="529"/>
      <c r="AP72" s="255"/>
      <c r="AQ72" s="321"/>
      <c r="AR72" s="258"/>
      <c r="AS72" s="121"/>
      <c r="AT72" s="121"/>
    </row>
    <row r="73" spans="38:46" hidden="1">
      <c r="AL73" s="121"/>
      <c r="AM73" s="121"/>
      <c r="AN73" s="222"/>
      <c r="AO73" s="529"/>
      <c r="AP73" s="255"/>
      <c r="AQ73" s="321"/>
      <c r="AR73" s="258"/>
      <c r="AS73" s="121"/>
      <c r="AT73" s="121"/>
    </row>
    <row r="74" spans="38:46">
      <c r="AL74" s="121"/>
      <c r="AM74" s="121"/>
      <c r="AN74" s="222" t="s">
        <v>2841</v>
      </c>
      <c r="AO74" s="533" t="s">
        <v>1849</v>
      </c>
      <c r="AP74" s="257">
        <f>SUMIF(AQ$14:AR$14,AP$14,AQ74:AR74)</f>
        <v>0</v>
      </c>
      <c r="AQ74" s="321"/>
      <c r="AR74" s="258"/>
      <c r="AS74" s="121"/>
      <c r="AT74" s="121"/>
    </row>
    <row r="75" spans="38:46" hidden="1">
      <c r="AL75" s="121"/>
      <c r="AM75" s="121"/>
      <c r="AN75" s="222"/>
      <c r="AO75" s="529"/>
      <c r="AP75" s="255"/>
      <c r="AQ75" s="321"/>
      <c r="AR75" s="258"/>
      <c r="AS75" s="121"/>
      <c r="AT75" s="121"/>
    </row>
    <row r="76" spans="38:46" hidden="1">
      <c r="AL76" s="121"/>
      <c r="AM76" s="121"/>
      <c r="AN76" s="222"/>
      <c r="AO76" s="529"/>
      <c r="AP76" s="255"/>
      <c r="AQ76" s="321"/>
      <c r="AR76" s="258"/>
      <c r="AS76" s="121"/>
      <c r="AT76" s="121"/>
    </row>
    <row r="77" spans="38:46" ht="22.5">
      <c r="AL77" s="121"/>
      <c r="AM77" s="121"/>
      <c r="AN77" s="222" t="s">
        <v>2844</v>
      </c>
      <c r="AO77" s="533" t="s">
        <v>1856</v>
      </c>
      <c r="AP77" s="257">
        <f>SUMIF(AQ$14:AR$14,AP$14,AQ77:AR77)</f>
        <v>0</v>
      </c>
      <c r="AQ77" s="321"/>
      <c r="AR77" s="258"/>
      <c r="AS77" s="121"/>
      <c r="AT77" s="121"/>
    </row>
    <row r="78" spans="38:46" hidden="1">
      <c r="AL78" s="121"/>
      <c r="AM78" s="121"/>
      <c r="AN78" s="222"/>
      <c r="AO78" s="529"/>
      <c r="AP78" s="255"/>
      <c r="AQ78" s="321"/>
      <c r="AR78" s="258"/>
      <c r="AS78" s="121"/>
      <c r="AT78" s="121"/>
    </row>
    <row r="79" spans="38:46" hidden="1">
      <c r="AL79" s="121"/>
      <c r="AM79" s="121"/>
      <c r="AN79" s="222"/>
      <c r="AO79" s="529"/>
      <c r="AP79" s="255"/>
      <c r="AQ79" s="321"/>
      <c r="AR79" s="258"/>
      <c r="AS79" s="121"/>
      <c r="AT79" s="121"/>
    </row>
    <row r="80" spans="38:46">
      <c r="AL80" s="121"/>
      <c r="AM80" s="121"/>
      <c r="AN80" s="504" t="s">
        <v>2847</v>
      </c>
      <c r="AO80" s="535" t="s">
        <v>2848</v>
      </c>
      <c r="AP80" s="257">
        <f t="shared" ref="AP80:AP85" si="1">SUMIF(AQ$14:AR$14,AP$14,AQ80:AR80)</f>
        <v>0</v>
      </c>
      <c r="AQ80" s="321"/>
      <c r="AR80" s="258"/>
      <c r="AS80" s="121"/>
      <c r="AT80" s="121"/>
    </row>
    <row r="81" spans="38:46" ht="22.5">
      <c r="AL81" s="121"/>
      <c r="AM81" s="121"/>
      <c r="AN81" s="504" t="s">
        <v>2849</v>
      </c>
      <c r="AO81" s="533" t="s">
        <v>2415</v>
      </c>
      <c r="AP81" s="257">
        <f t="shared" si="1"/>
        <v>0</v>
      </c>
      <c r="AQ81" s="321"/>
      <c r="AR81" s="258"/>
      <c r="AS81" s="121"/>
      <c r="AT81" s="121"/>
    </row>
    <row r="82" spans="38:46" ht="22.5">
      <c r="AL82" s="121"/>
      <c r="AM82" s="121"/>
      <c r="AN82" s="504" t="s">
        <v>2850</v>
      </c>
      <c r="AO82" s="533" t="s">
        <v>2417</v>
      </c>
      <c r="AP82" s="257">
        <f t="shared" si="1"/>
        <v>0</v>
      </c>
      <c r="AQ82" s="321"/>
      <c r="AR82" s="258"/>
      <c r="AS82" s="121"/>
      <c r="AT82" s="121"/>
    </row>
    <row r="83" spans="38:46" ht="22.5">
      <c r="AL83" s="121"/>
      <c r="AM83" s="121"/>
      <c r="AN83" s="504" t="s">
        <v>2316</v>
      </c>
      <c r="AO83" s="533" t="s">
        <v>2420</v>
      </c>
      <c r="AP83" s="257">
        <f t="shared" si="1"/>
        <v>0</v>
      </c>
      <c r="AQ83" s="321"/>
      <c r="AR83" s="258"/>
      <c r="AS83" s="121"/>
      <c r="AT83" s="121"/>
    </row>
    <row r="84" spans="38:46">
      <c r="AL84" s="121"/>
      <c r="AM84" s="121"/>
      <c r="AN84" s="504" t="s">
        <v>2317</v>
      </c>
      <c r="AO84" s="533" t="s">
        <v>2423</v>
      </c>
      <c r="AP84" s="257">
        <f t="shared" si="1"/>
        <v>0</v>
      </c>
      <c r="AQ84" s="321"/>
      <c r="AR84" s="258"/>
      <c r="AS84" s="121"/>
      <c r="AT84" s="121"/>
    </row>
    <row r="85" spans="38:46" ht="22.5">
      <c r="AL85" s="121"/>
      <c r="AM85" s="121"/>
      <c r="AN85" s="504" t="s">
        <v>2318</v>
      </c>
      <c r="AO85" s="533" t="s">
        <v>2426</v>
      </c>
      <c r="AP85" s="257">
        <f t="shared" si="1"/>
        <v>0</v>
      </c>
      <c r="AQ85" s="321"/>
      <c r="AR85" s="258"/>
      <c r="AS85" s="121"/>
      <c r="AT85" s="121"/>
    </row>
    <row r="86" spans="38:46">
      <c r="AL86" s="121"/>
      <c r="AM86" s="121"/>
      <c r="AN86" s="560" t="str">
        <f>IF(TEMPLATE_SPHERE="водоснабжения","2.9","")</f>
        <v/>
      </c>
      <c r="AO86" s="561" t="str">
        <f>IF(TEMPLATE_SPHERE="водоснабжения","Покупная вода","")</f>
        <v/>
      </c>
      <c r="AP86" s="257" t="str">
        <f>IF(TEMPLATE_SPHERE="водоснабжения",SUMIF(AQ$14:AR$14,AP$14,AQ86:AR86),"")</f>
        <v/>
      </c>
      <c r="AQ86" s="321"/>
      <c r="AR86" s="258"/>
      <c r="AS86" s="121"/>
      <c r="AT86" s="121"/>
    </row>
    <row r="87" spans="38:46" hidden="1">
      <c r="AL87" s="121"/>
      <c r="AM87" s="121"/>
      <c r="AN87" s="222"/>
      <c r="AO87" s="529"/>
      <c r="AP87" s="255"/>
      <c r="AQ87" s="321"/>
      <c r="AR87" s="258"/>
      <c r="AS87" s="121"/>
      <c r="AT87" s="121"/>
    </row>
    <row r="88" spans="38:46" hidden="1">
      <c r="AL88" s="121"/>
      <c r="AM88" s="121"/>
      <c r="AN88" s="222"/>
      <c r="AO88" s="529"/>
      <c r="AP88" s="255"/>
      <c r="AQ88" s="321"/>
      <c r="AR88" s="258"/>
      <c r="AS88" s="121"/>
      <c r="AT88" s="121"/>
    </row>
    <row r="89" spans="38:46" hidden="1">
      <c r="AL89" s="121"/>
      <c r="AM89" s="121"/>
      <c r="AN89" s="222"/>
      <c r="AO89" s="529"/>
      <c r="AP89" s="255"/>
      <c r="AQ89" s="321"/>
      <c r="AR89" s="258"/>
      <c r="AS89" s="121"/>
      <c r="AT89" s="121"/>
    </row>
    <row r="90" spans="38:46" ht="22.5">
      <c r="AL90" s="121"/>
      <c r="AM90" s="121"/>
      <c r="AN90" s="504" t="s">
        <v>2323</v>
      </c>
      <c r="AO90"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AP90" s="257">
        <f t="shared" ref="AP90:AP124" si="2">SUMIF(AQ$14:AR$14,AP$14,AQ90:AR90)</f>
        <v>0</v>
      </c>
      <c r="AQ90" s="321"/>
      <c r="AR90" s="258"/>
      <c r="AS90" s="121"/>
      <c r="AT90" s="121"/>
    </row>
    <row r="91" spans="38:46" ht="22.5">
      <c r="AL91" s="121"/>
      <c r="AM91" s="121"/>
      <c r="AN91" s="504" t="s">
        <v>2324</v>
      </c>
      <c r="AO91"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AP91" s="257">
        <f t="shared" si="2"/>
        <v>0</v>
      </c>
      <c r="AQ91" s="321"/>
      <c r="AR91" s="258"/>
      <c r="AS91" s="121"/>
      <c r="AT91" s="121"/>
    </row>
    <row r="92" spans="38:46" ht="22.5">
      <c r="AL92" s="121"/>
      <c r="AM92" s="121"/>
      <c r="AN92" s="504" t="s">
        <v>2325</v>
      </c>
      <c r="AO92"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AP92" s="257">
        <f t="shared" si="2"/>
        <v>0</v>
      </c>
      <c r="AQ92" s="321"/>
      <c r="AR92" s="258"/>
      <c r="AS92" s="121"/>
      <c r="AT92" s="121"/>
    </row>
    <row r="93" spans="38:46">
      <c r="AL93" s="121"/>
      <c r="AM93" s="121"/>
      <c r="AN93" s="504" t="s">
        <v>2326</v>
      </c>
      <c r="AO93" s="527" t="s">
        <v>2327</v>
      </c>
      <c r="AP93" s="257">
        <f t="shared" si="2"/>
        <v>0</v>
      </c>
      <c r="AQ93" s="321"/>
      <c r="AR93" s="258"/>
      <c r="AS93" s="121"/>
      <c r="AT93" s="121"/>
    </row>
    <row r="94" spans="38:46">
      <c r="AL94" s="121"/>
      <c r="AM94" s="121"/>
      <c r="AN94" s="504" t="s">
        <v>2328</v>
      </c>
      <c r="AO94" s="528" t="s">
        <v>2329</v>
      </c>
      <c r="AP94" s="257">
        <f t="shared" si="2"/>
        <v>0</v>
      </c>
      <c r="AQ94" s="321"/>
      <c r="AR94" s="258"/>
      <c r="AS94" s="121"/>
      <c r="AT94" s="121"/>
    </row>
    <row r="95" spans="38:46">
      <c r="AL95" s="121"/>
      <c r="AM95" s="121"/>
      <c r="AN95" s="504" t="s">
        <v>2330</v>
      </c>
      <c r="AO95" s="528" t="s">
        <v>2331</v>
      </c>
      <c r="AP95" s="257">
        <f t="shared" si="2"/>
        <v>0</v>
      </c>
      <c r="AQ95" s="321"/>
      <c r="AR95" s="258"/>
      <c r="AS95" s="121"/>
      <c r="AT95" s="121"/>
    </row>
    <row r="96" spans="38:46">
      <c r="AL96" s="121"/>
      <c r="AM96" s="121"/>
      <c r="AN96" s="504" t="s">
        <v>2332</v>
      </c>
      <c r="AO96" s="527" t="s">
        <v>2333</v>
      </c>
      <c r="AP96" s="257">
        <f t="shared" si="2"/>
        <v>0</v>
      </c>
      <c r="AQ96" s="321"/>
      <c r="AR96" s="258"/>
      <c r="AS96" s="121"/>
      <c r="AT96" s="121"/>
    </row>
    <row r="97" spans="38:46">
      <c r="AL97" s="121"/>
      <c r="AM97" s="121"/>
      <c r="AN97" s="504" t="s">
        <v>2334</v>
      </c>
      <c r="AO97" s="527" t="s">
        <v>2335</v>
      </c>
      <c r="AP97" s="257">
        <f t="shared" si="2"/>
        <v>0</v>
      </c>
      <c r="AQ97" s="321"/>
      <c r="AR97" s="258"/>
      <c r="AS97" s="121"/>
      <c r="AT97" s="121"/>
    </row>
    <row r="98" spans="38:46" ht="22.5">
      <c r="AL98" s="121"/>
      <c r="AM98" s="121"/>
      <c r="AN98" s="504" t="s">
        <v>2336</v>
      </c>
      <c r="AO98" s="527" t="s">
        <v>2337</v>
      </c>
      <c r="AP98" s="257">
        <f t="shared" si="2"/>
        <v>0</v>
      </c>
      <c r="AQ98" s="321"/>
      <c r="AR98" s="258"/>
      <c r="AS98" s="121"/>
      <c r="AT98" s="121"/>
    </row>
    <row r="99" spans="38:46">
      <c r="AL99" s="121"/>
      <c r="AM99" s="121"/>
      <c r="AN99" s="504" t="s">
        <v>2338</v>
      </c>
      <c r="AO99" s="527" t="s">
        <v>2339</v>
      </c>
      <c r="AP99" s="257">
        <f t="shared" si="2"/>
        <v>0</v>
      </c>
      <c r="AQ99" s="321"/>
      <c r="AR99" s="258"/>
      <c r="AS99" s="121"/>
      <c r="AT99" s="121"/>
    </row>
    <row r="100" spans="38:46">
      <c r="AL100" s="121"/>
      <c r="AM100" s="121"/>
      <c r="AN100" s="504" t="s">
        <v>2340</v>
      </c>
      <c r="AO100" s="528" t="s">
        <v>2341</v>
      </c>
      <c r="AP100" s="257">
        <f t="shared" si="2"/>
        <v>0</v>
      </c>
      <c r="AQ100" s="321"/>
      <c r="AR100" s="258"/>
      <c r="AS100" s="121"/>
      <c r="AT100" s="121"/>
    </row>
    <row r="101" spans="38:46">
      <c r="AL101" s="121"/>
      <c r="AM101" s="121"/>
      <c r="AN101" s="504" t="s">
        <v>2342</v>
      </c>
      <c r="AO101" s="528" t="s">
        <v>2343</v>
      </c>
      <c r="AP101" s="257">
        <f t="shared" si="2"/>
        <v>0</v>
      </c>
      <c r="AQ101" s="321"/>
      <c r="AR101" s="258"/>
      <c r="AS101" s="121"/>
      <c r="AT101" s="121"/>
    </row>
    <row r="102" spans="38:46">
      <c r="AL102" s="121"/>
      <c r="AM102" s="121"/>
      <c r="AN102" s="504" t="s">
        <v>2344</v>
      </c>
      <c r="AO102" s="528" t="s">
        <v>2345</v>
      </c>
      <c r="AP102" s="257">
        <f t="shared" si="2"/>
        <v>0</v>
      </c>
      <c r="AQ102" s="321"/>
      <c r="AR102" s="258"/>
      <c r="AS102" s="121"/>
      <c r="AT102" s="121"/>
    </row>
    <row r="103" spans="38:46">
      <c r="AL103" s="121"/>
      <c r="AM103" s="121"/>
      <c r="AN103" s="504" t="s">
        <v>2346</v>
      </c>
      <c r="AO103" s="528" t="s">
        <v>2347</v>
      </c>
      <c r="AP103" s="257">
        <f t="shared" si="2"/>
        <v>0</v>
      </c>
      <c r="AQ103" s="321"/>
      <c r="AR103" s="258"/>
      <c r="AS103" s="121"/>
      <c r="AT103" s="121"/>
    </row>
    <row r="104" spans="38:46">
      <c r="AL104" s="121"/>
      <c r="AM104" s="121"/>
      <c r="AN104" s="504" t="s">
        <v>2348</v>
      </c>
      <c r="AO104" s="528" t="s">
        <v>2349</v>
      </c>
      <c r="AP104" s="257">
        <f t="shared" si="2"/>
        <v>0</v>
      </c>
      <c r="AQ104" s="321"/>
      <c r="AR104" s="258"/>
      <c r="AS104" s="121"/>
      <c r="AT104" s="121"/>
    </row>
    <row r="105" spans="38:46">
      <c r="AL105" s="121"/>
      <c r="AM105" s="121"/>
      <c r="AN105" s="504" t="s">
        <v>2350</v>
      </c>
      <c r="AO105" s="528" t="s">
        <v>2351</v>
      </c>
      <c r="AP105" s="257">
        <f t="shared" si="2"/>
        <v>0</v>
      </c>
      <c r="AQ105" s="321"/>
      <c r="AR105" s="258"/>
      <c r="AS105" s="121"/>
      <c r="AT105" s="121"/>
    </row>
    <row r="106" spans="38:46">
      <c r="AL106" s="121"/>
      <c r="AM106" s="121"/>
      <c r="AN106" s="504" t="s">
        <v>2352</v>
      </c>
      <c r="AO106" s="528" t="s">
        <v>2353</v>
      </c>
      <c r="AP106" s="257">
        <f t="shared" si="2"/>
        <v>0</v>
      </c>
      <c r="AQ106" s="321"/>
      <c r="AR106" s="258"/>
      <c r="AS106" s="121"/>
      <c r="AT106" s="121"/>
    </row>
    <row r="107" spans="38:46">
      <c r="AL107" s="121"/>
      <c r="AM107" s="121"/>
      <c r="AN107" s="504" t="s">
        <v>2354</v>
      </c>
      <c r="AO107" s="528" t="s">
        <v>2355</v>
      </c>
      <c r="AP107" s="257">
        <f t="shared" si="2"/>
        <v>0</v>
      </c>
      <c r="AQ107" s="321"/>
      <c r="AR107" s="258"/>
      <c r="AS107" s="121"/>
      <c r="AT107" s="121"/>
    </row>
    <row r="108" spans="38:46">
      <c r="AL108" s="121"/>
      <c r="AM108" s="121"/>
      <c r="AN108" s="504" t="s">
        <v>2356</v>
      </c>
      <c r="AO108" s="528" t="s">
        <v>2357</v>
      </c>
      <c r="AP108" s="257">
        <f t="shared" si="2"/>
        <v>0</v>
      </c>
      <c r="AQ108" s="321"/>
      <c r="AR108" s="258"/>
      <c r="AS108" s="121"/>
      <c r="AT108" s="121"/>
    </row>
    <row r="109" spans="38:46" ht="22.5">
      <c r="AL109" s="121"/>
      <c r="AM109" s="121"/>
      <c r="AN109" s="504" t="s">
        <v>2358</v>
      </c>
      <c r="AO109" s="536" t="s">
        <v>2359</v>
      </c>
      <c r="AP109" s="257">
        <f t="shared" si="2"/>
        <v>0</v>
      </c>
      <c r="AQ109" s="321"/>
      <c r="AR109" s="258"/>
      <c r="AS109" s="121"/>
      <c r="AT109" s="121"/>
    </row>
    <row r="110" spans="38:46">
      <c r="AL110" s="121"/>
      <c r="AM110" s="121"/>
      <c r="AN110" s="504" t="s">
        <v>2360</v>
      </c>
      <c r="AO110" s="537" t="s">
        <v>2444</v>
      </c>
      <c r="AP110" s="257">
        <f t="shared" si="2"/>
        <v>0</v>
      </c>
      <c r="AQ110" s="321"/>
      <c r="AR110" s="258"/>
      <c r="AS110" s="121"/>
      <c r="AT110" s="121"/>
    </row>
    <row r="111" spans="38:46">
      <c r="AL111" s="121"/>
      <c r="AM111" s="121"/>
      <c r="AN111" s="504" t="s">
        <v>2361</v>
      </c>
      <c r="AO111" s="537" t="s">
        <v>2362</v>
      </c>
      <c r="AP111" s="257">
        <f t="shared" si="2"/>
        <v>0</v>
      </c>
      <c r="AQ111" s="321"/>
      <c r="AR111" s="258"/>
      <c r="AS111" s="121"/>
      <c r="AT111" s="121"/>
    </row>
    <row r="112" spans="38:46">
      <c r="AL112" s="121"/>
      <c r="AM112" s="121"/>
      <c r="AN112" s="504" t="s">
        <v>2363</v>
      </c>
      <c r="AO112" s="528" t="s">
        <v>872</v>
      </c>
      <c r="AP112" s="257">
        <f t="shared" si="2"/>
        <v>0</v>
      </c>
      <c r="AQ112" s="321"/>
      <c r="AR112" s="258"/>
      <c r="AS112" s="121"/>
      <c r="AT112" s="121"/>
    </row>
    <row r="113" spans="1:46" ht="22.5">
      <c r="AL113" s="121"/>
      <c r="AM113" s="121"/>
      <c r="AN113" s="504" t="s">
        <v>2364</v>
      </c>
      <c r="AO113" s="528" t="s">
        <v>2365</v>
      </c>
      <c r="AP113" s="257">
        <f t="shared" si="2"/>
        <v>0</v>
      </c>
      <c r="AQ113" s="321"/>
      <c r="AR113" s="258"/>
      <c r="AS113" s="121"/>
      <c r="AT113" s="121"/>
    </row>
    <row r="114" spans="1:46">
      <c r="AL114" s="121"/>
      <c r="AM114" s="121"/>
      <c r="AN114" s="504" t="s">
        <v>2366</v>
      </c>
      <c r="AO114" s="528" t="s">
        <v>2367</v>
      </c>
      <c r="AP114" s="257">
        <f t="shared" si="2"/>
        <v>0</v>
      </c>
      <c r="AQ114" s="321"/>
      <c r="AR114" s="258"/>
      <c r="AS114" s="121"/>
      <c r="AT114" s="121"/>
    </row>
    <row r="115" spans="1:46">
      <c r="AL115" s="121"/>
      <c r="AM115" s="121"/>
      <c r="AN115" s="504" t="s">
        <v>752</v>
      </c>
      <c r="AO115" s="723" t="s">
        <v>2726</v>
      </c>
      <c r="AP115" s="257">
        <f t="shared" si="2"/>
        <v>0</v>
      </c>
      <c r="AQ115" s="321"/>
      <c r="AR115" s="258"/>
      <c r="AS115" s="121"/>
      <c r="AT115" s="121"/>
    </row>
    <row r="116" spans="1:46">
      <c r="AL116" s="121"/>
      <c r="AM116" s="121"/>
      <c r="AN116" s="504" t="s">
        <v>760</v>
      </c>
      <c r="AO116" s="527" t="s">
        <v>2368</v>
      </c>
      <c r="AP116" s="257">
        <f t="shared" si="2"/>
        <v>0</v>
      </c>
      <c r="AQ116" s="321"/>
      <c r="AR116" s="258"/>
      <c r="AS116" s="121"/>
      <c r="AT116" s="121"/>
    </row>
    <row r="117" spans="1:46">
      <c r="AL117" s="121"/>
      <c r="AM117" s="121"/>
      <c r="AN117" s="504" t="s">
        <v>917</v>
      </c>
      <c r="AO117" s="528" t="s">
        <v>2369</v>
      </c>
      <c r="AP117" s="257">
        <f t="shared" si="2"/>
        <v>0</v>
      </c>
      <c r="AQ117" s="321"/>
      <c r="AR117" s="258"/>
      <c r="AS117" s="121"/>
      <c r="AT117" s="121"/>
    </row>
    <row r="118" spans="1:46">
      <c r="AL118" s="121"/>
      <c r="AM118" s="121"/>
      <c r="AN118" s="504" t="s">
        <v>761</v>
      </c>
      <c r="AO118" s="527" t="s">
        <v>862</v>
      </c>
      <c r="AP118" s="257">
        <f t="shared" si="2"/>
        <v>0</v>
      </c>
      <c r="AQ118" s="321"/>
      <c r="AR118" s="258"/>
      <c r="AS118" s="121"/>
      <c r="AT118" s="121"/>
    </row>
    <row r="119" spans="1:46">
      <c r="AL119" s="121"/>
      <c r="AM119" s="121"/>
      <c r="AN119" s="504" t="s">
        <v>762</v>
      </c>
      <c r="AO119" s="527" t="s">
        <v>864</v>
      </c>
      <c r="AP119" s="257">
        <f t="shared" si="2"/>
        <v>0</v>
      </c>
      <c r="AQ119" s="321"/>
      <c r="AR119" s="258"/>
      <c r="AS119" s="121"/>
      <c r="AT119" s="121"/>
    </row>
    <row r="120" spans="1:46">
      <c r="AL120" s="121"/>
      <c r="AM120" s="121"/>
      <c r="AN120" s="504" t="s">
        <v>763</v>
      </c>
      <c r="AO120" s="527" t="s">
        <v>866</v>
      </c>
      <c r="AP120" s="257">
        <f t="shared" si="2"/>
        <v>0</v>
      </c>
      <c r="AQ120" s="321"/>
      <c r="AR120" s="258"/>
      <c r="AS120" s="121"/>
      <c r="AT120" s="121"/>
    </row>
    <row r="121" spans="1:46">
      <c r="AL121" s="121"/>
      <c r="AM121" s="121"/>
      <c r="AN121" s="504" t="s">
        <v>764</v>
      </c>
      <c r="AO121" s="527" t="s">
        <v>2370</v>
      </c>
      <c r="AP121" s="257">
        <f t="shared" si="2"/>
        <v>0</v>
      </c>
      <c r="AQ121" s="321"/>
      <c r="AR121" s="258"/>
      <c r="AS121" s="121"/>
      <c r="AT121" s="121"/>
    </row>
    <row r="122" spans="1:46">
      <c r="AL122" s="121"/>
      <c r="AM122" s="121"/>
      <c r="AN122" s="504" t="s">
        <v>2371</v>
      </c>
      <c r="AO122" s="528" t="s">
        <v>2372</v>
      </c>
      <c r="AP122" s="257">
        <f t="shared" si="2"/>
        <v>0</v>
      </c>
      <c r="AQ122" s="321"/>
      <c r="AR122" s="258"/>
      <c r="AS122" s="121"/>
      <c r="AT122" s="121"/>
    </row>
    <row r="123" spans="1:46">
      <c r="AL123" s="121"/>
      <c r="AM123" s="121"/>
      <c r="AN123" s="504" t="s">
        <v>2373</v>
      </c>
      <c r="AO123" s="538" t="s">
        <v>2374</v>
      </c>
      <c r="AP123" s="257">
        <f t="shared" si="2"/>
        <v>0</v>
      </c>
      <c r="AQ123" s="321"/>
      <c r="AR123" s="258"/>
      <c r="AS123" s="121"/>
      <c r="AT123" s="121"/>
    </row>
    <row r="124" spans="1:46">
      <c r="AL124" s="121"/>
      <c r="AM124" s="121"/>
      <c r="AN124" s="504" t="s">
        <v>2375</v>
      </c>
      <c r="AO124" s="528" t="s">
        <v>2376</v>
      </c>
      <c r="AP124" s="257">
        <f t="shared" si="2"/>
        <v>0</v>
      </c>
      <c r="AQ124" s="321"/>
      <c r="AR124" s="258"/>
      <c r="AS124" s="121"/>
      <c r="AT124" s="121"/>
    </row>
    <row r="125" spans="1:46" ht="0.75" customHeight="1">
      <c r="A125" s="47"/>
      <c r="B125" s="47"/>
      <c r="C125" s="47"/>
      <c r="D125" s="47"/>
      <c r="E125" s="47"/>
      <c r="F125" s="47"/>
      <c r="G125" s="47"/>
      <c r="H125" s="47"/>
      <c r="I125" s="47"/>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50"/>
      <c r="AM125" s="126"/>
      <c r="AN125" s="223"/>
      <c r="AO125" s="728"/>
      <c r="AP125" s="260"/>
      <c r="AQ125" s="258"/>
      <c r="AR125" s="258"/>
      <c r="AS125" s="127"/>
    </row>
    <row r="126" spans="1:46" ht="0.75" customHeight="1">
      <c r="A126" s="47"/>
      <c r="B126" s="47"/>
      <c r="C126" s="47"/>
      <c r="D126" s="47"/>
      <c r="E126" s="47"/>
      <c r="F126" s="47"/>
      <c r="G126" s="47"/>
      <c r="H126" s="47"/>
      <c r="I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50"/>
      <c r="AM126" s="126"/>
      <c r="AN126" s="223"/>
      <c r="AO126" s="728"/>
      <c r="AP126" s="260"/>
      <c r="AQ126" s="258"/>
      <c r="AR126" s="258"/>
      <c r="AS126" s="127"/>
    </row>
    <row r="127" spans="1:46" ht="0.75" customHeight="1">
      <c r="A127" s="47"/>
      <c r="B127" s="47"/>
      <c r="C127" s="47"/>
      <c r="D127" s="47"/>
      <c r="E127" s="47"/>
      <c r="F127" s="47"/>
      <c r="G127" s="47"/>
      <c r="H127" s="47"/>
      <c r="I127" s="4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50"/>
      <c r="AM127" s="126"/>
      <c r="AN127" s="223"/>
      <c r="AO127" s="728"/>
      <c r="AP127" s="260"/>
      <c r="AQ127" s="258"/>
      <c r="AR127" s="258"/>
      <c r="AS127" s="127"/>
    </row>
    <row r="128" spans="1:46" ht="0.75" customHeight="1">
      <c r="A128" s="47"/>
      <c r="B128" s="47"/>
      <c r="C128" s="47"/>
      <c r="D128" s="47"/>
      <c r="E128" s="47"/>
      <c r="F128" s="47"/>
      <c r="G128" s="47"/>
      <c r="H128" s="47"/>
      <c r="I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50"/>
      <c r="AM128" s="126"/>
      <c r="AN128" s="223"/>
      <c r="AO128" s="728"/>
      <c r="AP128" s="260"/>
      <c r="AQ128" s="258"/>
      <c r="AR128" s="258"/>
      <c r="AS128" s="127"/>
    </row>
    <row r="129" spans="1:46" ht="0.75" customHeight="1">
      <c r="A129" s="47"/>
      <c r="B129" s="47"/>
      <c r="C129" s="47"/>
      <c r="D129" s="47"/>
      <c r="E129" s="47"/>
      <c r="F129" s="47"/>
      <c r="G129" s="47"/>
      <c r="H129" s="47"/>
      <c r="I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50"/>
      <c r="AM129" s="126"/>
      <c r="AN129" s="223"/>
      <c r="AO129" s="728"/>
      <c r="AP129" s="260"/>
      <c r="AQ129" s="258"/>
      <c r="AR129" s="258"/>
      <c r="AS129" s="127"/>
    </row>
    <row r="130" spans="1:46" ht="0.75" customHeight="1">
      <c r="A130" s="47"/>
      <c r="B130" s="47"/>
      <c r="C130" s="47"/>
      <c r="D130" s="47"/>
      <c r="E130" s="47"/>
      <c r="F130" s="47"/>
      <c r="G130" s="47"/>
      <c r="H130" s="47"/>
      <c r="I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50"/>
      <c r="AM130" s="126"/>
      <c r="AN130" s="223"/>
      <c r="AO130" s="728"/>
      <c r="AP130" s="260"/>
      <c r="AQ130" s="258"/>
      <c r="AR130" s="258"/>
      <c r="AS130" s="127"/>
    </row>
    <row r="131" spans="1:46">
      <c r="AL131" s="121"/>
      <c r="AM131" s="121"/>
      <c r="AN131" s="725" t="s">
        <v>3072</v>
      </c>
      <c r="AO131" s="724" t="s">
        <v>2727</v>
      </c>
      <c r="AP131" s="257">
        <f>SUMIF(AQ$14:AR$14,AP$14,AQ131:AR131)</f>
        <v>0</v>
      </c>
      <c r="AQ131" s="321"/>
      <c r="AR131" s="258"/>
      <c r="AS131" s="121"/>
      <c r="AT131" s="121"/>
    </row>
    <row r="132" spans="1:46" ht="22.5">
      <c r="AL132" s="121"/>
      <c r="AM132" s="121"/>
      <c r="AN132" s="504" t="s">
        <v>2427</v>
      </c>
      <c r="AO132" s="723" t="s">
        <v>2616</v>
      </c>
      <c r="AP132" s="257">
        <f>SUMIF(AQ$14:AR$14,AP$14,AQ132:AR132)</f>
        <v>0</v>
      </c>
      <c r="AQ132" s="321"/>
      <c r="AR132" s="258"/>
      <c r="AS132" s="121"/>
      <c r="AT132" s="121"/>
    </row>
    <row r="133" spans="1:46" ht="0.75" customHeight="1">
      <c r="AL133" s="121"/>
      <c r="AM133" s="121"/>
      <c r="AN133" s="504"/>
      <c r="AO133" s="526"/>
      <c r="AP133" s="526"/>
      <c r="AQ133" s="321"/>
      <c r="AR133" s="258"/>
      <c r="AS133" s="121"/>
      <c r="AT133" s="121"/>
    </row>
    <row r="134" spans="1:46" ht="0.75" customHeight="1">
      <c r="AL134" s="121"/>
      <c r="AM134" s="121"/>
      <c r="AN134" s="504"/>
      <c r="AO134" s="526"/>
      <c r="AP134" s="526"/>
      <c r="AQ134" s="321"/>
      <c r="AR134" s="258"/>
      <c r="AS134" s="121"/>
      <c r="AT134" s="121"/>
    </row>
    <row r="135" spans="1:46" ht="0.75" customHeight="1">
      <c r="AL135" s="121"/>
      <c r="AM135" s="121"/>
      <c r="AN135" s="504"/>
      <c r="AO135" s="526"/>
      <c r="AP135" s="526"/>
      <c r="AQ135" s="321"/>
      <c r="AR135" s="258"/>
      <c r="AS135" s="121"/>
      <c r="AT135" s="121"/>
    </row>
    <row r="136" spans="1:46" ht="0.75" customHeight="1">
      <c r="AL136" s="121"/>
      <c r="AM136" s="121"/>
      <c r="AN136" s="504"/>
      <c r="AO136" s="526"/>
      <c r="AP136" s="526"/>
      <c r="AQ136" s="321"/>
      <c r="AR136" s="258"/>
      <c r="AS136" s="121"/>
      <c r="AT136" s="121"/>
    </row>
    <row r="137" spans="1:46" ht="0.75" customHeight="1">
      <c r="AL137" s="121"/>
      <c r="AM137" s="121"/>
      <c r="AN137" s="504"/>
      <c r="AO137" s="526"/>
      <c r="AP137" s="526"/>
      <c r="AQ137" s="321"/>
      <c r="AR137" s="258"/>
      <c r="AS137" s="121"/>
      <c r="AT137" s="121"/>
    </row>
    <row r="138" spans="1:46" ht="0.75" customHeight="1">
      <c r="AL138" s="121"/>
      <c r="AM138" s="121"/>
      <c r="AN138" s="504"/>
      <c r="AO138" s="526"/>
      <c r="AP138" s="526"/>
      <c r="AQ138" s="321"/>
      <c r="AR138" s="258"/>
      <c r="AS138" s="121"/>
      <c r="AT138" s="121"/>
    </row>
    <row r="139" spans="1:46" ht="0.75" customHeight="1">
      <c r="AL139" s="121"/>
      <c r="AM139" s="121"/>
      <c r="AN139" s="504"/>
      <c r="AO139" s="526"/>
      <c r="AP139" s="526"/>
      <c r="AQ139" s="321"/>
      <c r="AR139" s="258"/>
      <c r="AS139" s="121"/>
      <c r="AT139" s="121"/>
    </row>
    <row r="140" spans="1:46" ht="0.75" customHeight="1">
      <c r="AL140" s="121"/>
      <c r="AM140" s="121"/>
      <c r="AN140" s="504"/>
      <c r="AO140" s="526"/>
      <c r="AP140" s="526"/>
      <c r="AQ140" s="321"/>
      <c r="AR140" s="258"/>
      <c r="AS140" s="121"/>
      <c r="AT140" s="121"/>
    </row>
    <row r="141" spans="1:46" ht="0.75" customHeight="1">
      <c r="AL141" s="121"/>
      <c r="AM141" s="121"/>
      <c r="AN141" s="504"/>
      <c r="AO141" s="526"/>
      <c r="AP141" s="526"/>
      <c r="AQ141" s="321"/>
      <c r="AR141" s="258"/>
      <c r="AS141" s="121"/>
      <c r="AT141" s="121"/>
    </row>
    <row r="142" spans="1:46" ht="0.75" customHeight="1">
      <c r="AL142" s="121"/>
      <c r="AM142" s="121"/>
      <c r="AN142" s="504"/>
      <c r="AO142" s="526"/>
      <c r="AP142" s="526"/>
      <c r="AQ142" s="321"/>
      <c r="AR142" s="258"/>
      <c r="AS142" s="121"/>
      <c r="AT142" s="121"/>
    </row>
    <row r="143" spans="1:46" ht="0.75" customHeight="1">
      <c r="AL143" s="121"/>
      <c r="AM143" s="121"/>
      <c r="AN143" s="504"/>
      <c r="AO143" s="526"/>
      <c r="AP143" s="526"/>
      <c r="AQ143" s="321"/>
      <c r="AR143" s="258"/>
      <c r="AS143" s="121"/>
      <c r="AT143" s="121"/>
    </row>
    <row r="144" spans="1:46" ht="0.75" customHeight="1">
      <c r="AL144" s="121"/>
      <c r="AM144" s="121"/>
      <c r="AN144" s="559"/>
      <c r="AO144" s="604"/>
      <c r="AP144" s="526"/>
      <c r="AQ144" s="321"/>
      <c r="AR144" s="258"/>
      <c r="AS144" s="121"/>
      <c r="AT144" s="121"/>
    </row>
    <row r="145" spans="1:46" s="121" customFormat="1" ht="0.75" customHeight="1">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N145" s="504"/>
      <c r="AO145" s="526"/>
      <c r="AP145" s="526"/>
      <c r="AQ145" s="321"/>
      <c r="AR145" s="258"/>
    </row>
    <row r="146" spans="1:46" s="121" customFormat="1" hidden="1">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N146" s="222"/>
      <c r="AO146" s="540"/>
      <c r="AP146" s="285"/>
      <c r="AQ146" s="321"/>
      <c r="AR146" s="258"/>
    </row>
    <row r="147" spans="1:46" s="121" customFormat="1" hidden="1">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N147" s="222"/>
      <c r="AO147" s="540"/>
      <c r="AP147" s="285"/>
      <c r="AQ147" s="321"/>
      <c r="AR147" s="258"/>
    </row>
    <row r="148" spans="1:46" s="121" customFormat="1" hidden="1">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N148" s="222"/>
      <c r="AO148" s="541"/>
      <c r="AP148" s="285"/>
      <c r="AQ148" s="321"/>
      <c r="AR148" s="258"/>
    </row>
    <row r="149" spans="1:46" hidden="1">
      <c r="AL149" s="121"/>
      <c r="AM149" s="121"/>
      <c r="AN149" s="222"/>
      <c r="AO149" s="502"/>
      <c r="AP149" s="285"/>
      <c r="AQ149" s="321"/>
      <c r="AR149" s="258"/>
      <c r="AS149" s="121"/>
      <c r="AT149" s="121"/>
    </row>
    <row r="150" spans="1:46" hidden="1">
      <c r="AL150" s="121"/>
      <c r="AM150" s="121"/>
      <c r="AN150" s="222"/>
      <c r="AO150" s="502"/>
      <c r="AP150" s="285"/>
      <c r="AQ150" s="321"/>
      <c r="AR150" s="258"/>
      <c r="AS150" s="121"/>
      <c r="AT150" s="121"/>
    </row>
    <row r="151" spans="1:46" s="121" customFormat="1" hidden="1">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N151" s="222"/>
      <c r="AO151" s="540"/>
      <c r="AP151" s="285"/>
      <c r="AQ151" s="321"/>
      <c r="AR151" s="258"/>
    </row>
    <row r="152" spans="1:46" s="121" customFormat="1" hidden="1">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N152" s="222"/>
      <c r="AO152" s="502"/>
      <c r="AP152" s="285"/>
      <c r="AQ152" s="321"/>
      <c r="AR152" s="258"/>
    </row>
    <row r="153" spans="1:46" s="121" customFormat="1" hidden="1">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N153" s="222"/>
      <c r="AO153" s="502"/>
      <c r="AP153" s="285"/>
      <c r="AQ153" s="321"/>
      <c r="AR153" s="258"/>
    </row>
    <row r="154" spans="1:46" s="121" customFormat="1" hidden="1">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N154" s="222"/>
      <c r="AO154" s="540"/>
      <c r="AP154" s="285"/>
      <c r="AQ154" s="321"/>
      <c r="AR154" s="258"/>
    </row>
    <row r="155" spans="1:46" s="121" customFormat="1" hidden="1">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N155" s="222"/>
      <c r="AO155" s="502"/>
      <c r="AP155" s="285"/>
      <c r="AQ155" s="321"/>
      <c r="AR155" s="258"/>
    </row>
    <row r="156" spans="1:46" s="121" customFormat="1" hidden="1">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N156" s="222"/>
      <c r="AO156" s="502"/>
      <c r="AP156" s="285"/>
      <c r="AQ156" s="321"/>
      <c r="AR156" s="258"/>
    </row>
    <row r="157" spans="1:46" hidden="1">
      <c r="AL157" s="121"/>
      <c r="AM157" s="121"/>
      <c r="AN157" s="222"/>
      <c r="AO157" s="540"/>
      <c r="AP157" s="285"/>
      <c r="AQ157" s="321"/>
      <c r="AR157" s="258"/>
      <c r="AS157" s="121"/>
      <c r="AT157" s="121"/>
    </row>
    <row r="158" spans="1:46" s="121" customFormat="1" hidden="1">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N158" s="222"/>
      <c r="AO158" s="502"/>
      <c r="AP158" s="285"/>
      <c r="AQ158" s="321"/>
      <c r="AR158" s="258"/>
    </row>
    <row r="159" spans="1:46" s="121" customFormat="1" hidden="1">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N159" s="222"/>
      <c r="AO159" s="502"/>
      <c r="AP159" s="285"/>
      <c r="AQ159" s="321"/>
      <c r="AR159" s="258"/>
    </row>
    <row r="160" spans="1:46" s="121" customFormat="1" hidden="1">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N160" s="222"/>
      <c r="AO160" s="502"/>
      <c r="AP160" s="285"/>
      <c r="AQ160" s="321"/>
      <c r="AR160" s="258"/>
    </row>
    <row r="161" spans="1:47" s="121" customFormat="1">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N161" s="436" t="s">
        <v>857</v>
      </c>
      <c r="AO161" s="235" t="s">
        <v>395</v>
      </c>
      <c r="AP161" s="565">
        <f>SUMIF(AQ$14:AR$14,AP$14,AQ161:AR161)</f>
        <v>0</v>
      </c>
      <c r="AQ161" s="321"/>
      <c r="AR161" s="258"/>
    </row>
    <row r="162" spans="1:47" s="121" customFormat="1">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N162" s="436" t="s">
        <v>860</v>
      </c>
      <c r="AO162" s="571" t="str">
        <f>IF(TEMPLATE_CLAIM="U","Полезный отпуск продукции 01.07 - 31.08 всего (тыс. куб.м)","Полезный отпуск продукции 01.07 - 31.12 всего (тыс. куб.м)")</f>
        <v>Полезный отпуск продукции 01.07 - 31.08 всего (тыс. куб.м)</v>
      </c>
      <c r="AP162" s="565">
        <f>SUMIF(AQ$14:AR$14,AP$14,AQ162:AR162)</f>
        <v>0</v>
      </c>
      <c r="AQ162" s="321"/>
      <c r="AR162" s="258"/>
    </row>
    <row r="163" spans="1:47" s="121" customFormat="1">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N163" s="496" t="str">
        <f>IF(TEMPLATE_CLAIM="U","15.3","")</f>
        <v>15.3</v>
      </c>
      <c r="AO163" s="571" t="str">
        <f>IF(TEMPLATE_CLAIM="U","Полезный отпуск продукции 01.09 - 31.12 всего (тыс. куб.м)","")</f>
        <v>Полезный отпуск продукции 01.09 - 31.12 всего (тыс. куб.м)</v>
      </c>
      <c r="AP163" s="565">
        <f>IF(TEMPLATE_CLAIM="U",SUMIF(AQ$14:AR$14,AP$14,AQ163:AR163),"")</f>
        <v>0</v>
      </c>
      <c r="AQ163" s="321"/>
      <c r="AR163" s="258"/>
    </row>
    <row r="164" spans="1:47" ht="0.75" customHeight="1">
      <c r="A164" s="121"/>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223"/>
      <c r="AO164" s="216"/>
      <c r="AP164" s="543"/>
      <c r="AQ164" s="523"/>
      <c r="AR164" s="265"/>
      <c r="AS164" s="121"/>
      <c r="AT164" s="121"/>
    </row>
    <row r="165" spans="1:47" s="54" customFormat="1">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M165" s="55"/>
      <c r="AN165" s="56"/>
      <c r="AQ165" s="121"/>
      <c r="AR165" s="48"/>
      <c r="AS165" s="121"/>
      <c r="AT165" s="121"/>
    </row>
    <row r="166" spans="1:47">
      <c r="AS166" s="121"/>
      <c r="AT166" s="121"/>
      <c r="AU166" s="54"/>
    </row>
  </sheetData>
  <sheetProtection password="FA9C" sheet="1" objects="1" scenarios="1" formatColumns="0" formatRows="0"/>
  <mergeCells count="4">
    <mergeCell ref="AN9:AP9"/>
    <mergeCell ref="AN11:AN12"/>
    <mergeCell ref="AO11:AO12"/>
    <mergeCell ref="AP11:AP12"/>
  </mergeCells>
  <phoneticPr fontId="8"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sheetPr codeName="VSNA_ConR_PERIOD1">
    <tabColor rgb="FF7030A0"/>
    <outlinePr summaryBelow="0"/>
  </sheetPr>
  <dimension ref="A1:AT167"/>
  <sheetViews>
    <sheetView showGridLines="0" topLeftCell="AL8" workbookViewId="0"/>
  </sheetViews>
  <sheetFormatPr defaultColWidth="8.7109375" defaultRowHeight="11.25"/>
  <cols>
    <col min="1" max="37" width="2.7109375" style="121"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4" width="0.140625" style="47" customWidth="1"/>
    <col min="45" max="46" width="2.7109375" style="47" customWidth="1"/>
    <col min="47" max="16384" width="8.7109375" style="47"/>
  </cols>
  <sheetData>
    <row r="1" spans="1:46" ht="12" hidden="1" customHeight="1">
      <c r="A1" s="47"/>
      <c r="B1" s="47"/>
      <c r="C1" s="47"/>
      <c r="D1" s="47"/>
      <c r="E1" s="47"/>
      <c r="F1" s="47"/>
      <c r="G1" s="47"/>
      <c r="H1" s="47"/>
      <c r="I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row>
    <row r="2" spans="1:46" ht="12" hidden="1" customHeight="1">
      <c r="A2" s="47"/>
      <c r="B2" s="47"/>
      <c r="C2" s="47"/>
      <c r="D2" s="47"/>
      <c r="E2" s="47"/>
      <c r="F2" s="47"/>
      <c r="G2" s="47"/>
      <c r="H2" s="47"/>
      <c r="I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row>
    <row r="3" spans="1:46" ht="12" hidden="1" customHeight="1">
      <c r="A3" s="47"/>
      <c r="B3" s="47"/>
      <c r="C3" s="47"/>
      <c r="D3" s="47"/>
      <c r="E3" s="47"/>
      <c r="F3" s="47"/>
      <c r="G3" s="47"/>
      <c r="H3" s="47"/>
      <c r="I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row>
    <row r="4" spans="1:46" ht="12" hidden="1" customHeight="1">
      <c r="A4" s="47"/>
      <c r="B4" s="47"/>
      <c r="C4" s="47"/>
      <c r="D4" s="47"/>
      <c r="E4" s="47"/>
      <c r="F4" s="47"/>
      <c r="G4" s="47"/>
      <c r="H4" s="47"/>
      <c r="I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row>
    <row r="5" spans="1:46" ht="12" hidden="1" customHeight="1">
      <c r="A5" s="47"/>
      <c r="B5" s="47"/>
      <c r="C5" s="47"/>
      <c r="D5" s="47"/>
      <c r="E5" s="47"/>
      <c r="F5" s="47"/>
      <c r="G5" s="47"/>
      <c r="H5" s="47"/>
      <c r="I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row>
    <row r="6" spans="1:46" ht="12" hidden="1" customHeight="1">
      <c r="A6" s="47"/>
      <c r="B6" s="47"/>
      <c r="C6" s="47"/>
      <c r="D6" s="47"/>
      <c r="E6" s="47"/>
      <c r="F6" s="47"/>
      <c r="G6" s="47"/>
      <c r="H6" s="47"/>
      <c r="I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row>
    <row r="7" spans="1:46" ht="12" hidden="1" customHeight="1">
      <c r="A7" s="47"/>
      <c r="B7" s="47"/>
      <c r="C7" s="47"/>
      <c r="D7" s="47"/>
      <c r="E7" s="47"/>
      <c r="F7" s="47"/>
      <c r="G7" s="47"/>
      <c r="H7" s="47"/>
      <c r="I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row>
    <row r="8" spans="1:46" s="520" customFormat="1" ht="11.25" customHeight="1">
      <c r="J8" s="521"/>
      <c r="AM8" s="522"/>
      <c r="AN8" s="637">
        <f>IF(TARIFF_SETUP_METHOD_CODE="BY_PSEUDO_YEARS",12,6)</f>
        <v>6</v>
      </c>
      <c r="AO8" s="431" t="str">
        <f>"Необходимо указывать " &amp; IF(TARIFF_SETUP_METHOD_CODE="BY_PSEUDO_YEARS","общегодовые значения","значения по периодам")</f>
        <v>Необходимо указывать значения по периодам</v>
      </c>
      <c r="AP8" s="616" t="s">
        <v>785</v>
      </c>
      <c r="AQ8" s="522"/>
      <c r="AR8" s="522"/>
      <c r="AS8" s="522"/>
    </row>
    <row r="9" spans="1:46"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на реализацию " &amp; RESOURCE_IDENTIFIER &amp; " конечным потребителям по муниципальному образованию - " &amp; IF(mo="","Не определено",mo)</f>
        <v>Фактические расходы организаций водоотведения на реализацию стоков конечным потребителям по муниципальному образованию - Село Булава</v>
      </c>
      <c r="AO9" s="917"/>
      <c r="AP9" s="917"/>
      <c r="AQ9" s="201"/>
      <c r="AR9" s="122"/>
      <c r="AS9" s="200"/>
    </row>
    <row r="10" spans="1:46" ht="12" customHeight="1">
      <c r="A10" s="47"/>
      <c r="B10" s="47"/>
      <c r="C10" s="47"/>
      <c r="D10" s="47"/>
      <c r="E10" s="47"/>
      <c r="F10" s="47"/>
      <c r="G10" s="47"/>
      <c r="H10" s="47"/>
      <c r="I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M10" s="124"/>
      <c r="AN10" s="430" t="s">
        <v>2489</v>
      </c>
      <c r="AO10" s="221"/>
      <c r="AP10" s="122" t="s">
        <v>786</v>
      </c>
      <c r="AQ10" s="201"/>
      <c r="AR10" s="168" t="s">
        <v>720</v>
      </c>
      <c r="AS10" s="53"/>
    </row>
    <row r="11" spans="1:46" ht="12" customHeight="1">
      <c r="A11" s="47"/>
      <c r="B11" s="47"/>
      <c r="C11" s="47"/>
      <c r="D11" s="47"/>
      <c r="E11" s="47"/>
      <c r="F11" s="47"/>
      <c r="G11" s="47"/>
      <c r="H11" s="47"/>
      <c r="I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50"/>
      <c r="AM11" s="125"/>
      <c r="AN11" s="802" t="s">
        <v>641</v>
      </c>
      <c r="AO11" s="804" t="s">
        <v>787</v>
      </c>
      <c r="AP11" s="806" t="s">
        <v>778</v>
      </c>
      <c r="AQ11" s="206">
        <v>0</v>
      </c>
      <c r="AR11" s="206"/>
      <c r="AS11" s="220"/>
    </row>
    <row r="12" spans="1:46" ht="48" customHeight="1">
      <c r="A12" s="47"/>
      <c r="B12" s="47"/>
      <c r="C12" s="47"/>
      <c r="D12" s="47"/>
      <c r="E12" s="47"/>
      <c r="F12" s="47"/>
      <c r="G12" s="47"/>
      <c r="H12" s="47"/>
      <c r="I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50"/>
      <c r="AM12" s="125"/>
      <c r="AN12" s="803"/>
      <c r="AO12" s="805"/>
      <c r="AP12" s="807"/>
      <c r="AQ12" s="207"/>
      <c r="AR12" s="207"/>
      <c r="AS12" s="121"/>
      <c r="AT12" s="121"/>
    </row>
    <row r="13" spans="1:46">
      <c r="A13" s="47"/>
      <c r="B13" s="47"/>
      <c r="C13" s="47"/>
      <c r="D13" s="47"/>
      <c r="E13" s="47"/>
      <c r="F13" s="47"/>
      <c r="G13" s="47"/>
      <c r="H13" s="47"/>
      <c r="I13" s="47"/>
      <c r="AL13" s="121"/>
      <c r="AM13" s="121"/>
      <c r="AN13" s="222"/>
      <c r="AO13" s="501" t="s">
        <v>788</v>
      </c>
      <c r="AP13" s="542"/>
      <c r="AQ13" s="330"/>
      <c r="AR13" s="207"/>
      <c r="AS13" s="121"/>
      <c r="AT13" s="121"/>
    </row>
    <row r="14" spans="1:46" ht="24" customHeight="1">
      <c r="A14" s="47"/>
      <c r="B14" s="47"/>
      <c r="C14" s="47"/>
      <c r="D14" s="47"/>
      <c r="E14" s="47"/>
      <c r="F14" s="47"/>
      <c r="G14" s="47"/>
      <c r="H14" s="47"/>
      <c r="I14" s="47"/>
      <c r="AL14" s="121"/>
      <c r="AM14" s="121"/>
      <c r="AN14" s="222"/>
      <c r="AO14" s="556" t="str">
        <f>IF(CALC_IDENTIFIER="","",CALC_IDENTIFIER)</f>
        <v/>
      </c>
      <c r="AP14" s="557" t="s">
        <v>745</v>
      </c>
      <c r="AQ14" s="330"/>
      <c r="AR14" s="207"/>
      <c r="AS14" s="121"/>
      <c r="AT14" s="121"/>
    </row>
    <row r="15" spans="1:46" ht="0.75" customHeight="1">
      <c r="AL15" s="121"/>
      <c r="AM15" s="121"/>
      <c r="AN15" s="504"/>
      <c r="AO15" s="566"/>
      <c r="AP15" s="504"/>
      <c r="AQ15" s="321"/>
      <c r="AR15" s="258"/>
      <c r="AS15" s="121"/>
      <c r="AT15" s="121"/>
    </row>
    <row r="16" spans="1:46" ht="0.75" customHeight="1">
      <c r="AL16" s="121"/>
      <c r="AM16" s="121"/>
      <c r="AN16" s="504"/>
      <c r="AO16" s="527"/>
      <c r="AP16" s="504"/>
      <c r="AQ16" s="321"/>
      <c r="AR16" s="258"/>
      <c r="AS16" s="121"/>
      <c r="AT16" s="121"/>
    </row>
    <row r="17" spans="38:46">
      <c r="AL17" s="121"/>
      <c r="AM17" s="121"/>
      <c r="AN17" s="504" t="s">
        <v>751</v>
      </c>
      <c r="AO17" s="526" t="s">
        <v>2814</v>
      </c>
      <c r="AP17" s="257">
        <f>SUMIF(AQ$14:AR$14,AP$14,AQ17:AR17)</f>
        <v>0</v>
      </c>
      <c r="AQ17" s="321"/>
      <c r="AR17" s="258"/>
      <c r="AS17" s="121"/>
      <c r="AT17" s="121"/>
    </row>
    <row r="18" spans="38:46">
      <c r="AL18" s="121"/>
      <c r="AM18" s="121"/>
      <c r="AN18" s="504" t="s">
        <v>66</v>
      </c>
      <c r="AO18" s="527" t="s">
        <v>2815</v>
      </c>
      <c r="AP18" s="257">
        <f>SUMIF(AQ$14:AR$14,AP$14,AQ18:AR18)</f>
        <v>0</v>
      </c>
      <c r="AQ18" s="321"/>
      <c r="AR18" s="258"/>
      <c r="AS18" s="121"/>
      <c r="AT18" s="121"/>
    </row>
    <row r="19" spans="38:46">
      <c r="AL19" s="121"/>
      <c r="AM19" s="121"/>
      <c r="AN19" s="504" t="s">
        <v>632</v>
      </c>
      <c r="AO19" s="528" t="s">
        <v>2816</v>
      </c>
      <c r="AP19" s="257">
        <f>SUMIF(AQ$14:AR$14,AP$14,AQ19:AR19)</f>
        <v>0</v>
      </c>
      <c r="AQ19" s="321"/>
      <c r="AR19" s="258"/>
      <c r="AS19" s="121"/>
      <c r="AT19" s="121"/>
    </row>
    <row r="20" spans="38:46">
      <c r="AL20" s="121"/>
      <c r="AM20" s="121"/>
      <c r="AN20" s="223" t="s">
        <v>2817</v>
      </c>
      <c r="AO20" s="529" t="s">
        <v>2972</v>
      </c>
      <c r="AP20" s="257">
        <f>SUMIF(AQ$14:AR$14,AP$14,AQ20:AR20)</f>
        <v>0</v>
      </c>
      <c r="AQ20" s="321"/>
      <c r="AR20" s="258"/>
      <c r="AS20" s="121"/>
      <c r="AT20" s="121"/>
    </row>
    <row r="21" spans="38:46">
      <c r="AL21" s="121"/>
      <c r="AM21" s="121"/>
      <c r="AN21" s="223" t="s">
        <v>2818</v>
      </c>
      <c r="AO21" s="529" t="s">
        <v>2988</v>
      </c>
      <c r="AP21" s="257">
        <f>SUMIF(AQ$14:AR$14,AP$14,AQ21:AR21)</f>
        <v>0</v>
      </c>
      <c r="AQ21" s="321"/>
      <c r="AR21" s="258"/>
      <c r="AS21" s="121"/>
      <c r="AT21" s="121"/>
    </row>
    <row r="22" spans="38:46" hidden="1">
      <c r="AL22" s="121"/>
      <c r="AM22" s="121"/>
      <c r="AN22" s="223"/>
      <c r="AO22" s="529"/>
      <c r="AP22" s="524"/>
      <c r="AQ22" s="321"/>
      <c r="AR22" s="258"/>
      <c r="AS22" s="121"/>
      <c r="AT22" s="121"/>
    </row>
    <row r="23" spans="38:46" hidden="1">
      <c r="AL23" s="121"/>
      <c r="AM23" s="121"/>
      <c r="AN23" s="524"/>
      <c r="AO23" s="530"/>
      <c r="AP23" s="524"/>
      <c r="AQ23" s="321"/>
      <c r="AR23" s="258"/>
      <c r="AS23" s="121"/>
      <c r="AT23" s="121"/>
    </row>
    <row r="24" spans="38:46" hidden="1">
      <c r="AL24" s="121"/>
      <c r="AM24" s="121"/>
      <c r="AN24" s="524"/>
      <c r="AO24" s="530"/>
      <c r="AP24" s="524"/>
      <c r="AQ24" s="321"/>
      <c r="AR24" s="258"/>
      <c r="AS24" s="121"/>
      <c r="AT24" s="121"/>
    </row>
    <row r="25" spans="38:46" hidden="1">
      <c r="AL25" s="121"/>
      <c r="AM25" s="121"/>
      <c r="AN25" s="223"/>
      <c r="AO25" s="531"/>
      <c r="AP25" s="524"/>
      <c r="AQ25" s="321"/>
      <c r="AR25" s="258"/>
      <c r="AS25" s="121"/>
      <c r="AT25" s="121"/>
    </row>
    <row r="26" spans="38:46" hidden="1">
      <c r="AL26" s="121"/>
      <c r="AM26" s="121"/>
      <c r="AN26" s="524"/>
      <c r="AO26" s="530"/>
      <c r="AP26" s="524"/>
      <c r="AQ26" s="321"/>
      <c r="AR26" s="258"/>
      <c r="AS26" s="121"/>
      <c r="AT26" s="121"/>
    </row>
    <row r="27" spans="38:46" hidden="1">
      <c r="AL27" s="121"/>
      <c r="AM27" s="121"/>
      <c r="AN27" s="524"/>
      <c r="AO27" s="530"/>
      <c r="AP27" s="524"/>
      <c r="AQ27" s="321"/>
      <c r="AR27" s="258"/>
      <c r="AS27" s="121"/>
      <c r="AT27" s="121"/>
    </row>
    <row r="28" spans="38:46" hidden="1">
      <c r="AL28" s="121"/>
      <c r="AM28" s="121"/>
      <c r="AN28" s="223"/>
      <c r="AO28" s="529"/>
      <c r="AP28" s="524"/>
      <c r="AQ28" s="321"/>
      <c r="AR28" s="258"/>
      <c r="AS28" s="121"/>
      <c r="AT28" s="121"/>
    </row>
    <row r="29" spans="38:46" hidden="1">
      <c r="AL29" s="121"/>
      <c r="AM29" s="121"/>
      <c r="AN29" s="524"/>
      <c r="AO29" s="530"/>
      <c r="AP29" s="524"/>
      <c r="AQ29" s="321"/>
      <c r="AR29" s="258"/>
      <c r="AS29" s="121"/>
      <c r="AT29" s="121"/>
    </row>
    <row r="30" spans="38:46" hidden="1">
      <c r="AL30" s="121"/>
      <c r="AM30" s="121"/>
      <c r="AN30" s="524"/>
      <c r="AO30" s="530"/>
      <c r="AP30" s="524"/>
      <c r="AQ30" s="321"/>
      <c r="AR30" s="258"/>
      <c r="AS30" s="121"/>
      <c r="AT30" s="121"/>
    </row>
    <row r="31" spans="38:46" hidden="1">
      <c r="AL31" s="121"/>
      <c r="AM31" s="121"/>
      <c r="AN31" s="223"/>
      <c r="AO31" s="531"/>
      <c r="AP31" s="524"/>
      <c r="AQ31" s="321"/>
      <c r="AR31" s="258"/>
      <c r="AS31" s="121"/>
      <c r="AT31" s="121"/>
    </row>
    <row r="32" spans="38:46" hidden="1">
      <c r="AL32" s="121"/>
      <c r="AM32" s="121"/>
      <c r="AN32" s="524"/>
      <c r="AO32" s="530"/>
      <c r="AP32" s="524"/>
      <c r="AQ32" s="321"/>
      <c r="AR32" s="258"/>
      <c r="AS32" s="121"/>
      <c r="AT32" s="121"/>
    </row>
    <row r="33" spans="38:46" hidden="1">
      <c r="AL33" s="121"/>
      <c r="AM33" s="121"/>
      <c r="AN33" s="524"/>
      <c r="AO33" s="530"/>
      <c r="AP33" s="524"/>
      <c r="AQ33" s="321"/>
      <c r="AR33" s="258"/>
      <c r="AS33" s="121"/>
      <c r="AT33" s="121"/>
    </row>
    <row r="34" spans="38:46" hidden="1">
      <c r="AL34" s="121"/>
      <c r="AM34" s="121"/>
      <c r="AN34" s="223"/>
      <c r="AO34" s="529"/>
      <c r="AP34" s="524"/>
      <c r="AQ34" s="321"/>
      <c r="AR34" s="258"/>
      <c r="AS34" s="121"/>
      <c r="AT34" s="121"/>
    </row>
    <row r="35" spans="38:46" hidden="1">
      <c r="AL35" s="121"/>
      <c r="AM35" s="121"/>
      <c r="AN35" s="524"/>
      <c r="AO35" s="530"/>
      <c r="AP35" s="524"/>
      <c r="AQ35" s="321"/>
      <c r="AR35" s="258"/>
      <c r="AS35" s="121"/>
      <c r="AT35" s="121"/>
    </row>
    <row r="36" spans="38:46" hidden="1">
      <c r="AL36" s="121"/>
      <c r="AM36" s="121"/>
      <c r="AN36" s="524"/>
      <c r="AO36" s="530"/>
      <c r="AP36" s="524"/>
      <c r="AQ36" s="321"/>
      <c r="AR36" s="258"/>
      <c r="AS36" s="121"/>
      <c r="AT36" s="121"/>
    </row>
    <row r="37" spans="38:46" hidden="1">
      <c r="AL37" s="121"/>
      <c r="AM37" s="121"/>
      <c r="AN37" s="223"/>
      <c r="AO37" s="531"/>
      <c r="AP37" s="524"/>
      <c r="AQ37" s="321"/>
      <c r="AR37" s="258"/>
      <c r="AS37" s="121"/>
      <c r="AT37" s="121"/>
    </row>
    <row r="38" spans="38:46" hidden="1">
      <c r="AL38" s="121"/>
      <c r="AM38" s="121"/>
      <c r="AN38" s="524"/>
      <c r="AO38" s="530"/>
      <c r="AP38" s="524"/>
      <c r="AQ38" s="321"/>
      <c r="AR38" s="258"/>
      <c r="AS38" s="121"/>
      <c r="AT38" s="121"/>
    </row>
    <row r="39" spans="38:46" hidden="1">
      <c r="AL39" s="121"/>
      <c r="AM39" s="121"/>
      <c r="AN39" s="524"/>
      <c r="AO39" s="530"/>
      <c r="AP39" s="524"/>
      <c r="AQ39" s="321"/>
      <c r="AR39" s="258"/>
      <c r="AS39" s="121"/>
      <c r="AT39" s="121"/>
    </row>
    <row r="40" spans="38:46" hidden="1">
      <c r="AL40" s="121"/>
      <c r="AM40" s="121"/>
      <c r="AN40" s="223"/>
      <c r="AO40" s="529"/>
      <c r="AP40" s="524"/>
      <c r="AQ40" s="321"/>
      <c r="AR40" s="258"/>
      <c r="AS40" s="121"/>
      <c r="AT40" s="121"/>
    </row>
    <row r="41" spans="38:46" hidden="1">
      <c r="AL41" s="121"/>
      <c r="AM41" s="121"/>
      <c r="AN41" s="524"/>
      <c r="AO41" s="530"/>
      <c r="AP41" s="524"/>
      <c r="AQ41" s="321"/>
      <c r="AR41" s="258"/>
      <c r="AS41" s="121"/>
      <c r="AT41" s="121"/>
    </row>
    <row r="42" spans="38:46" hidden="1">
      <c r="AL42" s="121"/>
      <c r="AM42" s="121"/>
      <c r="AN42" s="524"/>
      <c r="AO42" s="530"/>
      <c r="AP42" s="524"/>
      <c r="AQ42" s="321"/>
      <c r="AR42" s="258"/>
      <c r="AS42" s="121"/>
      <c r="AT42" s="121"/>
    </row>
    <row r="43" spans="38:46" hidden="1">
      <c r="AL43" s="121"/>
      <c r="AM43" s="121"/>
      <c r="AN43" s="223"/>
      <c r="AO43" s="531"/>
      <c r="AP43" s="524"/>
      <c r="AQ43" s="321"/>
      <c r="AR43" s="258"/>
      <c r="AS43" s="121"/>
      <c r="AT43" s="121"/>
    </row>
    <row r="44" spans="38:46" hidden="1">
      <c r="AL44" s="121"/>
      <c r="AM44" s="121"/>
      <c r="AN44" s="524"/>
      <c r="AO44" s="530"/>
      <c r="AP44" s="524"/>
      <c r="AQ44" s="321"/>
      <c r="AR44" s="258"/>
      <c r="AS44" s="121"/>
      <c r="AT44" s="121"/>
    </row>
    <row r="45" spans="38:46" hidden="1">
      <c r="AL45" s="121"/>
      <c r="AM45" s="121"/>
      <c r="AN45" s="524"/>
      <c r="AO45" s="530"/>
      <c r="AP45" s="524"/>
      <c r="AQ45" s="321"/>
      <c r="AR45" s="258"/>
      <c r="AS45" s="121"/>
      <c r="AT45" s="121"/>
    </row>
    <row r="46" spans="38:46">
      <c r="AL46" s="121"/>
      <c r="AM46" s="121"/>
      <c r="AN46" s="504" t="s">
        <v>633</v>
      </c>
      <c r="AO46" s="532" t="s">
        <v>2819</v>
      </c>
      <c r="AP46" s="257">
        <f t="shared" ref="AP46:AP55" si="0">SUMIF(AQ$14:AR$14,AP$14,AQ46:AR46)</f>
        <v>0</v>
      </c>
      <c r="AQ46" s="321"/>
      <c r="AR46" s="258"/>
      <c r="AS46" s="121"/>
      <c r="AT46" s="121"/>
    </row>
    <row r="47" spans="38:46">
      <c r="AL47" s="121"/>
      <c r="AM47" s="121"/>
      <c r="AN47" s="504" t="s">
        <v>69</v>
      </c>
      <c r="AO47" s="527" t="s">
        <v>2820</v>
      </c>
      <c r="AP47" s="257">
        <f t="shared" si="0"/>
        <v>0</v>
      </c>
      <c r="AQ47" s="321"/>
      <c r="AR47" s="258"/>
      <c r="AS47" s="121"/>
      <c r="AT47" s="121"/>
    </row>
    <row r="48" spans="38:46">
      <c r="AL48" s="121"/>
      <c r="AM48" s="121"/>
      <c r="AN48" s="504" t="s">
        <v>72</v>
      </c>
      <c r="AO48" s="527" t="s">
        <v>2471</v>
      </c>
      <c r="AP48" s="257">
        <f t="shared" si="0"/>
        <v>0</v>
      </c>
      <c r="AQ48" s="321"/>
      <c r="AR48" s="258"/>
      <c r="AS48" s="121"/>
      <c r="AT48" s="121"/>
    </row>
    <row r="49" spans="38:46">
      <c r="AL49" s="121"/>
      <c r="AM49" s="121"/>
      <c r="AN49" s="504" t="s">
        <v>2821</v>
      </c>
      <c r="AO49" s="527" t="s">
        <v>2822</v>
      </c>
      <c r="AP49" s="257">
        <f t="shared" si="0"/>
        <v>0</v>
      </c>
      <c r="AQ49" s="321"/>
      <c r="AR49" s="258"/>
      <c r="AS49" s="121"/>
      <c r="AT49" s="121"/>
    </row>
    <row r="50" spans="38:46">
      <c r="AL50" s="121"/>
      <c r="AM50" s="121"/>
      <c r="AN50" s="504" t="s">
        <v>888</v>
      </c>
      <c r="AO50" s="528" t="s">
        <v>2823</v>
      </c>
      <c r="AP50" s="257">
        <f t="shared" si="0"/>
        <v>0</v>
      </c>
      <c r="AQ50" s="321"/>
      <c r="AR50" s="258"/>
      <c r="AS50" s="121"/>
      <c r="AT50" s="121"/>
    </row>
    <row r="51" spans="38:46">
      <c r="AL51" s="121"/>
      <c r="AM51" s="121"/>
      <c r="AN51" s="504" t="s">
        <v>889</v>
      </c>
      <c r="AO51" s="528" t="s">
        <v>2824</v>
      </c>
      <c r="AP51" s="257">
        <f t="shared" si="0"/>
        <v>0</v>
      </c>
      <c r="AQ51" s="321"/>
      <c r="AR51" s="258"/>
      <c r="AS51" s="121"/>
      <c r="AT51" s="121"/>
    </row>
    <row r="52" spans="38:46">
      <c r="AL52" s="121"/>
      <c r="AM52" s="121"/>
      <c r="AN52" s="504" t="s">
        <v>890</v>
      </c>
      <c r="AO52" s="528" t="s">
        <v>2825</v>
      </c>
      <c r="AP52" s="257">
        <f t="shared" si="0"/>
        <v>0</v>
      </c>
      <c r="AQ52" s="321"/>
      <c r="AR52" s="258"/>
      <c r="AS52" s="121"/>
      <c r="AT52" s="121"/>
    </row>
    <row r="53" spans="38:46">
      <c r="AL53" s="121"/>
      <c r="AM53" s="121"/>
      <c r="AN53" s="504" t="s">
        <v>2826</v>
      </c>
      <c r="AO53" s="527" t="s">
        <v>2827</v>
      </c>
      <c r="AP53" s="257">
        <f t="shared" si="0"/>
        <v>0</v>
      </c>
      <c r="AQ53" s="321"/>
      <c r="AR53" s="258"/>
      <c r="AS53" s="121"/>
      <c r="AT53" s="121"/>
    </row>
    <row r="54" spans="38:46">
      <c r="AL54" s="121"/>
      <c r="AM54" s="121"/>
      <c r="AN54" s="504" t="s">
        <v>2828</v>
      </c>
      <c r="AO54" s="527" t="s">
        <v>2829</v>
      </c>
      <c r="AP54" s="257">
        <f t="shared" si="0"/>
        <v>0</v>
      </c>
      <c r="AQ54" s="321"/>
      <c r="AR54" s="258"/>
      <c r="AS54" s="121"/>
      <c r="AT54" s="121"/>
    </row>
    <row r="55" spans="38:46">
      <c r="AL55" s="121"/>
      <c r="AM55" s="121"/>
      <c r="AN55" s="504" t="s">
        <v>2830</v>
      </c>
      <c r="AO55" s="527" t="s">
        <v>2831</v>
      </c>
      <c r="AP55" s="257">
        <f t="shared" si="0"/>
        <v>0</v>
      </c>
      <c r="AQ55" s="321"/>
      <c r="AR55" s="258"/>
      <c r="AS55" s="121"/>
      <c r="AT55" s="121"/>
    </row>
    <row r="56" spans="38:46" hidden="1">
      <c r="AL56" s="121"/>
      <c r="AM56" s="121"/>
      <c r="AN56" s="279"/>
      <c r="AO56" s="558"/>
      <c r="AP56" s="222"/>
      <c r="AQ56" s="321"/>
      <c r="AR56" s="258"/>
      <c r="AS56" s="121"/>
      <c r="AT56" s="121"/>
    </row>
    <row r="57" spans="38:46" hidden="1">
      <c r="AL57" s="121"/>
      <c r="AM57" s="121"/>
      <c r="AN57" s="279"/>
      <c r="AO57" s="558"/>
      <c r="AP57" s="222"/>
      <c r="AQ57" s="321"/>
      <c r="AR57" s="258"/>
      <c r="AS57" s="121"/>
      <c r="AT57" s="121"/>
    </row>
    <row r="58" spans="38:46" hidden="1">
      <c r="AL58" s="121"/>
      <c r="AM58" s="121"/>
      <c r="AN58" s="279"/>
      <c r="AO58" s="558"/>
      <c r="AP58" s="222"/>
      <c r="AQ58" s="321"/>
      <c r="AR58" s="258"/>
      <c r="AS58" s="121"/>
      <c r="AT58" s="121"/>
    </row>
    <row r="59" spans="38:46">
      <c r="AL59" s="121"/>
      <c r="AM59" s="121"/>
      <c r="AN59" s="222" t="s">
        <v>2832</v>
      </c>
      <c r="AO59" s="533" t="s">
        <v>1832</v>
      </c>
      <c r="AP59" s="257">
        <f>SUMIF(AQ$14:AR$14,AP$14,AQ59:AR59)</f>
        <v>0</v>
      </c>
      <c r="AQ59" s="321"/>
      <c r="AR59" s="258"/>
      <c r="AS59" s="121"/>
      <c r="AT59" s="121"/>
    </row>
    <row r="60" spans="38:46" hidden="1">
      <c r="AL60" s="121"/>
      <c r="AM60" s="121"/>
      <c r="AN60" s="222"/>
      <c r="AO60" s="529"/>
      <c r="AP60" s="222"/>
      <c r="AQ60" s="321"/>
      <c r="AR60" s="258"/>
      <c r="AS60" s="121"/>
      <c r="AT60" s="121"/>
    </row>
    <row r="61" spans="38:46" hidden="1">
      <c r="AL61" s="121"/>
      <c r="AM61" s="121"/>
      <c r="AN61" s="222"/>
      <c r="AO61" s="529"/>
      <c r="AP61" s="222"/>
      <c r="AQ61" s="321"/>
      <c r="AR61" s="258"/>
      <c r="AS61" s="121"/>
      <c r="AT61" s="121"/>
    </row>
    <row r="62" spans="38:46" hidden="1">
      <c r="AL62" s="121"/>
      <c r="AM62" s="121"/>
      <c r="AN62" s="222"/>
      <c r="AO62" s="558"/>
      <c r="AP62" s="222"/>
      <c r="AQ62" s="321"/>
      <c r="AR62" s="258"/>
      <c r="AS62" s="121"/>
      <c r="AT62" s="121"/>
    </row>
    <row r="63" spans="38:46" hidden="1">
      <c r="AL63" s="121"/>
      <c r="AM63" s="121"/>
      <c r="AN63" s="222"/>
      <c r="AO63" s="558"/>
      <c r="AP63" s="222"/>
      <c r="AQ63" s="321"/>
      <c r="AR63" s="258"/>
      <c r="AS63" s="121"/>
      <c r="AT63" s="121"/>
    </row>
    <row r="64" spans="38:46" hidden="1">
      <c r="AL64" s="121"/>
      <c r="AM64" s="121"/>
      <c r="AN64" s="222"/>
      <c r="AO64" s="558"/>
      <c r="AP64" s="222"/>
      <c r="AQ64" s="321"/>
      <c r="AR64" s="258"/>
      <c r="AS64" s="121"/>
      <c r="AT64" s="121"/>
    </row>
    <row r="65" spans="38:46">
      <c r="AL65" s="121"/>
      <c r="AM65" s="121"/>
      <c r="AN65" s="222" t="s">
        <v>2835</v>
      </c>
      <c r="AO65" s="533" t="s">
        <v>1838</v>
      </c>
      <c r="AP65" s="257">
        <f>SUMIF(AQ$14:AR$14,AP$14,AQ65:AR65)</f>
        <v>0</v>
      </c>
      <c r="AQ65" s="321"/>
      <c r="AR65" s="258"/>
      <c r="AS65" s="121"/>
      <c r="AT65" s="121"/>
    </row>
    <row r="66" spans="38:46" hidden="1">
      <c r="AL66" s="121"/>
      <c r="AM66" s="121"/>
      <c r="AN66" s="222"/>
      <c r="AO66" s="534"/>
      <c r="AP66" s="222"/>
      <c r="AQ66" s="321"/>
      <c r="AR66" s="258"/>
      <c r="AS66" s="121"/>
      <c r="AT66" s="121"/>
    </row>
    <row r="67" spans="38:46" hidden="1">
      <c r="AL67" s="121"/>
      <c r="AM67" s="121"/>
      <c r="AN67" s="222"/>
      <c r="AO67" s="534"/>
      <c r="AP67" s="222"/>
      <c r="AQ67" s="321"/>
      <c r="AR67" s="258"/>
      <c r="AS67" s="121"/>
      <c r="AT67" s="121"/>
    </row>
    <row r="68" spans="38:46" hidden="1">
      <c r="AL68" s="121"/>
      <c r="AM68" s="121"/>
      <c r="AN68" s="222"/>
      <c r="AO68" s="558"/>
      <c r="AP68" s="222"/>
      <c r="AQ68" s="321"/>
      <c r="AR68" s="258"/>
      <c r="AS68" s="121"/>
      <c r="AT68" s="121"/>
    </row>
    <row r="69" spans="38:46" hidden="1">
      <c r="AL69" s="121"/>
      <c r="AM69" s="121"/>
      <c r="AN69" s="222"/>
      <c r="AO69" s="558"/>
      <c r="AP69" s="222"/>
      <c r="AQ69" s="321"/>
      <c r="AR69" s="258"/>
      <c r="AS69" s="121"/>
      <c r="AT69" s="121"/>
    </row>
    <row r="70" spans="38:46" hidden="1">
      <c r="AL70" s="121"/>
      <c r="AM70" s="121"/>
      <c r="AN70" s="222"/>
      <c r="AO70" s="558"/>
      <c r="AP70" s="222"/>
      <c r="AQ70" s="321"/>
      <c r="AR70" s="258"/>
      <c r="AS70" s="121"/>
      <c r="AT70" s="121"/>
    </row>
    <row r="71" spans="38:46">
      <c r="AL71" s="121"/>
      <c r="AM71" s="121"/>
      <c r="AN71" s="222" t="s">
        <v>2838</v>
      </c>
      <c r="AO71" s="533" t="s">
        <v>1843</v>
      </c>
      <c r="AP71" s="257">
        <f>SUMIF(AQ$14:AR$14,AP$14,AQ71:AR71)</f>
        <v>0</v>
      </c>
      <c r="AQ71" s="321"/>
      <c r="AR71" s="258"/>
      <c r="AS71" s="121"/>
      <c r="AT71" s="121"/>
    </row>
    <row r="72" spans="38:46" hidden="1">
      <c r="AL72" s="121"/>
      <c r="AM72" s="121"/>
      <c r="AN72" s="222"/>
      <c r="AO72" s="534"/>
      <c r="AP72" s="222"/>
      <c r="AQ72" s="321"/>
      <c r="AR72" s="258"/>
      <c r="AS72" s="121"/>
      <c r="AT72" s="121"/>
    </row>
    <row r="73" spans="38:46" hidden="1">
      <c r="AL73" s="121"/>
      <c r="AM73" s="121"/>
      <c r="AN73" s="222"/>
      <c r="AO73" s="534"/>
      <c r="AP73" s="222"/>
      <c r="AQ73" s="321"/>
      <c r="AR73" s="258"/>
      <c r="AS73" s="121"/>
      <c r="AT73" s="121"/>
    </row>
    <row r="74" spans="38:46">
      <c r="AL74" s="121"/>
      <c r="AM74" s="121"/>
      <c r="AN74" s="222" t="s">
        <v>2841</v>
      </c>
      <c r="AO74" s="533" t="s">
        <v>1849</v>
      </c>
      <c r="AP74" s="257">
        <f>SUMIF(AQ$14:AR$14,AP$14,AQ74:AR74)</f>
        <v>0</v>
      </c>
      <c r="AQ74" s="321"/>
      <c r="AR74" s="258"/>
      <c r="AS74" s="121"/>
      <c r="AT74" s="121"/>
    </row>
    <row r="75" spans="38:46" hidden="1">
      <c r="AL75" s="121"/>
      <c r="AM75" s="121"/>
      <c r="AN75" s="222"/>
      <c r="AO75" s="534"/>
      <c r="AP75" s="222"/>
      <c r="AQ75" s="321"/>
      <c r="AR75" s="258"/>
      <c r="AS75" s="121"/>
      <c r="AT75" s="121"/>
    </row>
    <row r="76" spans="38:46" hidden="1">
      <c r="AL76" s="121"/>
      <c r="AM76" s="121"/>
      <c r="AN76" s="222"/>
      <c r="AO76" s="529"/>
      <c r="AP76" s="222"/>
      <c r="AQ76" s="321"/>
      <c r="AR76" s="258"/>
      <c r="AS76" s="121"/>
      <c r="AT76" s="121"/>
    </row>
    <row r="77" spans="38:46" ht="22.5">
      <c r="AL77" s="121"/>
      <c r="AM77" s="121"/>
      <c r="AN77" s="222" t="s">
        <v>2844</v>
      </c>
      <c r="AO77" s="533" t="s">
        <v>1856</v>
      </c>
      <c r="AP77" s="257">
        <f>SUMIF(AQ$14:AR$14,AP$14,AQ77:AR77)</f>
        <v>0</v>
      </c>
      <c r="AQ77" s="321"/>
      <c r="AR77" s="258"/>
      <c r="AS77" s="121"/>
      <c r="AT77" s="121"/>
    </row>
    <row r="78" spans="38:46" hidden="1">
      <c r="AL78" s="121"/>
      <c r="AM78" s="121"/>
      <c r="AN78" s="222"/>
      <c r="AO78" s="534"/>
      <c r="AP78" s="222"/>
      <c r="AQ78" s="321"/>
      <c r="AR78" s="258"/>
      <c r="AS78" s="121"/>
      <c r="AT78" s="121"/>
    </row>
    <row r="79" spans="38:46" hidden="1">
      <c r="AL79" s="121"/>
      <c r="AM79" s="121"/>
      <c r="AN79" s="222"/>
      <c r="AO79" s="529"/>
      <c r="AP79" s="222"/>
      <c r="AQ79" s="321"/>
      <c r="AR79" s="258"/>
      <c r="AS79" s="121"/>
      <c r="AT79" s="121"/>
    </row>
    <row r="80" spans="38:46">
      <c r="AL80" s="121"/>
      <c r="AM80" s="121"/>
      <c r="AN80" s="504" t="s">
        <v>2847</v>
      </c>
      <c r="AO80" s="535" t="s">
        <v>2848</v>
      </c>
      <c r="AP80" s="257">
        <f t="shared" ref="AP80:AP85" si="1">SUMIF(AQ$14:AR$14,AP$14,AQ80:AR80)</f>
        <v>0</v>
      </c>
      <c r="AQ80" s="321"/>
      <c r="AR80" s="258"/>
      <c r="AS80" s="121"/>
      <c r="AT80" s="121"/>
    </row>
    <row r="81" spans="38:46" ht="22.5">
      <c r="AL81" s="121"/>
      <c r="AM81" s="121"/>
      <c r="AN81" s="504" t="s">
        <v>2849</v>
      </c>
      <c r="AO81" s="533" t="s">
        <v>2415</v>
      </c>
      <c r="AP81" s="257">
        <f t="shared" si="1"/>
        <v>0</v>
      </c>
      <c r="AQ81" s="321"/>
      <c r="AR81" s="258"/>
      <c r="AS81" s="121"/>
      <c r="AT81" s="121"/>
    </row>
    <row r="82" spans="38:46" ht="22.5">
      <c r="AL82" s="121"/>
      <c r="AM82" s="121"/>
      <c r="AN82" s="504" t="s">
        <v>2850</v>
      </c>
      <c r="AO82" s="533" t="s">
        <v>2417</v>
      </c>
      <c r="AP82" s="257">
        <f t="shared" si="1"/>
        <v>0</v>
      </c>
      <c r="AQ82" s="321"/>
      <c r="AR82" s="258"/>
      <c r="AS82" s="121"/>
      <c r="AT82" s="121"/>
    </row>
    <row r="83" spans="38:46" ht="22.5">
      <c r="AL83" s="121"/>
      <c r="AM83" s="121"/>
      <c r="AN83" s="504" t="s">
        <v>2316</v>
      </c>
      <c r="AO83" s="533" t="s">
        <v>2420</v>
      </c>
      <c r="AP83" s="257">
        <f t="shared" si="1"/>
        <v>0</v>
      </c>
      <c r="AQ83" s="321"/>
      <c r="AR83" s="258"/>
      <c r="AS83" s="121"/>
      <c r="AT83" s="121"/>
    </row>
    <row r="84" spans="38:46">
      <c r="AL84" s="121"/>
      <c r="AM84" s="121"/>
      <c r="AN84" s="504" t="s">
        <v>2317</v>
      </c>
      <c r="AO84" s="533" t="s">
        <v>2423</v>
      </c>
      <c r="AP84" s="257">
        <f t="shared" si="1"/>
        <v>0</v>
      </c>
      <c r="AQ84" s="321"/>
      <c r="AR84" s="258"/>
      <c r="AS84" s="121"/>
      <c r="AT84" s="121"/>
    </row>
    <row r="85" spans="38:46" ht="22.5">
      <c r="AL85" s="121"/>
      <c r="AM85" s="121"/>
      <c r="AN85" s="504" t="s">
        <v>2318</v>
      </c>
      <c r="AO85" s="533" t="s">
        <v>2426</v>
      </c>
      <c r="AP85" s="257">
        <f t="shared" si="1"/>
        <v>0</v>
      </c>
      <c r="AQ85" s="321"/>
      <c r="AR85" s="258"/>
      <c r="AS85" s="121"/>
      <c r="AT85" s="121"/>
    </row>
    <row r="86" spans="38:46">
      <c r="AL86" s="121"/>
      <c r="AM86" s="121"/>
      <c r="AN86" s="560" t="str">
        <f>IF(TEMPLATE_SPHERE="водоснабжения","2.9","")</f>
        <v/>
      </c>
      <c r="AO86" s="561" t="str">
        <f>IF(TEMPLATE_SPHERE="водоснабжения","Покупная вода","")</f>
        <v/>
      </c>
      <c r="AP86" s="257" t="str">
        <f>IF(TEMPLATE_SPHERE="водоснабжения",SUMIF(AQ$14:AR$14,AP$14,AQ86:AR86),"")</f>
        <v/>
      </c>
      <c r="AQ86" s="321"/>
      <c r="AR86" s="258"/>
      <c r="AS86" s="121"/>
      <c r="AT86" s="121"/>
    </row>
    <row r="87" spans="38:46" hidden="1">
      <c r="AL87" s="121"/>
      <c r="AM87" s="121"/>
      <c r="AN87" s="560"/>
      <c r="AO87" s="562"/>
      <c r="AP87" s="562"/>
      <c r="AQ87" s="321"/>
      <c r="AR87" s="258"/>
      <c r="AS87" s="121"/>
      <c r="AT87" s="121"/>
    </row>
    <row r="88" spans="38:46" hidden="1">
      <c r="AL88" s="121"/>
      <c r="AM88" s="121"/>
      <c r="AN88" s="560"/>
      <c r="AO88" s="562"/>
      <c r="AP88" s="562"/>
      <c r="AQ88" s="321"/>
      <c r="AR88" s="258"/>
      <c r="AS88" s="121"/>
      <c r="AT88" s="121"/>
    </row>
    <row r="89" spans="38:46" hidden="1">
      <c r="AL89" s="121"/>
      <c r="AM89" s="121"/>
      <c r="AN89" s="560"/>
      <c r="AO89" s="562"/>
      <c r="AP89" s="562"/>
      <c r="AQ89" s="321"/>
      <c r="AR89" s="258"/>
      <c r="AS89" s="121"/>
      <c r="AT89" s="121"/>
    </row>
    <row r="90" spans="38:46" ht="22.5">
      <c r="AL90" s="121"/>
      <c r="AM90" s="121"/>
      <c r="AN90" s="504" t="s">
        <v>2323</v>
      </c>
      <c r="AO90"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AP90" s="257">
        <f t="shared" ref="AP90:AP124" si="2">SUMIF(AQ$14:AR$14,AP$14,AQ90:AR90)</f>
        <v>0</v>
      </c>
      <c r="AQ90" s="321"/>
      <c r="AR90" s="258"/>
      <c r="AS90" s="121"/>
      <c r="AT90" s="121"/>
    </row>
    <row r="91" spans="38:46" ht="22.5">
      <c r="AL91" s="121"/>
      <c r="AM91" s="121"/>
      <c r="AN91" s="504" t="s">
        <v>2324</v>
      </c>
      <c r="AO91"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AP91" s="257">
        <f t="shared" si="2"/>
        <v>0</v>
      </c>
      <c r="AQ91" s="321"/>
      <c r="AR91" s="258"/>
      <c r="AS91" s="121"/>
      <c r="AT91" s="121"/>
    </row>
    <row r="92" spans="38:46" ht="22.5">
      <c r="AL92" s="121"/>
      <c r="AM92" s="121"/>
      <c r="AN92" s="504" t="s">
        <v>2325</v>
      </c>
      <c r="AO92"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AP92" s="257">
        <f t="shared" si="2"/>
        <v>0</v>
      </c>
      <c r="AQ92" s="321"/>
      <c r="AR92" s="258"/>
      <c r="AS92" s="121"/>
      <c r="AT92" s="121"/>
    </row>
    <row r="93" spans="38:46">
      <c r="AL93" s="121"/>
      <c r="AM93" s="121"/>
      <c r="AN93" s="504" t="s">
        <v>2326</v>
      </c>
      <c r="AO93" s="527" t="s">
        <v>2327</v>
      </c>
      <c r="AP93" s="257">
        <f t="shared" si="2"/>
        <v>0</v>
      </c>
      <c r="AQ93" s="321"/>
      <c r="AR93" s="258"/>
      <c r="AS93" s="121"/>
      <c r="AT93" s="121"/>
    </row>
    <row r="94" spans="38:46">
      <c r="AL94" s="121"/>
      <c r="AM94" s="121"/>
      <c r="AN94" s="504" t="s">
        <v>2328</v>
      </c>
      <c r="AO94" s="528" t="s">
        <v>2329</v>
      </c>
      <c r="AP94" s="257">
        <f t="shared" si="2"/>
        <v>0</v>
      </c>
      <c r="AQ94" s="321"/>
      <c r="AR94" s="258"/>
      <c r="AS94" s="121"/>
      <c r="AT94" s="121"/>
    </row>
    <row r="95" spans="38:46">
      <c r="AL95" s="121"/>
      <c r="AM95" s="121"/>
      <c r="AN95" s="504" t="s">
        <v>2330</v>
      </c>
      <c r="AO95" s="528" t="s">
        <v>2331</v>
      </c>
      <c r="AP95" s="257">
        <f t="shared" si="2"/>
        <v>0</v>
      </c>
      <c r="AQ95" s="321"/>
      <c r="AR95" s="258"/>
      <c r="AS95" s="121"/>
      <c r="AT95" s="121"/>
    </row>
    <row r="96" spans="38:46">
      <c r="AL96" s="121"/>
      <c r="AM96" s="121"/>
      <c r="AN96" s="504" t="s">
        <v>2332</v>
      </c>
      <c r="AO96" s="527" t="s">
        <v>2333</v>
      </c>
      <c r="AP96" s="257">
        <f t="shared" si="2"/>
        <v>0</v>
      </c>
      <c r="AQ96" s="321"/>
      <c r="AR96" s="258"/>
      <c r="AS96" s="121"/>
      <c r="AT96" s="121"/>
    </row>
    <row r="97" spans="38:46">
      <c r="AL97" s="121"/>
      <c r="AM97" s="121"/>
      <c r="AN97" s="504" t="s">
        <v>2334</v>
      </c>
      <c r="AO97" s="527" t="s">
        <v>2335</v>
      </c>
      <c r="AP97" s="257">
        <f t="shared" si="2"/>
        <v>0</v>
      </c>
      <c r="AQ97" s="321"/>
      <c r="AR97" s="258"/>
      <c r="AS97" s="121"/>
      <c r="AT97" s="121"/>
    </row>
    <row r="98" spans="38:46" ht="22.5">
      <c r="AL98" s="121"/>
      <c r="AM98" s="121"/>
      <c r="AN98" s="504" t="s">
        <v>2336</v>
      </c>
      <c r="AO98" s="527" t="s">
        <v>2337</v>
      </c>
      <c r="AP98" s="257">
        <f t="shared" si="2"/>
        <v>0</v>
      </c>
      <c r="AQ98" s="321"/>
      <c r="AR98" s="258"/>
      <c r="AS98" s="121"/>
      <c r="AT98" s="121"/>
    </row>
    <row r="99" spans="38:46">
      <c r="AL99" s="121"/>
      <c r="AM99" s="121"/>
      <c r="AN99" s="504" t="s">
        <v>2338</v>
      </c>
      <c r="AO99" s="527" t="s">
        <v>2339</v>
      </c>
      <c r="AP99" s="257">
        <f t="shared" si="2"/>
        <v>0</v>
      </c>
      <c r="AQ99" s="321"/>
      <c r="AR99" s="258"/>
      <c r="AS99" s="121"/>
      <c r="AT99" s="121"/>
    </row>
    <row r="100" spans="38:46">
      <c r="AL100" s="121"/>
      <c r="AM100" s="121"/>
      <c r="AN100" s="504" t="s">
        <v>2340</v>
      </c>
      <c r="AO100" s="528" t="s">
        <v>2341</v>
      </c>
      <c r="AP100" s="257">
        <f t="shared" si="2"/>
        <v>0</v>
      </c>
      <c r="AQ100" s="321"/>
      <c r="AR100" s="258"/>
      <c r="AS100" s="121"/>
      <c r="AT100" s="121"/>
    </row>
    <row r="101" spans="38:46">
      <c r="AL101" s="121"/>
      <c r="AM101" s="121"/>
      <c r="AN101" s="504" t="s">
        <v>2342</v>
      </c>
      <c r="AO101" s="528" t="s">
        <v>2343</v>
      </c>
      <c r="AP101" s="257">
        <f t="shared" si="2"/>
        <v>0</v>
      </c>
      <c r="AQ101" s="321"/>
      <c r="AR101" s="258"/>
      <c r="AS101" s="121"/>
      <c r="AT101" s="121"/>
    </row>
    <row r="102" spans="38:46">
      <c r="AL102" s="121"/>
      <c r="AM102" s="121"/>
      <c r="AN102" s="504" t="s">
        <v>2344</v>
      </c>
      <c r="AO102" s="528" t="s">
        <v>2345</v>
      </c>
      <c r="AP102" s="257">
        <f t="shared" si="2"/>
        <v>0</v>
      </c>
      <c r="AQ102" s="321"/>
      <c r="AR102" s="258"/>
      <c r="AS102" s="121"/>
      <c r="AT102" s="121"/>
    </row>
    <row r="103" spans="38:46">
      <c r="AL103" s="121"/>
      <c r="AM103" s="121"/>
      <c r="AN103" s="504" t="s">
        <v>2346</v>
      </c>
      <c r="AO103" s="528" t="s">
        <v>2347</v>
      </c>
      <c r="AP103" s="257">
        <f t="shared" si="2"/>
        <v>0</v>
      </c>
      <c r="AQ103" s="321"/>
      <c r="AR103" s="258"/>
      <c r="AS103" s="121"/>
      <c r="AT103" s="121"/>
    </row>
    <row r="104" spans="38:46">
      <c r="AL104" s="121"/>
      <c r="AM104" s="121"/>
      <c r="AN104" s="504" t="s">
        <v>2348</v>
      </c>
      <c r="AO104" s="528" t="s">
        <v>2349</v>
      </c>
      <c r="AP104" s="257">
        <f t="shared" si="2"/>
        <v>0</v>
      </c>
      <c r="AQ104" s="321"/>
      <c r="AR104" s="258"/>
      <c r="AS104" s="121"/>
      <c r="AT104" s="121"/>
    </row>
    <row r="105" spans="38:46">
      <c r="AL105" s="121"/>
      <c r="AM105" s="121"/>
      <c r="AN105" s="504" t="s">
        <v>2350</v>
      </c>
      <c r="AO105" s="528" t="s">
        <v>2351</v>
      </c>
      <c r="AP105" s="257">
        <f t="shared" si="2"/>
        <v>0</v>
      </c>
      <c r="AQ105" s="321"/>
      <c r="AR105" s="258"/>
      <c r="AS105" s="121"/>
      <c r="AT105" s="121"/>
    </row>
    <row r="106" spans="38:46">
      <c r="AL106" s="121"/>
      <c r="AM106" s="121"/>
      <c r="AN106" s="504" t="s">
        <v>2352</v>
      </c>
      <c r="AO106" s="528" t="s">
        <v>2353</v>
      </c>
      <c r="AP106" s="257">
        <f t="shared" si="2"/>
        <v>0</v>
      </c>
      <c r="AQ106" s="321"/>
      <c r="AR106" s="258"/>
      <c r="AS106" s="121"/>
      <c r="AT106" s="121"/>
    </row>
    <row r="107" spans="38:46">
      <c r="AL107" s="121"/>
      <c r="AM107" s="121"/>
      <c r="AN107" s="504" t="s">
        <v>2354</v>
      </c>
      <c r="AO107" s="528" t="s">
        <v>2355</v>
      </c>
      <c r="AP107" s="257">
        <f t="shared" si="2"/>
        <v>0</v>
      </c>
      <c r="AQ107" s="321"/>
      <c r="AR107" s="258"/>
      <c r="AS107" s="121"/>
      <c r="AT107" s="121"/>
    </row>
    <row r="108" spans="38:46">
      <c r="AL108" s="121"/>
      <c r="AM108" s="121"/>
      <c r="AN108" s="504" t="s">
        <v>2356</v>
      </c>
      <c r="AO108" s="528" t="s">
        <v>2357</v>
      </c>
      <c r="AP108" s="257">
        <f t="shared" si="2"/>
        <v>0</v>
      </c>
      <c r="AQ108" s="321"/>
      <c r="AR108" s="258"/>
      <c r="AS108" s="121"/>
      <c r="AT108" s="121"/>
    </row>
    <row r="109" spans="38:46" ht="22.5">
      <c r="AL109" s="121"/>
      <c r="AM109" s="121"/>
      <c r="AN109" s="504" t="s">
        <v>2358</v>
      </c>
      <c r="AO109" s="536" t="s">
        <v>2359</v>
      </c>
      <c r="AP109" s="257">
        <f t="shared" si="2"/>
        <v>0</v>
      </c>
      <c r="AQ109" s="321"/>
      <c r="AR109" s="258"/>
      <c r="AS109" s="121"/>
      <c r="AT109" s="121"/>
    </row>
    <row r="110" spans="38:46">
      <c r="AL110" s="121"/>
      <c r="AM110" s="121"/>
      <c r="AN110" s="504" t="s">
        <v>2360</v>
      </c>
      <c r="AO110" s="537" t="s">
        <v>2444</v>
      </c>
      <c r="AP110" s="257">
        <f t="shared" si="2"/>
        <v>0</v>
      </c>
      <c r="AQ110" s="321"/>
      <c r="AR110" s="258"/>
      <c r="AS110" s="121"/>
      <c r="AT110" s="121"/>
    </row>
    <row r="111" spans="38:46">
      <c r="AL111" s="121"/>
      <c r="AM111" s="121"/>
      <c r="AN111" s="504" t="s">
        <v>2361</v>
      </c>
      <c r="AO111" s="537" t="s">
        <v>2362</v>
      </c>
      <c r="AP111" s="257">
        <f t="shared" si="2"/>
        <v>0</v>
      </c>
      <c r="AQ111" s="321"/>
      <c r="AR111" s="258"/>
      <c r="AS111" s="121"/>
      <c r="AT111" s="121"/>
    </row>
    <row r="112" spans="38:46">
      <c r="AL112" s="121"/>
      <c r="AM112" s="121"/>
      <c r="AN112" s="504" t="s">
        <v>2363</v>
      </c>
      <c r="AO112" s="528" t="s">
        <v>872</v>
      </c>
      <c r="AP112" s="257">
        <f t="shared" si="2"/>
        <v>0</v>
      </c>
      <c r="AQ112" s="321"/>
      <c r="AR112" s="258"/>
      <c r="AS112" s="121"/>
      <c r="AT112" s="121"/>
    </row>
    <row r="113" spans="1:46" ht="22.5">
      <c r="AL113" s="121"/>
      <c r="AM113" s="121"/>
      <c r="AN113" s="504" t="s">
        <v>2364</v>
      </c>
      <c r="AO113" s="528" t="s">
        <v>2365</v>
      </c>
      <c r="AP113" s="257">
        <f t="shared" si="2"/>
        <v>0</v>
      </c>
      <c r="AQ113" s="321"/>
      <c r="AR113" s="258"/>
      <c r="AS113" s="121"/>
      <c r="AT113" s="121"/>
    </row>
    <row r="114" spans="1:46">
      <c r="AL114" s="121"/>
      <c r="AM114" s="121"/>
      <c r="AN114" s="504" t="s">
        <v>2366</v>
      </c>
      <c r="AO114" s="528" t="s">
        <v>2367</v>
      </c>
      <c r="AP114" s="257">
        <f t="shared" si="2"/>
        <v>0</v>
      </c>
      <c r="AQ114" s="321"/>
      <c r="AR114" s="258"/>
      <c r="AS114" s="121"/>
      <c r="AT114" s="121"/>
    </row>
    <row r="115" spans="1:46">
      <c r="AL115" s="121"/>
      <c r="AM115" s="121"/>
      <c r="AN115" s="504" t="s">
        <v>752</v>
      </c>
      <c r="AO115" s="723" t="s">
        <v>2726</v>
      </c>
      <c r="AP115" s="257">
        <f t="shared" si="2"/>
        <v>0</v>
      </c>
      <c r="AQ115" s="321"/>
      <c r="AR115" s="258"/>
      <c r="AS115" s="121"/>
      <c r="AT115" s="121"/>
    </row>
    <row r="116" spans="1:46">
      <c r="AL116" s="121"/>
      <c r="AM116" s="121"/>
      <c r="AN116" s="504" t="s">
        <v>760</v>
      </c>
      <c r="AO116" s="527" t="s">
        <v>2368</v>
      </c>
      <c r="AP116" s="257">
        <f t="shared" si="2"/>
        <v>0</v>
      </c>
      <c r="AQ116" s="321"/>
      <c r="AR116" s="258"/>
      <c r="AS116" s="121"/>
      <c r="AT116" s="121"/>
    </row>
    <row r="117" spans="1:46">
      <c r="AL117" s="121"/>
      <c r="AM117" s="121"/>
      <c r="AN117" s="504" t="s">
        <v>917</v>
      </c>
      <c r="AO117" s="528" t="s">
        <v>2369</v>
      </c>
      <c r="AP117" s="257">
        <f t="shared" si="2"/>
        <v>0</v>
      </c>
      <c r="AQ117" s="321"/>
      <c r="AR117" s="258"/>
      <c r="AS117" s="121"/>
      <c r="AT117" s="121"/>
    </row>
    <row r="118" spans="1:46">
      <c r="AL118" s="121"/>
      <c r="AM118" s="121"/>
      <c r="AN118" s="504" t="s">
        <v>761</v>
      </c>
      <c r="AO118" s="527" t="s">
        <v>862</v>
      </c>
      <c r="AP118" s="257">
        <f t="shared" si="2"/>
        <v>0</v>
      </c>
      <c r="AQ118" s="321"/>
      <c r="AR118" s="258"/>
      <c r="AS118" s="121"/>
      <c r="AT118" s="121"/>
    </row>
    <row r="119" spans="1:46">
      <c r="AL119" s="121"/>
      <c r="AM119" s="121"/>
      <c r="AN119" s="504" t="s">
        <v>762</v>
      </c>
      <c r="AO119" s="527" t="s">
        <v>864</v>
      </c>
      <c r="AP119" s="257">
        <f t="shared" si="2"/>
        <v>0</v>
      </c>
      <c r="AQ119" s="321"/>
      <c r="AR119" s="258"/>
      <c r="AS119" s="121"/>
      <c r="AT119" s="121"/>
    </row>
    <row r="120" spans="1:46">
      <c r="AL120" s="121"/>
      <c r="AM120" s="121"/>
      <c r="AN120" s="504" t="s">
        <v>763</v>
      </c>
      <c r="AO120" s="527" t="s">
        <v>866</v>
      </c>
      <c r="AP120" s="257">
        <f t="shared" si="2"/>
        <v>0</v>
      </c>
      <c r="AQ120" s="321"/>
      <c r="AR120" s="258"/>
      <c r="AS120" s="121"/>
      <c r="AT120" s="121"/>
    </row>
    <row r="121" spans="1:46">
      <c r="AL121" s="121"/>
      <c r="AM121" s="121"/>
      <c r="AN121" s="504" t="s">
        <v>764</v>
      </c>
      <c r="AO121" s="527" t="s">
        <v>2370</v>
      </c>
      <c r="AP121" s="257">
        <f t="shared" si="2"/>
        <v>0</v>
      </c>
      <c r="AQ121" s="321"/>
      <c r="AR121" s="258"/>
      <c r="AS121" s="121"/>
      <c r="AT121" s="121"/>
    </row>
    <row r="122" spans="1:46">
      <c r="AL122" s="121"/>
      <c r="AM122" s="121"/>
      <c r="AN122" s="504" t="s">
        <v>2371</v>
      </c>
      <c r="AO122" s="528" t="s">
        <v>2372</v>
      </c>
      <c r="AP122" s="257">
        <f t="shared" si="2"/>
        <v>0</v>
      </c>
      <c r="AQ122" s="321"/>
      <c r="AR122" s="258"/>
      <c r="AS122" s="121"/>
      <c r="AT122" s="121"/>
    </row>
    <row r="123" spans="1:46">
      <c r="AL123" s="121"/>
      <c r="AM123" s="121"/>
      <c r="AN123" s="504" t="s">
        <v>2373</v>
      </c>
      <c r="AO123" s="538" t="s">
        <v>2374</v>
      </c>
      <c r="AP123" s="257">
        <f t="shared" si="2"/>
        <v>0</v>
      </c>
      <c r="AQ123" s="321"/>
      <c r="AR123" s="258"/>
      <c r="AS123" s="121"/>
      <c r="AT123" s="121"/>
    </row>
    <row r="124" spans="1:46">
      <c r="AL124" s="121"/>
      <c r="AM124" s="121"/>
      <c r="AN124" s="504" t="s">
        <v>2375</v>
      </c>
      <c r="AO124" s="528" t="s">
        <v>2376</v>
      </c>
      <c r="AP124" s="257">
        <f t="shared" si="2"/>
        <v>0</v>
      </c>
      <c r="AQ124" s="321"/>
      <c r="AR124" s="258"/>
      <c r="AS124" s="121"/>
      <c r="AT124" s="121"/>
    </row>
    <row r="125" spans="1:46" ht="0.75" customHeight="1">
      <c r="A125" s="47"/>
      <c r="B125" s="47"/>
      <c r="C125" s="47"/>
      <c r="D125" s="47"/>
      <c r="E125" s="47"/>
      <c r="F125" s="47"/>
      <c r="G125" s="47"/>
      <c r="H125" s="47"/>
      <c r="I125" s="47"/>
      <c r="J125"/>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50"/>
      <c r="AM125" s="126"/>
      <c r="AN125" s="223"/>
      <c r="AO125" s="728"/>
      <c r="AP125" s="260"/>
      <c r="AQ125" s="258"/>
      <c r="AR125" s="258"/>
      <c r="AS125" s="127"/>
    </row>
    <row r="126" spans="1:46" ht="0.75" customHeight="1">
      <c r="A126" s="47"/>
      <c r="B126" s="47"/>
      <c r="C126" s="47"/>
      <c r="D126" s="47"/>
      <c r="E126" s="47"/>
      <c r="F126" s="47"/>
      <c r="G126" s="47"/>
      <c r="H126" s="47"/>
      <c r="I126" s="47"/>
      <c r="J126"/>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50"/>
      <c r="AM126" s="126"/>
      <c r="AN126" s="223"/>
      <c r="AO126" s="728"/>
      <c r="AP126" s="260"/>
      <c r="AQ126" s="258"/>
      <c r="AR126" s="258"/>
      <c r="AS126" s="127"/>
    </row>
    <row r="127" spans="1:46" ht="0.75" customHeight="1">
      <c r="A127" s="47"/>
      <c r="B127" s="47"/>
      <c r="C127" s="47"/>
      <c r="D127" s="47"/>
      <c r="E127" s="47"/>
      <c r="F127" s="47"/>
      <c r="G127" s="47"/>
      <c r="H127" s="47"/>
      <c r="I127" s="47"/>
      <c r="J12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50"/>
      <c r="AM127" s="126"/>
      <c r="AN127" s="223"/>
      <c r="AO127" s="728"/>
      <c r="AP127" s="260"/>
      <c r="AQ127" s="258"/>
      <c r="AR127" s="258"/>
      <c r="AS127" s="127"/>
    </row>
    <row r="128" spans="1:46" ht="0.75" customHeight="1">
      <c r="A128" s="47"/>
      <c r="B128" s="47"/>
      <c r="C128" s="47"/>
      <c r="D128" s="47"/>
      <c r="E128" s="47"/>
      <c r="F128" s="47"/>
      <c r="G128" s="47"/>
      <c r="H128" s="47"/>
      <c r="I128" s="47"/>
      <c r="J128"/>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50"/>
      <c r="AM128" s="126"/>
      <c r="AN128" s="223"/>
      <c r="AO128" s="728"/>
      <c r="AP128" s="260"/>
      <c r="AQ128" s="258"/>
      <c r="AR128" s="258"/>
      <c r="AS128" s="127"/>
    </row>
    <row r="129" spans="1:46" ht="0.75" customHeight="1">
      <c r="A129" s="47"/>
      <c r="B129" s="47"/>
      <c r="C129" s="47"/>
      <c r="D129" s="47"/>
      <c r="E129" s="47"/>
      <c r="F129" s="47"/>
      <c r="G129" s="47"/>
      <c r="H129" s="47"/>
      <c r="I129" s="47"/>
      <c r="J129"/>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50"/>
      <c r="AM129" s="126"/>
      <c r="AN129" s="223"/>
      <c r="AO129" s="728"/>
      <c r="AP129" s="260"/>
      <c r="AQ129" s="258"/>
      <c r="AR129" s="258"/>
      <c r="AS129" s="127"/>
    </row>
    <row r="130" spans="1:46" ht="0.75" customHeight="1">
      <c r="A130" s="47"/>
      <c r="B130" s="47"/>
      <c r="C130" s="47"/>
      <c r="D130" s="47"/>
      <c r="E130" s="47"/>
      <c r="F130" s="47"/>
      <c r="G130" s="47"/>
      <c r="H130" s="47"/>
      <c r="I130" s="47"/>
      <c r="J130"/>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50"/>
      <c r="AM130" s="126"/>
      <c r="AN130" s="223"/>
      <c r="AO130" s="728"/>
      <c r="AP130" s="260"/>
      <c r="AQ130" s="258"/>
      <c r="AR130" s="258"/>
      <c r="AS130" s="127"/>
    </row>
    <row r="131" spans="1:46">
      <c r="AL131" s="121"/>
      <c r="AM131" s="121"/>
      <c r="AN131" s="725" t="s">
        <v>3072</v>
      </c>
      <c r="AO131" s="724" t="s">
        <v>2727</v>
      </c>
      <c r="AP131" s="257">
        <f>SUMIF(AQ$14:AR$14,AP$14,AQ131:AR131)</f>
        <v>0</v>
      </c>
      <c r="AQ131" s="321"/>
      <c r="AR131" s="258"/>
      <c r="AS131" s="121"/>
      <c r="AT131" s="121"/>
    </row>
    <row r="132" spans="1:46" ht="22.5">
      <c r="AL132" s="121"/>
      <c r="AM132" s="121"/>
      <c r="AN132" s="504" t="s">
        <v>2427</v>
      </c>
      <c r="AO132" s="723" t="s">
        <v>2616</v>
      </c>
      <c r="AP132" s="257">
        <f>SUMIF(AQ$14:AR$14,AP$14,AQ132:AR132)</f>
        <v>0</v>
      </c>
      <c r="AQ132" s="321"/>
      <c r="AR132" s="258"/>
      <c r="AS132" s="121"/>
      <c r="AT132" s="121"/>
    </row>
    <row r="133" spans="1:46" ht="22.5">
      <c r="AL133" s="121"/>
      <c r="AM133" s="121"/>
      <c r="AN133" s="504" t="s">
        <v>2429</v>
      </c>
      <c r="AO133" s="727" t="s">
        <v>2619</v>
      </c>
      <c r="AP133" s="263"/>
      <c r="AQ133" s="321"/>
      <c r="AR133" s="258"/>
      <c r="AS133" s="121"/>
      <c r="AT133" s="121"/>
    </row>
    <row r="134" spans="1:46">
      <c r="AL134" s="121"/>
      <c r="AM134" s="121"/>
      <c r="AN134" s="504" t="s">
        <v>2617</v>
      </c>
      <c r="AO134" s="727" t="s">
        <v>2620</v>
      </c>
      <c r="AP134" s="263"/>
      <c r="AQ134" s="321"/>
      <c r="AR134" s="258"/>
      <c r="AS134" s="121"/>
      <c r="AT134" s="121"/>
    </row>
    <row r="135" spans="1:46">
      <c r="AL135" s="121"/>
      <c r="AM135" s="121"/>
      <c r="AN135" s="504" t="s">
        <v>2618</v>
      </c>
      <c r="AO135" s="727" t="s">
        <v>2621</v>
      </c>
      <c r="AP135" s="263"/>
      <c r="AQ135" s="321"/>
      <c r="AR135" s="258"/>
      <c r="AS135" s="121"/>
      <c r="AT135" s="121"/>
    </row>
    <row r="136" spans="1:46" ht="0.75" customHeight="1">
      <c r="AL136" s="121"/>
      <c r="AM136" s="121"/>
      <c r="AN136" s="504"/>
      <c r="AO136" s="526"/>
      <c r="AP136" s="526"/>
      <c r="AQ136" s="321"/>
      <c r="AR136" s="258"/>
      <c r="AS136" s="121"/>
      <c r="AT136" s="121"/>
    </row>
    <row r="137" spans="1:46" ht="0.75" customHeight="1">
      <c r="AL137" s="121"/>
      <c r="AM137" s="121"/>
      <c r="AN137" s="223"/>
      <c r="AO137" s="728"/>
      <c r="AP137" s="260"/>
      <c r="AQ137" s="258"/>
      <c r="AR137" s="258"/>
      <c r="AS137" s="127"/>
      <c r="AT137" s="121"/>
    </row>
    <row r="138" spans="1:46" ht="0.75" customHeight="1">
      <c r="AL138" s="121"/>
      <c r="AM138" s="121"/>
      <c r="AN138" s="223"/>
      <c r="AO138" s="728"/>
      <c r="AP138" s="260"/>
      <c r="AQ138" s="258"/>
      <c r="AR138" s="258"/>
      <c r="AS138" s="127"/>
      <c r="AT138" s="121"/>
    </row>
    <row r="139" spans="1:46" ht="0.75" customHeight="1">
      <c r="AL139" s="121"/>
      <c r="AM139" s="121"/>
      <c r="AN139" s="223"/>
      <c r="AO139" s="728"/>
      <c r="AP139" s="260"/>
      <c r="AQ139" s="258"/>
      <c r="AR139" s="258"/>
      <c r="AS139" s="127"/>
      <c r="AT139" s="121"/>
    </row>
    <row r="140" spans="1:46" ht="0.75" customHeight="1">
      <c r="AL140" s="121"/>
      <c r="AM140" s="121"/>
      <c r="AN140" s="223"/>
      <c r="AO140" s="728"/>
      <c r="AP140" s="260"/>
      <c r="AQ140" s="258"/>
      <c r="AR140" s="258"/>
      <c r="AS140" s="127"/>
      <c r="AT140" s="121"/>
    </row>
    <row r="141" spans="1:46" ht="57" customHeight="1">
      <c r="AL141" s="121"/>
      <c r="AM141" s="121"/>
      <c r="AN141" s="504" t="s">
        <v>855</v>
      </c>
      <c r="AO141" s="526" t="s">
        <v>370</v>
      </c>
      <c r="AP141" s="257">
        <f>SUMIF(AQ$8:AR$8,"NO_TRANSPORT",AQ141:AR141)</f>
        <v>0</v>
      </c>
      <c r="AQ141" s="321"/>
      <c r="AR141" s="258"/>
      <c r="AS141" s="121"/>
      <c r="AT141" s="121"/>
    </row>
    <row r="142" spans="1:46" ht="57" customHeight="1">
      <c r="AL142" s="121"/>
      <c r="AM142" s="121"/>
      <c r="AN142" s="504" t="s">
        <v>876</v>
      </c>
      <c r="AO142" s="526" t="s">
        <v>371</v>
      </c>
      <c r="AP142" s="257">
        <f>SUMIF(AQ$8:AR$8,"NO_TRANSPORT",AQ142:AR142)</f>
        <v>0</v>
      </c>
      <c r="AQ142" s="321"/>
      <c r="AR142" s="258"/>
      <c r="AS142" s="121"/>
      <c r="AT142" s="121"/>
    </row>
    <row r="143" spans="1:46">
      <c r="AL143" s="121"/>
      <c r="AM143" s="121"/>
      <c r="AN143" s="504" t="s">
        <v>881</v>
      </c>
      <c r="AO143" s="526" t="s">
        <v>2967</v>
      </c>
      <c r="AP143" s="254"/>
      <c r="AQ143" s="321"/>
      <c r="AR143" s="258"/>
      <c r="AS143" s="121"/>
      <c r="AT143" s="121"/>
    </row>
    <row r="144" spans="1:46" ht="57" customHeight="1">
      <c r="AL144" s="121"/>
      <c r="AM144" s="121"/>
      <c r="AN144" s="559" t="s">
        <v>362</v>
      </c>
      <c r="AO144" s="604" t="s">
        <v>2722</v>
      </c>
      <c r="AP144" s="257">
        <f>SUMIF(AQ$8:AR$8,"NO_TRANSPORT",AQ144:AR144)</f>
        <v>0</v>
      </c>
      <c r="AQ144" s="321"/>
      <c r="AR144" s="258"/>
      <c r="AS144" s="121"/>
      <c r="AT144" s="121"/>
    </row>
    <row r="145" spans="38:46" s="121" customFormat="1" ht="0.75" customHeight="1">
      <c r="AN145" s="504"/>
      <c r="AO145" s="526"/>
      <c r="AP145" s="260"/>
      <c r="AQ145" s="321"/>
      <c r="AR145" s="258"/>
    </row>
    <row r="146" spans="38:46" s="121" customFormat="1" ht="22.5">
      <c r="AN146" s="222" t="s">
        <v>32</v>
      </c>
      <c r="AO146" s="721" t="str">
        <f>"Общий доход организации от реализации потребителям без учёта НДС, исходя из утверждённых тарифов на " &amp; AN10</f>
        <v>Общий доход организации от реализации потребителям без учёта НДС, исходя из утверждённых тарифов на 01.01 - 30.06</v>
      </c>
      <c r="AP146" s="257">
        <f>SUMIF(AQ$14:AR$14,AP$14,AQ146:AR146)</f>
        <v>0</v>
      </c>
      <c r="AQ146" s="321"/>
      <c r="AR146" s="258"/>
    </row>
    <row r="147" spans="38:46" s="121" customFormat="1" ht="22.5">
      <c r="AN147" s="222" t="s">
        <v>33</v>
      </c>
      <c r="AO147" s="540" t="str">
        <f>"Полезный отпуск продукции на реализацию потребителям (тыс. куб.м) на " &amp; AN10</f>
        <v>Полезный отпуск продукции на реализацию потребителям (тыс. куб.м) на 01.01 - 30.06</v>
      </c>
      <c r="AP147" s="257">
        <f>SUMIF(AQ$14:AR$14,AP$14,AQ147:AR147)</f>
        <v>0</v>
      </c>
      <c r="AQ147" s="321"/>
      <c r="AR147" s="258"/>
    </row>
    <row r="148" spans="38:46" s="121" customFormat="1">
      <c r="AN148" s="222" t="s">
        <v>2455</v>
      </c>
      <c r="AO148" s="541" t="str">
        <f>"Организации-перепродавцы на " &amp; AN10</f>
        <v>Организации-перепродавцы на 01.01 - 30.06</v>
      </c>
      <c r="AP148" s="257">
        <f>SUMIF(AQ$14:AR$14,AP$14,AQ148:AR148)</f>
        <v>0</v>
      </c>
      <c r="AQ148" s="321"/>
      <c r="AR148" s="258"/>
    </row>
    <row r="149" spans="38:46" ht="12.75">
      <c r="AL149" s="121"/>
      <c r="AM149" s="121"/>
      <c r="AN149" s="222" t="s">
        <v>34</v>
      </c>
      <c r="AO149" s="502" t="s">
        <v>348</v>
      </c>
      <c r="AP149" s="254"/>
      <c r="AQ149" s="321"/>
      <c r="AR149" s="258"/>
      <c r="AS149" s="121"/>
      <c r="AT149" s="121"/>
    </row>
    <row r="150" spans="38:46">
      <c r="AL150" s="121"/>
      <c r="AM150" s="121"/>
      <c r="AN150" s="222" t="s">
        <v>35</v>
      </c>
      <c r="AO150" s="502" t="s">
        <v>372</v>
      </c>
      <c r="AP150" s="257">
        <f>SUMIF(AQ$8:AR$8,"NO_TRANSPORT",AQ150:AR150)</f>
        <v>0</v>
      </c>
      <c r="AQ150" s="321"/>
      <c r="AR150" s="258"/>
      <c r="AS150" s="121"/>
      <c r="AT150" s="121"/>
    </row>
    <row r="151" spans="38:46" s="121" customFormat="1">
      <c r="AN151" s="222" t="s">
        <v>2456</v>
      </c>
      <c r="AO151" s="540" t="str">
        <f>"Бюджетные потребители на " &amp; AN10</f>
        <v>Бюджетные потребители на 01.01 - 30.06</v>
      </c>
      <c r="AP151" s="257">
        <f>SUMIF(AQ$14:AR$14,AP$14,AQ151:AR151)</f>
        <v>0</v>
      </c>
      <c r="AQ151" s="321"/>
      <c r="AR151" s="258"/>
    </row>
    <row r="152" spans="38:46" s="121" customFormat="1" ht="12.75">
      <c r="AN152" s="222" t="s">
        <v>36</v>
      </c>
      <c r="AO152" s="502" t="s">
        <v>348</v>
      </c>
      <c r="AP152" s="254"/>
      <c r="AQ152" s="321"/>
      <c r="AR152" s="258"/>
    </row>
    <row r="153" spans="38:46" s="121" customFormat="1">
      <c r="AN153" s="222" t="s">
        <v>37</v>
      </c>
      <c r="AO153" s="502" t="s">
        <v>372</v>
      </c>
      <c r="AP153" s="257">
        <f>SUMIF(AQ$8:AR$8,"NO_TRANSPORT",AQ153:AR153)</f>
        <v>0</v>
      </c>
      <c r="AQ153" s="321"/>
      <c r="AR153" s="258"/>
    </row>
    <row r="154" spans="38:46" s="121" customFormat="1">
      <c r="AN154" s="222" t="s">
        <v>2457</v>
      </c>
      <c r="AO154" s="540" t="str">
        <f>"Население на " &amp; AN10</f>
        <v>Население на 01.01 - 30.06</v>
      </c>
      <c r="AP154" s="257">
        <f>SUMIF(AQ$14:AR$14,AP$14,AQ154:AR154)</f>
        <v>0</v>
      </c>
      <c r="AQ154" s="321"/>
      <c r="AR154" s="258"/>
    </row>
    <row r="155" spans="38:46" s="121" customFormat="1" ht="12.75">
      <c r="AN155" s="222" t="s">
        <v>38</v>
      </c>
      <c r="AO155" s="502" t="s">
        <v>348</v>
      </c>
      <c r="AP155" s="254"/>
      <c r="AQ155" s="321"/>
      <c r="AR155" s="258"/>
    </row>
    <row r="156" spans="38:46" s="121" customFormat="1">
      <c r="AN156" s="222" t="s">
        <v>39</v>
      </c>
      <c r="AO156" s="502" t="s">
        <v>372</v>
      </c>
      <c r="AP156" s="257">
        <f>SUMIF(AQ$8:AR$8,"NO_TRANSPORT",AQ156:AR156)</f>
        <v>0</v>
      </c>
      <c r="AQ156" s="321"/>
      <c r="AR156" s="258"/>
    </row>
    <row r="157" spans="38:46">
      <c r="AL157" s="121"/>
      <c r="AM157" s="121"/>
      <c r="AN157" s="222" t="s">
        <v>2458</v>
      </c>
      <c r="AO157" s="540" t="str">
        <f>"Прочие на " &amp; AN10</f>
        <v>Прочие на 01.01 - 30.06</v>
      </c>
      <c r="AP157" s="257">
        <f>SUMIF(AQ$14:AR$14,AP$14,AQ157:AR157)</f>
        <v>0</v>
      </c>
      <c r="AQ157" s="321"/>
      <c r="AR157" s="258"/>
      <c r="AS157" s="121"/>
      <c r="AT157" s="121"/>
    </row>
    <row r="158" spans="38:46" s="121" customFormat="1" ht="12.75">
      <c r="AN158" s="222" t="s">
        <v>40</v>
      </c>
      <c r="AO158" s="502" t="s">
        <v>348</v>
      </c>
      <c r="AP158" s="254"/>
      <c r="AQ158" s="321"/>
      <c r="AR158" s="258"/>
    </row>
    <row r="159" spans="38:46" s="121" customFormat="1">
      <c r="AN159" s="222" t="s">
        <v>41</v>
      </c>
      <c r="AO159" s="502" t="s">
        <v>372</v>
      </c>
      <c r="AP159" s="257">
        <f>SUMIF(AQ$8:AR$8,"NO_TRANSPORT",AQ159:AR159)</f>
        <v>0</v>
      </c>
      <c r="AQ159" s="321"/>
      <c r="AR159" s="258"/>
    </row>
    <row r="160" spans="38:46" s="121" customFormat="1" ht="0.75" customHeight="1">
      <c r="AN160" s="222"/>
      <c r="AO160" s="502"/>
      <c r="AP160" s="323"/>
      <c r="AQ160" s="321"/>
      <c r="AR160" s="258"/>
    </row>
    <row r="161" spans="1:46" s="121" customFormat="1">
      <c r="AN161" s="722" t="s">
        <v>2664</v>
      </c>
      <c r="AO161" s="721" t="s">
        <v>2724</v>
      </c>
      <c r="AP161" s="257">
        <f>SUMIF(AQ$14:AR$14,AP$14,AQ161:AR161)</f>
        <v>0</v>
      </c>
      <c r="AQ161" s="321"/>
      <c r="AR161" s="258"/>
    </row>
    <row r="162" spans="1:46" s="121" customFormat="1" hidden="1">
      <c r="AN162" s="222"/>
      <c r="AO162" s="502"/>
      <c r="AP162" s="323"/>
      <c r="AQ162" s="321"/>
      <c r="AR162" s="258"/>
    </row>
    <row r="163" spans="1:46" s="121" customFormat="1" hidden="1">
      <c r="AN163" s="222"/>
      <c r="AO163" s="502"/>
      <c r="AP163" s="323"/>
      <c r="AQ163" s="321"/>
      <c r="AR163" s="258"/>
    </row>
    <row r="164" spans="1:46" ht="0.75" customHeight="1">
      <c r="AL164" s="121"/>
      <c r="AM164" s="121"/>
      <c r="AN164" s="223"/>
      <c r="AO164" s="216"/>
      <c r="AP164" s="543"/>
      <c r="AQ164" s="523"/>
      <c r="AR164" s="265"/>
      <c r="AS164" s="121"/>
      <c r="AT164" s="121"/>
    </row>
    <row r="165" spans="1:46" s="54" customFormat="1">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48"/>
      <c r="AS165" s="121"/>
      <c r="AT165" s="121"/>
    </row>
    <row r="166" spans="1:46" s="54" customFormat="1">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47"/>
      <c r="AR166" s="47"/>
      <c r="AS166" s="121"/>
      <c r="AT166" s="121"/>
    </row>
    <row r="167" spans="1:46">
      <c r="AL167" s="121"/>
      <c r="AM167" s="121"/>
    </row>
  </sheetData>
  <sheetProtection password="FA9C" sheet="1" objects="1" scenarios="1" formatColumns="0" formatRows="0"/>
  <mergeCells count="4">
    <mergeCell ref="AN9:AP9"/>
    <mergeCell ref="AN11:AN12"/>
    <mergeCell ref="AO11:AO12"/>
    <mergeCell ref="AP11:AP12"/>
  </mergeCells>
  <phoneticPr fontId="8"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sheetPr codeName="VSNA_ConR_PERIOD2">
    <tabColor rgb="FF7030A0"/>
    <outlinePr summaryBelow="0"/>
  </sheetPr>
  <dimension ref="A1:AT167"/>
  <sheetViews>
    <sheetView showGridLines="0" topLeftCell="AL8" workbookViewId="0"/>
  </sheetViews>
  <sheetFormatPr defaultColWidth="8.7109375" defaultRowHeight="11.25"/>
  <cols>
    <col min="1" max="37" width="2.7109375" style="121"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4" width="0.140625" style="47" customWidth="1"/>
    <col min="45" max="46" width="2.7109375" style="47" customWidth="1"/>
    <col min="47" max="16384" width="8.7109375" style="47"/>
  </cols>
  <sheetData>
    <row r="1" spans="1:46" ht="12" hidden="1" customHeight="1">
      <c r="A1" s="47"/>
      <c r="B1" s="47"/>
      <c r="C1" s="47"/>
      <c r="D1" s="47"/>
      <c r="E1" s="47"/>
      <c r="F1" s="47"/>
      <c r="G1" s="47"/>
      <c r="H1" s="47"/>
      <c r="I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row>
    <row r="2" spans="1:46" ht="12" hidden="1" customHeight="1">
      <c r="A2" s="47"/>
      <c r="B2" s="47"/>
      <c r="C2" s="47"/>
      <c r="D2" s="47"/>
      <c r="E2" s="47"/>
      <c r="F2" s="47"/>
      <c r="G2" s="47"/>
      <c r="H2" s="47"/>
      <c r="I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row>
    <row r="3" spans="1:46" ht="12" hidden="1" customHeight="1">
      <c r="A3" s="47"/>
      <c r="B3" s="47"/>
      <c r="C3" s="47"/>
      <c r="D3" s="47"/>
      <c r="E3" s="47"/>
      <c r="F3" s="47"/>
      <c r="G3" s="47"/>
      <c r="H3" s="47"/>
      <c r="I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row>
    <row r="4" spans="1:46" ht="12" hidden="1" customHeight="1">
      <c r="A4" s="47"/>
      <c r="B4" s="47"/>
      <c r="C4" s="47"/>
      <c r="D4" s="47"/>
      <c r="E4" s="47"/>
      <c r="F4" s="47"/>
      <c r="G4" s="47"/>
      <c r="H4" s="47"/>
      <c r="I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row>
    <row r="5" spans="1:46" ht="12" hidden="1" customHeight="1">
      <c r="A5" s="47"/>
      <c r="B5" s="47"/>
      <c r="C5" s="47"/>
      <c r="D5" s="47"/>
      <c r="E5" s="47"/>
      <c r="F5" s="47"/>
      <c r="G5" s="47"/>
      <c r="H5" s="47"/>
      <c r="I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row>
    <row r="6" spans="1:46" ht="12" hidden="1" customHeight="1">
      <c r="A6" s="47"/>
      <c r="B6" s="47"/>
      <c r="C6" s="47"/>
      <c r="D6" s="47"/>
      <c r="E6" s="47"/>
      <c r="F6" s="47"/>
      <c r="G6" s="47"/>
      <c r="H6" s="47"/>
      <c r="I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row>
    <row r="7" spans="1:46" ht="12" hidden="1" customHeight="1">
      <c r="A7" s="47"/>
      <c r="B7" s="47"/>
      <c r="C7" s="47"/>
      <c r="D7" s="47"/>
      <c r="E7" s="47"/>
      <c r="F7" s="47"/>
      <c r="G7" s="47"/>
      <c r="H7" s="47"/>
      <c r="I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row>
    <row r="8" spans="1:46" s="520" customFormat="1" ht="11.25" customHeight="1">
      <c r="J8" s="521"/>
      <c r="AM8" s="522"/>
      <c r="AN8" s="637">
        <f>IF(TARIFF_SETUP_METHOD_CODE="BY_PSEUDO_YEARS",12,IF(TEMPLATE_CLAIM="P",6,2))</f>
        <v>2</v>
      </c>
      <c r="AO8" s="431" t="str">
        <f>"Необходимо указывать " &amp; IF(TARIFF_SETUP_METHOD_CODE="BY_PSEUDO_YEARS","общегодовые значения","значения по периодам")</f>
        <v>Необходимо указывать значения по периодам</v>
      </c>
      <c r="AP8" s="616" t="s">
        <v>2497</v>
      </c>
      <c r="AQ8" s="522"/>
      <c r="AR8" s="522"/>
      <c r="AS8" s="522"/>
    </row>
    <row r="9" spans="1:46"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на реализацию " &amp; RESOURCE_IDENTIFIER &amp; " конечным потребителям по муниципальному образованию - " &amp; IF(mo="","Не определено",mo)</f>
        <v>Фактические расходы организаций водоотведения на реализацию стоков конечным потребителям по муниципальному образованию - Село Булава</v>
      </c>
      <c r="AO9" s="917"/>
      <c r="AP9" s="917"/>
      <c r="AQ9" s="201"/>
      <c r="AR9" s="122"/>
      <c r="AS9" s="200"/>
    </row>
    <row r="10" spans="1:46" ht="12" customHeight="1">
      <c r="A10" s="47"/>
      <c r="B10" s="47"/>
      <c r="C10" s="47"/>
      <c r="D10" s="47"/>
      <c r="E10" s="47"/>
      <c r="F10" s="47"/>
      <c r="G10" s="47"/>
      <c r="H10" s="47"/>
      <c r="I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M10" s="124"/>
      <c r="AN10" s="491" t="str">
        <f>IF(TEMPLATE_CLAIM="P","01.07 - 31.12","01.07 - 31.08")</f>
        <v>01.07 - 31.08</v>
      </c>
      <c r="AO10" s="221"/>
      <c r="AP10" s="122" t="s">
        <v>786</v>
      </c>
      <c r="AQ10" s="201"/>
      <c r="AR10" s="168" t="s">
        <v>720</v>
      </c>
      <c r="AS10" s="53"/>
    </row>
    <row r="11" spans="1:46" ht="12" customHeight="1">
      <c r="A11" s="47"/>
      <c r="B11" s="47"/>
      <c r="C11" s="47"/>
      <c r="D11" s="47"/>
      <c r="E11" s="47"/>
      <c r="F11" s="47"/>
      <c r="G11" s="47"/>
      <c r="H11" s="47"/>
      <c r="I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50"/>
      <c r="AM11" s="125"/>
      <c r="AN11" s="802" t="s">
        <v>641</v>
      </c>
      <c r="AO11" s="804" t="s">
        <v>787</v>
      </c>
      <c r="AP11" s="806" t="s">
        <v>778</v>
      </c>
      <c r="AQ11" s="206">
        <v>0</v>
      </c>
      <c r="AR11" s="206"/>
      <c r="AS11" s="220"/>
    </row>
    <row r="12" spans="1:46" ht="48" customHeight="1">
      <c r="A12" s="47"/>
      <c r="B12" s="47"/>
      <c r="C12" s="47"/>
      <c r="D12" s="47"/>
      <c r="E12" s="47"/>
      <c r="F12" s="47"/>
      <c r="G12" s="47"/>
      <c r="H12" s="47"/>
      <c r="I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50"/>
      <c r="AM12" s="125"/>
      <c r="AN12" s="803"/>
      <c r="AO12" s="805"/>
      <c r="AP12" s="807"/>
      <c r="AQ12" s="207"/>
      <c r="AR12" s="207"/>
      <c r="AS12" s="121"/>
      <c r="AT12" s="121"/>
    </row>
    <row r="13" spans="1:46">
      <c r="A13" s="47"/>
      <c r="B13" s="47"/>
      <c r="C13" s="47"/>
      <c r="D13" s="47"/>
      <c r="E13" s="47"/>
      <c r="F13" s="47"/>
      <c r="G13" s="47"/>
      <c r="H13" s="47"/>
      <c r="I13" s="47"/>
      <c r="AL13" s="121"/>
      <c r="AM13" s="121"/>
      <c r="AN13" s="222"/>
      <c r="AO13" s="501" t="s">
        <v>788</v>
      </c>
      <c r="AP13" s="542"/>
      <c r="AQ13" s="330"/>
      <c r="AR13" s="207"/>
      <c r="AS13" s="121"/>
      <c r="AT13" s="121"/>
    </row>
    <row r="14" spans="1:46" ht="24" customHeight="1">
      <c r="A14" s="47"/>
      <c r="B14" s="47"/>
      <c r="C14" s="47"/>
      <c r="D14" s="47"/>
      <c r="E14" s="47"/>
      <c r="F14" s="47"/>
      <c r="G14" s="47"/>
      <c r="H14" s="47"/>
      <c r="I14" s="47"/>
      <c r="AL14" s="121"/>
      <c r="AM14" s="121"/>
      <c r="AN14" s="222"/>
      <c r="AO14" s="556" t="str">
        <f>IF(CALC_IDENTIFIER="","",CALC_IDENTIFIER)</f>
        <v/>
      </c>
      <c r="AP14" s="557" t="s">
        <v>745</v>
      </c>
      <c r="AQ14" s="330"/>
      <c r="AR14" s="207"/>
      <c r="AS14" s="121"/>
      <c r="AT14" s="121"/>
    </row>
    <row r="15" spans="1:46" ht="0.75" customHeight="1">
      <c r="AL15" s="121"/>
      <c r="AM15" s="121"/>
      <c r="AN15" s="504"/>
      <c r="AO15" s="566"/>
      <c r="AP15" s="504"/>
      <c r="AQ15" s="321"/>
      <c r="AR15" s="258"/>
      <c r="AS15" s="121"/>
      <c r="AT15" s="121"/>
    </row>
    <row r="16" spans="1:46" ht="0.75" customHeight="1">
      <c r="AL16" s="121"/>
      <c r="AM16" s="121"/>
      <c r="AN16" s="504"/>
      <c r="AO16" s="527"/>
      <c r="AP16" s="504"/>
      <c r="AQ16" s="321"/>
      <c r="AR16" s="258"/>
      <c r="AS16" s="121"/>
      <c r="AT16" s="121"/>
    </row>
    <row r="17" spans="38:46">
      <c r="AL17" s="121"/>
      <c r="AM17" s="121"/>
      <c r="AN17" s="504" t="s">
        <v>751</v>
      </c>
      <c r="AO17" s="526" t="s">
        <v>2814</v>
      </c>
      <c r="AP17" s="257">
        <f>SUMIF(AQ$14:AR$14,AP$14,AQ17:AR17)</f>
        <v>0</v>
      </c>
      <c r="AQ17" s="321"/>
      <c r="AR17" s="258"/>
      <c r="AS17" s="121"/>
      <c r="AT17" s="121"/>
    </row>
    <row r="18" spans="38:46">
      <c r="AL18" s="121"/>
      <c r="AM18" s="121"/>
      <c r="AN18" s="504" t="s">
        <v>66</v>
      </c>
      <c r="AO18" s="527" t="s">
        <v>2815</v>
      </c>
      <c r="AP18" s="257">
        <f>SUMIF(AQ$14:AR$14,AP$14,AQ18:AR18)</f>
        <v>0</v>
      </c>
      <c r="AQ18" s="321"/>
      <c r="AR18" s="258"/>
      <c r="AS18" s="121"/>
      <c r="AT18" s="121"/>
    </row>
    <row r="19" spans="38:46">
      <c r="AL19" s="121"/>
      <c r="AM19" s="121"/>
      <c r="AN19" s="504" t="s">
        <v>632</v>
      </c>
      <c r="AO19" s="528" t="s">
        <v>2816</v>
      </c>
      <c r="AP19" s="257">
        <f>SUMIF(AQ$14:AR$14,AP$14,AQ19:AR19)</f>
        <v>0</v>
      </c>
      <c r="AQ19" s="321"/>
      <c r="AR19" s="258"/>
      <c r="AS19" s="121"/>
      <c r="AT19" s="121"/>
    </row>
    <row r="20" spans="38:46">
      <c r="AL20" s="121"/>
      <c r="AM20" s="121"/>
      <c r="AN20" s="223" t="s">
        <v>2817</v>
      </c>
      <c r="AO20" s="529" t="s">
        <v>2972</v>
      </c>
      <c r="AP20" s="257">
        <f>SUMIF(AQ$14:AR$14,AP$14,AQ20:AR20)</f>
        <v>0</v>
      </c>
      <c r="AQ20" s="321"/>
      <c r="AR20" s="258"/>
      <c r="AS20" s="121"/>
      <c r="AT20" s="121"/>
    </row>
    <row r="21" spans="38:46">
      <c r="AL21" s="121"/>
      <c r="AM21" s="121"/>
      <c r="AN21" s="223" t="s">
        <v>2818</v>
      </c>
      <c r="AO21" s="529" t="s">
        <v>2988</v>
      </c>
      <c r="AP21" s="257">
        <f>SUMIF(AQ$14:AR$14,AP$14,AQ21:AR21)</f>
        <v>0</v>
      </c>
      <c r="AQ21" s="321"/>
      <c r="AR21" s="258"/>
      <c r="AS21" s="121"/>
      <c r="AT21" s="121"/>
    </row>
    <row r="22" spans="38:46" hidden="1">
      <c r="AL22" s="121"/>
      <c r="AM22" s="121"/>
      <c r="AN22" s="223"/>
      <c r="AO22" s="529"/>
      <c r="AP22" s="524"/>
      <c r="AQ22" s="321"/>
      <c r="AR22" s="258"/>
      <c r="AS22" s="121"/>
      <c r="AT22" s="121"/>
    </row>
    <row r="23" spans="38:46" hidden="1">
      <c r="AL23" s="121"/>
      <c r="AM23" s="121"/>
      <c r="AN23" s="524"/>
      <c r="AO23" s="530"/>
      <c r="AP23" s="524"/>
      <c r="AQ23" s="321"/>
      <c r="AR23" s="258"/>
      <c r="AS23" s="121"/>
      <c r="AT23" s="121"/>
    </row>
    <row r="24" spans="38:46" hidden="1">
      <c r="AL24" s="121"/>
      <c r="AM24" s="121"/>
      <c r="AN24" s="524"/>
      <c r="AO24" s="530"/>
      <c r="AP24" s="524"/>
      <c r="AQ24" s="321"/>
      <c r="AR24" s="258"/>
      <c r="AS24" s="121"/>
      <c r="AT24" s="121"/>
    </row>
    <row r="25" spans="38:46" hidden="1">
      <c r="AL25" s="121"/>
      <c r="AM25" s="121"/>
      <c r="AN25" s="223"/>
      <c r="AO25" s="531"/>
      <c r="AP25" s="524"/>
      <c r="AQ25" s="321"/>
      <c r="AR25" s="258"/>
      <c r="AS25" s="121"/>
      <c r="AT25" s="121"/>
    </row>
    <row r="26" spans="38:46" hidden="1">
      <c r="AL26" s="121"/>
      <c r="AM26" s="121"/>
      <c r="AN26" s="524"/>
      <c r="AO26" s="530"/>
      <c r="AP26" s="524"/>
      <c r="AQ26" s="321"/>
      <c r="AR26" s="258"/>
      <c r="AS26" s="121"/>
      <c r="AT26" s="121"/>
    </row>
    <row r="27" spans="38:46" hidden="1">
      <c r="AL27" s="121"/>
      <c r="AM27" s="121"/>
      <c r="AN27" s="524"/>
      <c r="AO27" s="530"/>
      <c r="AP27" s="524"/>
      <c r="AQ27" s="321"/>
      <c r="AR27" s="258"/>
      <c r="AS27" s="121"/>
      <c r="AT27" s="121"/>
    </row>
    <row r="28" spans="38:46" hidden="1">
      <c r="AL28" s="121"/>
      <c r="AM28" s="121"/>
      <c r="AN28" s="223"/>
      <c r="AO28" s="529"/>
      <c r="AP28" s="524"/>
      <c r="AQ28" s="321"/>
      <c r="AR28" s="258"/>
      <c r="AS28" s="121"/>
      <c r="AT28" s="121"/>
    </row>
    <row r="29" spans="38:46" hidden="1">
      <c r="AL29" s="121"/>
      <c r="AM29" s="121"/>
      <c r="AN29" s="524"/>
      <c r="AO29" s="530"/>
      <c r="AP29" s="524"/>
      <c r="AQ29" s="321"/>
      <c r="AR29" s="258"/>
      <c r="AS29" s="121"/>
      <c r="AT29" s="121"/>
    </row>
    <row r="30" spans="38:46" hidden="1">
      <c r="AL30" s="121"/>
      <c r="AM30" s="121"/>
      <c r="AN30" s="524"/>
      <c r="AO30" s="530"/>
      <c r="AP30" s="524"/>
      <c r="AQ30" s="321"/>
      <c r="AR30" s="258"/>
      <c r="AS30" s="121"/>
      <c r="AT30" s="121"/>
    </row>
    <row r="31" spans="38:46" hidden="1">
      <c r="AL31" s="121"/>
      <c r="AM31" s="121"/>
      <c r="AN31" s="223"/>
      <c r="AO31" s="531"/>
      <c r="AP31" s="524"/>
      <c r="AQ31" s="321"/>
      <c r="AR31" s="258"/>
      <c r="AS31" s="121"/>
      <c r="AT31" s="121"/>
    </row>
    <row r="32" spans="38:46" hidden="1">
      <c r="AL32" s="121"/>
      <c r="AM32" s="121"/>
      <c r="AN32" s="524"/>
      <c r="AO32" s="530"/>
      <c r="AP32" s="524"/>
      <c r="AQ32" s="321"/>
      <c r="AR32" s="258"/>
      <c r="AS32" s="121"/>
      <c r="AT32" s="121"/>
    </row>
    <row r="33" spans="38:46" hidden="1">
      <c r="AL33" s="121"/>
      <c r="AM33" s="121"/>
      <c r="AN33" s="524"/>
      <c r="AO33" s="530"/>
      <c r="AP33" s="524"/>
      <c r="AQ33" s="321"/>
      <c r="AR33" s="258"/>
      <c r="AS33" s="121"/>
      <c r="AT33" s="121"/>
    </row>
    <row r="34" spans="38:46" hidden="1">
      <c r="AL34" s="121"/>
      <c r="AM34" s="121"/>
      <c r="AN34" s="223"/>
      <c r="AO34" s="529"/>
      <c r="AP34" s="524"/>
      <c r="AQ34" s="321"/>
      <c r="AR34" s="258"/>
      <c r="AS34" s="121"/>
      <c r="AT34" s="121"/>
    </row>
    <row r="35" spans="38:46" hidden="1">
      <c r="AL35" s="121"/>
      <c r="AM35" s="121"/>
      <c r="AN35" s="524"/>
      <c r="AO35" s="530"/>
      <c r="AP35" s="524"/>
      <c r="AQ35" s="321"/>
      <c r="AR35" s="258"/>
      <c r="AS35" s="121"/>
      <c r="AT35" s="121"/>
    </row>
    <row r="36" spans="38:46" hidden="1">
      <c r="AL36" s="121"/>
      <c r="AM36" s="121"/>
      <c r="AN36" s="524"/>
      <c r="AO36" s="530"/>
      <c r="AP36" s="524"/>
      <c r="AQ36" s="321"/>
      <c r="AR36" s="258"/>
      <c r="AS36" s="121"/>
      <c r="AT36" s="121"/>
    </row>
    <row r="37" spans="38:46" hidden="1">
      <c r="AL37" s="121"/>
      <c r="AM37" s="121"/>
      <c r="AN37" s="223"/>
      <c r="AO37" s="531"/>
      <c r="AP37" s="524"/>
      <c r="AQ37" s="321"/>
      <c r="AR37" s="258"/>
      <c r="AS37" s="121"/>
      <c r="AT37" s="121"/>
    </row>
    <row r="38" spans="38:46" hidden="1">
      <c r="AL38" s="121"/>
      <c r="AM38" s="121"/>
      <c r="AN38" s="524"/>
      <c r="AO38" s="530"/>
      <c r="AP38" s="524"/>
      <c r="AQ38" s="321"/>
      <c r="AR38" s="258"/>
      <c r="AS38" s="121"/>
      <c r="AT38" s="121"/>
    </row>
    <row r="39" spans="38:46" hidden="1">
      <c r="AL39" s="121"/>
      <c r="AM39" s="121"/>
      <c r="AN39" s="524"/>
      <c r="AO39" s="530"/>
      <c r="AP39" s="524"/>
      <c r="AQ39" s="321"/>
      <c r="AR39" s="258"/>
      <c r="AS39" s="121"/>
      <c r="AT39" s="121"/>
    </row>
    <row r="40" spans="38:46" hidden="1">
      <c r="AL40" s="121"/>
      <c r="AM40" s="121"/>
      <c r="AN40" s="223"/>
      <c r="AO40" s="529"/>
      <c r="AP40" s="524"/>
      <c r="AQ40" s="321"/>
      <c r="AR40" s="258"/>
      <c r="AS40" s="121"/>
      <c r="AT40" s="121"/>
    </row>
    <row r="41" spans="38:46" hidden="1">
      <c r="AL41" s="121"/>
      <c r="AM41" s="121"/>
      <c r="AN41" s="524"/>
      <c r="AO41" s="530"/>
      <c r="AP41" s="524"/>
      <c r="AQ41" s="321"/>
      <c r="AR41" s="258"/>
      <c r="AS41" s="121"/>
      <c r="AT41" s="121"/>
    </row>
    <row r="42" spans="38:46" hidden="1">
      <c r="AL42" s="121"/>
      <c r="AM42" s="121"/>
      <c r="AN42" s="524"/>
      <c r="AO42" s="530"/>
      <c r="AP42" s="524"/>
      <c r="AQ42" s="321"/>
      <c r="AR42" s="258"/>
      <c r="AS42" s="121"/>
      <c r="AT42" s="121"/>
    </row>
    <row r="43" spans="38:46" hidden="1">
      <c r="AL43" s="121"/>
      <c r="AM43" s="121"/>
      <c r="AN43" s="223"/>
      <c r="AO43" s="531"/>
      <c r="AP43" s="524"/>
      <c r="AQ43" s="321"/>
      <c r="AR43" s="258"/>
      <c r="AS43" s="121"/>
      <c r="AT43" s="121"/>
    </row>
    <row r="44" spans="38:46" hidden="1">
      <c r="AL44" s="121"/>
      <c r="AM44" s="121"/>
      <c r="AN44" s="524"/>
      <c r="AO44" s="530"/>
      <c r="AP44" s="524"/>
      <c r="AQ44" s="321"/>
      <c r="AR44" s="258"/>
      <c r="AS44" s="121"/>
      <c r="AT44" s="121"/>
    </row>
    <row r="45" spans="38:46" hidden="1">
      <c r="AL45" s="121"/>
      <c r="AM45" s="121"/>
      <c r="AN45" s="524"/>
      <c r="AO45" s="530"/>
      <c r="AP45" s="524"/>
      <c r="AQ45" s="321"/>
      <c r="AR45" s="258"/>
      <c r="AS45" s="121"/>
      <c r="AT45" s="121"/>
    </row>
    <row r="46" spans="38:46">
      <c r="AL46" s="121"/>
      <c r="AM46" s="121"/>
      <c r="AN46" s="504" t="s">
        <v>633</v>
      </c>
      <c r="AO46" s="532" t="s">
        <v>2819</v>
      </c>
      <c r="AP46" s="257">
        <f t="shared" ref="AP46:AP55" si="0">SUMIF(AQ$14:AR$14,AP$14,AQ46:AR46)</f>
        <v>0</v>
      </c>
      <c r="AQ46" s="321"/>
      <c r="AR46" s="258"/>
      <c r="AS46" s="121"/>
      <c r="AT46" s="121"/>
    </row>
    <row r="47" spans="38:46">
      <c r="AL47" s="121"/>
      <c r="AM47" s="121"/>
      <c r="AN47" s="504" t="s">
        <v>69</v>
      </c>
      <c r="AO47" s="527" t="s">
        <v>2820</v>
      </c>
      <c r="AP47" s="257">
        <f t="shared" si="0"/>
        <v>0</v>
      </c>
      <c r="AQ47" s="321"/>
      <c r="AR47" s="258"/>
      <c r="AS47" s="121"/>
      <c r="AT47" s="121"/>
    </row>
    <row r="48" spans="38:46">
      <c r="AL48" s="121"/>
      <c r="AM48" s="121"/>
      <c r="AN48" s="504" t="s">
        <v>72</v>
      </c>
      <c r="AO48" s="527" t="s">
        <v>2471</v>
      </c>
      <c r="AP48" s="257">
        <f t="shared" si="0"/>
        <v>0</v>
      </c>
      <c r="AQ48" s="321"/>
      <c r="AR48" s="258"/>
      <c r="AS48" s="121"/>
      <c r="AT48" s="121"/>
    </row>
    <row r="49" spans="38:46">
      <c r="AL49" s="121"/>
      <c r="AM49" s="121"/>
      <c r="AN49" s="504" t="s">
        <v>2821</v>
      </c>
      <c r="AO49" s="527" t="s">
        <v>2822</v>
      </c>
      <c r="AP49" s="257">
        <f t="shared" si="0"/>
        <v>0</v>
      </c>
      <c r="AQ49" s="321"/>
      <c r="AR49" s="258"/>
      <c r="AS49" s="121"/>
      <c r="AT49" s="121"/>
    </row>
    <row r="50" spans="38:46">
      <c r="AL50" s="121"/>
      <c r="AM50" s="121"/>
      <c r="AN50" s="504" t="s">
        <v>888</v>
      </c>
      <c r="AO50" s="528" t="s">
        <v>2823</v>
      </c>
      <c r="AP50" s="257">
        <f t="shared" si="0"/>
        <v>0</v>
      </c>
      <c r="AQ50" s="321"/>
      <c r="AR50" s="258"/>
      <c r="AS50" s="121"/>
      <c r="AT50" s="121"/>
    </row>
    <row r="51" spans="38:46">
      <c r="AL51" s="121"/>
      <c r="AM51" s="121"/>
      <c r="AN51" s="504" t="s">
        <v>889</v>
      </c>
      <c r="AO51" s="528" t="s">
        <v>2824</v>
      </c>
      <c r="AP51" s="257">
        <f t="shared" si="0"/>
        <v>0</v>
      </c>
      <c r="AQ51" s="321"/>
      <c r="AR51" s="258"/>
      <c r="AS51" s="121"/>
      <c r="AT51" s="121"/>
    </row>
    <row r="52" spans="38:46">
      <c r="AL52" s="121"/>
      <c r="AM52" s="121"/>
      <c r="AN52" s="504" t="s">
        <v>890</v>
      </c>
      <c r="AO52" s="528" t="s">
        <v>2825</v>
      </c>
      <c r="AP52" s="257">
        <f t="shared" si="0"/>
        <v>0</v>
      </c>
      <c r="AQ52" s="321"/>
      <c r="AR52" s="258"/>
      <c r="AS52" s="121"/>
      <c r="AT52" s="121"/>
    </row>
    <row r="53" spans="38:46">
      <c r="AL53" s="121"/>
      <c r="AM53" s="121"/>
      <c r="AN53" s="504" t="s">
        <v>2826</v>
      </c>
      <c r="AO53" s="527" t="s">
        <v>2827</v>
      </c>
      <c r="AP53" s="257">
        <f t="shared" si="0"/>
        <v>0</v>
      </c>
      <c r="AQ53" s="321"/>
      <c r="AR53" s="258"/>
      <c r="AS53" s="121"/>
      <c r="AT53" s="121"/>
    </row>
    <row r="54" spans="38:46">
      <c r="AL54" s="121"/>
      <c r="AM54" s="121"/>
      <c r="AN54" s="504" t="s">
        <v>2828</v>
      </c>
      <c r="AO54" s="527" t="s">
        <v>2829</v>
      </c>
      <c r="AP54" s="257">
        <f t="shared" si="0"/>
        <v>0</v>
      </c>
      <c r="AQ54" s="321"/>
      <c r="AR54" s="258"/>
      <c r="AS54" s="121"/>
      <c r="AT54" s="121"/>
    </row>
    <row r="55" spans="38:46">
      <c r="AL55" s="121"/>
      <c r="AM55" s="121"/>
      <c r="AN55" s="504" t="s">
        <v>2830</v>
      </c>
      <c r="AO55" s="527" t="s">
        <v>2831</v>
      </c>
      <c r="AP55" s="257">
        <f t="shared" si="0"/>
        <v>0</v>
      </c>
      <c r="AQ55" s="321"/>
      <c r="AR55" s="258"/>
      <c r="AS55" s="121"/>
      <c r="AT55" s="121"/>
    </row>
    <row r="56" spans="38:46" hidden="1">
      <c r="AL56" s="121"/>
      <c r="AM56" s="121"/>
      <c r="AN56" s="279"/>
      <c r="AO56" s="558"/>
      <c r="AP56" s="222"/>
      <c r="AQ56" s="321"/>
      <c r="AR56" s="258"/>
      <c r="AS56" s="121"/>
      <c r="AT56" s="121"/>
    </row>
    <row r="57" spans="38:46" hidden="1">
      <c r="AL57" s="121"/>
      <c r="AM57" s="121"/>
      <c r="AN57" s="279"/>
      <c r="AO57" s="558"/>
      <c r="AP57" s="222"/>
      <c r="AQ57" s="321"/>
      <c r="AR57" s="258"/>
      <c r="AS57" s="121"/>
      <c r="AT57" s="121"/>
    </row>
    <row r="58" spans="38:46" hidden="1">
      <c r="AL58" s="121"/>
      <c r="AM58" s="121"/>
      <c r="AN58" s="279"/>
      <c r="AO58" s="558"/>
      <c r="AP58" s="222"/>
      <c r="AQ58" s="321"/>
      <c r="AR58" s="258"/>
      <c r="AS58" s="121"/>
      <c r="AT58" s="121"/>
    </row>
    <row r="59" spans="38:46">
      <c r="AL59" s="121"/>
      <c r="AM59" s="121"/>
      <c r="AN59" s="222" t="s">
        <v>2832</v>
      </c>
      <c r="AO59" s="533" t="s">
        <v>1832</v>
      </c>
      <c r="AP59" s="257">
        <f>SUMIF(AQ$14:AR$14,AP$14,AQ59:AR59)</f>
        <v>0</v>
      </c>
      <c r="AQ59" s="321"/>
      <c r="AR59" s="258"/>
      <c r="AS59" s="121"/>
      <c r="AT59" s="121"/>
    </row>
    <row r="60" spans="38:46" hidden="1">
      <c r="AL60" s="121"/>
      <c r="AM60" s="121"/>
      <c r="AN60" s="222"/>
      <c r="AO60" s="529"/>
      <c r="AP60" s="222"/>
      <c r="AQ60" s="321"/>
      <c r="AR60" s="258"/>
      <c r="AS60" s="121"/>
      <c r="AT60" s="121"/>
    </row>
    <row r="61" spans="38:46" hidden="1">
      <c r="AL61" s="121"/>
      <c r="AM61" s="121"/>
      <c r="AN61" s="222"/>
      <c r="AO61" s="529"/>
      <c r="AP61" s="222"/>
      <c r="AQ61" s="321"/>
      <c r="AR61" s="258"/>
      <c r="AS61" s="121"/>
      <c r="AT61" s="121"/>
    </row>
    <row r="62" spans="38:46" hidden="1">
      <c r="AL62" s="121"/>
      <c r="AM62" s="121"/>
      <c r="AN62" s="222"/>
      <c r="AO62" s="558"/>
      <c r="AP62" s="222"/>
      <c r="AQ62" s="321"/>
      <c r="AR62" s="258"/>
      <c r="AS62" s="121"/>
      <c r="AT62" s="121"/>
    </row>
    <row r="63" spans="38:46" hidden="1">
      <c r="AL63" s="121"/>
      <c r="AM63" s="121"/>
      <c r="AN63" s="222"/>
      <c r="AO63" s="558"/>
      <c r="AP63" s="222"/>
      <c r="AQ63" s="321"/>
      <c r="AR63" s="258"/>
      <c r="AS63" s="121"/>
      <c r="AT63" s="121"/>
    </row>
    <row r="64" spans="38:46" hidden="1">
      <c r="AL64" s="121"/>
      <c r="AM64" s="121"/>
      <c r="AN64" s="222"/>
      <c r="AO64" s="558"/>
      <c r="AP64" s="222"/>
      <c r="AQ64" s="321"/>
      <c r="AR64" s="258"/>
      <c r="AS64" s="121"/>
      <c r="AT64" s="121"/>
    </row>
    <row r="65" spans="38:46">
      <c r="AL65" s="121"/>
      <c r="AM65" s="121"/>
      <c r="AN65" s="222" t="s">
        <v>2835</v>
      </c>
      <c r="AO65" s="533" t="s">
        <v>1838</v>
      </c>
      <c r="AP65" s="257">
        <f>SUMIF(AQ$14:AR$14,AP$14,AQ65:AR65)</f>
        <v>0</v>
      </c>
      <c r="AQ65" s="321"/>
      <c r="AR65" s="258"/>
      <c r="AS65" s="121"/>
      <c r="AT65" s="121"/>
    </row>
    <row r="66" spans="38:46" hidden="1">
      <c r="AL66" s="121"/>
      <c r="AM66" s="121"/>
      <c r="AN66" s="222"/>
      <c r="AO66" s="534"/>
      <c r="AP66" s="222"/>
      <c r="AQ66" s="321"/>
      <c r="AR66" s="258"/>
      <c r="AS66" s="121"/>
      <c r="AT66" s="121"/>
    </row>
    <row r="67" spans="38:46" hidden="1">
      <c r="AL67" s="121"/>
      <c r="AM67" s="121"/>
      <c r="AN67" s="222"/>
      <c r="AO67" s="534"/>
      <c r="AP67" s="222"/>
      <c r="AQ67" s="321"/>
      <c r="AR67" s="258"/>
      <c r="AS67" s="121"/>
      <c r="AT67" s="121"/>
    </row>
    <row r="68" spans="38:46" hidden="1">
      <c r="AL68" s="121"/>
      <c r="AM68" s="121"/>
      <c r="AN68" s="222"/>
      <c r="AO68" s="558"/>
      <c r="AP68" s="222"/>
      <c r="AQ68" s="321"/>
      <c r="AR68" s="258"/>
      <c r="AS68" s="121"/>
      <c r="AT68" s="121"/>
    </row>
    <row r="69" spans="38:46" hidden="1">
      <c r="AL69" s="121"/>
      <c r="AM69" s="121"/>
      <c r="AN69" s="222"/>
      <c r="AO69" s="558"/>
      <c r="AP69" s="222"/>
      <c r="AQ69" s="321"/>
      <c r="AR69" s="258"/>
      <c r="AS69" s="121"/>
      <c r="AT69" s="121"/>
    </row>
    <row r="70" spans="38:46" hidden="1">
      <c r="AL70" s="121"/>
      <c r="AM70" s="121"/>
      <c r="AN70" s="222"/>
      <c r="AO70" s="558"/>
      <c r="AP70" s="222"/>
      <c r="AQ70" s="321"/>
      <c r="AR70" s="258"/>
      <c r="AS70" s="121"/>
      <c r="AT70" s="121"/>
    </row>
    <row r="71" spans="38:46">
      <c r="AL71" s="121"/>
      <c r="AM71" s="121"/>
      <c r="AN71" s="222" t="s">
        <v>2838</v>
      </c>
      <c r="AO71" s="533" t="s">
        <v>1843</v>
      </c>
      <c r="AP71" s="257">
        <f>SUMIF(AQ$14:AR$14,AP$14,AQ71:AR71)</f>
        <v>0</v>
      </c>
      <c r="AQ71" s="321"/>
      <c r="AR71" s="258"/>
      <c r="AS71" s="121"/>
      <c r="AT71" s="121"/>
    </row>
    <row r="72" spans="38:46" hidden="1">
      <c r="AL72" s="121"/>
      <c r="AM72" s="121"/>
      <c r="AN72" s="222"/>
      <c r="AO72" s="534"/>
      <c r="AP72" s="222"/>
      <c r="AQ72" s="321"/>
      <c r="AR72" s="258"/>
      <c r="AS72" s="121"/>
      <c r="AT72" s="121"/>
    </row>
    <row r="73" spans="38:46" hidden="1">
      <c r="AL73" s="121"/>
      <c r="AM73" s="121"/>
      <c r="AN73" s="222"/>
      <c r="AO73" s="534"/>
      <c r="AP73" s="222"/>
      <c r="AQ73" s="321"/>
      <c r="AR73" s="258"/>
      <c r="AS73" s="121"/>
      <c r="AT73" s="121"/>
    </row>
    <row r="74" spans="38:46">
      <c r="AL74" s="121"/>
      <c r="AM74" s="121"/>
      <c r="AN74" s="222" t="s">
        <v>2841</v>
      </c>
      <c r="AO74" s="533" t="s">
        <v>1849</v>
      </c>
      <c r="AP74" s="257">
        <f>SUMIF(AQ$14:AR$14,AP$14,AQ74:AR74)</f>
        <v>0</v>
      </c>
      <c r="AQ74" s="321"/>
      <c r="AR74" s="258"/>
      <c r="AS74" s="121"/>
      <c r="AT74" s="121"/>
    </row>
    <row r="75" spans="38:46" hidden="1">
      <c r="AL75" s="121"/>
      <c r="AM75" s="121"/>
      <c r="AN75" s="222"/>
      <c r="AO75" s="534"/>
      <c r="AP75" s="222"/>
      <c r="AQ75" s="321"/>
      <c r="AR75" s="258"/>
      <c r="AS75" s="121"/>
      <c r="AT75" s="121"/>
    </row>
    <row r="76" spans="38:46" hidden="1">
      <c r="AL76" s="121"/>
      <c r="AM76" s="121"/>
      <c r="AN76" s="222"/>
      <c r="AO76" s="529"/>
      <c r="AP76" s="222"/>
      <c r="AQ76" s="321"/>
      <c r="AR76" s="258"/>
      <c r="AS76" s="121"/>
      <c r="AT76" s="121"/>
    </row>
    <row r="77" spans="38:46" ht="22.5">
      <c r="AL77" s="121"/>
      <c r="AM77" s="121"/>
      <c r="AN77" s="222" t="s">
        <v>2844</v>
      </c>
      <c r="AO77" s="533" t="s">
        <v>1856</v>
      </c>
      <c r="AP77" s="257">
        <f>SUMIF(AQ$14:AR$14,AP$14,AQ77:AR77)</f>
        <v>0</v>
      </c>
      <c r="AQ77" s="321"/>
      <c r="AR77" s="258"/>
      <c r="AS77" s="121"/>
      <c r="AT77" s="121"/>
    </row>
    <row r="78" spans="38:46" hidden="1">
      <c r="AL78" s="121"/>
      <c r="AM78" s="121"/>
      <c r="AN78" s="222"/>
      <c r="AO78" s="534"/>
      <c r="AP78" s="222"/>
      <c r="AQ78" s="321"/>
      <c r="AR78" s="258"/>
      <c r="AS78" s="121"/>
      <c r="AT78" s="121"/>
    </row>
    <row r="79" spans="38:46" hidden="1">
      <c r="AL79" s="121"/>
      <c r="AM79" s="121"/>
      <c r="AN79" s="222"/>
      <c r="AO79" s="529"/>
      <c r="AP79" s="222"/>
      <c r="AQ79" s="321"/>
      <c r="AR79" s="258"/>
      <c r="AS79" s="121"/>
      <c r="AT79" s="121"/>
    </row>
    <row r="80" spans="38:46">
      <c r="AL80" s="121"/>
      <c r="AM80" s="121"/>
      <c r="AN80" s="504" t="s">
        <v>2847</v>
      </c>
      <c r="AO80" s="535" t="s">
        <v>2848</v>
      </c>
      <c r="AP80" s="257">
        <f t="shared" ref="AP80:AP85" si="1">SUMIF(AQ$14:AR$14,AP$14,AQ80:AR80)</f>
        <v>0</v>
      </c>
      <c r="AQ80" s="321"/>
      <c r="AR80" s="258"/>
      <c r="AS80" s="121"/>
      <c r="AT80" s="121"/>
    </row>
    <row r="81" spans="38:46" ht="22.5">
      <c r="AL81" s="121"/>
      <c r="AM81" s="121"/>
      <c r="AN81" s="504" t="s">
        <v>2849</v>
      </c>
      <c r="AO81" s="533" t="s">
        <v>2415</v>
      </c>
      <c r="AP81" s="257">
        <f t="shared" si="1"/>
        <v>0</v>
      </c>
      <c r="AQ81" s="321"/>
      <c r="AR81" s="258"/>
      <c r="AS81" s="121"/>
      <c r="AT81" s="121"/>
    </row>
    <row r="82" spans="38:46" ht="22.5">
      <c r="AL82" s="121"/>
      <c r="AM82" s="121"/>
      <c r="AN82" s="504" t="s">
        <v>2850</v>
      </c>
      <c r="AO82" s="533" t="s">
        <v>2417</v>
      </c>
      <c r="AP82" s="257">
        <f t="shared" si="1"/>
        <v>0</v>
      </c>
      <c r="AQ82" s="321"/>
      <c r="AR82" s="258"/>
      <c r="AS82" s="121"/>
      <c r="AT82" s="121"/>
    </row>
    <row r="83" spans="38:46" ht="22.5">
      <c r="AL83" s="121"/>
      <c r="AM83" s="121"/>
      <c r="AN83" s="504" t="s">
        <v>2316</v>
      </c>
      <c r="AO83" s="533" t="s">
        <v>2420</v>
      </c>
      <c r="AP83" s="257">
        <f t="shared" si="1"/>
        <v>0</v>
      </c>
      <c r="AQ83" s="321"/>
      <c r="AR83" s="258"/>
      <c r="AS83" s="121"/>
      <c r="AT83" s="121"/>
    </row>
    <row r="84" spans="38:46">
      <c r="AL84" s="121"/>
      <c r="AM84" s="121"/>
      <c r="AN84" s="504" t="s">
        <v>2317</v>
      </c>
      <c r="AO84" s="533" t="s">
        <v>2423</v>
      </c>
      <c r="AP84" s="257">
        <f t="shared" si="1"/>
        <v>0</v>
      </c>
      <c r="AQ84" s="321"/>
      <c r="AR84" s="258"/>
      <c r="AS84" s="121"/>
      <c r="AT84" s="121"/>
    </row>
    <row r="85" spans="38:46" ht="22.5">
      <c r="AL85" s="121"/>
      <c r="AM85" s="121"/>
      <c r="AN85" s="504" t="s">
        <v>2318</v>
      </c>
      <c r="AO85" s="533" t="s">
        <v>2426</v>
      </c>
      <c r="AP85" s="257">
        <f t="shared" si="1"/>
        <v>0</v>
      </c>
      <c r="AQ85" s="321"/>
      <c r="AR85" s="258"/>
      <c r="AS85" s="121"/>
      <c r="AT85" s="121"/>
    </row>
    <row r="86" spans="38:46">
      <c r="AL86" s="121"/>
      <c r="AM86" s="121"/>
      <c r="AN86" s="560" t="str">
        <f>IF(TEMPLATE_SPHERE="водоснабжения","2.9","")</f>
        <v/>
      </c>
      <c r="AO86" s="561" t="str">
        <f>IF(TEMPLATE_SPHERE="водоснабжения","Покупная вода","")</f>
        <v/>
      </c>
      <c r="AP86" s="257" t="str">
        <f>IF(TEMPLATE_SPHERE="водоснабжения",SUMIF(AQ$14:AR$14,AP$14,AQ86:AR86),"")</f>
        <v/>
      </c>
      <c r="AQ86" s="321"/>
      <c r="AR86" s="258"/>
      <c r="AS86" s="121"/>
      <c r="AT86" s="121"/>
    </row>
    <row r="87" spans="38:46" hidden="1">
      <c r="AL87" s="121"/>
      <c r="AM87" s="121"/>
      <c r="AN87" s="560"/>
      <c r="AO87" s="562"/>
      <c r="AP87" s="562"/>
      <c r="AQ87" s="321"/>
      <c r="AR87" s="258"/>
      <c r="AS87" s="121"/>
      <c r="AT87" s="121"/>
    </row>
    <row r="88" spans="38:46" hidden="1">
      <c r="AL88" s="121"/>
      <c r="AM88" s="121"/>
      <c r="AN88" s="560"/>
      <c r="AO88" s="562"/>
      <c r="AP88" s="562"/>
      <c r="AQ88" s="321"/>
      <c r="AR88" s="258"/>
      <c r="AS88" s="121"/>
      <c r="AT88" s="121"/>
    </row>
    <row r="89" spans="38:46" hidden="1">
      <c r="AL89" s="121"/>
      <c r="AM89" s="121"/>
      <c r="AN89" s="560"/>
      <c r="AO89" s="562"/>
      <c r="AP89" s="562"/>
      <c r="AQ89" s="321"/>
      <c r="AR89" s="258"/>
      <c r="AS89" s="121"/>
      <c r="AT89" s="121"/>
    </row>
    <row r="90" spans="38:46" ht="22.5">
      <c r="AL90" s="121"/>
      <c r="AM90" s="121"/>
      <c r="AN90" s="504" t="s">
        <v>2323</v>
      </c>
      <c r="AO90"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AP90" s="257">
        <f t="shared" ref="AP90:AP124" si="2">SUMIF(AQ$14:AR$14,AP$14,AQ90:AR90)</f>
        <v>0</v>
      </c>
      <c r="AQ90" s="321"/>
      <c r="AR90" s="258"/>
      <c r="AS90" s="121"/>
      <c r="AT90" s="121"/>
    </row>
    <row r="91" spans="38:46" ht="22.5">
      <c r="AL91" s="121"/>
      <c r="AM91" s="121"/>
      <c r="AN91" s="504" t="s">
        <v>2324</v>
      </c>
      <c r="AO91"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AP91" s="257">
        <f t="shared" si="2"/>
        <v>0</v>
      </c>
      <c r="AQ91" s="321"/>
      <c r="AR91" s="258"/>
      <c r="AS91" s="121"/>
      <c r="AT91" s="121"/>
    </row>
    <row r="92" spans="38:46" ht="22.5">
      <c r="AL92" s="121"/>
      <c r="AM92" s="121"/>
      <c r="AN92" s="504" t="s">
        <v>2325</v>
      </c>
      <c r="AO92"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AP92" s="257">
        <f t="shared" si="2"/>
        <v>0</v>
      </c>
      <c r="AQ92" s="321"/>
      <c r="AR92" s="258"/>
      <c r="AS92" s="121"/>
      <c r="AT92" s="121"/>
    </row>
    <row r="93" spans="38:46">
      <c r="AL93" s="121"/>
      <c r="AM93" s="121"/>
      <c r="AN93" s="504" t="s">
        <v>2326</v>
      </c>
      <c r="AO93" s="527" t="s">
        <v>2327</v>
      </c>
      <c r="AP93" s="257">
        <f t="shared" si="2"/>
        <v>0</v>
      </c>
      <c r="AQ93" s="321"/>
      <c r="AR93" s="258"/>
      <c r="AS93" s="121"/>
      <c r="AT93" s="121"/>
    </row>
    <row r="94" spans="38:46">
      <c r="AL94" s="121"/>
      <c r="AM94" s="121"/>
      <c r="AN94" s="504" t="s">
        <v>2328</v>
      </c>
      <c r="AO94" s="528" t="s">
        <v>2329</v>
      </c>
      <c r="AP94" s="257">
        <f t="shared" si="2"/>
        <v>0</v>
      </c>
      <c r="AQ94" s="321"/>
      <c r="AR94" s="258"/>
      <c r="AS94" s="121"/>
      <c r="AT94" s="121"/>
    </row>
    <row r="95" spans="38:46">
      <c r="AL95" s="121"/>
      <c r="AM95" s="121"/>
      <c r="AN95" s="504" t="s">
        <v>2330</v>
      </c>
      <c r="AO95" s="528" t="s">
        <v>2331</v>
      </c>
      <c r="AP95" s="257">
        <f t="shared" si="2"/>
        <v>0</v>
      </c>
      <c r="AQ95" s="321"/>
      <c r="AR95" s="258"/>
      <c r="AS95" s="121"/>
      <c r="AT95" s="121"/>
    </row>
    <row r="96" spans="38:46">
      <c r="AL96" s="121"/>
      <c r="AM96" s="121"/>
      <c r="AN96" s="504" t="s">
        <v>2332</v>
      </c>
      <c r="AO96" s="527" t="s">
        <v>2333</v>
      </c>
      <c r="AP96" s="257">
        <f t="shared" si="2"/>
        <v>0</v>
      </c>
      <c r="AQ96" s="321"/>
      <c r="AR96" s="258"/>
      <c r="AS96" s="121"/>
      <c r="AT96" s="121"/>
    </row>
    <row r="97" spans="38:46">
      <c r="AL97" s="121"/>
      <c r="AM97" s="121"/>
      <c r="AN97" s="504" t="s">
        <v>2334</v>
      </c>
      <c r="AO97" s="527" t="s">
        <v>2335</v>
      </c>
      <c r="AP97" s="257">
        <f t="shared" si="2"/>
        <v>0</v>
      </c>
      <c r="AQ97" s="321"/>
      <c r="AR97" s="258"/>
      <c r="AS97" s="121"/>
      <c r="AT97" s="121"/>
    </row>
    <row r="98" spans="38:46" ht="22.5">
      <c r="AL98" s="121"/>
      <c r="AM98" s="121"/>
      <c r="AN98" s="504" t="s">
        <v>2336</v>
      </c>
      <c r="AO98" s="527" t="s">
        <v>2337</v>
      </c>
      <c r="AP98" s="257">
        <f t="shared" si="2"/>
        <v>0</v>
      </c>
      <c r="AQ98" s="321"/>
      <c r="AR98" s="258"/>
      <c r="AS98" s="121"/>
      <c r="AT98" s="121"/>
    </row>
    <row r="99" spans="38:46">
      <c r="AL99" s="121"/>
      <c r="AM99" s="121"/>
      <c r="AN99" s="504" t="s">
        <v>2338</v>
      </c>
      <c r="AO99" s="527" t="s">
        <v>2339</v>
      </c>
      <c r="AP99" s="257">
        <f t="shared" si="2"/>
        <v>0</v>
      </c>
      <c r="AQ99" s="321"/>
      <c r="AR99" s="258"/>
      <c r="AS99" s="121"/>
      <c r="AT99" s="121"/>
    </row>
    <row r="100" spans="38:46">
      <c r="AL100" s="121"/>
      <c r="AM100" s="121"/>
      <c r="AN100" s="504" t="s">
        <v>2340</v>
      </c>
      <c r="AO100" s="528" t="s">
        <v>2341</v>
      </c>
      <c r="AP100" s="257">
        <f t="shared" si="2"/>
        <v>0</v>
      </c>
      <c r="AQ100" s="321"/>
      <c r="AR100" s="258"/>
      <c r="AS100" s="121"/>
      <c r="AT100" s="121"/>
    </row>
    <row r="101" spans="38:46">
      <c r="AL101" s="121"/>
      <c r="AM101" s="121"/>
      <c r="AN101" s="504" t="s">
        <v>2342</v>
      </c>
      <c r="AO101" s="528" t="s">
        <v>2343</v>
      </c>
      <c r="AP101" s="257">
        <f t="shared" si="2"/>
        <v>0</v>
      </c>
      <c r="AQ101" s="321"/>
      <c r="AR101" s="258"/>
      <c r="AS101" s="121"/>
      <c r="AT101" s="121"/>
    </row>
    <row r="102" spans="38:46">
      <c r="AL102" s="121"/>
      <c r="AM102" s="121"/>
      <c r="AN102" s="504" t="s">
        <v>2344</v>
      </c>
      <c r="AO102" s="528" t="s">
        <v>2345</v>
      </c>
      <c r="AP102" s="257">
        <f t="shared" si="2"/>
        <v>0</v>
      </c>
      <c r="AQ102" s="321"/>
      <c r="AR102" s="258"/>
      <c r="AS102" s="121"/>
      <c r="AT102" s="121"/>
    </row>
    <row r="103" spans="38:46">
      <c r="AL103" s="121"/>
      <c r="AM103" s="121"/>
      <c r="AN103" s="504" t="s">
        <v>2346</v>
      </c>
      <c r="AO103" s="528" t="s">
        <v>2347</v>
      </c>
      <c r="AP103" s="257">
        <f t="shared" si="2"/>
        <v>0</v>
      </c>
      <c r="AQ103" s="321"/>
      <c r="AR103" s="258"/>
      <c r="AS103" s="121"/>
      <c r="AT103" s="121"/>
    </row>
    <row r="104" spans="38:46">
      <c r="AL104" s="121"/>
      <c r="AM104" s="121"/>
      <c r="AN104" s="504" t="s">
        <v>2348</v>
      </c>
      <c r="AO104" s="528" t="s">
        <v>2349</v>
      </c>
      <c r="AP104" s="257">
        <f t="shared" si="2"/>
        <v>0</v>
      </c>
      <c r="AQ104" s="321"/>
      <c r="AR104" s="258"/>
      <c r="AS104" s="121"/>
      <c r="AT104" s="121"/>
    </row>
    <row r="105" spans="38:46">
      <c r="AL105" s="121"/>
      <c r="AM105" s="121"/>
      <c r="AN105" s="504" t="s">
        <v>2350</v>
      </c>
      <c r="AO105" s="528" t="s">
        <v>2351</v>
      </c>
      <c r="AP105" s="257">
        <f t="shared" si="2"/>
        <v>0</v>
      </c>
      <c r="AQ105" s="321"/>
      <c r="AR105" s="258"/>
      <c r="AS105" s="121"/>
      <c r="AT105" s="121"/>
    </row>
    <row r="106" spans="38:46">
      <c r="AL106" s="121"/>
      <c r="AM106" s="121"/>
      <c r="AN106" s="504" t="s">
        <v>2352</v>
      </c>
      <c r="AO106" s="528" t="s">
        <v>2353</v>
      </c>
      <c r="AP106" s="257">
        <f t="shared" si="2"/>
        <v>0</v>
      </c>
      <c r="AQ106" s="321"/>
      <c r="AR106" s="258"/>
      <c r="AS106" s="121"/>
      <c r="AT106" s="121"/>
    </row>
    <row r="107" spans="38:46">
      <c r="AL107" s="121"/>
      <c r="AM107" s="121"/>
      <c r="AN107" s="504" t="s">
        <v>2354</v>
      </c>
      <c r="AO107" s="528" t="s">
        <v>2355</v>
      </c>
      <c r="AP107" s="257">
        <f t="shared" si="2"/>
        <v>0</v>
      </c>
      <c r="AQ107" s="321"/>
      <c r="AR107" s="258"/>
      <c r="AS107" s="121"/>
      <c r="AT107" s="121"/>
    </row>
    <row r="108" spans="38:46">
      <c r="AL108" s="121"/>
      <c r="AM108" s="121"/>
      <c r="AN108" s="504" t="s">
        <v>2356</v>
      </c>
      <c r="AO108" s="528" t="s">
        <v>2357</v>
      </c>
      <c r="AP108" s="257">
        <f t="shared" si="2"/>
        <v>0</v>
      </c>
      <c r="AQ108" s="321"/>
      <c r="AR108" s="258"/>
      <c r="AS108" s="121"/>
      <c r="AT108" s="121"/>
    </row>
    <row r="109" spans="38:46" ht="22.5">
      <c r="AL109" s="121"/>
      <c r="AM109" s="121"/>
      <c r="AN109" s="504" t="s">
        <v>2358</v>
      </c>
      <c r="AO109" s="536" t="s">
        <v>2359</v>
      </c>
      <c r="AP109" s="257">
        <f t="shared" si="2"/>
        <v>0</v>
      </c>
      <c r="AQ109" s="321"/>
      <c r="AR109" s="258"/>
      <c r="AS109" s="121"/>
      <c r="AT109" s="121"/>
    </row>
    <row r="110" spans="38:46">
      <c r="AL110" s="121"/>
      <c r="AM110" s="121"/>
      <c r="AN110" s="504" t="s">
        <v>2360</v>
      </c>
      <c r="AO110" s="537" t="s">
        <v>2444</v>
      </c>
      <c r="AP110" s="257">
        <f t="shared" si="2"/>
        <v>0</v>
      </c>
      <c r="AQ110" s="321"/>
      <c r="AR110" s="258"/>
      <c r="AS110" s="121"/>
      <c r="AT110" s="121"/>
    </row>
    <row r="111" spans="38:46">
      <c r="AL111" s="121"/>
      <c r="AM111" s="121"/>
      <c r="AN111" s="504" t="s">
        <v>2361</v>
      </c>
      <c r="AO111" s="537" t="s">
        <v>2362</v>
      </c>
      <c r="AP111" s="257">
        <f t="shared" si="2"/>
        <v>0</v>
      </c>
      <c r="AQ111" s="321"/>
      <c r="AR111" s="258"/>
      <c r="AS111" s="121"/>
      <c r="AT111" s="121"/>
    </row>
    <row r="112" spans="38:46">
      <c r="AL112" s="121"/>
      <c r="AM112" s="121"/>
      <c r="AN112" s="504" t="s">
        <v>2363</v>
      </c>
      <c r="AO112" s="528" t="s">
        <v>872</v>
      </c>
      <c r="AP112" s="257">
        <f t="shared" si="2"/>
        <v>0</v>
      </c>
      <c r="AQ112" s="321"/>
      <c r="AR112" s="258"/>
      <c r="AS112" s="121"/>
      <c r="AT112" s="121"/>
    </row>
    <row r="113" spans="1:46" ht="22.5">
      <c r="AL113" s="121"/>
      <c r="AM113" s="121"/>
      <c r="AN113" s="504" t="s">
        <v>2364</v>
      </c>
      <c r="AO113" s="528" t="s">
        <v>2365</v>
      </c>
      <c r="AP113" s="257">
        <f t="shared" si="2"/>
        <v>0</v>
      </c>
      <c r="AQ113" s="321"/>
      <c r="AR113" s="258"/>
      <c r="AS113" s="121"/>
      <c r="AT113" s="121"/>
    </row>
    <row r="114" spans="1:46">
      <c r="AL114" s="121"/>
      <c r="AM114" s="121"/>
      <c r="AN114" s="504" t="s">
        <v>2366</v>
      </c>
      <c r="AO114" s="528" t="s">
        <v>2367</v>
      </c>
      <c r="AP114" s="257">
        <f t="shared" si="2"/>
        <v>0</v>
      </c>
      <c r="AQ114" s="321"/>
      <c r="AR114" s="258"/>
      <c r="AS114" s="121"/>
      <c r="AT114" s="121"/>
    </row>
    <row r="115" spans="1:46">
      <c r="AL115" s="121"/>
      <c r="AM115" s="121"/>
      <c r="AN115" s="504" t="s">
        <v>752</v>
      </c>
      <c r="AO115" s="723" t="s">
        <v>2726</v>
      </c>
      <c r="AP115" s="257">
        <f t="shared" si="2"/>
        <v>0</v>
      </c>
      <c r="AQ115" s="321"/>
      <c r="AR115" s="258"/>
      <c r="AS115" s="121"/>
      <c r="AT115" s="121"/>
    </row>
    <row r="116" spans="1:46">
      <c r="AL116" s="121"/>
      <c r="AM116" s="121"/>
      <c r="AN116" s="504" t="s">
        <v>760</v>
      </c>
      <c r="AO116" s="527" t="s">
        <v>2368</v>
      </c>
      <c r="AP116" s="257">
        <f t="shared" si="2"/>
        <v>0</v>
      </c>
      <c r="AQ116" s="321"/>
      <c r="AR116" s="258"/>
      <c r="AS116" s="121"/>
      <c r="AT116" s="121"/>
    </row>
    <row r="117" spans="1:46">
      <c r="AL117" s="121"/>
      <c r="AM117" s="121"/>
      <c r="AN117" s="504" t="s">
        <v>917</v>
      </c>
      <c r="AO117" s="528" t="s">
        <v>2369</v>
      </c>
      <c r="AP117" s="257">
        <f t="shared" si="2"/>
        <v>0</v>
      </c>
      <c r="AQ117" s="321"/>
      <c r="AR117" s="258"/>
      <c r="AS117" s="121"/>
      <c r="AT117" s="121"/>
    </row>
    <row r="118" spans="1:46">
      <c r="AL118" s="121"/>
      <c r="AM118" s="121"/>
      <c r="AN118" s="504" t="s">
        <v>761</v>
      </c>
      <c r="AO118" s="527" t="s">
        <v>862</v>
      </c>
      <c r="AP118" s="257">
        <f t="shared" si="2"/>
        <v>0</v>
      </c>
      <c r="AQ118" s="321"/>
      <c r="AR118" s="258"/>
      <c r="AS118" s="121"/>
      <c r="AT118" s="121"/>
    </row>
    <row r="119" spans="1:46">
      <c r="AL119" s="121"/>
      <c r="AM119" s="121"/>
      <c r="AN119" s="504" t="s">
        <v>762</v>
      </c>
      <c r="AO119" s="527" t="s">
        <v>864</v>
      </c>
      <c r="AP119" s="257">
        <f t="shared" si="2"/>
        <v>0</v>
      </c>
      <c r="AQ119" s="321"/>
      <c r="AR119" s="258"/>
      <c r="AS119" s="121"/>
      <c r="AT119" s="121"/>
    </row>
    <row r="120" spans="1:46">
      <c r="AL120" s="121"/>
      <c r="AM120" s="121"/>
      <c r="AN120" s="504" t="s">
        <v>763</v>
      </c>
      <c r="AO120" s="527" t="s">
        <v>866</v>
      </c>
      <c r="AP120" s="257">
        <f t="shared" si="2"/>
        <v>0</v>
      </c>
      <c r="AQ120" s="321"/>
      <c r="AR120" s="258"/>
      <c r="AS120" s="121"/>
      <c r="AT120" s="121"/>
    </row>
    <row r="121" spans="1:46">
      <c r="AL121" s="121"/>
      <c r="AM121" s="121"/>
      <c r="AN121" s="504" t="s">
        <v>764</v>
      </c>
      <c r="AO121" s="527" t="s">
        <v>2370</v>
      </c>
      <c r="AP121" s="257">
        <f t="shared" si="2"/>
        <v>0</v>
      </c>
      <c r="AQ121" s="321"/>
      <c r="AR121" s="258"/>
      <c r="AS121" s="121"/>
      <c r="AT121" s="121"/>
    </row>
    <row r="122" spans="1:46">
      <c r="AL122" s="121"/>
      <c r="AM122" s="121"/>
      <c r="AN122" s="504" t="s">
        <v>2371</v>
      </c>
      <c r="AO122" s="528" t="s">
        <v>2372</v>
      </c>
      <c r="AP122" s="257">
        <f t="shared" si="2"/>
        <v>0</v>
      </c>
      <c r="AQ122" s="321"/>
      <c r="AR122" s="258"/>
      <c r="AS122" s="121"/>
      <c r="AT122" s="121"/>
    </row>
    <row r="123" spans="1:46">
      <c r="AL123" s="121"/>
      <c r="AM123" s="121"/>
      <c r="AN123" s="504" t="s">
        <v>2373</v>
      </c>
      <c r="AO123" s="538" t="s">
        <v>2374</v>
      </c>
      <c r="AP123" s="257">
        <f t="shared" si="2"/>
        <v>0</v>
      </c>
      <c r="AQ123" s="321"/>
      <c r="AR123" s="258"/>
      <c r="AS123" s="121"/>
      <c r="AT123" s="121"/>
    </row>
    <row r="124" spans="1:46">
      <c r="AL124" s="121"/>
      <c r="AM124" s="121"/>
      <c r="AN124" s="504" t="s">
        <v>2375</v>
      </c>
      <c r="AO124" s="528" t="s">
        <v>2376</v>
      </c>
      <c r="AP124" s="257">
        <f t="shared" si="2"/>
        <v>0</v>
      </c>
      <c r="AQ124" s="321"/>
      <c r="AR124" s="258"/>
      <c r="AS124" s="121"/>
      <c r="AT124" s="121"/>
    </row>
    <row r="125" spans="1:46" ht="0.75" customHeight="1">
      <c r="A125" s="47"/>
      <c r="B125" s="47"/>
      <c r="C125" s="47"/>
      <c r="D125" s="47"/>
      <c r="E125" s="47"/>
      <c r="F125" s="47"/>
      <c r="G125" s="47"/>
      <c r="H125" s="47"/>
      <c r="I125" s="47"/>
      <c r="J125"/>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50"/>
      <c r="AM125" s="126"/>
      <c r="AN125" s="223"/>
      <c r="AO125" s="728"/>
      <c r="AP125" s="260"/>
      <c r="AQ125" s="258"/>
      <c r="AR125" s="258"/>
      <c r="AS125" s="127"/>
    </row>
    <row r="126" spans="1:46" ht="0.75" customHeight="1">
      <c r="A126" s="47"/>
      <c r="B126" s="47"/>
      <c r="C126" s="47"/>
      <c r="D126" s="47"/>
      <c r="E126" s="47"/>
      <c r="F126" s="47"/>
      <c r="G126" s="47"/>
      <c r="H126" s="47"/>
      <c r="I126" s="47"/>
      <c r="J126"/>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50"/>
      <c r="AM126" s="126"/>
      <c r="AN126" s="223"/>
      <c r="AO126" s="728"/>
      <c r="AP126" s="260"/>
      <c r="AQ126" s="258"/>
      <c r="AR126" s="258"/>
      <c r="AS126" s="127"/>
    </row>
    <row r="127" spans="1:46" ht="0.75" customHeight="1">
      <c r="A127" s="47"/>
      <c r="B127" s="47"/>
      <c r="C127" s="47"/>
      <c r="D127" s="47"/>
      <c r="E127" s="47"/>
      <c r="F127" s="47"/>
      <c r="G127" s="47"/>
      <c r="H127" s="47"/>
      <c r="I127" s="47"/>
      <c r="J12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50"/>
      <c r="AM127" s="126"/>
      <c r="AN127" s="223"/>
      <c r="AO127" s="728"/>
      <c r="AP127" s="260"/>
      <c r="AQ127" s="258"/>
      <c r="AR127" s="258"/>
      <c r="AS127" s="127"/>
    </row>
    <row r="128" spans="1:46" ht="0.75" customHeight="1">
      <c r="A128" s="47"/>
      <c r="B128" s="47"/>
      <c r="C128" s="47"/>
      <c r="D128" s="47"/>
      <c r="E128" s="47"/>
      <c r="F128" s="47"/>
      <c r="G128" s="47"/>
      <c r="H128" s="47"/>
      <c r="I128" s="47"/>
      <c r="J128"/>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50"/>
      <c r="AM128" s="126"/>
      <c r="AN128" s="223"/>
      <c r="AO128" s="728"/>
      <c r="AP128" s="260"/>
      <c r="AQ128" s="258"/>
      <c r="AR128" s="258"/>
      <c r="AS128" s="127"/>
    </row>
    <row r="129" spans="1:46" ht="0.75" customHeight="1">
      <c r="A129" s="47"/>
      <c r="B129" s="47"/>
      <c r="C129" s="47"/>
      <c r="D129" s="47"/>
      <c r="E129" s="47"/>
      <c r="F129" s="47"/>
      <c r="G129" s="47"/>
      <c r="H129" s="47"/>
      <c r="I129" s="47"/>
      <c r="J129"/>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50"/>
      <c r="AM129" s="126"/>
      <c r="AN129" s="223"/>
      <c r="AO129" s="728"/>
      <c r="AP129" s="260"/>
      <c r="AQ129" s="258"/>
      <c r="AR129" s="258"/>
      <c r="AS129" s="127"/>
    </row>
    <row r="130" spans="1:46" ht="0.75" customHeight="1">
      <c r="A130" s="47"/>
      <c r="B130" s="47"/>
      <c r="C130" s="47"/>
      <c r="D130" s="47"/>
      <c r="E130" s="47"/>
      <c r="F130" s="47"/>
      <c r="G130" s="47"/>
      <c r="H130" s="47"/>
      <c r="I130" s="47"/>
      <c r="J130"/>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50"/>
      <c r="AM130" s="126"/>
      <c r="AN130" s="223"/>
      <c r="AO130" s="728"/>
      <c r="AP130" s="260"/>
      <c r="AQ130" s="258"/>
      <c r="AR130" s="258"/>
      <c r="AS130" s="127"/>
    </row>
    <row r="131" spans="1:46">
      <c r="AL131" s="121"/>
      <c r="AM131" s="121"/>
      <c r="AN131" s="725" t="s">
        <v>3072</v>
      </c>
      <c r="AO131" s="724" t="s">
        <v>2727</v>
      </c>
      <c r="AP131" s="257">
        <f>SUMIF(AQ$14:AR$14,AP$14,AQ131:AR131)</f>
        <v>0</v>
      </c>
      <c r="AQ131" s="321"/>
      <c r="AR131" s="258"/>
      <c r="AS131" s="121"/>
      <c r="AT131" s="121"/>
    </row>
    <row r="132" spans="1:46" ht="22.5">
      <c r="AL132" s="121"/>
      <c r="AM132" s="121"/>
      <c r="AN132" s="504" t="s">
        <v>2427</v>
      </c>
      <c r="AO132" s="723" t="s">
        <v>2616</v>
      </c>
      <c r="AP132" s="257">
        <f>SUMIF(AQ$14:AR$14,AP$14,AQ132:AR132)</f>
        <v>0</v>
      </c>
      <c r="AQ132" s="321"/>
      <c r="AR132" s="258"/>
      <c r="AS132" s="121"/>
      <c r="AT132" s="121"/>
    </row>
    <row r="133" spans="1:46" ht="22.5">
      <c r="AL133" s="121"/>
      <c r="AM133" s="121"/>
      <c r="AN133" s="504" t="s">
        <v>2429</v>
      </c>
      <c r="AO133" s="727" t="s">
        <v>2619</v>
      </c>
      <c r="AP133" s="263"/>
      <c r="AQ133" s="321"/>
      <c r="AR133" s="258"/>
      <c r="AS133" s="121"/>
      <c r="AT133" s="121"/>
    </row>
    <row r="134" spans="1:46">
      <c r="AL134" s="121"/>
      <c r="AM134" s="121"/>
      <c r="AN134" s="504" t="s">
        <v>2617</v>
      </c>
      <c r="AO134" s="727" t="s">
        <v>2620</v>
      </c>
      <c r="AP134" s="263"/>
      <c r="AQ134" s="321"/>
      <c r="AR134" s="258"/>
      <c r="AS134" s="121"/>
      <c r="AT134" s="121"/>
    </row>
    <row r="135" spans="1:46">
      <c r="AL135" s="121"/>
      <c r="AM135" s="121"/>
      <c r="AN135" s="504" t="s">
        <v>2618</v>
      </c>
      <c r="AO135" s="727" t="s">
        <v>2621</v>
      </c>
      <c r="AP135" s="263"/>
      <c r="AQ135" s="321"/>
      <c r="AR135" s="258"/>
      <c r="AS135" s="121"/>
      <c r="AT135" s="121"/>
    </row>
    <row r="136" spans="1:46" ht="0.75" customHeight="1">
      <c r="AL136" s="121"/>
      <c r="AM136" s="121"/>
      <c r="AN136" s="504"/>
      <c r="AO136" s="526"/>
      <c r="AP136" s="526"/>
      <c r="AQ136" s="321"/>
      <c r="AR136" s="258"/>
      <c r="AS136" s="121"/>
      <c r="AT136" s="121"/>
    </row>
    <row r="137" spans="1:46" ht="0.75" customHeight="1">
      <c r="AL137" s="121"/>
      <c r="AM137" s="121"/>
      <c r="AN137" s="223"/>
      <c r="AO137" s="728"/>
      <c r="AP137" s="260"/>
      <c r="AQ137" s="258"/>
      <c r="AR137" s="258"/>
      <c r="AS137" s="127"/>
      <c r="AT137" s="121"/>
    </row>
    <row r="138" spans="1:46" ht="0.75" customHeight="1">
      <c r="AL138" s="121"/>
      <c r="AM138" s="121"/>
      <c r="AN138" s="223"/>
      <c r="AO138" s="728"/>
      <c r="AP138" s="260"/>
      <c r="AQ138" s="258"/>
      <c r="AR138" s="258"/>
      <c r="AS138" s="127"/>
      <c r="AT138" s="121"/>
    </row>
    <row r="139" spans="1:46" ht="0.75" customHeight="1">
      <c r="AL139" s="121"/>
      <c r="AM139" s="121"/>
      <c r="AN139" s="223"/>
      <c r="AO139" s="728"/>
      <c r="AP139" s="260"/>
      <c r="AQ139" s="258"/>
      <c r="AR139" s="258"/>
      <c r="AS139" s="127"/>
      <c r="AT139" s="121"/>
    </row>
    <row r="140" spans="1:46" ht="0.75" customHeight="1">
      <c r="AL140" s="121"/>
      <c r="AM140" s="121"/>
      <c r="AN140" s="223"/>
      <c r="AO140" s="728"/>
      <c r="AP140" s="260"/>
      <c r="AQ140" s="258"/>
      <c r="AR140" s="258"/>
      <c r="AS140" s="127"/>
      <c r="AT140" s="121"/>
    </row>
    <row r="141" spans="1:46" ht="57" customHeight="1">
      <c r="AL141" s="121"/>
      <c r="AM141" s="121"/>
      <c r="AN141" s="504" t="s">
        <v>855</v>
      </c>
      <c r="AO141" s="526" t="s">
        <v>370</v>
      </c>
      <c r="AP141" s="257">
        <f>SUMIF(AQ$8:AR$8,"NO_TRANSPORT",AQ141:AR141)</f>
        <v>0</v>
      </c>
      <c r="AQ141" s="321"/>
      <c r="AR141" s="258"/>
      <c r="AS141" s="121"/>
      <c r="AT141" s="121"/>
    </row>
    <row r="142" spans="1:46" ht="57" customHeight="1">
      <c r="AL142" s="121"/>
      <c r="AM142" s="121"/>
      <c r="AN142" s="504" t="s">
        <v>876</v>
      </c>
      <c r="AO142" s="526" t="s">
        <v>371</v>
      </c>
      <c r="AP142" s="257">
        <f>SUMIF(AQ$8:AR$8,"NO_TRANSPORT",AQ142:AR142)</f>
        <v>0</v>
      </c>
      <c r="AQ142" s="321"/>
      <c r="AR142" s="258"/>
      <c r="AS142" s="121"/>
      <c r="AT142" s="121"/>
    </row>
    <row r="143" spans="1:46">
      <c r="AL143" s="121"/>
      <c r="AM143" s="121"/>
      <c r="AN143" s="504" t="s">
        <v>881</v>
      </c>
      <c r="AO143" s="526" t="s">
        <v>2967</v>
      </c>
      <c r="AP143" s="254"/>
      <c r="AQ143" s="321"/>
      <c r="AR143" s="258"/>
      <c r="AS143" s="121"/>
      <c r="AT143" s="121"/>
    </row>
    <row r="144" spans="1:46" ht="57" customHeight="1">
      <c r="AL144" s="121"/>
      <c r="AM144" s="121"/>
      <c r="AN144" s="559" t="s">
        <v>362</v>
      </c>
      <c r="AO144" s="604" t="s">
        <v>2722</v>
      </c>
      <c r="AP144" s="257">
        <f>SUMIF(AQ$8:AR$8,"NO_TRANSPORT",AQ144:AR144)</f>
        <v>0</v>
      </c>
      <c r="AQ144" s="321"/>
      <c r="AR144" s="258"/>
      <c r="AS144" s="121"/>
      <c r="AT144" s="121"/>
    </row>
    <row r="145" spans="38:46" s="121" customFormat="1" ht="0.75" customHeight="1">
      <c r="AN145" s="504"/>
      <c r="AO145" s="526"/>
      <c r="AP145" s="260"/>
      <c r="AQ145" s="321"/>
      <c r="AR145" s="258"/>
    </row>
    <row r="146" spans="38:46" s="121" customFormat="1" ht="22.5">
      <c r="AN146" s="222" t="s">
        <v>32</v>
      </c>
      <c r="AO146" s="721" t="str">
        <f>"Общий доход организации от реализации потребителям без учёта НДС, исходя из утверждённых тарифов на " &amp; AN10</f>
        <v>Общий доход организации от реализации потребителям без учёта НДС, исходя из утверждённых тарифов на 01.07 - 31.08</v>
      </c>
      <c r="AP146" s="257">
        <f>SUMIF(AQ$14:AR$14,AP$14,AQ146:AR146)</f>
        <v>0</v>
      </c>
      <c r="AQ146" s="321"/>
      <c r="AR146" s="258"/>
    </row>
    <row r="147" spans="38:46" s="121" customFormat="1" ht="22.5">
      <c r="AN147" s="222" t="s">
        <v>33</v>
      </c>
      <c r="AO147" s="540" t="str">
        <f>"Полезный отпуск продукции на реализацию потребителям (тыс. куб.м) на " &amp; AN10</f>
        <v>Полезный отпуск продукции на реализацию потребителям (тыс. куб.м) на 01.07 - 31.08</v>
      </c>
      <c r="AP147" s="257">
        <f>SUMIF(AQ$14:AR$14,AP$14,AQ147:AR147)</f>
        <v>0</v>
      </c>
      <c r="AQ147" s="321"/>
      <c r="AR147" s="258"/>
    </row>
    <row r="148" spans="38:46" s="121" customFormat="1">
      <c r="AN148" s="222" t="s">
        <v>2455</v>
      </c>
      <c r="AO148" s="541" t="str">
        <f>"Организации-перепродавцы на " &amp; AN10</f>
        <v>Организации-перепродавцы на 01.07 - 31.08</v>
      </c>
      <c r="AP148" s="257">
        <f>SUMIF(AQ$14:AR$14,AP$14,AQ148:AR148)</f>
        <v>0</v>
      </c>
      <c r="AQ148" s="321"/>
      <c r="AR148" s="258"/>
    </row>
    <row r="149" spans="38:46" ht="12.75">
      <c r="AL149" s="121"/>
      <c r="AM149" s="121"/>
      <c r="AN149" s="222" t="s">
        <v>34</v>
      </c>
      <c r="AO149" s="502" t="s">
        <v>348</v>
      </c>
      <c r="AP149" s="254"/>
      <c r="AQ149" s="321"/>
      <c r="AR149" s="258"/>
      <c r="AS149" s="121"/>
      <c r="AT149" s="121"/>
    </row>
    <row r="150" spans="38:46">
      <c r="AL150" s="121"/>
      <c r="AM150" s="121"/>
      <c r="AN150" s="222" t="s">
        <v>35</v>
      </c>
      <c r="AO150" s="502" t="s">
        <v>372</v>
      </c>
      <c r="AP150" s="257">
        <f>SUMIF(AQ$8:AR$8,"NO_TRANSPORT",AQ150:AR150)</f>
        <v>0</v>
      </c>
      <c r="AQ150" s="321"/>
      <c r="AR150" s="258"/>
      <c r="AS150" s="121"/>
      <c r="AT150" s="121"/>
    </row>
    <row r="151" spans="38:46" s="121" customFormat="1">
      <c r="AN151" s="222" t="s">
        <v>2456</v>
      </c>
      <c r="AO151" s="540" t="str">
        <f>"Бюджетные потребители на " &amp; AN10</f>
        <v>Бюджетные потребители на 01.07 - 31.08</v>
      </c>
      <c r="AP151" s="257">
        <f>SUMIF(AQ$14:AR$14,AP$14,AQ151:AR151)</f>
        <v>0</v>
      </c>
      <c r="AQ151" s="321"/>
      <c r="AR151" s="258"/>
    </row>
    <row r="152" spans="38:46" s="121" customFormat="1" ht="12.75">
      <c r="AN152" s="222" t="s">
        <v>36</v>
      </c>
      <c r="AO152" s="502" t="s">
        <v>348</v>
      </c>
      <c r="AP152" s="254"/>
      <c r="AQ152" s="321"/>
      <c r="AR152" s="258"/>
    </row>
    <row r="153" spans="38:46" s="121" customFormat="1">
      <c r="AN153" s="222" t="s">
        <v>37</v>
      </c>
      <c r="AO153" s="502" t="s">
        <v>372</v>
      </c>
      <c r="AP153" s="257">
        <f>SUMIF(AQ$8:AR$8,"NO_TRANSPORT",AQ153:AR153)</f>
        <v>0</v>
      </c>
      <c r="AQ153" s="321"/>
      <c r="AR153" s="258"/>
    </row>
    <row r="154" spans="38:46" s="121" customFormat="1">
      <c r="AN154" s="222" t="s">
        <v>2457</v>
      </c>
      <c r="AO154" s="540" t="str">
        <f>"Население на " &amp; AN10</f>
        <v>Население на 01.07 - 31.08</v>
      </c>
      <c r="AP154" s="257">
        <f>SUMIF(AQ$14:AR$14,AP$14,AQ154:AR154)</f>
        <v>0</v>
      </c>
      <c r="AQ154" s="321"/>
      <c r="AR154" s="258"/>
    </row>
    <row r="155" spans="38:46" s="121" customFormat="1" ht="12.75">
      <c r="AN155" s="222" t="s">
        <v>38</v>
      </c>
      <c r="AO155" s="502" t="s">
        <v>348</v>
      </c>
      <c r="AP155" s="254"/>
      <c r="AQ155" s="321"/>
      <c r="AR155" s="258"/>
    </row>
    <row r="156" spans="38:46" s="121" customFormat="1">
      <c r="AN156" s="222" t="s">
        <v>39</v>
      </c>
      <c r="AO156" s="502" t="s">
        <v>372</v>
      </c>
      <c r="AP156" s="257">
        <f>SUMIF(AQ$8:AR$8,"NO_TRANSPORT",AQ156:AR156)</f>
        <v>0</v>
      </c>
      <c r="AQ156" s="321"/>
      <c r="AR156" s="258"/>
    </row>
    <row r="157" spans="38:46">
      <c r="AL157" s="121"/>
      <c r="AM157" s="121"/>
      <c r="AN157" s="222" t="s">
        <v>2458</v>
      </c>
      <c r="AO157" s="540" t="str">
        <f>"Прочие на " &amp; AN10</f>
        <v>Прочие на 01.07 - 31.08</v>
      </c>
      <c r="AP157" s="257">
        <f>SUMIF(AQ$14:AR$14,AP$14,AQ157:AR157)</f>
        <v>0</v>
      </c>
      <c r="AQ157" s="321"/>
      <c r="AR157" s="258"/>
      <c r="AS157" s="121"/>
      <c r="AT157" s="121"/>
    </row>
    <row r="158" spans="38:46" s="121" customFormat="1" ht="12.75">
      <c r="AN158" s="222" t="s">
        <v>40</v>
      </c>
      <c r="AO158" s="502" t="s">
        <v>348</v>
      </c>
      <c r="AP158" s="254"/>
      <c r="AQ158" s="321"/>
      <c r="AR158" s="258"/>
    </row>
    <row r="159" spans="38:46" s="121" customFormat="1">
      <c r="AN159" s="222" t="s">
        <v>41</v>
      </c>
      <c r="AO159" s="502" t="s">
        <v>372</v>
      </c>
      <c r="AP159" s="257">
        <f>SUMIF(AQ$8:AR$8,"NO_TRANSPORT",AQ159:AR159)</f>
        <v>0</v>
      </c>
      <c r="AQ159" s="321"/>
      <c r="AR159" s="258"/>
    </row>
    <row r="160" spans="38:46" s="121" customFormat="1" ht="0.75" customHeight="1">
      <c r="AN160" s="222"/>
      <c r="AO160" s="502"/>
      <c r="AP160" s="323"/>
      <c r="AQ160" s="321"/>
      <c r="AR160" s="258"/>
    </row>
    <row r="161" spans="1:46" s="121" customFormat="1">
      <c r="AN161" s="722" t="s">
        <v>2664</v>
      </c>
      <c r="AO161" s="721" t="s">
        <v>2724</v>
      </c>
      <c r="AP161" s="257">
        <f>SUMIF(AQ$14:AR$14,AP$14,AQ161:AR161)</f>
        <v>0</v>
      </c>
      <c r="AQ161" s="321"/>
      <c r="AR161" s="258"/>
    </row>
    <row r="162" spans="1:46" s="121" customFormat="1" hidden="1">
      <c r="AN162" s="222"/>
      <c r="AO162" s="502"/>
      <c r="AP162" s="323"/>
      <c r="AQ162" s="321"/>
      <c r="AR162" s="258"/>
    </row>
    <row r="163" spans="1:46" s="121" customFormat="1" hidden="1">
      <c r="AN163" s="222"/>
      <c r="AO163" s="502"/>
      <c r="AP163" s="323"/>
      <c r="AQ163" s="321"/>
      <c r="AR163" s="258"/>
    </row>
    <row r="164" spans="1:46" ht="0.75" customHeight="1">
      <c r="AL164" s="121"/>
      <c r="AM164" s="121"/>
      <c r="AN164" s="223"/>
      <c r="AO164" s="216"/>
      <c r="AP164" s="543"/>
      <c r="AQ164" s="523"/>
      <c r="AR164" s="265"/>
      <c r="AS164" s="121"/>
      <c r="AT164" s="121"/>
    </row>
    <row r="165" spans="1:46" s="54" customFormat="1">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48"/>
      <c r="AS165" s="121"/>
      <c r="AT165" s="121"/>
    </row>
    <row r="166" spans="1:46" s="54" customFormat="1">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47"/>
      <c r="AR166" s="47"/>
      <c r="AS166" s="121"/>
      <c r="AT166" s="121"/>
    </row>
    <row r="167" spans="1:46">
      <c r="AL167" s="121"/>
      <c r="AM167" s="121"/>
    </row>
  </sheetData>
  <sheetProtection password="FA9C" sheet="1" objects="1" scenarios="1" formatColumns="0" formatRows="0"/>
  <mergeCells count="4">
    <mergeCell ref="AN9:AP9"/>
    <mergeCell ref="AN11:AN12"/>
    <mergeCell ref="AO11:AO12"/>
    <mergeCell ref="AP11:AP12"/>
  </mergeCells>
  <phoneticPr fontId="8"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ransitionEntry="1" codeName="LIST_ORG">
    <tabColor indexed="11"/>
  </sheetPr>
  <dimension ref="A1:BC25"/>
  <sheetViews>
    <sheetView showGridLines="0" topLeftCell="C1" workbookViewId="0">
      <selection activeCell="G16" sqref="G16"/>
    </sheetView>
  </sheetViews>
  <sheetFormatPr defaultRowHeight="11.25"/>
  <cols>
    <col min="1" max="1" width="8.7109375" style="34" hidden="1" customWidth="1"/>
    <col min="2" max="2" width="8.7109375" style="32" hidden="1" customWidth="1"/>
    <col min="3" max="3" width="3.7109375" style="32" customWidth="1"/>
    <col min="4" max="4" width="9.7109375" hidden="1" customWidth="1"/>
    <col min="5" max="5" width="3.7109375" style="32" customWidth="1"/>
    <col min="6" max="6" width="6.7109375" style="32" customWidth="1"/>
    <col min="7" max="7" width="13.7109375" style="32" customWidth="1"/>
    <col min="8" max="8" width="10.7109375" style="32" customWidth="1"/>
    <col min="9" max="9" width="30.7109375" style="33" customWidth="1"/>
    <col min="10" max="10" width="8.7109375" style="33" hidden="1" customWidth="1"/>
    <col min="11" max="11" width="20.7109375" style="33" customWidth="1"/>
    <col min="12" max="12" width="20.7109375" style="32" customWidth="1"/>
    <col min="13" max="13" width="11.7109375" style="32" customWidth="1"/>
    <col min="14" max="14" width="16.5703125" style="32" customWidth="1"/>
    <col min="15" max="16" width="7.85546875" style="32" hidden="1" customWidth="1"/>
    <col min="17" max="19" width="1.140625" style="32" hidden="1" customWidth="1"/>
    <col min="20" max="21" width="7.85546875" style="32" hidden="1" customWidth="1"/>
    <col min="22" max="23" width="1.140625" style="32" hidden="1" customWidth="1"/>
    <col min="24" max="24" width="1.28515625" style="32" hidden="1" customWidth="1"/>
    <col min="25" max="25" width="35.7109375" style="32" customWidth="1"/>
    <col min="26" max="27" width="0.140625" style="32" customWidth="1"/>
    <col min="28" max="28" width="14.7109375" style="34" hidden="1" customWidth="1"/>
    <col min="29" max="29" width="0.140625" style="34" hidden="1" customWidth="1"/>
    <col min="30" max="30" width="14.7109375" style="35" hidden="1" customWidth="1"/>
    <col min="31" max="32" width="16.5703125" style="35" hidden="1" customWidth="1"/>
    <col min="33" max="33" width="17.85546875" style="35" hidden="1" customWidth="1"/>
    <col min="34" max="34" width="21.7109375" style="35" hidden="1" customWidth="1"/>
    <col min="35" max="35" width="14.7109375" style="34" hidden="1" customWidth="1"/>
    <col min="36" max="37" width="14.7109375" style="35" hidden="1" customWidth="1"/>
    <col min="38" max="41" width="0.140625" style="35" hidden="1" customWidth="1"/>
    <col min="42" max="42" width="0.140625" style="34" customWidth="1"/>
    <col min="43" max="43" width="0.140625" style="35" customWidth="1"/>
    <col min="44" max="44" width="14.7109375" style="35" customWidth="1"/>
    <col min="45" max="51" width="0.140625" style="35" customWidth="1"/>
    <col min="52" max="52" width="22.28515625" style="35" customWidth="1"/>
    <col min="53" max="55" width="19.5703125" style="35" customWidth="1"/>
    <col min="56" max="16384" width="9.140625" style="35"/>
  </cols>
  <sheetData>
    <row r="1" spans="1:55" s="32" customFormat="1" ht="12" customHeight="1">
      <c r="A1" s="31"/>
      <c r="D1"/>
      <c r="I1" s="33"/>
      <c r="AB1" s="34"/>
      <c r="AC1" s="34"/>
      <c r="AI1" s="34"/>
      <c r="AP1" s="34"/>
    </row>
    <row r="2" spans="1:55" s="32" customFormat="1" ht="18" customHeight="1">
      <c r="A2" s="31"/>
      <c r="D2"/>
      <c r="E2"/>
      <c r="F2" s="418" t="str">
        <f>"Перечень организаций, оказывающих услуги " &amp; TEMPLATE_SPHERE</f>
        <v>Перечень организаций, оказывающих услуги водоотведения</v>
      </c>
      <c r="G2" s="417"/>
      <c r="H2" s="417"/>
      <c r="I2" s="417"/>
      <c r="J2" s="139"/>
      <c r="K2" s="139"/>
      <c r="L2" s="139"/>
      <c r="M2" s="36"/>
      <c r="T2" s="36"/>
      <c r="U2" s="36"/>
      <c r="V2" s="36"/>
      <c r="W2" s="36"/>
      <c r="X2" s="36"/>
      <c r="Y2" s="404">
        <f>IF(AA9="","",AA9)</f>
        <v>2012</v>
      </c>
      <c r="Z2" s="409"/>
      <c r="AA2" s="409"/>
      <c r="AB2" s="410"/>
      <c r="AC2" s="147"/>
      <c r="AD2" s="36"/>
      <c r="AE2" s="36"/>
      <c r="AF2" s="36"/>
      <c r="AG2" s="36"/>
      <c r="AH2" s="36"/>
      <c r="AI2" s="147"/>
      <c r="AP2" s="147"/>
    </row>
    <row r="3" spans="1:55" s="32" customFormat="1" ht="15" customHeight="1">
      <c r="A3" s="31"/>
      <c r="D3"/>
      <c r="E3" s="36"/>
      <c r="F3" s="36"/>
      <c r="G3" s="36"/>
      <c r="H3" s="36"/>
      <c r="I3" s="140"/>
      <c r="J3" s="36"/>
      <c r="K3" s="36"/>
      <c r="L3" s="36"/>
      <c r="T3" s="36"/>
      <c r="U3" s="36"/>
      <c r="V3" s="36"/>
      <c r="W3" s="36"/>
      <c r="X3" s="36"/>
      <c r="Y3" s="769" t="str">
        <f>"Тариф на транспортировку " &amp; RESOURCE_IDENTIFIER</f>
        <v>Тариф на транспортировку стоков</v>
      </c>
      <c r="Z3" s="770"/>
      <c r="AA3" s="770"/>
      <c r="AB3" s="411"/>
      <c r="AC3" s="36"/>
      <c r="AD3" s="36"/>
      <c r="AE3" s="36"/>
      <c r="AF3" s="36"/>
      <c r="AG3" s="36"/>
      <c r="AH3" s="36"/>
      <c r="AI3" s="147"/>
      <c r="AP3" s="147"/>
    </row>
    <row r="4" spans="1:55" s="32" customFormat="1" ht="12" customHeight="1">
      <c r="A4" s="31"/>
      <c r="C4" s="145"/>
      <c r="D4"/>
      <c r="E4" s="145"/>
      <c r="F4" s="145"/>
      <c r="G4" s="145"/>
      <c r="H4" s="141"/>
      <c r="I4" s="779" t="s">
        <v>2666</v>
      </c>
      <c r="J4" s="779"/>
      <c r="K4" s="779"/>
      <c r="N4" s="142"/>
      <c r="O4" s="142"/>
      <c r="P4" s="142"/>
      <c r="Q4" s="142"/>
      <c r="R4" s="142"/>
      <c r="S4" s="142"/>
      <c r="T4" s="36"/>
      <c r="U4" s="146"/>
      <c r="V4" s="146"/>
      <c r="W4" s="146"/>
      <c r="X4" s="146"/>
      <c r="Y4" s="775" t="s">
        <v>423</v>
      </c>
      <c r="Z4" s="776"/>
      <c r="AA4" s="776"/>
      <c r="AB4" s="412"/>
      <c r="AC4" s="147"/>
      <c r="AD4" s="36"/>
      <c r="AE4" s="36"/>
      <c r="AF4" s="36"/>
      <c r="AG4" s="36"/>
      <c r="AH4" s="36"/>
      <c r="AI4" s="147"/>
      <c r="AP4" s="147"/>
    </row>
    <row r="5" spans="1:55" s="32" customFormat="1" ht="12" customHeight="1">
      <c r="A5" s="31"/>
      <c r="D5"/>
      <c r="E5" s="143"/>
      <c r="F5" s="143"/>
      <c r="G5" s="143"/>
      <c r="H5" s="143"/>
      <c r="I5" s="782"/>
      <c r="J5" s="782"/>
      <c r="K5" s="144"/>
      <c r="L5" s="143"/>
      <c r="O5" s="142"/>
      <c r="P5" s="142"/>
      <c r="Q5" s="142"/>
      <c r="R5" s="142"/>
      <c r="S5" s="142"/>
      <c r="T5" s="36"/>
      <c r="U5" s="143"/>
      <c r="V5" s="143"/>
      <c r="W5" s="143"/>
      <c r="X5" s="143"/>
      <c r="Y5" s="770" t="str">
        <f>"Каким образом утверждались тарифы ОИВ субъекта РФ на " &amp; IF(AA9="","",AA9) &amp; " год с учётом календарной разбивки"</f>
        <v>Каким образом утверждались тарифы ОИВ субъекта РФ на 2012 год с учётом календарной разбивки</v>
      </c>
      <c r="Z5" s="770"/>
      <c r="AA5" s="770"/>
      <c r="AB5" s="412"/>
      <c r="AC5" s="147"/>
      <c r="AD5" s="36"/>
      <c r="AE5" s="36"/>
      <c r="AF5" s="36"/>
      <c r="AG5" s="36"/>
      <c r="AH5" s="36"/>
      <c r="AI5" s="147"/>
      <c r="AP5" s="147"/>
    </row>
    <row r="6" spans="1:55" s="32" customFormat="1" ht="24" customHeight="1">
      <c r="A6" s="31"/>
      <c r="D6"/>
      <c r="E6" s="143"/>
      <c r="F6" s="783" t="s">
        <v>694</v>
      </c>
      <c r="G6" s="783"/>
      <c r="H6" s="783"/>
      <c r="I6" s="405" t="s">
        <v>695</v>
      </c>
      <c r="J6" s="783" t="s">
        <v>696</v>
      </c>
      <c r="K6" s="783"/>
      <c r="L6" s="405" t="s">
        <v>643</v>
      </c>
      <c r="M6" s="780"/>
      <c r="N6" s="781"/>
      <c r="O6" s="142"/>
      <c r="P6" s="142"/>
      <c r="Q6" s="142"/>
      <c r="R6" s="142"/>
      <c r="S6" s="142"/>
      <c r="T6" s="36"/>
      <c r="U6" s="36"/>
      <c r="V6" s="36"/>
      <c r="W6" s="36"/>
      <c r="X6" s="36"/>
      <c r="Y6" s="770"/>
      <c r="Z6" s="770"/>
      <c r="AA6" s="770"/>
      <c r="AB6" s="413"/>
      <c r="AC6" s="148"/>
      <c r="AD6" s="36"/>
      <c r="AE6" s="36"/>
      <c r="AF6" s="36"/>
      <c r="AG6" s="36"/>
      <c r="AH6" s="36"/>
      <c r="AI6" s="148"/>
      <c r="AP6" s="148"/>
    </row>
    <row r="7" spans="1:55" s="32" customFormat="1" ht="27" customHeight="1">
      <c r="A7" s="31"/>
      <c r="D7"/>
      <c r="E7" s="143"/>
      <c r="F7" s="792" t="s">
        <v>830</v>
      </c>
      <c r="G7" s="792"/>
      <c r="H7" s="792"/>
      <c r="I7" s="609" t="s">
        <v>1159</v>
      </c>
      <c r="J7" s="794" t="s">
        <v>1181</v>
      </c>
      <c r="K7" s="794"/>
      <c r="L7" s="406" t="s">
        <v>1182</v>
      </c>
      <c r="O7" s="142"/>
      <c r="P7" s="142"/>
      <c r="Q7" s="142"/>
      <c r="R7" s="142"/>
      <c r="S7" s="142"/>
      <c r="T7" s="36"/>
      <c r="U7" s="36"/>
      <c r="V7" s="36"/>
      <c r="W7" s="36"/>
      <c r="X7" s="36"/>
      <c r="Y7" s="773" t="str">
        <f>IF(Z9="","",Z9)</f>
        <v>Тарифы на услуги ОКК утверждались с учётом деления годовых затрат организаций на каждый соответствующий период календарной разбивки</v>
      </c>
      <c r="Z7" s="773"/>
      <c r="AA7" s="773"/>
      <c r="AB7" s="777" t="s">
        <v>2445</v>
      </c>
      <c r="AC7" s="774"/>
      <c r="AD7" s="774"/>
      <c r="AE7" s="774"/>
      <c r="AF7" s="774"/>
      <c r="AG7" s="774"/>
      <c r="AH7" s="774"/>
      <c r="AI7" s="774" t="s">
        <v>2446</v>
      </c>
      <c r="AJ7" s="774"/>
      <c r="AK7" s="774"/>
      <c r="AL7" s="774"/>
      <c r="AM7" s="774"/>
      <c r="AN7" s="774"/>
      <c r="AO7" s="774"/>
      <c r="AP7" s="774" t="s">
        <v>2447</v>
      </c>
      <c r="AQ7" s="774"/>
      <c r="AR7" s="774"/>
      <c r="AS7" s="774"/>
      <c r="AT7" s="774"/>
      <c r="AU7" s="774"/>
      <c r="AV7" s="774"/>
      <c r="AW7" s="73"/>
      <c r="AX7" s="73"/>
      <c r="AY7" s="73"/>
      <c r="AZ7" s="784"/>
      <c r="BA7" s="784"/>
      <c r="BB7" s="784"/>
      <c r="BC7" s="784"/>
    </row>
    <row r="8" spans="1:55" s="32" customFormat="1" ht="12" hidden="1" customHeight="1">
      <c r="A8" s="31"/>
      <c r="D8"/>
      <c r="E8" s="143"/>
      <c r="F8" s="143"/>
      <c r="G8" s="143"/>
      <c r="H8" s="36"/>
      <c r="I8" s="140"/>
      <c r="J8" s="146"/>
      <c r="K8" s="146"/>
      <c r="L8" s="143"/>
      <c r="M8" s="143"/>
      <c r="N8" s="143"/>
      <c r="O8" s="142"/>
      <c r="P8" s="142"/>
      <c r="Q8" s="142"/>
      <c r="R8" s="142"/>
      <c r="S8" s="142"/>
      <c r="T8" s="36"/>
      <c r="U8" s="143"/>
      <c r="V8" s="143"/>
      <c r="W8" s="143"/>
      <c r="X8" s="143"/>
      <c r="Y8" s="143"/>
      <c r="Z8" s="143"/>
      <c r="AA8" s="143"/>
      <c r="AB8" s="143"/>
      <c r="AC8" s="143"/>
      <c r="AD8" s="143"/>
      <c r="AE8" s="143"/>
      <c r="AF8" s="147"/>
      <c r="AI8" s="143"/>
      <c r="AJ8" s="143"/>
      <c r="AK8" s="143"/>
      <c r="AL8" s="143"/>
      <c r="AM8" s="147"/>
      <c r="AP8" s="143"/>
      <c r="AQ8" s="143"/>
      <c r="AR8" s="143"/>
      <c r="AS8" s="143"/>
      <c r="AT8" s="147"/>
    </row>
    <row r="9" spans="1:55" s="32" customFormat="1" ht="0.75" customHeight="1">
      <c r="A9" s="31"/>
      <c r="D9"/>
      <c r="E9" s="143"/>
      <c r="F9" s="143"/>
      <c r="G9" s="143"/>
      <c r="H9" s="143"/>
      <c r="T9" s="36"/>
      <c r="U9" s="36"/>
      <c r="V9" s="36"/>
      <c r="W9" s="36"/>
      <c r="X9" s="36"/>
      <c r="Y9" s="149" t="str">
        <f>IF(Y4="","Не определено",Y4)</f>
        <v>руб/куб.м</v>
      </c>
      <c r="Z9" s="147" t="s">
        <v>2723</v>
      </c>
      <c r="AA9" s="147">
        <v>2012</v>
      </c>
      <c r="AF9" s="148"/>
      <c r="AM9" s="148"/>
      <c r="AT9" s="148"/>
    </row>
    <row r="10" spans="1:55" s="32" customFormat="1" ht="12" hidden="1" customHeight="1">
      <c r="A10" s="31"/>
      <c r="D10"/>
      <c r="E10" s="143"/>
      <c r="F10" s="143"/>
      <c r="G10" s="143"/>
      <c r="I10" s="33"/>
      <c r="J10" s="33"/>
      <c r="K10" s="33"/>
      <c r="L10" s="33"/>
      <c r="M10" s="33"/>
      <c r="N10" s="33"/>
      <c r="O10" s="33"/>
      <c r="P10" s="33"/>
      <c r="Q10" s="33"/>
      <c r="R10" s="33"/>
      <c r="S10" s="33"/>
      <c r="T10" s="33"/>
      <c r="U10" s="33"/>
      <c r="V10" s="33"/>
      <c r="W10" s="33"/>
      <c r="X10" s="33"/>
      <c r="Y10" s="33"/>
      <c r="Z10" s="33"/>
      <c r="AA10" s="33"/>
      <c r="AB10" s="33"/>
      <c r="AC10" s="33"/>
      <c r="AD10" s="33"/>
      <c r="AH10" s="36"/>
      <c r="AI10" s="33"/>
      <c r="AJ10" s="33"/>
      <c r="AK10" s="33"/>
      <c r="AO10" s="36"/>
      <c r="AP10" s="33"/>
      <c r="AQ10" s="33"/>
      <c r="AR10" s="33"/>
      <c r="AV10" s="36"/>
      <c r="AW10" s="36"/>
      <c r="AX10" s="36"/>
      <c r="AY10" s="36"/>
    </row>
    <row r="11" spans="1:55" s="32" customFormat="1" ht="3" customHeight="1">
      <c r="A11" s="31"/>
      <c r="D11"/>
      <c r="E11" s="143"/>
      <c r="F11" s="143"/>
      <c r="G11" s="143"/>
      <c r="H11" s="143"/>
      <c r="I11" s="33"/>
      <c r="J11" s="33"/>
      <c r="K11" s="33"/>
      <c r="L11" s="33"/>
      <c r="M11" s="33"/>
      <c r="N11" s="33"/>
      <c r="O11" s="33"/>
      <c r="P11" s="33"/>
      <c r="Q11" s="33"/>
      <c r="R11" s="33"/>
      <c r="S11" s="33"/>
      <c r="T11" s="33"/>
      <c r="U11" s="33"/>
      <c r="V11" s="33"/>
      <c r="W11" s="33"/>
      <c r="X11" s="33"/>
      <c r="Y11" s="33"/>
      <c r="Z11" s="33"/>
      <c r="AA11" s="33"/>
      <c r="AB11" s="33"/>
      <c r="AC11" s="33"/>
      <c r="AD11" s="33"/>
      <c r="AE11" s="33"/>
      <c r="AI11" s="33"/>
      <c r="AJ11" s="33"/>
      <c r="AK11" s="33"/>
      <c r="AL11" s="33"/>
      <c r="AP11" s="33"/>
      <c r="AQ11" s="33"/>
      <c r="AR11" s="33"/>
      <c r="AS11" s="33"/>
    </row>
    <row r="12" spans="1:55" ht="12" customHeight="1">
      <c r="E12" s="143"/>
      <c r="F12" s="791" t="s">
        <v>641</v>
      </c>
      <c r="G12" s="791" t="s">
        <v>698</v>
      </c>
      <c r="H12" s="791" t="s">
        <v>699</v>
      </c>
      <c r="I12" s="790" t="s">
        <v>700</v>
      </c>
      <c r="J12" s="771" t="s">
        <v>1696</v>
      </c>
      <c r="K12" s="785" t="s">
        <v>839</v>
      </c>
      <c r="L12" s="789" t="s">
        <v>701</v>
      </c>
      <c r="M12" s="793" t="s">
        <v>705</v>
      </c>
      <c r="N12" s="771" t="s">
        <v>704</v>
      </c>
      <c r="O12" s="771" t="s">
        <v>2743</v>
      </c>
      <c r="P12" s="771" t="s">
        <v>2744</v>
      </c>
      <c r="Q12" s="771"/>
      <c r="R12" s="771"/>
      <c r="S12" s="771"/>
      <c r="T12" s="791">
        <f>TEMPLATE_SPHERE_OKK_SOURCE</f>
        <v>0</v>
      </c>
      <c r="U12" s="791"/>
      <c r="V12" s="771"/>
      <c r="W12" s="771"/>
      <c r="X12" s="771"/>
      <c r="Y12" s="771" t="s">
        <v>618</v>
      </c>
      <c r="Z12" s="771"/>
      <c r="AA12" s="771"/>
      <c r="AB12" s="772" t="s">
        <v>702</v>
      </c>
      <c r="AC12" s="771"/>
      <c r="AD12" s="771" t="s">
        <v>703</v>
      </c>
      <c r="AE12" s="771" t="s">
        <v>706</v>
      </c>
      <c r="AF12" s="771"/>
      <c r="AG12" s="771" t="s">
        <v>617</v>
      </c>
      <c r="AH12" s="778" t="str">
        <f>"Долгосрочные тарифы на услуги по транспортировке " &amp; RESOURCE_IDENTIFIER</f>
        <v>Долгосрочные тарифы на услуги по транспортировке стоков</v>
      </c>
      <c r="AI12" s="772" t="s">
        <v>702</v>
      </c>
      <c r="AJ12" s="771" t="s">
        <v>2738</v>
      </c>
      <c r="AK12" s="771" t="s">
        <v>703</v>
      </c>
      <c r="AL12" s="771"/>
      <c r="AM12" s="771"/>
      <c r="AN12" s="771"/>
      <c r="AO12" s="771"/>
      <c r="AP12" s="771"/>
      <c r="AQ12" s="771"/>
      <c r="AR12" s="771" t="s">
        <v>703</v>
      </c>
      <c r="AS12" s="771"/>
      <c r="AT12" s="771"/>
      <c r="AU12" s="771"/>
      <c r="AV12" s="771"/>
      <c r="AW12" s="771"/>
      <c r="AX12" s="771"/>
      <c r="AY12" s="771"/>
      <c r="AZ12" s="785" t="s">
        <v>717</v>
      </c>
      <c r="BA12" s="786"/>
      <c r="BB12" s="786"/>
      <c r="BC12" s="787"/>
    </row>
    <row r="13" spans="1:55" ht="24" customHeight="1">
      <c r="E13" s="150"/>
      <c r="F13" s="791"/>
      <c r="G13" s="791"/>
      <c r="H13" s="791"/>
      <c r="I13" s="790"/>
      <c r="J13" s="771"/>
      <c r="K13" s="785"/>
      <c r="L13" s="789"/>
      <c r="M13" s="793"/>
      <c r="N13" s="771"/>
      <c r="O13" s="771"/>
      <c r="P13" s="771"/>
      <c r="Q13" s="771"/>
      <c r="R13" s="771"/>
      <c r="S13" s="771"/>
      <c r="T13" s="401" t="s">
        <v>2740</v>
      </c>
      <c r="U13" s="76" t="s">
        <v>2741</v>
      </c>
      <c r="V13" s="771"/>
      <c r="W13" s="771"/>
      <c r="X13" s="771"/>
      <c r="Y13" s="771"/>
      <c r="Z13" s="771"/>
      <c r="AA13" s="771"/>
      <c r="AB13" s="772"/>
      <c r="AC13" s="771"/>
      <c r="AD13" s="771"/>
      <c r="AE13" s="402" t="s">
        <v>707</v>
      </c>
      <c r="AF13" s="402" t="s">
        <v>708</v>
      </c>
      <c r="AG13" s="771"/>
      <c r="AH13" s="778"/>
      <c r="AI13" s="772"/>
      <c r="AJ13" s="771"/>
      <c r="AK13" s="771"/>
      <c r="AL13" s="771"/>
      <c r="AM13" s="771"/>
      <c r="AN13" s="771"/>
      <c r="AO13" s="771"/>
      <c r="AP13" s="771"/>
      <c r="AQ13" s="771"/>
      <c r="AR13" s="771"/>
      <c r="AS13" s="771"/>
      <c r="AT13" s="771"/>
      <c r="AU13" s="771"/>
      <c r="AV13" s="771"/>
      <c r="AW13" s="771"/>
      <c r="AX13" s="771"/>
      <c r="AY13" s="771"/>
      <c r="AZ13" s="76" t="s">
        <v>718</v>
      </c>
      <c r="BA13" s="76" t="s">
        <v>650</v>
      </c>
      <c r="BB13" s="76" t="s">
        <v>651</v>
      </c>
      <c r="BC13" s="76" t="s">
        <v>680</v>
      </c>
    </row>
    <row r="14" spans="1:55" s="32" customFormat="1" ht="0.75" customHeight="1">
      <c r="A14" s="34"/>
      <c r="D14"/>
      <c r="E14" s="150"/>
      <c r="F14" s="131"/>
      <c r="G14" s="132"/>
      <c r="H14" s="132"/>
      <c r="I14" s="132"/>
      <c r="J14" s="132"/>
      <c r="K14" s="132"/>
      <c r="L14" s="133"/>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row>
    <row r="15" spans="1:55" ht="0.75" customHeight="1">
      <c r="E15" s="150"/>
      <c r="F15" s="83">
        <v>0</v>
      </c>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2"/>
    </row>
    <row r="16" spans="1:55" ht="36" customHeight="1">
      <c r="A16" s="34">
        <v>5</v>
      </c>
      <c r="D16" s="307" t="s">
        <v>709</v>
      </c>
      <c r="E16" s="425" t="s">
        <v>1726</v>
      </c>
      <c r="F16" s="306" t="s">
        <v>642</v>
      </c>
      <c r="G16" s="306" t="s">
        <v>1574</v>
      </c>
      <c r="H16" s="306" t="s">
        <v>1562</v>
      </c>
      <c r="I16" s="306" t="s">
        <v>1573</v>
      </c>
      <c r="J16" s="306"/>
      <c r="K16" s="306" t="s">
        <v>1353</v>
      </c>
      <c r="L16" s="306" t="s">
        <v>2737</v>
      </c>
      <c r="M16" s="306" t="s">
        <v>710</v>
      </c>
      <c r="N16" s="306" t="s">
        <v>1353</v>
      </c>
      <c r="O16" s="648" t="s">
        <v>1572</v>
      </c>
      <c r="P16" s="648"/>
      <c r="Q16" s="648"/>
      <c r="R16" s="648"/>
      <c r="S16" s="648"/>
      <c r="T16" s="648"/>
      <c r="U16" s="648"/>
      <c r="V16" s="648"/>
      <c r="W16" s="648"/>
      <c r="X16" s="648"/>
      <c r="Y16" s="649" t="s">
        <v>619</v>
      </c>
      <c r="Z16" s="650"/>
      <c r="AA16" s="650"/>
      <c r="AB16" s="306"/>
      <c r="AC16" s="648"/>
      <c r="AD16" s="306"/>
      <c r="AE16" s="306"/>
      <c r="AF16" s="306"/>
      <c r="AG16" s="306"/>
      <c r="AH16" s="306"/>
      <c r="AI16" s="306"/>
      <c r="AJ16" s="306"/>
      <c r="AK16" s="306"/>
      <c r="AL16" s="648"/>
      <c r="AM16" s="648"/>
      <c r="AN16" s="648"/>
      <c r="AO16" s="648"/>
      <c r="AP16" s="648"/>
      <c r="AQ16" s="648"/>
      <c r="AR16" s="306" t="s">
        <v>714</v>
      </c>
      <c r="AS16" s="648"/>
      <c r="AT16" s="648"/>
      <c r="AU16" s="648"/>
      <c r="AV16" s="648" t="s">
        <v>710</v>
      </c>
      <c r="AW16" s="648"/>
      <c r="AX16" s="648"/>
      <c r="AY16" s="648"/>
      <c r="AZ16" s="651" t="s">
        <v>1353</v>
      </c>
      <c r="BA16" s="651" t="s">
        <v>1353</v>
      </c>
      <c r="BB16" s="651" t="s">
        <v>1353</v>
      </c>
      <c r="BC16" s="651" t="s">
        <v>1353</v>
      </c>
    </row>
    <row r="17" spans="1:55" ht="12" customHeight="1">
      <c r="C17" s="32" t="s">
        <v>2482</v>
      </c>
      <c r="E17" s="36"/>
      <c r="F17" s="90"/>
      <c r="G17" s="91" t="s">
        <v>716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3"/>
    </row>
    <row r="18" spans="1:55" s="32" customFormat="1">
      <c r="D18"/>
      <c r="E18" s="36" t="s">
        <v>112</v>
      </c>
      <c r="F18" s="36"/>
      <c r="G18" s="36"/>
      <c r="H18" s="36"/>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36"/>
      <c r="AG18" s="36"/>
      <c r="AH18" s="36"/>
      <c r="AI18" s="140"/>
      <c r="AJ18" s="140"/>
      <c r="AK18" s="140"/>
      <c r="AL18" s="140"/>
      <c r="AM18" s="36"/>
      <c r="AN18" s="36"/>
      <c r="AO18" s="36"/>
      <c r="AP18" s="140"/>
      <c r="AQ18" s="140"/>
      <c r="AR18" s="140"/>
      <c r="AS18" s="140"/>
      <c r="AT18" s="36"/>
      <c r="AU18" s="36"/>
      <c r="AV18" s="36"/>
      <c r="AW18" s="36"/>
      <c r="AX18" s="36"/>
      <c r="AY18" s="36"/>
    </row>
    <row r="19" spans="1:55" s="32" customFormat="1" ht="11.25" customHeight="1">
      <c r="A19" s="34"/>
      <c r="D19"/>
      <c r="F19" s="788" t="s">
        <v>1336</v>
      </c>
      <c r="G19" s="788"/>
      <c r="H19" s="788"/>
      <c r="I19" s="788"/>
      <c r="J19" s="788"/>
      <c r="K19" s="788"/>
      <c r="AB19" s="34"/>
      <c r="AC19" s="34"/>
      <c r="AI19" s="34"/>
      <c r="AP19" s="34"/>
    </row>
    <row r="20" spans="1:55" s="32" customFormat="1" ht="11.25" customHeight="1">
      <c r="A20" s="34"/>
      <c r="D20"/>
      <c r="F20" s="788" t="s">
        <v>1687</v>
      </c>
      <c r="G20" s="788"/>
      <c r="H20" s="788"/>
      <c r="I20" s="788"/>
      <c r="J20" s="788"/>
      <c r="K20" s="788"/>
      <c r="AB20" s="34"/>
      <c r="AC20" s="34"/>
      <c r="AI20" s="34"/>
      <c r="AP20" s="34"/>
    </row>
    <row r="21" spans="1:55" s="32" customFormat="1" ht="11.25" customHeight="1">
      <c r="A21" s="34"/>
      <c r="D21"/>
      <c r="F21" s="788" t="s">
        <v>3268</v>
      </c>
      <c r="G21" s="788"/>
      <c r="H21" s="788"/>
      <c r="I21" s="788"/>
      <c r="J21" s="788"/>
      <c r="K21" s="788"/>
      <c r="AB21" s="34"/>
      <c r="AC21" s="34"/>
      <c r="AI21" s="34"/>
      <c r="AP21" s="34"/>
    </row>
    <row r="22" spans="1:55" s="32" customFormat="1">
      <c r="A22" s="34"/>
      <c r="D22"/>
      <c r="I22" s="33"/>
      <c r="J22" s="33"/>
      <c r="K22" s="33"/>
      <c r="AB22" s="34"/>
      <c r="AC22" s="34"/>
      <c r="AI22" s="34"/>
      <c r="AP22" s="34"/>
    </row>
    <row r="23" spans="1:55" s="32" customFormat="1" ht="12" hidden="1" customHeight="1">
      <c r="D23"/>
      <c r="E23" s="37"/>
      <c r="F23"/>
      <c r="G23"/>
      <c r="H23"/>
      <c r="J23" s="33"/>
      <c r="K23" s="33"/>
      <c r="AB23" s="34"/>
      <c r="AC23" s="34"/>
      <c r="AI23" s="34"/>
      <c r="AP23" s="34"/>
    </row>
    <row r="24" spans="1:55" s="32" customFormat="1" hidden="1">
      <c r="A24" s="34"/>
      <c r="D24"/>
      <c r="I24" s="33"/>
      <c r="J24" s="33"/>
      <c r="K24" s="33"/>
      <c r="AB24" s="34"/>
      <c r="AC24" s="34"/>
      <c r="AI24" s="34"/>
      <c r="AP24" s="34"/>
    </row>
    <row r="25" spans="1:55" s="32" customFormat="1">
      <c r="A25" s="34"/>
      <c r="D25"/>
      <c r="I25" s="33"/>
      <c r="J25" s="33"/>
      <c r="K25" s="33"/>
      <c r="AB25" s="34"/>
      <c r="AC25" s="34"/>
      <c r="AI25" s="34"/>
      <c r="AP25" s="34"/>
    </row>
  </sheetData>
  <sheetProtection password="FA9C" sheet="1" objects="1" scenarios="1" formatColumns="0" formatRows="0"/>
  <mergeCells count="63">
    <mergeCell ref="F6:H6"/>
    <mergeCell ref="X12:X13"/>
    <mergeCell ref="W12:W13"/>
    <mergeCell ref="V12:V13"/>
    <mergeCell ref="F7:H7"/>
    <mergeCell ref="M12:M13"/>
    <mergeCell ref="J7:K7"/>
    <mergeCell ref="R12:R13"/>
    <mergeCell ref="T12:U12"/>
    <mergeCell ref="S12:S13"/>
    <mergeCell ref="F21:K21"/>
    <mergeCell ref="K12:K13"/>
    <mergeCell ref="F20:K20"/>
    <mergeCell ref="L12:L13"/>
    <mergeCell ref="F19:K19"/>
    <mergeCell ref="I12:I13"/>
    <mergeCell ref="F12:F13"/>
    <mergeCell ref="G12:G13"/>
    <mergeCell ref="H12:H13"/>
    <mergeCell ref="AZ7:BC7"/>
    <mergeCell ref="AZ12:BC12"/>
    <mergeCell ref="AV12:AV13"/>
    <mergeCell ref="AS12:AS13"/>
    <mergeCell ref="AX12:AX13"/>
    <mergeCell ref="AP7:AV7"/>
    <mergeCell ref="AY12:AY13"/>
    <mergeCell ref="AW12:AW13"/>
    <mergeCell ref="AR12:AR13"/>
    <mergeCell ref="AQ12:AQ13"/>
    <mergeCell ref="AU12:AU13"/>
    <mergeCell ref="AT12:AT13"/>
    <mergeCell ref="AP12:AP13"/>
    <mergeCell ref="I4:K4"/>
    <mergeCell ref="M6:N6"/>
    <mergeCell ref="J12:J13"/>
    <mergeCell ref="Q12:Q13"/>
    <mergeCell ref="O12:O13"/>
    <mergeCell ref="N12:N13"/>
    <mergeCell ref="P12:P13"/>
    <mergeCell ref="I5:J5"/>
    <mergeCell ref="J6:K6"/>
    <mergeCell ref="AI7:AO7"/>
    <mergeCell ref="AE12:AF12"/>
    <mergeCell ref="AI12:AI13"/>
    <mergeCell ref="Y4:AA4"/>
    <mergeCell ref="AB7:AH7"/>
    <mergeCell ref="AH12:AH13"/>
    <mergeCell ref="AG12:AG13"/>
    <mergeCell ref="AM12:AM13"/>
    <mergeCell ref="AL12:AL13"/>
    <mergeCell ref="AK12:AK13"/>
    <mergeCell ref="AA12:AA13"/>
    <mergeCell ref="AO12:AO13"/>
    <mergeCell ref="AN12:AN13"/>
    <mergeCell ref="AD12:AD13"/>
    <mergeCell ref="AJ12:AJ13"/>
    <mergeCell ref="Y3:AA3"/>
    <mergeCell ref="Z12:Z13"/>
    <mergeCell ref="AB12:AB13"/>
    <mergeCell ref="AC12:AC13"/>
    <mergeCell ref="Y5:AA6"/>
    <mergeCell ref="Y12:Y13"/>
    <mergeCell ref="Y7:AA7"/>
  </mergeCells>
  <phoneticPr fontId="8" type="noConversion"/>
  <dataValidations count="3">
    <dataValidation type="list" allowBlank="1" showInputMessage="1" showErrorMessage="1" sqref="I7">
      <formula1>MR_LIST</formula1>
    </dataValidation>
    <dataValidation type="list" showInputMessage="1" showErrorMessage="1" errorTitle="Внимание" error="Пожалуйста, выберите МО из списка" sqref="J7:K7">
      <formula1>MO_LIST_21</formula1>
    </dataValidation>
    <dataValidation type="list" showInputMessage="1" showErrorMessage="1" errorTitle="Внимание" error="Пожалуйста, выберите значение из списка" sqref="Y16:AA16">
      <formula1>DIFF</formula1>
    </dataValidation>
  </dataValidations>
  <hyperlinks>
    <hyperlink ref="G17" location="'Список организаций'!A1" tooltip="Добавить организацию" display="Добавить организацию"/>
    <hyperlink ref="E16" location="'TECH_HORISONTAL'!A1" tooltip="Удалить" display="О"/>
  </hyperlinks>
  <pageMargins left="0.75" right="0.75" top="1" bottom="1" header="0.5" footer="0.5"/>
  <pageSetup paperSize="9" orientation="portrait" r:id="rId1"/>
  <headerFooter alignWithMargins="0"/>
  <drawing r:id="rId2"/>
  <legacyDrawing r:id="rId3"/>
  <controls>
    <control shapeId="1005569" r:id="rId4" name="cmdUpdateReestrMO"/>
    <control shapeId="1005570" r:id="rId5" name="cmdUpdatePLAN1XData"/>
    <control shapeId="1005572" r:id="rId6" name="cmdCheckOutPLAN1XData"/>
    <control shapeId="1005640" r:id="rId7" name="chkHIGHLIGHT_FIELDS"/>
  </controls>
</worksheet>
</file>

<file path=xl/worksheets/sheet40.xml><?xml version="1.0" encoding="utf-8"?>
<worksheet xmlns="http://schemas.openxmlformats.org/spreadsheetml/2006/main" xmlns:r="http://schemas.openxmlformats.org/officeDocument/2006/relationships">
  <sheetPr codeName="VSNA_ConR_PERIOD3">
    <tabColor rgb="FF7030A0"/>
    <outlinePr summaryBelow="0"/>
  </sheetPr>
  <dimension ref="A1:AT167"/>
  <sheetViews>
    <sheetView showGridLines="0" topLeftCell="AL8" workbookViewId="0"/>
  </sheetViews>
  <sheetFormatPr defaultColWidth="8.7109375" defaultRowHeight="11.25"/>
  <cols>
    <col min="1" max="37" width="2.7109375" style="121"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4" width="0.140625" style="47" customWidth="1"/>
    <col min="45" max="46" width="2.7109375" style="47" customWidth="1"/>
    <col min="47" max="16384" width="8.7109375" style="47"/>
  </cols>
  <sheetData>
    <row r="1" spans="1:46" ht="12" hidden="1" customHeight="1">
      <c r="A1" s="47"/>
      <c r="B1" s="47"/>
      <c r="C1" s="47"/>
      <c r="D1" s="47"/>
      <c r="E1" s="47"/>
      <c r="F1" s="47"/>
      <c r="G1" s="47"/>
      <c r="H1" s="47"/>
      <c r="I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row>
    <row r="2" spans="1:46" ht="12" hidden="1" customHeight="1">
      <c r="A2" s="47"/>
      <c r="B2" s="47"/>
      <c r="C2" s="47"/>
      <c r="D2" s="47"/>
      <c r="E2" s="47"/>
      <c r="F2" s="47"/>
      <c r="G2" s="47"/>
      <c r="H2" s="47"/>
      <c r="I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row>
    <row r="3" spans="1:46" ht="12" hidden="1" customHeight="1">
      <c r="A3" s="47"/>
      <c r="B3" s="47"/>
      <c r="C3" s="47"/>
      <c r="D3" s="47"/>
      <c r="E3" s="47"/>
      <c r="F3" s="47"/>
      <c r="G3" s="47"/>
      <c r="H3" s="47"/>
      <c r="I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row>
    <row r="4" spans="1:46" ht="12" hidden="1" customHeight="1">
      <c r="A4" s="47"/>
      <c r="B4" s="47"/>
      <c r="C4" s="47"/>
      <c r="D4" s="47"/>
      <c r="E4" s="47"/>
      <c r="F4" s="47"/>
      <c r="G4" s="47"/>
      <c r="H4" s="47"/>
      <c r="I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row>
    <row r="5" spans="1:46" ht="12" hidden="1" customHeight="1">
      <c r="A5" s="47"/>
      <c r="B5" s="47"/>
      <c r="C5" s="47"/>
      <c r="D5" s="47"/>
      <c r="E5" s="47"/>
      <c r="F5" s="47"/>
      <c r="G5" s="47"/>
      <c r="H5" s="47"/>
      <c r="I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row>
    <row r="6" spans="1:46" ht="12" hidden="1" customHeight="1">
      <c r="A6" s="47"/>
      <c r="B6" s="47"/>
      <c r="C6" s="47"/>
      <c r="D6" s="47"/>
      <c r="E6" s="47"/>
      <c r="F6" s="47"/>
      <c r="G6" s="47"/>
      <c r="H6" s="47"/>
      <c r="I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row>
    <row r="7" spans="1:46" ht="12" hidden="1" customHeight="1">
      <c r="A7" s="47"/>
      <c r="B7" s="47"/>
      <c r="C7" s="47"/>
      <c r="D7" s="47"/>
      <c r="E7" s="47"/>
      <c r="F7" s="47"/>
      <c r="G7" s="47"/>
      <c r="H7" s="47"/>
      <c r="I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row>
    <row r="8" spans="1:46" s="520" customFormat="1" ht="11.25" customHeight="1">
      <c r="J8" s="521"/>
      <c r="AM8" s="522"/>
      <c r="AN8" s="637">
        <f>IF(TARIFF_SETUP_METHOD_CODE="BY_PSEUDO_YEARS",12,4)</f>
        <v>4</v>
      </c>
      <c r="AO8" s="431" t="str">
        <f>"Необходимо указывать " &amp; IF(TARIFF_SETUP_METHOD_CODE="BY_PSEUDO_YEARS","общегодовые значения","значения по периодам")</f>
        <v>Необходимо указывать значения по периодам</v>
      </c>
      <c r="AP8" s="616" t="s">
        <v>2498</v>
      </c>
      <c r="AQ8" s="522"/>
      <c r="AR8" s="522"/>
      <c r="AS8" s="522"/>
    </row>
    <row r="9" spans="1:46"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на реализацию " &amp; RESOURCE_IDENTIFIER &amp; " конечным потребителям по муниципальному образованию - " &amp; IF(mo="","Не определено",mo)</f>
        <v>Фактические расходы организаций водоотведения на реализацию стоков конечным потребителям по муниципальному образованию - Село Булава</v>
      </c>
      <c r="AO9" s="917"/>
      <c r="AP9" s="917"/>
      <c r="AQ9" s="201"/>
      <c r="AR9" s="122"/>
      <c r="AS9" s="200"/>
    </row>
    <row r="10" spans="1:46" ht="12" customHeight="1">
      <c r="A10" s="47"/>
      <c r="B10" s="47"/>
      <c r="C10" s="47"/>
      <c r="D10" s="47"/>
      <c r="E10" s="47"/>
      <c r="F10" s="47"/>
      <c r="G10" s="47"/>
      <c r="H10" s="47"/>
      <c r="I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M10" s="124"/>
      <c r="AN10" s="430" t="s">
        <v>2499</v>
      </c>
      <c r="AO10" s="221"/>
      <c r="AP10" s="122" t="s">
        <v>786</v>
      </c>
      <c r="AQ10" s="201"/>
      <c r="AR10" s="168" t="s">
        <v>720</v>
      </c>
      <c r="AS10" s="53"/>
    </row>
    <row r="11" spans="1:46" ht="12" customHeight="1">
      <c r="A11" s="47"/>
      <c r="B11" s="47"/>
      <c r="C11" s="47"/>
      <c r="D11" s="47"/>
      <c r="E11" s="47"/>
      <c r="F11" s="47"/>
      <c r="G11" s="47"/>
      <c r="H11" s="47"/>
      <c r="I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50"/>
      <c r="AM11" s="125"/>
      <c r="AN11" s="802" t="s">
        <v>641</v>
      </c>
      <c r="AO11" s="804" t="s">
        <v>787</v>
      </c>
      <c r="AP11" s="806" t="s">
        <v>778</v>
      </c>
      <c r="AQ11" s="206">
        <v>0</v>
      </c>
      <c r="AR11" s="206"/>
      <c r="AS11" s="220"/>
    </row>
    <row r="12" spans="1:46" ht="48" customHeight="1">
      <c r="A12" s="47"/>
      <c r="B12" s="47"/>
      <c r="C12" s="47"/>
      <c r="D12" s="47"/>
      <c r="E12" s="47"/>
      <c r="F12" s="47"/>
      <c r="G12" s="47"/>
      <c r="H12" s="47"/>
      <c r="I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50"/>
      <c r="AM12" s="125"/>
      <c r="AN12" s="803"/>
      <c r="AO12" s="805"/>
      <c r="AP12" s="807"/>
      <c r="AQ12" s="207"/>
      <c r="AR12" s="207"/>
      <c r="AS12" s="121"/>
      <c r="AT12" s="121"/>
    </row>
    <row r="13" spans="1:46">
      <c r="A13" s="47"/>
      <c r="B13" s="47"/>
      <c r="C13" s="47"/>
      <c r="D13" s="47"/>
      <c r="E13" s="47"/>
      <c r="F13" s="47"/>
      <c r="G13" s="47"/>
      <c r="H13" s="47"/>
      <c r="I13" s="47"/>
      <c r="AL13" s="121"/>
      <c r="AM13" s="121"/>
      <c r="AN13" s="222"/>
      <c r="AO13" s="501" t="s">
        <v>788</v>
      </c>
      <c r="AP13" s="542"/>
      <c r="AQ13" s="330"/>
      <c r="AR13" s="207"/>
      <c r="AS13" s="121"/>
      <c r="AT13" s="121"/>
    </row>
    <row r="14" spans="1:46" ht="24" customHeight="1">
      <c r="A14" s="47"/>
      <c r="B14" s="47"/>
      <c r="C14" s="47"/>
      <c r="D14" s="47"/>
      <c r="E14" s="47"/>
      <c r="F14" s="47"/>
      <c r="G14" s="47"/>
      <c r="H14" s="47"/>
      <c r="I14" s="47"/>
      <c r="AL14" s="121"/>
      <c r="AM14" s="121"/>
      <c r="AN14" s="222"/>
      <c r="AO14" s="556" t="str">
        <f>IF(CALC_IDENTIFIER="","",CALC_IDENTIFIER)</f>
        <v/>
      </c>
      <c r="AP14" s="557" t="s">
        <v>745</v>
      </c>
      <c r="AQ14" s="330"/>
      <c r="AR14" s="207"/>
      <c r="AS14" s="121"/>
      <c r="AT14" s="121"/>
    </row>
    <row r="15" spans="1:46" ht="0.75" customHeight="1">
      <c r="AL15" s="121"/>
      <c r="AM15" s="121"/>
      <c r="AN15" s="504"/>
      <c r="AO15" s="566"/>
      <c r="AP15" s="504"/>
      <c r="AQ15" s="321"/>
      <c r="AR15" s="258"/>
      <c r="AS15" s="121"/>
      <c r="AT15" s="121"/>
    </row>
    <row r="16" spans="1:46" ht="0.75" customHeight="1">
      <c r="AL16" s="121"/>
      <c r="AM16" s="121"/>
      <c r="AN16" s="504"/>
      <c r="AO16" s="527"/>
      <c r="AP16" s="504"/>
      <c r="AQ16" s="321"/>
      <c r="AR16" s="258"/>
      <c r="AS16" s="121"/>
      <c r="AT16" s="121"/>
    </row>
    <row r="17" spans="38:46">
      <c r="AL17" s="121"/>
      <c r="AM17" s="121"/>
      <c r="AN17" s="504" t="s">
        <v>751</v>
      </c>
      <c r="AO17" s="526" t="s">
        <v>2814</v>
      </c>
      <c r="AP17" s="257">
        <f>SUMIF(AQ$14:AR$14,AP$14,AQ17:AR17)</f>
        <v>0</v>
      </c>
      <c r="AQ17" s="321"/>
      <c r="AR17" s="258"/>
      <c r="AS17" s="121"/>
      <c r="AT17" s="121"/>
    </row>
    <row r="18" spans="38:46">
      <c r="AL18" s="121"/>
      <c r="AM18" s="121"/>
      <c r="AN18" s="504" t="s">
        <v>66</v>
      </c>
      <c r="AO18" s="527" t="s">
        <v>2815</v>
      </c>
      <c r="AP18" s="257">
        <f>SUMIF(AQ$14:AR$14,AP$14,AQ18:AR18)</f>
        <v>0</v>
      </c>
      <c r="AQ18" s="321"/>
      <c r="AR18" s="258"/>
      <c r="AS18" s="121"/>
      <c r="AT18" s="121"/>
    </row>
    <row r="19" spans="38:46">
      <c r="AL19" s="121"/>
      <c r="AM19" s="121"/>
      <c r="AN19" s="504" t="s">
        <v>632</v>
      </c>
      <c r="AO19" s="528" t="s">
        <v>2816</v>
      </c>
      <c r="AP19" s="257">
        <f>SUMIF(AQ$14:AR$14,AP$14,AQ19:AR19)</f>
        <v>0</v>
      </c>
      <c r="AQ19" s="321"/>
      <c r="AR19" s="258"/>
      <c r="AS19" s="121"/>
      <c r="AT19" s="121"/>
    </row>
    <row r="20" spans="38:46">
      <c r="AL20" s="121"/>
      <c r="AM20" s="121"/>
      <c r="AN20" s="223" t="s">
        <v>2817</v>
      </c>
      <c r="AO20" s="529" t="s">
        <v>2972</v>
      </c>
      <c r="AP20" s="257">
        <f>SUMIF(AQ$14:AR$14,AP$14,AQ20:AR20)</f>
        <v>0</v>
      </c>
      <c r="AQ20" s="321"/>
      <c r="AR20" s="258"/>
      <c r="AS20" s="121"/>
      <c r="AT20" s="121"/>
    </row>
    <row r="21" spans="38:46">
      <c r="AL21" s="121"/>
      <c r="AM21" s="121"/>
      <c r="AN21" s="223" t="s">
        <v>2818</v>
      </c>
      <c r="AO21" s="529" t="s">
        <v>2988</v>
      </c>
      <c r="AP21" s="257">
        <f>SUMIF(AQ$14:AR$14,AP$14,AQ21:AR21)</f>
        <v>0</v>
      </c>
      <c r="AQ21" s="321"/>
      <c r="AR21" s="258"/>
      <c r="AS21" s="121"/>
      <c r="AT21" s="121"/>
    </row>
    <row r="22" spans="38:46" hidden="1">
      <c r="AL22" s="121"/>
      <c r="AM22" s="121"/>
      <c r="AN22" s="223"/>
      <c r="AO22" s="529"/>
      <c r="AP22" s="524"/>
      <c r="AQ22" s="321"/>
      <c r="AR22" s="258"/>
      <c r="AS22" s="121"/>
      <c r="AT22" s="121"/>
    </row>
    <row r="23" spans="38:46" hidden="1">
      <c r="AL23" s="121"/>
      <c r="AM23" s="121"/>
      <c r="AN23" s="524"/>
      <c r="AO23" s="530"/>
      <c r="AP23" s="524"/>
      <c r="AQ23" s="321"/>
      <c r="AR23" s="258"/>
      <c r="AS23" s="121"/>
      <c r="AT23" s="121"/>
    </row>
    <row r="24" spans="38:46" hidden="1">
      <c r="AL24" s="121"/>
      <c r="AM24" s="121"/>
      <c r="AN24" s="524"/>
      <c r="AO24" s="530"/>
      <c r="AP24" s="524"/>
      <c r="AQ24" s="321"/>
      <c r="AR24" s="258"/>
      <c r="AS24" s="121"/>
      <c r="AT24" s="121"/>
    </row>
    <row r="25" spans="38:46" hidden="1">
      <c r="AL25" s="121"/>
      <c r="AM25" s="121"/>
      <c r="AN25" s="223"/>
      <c r="AO25" s="531"/>
      <c r="AP25" s="524"/>
      <c r="AQ25" s="321"/>
      <c r="AR25" s="258"/>
      <c r="AS25" s="121"/>
      <c r="AT25" s="121"/>
    </row>
    <row r="26" spans="38:46" hidden="1">
      <c r="AL26" s="121"/>
      <c r="AM26" s="121"/>
      <c r="AN26" s="524"/>
      <c r="AO26" s="530"/>
      <c r="AP26" s="524"/>
      <c r="AQ26" s="321"/>
      <c r="AR26" s="258"/>
      <c r="AS26" s="121"/>
      <c r="AT26" s="121"/>
    </row>
    <row r="27" spans="38:46" hidden="1">
      <c r="AL27" s="121"/>
      <c r="AM27" s="121"/>
      <c r="AN27" s="524"/>
      <c r="AO27" s="530"/>
      <c r="AP27" s="524"/>
      <c r="AQ27" s="321"/>
      <c r="AR27" s="258"/>
      <c r="AS27" s="121"/>
      <c r="AT27" s="121"/>
    </row>
    <row r="28" spans="38:46" hidden="1">
      <c r="AL28" s="121"/>
      <c r="AM28" s="121"/>
      <c r="AN28" s="223"/>
      <c r="AO28" s="529"/>
      <c r="AP28" s="524"/>
      <c r="AQ28" s="321"/>
      <c r="AR28" s="258"/>
      <c r="AS28" s="121"/>
      <c r="AT28" s="121"/>
    </row>
    <row r="29" spans="38:46" hidden="1">
      <c r="AL29" s="121"/>
      <c r="AM29" s="121"/>
      <c r="AN29" s="524"/>
      <c r="AO29" s="530"/>
      <c r="AP29" s="524"/>
      <c r="AQ29" s="321"/>
      <c r="AR29" s="258"/>
      <c r="AS29" s="121"/>
      <c r="AT29" s="121"/>
    </row>
    <row r="30" spans="38:46" hidden="1">
      <c r="AL30" s="121"/>
      <c r="AM30" s="121"/>
      <c r="AN30" s="524"/>
      <c r="AO30" s="530"/>
      <c r="AP30" s="524"/>
      <c r="AQ30" s="321"/>
      <c r="AR30" s="258"/>
      <c r="AS30" s="121"/>
      <c r="AT30" s="121"/>
    </row>
    <row r="31" spans="38:46" hidden="1">
      <c r="AL31" s="121"/>
      <c r="AM31" s="121"/>
      <c r="AN31" s="223"/>
      <c r="AO31" s="531"/>
      <c r="AP31" s="524"/>
      <c r="AQ31" s="321"/>
      <c r="AR31" s="258"/>
      <c r="AS31" s="121"/>
      <c r="AT31" s="121"/>
    </row>
    <row r="32" spans="38:46" hidden="1">
      <c r="AL32" s="121"/>
      <c r="AM32" s="121"/>
      <c r="AN32" s="524"/>
      <c r="AO32" s="530"/>
      <c r="AP32" s="524"/>
      <c r="AQ32" s="321"/>
      <c r="AR32" s="258"/>
      <c r="AS32" s="121"/>
      <c r="AT32" s="121"/>
    </row>
    <row r="33" spans="38:46" hidden="1">
      <c r="AL33" s="121"/>
      <c r="AM33" s="121"/>
      <c r="AN33" s="524"/>
      <c r="AO33" s="530"/>
      <c r="AP33" s="524"/>
      <c r="AQ33" s="321"/>
      <c r="AR33" s="258"/>
      <c r="AS33" s="121"/>
      <c r="AT33" s="121"/>
    </row>
    <row r="34" spans="38:46" hidden="1">
      <c r="AL34" s="121"/>
      <c r="AM34" s="121"/>
      <c r="AN34" s="223"/>
      <c r="AO34" s="529"/>
      <c r="AP34" s="524"/>
      <c r="AQ34" s="321"/>
      <c r="AR34" s="258"/>
      <c r="AS34" s="121"/>
      <c r="AT34" s="121"/>
    </row>
    <row r="35" spans="38:46" hidden="1">
      <c r="AL35" s="121"/>
      <c r="AM35" s="121"/>
      <c r="AN35" s="524"/>
      <c r="AO35" s="530"/>
      <c r="AP35" s="524"/>
      <c r="AQ35" s="321"/>
      <c r="AR35" s="258"/>
      <c r="AS35" s="121"/>
      <c r="AT35" s="121"/>
    </row>
    <row r="36" spans="38:46" hidden="1">
      <c r="AL36" s="121"/>
      <c r="AM36" s="121"/>
      <c r="AN36" s="524"/>
      <c r="AO36" s="530"/>
      <c r="AP36" s="524"/>
      <c r="AQ36" s="321"/>
      <c r="AR36" s="258"/>
      <c r="AS36" s="121"/>
      <c r="AT36" s="121"/>
    </row>
    <row r="37" spans="38:46" hidden="1">
      <c r="AL37" s="121"/>
      <c r="AM37" s="121"/>
      <c r="AN37" s="223"/>
      <c r="AO37" s="531"/>
      <c r="AP37" s="524"/>
      <c r="AQ37" s="321"/>
      <c r="AR37" s="258"/>
      <c r="AS37" s="121"/>
      <c r="AT37" s="121"/>
    </row>
    <row r="38" spans="38:46" hidden="1">
      <c r="AL38" s="121"/>
      <c r="AM38" s="121"/>
      <c r="AN38" s="524"/>
      <c r="AO38" s="530"/>
      <c r="AP38" s="524"/>
      <c r="AQ38" s="321"/>
      <c r="AR38" s="258"/>
      <c r="AS38" s="121"/>
      <c r="AT38" s="121"/>
    </row>
    <row r="39" spans="38:46" hidden="1">
      <c r="AL39" s="121"/>
      <c r="AM39" s="121"/>
      <c r="AN39" s="524"/>
      <c r="AO39" s="530"/>
      <c r="AP39" s="524"/>
      <c r="AQ39" s="321"/>
      <c r="AR39" s="258"/>
      <c r="AS39" s="121"/>
      <c r="AT39" s="121"/>
    </row>
    <row r="40" spans="38:46" hidden="1">
      <c r="AL40" s="121"/>
      <c r="AM40" s="121"/>
      <c r="AN40" s="223"/>
      <c r="AO40" s="529"/>
      <c r="AP40" s="524"/>
      <c r="AQ40" s="321"/>
      <c r="AR40" s="258"/>
      <c r="AS40" s="121"/>
      <c r="AT40" s="121"/>
    </row>
    <row r="41" spans="38:46" hidden="1">
      <c r="AL41" s="121"/>
      <c r="AM41" s="121"/>
      <c r="AN41" s="524"/>
      <c r="AO41" s="530"/>
      <c r="AP41" s="524"/>
      <c r="AQ41" s="321"/>
      <c r="AR41" s="258"/>
      <c r="AS41" s="121"/>
      <c r="AT41" s="121"/>
    </row>
    <row r="42" spans="38:46" hidden="1">
      <c r="AL42" s="121"/>
      <c r="AM42" s="121"/>
      <c r="AN42" s="524"/>
      <c r="AO42" s="530"/>
      <c r="AP42" s="524"/>
      <c r="AQ42" s="321"/>
      <c r="AR42" s="258"/>
      <c r="AS42" s="121"/>
      <c r="AT42" s="121"/>
    </row>
    <row r="43" spans="38:46" hidden="1">
      <c r="AL43" s="121"/>
      <c r="AM43" s="121"/>
      <c r="AN43" s="223"/>
      <c r="AO43" s="531"/>
      <c r="AP43" s="524"/>
      <c r="AQ43" s="321"/>
      <c r="AR43" s="258"/>
      <c r="AS43" s="121"/>
      <c r="AT43" s="121"/>
    </row>
    <row r="44" spans="38:46" hidden="1">
      <c r="AL44" s="121"/>
      <c r="AM44" s="121"/>
      <c r="AN44" s="524"/>
      <c r="AO44" s="530"/>
      <c r="AP44" s="524"/>
      <c r="AQ44" s="321"/>
      <c r="AR44" s="258"/>
      <c r="AS44" s="121"/>
      <c r="AT44" s="121"/>
    </row>
    <row r="45" spans="38:46" hidden="1">
      <c r="AL45" s="121"/>
      <c r="AM45" s="121"/>
      <c r="AN45" s="524"/>
      <c r="AO45" s="530"/>
      <c r="AP45" s="524"/>
      <c r="AQ45" s="321"/>
      <c r="AR45" s="258"/>
      <c r="AS45" s="121"/>
      <c r="AT45" s="121"/>
    </row>
    <row r="46" spans="38:46">
      <c r="AL46" s="121"/>
      <c r="AM46" s="121"/>
      <c r="AN46" s="504" t="s">
        <v>633</v>
      </c>
      <c r="AO46" s="532" t="s">
        <v>2819</v>
      </c>
      <c r="AP46" s="257">
        <f t="shared" ref="AP46:AP55" si="0">SUMIF(AQ$14:AR$14,AP$14,AQ46:AR46)</f>
        <v>0</v>
      </c>
      <c r="AQ46" s="321"/>
      <c r="AR46" s="258"/>
      <c r="AS46" s="121"/>
      <c r="AT46" s="121"/>
    </row>
    <row r="47" spans="38:46">
      <c r="AL47" s="121"/>
      <c r="AM47" s="121"/>
      <c r="AN47" s="504" t="s">
        <v>69</v>
      </c>
      <c r="AO47" s="527" t="s">
        <v>2820</v>
      </c>
      <c r="AP47" s="257">
        <f t="shared" si="0"/>
        <v>0</v>
      </c>
      <c r="AQ47" s="321"/>
      <c r="AR47" s="258"/>
      <c r="AS47" s="121"/>
      <c r="AT47" s="121"/>
    </row>
    <row r="48" spans="38:46">
      <c r="AL48" s="121"/>
      <c r="AM48" s="121"/>
      <c r="AN48" s="504" t="s">
        <v>72</v>
      </c>
      <c r="AO48" s="527" t="s">
        <v>2471</v>
      </c>
      <c r="AP48" s="257">
        <f t="shared" si="0"/>
        <v>0</v>
      </c>
      <c r="AQ48" s="321"/>
      <c r="AR48" s="258"/>
      <c r="AS48" s="121"/>
      <c r="AT48" s="121"/>
    </row>
    <row r="49" spans="38:46">
      <c r="AL49" s="121"/>
      <c r="AM49" s="121"/>
      <c r="AN49" s="504" t="s">
        <v>2821</v>
      </c>
      <c r="AO49" s="527" t="s">
        <v>2822</v>
      </c>
      <c r="AP49" s="257">
        <f t="shared" si="0"/>
        <v>0</v>
      </c>
      <c r="AQ49" s="321"/>
      <c r="AR49" s="258"/>
      <c r="AS49" s="121"/>
      <c r="AT49" s="121"/>
    </row>
    <row r="50" spans="38:46">
      <c r="AL50" s="121"/>
      <c r="AM50" s="121"/>
      <c r="AN50" s="504" t="s">
        <v>888</v>
      </c>
      <c r="AO50" s="528" t="s">
        <v>2823</v>
      </c>
      <c r="AP50" s="257">
        <f t="shared" si="0"/>
        <v>0</v>
      </c>
      <c r="AQ50" s="321"/>
      <c r="AR50" s="258"/>
      <c r="AS50" s="121"/>
      <c r="AT50" s="121"/>
    </row>
    <row r="51" spans="38:46">
      <c r="AL51" s="121"/>
      <c r="AM51" s="121"/>
      <c r="AN51" s="504" t="s">
        <v>889</v>
      </c>
      <c r="AO51" s="528" t="s">
        <v>2824</v>
      </c>
      <c r="AP51" s="257">
        <f t="shared" si="0"/>
        <v>0</v>
      </c>
      <c r="AQ51" s="321"/>
      <c r="AR51" s="258"/>
      <c r="AS51" s="121"/>
      <c r="AT51" s="121"/>
    </row>
    <row r="52" spans="38:46">
      <c r="AL52" s="121"/>
      <c r="AM52" s="121"/>
      <c r="AN52" s="504" t="s">
        <v>890</v>
      </c>
      <c r="AO52" s="528" t="s">
        <v>2825</v>
      </c>
      <c r="AP52" s="257">
        <f t="shared" si="0"/>
        <v>0</v>
      </c>
      <c r="AQ52" s="321"/>
      <c r="AR52" s="258"/>
      <c r="AS52" s="121"/>
      <c r="AT52" s="121"/>
    </row>
    <row r="53" spans="38:46">
      <c r="AL53" s="121"/>
      <c r="AM53" s="121"/>
      <c r="AN53" s="504" t="s">
        <v>2826</v>
      </c>
      <c r="AO53" s="527" t="s">
        <v>2827</v>
      </c>
      <c r="AP53" s="257">
        <f t="shared" si="0"/>
        <v>0</v>
      </c>
      <c r="AQ53" s="321"/>
      <c r="AR53" s="258"/>
      <c r="AS53" s="121"/>
      <c r="AT53" s="121"/>
    </row>
    <row r="54" spans="38:46">
      <c r="AL54" s="121"/>
      <c r="AM54" s="121"/>
      <c r="AN54" s="504" t="s">
        <v>2828</v>
      </c>
      <c r="AO54" s="527" t="s">
        <v>2829</v>
      </c>
      <c r="AP54" s="257">
        <f t="shared" si="0"/>
        <v>0</v>
      </c>
      <c r="AQ54" s="321"/>
      <c r="AR54" s="258"/>
      <c r="AS54" s="121"/>
      <c r="AT54" s="121"/>
    </row>
    <row r="55" spans="38:46">
      <c r="AL55" s="121"/>
      <c r="AM55" s="121"/>
      <c r="AN55" s="504" t="s">
        <v>2830</v>
      </c>
      <c r="AO55" s="527" t="s">
        <v>2831</v>
      </c>
      <c r="AP55" s="257">
        <f t="shared" si="0"/>
        <v>0</v>
      </c>
      <c r="AQ55" s="321"/>
      <c r="AR55" s="258"/>
      <c r="AS55" s="121"/>
      <c r="AT55" s="121"/>
    </row>
    <row r="56" spans="38:46" hidden="1">
      <c r="AL56" s="121"/>
      <c r="AM56" s="121"/>
      <c r="AN56" s="279"/>
      <c r="AO56" s="558"/>
      <c r="AP56" s="222"/>
      <c r="AQ56" s="321"/>
      <c r="AR56" s="258"/>
      <c r="AS56" s="121"/>
      <c r="AT56" s="121"/>
    </row>
    <row r="57" spans="38:46" hidden="1">
      <c r="AL57" s="121"/>
      <c r="AM57" s="121"/>
      <c r="AN57" s="279"/>
      <c r="AO57" s="558"/>
      <c r="AP57" s="222"/>
      <c r="AQ57" s="321"/>
      <c r="AR57" s="258"/>
      <c r="AS57" s="121"/>
      <c r="AT57" s="121"/>
    </row>
    <row r="58" spans="38:46" hidden="1">
      <c r="AL58" s="121"/>
      <c r="AM58" s="121"/>
      <c r="AN58" s="279"/>
      <c r="AO58" s="558"/>
      <c r="AP58" s="222"/>
      <c r="AQ58" s="321"/>
      <c r="AR58" s="258"/>
      <c r="AS58" s="121"/>
      <c r="AT58" s="121"/>
    </row>
    <row r="59" spans="38:46">
      <c r="AL59" s="121"/>
      <c r="AM59" s="121"/>
      <c r="AN59" s="222" t="s">
        <v>2832</v>
      </c>
      <c r="AO59" s="533" t="s">
        <v>1832</v>
      </c>
      <c r="AP59" s="257">
        <f>SUMIF(AQ$14:AR$14,AP$14,AQ59:AR59)</f>
        <v>0</v>
      </c>
      <c r="AQ59" s="321"/>
      <c r="AR59" s="258"/>
      <c r="AS59" s="121"/>
      <c r="AT59" s="121"/>
    </row>
    <row r="60" spans="38:46" hidden="1">
      <c r="AL60" s="121"/>
      <c r="AM60" s="121"/>
      <c r="AN60" s="222"/>
      <c r="AO60" s="529"/>
      <c r="AP60" s="222"/>
      <c r="AQ60" s="321"/>
      <c r="AR60" s="258"/>
      <c r="AS60" s="121"/>
      <c r="AT60" s="121"/>
    </row>
    <row r="61" spans="38:46" hidden="1">
      <c r="AL61" s="121"/>
      <c r="AM61" s="121"/>
      <c r="AN61" s="222"/>
      <c r="AO61" s="529"/>
      <c r="AP61" s="222"/>
      <c r="AQ61" s="321"/>
      <c r="AR61" s="258"/>
      <c r="AS61" s="121"/>
      <c r="AT61" s="121"/>
    </row>
    <row r="62" spans="38:46" hidden="1">
      <c r="AL62" s="121"/>
      <c r="AM62" s="121"/>
      <c r="AN62" s="222"/>
      <c r="AO62" s="558"/>
      <c r="AP62" s="222"/>
      <c r="AQ62" s="321"/>
      <c r="AR62" s="258"/>
      <c r="AS62" s="121"/>
      <c r="AT62" s="121"/>
    </row>
    <row r="63" spans="38:46" hidden="1">
      <c r="AL63" s="121"/>
      <c r="AM63" s="121"/>
      <c r="AN63" s="222"/>
      <c r="AO63" s="558"/>
      <c r="AP63" s="222"/>
      <c r="AQ63" s="321"/>
      <c r="AR63" s="258"/>
      <c r="AS63" s="121"/>
      <c r="AT63" s="121"/>
    </row>
    <row r="64" spans="38:46" hidden="1">
      <c r="AL64" s="121"/>
      <c r="AM64" s="121"/>
      <c r="AN64" s="222"/>
      <c r="AO64" s="558"/>
      <c r="AP64" s="222"/>
      <c r="AQ64" s="321"/>
      <c r="AR64" s="258"/>
      <c r="AS64" s="121"/>
      <c r="AT64" s="121"/>
    </row>
    <row r="65" spans="38:46">
      <c r="AL65" s="121"/>
      <c r="AM65" s="121"/>
      <c r="AN65" s="222" t="s">
        <v>2835</v>
      </c>
      <c r="AO65" s="533" t="s">
        <v>1838</v>
      </c>
      <c r="AP65" s="257">
        <f>SUMIF(AQ$14:AR$14,AP$14,AQ65:AR65)</f>
        <v>0</v>
      </c>
      <c r="AQ65" s="321"/>
      <c r="AR65" s="258"/>
      <c r="AS65" s="121"/>
      <c r="AT65" s="121"/>
    </row>
    <row r="66" spans="38:46" hidden="1">
      <c r="AL66" s="121"/>
      <c r="AM66" s="121"/>
      <c r="AN66" s="222"/>
      <c r="AO66" s="534"/>
      <c r="AP66" s="222"/>
      <c r="AQ66" s="321"/>
      <c r="AR66" s="258"/>
      <c r="AS66" s="121"/>
      <c r="AT66" s="121"/>
    </row>
    <row r="67" spans="38:46" hidden="1">
      <c r="AL67" s="121"/>
      <c r="AM67" s="121"/>
      <c r="AN67" s="222"/>
      <c r="AO67" s="534"/>
      <c r="AP67" s="222"/>
      <c r="AQ67" s="321"/>
      <c r="AR67" s="258"/>
      <c r="AS67" s="121"/>
      <c r="AT67" s="121"/>
    </row>
    <row r="68" spans="38:46" hidden="1">
      <c r="AL68" s="121"/>
      <c r="AM68" s="121"/>
      <c r="AN68" s="222"/>
      <c r="AO68" s="558"/>
      <c r="AP68" s="222"/>
      <c r="AQ68" s="321"/>
      <c r="AR68" s="258"/>
      <c r="AS68" s="121"/>
      <c r="AT68" s="121"/>
    </row>
    <row r="69" spans="38:46" hidden="1">
      <c r="AL69" s="121"/>
      <c r="AM69" s="121"/>
      <c r="AN69" s="222"/>
      <c r="AO69" s="558"/>
      <c r="AP69" s="222"/>
      <c r="AQ69" s="321"/>
      <c r="AR69" s="258"/>
      <c r="AS69" s="121"/>
      <c r="AT69" s="121"/>
    </row>
    <row r="70" spans="38:46" hidden="1">
      <c r="AL70" s="121"/>
      <c r="AM70" s="121"/>
      <c r="AN70" s="222"/>
      <c r="AO70" s="558"/>
      <c r="AP70" s="222"/>
      <c r="AQ70" s="321"/>
      <c r="AR70" s="258"/>
      <c r="AS70" s="121"/>
      <c r="AT70" s="121"/>
    </row>
    <row r="71" spans="38:46">
      <c r="AL71" s="121"/>
      <c r="AM71" s="121"/>
      <c r="AN71" s="222" t="s">
        <v>2838</v>
      </c>
      <c r="AO71" s="533" t="s">
        <v>1843</v>
      </c>
      <c r="AP71" s="257">
        <f>SUMIF(AQ$14:AR$14,AP$14,AQ71:AR71)</f>
        <v>0</v>
      </c>
      <c r="AQ71" s="321"/>
      <c r="AR71" s="258"/>
      <c r="AS71" s="121"/>
      <c r="AT71" s="121"/>
    </row>
    <row r="72" spans="38:46" hidden="1">
      <c r="AL72" s="121"/>
      <c r="AM72" s="121"/>
      <c r="AN72" s="222"/>
      <c r="AO72" s="534"/>
      <c r="AP72" s="222"/>
      <c r="AQ72" s="321"/>
      <c r="AR72" s="258"/>
      <c r="AS72" s="121"/>
      <c r="AT72" s="121"/>
    </row>
    <row r="73" spans="38:46" hidden="1">
      <c r="AL73" s="121"/>
      <c r="AM73" s="121"/>
      <c r="AN73" s="222"/>
      <c r="AO73" s="534"/>
      <c r="AP73" s="222"/>
      <c r="AQ73" s="321"/>
      <c r="AR73" s="258"/>
      <c r="AS73" s="121"/>
      <c r="AT73" s="121"/>
    </row>
    <row r="74" spans="38:46">
      <c r="AL74" s="121"/>
      <c r="AM74" s="121"/>
      <c r="AN74" s="222" t="s">
        <v>2841</v>
      </c>
      <c r="AO74" s="533" t="s">
        <v>1849</v>
      </c>
      <c r="AP74" s="257">
        <f>SUMIF(AQ$14:AR$14,AP$14,AQ74:AR74)</f>
        <v>0</v>
      </c>
      <c r="AQ74" s="321"/>
      <c r="AR74" s="258"/>
      <c r="AS74" s="121"/>
      <c r="AT74" s="121"/>
    </row>
    <row r="75" spans="38:46" hidden="1">
      <c r="AL75" s="121"/>
      <c r="AM75" s="121"/>
      <c r="AN75" s="222"/>
      <c r="AO75" s="534"/>
      <c r="AP75" s="222"/>
      <c r="AQ75" s="321"/>
      <c r="AR75" s="258"/>
      <c r="AS75" s="121"/>
      <c r="AT75" s="121"/>
    </row>
    <row r="76" spans="38:46" hidden="1">
      <c r="AL76" s="121"/>
      <c r="AM76" s="121"/>
      <c r="AN76" s="222"/>
      <c r="AO76" s="529"/>
      <c r="AP76" s="222"/>
      <c r="AQ76" s="321"/>
      <c r="AR76" s="258"/>
      <c r="AS76" s="121"/>
      <c r="AT76" s="121"/>
    </row>
    <row r="77" spans="38:46" ht="22.5">
      <c r="AL77" s="121"/>
      <c r="AM77" s="121"/>
      <c r="AN77" s="222" t="s">
        <v>2844</v>
      </c>
      <c r="AO77" s="533" t="s">
        <v>1856</v>
      </c>
      <c r="AP77" s="257">
        <f>SUMIF(AQ$14:AR$14,AP$14,AQ77:AR77)</f>
        <v>0</v>
      </c>
      <c r="AQ77" s="321"/>
      <c r="AR77" s="258"/>
      <c r="AS77" s="121"/>
      <c r="AT77" s="121"/>
    </row>
    <row r="78" spans="38:46" hidden="1">
      <c r="AL78" s="121"/>
      <c r="AM78" s="121"/>
      <c r="AN78" s="222"/>
      <c r="AO78" s="534"/>
      <c r="AP78" s="222"/>
      <c r="AQ78" s="321"/>
      <c r="AR78" s="258"/>
      <c r="AS78" s="121"/>
      <c r="AT78" s="121"/>
    </row>
    <row r="79" spans="38:46" hidden="1">
      <c r="AL79" s="121"/>
      <c r="AM79" s="121"/>
      <c r="AN79" s="222"/>
      <c r="AO79" s="529"/>
      <c r="AP79" s="222"/>
      <c r="AQ79" s="321"/>
      <c r="AR79" s="258"/>
      <c r="AS79" s="121"/>
      <c r="AT79" s="121"/>
    </row>
    <row r="80" spans="38:46">
      <c r="AL80" s="121"/>
      <c r="AM80" s="121"/>
      <c r="AN80" s="504" t="s">
        <v>2847</v>
      </c>
      <c r="AO80" s="535" t="s">
        <v>2848</v>
      </c>
      <c r="AP80" s="257">
        <f t="shared" ref="AP80:AP85" si="1">SUMIF(AQ$14:AR$14,AP$14,AQ80:AR80)</f>
        <v>0</v>
      </c>
      <c r="AQ80" s="321"/>
      <c r="AR80" s="258"/>
      <c r="AS80" s="121"/>
      <c r="AT80" s="121"/>
    </row>
    <row r="81" spans="38:46" ht="22.5">
      <c r="AL81" s="121"/>
      <c r="AM81" s="121"/>
      <c r="AN81" s="504" t="s">
        <v>2849</v>
      </c>
      <c r="AO81" s="533" t="s">
        <v>2415</v>
      </c>
      <c r="AP81" s="257">
        <f t="shared" si="1"/>
        <v>0</v>
      </c>
      <c r="AQ81" s="321"/>
      <c r="AR81" s="258"/>
      <c r="AS81" s="121"/>
      <c r="AT81" s="121"/>
    </row>
    <row r="82" spans="38:46" ht="22.5">
      <c r="AL82" s="121"/>
      <c r="AM82" s="121"/>
      <c r="AN82" s="504" t="s">
        <v>2850</v>
      </c>
      <c r="AO82" s="533" t="s">
        <v>2417</v>
      </c>
      <c r="AP82" s="257">
        <f t="shared" si="1"/>
        <v>0</v>
      </c>
      <c r="AQ82" s="321"/>
      <c r="AR82" s="258"/>
      <c r="AS82" s="121"/>
      <c r="AT82" s="121"/>
    </row>
    <row r="83" spans="38:46" ht="22.5">
      <c r="AL83" s="121"/>
      <c r="AM83" s="121"/>
      <c r="AN83" s="504" t="s">
        <v>2316</v>
      </c>
      <c r="AO83" s="533" t="s">
        <v>2420</v>
      </c>
      <c r="AP83" s="257">
        <f t="shared" si="1"/>
        <v>0</v>
      </c>
      <c r="AQ83" s="321"/>
      <c r="AR83" s="258"/>
      <c r="AS83" s="121"/>
      <c r="AT83" s="121"/>
    </row>
    <row r="84" spans="38:46">
      <c r="AL84" s="121"/>
      <c r="AM84" s="121"/>
      <c r="AN84" s="504" t="s">
        <v>2317</v>
      </c>
      <c r="AO84" s="533" t="s">
        <v>2423</v>
      </c>
      <c r="AP84" s="257">
        <f t="shared" si="1"/>
        <v>0</v>
      </c>
      <c r="AQ84" s="321"/>
      <c r="AR84" s="258"/>
      <c r="AS84" s="121"/>
      <c r="AT84" s="121"/>
    </row>
    <row r="85" spans="38:46" ht="22.5">
      <c r="AL85" s="121"/>
      <c r="AM85" s="121"/>
      <c r="AN85" s="504" t="s">
        <v>2318</v>
      </c>
      <c r="AO85" s="533" t="s">
        <v>2426</v>
      </c>
      <c r="AP85" s="257">
        <f t="shared" si="1"/>
        <v>0</v>
      </c>
      <c r="AQ85" s="321"/>
      <c r="AR85" s="258"/>
      <c r="AS85" s="121"/>
      <c r="AT85" s="121"/>
    </row>
    <row r="86" spans="38:46">
      <c r="AL86" s="121"/>
      <c r="AM86" s="121"/>
      <c r="AN86" s="560" t="str">
        <f>IF(TEMPLATE_SPHERE="водоснабжения","2.9","")</f>
        <v/>
      </c>
      <c r="AO86" s="561" t="str">
        <f>IF(TEMPLATE_SPHERE="водоснабжения","Покупная вода","")</f>
        <v/>
      </c>
      <c r="AP86" s="257" t="str">
        <f>IF(TEMPLATE_SPHERE="водоснабжения",SUMIF(AQ$14:AR$14,AP$14,AQ86:AR86),"")</f>
        <v/>
      </c>
      <c r="AQ86" s="321"/>
      <c r="AR86" s="258"/>
      <c r="AS86" s="121"/>
      <c r="AT86" s="121"/>
    </row>
    <row r="87" spans="38:46" hidden="1">
      <c r="AL87" s="121"/>
      <c r="AM87" s="121"/>
      <c r="AN87" s="560"/>
      <c r="AO87" s="562"/>
      <c r="AP87" s="562"/>
      <c r="AQ87" s="321"/>
      <c r="AR87" s="258"/>
      <c r="AS87" s="121"/>
      <c r="AT87" s="121"/>
    </row>
    <row r="88" spans="38:46" hidden="1">
      <c r="AL88" s="121"/>
      <c r="AM88" s="121"/>
      <c r="AN88" s="560"/>
      <c r="AO88" s="562"/>
      <c r="AP88" s="562"/>
      <c r="AQ88" s="321"/>
      <c r="AR88" s="258"/>
      <c r="AS88" s="121"/>
      <c r="AT88" s="121"/>
    </row>
    <row r="89" spans="38:46" hidden="1">
      <c r="AL89" s="121"/>
      <c r="AM89" s="121"/>
      <c r="AN89" s="560"/>
      <c r="AO89" s="562"/>
      <c r="AP89" s="562"/>
      <c r="AQ89" s="321"/>
      <c r="AR89" s="258"/>
      <c r="AS89" s="121"/>
      <c r="AT89" s="121"/>
    </row>
    <row r="90" spans="38:46" ht="22.5">
      <c r="AL90" s="121"/>
      <c r="AM90" s="121"/>
      <c r="AN90" s="504" t="s">
        <v>2323</v>
      </c>
      <c r="AO90"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AP90" s="257">
        <f t="shared" ref="AP90:AP124" si="2">SUMIF(AQ$14:AR$14,AP$14,AQ90:AR90)</f>
        <v>0</v>
      </c>
      <c r="AQ90" s="321"/>
      <c r="AR90" s="258"/>
      <c r="AS90" s="121"/>
      <c r="AT90" s="121"/>
    </row>
    <row r="91" spans="38:46" ht="22.5">
      <c r="AL91" s="121"/>
      <c r="AM91" s="121"/>
      <c r="AN91" s="504" t="s">
        <v>2324</v>
      </c>
      <c r="AO91"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AP91" s="257">
        <f t="shared" si="2"/>
        <v>0</v>
      </c>
      <c r="AQ91" s="321"/>
      <c r="AR91" s="258"/>
      <c r="AS91" s="121"/>
      <c r="AT91" s="121"/>
    </row>
    <row r="92" spans="38:46" ht="22.5">
      <c r="AL92" s="121"/>
      <c r="AM92" s="121"/>
      <c r="AN92" s="504" t="s">
        <v>2325</v>
      </c>
      <c r="AO92"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AP92" s="257">
        <f t="shared" si="2"/>
        <v>0</v>
      </c>
      <c r="AQ92" s="321"/>
      <c r="AR92" s="258"/>
      <c r="AS92" s="121"/>
      <c r="AT92" s="121"/>
    </row>
    <row r="93" spans="38:46">
      <c r="AL93" s="121"/>
      <c r="AM93" s="121"/>
      <c r="AN93" s="504" t="s">
        <v>2326</v>
      </c>
      <c r="AO93" s="527" t="s">
        <v>2327</v>
      </c>
      <c r="AP93" s="257">
        <f t="shared" si="2"/>
        <v>0</v>
      </c>
      <c r="AQ93" s="321"/>
      <c r="AR93" s="258"/>
      <c r="AS93" s="121"/>
      <c r="AT93" s="121"/>
    </row>
    <row r="94" spans="38:46">
      <c r="AL94" s="121"/>
      <c r="AM94" s="121"/>
      <c r="AN94" s="504" t="s">
        <v>2328</v>
      </c>
      <c r="AO94" s="528" t="s">
        <v>2329</v>
      </c>
      <c r="AP94" s="257">
        <f t="shared" si="2"/>
        <v>0</v>
      </c>
      <c r="AQ94" s="321"/>
      <c r="AR94" s="258"/>
      <c r="AS94" s="121"/>
      <c r="AT94" s="121"/>
    </row>
    <row r="95" spans="38:46">
      <c r="AL95" s="121"/>
      <c r="AM95" s="121"/>
      <c r="AN95" s="504" t="s">
        <v>2330</v>
      </c>
      <c r="AO95" s="528" t="s">
        <v>2331</v>
      </c>
      <c r="AP95" s="257">
        <f t="shared" si="2"/>
        <v>0</v>
      </c>
      <c r="AQ95" s="321"/>
      <c r="AR95" s="258"/>
      <c r="AS95" s="121"/>
      <c r="AT95" s="121"/>
    </row>
    <row r="96" spans="38:46">
      <c r="AL96" s="121"/>
      <c r="AM96" s="121"/>
      <c r="AN96" s="504" t="s">
        <v>2332</v>
      </c>
      <c r="AO96" s="527" t="s">
        <v>2333</v>
      </c>
      <c r="AP96" s="257">
        <f t="shared" si="2"/>
        <v>0</v>
      </c>
      <c r="AQ96" s="321"/>
      <c r="AR96" s="258"/>
      <c r="AS96" s="121"/>
      <c r="AT96" s="121"/>
    </row>
    <row r="97" spans="38:46">
      <c r="AL97" s="121"/>
      <c r="AM97" s="121"/>
      <c r="AN97" s="504" t="s">
        <v>2334</v>
      </c>
      <c r="AO97" s="527" t="s">
        <v>2335</v>
      </c>
      <c r="AP97" s="257">
        <f t="shared" si="2"/>
        <v>0</v>
      </c>
      <c r="AQ97" s="321"/>
      <c r="AR97" s="258"/>
      <c r="AS97" s="121"/>
      <c r="AT97" s="121"/>
    </row>
    <row r="98" spans="38:46" ht="22.5">
      <c r="AL98" s="121"/>
      <c r="AM98" s="121"/>
      <c r="AN98" s="504" t="s">
        <v>2336</v>
      </c>
      <c r="AO98" s="527" t="s">
        <v>2337</v>
      </c>
      <c r="AP98" s="257">
        <f t="shared" si="2"/>
        <v>0</v>
      </c>
      <c r="AQ98" s="321"/>
      <c r="AR98" s="258"/>
      <c r="AS98" s="121"/>
      <c r="AT98" s="121"/>
    </row>
    <row r="99" spans="38:46">
      <c r="AL99" s="121"/>
      <c r="AM99" s="121"/>
      <c r="AN99" s="504" t="s">
        <v>2338</v>
      </c>
      <c r="AO99" s="527" t="s">
        <v>2339</v>
      </c>
      <c r="AP99" s="257">
        <f t="shared" si="2"/>
        <v>0</v>
      </c>
      <c r="AQ99" s="321"/>
      <c r="AR99" s="258"/>
      <c r="AS99" s="121"/>
      <c r="AT99" s="121"/>
    </row>
    <row r="100" spans="38:46">
      <c r="AL100" s="121"/>
      <c r="AM100" s="121"/>
      <c r="AN100" s="504" t="s">
        <v>2340</v>
      </c>
      <c r="AO100" s="528" t="s">
        <v>2341</v>
      </c>
      <c r="AP100" s="257">
        <f t="shared" si="2"/>
        <v>0</v>
      </c>
      <c r="AQ100" s="321"/>
      <c r="AR100" s="258"/>
      <c r="AS100" s="121"/>
      <c r="AT100" s="121"/>
    </row>
    <row r="101" spans="38:46">
      <c r="AL101" s="121"/>
      <c r="AM101" s="121"/>
      <c r="AN101" s="504" t="s">
        <v>2342</v>
      </c>
      <c r="AO101" s="528" t="s">
        <v>2343</v>
      </c>
      <c r="AP101" s="257">
        <f t="shared" si="2"/>
        <v>0</v>
      </c>
      <c r="AQ101" s="321"/>
      <c r="AR101" s="258"/>
      <c r="AS101" s="121"/>
      <c r="AT101" s="121"/>
    </row>
    <row r="102" spans="38:46">
      <c r="AL102" s="121"/>
      <c r="AM102" s="121"/>
      <c r="AN102" s="504" t="s">
        <v>2344</v>
      </c>
      <c r="AO102" s="528" t="s">
        <v>2345</v>
      </c>
      <c r="AP102" s="257">
        <f t="shared" si="2"/>
        <v>0</v>
      </c>
      <c r="AQ102" s="321"/>
      <c r="AR102" s="258"/>
      <c r="AS102" s="121"/>
      <c r="AT102" s="121"/>
    </row>
    <row r="103" spans="38:46">
      <c r="AL103" s="121"/>
      <c r="AM103" s="121"/>
      <c r="AN103" s="504" t="s">
        <v>2346</v>
      </c>
      <c r="AO103" s="528" t="s">
        <v>2347</v>
      </c>
      <c r="AP103" s="257">
        <f t="shared" si="2"/>
        <v>0</v>
      </c>
      <c r="AQ103" s="321"/>
      <c r="AR103" s="258"/>
      <c r="AS103" s="121"/>
      <c r="AT103" s="121"/>
    </row>
    <row r="104" spans="38:46">
      <c r="AL104" s="121"/>
      <c r="AM104" s="121"/>
      <c r="AN104" s="504" t="s">
        <v>2348</v>
      </c>
      <c r="AO104" s="528" t="s">
        <v>2349</v>
      </c>
      <c r="AP104" s="257">
        <f t="shared" si="2"/>
        <v>0</v>
      </c>
      <c r="AQ104" s="321"/>
      <c r="AR104" s="258"/>
      <c r="AS104" s="121"/>
      <c r="AT104" s="121"/>
    </row>
    <row r="105" spans="38:46">
      <c r="AL105" s="121"/>
      <c r="AM105" s="121"/>
      <c r="AN105" s="504" t="s">
        <v>2350</v>
      </c>
      <c r="AO105" s="528" t="s">
        <v>2351</v>
      </c>
      <c r="AP105" s="257">
        <f t="shared" si="2"/>
        <v>0</v>
      </c>
      <c r="AQ105" s="321"/>
      <c r="AR105" s="258"/>
      <c r="AS105" s="121"/>
      <c r="AT105" s="121"/>
    </row>
    <row r="106" spans="38:46">
      <c r="AL106" s="121"/>
      <c r="AM106" s="121"/>
      <c r="AN106" s="504" t="s">
        <v>2352</v>
      </c>
      <c r="AO106" s="528" t="s">
        <v>2353</v>
      </c>
      <c r="AP106" s="257">
        <f t="shared" si="2"/>
        <v>0</v>
      </c>
      <c r="AQ106" s="321"/>
      <c r="AR106" s="258"/>
      <c r="AS106" s="121"/>
      <c r="AT106" s="121"/>
    </row>
    <row r="107" spans="38:46">
      <c r="AL107" s="121"/>
      <c r="AM107" s="121"/>
      <c r="AN107" s="504" t="s">
        <v>2354</v>
      </c>
      <c r="AO107" s="528" t="s">
        <v>2355</v>
      </c>
      <c r="AP107" s="257">
        <f t="shared" si="2"/>
        <v>0</v>
      </c>
      <c r="AQ107" s="321"/>
      <c r="AR107" s="258"/>
      <c r="AS107" s="121"/>
      <c r="AT107" s="121"/>
    </row>
    <row r="108" spans="38:46">
      <c r="AL108" s="121"/>
      <c r="AM108" s="121"/>
      <c r="AN108" s="504" t="s">
        <v>2356</v>
      </c>
      <c r="AO108" s="528" t="s">
        <v>2357</v>
      </c>
      <c r="AP108" s="257">
        <f t="shared" si="2"/>
        <v>0</v>
      </c>
      <c r="AQ108" s="321"/>
      <c r="AR108" s="258"/>
      <c r="AS108" s="121"/>
      <c r="AT108" s="121"/>
    </row>
    <row r="109" spans="38:46" ht="22.5">
      <c r="AL109" s="121"/>
      <c r="AM109" s="121"/>
      <c r="AN109" s="504" t="s">
        <v>2358</v>
      </c>
      <c r="AO109" s="536" t="s">
        <v>2359</v>
      </c>
      <c r="AP109" s="257">
        <f t="shared" si="2"/>
        <v>0</v>
      </c>
      <c r="AQ109" s="321"/>
      <c r="AR109" s="258"/>
      <c r="AS109" s="121"/>
      <c r="AT109" s="121"/>
    </row>
    <row r="110" spans="38:46">
      <c r="AL110" s="121"/>
      <c r="AM110" s="121"/>
      <c r="AN110" s="504" t="s">
        <v>2360</v>
      </c>
      <c r="AO110" s="537" t="s">
        <v>2444</v>
      </c>
      <c r="AP110" s="257">
        <f t="shared" si="2"/>
        <v>0</v>
      </c>
      <c r="AQ110" s="321"/>
      <c r="AR110" s="258"/>
      <c r="AS110" s="121"/>
      <c r="AT110" s="121"/>
    </row>
    <row r="111" spans="38:46">
      <c r="AL111" s="121"/>
      <c r="AM111" s="121"/>
      <c r="AN111" s="504" t="s">
        <v>2361</v>
      </c>
      <c r="AO111" s="537" t="s">
        <v>2362</v>
      </c>
      <c r="AP111" s="257">
        <f t="shared" si="2"/>
        <v>0</v>
      </c>
      <c r="AQ111" s="321"/>
      <c r="AR111" s="258"/>
      <c r="AS111" s="121"/>
      <c r="AT111" s="121"/>
    </row>
    <row r="112" spans="38:46">
      <c r="AL112" s="121"/>
      <c r="AM112" s="121"/>
      <c r="AN112" s="504" t="s">
        <v>2363</v>
      </c>
      <c r="AO112" s="528" t="s">
        <v>872</v>
      </c>
      <c r="AP112" s="257">
        <f t="shared" si="2"/>
        <v>0</v>
      </c>
      <c r="AQ112" s="321"/>
      <c r="AR112" s="258"/>
      <c r="AS112" s="121"/>
      <c r="AT112" s="121"/>
    </row>
    <row r="113" spans="1:46" ht="22.5">
      <c r="AL113" s="121"/>
      <c r="AM113" s="121"/>
      <c r="AN113" s="504" t="s">
        <v>2364</v>
      </c>
      <c r="AO113" s="528" t="s">
        <v>2365</v>
      </c>
      <c r="AP113" s="257">
        <f t="shared" si="2"/>
        <v>0</v>
      </c>
      <c r="AQ113" s="321"/>
      <c r="AR113" s="258"/>
      <c r="AS113" s="121"/>
      <c r="AT113" s="121"/>
    </row>
    <row r="114" spans="1:46">
      <c r="AL114" s="121"/>
      <c r="AM114" s="121"/>
      <c r="AN114" s="504" t="s">
        <v>2366</v>
      </c>
      <c r="AO114" s="528" t="s">
        <v>2367</v>
      </c>
      <c r="AP114" s="257">
        <f t="shared" si="2"/>
        <v>0</v>
      </c>
      <c r="AQ114" s="321"/>
      <c r="AR114" s="258"/>
      <c r="AS114" s="121"/>
      <c r="AT114" s="121"/>
    </row>
    <row r="115" spans="1:46">
      <c r="AL115" s="121"/>
      <c r="AM115" s="121"/>
      <c r="AN115" s="504" t="s">
        <v>752</v>
      </c>
      <c r="AO115" s="723" t="s">
        <v>2726</v>
      </c>
      <c r="AP115" s="257">
        <f t="shared" si="2"/>
        <v>0</v>
      </c>
      <c r="AQ115" s="321"/>
      <c r="AR115" s="258"/>
      <c r="AS115" s="121"/>
      <c r="AT115" s="121"/>
    </row>
    <row r="116" spans="1:46">
      <c r="AL116" s="121"/>
      <c r="AM116" s="121"/>
      <c r="AN116" s="504" t="s">
        <v>760</v>
      </c>
      <c r="AO116" s="527" t="s">
        <v>2368</v>
      </c>
      <c r="AP116" s="257">
        <f t="shared" si="2"/>
        <v>0</v>
      </c>
      <c r="AQ116" s="321"/>
      <c r="AR116" s="258"/>
      <c r="AS116" s="121"/>
      <c r="AT116" s="121"/>
    </row>
    <row r="117" spans="1:46">
      <c r="AL117" s="121"/>
      <c r="AM117" s="121"/>
      <c r="AN117" s="504" t="s">
        <v>917</v>
      </c>
      <c r="AO117" s="528" t="s">
        <v>2369</v>
      </c>
      <c r="AP117" s="257">
        <f t="shared" si="2"/>
        <v>0</v>
      </c>
      <c r="AQ117" s="321"/>
      <c r="AR117" s="258"/>
      <c r="AS117" s="121"/>
      <c r="AT117" s="121"/>
    </row>
    <row r="118" spans="1:46">
      <c r="AL118" s="121"/>
      <c r="AM118" s="121"/>
      <c r="AN118" s="504" t="s">
        <v>761</v>
      </c>
      <c r="AO118" s="527" t="s">
        <v>862</v>
      </c>
      <c r="AP118" s="257">
        <f t="shared" si="2"/>
        <v>0</v>
      </c>
      <c r="AQ118" s="321"/>
      <c r="AR118" s="258"/>
      <c r="AS118" s="121"/>
      <c r="AT118" s="121"/>
    </row>
    <row r="119" spans="1:46">
      <c r="AL119" s="121"/>
      <c r="AM119" s="121"/>
      <c r="AN119" s="504" t="s">
        <v>762</v>
      </c>
      <c r="AO119" s="527" t="s">
        <v>864</v>
      </c>
      <c r="AP119" s="257">
        <f t="shared" si="2"/>
        <v>0</v>
      </c>
      <c r="AQ119" s="321"/>
      <c r="AR119" s="258"/>
      <c r="AS119" s="121"/>
      <c r="AT119" s="121"/>
    </row>
    <row r="120" spans="1:46">
      <c r="AL120" s="121"/>
      <c r="AM120" s="121"/>
      <c r="AN120" s="504" t="s">
        <v>763</v>
      </c>
      <c r="AO120" s="527" t="s">
        <v>866</v>
      </c>
      <c r="AP120" s="257">
        <f t="shared" si="2"/>
        <v>0</v>
      </c>
      <c r="AQ120" s="321"/>
      <c r="AR120" s="258"/>
      <c r="AS120" s="121"/>
      <c r="AT120" s="121"/>
    </row>
    <row r="121" spans="1:46">
      <c r="AL121" s="121"/>
      <c r="AM121" s="121"/>
      <c r="AN121" s="504" t="s">
        <v>764</v>
      </c>
      <c r="AO121" s="527" t="s">
        <v>2370</v>
      </c>
      <c r="AP121" s="257">
        <f t="shared" si="2"/>
        <v>0</v>
      </c>
      <c r="AQ121" s="321"/>
      <c r="AR121" s="258"/>
      <c r="AS121" s="121"/>
      <c r="AT121" s="121"/>
    </row>
    <row r="122" spans="1:46">
      <c r="AL122" s="121"/>
      <c r="AM122" s="121"/>
      <c r="AN122" s="504" t="s">
        <v>2371</v>
      </c>
      <c r="AO122" s="528" t="s">
        <v>2372</v>
      </c>
      <c r="AP122" s="257">
        <f t="shared" si="2"/>
        <v>0</v>
      </c>
      <c r="AQ122" s="321"/>
      <c r="AR122" s="258"/>
      <c r="AS122" s="121"/>
      <c r="AT122" s="121"/>
    </row>
    <row r="123" spans="1:46">
      <c r="AL123" s="121"/>
      <c r="AM123" s="121"/>
      <c r="AN123" s="504" t="s">
        <v>2373</v>
      </c>
      <c r="AO123" s="538" t="s">
        <v>2374</v>
      </c>
      <c r="AP123" s="257">
        <f t="shared" si="2"/>
        <v>0</v>
      </c>
      <c r="AQ123" s="321"/>
      <c r="AR123" s="258"/>
      <c r="AS123" s="121"/>
      <c r="AT123" s="121"/>
    </row>
    <row r="124" spans="1:46">
      <c r="AL124" s="121"/>
      <c r="AM124" s="121"/>
      <c r="AN124" s="504" t="s">
        <v>2375</v>
      </c>
      <c r="AO124" s="528" t="s">
        <v>2376</v>
      </c>
      <c r="AP124" s="257">
        <f t="shared" si="2"/>
        <v>0</v>
      </c>
      <c r="AQ124" s="321"/>
      <c r="AR124" s="258"/>
      <c r="AS124" s="121"/>
      <c r="AT124" s="121"/>
    </row>
    <row r="125" spans="1:46" ht="0.75" customHeight="1">
      <c r="A125" s="47"/>
      <c r="B125" s="47"/>
      <c r="C125" s="47"/>
      <c r="D125" s="47"/>
      <c r="E125" s="47"/>
      <c r="F125" s="47"/>
      <c r="G125" s="47"/>
      <c r="H125" s="47"/>
      <c r="I125" s="47"/>
      <c r="J125"/>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50"/>
      <c r="AM125" s="126"/>
      <c r="AN125" s="223"/>
      <c r="AO125" s="728"/>
      <c r="AP125" s="260"/>
      <c r="AQ125" s="258"/>
      <c r="AR125" s="258"/>
      <c r="AS125" s="127"/>
    </row>
    <row r="126" spans="1:46" ht="0.75" customHeight="1">
      <c r="A126" s="47"/>
      <c r="B126" s="47"/>
      <c r="C126" s="47"/>
      <c r="D126" s="47"/>
      <c r="E126" s="47"/>
      <c r="F126" s="47"/>
      <c r="G126" s="47"/>
      <c r="H126" s="47"/>
      <c r="I126" s="47"/>
      <c r="J126"/>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50"/>
      <c r="AM126" s="126"/>
      <c r="AN126" s="223"/>
      <c r="AO126" s="728"/>
      <c r="AP126" s="260"/>
      <c r="AQ126" s="258"/>
      <c r="AR126" s="258"/>
      <c r="AS126" s="127"/>
    </row>
    <row r="127" spans="1:46" ht="0.75" customHeight="1">
      <c r="A127" s="47"/>
      <c r="B127" s="47"/>
      <c r="C127" s="47"/>
      <c r="D127" s="47"/>
      <c r="E127" s="47"/>
      <c r="F127" s="47"/>
      <c r="G127" s="47"/>
      <c r="H127" s="47"/>
      <c r="I127" s="47"/>
      <c r="J12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50"/>
      <c r="AM127" s="126"/>
      <c r="AN127" s="223"/>
      <c r="AO127" s="728"/>
      <c r="AP127" s="260"/>
      <c r="AQ127" s="258"/>
      <c r="AR127" s="258"/>
      <c r="AS127" s="127"/>
    </row>
    <row r="128" spans="1:46" ht="0.75" customHeight="1">
      <c r="A128" s="47"/>
      <c r="B128" s="47"/>
      <c r="C128" s="47"/>
      <c r="D128" s="47"/>
      <c r="E128" s="47"/>
      <c r="F128" s="47"/>
      <c r="G128" s="47"/>
      <c r="H128" s="47"/>
      <c r="I128" s="47"/>
      <c r="J128"/>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50"/>
      <c r="AM128" s="126"/>
      <c r="AN128" s="223"/>
      <c r="AO128" s="728"/>
      <c r="AP128" s="260"/>
      <c r="AQ128" s="258"/>
      <c r="AR128" s="258"/>
      <c r="AS128" s="127"/>
    </row>
    <row r="129" spans="1:46" ht="0.75" customHeight="1">
      <c r="A129" s="47"/>
      <c r="B129" s="47"/>
      <c r="C129" s="47"/>
      <c r="D129" s="47"/>
      <c r="E129" s="47"/>
      <c r="F129" s="47"/>
      <c r="G129" s="47"/>
      <c r="H129" s="47"/>
      <c r="I129" s="47"/>
      <c r="J129"/>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50"/>
      <c r="AM129" s="126"/>
      <c r="AN129" s="223"/>
      <c r="AO129" s="728"/>
      <c r="AP129" s="260"/>
      <c r="AQ129" s="258"/>
      <c r="AR129" s="258"/>
      <c r="AS129" s="127"/>
    </row>
    <row r="130" spans="1:46" ht="0.75" customHeight="1">
      <c r="A130" s="47"/>
      <c r="B130" s="47"/>
      <c r="C130" s="47"/>
      <c r="D130" s="47"/>
      <c r="E130" s="47"/>
      <c r="F130" s="47"/>
      <c r="G130" s="47"/>
      <c r="H130" s="47"/>
      <c r="I130" s="47"/>
      <c r="J130"/>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50"/>
      <c r="AM130" s="126"/>
      <c r="AN130" s="223"/>
      <c r="AO130" s="728"/>
      <c r="AP130" s="260"/>
      <c r="AQ130" s="258"/>
      <c r="AR130" s="258"/>
      <c r="AS130" s="127"/>
    </row>
    <row r="131" spans="1:46">
      <c r="AL131" s="121"/>
      <c r="AM131" s="121"/>
      <c r="AN131" s="725" t="s">
        <v>3072</v>
      </c>
      <c r="AO131" s="724" t="s">
        <v>2727</v>
      </c>
      <c r="AP131" s="257">
        <f>SUMIF(AQ$14:AR$14,AP$14,AQ131:AR131)</f>
        <v>0</v>
      </c>
      <c r="AQ131" s="321"/>
      <c r="AR131" s="258"/>
      <c r="AS131" s="121"/>
      <c r="AT131" s="121"/>
    </row>
    <row r="132" spans="1:46" ht="22.5">
      <c r="AL132" s="121"/>
      <c r="AM132" s="121"/>
      <c r="AN132" s="504" t="s">
        <v>2427</v>
      </c>
      <c r="AO132" s="723" t="s">
        <v>2616</v>
      </c>
      <c r="AP132" s="257">
        <f>SUMIF(AQ$14:AR$14,AP$14,AQ132:AR132)</f>
        <v>0</v>
      </c>
      <c r="AQ132" s="321"/>
      <c r="AR132" s="258"/>
      <c r="AS132" s="121"/>
      <c r="AT132" s="121"/>
    </row>
    <row r="133" spans="1:46" ht="22.5">
      <c r="AL133" s="121"/>
      <c r="AM133" s="121"/>
      <c r="AN133" s="504" t="s">
        <v>2429</v>
      </c>
      <c r="AO133" s="727" t="s">
        <v>2619</v>
      </c>
      <c r="AP133" s="263"/>
      <c r="AQ133" s="321"/>
      <c r="AR133" s="258"/>
      <c r="AS133" s="121"/>
      <c r="AT133" s="121"/>
    </row>
    <row r="134" spans="1:46">
      <c r="AL134" s="121"/>
      <c r="AM134" s="121"/>
      <c r="AN134" s="504" t="s">
        <v>2617</v>
      </c>
      <c r="AO134" s="727" t="s">
        <v>2620</v>
      </c>
      <c r="AP134" s="263"/>
      <c r="AQ134" s="321"/>
      <c r="AR134" s="258"/>
      <c r="AS134" s="121"/>
      <c r="AT134" s="121"/>
    </row>
    <row r="135" spans="1:46">
      <c r="AL135" s="121"/>
      <c r="AM135" s="121"/>
      <c r="AN135" s="504" t="s">
        <v>2618</v>
      </c>
      <c r="AO135" s="727" t="s">
        <v>2621</v>
      </c>
      <c r="AP135" s="263"/>
      <c r="AQ135" s="321"/>
      <c r="AR135" s="258"/>
      <c r="AS135" s="121"/>
      <c r="AT135" s="121"/>
    </row>
    <row r="136" spans="1:46" ht="0.75" customHeight="1">
      <c r="AL136" s="121"/>
      <c r="AM136" s="121"/>
      <c r="AN136" s="504"/>
      <c r="AO136" s="526"/>
      <c r="AP136" s="526"/>
      <c r="AQ136" s="321"/>
      <c r="AR136" s="258"/>
      <c r="AS136" s="121"/>
      <c r="AT136" s="121"/>
    </row>
    <row r="137" spans="1:46" ht="0.75" customHeight="1">
      <c r="AL137" s="121"/>
      <c r="AM137" s="121"/>
      <c r="AN137" s="223"/>
      <c r="AO137" s="728"/>
      <c r="AP137" s="260"/>
      <c r="AQ137" s="258"/>
      <c r="AR137" s="258"/>
      <c r="AS137" s="127"/>
      <c r="AT137" s="121"/>
    </row>
    <row r="138" spans="1:46" ht="0.75" customHeight="1">
      <c r="AL138" s="121"/>
      <c r="AM138" s="121"/>
      <c r="AN138" s="223"/>
      <c r="AO138" s="728"/>
      <c r="AP138" s="260"/>
      <c r="AQ138" s="258"/>
      <c r="AR138" s="258"/>
      <c r="AS138" s="127"/>
      <c r="AT138" s="121"/>
    </row>
    <row r="139" spans="1:46" ht="0.75" customHeight="1">
      <c r="AL139" s="121"/>
      <c r="AM139" s="121"/>
      <c r="AN139" s="223"/>
      <c r="AO139" s="728"/>
      <c r="AP139" s="260"/>
      <c r="AQ139" s="258"/>
      <c r="AR139" s="258"/>
      <c r="AS139" s="127"/>
      <c r="AT139" s="121"/>
    </row>
    <row r="140" spans="1:46" ht="0.75" customHeight="1">
      <c r="AL140" s="121"/>
      <c r="AM140" s="121"/>
      <c r="AN140" s="223"/>
      <c r="AO140" s="728"/>
      <c r="AP140" s="260"/>
      <c r="AQ140" s="258"/>
      <c r="AR140" s="258"/>
      <c r="AS140" s="127"/>
      <c r="AT140" s="121"/>
    </row>
    <row r="141" spans="1:46" ht="57" customHeight="1">
      <c r="AL141" s="121"/>
      <c r="AM141" s="121"/>
      <c r="AN141" s="504" t="s">
        <v>855</v>
      </c>
      <c r="AO141" s="526" t="s">
        <v>370</v>
      </c>
      <c r="AP141" s="257">
        <f>SUMIF(AQ$8:AR$8,"NO_TRANSPORT",AQ141:AR141)</f>
        <v>0</v>
      </c>
      <c r="AQ141" s="321"/>
      <c r="AR141" s="258"/>
      <c r="AS141" s="121"/>
      <c r="AT141" s="121"/>
    </row>
    <row r="142" spans="1:46" ht="57" customHeight="1">
      <c r="AL142" s="121"/>
      <c r="AM142" s="121"/>
      <c r="AN142" s="504" t="s">
        <v>876</v>
      </c>
      <c r="AO142" s="526" t="s">
        <v>371</v>
      </c>
      <c r="AP142" s="257">
        <f>SUMIF(AQ$8:AR$8,"NO_TRANSPORT",AQ142:AR142)</f>
        <v>0</v>
      </c>
      <c r="AQ142" s="321"/>
      <c r="AR142" s="258"/>
      <c r="AS142" s="121"/>
      <c r="AT142" s="121"/>
    </row>
    <row r="143" spans="1:46">
      <c r="AL143" s="121"/>
      <c r="AM143" s="121"/>
      <c r="AN143" s="504" t="s">
        <v>881</v>
      </c>
      <c r="AO143" s="526" t="s">
        <v>2967</v>
      </c>
      <c r="AP143" s="254"/>
      <c r="AQ143" s="321"/>
      <c r="AR143" s="258"/>
      <c r="AS143" s="121"/>
      <c r="AT143" s="121"/>
    </row>
    <row r="144" spans="1:46" ht="57" customHeight="1">
      <c r="AL144" s="121"/>
      <c r="AM144" s="121"/>
      <c r="AN144" s="559" t="s">
        <v>362</v>
      </c>
      <c r="AO144" s="604" t="s">
        <v>2722</v>
      </c>
      <c r="AP144" s="257">
        <f>SUMIF(AQ$8:AR$8,"NO_TRANSPORT",AQ144:AR144)</f>
        <v>0</v>
      </c>
      <c r="AQ144" s="321"/>
      <c r="AR144" s="258"/>
      <c r="AS144" s="121"/>
      <c r="AT144" s="121"/>
    </row>
    <row r="145" spans="38:46" s="121" customFormat="1" ht="0.75" customHeight="1">
      <c r="AN145" s="504"/>
      <c r="AO145" s="526"/>
      <c r="AP145" s="260"/>
      <c r="AQ145" s="321"/>
      <c r="AR145" s="258"/>
    </row>
    <row r="146" spans="38:46" s="121" customFormat="1" ht="22.5">
      <c r="AN146" s="222" t="s">
        <v>32</v>
      </c>
      <c r="AO146" s="721" t="str">
        <f>"Общий доход организации от реализации потребителям без учёта НДС, исходя из утверждённых тарифов на " &amp; AN10</f>
        <v>Общий доход организации от реализации потребителям без учёта НДС, исходя из утверждённых тарифов на 01.09 - 31.12</v>
      </c>
      <c r="AP146" s="257">
        <f>SUMIF(AQ$14:AR$14,AP$14,AQ146:AR146)</f>
        <v>0</v>
      </c>
      <c r="AQ146" s="321"/>
      <c r="AR146" s="258"/>
    </row>
    <row r="147" spans="38:46" s="121" customFormat="1" ht="22.5">
      <c r="AN147" s="222" t="s">
        <v>33</v>
      </c>
      <c r="AO147" s="540" t="str">
        <f>"Полезный отпуск продукции на реализацию потребителям (тыс. куб.м) на " &amp; AN10</f>
        <v>Полезный отпуск продукции на реализацию потребителям (тыс. куб.м) на 01.09 - 31.12</v>
      </c>
      <c r="AP147" s="257">
        <f>SUMIF(AQ$14:AR$14,AP$14,AQ147:AR147)</f>
        <v>0</v>
      </c>
      <c r="AQ147" s="321"/>
      <c r="AR147" s="258"/>
    </row>
    <row r="148" spans="38:46" s="121" customFormat="1">
      <c r="AN148" s="222" t="s">
        <v>2455</v>
      </c>
      <c r="AO148" s="541" t="str">
        <f>"Организации-перепродавцы на " &amp; AN10</f>
        <v>Организации-перепродавцы на 01.09 - 31.12</v>
      </c>
      <c r="AP148" s="257">
        <f>SUMIF(AQ$14:AR$14,AP$14,AQ148:AR148)</f>
        <v>0</v>
      </c>
      <c r="AQ148" s="321"/>
      <c r="AR148" s="258"/>
    </row>
    <row r="149" spans="38:46" ht="12.75">
      <c r="AL149" s="121"/>
      <c r="AM149" s="121"/>
      <c r="AN149" s="222" t="s">
        <v>34</v>
      </c>
      <c r="AO149" s="502" t="s">
        <v>348</v>
      </c>
      <c r="AP149" s="254"/>
      <c r="AQ149" s="321"/>
      <c r="AR149" s="258"/>
      <c r="AS149" s="121"/>
      <c r="AT149" s="121"/>
    </row>
    <row r="150" spans="38:46">
      <c r="AL150" s="121"/>
      <c r="AM150" s="121"/>
      <c r="AN150" s="222" t="s">
        <v>35</v>
      </c>
      <c r="AO150" s="502" t="s">
        <v>372</v>
      </c>
      <c r="AP150" s="257">
        <f>SUMIF(AQ$8:AR$8,"NO_TRANSPORT",AQ150:AR150)</f>
        <v>0</v>
      </c>
      <c r="AQ150" s="321"/>
      <c r="AR150" s="258"/>
      <c r="AS150" s="121"/>
      <c r="AT150" s="121"/>
    </row>
    <row r="151" spans="38:46" s="121" customFormat="1">
      <c r="AN151" s="222" t="s">
        <v>2456</v>
      </c>
      <c r="AO151" s="540" t="str">
        <f>"Бюджетные потребители на " &amp; AN10</f>
        <v>Бюджетные потребители на 01.09 - 31.12</v>
      </c>
      <c r="AP151" s="257">
        <f>SUMIF(AQ$14:AR$14,AP$14,AQ151:AR151)</f>
        <v>0</v>
      </c>
      <c r="AQ151" s="321"/>
      <c r="AR151" s="258"/>
    </row>
    <row r="152" spans="38:46" s="121" customFormat="1" ht="12.75">
      <c r="AN152" s="222" t="s">
        <v>36</v>
      </c>
      <c r="AO152" s="502" t="s">
        <v>348</v>
      </c>
      <c r="AP152" s="254"/>
      <c r="AQ152" s="321"/>
      <c r="AR152" s="258"/>
    </row>
    <row r="153" spans="38:46" s="121" customFormat="1">
      <c r="AN153" s="222" t="s">
        <v>37</v>
      </c>
      <c r="AO153" s="502" t="s">
        <v>372</v>
      </c>
      <c r="AP153" s="257">
        <f>SUMIF(AQ$8:AR$8,"NO_TRANSPORT",AQ153:AR153)</f>
        <v>0</v>
      </c>
      <c r="AQ153" s="321"/>
      <c r="AR153" s="258"/>
    </row>
    <row r="154" spans="38:46" s="121" customFormat="1">
      <c r="AN154" s="222" t="s">
        <v>2457</v>
      </c>
      <c r="AO154" s="540" t="str">
        <f>"Население на " &amp; AN10</f>
        <v>Население на 01.09 - 31.12</v>
      </c>
      <c r="AP154" s="257">
        <f>SUMIF(AQ$14:AR$14,AP$14,AQ154:AR154)</f>
        <v>0</v>
      </c>
      <c r="AQ154" s="321"/>
      <c r="AR154" s="258"/>
    </row>
    <row r="155" spans="38:46" s="121" customFormat="1" ht="12.75">
      <c r="AN155" s="222" t="s">
        <v>38</v>
      </c>
      <c r="AO155" s="502" t="s">
        <v>348</v>
      </c>
      <c r="AP155" s="254"/>
      <c r="AQ155" s="321"/>
      <c r="AR155" s="258"/>
    </row>
    <row r="156" spans="38:46" s="121" customFormat="1">
      <c r="AN156" s="222" t="s">
        <v>39</v>
      </c>
      <c r="AO156" s="502" t="s">
        <v>372</v>
      </c>
      <c r="AP156" s="257">
        <f>SUMIF(AQ$8:AR$8,"NO_TRANSPORT",AQ156:AR156)</f>
        <v>0</v>
      </c>
      <c r="AQ156" s="321"/>
      <c r="AR156" s="258"/>
    </row>
    <row r="157" spans="38:46">
      <c r="AL157" s="121"/>
      <c r="AM157" s="121"/>
      <c r="AN157" s="222" t="s">
        <v>2458</v>
      </c>
      <c r="AO157" s="540" t="str">
        <f>"Прочие на " &amp; AN10</f>
        <v>Прочие на 01.09 - 31.12</v>
      </c>
      <c r="AP157" s="257">
        <f>SUMIF(AQ$14:AR$14,AP$14,AQ157:AR157)</f>
        <v>0</v>
      </c>
      <c r="AQ157" s="321"/>
      <c r="AR157" s="258"/>
      <c r="AS157" s="121"/>
      <c r="AT157" s="121"/>
    </row>
    <row r="158" spans="38:46" s="121" customFormat="1" ht="12.75">
      <c r="AN158" s="222" t="s">
        <v>40</v>
      </c>
      <c r="AO158" s="502" t="s">
        <v>348</v>
      </c>
      <c r="AP158" s="254"/>
      <c r="AQ158" s="321"/>
      <c r="AR158" s="258"/>
    </row>
    <row r="159" spans="38:46" s="121" customFormat="1">
      <c r="AN159" s="222" t="s">
        <v>41</v>
      </c>
      <c r="AO159" s="502" t="s">
        <v>372</v>
      </c>
      <c r="AP159" s="257">
        <f>SUMIF(AQ$8:AR$8,"NO_TRANSPORT",AQ159:AR159)</f>
        <v>0</v>
      </c>
      <c r="AQ159" s="321"/>
      <c r="AR159" s="258"/>
    </row>
    <row r="160" spans="38:46" s="121" customFormat="1" ht="0.75" customHeight="1">
      <c r="AN160" s="222"/>
      <c r="AO160" s="502"/>
      <c r="AP160" s="323"/>
      <c r="AQ160" s="321"/>
      <c r="AR160" s="258"/>
    </row>
    <row r="161" spans="1:46" s="121" customFormat="1">
      <c r="AN161" s="722" t="s">
        <v>2664</v>
      </c>
      <c r="AO161" s="721" t="s">
        <v>2724</v>
      </c>
      <c r="AP161" s="257">
        <f>SUMIF(AQ$14:AR$14,AP$14,AQ161:AR161)</f>
        <v>0</v>
      </c>
      <c r="AQ161" s="321"/>
      <c r="AR161" s="258"/>
    </row>
    <row r="162" spans="1:46" s="121" customFormat="1" hidden="1">
      <c r="AN162" s="222"/>
      <c r="AO162" s="502"/>
      <c r="AP162" s="323"/>
      <c r="AQ162" s="321"/>
      <c r="AR162" s="258"/>
    </row>
    <row r="163" spans="1:46" s="121" customFormat="1" hidden="1">
      <c r="AN163" s="222"/>
      <c r="AO163" s="502"/>
      <c r="AP163" s="323"/>
      <c r="AQ163" s="321"/>
      <c r="AR163" s="258"/>
    </row>
    <row r="164" spans="1:46" ht="0.75" customHeight="1">
      <c r="AL164" s="121"/>
      <c r="AM164" s="121"/>
      <c r="AN164" s="223"/>
      <c r="AO164" s="216"/>
      <c r="AP164" s="543"/>
      <c r="AQ164" s="523"/>
      <c r="AR164" s="265"/>
      <c r="AS164" s="121"/>
      <c r="AT164" s="121"/>
    </row>
    <row r="165" spans="1:46" s="54" customFormat="1">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48"/>
      <c r="AS165" s="121"/>
      <c r="AT165" s="121"/>
    </row>
    <row r="166" spans="1:46" s="54" customFormat="1">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47"/>
      <c r="AR166" s="47"/>
      <c r="AS166" s="121"/>
      <c r="AT166" s="121"/>
    </row>
    <row r="167" spans="1:46">
      <c r="AL167" s="121"/>
      <c r="AM167" s="121"/>
    </row>
  </sheetData>
  <sheetProtection password="FA9C" sheet="1" objects="1" scenarios="1" formatColumns="0" formatRows="0"/>
  <mergeCells count="4">
    <mergeCell ref="AN9:AP9"/>
    <mergeCell ref="AN11:AN12"/>
    <mergeCell ref="AO11:AO12"/>
    <mergeCell ref="AP11:AP12"/>
  </mergeCells>
  <phoneticPr fontId="8"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sheetPr codeName="VSNA_TM1_PERIOD1">
    <tabColor rgb="FF92D050"/>
    <pageSetUpPr fitToPage="1"/>
  </sheetPr>
  <dimension ref="A1:EV31"/>
  <sheetViews>
    <sheetView showGridLines="0" topLeftCell="E3" workbookViewId="0">
      <pane xSplit="5" ySplit="19" topLeftCell="J22" activePane="bottomRight" state="frozen"/>
      <selection activeCell="H3" sqref="H3"/>
      <selection pane="topRight" activeCell="H3" sqref="H3"/>
      <selection pane="bottomLeft" activeCell="H3" sqref="H3"/>
      <selection pane="bottomRight"/>
    </sheetView>
  </sheetViews>
  <sheetFormatPr defaultRowHeight="11.25"/>
  <cols>
    <col min="1" max="3" width="5.7109375" style="162" hidden="1" customWidth="1"/>
    <col min="4" max="4" width="3.7109375" style="159" hidden="1" customWidth="1"/>
    <col min="5" max="5" width="5.7109375" style="179" customWidth="1"/>
    <col min="6" max="6" width="4.7109375" style="39" customWidth="1"/>
    <col min="7" max="7" width="40.7109375" style="39" customWidth="1"/>
    <col min="8" max="8" width="27.7109375" style="39" customWidth="1"/>
    <col min="9" max="9" width="0.140625" style="39" customWidth="1"/>
    <col min="10" max="10" width="20.7109375" style="39" customWidth="1"/>
    <col min="11" max="12" width="10.7109375" style="39" hidden="1" customWidth="1"/>
    <col min="13" max="14" width="12.7109375" style="39" hidden="1" customWidth="1"/>
    <col min="15" max="15" width="0.140625" style="39" hidden="1" customWidth="1"/>
    <col min="16" max="19" width="12.7109375" style="39" hidden="1" customWidth="1"/>
    <col min="20" max="21" width="0.140625" style="39" hidden="1" customWidth="1"/>
    <col min="22" max="23" width="12.7109375" style="39" hidden="1" customWidth="1"/>
    <col min="24" max="24" width="10.7109375" style="39" hidden="1" customWidth="1"/>
    <col min="25" max="28" width="9.7109375" style="39" customWidth="1"/>
    <col min="29" max="30" width="0.140625" style="39" customWidth="1"/>
    <col min="31" max="31" width="17.7109375" style="39" customWidth="1"/>
    <col min="32" max="33" width="0.140625" style="39" customWidth="1"/>
    <col min="34" max="38" width="9.7109375" style="39" customWidth="1"/>
    <col min="39" max="39" width="15.7109375" style="39" customWidth="1"/>
    <col min="40" max="41" width="9.7109375" style="39" customWidth="1"/>
    <col min="42" max="42" width="15.7109375" style="39" customWidth="1"/>
    <col min="43" max="44" width="9.7109375" style="39" customWidth="1"/>
    <col min="45" max="45" width="15.7109375" style="39" customWidth="1"/>
    <col min="46" max="47" width="9.7109375" style="39" customWidth="1"/>
    <col min="48" max="48" width="15.7109375" style="39" customWidth="1"/>
    <col min="49" max="50" width="9.7109375" style="39" customWidth="1"/>
    <col min="51" max="51" width="15.7109375" style="39" customWidth="1"/>
    <col min="52" max="108" width="1.7109375" style="162" customWidth="1"/>
    <col min="109" max="109" width="8.7109375" style="162" hidden="1" customWidth="1"/>
    <col min="110" max="123" width="6.7109375" style="162" hidden="1" customWidth="1"/>
    <col min="124" max="126" width="6.7109375" style="162" customWidth="1"/>
    <col min="127" max="127" width="2.7109375" style="162" customWidth="1"/>
    <col min="128" max="152" width="9.140625" style="162"/>
    <col min="153" max="16384" width="9.140625" style="39"/>
  </cols>
  <sheetData>
    <row r="1" spans="1:126" ht="12" hidden="1" customHeight="1">
      <c r="A1" s="178"/>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row>
    <row r="2" spans="1:126" ht="12" hidden="1" customHeight="1">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row>
    <row r="3" spans="1:126" ht="12" customHeight="1">
      <c r="F3" s="637"/>
      <c r="G3" s="123" t="str">
        <f>"Необходимо указывать " &amp; IF(TARIFF_SETUP_METHOD_CODE="BY_PSEUDO_YEARS","общегодовые значения","значения по периодам")</f>
        <v>Необходимо указывать значения по периодам</v>
      </c>
      <c r="H3" s="616" t="s">
        <v>785</v>
      </c>
      <c r="I3" s="637">
        <f>IF(TARIFF_SETUP_METHOD_CODE="BY_PSEUDO_YEARS",12,6)</f>
        <v>6</v>
      </c>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row>
    <row r="4" spans="1:126" ht="3" customHeight="1">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row>
    <row r="5" spans="1:126" s="419" customFormat="1" ht="18" customHeight="1">
      <c r="D5" s="420"/>
      <c r="E5" s="421"/>
      <c r="F5" s="422" t="str">
        <f>"Тарифы организаций " &amp; TEMPLATE_SPHERE &amp; " на услуги по передаче (транспортировке) по муниципальному образованию - " &amp; IF(mo="","Не определено",mo)</f>
        <v>Тарифы организаций водоотведения на услуги по передаче (транспортировке) по муниципальному образованию - Село Булава</v>
      </c>
      <c r="G5" s="416"/>
      <c r="H5" s="416"/>
      <c r="I5" s="416"/>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21"/>
      <c r="BA5" s="421"/>
      <c r="BB5" s="421"/>
      <c r="BC5" s="421"/>
      <c r="BD5" s="421"/>
      <c r="BE5" s="421"/>
      <c r="BF5" s="421"/>
      <c r="BG5" s="421"/>
      <c r="BH5" s="421"/>
      <c r="BI5" s="421"/>
      <c r="BJ5" s="421"/>
      <c r="BK5" s="421"/>
      <c r="BL5" s="421"/>
      <c r="BM5" s="421"/>
      <c r="BN5" s="421"/>
      <c r="BO5" s="421"/>
      <c r="BP5" s="421"/>
      <c r="BQ5" s="421"/>
      <c r="BR5" s="421"/>
      <c r="BS5" s="421"/>
      <c r="BT5" s="421"/>
      <c r="BU5" s="421"/>
      <c r="BV5" s="421"/>
      <c r="BW5" s="421"/>
      <c r="BX5" s="421"/>
      <c r="BY5" s="421"/>
      <c r="BZ5" s="421"/>
      <c r="CA5" s="421"/>
      <c r="CB5" s="421"/>
      <c r="CC5" s="421"/>
      <c r="CD5" s="421"/>
      <c r="CE5" s="421"/>
      <c r="CF5" s="421"/>
      <c r="CG5" s="421"/>
      <c r="CH5" s="421"/>
      <c r="CI5" s="421"/>
      <c r="CJ5" s="421"/>
      <c r="CK5" s="421"/>
      <c r="CL5" s="421"/>
      <c r="CM5" s="421"/>
      <c r="CN5" s="421"/>
      <c r="CO5" s="421"/>
      <c r="CP5" s="421"/>
      <c r="CQ5" s="421"/>
      <c r="CR5" s="421"/>
      <c r="CS5" s="421"/>
      <c r="CT5" s="421"/>
      <c r="CU5" s="421"/>
      <c r="CV5" s="421"/>
      <c r="CW5" s="421"/>
      <c r="CX5" s="421"/>
      <c r="CY5" s="421"/>
      <c r="CZ5" s="421"/>
      <c r="DA5" s="421"/>
      <c r="DB5" s="421"/>
      <c r="DC5" s="421"/>
      <c r="DD5" s="421"/>
      <c r="DE5" s="421"/>
      <c r="DF5" s="421"/>
      <c r="DG5" s="421"/>
    </row>
    <row r="6" spans="1:126" ht="2.25" customHeight="1">
      <c r="E6" s="184"/>
      <c r="F6" s="185"/>
      <c r="G6" s="162"/>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B6" s="185"/>
      <c r="DC6" s="185"/>
      <c r="DD6" s="185"/>
      <c r="DE6" s="185"/>
      <c r="DF6" s="185"/>
      <c r="DG6" s="185"/>
    </row>
    <row r="7" spans="1:126" ht="12" customHeight="1">
      <c r="E7" s="184"/>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row>
    <row r="8" spans="1:126" s="164" customFormat="1" ht="12" customHeight="1">
      <c r="D8" s="165"/>
      <c r="E8" s="166"/>
      <c r="F8" s="158"/>
      <c r="G8" s="188" t="s">
        <v>2781</v>
      </c>
      <c r="H8" s="180"/>
      <c r="I8" s="195"/>
      <c r="J8" s="180"/>
      <c r="K8" s="921"/>
      <c r="L8" s="921"/>
      <c r="M8" s="921"/>
      <c r="N8" s="921"/>
      <c r="O8" s="921"/>
      <c r="P8" s="921"/>
      <c r="Q8" s="921"/>
      <c r="R8" s="921"/>
      <c r="S8" s="921"/>
      <c r="T8" s="921"/>
      <c r="U8" s="921"/>
      <c r="V8" s="921"/>
      <c r="W8" s="921"/>
      <c r="X8" s="921"/>
      <c r="Y8" s="921"/>
      <c r="Z8" s="921"/>
      <c r="AA8" s="921"/>
      <c r="AB8" s="921"/>
      <c r="AC8" s="921"/>
      <c r="AD8" s="921"/>
      <c r="AE8" s="921"/>
      <c r="AF8" s="158"/>
      <c r="AG8" s="158"/>
      <c r="AH8" s="158"/>
      <c r="AI8" s="158"/>
      <c r="AJ8" s="158"/>
      <c r="AK8" s="921"/>
      <c r="AL8" s="921"/>
      <c r="AM8" s="921"/>
      <c r="AN8" s="921"/>
      <c r="AO8" s="921"/>
      <c r="AP8" s="921"/>
      <c r="AQ8" s="921"/>
      <c r="AR8" s="921"/>
      <c r="AS8" s="921"/>
      <c r="AT8" s="921"/>
      <c r="AU8" s="921"/>
      <c r="AV8" s="921"/>
      <c r="AW8" s="921"/>
      <c r="AX8" s="921"/>
      <c r="AY8" s="921"/>
      <c r="AZ8" s="921"/>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row>
    <row r="9" spans="1:126" customFormat="1" ht="12" hidden="1" customHeight="1"/>
    <row r="10" spans="1:126" customFormat="1" ht="12" hidden="1" customHeight="1"/>
    <row r="11" spans="1:126" customFormat="1" ht="12" customHeight="1">
      <c r="K11" s="444" t="s">
        <v>652</v>
      </c>
    </row>
    <row r="12" spans="1:126" customFormat="1" ht="12" hidden="1" customHeight="1"/>
    <row r="13" spans="1:126" s="164" customFormat="1" ht="12" customHeight="1">
      <c r="D13" s="165"/>
      <c r="E13" s="166"/>
      <c r="F13" s="158"/>
      <c r="G13" s="167"/>
      <c r="H13" s="180"/>
      <c r="J13" s="120"/>
      <c r="K13" s="880" t="s">
        <v>2863</v>
      </c>
      <c r="L13" s="881"/>
      <c r="M13" s="881"/>
      <c r="N13" s="881"/>
      <c r="O13" s="881"/>
      <c r="P13" s="881"/>
      <c r="Q13" s="881"/>
      <c r="R13" s="881"/>
      <c r="S13" s="881"/>
      <c r="T13" s="881"/>
      <c r="U13" s="881"/>
      <c r="V13" s="881"/>
      <c r="W13" s="881"/>
      <c r="X13" s="882"/>
      <c r="Y13" s="180"/>
      <c r="Z13" s="180"/>
      <c r="AA13" s="180"/>
      <c r="AB13" s="180"/>
      <c r="AC13" s="180"/>
      <c r="AD13" s="180"/>
      <c r="AE13" s="180"/>
      <c r="AF13" s="180"/>
      <c r="AG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row>
    <row r="14" spans="1:126" ht="27" customHeight="1">
      <c r="E14" s="184"/>
      <c r="F14" s="914" t="s">
        <v>641</v>
      </c>
      <c r="G14" s="914" t="s">
        <v>735</v>
      </c>
      <c r="H14" s="854" t="str">
        <f>IF(CALC_IDENTIFIER="","",CALC_IDENTIFIER)</f>
        <v/>
      </c>
      <c r="I14" s="855"/>
      <c r="J14" s="914" t="s">
        <v>626</v>
      </c>
      <c r="K14" s="944" t="s">
        <v>2584</v>
      </c>
      <c r="L14" s="950"/>
      <c r="M14" s="945"/>
      <c r="N14" s="803" t="s">
        <v>2569</v>
      </c>
      <c r="O14" s="803"/>
      <c r="P14" s="944" t="s">
        <v>2570</v>
      </c>
      <c r="Q14" s="945"/>
      <c r="R14" s="944" t="s">
        <v>2862</v>
      </c>
      <c r="S14" s="945"/>
      <c r="T14" s="944"/>
      <c r="U14" s="945"/>
      <c r="V14" s="944" t="s">
        <v>2571</v>
      </c>
      <c r="W14" s="945"/>
      <c r="X14" s="947" t="s">
        <v>2572</v>
      </c>
      <c r="Y14" s="828" t="str">
        <f>"Средневзвешенный тариф на услуги по передаче (транспортировке) " &amp; RESOURCE_IDENTIFIER &amp; " с учётом надбавки, " &amp; IF(TRANSMISSION_TARIFF="","?",TRANSMISSION_TARIFF)</f>
        <v>Средневзвешенный тариф на услуги по передаче (транспортировке) стоков с учётом надбавки, руб/куб.м</v>
      </c>
      <c r="Z14" s="828"/>
      <c r="AA14" s="828" t="str">
        <f>"Средневзвешенный тариф на услуги по передаче (транспортировке) " &amp; RESOURCE_IDENTIFIER &amp; ", " &amp; IF(TRANSMISSION_TARIFF="","?",TRANSMISSION_TARIFF)</f>
        <v>Средневзвешенный тариф на услуги по передаче (транспортировке) стоков, руб/куб.м</v>
      </c>
      <c r="AB14" s="828"/>
      <c r="AC14" s="828"/>
      <c r="AD14" s="828"/>
      <c r="AE14" s="879" t="str">
        <f>"Объём " &amp; IF(RESOURCE_IDENTIFIER="стоков","перекачиваемых " &amp; RESOURCE_IDENTIFIER,"передаваемой " &amp; RESOURCE_IDENTIFIER) &amp; " при транспортировке, "&amp; IF(TRANSMISSION_TARIFF="руб/Гкал","Гкал",IF(TRANSMISSION_TARIFF="руб/Гкал*час в мес","Гкал*час в мес",IF(TRANSMISSION_TARIFF="руб/куб.м","куб.м","(размерность не указана)")))</f>
        <v>Объём перекачиваемых стоков при транспортировке, куб.м</v>
      </c>
      <c r="AF14" s="828"/>
      <c r="AG14" s="828"/>
      <c r="AH14" s="828" t="str">
        <f>"Надбавка к тарифу, " &amp; IF(TRANSMISSION_TARIFF="","?",TRANSMISSION_TARIFF)</f>
        <v>Надбавка к тарифу, руб/куб.м</v>
      </c>
      <c r="AI14" s="828"/>
      <c r="AJ14" s="828" t="str">
        <f>"Объём, на который расчитана надбавка, " &amp; IF(TRANSMISSION_TARIFF="руб/Гкал","Гкал",IF(TRANSMISSION_TARIFF="руб/Гкал*час в мес","Гкал*час в мес",IF(TRANSMISSION_TARIFF="руб/куб.м","куб.м","(размерность не указана)")))</f>
        <v>Объём, на который расчитана надбавка, куб.м</v>
      </c>
      <c r="AK14" s="946" t="s">
        <v>3154</v>
      </c>
      <c r="AL14" s="828"/>
      <c r="AM14" s="828"/>
      <c r="AN14" s="828" t="s">
        <v>424</v>
      </c>
      <c r="AO14" s="828"/>
      <c r="AP14" s="828"/>
      <c r="AQ14" s="828" t="s">
        <v>3155</v>
      </c>
      <c r="AR14" s="828"/>
      <c r="AS14" s="828"/>
      <c r="AT14" s="828" t="s">
        <v>3156</v>
      </c>
      <c r="AU14" s="828"/>
      <c r="AV14" s="878"/>
      <c r="AW14" s="828" t="s">
        <v>3157</v>
      </c>
      <c r="AX14" s="828"/>
      <c r="AY14" s="828"/>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row>
    <row r="15" spans="1:126" ht="69" customHeight="1">
      <c r="E15" s="184"/>
      <c r="F15" s="951"/>
      <c r="G15" s="951"/>
      <c r="H15" s="856"/>
      <c r="I15" s="857"/>
      <c r="J15" s="951"/>
      <c r="K15" s="803" t="s">
        <v>2581</v>
      </c>
      <c r="L15" s="803" t="s">
        <v>2582</v>
      </c>
      <c r="M15" s="802" t="s">
        <v>2583</v>
      </c>
      <c r="N15" s="860"/>
      <c r="O15" s="860"/>
      <c r="P15" s="803" t="s">
        <v>2573</v>
      </c>
      <c r="Q15" s="803" t="s">
        <v>2574</v>
      </c>
      <c r="R15" s="803" t="s">
        <v>2573</v>
      </c>
      <c r="S15" s="803" t="s">
        <v>2574</v>
      </c>
      <c r="T15" s="803"/>
      <c r="U15" s="803"/>
      <c r="V15" s="803" t="s">
        <v>2575</v>
      </c>
      <c r="W15" s="803" t="s">
        <v>2576</v>
      </c>
      <c r="X15" s="948"/>
      <c r="Y15" s="828"/>
      <c r="Z15" s="828"/>
      <c r="AA15" s="828"/>
      <c r="AB15" s="828"/>
      <c r="AC15" s="828"/>
      <c r="AD15" s="828"/>
      <c r="AE15" s="879"/>
      <c r="AF15" s="828"/>
      <c r="AG15" s="828"/>
      <c r="AH15" s="828"/>
      <c r="AI15" s="828"/>
      <c r="AJ15" s="828"/>
      <c r="AK15" s="946" t="str">
        <f>"Тариф, " &amp; IF(TRANSMISSION_TARIFF="","?",TRANSMISSION_TARIFF)</f>
        <v>Тариф, руб/куб.м</v>
      </c>
      <c r="AL15" s="828"/>
      <c r="AM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N15" s="828" t="str">
        <f>"Тариф, " &amp; IF(TRANSMISSION_TARIFF="","?",TRANSMISSION_TARIFF)</f>
        <v>Тариф, руб/куб.м</v>
      </c>
      <c r="AO15" s="828"/>
      <c r="AP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Q15" s="828" t="str">
        <f>"Тариф, " &amp; IF(TRANSMISSION_TARIFF="","?",TRANSMISSION_TARIFF)</f>
        <v>Тариф, руб/куб.м</v>
      </c>
      <c r="AR15" s="828"/>
      <c r="AS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T15" s="828" t="str">
        <f>"Тариф, " &amp; IF(TRANSMISSION_TARIFF="","?",TRANSMISSION_TARIFF)</f>
        <v>Тариф, руб/куб.м</v>
      </c>
      <c r="AU15" s="828"/>
      <c r="AV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W15" s="828" t="str">
        <f>"Тариф, " &amp; IF(TRANSMISSION_TARIFF="","?",TRANSMISSION_TARIFF)</f>
        <v>Тариф, руб/куб.м</v>
      </c>
      <c r="AX15" s="828"/>
      <c r="AY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R15"/>
      <c r="DS15"/>
      <c r="DT15"/>
      <c r="DU15"/>
      <c r="DV15"/>
    </row>
    <row r="16" spans="1:126" ht="18" customHeight="1">
      <c r="E16" s="184"/>
      <c r="F16" s="952"/>
      <c r="G16" s="952"/>
      <c r="H16" s="858"/>
      <c r="I16" s="859"/>
      <c r="J16" s="952"/>
      <c r="K16" s="826"/>
      <c r="L16" s="826"/>
      <c r="M16" s="802"/>
      <c r="N16" s="826"/>
      <c r="O16" s="826"/>
      <c r="P16" s="826"/>
      <c r="Q16" s="826"/>
      <c r="R16" s="826"/>
      <c r="S16" s="826"/>
      <c r="T16" s="826"/>
      <c r="U16" s="826"/>
      <c r="V16" s="826"/>
      <c r="W16" s="826"/>
      <c r="X16" s="949"/>
      <c r="Y16" s="193" t="s">
        <v>627</v>
      </c>
      <c r="Z16" s="193" t="s">
        <v>628</v>
      </c>
      <c r="AA16" s="128" t="s">
        <v>627</v>
      </c>
      <c r="AB16" s="128" t="s">
        <v>628</v>
      </c>
      <c r="AC16" s="128"/>
      <c r="AD16" s="128"/>
      <c r="AE16" s="879"/>
      <c r="AF16" s="128"/>
      <c r="AG16" s="128"/>
      <c r="AH16" s="193" t="s">
        <v>627</v>
      </c>
      <c r="AI16" s="193" t="s">
        <v>628</v>
      </c>
      <c r="AJ16" s="828"/>
      <c r="AK16" s="590" t="s">
        <v>627</v>
      </c>
      <c r="AL16" s="128" t="s">
        <v>628</v>
      </c>
      <c r="AM16" s="831"/>
      <c r="AN16" s="128" t="s">
        <v>627</v>
      </c>
      <c r="AO16" s="128" t="s">
        <v>628</v>
      </c>
      <c r="AP16" s="831"/>
      <c r="AQ16" s="128" t="s">
        <v>627</v>
      </c>
      <c r="AR16" s="128" t="s">
        <v>628</v>
      </c>
      <c r="AS16" s="831"/>
      <c r="AT16" s="128" t="s">
        <v>627</v>
      </c>
      <c r="AU16" s="128" t="s">
        <v>628</v>
      </c>
      <c r="AV16" s="831"/>
      <c r="AW16" s="128" t="s">
        <v>627</v>
      </c>
      <c r="AX16" s="128" t="s">
        <v>628</v>
      </c>
      <c r="AY16" s="831"/>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c r="DG16"/>
      <c r="DH16"/>
      <c r="DI16"/>
      <c r="DJ16"/>
      <c r="DK16"/>
      <c r="DL16"/>
      <c r="DM16"/>
      <c r="DN16"/>
      <c r="DO16"/>
      <c r="DP16"/>
      <c r="DQ16"/>
      <c r="DR16"/>
      <c r="DS16"/>
      <c r="DT16"/>
      <c r="DU16"/>
      <c r="DV16"/>
    </row>
    <row r="17" spans="1:126" ht="12" customHeight="1">
      <c r="E17" s="184"/>
      <c r="F17" s="182"/>
      <c r="G17" s="182" t="s">
        <v>759</v>
      </c>
      <c r="H17" s="183" t="s">
        <v>629</v>
      </c>
      <c r="I17" s="183"/>
      <c r="J17" s="183" t="s">
        <v>631</v>
      </c>
      <c r="K17" s="183" t="s">
        <v>2851</v>
      </c>
      <c r="L17" s="183" t="s">
        <v>2852</v>
      </c>
      <c r="M17" s="183" t="s">
        <v>2853</v>
      </c>
      <c r="N17" s="183" t="s">
        <v>2854</v>
      </c>
      <c r="O17" s="183"/>
      <c r="P17" s="183" t="s">
        <v>2855</v>
      </c>
      <c r="Q17" s="183" t="s">
        <v>2856</v>
      </c>
      <c r="R17" s="183" t="s">
        <v>2857</v>
      </c>
      <c r="S17" s="183" t="s">
        <v>2858</v>
      </c>
      <c r="T17" s="183"/>
      <c r="U17" s="183"/>
      <c r="V17" s="183" t="s">
        <v>2859</v>
      </c>
      <c r="W17" s="183" t="s">
        <v>2860</v>
      </c>
      <c r="X17" s="183" t="s">
        <v>2861</v>
      </c>
      <c r="Y17" s="598" t="s">
        <v>289</v>
      </c>
      <c r="Z17" s="598" t="s">
        <v>290</v>
      </c>
      <c r="AA17" s="598" t="s">
        <v>2501</v>
      </c>
      <c r="AB17" s="598" t="s">
        <v>2502</v>
      </c>
      <c r="AC17" s="598"/>
      <c r="AD17" s="598"/>
      <c r="AE17" s="599" t="s">
        <v>63</v>
      </c>
      <c r="AF17" s="598"/>
      <c r="AG17" s="598"/>
      <c r="AH17" s="598" t="s">
        <v>2705</v>
      </c>
      <c r="AI17" s="598" t="s">
        <v>2706</v>
      </c>
      <c r="AJ17" s="598" t="s">
        <v>2707</v>
      </c>
      <c r="AK17" s="183" t="s">
        <v>632</v>
      </c>
      <c r="AL17" s="183" t="s">
        <v>633</v>
      </c>
      <c r="AM17" s="183" t="s">
        <v>634</v>
      </c>
      <c r="AN17" s="183" t="s">
        <v>635</v>
      </c>
      <c r="AO17" s="183" t="s">
        <v>883</v>
      </c>
      <c r="AP17" s="183" t="s">
        <v>884</v>
      </c>
      <c r="AQ17" s="183" t="s">
        <v>885</v>
      </c>
      <c r="AR17" s="183" t="s">
        <v>886</v>
      </c>
      <c r="AS17" s="183" t="s">
        <v>887</v>
      </c>
      <c r="AT17" s="183" t="s">
        <v>888</v>
      </c>
      <c r="AU17" s="183" t="s">
        <v>889</v>
      </c>
      <c r="AV17" s="477" t="s">
        <v>890</v>
      </c>
      <c r="AW17" s="183" t="s">
        <v>891</v>
      </c>
      <c r="AX17" s="183" t="s">
        <v>892</v>
      </c>
      <c r="AY17" s="183" t="s">
        <v>893</v>
      </c>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472" t="s">
        <v>96</v>
      </c>
      <c r="DF17" s="472" t="s">
        <v>289</v>
      </c>
      <c r="DG17" s="472" t="s">
        <v>290</v>
      </c>
      <c r="DH17" s="472" t="s">
        <v>632</v>
      </c>
      <c r="DI17" s="472" t="s">
        <v>633</v>
      </c>
      <c r="DJ17" s="472" t="s">
        <v>635</v>
      </c>
      <c r="DK17" s="472" t="s">
        <v>883</v>
      </c>
      <c r="DL17" s="472" t="s">
        <v>885</v>
      </c>
      <c r="DM17" s="472" t="s">
        <v>886</v>
      </c>
      <c r="DN17" s="472" t="s">
        <v>888</v>
      </c>
      <c r="DO17" s="472" t="s">
        <v>889</v>
      </c>
      <c r="DP17" s="472" t="s">
        <v>891</v>
      </c>
      <c r="DQ17" s="600" t="s">
        <v>892</v>
      </c>
      <c r="DR17" s="829" t="s">
        <v>444</v>
      </c>
      <c r="DS17" s="829"/>
      <c r="DT17"/>
      <c r="DU17"/>
      <c r="DV17"/>
    </row>
    <row r="18" spans="1:126" ht="0.75" customHeight="1">
      <c r="A18" s="181"/>
      <c r="B18" s="181"/>
      <c r="C18" s="181"/>
      <c r="E18" s="184"/>
      <c r="F18" s="953" t="s">
        <v>3141</v>
      </c>
      <c r="G18" s="956" t="s">
        <v>778</v>
      </c>
      <c r="H18" s="107" t="str">
        <f>IF(TEMPLATE_SPHERE="водоснабжения","",IF(TEMPLATE_SPHERE="водоотведения","Всего",""))</f>
        <v>Всего</v>
      </c>
      <c r="I18" s="580"/>
      <c r="J18" s="177"/>
      <c r="K18" s="129"/>
      <c r="L18" s="129"/>
      <c r="M18" s="129"/>
      <c r="N18" s="129"/>
      <c r="O18" s="129"/>
      <c r="P18" s="129"/>
      <c r="Q18" s="129"/>
      <c r="R18" s="129"/>
      <c r="S18" s="129"/>
      <c r="T18" s="129"/>
      <c r="U18" s="129"/>
      <c r="V18" s="129"/>
      <c r="W18" s="129"/>
      <c r="X18" s="129"/>
      <c r="Y18" s="398"/>
      <c r="Z18" s="398"/>
      <c r="AA18" s="398"/>
      <c r="AB18" s="398"/>
      <c r="AC18" s="398"/>
      <c r="AD18" s="398"/>
      <c r="AE18" s="271"/>
      <c r="AF18" s="400"/>
      <c r="AG18" s="400"/>
      <c r="AH18" s="271"/>
      <c r="AI18" s="271"/>
      <c r="AJ18" s="271"/>
      <c r="AK18" s="400"/>
      <c r="AL18" s="400"/>
      <c r="AM18" s="271"/>
      <c r="AN18" s="400"/>
      <c r="AO18" s="400"/>
      <c r="AP18" s="271"/>
      <c r="AQ18" s="400"/>
      <c r="AR18" s="400"/>
      <c r="AS18" s="271"/>
      <c r="AT18" s="400"/>
      <c r="AU18" s="400"/>
      <c r="AV18" s="478"/>
      <c r="AW18" s="400"/>
      <c r="AX18" s="400"/>
      <c r="AY18" s="271"/>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480"/>
      <c r="DG18" s="480"/>
      <c r="DH18" s="480"/>
      <c r="DI18" s="480"/>
      <c r="DJ18" s="480"/>
      <c r="DK18" s="480"/>
      <c r="DL18" s="480"/>
      <c r="DM18" s="480"/>
      <c r="DN18" s="480"/>
      <c r="DO18" s="480"/>
      <c r="DP18" s="480"/>
      <c r="DQ18" s="480"/>
      <c r="DR18"/>
      <c r="DS18"/>
      <c r="DT18"/>
      <c r="DU18"/>
      <c r="DV18"/>
    </row>
    <row r="19" spans="1:126" ht="24" customHeight="1">
      <c r="A19" s="181"/>
      <c r="B19" s="181"/>
      <c r="C19" s="181"/>
      <c r="E19" s="184"/>
      <c r="F19" s="954"/>
      <c r="G19" s="957"/>
      <c r="H19" s="107" t="str">
        <f>IF(TEMPLATE_SPHERE="водоснабжения","Вода питьевого качества","")</f>
        <v/>
      </c>
      <c r="I19" s="580"/>
      <c r="J19" s="177"/>
      <c r="K19" s="129"/>
      <c r="L19" s="129"/>
      <c r="M19" s="129"/>
      <c r="N19" s="129"/>
      <c r="O19" s="129"/>
      <c r="P19" s="129"/>
      <c r="Q19" s="129"/>
      <c r="R19" s="129"/>
      <c r="S19" s="129"/>
      <c r="T19" s="129"/>
      <c r="U19" s="129"/>
      <c r="V19" s="129"/>
      <c r="W19" s="129"/>
      <c r="X19" s="129"/>
      <c r="Y19" s="398">
        <f>IF((AS19+AV19+AY19)=0,0,(AA19*(AS19+AV19+AY19)+AH19*IF(AJ19&gt;AS19+AV19+AY19,AS19+AV19+AY19,AJ19))/(AS19+AV19+AY19))</f>
        <v>0</v>
      </c>
      <c r="Z19" s="398">
        <f>IF((AS19+AV19+AY19)=0,0,(AB19*(AS19+AV19+AY19)+AI19*IF(AJ19&gt;AS19+AV19+AY19,AS19+AV19+AY19,AJ19))/(AS19+AV19+AY19))</f>
        <v>0</v>
      </c>
      <c r="AA19" s="398">
        <f>IF((AS19+AV19+AY19)=0,0,(AQ19*AS19+AT19*AV19+AW19*AY19)/(AS19+AV19+AY19))</f>
        <v>0</v>
      </c>
      <c r="AB19" s="398">
        <f>IF((AS19+AV19+AY19)=0,0,(AR19*AS19+AU19*AV19+AX19*AY19)/(AS19+AV19+AY19))</f>
        <v>0</v>
      </c>
      <c r="AC19" s="398"/>
      <c r="AD19" s="398"/>
      <c r="AE19" s="271">
        <f>AM19+AP19+AS19+AV19+AY19</f>
        <v>0</v>
      </c>
      <c r="AF19" s="400"/>
      <c r="AG19" s="400"/>
      <c r="AH19" s="271">
        <f>IF(AJ19&gt;0,SUMIF($H$21:$H$22,$H19,DR$21:DR$22)/AJ19,0)</f>
        <v>0</v>
      </c>
      <c r="AI19" s="271">
        <f>IF(AJ19&gt;0,SUMIF($H$21:$H$22,$H19,DS$21:DS$22)/AJ19,0)</f>
        <v>0</v>
      </c>
      <c r="AJ19" s="271">
        <f>SUMIF($H$21:$H$22,$H19,AJ$21:AJ$22)</f>
        <v>0</v>
      </c>
      <c r="AK19" s="400">
        <f>IF(AM19&gt;0,INDEX($DF19:$DQ19,MATCH(AK$17,$DF$17:$DQ$17))/AM19,0)</f>
        <v>0</v>
      </c>
      <c r="AL19" s="400">
        <f>IF(AM19&gt;0,INDEX($DF19:$DQ19,MATCH(AL$17,$DF$17:$DQ$17))/AM19,0)</f>
        <v>0</v>
      </c>
      <c r="AM19" s="271">
        <f>SUMIF($H$21:$H$22,$H19,AM$21:AM$22)</f>
        <v>0</v>
      </c>
      <c r="AN19" s="400">
        <f>IF(AP19&gt;0,INDEX($DF19:$DQ19,MATCH(AN$17,$DF$17:$DQ$17))/AP19,0)</f>
        <v>0</v>
      </c>
      <c r="AO19" s="400">
        <f>IF(AP19&gt;0,INDEX($DF19:$DQ19,MATCH(AO$17,$DF$17:$DQ$17))/AP19,0)</f>
        <v>0</v>
      </c>
      <c r="AP19" s="271">
        <f>SUMIF($H$21:$H$22,$H19,AP$21:AP$22)</f>
        <v>0</v>
      </c>
      <c r="AQ19" s="400">
        <f>IF(AS19&gt;0,INDEX($DF19:$DQ19,MATCH(AQ$17,$DF$17:$DQ$17))/AS19,0)</f>
        <v>0</v>
      </c>
      <c r="AR19" s="400">
        <f>IF(AS19&gt;0,INDEX($DF19:$DQ19,MATCH(AR$17,$DF$17:$DQ$17))/AS19,0)</f>
        <v>0</v>
      </c>
      <c r="AS19" s="271">
        <f>SUMIF($H$21:$H$22,$H19,AS$21:AS$22)</f>
        <v>0</v>
      </c>
      <c r="AT19" s="400">
        <f>IF(AV19&gt;0,INDEX($DF19:$DQ19,MATCH(AT$17,$DF$17:$DQ$17))/AV19,0)</f>
        <v>0</v>
      </c>
      <c r="AU19" s="400">
        <f>IF(AV19&gt;0,INDEX($DF19:$DQ19,MATCH(AU$17,$DF$17:$DQ$17))/AV19,0)</f>
        <v>0</v>
      </c>
      <c r="AV19" s="271">
        <f>SUMIF($H$21:$H$22,$H19,AV$21:AV$22)</f>
        <v>0</v>
      </c>
      <c r="AW19" s="400">
        <f>IF(AY19&gt;0,INDEX($DF19:$DQ19,MATCH(AW$17,$DF$17:$DQ$17))/AY19,0)</f>
        <v>0</v>
      </c>
      <c r="AX19" s="400">
        <f>IF(AY19&gt;0,INDEX($DF19:$DQ19,MATCH(AX$17,$DF$17:$DQ$17))/AY19,0)</f>
        <v>0</v>
      </c>
      <c r="AY19" s="271">
        <f>SUMIF($H$21:$H$22,$H19,AY$21:AY$22)</f>
        <v>0</v>
      </c>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647">
        <f>AS19+AV19+AY19</f>
        <v>0</v>
      </c>
      <c r="DF19" s="480">
        <f t="shared" ref="DF19:DS19" si="0">SUMIF($H21:$H22,$H19,DF21:DF22)</f>
        <v>0</v>
      </c>
      <c r="DG19" s="480">
        <f t="shared" si="0"/>
        <v>0</v>
      </c>
      <c r="DH19" s="480">
        <f t="shared" si="0"/>
        <v>0</v>
      </c>
      <c r="DI19" s="480">
        <f t="shared" si="0"/>
        <v>0</v>
      </c>
      <c r="DJ19" s="480">
        <f t="shared" si="0"/>
        <v>0</v>
      </c>
      <c r="DK19" s="480">
        <f t="shared" si="0"/>
        <v>0</v>
      </c>
      <c r="DL19" s="480">
        <f t="shared" si="0"/>
        <v>0</v>
      </c>
      <c r="DM19" s="480">
        <f t="shared" si="0"/>
        <v>0</v>
      </c>
      <c r="DN19" s="480">
        <f t="shared" si="0"/>
        <v>0</v>
      </c>
      <c r="DO19" s="480">
        <f t="shared" si="0"/>
        <v>0</v>
      </c>
      <c r="DP19" s="480">
        <f t="shared" si="0"/>
        <v>0</v>
      </c>
      <c r="DQ19" s="480">
        <f t="shared" si="0"/>
        <v>0</v>
      </c>
      <c r="DR19" s="480">
        <f t="shared" si="0"/>
        <v>0</v>
      </c>
      <c r="DS19" s="480">
        <f t="shared" si="0"/>
        <v>0</v>
      </c>
      <c r="DT19"/>
      <c r="DU19"/>
      <c r="DV19"/>
    </row>
    <row r="20" spans="1:126" ht="24" customHeight="1">
      <c r="A20" s="181"/>
      <c r="B20" s="181"/>
      <c r="C20" s="181"/>
      <c r="E20" s="184"/>
      <c r="F20" s="955"/>
      <c r="G20" s="958"/>
      <c r="H20" s="107" t="str">
        <f>IF(TEMPLATE_SPHERE="водоснабжения","Вода технического качества","")</f>
        <v/>
      </c>
      <c r="I20" s="580"/>
      <c r="J20" s="177"/>
      <c r="K20" s="129"/>
      <c r="L20" s="129"/>
      <c r="M20" s="129"/>
      <c r="N20" s="129"/>
      <c r="O20" s="129"/>
      <c r="P20" s="129"/>
      <c r="Q20" s="129"/>
      <c r="R20" s="129"/>
      <c r="S20" s="129"/>
      <c r="T20" s="129"/>
      <c r="U20" s="129"/>
      <c r="V20" s="129"/>
      <c r="W20" s="129"/>
      <c r="X20" s="129"/>
      <c r="Y20" s="398">
        <f>IF((AS20+AV20+AY20)=0,0,(AA20*(AS20+AV20+AY20)+AH20*IF(AJ20&gt;AS20+AV20+AY20,AS20+AV20+AY20,AJ20))/(AS20+AV20+AY20))</f>
        <v>0</v>
      </c>
      <c r="Z20" s="398">
        <f>IF((AS20+AV20+AY20)=0,0,(AB20*(AS20+AV20+AY20)+AI20*IF(AJ20&gt;AS20+AV20+AY20,AS20+AV20+AY20,AJ20))/(AS20+AV20+AY20))</f>
        <v>0</v>
      </c>
      <c r="AA20" s="398">
        <f>IF((AS20+AV20+AY20)=0,0,(AQ20*AS20+AT20*AV20+AW20*AY20)/(AS20+AV20+AY20))</f>
        <v>0</v>
      </c>
      <c r="AB20" s="398">
        <f>IF((AS20+AV20+AY20)=0,0,(AR20*AS20+AU20*AV20+AX20*AY20)/(AS20+AV20+AY20))</f>
        <v>0</v>
      </c>
      <c r="AC20" s="398"/>
      <c r="AD20" s="398"/>
      <c r="AE20" s="271">
        <f>AM20+AP20+AS20+AV20+AY20</f>
        <v>0</v>
      </c>
      <c r="AF20" s="400"/>
      <c r="AG20" s="400"/>
      <c r="AH20" s="271">
        <f>IF(AJ20&gt;0,SUMIF($H$21:$H$22,$H20,DR$21:DR$22)/AJ20,0)</f>
        <v>0</v>
      </c>
      <c r="AI20" s="271">
        <f>IF(AJ20&gt;0,SUMIF($H$21:$H$22,$H20,DS$21:DS$22)/AJ20,0)</f>
        <v>0</v>
      </c>
      <c r="AJ20" s="271">
        <f>SUMIF($H$21:$H$22,$H20,AJ$21:AJ$22)</f>
        <v>0</v>
      </c>
      <c r="AK20" s="400">
        <f>IF(AM20&gt;0,INDEX($DF20:$DQ20,MATCH(AK$17,$DF$17:$DQ$17))/AM20,0)</f>
        <v>0</v>
      </c>
      <c r="AL20" s="400">
        <f>IF(AM20&gt;0,INDEX($DF20:$DQ20,MATCH(AL$17,$DF$17:$DQ$17))/AM20,0)</f>
        <v>0</v>
      </c>
      <c r="AM20" s="271">
        <f>SUMIF($H$21:$H$22,$H20,AM$21:AM$22)</f>
        <v>0</v>
      </c>
      <c r="AN20" s="400">
        <f>IF(AP20&gt;0,INDEX($DF20:$DQ20,MATCH(AN$17,$DF$17:$DQ$17))/AP20,0)</f>
        <v>0</v>
      </c>
      <c r="AO20" s="400">
        <f>IF(AP20&gt;0,INDEX($DF20:$DQ20,MATCH(AO$17,$DF$17:$DQ$17))/AP20,0)</f>
        <v>0</v>
      </c>
      <c r="AP20" s="271">
        <f>SUMIF($H$21:$H$22,$H20,AP$21:AP$22)</f>
        <v>0</v>
      </c>
      <c r="AQ20" s="400">
        <f>IF(AS20&gt;0,INDEX($DF20:$DQ20,MATCH(AQ$17,$DF$17:$DQ$17))/AS20,0)</f>
        <v>0</v>
      </c>
      <c r="AR20" s="400">
        <f>IF(AS20&gt;0,INDEX($DF20:$DQ20,MATCH(AR$17,$DF$17:$DQ$17))/AS20,0)</f>
        <v>0</v>
      </c>
      <c r="AS20" s="271">
        <f>SUMIF($H$21:$H$22,$H20,AS$21:AS$22)</f>
        <v>0</v>
      </c>
      <c r="AT20" s="400">
        <f>IF(AV20&gt;0,INDEX($DF20:$DQ20,MATCH(AT$17,$DF$17:$DQ$17))/AV20,0)</f>
        <v>0</v>
      </c>
      <c r="AU20" s="400">
        <f>IF(AV20&gt;0,INDEX($DF20:$DQ20,MATCH(AU$17,$DF$17:$DQ$17))/AV20,0)</f>
        <v>0</v>
      </c>
      <c r="AV20" s="271">
        <f>SUMIF($H$21:$H$22,$H20,AV$21:AV$22)</f>
        <v>0</v>
      </c>
      <c r="AW20" s="400">
        <f>IF(AY20&gt;0,INDEX($DF20:$DQ20,MATCH(AW$17,$DF$17:$DQ$17))/AY20,0)</f>
        <v>0</v>
      </c>
      <c r="AX20" s="400">
        <f>IF(AY20&gt;0,INDEX($DF20:$DQ20,MATCH(AX$17,$DF$17:$DQ$17))/AY20,0)</f>
        <v>0</v>
      </c>
      <c r="AY20" s="271">
        <f>SUMIF($H$21:$H$22,$H20,AY$21:AY$22)</f>
        <v>0</v>
      </c>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647">
        <f>AS20+AV20+AY20</f>
        <v>0</v>
      </c>
      <c r="DF20" s="480">
        <f t="shared" ref="DF20:DS20" si="1">SUMIF($H21:$H22,$H20,DF21:DF22)</f>
        <v>0</v>
      </c>
      <c r="DG20" s="480">
        <f t="shared" si="1"/>
        <v>0</v>
      </c>
      <c r="DH20" s="480">
        <f t="shared" si="1"/>
        <v>0</v>
      </c>
      <c r="DI20" s="480">
        <f t="shared" si="1"/>
        <v>0</v>
      </c>
      <c r="DJ20" s="480">
        <f t="shared" si="1"/>
        <v>0</v>
      </c>
      <c r="DK20" s="480">
        <f t="shared" si="1"/>
        <v>0</v>
      </c>
      <c r="DL20" s="480">
        <f t="shared" si="1"/>
        <v>0</v>
      </c>
      <c r="DM20" s="480">
        <f t="shared" si="1"/>
        <v>0</v>
      </c>
      <c r="DN20" s="480">
        <f t="shared" si="1"/>
        <v>0</v>
      </c>
      <c r="DO20" s="480">
        <f t="shared" si="1"/>
        <v>0</v>
      </c>
      <c r="DP20" s="480">
        <f t="shared" si="1"/>
        <v>0</v>
      </c>
      <c r="DQ20" s="480">
        <f t="shared" si="1"/>
        <v>0</v>
      </c>
      <c r="DR20" s="480">
        <f t="shared" si="1"/>
        <v>0</v>
      </c>
      <c r="DS20" s="480">
        <f t="shared" si="1"/>
        <v>0</v>
      </c>
      <c r="DT20"/>
      <c r="DU20"/>
      <c r="DV20"/>
    </row>
    <row r="21" spans="1:126" ht="12" hidden="1" customHeight="1">
      <c r="A21" s="181"/>
      <c r="B21" s="181"/>
      <c r="C21" s="181"/>
      <c r="E21" s="184"/>
      <c r="F21" s="186">
        <v>0</v>
      </c>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479"/>
      <c r="AX21" s="479"/>
      <c r="AY21" s="574"/>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R21"/>
      <c r="DS21"/>
      <c r="DT21"/>
      <c r="DU21"/>
      <c r="DV21"/>
    </row>
    <row r="22" spans="1:126" ht="0.75" customHeight="1">
      <c r="A22" s="181"/>
      <c r="B22" s="181"/>
      <c r="C22" s="181"/>
      <c r="E22" s="184"/>
      <c r="F22" s="110"/>
      <c r="G22" s="111" t="s">
        <v>720</v>
      </c>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3"/>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R22"/>
      <c r="DS22"/>
      <c r="DT22"/>
      <c r="DU22"/>
      <c r="DV22"/>
    </row>
    <row r="23" spans="1:126" ht="12" customHeight="1">
      <c r="A23" s="181"/>
      <c r="B23" s="181"/>
      <c r="C23" s="181"/>
      <c r="E23" s="184"/>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R23"/>
      <c r="DS23"/>
      <c r="DT23"/>
      <c r="DU23"/>
      <c r="DV23"/>
    </row>
    <row r="24" spans="1:126" ht="12" customHeight="1">
      <c r="F24" s="162"/>
      <c r="G24" s="162"/>
      <c r="H24" s="162"/>
      <c r="I24"/>
      <c r="J24"/>
      <c r="K24"/>
      <c r="L24"/>
      <c r="M24"/>
      <c r="N24"/>
      <c r="O24"/>
      <c r="P24"/>
      <c r="Q24"/>
      <c r="R24"/>
      <c r="S24"/>
      <c r="T24"/>
      <c r="U24"/>
      <c r="V24"/>
      <c r="W24"/>
      <c r="X24"/>
      <c r="Y24"/>
      <c r="Z24"/>
      <c r="AA24"/>
      <c r="AB24" s="162"/>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DR24"/>
      <c r="DS24"/>
      <c r="DT24"/>
      <c r="DU24"/>
      <c r="DV24"/>
    </row>
    <row r="25" spans="1:126">
      <c r="F25" s="162"/>
      <c r="G25" s="162"/>
      <c r="H25" s="162"/>
      <c r="I25"/>
      <c r="J25"/>
      <c r="K25"/>
      <c r="L25"/>
      <c r="M25"/>
      <c r="N25"/>
      <c r="O25"/>
      <c r="P25"/>
      <c r="Q25"/>
      <c r="R25"/>
      <c r="S25"/>
      <c r="T25"/>
      <c r="U25"/>
      <c r="V25"/>
      <c r="W25"/>
      <c r="X25"/>
      <c r="Y25"/>
      <c r="Z25"/>
      <c r="AA25"/>
      <c r="AB25" s="162"/>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DR25"/>
      <c r="DS25"/>
      <c r="DT25"/>
      <c r="DU25"/>
      <c r="DV25"/>
    </row>
    <row r="26" spans="1:126" ht="11.25" customHeight="1">
      <c r="F26" s="162"/>
      <c r="G26" s="162"/>
      <c r="H26" s="162"/>
      <c r="I26"/>
      <c r="J26"/>
      <c r="K26"/>
      <c r="L26"/>
      <c r="M26"/>
      <c r="N26"/>
      <c r="O26"/>
      <c r="P26"/>
      <c r="Q26"/>
      <c r="R26"/>
      <c r="S26"/>
      <c r="T26"/>
      <c r="U26"/>
      <c r="V26"/>
      <c r="W26"/>
      <c r="X26"/>
      <c r="Y26"/>
      <c r="Z26"/>
      <c r="AA26"/>
      <c r="AB26" s="162"/>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DR26"/>
      <c r="DS26"/>
      <c r="DT26"/>
      <c r="DU26"/>
      <c r="DV26"/>
    </row>
    <row r="27" spans="1:126" ht="11.25" customHeight="1">
      <c r="F27" s="162"/>
      <c r="G27" s="162"/>
      <c r="H27" s="162"/>
      <c r="I27"/>
      <c r="J27"/>
      <c r="K27"/>
      <c r="L27"/>
      <c r="M27"/>
      <c r="N27"/>
      <c r="O27"/>
      <c r="P27"/>
      <c r="Q27"/>
      <c r="R27"/>
      <c r="S27"/>
      <c r="T27"/>
      <c r="U27"/>
      <c r="V27"/>
      <c r="W27"/>
      <c r="X27"/>
      <c r="Y27"/>
      <c r="Z27"/>
      <c r="AA27"/>
      <c r="AB27" s="162"/>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DR27"/>
      <c r="DS27"/>
      <c r="DT27"/>
      <c r="DU27"/>
      <c r="DV27"/>
    </row>
    <row r="28" spans="1:126" ht="11.25" customHeight="1">
      <c r="F28" s="162"/>
      <c r="G28" s="162"/>
      <c r="H28" s="162"/>
      <c r="I28"/>
      <c r="J28"/>
      <c r="K28"/>
      <c r="L28"/>
      <c r="M28"/>
      <c r="N28"/>
      <c r="O28"/>
      <c r="P28"/>
      <c r="Q28"/>
      <c r="R28"/>
      <c r="S28"/>
      <c r="T28"/>
      <c r="U28"/>
      <c r="V28"/>
      <c r="W28"/>
      <c r="X28"/>
      <c r="Y28"/>
      <c r="Z28"/>
      <c r="AA28"/>
      <c r="AB28" s="162"/>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row>
    <row r="29" spans="1:126" ht="11.25" customHeight="1">
      <c r="F29" s="162"/>
      <c r="G29" s="162"/>
      <c r="H29" s="162"/>
      <c r="I29"/>
      <c r="J29"/>
      <c r="K29"/>
      <c r="L29"/>
      <c r="M29"/>
      <c r="N29"/>
      <c r="O29"/>
      <c r="P29"/>
      <c r="Q29"/>
      <c r="R29"/>
      <c r="S29"/>
      <c r="T29"/>
      <c r="U29"/>
      <c r="V29"/>
      <c r="W29"/>
      <c r="X29"/>
      <c r="Y29"/>
      <c r="Z29"/>
      <c r="AA29"/>
      <c r="AB29" s="162"/>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row>
    <row r="30" spans="1:126">
      <c r="I30"/>
      <c r="J30"/>
      <c r="K30"/>
      <c r="L30"/>
      <c r="M30"/>
      <c r="N30"/>
      <c r="O30"/>
      <c r="P30"/>
      <c r="Q30"/>
      <c r="R30"/>
      <c r="S30"/>
      <c r="T30"/>
      <c r="U30"/>
      <c r="V30"/>
      <c r="W30"/>
      <c r="X30"/>
      <c r="Y30"/>
      <c r="Z30"/>
      <c r="AA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row>
    <row r="31" spans="1:126">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row>
  </sheetData>
  <sheetProtection password="FA9C" sheet="1" objects="1" scenarios="1" formatColumns="0" formatRows="0"/>
  <mergeCells count="58">
    <mergeCell ref="F18:F20"/>
    <mergeCell ref="G18:G20"/>
    <mergeCell ref="F14:F16"/>
    <mergeCell ref="G14:G16"/>
    <mergeCell ref="K14:M14"/>
    <mergeCell ref="T15:T16"/>
    <mergeCell ref="H14:I16"/>
    <mergeCell ref="J14:J16"/>
    <mergeCell ref="O14:O16"/>
    <mergeCell ref="T14:U14"/>
    <mergeCell ref="K15:K16"/>
    <mergeCell ref="L15:L16"/>
    <mergeCell ref="M15:M16"/>
    <mergeCell ref="U15:U16"/>
    <mergeCell ref="S15:S16"/>
    <mergeCell ref="DR17:DS17"/>
    <mergeCell ref="Q15:Q16"/>
    <mergeCell ref="AC14:AD15"/>
    <mergeCell ref="AN15:AO15"/>
    <mergeCell ref="Y14:Z15"/>
    <mergeCell ref="AY15:AY16"/>
    <mergeCell ref="AT14:AV14"/>
    <mergeCell ref="V14:W14"/>
    <mergeCell ref="AQ15:AR15"/>
    <mergeCell ref="AS15:AS16"/>
    <mergeCell ref="AT15:AU15"/>
    <mergeCell ref="R15:R16"/>
    <mergeCell ref="AA14:AB15"/>
    <mergeCell ref="P14:Q14"/>
    <mergeCell ref="X14:X16"/>
    <mergeCell ref="AY8:AZ8"/>
    <mergeCell ref="K13:X13"/>
    <mergeCell ref="N14:N16"/>
    <mergeCell ref="K8:AE8"/>
    <mergeCell ref="AK8:AL8"/>
    <mergeCell ref="AW8:AX8"/>
    <mergeCell ref="AU8:AV8"/>
    <mergeCell ref="AP15:AP16"/>
    <mergeCell ref="V15:V16"/>
    <mergeCell ref="AO8:AP8"/>
    <mergeCell ref="W15:W16"/>
    <mergeCell ref="AW14:AY14"/>
    <mergeCell ref="AN14:AP14"/>
    <mergeCell ref="AV15:AV16"/>
    <mergeCell ref="AE14:AE16"/>
    <mergeCell ref="AW15:AX15"/>
    <mergeCell ref="AQ8:AR8"/>
    <mergeCell ref="AS8:AT8"/>
    <mergeCell ref="P15:P16"/>
    <mergeCell ref="R14:S14"/>
    <mergeCell ref="AK14:AM14"/>
    <mergeCell ref="AK15:AL15"/>
    <mergeCell ref="AM15:AM16"/>
    <mergeCell ref="AH14:AI15"/>
    <mergeCell ref="AM8:AN8"/>
    <mergeCell ref="AQ14:AS14"/>
    <mergeCell ref="AJ14:AJ16"/>
    <mergeCell ref="AF14:AG15"/>
  </mergeCells>
  <phoneticPr fontId="8" type="noConversion"/>
  <hyperlinks>
    <hyperlink ref="G8" location="'ТМ1 01.01 - 30.06'!A1" tooltip="Скопировать данные на листы других периодов" display="Скопировать данные на листы других периодов"/>
    <hyperlink ref="K11" location="'ТМ1 01.01 - 30.06'!A1" tooltip="Отобразить / Скрыть блок" display="-"/>
  </hyperlinks>
  <pageMargins left="0.37" right="0.35" top="1" bottom="1" header="0.5" footer="0.5"/>
  <pageSetup paperSize="9" scale="37" orientation="landscape" horizontalDpi="4294967292" verticalDpi="4294967292"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sheetPr codeName="VSNA_TM1_PERIOD2">
    <tabColor rgb="FF92D050"/>
    <pageSetUpPr fitToPage="1"/>
  </sheetPr>
  <dimension ref="A1:EV31"/>
  <sheetViews>
    <sheetView showGridLines="0" topLeftCell="E3" workbookViewId="0">
      <pane xSplit="5" ySplit="19" topLeftCell="J22" activePane="bottomRight" state="frozen"/>
      <selection activeCell="Y19" sqref="Y19:Z20"/>
      <selection pane="topRight" activeCell="Y19" sqref="Y19:Z20"/>
      <selection pane="bottomLeft" activeCell="Y19" sqref="Y19:Z20"/>
      <selection pane="bottomRight"/>
    </sheetView>
  </sheetViews>
  <sheetFormatPr defaultRowHeight="11.25"/>
  <cols>
    <col min="1" max="3" width="5.7109375" style="162" hidden="1" customWidth="1"/>
    <col min="4" max="4" width="3.7109375" style="159" hidden="1" customWidth="1"/>
    <col min="5" max="5" width="5.7109375" style="179" customWidth="1"/>
    <col min="6" max="6" width="4.7109375" style="39" customWidth="1"/>
    <col min="7" max="7" width="40.7109375" style="39" customWidth="1"/>
    <col min="8" max="8" width="27.7109375" style="39" customWidth="1"/>
    <col min="9" max="9" width="0.140625" style="39" customWidth="1"/>
    <col min="10" max="10" width="20.7109375" style="39" customWidth="1"/>
    <col min="11" max="12" width="10.7109375" style="39" hidden="1" customWidth="1"/>
    <col min="13" max="14" width="12.7109375" style="39" hidden="1" customWidth="1"/>
    <col min="15" max="15" width="0.140625" style="39" hidden="1" customWidth="1"/>
    <col min="16" max="19" width="12.7109375" style="39" hidden="1" customWidth="1"/>
    <col min="20" max="21" width="0.140625" style="39" hidden="1" customWidth="1"/>
    <col min="22" max="23" width="12.7109375" style="39" hidden="1" customWidth="1"/>
    <col min="24" max="24" width="10.7109375" style="39" hidden="1" customWidth="1"/>
    <col min="25" max="28" width="9.7109375" style="39" customWidth="1"/>
    <col min="29" max="30" width="0.140625" style="39" customWidth="1"/>
    <col min="31" max="31" width="17.7109375" style="39" customWidth="1"/>
    <col min="32" max="33" width="0.140625" style="39" customWidth="1"/>
    <col min="34" max="38" width="9.7109375" style="39" customWidth="1"/>
    <col min="39" max="39" width="15.7109375" style="39" customWidth="1"/>
    <col min="40" max="41" width="9.7109375" style="39" customWidth="1"/>
    <col min="42" max="42" width="15.7109375" style="39" customWidth="1"/>
    <col min="43" max="44" width="9.7109375" style="39" customWidth="1"/>
    <col min="45" max="45" width="15.7109375" style="39" customWidth="1"/>
    <col min="46" max="47" width="9.7109375" style="39" customWidth="1"/>
    <col min="48" max="48" width="15.7109375" style="39" customWidth="1"/>
    <col min="49" max="50" width="9.7109375" style="39" customWidth="1"/>
    <col min="51" max="51" width="15.7109375" style="39" customWidth="1"/>
    <col min="52" max="108" width="1.7109375" style="162" customWidth="1"/>
    <col min="109" max="109" width="8.7109375" style="162" hidden="1" customWidth="1"/>
    <col min="110" max="123" width="6.7109375" style="162" hidden="1" customWidth="1"/>
    <col min="124" max="126" width="6.7109375" style="162" customWidth="1"/>
    <col min="127" max="127" width="2.7109375" style="162" customWidth="1"/>
    <col min="128" max="152" width="9.140625" style="162"/>
    <col min="153" max="16384" width="9.140625" style="39"/>
  </cols>
  <sheetData>
    <row r="1" spans="1:126" ht="12" hidden="1" customHeight="1">
      <c r="A1" s="178"/>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row>
    <row r="2" spans="1:126" ht="12" hidden="1" customHeight="1">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row>
    <row r="3" spans="1:126" ht="12" customHeight="1">
      <c r="F3" s="637"/>
      <c r="G3" s="123" t="str">
        <f>"Необходимо указывать " &amp; IF(TARIFF_SETUP_METHOD_CODE="BY_PSEUDO_YEARS","общегодовые значения","значения по периодам")</f>
        <v>Необходимо указывать значения по периодам</v>
      </c>
      <c r="H3" s="616" t="s">
        <v>2497</v>
      </c>
      <c r="I3" s="637">
        <f>IF(TARIFF_SETUP_METHOD_CODE="BY_PSEUDO_YEARS",12,IF(TEMPLATE_CLAIM="P",6,2))</f>
        <v>2</v>
      </c>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row>
    <row r="4" spans="1:126" ht="3" customHeight="1">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row>
    <row r="5" spans="1:126" s="419" customFormat="1" ht="18" customHeight="1">
      <c r="D5" s="420"/>
      <c r="E5" s="421"/>
      <c r="F5" s="422" t="str">
        <f>"Тарифы организаций " &amp; TEMPLATE_SPHERE &amp; " на услуги по передаче (транспортировке) по муниципальному образованию - " &amp; IF(mo="","Не определено",mo)</f>
        <v>Тарифы организаций водоотведения на услуги по передаче (транспортировке) по муниципальному образованию - Село Булава</v>
      </c>
      <c r="G5" s="416"/>
      <c r="H5" s="416"/>
      <c r="I5" s="416"/>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21"/>
      <c r="BA5" s="421"/>
      <c r="BB5" s="421"/>
      <c r="BC5" s="421"/>
      <c r="BD5" s="421"/>
      <c r="BE5" s="421"/>
      <c r="BF5" s="421"/>
      <c r="BG5" s="421"/>
      <c r="BH5" s="421"/>
      <c r="BI5" s="421"/>
      <c r="BJ5" s="421"/>
      <c r="BK5" s="421"/>
      <c r="BL5" s="421"/>
      <c r="BM5" s="421"/>
      <c r="BN5" s="421"/>
      <c r="BO5" s="421"/>
      <c r="BP5" s="421"/>
      <c r="BQ5" s="421"/>
      <c r="BR5" s="421"/>
      <c r="BS5" s="421"/>
      <c r="BT5" s="421"/>
      <c r="BU5" s="421"/>
      <c r="BV5" s="421"/>
      <c r="BW5" s="421"/>
      <c r="BX5" s="421"/>
      <c r="BY5" s="421"/>
      <c r="BZ5" s="421"/>
      <c r="CA5" s="421"/>
      <c r="CB5" s="421"/>
      <c r="CC5" s="421"/>
      <c r="CD5" s="421"/>
      <c r="CE5" s="421"/>
      <c r="CF5" s="421"/>
      <c r="CG5" s="421"/>
      <c r="CH5" s="421"/>
      <c r="CI5" s="421"/>
      <c r="CJ5" s="421"/>
      <c r="CK5" s="421"/>
      <c r="CL5" s="421"/>
      <c r="CM5" s="421"/>
      <c r="CN5" s="421"/>
      <c r="CO5" s="421"/>
      <c r="CP5" s="421"/>
      <c r="CQ5" s="421"/>
      <c r="CR5" s="421"/>
      <c r="CS5" s="421"/>
      <c r="CT5" s="421"/>
      <c r="CU5" s="421"/>
      <c r="CV5" s="421"/>
      <c r="CW5" s="421"/>
      <c r="CX5" s="421"/>
      <c r="CY5" s="421"/>
      <c r="CZ5" s="421"/>
      <c r="DA5" s="421"/>
      <c r="DB5" s="421"/>
      <c r="DC5" s="421"/>
      <c r="DD5" s="421"/>
      <c r="DE5" s="421"/>
      <c r="DF5" s="421"/>
      <c r="DG5" s="421"/>
    </row>
    <row r="6" spans="1:126" ht="2.25" customHeight="1">
      <c r="E6" s="184"/>
      <c r="F6" s="185"/>
      <c r="G6" s="162"/>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B6" s="185"/>
      <c r="DC6" s="185"/>
      <c r="DD6" s="185"/>
      <c r="DE6" s="185"/>
      <c r="DF6" s="185"/>
      <c r="DG6" s="185"/>
    </row>
    <row r="7" spans="1:126" ht="12" customHeight="1">
      <c r="E7" s="184"/>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row>
    <row r="8" spans="1:126" s="164" customFormat="1" ht="12" customHeight="1">
      <c r="D8" s="165"/>
      <c r="E8" s="166"/>
      <c r="F8" s="158"/>
      <c r="G8" s="188"/>
      <c r="H8" s="180"/>
      <c r="I8" s="195"/>
      <c r="J8" s="180"/>
      <c r="K8" s="921"/>
      <c r="L8" s="921"/>
      <c r="M8" s="921"/>
      <c r="N8" s="921"/>
      <c r="O8" s="921"/>
      <c r="P8" s="921"/>
      <c r="Q8" s="921"/>
      <c r="R8" s="921"/>
      <c r="S8" s="921"/>
      <c r="T8" s="921"/>
      <c r="U8" s="921"/>
      <c r="V8" s="921"/>
      <c r="W8" s="921"/>
      <c r="X8" s="921"/>
      <c r="Y8" s="921"/>
      <c r="Z8" s="921"/>
      <c r="AA8" s="921"/>
      <c r="AB8" s="921"/>
      <c r="AC8" s="921"/>
      <c r="AD8" s="921"/>
      <c r="AE8" s="921"/>
      <c r="AF8" s="158"/>
      <c r="AG8" s="158"/>
      <c r="AH8" s="158"/>
      <c r="AI8" s="158"/>
      <c r="AJ8" s="158"/>
      <c r="AK8" s="921"/>
      <c r="AL8" s="921"/>
      <c r="AM8" s="921"/>
      <c r="AN8" s="921"/>
      <c r="AO8" s="921"/>
      <c r="AP8" s="921"/>
      <c r="AQ8" s="921"/>
      <c r="AR8" s="921"/>
      <c r="AS8" s="921"/>
      <c r="AT8" s="921"/>
      <c r="AU8" s="921"/>
      <c r="AV8" s="921"/>
      <c r="AW8" s="921"/>
      <c r="AX8" s="921"/>
      <c r="AY8" s="921"/>
      <c r="AZ8" s="921"/>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row>
    <row r="9" spans="1:126" customFormat="1" ht="12" hidden="1" customHeight="1"/>
    <row r="10" spans="1:126" customFormat="1" ht="12" hidden="1" customHeight="1"/>
    <row r="11" spans="1:126" customFormat="1" ht="12" customHeight="1">
      <c r="K11" s="444" t="s">
        <v>652</v>
      </c>
    </row>
    <row r="12" spans="1:126" customFormat="1" ht="12" hidden="1" customHeight="1"/>
    <row r="13" spans="1:126" s="164" customFormat="1" ht="12" customHeight="1">
      <c r="D13" s="165"/>
      <c r="E13" s="166"/>
      <c r="F13" s="158"/>
      <c r="G13" s="167"/>
      <c r="H13" s="180"/>
      <c r="J13" s="120"/>
      <c r="K13" s="880" t="s">
        <v>2863</v>
      </c>
      <c r="L13" s="881"/>
      <c r="M13" s="881"/>
      <c r="N13" s="881"/>
      <c r="O13" s="881"/>
      <c r="P13" s="881"/>
      <c r="Q13" s="881"/>
      <c r="R13" s="881"/>
      <c r="S13" s="881"/>
      <c r="T13" s="881"/>
      <c r="U13" s="881"/>
      <c r="V13" s="881"/>
      <c r="W13" s="881"/>
      <c r="X13" s="882"/>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row>
    <row r="14" spans="1:126" ht="27" customHeight="1">
      <c r="E14" s="184"/>
      <c r="F14" s="914" t="s">
        <v>641</v>
      </c>
      <c r="G14" s="914" t="s">
        <v>735</v>
      </c>
      <c r="H14" s="854" t="str">
        <f>IF(CALC_IDENTIFIER="","",CALC_IDENTIFIER)</f>
        <v/>
      </c>
      <c r="I14" s="855"/>
      <c r="J14" s="914" t="s">
        <v>626</v>
      </c>
      <c r="K14" s="944" t="s">
        <v>2584</v>
      </c>
      <c r="L14" s="950"/>
      <c r="M14" s="945"/>
      <c r="N14" s="803" t="s">
        <v>2569</v>
      </c>
      <c r="O14" s="803"/>
      <c r="P14" s="944" t="s">
        <v>2570</v>
      </c>
      <c r="Q14" s="945"/>
      <c r="R14" s="944" t="s">
        <v>2862</v>
      </c>
      <c r="S14" s="945"/>
      <c r="T14" s="944"/>
      <c r="U14" s="945"/>
      <c r="V14" s="944" t="s">
        <v>2571</v>
      </c>
      <c r="W14" s="945"/>
      <c r="X14" s="803" t="s">
        <v>2572</v>
      </c>
      <c r="Y14" s="828" t="str">
        <f>"Средневзвешенный тариф на услуги по передаче (транспортировке) " &amp; RESOURCE_IDENTIFIER &amp; " с учётом надбавки, " &amp; IF(TRANSMISSION_TARIFF="","?",TRANSMISSION_TARIFF)</f>
        <v>Средневзвешенный тариф на услуги по передаче (транспортировке) стоков с учётом надбавки, руб/куб.м</v>
      </c>
      <c r="Z14" s="828"/>
      <c r="AA14" s="828" t="str">
        <f>"Средневзвешенный тариф на услуги по передаче (транспортировке) " &amp; RESOURCE_IDENTIFIER &amp; ", " &amp; IF(TRANSMISSION_TARIFF="","?",TRANSMISSION_TARIFF)</f>
        <v>Средневзвешенный тариф на услуги по передаче (транспортировке) стоков, руб/куб.м</v>
      </c>
      <c r="AB14" s="828"/>
      <c r="AC14" s="828"/>
      <c r="AD14" s="828"/>
      <c r="AE14" s="879" t="str">
        <f>"Объём " &amp; IF(RESOURCE_IDENTIFIER="стоков","перекачиваемых " &amp; RESOURCE_IDENTIFIER,"передаваемой " &amp; RESOURCE_IDENTIFIER) &amp; " при транспортировке, "&amp; IF(TRANSMISSION_TARIFF="руб/Гкал","Гкал",IF(TRANSMISSION_TARIFF="руб/Гкал*час в мес","Гкал*час в мес",IF(TRANSMISSION_TARIFF="руб/куб.м","куб.м","(размерность не указана)")))</f>
        <v>Объём перекачиваемых стоков при транспортировке, куб.м</v>
      </c>
      <c r="AF14" s="828"/>
      <c r="AG14" s="828"/>
      <c r="AH14" s="828" t="str">
        <f>"Надбавка к тарифу, " &amp; IF(TRANSMISSION_TARIFF="","?",TRANSMISSION_TARIFF)</f>
        <v>Надбавка к тарифу, руб/куб.м</v>
      </c>
      <c r="AI14" s="828"/>
      <c r="AJ14" s="828" t="str">
        <f>"Объём, на который расчитана надбавка, " &amp; IF(TRANSMISSION_TARIFF="руб/Гкал","Гкал",IF(TRANSMISSION_TARIFF="руб/Гкал*час в мес","Гкал*час в мес",IF(TRANSMISSION_TARIFF="руб/куб.м","куб.м","(размерность не указана)")))</f>
        <v>Объём, на который расчитана надбавка, куб.м</v>
      </c>
      <c r="AK14" s="828" t="s">
        <v>3154</v>
      </c>
      <c r="AL14" s="828"/>
      <c r="AM14" s="828"/>
      <c r="AN14" s="828" t="s">
        <v>424</v>
      </c>
      <c r="AO14" s="828"/>
      <c r="AP14" s="828"/>
      <c r="AQ14" s="828" t="s">
        <v>3155</v>
      </c>
      <c r="AR14" s="828"/>
      <c r="AS14" s="828"/>
      <c r="AT14" s="828" t="s">
        <v>3156</v>
      </c>
      <c r="AU14" s="828"/>
      <c r="AV14" s="878"/>
      <c r="AW14" s="828" t="s">
        <v>3157</v>
      </c>
      <c r="AX14" s="828"/>
      <c r="AY14" s="828"/>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row>
    <row r="15" spans="1:126" ht="69" customHeight="1">
      <c r="E15" s="184"/>
      <c r="F15" s="951"/>
      <c r="G15" s="951"/>
      <c r="H15" s="856"/>
      <c r="I15" s="857"/>
      <c r="J15" s="951"/>
      <c r="K15" s="803" t="s">
        <v>2581</v>
      </c>
      <c r="L15" s="803" t="s">
        <v>2582</v>
      </c>
      <c r="M15" s="802" t="s">
        <v>2583</v>
      </c>
      <c r="N15" s="860"/>
      <c r="O15" s="860"/>
      <c r="P15" s="803" t="s">
        <v>2573</v>
      </c>
      <c r="Q15" s="803" t="s">
        <v>2574</v>
      </c>
      <c r="R15" s="803" t="s">
        <v>2573</v>
      </c>
      <c r="S15" s="803" t="s">
        <v>2574</v>
      </c>
      <c r="T15" s="803"/>
      <c r="U15" s="803"/>
      <c r="V15" s="803" t="s">
        <v>2575</v>
      </c>
      <c r="W15" s="803" t="s">
        <v>2576</v>
      </c>
      <c r="X15" s="860"/>
      <c r="Y15" s="828"/>
      <c r="Z15" s="828"/>
      <c r="AA15" s="828"/>
      <c r="AB15" s="828"/>
      <c r="AC15" s="828"/>
      <c r="AD15" s="828"/>
      <c r="AE15" s="879"/>
      <c r="AF15" s="828"/>
      <c r="AG15" s="828"/>
      <c r="AH15" s="828"/>
      <c r="AI15" s="828"/>
      <c r="AJ15" s="828"/>
      <c r="AK15" s="828" t="str">
        <f>"Тариф, " &amp; IF(TRANSMISSION_TARIFF="","?",TRANSMISSION_TARIFF)</f>
        <v>Тариф, руб/куб.м</v>
      </c>
      <c r="AL15" s="828"/>
      <c r="AM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N15" s="828" t="str">
        <f>"Тариф, " &amp; IF(TRANSMISSION_TARIFF="","?",TRANSMISSION_TARIFF)</f>
        <v>Тариф, руб/куб.м</v>
      </c>
      <c r="AO15" s="828"/>
      <c r="AP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Q15" s="828" t="str">
        <f>"Тариф, " &amp; IF(TRANSMISSION_TARIFF="","?",TRANSMISSION_TARIFF)</f>
        <v>Тариф, руб/куб.м</v>
      </c>
      <c r="AR15" s="828"/>
      <c r="AS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T15" s="828" t="str">
        <f>"Тариф, " &amp; IF(TRANSMISSION_TARIFF="","?",TRANSMISSION_TARIFF)</f>
        <v>Тариф, руб/куб.м</v>
      </c>
      <c r="AU15" s="828"/>
      <c r="AV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W15" s="828" t="str">
        <f>"Тариф, " &amp; IF(TRANSMISSION_TARIFF="","?",TRANSMISSION_TARIFF)</f>
        <v>Тариф, руб/куб.м</v>
      </c>
      <c r="AX15" s="828"/>
      <c r="AY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R15"/>
      <c r="DS15"/>
      <c r="DT15"/>
      <c r="DU15"/>
      <c r="DV15"/>
    </row>
    <row r="16" spans="1:126" ht="18" customHeight="1">
      <c r="E16" s="184"/>
      <c r="F16" s="952"/>
      <c r="G16" s="952"/>
      <c r="H16" s="858"/>
      <c r="I16" s="859"/>
      <c r="J16" s="952"/>
      <c r="K16" s="826"/>
      <c r="L16" s="826"/>
      <c r="M16" s="802"/>
      <c r="N16" s="826"/>
      <c r="O16" s="826"/>
      <c r="P16" s="826"/>
      <c r="Q16" s="826"/>
      <c r="R16" s="826"/>
      <c r="S16" s="826"/>
      <c r="T16" s="826"/>
      <c r="U16" s="826"/>
      <c r="V16" s="826"/>
      <c r="W16" s="826"/>
      <c r="X16" s="826"/>
      <c r="Y16" s="193" t="s">
        <v>627</v>
      </c>
      <c r="Z16" s="193" t="s">
        <v>628</v>
      </c>
      <c r="AA16" s="128" t="s">
        <v>627</v>
      </c>
      <c r="AB16" s="128" t="s">
        <v>628</v>
      </c>
      <c r="AC16" s="128"/>
      <c r="AD16" s="128"/>
      <c r="AE16" s="879"/>
      <c r="AF16" s="128"/>
      <c r="AG16" s="128"/>
      <c r="AH16" s="193" t="s">
        <v>627</v>
      </c>
      <c r="AI16" s="193" t="s">
        <v>628</v>
      </c>
      <c r="AJ16" s="828"/>
      <c r="AK16" s="128" t="s">
        <v>627</v>
      </c>
      <c r="AL16" s="128" t="s">
        <v>628</v>
      </c>
      <c r="AM16" s="831"/>
      <c r="AN16" s="128" t="s">
        <v>627</v>
      </c>
      <c r="AO16" s="128" t="s">
        <v>628</v>
      </c>
      <c r="AP16" s="831"/>
      <c r="AQ16" s="128" t="s">
        <v>627</v>
      </c>
      <c r="AR16" s="128" t="s">
        <v>628</v>
      </c>
      <c r="AS16" s="831"/>
      <c r="AT16" s="128" t="s">
        <v>627</v>
      </c>
      <c r="AU16" s="128" t="s">
        <v>628</v>
      </c>
      <c r="AV16" s="831"/>
      <c r="AW16" s="128" t="s">
        <v>627</v>
      </c>
      <c r="AX16" s="128" t="s">
        <v>628</v>
      </c>
      <c r="AY16" s="831"/>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c r="DG16"/>
      <c r="DH16"/>
      <c r="DI16"/>
      <c r="DJ16"/>
      <c r="DK16"/>
      <c r="DL16"/>
      <c r="DM16"/>
      <c r="DN16"/>
      <c r="DO16"/>
      <c r="DP16"/>
      <c r="DQ16"/>
      <c r="DR16"/>
      <c r="DS16"/>
      <c r="DT16"/>
      <c r="DU16"/>
      <c r="DV16"/>
    </row>
    <row r="17" spans="1:126" ht="12" customHeight="1">
      <c r="E17" s="184"/>
      <c r="F17" s="182"/>
      <c r="G17" s="182" t="s">
        <v>759</v>
      </c>
      <c r="H17" s="183" t="s">
        <v>629</v>
      </c>
      <c r="I17" s="183"/>
      <c r="J17" s="183" t="s">
        <v>631</v>
      </c>
      <c r="K17" s="183" t="s">
        <v>2851</v>
      </c>
      <c r="L17" s="183" t="s">
        <v>2852</v>
      </c>
      <c r="M17" s="183" t="s">
        <v>2853</v>
      </c>
      <c r="N17" s="183" t="s">
        <v>2854</v>
      </c>
      <c r="O17" s="183"/>
      <c r="P17" s="183" t="s">
        <v>2855</v>
      </c>
      <c r="Q17" s="183" t="s">
        <v>2856</v>
      </c>
      <c r="R17" s="183" t="s">
        <v>2857</v>
      </c>
      <c r="S17" s="183" t="s">
        <v>2858</v>
      </c>
      <c r="T17" s="183"/>
      <c r="U17" s="183"/>
      <c r="V17" s="183" t="s">
        <v>2859</v>
      </c>
      <c r="W17" s="183" t="s">
        <v>2860</v>
      </c>
      <c r="X17" s="183" t="s">
        <v>2861</v>
      </c>
      <c r="Y17" s="598" t="s">
        <v>289</v>
      </c>
      <c r="Z17" s="598" t="s">
        <v>290</v>
      </c>
      <c r="AA17" s="598" t="s">
        <v>2501</v>
      </c>
      <c r="AB17" s="598" t="s">
        <v>2502</v>
      </c>
      <c r="AC17" s="598"/>
      <c r="AD17" s="598"/>
      <c r="AE17" s="599" t="s">
        <v>63</v>
      </c>
      <c r="AF17" s="598"/>
      <c r="AG17" s="598"/>
      <c r="AH17" s="598" t="s">
        <v>2705</v>
      </c>
      <c r="AI17" s="598" t="s">
        <v>2706</v>
      </c>
      <c r="AJ17" s="598" t="s">
        <v>2707</v>
      </c>
      <c r="AK17" s="183" t="s">
        <v>632</v>
      </c>
      <c r="AL17" s="183" t="s">
        <v>633</v>
      </c>
      <c r="AM17" s="183" t="s">
        <v>634</v>
      </c>
      <c r="AN17" s="183" t="s">
        <v>635</v>
      </c>
      <c r="AO17" s="183" t="s">
        <v>883</v>
      </c>
      <c r="AP17" s="183" t="s">
        <v>884</v>
      </c>
      <c r="AQ17" s="183" t="s">
        <v>885</v>
      </c>
      <c r="AR17" s="183" t="s">
        <v>886</v>
      </c>
      <c r="AS17" s="183" t="s">
        <v>887</v>
      </c>
      <c r="AT17" s="183" t="s">
        <v>888</v>
      </c>
      <c r="AU17" s="183" t="s">
        <v>889</v>
      </c>
      <c r="AV17" s="477" t="s">
        <v>890</v>
      </c>
      <c r="AW17" s="183" t="s">
        <v>891</v>
      </c>
      <c r="AX17" s="183" t="s">
        <v>892</v>
      </c>
      <c r="AY17" s="183" t="s">
        <v>893</v>
      </c>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472" t="s">
        <v>96</v>
      </c>
      <c r="DF17" s="472" t="s">
        <v>289</v>
      </c>
      <c r="DG17" s="472" t="s">
        <v>290</v>
      </c>
      <c r="DH17" s="472" t="s">
        <v>632</v>
      </c>
      <c r="DI17" s="472" t="s">
        <v>633</v>
      </c>
      <c r="DJ17" s="472" t="s">
        <v>635</v>
      </c>
      <c r="DK17" s="472" t="s">
        <v>883</v>
      </c>
      <c r="DL17" s="472" t="s">
        <v>885</v>
      </c>
      <c r="DM17" s="472" t="s">
        <v>886</v>
      </c>
      <c r="DN17" s="472" t="s">
        <v>888</v>
      </c>
      <c r="DO17" s="472" t="s">
        <v>889</v>
      </c>
      <c r="DP17" s="472" t="s">
        <v>891</v>
      </c>
      <c r="DQ17" s="600" t="s">
        <v>892</v>
      </c>
      <c r="DR17" s="829" t="s">
        <v>444</v>
      </c>
      <c r="DS17" s="829"/>
      <c r="DT17"/>
      <c r="DU17"/>
      <c r="DV17"/>
    </row>
    <row r="18" spans="1:126" ht="0.75" customHeight="1">
      <c r="A18" s="181"/>
      <c r="B18" s="181"/>
      <c r="C18" s="181"/>
      <c r="E18" s="184"/>
      <c r="F18" s="953" t="s">
        <v>3141</v>
      </c>
      <c r="G18" s="956" t="s">
        <v>778</v>
      </c>
      <c r="H18" s="107" t="str">
        <f>IF(TEMPLATE_SPHERE="водоснабжения","",IF(TEMPLATE_SPHERE="водоотведения","Всего",""))</f>
        <v>Всего</v>
      </c>
      <c r="I18" s="580"/>
      <c r="J18" s="177"/>
      <c r="K18" s="129"/>
      <c r="L18" s="129"/>
      <c r="M18" s="129"/>
      <c r="N18" s="129"/>
      <c r="O18" s="129"/>
      <c r="P18" s="129"/>
      <c r="Q18" s="129"/>
      <c r="R18" s="129"/>
      <c r="S18" s="129"/>
      <c r="T18" s="129"/>
      <c r="U18" s="129"/>
      <c r="V18" s="129"/>
      <c r="W18" s="129"/>
      <c r="X18" s="129"/>
      <c r="Y18" s="398"/>
      <c r="Z18" s="398"/>
      <c r="AA18" s="398"/>
      <c r="AB18" s="398"/>
      <c r="AC18" s="398"/>
      <c r="AD18" s="398"/>
      <c r="AE18" s="271"/>
      <c r="AF18" s="400"/>
      <c r="AG18" s="400"/>
      <c r="AH18" s="271"/>
      <c r="AI18" s="271"/>
      <c r="AJ18" s="271"/>
      <c r="AK18" s="400"/>
      <c r="AL18" s="400"/>
      <c r="AM18" s="271"/>
      <c r="AN18" s="400"/>
      <c r="AO18" s="400"/>
      <c r="AP18" s="271"/>
      <c r="AQ18" s="400"/>
      <c r="AR18" s="400"/>
      <c r="AS18" s="271"/>
      <c r="AT18" s="400"/>
      <c r="AU18" s="400"/>
      <c r="AV18" s="478"/>
      <c r="AW18" s="400"/>
      <c r="AX18" s="400"/>
      <c r="AY18" s="271"/>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480"/>
      <c r="DG18" s="480"/>
      <c r="DH18" s="480"/>
      <c r="DI18" s="480"/>
      <c r="DJ18" s="480"/>
      <c r="DK18" s="480"/>
      <c r="DL18" s="480"/>
      <c r="DM18" s="480"/>
      <c r="DN18" s="480"/>
      <c r="DO18" s="480"/>
      <c r="DP18" s="480"/>
      <c r="DQ18" s="480"/>
      <c r="DR18"/>
      <c r="DS18"/>
      <c r="DT18"/>
      <c r="DU18"/>
      <c r="DV18"/>
    </row>
    <row r="19" spans="1:126" ht="24" customHeight="1">
      <c r="A19" s="181"/>
      <c r="B19" s="181"/>
      <c r="C19" s="181"/>
      <c r="E19" s="184"/>
      <c r="F19" s="954"/>
      <c r="G19" s="957"/>
      <c r="H19" s="107" t="str">
        <f>IF(TEMPLATE_SPHERE="водоснабжения","Вода питьевого качества","")</f>
        <v/>
      </c>
      <c r="I19" s="580"/>
      <c r="J19" s="177"/>
      <c r="K19" s="129"/>
      <c r="L19" s="129"/>
      <c r="M19" s="129"/>
      <c r="N19" s="129"/>
      <c r="O19" s="129"/>
      <c r="P19" s="129"/>
      <c r="Q19" s="129"/>
      <c r="R19" s="129"/>
      <c r="S19" s="129"/>
      <c r="T19" s="129"/>
      <c r="U19" s="129"/>
      <c r="V19" s="129"/>
      <c r="W19" s="129"/>
      <c r="X19" s="129"/>
      <c r="Y19" s="398">
        <f>IF((AS19+AV19+AY19)=0,0,(AA19*(AS19+AV19+AY19)+AH19*IF(AJ19&gt;AS19+AV19+AY19,AS19+AV19+AY19,AJ19))/(AS19+AV19+AY19))</f>
        <v>0</v>
      </c>
      <c r="Z19" s="398">
        <f>IF((AS19+AV19+AY19)=0,0,(AB19*(AS19+AV19+AY19)+AI19*IF(AJ19&gt;AS19+AV19+AY19,AS19+AV19+AY19,AJ19))/(AS19+AV19+AY19))</f>
        <v>0</v>
      </c>
      <c r="AA19" s="398">
        <f>IF((AS19+AV19+AY19)=0,0,(AQ19*AS19+AT19*AV19+AW19*AY19)/(AS19+AV19+AY19))</f>
        <v>0</v>
      </c>
      <c r="AB19" s="398">
        <f>IF((AS19+AV19+AY19)=0,0,(AR19*AS19+AU19*AV19+AX19*AY19)/(AS19+AV19+AY19))</f>
        <v>0</v>
      </c>
      <c r="AC19" s="398"/>
      <c r="AD19" s="398"/>
      <c r="AE19" s="271">
        <f>AM19+AP19+AS19+AV19+AY19</f>
        <v>0</v>
      </c>
      <c r="AF19" s="400"/>
      <c r="AG19" s="400"/>
      <c r="AH19" s="271">
        <f>IF(AJ19&gt;0,SUMIF($H$21:$H$22,$H19,DR$21:DR$22)/AJ19,0)</f>
        <v>0</v>
      </c>
      <c r="AI19" s="271">
        <f>IF(AJ19&gt;0,SUMIF($H$21:$H$22,$H19,DS$21:DS$22)/AJ19,0)</f>
        <v>0</v>
      </c>
      <c r="AJ19" s="271">
        <f>SUMIF($H$21:$H$22,$H19,AJ$21:AJ$22)</f>
        <v>0</v>
      </c>
      <c r="AK19" s="400">
        <f>IF(AM19&gt;0,INDEX($DF19:$DQ19,MATCH(AK$17,$DF$17:$DQ$17))/AM19,0)</f>
        <v>0</v>
      </c>
      <c r="AL19" s="400">
        <f>IF(AM19&gt;0,INDEX($DF19:$DQ19,MATCH(AL$17,$DF$17:$DQ$17))/AM19,0)</f>
        <v>0</v>
      </c>
      <c r="AM19" s="271">
        <f>SUMIF($H$21:$H$22,$H19,AM$21:AM$22)</f>
        <v>0</v>
      </c>
      <c r="AN19" s="400">
        <f>IF(AP19&gt;0,INDEX($DF19:$DQ19,MATCH(AN$17,$DF$17:$DQ$17))/AP19,0)</f>
        <v>0</v>
      </c>
      <c r="AO19" s="400">
        <f>IF(AP19&gt;0,INDEX($DF19:$DQ19,MATCH(AO$17,$DF$17:$DQ$17))/AP19,0)</f>
        <v>0</v>
      </c>
      <c r="AP19" s="271">
        <f>SUMIF($H$21:$H$22,$H19,AP$21:AP$22)</f>
        <v>0</v>
      </c>
      <c r="AQ19" s="400">
        <f>IF(AS19&gt;0,INDEX($DF19:$DQ19,MATCH(AQ$17,$DF$17:$DQ$17))/AS19,0)</f>
        <v>0</v>
      </c>
      <c r="AR19" s="400">
        <f>IF(AS19&gt;0,INDEX($DF19:$DQ19,MATCH(AR$17,$DF$17:$DQ$17))/AS19,0)</f>
        <v>0</v>
      </c>
      <c r="AS19" s="271">
        <f>SUMIF($H$21:$H$22,$H19,AS$21:AS$22)</f>
        <v>0</v>
      </c>
      <c r="AT19" s="400">
        <f>IF(AV19&gt;0,INDEX($DF19:$DQ19,MATCH(AT$17,$DF$17:$DQ$17))/AV19,0)</f>
        <v>0</v>
      </c>
      <c r="AU19" s="400">
        <f>IF(AV19&gt;0,INDEX($DF19:$DQ19,MATCH(AU$17,$DF$17:$DQ$17))/AV19,0)</f>
        <v>0</v>
      </c>
      <c r="AV19" s="271">
        <f>SUMIF($H$21:$H$22,$H19,AV$21:AV$22)</f>
        <v>0</v>
      </c>
      <c r="AW19" s="400">
        <f>IF(AY19&gt;0,INDEX($DF19:$DQ19,MATCH(AW$17,$DF$17:$DQ$17))/AY19,0)</f>
        <v>0</v>
      </c>
      <c r="AX19" s="400">
        <f>IF(AY19&gt;0,INDEX($DF19:$DQ19,MATCH(AX$17,$DF$17:$DQ$17))/AY19,0)</f>
        <v>0</v>
      </c>
      <c r="AY19" s="271">
        <f>SUMIF($H$21:$H$22,$H19,AY$21:AY$22)</f>
        <v>0</v>
      </c>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647">
        <f>AS19+AV19+AY19</f>
        <v>0</v>
      </c>
      <c r="DF19" s="480">
        <f t="shared" ref="DF19:DS19" si="0">SUMIF($H21:$H22,$H19,DF21:DF22)</f>
        <v>0</v>
      </c>
      <c r="DG19" s="480">
        <f t="shared" si="0"/>
        <v>0</v>
      </c>
      <c r="DH19" s="480">
        <f t="shared" si="0"/>
        <v>0</v>
      </c>
      <c r="DI19" s="480">
        <f t="shared" si="0"/>
        <v>0</v>
      </c>
      <c r="DJ19" s="480">
        <f t="shared" si="0"/>
        <v>0</v>
      </c>
      <c r="DK19" s="480">
        <f t="shared" si="0"/>
        <v>0</v>
      </c>
      <c r="DL19" s="480">
        <f t="shared" si="0"/>
        <v>0</v>
      </c>
      <c r="DM19" s="480">
        <f t="shared" si="0"/>
        <v>0</v>
      </c>
      <c r="DN19" s="480">
        <f t="shared" si="0"/>
        <v>0</v>
      </c>
      <c r="DO19" s="480">
        <f t="shared" si="0"/>
        <v>0</v>
      </c>
      <c r="DP19" s="480">
        <f t="shared" si="0"/>
        <v>0</v>
      </c>
      <c r="DQ19" s="480">
        <f t="shared" si="0"/>
        <v>0</v>
      </c>
      <c r="DR19" s="480">
        <f t="shared" si="0"/>
        <v>0</v>
      </c>
      <c r="DS19" s="480">
        <f t="shared" si="0"/>
        <v>0</v>
      </c>
      <c r="DT19"/>
      <c r="DU19"/>
      <c r="DV19"/>
    </row>
    <row r="20" spans="1:126" ht="24" customHeight="1">
      <c r="A20" s="181"/>
      <c r="B20" s="181"/>
      <c r="C20" s="181"/>
      <c r="E20" s="184"/>
      <c r="F20" s="955"/>
      <c r="G20" s="958"/>
      <c r="H20" s="107" t="str">
        <f>IF(TEMPLATE_SPHERE="водоснабжения","Вода технического качества","")</f>
        <v/>
      </c>
      <c r="I20" s="580"/>
      <c r="J20" s="177"/>
      <c r="K20" s="129"/>
      <c r="L20" s="129"/>
      <c r="M20" s="129"/>
      <c r="N20" s="129"/>
      <c r="O20" s="129"/>
      <c r="P20" s="129"/>
      <c r="Q20" s="129"/>
      <c r="R20" s="129"/>
      <c r="S20" s="129"/>
      <c r="T20" s="129"/>
      <c r="U20" s="129"/>
      <c r="V20" s="129"/>
      <c r="W20" s="129"/>
      <c r="X20" s="129"/>
      <c r="Y20" s="398">
        <f>IF((AS20+AV20+AY20)=0,0,(AA20*(AS20+AV20+AY20)+AH20*IF(AJ20&gt;AS20+AV20+AY20,AS20+AV20+AY20,AJ20))/(AS20+AV20+AY20))</f>
        <v>0</v>
      </c>
      <c r="Z20" s="398">
        <f>IF((AS20+AV20+AY20)=0,0,(AB20*(AS20+AV20+AY20)+AI20*IF(AJ20&gt;AS20+AV20+AY20,AS20+AV20+AY20,AJ20))/(AS20+AV20+AY20))</f>
        <v>0</v>
      </c>
      <c r="AA20" s="398">
        <f>IF((AS20+AV20+AY20)=0,0,(AQ20*AS20+AT20*AV20+AW20*AY20)/(AS20+AV20+AY20))</f>
        <v>0</v>
      </c>
      <c r="AB20" s="398">
        <f>IF((AS20+AV20+AY20)=0,0,(AR20*AS20+AU20*AV20+AX20*AY20)/(AS20+AV20+AY20))</f>
        <v>0</v>
      </c>
      <c r="AC20" s="398"/>
      <c r="AD20" s="398"/>
      <c r="AE20" s="271">
        <f>AM20+AP20+AS20+AV20+AY20</f>
        <v>0</v>
      </c>
      <c r="AF20" s="400"/>
      <c r="AG20" s="400"/>
      <c r="AH20" s="271">
        <f>IF(AJ20&gt;0,SUMIF($H$21:$H$22,$H20,DR$21:DR$22)/AJ20,0)</f>
        <v>0</v>
      </c>
      <c r="AI20" s="271">
        <f>IF(AJ20&gt;0,SUMIF($H$21:$H$22,$H20,DS$21:DS$22)/AJ20,0)</f>
        <v>0</v>
      </c>
      <c r="AJ20" s="271">
        <f>SUMIF($H$21:$H$22,$H20,AJ$21:AJ$22)</f>
        <v>0</v>
      </c>
      <c r="AK20" s="400">
        <f>IF(AM20&gt;0,INDEX($DF20:$DQ20,MATCH(AK$17,$DF$17:$DQ$17))/AM20,0)</f>
        <v>0</v>
      </c>
      <c r="AL20" s="400">
        <f>IF(AM20&gt;0,INDEX($DF20:$DQ20,MATCH(AL$17,$DF$17:$DQ$17))/AM20,0)</f>
        <v>0</v>
      </c>
      <c r="AM20" s="271">
        <f>SUMIF($H$21:$H$22,$H20,AM$21:AM$22)</f>
        <v>0</v>
      </c>
      <c r="AN20" s="400">
        <f>IF(AP20&gt;0,INDEX($DF20:$DQ20,MATCH(AN$17,$DF$17:$DQ$17))/AP20,0)</f>
        <v>0</v>
      </c>
      <c r="AO20" s="400">
        <f>IF(AP20&gt;0,INDEX($DF20:$DQ20,MATCH(AO$17,$DF$17:$DQ$17))/AP20,0)</f>
        <v>0</v>
      </c>
      <c r="AP20" s="271">
        <f>SUMIF($H$21:$H$22,$H20,AP$21:AP$22)</f>
        <v>0</v>
      </c>
      <c r="AQ20" s="400">
        <f>IF(AS20&gt;0,INDEX($DF20:$DQ20,MATCH(AQ$17,$DF$17:$DQ$17))/AS20,0)</f>
        <v>0</v>
      </c>
      <c r="AR20" s="400">
        <f>IF(AS20&gt;0,INDEX($DF20:$DQ20,MATCH(AR$17,$DF$17:$DQ$17))/AS20,0)</f>
        <v>0</v>
      </c>
      <c r="AS20" s="271">
        <f>SUMIF($H$21:$H$22,$H20,AS$21:AS$22)</f>
        <v>0</v>
      </c>
      <c r="AT20" s="400">
        <f>IF(AV20&gt;0,INDEX($DF20:$DQ20,MATCH(AT$17,$DF$17:$DQ$17))/AV20,0)</f>
        <v>0</v>
      </c>
      <c r="AU20" s="400">
        <f>IF(AV20&gt;0,INDEX($DF20:$DQ20,MATCH(AU$17,$DF$17:$DQ$17))/AV20,0)</f>
        <v>0</v>
      </c>
      <c r="AV20" s="271">
        <f>SUMIF($H$21:$H$22,$H20,AV$21:AV$22)</f>
        <v>0</v>
      </c>
      <c r="AW20" s="400">
        <f>IF(AY20&gt;0,INDEX($DF20:$DQ20,MATCH(AW$17,$DF$17:$DQ$17))/AY20,0)</f>
        <v>0</v>
      </c>
      <c r="AX20" s="400">
        <f>IF(AY20&gt;0,INDEX($DF20:$DQ20,MATCH(AX$17,$DF$17:$DQ$17))/AY20,0)</f>
        <v>0</v>
      </c>
      <c r="AY20" s="271">
        <f>SUMIF($H$21:$H$22,$H20,AY$21:AY$22)</f>
        <v>0</v>
      </c>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647">
        <f>AS20+AV20+AY20</f>
        <v>0</v>
      </c>
      <c r="DF20" s="480">
        <f t="shared" ref="DF20:DS20" si="1">SUMIF($H21:$H22,$H20,DF21:DF22)</f>
        <v>0</v>
      </c>
      <c r="DG20" s="480">
        <f t="shared" si="1"/>
        <v>0</v>
      </c>
      <c r="DH20" s="480">
        <f t="shared" si="1"/>
        <v>0</v>
      </c>
      <c r="DI20" s="480">
        <f t="shared" si="1"/>
        <v>0</v>
      </c>
      <c r="DJ20" s="480">
        <f t="shared" si="1"/>
        <v>0</v>
      </c>
      <c r="DK20" s="480">
        <f t="shared" si="1"/>
        <v>0</v>
      </c>
      <c r="DL20" s="480">
        <f t="shared" si="1"/>
        <v>0</v>
      </c>
      <c r="DM20" s="480">
        <f t="shared" si="1"/>
        <v>0</v>
      </c>
      <c r="DN20" s="480">
        <f t="shared" si="1"/>
        <v>0</v>
      </c>
      <c r="DO20" s="480">
        <f t="shared" si="1"/>
        <v>0</v>
      </c>
      <c r="DP20" s="480">
        <f t="shared" si="1"/>
        <v>0</v>
      </c>
      <c r="DQ20" s="480">
        <f t="shared" si="1"/>
        <v>0</v>
      </c>
      <c r="DR20" s="480">
        <f t="shared" si="1"/>
        <v>0</v>
      </c>
      <c r="DS20" s="480">
        <f t="shared" si="1"/>
        <v>0</v>
      </c>
      <c r="DT20"/>
      <c r="DU20"/>
      <c r="DV20"/>
    </row>
    <row r="21" spans="1:126" ht="12" hidden="1" customHeight="1">
      <c r="A21" s="181"/>
      <c r="B21" s="181"/>
      <c r="C21" s="181"/>
      <c r="E21" s="184"/>
      <c r="F21" s="186">
        <v>0</v>
      </c>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479"/>
      <c r="AX21" s="479"/>
      <c r="AY21" s="574"/>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R21"/>
      <c r="DS21"/>
      <c r="DT21"/>
      <c r="DU21"/>
      <c r="DV21"/>
    </row>
    <row r="22" spans="1:126" ht="0.75" customHeight="1">
      <c r="A22" s="181"/>
      <c r="B22" s="181"/>
      <c r="C22" s="181"/>
      <c r="E22" s="184"/>
      <c r="F22" s="110"/>
      <c r="G22" s="111" t="s">
        <v>720</v>
      </c>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3"/>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R22"/>
      <c r="DS22"/>
      <c r="DT22"/>
      <c r="DU22"/>
      <c r="DV22"/>
    </row>
    <row r="23" spans="1:126" ht="12" customHeight="1">
      <c r="A23" s="181"/>
      <c r="B23" s="181"/>
      <c r="C23" s="181"/>
      <c r="E23" s="184"/>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R23"/>
      <c r="DS23"/>
      <c r="DT23"/>
      <c r="DU23"/>
      <c r="DV23"/>
    </row>
    <row r="24" spans="1:126" ht="12" customHeight="1">
      <c r="F24" s="162"/>
      <c r="G24" s="162"/>
      <c r="H24" s="162"/>
      <c r="I24"/>
      <c r="J24"/>
      <c r="K24"/>
      <c r="L24"/>
      <c r="M24"/>
      <c r="N24"/>
      <c r="O24"/>
      <c r="P24"/>
      <c r="Q24"/>
      <c r="R24"/>
      <c r="S24"/>
      <c r="T24"/>
      <c r="U24"/>
      <c r="V24"/>
      <c r="W24"/>
      <c r="X24"/>
      <c r="Y24"/>
      <c r="Z24"/>
      <c r="AA24"/>
      <c r="AB24" s="162"/>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DR24"/>
      <c r="DS24"/>
      <c r="DT24"/>
      <c r="DU24"/>
      <c r="DV24"/>
    </row>
    <row r="25" spans="1:126">
      <c r="F25" s="162"/>
      <c r="G25" s="162"/>
      <c r="H25" s="162"/>
      <c r="I25"/>
      <c r="J25"/>
      <c r="K25"/>
      <c r="L25"/>
      <c r="M25"/>
      <c r="N25"/>
      <c r="O25"/>
      <c r="P25"/>
      <c r="Q25"/>
      <c r="R25"/>
      <c r="S25"/>
      <c r="T25"/>
      <c r="U25"/>
      <c r="V25"/>
      <c r="W25"/>
      <c r="X25"/>
      <c r="Y25"/>
      <c r="Z25"/>
      <c r="AA25"/>
      <c r="AB25" s="162"/>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DR25"/>
      <c r="DS25"/>
      <c r="DT25"/>
      <c r="DU25"/>
      <c r="DV25"/>
    </row>
    <row r="26" spans="1:126" ht="11.25" customHeight="1">
      <c r="F26" s="162"/>
      <c r="G26" s="162"/>
      <c r="H26" s="162"/>
      <c r="I26"/>
      <c r="J26"/>
      <c r="K26"/>
      <c r="L26"/>
      <c r="M26"/>
      <c r="N26"/>
      <c r="O26"/>
      <c r="P26"/>
      <c r="Q26"/>
      <c r="R26"/>
      <c r="S26"/>
      <c r="T26"/>
      <c r="U26"/>
      <c r="V26"/>
      <c r="W26"/>
      <c r="X26"/>
      <c r="Y26"/>
      <c r="Z26"/>
      <c r="AA26"/>
      <c r="AB26" s="162"/>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DR26"/>
      <c r="DS26"/>
      <c r="DT26"/>
      <c r="DU26"/>
      <c r="DV26"/>
    </row>
    <row r="27" spans="1:126" ht="11.25" customHeight="1">
      <c r="F27" s="162"/>
      <c r="G27" s="162"/>
      <c r="H27" s="162"/>
      <c r="I27"/>
      <c r="J27"/>
      <c r="K27"/>
      <c r="L27"/>
      <c r="M27"/>
      <c r="N27"/>
      <c r="O27"/>
      <c r="P27"/>
      <c r="Q27"/>
      <c r="R27"/>
      <c r="S27"/>
      <c r="T27"/>
      <c r="U27"/>
      <c r="V27"/>
      <c r="W27"/>
      <c r="X27"/>
      <c r="Y27"/>
      <c r="Z27"/>
      <c r="AA27"/>
      <c r="AB27" s="162"/>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DR27"/>
      <c r="DS27"/>
      <c r="DT27"/>
      <c r="DU27"/>
      <c r="DV27"/>
    </row>
    <row r="28" spans="1:126" ht="11.25" customHeight="1">
      <c r="F28" s="162"/>
      <c r="G28" s="162"/>
      <c r="H28" s="162"/>
      <c r="I28"/>
      <c r="J28"/>
      <c r="K28"/>
      <c r="L28"/>
      <c r="M28"/>
      <c r="N28"/>
      <c r="O28"/>
      <c r="P28"/>
      <c r="Q28"/>
      <c r="R28"/>
      <c r="S28"/>
      <c r="T28"/>
      <c r="U28"/>
      <c r="V28"/>
      <c r="W28"/>
      <c r="X28"/>
      <c r="Y28"/>
      <c r="Z28"/>
      <c r="AA28"/>
      <c r="AB28" s="162"/>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row>
    <row r="29" spans="1:126" ht="11.25" customHeight="1">
      <c r="F29" s="162"/>
      <c r="G29" s="162"/>
      <c r="H29" s="162"/>
      <c r="I29"/>
      <c r="J29"/>
      <c r="K29"/>
      <c r="L29"/>
      <c r="M29"/>
      <c r="N29"/>
      <c r="O29"/>
      <c r="P29"/>
      <c r="Q29"/>
      <c r="R29"/>
      <c r="S29"/>
      <c r="T29"/>
      <c r="U29"/>
      <c r="V29"/>
      <c r="W29"/>
      <c r="X29"/>
      <c r="Y29"/>
      <c r="Z29"/>
      <c r="AA29"/>
      <c r="AB29" s="162"/>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row>
    <row r="30" spans="1:126">
      <c r="I30"/>
      <c r="J30"/>
      <c r="K30"/>
      <c r="L30"/>
      <c r="M30"/>
      <c r="N30"/>
      <c r="O30"/>
      <c r="P30"/>
      <c r="Q30"/>
      <c r="R30"/>
      <c r="S30"/>
      <c r="T30"/>
      <c r="U30"/>
      <c r="V30"/>
      <c r="W30"/>
      <c r="X30"/>
      <c r="Y30"/>
      <c r="Z30"/>
      <c r="AA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row>
    <row r="31" spans="1:126">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row>
  </sheetData>
  <sheetProtection password="FA9C" sheet="1" objects="1" scenarios="1" formatColumns="0" formatRows="0"/>
  <mergeCells count="58">
    <mergeCell ref="P15:P16"/>
    <mergeCell ref="O14:O16"/>
    <mergeCell ref="K15:K16"/>
    <mergeCell ref="L15:L16"/>
    <mergeCell ref="P14:Q14"/>
    <mergeCell ref="Q15:Q16"/>
    <mergeCell ref="M15:M16"/>
    <mergeCell ref="K14:M14"/>
    <mergeCell ref="H14:I16"/>
    <mergeCell ref="J14:J16"/>
    <mergeCell ref="F18:F20"/>
    <mergeCell ref="G18:G20"/>
    <mergeCell ref="F14:F16"/>
    <mergeCell ref="G14:G16"/>
    <mergeCell ref="R14:S14"/>
    <mergeCell ref="R15:R16"/>
    <mergeCell ref="T15:T16"/>
    <mergeCell ref="S15:S16"/>
    <mergeCell ref="V14:W14"/>
    <mergeCell ref="W15:W16"/>
    <mergeCell ref="T14:U14"/>
    <mergeCell ref="V15:V16"/>
    <mergeCell ref="U15:U16"/>
    <mergeCell ref="DR17:DS17"/>
    <mergeCell ref="AC14:AD15"/>
    <mergeCell ref="AN15:AO15"/>
    <mergeCell ref="Y14:Z15"/>
    <mergeCell ref="AY15:AY16"/>
    <mergeCell ref="AT14:AV14"/>
    <mergeCell ref="AW14:AY14"/>
    <mergeCell ref="AH14:AI15"/>
    <mergeCell ref="AK15:AL15"/>
    <mergeCell ref="AY8:AZ8"/>
    <mergeCell ref="K13:X13"/>
    <mergeCell ref="N14:N16"/>
    <mergeCell ref="K8:AE8"/>
    <mergeCell ref="AK8:AL8"/>
    <mergeCell ref="AW8:AX8"/>
    <mergeCell ref="AV15:AV16"/>
    <mergeCell ref="AO8:AP8"/>
    <mergeCell ref="AQ8:AR8"/>
    <mergeCell ref="AS8:AT8"/>
    <mergeCell ref="X14:X16"/>
    <mergeCell ref="AA14:AB15"/>
    <mergeCell ref="AE14:AE16"/>
    <mergeCell ref="AK14:AM14"/>
    <mergeCell ref="AF14:AG15"/>
    <mergeCell ref="AJ14:AJ16"/>
    <mergeCell ref="AM8:AN8"/>
    <mergeCell ref="AW15:AX15"/>
    <mergeCell ref="AQ15:AR15"/>
    <mergeCell ref="AS15:AS16"/>
    <mergeCell ref="AU8:AV8"/>
    <mergeCell ref="AQ14:AS14"/>
    <mergeCell ref="AN14:AP14"/>
    <mergeCell ref="AT15:AU15"/>
    <mergeCell ref="AP15:AP16"/>
    <mergeCell ref="AM15:AM16"/>
  </mergeCells>
  <phoneticPr fontId="8" type="noConversion"/>
  <hyperlinks>
    <hyperlink ref="K11" location="'ТМ1 01.07 - 31.08'!A1" tooltip="Отобразить / Скрыть блок" display="-"/>
  </hyperlinks>
  <pageMargins left="0.37" right="0.35" top="1" bottom="1" header="0.5" footer="0.5"/>
  <pageSetup paperSize="9" scale="37" orientation="landscape" horizontalDpi="4294967292" verticalDpi="4294967292" r:id="rId1"/>
  <headerFooter alignWithMargins="0"/>
  <drawing r:id="rId2"/>
  <legacyDrawing r:id="rId3"/>
</worksheet>
</file>

<file path=xl/worksheets/sheet43.xml><?xml version="1.0" encoding="utf-8"?>
<worksheet xmlns="http://schemas.openxmlformats.org/spreadsheetml/2006/main" xmlns:r="http://schemas.openxmlformats.org/officeDocument/2006/relationships">
  <sheetPr codeName="VSNA_TM1_PERIOD3">
    <tabColor rgb="FF92D050"/>
    <pageSetUpPr fitToPage="1"/>
  </sheetPr>
  <dimension ref="A1:EV31"/>
  <sheetViews>
    <sheetView showGridLines="0" topLeftCell="E3" workbookViewId="0">
      <pane xSplit="5" ySplit="19" topLeftCell="J22" activePane="bottomRight" state="frozen"/>
      <selection activeCell="Y19" sqref="Y19:Z20"/>
      <selection pane="topRight" activeCell="Y19" sqref="Y19:Z20"/>
      <selection pane="bottomLeft" activeCell="Y19" sqref="Y19:Z20"/>
      <selection pane="bottomRight"/>
    </sheetView>
  </sheetViews>
  <sheetFormatPr defaultRowHeight="11.25"/>
  <cols>
    <col min="1" max="3" width="5.7109375" style="162" hidden="1" customWidth="1"/>
    <col min="4" max="4" width="3.7109375" style="159" hidden="1" customWidth="1"/>
    <col min="5" max="5" width="5.7109375" style="179" customWidth="1"/>
    <col min="6" max="6" width="4.7109375" style="39" customWidth="1"/>
    <col min="7" max="7" width="40.7109375" style="39" customWidth="1"/>
    <col min="8" max="8" width="27.7109375" style="39" customWidth="1"/>
    <col min="9" max="9" width="0.140625" style="39" customWidth="1"/>
    <col min="10" max="10" width="20.7109375" style="39" customWidth="1"/>
    <col min="11" max="12" width="10.7109375" style="39" hidden="1" customWidth="1"/>
    <col min="13" max="14" width="12.7109375" style="39" hidden="1" customWidth="1"/>
    <col min="15" max="15" width="0.140625" style="39" hidden="1" customWidth="1"/>
    <col min="16" max="19" width="12.7109375" style="39" hidden="1" customWidth="1"/>
    <col min="20" max="21" width="0.140625" style="39" hidden="1" customWidth="1"/>
    <col min="22" max="23" width="12.7109375" style="39" hidden="1" customWidth="1"/>
    <col min="24" max="24" width="10.7109375" style="39" hidden="1" customWidth="1"/>
    <col min="25" max="28" width="9.7109375" style="39" customWidth="1"/>
    <col min="29" max="30" width="0.140625" style="39" customWidth="1"/>
    <col min="31" max="31" width="17.7109375" style="39" customWidth="1"/>
    <col min="32" max="33" width="0.140625" style="39" customWidth="1"/>
    <col min="34" max="38" width="9.7109375" style="39" customWidth="1"/>
    <col min="39" max="39" width="15.7109375" style="39" customWidth="1"/>
    <col min="40" max="41" width="9.7109375" style="39" customWidth="1"/>
    <col min="42" max="42" width="15.7109375" style="39" customWidth="1"/>
    <col min="43" max="44" width="9.7109375" style="39" customWidth="1"/>
    <col min="45" max="45" width="15.7109375" style="39" customWidth="1"/>
    <col min="46" max="47" width="9.7109375" style="39" customWidth="1"/>
    <col min="48" max="48" width="15.7109375" style="39" customWidth="1"/>
    <col min="49" max="50" width="9.7109375" style="39" customWidth="1"/>
    <col min="51" max="51" width="15.7109375" style="39" customWidth="1"/>
    <col min="52" max="108" width="1.7109375" style="162" customWidth="1"/>
    <col min="109" max="109" width="8.7109375" style="162" hidden="1" customWidth="1"/>
    <col min="110" max="123" width="6.7109375" style="162" hidden="1" customWidth="1"/>
    <col min="124" max="126" width="6.7109375" style="162" customWidth="1"/>
    <col min="127" max="127" width="2.7109375" style="162" customWidth="1"/>
    <col min="128" max="152" width="9.140625" style="162"/>
    <col min="153" max="16384" width="9.140625" style="39"/>
  </cols>
  <sheetData>
    <row r="1" spans="1:126" ht="12" hidden="1" customHeight="1">
      <c r="A1" s="178"/>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row>
    <row r="2" spans="1:126" ht="12" hidden="1" customHeight="1">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row>
    <row r="3" spans="1:126" ht="12" customHeight="1">
      <c r="F3" s="637"/>
      <c r="G3" s="123" t="str">
        <f>"Необходимо указывать " &amp; IF(TARIFF_SETUP_METHOD_CODE="BY_PSEUDO_YEARS","общегодовые значения","значения по периодам")</f>
        <v>Необходимо указывать значения по периодам</v>
      </c>
      <c r="H3" s="616" t="s">
        <v>2498</v>
      </c>
      <c r="I3" s="637">
        <f>IF(TARIFF_SETUP_METHOD_CODE="BY_PSEUDO_YEARS",12,4)</f>
        <v>4</v>
      </c>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row>
    <row r="4" spans="1:126" ht="3" customHeight="1">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row>
    <row r="5" spans="1:126" s="419" customFormat="1" ht="18" customHeight="1">
      <c r="D5" s="420"/>
      <c r="E5" s="421"/>
      <c r="F5" s="422" t="str">
        <f>"Тарифы организаций " &amp; TEMPLATE_SPHERE &amp; " на услуги по передаче (транспортировке) по муниципальному образованию - " &amp; IF(mo="","Не определено",mo)</f>
        <v>Тарифы организаций водоотведения на услуги по передаче (транспортировке) по муниципальному образованию - Село Булава</v>
      </c>
      <c r="G5" s="416"/>
      <c r="H5" s="416"/>
      <c r="I5" s="416"/>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21"/>
      <c r="BA5" s="421"/>
      <c r="BB5" s="421"/>
      <c r="BC5" s="421"/>
      <c r="BD5" s="421"/>
      <c r="BE5" s="421"/>
      <c r="BF5" s="421"/>
      <c r="BG5" s="421"/>
      <c r="BH5" s="421"/>
      <c r="BI5" s="421"/>
      <c r="BJ5" s="421"/>
      <c r="BK5" s="421"/>
      <c r="BL5" s="421"/>
      <c r="BM5" s="421"/>
      <c r="BN5" s="421"/>
      <c r="BO5" s="421"/>
      <c r="BP5" s="421"/>
      <c r="BQ5" s="421"/>
      <c r="BR5" s="421"/>
      <c r="BS5" s="421"/>
      <c r="BT5" s="421"/>
      <c r="BU5" s="421"/>
      <c r="BV5" s="421"/>
      <c r="BW5" s="421"/>
      <c r="BX5" s="421"/>
      <c r="BY5" s="421"/>
      <c r="BZ5" s="421"/>
      <c r="CA5" s="421"/>
      <c r="CB5" s="421"/>
      <c r="CC5" s="421"/>
      <c r="CD5" s="421"/>
      <c r="CE5" s="421"/>
      <c r="CF5" s="421"/>
      <c r="CG5" s="421"/>
      <c r="CH5" s="421"/>
      <c r="CI5" s="421"/>
      <c r="CJ5" s="421"/>
      <c r="CK5" s="421"/>
      <c r="CL5" s="421"/>
      <c r="CM5" s="421"/>
      <c r="CN5" s="421"/>
      <c r="CO5" s="421"/>
      <c r="CP5" s="421"/>
      <c r="CQ5" s="421"/>
      <c r="CR5" s="421"/>
      <c r="CS5" s="421"/>
      <c r="CT5" s="421"/>
      <c r="CU5" s="421"/>
      <c r="CV5" s="421"/>
      <c r="CW5" s="421"/>
      <c r="CX5" s="421"/>
      <c r="CY5" s="421"/>
      <c r="CZ5" s="421"/>
      <c r="DA5" s="421"/>
      <c r="DB5" s="421"/>
      <c r="DC5" s="421"/>
      <c r="DD5" s="421"/>
      <c r="DE5" s="421"/>
      <c r="DF5" s="421"/>
      <c r="DG5" s="421"/>
    </row>
    <row r="6" spans="1:126" ht="2.25" customHeight="1">
      <c r="E6" s="184"/>
      <c r="F6" s="185"/>
      <c r="G6" s="162"/>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B6" s="185"/>
      <c r="DC6" s="185"/>
      <c r="DD6" s="185"/>
      <c r="DE6" s="185"/>
      <c r="DF6" s="185"/>
      <c r="DG6" s="185"/>
    </row>
    <row r="7" spans="1:126" ht="12" customHeight="1">
      <c r="E7" s="184"/>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row>
    <row r="8" spans="1:126" s="164" customFormat="1" ht="12" customHeight="1">
      <c r="D8" s="165"/>
      <c r="E8" s="166"/>
      <c r="F8" s="158"/>
      <c r="G8" s="188"/>
      <c r="H8" s="180"/>
      <c r="I8" s="195"/>
      <c r="J8" s="180"/>
      <c r="K8" s="921"/>
      <c r="L8" s="921"/>
      <c r="M8" s="921"/>
      <c r="N8" s="921"/>
      <c r="O8" s="921"/>
      <c r="P8" s="921"/>
      <c r="Q8" s="921"/>
      <c r="R8" s="921"/>
      <c r="S8" s="921"/>
      <c r="T8" s="921"/>
      <c r="U8" s="921"/>
      <c r="V8" s="921"/>
      <c r="W8" s="921"/>
      <c r="X8" s="921"/>
      <c r="Y8" s="921"/>
      <c r="Z8" s="921"/>
      <c r="AA8" s="921"/>
      <c r="AB8" s="921"/>
      <c r="AC8" s="921"/>
      <c r="AD8" s="921"/>
      <c r="AE8" s="921"/>
      <c r="AF8" s="158"/>
      <c r="AG8" s="158"/>
      <c r="AH8" s="158"/>
      <c r="AI8" s="158"/>
      <c r="AJ8" s="158"/>
      <c r="AK8" s="921"/>
      <c r="AL8" s="921"/>
      <c r="AM8" s="921"/>
      <c r="AN8" s="921"/>
      <c r="AO8" s="921"/>
      <c r="AP8" s="921"/>
      <c r="AQ8" s="921"/>
      <c r="AR8" s="921"/>
      <c r="AS8" s="921"/>
      <c r="AT8" s="921"/>
      <c r="AU8" s="921"/>
      <c r="AV8" s="921"/>
      <c r="AW8" s="921"/>
      <c r="AX8" s="921"/>
      <c r="AY8" s="921"/>
      <c r="AZ8" s="921"/>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row>
    <row r="9" spans="1:126" customFormat="1" ht="12" hidden="1" customHeight="1"/>
    <row r="10" spans="1:126" customFormat="1" ht="12" hidden="1" customHeight="1"/>
    <row r="11" spans="1:126" customFormat="1" ht="12" customHeight="1">
      <c r="K11" s="444" t="s">
        <v>652</v>
      </c>
    </row>
    <row r="12" spans="1:126" customFormat="1" ht="12" hidden="1" customHeight="1"/>
    <row r="13" spans="1:126" s="164" customFormat="1" ht="12" customHeight="1">
      <c r="D13" s="165"/>
      <c r="E13" s="166"/>
      <c r="F13" s="158"/>
      <c r="G13" s="167"/>
      <c r="H13" s="180"/>
      <c r="J13" s="120"/>
      <c r="K13" s="880" t="s">
        <v>2863</v>
      </c>
      <c r="L13" s="881"/>
      <c r="M13" s="881"/>
      <c r="N13" s="881"/>
      <c r="O13" s="881"/>
      <c r="P13" s="881"/>
      <c r="Q13" s="881"/>
      <c r="R13" s="881"/>
      <c r="S13" s="881"/>
      <c r="T13" s="881"/>
      <c r="U13" s="881"/>
      <c r="V13" s="881"/>
      <c r="W13" s="881"/>
      <c r="X13" s="882"/>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row>
    <row r="14" spans="1:126" ht="27" customHeight="1">
      <c r="E14" s="184"/>
      <c r="F14" s="914" t="s">
        <v>641</v>
      </c>
      <c r="G14" s="914" t="s">
        <v>735</v>
      </c>
      <c r="H14" s="854" t="str">
        <f>IF(CALC_IDENTIFIER="","",CALC_IDENTIFIER)</f>
        <v/>
      </c>
      <c r="I14" s="855"/>
      <c r="J14" s="914" t="s">
        <v>626</v>
      </c>
      <c r="K14" s="944" t="s">
        <v>2584</v>
      </c>
      <c r="L14" s="950"/>
      <c r="M14" s="945"/>
      <c r="N14" s="803" t="s">
        <v>2569</v>
      </c>
      <c r="O14" s="803"/>
      <c r="P14" s="944" t="s">
        <v>2570</v>
      </c>
      <c r="Q14" s="945"/>
      <c r="R14" s="944" t="s">
        <v>2862</v>
      </c>
      <c r="S14" s="945"/>
      <c r="T14" s="944"/>
      <c r="U14" s="945"/>
      <c r="V14" s="944" t="s">
        <v>2571</v>
      </c>
      <c r="W14" s="945"/>
      <c r="X14" s="803" t="s">
        <v>2572</v>
      </c>
      <c r="Y14" s="828" t="str">
        <f>"Средневзвешенный тариф на услуги по передаче (транспортировке) " &amp; RESOURCE_IDENTIFIER &amp; " с учётом надбавки, " &amp; IF(TRANSMISSION_TARIFF="","?",TRANSMISSION_TARIFF)</f>
        <v>Средневзвешенный тариф на услуги по передаче (транспортировке) стоков с учётом надбавки, руб/куб.м</v>
      </c>
      <c r="Z14" s="828"/>
      <c r="AA14" s="828" t="str">
        <f>"Средневзвешенный тариф на услуги по передаче (транспортировке) " &amp; RESOURCE_IDENTIFIER &amp; ", " &amp; IF(TRANSMISSION_TARIFF="","?",TRANSMISSION_TARIFF)</f>
        <v>Средневзвешенный тариф на услуги по передаче (транспортировке) стоков, руб/куб.м</v>
      </c>
      <c r="AB14" s="828"/>
      <c r="AC14" s="828"/>
      <c r="AD14" s="828"/>
      <c r="AE14" s="879" t="str">
        <f>"Объём " &amp; IF(RESOURCE_IDENTIFIER="стоков","перекачиваемых " &amp; RESOURCE_IDENTIFIER,"передаваемой " &amp; RESOURCE_IDENTIFIER) &amp; " при транспортировке, "&amp; IF(TRANSMISSION_TARIFF="руб/Гкал","Гкал",IF(TRANSMISSION_TARIFF="руб/Гкал*час в мес","Гкал*час в мес",IF(TRANSMISSION_TARIFF="руб/куб.м","куб.м","(размерность не указана)")))</f>
        <v>Объём перекачиваемых стоков при транспортировке, куб.м</v>
      </c>
      <c r="AF14" s="828"/>
      <c r="AG14" s="828"/>
      <c r="AH14" s="828" t="str">
        <f>"Надбавка к тарифу, " &amp; IF(TRANSMISSION_TARIFF="","?",TRANSMISSION_TARIFF)</f>
        <v>Надбавка к тарифу, руб/куб.м</v>
      </c>
      <c r="AI14" s="828"/>
      <c r="AJ14" s="828" t="str">
        <f>"Объём, на который расчитана надбавка, " &amp; IF(TRANSMISSION_TARIFF="руб/Гкал","Гкал",IF(TRANSMISSION_TARIFF="руб/Гкал*час в мес","Гкал*час в мес",IF(TRANSMISSION_TARIFF="руб/куб.м","куб.м","(размерность не указана)")))</f>
        <v>Объём, на который расчитана надбавка, куб.м</v>
      </c>
      <c r="AK14" s="828" t="s">
        <v>3154</v>
      </c>
      <c r="AL14" s="828"/>
      <c r="AM14" s="828"/>
      <c r="AN14" s="828" t="s">
        <v>424</v>
      </c>
      <c r="AO14" s="828"/>
      <c r="AP14" s="828"/>
      <c r="AQ14" s="828" t="s">
        <v>3155</v>
      </c>
      <c r="AR14" s="828"/>
      <c r="AS14" s="828"/>
      <c r="AT14" s="828" t="s">
        <v>3156</v>
      </c>
      <c r="AU14" s="828"/>
      <c r="AV14" s="878"/>
      <c r="AW14" s="828" t="s">
        <v>3157</v>
      </c>
      <c r="AX14" s="828"/>
      <c r="AY14" s="828"/>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row>
    <row r="15" spans="1:126" ht="69" customHeight="1">
      <c r="E15" s="184"/>
      <c r="F15" s="951"/>
      <c r="G15" s="951"/>
      <c r="H15" s="856"/>
      <c r="I15" s="857"/>
      <c r="J15" s="951"/>
      <c r="K15" s="803" t="s">
        <v>2581</v>
      </c>
      <c r="L15" s="803" t="s">
        <v>2582</v>
      </c>
      <c r="M15" s="802" t="s">
        <v>2583</v>
      </c>
      <c r="N15" s="860"/>
      <c r="O15" s="860"/>
      <c r="P15" s="803" t="s">
        <v>2573</v>
      </c>
      <c r="Q15" s="803" t="s">
        <v>2574</v>
      </c>
      <c r="R15" s="803" t="s">
        <v>2573</v>
      </c>
      <c r="S15" s="803" t="s">
        <v>2574</v>
      </c>
      <c r="T15" s="803"/>
      <c r="U15" s="803"/>
      <c r="V15" s="803" t="s">
        <v>2575</v>
      </c>
      <c r="W15" s="803" t="s">
        <v>2576</v>
      </c>
      <c r="X15" s="860"/>
      <c r="Y15" s="828"/>
      <c r="Z15" s="828"/>
      <c r="AA15" s="828"/>
      <c r="AB15" s="828"/>
      <c r="AC15" s="828"/>
      <c r="AD15" s="828"/>
      <c r="AE15" s="879"/>
      <c r="AF15" s="828"/>
      <c r="AG15" s="828"/>
      <c r="AH15" s="828"/>
      <c r="AI15" s="828"/>
      <c r="AJ15" s="828"/>
      <c r="AK15" s="828" t="str">
        <f>"Тариф, " &amp; IF(TRANSMISSION_TARIFF="","?",TRANSMISSION_TARIFF)</f>
        <v>Тариф, руб/куб.м</v>
      </c>
      <c r="AL15" s="828"/>
      <c r="AM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N15" s="828" t="str">
        <f>"Тариф, " &amp; IF(TRANSMISSION_TARIFF="","?",TRANSMISSION_TARIFF)</f>
        <v>Тариф, руб/куб.м</v>
      </c>
      <c r="AO15" s="828"/>
      <c r="AP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Q15" s="828" t="str">
        <f>"Тариф, " &amp; IF(TRANSMISSION_TARIFF="","?",TRANSMISSION_TARIFF)</f>
        <v>Тариф, руб/куб.м</v>
      </c>
      <c r="AR15" s="828"/>
      <c r="AS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T15" s="828" t="str">
        <f>"Тариф, " &amp; IF(TRANSMISSION_TARIFF="","?",TRANSMISSION_TARIFF)</f>
        <v>Тариф, руб/куб.м</v>
      </c>
      <c r="AU15" s="828"/>
      <c r="AV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W15" s="828" t="str">
        <f>"Тариф, " &amp; IF(TRANSMISSION_TARIFF="","?",TRANSMISSION_TARIFF)</f>
        <v>Тариф, руб/куб.м</v>
      </c>
      <c r="AX15" s="828"/>
      <c r="AY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R15"/>
      <c r="DS15"/>
      <c r="DT15"/>
      <c r="DU15"/>
      <c r="DV15"/>
    </row>
    <row r="16" spans="1:126" ht="18" customHeight="1">
      <c r="E16" s="184"/>
      <c r="F16" s="952"/>
      <c r="G16" s="952"/>
      <c r="H16" s="858"/>
      <c r="I16" s="859"/>
      <c r="J16" s="952"/>
      <c r="K16" s="826"/>
      <c r="L16" s="826"/>
      <c r="M16" s="802"/>
      <c r="N16" s="826"/>
      <c r="O16" s="826"/>
      <c r="P16" s="826"/>
      <c r="Q16" s="826"/>
      <c r="R16" s="826"/>
      <c r="S16" s="826"/>
      <c r="T16" s="826"/>
      <c r="U16" s="826"/>
      <c r="V16" s="826"/>
      <c r="W16" s="826"/>
      <c r="X16" s="826"/>
      <c r="Y16" s="193" t="s">
        <v>627</v>
      </c>
      <c r="Z16" s="193" t="s">
        <v>628</v>
      </c>
      <c r="AA16" s="128" t="s">
        <v>627</v>
      </c>
      <c r="AB16" s="128" t="s">
        <v>628</v>
      </c>
      <c r="AC16" s="128"/>
      <c r="AD16" s="128"/>
      <c r="AE16" s="879"/>
      <c r="AF16" s="128"/>
      <c r="AG16" s="128"/>
      <c r="AH16" s="193" t="s">
        <v>627</v>
      </c>
      <c r="AI16" s="193" t="s">
        <v>628</v>
      </c>
      <c r="AJ16" s="828"/>
      <c r="AK16" s="128" t="s">
        <v>627</v>
      </c>
      <c r="AL16" s="128" t="s">
        <v>628</v>
      </c>
      <c r="AM16" s="831"/>
      <c r="AN16" s="128" t="s">
        <v>627</v>
      </c>
      <c r="AO16" s="128" t="s">
        <v>628</v>
      </c>
      <c r="AP16" s="831"/>
      <c r="AQ16" s="128" t="s">
        <v>627</v>
      </c>
      <c r="AR16" s="128" t="s">
        <v>628</v>
      </c>
      <c r="AS16" s="831"/>
      <c r="AT16" s="128" t="s">
        <v>627</v>
      </c>
      <c r="AU16" s="128" t="s">
        <v>628</v>
      </c>
      <c r="AV16" s="831"/>
      <c r="AW16" s="128" t="s">
        <v>627</v>
      </c>
      <c r="AX16" s="128" t="s">
        <v>628</v>
      </c>
      <c r="AY16" s="831"/>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c r="DG16"/>
      <c r="DH16"/>
      <c r="DI16"/>
      <c r="DJ16"/>
      <c r="DK16"/>
      <c r="DL16"/>
      <c r="DM16"/>
      <c r="DN16"/>
      <c r="DO16"/>
      <c r="DP16"/>
      <c r="DQ16"/>
      <c r="DR16"/>
      <c r="DS16"/>
      <c r="DT16"/>
      <c r="DU16"/>
      <c r="DV16"/>
    </row>
    <row r="17" spans="1:126" ht="12" customHeight="1">
      <c r="E17" s="184"/>
      <c r="F17" s="182"/>
      <c r="G17" s="182" t="s">
        <v>759</v>
      </c>
      <c r="H17" s="183" t="s">
        <v>629</v>
      </c>
      <c r="I17" s="183"/>
      <c r="J17" s="183" t="s">
        <v>631</v>
      </c>
      <c r="K17" s="183" t="s">
        <v>2851</v>
      </c>
      <c r="L17" s="183" t="s">
        <v>2852</v>
      </c>
      <c r="M17" s="183" t="s">
        <v>2853</v>
      </c>
      <c r="N17" s="183" t="s">
        <v>2854</v>
      </c>
      <c r="O17" s="183"/>
      <c r="P17" s="183" t="s">
        <v>2855</v>
      </c>
      <c r="Q17" s="183" t="s">
        <v>2856</v>
      </c>
      <c r="R17" s="183" t="s">
        <v>2857</v>
      </c>
      <c r="S17" s="183" t="s">
        <v>2858</v>
      </c>
      <c r="T17" s="183"/>
      <c r="U17" s="183"/>
      <c r="V17" s="183" t="s">
        <v>2859</v>
      </c>
      <c r="W17" s="183" t="s">
        <v>2860</v>
      </c>
      <c r="X17" s="183" t="s">
        <v>2861</v>
      </c>
      <c r="Y17" s="598" t="s">
        <v>289</v>
      </c>
      <c r="Z17" s="598" t="s">
        <v>290</v>
      </c>
      <c r="AA17" s="598" t="s">
        <v>2501</v>
      </c>
      <c r="AB17" s="598" t="s">
        <v>2502</v>
      </c>
      <c r="AC17" s="598"/>
      <c r="AD17" s="598"/>
      <c r="AE17" s="599" t="s">
        <v>63</v>
      </c>
      <c r="AF17" s="598"/>
      <c r="AG17" s="598"/>
      <c r="AH17" s="598" t="s">
        <v>2705</v>
      </c>
      <c r="AI17" s="598" t="s">
        <v>2706</v>
      </c>
      <c r="AJ17" s="598" t="s">
        <v>2707</v>
      </c>
      <c r="AK17" s="183" t="s">
        <v>632</v>
      </c>
      <c r="AL17" s="183" t="s">
        <v>633</v>
      </c>
      <c r="AM17" s="183" t="s">
        <v>634</v>
      </c>
      <c r="AN17" s="183" t="s">
        <v>635</v>
      </c>
      <c r="AO17" s="183" t="s">
        <v>883</v>
      </c>
      <c r="AP17" s="183" t="s">
        <v>884</v>
      </c>
      <c r="AQ17" s="183" t="s">
        <v>885</v>
      </c>
      <c r="AR17" s="183" t="s">
        <v>886</v>
      </c>
      <c r="AS17" s="183" t="s">
        <v>887</v>
      </c>
      <c r="AT17" s="183" t="s">
        <v>888</v>
      </c>
      <c r="AU17" s="183" t="s">
        <v>889</v>
      </c>
      <c r="AV17" s="477" t="s">
        <v>890</v>
      </c>
      <c r="AW17" s="183" t="s">
        <v>891</v>
      </c>
      <c r="AX17" s="183" t="s">
        <v>892</v>
      </c>
      <c r="AY17" s="183" t="s">
        <v>893</v>
      </c>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472" t="s">
        <v>96</v>
      </c>
      <c r="DF17" s="472" t="s">
        <v>289</v>
      </c>
      <c r="DG17" s="472" t="s">
        <v>290</v>
      </c>
      <c r="DH17" s="472" t="s">
        <v>632</v>
      </c>
      <c r="DI17" s="472" t="s">
        <v>633</v>
      </c>
      <c r="DJ17" s="472" t="s">
        <v>635</v>
      </c>
      <c r="DK17" s="472" t="s">
        <v>883</v>
      </c>
      <c r="DL17" s="472" t="s">
        <v>885</v>
      </c>
      <c r="DM17" s="472" t="s">
        <v>886</v>
      </c>
      <c r="DN17" s="472" t="s">
        <v>888</v>
      </c>
      <c r="DO17" s="472" t="s">
        <v>889</v>
      </c>
      <c r="DP17" s="472" t="s">
        <v>891</v>
      </c>
      <c r="DQ17" s="600" t="s">
        <v>892</v>
      </c>
      <c r="DR17" s="829" t="s">
        <v>444</v>
      </c>
      <c r="DS17" s="829"/>
      <c r="DT17"/>
      <c r="DU17"/>
      <c r="DV17"/>
    </row>
    <row r="18" spans="1:126" ht="0.75" customHeight="1">
      <c r="A18" s="181"/>
      <c r="B18" s="181"/>
      <c r="C18" s="181"/>
      <c r="E18" s="184"/>
      <c r="F18" s="953" t="s">
        <v>3141</v>
      </c>
      <c r="G18" s="956" t="s">
        <v>778</v>
      </c>
      <c r="H18" s="107" t="str">
        <f>IF(TEMPLATE_SPHERE="водоснабжения","",IF(TEMPLATE_SPHERE="водоотведения","Всего",""))</f>
        <v>Всего</v>
      </c>
      <c r="I18" s="580"/>
      <c r="J18" s="177"/>
      <c r="K18" s="129"/>
      <c r="L18" s="129"/>
      <c r="M18" s="129"/>
      <c r="N18" s="129"/>
      <c r="O18" s="129"/>
      <c r="P18" s="129"/>
      <c r="Q18" s="129"/>
      <c r="R18" s="129"/>
      <c r="S18" s="129"/>
      <c r="T18" s="129"/>
      <c r="U18" s="129"/>
      <c r="V18" s="129"/>
      <c r="W18" s="129"/>
      <c r="X18" s="129"/>
      <c r="Y18" s="398"/>
      <c r="Z18" s="398"/>
      <c r="AA18" s="398"/>
      <c r="AB18" s="398"/>
      <c r="AC18" s="398"/>
      <c r="AD18" s="398"/>
      <c r="AE18" s="271"/>
      <c r="AF18" s="400"/>
      <c r="AG18" s="400"/>
      <c r="AH18" s="271"/>
      <c r="AI18" s="271"/>
      <c r="AJ18" s="271"/>
      <c r="AK18" s="400"/>
      <c r="AL18" s="400"/>
      <c r="AM18" s="271"/>
      <c r="AN18" s="400"/>
      <c r="AO18" s="400"/>
      <c r="AP18" s="271"/>
      <c r="AQ18" s="400"/>
      <c r="AR18" s="400"/>
      <c r="AS18" s="271"/>
      <c r="AT18" s="400"/>
      <c r="AU18" s="400"/>
      <c r="AV18" s="478"/>
      <c r="AW18" s="400"/>
      <c r="AX18" s="400"/>
      <c r="AY18" s="271"/>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480"/>
      <c r="DG18" s="480"/>
      <c r="DH18" s="480"/>
      <c r="DI18" s="480"/>
      <c r="DJ18" s="480"/>
      <c r="DK18" s="480"/>
      <c r="DL18" s="480"/>
      <c r="DM18" s="480"/>
      <c r="DN18" s="480"/>
      <c r="DO18" s="480"/>
      <c r="DP18" s="480"/>
      <c r="DQ18" s="480"/>
      <c r="DR18"/>
      <c r="DS18"/>
      <c r="DT18"/>
      <c r="DU18"/>
      <c r="DV18"/>
    </row>
    <row r="19" spans="1:126" ht="24" customHeight="1">
      <c r="A19" s="181"/>
      <c r="B19" s="181"/>
      <c r="C19" s="181"/>
      <c r="E19" s="184"/>
      <c r="F19" s="954"/>
      <c r="G19" s="957"/>
      <c r="H19" s="107" t="str">
        <f>IF(TEMPLATE_SPHERE="водоснабжения","Вода питьевого качества","")</f>
        <v/>
      </c>
      <c r="I19" s="580"/>
      <c r="J19" s="177"/>
      <c r="K19" s="129"/>
      <c r="L19" s="129"/>
      <c r="M19" s="129"/>
      <c r="N19" s="129"/>
      <c r="O19" s="129"/>
      <c r="P19" s="129"/>
      <c r="Q19" s="129"/>
      <c r="R19" s="129"/>
      <c r="S19" s="129"/>
      <c r="T19" s="129"/>
      <c r="U19" s="129"/>
      <c r="V19" s="129"/>
      <c r="W19" s="129"/>
      <c r="X19" s="129"/>
      <c r="Y19" s="398">
        <f>IF((AS19+AV19+AY19)=0,0,(AA19*(AS19+AV19+AY19)+AH19*IF(AJ19&gt;AS19+AV19+AY19,AS19+AV19+AY19,AJ19))/(AS19+AV19+AY19))</f>
        <v>0</v>
      </c>
      <c r="Z19" s="398">
        <f>IF((AS19+AV19+AY19)=0,0,(AB19*(AS19+AV19+AY19)+AI19*IF(AJ19&gt;AS19+AV19+AY19,AS19+AV19+AY19,AJ19))/(AS19+AV19+AY19))</f>
        <v>0</v>
      </c>
      <c r="AA19" s="398">
        <f>IF((AS19+AV19+AY19)=0,0,(AQ19*AS19+AT19*AV19+AW19*AY19)/(AS19+AV19+AY19))</f>
        <v>0</v>
      </c>
      <c r="AB19" s="398">
        <f>IF((AS19+AV19+AY19)=0,0,(AR19*AS19+AU19*AV19+AX19*AY19)/(AS19+AV19+AY19))</f>
        <v>0</v>
      </c>
      <c r="AC19" s="398"/>
      <c r="AD19" s="398"/>
      <c r="AE19" s="271">
        <f>AM19+AP19+AS19+AV19+AY19</f>
        <v>0</v>
      </c>
      <c r="AF19" s="400"/>
      <c r="AG19" s="400"/>
      <c r="AH19" s="271">
        <f>IF(AJ19&gt;0,SUMIF($H$21:$H$22,$H19,DR$21:DR$22)/AJ19,0)</f>
        <v>0</v>
      </c>
      <c r="AI19" s="271">
        <f>IF(AJ19&gt;0,SUMIF($H$21:$H$22,$H19,DS$21:DS$22)/AJ19,0)</f>
        <v>0</v>
      </c>
      <c r="AJ19" s="271">
        <f>SUMIF($H$21:$H$22,$H19,AJ$21:AJ$22)</f>
        <v>0</v>
      </c>
      <c r="AK19" s="400">
        <f>IF(AM19&gt;0,INDEX($DF19:$DQ19,MATCH(AK$17,$DF$17:$DQ$17))/AM19,0)</f>
        <v>0</v>
      </c>
      <c r="AL19" s="400">
        <f>IF(AM19&gt;0,INDEX($DF19:$DQ19,MATCH(AL$17,$DF$17:$DQ$17))/AM19,0)</f>
        <v>0</v>
      </c>
      <c r="AM19" s="271">
        <f>SUMIF($H$21:$H$22,$H19,AM$21:AM$22)</f>
        <v>0</v>
      </c>
      <c r="AN19" s="400">
        <f>IF(AP19&gt;0,INDEX($DF19:$DQ19,MATCH(AN$17,$DF$17:$DQ$17))/AP19,0)</f>
        <v>0</v>
      </c>
      <c r="AO19" s="400">
        <f>IF(AP19&gt;0,INDEX($DF19:$DQ19,MATCH(AO$17,$DF$17:$DQ$17))/AP19,0)</f>
        <v>0</v>
      </c>
      <c r="AP19" s="271">
        <f>SUMIF($H$21:$H$22,$H19,AP$21:AP$22)</f>
        <v>0</v>
      </c>
      <c r="AQ19" s="400">
        <f>IF(AS19&gt;0,INDEX($DF19:$DQ19,MATCH(AQ$17,$DF$17:$DQ$17))/AS19,0)</f>
        <v>0</v>
      </c>
      <c r="AR19" s="400">
        <f>IF(AS19&gt;0,INDEX($DF19:$DQ19,MATCH(AR$17,$DF$17:$DQ$17))/AS19,0)</f>
        <v>0</v>
      </c>
      <c r="AS19" s="271">
        <f>SUMIF($H$21:$H$22,$H19,AS$21:AS$22)</f>
        <v>0</v>
      </c>
      <c r="AT19" s="400">
        <f>IF(AV19&gt;0,INDEX($DF19:$DQ19,MATCH(AT$17,$DF$17:$DQ$17))/AV19,0)</f>
        <v>0</v>
      </c>
      <c r="AU19" s="400">
        <f>IF(AV19&gt;0,INDEX($DF19:$DQ19,MATCH(AU$17,$DF$17:$DQ$17))/AV19,0)</f>
        <v>0</v>
      </c>
      <c r="AV19" s="271">
        <f>SUMIF($H$21:$H$22,$H19,AV$21:AV$22)</f>
        <v>0</v>
      </c>
      <c r="AW19" s="400">
        <f>IF(AY19&gt;0,INDEX($DF19:$DQ19,MATCH(AW$17,$DF$17:$DQ$17))/AY19,0)</f>
        <v>0</v>
      </c>
      <c r="AX19" s="400">
        <f>IF(AY19&gt;0,INDEX($DF19:$DQ19,MATCH(AX$17,$DF$17:$DQ$17))/AY19,0)</f>
        <v>0</v>
      </c>
      <c r="AY19" s="271">
        <f>SUMIF($H$21:$H$22,$H19,AY$21:AY$22)</f>
        <v>0</v>
      </c>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647">
        <f>AS19+AV19+AY19</f>
        <v>0</v>
      </c>
      <c r="DF19" s="480">
        <f t="shared" ref="DF19:DS19" si="0">SUMIF($H21:$H22,$H19,DF21:DF22)</f>
        <v>0</v>
      </c>
      <c r="DG19" s="480">
        <f t="shared" si="0"/>
        <v>0</v>
      </c>
      <c r="DH19" s="480">
        <f t="shared" si="0"/>
        <v>0</v>
      </c>
      <c r="DI19" s="480">
        <f t="shared" si="0"/>
        <v>0</v>
      </c>
      <c r="DJ19" s="480">
        <f t="shared" si="0"/>
        <v>0</v>
      </c>
      <c r="DK19" s="480">
        <f t="shared" si="0"/>
        <v>0</v>
      </c>
      <c r="DL19" s="480">
        <f t="shared" si="0"/>
        <v>0</v>
      </c>
      <c r="DM19" s="480">
        <f t="shared" si="0"/>
        <v>0</v>
      </c>
      <c r="DN19" s="480">
        <f t="shared" si="0"/>
        <v>0</v>
      </c>
      <c r="DO19" s="480">
        <f t="shared" si="0"/>
        <v>0</v>
      </c>
      <c r="DP19" s="480">
        <f t="shared" si="0"/>
        <v>0</v>
      </c>
      <c r="DQ19" s="480">
        <f t="shared" si="0"/>
        <v>0</v>
      </c>
      <c r="DR19" s="480">
        <f t="shared" si="0"/>
        <v>0</v>
      </c>
      <c r="DS19" s="480">
        <f t="shared" si="0"/>
        <v>0</v>
      </c>
      <c r="DT19"/>
      <c r="DU19"/>
      <c r="DV19"/>
    </row>
    <row r="20" spans="1:126" ht="24" customHeight="1">
      <c r="A20" s="181"/>
      <c r="B20" s="181"/>
      <c r="C20" s="181"/>
      <c r="E20" s="184"/>
      <c r="F20" s="955"/>
      <c r="G20" s="958"/>
      <c r="H20" s="107" t="str">
        <f>IF(TEMPLATE_SPHERE="водоснабжения","Вода технического качества","")</f>
        <v/>
      </c>
      <c r="I20" s="580"/>
      <c r="J20" s="177"/>
      <c r="K20" s="129"/>
      <c r="L20" s="129"/>
      <c r="M20" s="129"/>
      <c r="N20" s="129"/>
      <c r="O20" s="129"/>
      <c r="P20" s="129"/>
      <c r="Q20" s="129"/>
      <c r="R20" s="129"/>
      <c r="S20" s="129"/>
      <c r="T20" s="129"/>
      <c r="U20" s="129"/>
      <c r="V20" s="129"/>
      <c r="W20" s="129"/>
      <c r="X20" s="129"/>
      <c r="Y20" s="398">
        <f>IF((AS20+AV20+AY20)=0,0,(AA20*(AS20+AV20+AY20)+AH20*IF(AJ20&gt;AS20+AV20+AY20,AS20+AV20+AY20,AJ20))/(AS20+AV20+AY20))</f>
        <v>0</v>
      </c>
      <c r="Z20" s="398">
        <f>IF((AS20+AV20+AY20)=0,0,(AB20*(AS20+AV20+AY20)+AI20*IF(AJ20&gt;AS20+AV20+AY20,AS20+AV20+AY20,AJ20))/(AS20+AV20+AY20))</f>
        <v>0</v>
      </c>
      <c r="AA20" s="398">
        <f>IF((AS20+AV20+AY20)=0,0,(AQ20*AS20+AT20*AV20+AW20*AY20)/(AS20+AV20+AY20))</f>
        <v>0</v>
      </c>
      <c r="AB20" s="398">
        <f>IF((AS20+AV20+AY20)=0,0,(AR20*AS20+AU20*AV20+AX20*AY20)/(AS20+AV20+AY20))</f>
        <v>0</v>
      </c>
      <c r="AC20" s="398"/>
      <c r="AD20" s="398"/>
      <c r="AE20" s="271">
        <f>AM20+AP20+AS20+AV20+AY20</f>
        <v>0</v>
      </c>
      <c r="AF20" s="400"/>
      <c r="AG20" s="400"/>
      <c r="AH20" s="271">
        <f>IF(AJ20&gt;0,SUMIF($H$21:$H$22,$H20,DR$21:DR$22)/AJ20,0)</f>
        <v>0</v>
      </c>
      <c r="AI20" s="271">
        <f>IF(AJ20&gt;0,SUMIF($H$21:$H$22,$H20,DS$21:DS$22)/AJ20,0)</f>
        <v>0</v>
      </c>
      <c r="AJ20" s="271">
        <f>SUMIF($H$21:$H$22,$H20,AJ$21:AJ$22)</f>
        <v>0</v>
      </c>
      <c r="AK20" s="400">
        <f>IF(AM20&gt;0,INDEX($DF20:$DQ20,MATCH(AK$17,$DF$17:$DQ$17))/AM20,0)</f>
        <v>0</v>
      </c>
      <c r="AL20" s="400">
        <f>IF(AM20&gt;0,INDEX($DF20:$DQ20,MATCH(AL$17,$DF$17:$DQ$17))/AM20,0)</f>
        <v>0</v>
      </c>
      <c r="AM20" s="271">
        <f>SUMIF($H$21:$H$22,$H20,AM$21:AM$22)</f>
        <v>0</v>
      </c>
      <c r="AN20" s="400">
        <f>IF(AP20&gt;0,INDEX($DF20:$DQ20,MATCH(AN$17,$DF$17:$DQ$17))/AP20,0)</f>
        <v>0</v>
      </c>
      <c r="AO20" s="400">
        <f>IF(AP20&gt;0,INDEX($DF20:$DQ20,MATCH(AO$17,$DF$17:$DQ$17))/AP20,0)</f>
        <v>0</v>
      </c>
      <c r="AP20" s="271">
        <f>SUMIF($H$21:$H$22,$H20,AP$21:AP$22)</f>
        <v>0</v>
      </c>
      <c r="AQ20" s="400">
        <f>IF(AS20&gt;0,INDEX($DF20:$DQ20,MATCH(AQ$17,$DF$17:$DQ$17))/AS20,0)</f>
        <v>0</v>
      </c>
      <c r="AR20" s="400">
        <f>IF(AS20&gt;0,INDEX($DF20:$DQ20,MATCH(AR$17,$DF$17:$DQ$17))/AS20,0)</f>
        <v>0</v>
      </c>
      <c r="AS20" s="271">
        <f>SUMIF($H$21:$H$22,$H20,AS$21:AS$22)</f>
        <v>0</v>
      </c>
      <c r="AT20" s="400">
        <f>IF(AV20&gt;0,INDEX($DF20:$DQ20,MATCH(AT$17,$DF$17:$DQ$17))/AV20,0)</f>
        <v>0</v>
      </c>
      <c r="AU20" s="400">
        <f>IF(AV20&gt;0,INDEX($DF20:$DQ20,MATCH(AU$17,$DF$17:$DQ$17))/AV20,0)</f>
        <v>0</v>
      </c>
      <c r="AV20" s="271">
        <f>SUMIF($H$21:$H$22,$H20,AV$21:AV$22)</f>
        <v>0</v>
      </c>
      <c r="AW20" s="400">
        <f>IF(AY20&gt;0,INDEX($DF20:$DQ20,MATCH(AW$17,$DF$17:$DQ$17))/AY20,0)</f>
        <v>0</v>
      </c>
      <c r="AX20" s="400">
        <f>IF(AY20&gt;0,INDEX($DF20:$DQ20,MATCH(AX$17,$DF$17:$DQ$17))/AY20,0)</f>
        <v>0</v>
      </c>
      <c r="AY20" s="271">
        <f>SUMIF($H$21:$H$22,$H20,AY$21:AY$22)</f>
        <v>0</v>
      </c>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647">
        <f>AS20+AV20+AY20</f>
        <v>0</v>
      </c>
      <c r="DF20" s="480">
        <f t="shared" ref="DF20:DS20" si="1">SUMIF($H21:$H22,$H20,DF21:DF22)</f>
        <v>0</v>
      </c>
      <c r="DG20" s="480">
        <f t="shared" si="1"/>
        <v>0</v>
      </c>
      <c r="DH20" s="480">
        <f t="shared" si="1"/>
        <v>0</v>
      </c>
      <c r="DI20" s="480">
        <f t="shared" si="1"/>
        <v>0</v>
      </c>
      <c r="DJ20" s="480">
        <f t="shared" si="1"/>
        <v>0</v>
      </c>
      <c r="DK20" s="480">
        <f t="shared" si="1"/>
        <v>0</v>
      </c>
      <c r="DL20" s="480">
        <f t="shared" si="1"/>
        <v>0</v>
      </c>
      <c r="DM20" s="480">
        <f t="shared" si="1"/>
        <v>0</v>
      </c>
      <c r="DN20" s="480">
        <f t="shared" si="1"/>
        <v>0</v>
      </c>
      <c r="DO20" s="480">
        <f t="shared" si="1"/>
        <v>0</v>
      </c>
      <c r="DP20" s="480">
        <f t="shared" si="1"/>
        <v>0</v>
      </c>
      <c r="DQ20" s="480">
        <f t="shared" si="1"/>
        <v>0</v>
      </c>
      <c r="DR20" s="480">
        <f t="shared" si="1"/>
        <v>0</v>
      </c>
      <c r="DS20" s="480">
        <f t="shared" si="1"/>
        <v>0</v>
      </c>
      <c r="DT20"/>
      <c r="DU20"/>
      <c r="DV20"/>
    </row>
    <row r="21" spans="1:126" ht="12" hidden="1" customHeight="1">
      <c r="A21" s="181"/>
      <c r="B21" s="181"/>
      <c r="C21" s="181"/>
      <c r="E21" s="184"/>
      <c r="F21" s="186">
        <v>0</v>
      </c>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479"/>
      <c r="AX21" s="479"/>
      <c r="AY21" s="574"/>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R21"/>
      <c r="DS21"/>
      <c r="DT21"/>
      <c r="DU21"/>
      <c r="DV21"/>
    </row>
    <row r="22" spans="1:126" ht="0.75" customHeight="1">
      <c r="A22" s="181"/>
      <c r="B22" s="181"/>
      <c r="C22" s="181"/>
      <c r="E22" s="184"/>
      <c r="F22" s="110"/>
      <c r="G22" s="111" t="s">
        <v>720</v>
      </c>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3"/>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R22"/>
      <c r="DS22"/>
      <c r="DT22"/>
      <c r="DU22"/>
      <c r="DV22"/>
    </row>
    <row r="23" spans="1:126" ht="12" customHeight="1">
      <c r="A23" s="181"/>
      <c r="B23" s="181"/>
      <c r="C23" s="181"/>
      <c r="E23" s="184"/>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R23"/>
      <c r="DS23"/>
      <c r="DT23"/>
      <c r="DU23"/>
      <c r="DV23"/>
    </row>
    <row r="24" spans="1:126" ht="12" customHeight="1">
      <c r="F24" s="162"/>
      <c r="G24" s="162"/>
      <c r="H24" s="162"/>
      <c r="I24"/>
      <c r="J24"/>
      <c r="K24"/>
      <c r="L24"/>
      <c r="M24"/>
      <c r="N24"/>
      <c r="O24"/>
      <c r="P24"/>
      <c r="Q24"/>
      <c r="R24"/>
      <c r="S24"/>
      <c r="T24"/>
      <c r="U24"/>
      <c r="V24"/>
      <c r="W24"/>
      <c r="X24"/>
      <c r="Y24"/>
      <c r="Z24"/>
      <c r="AA24"/>
      <c r="AB24" s="162"/>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DR24"/>
      <c r="DS24"/>
      <c r="DT24"/>
      <c r="DU24"/>
      <c r="DV24"/>
    </row>
    <row r="25" spans="1:126">
      <c r="F25" s="162"/>
      <c r="G25" s="162"/>
      <c r="H25" s="162"/>
      <c r="I25"/>
      <c r="J25"/>
      <c r="K25"/>
      <c r="L25"/>
      <c r="M25"/>
      <c r="N25"/>
      <c r="O25"/>
      <c r="P25"/>
      <c r="Q25"/>
      <c r="R25"/>
      <c r="S25"/>
      <c r="T25"/>
      <c r="U25"/>
      <c r="V25"/>
      <c r="W25"/>
      <c r="X25"/>
      <c r="Y25"/>
      <c r="Z25"/>
      <c r="AA25"/>
      <c r="AB25" s="162"/>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DR25"/>
      <c r="DS25"/>
      <c r="DT25"/>
      <c r="DU25"/>
      <c r="DV25"/>
    </row>
    <row r="26" spans="1:126" ht="11.25" customHeight="1">
      <c r="F26" s="162"/>
      <c r="G26" s="162"/>
      <c r="H26" s="162"/>
      <c r="I26"/>
      <c r="J26"/>
      <c r="K26"/>
      <c r="L26"/>
      <c r="M26"/>
      <c r="N26"/>
      <c r="O26"/>
      <c r="P26"/>
      <c r="Q26"/>
      <c r="R26"/>
      <c r="S26"/>
      <c r="T26"/>
      <c r="U26"/>
      <c r="V26"/>
      <c r="W26"/>
      <c r="X26"/>
      <c r="Y26"/>
      <c r="Z26"/>
      <c r="AA26"/>
      <c r="AB26" s="162"/>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DR26"/>
      <c r="DS26"/>
      <c r="DT26"/>
      <c r="DU26"/>
      <c r="DV26"/>
    </row>
    <row r="27" spans="1:126" ht="11.25" customHeight="1">
      <c r="F27" s="162"/>
      <c r="G27" s="162"/>
      <c r="H27" s="162"/>
      <c r="I27"/>
      <c r="J27"/>
      <c r="K27"/>
      <c r="L27"/>
      <c r="M27"/>
      <c r="N27"/>
      <c r="O27"/>
      <c r="P27"/>
      <c r="Q27"/>
      <c r="R27"/>
      <c r="S27"/>
      <c r="T27"/>
      <c r="U27"/>
      <c r="V27"/>
      <c r="W27"/>
      <c r="X27"/>
      <c r="Y27"/>
      <c r="Z27"/>
      <c r="AA27"/>
      <c r="AB27" s="162"/>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DR27"/>
      <c r="DS27"/>
      <c r="DT27"/>
      <c r="DU27"/>
      <c r="DV27"/>
    </row>
    <row r="28" spans="1:126" ht="11.25" customHeight="1">
      <c r="F28" s="162"/>
      <c r="G28" s="162"/>
      <c r="H28" s="162"/>
      <c r="I28"/>
      <c r="J28"/>
      <c r="K28"/>
      <c r="L28"/>
      <c r="M28"/>
      <c r="N28"/>
      <c r="O28"/>
      <c r="P28"/>
      <c r="Q28"/>
      <c r="R28"/>
      <c r="S28"/>
      <c r="T28"/>
      <c r="U28"/>
      <c r="V28"/>
      <c r="W28"/>
      <c r="X28"/>
      <c r="Y28"/>
      <c r="Z28"/>
      <c r="AA28"/>
      <c r="AB28" s="162"/>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row>
    <row r="29" spans="1:126" ht="11.25" customHeight="1">
      <c r="F29" s="162"/>
      <c r="G29" s="162"/>
      <c r="H29" s="162"/>
      <c r="I29"/>
      <c r="J29"/>
      <c r="K29"/>
      <c r="L29"/>
      <c r="M29"/>
      <c r="N29"/>
      <c r="O29"/>
      <c r="P29"/>
      <c r="Q29"/>
      <c r="R29"/>
      <c r="S29"/>
      <c r="T29"/>
      <c r="U29"/>
      <c r="V29"/>
      <c r="W29"/>
      <c r="X29"/>
      <c r="Y29"/>
      <c r="Z29"/>
      <c r="AA29"/>
      <c r="AB29" s="162"/>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row>
    <row r="30" spans="1:126">
      <c r="I30"/>
      <c r="J30"/>
      <c r="K30"/>
      <c r="L30"/>
      <c r="M30"/>
      <c r="N30"/>
      <c r="O30"/>
      <c r="P30"/>
      <c r="Q30"/>
      <c r="R30"/>
      <c r="S30"/>
      <c r="T30"/>
      <c r="U30"/>
      <c r="V30"/>
      <c r="W30"/>
      <c r="X30"/>
      <c r="Y30"/>
      <c r="Z30"/>
      <c r="AA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row>
    <row r="31" spans="1:126">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row>
  </sheetData>
  <sheetProtection password="FA9C" sheet="1" objects="1" scenarios="1" formatColumns="0" formatRows="0"/>
  <mergeCells count="58">
    <mergeCell ref="W15:W16"/>
    <mergeCell ref="AF14:AG15"/>
    <mergeCell ref="AS15:AS16"/>
    <mergeCell ref="Y14:Z15"/>
    <mergeCell ref="X14:X16"/>
    <mergeCell ref="AK14:AM14"/>
    <mergeCell ref="V14:W14"/>
    <mergeCell ref="AA14:AB15"/>
    <mergeCell ref="AC14:AD15"/>
    <mergeCell ref="DR17:DS17"/>
    <mergeCell ref="AW15:AX15"/>
    <mergeCell ref="AJ14:AJ16"/>
    <mergeCell ref="AT15:AU15"/>
    <mergeCell ref="AE14:AE16"/>
    <mergeCell ref="AY15:AY16"/>
    <mergeCell ref="AQ14:AS14"/>
    <mergeCell ref="AV15:AV16"/>
    <mergeCell ref="AM15:AM16"/>
    <mergeCell ref="AW14:AY14"/>
    <mergeCell ref="AN15:AO15"/>
    <mergeCell ref="AT14:AV14"/>
    <mergeCell ref="AH14:AI15"/>
    <mergeCell ref="AQ15:AR15"/>
    <mergeCell ref="AP15:AP16"/>
    <mergeCell ref="F18:F20"/>
    <mergeCell ref="G18:G20"/>
    <mergeCell ref="F14:F16"/>
    <mergeCell ref="G14:G16"/>
    <mergeCell ref="K15:K16"/>
    <mergeCell ref="H14:I16"/>
    <mergeCell ref="J14:J16"/>
    <mergeCell ref="M15:M16"/>
    <mergeCell ref="K14:M14"/>
    <mergeCell ref="L15:L16"/>
    <mergeCell ref="AY8:AZ8"/>
    <mergeCell ref="K13:X13"/>
    <mergeCell ref="K8:AE8"/>
    <mergeCell ref="AK8:AL8"/>
    <mergeCell ref="AM8:AN8"/>
    <mergeCell ref="AO8:AP8"/>
    <mergeCell ref="AW8:AX8"/>
    <mergeCell ref="AU8:AV8"/>
    <mergeCell ref="AQ8:AR8"/>
    <mergeCell ref="AS8:AT8"/>
    <mergeCell ref="V15:V16"/>
    <mergeCell ref="AK15:AL15"/>
    <mergeCell ref="AN14:AP14"/>
    <mergeCell ref="R15:R16"/>
    <mergeCell ref="S15:S16"/>
    <mergeCell ref="R14:S14"/>
    <mergeCell ref="U15:U16"/>
    <mergeCell ref="N14:N16"/>
    <mergeCell ref="O14:O16"/>
    <mergeCell ref="T14:U14"/>
    <mergeCell ref="T15:T16"/>
    <mergeCell ref="P15:P16"/>
    <mergeCell ref="P14:Q14"/>
    <mergeCell ref="Q15:Q16"/>
  </mergeCells>
  <phoneticPr fontId="8" type="noConversion"/>
  <hyperlinks>
    <hyperlink ref="K11" location="'ТМ1 01.09 - 31.12'!A1" tooltip="Отобразить / Скрыть блок" display="-"/>
  </hyperlinks>
  <pageMargins left="0.37" right="0.35" top="1" bottom="1" header="0.5" footer="0.5"/>
  <pageSetup paperSize="9" scale="37" orientation="landscape" horizontalDpi="4294967292" verticalDpi="4294967292"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sheetPr codeName="VSNA_TM2_PERIOD1">
    <tabColor rgb="FF92D050"/>
    <pageSetUpPr fitToPage="1"/>
  </sheetPr>
  <dimension ref="A1:EV42"/>
  <sheetViews>
    <sheetView showGridLines="0" topLeftCell="E3" workbookViewId="0">
      <pane xSplit="5" ySplit="19" topLeftCell="J22" activePane="bottomRight" state="frozen"/>
      <selection activeCell="AA19" sqref="AA19"/>
      <selection pane="topRight" activeCell="AA19" sqref="AA19"/>
      <selection pane="bottomLeft" activeCell="AA19" sqref="AA19"/>
      <selection pane="bottomRight"/>
    </sheetView>
  </sheetViews>
  <sheetFormatPr defaultRowHeight="11.25"/>
  <cols>
    <col min="1" max="3" width="5.7109375" style="162" hidden="1" customWidth="1"/>
    <col min="4" max="4" width="3.7109375" style="159" hidden="1" customWidth="1"/>
    <col min="5" max="5" width="5.7109375" style="179" customWidth="1"/>
    <col min="6" max="6" width="4.7109375" style="39" customWidth="1"/>
    <col min="7" max="7" width="40.7109375" style="39" customWidth="1"/>
    <col min="8" max="8" width="28.5703125" style="39" customWidth="1"/>
    <col min="9" max="9" width="0.140625" style="39" customWidth="1"/>
    <col min="10" max="10" width="20.7109375" style="39" customWidth="1"/>
    <col min="11" max="13" width="10.85546875" style="39" hidden="1" customWidth="1"/>
    <col min="14" max="14" width="11.7109375" style="39" hidden="1" customWidth="1"/>
    <col min="15" max="15" width="0.140625" style="39" hidden="1" customWidth="1"/>
    <col min="16" max="19" width="10.85546875" style="39" hidden="1" customWidth="1"/>
    <col min="20" max="21" width="0.140625" style="39" hidden="1" customWidth="1"/>
    <col min="22" max="24" width="10.85546875" style="39" hidden="1" customWidth="1"/>
    <col min="25" max="26" width="11.7109375" style="39" customWidth="1"/>
    <col min="27" max="30" width="18.7109375" style="39" customWidth="1"/>
    <col min="31" max="32" width="0.140625" style="39" customWidth="1"/>
    <col min="33" max="33" width="15.7109375" style="39" customWidth="1"/>
    <col min="34" max="35" width="0.140625" style="39" customWidth="1"/>
    <col min="36" max="37" width="11.7109375" style="39" customWidth="1"/>
    <col min="38" max="38" width="15.7109375" style="39" customWidth="1"/>
    <col min="39" max="42" width="11.7109375" style="39" customWidth="1"/>
    <col min="43" max="43" width="14.7109375" style="39" customWidth="1"/>
    <col min="44" max="47" width="11.7109375" style="39" customWidth="1"/>
    <col min="48" max="48" width="14.7109375" style="39" customWidth="1"/>
    <col min="49" max="50" width="13.7109375" style="39" hidden="1" customWidth="1"/>
    <col min="51" max="56" width="12.5703125" style="39" hidden="1" customWidth="1"/>
    <col min="57" max="58" width="12.5703125" style="39" customWidth="1"/>
    <col min="59" max="62" width="12.7109375" style="39" customWidth="1"/>
    <col min="63" max="63" width="14.7109375" style="39" customWidth="1"/>
    <col min="64" max="65" width="13.85546875" style="39" hidden="1" customWidth="1"/>
    <col min="66" max="71" width="12.7109375" style="39" hidden="1" customWidth="1"/>
    <col min="72" max="77" width="12.7109375" style="39" customWidth="1"/>
    <col min="78" max="78" width="14.7109375" style="39" customWidth="1"/>
    <col min="79" max="80" width="13.85546875" style="39" hidden="1" customWidth="1"/>
    <col min="81" max="86" width="12.7109375" style="39" hidden="1" customWidth="1"/>
    <col min="87" max="88" width="12.7109375" style="39" customWidth="1"/>
    <col min="89" max="95" width="15.7109375" style="39" customWidth="1"/>
    <col min="96" max="96" width="19.5703125" style="39" customWidth="1"/>
    <col min="97" max="109" width="1.7109375" style="162" customWidth="1"/>
    <col min="110" max="112" width="6.7109375" style="78" hidden="1" customWidth="1"/>
    <col min="113" max="118" width="6.7109375" style="77" hidden="1" customWidth="1"/>
    <col min="119" max="119" width="6.7109375" style="78" hidden="1" customWidth="1"/>
    <col min="120" max="124" width="6.7109375" style="77" hidden="1" customWidth="1"/>
    <col min="125" max="149" width="6.7109375" style="39" hidden="1" customWidth="1"/>
    <col min="150" max="152" width="9.140625" style="39" hidden="1" customWidth="1"/>
    <col min="153" max="16384" width="9.140625" style="39"/>
  </cols>
  <sheetData>
    <row r="1" spans="4:152" s="162" customFormat="1" hidden="1">
      <c r="D1" s="159"/>
      <c r="E1" s="179"/>
      <c r="DF1" s="78"/>
      <c r="DG1" s="78"/>
      <c r="DH1" s="78"/>
      <c r="DI1" s="78"/>
      <c r="DJ1" s="78"/>
      <c r="DK1" s="78"/>
      <c r="DL1" s="78"/>
      <c r="DM1" s="78"/>
      <c r="DN1" s="78"/>
      <c r="DO1" s="78"/>
      <c r="DP1" s="78"/>
      <c r="DQ1" s="78"/>
      <c r="DR1" s="78"/>
      <c r="DS1" s="78"/>
      <c r="DT1" s="78"/>
    </row>
    <row r="2" spans="4:152" s="162" customFormat="1" hidden="1">
      <c r="D2" s="159"/>
      <c r="E2" s="179"/>
      <c r="DF2" s="78"/>
      <c r="DG2" s="78"/>
      <c r="DH2" s="78"/>
      <c r="DI2" s="78"/>
      <c r="DJ2" s="78"/>
      <c r="DK2" s="78"/>
      <c r="DL2" s="78"/>
      <c r="DM2" s="78"/>
      <c r="DN2" s="78"/>
      <c r="DO2" s="78"/>
      <c r="DP2" s="78"/>
      <c r="DQ2" s="78"/>
      <c r="DR2" s="78"/>
      <c r="DS2" s="78"/>
      <c r="DT2" s="78"/>
    </row>
    <row r="3" spans="4:152" s="162" customFormat="1" ht="12" customHeight="1">
      <c r="D3" s="159"/>
      <c r="E3" s="179"/>
      <c r="F3" s="637"/>
      <c r="G3" s="219" t="str">
        <f>"Необходимо указывать " &amp; IF(TARIFF_SETUP_METHOD_CODE="BY_PSEUDO_YEARS","общегодовые значения","значения по периодам")</f>
        <v>Необходимо указывать значения по периодам</v>
      </c>
      <c r="H3" s="616" t="s">
        <v>785</v>
      </c>
      <c r="I3" s="637">
        <f>IF(TARIFF_SETUP_METHOD_CODE="BY_PSEUDO_YEARS",12,6)</f>
        <v>6</v>
      </c>
      <c r="DF3" s="78"/>
      <c r="DG3" s="78"/>
      <c r="DH3" s="78"/>
      <c r="DI3" s="78"/>
      <c r="DJ3" s="78"/>
      <c r="DK3" s="78"/>
      <c r="DL3" s="78"/>
      <c r="DM3" s="78"/>
      <c r="DN3" s="78"/>
      <c r="DO3" s="78"/>
      <c r="DP3" s="78"/>
      <c r="DQ3" s="78"/>
      <c r="DR3" s="78"/>
      <c r="DS3" s="78"/>
      <c r="DT3" s="78"/>
    </row>
    <row r="4" spans="4:152" s="162" customFormat="1" ht="3" customHeight="1">
      <c r="D4" s="159"/>
      <c r="E4" s="184"/>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5"/>
      <c r="CZ4" s="185"/>
      <c r="DA4" s="185"/>
      <c r="DB4" s="185"/>
      <c r="DC4" s="185"/>
      <c r="DD4" s="185"/>
      <c r="DE4" s="185"/>
      <c r="DF4" s="78"/>
      <c r="DG4" s="78"/>
      <c r="DH4" s="78"/>
      <c r="DI4" s="78"/>
      <c r="DJ4" s="78"/>
      <c r="DK4" s="78"/>
      <c r="DL4" s="78"/>
      <c r="DM4" s="78"/>
      <c r="DN4" s="78"/>
      <c r="DO4" s="78"/>
      <c r="DP4" s="78"/>
      <c r="DQ4" s="78"/>
      <c r="DR4" s="78"/>
      <c r="DS4" s="78"/>
      <c r="DT4" s="78"/>
    </row>
    <row r="5" spans="4:152" s="423" customFormat="1" ht="18" customHeight="1">
      <c r="F5" s="422" t="str">
        <f>"Тарифы для организаций " &amp; TEMPLATE_SPHERE &amp; " по муниципальному образованию - " &amp; IF(mo="","Не определено",mo)</f>
        <v>Тарифы для организаций водоотведения по муниципальному образованию - Село Булава</v>
      </c>
      <c r="G5" s="416"/>
      <c r="H5" s="416"/>
      <c r="I5" s="416"/>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H5" s="407"/>
      <c r="BI5" s="407"/>
      <c r="BJ5" s="407"/>
      <c r="BK5" s="407"/>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L5" s="407"/>
      <c r="CM5" s="407"/>
      <c r="CN5" s="407"/>
      <c r="CO5" s="407"/>
      <c r="CP5" s="407"/>
      <c r="CQ5" s="407"/>
      <c r="CR5" s="407"/>
      <c r="DF5" s="424"/>
      <c r="DG5" s="424"/>
      <c r="DH5" s="424"/>
      <c r="DI5" s="424"/>
      <c r="DJ5" s="424"/>
      <c r="DK5" s="424"/>
      <c r="DL5" s="424"/>
      <c r="DM5" s="424"/>
      <c r="DN5" s="424"/>
      <c r="DO5" s="424"/>
      <c r="DP5" s="424"/>
      <c r="DQ5" s="424"/>
    </row>
    <row r="6" spans="4:152" s="164" customFormat="1" ht="2.25" customHeight="1">
      <c r="D6" s="165"/>
      <c r="E6" s="190"/>
      <c r="F6" s="158"/>
      <c r="G6" s="158"/>
      <c r="H6" s="158"/>
      <c r="I6" s="158"/>
      <c r="J6" s="158"/>
      <c r="K6" s="180"/>
      <c r="L6" s="180"/>
      <c r="M6" s="180"/>
      <c r="N6" s="180"/>
      <c r="O6" s="180"/>
      <c r="P6" s="180"/>
      <c r="Q6" s="180"/>
      <c r="R6" s="180"/>
      <c r="S6" s="180"/>
      <c r="T6" s="180"/>
      <c r="U6" s="180"/>
      <c r="V6" s="180"/>
      <c r="W6" s="180"/>
      <c r="X6" s="180"/>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91"/>
      <c r="CQ6" s="191"/>
      <c r="CR6" s="191"/>
      <c r="CS6" s="158"/>
      <c r="CT6" s="158"/>
      <c r="CU6" s="158"/>
      <c r="CV6" s="158"/>
      <c r="CW6" s="158"/>
      <c r="CX6" s="158"/>
      <c r="CY6" s="158"/>
      <c r="CZ6" s="158"/>
      <c r="DA6" s="158"/>
      <c r="DB6" s="158"/>
      <c r="DC6" s="158"/>
      <c r="DD6" s="158"/>
      <c r="DE6" s="158"/>
      <c r="DF6" s="81"/>
      <c r="DG6" s="81"/>
      <c r="DH6" s="81"/>
      <c r="DI6" s="81"/>
      <c r="DJ6" s="81"/>
      <c r="DK6" s="81"/>
      <c r="DL6" s="81"/>
      <c r="DM6" s="81"/>
      <c r="DN6" s="81"/>
      <c r="DO6" s="81"/>
      <c r="DP6" s="81"/>
      <c r="DQ6" s="81"/>
      <c r="DR6" s="81"/>
      <c r="DS6" s="81"/>
      <c r="DT6" s="81"/>
    </row>
    <row r="7" spans="4:152" s="164" customFormat="1" ht="36" customHeight="1">
      <c r="D7" s="165"/>
      <c r="E7" s="190"/>
      <c r="F7" s="158"/>
      <c r="G7" s="158"/>
      <c r="H7" s="158"/>
      <c r="I7" s="158"/>
      <c r="J7" s="158"/>
      <c r="K7" s="191"/>
      <c r="L7" s="191"/>
      <c r="M7" s="191"/>
      <c r="N7" s="191"/>
      <c r="O7" s="191"/>
      <c r="P7" s="191"/>
      <c r="Q7" s="191"/>
      <c r="R7" s="191"/>
      <c r="S7" s="191"/>
      <c r="T7" s="191"/>
      <c r="U7" s="191"/>
      <c r="V7" s="191"/>
      <c r="W7" s="191"/>
      <c r="X7" s="191"/>
      <c r="Y7" s="191"/>
      <c r="Z7" s="191"/>
      <c r="AA7" s="824" t="str">
        <f>"Средневзвешенный тариф с учётом надбавки и передачи (транспортировки), руб./" &amp; $G$12</f>
        <v>Средневзвешенный тариф с учётом надбавки и передачи (транспортировки), руб./куб.м</v>
      </c>
      <c r="AB7" s="924"/>
      <c r="AC7" s="824" t="str">
        <f>"Средневзвешенный тариф с учётом передачи (транспортировки), руб./" &amp; $G$12</f>
        <v>Средневзвешенный тариф с учётом передачи (транспортировки), руб./куб.м</v>
      </c>
      <c r="AD7" s="924"/>
      <c r="AE7" s="824"/>
      <c r="AF7" s="924"/>
      <c r="AG7" s="925" t="s">
        <v>3158</v>
      </c>
      <c r="AH7" s="191"/>
      <c r="AI7" s="191"/>
      <c r="AJ7" s="191"/>
      <c r="AK7" s="191"/>
      <c r="AL7" s="191"/>
      <c r="AM7" s="191"/>
      <c r="AN7" s="191"/>
      <c r="AO7" s="191"/>
      <c r="AP7" s="191"/>
      <c r="AQ7" s="191"/>
      <c r="AR7" s="191"/>
      <c r="AS7" s="191"/>
      <c r="AT7" s="191"/>
      <c r="AU7" s="191"/>
      <c r="AV7" s="158"/>
      <c r="AW7" s="824" t="str">
        <f>"Средневзвешенный тариф по группе ""Бюджетные потребители"", руб./" &amp; $G$12</f>
        <v>Средневзвешенный тариф по группе "Бюджетные потребители", руб./куб.м</v>
      </c>
      <c r="AX7" s="824"/>
      <c r="AY7" s="158"/>
      <c r="AZ7" s="158"/>
      <c r="BA7" s="158"/>
      <c r="BB7" s="158"/>
      <c r="BC7" s="158"/>
      <c r="BD7" s="158"/>
      <c r="BE7" s="158"/>
      <c r="BF7" s="158"/>
      <c r="BG7" s="158"/>
      <c r="BH7" s="158"/>
      <c r="BI7" s="158"/>
      <c r="BJ7" s="158"/>
      <c r="BK7" s="158"/>
      <c r="BL7" s="824" t="str">
        <f>"Средневзвешенный тариф по группе ""Население"", руб./" &amp; $G$12</f>
        <v>Средневзвешенный тариф по группе "Население", руб./куб.м</v>
      </c>
      <c r="BM7" s="824"/>
      <c r="BN7" s="158"/>
      <c r="BO7" s="158"/>
      <c r="BP7" s="158"/>
      <c r="BQ7" s="158"/>
      <c r="BR7" s="158"/>
      <c r="BS7" s="158"/>
      <c r="BT7" s="158"/>
      <c r="BU7" s="158"/>
      <c r="BV7" s="158"/>
      <c r="BW7" s="158"/>
      <c r="BX7" s="158"/>
      <c r="BY7" s="158"/>
      <c r="BZ7" s="158"/>
      <c r="CA7" s="824" t="str">
        <f>"Средневзвешенный тариф по группе ""Прочие"", руб./" &amp; $G$12</f>
        <v>Средневзвешенный тариф по группе "Прочие", руб./куб.м</v>
      </c>
      <c r="CB7" s="824"/>
      <c r="CC7" s="158"/>
      <c r="CD7" s="158"/>
      <c r="CE7" s="158"/>
      <c r="CF7" s="158"/>
      <c r="CG7" s="158"/>
      <c r="CH7" s="158"/>
      <c r="CI7" s="158"/>
      <c r="CJ7" s="158"/>
      <c r="CK7" s="158"/>
      <c r="CL7" s="158"/>
      <c r="CM7" s="158"/>
      <c r="CN7" s="158"/>
      <c r="CO7" s="158"/>
      <c r="CP7" s="158"/>
      <c r="CQ7" s="158"/>
      <c r="CR7" s="191"/>
      <c r="CS7" s="158"/>
      <c r="CT7" s="158"/>
      <c r="CU7" s="158"/>
      <c r="CV7" s="158"/>
      <c r="CW7" s="158"/>
      <c r="CX7" s="158"/>
      <c r="CY7" s="158"/>
      <c r="CZ7" s="158"/>
      <c r="DA7" s="158"/>
      <c r="DB7" s="158"/>
      <c r="DC7" s="158"/>
      <c r="DD7" s="158"/>
      <c r="DE7" s="158"/>
      <c r="DF7" s="81"/>
      <c r="DG7" s="81"/>
      <c r="DH7" s="81"/>
      <c r="DI7" s="81"/>
      <c r="DJ7" s="81"/>
      <c r="DK7" s="81"/>
      <c r="DL7" s="81"/>
      <c r="DM7" s="81"/>
      <c r="DN7" s="81"/>
      <c r="DO7" s="81"/>
      <c r="DP7" s="81"/>
      <c r="DQ7" s="81"/>
      <c r="DR7" s="81"/>
      <c r="DS7" s="81"/>
      <c r="DT7" s="81"/>
    </row>
    <row r="8" spans="4:152" s="164" customFormat="1" ht="12" customHeight="1">
      <c r="D8" s="165"/>
      <c r="E8" s="190"/>
      <c r="F8" s="158"/>
      <c r="G8" s="197" t="s">
        <v>2781</v>
      </c>
      <c r="H8" s="198"/>
      <c r="I8" s="120"/>
      <c r="J8" s="120"/>
      <c r="K8" s="189"/>
      <c r="L8" s="189"/>
      <c r="M8" s="189"/>
      <c r="N8" s="189"/>
      <c r="O8" s="189"/>
      <c r="P8" s="189"/>
      <c r="Q8" s="189"/>
      <c r="R8" s="189"/>
      <c r="S8" s="189"/>
      <c r="T8" s="189"/>
      <c r="U8" s="189"/>
      <c r="V8" s="189"/>
      <c r="W8" s="189"/>
      <c r="X8" s="189"/>
      <c r="Y8" s="158"/>
      <c r="Z8" s="191"/>
      <c r="AA8" s="337" t="s">
        <v>627</v>
      </c>
      <c r="AB8" s="428" t="s">
        <v>628</v>
      </c>
      <c r="AC8" s="337" t="s">
        <v>627</v>
      </c>
      <c r="AD8" s="428" t="s">
        <v>628</v>
      </c>
      <c r="AE8" s="337"/>
      <c r="AF8" s="428"/>
      <c r="AG8" s="926"/>
      <c r="AH8" s="158"/>
      <c r="AI8" s="158"/>
      <c r="AJ8" s="158"/>
      <c r="AK8" s="158"/>
      <c r="AL8" s="158"/>
      <c r="AM8" s="158"/>
      <c r="AN8" s="158"/>
      <c r="AO8" s="158"/>
      <c r="AP8" s="158"/>
      <c r="AQ8" s="158"/>
      <c r="AR8" s="158"/>
      <c r="AS8" s="158"/>
      <c r="AT8" s="158"/>
      <c r="AU8" s="158"/>
      <c r="AV8" s="158"/>
      <c r="AW8" s="337" t="s">
        <v>627</v>
      </c>
      <c r="AX8" s="337" t="s">
        <v>628</v>
      </c>
      <c r="AY8" s="158"/>
      <c r="AZ8" s="158"/>
      <c r="BA8" s="158"/>
      <c r="BB8" s="158"/>
      <c r="BC8" s="158"/>
      <c r="BD8" s="158"/>
      <c r="BE8" s="158"/>
      <c r="BF8" s="158"/>
      <c r="BG8" s="158"/>
      <c r="BH8" s="158"/>
      <c r="BI8" s="158"/>
      <c r="BJ8" s="158"/>
      <c r="BK8" s="158"/>
      <c r="BL8" s="337" t="s">
        <v>627</v>
      </c>
      <c r="BM8" s="337" t="s">
        <v>628</v>
      </c>
      <c r="BN8" s="158"/>
      <c r="BO8" s="158"/>
      <c r="BP8" s="158"/>
      <c r="BQ8" s="158"/>
      <c r="BR8" s="158"/>
      <c r="BS8" s="158"/>
      <c r="BT8" s="158"/>
      <c r="BU8" s="158"/>
      <c r="BV8" s="158"/>
      <c r="BW8" s="158"/>
      <c r="BX8" s="158"/>
      <c r="BY8" s="158"/>
      <c r="BZ8" s="158"/>
      <c r="CA8" s="337" t="s">
        <v>627</v>
      </c>
      <c r="CB8" s="337" t="s">
        <v>628</v>
      </c>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81"/>
      <c r="DG8" s="81"/>
      <c r="DH8" s="81"/>
      <c r="DI8" s="81"/>
      <c r="DJ8" s="81"/>
      <c r="DK8" s="81"/>
      <c r="DL8" s="81"/>
      <c r="DM8" s="81"/>
      <c r="DN8" s="81"/>
      <c r="DO8" s="81"/>
      <c r="DP8" s="81"/>
      <c r="DQ8" s="81"/>
      <c r="DR8" s="81"/>
      <c r="DS8" s="81"/>
      <c r="DT8" s="81"/>
    </row>
    <row r="9" spans="4:152" s="164" customFormat="1" ht="12" hidden="1" customHeight="1">
      <c r="D9" s="165"/>
      <c r="E9" s="190"/>
      <c r="F9" s="158"/>
      <c r="G9"/>
      <c r="H9" s="84"/>
      <c r="I9" s="158"/>
      <c r="J9" s="158"/>
      <c r="K9" s="189"/>
      <c r="L9" s="189"/>
      <c r="M9" s="189"/>
      <c r="N9" s="189"/>
      <c r="O9" s="189"/>
      <c r="P9" s="189"/>
      <c r="Q9" s="189"/>
      <c r="R9" s="189"/>
      <c r="S9" s="189"/>
      <c r="T9" s="189"/>
      <c r="U9" s="189"/>
      <c r="V9" s="189"/>
      <c r="W9" s="189"/>
      <c r="X9" s="189"/>
      <c r="Y9" s="158"/>
      <c r="Z9" s="191"/>
      <c r="AA9" s="398"/>
      <c r="AB9" s="429"/>
      <c r="AC9" s="398"/>
      <c r="AD9" s="429"/>
      <c r="AE9" s="398"/>
      <c r="AF9" s="429"/>
      <c r="AG9" s="130"/>
      <c r="AH9" s="158"/>
      <c r="AI9" s="158"/>
      <c r="AJ9" s="158"/>
      <c r="AK9" s="158"/>
      <c r="AL9" s="158"/>
      <c r="AM9" s="158"/>
      <c r="AN9" s="158"/>
      <c r="AO9" s="158"/>
      <c r="AP9" s="158"/>
      <c r="AQ9" s="158"/>
      <c r="AR9" s="158"/>
      <c r="AS9" s="158"/>
      <c r="AT9" s="158"/>
      <c r="AU9" s="158"/>
      <c r="AV9" s="158"/>
      <c r="AW9" s="398"/>
      <c r="AX9" s="398"/>
      <c r="AY9" s="158"/>
      <c r="AZ9" s="158"/>
      <c r="BA9" s="158"/>
      <c r="BB9" s="158"/>
      <c r="BC9" s="158"/>
      <c r="BD9" s="158"/>
      <c r="BE9" s="158"/>
      <c r="BF9" s="158"/>
      <c r="BG9" s="158"/>
      <c r="BH9" s="158"/>
      <c r="BI9" s="158"/>
      <c r="BJ9" s="158"/>
      <c r="BK9" s="158"/>
      <c r="BL9" s="398"/>
      <c r="BM9" s="398"/>
      <c r="BN9" s="158"/>
      <c r="BO9" s="158"/>
      <c r="BP9" s="158"/>
      <c r="BQ9" s="158"/>
      <c r="BR9" s="158"/>
      <c r="BS9" s="158"/>
      <c r="BT9" s="158"/>
      <c r="BU9" s="158"/>
      <c r="BV9" s="158"/>
      <c r="BW9" s="158"/>
      <c r="BX9" s="158"/>
      <c r="BY9" s="158"/>
      <c r="BZ9" s="158"/>
      <c r="CA9" s="398"/>
      <c r="CB9" s="398"/>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81"/>
      <c r="DG9" s="81"/>
      <c r="DH9" s="81"/>
      <c r="DI9" s="81"/>
      <c r="DJ9" s="81"/>
      <c r="DK9" s="81"/>
      <c r="DL9" s="81"/>
      <c r="DM9" s="81"/>
      <c r="DN9" s="81"/>
      <c r="DO9" s="81"/>
      <c r="DP9" s="81"/>
      <c r="DQ9" s="81"/>
      <c r="DR9" s="81"/>
      <c r="DS9" s="81"/>
      <c r="DT9" s="81"/>
    </row>
    <row r="10" spans="4:152" s="164" customFormat="1" ht="12" customHeight="1">
      <c r="D10" s="165"/>
      <c r="E10" s="190"/>
      <c r="F10" s="158"/>
      <c r="G10"/>
      <c r="H10" s="84"/>
      <c r="I10" s="158"/>
      <c r="J10" s="158"/>
      <c r="K10" s="444" t="s">
        <v>652</v>
      </c>
      <c r="L10" s="189"/>
      <c r="M10" s="189"/>
      <c r="N10" s="189"/>
      <c r="O10" s="189"/>
      <c r="P10" s="189"/>
      <c r="Q10" s="189"/>
      <c r="R10" s="189"/>
      <c r="S10" s="189"/>
      <c r="T10" s="189"/>
      <c r="U10" s="189"/>
      <c r="V10" s="189"/>
      <c r="W10" s="189"/>
      <c r="X10" s="189"/>
      <c r="Y10" s="158"/>
      <c r="Z10" s="191"/>
      <c r="AA10" s="398">
        <f>IF(AG19=0,0,((('ВС.ТМ1 01.01 - 30.06'!AQ19*'ВС.ТМ1 01.01 - 30.06'!AS19*$AG10)+('ВС.ТМ1 01.01 - 30.06'!AT19*'ВС.ТМ1 01.01 - 30.06'!AV19*$AG10)+('ВС.ТМ1 01.01 - 30.06'!AW19*'ВС.ТМ1 01.01 - 30.06'!AY19*$AG10))+ (AA19*AG19))/AG19)</f>
        <v>0</v>
      </c>
      <c r="AB10" s="429">
        <f>IF(AG19=0,0,((('ВС.ТМ1 01.01 - 30.06'!AR19*'ВС.ТМ1 01.01 - 30.06'!AS19*$AG10)+('ВС.ТМ1 01.01 - 30.06'!AU19*'ВС.ТМ1 01.01 - 30.06'!AV19*$AG10)+('ВС.ТМ1 01.01 - 30.06'!AX19*'ВС.ТМ1 01.01 - 30.06'!AY19*$AG10))+ (AB19*AG19))/AG19)</f>
        <v>0</v>
      </c>
      <c r="AC10" s="398">
        <f>IF(AG19=0,0,((('ВС.ТМ1 01.01 - 30.06'!AQ19*'ВС.ТМ1 01.01 - 30.06'!AS19*$AG10)+('ВС.ТМ1 01.01 - 30.06'!AT19*'ВС.ТМ1 01.01 - 30.06'!AV19*$AG10)+('ВС.ТМ1 01.01 - 30.06'!AW19*'ВС.ТМ1 01.01 - 30.06'!AY19*$AG10))+ (AC19*AG19))/AG19)</f>
        <v>0</v>
      </c>
      <c r="AD10" s="429">
        <f>IF(AG19=0,0,((('ВС.ТМ1 01.01 - 30.06'!AR19*'ВС.ТМ1 01.01 - 30.06'!AS19*$AG10)+('ВС.ТМ1 01.01 - 30.06'!AU19*'ВС.ТМ1 01.01 - 30.06'!AV19*$AG10)+('ВС.ТМ1 01.01 - 30.06'!AX19*'ВС.ТМ1 01.01 - 30.06'!AY19*$AG10))+ (AD19*AG19))/AG19)</f>
        <v>0</v>
      </c>
      <c r="AE10" s="398"/>
      <c r="AF10" s="429"/>
      <c r="AG10" s="130">
        <v>1</v>
      </c>
      <c r="AH10" s="158"/>
      <c r="AI10" s="158"/>
      <c r="AJ10" s="158"/>
      <c r="AK10" s="158"/>
      <c r="AL10" s="158"/>
      <c r="AM10" s="158"/>
      <c r="AN10" s="158"/>
      <c r="AO10" s="158"/>
      <c r="AP10" s="158"/>
      <c r="AQ10" s="158"/>
      <c r="AR10" s="158"/>
      <c r="AS10" s="158"/>
      <c r="AT10" s="158"/>
      <c r="AU10" s="158"/>
      <c r="AV10" s="158"/>
      <c r="AW10" s="398">
        <f>IF(AV19+BA19&gt;0,(AR19*AV19+AW19*BA19)/(AV19+BA19),0)</f>
        <v>0</v>
      </c>
      <c r="AX10" s="398">
        <f>IF(AV19+BA19&gt;0,(AS19*AV19+AX19*BA19)/(AV19+BA19),0)</f>
        <v>0</v>
      </c>
      <c r="AY10" s="158"/>
      <c r="AZ10" s="158"/>
      <c r="BA10" s="158"/>
      <c r="BB10" s="158"/>
      <c r="BC10" s="158"/>
      <c r="BD10" s="158"/>
      <c r="BE10" s="158"/>
      <c r="BF10" s="158"/>
      <c r="BG10" s="158"/>
      <c r="BH10" s="158"/>
      <c r="BI10" s="158"/>
      <c r="BJ10" s="158"/>
      <c r="BK10" s="158"/>
      <c r="BL10" s="398">
        <f>IF(BK19+BP19&gt;0,(BG19*BK19+BL19*BP19)/(BK19+BP19),0)</f>
        <v>0</v>
      </c>
      <c r="BM10" s="398">
        <f>IF(BK19+BP19&gt;0,(BH19*BK19+BM19*BP19)/(BK19+BP19),0)</f>
        <v>0</v>
      </c>
      <c r="BN10" s="158"/>
      <c r="BO10" s="158"/>
      <c r="BP10" s="158"/>
      <c r="BQ10" s="158"/>
      <c r="BR10" s="158"/>
      <c r="BS10" s="158"/>
      <c r="BT10" s="158"/>
      <c r="BU10" s="158"/>
      <c r="BV10" s="158"/>
      <c r="BW10" s="158"/>
      <c r="BX10" s="158"/>
      <c r="BY10" s="158"/>
      <c r="BZ10" s="158"/>
      <c r="CA10" s="398">
        <f>IF(BZ19+CE19&gt;0,(BV19*BZ19+CA19*CE19)/(BZ19+CE19),0)</f>
        <v>0</v>
      </c>
      <c r="CB10" s="398">
        <f>IF(BZ19&gt;0,(BW19*BZ19+CB19*CE19)/BZ19,0)</f>
        <v>0</v>
      </c>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81"/>
      <c r="DG10" s="81"/>
      <c r="DH10" s="81"/>
      <c r="DI10" s="81"/>
      <c r="DJ10" s="81"/>
      <c r="DK10" s="81"/>
      <c r="DL10" s="81"/>
      <c r="DM10" s="81"/>
      <c r="DN10" s="81"/>
      <c r="DO10" s="81"/>
      <c r="DP10" s="81"/>
      <c r="DQ10" s="81"/>
      <c r="DR10" s="81"/>
      <c r="DS10" s="81"/>
      <c r="DT10" s="81"/>
    </row>
    <row r="11" spans="4:152" s="164" customFormat="1" ht="12" customHeight="1">
      <c r="D11" s="165"/>
      <c r="E11" s="190"/>
      <c r="F11" s="158"/>
      <c r="G11"/>
      <c r="H11" s="84"/>
      <c r="I11" s="158"/>
      <c r="J11" s="158"/>
      <c r="K11" s="189"/>
      <c r="L11" s="189"/>
      <c r="M11" s="189"/>
      <c r="N11" s="189"/>
      <c r="O11" s="189"/>
      <c r="P11" s="189"/>
      <c r="Q11" s="189"/>
      <c r="R11" s="189"/>
      <c r="S11" s="189"/>
      <c r="T11" s="189"/>
      <c r="U11" s="189"/>
      <c r="V11" s="189"/>
      <c r="W11" s="189"/>
      <c r="X11" s="189"/>
      <c r="Y11" s="158"/>
      <c r="Z11" s="191"/>
      <c r="AA11" s="398">
        <f>IF(AG20=0,0,((('ВС.ТМ1 01.01 - 30.06'!AQ20*'ВС.ТМ1 01.01 - 30.06'!AS20*$AG11)+('ВС.ТМ1 01.01 - 30.06'!AT20*'ВС.ТМ1 01.01 - 30.06'!AV20*$AG11)+('ВС.ТМ1 01.01 - 30.06'!AW20*'ВС.ТМ1 01.01 - 30.06'!AY20*$AG11))+ (AA20*AG20))/AG20)</f>
        <v>0</v>
      </c>
      <c r="AB11" s="429">
        <f>IF(AG20=0,0,((('ВС.ТМ1 01.01 - 30.06'!AR20*'ВС.ТМ1 01.01 - 30.06'!AS20*$AG11)+('ВС.ТМ1 01.01 - 30.06'!AU20*'ВС.ТМ1 01.01 - 30.06'!AV20*$AG11)+('ВС.ТМ1 01.01 - 30.06'!AX20*'ВС.ТМ1 01.01 - 30.06'!AY20*$AG11))+ (AB20*AG20))/AG20)</f>
        <v>0</v>
      </c>
      <c r="AC11" s="398">
        <f>IF(AG20=0,0,((('ВС.ТМ1 01.01 - 30.06'!AQ20*'ВС.ТМ1 01.01 - 30.06'!AS20*$AG11)+('ВС.ТМ1 01.01 - 30.06'!AT20*'ВС.ТМ1 01.01 - 30.06'!AV20*$AG11)+('ВС.ТМ1 01.01 - 30.06'!AW20*'ВС.ТМ1 01.01 - 30.06'!AY20*$AG11))+ (AC20*AG20))/AG20)</f>
        <v>0</v>
      </c>
      <c r="AD11" s="429">
        <f>IF(AG20=0,0,((('ВС.ТМ1 01.01 - 30.06'!AR20*'ВС.ТМ1 01.01 - 30.06'!AS20*$AG11)+('ВС.ТМ1 01.01 - 30.06'!AU20*'ВС.ТМ1 01.01 - 30.06'!AV20*$AG11)+('ВС.ТМ1 01.01 - 30.06'!AX20*'ВС.ТМ1 01.01 - 30.06'!AY20*$AG11))+ (AD20*AG20))/AG20)</f>
        <v>0</v>
      </c>
      <c r="AE11" s="398"/>
      <c r="AF11" s="429"/>
      <c r="AG11" s="130">
        <v>1</v>
      </c>
      <c r="AH11" s="158"/>
      <c r="AI11" s="158"/>
      <c r="AJ11" s="158"/>
      <c r="AK11" s="158"/>
      <c r="AL11" s="158"/>
      <c r="AM11" s="158"/>
      <c r="AN11" s="158"/>
      <c r="AO11" s="158"/>
      <c r="AP11" s="158"/>
      <c r="AQ11" s="158"/>
      <c r="AR11" s="158"/>
      <c r="AS11" s="158"/>
      <c r="AT11" s="158"/>
      <c r="AU11" s="158"/>
      <c r="AV11" s="158"/>
      <c r="AW11" s="398">
        <f>IF(AV20+BA20&gt;0,(AR20*AV20+AW20*BA20)/(AV20+BA20),0)</f>
        <v>0</v>
      </c>
      <c r="AX11" s="398">
        <f>IF(AV20+BA20&gt;0,(AS20*AV20+AX20*BA20)/(AV20+BA20),0)</f>
        <v>0</v>
      </c>
      <c r="AY11" s="158"/>
      <c r="AZ11" s="158"/>
      <c r="BA11" s="158"/>
      <c r="BB11" s="158"/>
      <c r="BC11" s="158"/>
      <c r="BD11" s="158"/>
      <c r="BE11" s="158"/>
      <c r="BF11" s="158"/>
      <c r="BG11" s="158"/>
      <c r="BH11" s="158"/>
      <c r="BI11" s="158"/>
      <c r="BJ11" s="158"/>
      <c r="BK11" s="158"/>
      <c r="BL11" s="398">
        <f>IF(BK20+BP20&gt;0,(BG20*BK20+BL20*BP20)/(BK20+BP20),0)</f>
        <v>0</v>
      </c>
      <c r="BM11" s="398">
        <f>IF(BK20+BP20&gt;0,(BH20*BK20+BM20*BP20)/(BK20+BP20),0)</f>
        <v>0</v>
      </c>
      <c r="BN11" s="158"/>
      <c r="BO11" s="158"/>
      <c r="BP11" s="158"/>
      <c r="BQ11" s="158"/>
      <c r="BR11" s="158"/>
      <c r="BS11" s="158"/>
      <c r="BT11" s="158"/>
      <c r="BU11" s="158"/>
      <c r="BV11" s="158"/>
      <c r="BW11" s="158"/>
      <c r="BX11" s="158"/>
      <c r="BY11" s="158"/>
      <c r="BZ11" s="158"/>
      <c r="CA11" s="398">
        <f>IF(BZ20+CE20&gt;0,(BV20*BZ20+CA20*CE20)/(BZ20+CE20),0)</f>
        <v>0</v>
      </c>
      <c r="CB11" s="398">
        <f>IF(BZ20&gt;0,(BW20*BZ20+CB20*CE20)/BZ20,0)</f>
        <v>0</v>
      </c>
      <c r="CC11" s="158"/>
      <c r="CD11" s="158"/>
      <c r="CE11" s="158"/>
      <c r="CF11" s="158"/>
      <c r="CG11" s="158"/>
      <c r="CH11" s="158"/>
      <c r="CI11" s="158"/>
      <c r="CJ11" s="158"/>
      <c r="CK11" s="158"/>
      <c r="CL11" s="158"/>
      <c r="CM11" s="158"/>
      <c r="CN11" s="158"/>
      <c r="CO11" s="158"/>
      <c r="CP11" s="158"/>
      <c r="CQ11" s="158"/>
      <c r="CR11" s="158"/>
      <c r="CS11" s="158"/>
      <c r="CT11" s="158"/>
      <c r="CU11" s="158"/>
      <c r="CV11" s="158"/>
      <c r="CW11" s="158"/>
      <c r="CX11" s="158"/>
      <c r="CY11" s="158"/>
      <c r="CZ11" s="158"/>
      <c r="DA11" s="158"/>
      <c r="DB11" s="158"/>
      <c r="DC11" s="158"/>
      <c r="DD11" s="158"/>
      <c r="DE11" s="158"/>
      <c r="DF11" s="81"/>
      <c r="DG11" s="81"/>
      <c r="DH11" s="81"/>
      <c r="DI11" s="81"/>
      <c r="DJ11" s="81"/>
      <c r="DK11" s="81"/>
      <c r="DL11" s="81"/>
      <c r="DM11" s="81"/>
      <c r="DN11" s="81"/>
      <c r="DO11" s="81"/>
      <c r="DP11" s="81"/>
      <c r="DQ11" s="81"/>
      <c r="DR11" s="81"/>
      <c r="DS11" s="81"/>
      <c r="DT11" s="81"/>
    </row>
    <row r="12" spans="4:152" s="164" customFormat="1" ht="12" customHeight="1">
      <c r="D12" s="165"/>
      <c r="E12" s="190"/>
      <c r="F12" s="158"/>
      <c r="G12" s="589" t="s">
        <v>445</v>
      </c>
      <c r="H12" s="588"/>
      <c r="I12" s="158"/>
      <c r="J12" s="158"/>
      <c r="K12" s="922" t="s">
        <v>2863</v>
      </c>
      <c r="L12" s="922"/>
      <c r="M12" s="922"/>
      <c r="N12" s="922"/>
      <c r="O12" s="922"/>
      <c r="P12" s="922"/>
      <c r="Q12" s="922"/>
      <c r="R12" s="922"/>
      <c r="S12" s="922"/>
      <c r="T12" s="922"/>
      <c r="U12" s="922"/>
      <c r="V12" s="922"/>
      <c r="W12" s="922"/>
      <c r="X12" s="922"/>
      <c r="Y12" s="158"/>
      <c r="Z12" s="191"/>
      <c r="AA12" s="191"/>
      <c r="AB12" s="158"/>
      <c r="AC12" s="158"/>
      <c r="AD12" s="158"/>
      <c r="AE12" s="158"/>
      <c r="AF12" s="158"/>
      <c r="AG12" s="158"/>
      <c r="AH12" s="158"/>
      <c r="AI12" s="158"/>
      <c r="AJ12" s="158"/>
      <c r="AK12" s="158"/>
      <c r="AL12" s="158"/>
      <c r="AM12" s="158"/>
      <c r="AN12" s="158"/>
      <c r="AO12" s="158"/>
      <c r="AP12" s="158"/>
      <c r="AQ12" s="158"/>
      <c r="AR12" s="158"/>
      <c r="AS12" s="158"/>
      <c r="AT12" s="158"/>
      <c r="AU12" s="158"/>
      <c r="AV12" s="427"/>
      <c r="AW12" s="158"/>
      <c r="AX12" s="158"/>
      <c r="AY12" s="158"/>
      <c r="AZ12" s="158"/>
      <c r="BA12" s="158"/>
      <c r="BB12" s="158"/>
      <c r="BC12" s="158"/>
      <c r="BD12" s="158"/>
      <c r="BE12" s="158"/>
      <c r="BF12" s="158"/>
      <c r="BG12" s="158"/>
      <c r="BH12" s="158"/>
      <c r="BI12" s="158"/>
      <c r="BJ12" s="158"/>
      <c r="BK12" s="427"/>
      <c r="BL12" s="158"/>
      <c r="BM12" s="158"/>
      <c r="BN12" s="158"/>
      <c r="BO12" s="158"/>
      <c r="BP12" s="158"/>
      <c r="BQ12" s="158"/>
      <c r="BR12" s="158"/>
      <c r="BS12" s="158"/>
      <c r="BT12" s="158"/>
      <c r="BU12" s="158"/>
      <c r="BV12" s="158"/>
      <c r="BW12" s="158"/>
      <c r="BX12" s="158"/>
      <c r="BY12" s="158"/>
      <c r="BZ12" s="427"/>
      <c r="CA12" s="158"/>
      <c r="CB12" s="158"/>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81"/>
      <c r="DG12" s="81"/>
      <c r="DH12" s="81"/>
      <c r="DI12" s="81"/>
      <c r="DJ12" s="81"/>
      <c r="DK12" s="81"/>
      <c r="DL12" s="81"/>
      <c r="DM12" s="81"/>
      <c r="DN12" s="81"/>
      <c r="DO12" s="81"/>
      <c r="DP12" s="81"/>
      <c r="DQ12" s="81"/>
      <c r="DR12" s="81"/>
      <c r="DS12" s="81"/>
      <c r="DT12" s="81"/>
    </row>
    <row r="13" spans="4:152" ht="24" customHeight="1">
      <c r="E13" s="192"/>
      <c r="F13" s="827" t="s">
        <v>641</v>
      </c>
      <c r="G13" s="827" t="s">
        <v>735</v>
      </c>
      <c r="H13" s="827" t="s">
        <v>894</v>
      </c>
      <c r="I13" s="827"/>
      <c r="J13" s="827" t="s">
        <v>626</v>
      </c>
      <c r="K13" s="802" t="s">
        <v>2584</v>
      </c>
      <c r="L13" s="802"/>
      <c r="M13" s="802"/>
      <c r="N13" s="803" t="s">
        <v>2569</v>
      </c>
      <c r="O13" s="803"/>
      <c r="P13" s="802" t="s">
        <v>2570</v>
      </c>
      <c r="Q13" s="802"/>
      <c r="R13" s="802" t="s">
        <v>2862</v>
      </c>
      <c r="S13" s="802"/>
      <c r="T13" s="802"/>
      <c r="U13" s="802"/>
      <c r="V13" s="802" t="s">
        <v>2571</v>
      </c>
      <c r="W13" s="802"/>
      <c r="X13" s="803" t="s">
        <v>2572</v>
      </c>
      <c r="Y13" s="828" t="str">
        <f>"Экономически обоснованный тариф, руб./" &amp; $G$12</f>
        <v>Экономически обоснованный тариф, руб./куб.м</v>
      </c>
      <c r="Z13" s="828"/>
      <c r="AA13" s="872" t="str">
        <f>"Средневзвешенный тариф с учётом надбавки, руб./" &amp; $G$12</f>
        <v>Средневзвешенный тариф с учётом надбавки, руб./куб.м</v>
      </c>
      <c r="AB13" s="873"/>
      <c r="AC13" s="872" t="str">
        <f>"Средневзвешенный тариф, руб./" &amp; $G$12</f>
        <v>Средневзвешенный тариф, руб./куб.м</v>
      </c>
      <c r="AD13" s="873"/>
      <c r="AE13" s="872"/>
      <c r="AF13" s="873"/>
      <c r="AG13" s="828" t="str">
        <f>"Объём реализации услуги потребителям, всего, " &amp; $G$12</f>
        <v>Объём реализации услуги потребителям, всего, куб.м</v>
      </c>
      <c r="AH13" s="872"/>
      <c r="AI13" s="873"/>
      <c r="AJ13" s="872" t="str">
        <f>"Надбавка к тарифу, руб./" &amp; $G$12</f>
        <v>Надбавка к тарифу, руб./куб.м</v>
      </c>
      <c r="AK13" s="873"/>
      <c r="AL13" s="828" t="str">
        <f>"Объём, на который расчитана надбавка, " &amp; $G$12</f>
        <v>Объём, на который расчитана надбавка, куб.м</v>
      </c>
      <c r="AM13" s="828" t="s">
        <v>2459</v>
      </c>
      <c r="AN13" s="828"/>
      <c r="AO13" s="828"/>
      <c r="AP13" s="828"/>
      <c r="AQ13" s="828"/>
      <c r="AR13" s="828" t="s">
        <v>747</v>
      </c>
      <c r="AS13" s="828"/>
      <c r="AT13" s="828"/>
      <c r="AU13" s="828"/>
      <c r="AV13" s="831"/>
      <c r="AW13" s="828"/>
      <c r="AX13" s="828"/>
      <c r="AY13" s="828"/>
      <c r="AZ13" s="828"/>
      <c r="BA13" s="828"/>
      <c r="BB13" s="828"/>
      <c r="BC13" s="828"/>
      <c r="BD13" s="828"/>
      <c r="BE13" s="828"/>
      <c r="BF13" s="828"/>
      <c r="BG13" s="828" t="s">
        <v>748</v>
      </c>
      <c r="BH13" s="828"/>
      <c r="BI13" s="828"/>
      <c r="BJ13" s="828"/>
      <c r="BK13" s="831"/>
      <c r="BL13" s="828"/>
      <c r="BM13" s="828"/>
      <c r="BN13" s="828"/>
      <c r="BO13" s="828"/>
      <c r="BP13" s="828"/>
      <c r="BQ13" s="828"/>
      <c r="BR13" s="828"/>
      <c r="BS13" s="828"/>
      <c r="BT13" s="828"/>
      <c r="BU13" s="828"/>
      <c r="BV13" s="828" t="s">
        <v>758</v>
      </c>
      <c r="BW13" s="828"/>
      <c r="BX13" s="828"/>
      <c r="BY13" s="828"/>
      <c r="BZ13" s="831"/>
      <c r="CA13" s="828"/>
      <c r="CB13" s="828"/>
      <c r="CC13" s="828"/>
      <c r="CD13" s="828"/>
      <c r="CE13" s="828"/>
      <c r="CF13" s="828"/>
      <c r="CG13" s="828"/>
      <c r="CH13" s="828"/>
      <c r="CI13" s="828"/>
      <c r="CJ13" s="828"/>
      <c r="CK13" s="828" t="s">
        <v>896</v>
      </c>
      <c r="CL13" s="828" t="s">
        <v>897</v>
      </c>
      <c r="CM13" s="828" t="s">
        <v>898</v>
      </c>
      <c r="CN13" s="828"/>
      <c r="CO13" s="828"/>
      <c r="CP13" s="828"/>
      <c r="CQ13" s="828"/>
      <c r="CR13" s="828" t="s">
        <v>899</v>
      </c>
      <c r="CS13" s="185"/>
      <c r="CT13" s="185"/>
      <c r="CU13" s="185"/>
      <c r="CV13" s="185"/>
      <c r="CW13" s="185"/>
      <c r="CX13" s="185"/>
      <c r="CY13" s="185"/>
      <c r="CZ13" s="185"/>
      <c r="DA13" s="185"/>
      <c r="DB13" s="185"/>
      <c r="DC13" s="185"/>
      <c r="DD13" s="185"/>
      <c r="DE13" s="185"/>
    </row>
    <row r="14" spans="4:152" ht="18.75" customHeight="1">
      <c r="E14" s="192"/>
      <c r="F14" s="869"/>
      <c r="G14" s="869"/>
      <c r="H14" s="827"/>
      <c r="I14" s="827"/>
      <c r="J14" s="827"/>
      <c r="K14" s="803" t="s">
        <v>2581</v>
      </c>
      <c r="L14" s="803" t="s">
        <v>2582</v>
      </c>
      <c r="M14" s="803" t="s">
        <v>2583</v>
      </c>
      <c r="N14" s="860"/>
      <c r="O14" s="860"/>
      <c r="P14" s="803" t="s">
        <v>2573</v>
      </c>
      <c r="Q14" s="803" t="s">
        <v>2574</v>
      </c>
      <c r="R14" s="803" t="s">
        <v>2573</v>
      </c>
      <c r="S14" s="803" t="s">
        <v>2574</v>
      </c>
      <c r="T14" s="803"/>
      <c r="U14" s="803"/>
      <c r="V14" s="803" t="s">
        <v>2575</v>
      </c>
      <c r="W14" s="803" t="s">
        <v>2576</v>
      </c>
      <c r="X14" s="860"/>
      <c r="Y14" s="828"/>
      <c r="Z14" s="828"/>
      <c r="AA14" s="874"/>
      <c r="AB14" s="875"/>
      <c r="AC14" s="874"/>
      <c r="AD14" s="875"/>
      <c r="AE14" s="874"/>
      <c r="AF14" s="875"/>
      <c r="AG14" s="828"/>
      <c r="AH14" s="874"/>
      <c r="AI14" s="875"/>
      <c r="AJ14" s="874"/>
      <c r="AK14" s="875"/>
      <c r="AL14" s="828"/>
      <c r="AM14" s="828" t="str">
        <f>"Тариф, руб./" &amp; $G$12</f>
        <v>Тариф, руб./куб.м</v>
      </c>
      <c r="AN14" s="828"/>
      <c r="AO14" s="828" t="str">
        <f>"Льготный тариф, руб./" &amp; $G$12</f>
        <v>Льготный тариф, руб./куб.м</v>
      </c>
      <c r="AP14" s="828"/>
      <c r="AQ14" s="828" t="str">
        <f>"Объём реализации услуги, " &amp; $G$12</f>
        <v>Объём реализации услуги, куб.м</v>
      </c>
      <c r="AR14" s="872" t="str">
        <f>"Одноставочный тариф, руб./" &amp; $G$12</f>
        <v>Одноставочный тариф, руб./куб.м</v>
      </c>
      <c r="AS14" s="873"/>
      <c r="AT14" s="828" t="str">
        <f>"Льготный тариф, руб./" &amp; $G$12</f>
        <v>Льготный тариф, руб./куб.м</v>
      </c>
      <c r="AU14" s="828"/>
      <c r="AV14" s="828" t="str">
        <f>"Объём реализации услуги, " &amp; $G$12</f>
        <v>Объём реализации услуги, куб.м</v>
      </c>
      <c r="AW14" s="828" t="s">
        <v>903</v>
      </c>
      <c r="AX14" s="828"/>
      <c r="AY14" s="828"/>
      <c r="AZ14" s="828"/>
      <c r="BA14" s="828"/>
      <c r="BB14" s="828"/>
      <c r="BC14" s="828"/>
      <c r="BD14" s="828"/>
      <c r="BE14" s="828" t="s">
        <v>906</v>
      </c>
      <c r="BF14" s="828" t="str">
        <f>"Удельная величина дотаций, руб./" &amp; $G$12</f>
        <v>Удельная величина дотаций, руб./куб.м</v>
      </c>
      <c r="BG14" s="872" t="str">
        <f>"Одноставочный тариф, руб./" &amp; $G$12</f>
        <v>Одноставочный тариф, руб./куб.м</v>
      </c>
      <c r="BH14" s="873"/>
      <c r="BI14" s="828" t="str">
        <f>"Льготный тариф, руб./" &amp; $G$12</f>
        <v>Льготный тариф, руб./куб.м</v>
      </c>
      <c r="BJ14" s="828"/>
      <c r="BK14" s="828" t="str">
        <f>"Объём реализации услуги, " &amp; $G$12</f>
        <v>Объём реализации услуги, куб.м</v>
      </c>
      <c r="BL14" s="828" t="s">
        <v>903</v>
      </c>
      <c r="BM14" s="828"/>
      <c r="BN14" s="828"/>
      <c r="BO14" s="828"/>
      <c r="BP14" s="828"/>
      <c r="BQ14" s="828"/>
      <c r="BR14" s="828"/>
      <c r="BS14" s="828"/>
      <c r="BT14" s="828" t="s">
        <v>906</v>
      </c>
      <c r="BU14" s="828" t="str">
        <f>"Удельная величина дотаций, руб./" &amp; $G$12</f>
        <v>Удельная величина дотаций, руб./куб.м</v>
      </c>
      <c r="BV14" s="872" t="str">
        <f>"Одноставочный тариф, руб./" &amp; $G$12</f>
        <v>Одноставочный тариф, руб./куб.м</v>
      </c>
      <c r="BW14" s="873"/>
      <c r="BX14" s="828" t="str">
        <f>"Льготный тариф, руб./" &amp; $G$12</f>
        <v>Льготный тариф, руб./куб.м</v>
      </c>
      <c r="BY14" s="828"/>
      <c r="BZ14" s="828" t="str">
        <f>"Объём реализации услуги, " &amp; $G$12</f>
        <v>Объём реализации услуги, куб.м</v>
      </c>
      <c r="CA14" s="828" t="s">
        <v>903</v>
      </c>
      <c r="CB14" s="828"/>
      <c r="CC14" s="828"/>
      <c r="CD14" s="828"/>
      <c r="CE14" s="828"/>
      <c r="CF14" s="828"/>
      <c r="CG14" s="828"/>
      <c r="CH14" s="828"/>
      <c r="CI14" s="828" t="s">
        <v>906</v>
      </c>
      <c r="CJ14" s="828" t="str">
        <f>"Удельная величина дотаций, руб./" &amp; $G$12</f>
        <v>Удельная величина дотаций, руб./куб.м</v>
      </c>
      <c r="CK14" s="828"/>
      <c r="CL14" s="828"/>
      <c r="CM14" s="828" t="s">
        <v>907</v>
      </c>
      <c r="CN14" s="828" t="s">
        <v>908</v>
      </c>
      <c r="CO14" s="828" t="s">
        <v>909</v>
      </c>
      <c r="CP14" s="828" t="s">
        <v>910</v>
      </c>
      <c r="CQ14" s="828" t="s">
        <v>911</v>
      </c>
      <c r="CR14" s="828"/>
      <c r="CS14" s="185"/>
      <c r="CT14" s="185"/>
      <c r="CU14" s="185"/>
      <c r="CV14" s="185"/>
      <c r="CW14" s="185"/>
      <c r="CX14" s="185"/>
      <c r="CY14" s="185"/>
      <c r="CZ14" s="185"/>
      <c r="DA14" s="185"/>
      <c r="DB14" s="185"/>
      <c r="DC14" s="185"/>
      <c r="DD14" s="185"/>
      <c r="DE14" s="185"/>
    </row>
    <row r="15" spans="4:152" ht="30" customHeight="1">
      <c r="E15" s="192"/>
      <c r="F15" s="869"/>
      <c r="G15" s="869"/>
      <c r="H15" s="827"/>
      <c r="I15" s="827"/>
      <c r="J15" s="827"/>
      <c r="K15" s="860"/>
      <c r="L15" s="860"/>
      <c r="M15" s="860"/>
      <c r="N15" s="860"/>
      <c r="O15" s="860"/>
      <c r="P15" s="860"/>
      <c r="Q15" s="860"/>
      <c r="R15" s="860"/>
      <c r="S15" s="860"/>
      <c r="T15" s="860"/>
      <c r="U15" s="860"/>
      <c r="V15" s="860"/>
      <c r="W15" s="860"/>
      <c r="X15" s="860"/>
      <c r="Y15" s="828"/>
      <c r="Z15" s="828"/>
      <c r="AA15" s="876"/>
      <c r="AB15" s="877"/>
      <c r="AC15" s="876"/>
      <c r="AD15" s="877"/>
      <c r="AE15" s="876"/>
      <c r="AF15" s="877"/>
      <c r="AG15" s="828"/>
      <c r="AH15" s="876"/>
      <c r="AI15" s="877"/>
      <c r="AJ15" s="876"/>
      <c r="AK15" s="877"/>
      <c r="AL15" s="828"/>
      <c r="AM15" s="828"/>
      <c r="AN15" s="828"/>
      <c r="AO15" s="828"/>
      <c r="AP15" s="828"/>
      <c r="AQ15" s="828"/>
      <c r="AR15" s="876"/>
      <c r="AS15" s="877"/>
      <c r="AT15" s="828"/>
      <c r="AU15" s="828"/>
      <c r="AV15" s="828"/>
      <c r="AW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AX15" s="828"/>
      <c r="AY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AZ15" s="828"/>
      <c r="BA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B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C15" s="828"/>
      <c r="BD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E15" s="828"/>
      <c r="BF15" s="828"/>
      <c r="BG15" s="876"/>
      <c r="BH15" s="877"/>
      <c r="BI15" s="828"/>
      <c r="BJ15" s="828"/>
      <c r="BK15" s="828"/>
      <c r="BL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BM15" s="828"/>
      <c r="BN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BO15" s="828"/>
      <c r="BP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Q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R15" s="828"/>
      <c r="BS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T15" s="828"/>
      <c r="BU15" s="828"/>
      <c r="BV15" s="876"/>
      <c r="BW15" s="877"/>
      <c r="BX15" s="828"/>
      <c r="BY15" s="828"/>
      <c r="BZ15" s="828"/>
      <c r="CA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CB15" s="828"/>
      <c r="CC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CD15" s="828"/>
      <c r="CE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CF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CG15" s="828"/>
      <c r="CH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CI15" s="828"/>
      <c r="CJ15" s="828"/>
      <c r="CK15" s="828"/>
      <c r="CL15" s="828"/>
      <c r="CM15" s="828"/>
      <c r="CN15" s="828"/>
      <c r="CO15" s="828"/>
      <c r="CP15" s="828"/>
      <c r="CQ15" s="828"/>
      <c r="CR15" s="828"/>
      <c r="CS15" s="185"/>
      <c r="CT15" s="185"/>
      <c r="CU15" s="185"/>
      <c r="CV15" s="185"/>
      <c r="CW15" s="185"/>
      <c r="CX15" s="185"/>
      <c r="CY15" s="185"/>
      <c r="CZ15" s="185"/>
      <c r="DA15" s="185"/>
      <c r="DB15" s="185"/>
      <c r="DC15" s="185"/>
      <c r="DD15" s="185"/>
      <c r="DE15" s="185"/>
      <c r="DP15" s="78"/>
      <c r="DQ15" s="78"/>
      <c r="DR15" s="78"/>
      <c r="DS15" s="78"/>
      <c r="DT15" s="78"/>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row>
    <row r="16" spans="4:152" ht="12" customHeight="1">
      <c r="E16" s="192"/>
      <c r="F16" s="869"/>
      <c r="G16" s="869"/>
      <c r="H16" s="827"/>
      <c r="I16" s="827"/>
      <c r="J16" s="827"/>
      <c r="K16" s="826"/>
      <c r="L16" s="826"/>
      <c r="M16" s="826"/>
      <c r="N16" s="826"/>
      <c r="O16" s="826"/>
      <c r="P16" s="826"/>
      <c r="Q16" s="826"/>
      <c r="R16" s="826"/>
      <c r="S16" s="826"/>
      <c r="T16" s="826"/>
      <c r="U16" s="826"/>
      <c r="V16" s="826"/>
      <c r="W16" s="826"/>
      <c r="X16" s="826"/>
      <c r="Y16" s="193" t="s">
        <v>627</v>
      </c>
      <c r="Z16" s="193" t="s">
        <v>628</v>
      </c>
      <c r="AA16" s="193" t="s">
        <v>627</v>
      </c>
      <c r="AB16" s="193" t="s">
        <v>628</v>
      </c>
      <c r="AC16" s="193" t="s">
        <v>627</v>
      </c>
      <c r="AD16" s="193" t="s">
        <v>628</v>
      </c>
      <c r="AE16" s="193"/>
      <c r="AF16" s="193"/>
      <c r="AG16" s="828"/>
      <c r="AH16" s="193"/>
      <c r="AI16" s="193"/>
      <c r="AJ16" s="193" t="s">
        <v>627</v>
      </c>
      <c r="AK16" s="193" t="s">
        <v>628</v>
      </c>
      <c r="AL16" s="828"/>
      <c r="AM16" s="193" t="s">
        <v>627</v>
      </c>
      <c r="AN16" s="193" t="s">
        <v>628</v>
      </c>
      <c r="AO16" s="193" t="s">
        <v>627</v>
      </c>
      <c r="AP16" s="193" t="s">
        <v>628</v>
      </c>
      <c r="AQ16" s="828"/>
      <c r="AR16" s="193" t="s">
        <v>627</v>
      </c>
      <c r="AS16" s="193" t="s">
        <v>628</v>
      </c>
      <c r="AT16" s="193" t="s">
        <v>627</v>
      </c>
      <c r="AU16" s="193" t="s">
        <v>628</v>
      </c>
      <c r="AV16" s="828"/>
      <c r="AW16" s="193" t="s">
        <v>627</v>
      </c>
      <c r="AX16" s="193" t="s">
        <v>628</v>
      </c>
      <c r="AY16" s="193" t="s">
        <v>627</v>
      </c>
      <c r="AZ16" s="193" t="s">
        <v>628</v>
      </c>
      <c r="BA16" s="828"/>
      <c r="BB16" s="193" t="s">
        <v>627</v>
      </c>
      <c r="BC16" s="193" t="s">
        <v>628</v>
      </c>
      <c r="BD16" s="828"/>
      <c r="BE16" s="828"/>
      <c r="BF16" s="828"/>
      <c r="BG16" s="193" t="s">
        <v>627</v>
      </c>
      <c r="BH16" s="193" t="s">
        <v>628</v>
      </c>
      <c r="BI16" s="193" t="s">
        <v>627</v>
      </c>
      <c r="BJ16" s="193" t="s">
        <v>628</v>
      </c>
      <c r="BK16" s="828"/>
      <c r="BL16" s="193" t="s">
        <v>627</v>
      </c>
      <c r="BM16" s="193" t="s">
        <v>628</v>
      </c>
      <c r="BN16" s="193" t="s">
        <v>627</v>
      </c>
      <c r="BO16" s="193" t="s">
        <v>628</v>
      </c>
      <c r="BP16" s="828"/>
      <c r="BQ16" s="193" t="s">
        <v>627</v>
      </c>
      <c r="BR16" s="193" t="s">
        <v>628</v>
      </c>
      <c r="BS16" s="828"/>
      <c r="BT16" s="828"/>
      <c r="BU16" s="828"/>
      <c r="BV16" s="193" t="s">
        <v>627</v>
      </c>
      <c r="BW16" s="193" t="s">
        <v>628</v>
      </c>
      <c r="BX16" s="193" t="s">
        <v>627</v>
      </c>
      <c r="BY16" s="193" t="s">
        <v>628</v>
      </c>
      <c r="BZ16" s="828"/>
      <c r="CA16" s="193" t="s">
        <v>627</v>
      </c>
      <c r="CB16" s="193" t="s">
        <v>628</v>
      </c>
      <c r="CC16" s="193" t="s">
        <v>627</v>
      </c>
      <c r="CD16" s="193" t="s">
        <v>628</v>
      </c>
      <c r="CE16" s="828"/>
      <c r="CF16" s="193" t="s">
        <v>627</v>
      </c>
      <c r="CG16" s="193" t="s">
        <v>628</v>
      </c>
      <c r="CH16" s="828"/>
      <c r="CI16" s="828"/>
      <c r="CJ16" s="828"/>
      <c r="CK16" s="828"/>
      <c r="CL16" s="828"/>
      <c r="CM16" s="828"/>
      <c r="CN16" s="828"/>
      <c r="CO16" s="828"/>
      <c r="CP16" s="828"/>
      <c r="CQ16" s="828"/>
      <c r="CR16" s="828"/>
      <c r="CS16" s="185"/>
      <c r="CT16" s="185"/>
      <c r="CU16" s="185"/>
      <c r="CV16" s="185"/>
      <c r="CW16" s="185"/>
      <c r="CX16" s="185"/>
      <c r="CY16" s="185"/>
      <c r="CZ16" s="185"/>
      <c r="DA16" s="185"/>
      <c r="DB16" s="185"/>
      <c r="DC16" s="185"/>
      <c r="DD16" s="185"/>
      <c r="DE16" s="185"/>
      <c r="DF16" s="829" t="s">
        <v>295</v>
      </c>
      <c r="DG16" s="829"/>
      <c r="DH16" s="829"/>
      <c r="DI16" s="829"/>
      <c r="DJ16" s="829"/>
      <c r="DK16" s="829"/>
      <c r="DL16" s="829"/>
      <c r="DM16" s="829"/>
      <c r="DN16" s="829"/>
      <c r="DO16" s="829"/>
      <c r="DP16" s="829" t="s">
        <v>296</v>
      </c>
      <c r="DQ16" s="829"/>
      <c r="DR16" s="829"/>
      <c r="DS16" s="829"/>
      <c r="DT16" s="829"/>
      <c r="DU16" s="829"/>
      <c r="DV16" s="829"/>
      <c r="DW16" s="829"/>
      <c r="DX16" s="829"/>
      <c r="DY16" s="829"/>
      <c r="DZ16" s="829"/>
      <c r="EA16" s="829"/>
      <c r="EB16" s="829"/>
      <c r="EC16" s="829"/>
      <c r="ED16" s="829"/>
      <c r="EE16" s="829"/>
      <c r="EF16" s="829"/>
      <c r="EG16" s="829"/>
      <c r="EH16" s="829" t="s">
        <v>293</v>
      </c>
      <c r="EI16" s="829"/>
      <c r="EJ16" s="829" t="s">
        <v>294</v>
      </c>
      <c r="EK16" s="829"/>
      <c r="EL16" s="829"/>
      <c r="EM16" s="829"/>
      <c r="EN16" s="829"/>
      <c r="EO16" s="829"/>
      <c r="EP16" s="829"/>
      <c r="EQ16" s="829"/>
      <c r="ER16" s="829" t="s">
        <v>444</v>
      </c>
      <c r="ES16" s="959"/>
      <c r="ET16" s="829" t="s">
        <v>1783</v>
      </c>
      <c r="EU16" s="829"/>
      <c r="EV16" s="829"/>
    </row>
    <row r="17" spans="1:152" ht="12" customHeight="1">
      <c r="E17" s="192"/>
      <c r="F17" s="182"/>
      <c r="G17" s="182" t="s">
        <v>759</v>
      </c>
      <c r="H17" s="183" t="s">
        <v>629</v>
      </c>
      <c r="I17" s="183" t="s">
        <v>630</v>
      </c>
      <c r="J17" s="183" t="s">
        <v>631</v>
      </c>
      <c r="K17" s="183" t="s">
        <v>2851</v>
      </c>
      <c r="L17" s="183" t="s">
        <v>2852</v>
      </c>
      <c r="M17" s="183" t="s">
        <v>2853</v>
      </c>
      <c r="N17" s="183" t="s">
        <v>2854</v>
      </c>
      <c r="O17" s="183"/>
      <c r="P17" s="183" t="s">
        <v>2855</v>
      </c>
      <c r="Q17" s="183" t="s">
        <v>2856</v>
      </c>
      <c r="R17" s="183" t="s">
        <v>2857</v>
      </c>
      <c r="S17" s="183" t="s">
        <v>2858</v>
      </c>
      <c r="T17" s="183"/>
      <c r="U17" s="183"/>
      <c r="V17" s="183" t="s">
        <v>2859</v>
      </c>
      <c r="W17" s="183" t="s">
        <v>2860</v>
      </c>
      <c r="X17" s="183" t="s">
        <v>2861</v>
      </c>
      <c r="Y17" s="472" t="s">
        <v>790</v>
      </c>
      <c r="Z17" s="472" t="s">
        <v>792</v>
      </c>
      <c r="AA17" s="472" t="s">
        <v>632</v>
      </c>
      <c r="AB17" s="472" t="s">
        <v>633</v>
      </c>
      <c r="AC17" s="472" t="s">
        <v>635</v>
      </c>
      <c r="AD17" s="472" t="s">
        <v>883</v>
      </c>
      <c r="AE17" s="472"/>
      <c r="AF17" s="472"/>
      <c r="AG17" s="183" t="s">
        <v>761</v>
      </c>
      <c r="AH17" s="472"/>
      <c r="AI17" s="472"/>
      <c r="AJ17" s="472" t="s">
        <v>891</v>
      </c>
      <c r="AK17" s="472" t="s">
        <v>892</v>
      </c>
      <c r="AL17" s="472" t="s">
        <v>443</v>
      </c>
      <c r="AM17" s="183" t="s">
        <v>767</v>
      </c>
      <c r="AN17" s="183" t="s">
        <v>918</v>
      </c>
      <c r="AO17" s="183" t="s">
        <v>919</v>
      </c>
      <c r="AP17" s="183" t="s">
        <v>1799</v>
      </c>
      <c r="AQ17" s="183" t="s">
        <v>768</v>
      </c>
      <c r="AR17" s="183" t="s">
        <v>2993</v>
      </c>
      <c r="AS17" s="183" t="s">
        <v>3003</v>
      </c>
      <c r="AT17" s="183" t="s">
        <v>1800</v>
      </c>
      <c r="AU17" s="183" t="s">
        <v>1801</v>
      </c>
      <c r="AV17" s="183" t="s">
        <v>771</v>
      </c>
      <c r="AW17" s="183" t="s">
        <v>1802</v>
      </c>
      <c r="AX17" s="183" t="s">
        <v>1803</v>
      </c>
      <c r="AY17" s="183" t="s">
        <v>1804</v>
      </c>
      <c r="AZ17" s="183" t="s">
        <v>1805</v>
      </c>
      <c r="BA17" s="183" t="s">
        <v>1806</v>
      </c>
      <c r="BB17" s="183" t="s">
        <v>1807</v>
      </c>
      <c r="BC17" s="183" t="s">
        <v>1808</v>
      </c>
      <c r="BD17" s="183" t="s">
        <v>1809</v>
      </c>
      <c r="BE17" s="183" t="s">
        <v>1810</v>
      </c>
      <c r="BF17" s="183" t="s">
        <v>1811</v>
      </c>
      <c r="BG17" s="183" t="s">
        <v>1833</v>
      </c>
      <c r="BH17" s="183" t="s">
        <v>1835</v>
      </c>
      <c r="BI17" s="183" t="s">
        <v>1812</v>
      </c>
      <c r="BJ17" s="183" t="s">
        <v>1813</v>
      </c>
      <c r="BK17" s="183" t="s">
        <v>62</v>
      </c>
      <c r="BL17" s="183" t="s">
        <v>71</v>
      </c>
      <c r="BM17" s="183" t="s">
        <v>1845</v>
      </c>
      <c r="BN17" s="183" t="s">
        <v>1814</v>
      </c>
      <c r="BO17" s="183" t="s">
        <v>1815</v>
      </c>
      <c r="BP17" s="183" t="s">
        <v>1816</v>
      </c>
      <c r="BQ17" s="183" t="s">
        <v>1817</v>
      </c>
      <c r="BR17" s="183" t="s">
        <v>1818</v>
      </c>
      <c r="BS17" s="183" t="s">
        <v>1819</v>
      </c>
      <c r="BT17" s="183" t="s">
        <v>1848</v>
      </c>
      <c r="BU17" s="183" t="s">
        <v>1855</v>
      </c>
      <c r="BV17" s="183" t="s">
        <v>1820</v>
      </c>
      <c r="BW17" s="183" t="s">
        <v>1821</v>
      </c>
      <c r="BX17" s="183" t="s">
        <v>1822</v>
      </c>
      <c r="BY17" s="183" t="s">
        <v>1823</v>
      </c>
      <c r="BZ17" s="183" t="s">
        <v>2416</v>
      </c>
      <c r="CA17" s="183" t="s">
        <v>1824</v>
      </c>
      <c r="CB17" s="183" t="s">
        <v>1825</v>
      </c>
      <c r="CC17" s="183" t="s">
        <v>1826</v>
      </c>
      <c r="CD17" s="183" t="s">
        <v>1827</v>
      </c>
      <c r="CE17" s="183" t="s">
        <v>1828</v>
      </c>
      <c r="CF17" s="183" t="s">
        <v>1829</v>
      </c>
      <c r="CG17" s="183" t="s">
        <v>1830</v>
      </c>
      <c r="CH17" s="183" t="s">
        <v>1831</v>
      </c>
      <c r="CI17" s="183" t="s">
        <v>2422</v>
      </c>
      <c r="CJ17" s="183" t="s">
        <v>2425</v>
      </c>
      <c r="CK17" s="183" t="s">
        <v>2427</v>
      </c>
      <c r="CL17" s="183" t="s">
        <v>2431</v>
      </c>
      <c r="CM17" s="183" t="s">
        <v>845</v>
      </c>
      <c r="CN17" s="183" t="s">
        <v>1847</v>
      </c>
      <c r="CO17" s="183" t="s">
        <v>1854</v>
      </c>
      <c r="CP17" s="183" t="s">
        <v>2421</v>
      </c>
      <c r="CQ17" s="183" t="s">
        <v>2424</v>
      </c>
      <c r="CR17" s="183" t="s">
        <v>3005</v>
      </c>
      <c r="CS17" s="185"/>
      <c r="CT17" s="185"/>
      <c r="CU17" s="185"/>
      <c r="CV17" s="185"/>
      <c r="CW17" s="185"/>
      <c r="CX17" s="185"/>
      <c r="CY17" s="185"/>
      <c r="CZ17" s="185"/>
      <c r="DA17" s="185"/>
      <c r="DB17" s="185"/>
      <c r="DC17" s="185"/>
      <c r="DD17" s="185"/>
      <c r="DE17" s="185"/>
      <c r="DF17" s="472"/>
      <c r="DG17" s="472"/>
      <c r="DH17" s="472"/>
      <c r="DI17" s="472"/>
      <c r="DJ17" s="472"/>
      <c r="DK17" s="472"/>
      <c r="DL17" s="472"/>
      <c r="DM17" s="472"/>
      <c r="DN17" s="472"/>
      <c r="DO17" s="472"/>
      <c r="DP17" s="472" t="s">
        <v>1802</v>
      </c>
      <c r="DQ17" s="472" t="s">
        <v>1803</v>
      </c>
      <c r="DR17" s="472" t="s">
        <v>1804</v>
      </c>
      <c r="DS17" s="472" t="s">
        <v>1805</v>
      </c>
      <c r="DT17" s="472" t="s">
        <v>1807</v>
      </c>
      <c r="DU17" s="472" t="s">
        <v>1808</v>
      </c>
      <c r="DV17" s="472" t="s">
        <v>71</v>
      </c>
      <c r="DW17" s="472" t="s">
        <v>1845</v>
      </c>
      <c r="DX17" s="472" t="s">
        <v>1814</v>
      </c>
      <c r="DY17" s="472" t="s">
        <v>1815</v>
      </c>
      <c r="DZ17" s="472" t="s">
        <v>1817</v>
      </c>
      <c r="EA17" s="472" t="s">
        <v>1818</v>
      </c>
      <c r="EB17" s="472" t="s">
        <v>1824</v>
      </c>
      <c r="EC17" s="472" t="s">
        <v>1825</v>
      </c>
      <c r="ED17" s="472" t="s">
        <v>1826</v>
      </c>
      <c r="EE17" s="472" t="s">
        <v>1827</v>
      </c>
      <c r="EF17" s="472" t="s">
        <v>1829</v>
      </c>
      <c r="EG17" s="472" t="s">
        <v>1830</v>
      </c>
      <c r="EH17" s="183"/>
      <c r="EI17" s="183"/>
      <c r="EJ17" s="472"/>
      <c r="EK17" s="472"/>
      <c r="EL17" s="472"/>
      <c r="EM17" s="472"/>
      <c r="EN17" s="472"/>
      <c r="EO17" s="472"/>
      <c r="EP17" s="472"/>
      <c r="EQ17" s="472"/>
      <c r="ER17" s="183"/>
      <c r="ES17" s="183"/>
      <c r="ET17" s="183"/>
      <c r="EU17" s="183"/>
      <c r="EV17" s="183"/>
    </row>
    <row r="18" spans="1:152" ht="0.75" customHeight="1">
      <c r="A18" s="181"/>
      <c r="B18" s="181"/>
      <c r="C18" s="181"/>
      <c r="E18" s="192"/>
      <c r="F18" s="953" t="s">
        <v>3141</v>
      </c>
      <c r="G18" s="956" t="s">
        <v>778</v>
      </c>
      <c r="H18" s="107" t="str">
        <f>IF(TEMPLATE_SPHERE="водоснабжения","",IF(TEMPLATE_SPHERE="водоотведения","Всего",""))</f>
        <v>Всего</v>
      </c>
      <c r="I18" s="177"/>
      <c r="J18" s="177"/>
      <c r="K18" s="177"/>
      <c r="L18" s="177"/>
      <c r="M18" s="177"/>
      <c r="N18" s="177"/>
      <c r="O18" s="177"/>
      <c r="P18" s="177"/>
      <c r="Q18" s="177"/>
      <c r="R18" s="177"/>
      <c r="S18" s="177"/>
      <c r="T18" s="177"/>
      <c r="U18" s="177"/>
      <c r="V18" s="177"/>
      <c r="W18" s="177"/>
      <c r="X18" s="177"/>
      <c r="Y18" s="398"/>
      <c r="Z18" s="398"/>
      <c r="AA18" s="398"/>
      <c r="AB18" s="398"/>
      <c r="AC18" s="271"/>
      <c r="AD18" s="271"/>
      <c r="AE18" s="398"/>
      <c r="AF18" s="398"/>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117"/>
      <c r="BG18" s="271"/>
      <c r="BH18" s="271"/>
      <c r="BI18" s="271"/>
      <c r="BJ18" s="271"/>
      <c r="BK18" s="271"/>
      <c r="BL18" s="271"/>
      <c r="BM18" s="271"/>
      <c r="BN18" s="271"/>
      <c r="BO18" s="271"/>
      <c r="BP18" s="271"/>
      <c r="BQ18" s="271"/>
      <c r="BR18" s="271"/>
      <c r="BS18" s="271"/>
      <c r="BT18" s="271"/>
      <c r="BU18" s="117"/>
      <c r="BV18" s="271"/>
      <c r="BW18" s="271"/>
      <c r="BX18" s="271"/>
      <c r="BY18" s="271"/>
      <c r="BZ18" s="271"/>
      <c r="CA18" s="271"/>
      <c r="CB18" s="271"/>
      <c r="CC18" s="271"/>
      <c r="CD18" s="271"/>
      <c r="CE18" s="271"/>
      <c r="CF18" s="271"/>
      <c r="CG18" s="271"/>
      <c r="CH18" s="271"/>
      <c r="CI18" s="271"/>
      <c r="CJ18" s="117"/>
      <c r="CK18" s="271"/>
      <c r="CL18" s="117"/>
      <c r="CM18" s="271"/>
      <c r="CN18" s="271"/>
      <c r="CO18" s="271"/>
      <c r="CP18" s="271"/>
      <c r="CQ18" s="271"/>
      <c r="CR18" s="194"/>
      <c r="CS18" s="185"/>
      <c r="CT18" s="185"/>
      <c r="CU18" s="185"/>
      <c r="CV18" s="185"/>
      <c r="CW18" s="185"/>
      <c r="CX18" s="185"/>
      <c r="CY18" s="185"/>
      <c r="CZ18" s="185"/>
      <c r="DA18" s="185"/>
      <c r="DB18" s="185"/>
      <c r="DC18" s="185"/>
      <c r="DD18" s="185"/>
      <c r="DE18" s="185"/>
      <c r="DP18" s="480"/>
      <c r="DQ18" s="480"/>
      <c r="DR18" s="480"/>
      <c r="DS18" s="480"/>
      <c r="DT18" s="480"/>
      <c r="DU18" s="480"/>
      <c r="DV18" s="480"/>
      <c r="DW18" s="480"/>
      <c r="DX18" s="480"/>
      <c r="DY18" s="480"/>
      <c r="DZ18" s="480"/>
      <c r="EA18" s="480"/>
      <c r="EB18" s="480"/>
      <c r="EC18" s="480"/>
      <c r="ED18" s="480"/>
      <c r="EE18" s="480"/>
      <c r="EF18" s="480"/>
      <c r="EG18" s="480"/>
      <c r="EH18" s="162"/>
      <c r="EI18" s="162"/>
      <c r="EJ18" s="162"/>
      <c r="EK18" s="162"/>
      <c r="EL18" s="162"/>
      <c r="EM18" s="162"/>
      <c r="EN18" s="162"/>
      <c r="EO18" s="162"/>
      <c r="EP18" s="162"/>
      <c r="EQ18" s="162"/>
      <c r="ER18" s="162"/>
      <c r="ES18" s="162"/>
    </row>
    <row r="19" spans="1:152" ht="24" customHeight="1">
      <c r="A19" s="181"/>
      <c r="B19" s="181"/>
      <c r="C19" s="181"/>
      <c r="E19" s="192"/>
      <c r="F19" s="954"/>
      <c r="G19" s="957"/>
      <c r="H19" s="107" t="str">
        <f>IF(TEMPLATE_SPHERE="водоснабжения","Вода питьевого качества","")</f>
        <v/>
      </c>
      <c r="I19" s="177"/>
      <c r="J19" s="177"/>
      <c r="K19" s="177"/>
      <c r="L19" s="177"/>
      <c r="M19" s="177"/>
      <c r="N19" s="177"/>
      <c r="O19" s="177"/>
      <c r="P19" s="177"/>
      <c r="Q19" s="177"/>
      <c r="R19" s="177"/>
      <c r="S19" s="177"/>
      <c r="T19" s="177"/>
      <c r="U19" s="177"/>
      <c r="V19" s="177"/>
      <c r="W19" s="177"/>
      <c r="X19" s="177"/>
      <c r="Y19" s="398">
        <f>IF((AG19+AQ19)&gt;0,SUMIF($H$21:$H$22,$H19,EH$21:EH$22)/(AG19+AQ19),0)</f>
        <v>0</v>
      </c>
      <c r="Z19" s="398">
        <f>IF((AG19+AQ19)&gt;0,SUMIF($H$21:$H$22,$H19,EI$21:EI$22)/(AG19+AQ19),0)</f>
        <v>0</v>
      </c>
      <c r="AA19" s="398">
        <f>IF(AG19=0,0,(AC19*AG19+AJ19*IF(AL19&gt;AG19,AG19,AL19))/AG19)</f>
        <v>0</v>
      </c>
      <c r="AB19" s="398">
        <f>IF(AG19=0,0,(AD19*AG19+AK19*IF(AL19&gt;AG19,AG19,AL19))/AG19)</f>
        <v>0</v>
      </c>
      <c r="AC19" s="271">
        <f>IF(AG19&gt;0,(AR19*AV19+BG19*BK19+BV19*BZ19+AW19*BA19+BL19*BP19+CA19*CE19)/AG19,0)</f>
        <v>0</v>
      </c>
      <c r="AD19" s="271">
        <f>IF(AG19&gt;0,(AS19*AV19+BH19*BK19+BW19*BZ19+AX19*BA19+BM19*BP19+CB19*CE19)/AG19,0)</f>
        <v>0</v>
      </c>
      <c r="AE19" s="398"/>
      <c r="AF19" s="398"/>
      <c r="AG19" s="271">
        <f>SUMIF($H$21:$H$22,$H19,AG$21:AG$22)</f>
        <v>0</v>
      </c>
      <c r="AH19" s="271"/>
      <c r="AI19" s="271"/>
      <c r="AJ19" s="271">
        <f>IF(AL19&gt;0,SUMIF($H$21:$H$22,$H19,ER$21:ER$22)/AL19,0)</f>
        <v>0</v>
      </c>
      <c r="AK19" s="271">
        <f>IF(AL19&gt;0,SUMIF($H$21:$H$22,$H19,ES$21:ES$22)/AL19,0)</f>
        <v>0</v>
      </c>
      <c r="AL19" s="271">
        <f>SUMIF($H$21:$H$22,$H19,AL$21:AL$22)</f>
        <v>0</v>
      </c>
      <c r="AM19" s="271">
        <f>IF(AQ19&gt;0,SUMIF($H$21:$H$22,$H19,DH$21:DH$22)/AQ19,0)</f>
        <v>0</v>
      </c>
      <c r="AN19" s="271">
        <f>IF(AQ19&gt;0,SUMIF($H$21:$H$22,$H19,DI$21:DI$22)/AQ19,0)</f>
        <v>0</v>
      </c>
      <c r="AO19" s="271">
        <f>IF(AQ19&gt;0,SUMIF($H$21:$H$22,$H19,EJ$21:EJ$22)/AQ19,0)</f>
        <v>0</v>
      </c>
      <c r="AP19" s="271">
        <f>IF(AQ19&gt;0,SUMIF($H$21:$H$22,$H19,EK$21:EK$22)/AQ19,0)</f>
        <v>0</v>
      </c>
      <c r="AQ19" s="271">
        <f>SUMIF($H$21:$H$22,$H19,AQ$21:AQ$22)</f>
        <v>0</v>
      </c>
      <c r="AR19" s="271">
        <f>IF(AV19&gt;0,SUMIF($H$21:$H$22,$H19,DJ$21:DJ$22)/AV19,0)</f>
        <v>0</v>
      </c>
      <c r="AS19" s="271">
        <f>IF(AV19&gt;0,SUMIF($H$21:$H$22,$H19,DK$21:DK$22)/AV19,0)</f>
        <v>0</v>
      </c>
      <c r="AT19" s="271">
        <f>IF(AV19&gt;0,SUMIF($H$21:$H$22,$H19,EL$21:EL$22)/AV19,0)</f>
        <v>0</v>
      </c>
      <c r="AU19" s="271">
        <f>IF(AV19&gt;0,SUMIF($H$21:$H$22,$H19,EM$21:EM$22)/AV19,0)</f>
        <v>0</v>
      </c>
      <c r="AV19" s="271">
        <f>SUMIF($H$21:$H$22,$H19,AV$21:AV$22)</f>
        <v>0</v>
      </c>
      <c r="AW19" s="271">
        <f>IF(BA19&gt;0,INDEX(DP19:EG19,MATCH(AW$17,DP$17:EG$17))/BA19,0)</f>
        <v>0</v>
      </c>
      <c r="AX19" s="271">
        <f>IF(BA19&gt;0,INDEX(DP19:EG19,MATCH(AX$17,DP$17:EG$17))/BA19,0)</f>
        <v>0</v>
      </c>
      <c r="AY19" s="271">
        <f>IF(BA19&gt;0,INDEX(DP19:EG19,MATCH(AY$17,DP$17:EG$17))/BA19,0)</f>
        <v>0</v>
      </c>
      <c r="AZ19" s="271">
        <f>IF(BA19&gt;0,INDEX(DP19:EG19,MATCH(AZ$17,DP$17:EG$17))/BA19,0)</f>
        <v>0</v>
      </c>
      <c r="BA19" s="271">
        <f t="array" ref="BA19">SUM(($H$21:$H$22=H19)*(AR$21:AR$22="")*BA$21:BA$22)</f>
        <v>0</v>
      </c>
      <c r="BB19" s="271">
        <f>IF(BD19&gt;0,INDEX(DP19:EG19,MATCH(BB$17,DP$17:EG$17))/BD19,0)</f>
        <v>0</v>
      </c>
      <c r="BC19" s="271">
        <f>IF(BD19&gt;0,INDEX(DP19:EG19,MATCH(BC$17,DP$17:EG$17))/BD19,0)</f>
        <v>0</v>
      </c>
      <c r="BD19" s="271">
        <f t="array" ref="BD19">SUM(($H$21:$H$22=H19)*(AR$21:AR$22="")*BD$21:BD$22)</f>
        <v>0</v>
      </c>
      <c r="BE19" s="271">
        <f>SUMIF($H$21:$H$22,$H19,BE$21:BE$22)</f>
        <v>0</v>
      </c>
      <c r="BF19" s="117"/>
      <c r="BG19" s="271">
        <f>IF(BK19&gt;0,SUMIF($H$21:$H$22,$H19,DL$21:DL$22)/BK19,0)</f>
        <v>0</v>
      </c>
      <c r="BH19" s="271">
        <f>IF(BK19&gt;0,SUMIF($H$21:$H$22,$H19,DM$21:DM$22)/BK19,0)</f>
        <v>0</v>
      </c>
      <c r="BI19" s="271">
        <f>IF(BK19&gt;0,SUMIF($H$21:$H$22,$H19,EN$21:EN$22)/BK19,0)</f>
        <v>0</v>
      </c>
      <c r="BJ19" s="271">
        <f>IF(BK19&gt;0,SUMIF($H$21:$H$22,$H19,EO$21:EO$22)/BK19,0)</f>
        <v>0</v>
      </c>
      <c r="BK19" s="271">
        <f>SUMIF($H$21:$H$22,$H19,BK$21:BK$22)</f>
        <v>0</v>
      </c>
      <c r="BL19" s="271">
        <f>IF(BP19&gt;0,INDEX(DP19:EG19,MATCH(BL$17,DP$17:EG$17))/BP19,0)</f>
        <v>0</v>
      </c>
      <c r="BM19" s="271">
        <f>IF(BP19&gt;0,INDEX(DP19:EG19,MATCH(BM$17,DP$17:EG$17))/BP19,0)</f>
        <v>0</v>
      </c>
      <c r="BN19" s="271">
        <f>IF(BP19&gt;0,INDEX(DP19:EG19,MATCH(BN$17,DP$17:EG$17))/BP19,0)</f>
        <v>0</v>
      </c>
      <c r="BO19" s="271">
        <f>IF(BP19&gt;0,INDEX(DP19:EG19,MATCH(BO$17,DP$17:EG$17))/BP19,0)</f>
        <v>0</v>
      </c>
      <c r="BP19" s="271">
        <f t="array" ref="BP19">SUM(($H$21:$H$22=H19)*(AR$21:AR$22="")*BP$21:BP$22)</f>
        <v>0</v>
      </c>
      <c r="BQ19" s="271">
        <f>IF(BS19&gt;0,INDEX(DP19:EG19,MATCH(BQ$17,DP$17:EG$17))/BS19,0)</f>
        <v>0</v>
      </c>
      <c r="BR19" s="271">
        <f>IF(BS19&gt;0,INDEX(DP19:EG19,MATCH(BR$17,DP$17:EG$17))/BS19,0)</f>
        <v>0</v>
      </c>
      <c r="BS19" s="271">
        <f t="array" ref="BS19">SUM(($H$21:$H$22=H19)*(AR$21:AR$22="")*BS$21:BS$22)</f>
        <v>0</v>
      </c>
      <c r="BT19" s="271">
        <f>SUMIF($H$21:$H$22,$H19,BT$21:BT$22)</f>
        <v>0</v>
      </c>
      <c r="BU19" s="117"/>
      <c r="BV19" s="271">
        <f>IF(BZ19&gt;0,SUMIF($H$21:$H$22,$H19,DN$21:DN$22)/BZ19,0)</f>
        <v>0</v>
      </c>
      <c r="BW19" s="271">
        <f>IF(BZ19&gt;0,SUMIF($H$21:$H$22,$H19,DO$21:DO$22)/BZ19,0)</f>
        <v>0</v>
      </c>
      <c r="BX19" s="271">
        <f>IF(BZ19&gt;0,SUMIF($H$21:$H$22,$H19,EP$21:EP$22)/BZ19,0)</f>
        <v>0</v>
      </c>
      <c r="BY19" s="271">
        <f>IF(BZ19&gt;0,SUMIF($H$21:$H$22,$H19,EQ$21:EQ$22)/BZ19,0)</f>
        <v>0</v>
      </c>
      <c r="BZ19" s="271">
        <f>SUMIF($H$21:$H$22,$H19,BZ$21:BZ$22)</f>
        <v>0</v>
      </c>
      <c r="CA19" s="271">
        <f>IF(CE19&gt;0,INDEX(DP19:EG19,MATCH(CA$17,DP$17:EG$17))/CE19,0)</f>
        <v>0</v>
      </c>
      <c r="CB19" s="271">
        <f>IF(CE19&gt;0,INDEX(DP19:EG19,MATCH(CB$17,DP$17:EG$17))/CE19,0)</f>
        <v>0</v>
      </c>
      <c r="CC19" s="271">
        <f>IF(CE19&gt;0,INDEX(DP19:EG19,MATCH(CC$17,DP$17:EG$17))/CE19,0)</f>
        <v>0</v>
      </c>
      <c r="CD19" s="271">
        <f>IF(CE19&gt;0,INDEX(DP19:EG19,MATCH(CD$17,DP$17:EG$17))/CE19,0)</f>
        <v>0</v>
      </c>
      <c r="CE19" s="271">
        <f t="array" ref="CE19">SUM(($H$21:$H$22=H19)*(AR$21:AR$22="")*CE$21:CE$22)</f>
        <v>0</v>
      </c>
      <c r="CF19" s="271">
        <f>IF(CH19&gt;0,INDEX(DP19:EG19,MATCH(CF$17,DP$17:EG$17))/CH19,0)</f>
        <v>0</v>
      </c>
      <c r="CG19" s="271">
        <f>IF(CH19&gt;0,INDEX(DP19:EG19,MATCH(CG$17,DP$17:EG$17))/CH19,0)</f>
        <v>0</v>
      </c>
      <c r="CH19" s="271">
        <f t="array" ref="CH19">SUM(($H$21:$H$22=H19)*(AR$21:AR$22="")*CH$21:CH$22)</f>
        <v>0</v>
      </c>
      <c r="CI19" s="271">
        <f>SUMIF($H$21:$H$22,$H19,CI$21:CI$22)</f>
        <v>0</v>
      </c>
      <c r="CJ19" s="117"/>
      <c r="CK19" s="271">
        <f>SUMIF($H$21:$H$22,$H19,CK$21:CK$22)</f>
        <v>0</v>
      </c>
      <c r="CL19" s="117"/>
      <c r="CM19" s="271">
        <f t="shared" ref="CM19:CQ20" si="0">SUMIF($H$21:$H$22,$H19,CM$21:CM$22)</f>
        <v>0</v>
      </c>
      <c r="CN19" s="271">
        <f t="shared" si="0"/>
        <v>0</v>
      </c>
      <c r="CO19" s="271">
        <f t="shared" si="0"/>
        <v>0</v>
      </c>
      <c r="CP19" s="271">
        <f t="shared" si="0"/>
        <v>0</v>
      </c>
      <c r="CQ19" s="271">
        <f t="shared" si="0"/>
        <v>0</v>
      </c>
      <c r="CR19" s="194"/>
      <c r="CS19" s="185"/>
      <c r="CT19" s="185"/>
      <c r="CU19" s="185"/>
      <c r="CV19" s="185"/>
      <c r="CW19" s="185"/>
      <c r="CX19" s="185"/>
      <c r="CY19" s="185"/>
      <c r="CZ19" s="185"/>
      <c r="DA19" s="185"/>
      <c r="DB19" s="185"/>
      <c r="DC19" s="185"/>
      <c r="DD19" s="185"/>
      <c r="DE19" s="185"/>
      <c r="DP19" s="480">
        <f t="shared" ref="DP19:DY20" si="1">SUMIF($H$21:$H$22,$H19,DP$21:DP$22)</f>
        <v>0</v>
      </c>
      <c r="DQ19" s="480">
        <f t="shared" si="1"/>
        <v>0</v>
      </c>
      <c r="DR19" s="480">
        <f t="shared" si="1"/>
        <v>0</v>
      </c>
      <c r="DS19" s="480">
        <f t="shared" si="1"/>
        <v>0</v>
      </c>
      <c r="DT19" s="480">
        <f t="shared" si="1"/>
        <v>0</v>
      </c>
      <c r="DU19" s="480">
        <f t="shared" si="1"/>
        <v>0</v>
      </c>
      <c r="DV19" s="480">
        <f t="shared" si="1"/>
        <v>0</v>
      </c>
      <c r="DW19" s="480">
        <f t="shared" si="1"/>
        <v>0</v>
      </c>
      <c r="DX19" s="480">
        <f t="shared" si="1"/>
        <v>0</v>
      </c>
      <c r="DY19" s="480">
        <f t="shared" si="1"/>
        <v>0</v>
      </c>
      <c r="DZ19" s="480">
        <f t="shared" ref="DZ19:EG20" si="2">SUMIF($H$21:$H$22,$H19,DZ$21:DZ$22)</f>
        <v>0</v>
      </c>
      <c r="EA19" s="480">
        <f t="shared" si="2"/>
        <v>0</v>
      </c>
      <c r="EB19" s="480">
        <f t="shared" si="2"/>
        <v>0</v>
      </c>
      <c r="EC19" s="480">
        <f t="shared" si="2"/>
        <v>0</v>
      </c>
      <c r="ED19" s="480">
        <f t="shared" si="2"/>
        <v>0</v>
      </c>
      <c r="EE19" s="480">
        <f t="shared" si="2"/>
        <v>0</v>
      </c>
      <c r="EF19" s="480">
        <f t="shared" si="2"/>
        <v>0</v>
      </c>
      <c r="EG19" s="480">
        <f t="shared" si="2"/>
        <v>0</v>
      </c>
      <c r="EH19" s="162"/>
      <c r="EI19" s="162"/>
      <c r="EJ19" s="162"/>
      <c r="EK19" s="162"/>
      <c r="EL19" s="162"/>
      <c r="EM19" s="162"/>
      <c r="EN19" s="162"/>
      <c r="EO19" s="162"/>
      <c r="EP19" s="162"/>
      <c r="EQ19" s="162"/>
      <c r="ER19" s="162"/>
      <c r="ES19" s="162"/>
    </row>
    <row r="20" spans="1:152" ht="24" customHeight="1">
      <c r="A20" s="181"/>
      <c r="B20" s="181"/>
      <c r="C20" s="181"/>
      <c r="E20" s="192"/>
      <c r="F20" s="955"/>
      <c r="G20" s="958"/>
      <c r="H20" s="107" t="str">
        <f>IF(TEMPLATE_SPHERE="водоснабжения","Вода технического качества","")</f>
        <v/>
      </c>
      <c r="I20" s="177"/>
      <c r="J20" s="177"/>
      <c r="K20" s="177"/>
      <c r="L20" s="177"/>
      <c r="M20" s="177"/>
      <c r="N20" s="177"/>
      <c r="O20" s="177"/>
      <c r="P20" s="177"/>
      <c r="Q20" s="177"/>
      <c r="R20" s="177"/>
      <c r="S20" s="177"/>
      <c r="T20" s="177"/>
      <c r="U20" s="177"/>
      <c r="V20" s="177"/>
      <c r="W20" s="177"/>
      <c r="X20" s="177"/>
      <c r="Y20" s="398">
        <f>IF((AG20+AQ20)&gt;0,SUMIF($H$21:$H$22,$H20,EH$21:EH$22)/(AG20+AQ20),0)</f>
        <v>0</v>
      </c>
      <c r="Z20" s="398">
        <f>IF((AG20+AQ20)&gt;0,SUMIF($H$21:$H$22,$H20,EI$21:EI$22)/(AG20+AQ20),0)</f>
        <v>0</v>
      </c>
      <c r="AA20" s="398">
        <f>IF(AG20=0,0,(AC20*AG20+AJ20*IF(AL20&gt;AG20,AG20,AL20))/AG20)</f>
        <v>0</v>
      </c>
      <c r="AB20" s="398">
        <f>IF(AG20=0,0,(AD20*AG20+AK20*IF(AL20&gt;AG20,AG20,AL20))/AG20)</f>
        <v>0</v>
      </c>
      <c r="AC20" s="271">
        <f>IF(AG20&gt;0,(AR20*AV20+BG20*BK20+BV20*BZ20+AW20*BA20+BL20*BP20+CA20*CE20)/AG20,0)</f>
        <v>0</v>
      </c>
      <c r="AD20" s="271">
        <f>IF(AG20&gt;0,(AS20*AV20+BH20*BK20+BW20*BZ20+AX20*BA20+BM20*BP20+CB20*CE20)/AG20,0)</f>
        <v>0</v>
      </c>
      <c r="AE20" s="398"/>
      <c r="AF20" s="398"/>
      <c r="AG20" s="271">
        <f>SUMIF($H$21:$H$22,$H20,AG$21:AG$22)</f>
        <v>0</v>
      </c>
      <c r="AH20" s="271"/>
      <c r="AI20" s="271"/>
      <c r="AJ20" s="271">
        <f>IF(AL20&gt;0,SUMIF($H$21:$H$22,$H20,ER$21:ER$22)/AL20,0)</f>
        <v>0</v>
      </c>
      <c r="AK20" s="271">
        <f>IF(AL20&gt;0,SUMIF($H$21:$H$22,$H20,ES$21:ES$22)/AL20,0)</f>
        <v>0</v>
      </c>
      <c r="AL20" s="271">
        <f>SUMIF($H$21:$H$22,$H20,AL$21:AL$22)</f>
        <v>0</v>
      </c>
      <c r="AM20" s="271">
        <f>IF(AQ20&gt;0,SUMIF($H$21:$H$22,$H20,DH$21:DH$22)/AQ20,0)</f>
        <v>0</v>
      </c>
      <c r="AN20" s="271">
        <f>IF(AQ20&gt;0,SUMIF($H$21:$H$22,$H20,DI$21:DI$22)/AQ20,0)</f>
        <v>0</v>
      </c>
      <c r="AO20" s="271">
        <f>IF(AQ20&gt;0,SUMIF($H$21:$H$22,$H20,EJ$21:EJ$22)/AQ20,0)</f>
        <v>0</v>
      </c>
      <c r="AP20" s="271">
        <f>IF(AQ20&gt;0,SUMIF($H$21:$H$22,$H20,EK$21:EK$22)/AQ20,0)</f>
        <v>0</v>
      </c>
      <c r="AQ20" s="271">
        <f>SUMIF($H$21:$H$22,$H20,AQ$21:AQ$22)</f>
        <v>0</v>
      </c>
      <c r="AR20" s="271">
        <f>IF(AV20&gt;0,SUMIF($H$21:$H$22,$H20,DJ$21:DJ$22)/AV20,0)</f>
        <v>0</v>
      </c>
      <c r="AS20" s="271">
        <f>IF(AV20&gt;0,SUMIF($H$21:$H$22,$H20,DK$21:DK$22)/AV20,0)</f>
        <v>0</v>
      </c>
      <c r="AT20" s="271">
        <f>IF(AV20&gt;0,SUMIF($H$21:$H$22,$H20,EL$21:EL$22)/AV20,0)</f>
        <v>0</v>
      </c>
      <c r="AU20" s="271">
        <f>IF(AV20&gt;0,SUMIF($H$21:$H$22,$H20,EM$21:EM$22)/AV20,0)</f>
        <v>0</v>
      </c>
      <c r="AV20" s="271">
        <f>SUMIF($H$21:$H$22,$H20,AV$21:AV$22)</f>
        <v>0</v>
      </c>
      <c r="AW20" s="271">
        <f>IF(BA20&gt;0,INDEX(DP20:EG20,MATCH(AW$17,DP$17:EG$17))/BA20,0)</f>
        <v>0</v>
      </c>
      <c r="AX20" s="271">
        <f>IF(BA20&gt;0,INDEX(DP20:EG20,MATCH(AX$17,DP$17:EG$17))/BA20,0)</f>
        <v>0</v>
      </c>
      <c r="AY20" s="271">
        <f>IF(BA20&gt;0,INDEX(DP20:EG20,MATCH(AY$17,DP$17:EG$17))/BA20,0)</f>
        <v>0</v>
      </c>
      <c r="AZ20" s="271">
        <f>IF(BA20&gt;0,INDEX(DP20:EG20,MATCH(AZ$17,DP$17:EG$17))/BA20,0)</f>
        <v>0</v>
      </c>
      <c r="BA20" s="271">
        <f t="array" ref="BA20">SUM(($H$21:$H$22=H20)*(AR$21:AR$22="")*BA$21:BA$22)</f>
        <v>0</v>
      </c>
      <c r="BB20" s="271">
        <f>IF(BD20&gt;0,INDEX(DP20:EG20,MATCH(BB$17,DP$17:EG$17))/BD20,0)</f>
        <v>0</v>
      </c>
      <c r="BC20" s="271">
        <f>IF(BD20&gt;0,INDEX(DP20:EG20,MATCH(BC$17,DP$17:EG$17))/BD20,0)</f>
        <v>0</v>
      </c>
      <c r="BD20" s="271">
        <f t="array" ref="BD20">SUM(($H$21:$H$22=H20)*(AR$21:AR$22="")*BD$21:BD$22)</f>
        <v>0</v>
      </c>
      <c r="BE20" s="271">
        <f>SUMIF($H$21:$H$22,$H20,BE$21:BE$22)</f>
        <v>0</v>
      </c>
      <c r="BF20" s="117"/>
      <c r="BG20" s="271">
        <f>IF(BK20&gt;0,SUMIF($H$21:$H$22,$H20,DL$21:DL$22)/BK20,0)</f>
        <v>0</v>
      </c>
      <c r="BH20" s="271">
        <f>IF(BK20&gt;0,SUMIF($H$21:$H$22,$H20,DM$21:DM$22)/BK20,0)</f>
        <v>0</v>
      </c>
      <c r="BI20" s="271">
        <f>IF(BK20&gt;0,SUMIF($H$21:$H$22,$H20,EN$21:EN$22)/BK20,0)</f>
        <v>0</v>
      </c>
      <c r="BJ20" s="271">
        <f>IF(BK20&gt;0,SUMIF($H$21:$H$22,$H20,EO$21:EO$22)/BK20,0)</f>
        <v>0</v>
      </c>
      <c r="BK20" s="271">
        <f>SUMIF($H$21:$H$22,$H20,BK$21:BK$22)</f>
        <v>0</v>
      </c>
      <c r="BL20" s="271">
        <f>IF(BP20&gt;0,INDEX(DP20:EG20,MATCH(BL$17,DP$17:EG$17))/BP20,0)</f>
        <v>0</v>
      </c>
      <c r="BM20" s="271">
        <f>IF(BP20&gt;0,INDEX(DP20:EG20,MATCH(BM$17,DP$17:EG$17))/BP20,0)</f>
        <v>0</v>
      </c>
      <c r="BN20" s="271">
        <f>IF(BP20&gt;0,INDEX(DP20:EG20,MATCH(BN$17,DP$17:EG$17))/BP20,0)</f>
        <v>0</v>
      </c>
      <c r="BO20" s="271">
        <f>IF(BP20&gt;0,INDEX(DP20:EG20,MATCH(BO$17,DP$17:EG$17))/BP20,0)</f>
        <v>0</v>
      </c>
      <c r="BP20" s="271">
        <f t="array" ref="BP20">SUM(($H$21:$H$22=H20)*(AR$21:AR$22="")*BP$21:BP$22)</f>
        <v>0</v>
      </c>
      <c r="BQ20" s="271">
        <f>IF(BS20&gt;0,INDEX(DP20:EG20,MATCH(BQ$17,DP$17:EG$17))/BS20,0)</f>
        <v>0</v>
      </c>
      <c r="BR20" s="271">
        <f>IF(BS20&gt;0,INDEX(DP20:EG20,MATCH(BR$17,DP$17:EG$17))/BS20,0)</f>
        <v>0</v>
      </c>
      <c r="BS20" s="271">
        <f t="array" ref="BS20">SUM(($H$21:$H$22=H20)*(AR$21:AR$22="")*BS$21:BS$22)</f>
        <v>0</v>
      </c>
      <c r="BT20" s="271">
        <f>SUMIF($H$21:$H$22,$H20,BT$21:BT$22)</f>
        <v>0</v>
      </c>
      <c r="BU20" s="117"/>
      <c r="BV20" s="271">
        <f>IF(BZ20&gt;0,SUMIF($H$21:$H$22,$H20,DN$21:DN$22)/BZ20,0)</f>
        <v>0</v>
      </c>
      <c r="BW20" s="271">
        <f>IF(BZ20&gt;0,SUMIF($H$21:$H$22,$H20,DO$21:DO$22)/BZ20,0)</f>
        <v>0</v>
      </c>
      <c r="BX20" s="271">
        <f>IF(BZ20&gt;0,SUMIF($H$21:$H$22,$H20,EP$21:EP$22)/BZ20,0)</f>
        <v>0</v>
      </c>
      <c r="BY20" s="271">
        <f>IF(BZ20&gt;0,SUMIF($H$21:$H$22,$H20,EQ$21:EQ$22)/BZ20,0)</f>
        <v>0</v>
      </c>
      <c r="BZ20" s="271">
        <f>SUMIF($H$21:$H$22,$H20,BZ$21:BZ$22)</f>
        <v>0</v>
      </c>
      <c r="CA20" s="271">
        <f>IF(CE20&gt;0,INDEX(DP20:EG20,MATCH(CA$17,DP$17:EG$17))/CE20,0)</f>
        <v>0</v>
      </c>
      <c r="CB20" s="271">
        <f>IF(CE20&gt;0,INDEX(DP20:EG20,MATCH(CB$17,DP$17:EG$17))/CE20,0)</f>
        <v>0</v>
      </c>
      <c r="CC20" s="271">
        <f>IF(CE20&gt;0,INDEX(DP20:EG20,MATCH(CC$17,DP$17:EG$17))/CE20,0)</f>
        <v>0</v>
      </c>
      <c r="CD20" s="271">
        <f>IF(CE20&gt;0,INDEX(DP20:EG20,MATCH(CD$17,DP$17:EG$17))/CE20,0)</f>
        <v>0</v>
      </c>
      <c r="CE20" s="271">
        <f t="array" ref="CE20">SUM(($H$21:$H$22=H20)*(AR$21:AR$22="")*CE$21:CE$22)</f>
        <v>0</v>
      </c>
      <c r="CF20" s="271">
        <f>IF(CH20&gt;0,INDEX(DP20:EG20,MATCH(CF$17,DP$17:EG$17))/CH20,0)</f>
        <v>0</v>
      </c>
      <c r="CG20" s="271">
        <f>IF(CH20&gt;0,INDEX(DP20:EG20,MATCH(CG$17,DP$17:EG$17))/CH20,0)</f>
        <v>0</v>
      </c>
      <c r="CH20" s="271">
        <f t="array" ref="CH20">SUM(($H$21:$H$22=H20)*(AR$21:AR$22="")*CH$21:CH$22)</f>
        <v>0</v>
      </c>
      <c r="CI20" s="271">
        <f>SUMIF($H$21:$H$22,$H20,CI$21:CI$22)</f>
        <v>0</v>
      </c>
      <c r="CJ20" s="117"/>
      <c r="CK20" s="271">
        <f>SUMIF($H$21:$H$22,$H20,CK$21:CK$22)</f>
        <v>0</v>
      </c>
      <c r="CL20" s="117"/>
      <c r="CM20" s="271">
        <f t="shared" si="0"/>
        <v>0</v>
      </c>
      <c r="CN20" s="271">
        <f t="shared" si="0"/>
        <v>0</v>
      </c>
      <c r="CO20" s="271">
        <f t="shared" si="0"/>
        <v>0</v>
      </c>
      <c r="CP20" s="271">
        <f t="shared" si="0"/>
        <v>0</v>
      </c>
      <c r="CQ20" s="271">
        <f t="shared" si="0"/>
        <v>0</v>
      </c>
      <c r="CR20" s="194"/>
      <c r="CS20" s="185"/>
      <c r="CT20" s="185"/>
      <c r="CU20" s="185"/>
      <c r="CV20" s="185"/>
      <c r="CW20" s="185"/>
      <c r="CX20" s="185"/>
      <c r="CY20" s="185"/>
      <c r="CZ20" s="185"/>
      <c r="DA20" s="185"/>
      <c r="DB20" s="185"/>
      <c r="DC20" s="185"/>
      <c r="DD20" s="185"/>
      <c r="DE20" s="185"/>
      <c r="DP20" s="480">
        <f t="shared" si="1"/>
        <v>0</v>
      </c>
      <c r="DQ20" s="480">
        <f t="shared" si="1"/>
        <v>0</v>
      </c>
      <c r="DR20" s="480">
        <f t="shared" si="1"/>
        <v>0</v>
      </c>
      <c r="DS20" s="480">
        <f t="shared" si="1"/>
        <v>0</v>
      </c>
      <c r="DT20" s="480">
        <f t="shared" si="1"/>
        <v>0</v>
      </c>
      <c r="DU20" s="480">
        <f t="shared" si="1"/>
        <v>0</v>
      </c>
      <c r="DV20" s="480">
        <f t="shared" si="1"/>
        <v>0</v>
      </c>
      <c r="DW20" s="480">
        <f t="shared" si="1"/>
        <v>0</v>
      </c>
      <c r="DX20" s="480">
        <f t="shared" si="1"/>
        <v>0</v>
      </c>
      <c r="DY20" s="480">
        <f t="shared" si="1"/>
        <v>0</v>
      </c>
      <c r="DZ20" s="480">
        <f t="shared" si="2"/>
        <v>0</v>
      </c>
      <c r="EA20" s="480">
        <f t="shared" si="2"/>
        <v>0</v>
      </c>
      <c r="EB20" s="480">
        <f t="shared" si="2"/>
        <v>0</v>
      </c>
      <c r="EC20" s="480">
        <f t="shared" si="2"/>
        <v>0</v>
      </c>
      <c r="ED20" s="480">
        <f t="shared" si="2"/>
        <v>0</v>
      </c>
      <c r="EE20" s="480">
        <f t="shared" si="2"/>
        <v>0</v>
      </c>
      <c r="EF20" s="480">
        <f t="shared" si="2"/>
        <v>0</v>
      </c>
      <c r="EG20" s="480">
        <f t="shared" si="2"/>
        <v>0</v>
      </c>
      <c r="EH20" s="162"/>
      <c r="EI20" s="162"/>
      <c r="EJ20" s="162"/>
      <c r="EK20" s="162"/>
      <c r="EL20" s="162"/>
      <c r="EM20" s="162"/>
      <c r="EN20" s="162"/>
      <c r="EO20" s="162"/>
      <c r="EP20" s="162"/>
      <c r="EQ20" s="162"/>
      <c r="ER20" s="162"/>
      <c r="ES20" s="162"/>
    </row>
    <row r="21" spans="1:152" ht="12" hidden="1" customHeight="1">
      <c r="A21" s="181"/>
      <c r="B21" s="181"/>
      <c r="C21" s="181"/>
      <c r="E21" s="192"/>
      <c r="F21" s="186">
        <v>0</v>
      </c>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96"/>
      <c r="CS21" s="185"/>
      <c r="CT21" s="185"/>
      <c r="CU21" s="185"/>
      <c r="CV21" s="185"/>
      <c r="CW21" s="185"/>
      <c r="CX21" s="185"/>
      <c r="CY21" s="185"/>
      <c r="CZ21" s="185"/>
      <c r="DA21" s="185"/>
      <c r="DB21" s="185"/>
      <c r="DC21" s="185"/>
      <c r="DD21" s="185"/>
      <c r="DE21" s="185"/>
      <c r="DP21" s="78"/>
      <c r="DQ21" s="78"/>
      <c r="DR21" s="78"/>
      <c r="DS21" s="78"/>
      <c r="DT21" s="78"/>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row>
    <row r="22" spans="1:152" ht="0.75" customHeight="1">
      <c r="A22" s="181"/>
      <c r="B22" s="181"/>
      <c r="C22" s="181"/>
      <c r="E22" s="192"/>
      <c r="F22" s="110"/>
      <c r="G22" s="111" t="s">
        <v>720</v>
      </c>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c r="CR22" s="113"/>
      <c r="CS22" s="185"/>
      <c r="CT22" s="185"/>
      <c r="CU22" s="185"/>
      <c r="CV22" s="185"/>
      <c r="CW22" s="185"/>
      <c r="CX22" s="185"/>
      <c r="CY22" s="185"/>
      <c r="CZ22" s="185"/>
      <c r="DA22" s="185"/>
      <c r="DB22" s="185"/>
      <c r="DC22" s="185"/>
      <c r="DD22" s="185"/>
      <c r="DE22" s="185"/>
      <c r="DP22" s="78"/>
      <c r="DQ22" s="78"/>
      <c r="DR22" s="78"/>
      <c r="DS22" s="78"/>
      <c r="DT22" s="78"/>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row>
    <row r="23" spans="1:152" s="162" customFormat="1" ht="12" customHeight="1">
      <c r="A23" s="181"/>
      <c r="B23" s="181"/>
      <c r="C23" s="181"/>
      <c r="D23" s="159"/>
      <c r="E23" s="192"/>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78"/>
      <c r="DG23" s="78"/>
      <c r="DH23" s="78"/>
      <c r="DI23" s="78"/>
      <c r="DJ23" s="78"/>
      <c r="DK23" s="78"/>
      <c r="DL23" s="78"/>
      <c r="DM23" s="78"/>
      <c r="DN23" s="78"/>
      <c r="DO23" s="78"/>
      <c r="DP23" s="78"/>
      <c r="DQ23" s="78"/>
      <c r="DR23" s="78"/>
      <c r="DS23" s="78"/>
      <c r="DT23" s="78"/>
    </row>
    <row r="24" spans="1:152" s="162" customFormat="1">
      <c r="D24" s="159"/>
      <c r="E24" s="179"/>
      <c r="DF24" s="78"/>
      <c r="DG24" s="78"/>
      <c r="DH24" s="78"/>
      <c r="DI24" s="78"/>
      <c r="DJ24" s="78"/>
      <c r="DK24" s="78"/>
      <c r="DL24" s="78"/>
      <c r="DM24" s="78"/>
      <c r="DN24" s="78"/>
      <c r="DO24" s="78"/>
      <c r="DP24" s="78"/>
      <c r="DQ24" s="78"/>
      <c r="DR24" s="78"/>
      <c r="DS24" s="78"/>
      <c r="DT24" s="78"/>
    </row>
    <row r="25" spans="1:152" customFormat="1"/>
    <row r="26" spans="1:152" customFormat="1"/>
    <row r="27" spans="1:152" customFormat="1"/>
    <row r="28" spans="1:152" customFormat="1" ht="36.75" customHeight="1"/>
    <row r="29" spans="1:152" customFormat="1"/>
    <row r="30" spans="1:152" customFormat="1"/>
    <row r="31" spans="1:152" customFormat="1"/>
    <row r="32" spans="1:152" customFormat="1"/>
    <row r="33" customFormat="1"/>
    <row r="34" customFormat="1" ht="41.25" customHeight="1"/>
    <row r="35" customFormat="1"/>
    <row r="36" customFormat="1"/>
    <row r="37" customFormat="1" ht="11.25" customHeight="1"/>
    <row r="38" customFormat="1" ht="11.25" customHeight="1"/>
    <row r="39" customFormat="1"/>
    <row r="40" customFormat="1" ht="31.5" customHeight="1"/>
    <row r="41" customFormat="1"/>
    <row r="42" customFormat="1"/>
  </sheetData>
  <sheetProtection password="FA9C" sheet="1" objects="1" scenarios="1" formatColumns="0" formatRows="0"/>
  <mergeCells count="96">
    <mergeCell ref="ET16:EV16"/>
    <mergeCell ref="EJ16:EQ16"/>
    <mergeCell ref="ER16:ES16"/>
    <mergeCell ref="EH16:EI16"/>
    <mergeCell ref="CP14:CP16"/>
    <mergeCell ref="CR13:CR16"/>
    <mergeCell ref="DF16:DO16"/>
    <mergeCell ref="CQ14:CQ16"/>
    <mergeCell ref="DP16:EG16"/>
    <mergeCell ref="CM13:CQ13"/>
    <mergeCell ref="CM14:CM16"/>
    <mergeCell ref="BU14:BU16"/>
    <mergeCell ref="BS15:BS16"/>
    <mergeCell ref="BN15:BO15"/>
    <mergeCell ref="BV13:CJ13"/>
    <mergeCell ref="CL13:CL16"/>
    <mergeCell ref="BQ15:BR15"/>
    <mergeCell ref="CJ14:CJ16"/>
    <mergeCell ref="CI14:CI16"/>
    <mergeCell ref="CK13:CK16"/>
    <mergeCell ref="CN14:CN16"/>
    <mergeCell ref="CO14:CO16"/>
    <mergeCell ref="L14:L16"/>
    <mergeCell ref="K12:X12"/>
    <mergeCell ref="N13:N16"/>
    <mergeCell ref="Y13:Z15"/>
    <mergeCell ref="AV14:AV16"/>
    <mergeCell ref="AR14:AS15"/>
    <mergeCell ref="X13:X16"/>
    <mergeCell ref="T14:T16"/>
    <mergeCell ref="W14:W16"/>
    <mergeCell ref="R14:R16"/>
    <mergeCell ref="Q14:Q16"/>
    <mergeCell ref="T13:U13"/>
    <mergeCell ref="P13:Q13"/>
    <mergeCell ref="F18:F20"/>
    <mergeCell ref="G18:G20"/>
    <mergeCell ref="AA13:AB15"/>
    <mergeCell ref="U14:U16"/>
    <mergeCell ref="F13:F16"/>
    <mergeCell ref="P14:P16"/>
    <mergeCell ref="S14:S16"/>
    <mergeCell ref="H13:I16"/>
    <mergeCell ref="J13:J16"/>
    <mergeCell ref="K13:M13"/>
    <mergeCell ref="M14:M16"/>
    <mergeCell ref="K14:K16"/>
    <mergeCell ref="V14:V16"/>
    <mergeCell ref="O13:O16"/>
    <mergeCell ref="V13:W13"/>
    <mergeCell ref="R13:S13"/>
    <mergeCell ref="G13:G16"/>
    <mergeCell ref="AA7:AB7"/>
    <mergeCell ref="AR13:BF13"/>
    <mergeCell ref="AQ14:AQ16"/>
    <mergeCell ref="AE13:AF15"/>
    <mergeCell ref="AH13:AI15"/>
    <mergeCell ref="AC13:AD15"/>
    <mergeCell ref="AG13:AG16"/>
    <mergeCell ref="AJ13:AK15"/>
    <mergeCell ref="AW15:AX15"/>
    <mergeCell ref="AY15:AZ15"/>
    <mergeCell ref="AW14:BD14"/>
    <mergeCell ref="BD15:BD16"/>
    <mergeCell ref="BB15:BC15"/>
    <mergeCell ref="BF14:BF16"/>
    <mergeCell ref="BE14:BE16"/>
    <mergeCell ref="AC7:AD7"/>
    <mergeCell ref="AE7:AF7"/>
    <mergeCell ref="AG7:AG8"/>
    <mergeCell ref="AM14:AN15"/>
    <mergeCell ref="AL13:AL16"/>
    <mergeCell ref="AM13:AQ13"/>
    <mergeCell ref="AO14:AP15"/>
    <mergeCell ref="AW7:AX7"/>
    <mergeCell ref="BI14:BJ15"/>
    <mergeCell ref="BL15:BM15"/>
    <mergeCell ref="BK14:BK16"/>
    <mergeCell ref="AT14:AU15"/>
    <mergeCell ref="BL7:BM7"/>
    <mergeCell ref="BG14:BH15"/>
    <mergeCell ref="BA15:BA16"/>
    <mergeCell ref="CA7:CB7"/>
    <mergeCell ref="BT14:BT16"/>
    <mergeCell ref="BP15:BP16"/>
    <mergeCell ref="CA14:CH14"/>
    <mergeCell ref="CH15:CH16"/>
    <mergeCell ref="BL14:BS14"/>
    <mergeCell ref="CE15:CE16"/>
    <mergeCell ref="CA15:CB15"/>
    <mergeCell ref="BG13:BU13"/>
    <mergeCell ref="BX14:BY15"/>
    <mergeCell ref="BZ14:BZ16"/>
    <mergeCell ref="BV14:BW15"/>
    <mergeCell ref="CC15:CD15"/>
    <mergeCell ref="CF15:CG15"/>
  </mergeCells>
  <phoneticPr fontId="8" type="noConversion"/>
  <dataValidations disablePrompts="1" count="2">
    <dataValidation allowBlank="1" showInputMessage="1" showErrorMessage="1" errorTitle="Ошибка" error="Допускается ввод ТОЛЬКО числовых значений!" sqref="AW9:AW11"/>
    <dataValidation allowBlank="1" showInputMessage="1" showErrorMessage="1" sqref="CM14:CP15"/>
  </dataValidations>
  <hyperlinks>
    <hyperlink ref="G8" location="'ТМ2 01.01 - 30.06'!A1" tooltip="Скопировать данные на листы 1 июл, 1 сен" display="Скопировать данные на листы 1 июл, 1 сен"/>
    <hyperlink ref="K10" location="'ТМ2 01.01 - 30.06'!A1" tooltip="Отобразить / Скрыть блок" display="-"/>
  </hyperlinks>
  <pageMargins left="0.37" right="0.35" top="1" bottom="1" header="0.5" footer="0.5"/>
  <pageSetup paperSize="9" scale="37" orientation="landscape" horizontalDpi="4294967292" verticalDpi="4294967292"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sheetPr codeName="VSNA_TM2_PERIOD2">
    <tabColor rgb="FF92D050"/>
    <pageSetUpPr fitToPage="1"/>
  </sheetPr>
  <dimension ref="A1:EV42"/>
  <sheetViews>
    <sheetView showGridLines="0" topLeftCell="E3" workbookViewId="0">
      <pane xSplit="5" ySplit="19" topLeftCell="J22" activePane="bottomRight" state="frozen"/>
      <selection activeCell="AA13" sqref="AA13:AB15"/>
      <selection pane="topRight" activeCell="AA13" sqref="AA13:AB15"/>
      <selection pane="bottomLeft" activeCell="AA13" sqref="AA13:AB15"/>
      <selection pane="bottomRight"/>
    </sheetView>
  </sheetViews>
  <sheetFormatPr defaultRowHeight="11.25"/>
  <cols>
    <col min="1" max="3" width="5.7109375" style="162" hidden="1" customWidth="1"/>
    <col min="4" max="4" width="3.7109375" style="159" hidden="1" customWidth="1"/>
    <col min="5" max="5" width="5.7109375" style="179" customWidth="1"/>
    <col min="6" max="6" width="4.7109375" style="39" customWidth="1"/>
    <col min="7" max="7" width="40.7109375" style="39" customWidth="1"/>
    <col min="8" max="8" width="28.5703125" style="39" customWidth="1"/>
    <col min="9" max="9" width="0.140625" style="39" customWidth="1"/>
    <col min="10" max="10" width="20.7109375" style="39" customWidth="1"/>
    <col min="11" max="13" width="10.85546875" style="39" hidden="1" customWidth="1"/>
    <col min="14" max="14" width="11.7109375" style="39" hidden="1" customWidth="1"/>
    <col min="15" max="15" width="0.140625" style="39" hidden="1" customWidth="1"/>
    <col min="16" max="19" width="10.85546875" style="39" hidden="1" customWidth="1"/>
    <col min="20" max="21" width="0.140625" style="39" hidden="1" customWidth="1"/>
    <col min="22" max="24" width="10.85546875" style="39" hidden="1" customWidth="1"/>
    <col min="25" max="26" width="11.7109375" style="39" customWidth="1"/>
    <col min="27" max="30" width="18.7109375" style="39" customWidth="1"/>
    <col min="31" max="32" width="0.140625" style="39" customWidth="1"/>
    <col min="33" max="33" width="15.7109375" style="39" customWidth="1"/>
    <col min="34" max="35" width="0.140625" style="39" customWidth="1"/>
    <col min="36" max="37" width="11.7109375" style="39" customWidth="1"/>
    <col min="38" max="38" width="15.7109375" style="39" customWidth="1"/>
    <col min="39" max="42" width="11.7109375" style="39" customWidth="1"/>
    <col min="43" max="43" width="14.7109375" style="39" customWidth="1"/>
    <col min="44" max="47" width="11.7109375" style="39" customWidth="1"/>
    <col min="48" max="48" width="14.7109375" style="39" customWidth="1"/>
    <col min="49" max="50" width="13.7109375" style="39" hidden="1" customWidth="1"/>
    <col min="51" max="56" width="12.5703125" style="39" hidden="1" customWidth="1"/>
    <col min="57" max="58" width="12.5703125" style="39" customWidth="1"/>
    <col min="59" max="62" width="12.7109375" style="39" customWidth="1"/>
    <col min="63" max="63" width="14.7109375" style="39" customWidth="1"/>
    <col min="64" max="65" width="13.85546875" style="39" hidden="1" customWidth="1"/>
    <col min="66" max="71" width="12.7109375" style="39" hidden="1" customWidth="1"/>
    <col min="72" max="77" width="12.7109375" style="39" customWidth="1"/>
    <col min="78" max="78" width="14.7109375" style="39" customWidth="1"/>
    <col min="79" max="80" width="13.85546875" style="39" hidden="1" customWidth="1"/>
    <col min="81" max="86" width="12.7109375" style="39" hidden="1" customWidth="1"/>
    <col min="87" max="88" width="12.7109375" style="39" customWidth="1"/>
    <col min="89" max="95" width="15.7109375" style="39" customWidth="1"/>
    <col min="96" max="96" width="19.5703125" style="39" customWidth="1"/>
    <col min="97" max="109" width="1.7109375" style="162" customWidth="1"/>
    <col min="110" max="112" width="6.7109375" style="78" hidden="1" customWidth="1"/>
    <col min="113" max="118" width="6.7109375" style="77" hidden="1" customWidth="1"/>
    <col min="119" max="119" width="6.7109375" style="78" hidden="1" customWidth="1"/>
    <col min="120" max="124" width="6.7109375" style="77" hidden="1" customWidth="1"/>
    <col min="125" max="149" width="6.7109375" style="39" hidden="1" customWidth="1"/>
    <col min="150" max="152" width="0" style="39" hidden="1" customWidth="1"/>
    <col min="153" max="16384" width="9.140625" style="39"/>
  </cols>
  <sheetData>
    <row r="1" spans="4:152" s="162" customFormat="1" hidden="1">
      <c r="D1" s="159"/>
      <c r="E1" s="179"/>
      <c r="DF1" s="78"/>
      <c r="DG1" s="78"/>
      <c r="DH1" s="78"/>
      <c r="DI1" s="78"/>
      <c r="DJ1" s="78"/>
      <c r="DK1" s="78"/>
      <c r="DL1" s="78"/>
      <c r="DM1" s="78"/>
      <c r="DN1" s="78"/>
      <c r="DO1" s="78"/>
      <c r="DP1" s="78"/>
      <c r="DQ1" s="78"/>
      <c r="DR1" s="78"/>
      <c r="DS1" s="78"/>
      <c r="DT1" s="78"/>
    </row>
    <row r="2" spans="4:152" s="162" customFormat="1" hidden="1">
      <c r="D2" s="159"/>
      <c r="E2" s="179"/>
      <c r="DF2" s="78"/>
      <c r="DG2" s="78"/>
      <c r="DH2" s="78"/>
      <c r="DI2" s="78"/>
      <c r="DJ2" s="78"/>
      <c r="DK2" s="78"/>
      <c r="DL2" s="78"/>
      <c r="DM2" s="78"/>
      <c r="DN2" s="78"/>
      <c r="DO2" s="78"/>
      <c r="DP2" s="78"/>
      <c r="DQ2" s="78"/>
      <c r="DR2" s="78"/>
      <c r="DS2" s="78"/>
      <c r="DT2" s="78"/>
    </row>
    <row r="3" spans="4:152" s="162" customFormat="1" ht="12" customHeight="1">
      <c r="D3" s="159"/>
      <c r="E3" s="179"/>
      <c r="F3" s="637"/>
      <c r="G3" s="219" t="str">
        <f>"Необходимо указывать " &amp; IF(TARIFF_SETUP_METHOD_CODE="BY_PSEUDO_YEARS","общегодовые значения","значения по периодам")</f>
        <v>Необходимо указывать значения по периодам</v>
      </c>
      <c r="H3" s="616" t="s">
        <v>2497</v>
      </c>
      <c r="I3" s="637">
        <f>IF(TARIFF_SETUP_METHOD_CODE="BY_PSEUDO_YEARS",12,IF(TEMPLATE_CLAIM="P",6,2))</f>
        <v>2</v>
      </c>
      <c r="DF3" s="78"/>
      <c r="DG3" s="78"/>
      <c r="DH3" s="78"/>
      <c r="DI3" s="78"/>
      <c r="DJ3" s="78"/>
      <c r="DK3" s="78"/>
      <c r="DL3" s="78"/>
      <c r="DM3" s="78"/>
      <c r="DN3" s="78"/>
      <c r="DO3" s="78"/>
      <c r="DP3" s="78"/>
      <c r="DQ3" s="78"/>
      <c r="DR3" s="78"/>
      <c r="DS3" s="78"/>
      <c r="DT3" s="78"/>
    </row>
    <row r="4" spans="4:152" s="162" customFormat="1" ht="3" customHeight="1">
      <c r="D4" s="159"/>
      <c r="E4" s="184"/>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5"/>
      <c r="CZ4" s="185"/>
      <c r="DA4" s="185"/>
      <c r="DB4" s="185"/>
      <c r="DC4" s="185"/>
      <c r="DD4" s="185"/>
      <c r="DE4" s="185"/>
      <c r="DF4" s="78"/>
      <c r="DG4" s="78"/>
      <c r="DH4" s="78"/>
      <c r="DI4" s="78"/>
      <c r="DJ4" s="78"/>
      <c r="DK4" s="78"/>
      <c r="DL4" s="78"/>
      <c r="DM4" s="78"/>
      <c r="DN4" s="78"/>
      <c r="DO4" s="78"/>
      <c r="DP4" s="78"/>
      <c r="DQ4" s="78"/>
      <c r="DR4" s="78"/>
      <c r="DS4" s="78"/>
      <c r="DT4" s="78"/>
    </row>
    <row r="5" spans="4:152" s="423" customFormat="1" ht="18" customHeight="1">
      <c r="F5" s="422" t="str">
        <f>"Тарифы для организаций " &amp; TEMPLATE_SPHERE &amp; " по муниципальному образованию - " &amp; IF(mo="","Не определено",mo)</f>
        <v>Тарифы для организаций водоотведения по муниципальному образованию - Село Булава</v>
      </c>
      <c r="G5" s="416"/>
      <c r="H5" s="416"/>
      <c r="I5" s="416"/>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H5" s="407"/>
      <c r="BI5" s="407"/>
      <c r="BJ5" s="407"/>
      <c r="BK5" s="407"/>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L5" s="407"/>
      <c r="CM5" s="407"/>
      <c r="CN5" s="407"/>
      <c r="CO5" s="407"/>
      <c r="CP5" s="407"/>
      <c r="CQ5" s="407"/>
      <c r="CR5" s="407"/>
      <c r="DF5" s="424"/>
      <c r="DG5" s="424"/>
      <c r="DH5" s="424"/>
      <c r="DI5" s="424"/>
      <c r="DJ5" s="424"/>
      <c r="DK5" s="424"/>
      <c r="DL5" s="424"/>
      <c r="DM5" s="424"/>
      <c r="DN5" s="424"/>
      <c r="DO5" s="424"/>
      <c r="DP5" s="424"/>
      <c r="DQ5" s="424"/>
    </row>
    <row r="6" spans="4:152" s="164" customFormat="1" ht="2.25" customHeight="1">
      <c r="D6" s="165"/>
      <c r="E6" s="190"/>
      <c r="F6" s="158"/>
      <c r="G6" s="158"/>
      <c r="H6" s="158"/>
      <c r="I6" s="158"/>
      <c r="J6" s="158"/>
      <c r="K6" s="180"/>
      <c r="L6" s="180"/>
      <c r="M6" s="180"/>
      <c r="N6" s="180"/>
      <c r="O6" s="180"/>
      <c r="P6" s="180"/>
      <c r="Q6" s="180"/>
      <c r="R6" s="180"/>
      <c r="S6" s="180"/>
      <c r="T6" s="180"/>
      <c r="U6" s="180"/>
      <c r="V6" s="180"/>
      <c r="W6" s="180"/>
      <c r="X6" s="180"/>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91"/>
      <c r="CQ6" s="191"/>
      <c r="CR6" s="191"/>
      <c r="CS6" s="158"/>
      <c r="CT6" s="158"/>
      <c r="CU6" s="158"/>
      <c r="CV6" s="158"/>
      <c r="CW6" s="158"/>
      <c r="CX6" s="158"/>
      <c r="CY6" s="158"/>
      <c r="CZ6" s="158"/>
      <c r="DA6" s="158"/>
      <c r="DB6" s="158"/>
      <c r="DC6" s="158"/>
      <c r="DD6" s="158"/>
      <c r="DE6" s="158"/>
      <c r="DF6" s="81"/>
      <c r="DG6" s="81"/>
      <c r="DH6" s="81"/>
      <c r="DI6" s="81"/>
      <c r="DJ6" s="81"/>
      <c r="DK6" s="81"/>
      <c r="DL6" s="81"/>
      <c r="DM6" s="81"/>
      <c r="DN6" s="81"/>
      <c r="DO6" s="81"/>
      <c r="DP6" s="81"/>
      <c r="DQ6" s="81"/>
      <c r="DR6" s="81"/>
      <c r="DS6" s="81"/>
      <c r="DT6" s="81"/>
    </row>
    <row r="7" spans="4:152" s="164" customFormat="1" ht="36" customHeight="1">
      <c r="D7" s="165"/>
      <c r="E7" s="190"/>
      <c r="F7" s="158"/>
      <c r="G7" s="158"/>
      <c r="H7" s="158"/>
      <c r="I7" s="158"/>
      <c r="J7" s="158"/>
      <c r="K7" s="191"/>
      <c r="L7" s="191"/>
      <c r="M7" s="191"/>
      <c r="N7" s="191"/>
      <c r="O7" s="191"/>
      <c r="P7" s="191"/>
      <c r="Q7" s="191"/>
      <c r="R7" s="191"/>
      <c r="S7" s="191"/>
      <c r="T7" s="191"/>
      <c r="U7" s="191"/>
      <c r="V7" s="191"/>
      <c r="W7" s="191"/>
      <c r="X7" s="191"/>
      <c r="Y7" s="191"/>
      <c r="Z7" s="191"/>
      <c r="AA7" s="824" t="str">
        <f>"Средневзвешенный тариф с учётом надбавки и передачи (транспортировки), руб./" &amp; $G$12</f>
        <v>Средневзвешенный тариф с учётом надбавки и передачи (транспортировки), руб./куб.м</v>
      </c>
      <c r="AB7" s="924"/>
      <c r="AC7" s="824" t="str">
        <f>"Средневзвешенный тариф с учётом передачи (транспортировки), руб./" &amp; $G$12</f>
        <v>Средневзвешенный тариф с учётом передачи (транспортировки), руб./куб.м</v>
      </c>
      <c r="AD7" s="924"/>
      <c r="AE7" s="824"/>
      <c r="AF7" s="924"/>
      <c r="AG7" s="925" t="s">
        <v>3158</v>
      </c>
      <c r="AH7" s="191"/>
      <c r="AI7" s="191"/>
      <c r="AJ7" s="191"/>
      <c r="AK7" s="191"/>
      <c r="AL7" s="191"/>
      <c r="AM7" s="191"/>
      <c r="AN7" s="191"/>
      <c r="AO7" s="191"/>
      <c r="AP7" s="191"/>
      <c r="AQ7" s="191"/>
      <c r="AR7" s="191"/>
      <c r="AS7" s="191"/>
      <c r="AT7" s="191"/>
      <c r="AU7" s="191"/>
      <c r="AV7" s="158"/>
      <c r="AW7" s="824" t="str">
        <f>"Средневзвешенный тариф по группе ""Бюджетные потребители"", руб./" &amp; $G$12</f>
        <v>Средневзвешенный тариф по группе "Бюджетные потребители", руб./куб.м</v>
      </c>
      <c r="AX7" s="824"/>
      <c r="AY7" s="158"/>
      <c r="AZ7" s="158"/>
      <c r="BA7" s="158"/>
      <c r="BB7" s="158"/>
      <c r="BC7" s="158"/>
      <c r="BD7" s="158"/>
      <c r="BE7" s="158"/>
      <c r="BF7" s="158"/>
      <c r="BG7" s="158"/>
      <c r="BH7" s="158"/>
      <c r="BI7" s="158"/>
      <c r="BJ7" s="158"/>
      <c r="BK7" s="158"/>
      <c r="BL7" s="824" t="str">
        <f>"Средневзвешенный тариф по группе ""Население"", руб./" &amp; $G$12</f>
        <v>Средневзвешенный тариф по группе "Население", руб./куб.м</v>
      </c>
      <c r="BM7" s="824"/>
      <c r="BN7" s="158"/>
      <c r="BO7" s="158"/>
      <c r="BP7" s="158"/>
      <c r="BQ7" s="158"/>
      <c r="BR7" s="158"/>
      <c r="BS7" s="158"/>
      <c r="BT7" s="158"/>
      <c r="BU7" s="158"/>
      <c r="BV7" s="158"/>
      <c r="BW7" s="158"/>
      <c r="BX7" s="158"/>
      <c r="BY7" s="158"/>
      <c r="BZ7" s="158"/>
      <c r="CA7" s="824" t="str">
        <f>"Средневзвешенный тариф по группе ""Прочие"", руб./" &amp; $G$12</f>
        <v>Средневзвешенный тариф по группе "Прочие", руб./куб.м</v>
      </c>
      <c r="CB7" s="824"/>
      <c r="CC7" s="158"/>
      <c r="CD7" s="158"/>
      <c r="CE7" s="158"/>
      <c r="CF7" s="158"/>
      <c r="CG7" s="158"/>
      <c r="CH7" s="158"/>
      <c r="CI7" s="158"/>
      <c r="CJ7" s="158"/>
      <c r="CK7" s="158"/>
      <c r="CL7" s="158"/>
      <c r="CM7" s="158"/>
      <c r="CN7" s="158"/>
      <c r="CO7" s="158"/>
      <c r="CP7" s="158"/>
      <c r="CQ7" s="158"/>
      <c r="CR7" s="191"/>
      <c r="CS7" s="158"/>
      <c r="CT7" s="158"/>
      <c r="CU7" s="158"/>
      <c r="CV7" s="158"/>
      <c r="CW7" s="158"/>
      <c r="CX7" s="158"/>
      <c r="CY7" s="158"/>
      <c r="CZ7" s="158"/>
      <c r="DA7" s="158"/>
      <c r="DB7" s="158"/>
      <c r="DC7" s="158"/>
      <c r="DD7" s="158"/>
      <c r="DE7" s="158"/>
      <c r="DF7" s="81"/>
      <c r="DG7" s="81"/>
      <c r="DH7" s="81"/>
      <c r="DI7" s="81"/>
      <c r="DJ7" s="81"/>
      <c r="DK7" s="81"/>
      <c r="DL7" s="81"/>
      <c r="DM7" s="81"/>
      <c r="DN7" s="81"/>
      <c r="DO7" s="81"/>
      <c r="DP7" s="81"/>
      <c r="DQ7" s="81"/>
      <c r="DR7" s="81"/>
      <c r="DS7" s="81"/>
      <c r="DT7" s="81"/>
    </row>
    <row r="8" spans="4:152" s="164" customFormat="1" ht="12" customHeight="1">
      <c r="D8" s="165"/>
      <c r="E8" s="190"/>
      <c r="F8" s="158"/>
      <c r="G8" s="197"/>
      <c r="H8" s="198"/>
      <c r="I8" s="120"/>
      <c r="J8" s="120"/>
      <c r="K8" s="189"/>
      <c r="L8" s="189"/>
      <c r="M8" s="189"/>
      <c r="N8" s="189"/>
      <c r="O8" s="189"/>
      <c r="P8" s="189"/>
      <c r="Q8" s="189"/>
      <c r="R8" s="189"/>
      <c r="S8" s="189"/>
      <c r="T8" s="189"/>
      <c r="U8" s="189"/>
      <c r="V8" s="189"/>
      <c r="W8" s="189"/>
      <c r="X8" s="189"/>
      <c r="Y8" s="158"/>
      <c r="Z8" s="191"/>
      <c r="AA8" s="337" t="s">
        <v>627</v>
      </c>
      <c r="AB8" s="428" t="s">
        <v>628</v>
      </c>
      <c r="AC8" s="337" t="s">
        <v>627</v>
      </c>
      <c r="AD8" s="428" t="s">
        <v>628</v>
      </c>
      <c r="AE8" s="337"/>
      <c r="AF8" s="428"/>
      <c r="AG8" s="926"/>
      <c r="AH8" s="158"/>
      <c r="AI8" s="158"/>
      <c r="AJ8" s="158"/>
      <c r="AK8" s="158"/>
      <c r="AL8" s="158"/>
      <c r="AM8" s="158"/>
      <c r="AN8" s="158"/>
      <c r="AO8" s="158"/>
      <c r="AP8" s="158"/>
      <c r="AQ8" s="158"/>
      <c r="AR8" s="158"/>
      <c r="AS8" s="158"/>
      <c r="AT8" s="158"/>
      <c r="AU8" s="158"/>
      <c r="AV8" s="158"/>
      <c r="AW8" s="337" t="s">
        <v>627</v>
      </c>
      <c r="AX8" s="337" t="s">
        <v>628</v>
      </c>
      <c r="AY8" s="158"/>
      <c r="AZ8" s="158"/>
      <c r="BA8" s="158"/>
      <c r="BB8" s="158"/>
      <c r="BC8" s="158"/>
      <c r="BD8" s="158"/>
      <c r="BE8" s="158"/>
      <c r="BF8" s="158"/>
      <c r="BG8" s="158"/>
      <c r="BH8" s="158"/>
      <c r="BI8" s="158"/>
      <c r="BJ8" s="158"/>
      <c r="BK8" s="158"/>
      <c r="BL8" s="337" t="s">
        <v>627</v>
      </c>
      <c r="BM8" s="337" t="s">
        <v>628</v>
      </c>
      <c r="BN8" s="158"/>
      <c r="BO8" s="158"/>
      <c r="BP8" s="158"/>
      <c r="BQ8" s="158"/>
      <c r="BR8" s="158"/>
      <c r="BS8" s="158"/>
      <c r="BT8" s="158"/>
      <c r="BU8" s="158"/>
      <c r="BV8" s="158"/>
      <c r="BW8" s="158"/>
      <c r="BX8" s="158"/>
      <c r="BY8" s="158"/>
      <c r="BZ8" s="158"/>
      <c r="CA8" s="337" t="s">
        <v>627</v>
      </c>
      <c r="CB8" s="337" t="s">
        <v>628</v>
      </c>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81"/>
      <c r="DG8" s="81"/>
      <c r="DH8" s="81"/>
      <c r="DI8" s="81"/>
      <c r="DJ8" s="81"/>
      <c r="DK8" s="81"/>
      <c r="DL8" s="81"/>
      <c r="DM8" s="81"/>
      <c r="DN8" s="81"/>
      <c r="DO8" s="81"/>
      <c r="DP8" s="81"/>
      <c r="DQ8" s="81"/>
      <c r="DR8" s="81"/>
      <c r="DS8" s="81"/>
      <c r="DT8" s="81"/>
    </row>
    <row r="9" spans="4:152" s="164" customFormat="1" ht="12" hidden="1" customHeight="1">
      <c r="D9" s="165"/>
      <c r="E9" s="190"/>
      <c r="F9" s="158"/>
      <c r="G9"/>
      <c r="H9" s="84"/>
      <c r="I9" s="158"/>
      <c r="J9" s="158"/>
      <c r="K9" s="189"/>
      <c r="L9" s="189"/>
      <c r="M9" s="189"/>
      <c r="N9" s="189"/>
      <c r="O9" s="189"/>
      <c r="P9" s="189"/>
      <c r="Q9" s="189"/>
      <c r="R9" s="189"/>
      <c r="S9" s="189"/>
      <c r="T9" s="189"/>
      <c r="U9" s="189"/>
      <c r="V9" s="189"/>
      <c r="W9" s="189"/>
      <c r="X9" s="189"/>
      <c r="Y9" s="158"/>
      <c r="Z9" s="191"/>
      <c r="AA9" s="398"/>
      <c r="AB9" s="429"/>
      <c r="AC9" s="398"/>
      <c r="AD9" s="429"/>
      <c r="AE9" s="398"/>
      <c r="AF9" s="429"/>
      <c r="AG9" s="130"/>
      <c r="AH9" s="158"/>
      <c r="AI9" s="158"/>
      <c r="AJ9" s="158"/>
      <c r="AK9" s="158"/>
      <c r="AL9" s="158"/>
      <c r="AM9" s="158"/>
      <c r="AN9" s="158"/>
      <c r="AO9" s="158"/>
      <c r="AP9" s="158"/>
      <c r="AQ9" s="158"/>
      <c r="AR9" s="158"/>
      <c r="AS9" s="158"/>
      <c r="AT9" s="158"/>
      <c r="AU9" s="158"/>
      <c r="AV9" s="158"/>
      <c r="AW9" s="398"/>
      <c r="AX9" s="398"/>
      <c r="AY9" s="158"/>
      <c r="AZ9" s="158"/>
      <c r="BA9" s="158"/>
      <c r="BB9" s="158"/>
      <c r="BC9" s="158"/>
      <c r="BD9" s="158"/>
      <c r="BE9" s="158"/>
      <c r="BF9" s="158"/>
      <c r="BG9" s="158"/>
      <c r="BH9" s="158"/>
      <c r="BI9" s="158"/>
      <c r="BJ9" s="158"/>
      <c r="BK9" s="158"/>
      <c r="BL9" s="398"/>
      <c r="BM9" s="398"/>
      <c r="BN9" s="158"/>
      <c r="BO9" s="158"/>
      <c r="BP9" s="158"/>
      <c r="BQ9" s="158"/>
      <c r="BR9" s="158"/>
      <c r="BS9" s="158"/>
      <c r="BT9" s="158"/>
      <c r="BU9" s="158"/>
      <c r="BV9" s="158"/>
      <c r="BW9" s="158"/>
      <c r="BX9" s="158"/>
      <c r="BY9" s="158"/>
      <c r="BZ9" s="158"/>
      <c r="CA9" s="398"/>
      <c r="CB9" s="398"/>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81"/>
      <c r="DG9" s="81"/>
      <c r="DH9" s="81"/>
      <c r="DI9" s="81"/>
      <c r="DJ9" s="81"/>
      <c r="DK9" s="81"/>
      <c r="DL9" s="81"/>
      <c r="DM9" s="81"/>
      <c r="DN9" s="81"/>
      <c r="DO9" s="81"/>
      <c r="DP9" s="81"/>
      <c r="DQ9" s="81"/>
      <c r="DR9" s="81"/>
      <c r="DS9" s="81"/>
      <c r="DT9" s="81"/>
    </row>
    <row r="10" spans="4:152" s="164" customFormat="1" ht="12" customHeight="1">
      <c r="D10" s="165"/>
      <c r="E10" s="190"/>
      <c r="F10" s="158"/>
      <c r="G10"/>
      <c r="H10" s="84"/>
      <c r="I10" s="158"/>
      <c r="J10" s="158"/>
      <c r="K10" s="444" t="s">
        <v>652</v>
      </c>
      <c r="L10" s="189"/>
      <c r="M10" s="189"/>
      <c r="N10" s="189"/>
      <c r="O10" s="189"/>
      <c r="P10" s="189"/>
      <c r="Q10" s="189"/>
      <c r="R10" s="189"/>
      <c r="S10" s="189"/>
      <c r="T10" s="189"/>
      <c r="U10" s="189"/>
      <c r="V10" s="189"/>
      <c r="W10" s="189"/>
      <c r="X10" s="189"/>
      <c r="Y10" s="158"/>
      <c r="Z10" s="191"/>
      <c r="AA10" s="398">
        <f>IF(AG19=0,0,((('ВС.ТМ1 01.07 - 31.08'!AQ19*'ВС.ТМ1 01.07 - 31.08'!AS19*$AG10)+('ВС.ТМ1 01.07 - 31.08'!AT19*'ВС.ТМ1 01.07 - 31.08'!AV19*$AG10)+('ВС.ТМ1 01.07 - 31.08'!AW19*'ВС.ТМ1 01.07 - 31.08'!AY19*$AG10))+ (AA19*AG19))/AG19)</f>
        <v>0</v>
      </c>
      <c r="AB10" s="429">
        <f>IF(AG19=0,0,((('ВС.ТМ1 01.07 - 31.08'!AR19*'ВС.ТМ1 01.07 - 31.08'!AS19*$AG10)+('ВС.ТМ1 01.07 - 31.08'!AU19*'ВС.ТМ1 01.07 - 31.08'!AV19*$AG10)+('ВС.ТМ1 01.07 - 31.08'!AX19*'ВС.ТМ1 01.07 - 31.08'!AY19*$AG10))+ (AB19*AG19))/AG19)</f>
        <v>0</v>
      </c>
      <c r="AC10" s="398">
        <f>IF(AG19=0,0,((('ВС.ТМ1 01.07 - 31.08'!AQ19*'ВС.ТМ1 01.07 - 31.08'!AS19*$AG10)+('ВС.ТМ1 01.07 - 31.08'!AT19*'ВС.ТМ1 01.07 - 31.08'!AV19*$AG10)+('ВС.ТМ1 01.07 - 31.08'!AW19*'ВС.ТМ1 01.07 - 31.08'!AY19*$AG10))+ (AC19*AG19))/AG19)</f>
        <v>0</v>
      </c>
      <c r="AD10" s="429">
        <f>IF(AG19=0,0,((('ВС.ТМ1 01.07 - 31.08'!AR19*'ВС.ТМ1 01.07 - 31.08'!AS19*$AG10)+('ВС.ТМ1 01.07 - 31.08'!AU19*'ВС.ТМ1 01.07 - 31.08'!AV19*$AG10)+('ВС.ТМ1 01.07 - 31.08'!AX19*'ВС.ТМ1 01.07 - 31.08'!AY19*$AG10))+ (AD19*AG19))/AG19)</f>
        <v>0</v>
      </c>
      <c r="AE10" s="398"/>
      <c r="AF10" s="429"/>
      <c r="AG10" s="130">
        <v>1</v>
      </c>
      <c r="AH10" s="158"/>
      <c r="AI10" s="158"/>
      <c r="AJ10" s="158"/>
      <c r="AK10" s="158"/>
      <c r="AL10" s="158"/>
      <c r="AM10" s="158"/>
      <c r="AN10" s="158"/>
      <c r="AO10" s="158"/>
      <c r="AP10" s="158"/>
      <c r="AQ10" s="158"/>
      <c r="AR10" s="158"/>
      <c r="AS10" s="158"/>
      <c r="AT10" s="158"/>
      <c r="AU10" s="158"/>
      <c r="AV10" s="158"/>
      <c r="AW10" s="398">
        <f>IF(AV19+BA19&gt;0,(AR19*AV19+AW19*BA19)/(AV19+BA19),0)</f>
        <v>0</v>
      </c>
      <c r="AX10" s="398">
        <f>IF(AV19+BA19&gt;0,(AS19*AV19+AX19*BA19)/(AV19+BA19),0)</f>
        <v>0</v>
      </c>
      <c r="AY10" s="158"/>
      <c r="AZ10" s="158"/>
      <c r="BA10" s="158"/>
      <c r="BB10" s="158"/>
      <c r="BC10" s="158"/>
      <c r="BD10" s="158"/>
      <c r="BE10" s="158"/>
      <c r="BF10" s="158"/>
      <c r="BG10" s="158"/>
      <c r="BH10" s="158"/>
      <c r="BI10" s="158"/>
      <c r="BJ10" s="158"/>
      <c r="BK10" s="158"/>
      <c r="BL10" s="398">
        <f>IF(BK19+BP19&gt;0,(BG19*BK19+BL19*BP19)/(BK19+BP19),0)</f>
        <v>0</v>
      </c>
      <c r="BM10" s="398">
        <f>IF(BK19+BP19&gt;0,(BH19*BK19+BM19*BP19)/(BK19+BP19),0)</f>
        <v>0</v>
      </c>
      <c r="BN10" s="158"/>
      <c r="BO10" s="158"/>
      <c r="BP10" s="158"/>
      <c r="BQ10" s="158"/>
      <c r="BR10" s="158"/>
      <c r="BS10" s="158"/>
      <c r="BT10" s="158"/>
      <c r="BU10" s="158"/>
      <c r="BV10" s="158"/>
      <c r="BW10" s="158"/>
      <c r="BX10" s="158"/>
      <c r="BY10" s="158"/>
      <c r="BZ10" s="158"/>
      <c r="CA10" s="398">
        <f>IF(BZ19+CE19&gt;0,(BV19*BZ19+CA19*CE19)/(BZ19+CE19),0)</f>
        <v>0</v>
      </c>
      <c r="CB10" s="398">
        <f>IF(BZ19&gt;0,(BW19*BZ19+CB19*CE19)/BZ19,0)</f>
        <v>0</v>
      </c>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81"/>
      <c r="DG10" s="81"/>
      <c r="DH10" s="81"/>
      <c r="DI10" s="81"/>
      <c r="DJ10" s="81"/>
      <c r="DK10" s="81"/>
      <c r="DL10" s="81"/>
      <c r="DM10" s="81"/>
      <c r="DN10" s="81"/>
      <c r="DO10" s="81"/>
      <c r="DP10" s="81"/>
      <c r="DQ10" s="81"/>
      <c r="DR10" s="81"/>
      <c r="DS10" s="81"/>
      <c r="DT10" s="81"/>
    </row>
    <row r="11" spans="4:152" s="164" customFormat="1" ht="12" customHeight="1">
      <c r="D11" s="165"/>
      <c r="E11" s="190"/>
      <c r="F11" s="158"/>
      <c r="G11"/>
      <c r="H11" s="84"/>
      <c r="I11" s="158"/>
      <c r="J11" s="158"/>
      <c r="K11" s="189"/>
      <c r="L11" s="189"/>
      <c r="M11" s="189"/>
      <c r="N11" s="189"/>
      <c r="O11" s="189"/>
      <c r="P11" s="189"/>
      <c r="Q11" s="189"/>
      <c r="R11" s="189"/>
      <c r="S11" s="189"/>
      <c r="T11" s="189"/>
      <c r="U11" s="189"/>
      <c r="V11" s="189"/>
      <c r="W11" s="189"/>
      <c r="X11" s="189"/>
      <c r="Y11" s="158"/>
      <c r="Z11" s="191"/>
      <c r="AA11" s="398">
        <f>IF(AG20=0,0,((('ВС.ТМ1 01.07 - 31.08'!AQ20*'ВС.ТМ1 01.07 - 31.08'!AS20*$AG11)+('ВС.ТМ1 01.07 - 31.08'!AT20*'ВС.ТМ1 01.07 - 31.08'!AV20*$AG11)+('ВС.ТМ1 01.07 - 31.08'!AW20*'ВС.ТМ1 01.07 - 31.08'!AY20*$AG11))+ (AA20*AG20))/AG20)</f>
        <v>0</v>
      </c>
      <c r="AB11" s="429">
        <f>IF(AG20=0,0,((('ВС.ТМ1 01.07 - 31.08'!AR20*'ВС.ТМ1 01.07 - 31.08'!AS20*$AG11)+('ВС.ТМ1 01.07 - 31.08'!AU20*'ВС.ТМ1 01.07 - 31.08'!AV20*$AG11)+('ВС.ТМ1 01.07 - 31.08'!AX20*'ВС.ТМ1 01.07 - 31.08'!AY20*$AG11))+ (AB20*AG20))/AG20)</f>
        <v>0</v>
      </c>
      <c r="AC11" s="398">
        <f>IF(AG20=0,0,((('ВС.ТМ1 01.07 - 31.08'!AQ20*'ВС.ТМ1 01.07 - 31.08'!AS20*$AG11)+('ВС.ТМ1 01.07 - 31.08'!AT20*'ВС.ТМ1 01.07 - 31.08'!AV20*$AG11)+('ВС.ТМ1 01.07 - 31.08'!AW20*'ВС.ТМ1 01.07 - 31.08'!AY20*$AG11))+ (AC20*AG20))/AG20)</f>
        <v>0</v>
      </c>
      <c r="AD11" s="429">
        <f>IF(AG20=0,0,((('ВС.ТМ1 01.07 - 31.08'!AR20*'ВС.ТМ1 01.07 - 31.08'!AS20*$AG11)+('ВС.ТМ1 01.07 - 31.08'!AU20*'ВС.ТМ1 01.07 - 31.08'!AV20*$AG11)+('ВС.ТМ1 01.07 - 31.08'!AX20*'ВС.ТМ1 01.07 - 31.08'!AY20*$AG11))+ (AD20*AG20))/AG20)</f>
        <v>0</v>
      </c>
      <c r="AE11" s="398"/>
      <c r="AF11" s="429"/>
      <c r="AG11" s="130">
        <v>1</v>
      </c>
      <c r="AH11" s="158"/>
      <c r="AI11" s="158"/>
      <c r="AJ11" s="158"/>
      <c r="AK11" s="158"/>
      <c r="AL11" s="158"/>
      <c r="AM11" s="158"/>
      <c r="AN11" s="158"/>
      <c r="AO11" s="158"/>
      <c r="AP11" s="158"/>
      <c r="AQ11" s="158"/>
      <c r="AR11" s="158"/>
      <c r="AS11" s="158"/>
      <c r="AT11" s="158"/>
      <c r="AU11" s="158"/>
      <c r="AV11" s="158"/>
      <c r="AW11" s="398">
        <f>IF(AV20+BA20&gt;0,(AR20*AV20+AW20*BA20)/(AV20+BA20),0)</f>
        <v>0</v>
      </c>
      <c r="AX11" s="398">
        <f>IF(AV20+BA20&gt;0,(AS20*AV20+AX20*BA20)/(AV20+BA20),0)</f>
        <v>0</v>
      </c>
      <c r="AY11" s="158"/>
      <c r="AZ11" s="158"/>
      <c r="BA11" s="158"/>
      <c r="BB11" s="158"/>
      <c r="BC11" s="158"/>
      <c r="BD11" s="158"/>
      <c r="BE11" s="158"/>
      <c r="BF11" s="158"/>
      <c r="BG11" s="158"/>
      <c r="BH11" s="158"/>
      <c r="BI11" s="158"/>
      <c r="BJ11" s="158"/>
      <c r="BK11" s="158"/>
      <c r="BL11" s="398">
        <f>IF(BK20+BP20&gt;0,(BG20*BK20+BL20*BP20)/(BK20+BP20),0)</f>
        <v>0</v>
      </c>
      <c r="BM11" s="398">
        <f>IF(BK20+BP20&gt;0,(BH20*BK20+BM20*BP20)/(BK20+BP20),0)</f>
        <v>0</v>
      </c>
      <c r="BN11" s="158"/>
      <c r="BO11" s="158"/>
      <c r="BP11" s="158"/>
      <c r="BQ11" s="158"/>
      <c r="BR11" s="158"/>
      <c r="BS11" s="158"/>
      <c r="BT11" s="158"/>
      <c r="BU11" s="158"/>
      <c r="BV11" s="158"/>
      <c r="BW11" s="158"/>
      <c r="BX11" s="158"/>
      <c r="BY11" s="158"/>
      <c r="BZ11" s="158"/>
      <c r="CA11" s="398">
        <f>IF(BZ20+CE20&gt;0,(BV20*BZ20+CA20*CE20)/(BZ20+CE20),0)</f>
        <v>0</v>
      </c>
      <c r="CB11" s="398">
        <f>IF(BZ20&gt;0,(BW20*BZ20+CB20*CE20)/BZ20,0)</f>
        <v>0</v>
      </c>
      <c r="CC11" s="158"/>
      <c r="CD11" s="158"/>
      <c r="CE11" s="158"/>
      <c r="CF11" s="158"/>
      <c r="CG11" s="158"/>
      <c r="CH11" s="158"/>
      <c r="CI11" s="158"/>
      <c r="CJ11" s="158"/>
      <c r="CK11" s="158"/>
      <c r="CL11" s="158"/>
      <c r="CM11" s="158"/>
      <c r="CN11" s="158"/>
      <c r="CO11" s="158"/>
      <c r="CP11" s="158"/>
      <c r="CQ11" s="158"/>
      <c r="CR11" s="158"/>
      <c r="CS11" s="158"/>
      <c r="CT11" s="158"/>
      <c r="CU11" s="158"/>
      <c r="CV11" s="158"/>
      <c r="CW11" s="158"/>
      <c r="CX11" s="158"/>
      <c r="CY11" s="158"/>
      <c r="CZ11" s="158"/>
      <c r="DA11" s="158"/>
      <c r="DB11" s="158"/>
      <c r="DC11" s="158"/>
      <c r="DD11" s="158"/>
      <c r="DE11" s="158"/>
      <c r="DF11" s="81"/>
      <c r="DG11" s="81"/>
      <c r="DH11" s="81"/>
      <c r="DI11" s="81"/>
      <c r="DJ11" s="81"/>
      <c r="DK11" s="81"/>
      <c r="DL11" s="81"/>
      <c r="DM11" s="81"/>
      <c r="DN11" s="81"/>
      <c r="DO11" s="81"/>
      <c r="DP11" s="81"/>
      <c r="DQ11" s="81"/>
      <c r="DR11" s="81"/>
      <c r="DS11" s="81"/>
      <c r="DT11" s="81"/>
    </row>
    <row r="12" spans="4:152" s="164" customFormat="1" ht="12" customHeight="1">
      <c r="D12" s="165"/>
      <c r="E12" s="190"/>
      <c r="F12" s="158"/>
      <c r="G12" s="589" t="s">
        <v>445</v>
      </c>
      <c r="H12" s="588"/>
      <c r="I12" s="158"/>
      <c r="J12" s="158"/>
      <c r="K12" s="922" t="s">
        <v>2863</v>
      </c>
      <c r="L12" s="922"/>
      <c r="M12" s="922"/>
      <c r="N12" s="922"/>
      <c r="O12" s="922"/>
      <c r="P12" s="922"/>
      <c r="Q12" s="922"/>
      <c r="R12" s="922"/>
      <c r="S12" s="922"/>
      <c r="T12" s="922"/>
      <c r="U12" s="922"/>
      <c r="V12" s="922"/>
      <c r="W12" s="922"/>
      <c r="X12" s="922"/>
      <c r="Y12" s="158"/>
      <c r="Z12" s="191"/>
      <c r="AA12" s="191"/>
      <c r="AB12" s="158"/>
      <c r="AC12" s="158"/>
      <c r="AD12" s="158"/>
      <c r="AE12" s="158"/>
      <c r="AF12" s="158"/>
      <c r="AG12" s="158"/>
      <c r="AH12" s="158"/>
      <c r="AI12" s="158"/>
      <c r="AJ12" s="158"/>
      <c r="AK12" s="158"/>
      <c r="AL12" s="158"/>
      <c r="AM12" s="158"/>
      <c r="AN12" s="158"/>
      <c r="AO12" s="158"/>
      <c r="AP12" s="158"/>
      <c r="AQ12" s="158"/>
      <c r="AR12" s="158"/>
      <c r="AS12" s="158"/>
      <c r="AT12" s="158"/>
      <c r="AU12" s="158"/>
      <c r="AV12" s="427"/>
      <c r="AW12" s="158"/>
      <c r="AX12" s="158"/>
      <c r="AY12" s="158"/>
      <c r="AZ12" s="158"/>
      <c r="BA12" s="158"/>
      <c r="BB12" s="158"/>
      <c r="BC12" s="158"/>
      <c r="BD12" s="158"/>
      <c r="BE12" s="158"/>
      <c r="BF12" s="158"/>
      <c r="BG12" s="158"/>
      <c r="BH12" s="158"/>
      <c r="BI12" s="158"/>
      <c r="BJ12" s="158"/>
      <c r="BK12" s="427"/>
      <c r="BL12" s="158"/>
      <c r="BM12" s="158"/>
      <c r="BN12" s="158"/>
      <c r="BO12" s="158"/>
      <c r="BP12" s="158"/>
      <c r="BQ12" s="158"/>
      <c r="BR12" s="158"/>
      <c r="BS12" s="158"/>
      <c r="BT12" s="158"/>
      <c r="BU12" s="158"/>
      <c r="BV12" s="158"/>
      <c r="BW12" s="158"/>
      <c r="BX12" s="158"/>
      <c r="BY12" s="158"/>
      <c r="BZ12" s="427"/>
      <c r="CA12" s="158"/>
      <c r="CB12" s="158"/>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81"/>
      <c r="DG12" s="81"/>
      <c r="DH12" s="81"/>
      <c r="DI12" s="81"/>
      <c r="DJ12" s="81"/>
      <c r="DK12" s="81"/>
      <c r="DL12" s="81"/>
      <c r="DM12" s="81"/>
      <c r="DN12" s="81"/>
      <c r="DO12" s="81"/>
      <c r="DP12" s="81"/>
      <c r="DQ12" s="81"/>
      <c r="DR12" s="81"/>
      <c r="DS12" s="81"/>
      <c r="DT12" s="81"/>
    </row>
    <row r="13" spans="4:152" ht="24" customHeight="1">
      <c r="E13" s="192"/>
      <c r="F13" s="827" t="s">
        <v>641</v>
      </c>
      <c r="G13" s="827" t="s">
        <v>735</v>
      </c>
      <c r="H13" s="827" t="s">
        <v>894</v>
      </c>
      <c r="I13" s="827"/>
      <c r="J13" s="827" t="s">
        <v>626</v>
      </c>
      <c r="K13" s="802" t="s">
        <v>2584</v>
      </c>
      <c r="L13" s="802"/>
      <c r="M13" s="802"/>
      <c r="N13" s="803" t="s">
        <v>2569</v>
      </c>
      <c r="O13" s="803"/>
      <c r="P13" s="802" t="s">
        <v>2570</v>
      </c>
      <c r="Q13" s="802"/>
      <c r="R13" s="802" t="s">
        <v>2862</v>
      </c>
      <c r="S13" s="802"/>
      <c r="T13" s="802"/>
      <c r="U13" s="802"/>
      <c r="V13" s="802" t="s">
        <v>2571</v>
      </c>
      <c r="W13" s="802"/>
      <c r="X13" s="803" t="s">
        <v>2572</v>
      </c>
      <c r="Y13" s="828" t="str">
        <f>"Экономически обоснованный тариф, руб./" &amp; $G$12</f>
        <v>Экономически обоснованный тариф, руб./куб.м</v>
      </c>
      <c r="Z13" s="828"/>
      <c r="AA13" s="872" t="str">
        <f>"Средневзвешенный тариф с учётом надбавки, руб./" &amp; $G$12</f>
        <v>Средневзвешенный тариф с учётом надбавки, руб./куб.м</v>
      </c>
      <c r="AB13" s="873"/>
      <c r="AC13" s="872" t="str">
        <f>"Средневзвешенный тариф, руб./" &amp; $G$12</f>
        <v>Средневзвешенный тариф, руб./куб.м</v>
      </c>
      <c r="AD13" s="873"/>
      <c r="AE13" s="872"/>
      <c r="AF13" s="873"/>
      <c r="AG13" s="828" t="str">
        <f>"Объём реализации услуги потребителям, всего, " &amp; $G$12</f>
        <v>Объём реализации услуги потребителям, всего, куб.м</v>
      </c>
      <c r="AH13" s="872"/>
      <c r="AI13" s="873"/>
      <c r="AJ13" s="872" t="str">
        <f>"Надбавка к тарифу, руб./" &amp; $G$12</f>
        <v>Надбавка к тарифу, руб./куб.м</v>
      </c>
      <c r="AK13" s="873"/>
      <c r="AL13" s="828" t="str">
        <f>"Объём, на который расчитана надбавка, " &amp; $G$12</f>
        <v>Объём, на который расчитана надбавка, куб.м</v>
      </c>
      <c r="AM13" s="828" t="s">
        <v>2459</v>
      </c>
      <c r="AN13" s="828"/>
      <c r="AO13" s="828"/>
      <c r="AP13" s="828"/>
      <c r="AQ13" s="828"/>
      <c r="AR13" s="828" t="s">
        <v>747</v>
      </c>
      <c r="AS13" s="828"/>
      <c r="AT13" s="828"/>
      <c r="AU13" s="828"/>
      <c r="AV13" s="831"/>
      <c r="AW13" s="828"/>
      <c r="AX13" s="828"/>
      <c r="AY13" s="828"/>
      <c r="AZ13" s="828"/>
      <c r="BA13" s="828"/>
      <c r="BB13" s="828"/>
      <c r="BC13" s="828"/>
      <c r="BD13" s="828"/>
      <c r="BE13" s="828"/>
      <c r="BF13" s="828"/>
      <c r="BG13" s="828" t="s">
        <v>748</v>
      </c>
      <c r="BH13" s="828"/>
      <c r="BI13" s="828"/>
      <c r="BJ13" s="828"/>
      <c r="BK13" s="831"/>
      <c r="BL13" s="828"/>
      <c r="BM13" s="828"/>
      <c r="BN13" s="828"/>
      <c r="BO13" s="828"/>
      <c r="BP13" s="828"/>
      <c r="BQ13" s="828"/>
      <c r="BR13" s="828"/>
      <c r="BS13" s="828"/>
      <c r="BT13" s="828"/>
      <c r="BU13" s="828"/>
      <c r="BV13" s="828" t="s">
        <v>758</v>
      </c>
      <c r="BW13" s="828"/>
      <c r="BX13" s="828"/>
      <c r="BY13" s="828"/>
      <c r="BZ13" s="831"/>
      <c r="CA13" s="828"/>
      <c r="CB13" s="828"/>
      <c r="CC13" s="828"/>
      <c r="CD13" s="828"/>
      <c r="CE13" s="828"/>
      <c r="CF13" s="828"/>
      <c r="CG13" s="828"/>
      <c r="CH13" s="828"/>
      <c r="CI13" s="828"/>
      <c r="CJ13" s="828"/>
      <c r="CK13" s="828" t="s">
        <v>896</v>
      </c>
      <c r="CL13" s="828" t="s">
        <v>897</v>
      </c>
      <c r="CM13" s="828" t="s">
        <v>898</v>
      </c>
      <c r="CN13" s="828"/>
      <c r="CO13" s="828"/>
      <c r="CP13" s="828"/>
      <c r="CQ13" s="828"/>
      <c r="CR13" s="828" t="s">
        <v>899</v>
      </c>
      <c r="CS13" s="185"/>
      <c r="CT13" s="185"/>
      <c r="CU13" s="185"/>
      <c r="CV13" s="185"/>
      <c r="CW13" s="185"/>
      <c r="CX13" s="185"/>
      <c r="CY13" s="185"/>
      <c r="CZ13" s="185"/>
      <c r="DA13" s="185"/>
      <c r="DB13" s="185"/>
      <c r="DC13" s="185"/>
      <c r="DD13" s="185"/>
      <c r="DE13" s="185"/>
    </row>
    <row r="14" spans="4:152" ht="18.75" customHeight="1">
      <c r="E14" s="192"/>
      <c r="F14" s="869"/>
      <c r="G14" s="869"/>
      <c r="H14" s="827"/>
      <c r="I14" s="827"/>
      <c r="J14" s="827"/>
      <c r="K14" s="803" t="s">
        <v>2581</v>
      </c>
      <c r="L14" s="803" t="s">
        <v>2582</v>
      </c>
      <c r="M14" s="803" t="s">
        <v>2583</v>
      </c>
      <c r="N14" s="860"/>
      <c r="O14" s="860"/>
      <c r="P14" s="803" t="s">
        <v>2573</v>
      </c>
      <c r="Q14" s="803" t="s">
        <v>2574</v>
      </c>
      <c r="R14" s="803" t="s">
        <v>2573</v>
      </c>
      <c r="S14" s="803" t="s">
        <v>2574</v>
      </c>
      <c r="T14" s="803"/>
      <c r="U14" s="803"/>
      <c r="V14" s="803" t="s">
        <v>2575</v>
      </c>
      <c r="W14" s="803" t="s">
        <v>2576</v>
      </c>
      <c r="X14" s="860"/>
      <c r="Y14" s="828"/>
      <c r="Z14" s="828"/>
      <c r="AA14" s="874"/>
      <c r="AB14" s="875"/>
      <c r="AC14" s="874"/>
      <c r="AD14" s="875"/>
      <c r="AE14" s="874"/>
      <c r="AF14" s="875"/>
      <c r="AG14" s="828"/>
      <c r="AH14" s="874"/>
      <c r="AI14" s="875"/>
      <c r="AJ14" s="874"/>
      <c r="AK14" s="875"/>
      <c r="AL14" s="828"/>
      <c r="AM14" s="828" t="str">
        <f>"Тариф, руб./" &amp; $G$12</f>
        <v>Тариф, руб./куб.м</v>
      </c>
      <c r="AN14" s="828"/>
      <c r="AO14" s="828" t="str">
        <f>"Льготный тариф, руб./" &amp; $G$12</f>
        <v>Льготный тариф, руб./куб.м</v>
      </c>
      <c r="AP14" s="828"/>
      <c r="AQ14" s="828" t="str">
        <f>"Объём реализации услуги, " &amp; $G$12</f>
        <v>Объём реализации услуги, куб.м</v>
      </c>
      <c r="AR14" s="872" t="str">
        <f>"Одноставочный тариф, руб./" &amp; $G$12</f>
        <v>Одноставочный тариф, руб./куб.м</v>
      </c>
      <c r="AS14" s="873"/>
      <c r="AT14" s="828" t="str">
        <f>"Льготный тариф, руб./" &amp; $G$12</f>
        <v>Льготный тариф, руб./куб.м</v>
      </c>
      <c r="AU14" s="828"/>
      <c r="AV14" s="828" t="str">
        <f>"Объём реализации услуги, " &amp; $G$12</f>
        <v>Объём реализации услуги, куб.м</v>
      </c>
      <c r="AW14" s="828" t="s">
        <v>903</v>
      </c>
      <c r="AX14" s="828"/>
      <c r="AY14" s="828"/>
      <c r="AZ14" s="828"/>
      <c r="BA14" s="828"/>
      <c r="BB14" s="828"/>
      <c r="BC14" s="828"/>
      <c r="BD14" s="828"/>
      <c r="BE14" s="828" t="s">
        <v>906</v>
      </c>
      <c r="BF14" s="828" t="str">
        <f>"Удельная величина дотаций, руб./" &amp; $G$12</f>
        <v>Удельная величина дотаций, руб./куб.м</v>
      </c>
      <c r="BG14" s="872" t="str">
        <f>"Одноставочный тариф, руб./" &amp; $G$12</f>
        <v>Одноставочный тариф, руб./куб.м</v>
      </c>
      <c r="BH14" s="873"/>
      <c r="BI14" s="828" t="str">
        <f>"Льготный тариф, руб./" &amp; $G$12</f>
        <v>Льготный тариф, руб./куб.м</v>
      </c>
      <c r="BJ14" s="828"/>
      <c r="BK14" s="828" t="str">
        <f>"Объём реализации услуги, " &amp; $G$12</f>
        <v>Объём реализации услуги, куб.м</v>
      </c>
      <c r="BL14" s="828" t="s">
        <v>903</v>
      </c>
      <c r="BM14" s="828"/>
      <c r="BN14" s="828"/>
      <c r="BO14" s="828"/>
      <c r="BP14" s="828"/>
      <c r="BQ14" s="828"/>
      <c r="BR14" s="828"/>
      <c r="BS14" s="828"/>
      <c r="BT14" s="828" t="s">
        <v>906</v>
      </c>
      <c r="BU14" s="828" t="str">
        <f>"Удельная величина дотаций, руб./" &amp; $G$12</f>
        <v>Удельная величина дотаций, руб./куб.м</v>
      </c>
      <c r="BV14" s="872" t="str">
        <f>"Одноставочный тариф, руб./" &amp; $G$12</f>
        <v>Одноставочный тариф, руб./куб.м</v>
      </c>
      <c r="BW14" s="873"/>
      <c r="BX14" s="828" t="str">
        <f>"Льготный тариф, руб./" &amp; $G$12</f>
        <v>Льготный тариф, руб./куб.м</v>
      </c>
      <c r="BY14" s="828"/>
      <c r="BZ14" s="828" t="str">
        <f>"Объём реализации услуги, " &amp; $G$12</f>
        <v>Объём реализации услуги, куб.м</v>
      </c>
      <c r="CA14" s="828" t="s">
        <v>903</v>
      </c>
      <c r="CB14" s="828"/>
      <c r="CC14" s="828"/>
      <c r="CD14" s="828"/>
      <c r="CE14" s="828"/>
      <c r="CF14" s="828"/>
      <c r="CG14" s="828"/>
      <c r="CH14" s="828"/>
      <c r="CI14" s="828" t="s">
        <v>906</v>
      </c>
      <c r="CJ14" s="828" t="str">
        <f>"Удельная величина дотаций, руб./" &amp; $G$12</f>
        <v>Удельная величина дотаций, руб./куб.м</v>
      </c>
      <c r="CK14" s="828"/>
      <c r="CL14" s="828"/>
      <c r="CM14" s="828" t="s">
        <v>907</v>
      </c>
      <c r="CN14" s="828" t="s">
        <v>908</v>
      </c>
      <c r="CO14" s="828" t="s">
        <v>909</v>
      </c>
      <c r="CP14" s="828" t="s">
        <v>910</v>
      </c>
      <c r="CQ14" s="828" t="s">
        <v>911</v>
      </c>
      <c r="CR14" s="828"/>
      <c r="CS14" s="185"/>
      <c r="CT14" s="185"/>
      <c r="CU14" s="185"/>
      <c r="CV14" s="185"/>
      <c r="CW14" s="185"/>
      <c r="CX14" s="185"/>
      <c r="CY14" s="185"/>
      <c r="CZ14" s="185"/>
      <c r="DA14" s="185"/>
      <c r="DB14" s="185"/>
      <c r="DC14" s="185"/>
      <c r="DD14" s="185"/>
      <c r="DE14" s="185"/>
    </row>
    <row r="15" spans="4:152" ht="30" customHeight="1">
      <c r="E15" s="192"/>
      <c r="F15" s="869"/>
      <c r="G15" s="869"/>
      <c r="H15" s="827"/>
      <c r="I15" s="827"/>
      <c r="J15" s="827"/>
      <c r="K15" s="860"/>
      <c r="L15" s="860"/>
      <c r="M15" s="860"/>
      <c r="N15" s="860"/>
      <c r="O15" s="860"/>
      <c r="P15" s="860"/>
      <c r="Q15" s="860"/>
      <c r="R15" s="860"/>
      <c r="S15" s="860"/>
      <c r="T15" s="860"/>
      <c r="U15" s="860"/>
      <c r="V15" s="860"/>
      <c r="W15" s="860"/>
      <c r="X15" s="860"/>
      <c r="Y15" s="828"/>
      <c r="Z15" s="828"/>
      <c r="AA15" s="876"/>
      <c r="AB15" s="877"/>
      <c r="AC15" s="876"/>
      <c r="AD15" s="877"/>
      <c r="AE15" s="876"/>
      <c r="AF15" s="877"/>
      <c r="AG15" s="828"/>
      <c r="AH15" s="876"/>
      <c r="AI15" s="877"/>
      <c r="AJ15" s="876"/>
      <c r="AK15" s="877"/>
      <c r="AL15" s="828"/>
      <c r="AM15" s="828"/>
      <c r="AN15" s="828"/>
      <c r="AO15" s="828"/>
      <c r="AP15" s="828"/>
      <c r="AQ15" s="828"/>
      <c r="AR15" s="876"/>
      <c r="AS15" s="877"/>
      <c r="AT15" s="828"/>
      <c r="AU15" s="828"/>
      <c r="AV15" s="828"/>
      <c r="AW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AX15" s="828"/>
      <c r="AY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AZ15" s="828"/>
      <c r="BA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B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C15" s="828"/>
      <c r="BD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E15" s="828"/>
      <c r="BF15" s="828"/>
      <c r="BG15" s="876"/>
      <c r="BH15" s="877"/>
      <c r="BI15" s="828"/>
      <c r="BJ15" s="828"/>
      <c r="BK15" s="828"/>
      <c r="BL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BM15" s="828"/>
      <c r="BN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BO15" s="828"/>
      <c r="BP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Q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R15" s="828"/>
      <c r="BS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T15" s="828"/>
      <c r="BU15" s="828"/>
      <c r="BV15" s="876"/>
      <c r="BW15" s="877"/>
      <c r="BX15" s="828"/>
      <c r="BY15" s="828"/>
      <c r="BZ15" s="828"/>
      <c r="CA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CB15" s="828"/>
      <c r="CC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CD15" s="828"/>
      <c r="CE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CF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CG15" s="828"/>
      <c r="CH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CI15" s="828"/>
      <c r="CJ15" s="828"/>
      <c r="CK15" s="828"/>
      <c r="CL15" s="828"/>
      <c r="CM15" s="828"/>
      <c r="CN15" s="828"/>
      <c r="CO15" s="828"/>
      <c r="CP15" s="828"/>
      <c r="CQ15" s="828"/>
      <c r="CR15" s="828"/>
      <c r="CS15" s="185"/>
      <c r="CT15" s="185"/>
      <c r="CU15" s="185"/>
      <c r="CV15" s="185"/>
      <c r="CW15" s="185"/>
      <c r="CX15" s="185"/>
      <c r="CY15" s="185"/>
      <c r="CZ15" s="185"/>
      <c r="DA15" s="185"/>
      <c r="DB15" s="185"/>
      <c r="DC15" s="185"/>
      <c r="DD15" s="185"/>
      <c r="DE15" s="185"/>
      <c r="DP15" s="78"/>
      <c r="DQ15" s="78"/>
      <c r="DR15" s="78"/>
      <c r="DS15" s="78"/>
      <c r="DT15" s="78"/>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row>
    <row r="16" spans="4:152" ht="12" customHeight="1">
      <c r="E16" s="192"/>
      <c r="F16" s="869"/>
      <c r="G16" s="869"/>
      <c r="H16" s="827"/>
      <c r="I16" s="827"/>
      <c r="J16" s="827"/>
      <c r="K16" s="826"/>
      <c r="L16" s="826"/>
      <c r="M16" s="826"/>
      <c r="N16" s="826"/>
      <c r="O16" s="826"/>
      <c r="P16" s="826"/>
      <c r="Q16" s="826"/>
      <c r="R16" s="826"/>
      <c r="S16" s="826"/>
      <c r="T16" s="826"/>
      <c r="U16" s="826"/>
      <c r="V16" s="826"/>
      <c r="W16" s="826"/>
      <c r="X16" s="826"/>
      <c r="Y16" s="193" t="s">
        <v>627</v>
      </c>
      <c r="Z16" s="193" t="s">
        <v>628</v>
      </c>
      <c r="AA16" s="193" t="s">
        <v>627</v>
      </c>
      <c r="AB16" s="193" t="s">
        <v>628</v>
      </c>
      <c r="AC16" s="193" t="s">
        <v>627</v>
      </c>
      <c r="AD16" s="193" t="s">
        <v>628</v>
      </c>
      <c r="AE16" s="193"/>
      <c r="AF16" s="193"/>
      <c r="AG16" s="828"/>
      <c r="AH16" s="193"/>
      <c r="AI16" s="193"/>
      <c r="AJ16" s="193" t="s">
        <v>627</v>
      </c>
      <c r="AK16" s="193" t="s">
        <v>628</v>
      </c>
      <c r="AL16" s="828"/>
      <c r="AM16" s="193" t="s">
        <v>627</v>
      </c>
      <c r="AN16" s="193" t="s">
        <v>628</v>
      </c>
      <c r="AO16" s="193" t="s">
        <v>627</v>
      </c>
      <c r="AP16" s="193" t="s">
        <v>628</v>
      </c>
      <c r="AQ16" s="828"/>
      <c r="AR16" s="193" t="s">
        <v>627</v>
      </c>
      <c r="AS16" s="193" t="s">
        <v>628</v>
      </c>
      <c r="AT16" s="193" t="s">
        <v>627</v>
      </c>
      <c r="AU16" s="193" t="s">
        <v>628</v>
      </c>
      <c r="AV16" s="828"/>
      <c r="AW16" s="193" t="s">
        <v>627</v>
      </c>
      <c r="AX16" s="193" t="s">
        <v>628</v>
      </c>
      <c r="AY16" s="193" t="s">
        <v>627</v>
      </c>
      <c r="AZ16" s="193" t="s">
        <v>628</v>
      </c>
      <c r="BA16" s="828"/>
      <c r="BB16" s="193" t="s">
        <v>627</v>
      </c>
      <c r="BC16" s="193" t="s">
        <v>628</v>
      </c>
      <c r="BD16" s="828"/>
      <c r="BE16" s="828"/>
      <c r="BF16" s="828"/>
      <c r="BG16" s="193" t="s">
        <v>627</v>
      </c>
      <c r="BH16" s="193" t="s">
        <v>628</v>
      </c>
      <c r="BI16" s="193" t="s">
        <v>627</v>
      </c>
      <c r="BJ16" s="193" t="s">
        <v>628</v>
      </c>
      <c r="BK16" s="828"/>
      <c r="BL16" s="193" t="s">
        <v>627</v>
      </c>
      <c r="BM16" s="193" t="s">
        <v>628</v>
      </c>
      <c r="BN16" s="193" t="s">
        <v>627</v>
      </c>
      <c r="BO16" s="193" t="s">
        <v>628</v>
      </c>
      <c r="BP16" s="828"/>
      <c r="BQ16" s="193" t="s">
        <v>627</v>
      </c>
      <c r="BR16" s="193" t="s">
        <v>628</v>
      </c>
      <c r="BS16" s="828"/>
      <c r="BT16" s="828"/>
      <c r="BU16" s="828"/>
      <c r="BV16" s="193" t="s">
        <v>627</v>
      </c>
      <c r="BW16" s="193" t="s">
        <v>628</v>
      </c>
      <c r="BX16" s="193" t="s">
        <v>627</v>
      </c>
      <c r="BY16" s="193" t="s">
        <v>628</v>
      </c>
      <c r="BZ16" s="828"/>
      <c r="CA16" s="193" t="s">
        <v>627</v>
      </c>
      <c r="CB16" s="193" t="s">
        <v>628</v>
      </c>
      <c r="CC16" s="193" t="s">
        <v>627</v>
      </c>
      <c r="CD16" s="193" t="s">
        <v>628</v>
      </c>
      <c r="CE16" s="828"/>
      <c r="CF16" s="193" t="s">
        <v>627</v>
      </c>
      <c r="CG16" s="193" t="s">
        <v>628</v>
      </c>
      <c r="CH16" s="828"/>
      <c r="CI16" s="828"/>
      <c r="CJ16" s="828"/>
      <c r="CK16" s="828"/>
      <c r="CL16" s="828"/>
      <c r="CM16" s="828"/>
      <c r="CN16" s="828"/>
      <c r="CO16" s="828"/>
      <c r="CP16" s="828"/>
      <c r="CQ16" s="828"/>
      <c r="CR16" s="828"/>
      <c r="CS16" s="185"/>
      <c r="CT16" s="185"/>
      <c r="CU16" s="185"/>
      <c r="CV16" s="185"/>
      <c r="CW16" s="185"/>
      <c r="CX16" s="185"/>
      <c r="CY16" s="185"/>
      <c r="CZ16" s="185"/>
      <c r="DA16" s="185"/>
      <c r="DB16" s="185"/>
      <c r="DC16" s="185"/>
      <c r="DD16" s="185"/>
      <c r="DE16" s="185"/>
      <c r="DF16" s="829" t="s">
        <v>295</v>
      </c>
      <c r="DG16" s="829"/>
      <c r="DH16" s="829"/>
      <c r="DI16" s="829"/>
      <c r="DJ16" s="829"/>
      <c r="DK16" s="829"/>
      <c r="DL16" s="829"/>
      <c r="DM16" s="829"/>
      <c r="DN16" s="829"/>
      <c r="DO16" s="829"/>
      <c r="DP16" s="829" t="s">
        <v>296</v>
      </c>
      <c r="DQ16" s="829"/>
      <c r="DR16" s="829"/>
      <c r="DS16" s="829"/>
      <c r="DT16" s="829"/>
      <c r="DU16" s="829"/>
      <c r="DV16" s="829"/>
      <c r="DW16" s="829"/>
      <c r="DX16" s="829"/>
      <c r="DY16" s="829"/>
      <c r="DZ16" s="829"/>
      <c r="EA16" s="829"/>
      <c r="EB16" s="829"/>
      <c r="EC16" s="829"/>
      <c r="ED16" s="829"/>
      <c r="EE16" s="829"/>
      <c r="EF16" s="829"/>
      <c r="EG16" s="829"/>
      <c r="EH16" s="829" t="s">
        <v>293</v>
      </c>
      <c r="EI16" s="829"/>
      <c r="EJ16" s="829" t="s">
        <v>294</v>
      </c>
      <c r="EK16" s="829"/>
      <c r="EL16" s="829"/>
      <c r="EM16" s="829"/>
      <c r="EN16" s="829"/>
      <c r="EO16" s="829"/>
      <c r="EP16" s="829"/>
      <c r="EQ16" s="829"/>
      <c r="ER16" s="829" t="s">
        <v>444</v>
      </c>
      <c r="ES16" s="829"/>
      <c r="ET16" s="829" t="s">
        <v>1783</v>
      </c>
      <c r="EU16" s="829"/>
      <c r="EV16" s="829"/>
    </row>
    <row r="17" spans="1:152" ht="12" customHeight="1">
      <c r="E17" s="192"/>
      <c r="F17" s="182"/>
      <c r="G17" s="182" t="s">
        <v>759</v>
      </c>
      <c r="H17" s="183" t="s">
        <v>629</v>
      </c>
      <c r="I17" s="183" t="s">
        <v>630</v>
      </c>
      <c r="J17" s="183" t="s">
        <v>631</v>
      </c>
      <c r="K17" s="183" t="s">
        <v>2851</v>
      </c>
      <c r="L17" s="183" t="s">
        <v>2852</v>
      </c>
      <c r="M17" s="183" t="s">
        <v>2853</v>
      </c>
      <c r="N17" s="183" t="s">
        <v>2854</v>
      </c>
      <c r="O17" s="183"/>
      <c r="P17" s="183" t="s">
        <v>2855</v>
      </c>
      <c r="Q17" s="183" t="s">
        <v>2856</v>
      </c>
      <c r="R17" s="183" t="s">
        <v>2857</v>
      </c>
      <c r="S17" s="183" t="s">
        <v>2858</v>
      </c>
      <c r="T17" s="183"/>
      <c r="U17" s="183"/>
      <c r="V17" s="183" t="s">
        <v>2859</v>
      </c>
      <c r="W17" s="183" t="s">
        <v>2860</v>
      </c>
      <c r="X17" s="183" t="s">
        <v>2861</v>
      </c>
      <c r="Y17" s="472" t="s">
        <v>790</v>
      </c>
      <c r="Z17" s="472" t="s">
        <v>792</v>
      </c>
      <c r="AA17" s="472" t="s">
        <v>632</v>
      </c>
      <c r="AB17" s="472" t="s">
        <v>633</v>
      </c>
      <c r="AC17" s="472" t="s">
        <v>635</v>
      </c>
      <c r="AD17" s="472" t="s">
        <v>883</v>
      </c>
      <c r="AE17" s="472"/>
      <c r="AF17" s="472"/>
      <c r="AG17" s="183" t="s">
        <v>761</v>
      </c>
      <c r="AH17" s="472"/>
      <c r="AI17" s="472"/>
      <c r="AJ17" s="472" t="s">
        <v>891</v>
      </c>
      <c r="AK17" s="472" t="s">
        <v>892</v>
      </c>
      <c r="AL17" s="472" t="s">
        <v>443</v>
      </c>
      <c r="AM17" s="183" t="s">
        <v>767</v>
      </c>
      <c r="AN17" s="183" t="s">
        <v>918</v>
      </c>
      <c r="AO17" s="183" t="s">
        <v>919</v>
      </c>
      <c r="AP17" s="183" t="s">
        <v>1799</v>
      </c>
      <c r="AQ17" s="183" t="s">
        <v>768</v>
      </c>
      <c r="AR17" s="183" t="s">
        <v>2993</v>
      </c>
      <c r="AS17" s="183" t="s">
        <v>3003</v>
      </c>
      <c r="AT17" s="183" t="s">
        <v>1800</v>
      </c>
      <c r="AU17" s="183" t="s">
        <v>1801</v>
      </c>
      <c r="AV17" s="183" t="s">
        <v>771</v>
      </c>
      <c r="AW17" s="183" t="s">
        <v>1802</v>
      </c>
      <c r="AX17" s="183" t="s">
        <v>1803</v>
      </c>
      <c r="AY17" s="183" t="s">
        <v>1804</v>
      </c>
      <c r="AZ17" s="183" t="s">
        <v>1805</v>
      </c>
      <c r="BA17" s="183" t="s">
        <v>1806</v>
      </c>
      <c r="BB17" s="183" t="s">
        <v>1807</v>
      </c>
      <c r="BC17" s="183" t="s">
        <v>1808</v>
      </c>
      <c r="BD17" s="183" t="s">
        <v>1809</v>
      </c>
      <c r="BE17" s="183" t="s">
        <v>1810</v>
      </c>
      <c r="BF17" s="183" t="s">
        <v>1811</v>
      </c>
      <c r="BG17" s="183" t="s">
        <v>1833</v>
      </c>
      <c r="BH17" s="183" t="s">
        <v>1835</v>
      </c>
      <c r="BI17" s="183" t="s">
        <v>1812</v>
      </c>
      <c r="BJ17" s="183" t="s">
        <v>1813</v>
      </c>
      <c r="BK17" s="183" t="s">
        <v>62</v>
      </c>
      <c r="BL17" s="183" t="s">
        <v>71</v>
      </c>
      <c r="BM17" s="183" t="s">
        <v>1845</v>
      </c>
      <c r="BN17" s="183" t="s">
        <v>1814</v>
      </c>
      <c r="BO17" s="183" t="s">
        <v>1815</v>
      </c>
      <c r="BP17" s="183" t="s">
        <v>1816</v>
      </c>
      <c r="BQ17" s="183" t="s">
        <v>1817</v>
      </c>
      <c r="BR17" s="183" t="s">
        <v>1818</v>
      </c>
      <c r="BS17" s="183" t="s">
        <v>1819</v>
      </c>
      <c r="BT17" s="183" t="s">
        <v>1848</v>
      </c>
      <c r="BU17" s="183" t="s">
        <v>1855</v>
      </c>
      <c r="BV17" s="183" t="s">
        <v>1820</v>
      </c>
      <c r="BW17" s="183" t="s">
        <v>1821</v>
      </c>
      <c r="BX17" s="183" t="s">
        <v>1822</v>
      </c>
      <c r="BY17" s="183" t="s">
        <v>1823</v>
      </c>
      <c r="BZ17" s="183" t="s">
        <v>2416</v>
      </c>
      <c r="CA17" s="183" t="s">
        <v>1824</v>
      </c>
      <c r="CB17" s="183" t="s">
        <v>1825</v>
      </c>
      <c r="CC17" s="183" t="s">
        <v>1826</v>
      </c>
      <c r="CD17" s="183" t="s">
        <v>1827</v>
      </c>
      <c r="CE17" s="183" t="s">
        <v>1828</v>
      </c>
      <c r="CF17" s="183" t="s">
        <v>1829</v>
      </c>
      <c r="CG17" s="183" t="s">
        <v>1830</v>
      </c>
      <c r="CH17" s="183" t="s">
        <v>1831</v>
      </c>
      <c r="CI17" s="183" t="s">
        <v>2422</v>
      </c>
      <c r="CJ17" s="183" t="s">
        <v>2425</v>
      </c>
      <c r="CK17" s="183" t="s">
        <v>2427</v>
      </c>
      <c r="CL17" s="183" t="s">
        <v>2431</v>
      </c>
      <c r="CM17" s="183" t="s">
        <v>845</v>
      </c>
      <c r="CN17" s="183" t="s">
        <v>1847</v>
      </c>
      <c r="CO17" s="183" t="s">
        <v>1854</v>
      </c>
      <c r="CP17" s="183" t="s">
        <v>2421</v>
      </c>
      <c r="CQ17" s="183" t="s">
        <v>2424</v>
      </c>
      <c r="CR17" s="183" t="s">
        <v>3005</v>
      </c>
      <c r="CS17" s="185"/>
      <c r="CT17" s="185"/>
      <c r="CU17" s="185"/>
      <c r="CV17" s="185"/>
      <c r="CW17" s="185"/>
      <c r="CX17" s="185"/>
      <c r="CY17" s="185"/>
      <c r="CZ17" s="185"/>
      <c r="DA17" s="185"/>
      <c r="DB17" s="185"/>
      <c r="DC17" s="185"/>
      <c r="DD17" s="185"/>
      <c r="DE17" s="185"/>
      <c r="DF17" s="472"/>
      <c r="DG17" s="472"/>
      <c r="DH17" s="472"/>
      <c r="DI17" s="472"/>
      <c r="DJ17" s="472"/>
      <c r="DK17" s="472"/>
      <c r="DL17" s="472"/>
      <c r="DM17" s="472"/>
      <c r="DN17" s="472"/>
      <c r="DO17" s="472"/>
      <c r="DP17" s="472" t="s">
        <v>1802</v>
      </c>
      <c r="DQ17" s="472" t="s">
        <v>1803</v>
      </c>
      <c r="DR17" s="472" t="s">
        <v>1804</v>
      </c>
      <c r="DS17" s="472" t="s">
        <v>1805</v>
      </c>
      <c r="DT17" s="472" t="s">
        <v>1807</v>
      </c>
      <c r="DU17" s="472" t="s">
        <v>1808</v>
      </c>
      <c r="DV17" s="472" t="s">
        <v>71</v>
      </c>
      <c r="DW17" s="472" t="s">
        <v>1845</v>
      </c>
      <c r="DX17" s="472" t="s">
        <v>1814</v>
      </c>
      <c r="DY17" s="472" t="s">
        <v>1815</v>
      </c>
      <c r="DZ17" s="472" t="s">
        <v>1817</v>
      </c>
      <c r="EA17" s="472" t="s">
        <v>1818</v>
      </c>
      <c r="EB17" s="472" t="s">
        <v>1824</v>
      </c>
      <c r="EC17" s="472" t="s">
        <v>1825</v>
      </c>
      <c r="ED17" s="472" t="s">
        <v>1826</v>
      </c>
      <c r="EE17" s="472" t="s">
        <v>1827</v>
      </c>
      <c r="EF17" s="472" t="s">
        <v>1829</v>
      </c>
      <c r="EG17" s="472" t="s">
        <v>1830</v>
      </c>
      <c r="EH17" s="183"/>
      <c r="EI17" s="183"/>
      <c r="EJ17" s="472"/>
      <c r="EK17" s="472"/>
      <c r="EL17" s="472"/>
      <c r="EM17" s="472"/>
      <c r="EN17" s="472"/>
      <c r="EO17" s="472"/>
      <c r="EP17" s="472"/>
      <c r="EQ17" s="472"/>
      <c r="ER17" s="183"/>
      <c r="ES17" s="183"/>
      <c r="ET17" s="183"/>
      <c r="EU17" s="183"/>
      <c r="EV17" s="183"/>
    </row>
    <row r="18" spans="1:152" ht="0.75" customHeight="1">
      <c r="A18" s="181"/>
      <c r="B18" s="181"/>
      <c r="C18" s="181"/>
      <c r="E18" s="192"/>
      <c r="F18" s="953" t="s">
        <v>3141</v>
      </c>
      <c r="G18" s="956" t="s">
        <v>778</v>
      </c>
      <c r="H18" s="107" t="str">
        <f>IF(TEMPLATE_SPHERE="водоснабжения","",IF(TEMPLATE_SPHERE="водоотведения","Всего",""))</f>
        <v>Всего</v>
      </c>
      <c r="I18" s="177"/>
      <c r="J18" s="177"/>
      <c r="K18" s="177"/>
      <c r="L18" s="177"/>
      <c r="M18" s="177"/>
      <c r="N18" s="177"/>
      <c r="O18" s="177"/>
      <c r="P18" s="177"/>
      <c r="Q18" s="177"/>
      <c r="R18" s="177"/>
      <c r="S18" s="177"/>
      <c r="T18" s="177"/>
      <c r="U18" s="177"/>
      <c r="V18" s="177"/>
      <c r="W18" s="177"/>
      <c r="X18" s="177"/>
      <c r="Y18" s="398"/>
      <c r="Z18" s="398"/>
      <c r="AA18" s="398"/>
      <c r="AB18" s="398"/>
      <c r="AC18" s="271"/>
      <c r="AD18" s="271"/>
      <c r="AE18" s="398"/>
      <c r="AF18" s="398"/>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117"/>
      <c r="BG18" s="271"/>
      <c r="BH18" s="271"/>
      <c r="BI18" s="271"/>
      <c r="BJ18" s="271"/>
      <c r="BK18" s="271"/>
      <c r="BL18" s="271"/>
      <c r="BM18" s="271"/>
      <c r="BN18" s="271"/>
      <c r="BO18" s="271"/>
      <c r="BP18" s="271"/>
      <c r="BQ18" s="271"/>
      <c r="BR18" s="271"/>
      <c r="BS18" s="271"/>
      <c r="BT18" s="271"/>
      <c r="BU18" s="117"/>
      <c r="BV18" s="271"/>
      <c r="BW18" s="271"/>
      <c r="BX18" s="271"/>
      <c r="BY18" s="271"/>
      <c r="BZ18" s="271"/>
      <c r="CA18" s="271"/>
      <c r="CB18" s="271"/>
      <c r="CC18" s="271"/>
      <c r="CD18" s="271"/>
      <c r="CE18" s="271"/>
      <c r="CF18" s="271"/>
      <c r="CG18" s="271"/>
      <c r="CH18" s="271"/>
      <c r="CI18" s="271"/>
      <c r="CJ18" s="117"/>
      <c r="CK18" s="271"/>
      <c r="CL18" s="117"/>
      <c r="CM18" s="271"/>
      <c r="CN18" s="271"/>
      <c r="CO18" s="271"/>
      <c r="CP18" s="271"/>
      <c r="CQ18" s="271"/>
      <c r="CR18" s="194"/>
      <c r="CS18" s="185"/>
      <c r="CT18" s="185"/>
      <c r="CU18" s="185"/>
      <c r="CV18" s="185"/>
      <c r="CW18" s="185"/>
      <c r="CX18" s="185"/>
      <c r="CY18" s="185"/>
      <c r="CZ18" s="185"/>
      <c r="DA18" s="185"/>
      <c r="DB18" s="185"/>
      <c r="DC18" s="185"/>
      <c r="DD18" s="185"/>
      <c r="DE18" s="185"/>
      <c r="DP18" s="480"/>
      <c r="DQ18" s="480"/>
      <c r="DR18" s="480"/>
      <c r="DS18" s="480"/>
      <c r="DT18" s="480"/>
      <c r="DU18" s="480"/>
      <c r="DV18" s="480"/>
      <c r="DW18" s="480"/>
      <c r="DX18" s="480"/>
      <c r="DY18" s="480"/>
      <c r="DZ18" s="480"/>
      <c r="EA18" s="480"/>
      <c r="EB18" s="480"/>
      <c r="EC18" s="480"/>
      <c r="ED18" s="480"/>
      <c r="EE18" s="480"/>
      <c r="EF18" s="480"/>
      <c r="EG18" s="480"/>
      <c r="EH18" s="162"/>
      <c r="EI18" s="162"/>
      <c r="EJ18" s="162"/>
      <c r="EK18" s="162"/>
      <c r="EL18" s="162"/>
      <c r="EM18" s="162"/>
      <c r="EN18" s="162"/>
      <c r="EO18" s="162"/>
      <c r="EP18" s="162"/>
      <c r="EQ18" s="162"/>
      <c r="ER18" s="162"/>
      <c r="ES18" s="162"/>
    </row>
    <row r="19" spans="1:152" ht="24" customHeight="1">
      <c r="A19" s="181"/>
      <c r="B19" s="181"/>
      <c r="C19" s="181"/>
      <c r="E19" s="192"/>
      <c r="F19" s="954"/>
      <c r="G19" s="957"/>
      <c r="H19" s="107" t="str">
        <f>IF(TEMPLATE_SPHERE="водоснабжения","Вода питьевого качества","")</f>
        <v/>
      </c>
      <c r="I19" s="177"/>
      <c r="J19" s="177"/>
      <c r="K19" s="177"/>
      <c r="L19" s="177"/>
      <c r="M19" s="177"/>
      <c r="N19" s="177"/>
      <c r="O19" s="177"/>
      <c r="P19" s="177"/>
      <c r="Q19" s="177"/>
      <c r="R19" s="177"/>
      <c r="S19" s="177"/>
      <c r="T19" s="177"/>
      <c r="U19" s="177"/>
      <c r="V19" s="177"/>
      <c r="W19" s="177"/>
      <c r="X19" s="177"/>
      <c r="Y19" s="398">
        <f>IF((AG19+AQ19)&gt;0,SUMIF($H$21:$H$22,$H19,EH$21:EH$22)/(AG19+AQ19),0)</f>
        <v>0</v>
      </c>
      <c r="Z19" s="398">
        <f>IF((AG19+AQ19)&gt;0,SUMIF($H$21:$H$22,$H19,EI$21:EI$22)/(AG19+AQ19),0)</f>
        <v>0</v>
      </c>
      <c r="AA19" s="398">
        <f>IF(AG19=0,0,(AC19*AG19+AJ19*IF(AL19&gt;AG19,AG19,AL19))/AG19)</f>
        <v>0</v>
      </c>
      <c r="AB19" s="398">
        <f>IF(AG19=0,0,(AD19*AG19+AK19*IF(AL19&gt;AG19,AG19,AL19))/AG19)</f>
        <v>0</v>
      </c>
      <c r="AC19" s="271">
        <f>IF(AG19&gt;0,(AR19*AV19+BG19*BK19+BV19*BZ19+AW19*BA19+BL19*BP19+CA19*CE19)/AG19,0)</f>
        <v>0</v>
      </c>
      <c r="AD19" s="271">
        <f>IF(AG19&gt;0,(AS19*AV19+BH19*BK19+BW19*BZ19+AX19*BA19+BM19*BP19+CB19*CE19)/AG19,0)</f>
        <v>0</v>
      </c>
      <c r="AE19" s="398"/>
      <c r="AF19" s="398"/>
      <c r="AG19" s="271">
        <f>SUMIF($H$21:$H$22,$H19,AG$21:AG$22)</f>
        <v>0</v>
      </c>
      <c r="AH19" s="271"/>
      <c r="AI19" s="271"/>
      <c r="AJ19" s="271">
        <f>IF(AL19&gt;0,SUMIF($H$21:$H$22,$H19,ER$21:ER$22)/AL19,0)</f>
        <v>0</v>
      </c>
      <c r="AK19" s="271">
        <f>IF(AL19&gt;0,SUMIF($H$21:$H$22,$H19,ES$21:ES$22)/AL19,0)</f>
        <v>0</v>
      </c>
      <c r="AL19" s="271">
        <f>SUMIF($H$21:$H$22,$H19,AL$21:AL$22)</f>
        <v>0</v>
      </c>
      <c r="AM19" s="271">
        <f>IF(AQ19&gt;0,SUMIF($H$21:$H$22,$H19,DH$21:DH$22)/AQ19,0)</f>
        <v>0</v>
      </c>
      <c r="AN19" s="271">
        <f>IF(AQ19&gt;0,SUMIF($H$21:$H$22,$H19,DI$21:DI$22)/AQ19,0)</f>
        <v>0</v>
      </c>
      <c r="AO19" s="271">
        <f>IF(AQ19&gt;0,SUMIF($H$21:$H$22,$H19,EJ$21:EJ$22)/AQ19,0)</f>
        <v>0</v>
      </c>
      <c r="AP19" s="271">
        <f>IF(AQ19&gt;0,SUMIF($H$21:$H$22,$H19,EK$21:EK$22)/AQ19,0)</f>
        <v>0</v>
      </c>
      <c r="AQ19" s="271">
        <f>SUMIF($H$21:$H$22,$H19,AQ$21:AQ$22)</f>
        <v>0</v>
      </c>
      <c r="AR19" s="271">
        <f>IF(AV19&gt;0,SUMIF($H$21:$H$22,$H19,DJ$21:DJ$22)/AV19,0)</f>
        <v>0</v>
      </c>
      <c r="AS19" s="271">
        <f>IF(AV19&gt;0,SUMIF($H$21:$H$22,$H19,DK$21:DK$22)/AV19,0)</f>
        <v>0</v>
      </c>
      <c r="AT19" s="271">
        <f>IF(AV19&gt;0,SUMIF($H$21:$H$22,$H19,EL$21:EL$22)/AV19,0)</f>
        <v>0</v>
      </c>
      <c r="AU19" s="271">
        <f>IF(AV19&gt;0,SUMIF($H$21:$H$22,$H19,EM$21:EM$22)/AV19,0)</f>
        <v>0</v>
      </c>
      <c r="AV19" s="271">
        <f>SUMIF($H$21:$H$22,$H19,AV$21:AV$22)</f>
        <v>0</v>
      </c>
      <c r="AW19" s="271">
        <f>IF(BA19&gt;0,INDEX(DP19:EG19,MATCH(AW$17,DP$17:EG$17))/BA19,0)</f>
        <v>0</v>
      </c>
      <c r="AX19" s="271">
        <f>IF(BA19&gt;0,INDEX(DP19:EG19,MATCH(AX$17,DP$17:EG$17))/BA19,0)</f>
        <v>0</v>
      </c>
      <c r="AY19" s="271">
        <f>IF(BA19&gt;0,INDEX(DP19:EG19,MATCH(AY$17,DP$17:EG$17))/BA19,0)</f>
        <v>0</v>
      </c>
      <c r="AZ19" s="271">
        <f>IF(BA19&gt;0,INDEX(DP19:EG19,MATCH(AZ$17,DP$17:EG$17))/BA19,0)</f>
        <v>0</v>
      </c>
      <c r="BA19" s="271">
        <f t="array" ref="BA19">SUM(($H$21:$H$22=H19)*(AR$21:AR$22="")*BA$21:BA$22)</f>
        <v>0</v>
      </c>
      <c r="BB19" s="271">
        <f>IF(BD19&gt;0,INDEX(DP19:EG19,MATCH(BB$17,DP$17:EG$17))/BD19,0)</f>
        <v>0</v>
      </c>
      <c r="BC19" s="271">
        <f>IF(BD19&gt;0,INDEX(DP19:EG19,MATCH(BC$17,DP$17:EG$17))/BD19,0)</f>
        <v>0</v>
      </c>
      <c r="BD19" s="271">
        <f t="array" ref="BD19">SUM(($H$21:$H$22=H19)*(AR$21:AR$22="")*BD$21:BD$22)</f>
        <v>0</v>
      </c>
      <c r="BE19" s="271">
        <f>SUMIF($H$21:$H$22,$H19,BE$21:BE$22)</f>
        <v>0</v>
      </c>
      <c r="BF19" s="117"/>
      <c r="BG19" s="271">
        <f>IF(BK19&gt;0,SUMIF($H$21:$H$22,$H19,DL$21:DL$22)/BK19,0)</f>
        <v>0</v>
      </c>
      <c r="BH19" s="271">
        <f>IF(BK19&gt;0,SUMIF($H$21:$H$22,$H19,DM$21:DM$22)/BK19,0)</f>
        <v>0</v>
      </c>
      <c r="BI19" s="271">
        <f>IF(BK19&gt;0,SUMIF($H$21:$H$22,$H19,EN$21:EN$22)/BK19,0)</f>
        <v>0</v>
      </c>
      <c r="BJ19" s="271">
        <f>IF(BK19&gt;0,SUMIF($H$21:$H$22,$H19,EO$21:EO$22)/BK19,0)</f>
        <v>0</v>
      </c>
      <c r="BK19" s="271">
        <f>SUMIF($H$21:$H$22,$H19,BK$21:BK$22)</f>
        <v>0</v>
      </c>
      <c r="BL19" s="271">
        <f>IF(BP19&gt;0,INDEX(DP19:EG19,MATCH(BL$17,DP$17:EG$17))/BP19,0)</f>
        <v>0</v>
      </c>
      <c r="BM19" s="271">
        <f>IF(BP19&gt;0,INDEX(DP19:EG19,MATCH(BM$17,DP$17:EG$17))/BP19,0)</f>
        <v>0</v>
      </c>
      <c r="BN19" s="271">
        <f>IF(BP19&gt;0,INDEX(DP19:EG19,MATCH(BN$17,DP$17:EG$17))/BP19,0)</f>
        <v>0</v>
      </c>
      <c r="BO19" s="271">
        <f>IF(BP19&gt;0,INDEX(DP19:EG19,MATCH(BO$17,DP$17:EG$17))/BP19,0)</f>
        <v>0</v>
      </c>
      <c r="BP19" s="271">
        <f t="array" ref="BP19">SUM(($H$21:$H$22=H19)*(AR$21:AR$22="")*BP$21:BP$22)</f>
        <v>0</v>
      </c>
      <c r="BQ19" s="271">
        <f>IF(BS19&gt;0,INDEX(DP19:EG19,MATCH(BQ$17,DP$17:EG$17))/BS19,0)</f>
        <v>0</v>
      </c>
      <c r="BR19" s="271">
        <f>IF(BS19&gt;0,INDEX(DP19:EG19,MATCH(BR$17,DP$17:EG$17))/BS19,0)</f>
        <v>0</v>
      </c>
      <c r="BS19" s="271">
        <f t="array" ref="BS19">SUM(($H$21:$H$22=H19)*(AR$21:AR$22="")*BS$21:BS$22)</f>
        <v>0</v>
      </c>
      <c r="BT19" s="271">
        <f>SUMIF($H$21:$H$22,$H19,BT$21:BT$22)</f>
        <v>0</v>
      </c>
      <c r="BU19" s="117"/>
      <c r="BV19" s="271">
        <f>IF(BZ19&gt;0,SUMIF($H$21:$H$22,$H19,DN$21:DN$22)/BZ19,0)</f>
        <v>0</v>
      </c>
      <c r="BW19" s="271">
        <f>IF(BZ19&gt;0,SUMIF($H$21:$H$22,$H19,DO$21:DO$22)/BZ19,0)</f>
        <v>0</v>
      </c>
      <c r="BX19" s="271">
        <f>IF(BZ19&gt;0,SUMIF($H$21:$H$22,$H19,EP$21:EP$22)/BZ19,0)</f>
        <v>0</v>
      </c>
      <c r="BY19" s="271">
        <f>IF(BZ19&gt;0,SUMIF($H$21:$H$22,$H19,EQ$21:EQ$22)/BZ19,0)</f>
        <v>0</v>
      </c>
      <c r="BZ19" s="271">
        <f>SUMIF($H$21:$H$22,$H19,BZ$21:BZ$22)</f>
        <v>0</v>
      </c>
      <c r="CA19" s="271">
        <f>IF(CE19&gt;0,INDEX(DP19:EG19,MATCH(CA$17,DP$17:EG$17))/CE19,0)</f>
        <v>0</v>
      </c>
      <c r="CB19" s="271">
        <f>IF(CE19&gt;0,INDEX(DP19:EG19,MATCH(CB$17,DP$17:EG$17))/CE19,0)</f>
        <v>0</v>
      </c>
      <c r="CC19" s="271">
        <f>IF(CE19&gt;0,INDEX(DP19:EG19,MATCH(CC$17,DP$17:EG$17))/CE19,0)</f>
        <v>0</v>
      </c>
      <c r="CD19" s="271">
        <f>IF(CE19&gt;0,INDEX(DP19:EG19,MATCH(CD$17,DP$17:EG$17))/CE19,0)</f>
        <v>0</v>
      </c>
      <c r="CE19" s="271">
        <f t="array" ref="CE19">SUM(($H$21:$H$22=H19)*(AR$21:AR$22="")*CE$21:CE$22)</f>
        <v>0</v>
      </c>
      <c r="CF19" s="271">
        <f>IF(CH19&gt;0,INDEX(DP19:EG19,MATCH(CF$17,DP$17:EG$17))/CH19,0)</f>
        <v>0</v>
      </c>
      <c r="CG19" s="271">
        <f>IF(CH19&gt;0,INDEX(DP19:EG19,MATCH(CG$17,DP$17:EG$17))/CH19,0)</f>
        <v>0</v>
      </c>
      <c r="CH19" s="271">
        <f t="array" ref="CH19">SUM(($H$21:$H$22=H19)*(AR$21:AR$22="")*CH$21:CH$22)</f>
        <v>0</v>
      </c>
      <c r="CI19" s="271">
        <f>SUMIF($H$21:$H$22,$H19,CI$21:CI$22)</f>
        <v>0</v>
      </c>
      <c r="CJ19" s="117"/>
      <c r="CK19" s="271">
        <f>SUMIF($H$21:$H$22,$H19,CK$21:CK$22)</f>
        <v>0</v>
      </c>
      <c r="CL19" s="117"/>
      <c r="CM19" s="271">
        <f t="shared" ref="CM19:CQ20" si="0">SUMIF($H$21:$H$22,$H19,CM$21:CM$22)</f>
        <v>0</v>
      </c>
      <c r="CN19" s="271">
        <f t="shared" si="0"/>
        <v>0</v>
      </c>
      <c r="CO19" s="271">
        <f t="shared" si="0"/>
        <v>0</v>
      </c>
      <c r="CP19" s="271">
        <f t="shared" si="0"/>
        <v>0</v>
      </c>
      <c r="CQ19" s="271">
        <f t="shared" si="0"/>
        <v>0</v>
      </c>
      <c r="CR19" s="194"/>
      <c r="CS19" s="185"/>
      <c r="CT19" s="185"/>
      <c r="CU19" s="185"/>
      <c r="CV19" s="185"/>
      <c r="CW19" s="185"/>
      <c r="CX19" s="185"/>
      <c r="CY19" s="185"/>
      <c r="CZ19" s="185"/>
      <c r="DA19" s="185"/>
      <c r="DB19" s="185"/>
      <c r="DC19" s="185"/>
      <c r="DD19" s="185"/>
      <c r="DE19" s="185"/>
      <c r="DP19" s="480">
        <f t="shared" ref="DP19:DY20" si="1">SUMIF($H$21:$H$22,$H19,DP$21:DP$22)</f>
        <v>0</v>
      </c>
      <c r="DQ19" s="480">
        <f t="shared" si="1"/>
        <v>0</v>
      </c>
      <c r="DR19" s="480">
        <f t="shared" si="1"/>
        <v>0</v>
      </c>
      <c r="DS19" s="480">
        <f t="shared" si="1"/>
        <v>0</v>
      </c>
      <c r="DT19" s="480">
        <f t="shared" si="1"/>
        <v>0</v>
      </c>
      <c r="DU19" s="480">
        <f t="shared" si="1"/>
        <v>0</v>
      </c>
      <c r="DV19" s="480">
        <f t="shared" si="1"/>
        <v>0</v>
      </c>
      <c r="DW19" s="480">
        <f t="shared" si="1"/>
        <v>0</v>
      </c>
      <c r="DX19" s="480">
        <f t="shared" si="1"/>
        <v>0</v>
      </c>
      <c r="DY19" s="480">
        <f t="shared" si="1"/>
        <v>0</v>
      </c>
      <c r="DZ19" s="480">
        <f t="shared" ref="DZ19:EG20" si="2">SUMIF($H$21:$H$22,$H19,DZ$21:DZ$22)</f>
        <v>0</v>
      </c>
      <c r="EA19" s="480">
        <f t="shared" si="2"/>
        <v>0</v>
      </c>
      <c r="EB19" s="480">
        <f t="shared" si="2"/>
        <v>0</v>
      </c>
      <c r="EC19" s="480">
        <f t="shared" si="2"/>
        <v>0</v>
      </c>
      <c r="ED19" s="480">
        <f t="shared" si="2"/>
        <v>0</v>
      </c>
      <c r="EE19" s="480">
        <f t="shared" si="2"/>
        <v>0</v>
      </c>
      <c r="EF19" s="480">
        <f t="shared" si="2"/>
        <v>0</v>
      </c>
      <c r="EG19" s="480">
        <f t="shared" si="2"/>
        <v>0</v>
      </c>
      <c r="EH19" s="162"/>
      <c r="EI19" s="162"/>
      <c r="EJ19" s="162"/>
      <c r="EK19" s="162"/>
      <c r="EL19" s="162"/>
      <c r="EM19" s="162"/>
      <c r="EN19" s="162"/>
      <c r="EO19" s="162"/>
      <c r="EP19" s="162"/>
      <c r="EQ19" s="162"/>
      <c r="ER19" s="162"/>
      <c r="ES19" s="162"/>
    </row>
    <row r="20" spans="1:152" ht="24" customHeight="1">
      <c r="A20" s="181"/>
      <c r="B20" s="181"/>
      <c r="C20" s="181"/>
      <c r="E20" s="192"/>
      <c r="F20" s="955"/>
      <c r="G20" s="958"/>
      <c r="H20" s="107" t="str">
        <f>IF(TEMPLATE_SPHERE="водоснабжения","Вода технического качества","")</f>
        <v/>
      </c>
      <c r="I20" s="177"/>
      <c r="J20" s="177"/>
      <c r="K20" s="177"/>
      <c r="L20" s="177"/>
      <c r="M20" s="177"/>
      <c r="N20" s="177"/>
      <c r="O20" s="177"/>
      <c r="P20" s="177"/>
      <c r="Q20" s="177"/>
      <c r="R20" s="177"/>
      <c r="S20" s="177"/>
      <c r="T20" s="177"/>
      <c r="U20" s="177"/>
      <c r="V20" s="177"/>
      <c r="W20" s="177"/>
      <c r="X20" s="177"/>
      <c r="Y20" s="398">
        <f>IF((AG20+AQ20)&gt;0,SUMIF($H$21:$H$22,$H20,EH$21:EH$22)/(AG20+AQ20),0)</f>
        <v>0</v>
      </c>
      <c r="Z20" s="398">
        <f>IF((AG20+AQ20)&gt;0,SUMIF($H$21:$H$22,$H20,EI$21:EI$22)/(AG20+AQ20),0)</f>
        <v>0</v>
      </c>
      <c r="AA20" s="398">
        <f>IF(AG20=0,0,(AC20*AG20+AJ20*IF(AL20&gt;AG20,AG20,AL20))/AG20)</f>
        <v>0</v>
      </c>
      <c r="AB20" s="398">
        <f>IF(AG20=0,0,(AD20*AG20+AK20*IF(AL20&gt;AG20,AG20,AL20))/AG20)</f>
        <v>0</v>
      </c>
      <c r="AC20" s="271">
        <f>IF(AG20&gt;0,(AR20*AV20+BG20*BK20+BV20*BZ20+AW20*BA20+BL20*BP20+CA20*CE20)/AG20,0)</f>
        <v>0</v>
      </c>
      <c r="AD20" s="271">
        <f>IF(AG20&gt;0,(AS20*AV20+BH20*BK20+BW20*BZ20+AX20*BA20+BM20*BP20+CB20*CE20)/AG20,0)</f>
        <v>0</v>
      </c>
      <c r="AE20" s="398"/>
      <c r="AF20" s="398"/>
      <c r="AG20" s="271">
        <f>SUMIF($H$21:$H$22,$H20,AG$21:AG$22)</f>
        <v>0</v>
      </c>
      <c r="AH20" s="271"/>
      <c r="AI20" s="271"/>
      <c r="AJ20" s="271">
        <f>IF(AL20&gt;0,SUMIF($H$21:$H$22,$H20,ER$21:ER$22)/AL20,0)</f>
        <v>0</v>
      </c>
      <c r="AK20" s="271">
        <f>IF(AL20&gt;0,SUMIF($H$21:$H$22,$H20,ES$21:ES$22)/AL20,0)</f>
        <v>0</v>
      </c>
      <c r="AL20" s="271">
        <f>SUMIF($H$21:$H$22,$H20,AL$21:AL$22)</f>
        <v>0</v>
      </c>
      <c r="AM20" s="271">
        <f>IF(AQ20&gt;0,SUMIF($H$21:$H$22,$H20,DH$21:DH$22)/AQ20,0)</f>
        <v>0</v>
      </c>
      <c r="AN20" s="271">
        <f>IF(AQ20&gt;0,SUMIF($H$21:$H$22,$H20,DI$21:DI$22)/AQ20,0)</f>
        <v>0</v>
      </c>
      <c r="AO20" s="271">
        <f>IF(AQ20&gt;0,SUMIF($H$21:$H$22,$H20,EJ$21:EJ$22)/AQ20,0)</f>
        <v>0</v>
      </c>
      <c r="AP20" s="271">
        <f>IF(AQ20&gt;0,SUMIF($H$21:$H$22,$H20,EK$21:EK$22)/AQ20,0)</f>
        <v>0</v>
      </c>
      <c r="AQ20" s="271">
        <f>SUMIF($H$21:$H$22,$H20,AQ$21:AQ$22)</f>
        <v>0</v>
      </c>
      <c r="AR20" s="271">
        <f>IF(AV20&gt;0,SUMIF($H$21:$H$22,$H20,DJ$21:DJ$22)/AV20,0)</f>
        <v>0</v>
      </c>
      <c r="AS20" s="271">
        <f>IF(AV20&gt;0,SUMIF($H$21:$H$22,$H20,DK$21:DK$22)/AV20,0)</f>
        <v>0</v>
      </c>
      <c r="AT20" s="271">
        <f>IF(AV20&gt;0,SUMIF($H$21:$H$22,$H20,EL$21:EL$22)/AV20,0)</f>
        <v>0</v>
      </c>
      <c r="AU20" s="271">
        <f>IF(AV20&gt;0,SUMIF($H$21:$H$22,$H20,EM$21:EM$22)/AV20,0)</f>
        <v>0</v>
      </c>
      <c r="AV20" s="271">
        <f>SUMIF($H$21:$H$22,$H20,AV$21:AV$22)</f>
        <v>0</v>
      </c>
      <c r="AW20" s="271">
        <f>IF(BA20&gt;0,INDEX(DP20:EG20,MATCH(AW$17,DP$17:EG$17))/BA20,0)</f>
        <v>0</v>
      </c>
      <c r="AX20" s="271">
        <f>IF(BA20&gt;0,INDEX(DP20:EG20,MATCH(AX$17,DP$17:EG$17))/BA20,0)</f>
        <v>0</v>
      </c>
      <c r="AY20" s="271">
        <f>IF(BA20&gt;0,INDEX(DP20:EG20,MATCH(AY$17,DP$17:EG$17))/BA20,0)</f>
        <v>0</v>
      </c>
      <c r="AZ20" s="271">
        <f>IF(BA20&gt;0,INDEX(DP20:EG20,MATCH(AZ$17,DP$17:EG$17))/BA20,0)</f>
        <v>0</v>
      </c>
      <c r="BA20" s="271">
        <f t="array" ref="BA20">SUM(($H$21:$H$22=H20)*(AR$21:AR$22="")*BA$21:BA$22)</f>
        <v>0</v>
      </c>
      <c r="BB20" s="271">
        <f>IF(BD20&gt;0,INDEX(DP20:EG20,MATCH(BB$17,DP$17:EG$17))/BD20,0)</f>
        <v>0</v>
      </c>
      <c r="BC20" s="271">
        <f>IF(BD20&gt;0,INDEX(DP20:EG20,MATCH(BC$17,DP$17:EG$17))/BD20,0)</f>
        <v>0</v>
      </c>
      <c r="BD20" s="271">
        <f t="array" ref="BD20">SUM(($H$21:$H$22=H20)*(AR$21:AR$22="")*BD$21:BD$22)</f>
        <v>0</v>
      </c>
      <c r="BE20" s="271">
        <f>SUMIF($H$21:$H$22,$H20,BE$21:BE$22)</f>
        <v>0</v>
      </c>
      <c r="BF20" s="117"/>
      <c r="BG20" s="271">
        <f>IF(BK20&gt;0,SUMIF($H$21:$H$22,$H20,DL$21:DL$22)/BK20,0)</f>
        <v>0</v>
      </c>
      <c r="BH20" s="271">
        <f>IF(BK20&gt;0,SUMIF($H$21:$H$22,$H20,DM$21:DM$22)/BK20,0)</f>
        <v>0</v>
      </c>
      <c r="BI20" s="271">
        <f>IF(BK20&gt;0,SUMIF($H$21:$H$22,$H20,EN$21:EN$22)/BK20,0)</f>
        <v>0</v>
      </c>
      <c r="BJ20" s="271">
        <f>IF(BK20&gt;0,SUMIF($H$21:$H$22,$H20,EO$21:EO$22)/BK20,0)</f>
        <v>0</v>
      </c>
      <c r="BK20" s="271">
        <f>SUMIF($H$21:$H$22,$H20,BK$21:BK$22)</f>
        <v>0</v>
      </c>
      <c r="BL20" s="271">
        <f>IF(BP20&gt;0,INDEX(DP20:EG20,MATCH(BL$17,DP$17:EG$17))/BP20,0)</f>
        <v>0</v>
      </c>
      <c r="BM20" s="271">
        <f>IF(BP20&gt;0,INDEX(DP20:EG20,MATCH(BM$17,DP$17:EG$17))/BP20,0)</f>
        <v>0</v>
      </c>
      <c r="BN20" s="271">
        <f>IF(BP20&gt;0,INDEX(DP20:EG20,MATCH(BN$17,DP$17:EG$17))/BP20,0)</f>
        <v>0</v>
      </c>
      <c r="BO20" s="271">
        <f>IF(BP20&gt;0,INDEX(DP20:EG20,MATCH(BO$17,DP$17:EG$17))/BP20,0)</f>
        <v>0</v>
      </c>
      <c r="BP20" s="271">
        <f t="array" ref="BP20">SUM(($H$21:$H$22=H20)*(AR$21:AR$22="")*BP$21:BP$22)</f>
        <v>0</v>
      </c>
      <c r="BQ20" s="271">
        <f>IF(BS20&gt;0,INDEX(DP20:EG20,MATCH(BQ$17,DP$17:EG$17))/BS20,0)</f>
        <v>0</v>
      </c>
      <c r="BR20" s="271">
        <f>IF(BS20&gt;0,INDEX(DP20:EG20,MATCH(BR$17,DP$17:EG$17))/BS20,0)</f>
        <v>0</v>
      </c>
      <c r="BS20" s="271">
        <f t="array" ref="BS20">SUM(($H$21:$H$22=H20)*(AR$21:AR$22="")*BS$21:BS$22)</f>
        <v>0</v>
      </c>
      <c r="BT20" s="271">
        <f>SUMIF($H$21:$H$22,$H20,BT$21:BT$22)</f>
        <v>0</v>
      </c>
      <c r="BU20" s="117"/>
      <c r="BV20" s="271">
        <f>IF(BZ20&gt;0,SUMIF($H$21:$H$22,$H20,DN$21:DN$22)/BZ20,0)</f>
        <v>0</v>
      </c>
      <c r="BW20" s="271">
        <f>IF(BZ20&gt;0,SUMIF($H$21:$H$22,$H20,DO$21:DO$22)/BZ20,0)</f>
        <v>0</v>
      </c>
      <c r="BX20" s="271">
        <f>IF(BZ20&gt;0,SUMIF($H$21:$H$22,$H20,EP$21:EP$22)/BZ20,0)</f>
        <v>0</v>
      </c>
      <c r="BY20" s="271">
        <f>IF(BZ20&gt;0,SUMIF($H$21:$H$22,$H20,EQ$21:EQ$22)/BZ20,0)</f>
        <v>0</v>
      </c>
      <c r="BZ20" s="271">
        <f>SUMIF($H$21:$H$22,$H20,BZ$21:BZ$22)</f>
        <v>0</v>
      </c>
      <c r="CA20" s="271">
        <f>IF(CE20&gt;0,INDEX(DP20:EG20,MATCH(CA$17,DP$17:EG$17))/CE20,0)</f>
        <v>0</v>
      </c>
      <c r="CB20" s="271">
        <f>IF(CE20&gt;0,INDEX(DP20:EG20,MATCH(CB$17,DP$17:EG$17))/CE20,0)</f>
        <v>0</v>
      </c>
      <c r="CC20" s="271">
        <f>IF(CE20&gt;0,INDEX(DP20:EG20,MATCH(CC$17,DP$17:EG$17))/CE20,0)</f>
        <v>0</v>
      </c>
      <c r="CD20" s="271">
        <f>IF(CE20&gt;0,INDEX(DP20:EG20,MATCH(CD$17,DP$17:EG$17))/CE20,0)</f>
        <v>0</v>
      </c>
      <c r="CE20" s="271">
        <f t="array" ref="CE20">SUM(($H$21:$H$22=H20)*(AR$21:AR$22="")*CE$21:CE$22)</f>
        <v>0</v>
      </c>
      <c r="CF20" s="271">
        <f>IF(CH20&gt;0,INDEX(DP20:EG20,MATCH(CF$17,DP$17:EG$17))/CH20,0)</f>
        <v>0</v>
      </c>
      <c r="CG20" s="271">
        <f>IF(CH20&gt;0,INDEX(DP20:EG20,MATCH(CG$17,DP$17:EG$17))/CH20,0)</f>
        <v>0</v>
      </c>
      <c r="CH20" s="271">
        <f t="array" ref="CH20">SUM(($H$21:$H$22=H20)*(AR$21:AR$22="")*CH$21:CH$22)</f>
        <v>0</v>
      </c>
      <c r="CI20" s="271">
        <f>SUMIF($H$21:$H$22,$H20,CI$21:CI$22)</f>
        <v>0</v>
      </c>
      <c r="CJ20" s="117"/>
      <c r="CK20" s="271">
        <f>SUMIF($H$21:$H$22,$H20,CK$21:CK$22)</f>
        <v>0</v>
      </c>
      <c r="CL20" s="117"/>
      <c r="CM20" s="271">
        <f t="shared" si="0"/>
        <v>0</v>
      </c>
      <c r="CN20" s="271">
        <f t="shared" si="0"/>
        <v>0</v>
      </c>
      <c r="CO20" s="271">
        <f t="shared" si="0"/>
        <v>0</v>
      </c>
      <c r="CP20" s="271">
        <f t="shared" si="0"/>
        <v>0</v>
      </c>
      <c r="CQ20" s="271">
        <f t="shared" si="0"/>
        <v>0</v>
      </c>
      <c r="CR20" s="194"/>
      <c r="CS20" s="185"/>
      <c r="CT20" s="185"/>
      <c r="CU20" s="185"/>
      <c r="CV20" s="185"/>
      <c r="CW20" s="185"/>
      <c r="CX20" s="185"/>
      <c r="CY20" s="185"/>
      <c r="CZ20" s="185"/>
      <c r="DA20" s="185"/>
      <c r="DB20" s="185"/>
      <c r="DC20" s="185"/>
      <c r="DD20" s="185"/>
      <c r="DE20" s="185"/>
      <c r="DP20" s="480">
        <f t="shared" si="1"/>
        <v>0</v>
      </c>
      <c r="DQ20" s="480">
        <f t="shared" si="1"/>
        <v>0</v>
      </c>
      <c r="DR20" s="480">
        <f t="shared" si="1"/>
        <v>0</v>
      </c>
      <c r="DS20" s="480">
        <f t="shared" si="1"/>
        <v>0</v>
      </c>
      <c r="DT20" s="480">
        <f t="shared" si="1"/>
        <v>0</v>
      </c>
      <c r="DU20" s="480">
        <f t="shared" si="1"/>
        <v>0</v>
      </c>
      <c r="DV20" s="480">
        <f t="shared" si="1"/>
        <v>0</v>
      </c>
      <c r="DW20" s="480">
        <f t="shared" si="1"/>
        <v>0</v>
      </c>
      <c r="DX20" s="480">
        <f t="shared" si="1"/>
        <v>0</v>
      </c>
      <c r="DY20" s="480">
        <f t="shared" si="1"/>
        <v>0</v>
      </c>
      <c r="DZ20" s="480">
        <f t="shared" si="2"/>
        <v>0</v>
      </c>
      <c r="EA20" s="480">
        <f t="shared" si="2"/>
        <v>0</v>
      </c>
      <c r="EB20" s="480">
        <f t="shared" si="2"/>
        <v>0</v>
      </c>
      <c r="EC20" s="480">
        <f t="shared" si="2"/>
        <v>0</v>
      </c>
      <c r="ED20" s="480">
        <f t="shared" si="2"/>
        <v>0</v>
      </c>
      <c r="EE20" s="480">
        <f t="shared" si="2"/>
        <v>0</v>
      </c>
      <c r="EF20" s="480">
        <f t="shared" si="2"/>
        <v>0</v>
      </c>
      <c r="EG20" s="480">
        <f t="shared" si="2"/>
        <v>0</v>
      </c>
      <c r="EH20" s="162"/>
      <c r="EI20" s="162"/>
      <c r="EJ20" s="162"/>
      <c r="EK20" s="162"/>
      <c r="EL20" s="162"/>
      <c r="EM20" s="162"/>
      <c r="EN20" s="162"/>
      <c r="EO20" s="162"/>
      <c r="EP20" s="162"/>
      <c r="EQ20" s="162"/>
      <c r="ER20" s="162"/>
      <c r="ES20" s="162"/>
    </row>
    <row r="21" spans="1:152" ht="12" hidden="1" customHeight="1">
      <c r="A21" s="181"/>
      <c r="B21" s="181"/>
      <c r="C21" s="181"/>
      <c r="E21" s="192"/>
      <c r="F21" s="186">
        <v>0</v>
      </c>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96"/>
      <c r="CS21" s="185"/>
      <c r="CT21" s="185"/>
      <c r="CU21" s="185"/>
      <c r="CV21" s="185"/>
      <c r="CW21" s="185"/>
      <c r="CX21" s="185"/>
      <c r="CY21" s="185"/>
      <c r="CZ21" s="185"/>
      <c r="DA21" s="185"/>
      <c r="DB21" s="185"/>
      <c r="DC21" s="185"/>
      <c r="DD21" s="185"/>
      <c r="DE21" s="185"/>
      <c r="DP21" s="78"/>
      <c r="DQ21" s="78"/>
      <c r="DR21" s="78"/>
      <c r="DS21" s="78"/>
      <c r="DT21" s="78"/>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row>
    <row r="22" spans="1:152" ht="0.75" customHeight="1">
      <c r="A22" s="181"/>
      <c r="B22" s="181"/>
      <c r="C22" s="181"/>
      <c r="E22" s="192"/>
      <c r="F22" s="110"/>
      <c r="G22" s="111" t="s">
        <v>720</v>
      </c>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c r="CR22" s="113"/>
      <c r="CS22" s="185"/>
      <c r="CT22" s="185"/>
      <c r="CU22" s="185"/>
      <c r="CV22" s="185"/>
      <c r="CW22" s="185"/>
      <c r="CX22" s="185"/>
      <c r="CY22" s="185"/>
      <c r="CZ22" s="185"/>
      <c r="DA22" s="185"/>
      <c r="DB22" s="185"/>
      <c r="DC22" s="185"/>
      <c r="DD22" s="185"/>
      <c r="DE22" s="185"/>
      <c r="DP22" s="78"/>
      <c r="DQ22" s="78"/>
      <c r="DR22" s="78"/>
      <c r="DS22" s="78"/>
      <c r="DT22" s="78"/>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row>
    <row r="23" spans="1:152" s="162" customFormat="1" ht="12" customHeight="1">
      <c r="A23" s="181"/>
      <c r="B23" s="181"/>
      <c r="C23" s="181"/>
      <c r="D23" s="159"/>
      <c r="E23" s="192"/>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78"/>
      <c r="DG23" s="78"/>
      <c r="DH23" s="78"/>
      <c r="DI23" s="78"/>
      <c r="DJ23" s="78"/>
      <c r="DK23" s="78"/>
      <c r="DL23" s="78"/>
      <c r="DM23" s="78"/>
      <c r="DN23" s="78"/>
      <c r="DO23" s="78"/>
      <c r="DP23" s="78"/>
      <c r="DQ23" s="78"/>
      <c r="DR23" s="78"/>
      <c r="DS23" s="78"/>
      <c r="DT23" s="78"/>
    </row>
    <row r="24" spans="1:152" s="162" customFormat="1">
      <c r="D24" s="159"/>
      <c r="E24" s="179"/>
      <c r="DF24" s="78"/>
      <c r="DG24" s="78"/>
      <c r="DH24" s="78"/>
      <c r="DI24" s="78"/>
      <c r="DJ24" s="78"/>
      <c r="DK24" s="78"/>
      <c r="DL24" s="78"/>
      <c r="DM24" s="78"/>
      <c r="DN24" s="78"/>
      <c r="DO24" s="78"/>
      <c r="DP24" s="78"/>
      <c r="DQ24" s="78"/>
      <c r="DR24" s="78"/>
      <c r="DS24" s="78"/>
      <c r="DT24" s="78"/>
    </row>
    <row r="25" spans="1:152" customFormat="1"/>
    <row r="26" spans="1:152" customFormat="1"/>
    <row r="27" spans="1:152" customFormat="1"/>
    <row r="28" spans="1:152" customFormat="1" ht="36.75" customHeight="1"/>
    <row r="29" spans="1:152" customFormat="1"/>
    <row r="30" spans="1:152" customFormat="1"/>
    <row r="31" spans="1:152" customFormat="1"/>
    <row r="32" spans="1:152" customFormat="1"/>
    <row r="33" customFormat="1"/>
    <row r="34" customFormat="1" ht="41.25" customHeight="1"/>
    <row r="35" customFormat="1"/>
    <row r="36" customFormat="1"/>
    <row r="37" customFormat="1" ht="11.25" customHeight="1"/>
    <row r="38" customFormat="1" ht="11.25" customHeight="1"/>
    <row r="39" customFormat="1"/>
    <row r="40" customFormat="1" ht="31.5" customHeight="1"/>
    <row r="41" customFormat="1"/>
    <row r="42" customFormat="1"/>
  </sheetData>
  <sheetProtection password="FA9C" sheet="1" objects="1" scenarios="1" formatColumns="0" formatRows="0"/>
  <mergeCells count="96">
    <mergeCell ref="F18:F20"/>
    <mergeCell ref="G18:G20"/>
    <mergeCell ref="F13:F16"/>
    <mergeCell ref="J13:J16"/>
    <mergeCell ref="G13:G16"/>
    <mergeCell ref="H13:I16"/>
    <mergeCell ref="CO14:CO16"/>
    <mergeCell ref="BG13:BU13"/>
    <mergeCell ref="CL13:CL16"/>
    <mergeCell ref="BK14:BK16"/>
    <mergeCell ref="BN15:BO15"/>
    <mergeCell ref="CC15:CD15"/>
    <mergeCell ref="CI14:CI16"/>
    <mergeCell ref="CM14:CM16"/>
    <mergeCell ref="CA14:CH14"/>
    <mergeCell ref="CH15:CH16"/>
    <mergeCell ref="CJ14:CJ16"/>
    <mergeCell ref="BZ14:BZ16"/>
    <mergeCell ref="CE15:CE16"/>
    <mergeCell ref="CF15:CG15"/>
    <mergeCell ref="BI14:BJ15"/>
    <mergeCell ref="BQ15:BR15"/>
    <mergeCell ref="BS15:BS16"/>
    <mergeCell ref="ET16:EV16"/>
    <mergeCell ref="CQ14:CQ16"/>
    <mergeCell ref="CR13:CR16"/>
    <mergeCell ref="EH16:EI16"/>
    <mergeCell ref="DP16:EG16"/>
    <mergeCell ref="DF16:DO16"/>
    <mergeCell ref="ER16:ES16"/>
    <mergeCell ref="EJ16:EQ16"/>
    <mergeCell ref="CM13:CQ13"/>
    <mergeCell ref="CP14:CP16"/>
    <mergeCell ref="CK13:CK16"/>
    <mergeCell ref="BX14:BY15"/>
    <mergeCell ref="BV13:CJ13"/>
    <mergeCell ref="CN14:CN16"/>
    <mergeCell ref="CA7:CB7"/>
    <mergeCell ref="AW15:AX15"/>
    <mergeCell ref="AR13:BF13"/>
    <mergeCell ref="BV14:BW15"/>
    <mergeCell ref="CA15:CB15"/>
    <mergeCell ref="BL14:BS14"/>
    <mergeCell ref="BT14:BT16"/>
    <mergeCell ref="BL7:BM7"/>
    <mergeCell ref="BD15:BD16"/>
    <mergeCell ref="AW7:AX7"/>
    <mergeCell ref="BF14:BF16"/>
    <mergeCell ref="BE14:BE16"/>
    <mergeCell ref="BP15:BP16"/>
    <mergeCell ref="BG14:BH15"/>
    <mergeCell ref="BL15:BM15"/>
    <mergeCell ref="BU14:BU16"/>
    <mergeCell ref="AM13:AQ13"/>
    <mergeCell ref="AH13:AI15"/>
    <mergeCell ref="AT14:AU15"/>
    <mergeCell ref="AA7:AB7"/>
    <mergeCell ref="T14:T16"/>
    <mergeCell ref="T13:U13"/>
    <mergeCell ref="V13:W13"/>
    <mergeCell ref="W14:W16"/>
    <mergeCell ref="V14:V16"/>
    <mergeCell ref="X13:X16"/>
    <mergeCell ref="AA13:AB15"/>
    <mergeCell ref="Y13:Z15"/>
    <mergeCell ref="AG13:AG16"/>
    <mergeCell ref="U14:U16"/>
    <mergeCell ref="K12:X12"/>
    <mergeCell ref="N13:N16"/>
    <mergeCell ref="S14:S16"/>
    <mergeCell ref="R14:R16"/>
    <mergeCell ref="O13:O16"/>
    <mergeCell ref="K14:K16"/>
    <mergeCell ref="L14:L16"/>
    <mergeCell ref="P14:P16"/>
    <mergeCell ref="Q14:Q16"/>
    <mergeCell ref="P13:Q13"/>
    <mergeCell ref="K13:M13"/>
    <mergeCell ref="R13:S13"/>
    <mergeCell ref="M14:M16"/>
    <mergeCell ref="BB15:BC15"/>
    <mergeCell ref="AY15:AZ15"/>
    <mergeCell ref="AW14:BD14"/>
    <mergeCell ref="AC7:AD7"/>
    <mergeCell ref="AE13:AF15"/>
    <mergeCell ref="AE7:AF7"/>
    <mergeCell ref="AG7:AG8"/>
    <mergeCell ref="BA15:BA16"/>
    <mergeCell ref="AO14:AP15"/>
    <mergeCell ref="AJ13:AK15"/>
    <mergeCell ref="AV14:AV16"/>
    <mergeCell ref="AR14:AS15"/>
    <mergeCell ref="AQ14:AQ16"/>
    <mergeCell ref="AC13:AD15"/>
    <mergeCell ref="AM14:AN15"/>
    <mergeCell ref="AL13:AL16"/>
  </mergeCells>
  <phoneticPr fontId="8" type="noConversion"/>
  <dataValidations count="2">
    <dataValidation allowBlank="1" showInputMessage="1" showErrorMessage="1" sqref="CM14:CP15"/>
    <dataValidation allowBlank="1" showInputMessage="1" showErrorMessage="1" errorTitle="Ошибка" error="Допускается ввод ТОЛЬКО числовых значений!" sqref="AW9:AW11"/>
  </dataValidations>
  <hyperlinks>
    <hyperlink ref="K10" location="'ТМ2 01.07 - 31.08'!A1" tooltip="Отобразить / Скрыть блок" display="-"/>
  </hyperlinks>
  <pageMargins left="0.37" right="0.35" top="1" bottom="1" header="0.5" footer="0.5"/>
  <pageSetup paperSize="9" scale="37" orientation="landscape" horizontalDpi="4294967292" verticalDpi="4294967292"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sheetPr codeName="VSNA_TM2_PERIOD3">
    <tabColor rgb="FF92D050"/>
    <pageSetUpPr fitToPage="1"/>
  </sheetPr>
  <dimension ref="A1:EV42"/>
  <sheetViews>
    <sheetView showGridLines="0" topLeftCell="E3" workbookViewId="0">
      <pane xSplit="5" ySplit="19" topLeftCell="J22" activePane="bottomRight" state="frozen"/>
      <selection activeCell="AA13" sqref="AA13:AB15"/>
      <selection pane="topRight" activeCell="AA13" sqref="AA13:AB15"/>
      <selection pane="bottomLeft" activeCell="AA13" sqref="AA13:AB15"/>
      <selection pane="bottomRight"/>
    </sheetView>
  </sheetViews>
  <sheetFormatPr defaultRowHeight="11.25"/>
  <cols>
    <col min="1" max="3" width="5.7109375" style="162" hidden="1" customWidth="1"/>
    <col min="4" max="4" width="3.7109375" style="159" hidden="1" customWidth="1"/>
    <col min="5" max="5" width="5.7109375" style="179" customWidth="1"/>
    <col min="6" max="6" width="4.7109375" style="39" customWidth="1"/>
    <col min="7" max="7" width="40.7109375" style="39" customWidth="1"/>
    <col min="8" max="8" width="28.5703125" style="39" customWidth="1"/>
    <col min="9" max="9" width="0.140625" style="39" customWidth="1"/>
    <col min="10" max="10" width="20.7109375" style="39" customWidth="1"/>
    <col min="11" max="13" width="10.85546875" style="39" hidden="1" customWidth="1"/>
    <col min="14" max="14" width="11.7109375" style="39" hidden="1" customWidth="1"/>
    <col min="15" max="15" width="0.140625" style="39" hidden="1" customWidth="1"/>
    <col min="16" max="19" width="10.85546875" style="39" hidden="1" customWidth="1"/>
    <col min="20" max="21" width="0.140625" style="39" hidden="1" customWidth="1"/>
    <col min="22" max="24" width="10.85546875" style="39" hidden="1" customWidth="1"/>
    <col min="25" max="26" width="11.7109375" style="39" customWidth="1"/>
    <col min="27" max="30" width="18.7109375" style="39" customWidth="1"/>
    <col min="31" max="32" width="0.140625" style="39" customWidth="1"/>
    <col min="33" max="33" width="15.7109375" style="39" customWidth="1"/>
    <col min="34" max="35" width="0.140625" style="39" customWidth="1"/>
    <col min="36" max="37" width="11.7109375" style="39" customWidth="1"/>
    <col min="38" max="38" width="15.7109375" style="39" customWidth="1"/>
    <col min="39" max="42" width="11.7109375" style="39" customWidth="1"/>
    <col min="43" max="43" width="14.7109375" style="39" customWidth="1"/>
    <col min="44" max="47" width="11.7109375" style="39" customWidth="1"/>
    <col min="48" max="48" width="14.7109375" style="39" customWidth="1"/>
    <col min="49" max="50" width="13.7109375" style="39" hidden="1" customWidth="1"/>
    <col min="51" max="56" width="12.5703125" style="39" hidden="1" customWidth="1"/>
    <col min="57" max="58" width="12.5703125" style="39" customWidth="1"/>
    <col min="59" max="62" width="12.7109375" style="39" customWidth="1"/>
    <col min="63" max="63" width="14.7109375" style="39" customWidth="1"/>
    <col min="64" max="65" width="13.85546875" style="39" hidden="1" customWidth="1"/>
    <col min="66" max="71" width="12.7109375" style="39" hidden="1" customWidth="1"/>
    <col min="72" max="77" width="12.7109375" style="39" customWidth="1"/>
    <col min="78" max="78" width="14.7109375" style="39" customWidth="1"/>
    <col min="79" max="80" width="13.85546875" style="39" hidden="1" customWidth="1"/>
    <col min="81" max="86" width="12.7109375" style="39" hidden="1" customWidth="1"/>
    <col min="87" max="88" width="12.7109375" style="39" customWidth="1"/>
    <col min="89" max="95" width="15.7109375" style="39" customWidth="1"/>
    <col min="96" max="96" width="19.5703125" style="39" customWidth="1"/>
    <col min="97" max="109" width="1.7109375" style="162" customWidth="1"/>
    <col min="110" max="112" width="6.7109375" style="78" hidden="1" customWidth="1"/>
    <col min="113" max="118" width="6.7109375" style="77" hidden="1" customWidth="1"/>
    <col min="119" max="119" width="6.7109375" style="78" hidden="1" customWidth="1"/>
    <col min="120" max="124" width="6.7109375" style="77" hidden="1" customWidth="1"/>
    <col min="125" max="149" width="6.7109375" style="39" hidden="1" customWidth="1"/>
    <col min="150" max="152" width="0" style="39" hidden="1" customWidth="1"/>
    <col min="153" max="16384" width="9.140625" style="39"/>
  </cols>
  <sheetData>
    <row r="1" spans="4:152" s="162" customFormat="1" hidden="1">
      <c r="D1" s="159"/>
      <c r="E1" s="179"/>
      <c r="DF1" s="78"/>
      <c r="DG1" s="78"/>
      <c r="DH1" s="78"/>
      <c r="DI1" s="78"/>
      <c r="DJ1" s="78"/>
      <c r="DK1" s="78"/>
      <c r="DL1" s="78"/>
      <c r="DM1" s="78"/>
      <c r="DN1" s="78"/>
      <c r="DO1" s="78"/>
      <c r="DP1" s="78"/>
      <c r="DQ1" s="78"/>
      <c r="DR1" s="78"/>
      <c r="DS1" s="78"/>
      <c r="DT1" s="78"/>
    </row>
    <row r="2" spans="4:152" s="162" customFormat="1" hidden="1">
      <c r="D2" s="159"/>
      <c r="E2" s="179"/>
      <c r="DF2" s="78"/>
      <c r="DG2" s="78"/>
      <c r="DH2" s="78"/>
      <c r="DI2" s="78"/>
      <c r="DJ2" s="78"/>
      <c r="DK2" s="78"/>
      <c r="DL2" s="78"/>
      <c r="DM2" s="78"/>
      <c r="DN2" s="78"/>
      <c r="DO2" s="78"/>
      <c r="DP2" s="78"/>
      <c r="DQ2" s="78"/>
      <c r="DR2" s="78"/>
      <c r="DS2" s="78"/>
      <c r="DT2" s="78"/>
    </row>
    <row r="3" spans="4:152" s="162" customFormat="1" ht="12" customHeight="1">
      <c r="D3" s="159"/>
      <c r="E3" s="179"/>
      <c r="F3" s="637"/>
      <c r="G3" s="219" t="str">
        <f>"Необходимо указывать " &amp; IF(TARIFF_SETUP_METHOD_CODE="BY_PSEUDO_YEARS","общегодовые значения","значения по периодам")</f>
        <v>Необходимо указывать значения по периодам</v>
      </c>
      <c r="H3" s="616" t="s">
        <v>2498</v>
      </c>
      <c r="I3" s="637">
        <f>IF(TARIFF_SETUP_METHOD_CODE="BY_PSEUDO_YEARS",12,4)</f>
        <v>4</v>
      </c>
      <c r="DF3" s="78"/>
      <c r="DG3" s="78"/>
      <c r="DH3" s="78"/>
      <c r="DI3" s="78"/>
      <c r="DJ3" s="78"/>
      <c r="DK3" s="78"/>
      <c r="DL3" s="78"/>
      <c r="DM3" s="78"/>
      <c r="DN3" s="78"/>
      <c r="DO3" s="78"/>
      <c r="DP3" s="78"/>
      <c r="DQ3" s="78"/>
      <c r="DR3" s="78"/>
      <c r="DS3" s="78"/>
      <c r="DT3" s="78"/>
    </row>
    <row r="4" spans="4:152" s="162" customFormat="1" ht="3" customHeight="1">
      <c r="D4" s="159"/>
      <c r="E4" s="184"/>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5"/>
      <c r="CZ4" s="185"/>
      <c r="DA4" s="185"/>
      <c r="DB4" s="185"/>
      <c r="DC4" s="185"/>
      <c r="DD4" s="185"/>
      <c r="DE4" s="185"/>
      <c r="DF4" s="78"/>
      <c r="DG4" s="78"/>
      <c r="DH4" s="78"/>
      <c r="DI4" s="78"/>
      <c r="DJ4" s="78"/>
      <c r="DK4" s="78"/>
      <c r="DL4" s="78"/>
      <c r="DM4" s="78"/>
      <c r="DN4" s="78"/>
      <c r="DO4" s="78"/>
      <c r="DP4" s="78"/>
      <c r="DQ4" s="78"/>
      <c r="DR4" s="78"/>
      <c r="DS4" s="78"/>
      <c r="DT4" s="78"/>
    </row>
    <row r="5" spans="4:152" s="423" customFormat="1" ht="18" customHeight="1">
      <c r="F5" s="422" t="str">
        <f>"Тарифы для организаций " &amp; TEMPLATE_SPHERE &amp; " по муниципальному образованию - " &amp; IF(mo="","Не определено",mo)</f>
        <v>Тарифы для организаций водоотведения по муниципальному образованию - Село Булава</v>
      </c>
      <c r="G5" s="416"/>
      <c r="H5" s="416"/>
      <c r="I5" s="416"/>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H5" s="407"/>
      <c r="BI5" s="407"/>
      <c r="BJ5" s="407"/>
      <c r="BK5" s="407"/>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L5" s="407"/>
      <c r="CM5" s="407"/>
      <c r="CN5" s="407"/>
      <c r="CO5" s="407"/>
      <c r="CP5" s="407"/>
      <c r="CQ5" s="407"/>
      <c r="CR5" s="407"/>
      <c r="DF5" s="424"/>
      <c r="DG5" s="424"/>
      <c r="DH5" s="424"/>
      <c r="DI5" s="424"/>
      <c r="DJ5" s="424"/>
      <c r="DK5" s="424"/>
      <c r="DL5" s="424"/>
      <c r="DM5" s="424"/>
      <c r="DN5" s="424"/>
      <c r="DO5" s="424"/>
      <c r="DP5" s="424"/>
      <c r="DQ5" s="424"/>
    </row>
    <row r="6" spans="4:152" s="164" customFormat="1" ht="2.25" customHeight="1">
      <c r="D6" s="165"/>
      <c r="E6" s="190"/>
      <c r="F6" s="158"/>
      <c r="G6" s="158"/>
      <c r="H6" s="158"/>
      <c r="I6" s="158"/>
      <c r="J6" s="158"/>
      <c r="K6" s="180"/>
      <c r="L6" s="180"/>
      <c r="M6" s="180"/>
      <c r="N6" s="180"/>
      <c r="O6" s="180"/>
      <c r="P6" s="180"/>
      <c r="Q6" s="180"/>
      <c r="R6" s="180"/>
      <c r="S6" s="180"/>
      <c r="T6" s="180"/>
      <c r="U6" s="180"/>
      <c r="V6" s="180"/>
      <c r="W6" s="180"/>
      <c r="X6" s="180"/>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91"/>
      <c r="CQ6" s="191"/>
      <c r="CR6" s="191"/>
      <c r="CS6" s="158"/>
      <c r="CT6" s="158"/>
      <c r="CU6" s="158"/>
      <c r="CV6" s="158"/>
      <c r="CW6" s="158"/>
      <c r="CX6" s="158"/>
      <c r="CY6" s="158"/>
      <c r="CZ6" s="158"/>
      <c r="DA6" s="158"/>
      <c r="DB6" s="158"/>
      <c r="DC6" s="158"/>
      <c r="DD6" s="158"/>
      <c r="DE6" s="158"/>
      <c r="DF6" s="81"/>
      <c r="DG6" s="81"/>
      <c r="DH6" s="81"/>
      <c r="DI6" s="81"/>
      <c r="DJ6" s="81"/>
      <c r="DK6" s="81"/>
      <c r="DL6" s="81"/>
      <c r="DM6" s="81"/>
      <c r="DN6" s="81"/>
      <c r="DO6" s="81"/>
      <c r="DP6" s="81"/>
      <c r="DQ6" s="81"/>
      <c r="DR6" s="81"/>
      <c r="DS6" s="81"/>
      <c r="DT6" s="81"/>
    </row>
    <row r="7" spans="4:152" s="164" customFormat="1" ht="36" customHeight="1">
      <c r="D7" s="165"/>
      <c r="E7" s="190"/>
      <c r="F7" s="158"/>
      <c r="G7" s="158"/>
      <c r="H7" s="158"/>
      <c r="I7" s="158"/>
      <c r="J7" s="158"/>
      <c r="K7" s="191"/>
      <c r="L7" s="191"/>
      <c r="M7" s="191"/>
      <c r="N7" s="191"/>
      <c r="O7" s="191"/>
      <c r="P7" s="191"/>
      <c r="Q7" s="191"/>
      <c r="R7" s="191"/>
      <c r="S7" s="191"/>
      <c r="T7" s="191"/>
      <c r="U7" s="191"/>
      <c r="V7" s="191"/>
      <c r="W7" s="191"/>
      <c r="X7" s="191"/>
      <c r="Y7" s="191"/>
      <c r="Z7" s="191"/>
      <c r="AA7" s="824" t="str">
        <f>"Средневзвешенный тариф с учётом надбавки и передачи (транспортировки), руб./" &amp; $G$12</f>
        <v>Средневзвешенный тариф с учётом надбавки и передачи (транспортировки), руб./куб.м</v>
      </c>
      <c r="AB7" s="924"/>
      <c r="AC7" s="824" t="str">
        <f>"Средневзвешенный тариф с учётом передачи (транспортировки), руб./" &amp; $G$12</f>
        <v>Средневзвешенный тариф с учётом передачи (транспортировки), руб./куб.м</v>
      </c>
      <c r="AD7" s="924"/>
      <c r="AE7" s="824"/>
      <c r="AF7" s="924"/>
      <c r="AG7" s="925" t="s">
        <v>3158</v>
      </c>
      <c r="AH7" s="191"/>
      <c r="AI7" s="191"/>
      <c r="AJ7" s="191"/>
      <c r="AK7" s="191"/>
      <c r="AL7" s="191"/>
      <c r="AM7" s="191"/>
      <c r="AN7" s="191"/>
      <c r="AO7" s="191"/>
      <c r="AP7" s="191"/>
      <c r="AQ7" s="191"/>
      <c r="AR7" s="191"/>
      <c r="AS7" s="191"/>
      <c r="AT7" s="191"/>
      <c r="AU7" s="191"/>
      <c r="AV7" s="158"/>
      <c r="AW7" s="824" t="str">
        <f>"Средневзвешенный тариф по группе ""Бюджетные потребители"", руб./" &amp; $G$12</f>
        <v>Средневзвешенный тариф по группе "Бюджетные потребители", руб./куб.м</v>
      </c>
      <c r="AX7" s="824"/>
      <c r="AY7" s="158"/>
      <c r="AZ7" s="158"/>
      <c r="BA7" s="158"/>
      <c r="BB7" s="158"/>
      <c r="BC7" s="158"/>
      <c r="BD7" s="158"/>
      <c r="BE7" s="158"/>
      <c r="BF7" s="158"/>
      <c r="BG7" s="158"/>
      <c r="BH7" s="158"/>
      <c r="BI7" s="158"/>
      <c r="BJ7" s="158"/>
      <c r="BK7" s="158"/>
      <c r="BL7" s="824" t="str">
        <f>"Средневзвешенный тариф по группе ""Население"", руб./" &amp; $G$12</f>
        <v>Средневзвешенный тариф по группе "Население", руб./куб.м</v>
      </c>
      <c r="BM7" s="824"/>
      <c r="BN7" s="158"/>
      <c r="BO7" s="158"/>
      <c r="BP7" s="158"/>
      <c r="BQ7" s="158"/>
      <c r="BR7" s="158"/>
      <c r="BS7" s="158"/>
      <c r="BT7" s="158"/>
      <c r="BU7" s="158"/>
      <c r="BV7" s="158"/>
      <c r="BW7" s="158"/>
      <c r="BX7" s="158"/>
      <c r="BY7" s="158"/>
      <c r="BZ7" s="158"/>
      <c r="CA7" s="824" t="str">
        <f>"Средневзвешенный тариф по группе ""Прочие"", руб./" &amp; $G$12</f>
        <v>Средневзвешенный тариф по группе "Прочие", руб./куб.м</v>
      </c>
      <c r="CB7" s="824"/>
      <c r="CC7" s="158"/>
      <c r="CD7" s="158"/>
      <c r="CE7" s="158"/>
      <c r="CF7" s="158"/>
      <c r="CG7" s="158"/>
      <c r="CH7" s="158"/>
      <c r="CI7" s="158"/>
      <c r="CJ7" s="158"/>
      <c r="CK7" s="158"/>
      <c r="CL7" s="158"/>
      <c r="CM7" s="158"/>
      <c r="CN7" s="158"/>
      <c r="CO7" s="158"/>
      <c r="CP7" s="158"/>
      <c r="CQ7" s="158"/>
      <c r="CR7" s="191"/>
      <c r="CS7" s="158"/>
      <c r="CT7" s="158"/>
      <c r="CU7" s="158"/>
      <c r="CV7" s="158"/>
      <c r="CW7" s="158"/>
      <c r="CX7" s="158"/>
      <c r="CY7" s="158"/>
      <c r="CZ7" s="158"/>
      <c r="DA7" s="158"/>
      <c r="DB7" s="158"/>
      <c r="DC7" s="158"/>
      <c r="DD7" s="158"/>
      <c r="DE7" s="158"/>
      <c r="DF7" s="81"/>
      <c r="DG7" s="81"/>
      <c r="DH7" s="81"/>
      <c r="DI7" s="81"/>
      <c r="DJ7" s="81"/>
      <c r="DK7" s="81"/>
      <c r="DL7" s="81"/>
      <c r="DM7" s="81"/>
      <c r="DN7" s="81"/>
      <c r="DO7" s="81"/>
      <c r="DP7" s="81"/>
      <c r="DQ7" s="81"/>
      <c r="DR7" s="81"/>
      <c r="DS7" s="81"/>
      <c r="DT7" s="81"/>
    </row>
    <row r="8" spans="4:152" s="164" customFormat="1" ht="12" customHeight="1">
      <c r="D8" s="165"/>
      <c r="E8" s="190"/>
      <c r="F8" s="158"/>
      <c r="G8" s="197"/>
      <c r="H8" s="198"/>
      <c r="I8" s="120"/>
      <c r="J8" s="120"/>
      <c r="K8" s="189"/>
      <c r="L8" s="189"/>
      <c r="M8" s="189"/>
      <c r="N8" s="189"/>
      <c r="O8" s="189"/>
      <c r="P8" s="189"/>
      <c r="Q8" s="189"/>
      <c r="R8" s="189"/>
      <c r="S8" s="189"/>
      <c r="T8" s="189"/>
      <c r="U8" s="189"/>
      <c r="V8" s="189"/>
      <c r="W8" s="189"/>
      <c r="X8" s="189"/>
      <c r="Y8" s="158"/>
      <c r="Z8" s="191"/>
      <c r="AA8" s="337" t="s">
        <v>627</v>
      </c>
      <c r="AB8" s="428" t="s">
        <v>628</v>
      </c>
      <c r="AC8" s="337" t="s">
        <v>627</v>
      </c>
      <c r="AD8" s="428" t="s">
        <v>628</v>
      </c>
      <c r="AE8" s="337"/>
      <c r="AF8" s="428"/>
      <c r="AG8" s="926"/>
      <c r="AH8" s="158"/>
      <c r="AI8" s="158"/>
      <c r="AJ8" s="158"/>
      <c r="AK8" s="158"/>
      <c r="AL8" s="158"/>
      <c r="AM8" s="158"/>
      <c r="AN8" s="158"/>
      <c r="AO8" s="158"/>
      <c r="AP8" s="158"/>
      <c r="AQ8" s="158"/>
      <c r="AR8" s="158"/>
      <c r="AS8" s="158"/>
      <c r="AT8" s="158"/>
      <c r="AU8" s="158"/>
      <c r="AV8" s="158"/>
      <c r="AW8" s="337" t="s">
        <v>627</v>
      </c>
      <c r="AX8" s="337" t="s">
        <v>628</v>
      </c>
      <c r="AY8" s="158"/>
      <c r="AZ8" s="158"/>
      <c r="BA8" s="158"/>
      <c r="BB8" s="158"/>
      <c r="BC8" s="158"/>
      <c r="BD8" s="158"/>
      <c r="BE8" s="158"/>
      <c r="BF8" s="158"/>
      <c r="BG8" s="158"/>
      <c r="BH8" s="158"/>
      <c r="BI8" s="158"/>
      <c r="BJ8" s="158"/>
      <c r="BK8" s="158"/>
      <c r="BL8" s="337" t="s">
        <v>627</v>
      </c>
      <c r="BM8" s="337" t="s">
        <v>628</v>
      </c>
      <c r="BN8" s="158"/>
      <c r="BO8" s="158"/>
      <c r="BP8" s="158"/>
      <c r="BQ8" s="158"/>
      <c r="BR8" s="158"/>
      <c r="BS8" s="158"/>
      <c r="BT8" s="158"/>
      <c r="BU8" s="158"/>
      <c r="BV8" s="158"/>
      <c r="BW8" s="158"/>
      <c r="BX8" s="158"/>
      <c r="BY8" s="158"/>
      <c r="BZ8" s="158"/>
      <c r="CA8" s="337" t="s">
        <v>627</v>
      </c>
      <c r="CB8" s="337" t="s">
        <v>628</v>
      </c>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81"/>
      <c r="DG8" s="81"/>
      <c r="DH8" s="81"/>
      <c r="DI8" s="81"/>
      <c r="DJ8" s="81"/>
      <c r="DK8" s="81"/>
      <c r="DL8" s="81"/>
      <c r="DM8" s="81"/>
      <c r="DN8" s="81"/>
      <c r="DO8" s="81"/>
      <c r="DP8" s="81"/>
      <c r="DQ8" s="81"/>
      <c r="DR8" s="81"/>
      <c r="DS8" s="81"/>
      <c r="DT8" s="81"/>
    </row>
    <row r="9" spans="4:152" s="164" customFormat="1" ht="12" hidden="1" customHeight="1">
      <c r="D9" s="165"/>
      <c r="E9" s="190"/>
      <c r="F9" s="158"/>
      <c r="G9"/>
      <c r="H9" s="84"/>
      <c r="I9" s="158"/>
      <c r="J9" s="158"/>
      <c r="K9" s="189"/>
      <c r="L9" s="189"/>
      <c r="M9" s="189"/>
      <c r="N9" s="189"/>
      <c r="O9" s="189"/>
      <c r="P9" s="189"/>
      <c r="Q9" s="189"/>
      <c r="R9" s="189"/>
      <c r="S9" s="189"/>
      <c r="T9" s="189"/>
      <c r="U9" s="189"/>
      <c r="V9" s="189"/>
      <c r="W9" s="189"/>
      <c r="X9" s="189"/>
      <c r="Y9" s="158"/>
      <c r="Z9" s="191"/>
      <c r="AA9" s="398"/>
      <c r="AB9" s="429"/>
      <c r="AC9" s="398"/>
      <c r="AD9" s="429"/>
      <c r="AE9" s="398"/>
      <c r="AF9" s="429"/>
      <c r="AG9" s="130"/>
      <c r="AH9" s="158"/>
      <c r="AI9" s="158"/>
      <c r="AJ9" s="158"/>
      <c r="AK9" s="158"/>
      <c r="AL9" s="158"/>
      <c r="AM9" s="158"/>
      <c r="AN9" s="158"/>
      <c r="AO9" s="158"/>
      <c r="AP9" s="158"/>
      <c r="AQ9" s="158"/>
      <c r="AR9" s="158"/>
      <c r="AS9" s="158"/>
      <c r="AT9" s="158"/>
      <c r="AU9" s="158"/>
      <c r="AV9" s="158"/>
      <c r="AW9" s="398"/>
      <c r="AX9" s="398"/>
      <c r="AY9" s="158"/>
      <c r="AZ9" s="158"/>
      <c r="BA9" s="158"/>
      <c r="BB9" s="158"/>
      <c r="BC9" s="158"/>
      <c r="BD9" s="158"/>
      <c r="BE9" s="158"/>
      <c r="BF9" s="158"/>
      <c r="BG9" s="158"/>
      <c r="BH9" s="158"/>
      <c r="BI9" s="158"/>
      <c r="BJ9" s="158"/>
      <c r="BK9" s="158"/>
      <c r="BL9" s="398"/>
      <c r="BM9" s="398"/>
      <c r="BN9" s="158"/>
      <c r="BO9" s="158"/>
      <c r="BP9" s="158"/>
      <c r="BQ9" s="158"/>
      <c r="BR9" s="158"/>
      <c r="BS9" s="158"/>
      <c r="BT9" s="158"/>
      <c r="BU9" s="158"/>
      <c r="BV9" s="158"/>
      <c r="BW9" s="158"/>
      <c r="BX9" s="158"/>
      <c r="BY9" s="158"/>
      <c r="BZ9" s="158"/>
      <c r="CA9" s="398"/>
      <c r="CB9" s="398"/>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81"/>
      <c r="DG9" s="81"/>
      <c r="DH9" s="81"/>
      <c r="DI9" s="81"/>
      <c r="DJ9" s="81"/>
      <c r="DK9" s="81"/>
      <c r="DL9" s="81"/>
      <c r="DM9" s="81"/>
      <c r="DN9" s="81"/>
      <c r="DO9" s="81"/>
      <c r="DP9" s="81"/>
      <c r="DQ9" s="81"/>
      <c r="DR9" s="81"/>
      <c r="DS9" s="81"/>
      <c r="DT9" s="81"/>
    </row>
    <row r="10" spans="4:152" s="164" customFormat="1" ht="12" customHeight="1">
      <c r="D10" s="165"/>
      <c r="E10" s="190"/>
      <c r="F10" s="158"/>
      <c r="G10"/>
      <c r="H10" s="84"/>
      <c r="I10" s="158"/>
      <c r="J10" s="158"/>
      <c r="K10" s="444" t="s">
        <v>652</v>
      </c>
      <c r="L10" s="189"/>
      <c r="M10" s="189"/>
      <c r="N10" s="189"/>
      <c r="O10" s="189"/>
      <c r="P10" s="189"/>
      <c r="Q10" s="189"/>
      <c r="R10" s="189"/>
      <c r="S10" s="189"/>
      <c r="T10" s="189"/>
      <c r="U10" s="189"/>
      <c r="V10" s="189"/>
      <c r="W10" s="189"/>
      <c r="X10" s="189"/>
      <c r="Y10" s="158"/>
      <c r="Z10" s="191"/>
      <c r="AA10" s="398">
        <f>IF(AG19=0,0,((('ВС.ТМ1 01.09 - 31.12'!AQ19*'ВС.ТМ1 01.09 - 31.12'!AS19*$AG10)+('ВС.ТМ1 01.09 - 31.12'!AT19*'ВС.ТМ1 01.09 - 31.12'!AV19*$AG10)+('ВС.ТМ1 01.09 - 31.12'!AW19*'ВС.ТМ1 01.09 - 31.12'!AY19*$AG10))+ (AA19*AG19))/AG19)</f>
        <v>0</v>
      </c>
      <c r="AB10" s="429">
        <f>IF(AG19=0,0,((('ВС.ТМ1 01.09 - 31.12'!AR19*'ВС.ТМ1 01.09 - 31.12'!AS19*$AG10)+('ВС.ТМ1 01.09 - 31.12'!AU19*'ВС.ТМ1 01.09 - 31.12'!AV19*$AG10)+('ВС.ТМ1 01.09 - 31.12'!AX19*'ВС.ТМ1 01.09 - 31.12'!AY19*$AG10))+ (AB19*AG19))/AG19)</f>
        <v>0</v>
      </c>
      <c r="AC10" s="398">
        <f>IF(AG19=0,0,((('ВС.ТМ1 01.09 - 31.12'!AQ19*'ВС.ТМ1 01.09 - 31.12'!AS19*$AG10)+('ВС.ТМ1 01.09 - 31.12'!AT19*'ВС.ТМ1 01.09 - 31.12'!AV19*$AG10)+('ВС.ТМ1 01.09 - 31.12'!AW19*'ВС.ТМ1 01.09 - 31.12'!AY19*$AG10))+ (AC19*AG19))/AG19)</f>
        <v>0</v>
      </c>
      <c r="AD10" s="429">
        <f>IF(AG19=0,0,((('ВС.ТМ1 01.09 - 31.12'!AR19*'ВС.ТМ1 01.09 - 31.12'!AS19*$AG10)+('ВС.ТМ1 01.09 - 31.12'!AU19*'ВС.ТМ1 01.09 - 31.12'!AV19*$AG10)+('ВС.ТМ1 01.09 - 31.12'!AX19*'ВС.ТМ1 01.09 - 31.12'!AY19*$AG10))+ (AD19*AG19))/AG19)</f>
        <v>0</v>
      </c>
      <c r="AE10" s="398"/>
      <c r="AF10" s="429"/>
      <c r="AG10" s="130">
        <v>1</v>
      </c>
      <c r="AH10" s="158"/>
      <c r="AI10" s="158"/>
      <c r="AJ10" s="158"/>
      <c r="AK10" s="158"/>
      <c r="AL10" s="158"/>
      <c r="AM10" s="158"/>
      <c r="AN10" s="158"/>
      <c r="AO10" s="158"/>
      <c r="AP10" s="158"/>
      <c r="AQ10" s="158"/>
      <c r="AR10" s="158"/>
      <c r="AS10" s="158"/>
      <c r="AT10" s="158"/>
      <c r="AU10" s="158"/>
      <c r="AV10" s="158"/>
      <c r="AW10" s="398">
        <f>IF(AV19+BA19&gt;0,(AR19*AV19+AW19*BA19)/(AV19+BA19),0)</f>
        <v>0</v>
      </c>
      <c r="AX10" s="398">
        <f>IF(AV19+BA19&gt;0,(AS19*AV19+AX19*BA19)/(AV19+BA19),0)</f>
        <v>0</v>
      </c>
      <c r="AY10" s="158"/>
      <c r="AZ10" s="158"/>
      <c r="BA10" s="158"/>
      <c r="BB10" s="158"/>
      <c r="BC10" s="158"/>
      <c r="BD10" s="158"/>
      <c r="BE10" s="158"/>
      <c r="BF10" s="158"/>
      <c r="BG10" s="158"/>
      <c r="BH10" s="158"/>
      <c r="BI10" s="158"/>
      <c r="BJ10" s="158"/>
      <c r="BK10" s="158"/>
      <c r="BL10" s="398">
        <f>IF(BK19+BP19&gt;0,(BG19*BK19+BL19*BP19)/(BK19+BP19),0)</f>
        <v>0</v>
      </c>
      <c r="BM10" s="398">
        <f>IF(BK19+BP19&gt;0,(BH19*BK19+BM19*BP19)/(BK19+BP19),0)</f>
        <v>0</v>
      </c>
      <c r="BN10" s="158"/>
      <c r="BO10" s="158"/>
      <c r="BP10" s="158"/>
      <c r="BQ10" s="158"/>
      <c r="BR10" s="158"/>
      <c r="BS10" s="158"/>
      <c r="BT10" s="158"/>
      <c r="BU10" s="158"/>
      <c r="BV10" s="158"/>
      <c r="BW10" s="158"/>
      <c r="BX10" s="158"/>
      <c r="BY10" s="158"/>
      <c r="BZ10" s="158"/>
      <c r="CA10" s="398">
        <f>IF(BZ19+CE19&gt;0,(BV19*BZ19+CA19*CE19)/(BZ19+CE19),0)</f>
        <v>0</v>
      </c>
      <c r="CB10" s="398">
        <f>IF(BZ19&gt;0,(BW19*BZ19+CB19*CE19)/BZ19,0)</f>
        <v>0</v>
      </c>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81"/>
      <c r="DG10" s="81"/>
      <c r="DH10" s="81"/>
      <c r="DI10" s="81"/>
      <c r="DJ10" s="81"/>
      <c r="DK10" s="81"/>
      <c r="DL10" s="81"/>
      <c r="DM10" s="81"/>
      <c r="DN10" s="81"/>
      <c r="DO10" s="81"/>
      <c r="DP10" s="81"/>
      <c r="DQ10" s="81"/>
      <c r="DR10" s="81"/>
      <c r="DS10" s="81"/>
      <c r="DT10" s="81"/>
    </row>
    <row r="11" spans="4:152" s="164" customFormat="1" ht="12" customHeight="1">
      <c r="D11" s="165"/>
      <c r="E11" s="190"/>
      <c r="F11" s="158"/>
      <c r="G11"/>
      <c r="H11" s="84"/>
      <c r="I11" s="158"/>
      <c r="J11" s="158"/>
      <c r="K11" s="189"/>
      <c r="L11" s="189"/>
      <c r="M11" s="189"/>
      <c r="N11" s="189"/>
      <c r="O11" s="189"/>
      <c r="P11" s="189"/>
      <c r="Q11" s="189"/>
      <c r="R11" s="189"/>
      <c r="S11" s="189"/>
      <c r="T11" s="189"/>
      <c r="U11" s="189"/>
      <c r="V11" s="189"/>
      <c r="W11" s="189"/>
      <c r="X11" s="189"/>
      <c r="Y11" s="158"/>
      <c r="Z11" s="191"/>
      <c r="AA11" s="398">
        <f>IF(AG20=0,0,((('ВС.ТМ1 01.09 - 31.12'!AQ20*'ВС.ТМ1 01.09 - 31.12'!AS20*$AG11)+('ВС.ТМ1 01.09 - 31.12'!AT20*'ВС.ТМ1 01.09 - 31.12'!AV20*$AG11)+('ВС.ТМ1 01.09 - 31.12'!AW20*'ВС.ТМ1 01.09 - 31.12'!AY20*$AG11))+ (AA20*AG20))/AG20)</f>
        <v>0</v>
      </c>
      <c r="AB11" s="429">
        <f>IF(AG20=0,0,((('ВС.ТМ1 01.09 - 31.12'!AR20*'ВС.ТМ1 01.09 - 31.12'!AS20*$AG11)+('ВС.ТМ1 01.09 - 31.12'!AU20*'ВС.ТМ1 01.09 - 31.12'!AV20*$AG11)+('ВС.ТМ1 01.09 - 31.12'!AX20*'ВС.ТМ1 01.09 - 31.12'!AY20*$AG11))+ (AB20*AG20))/AG20)</f>
        <v>0</v>
      </c>
      <c r="AC11" s="398">
        <f>IF(AG20=0,0,((('ВС.ТМ1 01.09 - 31.12'!AQ20*'ВС.ТМ1 01.09 - 31.12'!AS20*$AG11)+('ВС.ТМ1 01.09 - 31.12'!AT20*'ВС.ТМ1 01.09 - 31.12'!AV20*$AG11)+('ВС.ТМ1 01.09 - 31.12'!AW20*'ВС.ТМ1 01.09 - 31.12'!AY20*$AG11))+ (AC20*AG20))/AG20)</f>
        <v>0</v>
      </c>
      <c r="AD11" s="429">
        <f>IF(AG20=0,0,((('ВС.ТМ1 01.09 - 31.12'!AR20*'ВС.ТМ1 01.09 - 31.12'!AS20*$AG11)+('ВС.ТМ1 01.09 - 31.12'!AU20*'ВС.ТМ1 01.09 - 31.12'!AV20*$AG11)+('ВС.ТМ1 01.09 - 31.12'!AX20*'ВС.ТМ1 01.09 - 31.12'!AY20*$AG11))+ (AD20*AG20))/AG20)</f>
        <v>0</v>
      </c>
      <c r="AE11" s="398"/>
      <c r="AF11" s="429"/>
      <c r="AG11" s="130">
        <v>1</v>
      </c>
      <c r="AH11" s="158"/>
      <c r="AI11" s="158"/>
      <c r="AJ11" s="158"/>
      <c r="AK11" s="158"/>
      <c r="AL11" s="158"/>
      <c r="AM11" s="158"/>
      <c r="AN11" s="158"/>
      <c r="AO11" s="158"/>
      <c r="AP11" s="158"/>
      <c r="AQ11" s="158"/>
      <c r="AR11" s="158"/>
      <c r="AS11" s="158"/>
      <c r="AT11" s="158"/>
      <c r="AU11" s="158"/>
      <c r="AV11" s="158"/>
      <c r="AW11" s="398">
        <f>IF(AV20+BA20&gt;0,(AR20*AV20+AW20*BA20)/(AV20+BA20),0)</f>
        <v>0</v>
      </c>
      <c r="AX11" s="398">
        <f>IF(AV20+BA20&gt;0,(AS20*AV20+AX20*BA20)/(AV20+BA20),0)</f>
        <v>0</v>
      </c>
      <c r="AY11" s="158"/>
      <c r="AZ11" s="158"/>
      <c r="BA11" s="158"/>
      <c r="BB11" s="158"/>
      <c r="BC11" s="158"/>
      <c r="BD11" s="158"/>
      <c r="BE11" s="158"/>
      <c r="BF11" s="158"/>
      <c r="BG11" s="158"/>
      <c r="BH11" s="158"/>
      <c r="BI11" s="158"/>
      <c r="BJ11" s="158"/>
      <c r="BK11" s="158"/>
      <c r="BL11" s="398">
        <f>IF(BK20+BP20&gt;0,(BG20*BK20+BL20*BP20)/(BK20+BP20),0)</f>
        <v>0</v>
      </c>
      <c r="BM11" s="398">
        <f>IF(BK20+BP20&gt;0,(BH20*BK20+BM20*BP20)/(BK20+BP20),0)</f>
        <v>0</v>
      </c>
      <c r="BN11" s="158"/>
      <c r="BO11" s="158"/>
      <c r="BP11" s="158"/>
      <c r="BQ11" s="158"/>
      <c r="BR11" s="158"/>
      <c r="BS11" s="158"/>
      <c r="BT11" s="158"/>
      <c r="BU11" s="158"/>
      <c r="BV11" s="158"/>
      <c r="BW11" s="158"/>
      <c r="BX11" s="158"/>
      <c r="BY11" s="158"/>
      <c r="BZ11" s="158"/>
      <c r="CA11" s="398">
        <f>IF(BZ20+CE20&gt;0,(BV20*BZ20+CA20*CE20)/(BZ20+CE20),0)</f>
        <v>0</v>
      </c>
      <c r="CB11" s="398">
        <f>IF(BZ20&gt;0,(BW20*BZ20+CB20*CE20)/BZ20,0)</f>
        <v>0</v>
      </c>
      <c r="CC11" s="158"/>
      <c r="CD11" s="158"/>
      <c r="CE11" s="158"/>
      <c r="CF11" s="158"/>
      <c r="CG11" s="158"/>
      <c r="CH11" s="158"/>
      <c r="CI11" s="158"/>
      <c r="CJ11" s="158"/>
      <c r="CK11" s="158"/>
      <c r="CL11" s="158"/>
      <c r="CM11" s="158"/>
      <c r="CN11" s="158"/>
      <c r="CO11" s="158"/>
      <c r="CP11" s="158"/>
      <c r="CQ11" s="158"/>
      <c r="CR11" s="158"/>
      <c r="CS11" s="158"/>
      <c r="CT11" s="158"/>
      <c r="CU11" s="158"/>
      <c r="CV11" s="158"/>
      <c r="CW11" s="158"/>
      <c r="CX11" s="158"/>
      <c r="CY11" s="158"/>
      <c r="CZ11" s="158"/>
      <c r="DA11" s="158"/>
      <c r="DB11" s="158"/>
      <c r="DC11" s="158"/>
      <c r="DD11" s="158"/>
      <c r="DE11" s="158"/>
      <c r="DF11" s="81"/>
      <c r="DG11" s="81"/>
      <c r="DH11" s="81"/>
      <c r="DI11" s="81"/>
      <c r="DJ11" s="81"/>
      <c r="DK11" s="81"/>
      <c r="DL11" s="81"/>
      <c r="DM11" s="81"/>
      <c r="DN11" s="81"/>
      <c r="DO11" s="81"/>
      <c r="DP11" s="81"/>
      <c r="DQ11" s="81"/>
      <c r="DR11" s="81"/>
      <c r="DS11" s="81"/>
      <c r="DT11" s="81"/>
    </row>
    <row r="12" spans="4:152" s="164" customFormat="1" ht="12" customHeight="1">
      <c r="D12" s="165"/>
      <c r="E12" s="190"/>
      <c r="F12" s="158"/>
      <c r="G12" s="589" t="s">
        <v>445</v>
      </c>
      <c r="H12" s="588"/>
      <c r="I12" s="158"/>
      <c r="J12" s="158"/>
      <c r="K12" s="922" t="s">
        <v>2863</v>
      </c>
      <c r="L12" s="922"/>
      <c r="M12" s="922"/>
      <c r="N12" s="922"/>
      <c r="O12" s="922"/>
      <c r="P12" s="922"/>
      <c r="Q12" s="922"/>
      <c r="R12" s="922"/>
      <c r="S12" s="922"/>
      <c r="T12" s="922"/>
      <c r="U12" s="922"/>
      <c r="V12" s="922"/>
      <c r="W12" s="922"/>
      <c r="X12" s="922"/>
      <c r="Y12" s="158"/>
      <c r="Z12" s="191"/>
      <c r="AA12" s="191"/>
      <c r="AB12" s="158"/>
      <c r="AC12" s="158"/>
      <c r="AD12" s="158"/>
      <c r="AE12" s="158"/>
      <c r="AF12" s="158"/>
      <c r="AG12" s="158"/>
      <c r="AH12" s="158"/>
      <c r="AI12" s="158"/>
      <c r="AJ12" s="158"/>
      <c r="AK12" s="158"/>
      <c r="AL12" s="158"/>
      <c r="AM12" s="158"/>
      <c r="AN12" s="158"/>
      <c r="AO12" s="158"/>
      <c r="AP12" s="158"/>
      <c r="AQ12" s="158"/>
      <c r="AR12" s="158"/>
      <c r="AS12" s="158"/>
      <c r="AT12" s="158"/>
      <c r="AU12" s="158"/>
      <c r="AV12" s="427"/>
      <c r="AW12" s="158"/>
      <c r="AX12" s="158"/>
      <c r="AY12" s="158"/>
      <c r="AZ12" s="158"/>
      <c r="BA12" s="158"/>
      <c r="BB12" s="158"/>
      <c r="BC12" s="158"/>
      <c r="BD12" s="158"/>
      <c r="BE12" s="158"/>
      <c r="BF12" s="158"/>
      <c r="BG12" s="158"/>
      <c r="BH12" s="158"/>
      <c r="BI12" s="158"/>
      <c r="BJ12" s="158"/>
      <c r="BK12" s="427"/>
      <c r="BL12" s="158"/>
      <c r="BM12" s="158"/>
      <c r="BN12" s="158"/>
      <c r="BO12" s="158"/>
      <c r="BP12" s="158"/>
      <c r="BQ12" s="158"/>
      <c r="BR12" s="158"/>
      <c r="BS12" s="158"/>
      <c r="BT12" s="158"/>
      <c r="BU12" s="158"/>
      <c r="BV12" s="158"/>
      <c r="BW12" s="158"/>
      <c r="BX12" s="158"/>
      <c r="BY12" s="158"/>
      <c r="BZ12" s="427"/>
      <c r="CA12" s="158"/>
      <c r="CB12" s="158"/>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81"/>
      <c r="DG12" s="81"/>
      <c r="DH12" s="81"/>
      <c r="DI12" s="81"/>
      <c r="DJ12" s="81"/>
      <c r="DK12" s="81"/>
      <c r="DL12" s="81"/>
      <c r="DM12" s="81"/>
      <c r="DN12" s="81"/>
      <c r="DO12" s="81"/>
      <c r="DP12" s="81"/>
      <c r="DQ12" s="81"/>
      <c r="DR12" s="81"/>
      <c r="DS12" s="81"/>
      <c r="DT12" s="81"/>
    </row>
    <row r="13" spans="4:152" ht="24" customHeight="1">
      <c r="E13" s="192"/>
      <c r="F13" s="827" t="s">
        <v>641</v>
      </c>
      <c r="G13" s="827" t="s">
        <v>735</v>
      </c>
      <c r="H13" s="827" t="s">
        <v>894</v>
      </c>
      <c r="I13" s="827"/>
      <c r="J13" s="827" t="s">
        <v>626</v>
      </c>
      <c r="K13" s="802" t="s">
        <v>2584</v>
      </c>
      <c r="L13" s="802"/>
      <c r="M13" s="802"/>
      <c r="N13" s="803" t="s">
        <v>2569</v>
      </c>
      <c r="O13" s="803"/>
      <c r="P13" s="802" t="s">
        <v>2570</v>
      </c>
      <c r="Q13" s="802"/>
      <c r="R13" s="802" t="s">
        <v>2862</v>
      </c>
      <c r="S13" s="802"/>
      <c r="T13" s="802"/>
      <c r="U13" s="802"/>
      <c r="V13" s="802" t="s">
        <v>2571</v>
      </c>
      <c r="W13" s="802"/>
      <c r="X13" s="803" t="s">
        <v>2572</v>
      </c>
      <c r="Y13" s="828" t="str">
        <f>"Экономически обоснованный тариф, руб./" &amp; $G$12</f>
        <v>Экономически обоснованный тариф, руб./куб.м</v>
      </c>
      <c r="Z13" s="828"/>
      <c r="AA13" s="872" t="str">
        <f>"Средневзвешенный тариф с учётом надбавки, руб./" &amp; $G$12</f>
        <v>Средневзвешенный тариф с учётом надбавки, руб./куб.м</v>
      </c>
      <c r="AB13" s="873"/>
      <c r="AC13" s="872" t="str">
        <f>"Средневзвешенный тариф, руб./" &amp; $G$12</f>
        <v>Средневзвешенный тариф, руб./куб.м</v>
      </c>
      <c r="AD13" s="873"/>
      <c r="AE13" s="872"/>
      <c r="AF13" s="873"/>
      <c r="AG13" s="828" t="str">
        <f>"Объём реализации услуги потребителям, всего, " &amp; $G$12</f>
        <v>Объём реализации услуги потребителям, всего, куб.м</v>
      </c>
      <c r="AH13" s="872"/>
      <c r="AI13" s="873"/>
      <c r="AJ13" s="872" t="str">
        <f>"Надбавка к тарифу, руб./" &amp; $G$12</f>
        <v>Надбавка к тарифу, руб./куб.м</v>
      </c>
      <c r="AK13" s="873"/>
      <c r="AL13" s="828" t="str">
        <f>"Объём, на который расчитана надбавка, " &amp; $G$12</f>
        <v>Объём, на который расчитана надбавка, куб.м</v>
      </c>
      <c r="AM13" s="828" t="s">
        <v>2459</v>
      </c>
      <c r="AN13" s="828"/>
      <c r="AO13" s="828"/>
      <c r="AP13" s="828"/>
      <c r="AQ13" s="828"/>
      <c r="AR13" s="828" t="s">
        <v>747</v>
      </c>
      <c r="AS13" s="828"/>
      <c r="AT13" s="828"/>
      <c r="AU13" s="828"/>
      <c r="AV13" s="831"/>
      <c r="AW13" s="828"/>
      <c r="AX13" s="828"/>
      <c r="AY13" s="828"/>
      <c r="AZ13" s="828"/>
      <c r="BA13" s="828"/>
      <c r="BB13" s="828"/>
      <c r="BC13" s="828"/>
      <c r="BD13" s="828"/>
      <c r="BE13" s="828"/>
      <c r="BF13" s="828"/>
      <c r="BG13" s="828" t="s">
        <v>748</v>
      </c>
      <c r="BH13" s="828"/>
      <c r="BI13" s="828"/>
      <c r="BJ13" s="828"/>
      <c r="BK13" s="831"/>
      <c r="BL13" s="828"/>
      <c r="BM13" s="828"/>
      <c r="BN13" s="828"/>
      <c r="BO13" s="828"/>
      <c r="BP13" s="828"/>
      <c r="BQ13" s="828"/>
      <c r="BR13" s="828"/>
      <c r="BS13" s="828"/>
      <c r="BT13" s="828"/>
      <c r="BU13" s="828"/>
      <c r="BV13" s="828" t="s">
        <v>758</v>
      </c>
      <c r="BW13" s="828"/>
      <c r="BX13" s="828"/>
      <c r="BY13" s="828"/>
      <c r="BZ13" s="831"/>
      <c r="CA13" s="828"/>
      <c r="CB13" s="828"/>
      <c r="CC13" s="828"/>
      <c r="CD13" s="828"/>
      <c r="CE13" s="828"/>
      <c r="CF13" s="828"/>
      <c r="CG13" s="828"/>
      <c r="CH13" s="828"/>
      <c r="CI13" s="828"/>
      <c r="CJ13" s="828"/>
      <c r="CK13" s="828" t="s">
        <v>896</v>
      </c>
      <c r="CL13" s="828" t="s">
        <v>897</v>
      </c>
      <c r="CM13" s="828" t="s">
        <v>898</v>
      </c>
      <c r="CN13" s="828"/>
      <c r="CO13" s="828"/>
      <c r="CP13" s="828"/>
      <c r="CQ13" s="828"/>
      <c r="CR13" s="828" t="s">
        <v>899</v>
      </c>
      <c r="CS13" s="185"/>
      <c r="CT13" s="185"/>
      <c r="CU13" s="185"/>
      <c r="CV13" s="185"/>
      <c r="CW13" s="185"/>
      <c r="CX13" s="185"/>
      <c r="CY13" s="185"/>
      <c r="CZ13" s="185"/>
      <c r="DA13" s="185"/>
      <c r="DB13" s="185"/>
      <c r="DC13" s="185"/>
      <c r="DD13" s="185"/>
      <c r="DE13" s="185"/>
    </row>
    <row r="14" spans="4:152" ht="18.75" customHeight="1">
      <c r="E14" s="192"/>
      <c r="F14" s="869"/>
      <c r="G14" s="869"/>
      <c r="H14" s="827"/>
      <c r="I14" s="827"/>
      <c r="J14" s="827"/>
      <c r="K14" s="803" t="s">
        <v>2581</v>
      </c>
      <c r="L14" s="803" t="s">
        <v>2582</v>
      </c>
      <c r="M14" s="803" t="s">
        <v>2583</v>
      </c>
      <c r="N14" s="860"/>
      <c r="O14" s="860"/>
      <c r="P14" s="803" t="s">
        <v>2573</v>
      </c>
      <c r="Q14" s="803" t="s">
        <v>2574</v>
      </c>
      <c r="R14" s="803" t="s">
        <v>2573</v>
      </c>
      <c r="S14" s="803" t="s">
        <v>2574</v>
      </c>
      <c r="T14" s="803"/>
      <c r="U14" s="803"/>
      <c r="V14" s="803" t="s">
        <v>2575</v>
      </c>
      <c r="W14" s="803" t="s">
        <v>2576</v>
      </c>
      <c r="X14" s="860"/>
      <c r="Y14" s="828"/>
      <c r="Z14" s="828"/>
      <c r="AA14" s="874"/>
      <c r="AB14" s="875"/>
      <c r="AC14" s="874"/>
      <c r="AD14" s="875"/>
      <c r="AE14" s="874"/>
      <c r="AF14" s="875"/>
      <c r="AG14" s="828"/>
      <c r="AH14" s="874"/>
      <c r="AI14" s="875"/>
      <c r="AJ14" s="874"/>
      <c r="AK14" s="875"/>
      <c r="AL14" s="828"/>
      <c r="AM14" s="828" t="str">
        <f>"Тариф, руб./" &amp; $G$12</f>
        <v>Тариф, руб./куб.м</v>
      </c>
      <c r="AN14" s="828"/>
      <c r="AO14" s="828" t="str">
        <f>"Льготный тариф, руб./" &amp; $G$12</f>
        <v>Льготный тариф, руб./куб.м</v>
      </c>
      <c r="AP14" s="828"/>
      <c r="AQ14" s="828" t="str">
        <f>"Объём реализации услуги, " &amp; $G$12</f>
        <v>Объём реализации услуги, куб.м</v>
      </c>
      <c r="AR14" s="872" t="str">
        <f>"Одноставочный тариф, руб./" &amp; $G$12</f>
        <v>Одноставочный тариф, руб./куб.м</v>
      </c>
      <c r="AS14" s="873"/>
      <c r="AT14" s="828" t="str">
        <f>"Льготный тариф, руб./" &amp; $G$12</f>
        <v>Льготный тариф, руб./куб.м</v>
      </c>
      <c r="AU14" s="828"/>
      <c r="AV14" s="828" t="str">
        <f>"Объём реализации услуги, " &amp; $G$12</f>
        <v>Объём реализации услуги, куб.м</v>
      </c>
      <c r="AW14" s="828" t="s">
        <v>903</v>
      </c>
      <c r="AX14" s="828"/>
      <c r="AY14" s="828"/>
      <c r="AZ14" s="828"/>
      <c r="BA14" s="828"/>
      <c r="BB14" s="828"/>
      <c r="BC14" s="828"/>
      <c r="BD14" s="828"/>
      <c r="BE14" s="828" t="s">
        <v>906</v>
      </c>
      <c r="BF14" s="828" t="str">
        <f>"Удельная величина дотаций, руб./" &amp; $G$12</f>
        <v>Удельная величина дотаций, руб./куб.м</v>
      </c>
      <c r="BG14" s="872" t="str">
        <f>"Одноставочный тариф, руб./" &amp; $G$12</f>
        <v>Одноставочный тариф, руб./куб.м</v>
      </c>
      <c r="BH14" s="873"/>
      <c r="BI14" s="828" t="str">
        <f>"Льготный тариф, руб./" &amp; $G$12</f>
        <v>Льготный тариф, руб./куб.м</v>
      </c>
      <c r="BJ14" s="828"/>
      <c r="BK14" s="828" t="str">
        <f>"Объём реализации услуги, " &amp; $G$12</f>
        <v>Объём реализации услуги, куб.м</v>
      </c>
      <c r="BL14" s="828" t="s">
        <v>903</v>
      </c>
      <c r="BM14" s="828"/>
      <c r="BN14" s="828"/>
      <c r="BO14" s="828"/>
      <c r="BP14" s="828"/>
      <c r="BQ14" s="828"/>
      <c r="BR14" s="828"/>
      <c r="BS14" s="828"/>
      <c r="BT14" s="828" t="s">
        <v>906</v>
      </c>
      <c r="BU14" s="828" t="str">
        <f>"Удельная величина дотаций, руб./" &amp; $G$12</f>
        <v>Удельная величина дотаций, руб./куб.м</v>
      </c>
      <c r="BV14" s="872" t="str">
        <f>"Одноставочный тариф, руб./" &amp; $G$12</f>
        <v>Одноставочный тариф, руб./куб.м</v>
      </c>
      <c r="BW14" s="873"/>
      <c r="BX14" s="828" t="str">
        <f>"Льготный тариф, руб./" &amp; $G$12</f>
        <v>Льготный тариф, руб./куб.м</v>
      </c>
      <c r="BY14" s="828"/>
      <c r="BZ14" s="828" t="str">
        <f>"Объём реализации услуги, " &amp; $G$12</f>
        <v>Объём реализации услуги, куб.м</v>
      </c>
      <c r="CA14" s="828" t="s">
        <v>903</v>
      </c>
      <c r="CB14" s="828"/>
      <c r="CC14" s="828"/>
      <c r="CD14" s="828"/>
      <c r="CE14" s="828"/>
      <c r="CF14" s="828"/>
      <c r="CG14" s="828"/>
      <c r="CH14" s="828"/>
      <c r="CI14" s="828" t="s">
        <v>906</v>
      </c>
      <c r="CJ14" s="828" t="str">
        <f>"Удельная величина дотаций, руб./" &amp; $G$12</f>
        <v>Удельная величина дотаций, руб./куб.м</v>
      </c>
      <c r="CK14" s="828"/>
      <c r="CL14" s="828"/>
      <c r="CM14" s="828" t="s">
        <v>907</v>
      </c>
      <c r="CN14" s="828" t="s">
        <v>908</v>
      </c>
      <c r="CO14" s="828" t="s">
        <v>909</v>
      </c>
      <c r="CP14" s="828" t="s">
        <v>910</v>
      </c>
      <c r="CQ14" s="828" t="s">
        <v>911</v>
      </c>
      <c r="CR14" s="828"/>
      <c r="CS14" s="185"/>
      <c r="CT14" s="185"/>
      <c r="CU14" s="185"/>
      <c r="CV14" s="185"/>
      <c r="CW14" s="185"/>
      <c r="CX14" s="185"/>
      <c r="CY14" s="185"/>
      <c r="CZ14" s="185"/>
      <c r="DA14" s="185"/>
      <c r="DB14" s="185"/>
      <c r="DC14" s="185"/>
      <c r="DD14" s="185"/>
      <c r="DE14" s="185"/>
    </row>
    <row r="15" spans="4:152" ht="30" customHeight="1">
      <c r="E15" s="192"/>
      <c r="F15" s="869"/>
      <c r="G15" s="869"/>
      <c r="H15" s="827"/>
      <c r="I15" s="827"/>
      <c r="J15" s="827"/>
      <c r="K15" s="860"/>
      <c r="L15" s="860"/>
      <c r="M15" s="860"/>
      <c r="N15" s="860"/>
      <c r="O15" s="860"/>
      <c r="P15" s="860"/>
      <c r="Q15" s="860"/>
      <c r="R15" s="860"/>
      <c r="S15" s="860"/>
      <c r="T15" s="860"/>
      <c r="U15" s="860"/>
      <c r="V15" s="860"/>
      <c r="W15" s="860"/>
      <c r="X15" s="860"/>
      <c r="Y15" s="828"/>
      <c r="Z15" s="828"/>
      <c r="AA15" s="876"/>
      <c r="AB15" s="877"/>
      <c r="AC15" s="876"/>
      <c r="AD15" s="877"/>
      <c r="AE15" s="876"/>
      <c r="AF15" s="877"/>
      <c r="AG15" s="828"/>
      <c r="AH15" s="876"/>
      <c r="AI15" s="877"/>
      <c r="AJ15" s="876"/>
      <c r="AK15" s="877"/>
      <c r="AL15" s="828"/>
      <c r="AM15" s="828"/>
      <c r="AN15" s="828"/>
      <c r="AO15" s="828"/>
      <c r="AP15" s="828"/>
      <c r="AQ15" s="828"/>
      <c r="AR15" s="876"/>
      <c r="AS15" s="877"/>
      <c r="AT15" s="828"/>
      <c r="AU15" s="828"/>
      <c r="AV15" s="828"/>
      <c r="AW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AX15" s="828"/>
      <c r="AY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AZ15" s="828"/>
      <c r="BA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B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C15" s="828"/>
      <c r="BD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E15" s="828"/>
      <c r="BF15" s="828"/>
      <c r="BG15" s="876"/>
      <c r="BH15" s="877"/>
      <c r="BI15" s="828"/>
      <c r="BJ15" s="828"/>
      <c r="BK15" s="828"/>
      <c r="BL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BM15" s="828"/>
      <c r="BN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BO15" s="828"/>
      <c r="BP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Q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R15" s="828"/>
      <c r="BS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T15" s="828"/>
      <c r="BU15" s="828"/>
      <c r="BV15" s="876"/>
      <c r="BW15" s="877"/>
      <c r="BX15" s="828"/>
      <c r="BY15" s="828"/>
      <c r="BZ15" s="828"/>
      <c r="CA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CB15" s="828"/>
      <c r="CC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CD15" s="828"/>
      <c r="CE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CF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CG15" s="828"/>
      <c r="CH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CI15" s="828"/>
      <c r="CJ15" s="828"/>
      <c r="CK15" s="828"/>
      <c r="CL15" s="828"/>
      <c r="CM15" s="828"/>
      <c r="CN15" s="828"/>
      <c r="CO15" s="828"/>
      <c r="CP15" s="828"/>
      <c r="CQ15" s="828"/>
      <c r="CR15" s="828"/>
      <c r="CS15" s="185"/>
      <c r="CT15" s="185"/>
      <c r="CU15" s="185"/>
      <c r="CV15" s="185"/>
      <c r="CW15" s="185"/>
      <c r="CX15" s="185"/>
      <c r="CY15" s="185"/>
      <c r="CZ15" s="185"/>
      <c r="DA15" s="185"/>
      <c r="DB15" s="185"/>
      <c r="DC15" s="185"/>
      <c r="DD15" s="185"/>
      <c r="DE15" s="185"/>
      <c r="DP15" s="78"/>
      <c r="DQ15" s="78"/>
      <c r="DR15" s="78"/>
      <c r="DS15" s="78"/>
      <c r="DT15" s="78"/>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row>
    <row r="16" spans="4:152" ht="12" customHeight="1">
      <c r="E16" s="192"/>
      <c r="F16" s="869"/>
      <c r="G16" s="869"/>
      <c r="H16" s="827"/>
      <c r="I16" s="827"/>
      <c r="J16" s="827"/>
      <c r="K16" s="826"/>
      <c r="L16" s="826"/>
      <c r="M16" s="826"/>
      <c r="N16" s="826"/>
      <c r="O16" s="826"/>
      <c r="P16" s="826"/>
      <c r="Q16" s="826"/>
      <c r="R16" s="826"/>
      <c r="S16" s="826"/>
      <c r="T16" s="826"/>
      <c r="U16" s="826"/>
      <c r="V16" s="826"/>
      <c r="W16" s="826"/>
      <c r="X16" s="826"/>
      <c r="Y16" s="193" t="s">
        <v>627</v>
      </c>
      <c r="Z16" s="193" t="s">
        <v>628</v>
      </c>
      <c r="AA16" s="193" t="s">
        <v>627</v>
      </c>
      <c r="AB16" s="193" t="s">
        <v>628</v>
      </c>
      <c r="AC16" s="193" t="s">
        <v>627</v>
      </c>
      <c r="AD16" s="193" t="s">
        <v>628</v>
      </c>
      <c r="AE16" s="193"/>
      <c r="AF16" s="193"/>
      <c r="AG16" s="828"/>
      <c r="AH16" s="193"/>
      <c r="AI16" s="193"/>
      <c r="AJ16" s="193" t="s">
        <v>627</v>
      </c>
      <c r="AK16" s="193" t="s">
        <v>628</v>
      </c>
      <c r="AL16" s="828"/>
      <c r="AM16" s="193" t="s">
        <v>627</v>
      </c>
      <c r="AN16" s="193" t="s">
        <v>628</v>
      </c>
      <c r="AO16" s="193" t="s">
        <v>627</v>
      </c>
      <c r="AP16" s="193" t="s">
        <v>628</v>
      </c>
      <c r="AQ16" s="828"/>
      <c r="AR16" s="193" t="s">
        <v>627</v>
      </c>
      <c r="AS16" s="193" t="s">
        <v>628</v>
      </c>
      <c r="AT16" s="193" t="s">
        <v>627</v>
      </c>
      <c r="AU16" s="193" t="s">
        <v>628</v>
      </c>
      <c r="AV16" s="828"/>
      <c r="AW16" s="193" t="s">
        <v>627</v>
      </c>
      <c r="AX16" s="193" t="s">
        <v>628</v>
      </c>
      <c r="AY16" s="193" t="s">
        <v>627</v>
      </c>
      <c r="AZ16" s="193" t="s">
        <v>628</v>
      </c>
      <c r="BA16" s="828"/>
      <c r="BB16" s="193" t="s">
        <v>627</v>
      </c>
      <c r="BC16" s="193" t="s">
        <v>628</v>
      </c>
      <c r="BD16" s="828"/>
      <c r="BE16" s="828"/>
      <c r="BF16" s="828"/>
      <c r="BG16" s="193" t="s">
        <v>627</v>
      </c>
      <c r="BH16" s="193" t="s">
        <v>628</v>
      </c>
      <c r="BI16" s="193" t="s">
        <v>627</v>
      </c>
      <c r="BJ16" s="193" t="s">
        <v>628</v>
      </c>
      <c r="BK16" s="828"/>
      <c r="BL16" s="193" t="s">
        <v>627</v>
      </c>
      <c r="BM16" s="193" t="s">
        <v>628</v>
      </c>
      <c r="BN16" s="193" t="s">
        <v>627</v>
      </c>
      <c r="BO16" s="193" t="s">
        <v>628</v>
      </c>
      <c r="BP16" s="828"/>
      <c r="BQ16" s="193" t="s">
        <v>627</v>
      </c>
      <c r="BR16" s="193" t="s">
        <v>628</v>
      </c>
      <c r="BS16" s="828"/>
      <c r="BT16" s="828"/>
      <c r="BU16" s="828"/>
      <c r="BV16" s="193" t="s">
        <v>627</v>
      </c>
      <c r="BW16" s="193" t="s">
        <v>628</v>
      </c>
      <c r="BX16" s="193" t="s">
        <v>627</v>
      </c>
      <c r="BY16" s="193" t="s">
        <v>628</v>
      </c>
      <c r="BZ16" s="828"/>
      <c r="CA16" s="193" t="s">
        <v>627</v>
      </c>
      <c r="CB16" s="193" t="s">
        <v>628</v>
      </c>
      <c r="CC16" s="193" t="s">
        <v>627</v>
      </c>
      <c r="CD16" s="193" t="s">
        <v>628</v>
      </c>
      <c r="CE16" s="828"/>
      <c r="CF16" s="193" t="s">
        <v>627</v>
      </c>
      <c r="CG16" s="193" t="s">
        <v>628</v>
      </c>
      <c r="CH16" s="828"/>
      <c r="CI16" s="828"/>
      <c r="CJ16" s="828"/>
      <c r="CK16" s="828"/>
      <c r="CL16" s="828"/>
      <c r="CM16" s="828"/>
      <c r="CN16" s="828"/>
      <c r="CO16" s="828"/>
      <c r="CP16" s="828"/>
      <c r="CQ16" s="828"/>
      <c r="CR16" s="828"/>
      <c r="CS16" s="185"/>
      <c r="CT16" s="185"/>
      <c r="CU16" s="185"/>
      <c r="CV16" s="185"/>
      <c r="CW16" s="185"/>
      <c r="CX16" s="185"/>
      <c r="CY16" s="185"/>
      <c r="CZ16" s="185"/>
      <c r="DA16" s="185"/>
      <c r="DB16" s="185"/>
      <c r="DC16" s="185"/>
      <c r="DD16" s="185"/>
      <c r="DE16" s="185"/>
      <c r="DF16" s="829" t="s">
        <v>295</v>
      </c>
      <c r="DG16" s="829"/>
      <c r="DH16" s="829"/>
      <c r="DI16" s="829"/>
      <c r="DJ16" s="829"/>
      <c r="DK16" s="829"/>
      <c r="DL16" s="829"/>
      <c r="DM16" s="829"/>
      <c r="DN16" s="829"/>
      <c r="DO16" s="829"/>
      <c r="DP16" s="829" t="s">
        <v>296</v>
      </c>
      <c r="DQ16" s="829"/>
      <c r="DR16" s="829"/>
      <c r="DS16" s="829"/>
      <c r="DT16" s="829"/>
      <c r="DU16" s="829"/>
      <c r="DV16" s="829"/>
      <c r="DW16" s="829"/>
      <c r="DX16" s="829"/>
      <c r="DY16" s="829"/>
      <c r="DZ16" s="829"/>
      <c r="EA16" s="829"/>
      <c r="EB16" s="829"/>
      <c r="EC16" s="829"/>
      <c r="ED16" s="829"/>
      <c r="EE16" s="829"/>
      <c r="EF16" s="829"/>
      <c r="EG16" s="829"/>
      <c r="EH16" s="829" t="s">
        <v>293</v>
      </c>
      <c r="EI16" s="829"/>
      <c r="EJ16" s="829" t="s">
        <v>294</v>
      </c>
      <c r="EK16" s="829"/>
      <c r="EL16" s="829"/>
      <c r="EM16" s="829"/>
      <c r="EN16" s="829"/>
      <c r="EO16" s="829"/>
      <c r="EP16" s="829"/>
      <c r="EQ16" s="829"/>
      <c r="ER16" s="829" t="s">
        <v>444</v>
      </c>
      <c r="ES16" s="829"/>
      <c r="ET16" s="829" t="s">
        <v>1783</v>
      </c>
      <c r="EU16" s="829"/>
      <c r="EV16" s="829"/>
    </row>
    <row r="17" spans="1:152" ht="12" customHeight="1">
      <c r="E17" s="192"/>
      <c r="F17" s="182"/>
      <c r="G17" s="182" t="s">
        <v>759</v>
      </c>
      <c r="H17" s="183" t="s">
        <v>629</v>
      </c>
      <c r="I17" s="183" t="s">
        <v>630</v>
      </c>
      <c r="J17" s="183" t="s">
        <v>631</v>
      </c>
      <c r="K17" s="183" t="s">
        <v>2851</v>
      </c>
      <c r="L17" s="183" t="s">
        <v>2852</v>
      </c>
      <c r="M17" s="183" t="s">
        <v>2853</v>
      </c>
      <c r="N17" s="183" t="s">
        <v>2854</v>
      </c>
      <c r="O17" s="183"/>
      <c r="P17" s="183" t="s">
        <v>2855</v>
      </c>
      <c r="Q17" s="183" t="s">
        <v>2856</v>
      </c>
      <c r="R17" s="183" t="s">
        <v>2857</v>
      </c>
      <c r="S17" s="183" t="s">
        <v>2858</v>
      </c>
      <c r="T17" s="183"/>
      <c r="U17" s="183"/>
      <c r="V17" s="183" t="s">
        <v>2859</v>
      </c>
      <c r="W17" s="183" t="s">
        <v>2860</v>
      </c>
      <c r="X17" s="183" t="s">
        <v>2861</v>
      </c>
      <c r="Y17" s="472" t="s">
        <v>790</v>
      </c>
      <c r="Z17" s="472" t="s">
        <v>792</v>
      </c>
      <c r="AA17" s="472" t="s">
        <v>632</v>
      </c>
      <c r="AB17" s="472" t="s">
        <v>633</v>
      </c>
      <c r="AC17" s="472" t="s">
        <v>635</v>
      </c>
      <c r="AD17" s="472" t="s">
        <v>883</v>
      </c>
      <c r="AE17" s="472"/>
      <c r="AF17" s="472"/>
      <c r="AG17" s="183" t="s">
        <v>761</v>
      </c>
      <c r="AH17" s="472"/>
      <c r="AI17" s="472"/>
      <c r="AJ17" s="472" t="s">
        <v>891</v>
      </c>
      <c r="AK17" s="472" t="s">
        <v>892</v>
      </c>
      <c r="AL17" s="472" t="s">
        <v>443</v>
      </c>
      <c r="AM17" s="183" t="s">
        <v>767</v>
      </c>
      <c r="AN17" s="183" t="s">
        <v>918</v>
      </c>
      <c r="AO17" s="183" t="s">
        <v>919</v>
      </c>
      <c r="AP17" s="183" t="s">
        <v>1799</v>
      </c>
      <c r="AQ17" s="183" t="s">
        <v>768</v>
      </c>
      <c r="AR17" s="183" t="s">
        <v>2993</v>
      </c>
      <c r="AS17" s="183" t="s">
        <v>3003</v>
      </c>
      <c r="AT17" s="183" t="s">
        <v>1800</v>
      </c>
      <c r="AU17" s="183" t="s">
        <v>1801</v>
      </c>
      <c r="AV17" s="183" t="s">
        <v>771</v>
      </c>
      <c r="AW17" s="183" t="s">
        <v>1802</v>
      </c>
      <c r="AX17" s="183" t="s">
        <v>1803</v>
      </c>
      <c r="AY17" s="183" t="s">
        <v>1804</v>
      </c>
      <c r="AZ17" s="183" t="s">
        <v>1805</v>
      </c>
      <c r="BA17" s="183" t="s">
        <v>1806</v>
      </c>
      <c r="BB17" s="183" t="s">
        <v>1807</v>
      </c>
      <c r="BC17" s="183" t="s">
        <v>1808</v>
      </c>
      <c r="BD17" s="183" t="s">
        <v>1809</v>
      </c>
      <c r="BE17" s="183" t="s">
        <v>1810</v>
      </c>
      <c r="BF17" s="183" t="s">
        <v>1811</v>
      </c>
      <c r="BG17" s="183" t="s">
        <v>1833</v>
      </c>
      <c r="BH17" s="183" t="s">
        <v>1835</v>
      </c>
      <c r="BI17" s="183" t="s">
        <v>1812</v>
      </c>
      <c r="BJ17" s="183" t="s">
        <v>1813</v>
      </c>
      <c r="BK17" s="183" t="s">
        <v>62</v>
      </c>
      <c r="BL17" s="183" t="s">
        <v>71</v>
      </c>
      <c r="BM17" s="183" t="s">
        <v>1845</v>
      </c>
      <c r="BN17" s="183" t="s">
        <v>1814</v>
      </c>
      <c r="BO17" s="183" t="s">
        <v>1815</v>
      </c>
      <c r="BP17" s="183" t="s">
        <v>1816</v>
      </c>
      <c r="BQ17" s="183" t="s">
        <v>1817</v>
      </c>
      <c r="BR17" s="183" t="s">
        <v>1818</v>
      </c>
      <c r="BS17" s="183" t="s">
        <v>1819</v>
      </c>
      <c r="BT17" s="183" t="s">
        <v>1848</v>
      </c>
      <c r="BU17" s="183" t="s">
        <v>1855</v>
      </c>
      <c r="BV17" s="183" t="s">
        <v>1820</v>
      </c>
      <c r="BW17" s="183" t="s">
        <v>1821</v>
      </c>
      <c r="BX17" s="183" t="s">
        <v>1822</v>
      </c>
      <c r="BY17" s="183" t="s">
        <v>1823</v>
      </c>
      <c r="BZ17" s="183" t="s">
        <v>2416</v>
      </c>
      <c r="CA17" s="183" t="s">
        <v>1824</v>
      </c>
      <c r="CB17" s="183" t="s">
        <v>1825</v>
      </c>
      <c r="CC17" s="183" t="s">
        <v>1826</v>
      </c>
      <c r="CD17" s="183" t="s">
        <v>1827</v>
      </c>
      <c r="CE17" s="183" t="s">
        <v>1828</v>
      </c>
      <c r="CF17" s="183" t="s">
        <v>1829</v>
      </c>
      <c r="CG17" s="183" t="s">
        <v>1830</v>
      </c>
      <c r="CH17" s="183" t="s">
        <v>1831</v>
      </c>
      <c r="CI17" s="183" t="s">
        <v>2422</v>
      </c>
      <c r="CJ17" s="183" t="s">
        <v>2425</v>
      </c>
      <c r="CK17" s="183" t="s">
        <v>2427</v>
      </c>
      <c r="CL17" s="183" t="s">
        <v>2431</v>
      </c>
      <c r="CM17" s="183" t="s">
        <v>845</v>
      </c>
      <c r="CN17" s="183" t="s">
        <v>1847</v>
      </c>
      <c r="CO17" s="183" t="s">
        <v>1854</v>
      </c>
      <c r="CP17" s="183" t="s">
        <v>2421</v>
      </c>
      <c r="CQ17" s="183" t="s">
        <v>2424</v>
      </c>
      <c r="CR17" s="183" t="s">
        <v>3005</v>
      </c>
      <c r="CS17" s="185"/>
      <c r="CT17" s="185"/>
      <c r="CU17" s="185"/>
      <c r="CV17" s="185"/>
      <c r="CW17" s="185"/>
      <c r="CX17" s="185"/>
      <c r="CY17" s="185"/>
      <c r="CZ17" s="185"/>
      <c r="DA17" s="185"/>
      <c r="DB17" s="185"/>
      <c r="DC17" s="185"/>
      <c r="DD17" s="185"/>
      <c r="DE17" s="185"/>
      <c r="DF17" s="472"/>
      <c r="DG17" s="472"/>
      <c r="DH17" s="472"/>
      <c r="DI17" s="472"/>
      <c r="DJ17" s="472"/>
      <c r="DK17" s="472"/>
      <c r="DL17" s="472"/>
      <c r="DM17" s="472"/>
      <c r="DN17" s="472"/>
      <c r="DO17" s="472"/>
      <c r="DP17" s="472" t="s">
        <v>1802</v>
      </c>
      <c r="DQ17" s="472" t="s">
        <v>1803</v>
      </c>
      <c r="DR17" s="472" t="s">
        <v>1804</v>
      </c>
      <c r="DS17" s="472" t="s">
        <v>1805</v>
      </c>
      <c r="DT17" s="472" t="s">
        <v>1807</v>
      </c>
      <c r="DU17" s="472" t="s">
        <v>1808</v>
      </c>
      <c r="DV17" s="472" t="s">
        <v>71</v>
      </c>
      <c r="DW17" s="472" t="s">
        <v>1845</v>
      </c>
      <c r="DX17" s="472" t="s">
        <v>1814</v>
      </c>
      <c r="DY17" s="472" t="s">
        <v>1815</v>
      </c>
      <c r="DZ17" s="472" t="s">
        <v>1817</v>
      </c>
      <c r="EA17" s="472" t="s">
        <v>1818</v>
      </c>
      <c r="EB17" s="472" t="s">
        <v>1824</v>
      </c>
      <c r="EC17" s="472" t="s">
        <v>1825</v>
      </c>
      <c r="ED17" s="472" t="s">
        <v>1826</v>
      </c>
      <c r="EE17" s="472" t="s">
        <v>1827</v>
      </c>
      <c r="EF17" s="472" t="s">
        <v>1829</v>
      </c>
      <c r="EG17" s="472" t="s">
        <v>1830</v>
      </c>
      <c r="EH17" s="183"/>
      <c r="EI17" s="183"/>
      <c r="EJ17" s="472"/>
      <c r="EK17" s="472"/>
      <c r="EL17" s="472"/>
      <c r="EM17" s="472"/>
      <c r="EN17" s="472"/>
      <c r="EO17" s="472"/>
      <c r="EP17" s="472"/>
      <c r="EQ17" s="472"/>
      <c r="ER17" s="183"/>
      <c r="ES17" s="183"/>
      <c r="ET17" s="183"/>
      <c r="EU17" s="183"/>
      <c r="EV17" s="183"/>
    </row>
    <row r="18" spans="1:152" ht="0.75" customHeight="1">
      <c r="A18" s="181"/>
      <c r="B18" s="181"/>
      <c r="C18" s="181"/>
      <c r="E18" s="192"/>
      <c r="F18" s="953" t="s">
        <v>3141</v>
      </c>
      <c r="G18" s="956" t="s">
        <v>778</v>
      </c>
      <c r="H18" s="107" t="str">
        <f>IF(TEMPLATE_SPHERE="водоснабжения","",IF(TEMPLATE_SPHERE="водоотведения","Всего",""))</f>
        <v>Всего</v>
      </c>
      <c r="I18" s="177"/>
      <c r="J18" s="177"/>
      <c r="K18" s="177"/>
      <c r="L18" s="177"/>
      <c r="M18" s="177"/>
      <c r="N18" s="177"/>
      <c r="O18" s="177"/>
      <c r="P18" s="177"/>
      <c r="Q18" s="177"/>
      <c r="R18" s="177"/>
      <c r="S18" s="177"/>
      <c r="T18" s="177"/>
      <c r="U18" s="177"/>
      <c r="V18" s="177"/>
      <c r="W18" s="177"/>
      <c r="X18" s="177"/>
      <c r="Y18" s="398"/>
      <c r="Z18" s="398"/>
      <c r="AA18" s="398"/>
      <c r="AB18" s="398"/>
      <c r="AC18" s="271"/>
      <c r="AD18" s="271"/>
      <c r="AE18" s="398"/>
      <c r="AF18" s="398"/>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117"/>
      <c r="BG18" s="271"/>
      <c r="BH18" s="271"/>
      <c r="BI18" s="271"/>
      <c r="BJ18" s="271"/>
      <c r="BK18" s="271"/>
      <c r="BL18" s="271"/>
      <c r="BM18" s="271"/>
      <c r="BN18" s="271"/>
      <c r="BO18" s="271"/>
      <c r="BP18" s="271"/>
      <c r="BQ18" s="271"/>
      <c r="BR18" s="271"/>
      <c r="BS18" s="271"/>
      <c r="BT18" s="271"/>
      <c r="BU18" s="117"/>
      <c r="BV18" s="271"/>
      <c r="BW18" s="271"/>
      <c r="BX18" s="271"/>
      <c r="BY18" s="271"/>
      <c r="BZ18" s="271"/>
      <c r="CA18" s="271"/>
      <c r="CB18" s="271"/>
      <c r="CC18" s="271"/>
      <c r="CD18" s="271"/>
      <c r="CE18" s="271"/>
      <c r="CF18" s="271"/>
      <c r="CG18" s="271"/>
      <c r="CH18" s="271"/>
      <c r="CI18" s="271"/>
      <c r="CJ18" s="117"/>
      <c r="CK18" s="271"/>
      <c r="CL18" s="117"/>
      <c r="CM18" s="271"/>
      <c r="CN18" s="271"/>
      <c r="CO18" s="271"/>
      <c r="CP18" s="271"/>
      <c r="CQ18" s="271"/>
      <c r="CR18" s="194"/>
      <c r="CS18" s="185"/>
      <c r="CT18" s="185"/>
      <c r="CU18" s="185"/>
      <c r="CV18" s="185"/>
      <c r="CW18" s="185"/>
      <c r="CX18" s="185"/>
      <c r="CY18" s="185"/>
      <c r="CZ18" s="185"/>
      <c r="DA18" s="185"/>
      <c r="DB18" s="185"/>
      <c r="DC18" s="185"/>
      <c r="DD18" s="185"/>
      <c r="DE18" s="185"/>
      <c r="DP18" s="480"/>
      <c r="DQ18" s="480"/>
      <c r="DR18" s="480"/>
      <c r="DS18" s="480"/>
      <c r="DT18" s="480"/>
      <c r="DU18" s="480"/>
      <c r="DV18" s="480"/>
      <c r="DW18" s="480"/>
      <c r="DX18" s="480"/>
      <c r="DY18" s="480"/>
      <c r="DZ18" s="480"/>
      <c r="EA18" s="480"/>
      <c r="EB18" s="480"/>
      <c r="EC18" s="480"/>
      <c r="ED18" s="480"/>
      <c r="EE18" s="480"/>
      <c r="EF18" s="480"/>
      <c r="EG18" s="480"/>
      <c r="EH18" s="162"/>
      <c r="EI18" s="162"/>
      <c r="EJ18" s="162"/>
      <c r="EK18" s="162"/>
      <c r="EL18" s="162"/>
      <c r="EM18" s="162"/>
      <c r="EN18" s="162"/>
      <c r="EO18" s="162"/>
      <c r="EP18" s="162"/>
      <c r="EQ18" s="162"/>
      <c r="ER18" s="162"/>
      <c r="ES18" s="162"/>
    </row>
    <row r="19" spans="1:152" ht="24" customHeight="1">
      <c r="A19" s="181"/>
      <c r="B19" s="181"/>
      <c r="C19" s="181"/>
      <c r="E19" s="192"/>
      <c r="F19" s="954"/>
      <c r="G19" s="957"/>
      <c r="H19" s="107" t="str">
        <f>IF(TEMPLATE_SPHERE="водоснабжения","Вода питьевого качества","")</f>
        <v/>
      </c>
      <c r="I19" s="177"/>
      <c r="J19" s="177"/>
      <c r="K19" s="177"/>
      <c r="L19" s="177"/>
      <c r="M19" s="177"/>
      <c r="N19" s="177"/>
      <c r="O19" s="177"/>
      <c r="P19" s="177"/>
      <c r="Q19" s="177"/>
      <c r="R19" s="177"/>
      <c r="S19" s="177"/>
      <c r="T19" s="177"/>
      <c r="U19" s="177"/>
      <c r="V19" s="177"/>
      <c r="W19" s="177"/>
      <c r="X19" s="177"/>
      <c r="Y19" s="398">
        <f>IF((AG19+AQ19)&gt;0,SUMIF($H$21:$H$22,$H19,EH$21:EH$22)/(AG19+AQ19),0)</f>
        <v>0</v>
      </c>
      <c r="Z19" s="398">
        <f>IF((AG19+AQ19)&gt;0,SUMIF($H$21:$H$22,$H19,EI$21:EI$22)/(AG19+AQ19),0)</f>
        <v>0</v>
      </c>
      <c r="AA19" s="398">
        <f>IF(AG19=0,0,(AC19*AG19+AJ19*IF(AL19&gt;AG19,AG19,AL19))/AG19)</f>
        <v>0</v>
      </c>
      <c r="AB19" s="398">
        <f>IF(AG19=0,0,(AD19*AG19+AK19*IF(AL19&gt;AG19,AG19,AL19))/AG19)</f>
        <v>0</v>
      </c>
      <c r="AC19" s="271">
        <f>IF(AG19&gt;0,(AR19*AV19+BG19*BK19+BV19*BZ19+AW19*BA19+BL19*BP19+CA19*CE19)/AG19,0)</f>
        <v>0</v>
      </c>
      <c r="AD19" s="271">
        <f>IF(AG19&gt;0,(AS19*AV19+BH19*BK19+BW19*BZ19+AX19*BA19+BM19*BP19+CB19*CE19)/AG19,0)</f>
        <v>0</v>
      </c>
      <c r="AE19" s="398"/>
      <c r="AF19" s="398"/>
      <c r="AG19" s="271">
        <f>SUMIF($H$21:$H$22,$H19,AG$21:AG$22)</f>
        <v>0</v>
      </c>
      <c r="AH19" s="271"/>
      <c r="AI19" s="271"/>
      <c r="AJ19" s="271">
        <f>IF(AL19&gt;0,SUMIF($H$21:$H$22,$H19,ER$21:ER$22)/AL19,0)</f>
        <v>0</v>
      </c>
      <c r="AK19" s="271">
        <f>IF(AL19&gt;0,SUMIF($H$21:$H$22,$H19,ES$21:ES$22)/AL19,0)</f>
        <v>0</v>
      </c>
      <c r="AL19" s="271">
        <f>SUMIF($H$21:$H$22,$H19,AL$21:AL$22)</f>
        <v>0</v>
      </c>
      <c r="AM19" s="271">
        <f>IF(AQ19&gt;0,SUMIF($H$21:$H$22,$H19,DH$21:DH$22)/AQ19,0)</f>
        <v>0</v>
      </c>
      <c r="AN19" s="271">
        <f>IF(AQ19&gt;0,SUMIF($H$21:$H$22,$H19,DI$21:DI$22)/AQ19,0)</f>
        <v>0</v>
      </c>
      <c r="AO19" s="271">
        <f>IF(AQ19&gt;0,SUMIF($H$21:$H$22,$H19,EJ$21:EJ$22)/AQ19,0)</f>
        <v>0</v>
      </c>
      <c r="AP19" s="271">
        <f>IF(AQ19&gt;0,SUMIF($H$21:$H$22,$H19,EK$21:EK$22)/AQ19,0)</f>
        <v>0</v>
      </c>
      <c r="AQ19" s="271">
        <f>SUMIF($H$21:$H$22,$H19,AQ$21:AQ$22)</f>
        <v>0</v>
      </c>
      <c r="AR19" s="271">
        <f>IF(AV19&gt;0,SUMIF($H$21:$H$22,$H19,DJ$21:DJ$22)/AV19,0)</f>
        <v>0</v>
      </c>
      <c r="AS19" s="271">
        <f>IF(AV19&gt;0,SUMIF($H$21:$H$22,$H19,DK$21:DK$22)/AV19,0)</f>
        <v>0</v>
      </c>
      <c r="AT19" s="271">
        <f>IF(AV19&gt;0,SUMIF($H$21:$H$22,$H19,EL$21:EL$22)/AV19,0)</f>
        <v>0</v>
      </c>
      <c r="AU19" s="271">
        <f>IF(AV19&gt;0,SUMIF($H$21:$H$22,$H19,EM$21:EM$22)/AV19,0)</f>
        <v>0</v>
      </c>
      <c r="AV19" s="271">
        <f>SUMIF($H$21:$H$22,$H19,AV$21:AV$22)</f>
        <v>0</v>
      </c>
      <c r="AW19" s="271">
        <f>IF(BA19&gt;0,INDEX(DP19:EG19,MATCH(AW$17,DP$17:EG$17))/BA19,0)</f>
        <v>0</v>
      </c>
      <c r="AX19" s="271">
        <f>IF(BA19&gt;0,INDEX(DP19:EG19,MATCH(AX$17,DP$17:EG$17))/BA19,0)</f>
        <v>0</v>
      </c>
      <c r="AY19" s="271">
        <f>IF(BA19&gt;0,INDEX(DP19:EG19,MATCH(AY$17,DP$17:EG$17))/BA19,0)</f>
        <v>0</v>
      </c>
      <c r="AZ19" s="271">
        <f>IF(BA19&gt;0,INDEX(DP19:EG19,MATCH(AZ$17,DP$17:EG$17))/BA19,0)</f>
        <v>0</v>
      </c>
      <c r="BA19" s="271">
        <f t="array" ref="BA19">SUM(($H$21:$H$22=H19)*(AR$21:AR$22="")*BA$21:BA$22)</f>
        <v>0</v>
      </c>
      <c r="BB19" s="271">
        <f>IF(BD19&gt;0,INDEX(DP19:EG19,MATCH(BB$17,DP$17:EG$17))/BD19,0)</f>
        <v>0</v>
      </c>
      <c r="BC19" s="271">
        <f>IF(BD19&gt;0,INDEX(DP19:EG19,MATCH(BC$17,DP$17:EG$17))/BD19,0)</f>
        <v>0</v>
      </c>
      <c r="BD19" s="271">
        <f t="array" ref="BD19">SUM(($H$21:$H$22=H19)*(AR$21:AR$22="")*BD$21:BD$22)</f>
        <v>0</v>
      </c>
      <c r="BE19" s="271">
        <f>SUMIF($H$21:$H$22,$H19,BE$21:BE$22)</f>
        <v>0</v>
      </c>
      <c r="BF19" s="117"/>
      <c r="BG19" s="271">
        <f>IF(BK19&gt;0,SUMIF($H$21:$H$22,$H19,DL$21:DL$22)/BK19,0)</f>
        <v>0</v>
      </c>
      <c r="BH19" s="271">
        <f>IF(BK19&gt;0,SUMIF($H$21:$H$22,$H19,DM$21:DM$22)/BK19,0)</f>
        <v>0</v>
      </c>
      <c r="BI19" s="271">
        <f>IF(BK19&gt;0,SUMIF($H$21:$H$22,$H19,EN$21:EN$22)/BK19,0)</f>
        <v>0</v>
      </c>
      <c r="BJ19" s="271">
        <f>IF(BK19&gt;0,SUMIF($H$21:$H$22,$H19,EO$21:EO$22)/BK19,0)</f>
        <v>0</v>
      </c>
      <c r="BK19" s="271">
        <f>SUMIF($H$21:$H$22,$H19,BK$21:BK$22)</f>
        <v>0</v>
      </c>
      <c r="BL19" s="271">
        <f>IF(BP19&gt;0,INDEX(DP19:EG19,MATCH(BL$17,DP$17:EG$17))/BP19,0)</f>
        <v>0</v>
      </c>
      <c r="BM19" s="271">
        <f>IF(BP19&gt;0,INDEX(DP19:EG19,MATCH(BM$17,DP$17:EG$17))/BP19,0)</f>
        <v>0</v>
      </c>
      <c r="BN19" s="271">
        <f>IF(BP19&gt;0,INDEX(DP19:EG19,MATCH(BN$17,DP$17:EG$17))/BP19,0)</f>
        <v>0</v>
      </c>
      <c r="BO19" s="271">
        <f>IF(BP19&gt;0,INDEX(DP19:EG19,MATCH(BO$17,DP$17:EG$17))/BP19,0)</f>
        <v>0</v>
      </c>
      <c r="BP19" s="271">
        <f t="array" ref="BP19">SUM(($H$21:$H$22=H19)*(AR$21:AR$22="")*BP$21:BP$22)</f>
        <v>0</v>
      </c>
      <c r="BQ19" s="271">
        <f>IF(BS19&gt;0,INDEX(DP19:EG19,MATCH(BQ$17,DP$17:EG$17))/BS19,0)</f>
        <v>0</v>
      </c>
      <c r="BR19" s="271">
        <f>IF(BS19&gt;0,INDEX(DP19:EG19,MATCH(BR$17,DP$17:EG$17))/BS19,0)</f>
        <v>0</v>
      </c>
      <c r="BS19" s="271">
        <f t="array" ref="BS19">SUM(($H$21:$H$22=H19)*(AR$21:AR$22="")*BS$21:BS$22)</f>
        <v>0</v>
      </c>
      <c r="BT19" s="271">
        <f>SUMIF($H$21:$H$22,$H19,BT$21:BT$22)</f>
        <v>0</v>
      </c>
      <c r="BU19" s="117"/>
      <c r="BV19" s="271">
        <f>IF(BZ19&gt;0,SUMIF($H$21:$H$22,$H19,DN$21:DN$22)/BZ19,0)</f>
        <v>0</v>
      </c>
      <c r="BW19" s="271">
        <f>IF(BZ19&gt;0,SUMIF($H$21:$H$22,$H19,DO$21:DO$22)/BZ19,0)</f>
        <v>0</v>
      </c>
      <c r="BX19" s="271">
        <f>IF(BZ19&gt;0,SUMIF($H$21:$H$22,$H19,EP$21:EP$22)/BZ19,0)</f>
        <v>0</v>
      </c>
      <c r="BY19" s="271">
        <f>IF(BZ19&gt;0,SUMIF($H$21:$H$22,$H19,EQ$21:EQ$22)/BZ19,0)</f>
        <v>0</v>
      </c>
      <c r="BZ19" s="271">
        <f>SUMIF($H$21:$H$22,$H19,BZ$21:BZ$22)</f>
        <v>0</v>
      </c>
      <c r="CA19" s="271">
        <f>IF(CE19&gt;0,INDEX(DP19:EG19,MATCH(CA$17,DP$17:EG$17))/CE19,0)</f>
        <v>0</v>
      </c>
      <c r="CB19" s="271">
        <f>IF(CE19&gt;0,INDEX(DP19:EG19,MATCH(CB$17,DP$17:EG$17))/CE19,0)</f>
        <v>0</v>
      </c>
      <c r="CC19" s="271">
        <f>IF(CE19&gt;0,INDEX(DP19:EG19,MATCH(CC$17,DP$17:EG$17))/CE19,0)</f>
        <v>0</v>
      </c>
      <c r="CD19" s="271">
        <f>IF(CE19&gt;0,INDEX(DP19:EG19,MATCH(CD$17,DP$17:EG$17))/CE19,0)</f>
        <v>0</v>
      </c>
      <c r="CE19" s="271">
        <f t="array" ref="CE19">SUM(($H$21:$H$22=H19)*(AR$21:AR$22="")*CE$21:CE$22)</f>
        <v>0</v>
      </c>
      <c r="CF19" s="271">
        <f>IF(CH19&gt;0,INDEX(DP19:EG19,MATCH(CF$17,DP$17:EG$17))/CH19,0)</f>
        <v>0</v>
      </c>
      <c r="CG19" s="271">
        <f>IF(CH19&gt;0,INDEX(DP19:EG19,MATCH(CG$17,DP$17:EG$17))/CH19,0)</f>
        <v>0</v>
      </c>
      <c r="CH19" s="271">
        <f t="array" ref="CH19">SUM(($H$21:$H$22=H19)*(AR$21:AR$22="")*CH$21:CH$22)</f>
        <v>0</v>
      </c>
      <c r="CI19" s="271">
        <f>SUMIF($H$21:$H$22,$H19,CI$21:CI$22)</f>
        <v>0</v>
      </c>
      <c r="CJ19" s="117"/>
      <c r="CK19" s="271">
        <f>SUMIF($H$21:$H$22,$H19,CK$21:CK$22)</f>
        <v>0</v>
      </c>
      <c r="CL19" s="117"/>
      <c r="CM19" s="271">
        <f t="shared" ref="CM19:CQ20" si="0">SUMIF($H$21:$H$22,$H19,CM$21:CM$22)</f>
        <v>0</v>
      </c>
      <c r="CN19" s="271">
        <f t="shared" si="0"/>
        <v>0</v>
      </c>
      <c r="CO19" s="271">
        <f t="shared" si="0"/>
        <v>0</v>
      </c>
      <c r="CP19" s="271">
        <f t="shared" si="0"/>
        <v>0</v>
      </c>
      <c r="CQ19" s="271">
        <f t="shared" si="0"/>
        <v>0</v>
      </c>
      <c r="CR19" s="194"/>
      <c r="CS19" s="185"/>
      <c r="CT19" s="185"/>
      <c r="CU19" s="185"/>
      <c r="CV19" s="185"/>
      <c r="CW19" s="185"/>
      <c r="CX19" s="185"/>
      <c r="CY19" s="185"/>
      <c r="CZ19" s="185"/>
      <c r="DA19" s="185"/>
      <c r="DB19" s="185"/>
      <c r="DC19" s="185"/>
      <c r="DD19" s="185"/>
      <c r="DE19" s="185"/>
      <c r="DP19" s="480">
        <f t="shared" ref="DP19:DY20" si="1">SUMIF($H$21:$H$22,$H19,DP$21:DP$22)</f>
        <v>0</v>
      </c>
      <c r="DQ19" s="480">
        <f t="shared" si="1"/>
        <v>0</v>
      </c>
      <c r="DR19" s="480">
        <f t="shared" si="1"/>
        <v>0</v>
      </c>
      <c r="DS19" s="480">
        <f t="shared" si="1"/>
        <v>0</v>
      </c>
      <c r="DT19" s="480">
        <f t="shared" si="1"/>
        <v>0</v>
      </c>
      <c r="DU19" s="480">
        <f t="shared" si="1"/>
        <v>0</v>
      </c>
      <c r="DV19" s="480">
        <f t="shared" si="1"/>
        <v>0</v>
      </c>
      <c r="DW19" s="480">
        <f t="shared" si="1"/>
        <v>0</v>
      </c>
      <c r="DX19" s="480">
        <f t="shared" si="1"/>
        <v>0</v>
      </c>
      <c r="DY19" s="480">
        <f t="shared" si="1"/>
        <v>0</v>
      </c>
      <c r="DZ19" s="480">
        <f t="shared" ref="DZ19:EG20" si="2">SUMIF($H$21:$H$22,$H19,DZ$21:DZ$22)</f>
        <v>0</v>
      </c>
      <c r="EA19" s="480">
        <f t="shared" si="2"/>
        <v>0</v>
      </c>
      <c r="EB19" s="480">
        <f t="shared" si="2"/>
        <v>0</v>
      </c>
      <c r="EC19" s="480">
        <f t="shared" si="2"/>
        <v>0</v>
      </c>
      <c r="ED19" s="480">
        <f t="shared" si="2"/>
        <v>0</v>
      </c>
      <c r="EE19" s="480">
        <f t="shared" si="2"/>
        <v>0</v>
      </c>
      <c r="EF19" s="480">
        <f t="shared" si="2"/>
        <v>0</v>
      </c>
      <c r="EG19" s="480">
        <f t="shared" si="2"/>
        <v>0</v>
      </c>
      <c r="EH19" s="162"/>
      <c r="EI19" s="162"/>
      <c r="EJ19" s="162"/>
      <c r="EK19" s="162"/>
      <c r="EL19" s="162"/>
      <c r="EM19" s="162"/>
      <c r="EN19" s="162"/>
      <c r="EO19" s="162"/>
      <c r="EP19" s="162"/>
      <c r="EQ19" s="162"/>
      <c r="ER19" s="162"/>
      <c r="ES19" s="162"/>
    </row>
    <row r="20" spans="1:152" ht="24" customHeight="1">
      <c r="A20" s="181"/>
      <c r="B20" s="181"/>
      <c r="C20" s="181"/>
      <c r="E20" s="192"/>
      <c r="F20" s="955"/>
      <c r="G20" s="958"/>
      <c r="H20" s="107" t="str">
        <f>IF(TEMPLATE_SPHERE="водоснабжения","Вода технического качества","")</f>
        <v/>
      </c>
      <c r="I20" s="177"/>
      <c r="J20" s="177"/>
      <c r="K20" s="177"/>
      <c r="L20" s="177"/>
      <c r="M20" s="177"/>
      <c r="N20" s="177"/>
      <c r="O20" s="177"/>
      <c r="P20" s="177"/>
      <c r="Q20" s="177"/>
      <c r="R20" s="177"/>
      <c r="S20" s="177"/>
      <c r="T20" s="177"/>
      <c r="U20" s="177"/>
      <c r="V20" s="177"/>
      <c r="W20" s="177"/>
      <c r="X20" s="177"/>
      <c r="Y20" s="398">
        <f>IF((AG20+AQ20)&gt;0,SUMIF($H$21:$H$22,$H20,EH$21:EH$22)/(AG20+AQ20),0)</f>
        <v>0</v>
      </c>
      <c r="Z20" s="398">
        <f>IF((AG20+AQ20)&gt;0,SUMIF($H$21:$H$22,$H20,EI$21:EI$22)/(AG20+AQ20),0)</f>
        <v>0</v>
      </c>
      <c r="AA20" s="398">
        <f>IF(AG20=0,0,(AC20*AG20+AJ20*IF(AL20&gt;AG20,AG20,AL20))/AG20)</f>
        <v>0</v>
      </c>
      <c r="AB20" s="398">
        <f>IF(AG20=0,0,(AD20*AG20+AK20*IF(AL20&gt;AG20,AG20,AL20))/AG20)</f>
        <v>0</v>
      </c>
      <c r="AC20" s="271">
        <f>IF(AG20&gt;0,(AR20*AV20+BG20*BK20+BV20*BZ20+AW20*BA20+BL20*BP20+CA20*CE20)/AG20,0)</f>
        <v>0</v>
      </c>
      <c r="AD20" s="271">
        <f>IF(AG20&gt;0,(AS20*AV20+BH20*BK20+BW20*BZ20+AX20*BA20+BM20*BP20+CB20*CE20)/AG20,0)</f>
        <v>0</v>
      </c>
      <c r="AE20" s="398"/>
      <c r="AF20" s="398"/>
      <c r="AG20" s="271">
        <f>SUMIF($H$21:$H$22,$H20,AG$21:AG$22)</f>
        <v>0</v>
      </c>
      <c r="AH20" s="271"/>
      <c r="AI20" s="271"/>
      <c r="AJ20" s="271">
        <f>IF(AL20&gt;0,SUMIF($H$21:$H$22,$H20,ER$21:ER$22)/AL20,0)</f>
        <v>0</v>
      </c>
      <c r="AK20" s="271">
        <f>IF(AL20&gt;0,SUMIF($H$21:$H$22,$H20,ES$21:ES$22)/AL20,0)</f>
        <v>0</v>
      </c>
      <c r="AL20" s="271">
        <f>SUMIF($H$21:$H$22,$H20,AL$21:AL$22)</f>
        <v>0</v>
      </c>
      <c r="AM20" s="271">
        <f>IF(AQ20&gt;0,SUMIF($H$21:$H$22,$H20,DH$21:DH$22)/AQ20,0)</f>
        <v>0</v>
      </c>
      <c r="AN20" s="271">
        <f>IF(AQ20&gt;0,SUMIF($H$21:$H$22,$H20,DI$21:DI$22)/AQ20,0)</f>
        <v>0</v>
      </c>
      <c r="AO20" s="271">
        <f>IF(AQ20&gt;0,SUMIF($H$21:$H$22,$H20,EJ$21:EJ$22)/AQ20,0)</f>
        <v>0</v>
      </c>
      <c r="AP20" s="271">
        <f>IF(AQ20&gt;0,SUMIF($H$21:$H$22,$H20,EK$21:EK$22)/AQ20,0)</f>
        <v>0</v>
      </c>
      <c r="AQ20" s="271">
        <f>SUMIF($H$21:$H$22,$H20,AQ$21:AQ$22)</f>
        <v>0</v>
      </c>
      <c r="AR20" s="271">
        <f>IF(AV20&gt;0,SUMIF($H$21:$H$22,$H20,DJ$21:DJ$22)/AV20,0)</f>
        <v>0</v>
      </c>
      <c r="AS20" s="271">
        <f>IF(AV20&gt;0,SUMIF($H$21:$H$22,$H20,DK$21:DK$22)/AV20,0)</f>
        <v>0</v>
      </c>
      <c r="AT20" s="271">
        <f>IF(AV20&gt;0,SUMIF($H$21:$H$22,$H20,EL$21:EL$22)/AV20,0)</f>
        <v>0</v>
      </c>
      <c r="AU20" s="271">
        <f>IF(AV20&gt;0,SUMIF($H$21:$H$22,$H20,EM$21:EM$22)/AV20,0)</f>
        <v>0</v>
      </c>
      <c r="AV20" s="271">
        <f>SUMIF($H$21:$H$22,$H20,AV$21:AV$22)</f>
        <v>0</v>
      </c>
      <c r="AW20" s="271">
        <f>IF(BA20&gt;0,INDEX(DP20:EG20,MATCH(AW$17,DP$17:EG$17))/BA20,0)</f>
        <v>0</v>
      </c>
      <c r="AX20" s="271">
        <f>IF(BA20&gt;0,INDEX(DP20:EG20,MATCH(AX$17,DP$17:EG$17))/BA20,0)</f>
        <v>0</v>
      </c>
      <c r="AY20" s="271">
        <f>IF(BA20&gt;0,INDEX(DP20:EG20,MATCH(AY$17,DP$17:EG$17))/BA20,0)</f>
        <v>0</v>
      </c>
      <c r="AZ20" s="271">
        <f>IF(BA20&gt;0,INDEX(DP20:EG20,MATCH(AZ$17,DP$17:EG$17))/BA20,0)</f>
        <v>0</v>
      </c>
      <c r="BA20" s="271">
        <f t="array" ref="BA20">SUM(($H$21:$H$22=H20)*(AR$21:AR$22="")*BA$21:BA$22)</f>
        <v>0</v>
      </c>
      <c r="BB20" s="271">
        <f>IF(BD20&gt;0,INDEX(DP20:EG20,MATCH(BB$17,DP$17:EG$17))/BD20,0)</f>
        <v>0</v>
      </c>
      <c r="BC20" s="271">
        <f>IF(BD20&gt;0,INDEX(DP20:EG20,MATCH(BC$17,DP$17:EG$17))/BD20,0)</f>
        <v>0</v>
      </c>
      <c r="BD20" s="271">
        <f t="array" ref="BD20">SUM(($H$21:$H$22=H20)*(AR$21:AR$22="")*BD$21:BD$22)</f>
        <v>0</v>
      </c>
      <c r="BE20" s="271">
        <f>SUMIF($H$21:$H$22,$H20,BE$21:BE$22)</f>
        <v>0</v>
      </c>
      <c r="BF20" s="117"/>
      <c r="BG20" s="271">
        <f>IF(BK20&gt;0,SUMIF($H$21:$H$22,$H20,DL$21:DL$22)/BK20,0)</f>
        <v>0</v>
      </c>
      <c r="BH20" s="271">
        <f>IF(BK20&gt;0,SUMIF($H$21:$H$22,$H20,DM$21:DM$22)/BK20,0)</f>
        <v>0</v>
      </c>
      <c r="BI20" s="271">
        <f>IF(BK20&gt;0,SUMIF($H$21:$H$22,$H20,EN$21:EN$22)/BK20,0)</f>
        <v>0</v>
      </c>
      <c r="BJ20" s="271">
        <f>IF(BK20&gt;0,SUMIF($H$21:$H$22,$H20,EO$21:EO$22)/BK20,0)</f>
        <v>0</v>
      </c>
      <c r="BK20" s="271">
        <f>SUMIF($H$21:$H$22,$H20,BK$21:BK$22)</f>
        <v>0</v>
      </c>
      <c r="BL20" s="271">
        <f>IF(BP20&gt;0,INDEX(DP20:EG20,MATCH(BL$17,DP$17:EG$17))/BP20,0)</f>
        <v>0</v>
      </c>
      <c r="BM20" s="271">
        <f>IF(BP20&gt;0,INDEX(DP20:EG20,MATCH(BM$17,DP$17:EG$17))/BP20,0)</f>
        <v>0</v>
      </c>
      <c r="BN20" s="271">
        <f>IF(BP20&gt;0,INDEX(DP20:EG20,MATCH(BN$17,DP$17:EG$17))/BP20,0)</f>
        <v>0</v>
      </c>
      <c r="BO20" s="271">
        <f>IF(BP20&gt;0,INDEX(DP20:EG20,MATCH(BO$17,DP$17:EG$17))/BP20,0)</f>
        <v>0</v>
      </c>
      <c r="BP20" s="271">
        <f t="array" ref="BP20">SUM(($H$21:$H$22=H20)*(AR$21:AR$22="")*BP$21:BP$22)</f>
        <v>0</v>
      </c>
      <c r="BQ20" s="271">
        <f>IF(BS20&gt;0,INDEX(DP20:EG20,MATCH(BQ$17,DP$17:EG$17))/BS20,0)</f>
        <v>0</v>
      </c>
      <c r="BR20" s="271">
        <f>IF(BS20&gt;0,INDEX(DP20:EG20,MATCH(BR$17,DP$17:EG$17))/BS20,0)</f>
        <v>0</v>
      </c>
      <c r="BS20" s="271">
        <f t="array" ref="BS20">SUM(($H$21:$H$22=H20)*(AR$21:AR$22="")*BS$21:BS$22)</f>
        <v>0</v>
      </c>
      <c r="BT20" s="271">
        <f>SUMIF($H$21:$H$22,$H20,BT$21:BT$22)</f>
        <v>0</v>
      </c>
      <c r="BU20" s="117"/>
      <c r="BV20" s="271">
        <f>IF(BZ20&gt;0,SUMIF($H$21:$H$22,$H20,DN$21:DN$22)/BZ20,0)</f>
        <v>0</v>
      </c>
      <c r="BW20" s="271">
        <f>IF(BZ20&gt;0,SUMIF($H$21:$H$22,$H20,DO$21:DO$22)/BZ20,0)</f>
        <v>0</v>
      </c>
      <c r="BX20" s="271">
        <f>IF(BZ20&gt;0,SUMIF($H$21:$H$22,$H20,EP$21:EP$22)/BZ20,0)</f>
        <v>0</v>
      </c>
      <c r="BY20" s="271">
        <f>IF(BZ20&gt;0,SUMIF($H$21:$H$22,$H20,EQ$21:EQ$22)/BZ20,0)</f>
        <v>0</v>
      </c>
      <c r="BZ20" s="271">
        <f>SUMIF($H$21:$H$22,$H20,BZ$21:BZ$22)</f>
        <v>0</v>
      </c>
      <c r="CA20" s="271">
        <f>IF(CE20&gt;0,INDEX(DP20:EG20,MATCH(CA$17,DP$17:EG$17))/CE20,0)</f>
        <v>0</v>
      </c>
      <c r="CB20" s="271">
        <f>IF(CE20&gt;0,INDEX(DP20:EG20,MATCH(CB$17,DP$17:EG$17))/CE20,0)</f>
        <v>0</v>
      </c>
      <c r="CC20" s="271">
        <f>IF(CE20&gt;0,INDEX(DP20:EG20,MATCH(CC$17,DP$17:EG$17))/CE20,0)</f>
        <v>0</v>
      </c>
      <c r="CD20" s="271">
        <f>IF(CE20&gt;0,INDEX(DP20:EG20,MATCH(CD$17,DP$17:EG$17))/CE20,0)</f>
        <v>0</v>
      </c>
      <c r="CE20" s="271">
        <f t="array" ref="CE20">SUM(($H$21:$H$22=H20)*(AR$21:AR$22="")*CE$21:CE$22)</f>
        <v>0</v>
      </c>
      <c r="CF20" s="271">
        <f>IF(CH20&gt;0,INDEX(DP20:EG20,MATCH(CF$17,DP$17:EG$17))/CH20,0)</f>
        <v>0</v>
      </c>
      <c r="CG20" s="271">
        <f>IF(CH20&gt;0,INDEX(DP20:EG20,MATCH(CG$17,DP$17:EG$17))/CH20,0)</f>
        <v>0</v>
      </c>
      <c r="CH20" s="271">
        <f t="array" ref="CH20">SUM(($H$21:$H$22=H20)*(AR$21:AR$22="")*CH$21:CH$22)</f>
        <v>0</v>
      </c>
      <c r="CI20" s="271">
        <f>SUMIF($H$21:$H$22,$H20,CI$21:CI$22)</f>
        <v>0</v>
      </c>
      <c r="CJ20" s="117"/>
      <c r="CK20" s="271">
        <f>SUMIF($H$21:$H$22,$H20,CK$21:CK$22)</f>
        <v>0</v>
      </c>
      <c r="CL20" s="117"/>
      <c r="CM20" s="271">
        <f t="shared" si="0"/>
        <v>0</v>
      </c>
      <c r="CN20" s="271">
        <f t="shared" si="0"/>
        <v>0</v>
      </c>
      <c r="CO20" s="271">
        <f t="shared" si="0"/>
        <v>0</v>
      </c>
      <c r="CP20" s="271">
        <f t="shared" si="0"/>
        <v>0</v>
      </c>
      <c r="CQ20" s="271">
        <f t="shared" si="0"/>
        <v>0</v>
      </c>
      <c r="CR20" s="194"/>
      <c r="CS20" s="185"/>
      <c r="CT20" s="185"/>
      <c r="CU20" s="185"/>
      <c r="CV20" s="185"/>
      <c r="CW20" s="185"/>
      <c r="CX20" s="185"/>
      <c r="CY20" s="185"/>
      <c r="CZ20" s="185"/>
      <c r="DA20" s="185"/>
      <c r="DB20" s="185"/>
      <c r="DC20" s="185"/>
      <c r="DD20" s="185"/>
      <c r="DE20" s="185"/>
      <c r="DP20" s="480">
        <f t="shared" si="1"/>
        <v>0</v>
      </c>
      <c r="DQ20" s="480">
        <f t="shared" si="1"/>
        <v>0</v>
      </c>
      <c r="DR20" s="480">
        <f t="shared" si="1"/>
        <v>0</v>
      </c>
      <c r="DS20" s="480">
        <f t="shared" si="1"/>
        <v>0</v>
      </c>
      <c r="DT20" s="480">
        <f t="shared" si="1"/>
        <v>0</v>
      </c>
      <c r="DU20" s="480">
        <f t="shared" si="1"/>
        <v>0</v>
      </c>
      <c r="DV20" s="480">
        <f t="shared" si="1"/>
        <v>0</v>
      </c>
      <c r="DW20" s="480">
        <f t="shared" si="1"/>
        <v>0</v>
      </c>
      <c r="DX20" s="480">
        <f t="shared" si="1"/>
        <v>0</v>
      </c>
      <c r="DY20" s="480">
        <f t="shared" si="1"/>
        <v>0</v>
      </c>
      <c r="DZ20" s="480">
        <f t="shared" si="2"/>
        <v>0</v>
      </c>
      <c r="EA20" s="480">
        <f t="shared" si="2"/>
        <v>0</v>
      </c>
      <c r="EB20" s="480">
        <f t="shared" si="2"/>
        <v>0</v>
      </c>
      <c r="EC20" s="480">
        <f t="shared" si="2"/>
        <v>0</v>
      </c>
      <c r="ED20" s="480">
        <f t="shared" si="2"/>
        <v>0</v>
      </c>
      <c r="EE20" s="480">
        <f t="shared" si="2"/>
        <v>0</v>
      </c>
      <c r="EF20" s="480">
        <f t="shared" si="2"/>
        <v>0</v>
      </c>
      <c r="EG20" s="480">
        <f t="shared" si="2"/>
        <v>0</v>
      </c>
      <c r="EH20" s="162"/>
      <c r="EI20" s="162"/>
      <c r="EJ20" s="162"/>
      <c r="EK20" s="162"/>
      <c r="EL20" s="162"/>
      <c r="EM20" s="162"/>
      <c r="EN20" s="162"/>
      <c r="EO20" s="162"/>
      <c r="EP20" s="162"/>
      <c r="EQ20" s="162"/>
      <c r="ER20" s="162"/>
      <c r="ES20" s="162"/>
    </row>
    <row r="21" spans="1:152" ht="12" hidden="1" customHeight="1">
      <c r="A21" s="181"/>
      <c r="B21" s="181"/>
      <c r="C21" s="181"/>
      <c r="E21" s="192"/>
      <c r="F21" s="186">
        <v>0</v>
      </c>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96"/>
      <c r="CS21" s="185"/>
      <c r="CT21" s="185"/>
      <c r="CU21" s="185"/>
      <c r="CV21" s="185"/>
      <c r="CW21" s="185"/>
      <c r="CX21" s="185"/>
      <c r="CY21" s="185"/>
      <c r="CZ21" s="185"/>
      <c r="DA21" s="185"/>
      <c r="DB21" s="185"/>
      <c r="DC21" s="185"/>
      <c r="DD21" s="185"/>
      <c r="DE21" s="185"/>
      <c r="DP21" s="78"/>
      <c r="DQ21" s="78"/>
      <c r="DR21" s="78"/>
      <c r="DS21" s="78"/>
      <c r="DT21" s="78"/>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row>
    <row r="22" spans="1:152" ht="0.75" customHeight="1">
      <c r="A22" s="181"/>
      <c r="B22" s="181"/>
      <c r="C22" s="181"/>
      <c r="E22" s="192"/>
      <c r="F22" s="110"/>
      <c r="G22" s="111" t="s">
        <v>720</v>
      </c>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c r="CR22" s="113"/>
      <c r="CS22" s="185"/>
      <c r="CT22" s="185"/>
      <c r="CU22" s="185"/>
      <c r="CV22" s="185"/>
      <c r="CW22" s="185"/>
      <c r="CX22" s="185"/>
      <c r="CY22" s="185"/>
      <c r="CZ22" s="185"/>
      <c r="DA22" s="185"/>
      <c r="DB22" s="185"/>
      <c r="DC22" s="185"/>
      <c r="DD22" s="185"/>
      <c r="DE22" s="185"/>
      <c r="DP22" s="78"/>
      <c r="DQ22" s="78"/>
      <c r="DR22" s="78"/>
      <c r="DS22" s="78"/>
      <c r="DT22" s="78"/>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row>
    <row r="23" spans="1:152" s="162" customFormat="1" ht="12" customHeight="1">
      <c r="A23" s="181"/>
      <c r="B23" s="181"/>
      <c r="C23" s="181"/>
      <c r="D23" s="159"/>
      <c r="E23" s="192"/>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78"/>
      <c r="DG23" s="78"/>
      <c r="DH23" s="78"/>
      <c r="DI23" s="78"/>
      <c r="DJ23" s="78"/>
      <c r="DK23" s="78"/>
      <c r="DL23" s="78"/>
      <c r="DM23" s="78"/>
      <c r="DN23" s="78"/>
      <c r="DO23" s="78"/>
      <c r="DP23" s="78"/>
      <c r="DQ23" s="78"/>
      <c r="DR23" s="78"/>
      <c r="DS23" s="78"/>
      <c r="DT23" s="78"/>
    </row>
    <row r="24" spans="1:152" s="162" customFormat="1">
      <c r="D24" s="159"/>
      <c r="E24" s="179"/>
      <c r="DF24" s="78"/>
      <c r="DG24" s="78"/>
      <c r="DH24" s="78"/>
      <c r="DI24" s="78"/>
      <c r="DJ24" s="78"/>
      <c r="DK24" s="78"/>
      <c r="DL24" s="78"/>
      <c r="DM24" s="78"/>
      <c r="DN24" s="78"/>
      <c r="DO24" s="78"/>
      <c r="DP24" s="78"/>
      <c r="DQ24" s="78"/>
      <c r="DR24" s="78"/>
      <c r="DS24" s="78"/>
      <c r="DT24" s="78"/>
    </row>
    <row r="25" spans="1:152" customFormat="1"/>
    <row r="26" spans="1:152" customFormat="1"/>
    <row r="27" spans="1:152" customFormat="1"/>
    <row r="28" spans="1:152" customFormat="1" ht="36.75" customHeight="1"/>
    <row r="29" spans="1:152" customFormat="1"/>
    <row r="30" spans="1:152" customFormat="1"/>
    <row r="31" spans="1:152" customFormat="1"/>
    <row r="32" spans="1:152" customFormat="1"/>
    <row r="33" customFormat="1"/>
    <row r="34" customFormat="1" ht="41.25" customHeight="1"/>
    <row r="35" customFormat="1"/>
    <row r="36" customFormat="1"/>
    <row r="37" customFormat="1" ht="11.25" customHeight="1"/>
    <row r="38" customFormat="1" ht="11.25" customHeight="1"/>
    <row r="39" customFormat="1"/>
    <row r="40" customFormat="1" ht="31.5" customHeight="1"/>
    <row r="41" customFormat="1"/>
    <row r="42" customFormat="1"/>
  </sheetData>
  <sheetProtection password="FA9C" sheet="1" objects="1" scenarios="1" formatColumns="0" formatRows="0"/>
  <mergeCells count="96">
    <mergeCell ref="BV14:BW15"/>
    <mergeCell ref="BG13:BU13"/>
    <mergeCell ref="BN15:BO15"/>
    <mergeCell ref="BK14:BK16"/>
    <mergeCell ref="BG14:BH15"/>
    <mergeCell ref="BL14:BS14"/>
    <mergeCell ref="BP15:BP16"/>
    <mergeCell ref="BS15:BS16"/>
    <mergeCell ref="ET16:EV16"/>
    <mergeCell ref="CL13:CL16"/>
    <mergeCell ref="EJ16:EQ16"/>
    <mergeCell ref="ER16:ES16"/>
    <mergeCell ref="CQ14:CQ16"/>
    <mergeCell ref="CP14:CP16"/>
    <mergeCell ref="CM14:CM16"/>
    <mergeCell ref="EH16:EI16"/>
    <mergeCell ref="CO14:CO16"/>
    <mergeCell ref="CR13:CR16"/>
    <mergeCell ref="CM13:CQ13"/>
    <mergeCell ref="CN14:CN16"/>
    <mergeCell ref="Q14:Q16"/>
    <mergeCell ref="AL13:AL16"/>
    <mergeCell ref="DP16:EG16"/>
    <mergeCell ref="DF16:DO16"/>
    <mergeCell ref="CJ14:CJ16"/>
    <mergeCell ref="BZ14:BZ16"/>
    <mergeCell ref="CH15:CH16"/>
    <mergeCell ref="CF15:CG15"/>
    <mergeCell ref="CA15:CB15"/>
    <mergeCell ref="CA14:CH14"/>
    <mergeCell ref="CE15:CE16"/>
    <mergeCell ref="BQ15:BR15"/>
    <mergeCell ref="CC15:CD15"/>
    <mergeCell ref="CI14:CI16"/>
    <mergeCell ref="CK13:CK16"/>
    <mergeCell ref="BT14:BT16"/>
    <mergeCell ref="F18:F20"/>
    <mergeCell ref="G18:G20"/>
    <mergeCell ref="X13:X16"/>
    <mergeCell ref="AA7:AB7"/>
    <mergeCell ref="AC7:AD7"/>
    <mergeCell ref="V14:V16"/>
    <mergeCell ref="U14:U16"/>
    <mergeCell ref="V13:W13"/>
    <mergeCell ref="F13:F16"/>
    <mergeCell ref="G13:G16"/>
    <mergeCell ref="H13:I16"/>
    <mergeCell ref="J13:J16"/>
    <mergeCell ref="T14:T16"/>
    <mergeCell ref="S14:S16"/>
    <mergeCell ref="R14:R16"/>
    <mergeCell ref="P14:P16"/>
    <mergeCell ref="AG7:AG8"/>
    <mergeCell ref="AE7:AF7"/>
    <mergeCell ref="K12:X12"/>
    <mergeCell ref="AC13:AD15"/>
    <mergeCell ref="N13:N16"/>
    <mergeCell ref="O13:O16"/>
    <mergeCell ref="Y13:Z15"/>
    <mergeCell ref="T13:U13"/>
    <mergeCell ref="M14:M16"/>
    <mergeCell ref="K13:M13"/>
    <mergeCell ref="K14:K16"/>
    <mergeCell ref="L14:L16"/>
    <mergeCell ref="P13:Q13"/>
    <mergeCell ref="W14:W16"/>
    <mergeCell ref="R13:S13"/>
    <mergeCell ref="AE13:AF15"/>
    <mergeCell ref="AA13:AB15"/>
    <mergeCell ref="AO14:AP15"/>
    <mergeCell ref="BB15:BC15"/>
    <mergeCell ref="AT14:AU15"/>
    <mergeCell ref="AW15:AX15"/>
    <mergeCell ref="AM13:AQ13"/>
    <mergeCell ref="AV14:AV16"/>
    <mergeCell ref="AH13:AI15"/>
    <mergeCell ref="AG13:AG16"/>
    <mergeCell ref="AJ13:AK15"/>
    <mergeCell ref="AM14:AN15"/>
    <mergeCell ref="AQ14:AQ16"/>
    <mergeCell ref="CA7:CB7"/>
    <mergeCell ref="AW7:AX7"/>
    <mergeCell ref="BL7:BM7"/>
    <mergeCell ref="AY15:AZ15"/>
    <mergeCell ref="BU14:BU16"/>
    <mergeCell ref="BX14:BY15"/>
    <mergeCell ref="BV13:CJ13"/>
    <mergeCell ref="BI14:BJ15"/>
    <mergeCell ref="BL15:BM15"/>
    <mergeCell ref="AR13:BF13"/>
    <mergeCell ref="BF14:BF16"/>
    <mergeCell ref="BA15:BA16"/>
    <mergeCell ref="AW14:BD14"/>
    <mergeCell ref="AR14:AS15"/>
    <mergeCell ref="BD15:BD16"/>
    <mergeCell ref="BE14:BE16"/>
  </mergeCells>
  <phoneticPr fontId="8" type="noConversion"/>
  <dataValidations count="2">
    <dataValidation allowBlank="1" showInputMessage="1" showErrorMessage="1" errorTitle="Ошибка" error="Допускается ввод ТОЛЬКО числовых значений!" sqref="AW9:AW11"/>
    <dataValidation allowBlank="1" showInputMessage="1" showErrorMessage="1" sqref="CM14:CP15"/>
  </dataValidations>
  <hyperlinks>
    <hyperlink ref="K10" location="'ТМ2 01.09 - 31.12'!A1" tooltip="Отобразить / Скрыть блок" display="-"/>
  </hyperlinks>
  <pageMargins left="0.37" right="0.35" top="1" bottom="1" header="0.5" footer="0.5"/>
  <pageSetup paperSize="9" scale="37" orientation="landscape" horizontalDpi="4294967292" verticalDpi="4294967292" r:id="rId1"/>
  <headerFooter alignWithMargins="0"/>
  <drawing r:id="rId2"/>
  <legacyDrawing r:id="rId3"/>
</worksheet>
</file>

<file path=xl/worksheets/sheet47.xml><?xml version="1.0" encoding="utf-8"?>
<worksheet xmlns="http://schemas.openxmlformats.org/spreadsheetml/2006/main" xmlns:r="http://schemas.openxmlformats.org/officeDocument/2006/relationships">
  <sheetPr codeName="VOTV_BAL_PR">
    <tabColor indexed="31"/>
  </sheetPr>
  <dimension ref="A1:BN168"/>
  <sheetViews>
    <sheetView showGridLines="0" topLeftCell="D118" workbookViewId="0">
      <pane xSplit="4" ySplit="12" topLeftCell="H130" activePane="bottomRight" state="frozen"/>
      <selection activeCell="D118" sqref="D118"/>
      <selection pane="topRight" activeCell="H118" sqref="H118"/>
      <selection pane="bottomLeft" activeCell="D130" sqref="D130"/>
      <selection pane="bottomRight" activeCell="U133" sqref="U133"/>
    </sheetView>
  </sheetViews>
  <sheetFormatPr defaultRowHeight="18"/>
  <cols>
    <col min="1" max="1" width="5.7109375" style="39" hidden="1" customWidth="1"/>
    <col min="2" max="2" width="5.7109375" style="40" hidden="1" customWidth="1"/>
    <col min="3" max="3" width="5.7109375" style="39" hidden="1" customWidth="1"/>
    <col min="4" max="4" width="5.7109375" style="711" customWidth="1"/>
    <col min="5" max="5" width="4.7109375" style="41" hidden="1" customWidth="1"/>
    <col min="6" max="6" width="9.7109375" style="39" customWidth="1"/>
    <col min="7" max="7" width="40.7109375" style="39" customWidth="1"/>
    <col min="8" max="9" width="0.140625" style="39" customWidth="1"/>
    <col min="10" max="10" width="16.7109375" style="39" customWidth="1"/>
    <col min="11" max="11" width="15.7109375" style="39" customWidth="1"/>
    <col min="12" max="13" width="16.7109375" style="39" customWidth="1"/>
    <col min="14" max="15" width="13.7109375" style="39" customWidth="1"/>
    <col min="16" max="16" width="23.7109375" style="39" customWidth="1"/>
    <col min="17" max="17" width="16.7109375" style="39" customWidth="1"/>
    <col min="18" max="19" width="13.7109375" style="39" customWidth="1"/>
    <col min="20" max="20" width="18.7109375" style="39" customWidth="1"/>
    <col min="21" max="21" width="15.7109375" style="39" customWidth="1"/>
    <col min="22" max="52" width="2.7109375" customWidth="1"/>
    <col min="53" max="53" width="10.7109375" hidden="1" customWidth="1"/>
    <col min="54" max="57" width="2.7109375" customWidth="1"/>
    <col min="58" max="58" width="17.7109375" hidden="1" customWidth="1"/>
    <col min="59" max="60" width="8.7109375" customWidth="1"/>
    <col min="61" max="62" width="8.7109375" style="289" customWidth="1"/>
    <col min="63" max="63" width="9.140625" style="40"/>
    <col min="64" max="16384" width="9.140625" style="39"/>
  </cols>
  <sheetData>
    <row r="1" spans="1:66" ht="21" hidden="1" customHeight="1">
      <c r="A1" s="95"/>
      <c r="B1" s="910"/>
      <c r="C1" s="119" t="str">
        <f>F3</f>
        <v>0.0</v>
      </c>
      <c r="D1" s="714" t="s">
        <v>652</v>
      </c>
      <c r="E1" s="96"/>
      <c r="F1" s="835">
        <f>B1</f>
        <v>0</v>
      </c>
      <c r="G1" s="913"/>
      <c r="H1" s="107"/>
      <c r="I1" s="107"/>
      <c r="J1" s="107"/>
      <c r="K1" s="266"/>
      <c r="L1" s="266"/>
      <c r="M1" s="266"/>
      <c r="N1" s="266"/>
      <c r="O1" s="266"/>
      <c r="P1" s="266"/>
      <c r="Q1" s="266"/>
      <c r="R1" s="266"/>
      <c r="S1" s="266"/>
      <c r="T1" s="266"/>
      <c r="U1" s="266"/>
      <c r="BF1" s="426" t="s">
        <v>3144</v>
      </c>
      <c r="BI1" s="159"/>
      <c r="BJ1" s="159"/>
      <c r="BK1" s="159"/>
      <c r="BN1" s="42"/>
    </row>
    <row r="2" spans="1:66" ht="0.75" hidden="1" customHeight="1">
      <c r="A2" s="95"/>
      <c r="B2" s="910"/>
      <c r="C2" s="119"/>
      <c r="D2" s="706"/>
      <c r="E2" s="96"/>
      <c r="F2" s="835"/>
      <c r="G2" s="913"/>
      <c r="H2" s="107"/>
      <c r="I2" s="107"/>
      <c r="J2" s="107"/>
      <c r="K2" s="266"/>
      <c r="L2" s="266"/>
      <c r="M2" s="266"/>
      <c r="N2" s="266"/>
      <c r="O2" s="266"/>
      <c r="P2" s="266"/>
      <c r="Q2" s="266"/>
      <c r="R2" s="266"/>
      <c r="S2" s="266"/>
      <c r="T2" s="266"/>
      <c r="U2" s="266"/>
      <c r="BF2" s="158" t="str">
        <f>IF(TEMPLATE_SPHERE="водоснабжения","TOTAL_ORG_TW","")</f>
        <v/>
      </c>
      <c r="BI2" s="159"/>
      <c r="BJ2" s="159"/>
      <c r="BK2" s="159"/>
      <c r="BN2" s="42"/>
    </row>
    <row r="3" spans="1:66" ht="11.25" hidden="1" customHeight="1">
      <c r="A3" s="95"/>
      <c r="B3" s="910"/>
      <c r="C3" s="910"/>
      <c r="D3" s="707"/>
      <c r="E3" s="96"/>
      <c r="F3" s="106" t="str">
        <f>F1 &amp; ".0"</f>
        <v>0.0</v>
      </c>
      <c r="G3" s="105" t="s">
        <v>721</v>
      </c>
      <c r="H3" s="107"/>
      <c r="I3" s="107"/>
      <c r="J3" s="107"/>
      <c r="K3" s="266"/>
      <c r="L3" s="266"/>
      <c r="M3" s="266"/>
      <c r="N3" s="266"/>
      <c r="O3" s="266"/>
      <c r="P3" s="266"/>
      <c r="Q3" s="266"/>
      <c r="R3" s="266"/>
      <c r="S3" s="266"/>
      <c r="T3" s="266"/>
      <c r="U3" s="266"/>
      <c r="BF3" s="158" t="str">
        <f>IF(TEMPLATE_SPHERE="водоснабжения","TOTAL_ORG_PW","TOTAL_ORG")</f>
        <v>TOTAL_ORG</v>
      </c>
      <c r="BI3" s="159"/>
      <c r="BJ3" s="159"/>
      <c r="BK3" s="159"/>
      <c r="BN3" s="42"/>
    </row>
    <row r="4" spans="1:66" ht="11.25" hidden="1" customHeight="1">
      <c r="A4" s="95"/>
      <c r="B4" s="910"/>
      <c r="C4" s="910"/>
      <c r="D4" s="707"/>
      <c r="E4" s="96"/>
      <c r="F4" s="106" t="str">
        <f>F1 &amp; ".1"</f>
        <v>0.1</v>
      </c>
      <c r="G4" s="105" t="s">
        <v>722</v>
      </c>
      <c r="H4" s="107"/>
      <c r="I4" s="107"/>
      <c r="J4" s="107"/>
      <c r="K4" s="266"/>
      <c r="L4" s="266"/>
      <c r="M4" s="266"/>
      <c r="N4" s="266"/>
      <c r="O4" s="266"/>
      <c r="P4" s="266"/>
      <c r="Q4" s="266"/>
      <c r="R4" s="266"/>
      <c r="S4" s="266"/>
      <c r="T4" s="266"/>
      <c r="U4" s="266"/>
      <c r="BF4" s="158" t="str">
        <f>C1 &amp; "-I"</f>
        <v>0.0-I</v>
      </c>
      <c r="BI4" s="159"/>
      <c r="BJ4" s="159"/>
      <c r="BK4" s="159"/>
      <c r="BN4" s="42"/>
    </row>
    <row r="5" spans="1:66" ht="11.25" hidden="1" customHeight="1">
      <c r="A5" s="95"/>
      <c r="B5" s="910"/>
      <c r="C5" s="910"/>
      <c r="D5" s="707"/>
      <c r="E5" s="96"/>
      <c r="F5" s="106" t="str">
        <f>F1 &amp; ".2"</f>
        <v>0.2</v>
      </c>
      <c r="G5" s="105" t="s">
        <v>723</v>
      </c>
      <c r="H5" s="107"/>
      <c r="I5" s="107"/>
      <c r="J5" s="107"/>
      <c r="K5" s="266"/>
      <c r="L5" s="266"/>
      <c r="M5" s="266"/>
      <c r="N5" s="266"/>
      <c r="O5" s="266"/>
      <c r="P5" s="266"/>
      <c r="Q5" s="266"/>
      <c r="R5" s="266"/>
      <c r="S5" s="266"/>
      <c r="T5" s="266"/>
      <c r="U5" s="266"/>
      <c r="BF5" s="158" t="str">
        <f>C1 &amp; "-I"</f>
        <v>0.0-I</v>
      </c>
      <c r="BI5" s="159"/>
      <c r="BJ5" s="159"/>
      <c r="BK5" s="159"/>
      <c r="BN5" s="42"/>
    </row>
    <row r="6" spans="1:66" ht="11.25" hidden="1" customHeight="1">
      <c r="A6" s="95"/>
      <c r="B6" s="910"/>
      <c r="C6" s="910"/>
      <c r="D6" s="707"/>
      <c r="E6" s="96"/>
      <c r="F6" s="106" t="str">
        <f>F1 &amp; ".3"</f>
        <v>0.3</v>
      </c>
      <c r="G6" s="105" t="s">
        <v>724</v>
      </c>
      <c r="H6" s="107"/>
      <c r="I6" s="107"/>
      <c r="J6" s="107"/>
      <c r="K6" s="266"/>
      <c r="L6" s="266"/>
      <c r="M6" s="266"/>
      <c r="N6" s="266"/>
      <c r="O6" s="266"/>
      <c r="P6" s="266"/>
      <c r="Q6" s="266"/>
      <c r="R6" s="266"/>
      <c r="S6" s="266"/>
      <c r="T6" s="266"/>
      <c r="U6" s="266"/>
      <c r="BF6" s="158" t="str">
        <f>C1 &amp; "-I"</f>
        <v>0.0-I</v>
      </c>
      <c r="BI6" s="159"/>
      <c r="BJ6" s="159"/>
      <c r="BK6" s="159"/>
      <c r="BN6" s="42"/>
    </row>
    <row r="7" spans="1:66" ht="11.25" hidden="1" customHeight="1">
      <c r="A7" s="95"/>
      <c r="B7" s="910"/>
      <c r="C7" s="910"/>
      <c r="D7" s="707"/>
      <c r="E7" s="96"/>
      <c r="F7" s="106" t="str">
        <f>F1 &amp; ".4"</f>
        <v>0.4</v>
      </c>
      <c r="G7" s="105" t="s">
        <v>725</v>
      </c>
      <c r="H7" s="107"/>
      <c r="I7" s="107"/>
      <c r="J7" s="107"/>
      <c r="K7" s="266"/>
      <c r="L7" s="266"/>
      <c r="M7" s="266"/>
      <c r="N7" s="266"/>
      <c r="O7" s="266"/>
      <c r="P7" s="266"/>
      <c r="Q7" s="266"/>
      <c r="R7" s="266"/>
      <c r="S7" s="266"/>
      <c r="T7" s="266"/>
      <c r="U7" s="266"/>
      <c r="BF7" s="158" t="str">
        <f>C1 &amp; "-I"</f>
        <v>0.0-I</v>
      </c>
      <c r="BI7" s="159"/>
      <c r="BJ7" s="159"/>
      <c r="BK7" s="159"/>
      <c r="BN7" s="42"/>
    </row>
    <row r="8" spans="1:66" ht="11.25" hidden="1" customHeight="1">
      <c r="A8" s="95"/>
      <c r="B8" s="910"/>
      <c r="C8" s="910"/>
      <c r="D8" s="707"/>
      <c r="E8" s="96"/>
      <c r="F8" s="106" t="str">
        <f>F1 &amp; ".5"</f>
        <v>0.5</v>
      </c>
      <c r="G8" s="105" t="s">
        <v>726</v>
      </c>
      <c r="H8" s="107"/>
      <c r="I8" s="107"/>
      <c r="J8" s="107"/>
      <c r="K8" s="266"/>
      <c r="L8" s="266"/>
      <c r="M8" s="267"/>
      <c r="N8" s="267"/>
      <c r="O8" s="266"/>
      <c r="P8" s="266"/>
      <c r="Q8" s="266"/>
      <c r="R8" s="266"/>
      <c r="S8" s="266"/>
      <c r="T8" s="266"/>
      <c r="U8" s="266"/>
      <c r="BF8" s="158" t="str">
        <f>C1 &amp; "-I"</f>
        <v>0.0-I</v>
      </c>
      <c r="BI8" s="159"/>
      <c r="BJ8" s="159"/>
      <c r="BK8" s="159"/>
      <c r="BN8" s="42"/>
    </row>
    <row r="9" spans="1:66" ht="11.25" hidden="1" customHeight="1">
      <c r="A9" s="95"/>
      <c r="B9" s="910"/>
      <c r="C9" s="910"/>
      <c r="D9" s="707"/>
      <c r="E9" s="96"/>
      <c r="F9" s="106" t="str">
        <f>F1 &amp; ".6"</f>
        <v>0.6</v>
      </c>
      <c r="G9" s="105" t="s">
        <v>727</v>
      </c>
      <c r="H9" s="107"/>
      <c r="I9" s="107"/>
      <c r="J9" s="107"/>
      <c r="K9" s="266"/>
      <c r="L9" s="268"/>
      <c r="M9" s="266"/>
      <c r="N9" s="269"/>
      <c r="O9" s="269"/>
      <c r="P9" s="269"/>
      <c r="Q9" s="269"/>
      <c r="R9" s="266"/>
      <c r="S9" s="266"/>
      <c r="T9" s="266"/>
      <c r="U9" s="266"/>
      <c r="BF9" s="158" t="str">
        <f>C1 &amp; "-I"</f>
        <v>0.0-I</v>
      </c>
      <c r="BI9" s="159"/>
      <c r="BJ9" s="159"/>
      <c r="BK9" s="159"/>
      <c r="BN9" s="42"/>
    </row>
    <row r="10" spans="1:66" ht="11.25" hidden="1" customHeight="1">
      <c r="A10" s="95"/>
      <c r="B10" s="910"/>
      <c r="C10" s="910"/>
      <c r="D10" s="707"/>
      <c r="E10" s="96"/>
      <c r="F10" s="106" t="str">
        <f>F1 &amp; ".7"</f>
        <v>0.7</v>
      </c>
      <c r="G10" s="105" t="s">
        <v>728</v>
      </c>
      <c r="H10" s="107"/>
      <c r="I10" s="107"/>
      <c r="J10" s="107"/>
      <c r="K10" s="266"/>
      <c r="L10" s="266"/>
      <c r="M10" s="270"/>
      <c r="N10" s="270"/>
      <c r="O10" s="266"/>
      <c r="P10" s="266"/>
      <c r="Q10" s="266"/>
      <c r="R10" s="266"/>
      <c r="S10" s="266"/>
      <c r="T10" s="266"/>
      <c r="U10" s="266"/>
      <c r="BF10" s="158" t="str">
        <f>C1 &amp; "-II"</f>
        <v>0.0-II</v>
      </c>
      <c r="BI10" s="159"/>
      <c r="BJ10" s="159"/>
      <c r="BK10" s="159"/>
      <c r="BN10" s="42"/>
    </row>
    <row r="11" spans="1:66" ht="11.25" hidden="1" customHeight="1">
      <c r="A11" s="95"/>
      <c r="B11" s="910"/>
      <c r="C11" s="910"/>
      <c r="D11" s="707"/>
      <c r="E11" s="96"/>
      <c r="F11" s="106" t="str">
        <f>F1 &amp; ".8"</f>
        <v>0.8</v>
      </c>
      <c r="G11" s="105" t="s">
        <v>729</v>
      </c>
      <c r="H11" s="107"/>
      <c r="I11" s="107"/>
      <c r="J11" s="107"/>
      <c r="K11" s="266"/>
      <c r="L11" s="266"/>
      <c r="M11" s="266"/>
      <c r="N11" s="266"/>
      <c r="O11" s="266"/>
      <c r="P11" s="266"/>
      <c r="Q11" s="266"/>
      <c r="R11" s="266"/>
      <c r="S11" s="266"/>
      <c r="T11" s="266"/>
      <c r="U11" s="266"/>
      <c r="BF11" s="158" t="str">
        <f>C1 &amp; "-II"</f>
        <v>0.0-II</v>
      </c>
      <c r="BI11" s="159"/>
      <c r="BJ11" s="159"/>
      <c r="BK11" s="159"/>
      <c r="BN11" s="42"/>
    </row>
    <row r="12" spans="1:66" ht="11.25" hidden="1" customHeight="1">
      <c r="A12" s="95"/>
      <c r="B12" s="910"/>
      <c r="C12" s="910"/>
      <c r="D12" s="707"/>
      <c r="E12" s="96"/>
      <c r="F12" s="106" t="str">
        <f>F1 &amp; ".9"</f>
        <v>0.9</v>
      </c>
      <c r="G12" s="105" t="s">
        <v>730</v>
      </c>
      <c r="H12" s="107"/>
      <c r="I12" s="107"/>
      <c r="J12" s="107"/>
      <c r="K12" s="266"/>
      <c r="L12" s="266"/>
      <c r="M12" s="266"/>
      <c r="N12" s="266"/>
      <c r="O12" s="266"/>
      <c r="P12" s="266"/>
      <c r="Q12" s="266"/>
      <c r="R12" s="266"/>
      <c r="S12" s="266"/>
      <c r="T12" s="266"/>
      <c r="U12" s="266"/>
      <c r="BF12" s="158" t="str">
        <f>C1 &amp; IF(TEMPLATE_CLAIM="P","-II","-III")</f>
        <v>0.0-III</v>
      </c>
      <c r="BI12" s="159"/>
      <c r="BJ12" s="159"/>
      <c r="BK12" s="159"/>
      <c r="BN12" s="42"/>
    </row>
    <row r="13" spans="1:66" ht="11.25" hidden="1" customHeight="1">
      <c r="A13" s="95"/>
      <c r="B13" s="910"/>
      <c r="C13" s="910"/>
      <c r="D13" s="707"/>
      <c r="E13" s="96"/>
      <c r="F13" s="106" t="str">
        <f>F1 &amp; ".10"</f>
        <v>0.10</v>
      </c>
      <c r="G13" s="105" t="s">
        <v>731</v>
      </c>
      <c r="H13" s="107"/>
      <c r="I13" s="107"/>
      <c r="J13" s="107"/>
      <c r="K13" s="266"/>
      <c r="L13" s="266"/>
      <c r="M13" s="266"/>
      <c r="N13" s="266"/>
      <c r="O13" s="266"/>
      <c r="P13" s="266"/>
      <c r="Q13" s="266"/>
      <c r="R13" s="266"/>
      <c r="S13" s="266"/>
      <c r="T13" s="266"/>
      <c r="U13" s="266"/>
      <c r="BF13" s="158" t="str">
        <f>C1 &amp; IF(TEMPLATE_CLAIM="P","-II","-III")</f>
        <v>0.0-III</v>
      </c>
      <c r="BI13" s="159"/>
      <c r="BJ13" s="159"/>
      <c r="BK13" s="159"/>
      <c r="BN13" s="42"/>
    </row>
    <row r="14" spans="1:66" ht="11.25" hidden="1" customHeight="1">
      <c r="A14" s="95"/>
      <c r="B14" s="910"/>
      <c r="C14" s="910"/>
      <c r="D14" s="707"/>
      <c r="E14" s="96"/>
      <c r="F14" s="106" t="str">
        <f>F1 &amp; ".11"</f>
        <v>0.11</v>
      </c>
      <c r="G14" s="105" t="s">
        <v>732</v>
      </c>
      <c r="H14" s="107"/>
      <c r="I14" s="107"/>
      <c r="J14" s="107"/>
      <c r="K14" s="266"/>
      <c r="L14" s="266"/>
      <c r="M14" s="266"/>
      <c r="N14" s="266"/>
      <c r="O14" s="266"/>
      <c r="P14" s="266"/>
      <c r="Q14" s="266"/>
      <c r="R14" s="266"/>
      <c r="S14" s="266"/>
      <c r="T14" s="266"/>
      <c r="U14" s="266"/>
      <c r="BF14" s="158" t="str">
        <f>C1 &amp; IF(TEMPLATE_CLAIM="P","-II","-III")</f>
        <v>0.0-III</v>
      </c>
      <c r="BI14" s="159"/>
      <c r="BJ14" s="159"/>
      <c r="BK14" s="159"/>
      <c r="BN14" s="42"/>
    </row>
    <row r="15" spans="1:66" ht="11.25" hidden="1" customHeight="1">
      <c r="A15" s="95"/>
      <c r="B15" s="910"/>
      <c r="C15" s="910"/>
      <c r="D15" s="707"/>
      <c r="E15" s="96"/>
      <c r="F15" s="106" t="str">
        <f>F1 &amp; ".12"</f>
        <v>0.12</v>
      </c>
      <c r="G15" s="105" t="s">
        <v>733</v>
      </c>
      <c r="H15" s="107"/>
      <c r="I15" s="107"/>
      <c r="J15" s="107"/>
      <c r="K15" s="266"/>
      <c r="L15" s="266"/>
      <c r="M15" s="266"/>
      <c r="N15" s="266"/>
      <c r="O15" s="266"/>
      <c r="P15" s="266"/>
      <c r="Q15" s="266"/>
      <c r="R15" s="266"/>
      <c r="S15" s="266"/>
      <c r="T15" s="266"/>
      <c r="U15" s="266"/>
      <c r="BF15" s="158" t="str">
        <f>C1 &amp; IF(TEMPLATE_CLAIM="P","-II","-III")</f>
        <v>0.0-III</v>
      </c>
      <c r="BI15" s="159"/>
      <c r="BJ15" s="159"/>
      <c r="BK15" s="159"/>
      <c r="BN15" s="42"/>
    </row>
    <row r="16" spans="1:66" ht="0.75" hidden="1" customHeight="1">
      <c r="A16" s="95"/>
      <c r="B16" s="910"/>
      <c r="C16" s="910"/>
      <c r="D16" s="707"/>
      <c r="E16" s="96"/>
      <c r="F16" s="107"/>
      <c r="G16" s="107"/>
      <c r="H16" s="107"/>
      <c r="I16" s="107"/>
      <c r="J16" s="107"/>
      <c r="K16" s="266"/>
      <c r="L16" s="266"/>
      <c r="M16" s="266"/>
      <c r="N16" s="266"/>
      <c r="O16" s="266"/>
      <c r="P16" s="266"/>
      <c r="Q16" s="266"/>
      <c r="R16" s="266"/>
      <c r="S16" s="266"/>
      <c r="T16" s="266"/>
      <c r="U16" s="266"/>
      <c r="BF16" s="158"/>
      <c r="BI16" s="159"/>
      <c r="BJ16" s="159"/>
      <c r="BK16" s="159"/>
      <c r="BN16" s="42"/>
    </row>
    <row r="17" spans="1:66" ht="0.75" hidden="1" customHeight="1">
      <c r="A17" s="95"/>
      <c r="B17" s="910"/>
      <c r="C17" s="910"/>
      <c r="D17" s="707"/>
      <c r="E17" s="96"/>
      <c r="F17" s="107"/>
      <c r="G17" s="107"/>
      <c r="H17" s="107"/>
      <c r="I17" s="107"/>
      <c r="J17" s="107"/>
      <c r="K17" s="266"/>
      <c r="L17" s="266"/>
      <c r="M17" s="266"/>
      <c r="N17" s="266"/>
      <c r="O17" s="266"/>
      <c r="P17" s="266"/>
      <c r="Q17" s="266"/>
      <c r="R17" s="266"/>
      <c r="S17" s="266"/>
      <c r="T17" s="266"/>
      <c r="U17" s="266"/>
      <c r="BF17" s="158"/>
      <c r="BI17" s="159"/>
      <c r="BJ17" s="159"/>
      <c r="BK17" s="159"/>
      <c r="BN17" s="42"/>
    </row>
    <row r="18" spans="1:66" ht="0.75" hidden="1" customHeight="1">
      <c r="A18" s="95"/>
      <c r="B18" s="910"/>
      <c r="C18" s="910"/>
      <c r="D18" s="707"/>
      <c r="E18" s="96"/>
      <c r="F18" s="107"/>
      <c r="G18" s="107"/>
      <c r="H18" s="107"/>
      <c r="I18" s="107"/>
      <c r="J18" s="107"/>
      <c r="K18" s="266"/>
      <c r="L18" s="266"/>
      <c r="M18" s="266"/>
      <c r="N18" s="266"/>
      <c r="O18" s="266"/>
      <c r="P18" s="266"/>
      <c r="Q18" s="266"/>
      <c r="R18" s="266"/>
      <c r="S18" s="266"/>
      <c r="T18" s="266"/>
      <c r="U18" s="266"/>
      <c r="BF18" s="158"/>
      <c r="BI18" s="159"/>
      <c r="BJ18" s="159"/>
      <c r="BK18" s="159"/>
      <c r="BN18" s="42"/>
    </row>
    <row r="19" spans="1:66" ht="0.75" hidden="1" customHeight="1">
      <c r="A19" s="95"/>
      <c r="B19" s="910"/>
      <c r="C19" s="910"/>
      <c r="D19" s="707"/>
      <c r="E19" s="96"/>
      <c r="F19" s="107"/>
      <c r="G19" s="107"/>
      <c r="H19" s="107"/>
      <c r="I19" s="107"/>
      <c r="J19" s="107"/>
      <c r="K19" s="266"/>
      <c r="L19" s="266"/>
      <c r="M19" s="266"/>
      <c r="N19" s="266"/>
      <c r="O19" s="266"/>
      <c r="P19" s="266"/>
      <c r="Q19" s="266"/>
      <c r="R19" s="266"/>
      <c r="S19" s="266"/>
      <c r="T19" s="266"/>
      <c r="U19" s="266"/>
      <c r="BF19" s="158"/>
      <c r="BI19" s="159"/>
      <c r="BJ19" s="159"/>
      <c r="BK19" s="159"/>
      <c r="BN19" s="42"/>
    </row>
    <row r="20" spans="1:66" ht="0.75" hidden="1" customHeight="1">
      <c r="A20" s="95"/>
      <c r="B20" s="910"/>
      <c r="C20" s="910"/>
      <c r="D20" s="707"/>
      <c r="E20" s="96"/>
      <c r="F20" s="107"/>
      <c r="G20" s="107"/>
      <c r="H20" s="107"/>
      <c r="I20" s="107"/>
      <c r="J20" s="107"/>
      <c r="K20" s="266"/>
      <c r="L20" s="266"/>
      <c r="M20" s="266"/>
      <c r="N20" s="266"/>
      <c r="O20" s="266"/>
      <c r="P20" s="266"/>
      <c r="Q20" s="266"/>
      <c r="R20" s="266"/>
      <c r="S20" s="266"/>
      <c r="T20" s="266"/>
      <c r="U20" s="266"/>
      <c r="BF20" s="158"/>
      <c r="BI20" s="159"/>
      <c r="BJ20" s="159"/>
      <c r="BK20" s="159"/>
      <c r="BN20" s="42"/>
    </row>
    <row r="21" spans="1:66" ht="0.75" hidden="1" customHeight="1">
      <c r="A21" s="95"/>
      <c r="B21" s="910"/>
      <c r="C21" s="910"/>
      <c r="D21" s="707"/>
      <c r="E21" s="96"/>
      <c r="F21" s="107"/>
      <c r="G21" s="107"/>
      <c r="H21" s="107"/>
      <c r="I21" s="107"/>
      <c r="J21" s="107"/>
      <c r="K21" s="266"/>
      <c r="L21" s="266"/>
      <c r="M21" s="266"/>
      <c r="N21" s="266"/>
      <c r="O21" s="266"/>
      <c r="P21" s="266"/>
      <c r="Q21" s="266"/>
      <c r="R21" s="266"/>
      <c r="S21" s="266"/>
      <c r="T21" s="266"/>
      <c r="U21" s="266"/>
      <c r="BF21" s="158"/>
      <c r="BI21" s="159"/>
      <c r="BJ21" s="159"/>
      <c r="BK21" s="159"/>
      <c r="BN21" s="42"/>
    </row>
    <row r="22" spans="1:66" ht="0.75" hidden="1" customHeight="1">
      <c r="A22" s="95"/>
      <c r="B22" s="910"/>
      <c r="C22" s="910"/>
      <c r="D22" s="707"/>
      <c r="E22" s="96"/>
      <c r="F22" s="107"/>
      <c r="G22" s="107"/>
      <c r="H22" s="107"/>
      <c r="I22" s="107"/>
      <c r="J22" s="107"/>
      <c r="K22" s="266"/>
      <c r="L22" s="266"/>
      <c r="M22" s="266"/>
      <c r="N22" s="266"/>
      <c r="O22" s="266"/>
      <c r="P22" s="266"/>
      <c r="Q22" s="266"/>
      <c r="R22" s="266"/>
      <c r="S22" s="266"/>
      <c r="T22" s="266"/>
      <c r="U22" s="266"/>
      <c r="BF22" s="158"/>
      <c r="BI22" s="159"/>
      <c r="BJ22" s="159"/>
      <c r="BK22" s="159"/>
      <c r="BN22" s="42"/>
    </row>
    <row r="23" spans="1:66" ht="0.75" hidden="1" customHeight="1">
      <c r="A23" s="95"/>
      <c r="B23" s="910"/>
      <c r="C23" s="910"/>
      <c r="D23" s="707"/>
      <c r="E23" s="96"/>
      <c r="F23" s="107"/>
      <c r="G23" s="107"/>
      <c r="H23" s="107"/>
      <c r="I23" s="107"/>
      <c r="J23" s="107"/>
      <c r="K23" s="266"/>
      <c r="L23" s="266"/>
      <c r="M23" s="266"/>
      <c r="N23" s="266"/>
      <c r="O23" s="266"/>
      <c r="P23" s="266"/>
      <c r="Q23" s="266"/>
      <c r="R23" s="266"/>
      <c r="S23" s="266"/>
      <c r="T23" s="266"/>
      <c r="U23" s="266"/>
      <c r="BF23" s="158"/>
      <c r="BI23" s="159"/>
      <c r="BJ23" s="159"/>
      <c r="BK23" s="159"/>
      <c r="BN23" s="42"/>
    </row>
    <row r="24" spans="1:66" ht="0.75" hidden="1" customHeight="1">
      <c r="A24" s="95"/>
      <c r="B24" s="910"/>
      <c r="C24" s="910"/>
      <c r="D24" s="707"/>
      <c r="E24" s="96"/>
      <c r="F24" s="107"/>
      <c r="G24" s="107"/>
      <c r="H24" s="107"/>
      <c r="I24" s="107"/>
      <c r="J24" s="107"/>
      <c r="K24" s="266"/>
      <c r="L24" s="266"/>
      <c r="M24" s="266"/>
      <c r="N24" s="266"/>
      <c r="O24" s="266"/>
      <c r="P24" s="266"/>
      <c r="Q24" s="266"/>
      <c r="R24" s="266"/>
      <c r="S24" s="266"/>
      <c r="T24" s="266"/>
      <c r="U24" s="266"/>
      <c r="BF24" s="158"/>
      <c r="BI24" s="159"/>
      <c r="BJ24" s="159"/>
      <c r="BK24" s="159"/>
      <c r="BN24" s="42"/>
    </row>
    <row r="25" spans="1:66" ht="0.75" hidden="1" customHeight="1">
      <c r="A25" s="95"/>
      <c r="B25" s="910"/>
      <c r="C25" s="910"/>
      <c r="D25" s="707"/>
      <c r="E25" s="96"/>
      <c r="F25" s="107"/>
      <c r="G25" s="107"/>
      <c r="H25" s="107"/>
      <c r="I25" s="107"/>
      <c r="J25" s="107"/>
      <c r="K25" s="266"/>
      <c r="L25" s="266"/>
      <c r="M25" s="266"/>
      <c r="N25" s="266"/>
      <c r="O25" s="266"/>
      <c r="P25" s="266"/>
      <c r="Q25" s="266"/>
      <c r="R25" s="266"/>
      <c r="S25" s="266"/>
      <c r="T25" s="266"/>
      <c r="U25" s="266"/>
      <c r="BF25" s="158"/>
      <c r="BI25" s="159"/>
      <c r="BJ25" s="159"/>
      <c r="BK25" s="159"/>
      <c r="BN25" s="42"/>
    </row>
    <row r="26" spans="1:66" ht="0.75" hidden="1" customHeight="1">
      <c r="A26" s="95"/>
      <c r="B26" s="910"/>
      <c r="C26" s="910"/>
      <c r="D26" s="707"/>
      <c r="E26" s="96"/>
      <c r="F26" s="107"/>
      <c r="G26" s="107"/>
      <c r="H26" s="107"/>
      <c r="I26" s="107"/>
      <c r="J26" s="107"/>
      <c r="K26" s="266"/>
      <c r="L26" s="266"/>
      <c r="M26" s="266"/>
      <c r="N26" s="266"/>
      <c r="O26" s="266"/>
      <c r="P26" s="266"/>
      <c r="Q26" s="266"/>
      <c r="R26" s="266"/>
      <c r="S26" s="266"/>
      <c r="T26" s="266"/>
      <c r="U26" s="266"/>
      <c r="BF26" s="158"/>
      <c r="BI26" s="159"/>
      <c r="BJ26" s="159"/>
      <c r="BK26" s="159"/>
      <c r="BN26" s="42"/>
    </row>
    <row r="27" spans="1:66" ht="0.75" hidden="1" customHeight="1">
      <c r="A27" s="95"/>
      <c r="B27" s="910"/>
      <c r="C27" s="910"/>
      <c r="D27" s="707"/>
      <c r="E27" s="96"/>
      <c r="F27" s="107"/>
      <c r="G27" s="107"/>
      <c r="H27" s="107"/>
      <c r="I27" s="107"/>
      <c r="J27" s="107"/>
      <c r="K27" s="266"/>
      <c r="L27" s="266"/>
      <c r="M27" s="266"/>
      <c r="N27" s="266"/>
      <c r="O27" s="266"/>
      <c r="P27" s="266"/>
      <c r="Q27" s="266"/>
      <c r="R27" s="266"/>
      <c r="S27" s="266"/>
      <c r="T27" s="266"/>
      <c r="U27" s="266"/>
      <c r="BF27" s="158"/>
      <c r="BI27" s="159"/>
      <c r="BJ27" s="159"/>
      <c r="BK27" s="159"/>
      <c r="BN27" s="42"/>
    </row>
    <row r="28" spans="1:66" ht="0.75" hidden="1" customHeight="1">
      <c r="A28" s="95"/>
      <c r="B28" s="910"/>
      <c r="C28" s="910"/>
      <c r="D28" s="707"/>
      <c r="E28" s="96"/>
      <c r="F28" s="107"/>
      <c r="G28" s="107"/>
      <c r="H28" s="107"/>
      <c r="I28" s="107"/>
      <c r="J28" s="107"/>
      <c r="K28" s="266"/>
      <c r="L28" s="267"/>
      <c r="M28" s="266"/>
      <c r="N28" s="266"/>
      <c r="O28" s="266"/>
      <c r="P28" s="266"/>
      <c r="Q28" s="266"/>
      <c r="R28" s="266"/>
      <c r="S28" s="266"/>
      <c r="T28" s="266"/>
      <c r="U28" s="266"/>
      <c r="BF28" s="158"/>
      <c r="BI28" s="159"/>
      <c r="BJ28" s="159"/>
      <c r="BK28" s="159"/>
      <c r="BN28" s="42"/>
    </row>
    <row r="29" spans="1:66" hidden="1">
      <c r="A29" s="95"/>
      <c r="B29" s="910"/>
      <c r="C29" s="119" t="str">
        <f>F31</f>
        <v>0.0</v>
      </c>
      <c r="D29" s="714" t="s">
        <v>652</v>
      </c>
      <c r="E29" s="96"/>
      <c r="F29" s="835">
        <f>B29</f>
        <v>0</v>
      </c>
      <c r="G29" s="913"/>
      <c r="H29" s="266"/>
      <c r="I29" s="266"/>
      <c r="J29" s="699">
        <f>IF(TEMPLATE_CLAIM="P","",K29+L29)</f>
        <v>0</v>
      </c>
      <c r="K29" s="274"/>
      <c r="L29" s="691">
        <f>IF(TEMPLATE_CLAIM="P","",M29+N29+O29+P29)</f>
        <v>0</v>
      </c>
      <c r="M29" s="274"/>
      <c r="N29" s="274"/>
      <c r="O29" s="274"/>
      <c r="P29" s="274"/>
      <c r="Q29" s="274"/>
      <c r="R29" s="691">
        <f>IF(TEMPLATE_CLAIM="P","",S29+T29)</f>
        <v>0</v>
      </c>
      <c r="S29" s="274"/>
      <c r="T29" s="274"/>
      <c r="U29" s="274"/>
      <c r="BF29" s="426" t="s">
        <v>3144</v>
      </c>
      <c r="BI29" s="288"/>
      <c r="BJ29" s="288"/>
      <c r="BK29" s="159"/>
    </row>
    <row r="30" spans="1:66" ht="0.75" hidden="1" customHeight="1">
      <c r="A30" s="95"/>
      <c r="B30" s="910"/>
      <c r="C30" s="119"/>
      <c r="D30" s="706"/>
      <c r="E30" s="96"/>
      <c r="F30" s="835"/>
      <c r="G30" s="913"/>
      <c r="H30" s="107"/>
      <c r="I30" s="107"/>
      <c r="J30" s="107"/>
      <c r="K30" s="266"/>
      <c r="L30" s="266"/>
      <c r="M30" s="266"/>
      <c r="N30" s="266"/>
      <c r="O30" s="266"/>
      <c r="P30" s="266"/>
      <c r="Q30" s="266"/>
      <c r="R30" s="266"/>
      <c r="S30" s="266"/>
      <c r="T30" s="266"/>
      <c r="U30" s="266"/>
      <c r="BF30" s="158" t="str">
        <f>IF(TEMPLATE_SPHERE="водоснабжения","TOTAL_ORG_TW","")</f>
        <v/>
      </c>
      <c r="BI30" s="288"/>
      <c r="BJ30" s="288"/>
      <c r="BK30" s="159"/>
    </row>
    <row r="31" spans="1:66" hidden="1">
      <c r="A31" s="95"/>
      <c r="B31" s="910"/>
      <c r="C31" s="910"/>
      <c r="D31" s="707"/>
      <c r="E31" s="96"/>
      <c r="F31" s="106" t="str">
        <f>F29 &amp; ".0"</f>
        <v>0.0</v>
      </c>
      <c r="G31" s="105" t="s">
        <v>721</v>
      </c>
      <c r="H31" s="266"/>
      <c r="I31" s="266"/>
      <c r="J31" s="516">
        <f>K31+L31</f>
        <v>0</v>
      </c>
      <c r="K31" s="271">
        <f>SUM(K32:K43)</f>
        <v>0</v>
      </c>
      <c r="L31" s="271">
        <f>M31+N31+O31+P31</f>
        <v>0</v>
      </c>
      <c r="M31" s="271">
        <f>SUM(M32:M43)</f>
        <v>0</v>
      </c>
      <c r="N31" s="271">
        <f>SUM(N32:N43)</f>
        <v>0</v>
      </c>
      <c r="O31" s="271">
        <f>SUM(O32:O43)</f>
        <v>0</v>
      </c>
      <c r="P31" s="271">
        <f>SUM(P32:P43)</f>
        <v>0</v>
      </c>
      <c r="Q31" s="272"/>
      <c r="R31" s="271">
        <f>S31+T31</f>
        <v>0</v>
      </c>
      <c r="S31" s="272"/>
      <c r="T31" s="272"/>
      <c r="U31" s="272"/>
      <c r="BA31" s="471">
        <f>IF(J31=0,0,K31/J31*100)</f>
        <v>0</v>
      </c>
      <c r="BF31" s="158" t="str">
        <f>IF(TEMPLATE_SPHERE="водоснабжения","TOTAL_ORG_PW","TOTAL_ORG")</f>
        <v>TOTAL_ORG</v>
      </c>
      <c r="BI31" s="288"/>
      <c r="BJ31" s="288"/>
      <c r="BK31" s="159"/>
    </row>
    <row r="32" spans="1:66" hidden="1">
      <c r="A32" s="95"/>
      <c r="B32" s="910"/>
      <c r="C32" s="910"/>
      <c r="D32" s="707"/>
      <c r="E32" s="96"/>
      <c r="F32" s="106" t="str">
        <f>F29 &amp; ".1"</f>
        <v>0.1</v>
      </c>
      <c r="G32" s="105" t="s">
        <v>722</v>
      </c>
      <c r="H32" s="266"/>
      <c r="I32" s="266"/>
      <c r="J32" s="516">
        <f t="shared" ref="J32:J43" si="0">K32+L32</f>
        <v>0</v>
      </c>
      <c r="K32" s="272"/>
      <c r="L32" s="271">
        <f t="shared" ref="L32:L43" si="1">M32+N32+O32+P32</f>
        <v>0</v>
      </c>
      <c r="M32" s="272"/>
      <c r="N32" s="272"/>
      <c r="O32" s="272"/>
      <c r="P32" s="272"/>
      <c r="Q32" s="266"/>
      <c r="R32" s="266"/>
      <c r="S32" s="266"/>
      <c r="T32" s="266"/>
      <c r="U32" s="266"/>
      <c r="BF32" s="158" t="str">
        <f>C29 &amp; "-I"</f>
        <v>0.0-I</v>
      </c>
      <c r="BI32" s="288"/>
      <c r="BJ32" s="288"/>
      <c r="BK32" s="159"/>
    </row>
    <row r="33" spans="1:66" hidden="1">
      <c r="A33" s="95"/>
      <c r="B33" s="910"/>
      <c r="C33" s="910"/>
      <c r="D33" s="707"/>
      <c r="E33" s="96"/>
      <c r="F33" s="106" t="str">
        <f>F29 &amp; ".2"</f>
        <v>0.2</v>
      </c>
      <c r="G33" s="105" t="s">
        <v>723</v>
      </c>
      <c r="H33" s="266"/>
      <c r="I33" s="266"/>
      <c r="J33" s="516">
        <f t="shared" si="0"/>
        <v>0</v>
      </c>
      <c r="K33" s="272"/>
      <c r="L33" s="271">
        <f t="shared" si="1"/>
        <v>0</v>
      </c>
      <c r="M33" s="272"/>
      <c r="N33" s="272"/>
      <c r="O33" s="272"/>
      <c r="P33" s="272"/>
      <c r="Q33" s="266"/>
      <c r="R33" s="266"/>
      <c r="S33" s="266"/>
      <c r="T33" s="266"/>
      <c r="U33" s="266"/>
      <c r="BF33" s="158" t="str">
        <f>C29 &amp; "-I"</f>
        <v>0.0-I</v>
      </c>
      <c r="BI33" s="288"/>
      <c r="BJ33" s="288"/>
      <c r="BK33" s="159"/>
    </row>
    <row r="34" spans="1:66" hidden="1">
      <c r="A34" s="95"/>
      <c r="B34" s="910"/>
      <c r="C34" s="910"/>
      <c r="D34" s="707"/>
      <c r="E34" s="96"/>
      <c r="F34" s="106" t="str">
        <f>F29 &amp; ".3"</f>
        <v>0.3</v>
      </c>
      <c r="G34" s="105" t="s">
        <v>724</v>
      </c>
      <c r="H34" s="266"/>
      <c r="I34" s="266"/>
      <c r="J34" s="516">
        <f t="shared" si="0"/>
        <v>0</v>
      </c>
      <c r="K34" s="272"/>
      <c r="L34" s="271">
        <f t="shared" si="1"/>
        <v>0</v>
      </c>
      <c r="M34" s="272"/>
      <c r="N34" s="272"/>
      <c r="O34" s="272"/>
      <c r="P34" s="272"/>
      <c r="Q34" s="266"/>
      <c r="R34" s="266"/>
      <c r="S34" s="266"/>
      <c r="T34" s="266"/>
      <c r="U34" s="266"/>
      <c r="BF34" s="158" t="str">
        <f>C29 &amp; "-I"</f>
        <v>0.0-I</v>
      </c>
      <c r="BI34" s="288"/>
      <c r="BJ34" s="288"/>
      <c r="BK34" s="159"/>
    </row>
    <row r="35" spans="1:66" hidden="1">
      <c r="A35" s="95"/>
      <c r="B35" s="910"/>
      <c r="C35" s="910"/>
      <c r="D35" s="707"/>
      <c r="E35" s="96"/>
      <c r="F35" s="106" t="str">
        <f>F29 &amp; ".4"</f>
        <v>0.4</v>
      </c>
      <c r="G35" s="105" t="s">
        <v>725</v>
      </c>
      <c r="H35" s="266"/>
      <c r="I35" s="266"/>
      <c r="J35" s="516">
        <f t="shared" si="0"/>
        <v>0</v>
      </c>
      <c r="K35" s="272"/>
      <c r="L35" s="271">
        <f t="shared" si="1"/>
        <v>0</v>
      </c>
      <c r="M35" s="272"/>
      <c r="N35" s="272"/>
      <c r="O35" s="272"/>
      <c r="P35" s="272"/>
      <c r="Q35" s="266"/>
      <c r="R35" s="266"/>
      <c r="S35" s="266"/>
      <c r="T35" s="266"/>
      <c r="U35" s="266"/>
      <c r="BF35" s="158" t="str">
        <f>C29 &amp; "-I"</f>
        <v>0.0-I</v>
      </c>
      <c r="BI35" s="288"/>
      <c r="BJ35" s="288"/>
      <c r="BK35" s="159"/>
    </row>
    <row r="36" spans="1:66" hidden="1">
      <c r="A36" s="95"/>
      <c r="B36" s="910"/>
      <c r="C36" s="910"/>
      <c r="D36" s="707"/>
      <c r="E36" s="96"/>
      <c r="F36" s="106" t="str">
        <f>F29 &amp; ".5"</f>
        <v>0.5</v>
      </c>
      <c r="G36" s="105" t="s">
        <v>726</v>
      </c>
      <c r="H36" s="266"/>
      <c r="I36" s="266"/>
      <c r="J36" s="516">
        <f t="shared" si="0"/>
        <v>0</v>
      </c>
      <c r="K36" s="272"/>
      <c r="L36" s="271">
        <f t="shared" si="1"/>
        <v>0</v>
      </c>
      <c r="M36" s="272"/>
      <c r="N36" s="272"/>
      <c r="O36" s="272"/>
      <c r="P36" s="272"/>
      <c r="Q36" s="266"/>
      <c r="R36" s="266"/>
      <c r="S36" s="266"/>
      <c r="T36" s="266"/>
      <c r="U36" s="266"/>
      <c r="BF36" s="158" t="str">
        <f>C29 &amp; "-I"</f>
        <v>0.0-I</v>
      </c>
      <c r="BI36" s="288"/>
      <c r="BJ36" s="288"/>
      <c r="BK36" s="159"/>
    </row>
    <row r="37" spans="1:66" hidden="1">
      <c r="A37" s="95"/>
      <c r="B37" s="910"/>
      <c r="C37" s="910"/>
      <c r="D37" s="707"/>
      <c r="E37" s="96"/>
      <c r="F37" s="106" t="str">
        <f>F29 &amp; ".6"</f>
        <v>0.6</v>
      </c>
      <c r="G37" s="105" t="s">
        <v>727</v>
      </c>
      <c r="H37" s="266"/>
      <c r="I37" s="266"/>
      <c r="J37" s="516">
        <f t="shared" si="0"/>
        <v>0</v>
      </c>
      <c r="K37" s="272"/>
      <c r="L37" s="271">
        <f t="shared" si="1"/>
        <v>0</v>
      </c>
      <c r="M37" s="272"/>
      <c r="N37" s="272"/>
      <c r="O37" s="272"/>
      <c r="P37" s="272"/>
      <c r="Q37" s="266"/>
      <c r="R37" s="266"/>
      <c r="S37" s="266"/>
      <c r="T37" s="266"/>
      <c r="U37" s="266"/>
      <c r="BF37" s="158" t="str">
        <f>C29 &amp; "-I"</f>
        <v>0.0-I</v>
      </c>
      <c r="BI37" s="288"/>
      <c r="BJ37" s="288"/>
      <c r="BK37" s="159"/>
    </row>
    <row r="38" spans="1:66" hidden="1">
      <c r="A38" s="95"/>
      <c r="B38" s="910"/>
      <c r="C38" s="910"/>
      <c r="D38" s="707"/>
      <c r="E38" s="96"/>
      <c r="F38" s="106" t="str">
        <f>F29 &amp; ".7"</f>
        <v>0.7</v>
      </c>
      <c r="G38" s="105" t="s">
        <v>728</v>
      </c>
      <c r="H38" s="266"/>
      <c r="I38" s="266"/>
      <c r="J38" s="516">
        <f t="shared" si="0"/>
        <v>0</v>
      </c>
      <c r="K38" s="272"/>
      <c r="L38" s="271">
        <f t="shared" si="1"/>
        <v>0</v>
      </c>
      <c r="M38" s="272"/>
      <c r="N38" s="272"/>
      <c r="O38" s="272"/>
      <c r="P38" s="272"/>
      <c r="Q38" s="266"/>
      <c r="R38" s="266"/>
      <c r="S38" s="266"/>
      <c r="T38" s="266"/>
      <c r="U38" s="266"/>
      <c r="BF38" s="158" t="str">
        <f>C29 &amp; "-II"</f>
        <v>0.0-II</v>
      </c>
      <c r="BI38" s="288"/>
      <c r="BJ38" s="288"/>
      <c r="BK38" s="159"/>
    </row>
    <row r="39" spans="1:66" hidden="1">
      <c r="A39" s="95"/>
      <c r="B39" s="910"/>
      <c r="C39" s="910"/>
      <c r="D39" s="707"/>
      <c r="E39" s="96"/>
      <c r="F39" s="106" t="str">
        <f>F29 &amp; ".8"</f>
        <v>0.8</v>
      </c>
      <c r="G39" s="105" t="s">
        <v>729</v>
      </c>
      <c r="H39" s="266"/>
      <c r="I39" s="266"/>
      <c r="J39" s="516">
        <f t="shared" si="0"/>
        <v>0</v>
      </c>
      <c r="K39" s="272"/>
      <c r="L39" s="271">
        <f t="shared" si="1"/>
        <v>0</v>
      </c>
      <c r="M39" s="272"/>
      <c r="N39" s="272"/>
      <c r="O39" s="272"/>
      <c r="P39" s="272"/>
      <c r="Q39" s="266"/>
      <c r="R39" s="266"/>
      <c r="S39" s="266"/>
      <c r="T39" s="266"/>
      <c r="U39" s="266"/>
      <c r="BF39" s="158" t="str">
        <f>C29 &amp; "-II"</f>
        <v>0.0-II</v>
      </c>
      <c r="BI39" s="288"/>
      <c r="BJ39" s="288"/>
      <c r="BK39" s="159"/>
    </row>
    <row r="40" spans="1:66" hidden="1">
      <c r="A40" s="95"/>
      <c r="B40" s="910"/>
      <c r="C40" s="910"/>
      <c r="D40" s="707"/>
      <c r="E40" s="96"/>
      <c r="F40" s="106" t="str">
        <f>F29 &amp; ".9"</f>
        <v>0.9</v>
      </c>
      <c r="G40" s="105" t="s">
        <v>730</v>
      </c>
      <c r="H40" s="266"/>
      <c r="I40" s="266"/>
      <c r="J40" s="516">
        <f t="shared" si="0"/>
        <v>0</v>
      </c>
      <c r="K40" s="272"/>
      <c r="L40" s="271">
        <f t="shared" si="1"/>
        <v>0</v>
      </c>
      <c r="M40" s="272"/>
      <c r="N40" s="272"/>
      <c r="O40" s="272"/>
      <c r="P40" s="272"/>
      <c r="Q40" s="266"/>
      <c r="R40" s="266"/>
      <c r="S40" s="266"/>
      <c r="T40" s="266"/>
      <c r="U40" s="266"/>
      <c r="BF40" s="158" t="str">
        <f>C29 &amp; IF(TEMPLATE_CLAIM="P","-II","-III")</f>
        <v>0.0-III</v>
      </c>
      <c r="BI40" s="288"/>
      <c r="BJ40" s="288"/>
      <c r="BK40" s="159"/>
    </row>
    <row r="41" spans="1:66" hidden="1">
      <c r="A41" s="95"/>
      <c r="B41" s="910"/>
      <c r="C41" s="910"/>
      <c r="D41" s="707"/>
      <c r="E41" s="96"/>
      <c r="F41" s="106" t="str">
        <f>F29 &amp; ".10"</f>
        <v>0.10</v>
      </c>
      <c r="G41" s="105" t="s">
        <v>731</v>
      </c>
      <c r="H41" s="266"/>
      <c r="I41" s="266"/>
      <c r="J41" s="516">
        <f t="shared" si="0"/>
        <v>0</v>
      </c>
      <c r="K41" s="272"/>
      <c r="L41" s="271">
        <f t="shared" si="1"/>
        <v>0</v>
      </c>
      <c r="M41" s="272"/>
      <c r="N41" s="272"/>
      <c r="O41" s="272"/>
      <c r="P41" s="272"/>
      <c r="Q41" s="266"/>
      <c r="R41" s="266"/>
      <c r="S41" s="266"/>
      <c r="T41" s="266"/>
      <c r="U41" s="266"/>
      <c r="BF41" s="158" t="str">
        <f>C29 &amp; IF(TEMPLATE_CLAIM="P","-II","-III")</f>
        <v>0.0-III</v>
      </c>
      <c r="BI41" s="288"/>
      <c r="BJ41" s="288"/>
      <c r="BK41" s="159"/>
    </row>
    <row r="42" spans="1:66" hidden="1">
      <c r="A42" s="95"/>
      <c r="B42" s="910"/>
      <c r="C42" s="910"/>
      <c r="D42" s="707"/>
      <c r="E42" s="96"/>
      <c r="F42" s="106" t="str">
        <f>F29 &amp; ".11"</f>
        <v>0.11</v>
      </c>
      <c r="G42" s="105" t="s">
        <v>732</v>
      </c>
      <c r="H42" s="266"/>
      <c r="I42" s="266"/>
      <c r="J42" s="516">
        <f t="shared" si="0"/>
        <v>0</v>
      </c>
      <c r="K42" s="272"/>
      <c r="L42" s="271">
        <f t="shared" si="1"/>
        <v>0</v>
      </c>
      <c r="M42" s="272"/>
      <c r="N42" s="272"/>
      <c r="O42" s="272"/>
      <c r="P42" s="272"/>
      <c r="Q42" s="266"/>
      <c r="R42" s="266"/>
      <c r="S42" s="266"/>
      <c r="T42" s="266"/>
      <c r="U42" s="266"/>
      <c r="BF42" s="158" t="str">
        <f>C29 &amp; IF(TEMPLATE_CLAIM="P","-II","-III")</f>
        <v>0.0-III</v>
      </c>
      <c r="BI42" s="288"/>
      <c r="BJ42" s="288"/>
      <c r="BK42" s="159"/>
    </row>
    <row r="43" spans="1:66" ht="11.25" hidden="1" customHeight="1">
      <c r="A43" s="95"/>
      <c r="B43" s="910"/>
      <c r="C43" s="910"/>
      <c r="D43" s="707"/>
      <c r="E43" s="96"/>
      <c r="F43" s="106" t="str">
        <f>F29 &amp; ".12"</f>
        <v>0.12</v>
      </c>
      <c r="G43" s="105" t="s">
        <v>733</v>
      </c>
      <c r="H43" s="107"/>
      <c r="I43" s="107"/>
      <c r="J43" s="516">
        <f t="shared" si="0"/>
        <v>0</v>
      </c>
      <c r="K43" s="272"/>
      <c r="L43" s="271">
        <f t="shared" si="1"/>
        <v>0</v>
      </c>
      <c r="M43" s="272"/>
      <c r="N43" s="272"/>
      <c r="O43" s="272"/>
      <c r="P43" s="272"/>
      <c r="Q43" s="266"/>
      <c r="R43" s="266"/>
      <c r="S43" s="266"/>
      <c r="T43" s="266"/>
      <c r="U43" s="266"/>
      <c r="BF43" s="158" t="str">
        <f>C29 &amp; IF(TEMPLATE_CLAIM="P","-II","-III")</f>
        <v>0.0-III</v>
      </c>
      <c r="BI43" s="159"/>
      <c r="BJ43" s="159"/>
      <c r="BK43" s="159"/>
      <c r="BN43" s="42"/>
    </row>
    <row r="44" spans="1:66" ht="0.75" hidden="1" customHeight="1">
      <c r="A44" s="95"/>
      <c r="B44" s="910"/>
      <c r="C44" s="910"/>
      <c r="D44" s="707"/>
      <c r="E44" s="96"/>
      <c r="F44" s="107"/>
      <c r="G44" s="107"/>
      <c r="H44" s="107"/>
      <c r="I44" s="107"/>
      <c r="J44" s="107"/>
      <c r="K44" s="266"/>
      <c r="L44" s="266"/>
      <c r="M44" s="266"/>
      <c r="N44" s="266"/>
      <c r="O44" s="266"/>
      <c r="P44" s="266"/>
      <c r="Q44" s="266"/>
      <c r="R44" s="266"/>
      <c r="S44" s="266"/>
      <c r="T44" s="266"/>
      <c r="U44" s="266"/>
      <c r="BF44" s="158"/>
      <c r="BI44" s="159"/>
      <c r="BJ44" s="159"/>
      <c r="BK44" s="159"/>
      <c r="BN44" s="42"/>
    </row>
    <row r="45" spans="1:66" ht="0.75" hidden="1" customHeight="1">
      <c r="A45" s="95"/>
      <c r="B45" s="910"/>
      <c r="C45" s="910"/>
      <c r="D45" s="707"/>
      <c r="E45" s="96"/>
      <c r="F45" s="107"/>
      <c r="G45" s="107"/>
      <c r="H45" s="107"/>
      <c r="I45" s="107"/>
      <c r="J45" s="107"/>
      <c r="K45" s="266"/>
      <c r="L45" s="266"/>
      <c r="M45" s="266"/>
      <c r="N45" s="266"/>
      <c r="O45" s="266"/>
      <c r="P45" s="266"/>
      <c r="Q45" s="266"/>
      <c r="R45" s="266"/>
      <c r="S45" s="266"/>
      <c r="T45" s="266"/>
      <c r="U45" s="266"/>
      <c r="BF45" s="158"/>
      <c r="BI45" s="159"/>
      <c r="BJ45" s="159"/>
      <c r="BK45" s="159"/>
      <c r="BN45" s="42"/>
    </row>
    <row r="46" spans="1:66" ht="0.75" hidden="1" customHeight="1">
      <c r="A46" s="95"/>
      <c r="B46" s="910"/>
      <c r="C46" s="910"/>
      <c r="D46" s="707"/>
      <c r="E46" s="96"/>
      <c r="F46" s="107"/>
      <c r="G46" s="107"/>
      <c r="H46" s="107"/>
      <c r="I46" s="107"/>
      <c r="J46" s="107"/>
      <c r="K46" s="266"/>
      <c r="L46" s="266"/>
      <c r="M46" s="266"/>
      <c r="N46" s="266"/>
      <c r="O46" s="266"/>
      <c r="P46" s="266"/>
      <c r="Q46" s="266"/>
      <c r="R46" s="266"/>
      <c r="S46" s="266"/>
      <c r="T46" s="266"/>
      <c r="U46" s="266"/>
      <c r="BF46" s="158"/>
      <c r="BI46" s="159"/>
      <c r="BJ46" s="159"/>
      <c r="BK46" s="159"/>
      <c r="BN46" s="42"/>
    </row>
    <row r="47" spans="1:66" ht="0.75" hidden="1" customHeight="1">
      <c r="A47" s="95"/>
      <c r="B47" s="910"/>
      <c r="C47" s="910"/>
      <c r="D47" s="707"/>
      <c r="E47" s="96"/>
      <c r="F47" s="107"/>
      <c r="G47" s="107"/>
      <c r="H47" s="107"/>
      <c r="I47" s="107"/>
      <c r="J47" s="107"/>
      <c r="K47" s="266"/>
      <c r="L47" s="266"/>
      <c r="M47" s="266"/>
      <c r="N47" s="266"/>
      <c r="O47" s="266"/>
      <c r="P47" s="266"/>
      <c r="Q47" s="266"/>
      <c r="R47" s="266"/>
      <c r="S47" s="266"/>
      <c r="T47" s="266"/>
      <c r="U47" s="266"/>
      <c r="BF47" s="158"/>
      <c r="BI47" s="159"/>
      <c r="BJ47" s="159"/>
      <c r="BK47" s="159"/>
      <c r="BN47" s="42"/>
    </row>
    <row r="48" spans="1:66" ht="0.75" hidden="1" customHeight="1">
      <c r="A48" s="95"/>
      <c r="B48" s="910"/>
      <c r="C48" s="910"/>
      <c r="D48" s="707"/>
      <c r="E48" s="96"/>
      <c r="F48" s="107"/>
      <c r="G48" s="107"/>
      <c r="H48" s="107"/>
      <c r="I48" s="107"/>
      <c r="J48" s="107"/>
      <c r="K48" s="266"/>
      <c r="L48" s="266"/>
      <c r="M48" s="266"/>
      <c r="N48" s="266"/>
      <c r="O48" s="266"/>
      <c r="P48" s="266"/>
      <c r="Q48" s="266"/>
      <c r="R48" s="266"/>
      <c r="S48" s="266"/>
      <c r="T48" s="266"/>
      <c r="U48" s="266"/>
      <c r="BF48" s="158"/>
      <c r="BI48" s="159"/>
      <c r="BJ48" s="159"/>
      <c r="BK48" s="159"/>
      <c r="BN48" s="42"/>
    </row>
    <row r="49" spans="1:66" ht="0.75" hidden="1" customHeight="1">
      <c r="A49" s="95"/>
      <c r="B49" s="910"/>
      <c r="C49" s="910"/>
      <c r="D49" s="707"/>
      <c r="E49" s="96"/>
      <c r="F49" s="107"/>
      <c r="G49" s="107"/>
      <c r="H49" s="107"/>
      <c r="I49" s="107"/>
      <c r="J49" s="107"/>
      <c r="K49" s="266"/>
      <c r="L49" s="266"/>
      <c r="M49" s="266"/>
      <c r="N49" s="266"/>
      <c r="O49" s="266"/>
      <c r="P49" s="266"/>
      <c r="Q49" s="266"/>
      <c r="R49" s="266"/>
      <c r="S49" s="266"/>
      <c r="T49" s="266"/>
      <c r="U49" s="266"/>
      <c r="BF49" s="158"/>
      <c r="BI49" s="159"/>
      <c r="BJ49" s="159"/>
      <c r="BK49" s="159"/>
      <c r="BN49" s="42"/>
    </row>
    <row r="50" spans="1:66" ht="0.75" hidden="1" customHeight="1">
      <c r="A50" s="95"/>
      <c r="B50" s="910"/>
      <c r="C50" s="910"/>
      <c r="D50" s="707"/>
      <c r="E50" s="96"/>
      <c r="F50" s="107"/>
      <c r="G50" s="107"/>
      <c r="H50" s="107"/>
      <c r="I50" s="107"/>
      <c r="J50" s="107"/>
      <c r="K50" s="266"/>
      <c r="L50" s="266"/>
      <c r="M50" s="266"/>
      <c r="N50" s="266"/>
      <c r="O50" s="266"/>
      <c r="P50" s="266"/>
      <c r="Q50" s="266"/>
      <c r="R50" s="266"/>
      <c r="S50" s="266"/>
      <c r="T50" s="266"/>
      <c r="U50" s="266"/>
      <c r="BF50" s="158"/>
      <c r="BI50" s="159"/>
      <c r="BJ50" s="159"/>
      <c r="BK50" s="159"/>
      <c r="BN50" s="42"/>
    </row>
    <row r="51" spans="1:66" ht="0.75" hidden="1" customHeight="1">
      <c r="A51" s="95"/>
      <c r="B51" s="910"/>
      <c r="C51" s="910"/>
      <c r="D51" s="707"/>
      <c r="E51" s="96"/>
      <c r="F51" s="107"/>
      <c r="G51" s="107"/>
      <c r="H51" s="107"/>
      <c r="I51" s="107"/>
      <c r="J51" s="107"/>
      <c r="K51" s="266"/>
      <c r="L51" s="266"/>
      <c r="M51" s="266"/>
      <c r="N51" s="266"/>
      <c r="O51" s="266"/>
      <c r="P51" s="266"/>
      <c r="Q51" s="266"/>
      <c r="R51" s="266"/>
      <c r="S51" s="266"/>
      <c r="T51" s="266"/>
      <c r="U51" s="266"/>
      <c r="BF51" s="158"/>
      <c r="BI51" s="159"/>
      <c r="BJ51" s="159"/>
      <c r="BK51" s="159"/>
      <c r="BN51" s="42"/>
    </row>
    <row r="52" spans="1:66" ht="0.75" hidden="1" customHeight="1">
      <c r="A52" s="95"/>
      <c r="B52" s="910"/>
      <c r="C52" s="910"/>
      <c r="D52" s="707"/>
      <c r="E52" s="96"/>
      <c r="F52" s="107"/>
      <c r="G52" s="107"/>
      <c r="H52" s="107"/>
      <c r="I52" s="107"/>
      <c r="J52" s="107"/>
      <c r="K52" s="266"/>
      <c r="L52" s="266"/>
      <c r="M52" s="266"/>
      <c r="N52" s="266"/>
      <c r="O52" s="266"/>
      <c r="P52" s="266"/>
      <c r="Q52" s="266"/>
      <c r="R52" s="266"/>
      <c r="S52" s="266"/>
      <c r="T52" s="266"/>
      <c r="U52" s="266"/>
      <c r="BF52" s="158"/>
      <c r="BI52" s="159"/>
      <c r="BJ52" s="159"/>
      <c r="BK52" s="159"/>
      <c r="BN52" s="42"/>
    </row>
    <row r="53" spans="1:66" ht="0.75" hidden="1" customHeight="1">
      <c r="A53" s="95"/>
      <c r="B53" s="910"/>
      <c r="C53" s="910"/>
      <c r="D53" s="707"/>
      <c r="E53" s="96"/>
      <c r="F53" s="107"/>
      <c r="G53" s="107"/>
      <c r="H53" s="107"/>
      <c r="I53" s="107"/>
      <c r="J53" s="107"/>
      <c r="K53" s="266"/>
      <c r="L53" s="266"/>
      <c r="M53" s="266"/>
      <c r="N53" s="266"/>
      <c r="O53" s="266"/>
      <c r="P53" s="266"/>
      <c r="Q53" s="266"/>
      <c r="R53" s="266"/>
      <c r="S53" s="266"/>
      <c r="T53" s="266"/>
      <c r="U53" s="266"/>
      <c r="BF53" s="158"/>
      <c r="BI53" s="159"/>
      <c r="BJ53" s="159"/>
      <c r="BK53" s="159"/>
      <c r="BN53" s="42"/>
    </row>
    <row r="54" spans="1:66" ht="0.75" hidden="1" customHeight="1">
      <c r="A54" s="95"/>
      <c r="B54" s="910"/>
      <c r="C54" s="910"/>
      <c r="D54" s="707"/>
      <c r="E54" s="96"/>
      <c r="F54" s="107"/>
      <c r="G54" s="107"/>
      <c r="H54" s="107"/>
      <c r="I54" s="107"/>
      <c r="J54" s="107"/>
      <c r="K54" s="266"/>
      <c r="L54" s="266"/>
      <c r="M54" s="266"/>
      <c r="N54" s="266"/>
      <c r="O54" s="266"/>
      <c r="P54" s="266"/>
      <c r="Q54" s="266"/>
      <c r="R54" s="266"/>
      <c r="S54" s="266"/>
      <c r="T54" s="266"/>
      <c r="U54" s="266"/>
      <c r="BF54" s="158"/>
      <c r="BI54" s="159"/>
      <c r="BJ54" s="159"/>
      <c r="BK54" s="159"/>
      <c r="BN54" s="42"/>
    </row>
    <row r="55" spans="1:66" ht="0.75" hidden="1" customHeight="1">
      <c r="A55" s="95"/>
      <c r="B55" s="910"/>
      <c r="C55" s="910"/>
      <c r="D55" s="707"/>
      <c r="E55" s="96"/>
      <c r="F55" s="107"/>
      <c r="G55" s="107"/>
      <c r="H55" s="107"/>
      <c r="I55" s="107"/>
      <c r="J55" s="107"/>
      <c r="K55" s="266"/>
      <c r="L55" s="266"/>
      <c r="M55" s="266"/>
      <c r="N55" s="266"/>
      <c r="O55" s="266"/>
      <c r="P55" s="266"/>
      <c r="Q55" s="266"/>
      <c r="R55" s="266"/>
      <c r="S55" s="266"/>
      <c r="T55" s="266"/>
      <c r="U55" s="266"/>
      <c r="BF55" s="160"/>
      <c r="BI55" s="159"/>
      <c r="BJ55" s="159"/>
      <c r="BK55" s="159"/>
      <c r="BN55" s="42"/>
    </row>
    <row r="56" spans="1:66" ht="0.75" hidden="1" customHeight="1">
      <c r="A56" s="95"/>
      <c r="B56" s="910"/>
      <c r="C56" s="910"/>
      <c r="D56" s="707"/>
      <c r="E56" s="96"/>
      <c r="F56" s="107"/>
      <c r="G56" s="107"/>
      <c r="H56" s="107"/>
      <c r="I56" s="107"/>
      <c r="J56" s="107"/>
      <c r="K56" s="266"/>
      <c r="L56" s="266"/>
      <c r="M56" s="266"/>
      <c r="N56" s="266"/>
      <c r="O56" s="266"/>
      <c r="P56" s="266"/>
      <c r="Q56" s="266"/>
      <c r="R56" s="266"/>
      <c r="S56" s="266"/>
      <c r="T56" s="266"/>
      <c r="U56" s="266"/>
      <c r="BF56" s="160"/>
      <c r="BI56" s="159"/>
      <c r="BJ56" s="159"/>
      <c r="BK56" s="159"/>
      <c r="BN56" s="42"/>
    </row>
    <row r="57" spans="1:66" customFormat="1" hidden="1">
      <c r="D57" s="708"/>
    </row>
    <row r="58" spans="1:66" customFormat="1" hidden="1">
      <c r="D58" s="708"/>
    </row>
    <row r="59" spans="1:66" customFormat="1" hidden="1">
      <c r="D59" s="708"/>
    </row>
    <row r="60" spans="1:66" customFormat="1" hidden="1">
      <c r="D60" s="708"/>
    </row>
    <row r="61" spans="1:66" customFormat="1" hidden="1">
      <c r="D61" s="708"/>
    </row>
    <row r="62" spans="1:66" customFormat="1" hidden="1">
      <c r="D62" s="708"/>
    </row>
    <row r="63" spans="1:66" customFormat="1" hidden="1">
      <c r="D63" s="708"/>
    </row>
    <row r="64" spans="1:66" customFormat="1" hidden="1">
      <c r="D64" s="708"/>
    </row>
    <row r="65" spans="4:4" customFormat="1" hidden="1">
      <c r="D65" s="708"/>
    </row>
    <row r="66" spans="4:4" customFormat="1" hidden="1">
      <c r="D66" s="708"/>
    </row>
    <row r="67" spans="4:4" customFormat="1" hidden="1">
      <c r="D67" s="708"/>
    </row>
    <row r="68" spans="4:4" customFormat="1" hidden="1">
      <c r="D68" s="708"/>
    </row>
    <row r="69" spans="4:4" customFormat="1" hidden="1">
      <c r="D69" s="708"/>
    </row>
    <row r="70" spans="4:4" customFormat="1" hidden="1">
      <c r="D70" s="708"/>
    </row>
    <row r="71" spans="4:4" customFormat="1" hidden="1">
      <c r="D71" s="708"/>
    </row>
    <row r="72" spans="4:4" customFormat="1" hidden="1">
      <c r="D72" s="708"/>
    </row>
    <row r="73" spans="4:4" customFormat="1" hidden="1">
      <c r="D73" s="708"/>
    </row>
    <row r="74" spans="4:4" customFormat="1" hidden="1">
      <c r="D74" s="708"/>
    </row>
    <row r="75" spans="4:4" customFormat="1" hidden="1">
      <c r="D75" s="708"/>
    </row>
    <row r="76" spans="4:4" customFormat="1" hidden="1">
      <c r="D76" s="708"/>
    </row>
    <row r="77" spans="4:4" customFormat="1" hidden="1">
      <c r="D77" s="708"/>
    </row>
    <row r="78" spans="4:4" customFormat="1" hidden="1">
      <c r="D78" s="708"/>
    </row>
    <row r="79" spans="4:4" customFormat="1" hidden="1">
      <c r="D79" s="708"/>
    </row>
    <row r="80" spans="4:4" customFormat="1" hidden="1">
      <c r="D80" s="708"/>
    </row>
    <row r="81" spans="4:4" customFormat="1" hidden="1">
      <c r="D81" s="708"/>
    </row>
    <row r="82" spans="4:4" customFormat="1" hidden="1">
      <c r="D82" s="708"/>
    </row>
    <row r="83" spans="4:4" customFormat="1" hidden="1">
      <c r="D83" s="708"/>
    </row>
    <row r="84" spans="4:4" customFormat="1" hidden="1">
      <c r="D84" s="708"/>
    </row>
    <row r="85" spans="4:4" customFormat="1" hidden="1">
      <c r="D85" s="708"/>
    </row>
    <row r="86" spans="4:4" customFormat="1" hidden="1">
      <c r="D86" s="708"/>
    </row>
    <row r="87" spans="4:4" customFormat="1" hidden="1">
      <c r="D87" s="708"/>
    </row>
    <row r="88" spans="4:4" customFormat="1" hidden="1">
      <c r="D88" s="708"/>
    </row>
    <row r="89" spans="4:4" customFormat="1" hidden="1">
      <c r="D89" s="708"/>
    </row>
    <row r="90" spans="4:4" customFormat="1" hidden="1">
      <c r="D90" s="708"/>
    </row>
    <row r="91" spans="4:4" customFormat="1" hidden="1">
      <c r="D91" s="708"/>
    </row>
    <row r="92" spans="4:4" customFormat="1" hidden="1">
      <c r="D92" s="708"/>
    </row>
    <row r="93" spans="4:4" customFormat="1" hidden="1">
      <c r="D93" s="708"/>
    </row>
    <row r="94" spans="4:4" customFormat="1" hidden="1">
      <c r="D94" s="708"/>
    </row>
    <row r="95" spans="4:4" customFormat="1" hidden="1">
      <c r="D95" s="708"/>
    </row>
    <row r="96" spans="4:4" customFormat="1" hidden="1">
      <c r="D96" s="708"/>
    </row>
    <row r="97" spans="4:4" customFormat="1" hidden="1">
      <c r="D97" s="708"/>
    </row>
    <row r="98" spans="4:4" customFormat="1" hidden="1">
      <c r="D98" s="708"/>
    </row>
    <row r="99" spans="4:4" customFormat="1" hidden="1">
      <c r="D99" s="708"/>
    </row>
    <row r="100" spans="4:4" customFormat="1" hidden="1">
      <c r="D100" s="708"/>
    </row>
    <row r="101" spans="4:4" customFormat="1" hidden="1">
      <c r="D101" s="708"/>
    </row>
    <row r="102" spans="4:4" customFormat="1" hidden="1">
      <c r="D102" s="708"/>
    </row>
    <row r="103" spans="4:4" customFormat="1" hidden="1">
      <c r="D103" s="708"/>
    </row>
    <row r="104" spans="4:4" customFormat="1" hidden="1">
      <c r="D104" s="708"/>
    </row>
    <row r="105" spans="4:4" customFormat="1" hidden="1">
      <c r="D105" s="708"/>
    </row>
    <row r="106" spans="4:4" customFormat="1" hidden="1">
      <c r="D106" s="708"/>
    </row>
    <row r="107" spans="4:4" customFormat="1" hidden="1">
      <c r="D107" s="708"/>
    </row>
    <row r="108" spans="4:4" customFormat="1" hidden="1">
      <c r="D108" s="708"/>
    </row>
    <row r="109" spans="4:4" customFormat="1" hidden="1">
      <c r="D109" s="708"/>
    </row>
    <row r="110" spans="4:4" customFormat="1" hidden="1">
      <c r="D110" s="708"/>
    </row>
    <row r="111" spans="4:4" customFormat="1" hidden="1">
      <c r="D111" s="708"/>
    </row>
    <row r="112" spans="4:4" customFormat="1" hidden="1">
      <c r="D112" s="708"/>
    </row>
    <row r="113" spans="1:63" ht="12" hidden="1" customHeight="1">
      <c r="A113" s="95"/>
      <c r="B113" s="79"/>
      <c r="C113" s="95"/>
      <c r="D113" s="707"/>
      <c r="E113" s="94"/>
      <c r="F113" s="42"/>
    </row>
    <row r="114" spans="1:63" hidden="1">
      <c r="A114" s="95"/>
      <c r="B114" s="79"/>
      <c r="C114" s="95"/>
      <c r="D114" s="707"/>
      <c r="F114" s="42"/>
    </row>
    <row r="115" spans="1:63" hidden="1">
      <c r="A115" s="95"/>
      <c r="B115" s="79"/>
      <c r="C115" s="95"/>
      <c r="D115" s="707"/>
      <c r="E115"/>
      <c r="F115" s="514"/>
      <c r="G115"/>
    </row>
    <row r="116" spans="1:63" s="121" customFormat="1" hidden="1">
      <c r="A116" s="95"/>
      <c r="B116" s="79"/>
      <c r="C116" s="95"/>
      <c r="D116" s="707"/>
      <c r="E116"/>
      <c r="F116" s="514"/>
      <c r="G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row>
    <row r="117" spans="1:63" s="121" customFormat="1" hidden="1">
      <c r="A117" s="95"/>
      <c r="B117" s="79"/>
      <c r="C117" s="95"/>
      <c r="D117" s="707"/>
      <c r="E117"/>
      <c r="F117" s="514"/>
      <c r="G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row>
    <row r="118" spans="1:63" s="121" customFormat="1" ht="12" customHeight="1">
      <c r="A118" s="95"/>
      <c r="B118" s="100"/>
      <c r="C118" s="101"/>
      <c r="D118" s="709"/>
      <c r="E118" s="101"/>
      <c r="F118" s="101"/>
      <c r="G118" s="730" t="s">
        <v>2665</v>
      </c>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row>
    <row r="119" spans="1:63" s="121" customFormat="1" ht="17.25" customHeight="1">
      <c r="A119" s="95"/>
      <c r="B119" s="100"/>
      <c r="C119" s="101"/>
      <c r="D119" s="709"/>
      <c r="E119" s="96"/>
      <c r="F119" s="422" t="str">
        <f>"Баланс " &amp; TEMPLATE_SPHERE &amp; " по муниципальному образованию - " &amp; IF(mo="","Не определено",mo)</f>
        <v>Баланс водоотведения по муниципальному образованию - Село Булава</v>
      </c>
      <c r="G119" s="415"/>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row>
    <row r="120" spans="1:63" s="121" customFormat="1">
      <c r="A120" s="95"/>
      <c r="B120" s="100"/>
      <c r="C120" s="101"/>
      <c r="D120" s="709"/>
      <c r="E120"/>
      <c r="F120" s="44" t="s">
        <v>343</v>
      </c>
      <c r="G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row>
    <row r="121" spans="1:63" ht="24" customHeight="1">
      <c r="B121" s="79"/>
      <c r="C121" s="95"/>
      <c r="D121" s="708"/>
      <c r="E121"/>
      <c r="F121" s="936" t="s">
        <v>641</v>
      </c>
      <c r="G121" s="930" t="s">
        <v>735</v>
      </c>
      <c r="H121" s="930"/>
      <c r="I121" s="930"/>
      <c r="J121" s="802" t="s">
        <v>42</v>
      </c>
      <c r="K121" s="802" t="s">
        <v>43</v>
      </c>
      <c r="L121" s="802" t="s">
        <v>44</v>
      </c>
      <c r="M121" s="802"/>
      <c r="N121" s="802"/>
      <c r="O121" s="802"/>
      <c r="P121" s="802"/>
      <c r="Q121" s="802" t="s">
        <v>45</v>
      </c>
      <c r="R121" s="802" t="s">
        <v>46</v>
      </c>
      <c r="S121" s="802"/>
      <c r="T121" s="802"/>
      <c r="U121" s="802" t="s">
        <v>47</v>
      </c>
    </row>
    <row r="122" spans="1:63" s="45" customFormat="1" ht="15.75" customHeight="1">
      <c r="A122" s="39"/>
      <c r="B122" s="103"/>
      <c r="C122" s="102"/>
      <c r="D122" s="708"/>
      <c r="E122"/>
      <c r="F122" s="936"/>
      <c r="G122" s="930"/>
      <c r="H122" s="930"/>
      <c r="I122" s="930"/>
      <c r="J122" s="802"/>
      <c r="K122" s="802"/>
      <c r="L122" s="802" t="s">
        <v>745</v>
      </c>
      <c r="M122" s="802" t="s">
        <v>757</v>
      </c>
      <c r="N122" s="802" t="s">
        <v>748</v>
      </c>
      <c r="O122" s="802" t="s">
        <v>758</v>
      </c>
      <c r="P122" s="802" t="s">
        <v>48</v>
      </c>
      <c r="Q122" s="802"/>
      <c r="R122" s="802" t="s">
        <v>745</v>
      </c>
      <c r="S122" s="802" t="s">
        <v>49</v>
      </c>
      <c r="T122" s="802" t="s">
        <v>50</v>
      </c>
      <c r="U122" s="80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s="291"/>
      <c r="BJ122" s="291"/>
      <c r="BK122" s="290"/>
    </row>
    <row r="123" spans="1:63" s="45" customFormat="1" ht="35.25" customHeight="1">
      <c r="A123" s="39"/>
      <c r="B123" s="103"/>
      <c r="C123" s="102"/>
      <c r="D123" s="708"/>
      <c r="E123"/>
      <c r="F123" s="936"/>
      <c r="G123" s="930"/>
      <c r="H123" s="930"/>
      <c r="I123" s="930"/>
      <c r="J123" s="802"/>
      <c r="K123" s="802"/>
      <c r="L123" s="802"/>
      <c r="M123" s="802"/>
      <c r="N123" s="802"/>
      <c r="O123" s="802"/>
      <c r="P123" s="802"/>
      <c r="Q123" s="802"/>
      <c r="R123" s="802"/>
      <c r="S123" s="802"/>
      <c r="T123" s="802"/>
      <c r="U123" s="802"/>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s="291"/>
      <c r="BJ123" s="291"/>
      <c r="BK123" s="290"/>
    </row>
    <row r="124" spans="1:63" s="45" customFormat="1" ht="12" customHeight="1">
      <c r="A124" s="39"/>
      <c r="B124" s="103"/>
      <c r="C124" s="102"/>
      <c r="D124" s="710"/>
      <c r="E124"/>
      <c r="F124" s="176"/>
      <c r="G124" s="508" t="s">
        <v>759</v>
      </c>
      <c r="H124" s="508"/>
      <c r="I124" s="508"/>
      <c r="J124" s="508" t="s">
        <v>642</v>
      </c>
      <c r="K124" s="508" t="s">
        <v>790</v>
      </c>
      <c r="L124" s="508" t="s">
        <v>792</v>
      </c>
      <c r="M124" s="508" t="s">
        <v>794</v>
      </c>
      <c r="N124" s="508" t="s">
        <v>61</v>
      </c>
      <c r="O124" s="508" t="s">
        <v>51</v>
      </c>
      <c r="P124" s="508" t="s">
        <v>52</v>
      </c>
      <c r="Q124" s="508" t="s">
        <v>751</v>
      </c>
      <c r="R124" s="508" t="s">
        <v>752</v>
      </c>
      <c r="S124" s="508" t="s">
        <v>760</v>
      </c>
      <c r="T124" s="508" t="s">
        <v>761</v>
      </c>
      <c r="U124" s="508" t="s">
        <v>753</v>
      </c>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s="291"/>
      <c r="BJ124" s="291"/>
      <c r="BK124" s="290"/>
    </row>
    <row r="125" spans="1:63" ht="24" customHeight="1">
      <c r="A125" s="38"/>
      <c r="B125" s="104" t="s">
        <v>3141</v>
      </c>
      <c r="C125" s="38"/>
      <c r="D125" s="714" t="s">
        <v>652</v>
      </c>
      <c r="E125" s="94"/>
      <c r="F125" s="911" t="str">
        <f>B125</f>
        <v>0.1</v>
      </c>
      <c r="G125" s="913" t="s">
        <v>778</v>
      </c>
      <c r="H125" s="107"/>
      <c r="I125" s="517"/>
      <c r="J125" s="273">
        <f t="shared" ref="J125:U125" si="2">SUMIF($BF129:$BF158,$BF125,J129:J158)</f>
        <v>2955.7999999999997</v>
      </c>
      <c r="K125" s="273">
        <f t="shared" si="2"/>
        <v>686.1</v>
      </c>
      <c r="L125" s="273">
        <f t="shared" si="2"/>
        <v>2269.6999999999998</v>
      </c>
      <c r="M125" s="273">
        <f t="shared" si="2"/>
        <v>1611.8</v>
      </c>
      <c r="N125" s="273">
        <f t="shared" si="2"/>
        <v>100.29999999999998</v>
      </c>
      <c r="O125" s="273">
        <f t="shared" si="2"/>
        <v>557.6</v>
      </c>
      <c r="P125" s="273">
        <f t="shared" si="2"/>
        <v>0</v>
      </c>
      <c r="Q125" s="273">
        <f t="shared" si="2"/>
        <v>0</v>
      </c>
      <c r="R125" s="273">
        <f t="shared" si="2"/>
        <v>0</v>
      </c>
      <c r="S125" s="273">
        <f t="shared" si="2"/>
        <v>0</v>
      </c>
      <c r="T125" s="273">
        <f t="shared" si="2"/>
        <v>0</v>
      </c>
      <c r="U125" s="273">
        <f t="shared" si="2"/>
        <v>2955.8</v>
      </c>
      <c r="AM125" s="162"/>
      <c r="AN125" s="162"/>
      <c r="AO125" s="162"/>
      <c r="AP125" s="162"/>
      <c r="AQ125" s="162"/>
      <c r="AR125" s="162"/>
      <c r="AS125" s="162"/>
      <c r="AT125" s="162"/>
      <c r="AU125" s="162"/>
      <c r="AV125" s="162"/>
      <c r="AW125" s="162"/>
      <c r="AX125" s="162"/>
      <c r="AY125" s="162"/>
      <c r="AZ125" s="162"/>
      <c r="BA125" s="162"/>
      <c r="BB125" s="162"/>
      <c r="BC125" s="162"/>
      <c r="BD125" s="162"/>
      <c r="BE125" s="162"/>
      <c r="BF125" s="158" t="s">
        <v>3143</v>
      </c>
      <c r="BG125" s="162"/>
      <c r="BH125" s="162"/>
      <c r="BI125" s="162"/>
      <c r="BJ125" s="162"/>
      <c r="BK125" s="162"/>
    </row>
    <row r="126" spans="1:63" ht="0.75" customHeight="1">
      <c r="A126" s="38"/>
      <c r="B126" s="104"/>
      <c r="C126" s="38"/>
      <c r="E126" s="94"/>
      <c r="F126" s="911"/>
      <c r="G126" s="913"/>
      <c r="H126" s="107"/>
      <c r="I126" s="107"/>
      <c r="J126" s="266"/>
      <c r="K126" s="266"/>
      <c r="L126" s="266"/>
      <c r="M126" s="266"/>
      <c r="N126" s="266"/>
      <c r="O126" s="266"/>
      <c r="P126" s="266"/>
      <c r="Q126" s="266"/>
      <c r="R126" s="266"/>
      <c r="S126" s="266"/>
      <c r="T126" s="266"/>
      <c r="U126" s="266"/>
      <c r="AM126" s="162"/>
      <c r="AN126" s="162"/>
      <c r="AO126" s="162"/>
      <c r="AP126" s="162"/>
      <c r="AQ126" s="162"/>
      <c r="AR126" s="162"/>
      <c r="AS126" s="162"/>
      <c r="AT126" s="162"/>
      <c r="AU126" s="162"/>
      <c r="AV126" s="162"/>
      <c r="AW126" s="162"/>
      <c r="AX126" s="162"/>
      <c r="AY126" s="162"/>
      <c r="AZ126" s="162"/>
      <c r="BA126" s="162"/>
      <c r="BB126" s="162"/>
      <c r="BC126" s="162"/>
      <c r="BD126" s="162"/>
      <c r="BE126" s="162"/>
      <c r="BF126" s="158"/>
      <c r="BG126" s="162"/>
      <c r="BH126" s="162"/>
      <c r="BI126" s="162"/>
      <c r="BJ126" s="162"/>
      <c r="BK126" s="162"/>
    </row>
    <row r="127" spans="1:63" ht="24" customHeight="1">
      <c r="A127" s="38"/>
      <c r="B127" s="104" t="s">
        <v>3142</v>
      </c>
      <c r="C127" s="38"/>
      <c r="E127" s="94"/>
      <c r="F127" s="911" t="str">
        <f>B127</f>
        <v>0.2</v>
      </c>
      <c r="G127" s="913" t="str">
        <f>IF(TEMPLATE_CLAIM="U","Всего по МО (только годовые значения по данным предыдущего мониторинга)","")</f>
        <v>Всего по МО (только годовые значения по данным предыдущего мониторинга)</v>
      </c>
      <c r="H127" s="107"/>
      <c r="I127" s="107"/>
      <c r="J127" s="274">
        <f t="shared" ref="J127:U127" si="3">IF(TEMPLATE_CLAIM="P","",SUMIF($BF129:$BF158,$BF127,J129:J158))</f>
        <v>0</v>
      </c>
      <c r="K127" s="274">
        <f t="shared" si="3"/>
        <v>0</v>
      </c>
      <c r="L127" s="274">
        <f t="shared" si="3"/>
        <v>0</v>
      </c>
      <c r="M127" s="274">
        <f t="shared" si="3"/>
        <v>0</v>
      </c>
      <c r="N127" s="274">
        <f t="shared" si="3"/>
        <v>0</v>
      </c>
      <c r="O127" s="274">
        <f t="shared" si="3"/>
        <v>0</v>
      </c>
      <c r="P127" s="274">
        <f t="shared" si="3"/>
        <v>0</v>
      </c>
      <c r="Q127" s="274">
        <f t="shared" si="3"/>
        <v>0</v>
      </c>
      <c r="R127" s="274">
        <f t="shared" si="3"/>
        <v>0</v>
      </c>
      <c r="S127" s="274">
        <f t="shared" si="3"/>
        <v>0</v>
      </c>
      <c r="T127" s="274">
        <f t="shared" si="3"/>
        <v>0</v>
      </c>
      <c r="U127" s="274">
        <f t="shared" si="3"/>
        <v>0</v>
      </c>
      <c r="AM127" s="162"/>
      <c r="AN127" s="162"/>
      <c r="AO127" s="162"/>
      <c r="AP127" s="162"/>
      <c r="AQ127" s="162"/>
      <c r="AR127" s="162"/>
      <c r="AS127" s="162"/>
      <c r="AT127" s="162"/>
      <c r="AU127" s="162"/>
      <c r="AV127" s="162"/>
      <c r="AW127" s="162"/>
      <c r="AX127" s="162"/>
      <c r="AY127" s="162"/>
      <c r="AZ127" s="162"/>
      <c r="BA127" s="162"/>
      <c r="BB127" s="162"/>
      <c r="BC127" s="162"/>
      <c r="BD127" s="162"/>
      <c r="BE127" s="162"/>
      <c r="BF127" s="426" t="s">
        <v>3144</v>
      </c>
      <c r="BG127" s="162"/>
      <c r="BH127" s="162"/>
      <c r="BI127" s="162"/>
      <c r="BJ127" s="162"/>
      <c r="BK127" s="162"/>
    </row>
    <row r="128" spans="1:63" ht="0.75" customHeight="1">
      <c r="A128" s="38"/>
      <c r="B128" s="104"/>
      <c r="C128" s="38"/>
      <c r="E128" s="94"/>
      <c r="F128" s="911"/>
      <c r="G128" s="913"/>
      <c r="H128" s="107"/>
      <c r="I128" s="107"/>
      <c r="J128" s="107"/>
      <c r="K128" s="266"/>
      <c r="L128" s="266"/>
      <c r="M128" s="266"/>
      <c r="N128" s="266"/>
      <c r="O128" s="266"/>
      <c r="P128" s="266"/>
      <c r="Q128" s="266"/>
      <c r="R128" s="266"/>
      <c r="S128" s="266"/>
      <c r="T128" s="266"/>
      <c r="U128" s="266"/>
      <c r="AM128" s="162"/>
      <c r="AN128" s="162"/>
      <c r="AO128" s="162"/>
      <c r="AP128" s="162"/>
      <c r="AQ128" s="162"/>
      <c r="AR128" s="162"/>
      <c r="AS128" s="162"/>
      <c r="AT128" s="162"/>
      <c r="AU128" s="162"/>
      <c r="AV128" s="162"/>
      <c r="AW128" s="162"/>
      <c r="AX128" s="162"/>
      <c r="AY128" s="162"/>
      <c r="AZ128" s="162"/>
      <c r="BA128" s="162"/>
      <c r="BB128" s="162"/>
      <c r="BC128" s="162"/>
      <c r="BD128" s="162"/>
      <c r="BE128" s="162"/>
      <c r="BF128" s="158"/>
      <c r="BG128" s="162"/>
      <c r="BH128" s="162"/>
      <c r="BI128" s="162"/>
      <c r="BJ128" s="162"/>
      <c r="BK128" s="162"/>
    </row>
    <row r="129" spans="1:66" ht="12" hidden="1" customHeight="1">
      <c r="A129" s="38"/>
      <c r="B129" s="46">
        <v>0</v>
      </c>
      <c r="C129" s="38"/>
      <c r="E129" s="94"/>
      <c r="F129" s="639"/>
      <c r="G129" s="603"/>
      <c r="H129" s="154"/>
      <c r="I129" s="154"/>
      <c r="J129" s="154"/>
      <c r="K129" s="585"/>
      <c r="L129" s="585"/>
      <c r="M129" s="585"/>
      <c r="N129" s="585"/>
      <c r="O129" s="585"/>
      <c r="P129" s="585"/>
      <c r="Q129" s="585"/>
      <c r="R129" s="585"/>
      <c r="S129" s="585"/>
      <c r="T129" s="585"/>
      <c r="U129" s="585"/>
      <c r="AM129" s="162"/>
      <c r="AN129" s="162"/>
      <c r="AO129" s="162"/>
      <c r="AP129" s="162"/>
      <c r="AQ129" s="162"/>
      <c r="AR129" s="162"/>
      <c r="AS129" s="162"/>
      <c r="AT129" s="162"/>
      <c r="AU129" s="162"/>
      <c r="AV129" s="162"/>
      <c r="AW129" s="162"/>
      <c r="AX129" s="162"/>
      <c r="AY129" s="162"/>
      <c r="AZ129" s="162"/>
      <c r="BA129" s="162"/>
      <c r="BB129" s="162"/>
      <c r="BC129" s="162"/>
      <c r="BD129" s="162"/>
      <c r="BE129" s="162"/>
      <c r="BF129" s="159"/>
      <c r="BG129" s="162"/>
      <c r="BH129" s="162"/>
      <c r="BI129" s="162"/>
      <c r="BJ129" s="162"/>
      <c r="BK129" s="162"/>
    </row>
    <row r="130" spans="1:66" ht="21" customHeight="1">
      <c r="A130" s="95"/>
      <c r="B130" s="910">
        <v>1</v>
      </c>
      <c r="C130" s="119" t="str">
        <f>F132</f>
        <v>1.0</v>
      </c>
      <c r="D130" s="714" t="s">
        <v>652</v>
      </c>
      <c r="E130" s="731" t="s">
        <v>719</v>
      </c>
      <c r="F130" s="835">
        <f>B130</f>
        <v>1</v>
      </c>
      <c r="G130" s="960" t="str">
        <f>IF('Список организаций'!$I$16="","Не определено",'Список организаций'!$I$16)</f>
        <v>МУП СП "Село Булава" Булавинское ТЭП"</v>
      </c>
      <c r="H130" s="266"/>
      <c r="I130" s="266"/>
      <c r="J130" s="699">
        <f>IF(TEMPLATE_CLAIM="P","",K130+L130)</f>
        <v>0</v>
      </c>
      <c r="K130" s="274"/>
      <c r="L130" s="691">
        <f>IF(TEMPLATE_CLAIM="P","",M130+N130+O130+P130)</f>
        <v>0</v>
      </c>
      <c r="M130" s="274"/>
      <c r="N130" s="274"/>
      <c r="O130" s="274"/>
      <c r="P130" s="274"/>
      <c r="Q130" s="274"/>
      <c r="R130" s="691">
        <f>IF(TEMPLATE_CLAIM="P","",S130+T130)</f>
        <v>0</v>
      </c>
      <c r="S130" s="274"/>
      <c r="T130" s="274"/>
      <c r="U130" s="274"/>
      <c r="BF130" s="426" t="s">
        <v>3144</v>
      </c>
      <c r="BI130" s="288"/>
      <c r="BJ130" s="288"/>
      <c r="BK130" s="159"/>
      <c r="BN130" s="42"/>
    </row>
    <row r="131" spans="1:66" ht="0.75" customHeight="1">
      <c r="A131" s="95"/>
      <c r="B131" s="910"/>
      <c r="C131" s="119"/>
      <c r="D131" s="706"/>
      <c r="E131" s="96"/>
      <c r="F131" s="835"/>
      <c r="G131" s="913"/>
      <c r="H131" s="107"/>
      <c r="I131" s="107"/>
      <c r="J131" s="107"/>
      <c r="K131" s="266"/>
      <c r="L131" s="266"/>
      <c r="M131" s="266"/>
      <c r="N131" s="266"/>
      <c r="O131" s="266"/>
      <c r="P131" s="266"/>
      <c r="Q131" s="266"/>
      <c r="R131" s="266"/>
      <c r="S131" s="266"/>
      <c r="T131" s="266"/>
      <c r="U131" s="266"/>
      <c r="BF131" s="158" t="str">
        <f>IF(TEMPLATE_SPHERE="водоснабжения","TOTAL_ORG_TW","")</f>
        <v/>
      </c>
      <c r="BI131" s="288"/>
      <c r="BJ131" s="288"/>
      <c r="BK131" s="159"/>
      <c r="BN131" s="42"/>
    </row>
    <row r="132" spans="1:66" ht="11.25" customHeight="1">
      <c r="A132" s="95"/>
      <c r="B132" s="910"/>
      <c r="C132" s="910"/>
      <c r="D132" s="707"/>
      <c r="E132" s="96"/>
      <c r="F132" s="106" t="str">
        <f>F130 &amp; ".0"</f>
        <v>1.0</v>
      </c>
      <c r="G132" s="105" t="s">
        <v>721</v>
      </c>
      <c r="H132" s="266"/>
      <c r="I132" s="266"/>
      <c r="J132" s="516">
        <f>K132+L132</f>
        <v>2955.7999999999997</v>
      </c>
      <c r="K132" s="271">
        <f>SUM(K133:K144)</f>
        <v>686.1</v>
      </c>
      <c r="L132" s="271">
        <f>M132+N132+O132+P132</f>
        <v>2269.6999999999998</v>
      </c>
      <c r="M132" s="271">
        <f>SUM(M133:M144)</f>
        <v>1611.8</v>
      </c>
      <c r="N132" s="271">
        <f>SUM(N133:N144)</f>
        <v>100.29999999999998</v>
      </c>
      <c r="O132" s="271">
        <f>SUM(O133:O144)</f>
        <v>557.6</v>
      </c>
      <c r="P132" s="271">
        <f>SUM(P133:P144)</f>
        <v>0</v>
      </c>
      <c r="Q132" s="272"/>
      <c r="R132" s="271">
        <f>S132+T132</f>
        <v>0</v>
      </c>
      <c r="S132" s="272"/>
      <c r="T132" s="272"/>
      <c r="U132" s="272">
        <v>2955.8</v>
      </c>
      <c r="BA132" s="471">
        <f>IF(J132=0,0,K132/J132*100)</f>
        <v>23.211989985790652</v>
      </c>
      <c r="BF132" s="158" t="str">
        <f>IF(TEMPLATE_SPHERE="водоснабжения","TOTAL_ORG_PW","TOTAL_ORG")</f>
        <v>TOTAL_ORG</v>
      </c>
      <c r="BI132" s="288"/>
      <c r="BJ132" s="288"/>
      <c r="BK132" s="159"/>
      <c r="BN132" s="42"/>
    </row>
    <row r="133" spans="1:66" ht="11.25" customHeight="1">
      <c r="A133" s="95"/>
      <c r="B133" s="910"/>
      <c r="C133" s="910"/>
      <c r="D133" s="707"/>
      <c r="E133" s="96"/>
      <c r="F133" s="106" t="str">
        <f>F130 &amp; ".1"</f>
        <v>1.1</v>
      </c>
      <c r="G133" s="105" t="s">
        <v>722</v>
      </c>
      <c r="H133" s="266"/>
      <c r="I133" s="266"/>
      <c r="J133" s="516">
        <f t="shared" ref="J133:J144" si="4">K133+L133</f>
        <v>207.89999999999998</v>
      </c>
      <c r="K133" s="272">
        <v>51.3</v>
      </c>
      <c r="L133" s="271">
        <f t="shared" ref="L133:L144" si="5">M133+N133+O133+P133</f>
        <v>156.6</v>
      </c>
      <c r="M133" s="272">
        <v>113.7</v>
      </c>
      <c r="N133" s="272">
        <v>8.3000000000000007</v>
      </c>
      <c r="O133" s="272">
        <v>34.6</v>
      </c>
      <c r="P133" s="272"/>
      <c r="Q133" s="266"/>
      <c r="R133" s="266"/>
      <c r="S133" s="266"/>
      <c r="T133" s="266"/>
      <c r="U133" s="266"/>
      <c r="BF133" s="158" t="str">
        <f>C130 &amp; "-I"</f>
        <v>1.0-I</v>
      </c>
      <c r="BI133" s="288"/>
      <c r="BJ133" s="288"/>
      <c r="BK133" s="159"/>
      <c r="BN133" s="42"/>
    </row>
    <row r="134" spans="1:66" ht="11.25" customHeight="1">
      <c r="A134" s="95"/>
      <c r="B134" s="910"/>
      <c r="C134" s="910"/>
      <c r="D134" s="707"/>
      <c r="E134" s="96"/>
      <c r="F134" s="106" t="str">
        <f>F130 &amp; ".2"</f>
        <v>1.2</v>
      </c>
      <c r="G134" s="105" t="s">
        <v>723</v>
      </c>
      <c r="H134" s="266"/>
      <c r="I134" s="266"/>
      <c r="J134" s="516">
        <f t="shared" si="4"/>
        <v>226.8</v>
      </c>
      <c r="K134" s="272">
        <v>51.5</v>
      </c>
      <c r="L134" s="271">
        <f t="shared" si="5"/>
        <v>175.3</v>
      </c>
      <c r="M134" s="272">
        <v>132.9</v>
      </c>
      <c r="N134" s="272">
        <v>8.1999999999999993</v>
      </c>
      <c r="O134" s="272">
        <v>34.200000000000003</v>
      </c>
      <c r="P134" s="272"/>
      <c r="Q134" s="266"/>
      <c r="R134" s="266"/>
      <c r="S134" s="266"/>
      <c r="T134" s="266"/>
      <c r="U134" s="266"/>
      <c r="BF134" s="158" t="str">
        <f>C130 &amp; "-I"</f>
        <v>1.0-I</v>
      </c>
      <c r="BI134" s="288"/>
      <c r="BJ134" s="288"/>
      <c r="BK134" s="159"/>
      <c r="BN134" s="42"/>
    </row>
    <row r="135" spans="1:66" ht="11.25" customHeight="1">
      <c r="A135" s="95"/>
      <c r="B135" s="910"/>
      <c r="C135" s="910"/>
      <c r="D135" s="707"/>
      <c r="E135" s="96"/>
      <c r="F135" s="106" t="str">
        <f>F130 &amp; ".3"</f>
        <v>1.3</v>
      </c>
      <c r="G135" s="105" t="s">
        <v>724</v>
      </c>
      <c r="H135" s="266"/>
      <c r="I135" s="266"/>
      <c r="J135" s="516">
        <f t="shared" si="4"/>
        <v>271.70000000000005</v>
      </c>
      <c r="K135" s="272">
        <v>72.5</v>
      </c>
      <c r="L135" s="271">
        <f t="shared" si="5"/>
        <v>199.20000000000002</v>
      </c>
      <c r="M135" s="272">
        <v>140</v>
      </c>
      <c r="N135" s="272">
        <v>8.3000000000000007</v>
      </c>
      <c r="O135" s="272">
        <v>50.9</v>
      </c>
      <c r="P135" s="272"/>
      <c r="Q135" s="266"/>
      <c r="R135" s="266"/>
      <c r="S135" s="266"/>
      <c r="T135" s="266"/>
      <c r="U135" s="266"/>
      <c r="BF135" s="158" t="str">
        <f>C130 &amp; "-I"</f>
        <v>1.0-I</v>
      </c>
      <c r="BI135" s="288"/>
      <c r="BJ135" s="288"/>
      <c r="BK135" s="159"/>
      <c r="BN135" s="42"/>
    </row>
    <row r="136" spans="1:66" ht="11.25" customHeight="1">
      <c r="A136" s="95"/>
      <c r="B136" s="910"/>
      <c r="C136" s="910"/>
      <c r="D136" s="707"/>
      <c r="E136" s="96"/>
      <c r="F136" s="106" t="str">
        <f>F130 &amp; ".4"</f>
        <v>1.4</v>
      </c>
      <c r="G136" s="105" t="s">
        <v>725</v>
      </c>
      <c r="H136" s="266"/>
      <c r="I136" s="266"/>
      <c r="J136" s="516">
        <f t="shared" si="4"/>
        <v>243.99999999999997</v>
      </c>
      <c r="K136" s="272">
        <v>63.1</v>
      </c>
      <c r="L136" s="271">
        <f t="shared" si="5"/>
        <v>180.89999999999998</v>
      </c>
      <c r="M136" s="272">
        <v>139.19999999999999</v>
      </c>
      <c r="N136" s="272">
        <v>8.1999999999999993</v>
      </c>
      <c r="O136" s="272">
        <v>33.5</v>
      </c>
      <c r="P136" s="272"/>
      <c r="Q136" s="266"/>
      <c r="R136" s="266"/>
      <c r="S136" s="266"/>
      <c r="T136" s="266"/>
      <c r="U136" s="266"/>
      <c r="BF136" s="158" t="str">
        <f>C130 &amp; "-I"</f>
        <v>1.0-I</v>
      </c>
      <c r="BI136" s="288"/>
      <c r="BJ136" s="288"/>
      <c r="BK136" s="159"/>
      <c r="BN136" s="42"/>
    </row>
    <row r="137" spans="1:66" ht="11.25" customHeight="1">
      <c r="A137" s="95"/>
      <c r="B137" s="910"/>
      <c r="C137" s="910"/>
      <c r="D137" s="707"/>
      <c r="E137" s="96"/>
      <c r="F137" s="106" t="str">
        <f>F130 &amp; ".5"</f>
        <v>1.5</v>
      </c>
      <c r="G137" s="105" t="s">
        <v>726</v>
      </c>
      <c r="H137" s="266"/>
      <c r="I137" s="266"/>
      <c r="J137" s="516">
        <f t="shared" si="4"/>
        <v>243.8</v>
      </c>
      <c r="K137" s="272">
        <v>57.2</v>
      </c>
      <c r="L137" s="271">
        <f t="shared" si="5"/>
        <v>186.60000000000002</v>
      </c>
      <c r="M137" s="272">
        <v>140.1</v>
      </c>
      <c r="N137" s="272">
        <v>8.3000000000000007</v>
      </c>
      <c r="O137" s="272">
        <v>38.200000000000003</v>
      </c>
      <c r="P137" s="272"/>
      <c r="Q137" s="266"/>
      <c r="R137" s="266"/>
      <c r="S137" s="266"/>
      <c r="T137" s="266"/>
      <c r="U137" s="266"/>
      <c r="BF137" s="158" t="str">
        <f>C130 &amp; "-I"</f>
        <v>1.0-I</v>
      </c>
      <c r="BI137" s="288"/>
      <c r="BJ137" s="288"/>
      <c r="BK137" s="159"/>
      <c r="BN137" s="42"/>
    </row>
    <row r="138" spans="1:66" ht="11.25" customHeight="1">
      <c r="A138" s="95"/>
      <c r="B138" s="910"/>
      <c r="C138" s="910"/>
      <c r="D138" s="707"/>
      <c r="E138" s="96"/>
      <c r="F138" s="106" t="str">
        <f>F130 &amp; ".6"</f>
        <v>1.6</v>
      </c>
      <c r="G138" s="105" t="s">
        <v>727</v>
      </c>
      <c r="H138" s="266"/>
      <c r="I138" s="266"/>
      <c r="J138" s="516">
        <f t="shared" si="4"/>
        <v>257.5</v>
      </c>
      <c r="K138" s="272">
        <v>69.400000000000006</v>
      </c>
      <c r="L138" s="271">
        <f t="shared" si="5"/>
        <v>188.10000000000002</v>
      </c>
      <c r="M138" s="272">
        <v>133.9</v>
      </c>
      <c r="N138" s="272">
        <v>8.3000000000000007</v>
      </c>
      <c r="O138" s="272">
        <v>45.9</v>
      </c>
      <c r="P138" s="272"/>
      <c r="Q138" s="266"/>
      <c r="R138" s="266"/>
      <c r="S138" s="266"/>
      <c r="T138" s="266"/>
      <c r="U138" s="266"/>
      <c r="BF138" s="158" t="str">
        <f>C130 &amp; "-I"</f>
        <v>1.0-I</v>
      </c>
      <c r="BI138" s="288"/>
      <c r="BJ138" s="288"/>
      <c r="BK138" s="159"/>
      <c r="BN138" s="42"/>
    </row>
    <row r="139" spans="1:66" ht="11.25" customHeight="1">
      <c r="A139" s="95"/>
      <c r="B139" s="910"/>
      <c r="C139" s="910"/>
      <c r="D139" s="707"/>
      <c r="E139" s="96"/>
      <c r="F139" s="106" t="str">
        <f>F130 &amp; ".7"</f>
        <v>1.7</v>
      </c>
      <c r="G139" s="105" t="s">
        <v>728</v>
      </c>
      <c r="H139" s="266"/>
      <c r="I139" s="266"/>
      <c r="J139" s="516">
        <f t="shared" si="4"/>
        <v>210.8</v>
      </c>
      <c r="K139" s="272">
        <v>46.4</v>
      </c>
      <c r="L139" s="271">
        <f t="shared" si="5"/>
        <v>164.4</v>
      </c>
      <c r="M139" s="272">
        <v>109.7</v>
      </c>
      <c r="N139" s="272">
        <v>8.3000000000000007</v>
      </c>
      <c r="O139" s="272">
        <v>46.4</v>
      </c>
      <c r="P139" s="272"/>
      <c r="Q139" s="266"/>
      <c r="R139" s="266"/>
      <c r="S139" s="266"/>
      <c r="T139" s="266"/>
      <c r="U139" s="266"/>
      <c r="BF139" s="158" t="str">
        <f>C130 &amp; "-II"</f>
        <v>1.0-II</v>
      </c>
      <c r="BI139" s="288"/>
      <c r="BJ139" s="288"/>
      <c r="BK139" s="159"/>
      <c r="BN139" s="42"/>
    </row>
    <row r="140" spans="1:66" ht="11.25" customHeight="1">
      <c r="A140" s="95"/>
      <c r="B140" s="910"/>
      <c r="C140" s="910"/>
      <c r="D140" s="707"/>
      <c r="E140" s="96"/>
      <c r="F140" s="106" t="str">
        <f>F130 &amp; ".8"</f>
        <v>1.8</v>
      </c>
      <c r="G140" s="105" t="s">
        <v>729</v>
      </c>
      <c r="H140" s="266"/>
      <c r="I140" s="266"/>
      <c r="J140" s="516">
        <f t="shared" si="4"/>
        <v>251.7</v>
      </c>
      <c r="K140" s="272">
        <v>51.6</v>
      </c>
      <c r="L140" s="271">
        <f t="shared" si="5"/>
        <v>200.1</v>
      </c>
      <c r="M140" s="272">
        <v>114.1</v>
      </c>
      <c r="N140" s="272">
        <v>8.3000000000000007</v>
      </c>
      <c r="O140" s="272">
        <v>77.7</v>
      </c>
      <c r="P140" s="272"/>
      <c r="Q140" s="266"/>
      <c r="R140" s="266"/>
      <c r="S140" s="266"/>
      <c r="T140" s="266"/>
      <c r="U140" s="266"/>
      <c r="BF140" s="158" t="str">
        <f>C130 &amp; "-II"</f>
        <v>1.0-II</v>
      </c>
      <c r="BI140" s="288"/>
      <c r="BJ140" s="288"/>
      <c r="BK140" s="159"/>
      <c r="BN140" s="42"/>
    </row>
    <row r="141" spans="1:66" ht="11.25" customHeight="1">
      <c r="A141" s="95"/>
      <c r="B141" s="910"/>
      <c r="C141" s="910"/>
      <c r="D141" s="707"/>
      <c r="E141" s="96"/>
      <c r="F141" s="106" t="str">
        <f>F130 &amp; ".9"</f>
        <v>1.9</v>
      </c>
      <c r="G141" s="105" t="s">
        <v>730</v>
      </c>
      <c r="H141" s="266"/>
      <c r="I141" s="266"/>
      <c r="J141" s="516">
        <f t="shared" si="4"/>
        <v>256.40000000000003</v>
      </c>
      <c r="K141" s="272">
        <v>62.6</v>
      </c>
      <c r="L141" s="271">
        <f t="shared" si="5"/>
        <v>193.8</v>
      </c>
      <c r="M141" s="272">
        <v>151.19999999999999</v>
      </c>
      <c r="N141" s="272">
        <v>8.3000000000000007</v>
      </c>
      <c r="O141" s="272">
        <v>34.299999999999997</v>
      </c>
      <c r="P141" s="272"/>
      <c r="Q141" s="266"/>
      <c r="R141" s="266"/>
      <c r="S141" s="266"/>
      <c r="T141" s="266"/>
      <c r="U141" s="266"/>
      <c r="BF141" s="158" t="str">
        <f>C130 &amp; IF(TEMPLATE_CLAIM="P","-II","-III")</f>
        <v>1.0-III</v>
      </c>
      <c r="BI141" s="288"/>
      <c r="BJ141" s="288"/>
      <c r="BK141" s="159"/>
      <c r="BN141" s="42"/>
    </row>
    <row r="142" spans="1:66" ht="11.25" customHeight="1">
      <c r="A142" s="95"/>
      <c r="B142" s="910"/>
      <c r="C142" s="910"/>
      <c r="D142" s="707"/>
      <c r="E142" s="96"/>
      <c r="F142" s="106" t="str">
        <f>F130 &amp; ".10"</f>
        <v>1.10</v>
      </c>
      <c r="G142" s="105" t="s">
        <v>731</v>
      </c>
      <c r="H142" s="266"/>
      <c r="I142" s="266"/>
      <c r="J142" s="516">
        <f t="shared" si="4"/>
        <v>275.99999999999994</v>
      </c>
      <c r="K142" s="272">
        <v>50.4</v>
      </c>
      <c r="L142" s="271">
        <f t="shared" si="5"/>
        <v>225.59999999999997</v>
      </c>
      <c r="M142" s="272">
        <v>157.6</v>
      </c>
      <c r="N142" s="272">
        <v>8.1999999999999993</v>
      </c>
      <c r="O142" s="272">
        <v>59.8</v>
      </c>
      <c r="P142" s="272"/>
      <c r="Q142" s="266"/>
      <c r="R142" s="266"/>
      <c r="S142" s="266"/>
      <c r="T142" s="266"/>
      <c r="U142" s="266"/>
      <c r="BF142" s="158" t="str">
        <f>C130 &amp; IF(TEMPLATE_CLAIM="P","-II","-III")</f>
        <v>1.0-III</v>
      </c>
      <c r="BI142" s="288"/>
      <c r="BJ142" s="288"/>
      <c r="BK142" s="159"/>
      <c r="BN142" s="42"/>
    </row>
    <row r="143" spans="1:66" ht="11.25" customHeight="1">
      <c r="A143" s="95"/>
      <c r="B143" s="910"/>
      <c r="C143" s="910"/>
      <c r="D143" s="707"/>
      <c r="E143" s="96"/>
      <c r="F143" s="106" t="str">
        <f>F130 &amp; ".11"</f>
        <v>1.11</v>
      </c>
      <c r="G143" s="105" t="s">
        <v>732</v>
      </c>
      <c r="H143" s="266"/>
      <c r="I143" s="266"/>
      <c r="J143" s="516">
        <f t="shared" si="4"/>
        <v>250.9</v>
      </c>
      <c r="K143" s="272">
        <v>47.4</v>
      </c>
      <c r="L143" s="271">
        <f t="shared" si="5"/>
        <v>203.5</v>
      </c>
      <c r="M143" s="272">
        <v>139.19999999999999</v>
      </c>
      <c r="N143" s="272">
        <v>8.3000000000000007</v>
      </c>
      <c r="O143" s="272">
        <v>56</v>
      </c>
      <c r="P143" s="272"/>
      <c r="Q143" s="266"/>
      <c r="R143" s="266"/>
      <c r="S143" s="266"/>
      <c r="T143" s="266"/>
      <c r="U143" s="266"/>
      <c r="BF143" s="158" t="str">
        <f>C130 &amp; IF(TEMPLATE_CLAIM="P","-II","-III")</f>
        <v>1.0-III</v>
      </c>
      <c r="BI143" s="288"/>
      <c r="BJ143" s="288"/>
      <c r="BK143" s="159"/>
      <c r="BN143" s="42"/>
    </row>
    <row r="144" spans="1:66" ht="11.25" customHeight="1">
      <c r="A144" s="95"/>
      <c r="B144" s="910"/>
      <c r="C144" s="910"/>
      <c r="D144" s="707"/>
      <c r="E144" s="96"/>
      <c r="F144" s="106" t="str">
        <f>F130 &amp; ".12"</f>
        <v>1.12</v>
      </c>
      <c r="G144" s="105" t="s">
        <v>733</v>
      </c>
      <c r="H144" s="107"/>
      <c r="I144" s="107"/>
      <c r="J144" s="516">
        <f t="shared" si="4"/>
        <v>258.3</v>
      </c>
      <c r="K144" s="272">
        <v>62.7</v>
      </c>
      <c r="L144" s="271">
        <f t="shared" si="5"/>
        <v>195.6</v>
      </c>
      <c r="M144" s="272">
        <v>140.19999999999999</v>
      </c>
      <c r="N144" s="272">
        <v>9.3000000000000007</v>
      </c>
      <c r="O144" s="272">
        <v>46.1</v>
      </c>
      <c r="P144" s="272"/>
      <c r="Q144" s="266"/>
      <c r="R144" s="266"/>
      <c r="S144" s="266"/>
      <c r="T144" s="266"/>
      <c r="U144" s="266"/>
      <c r="BF144" s="158" t="str">
        <f>C130 &amp; IF(TEMPLATE_CLAIM="P","-II","-III")</f>
        <v>1.0-III</v>
      </c>
      <c r="BI144" s="159"/>
      <c r="BJ144" s="159"/>
      <c r="BK144" s="159"/>
      <c r="BN144" s="42"/>
    </row>
    <row r="145" spans="1:66" ht="0.75" customHeight="1">
      <c r="A145" s="95"/>
      <c r="B145" s="910"/>
      <c r="C145" s="910"/>
      <c r="D145" s="707"/>
      <c r="E145" s="96"/>
      <c r="F145" s="107"/>
      <c r="G145" s="107"/>
      <c r="H145" s="107"/>
      <c r="I145" s="107"/>
      <c r="J145" s="107"/>
      <c r="K145" s="266"/>
      <c r="L145" s="266"/>
      <c r="M145" s="266"/>
      <c r="N145" s="266"/>
      <c r="O145" s="266"/>
      <c r="P145" s="266"/>
      <c r="Q145" s="266"/>
      <c r="R145" s="266"/>
      <c r="S145" s="266"/>
      <c r="T145" s="266"/>
      <c r="U145" s="266"/>
      <c r="BF145" s="158"/>
      <c r="BI145" s="159"/>
      <c r="BJ145" s="159"/>
      <c r="BK145" s="159"/>
      <c r="BN145" s="42"/>
    </row>
    <row r="146" spans="1:66" ht="0.75" customHeight="1">
      <c r="A146" s="95"/>
      <c r="B146" s="910"/>
      <c r="C146" s="910"/>
      <c r="D146" s="707"/>
      <c r="E146" s="96"/>
      <c r="F146" s="107"/>
      <c r="G146" s="107"/>
      <c r="H146" s="107"/>
      <c r="I146" s="107"/>
      <c r="J146" s="107"/>
      <c r="K146" s="266"/>
      <c r="L146" s="266"/>
      <c r="M146" s="266"/>
      <c r="N146" s="266"/>
      <c r="O146" s="266"/>
      <c r="P146" s="266"/>
      <c r="Q146" s="266"/>
      <c r="R146" s="266"/>
      <c r="S146" s="266"/>
      <c r="T146" s="266"/>
      <c r="U146" s="266"/>
      <c r="BF146" s="158"/>
      <c r="BI146" s="159"/>
      <c r="BJ146" s="159"/>
      <c r="BK146" s="159"/>
      <c r="BN146" s="42"/>
    </row>
    <row r="147" spans="1:66" ht="0.75" customHeight="1">
      <c r="A147" s="95"/>
      <c r="B147" s="910"/>
      <c r="C147" s="910"/>
      <c r="D147" s="707"/>
      <c r="E147" s="96"/>
      <c r="F147" s="107"/>
      <c r="G147" s="107"/>
      <c r="H147" s="107"/>
      <c r="I147" s="107"/>
      <c r="J147" s="107"/>
      <c r="K147" s="266"/>
      <c r="L147" s="266"/>
      <c r="M147" s="266"/>
      <c r="N147" s="266"/>
      <c r="O147" s="266"/>
      <c r="P147" s="266"/>
      <c r="Q147" s="266"/>
      <c r="R147" s="266"/>
      <c r="S147" s="266"/>
      <c r="T147" s="266"/>
      <c r="U147" s="266"/>
      <c r="BF147" s="158"/>
      <c r="BI147" s="159"/>
      <c r="BJ147" s="159"/>
      <c r="BK147" s="159"/>
      <c r="BN147" s="42"/>
    </row>
    <row r="148" spans="1:66" ht="0.75" customHeight="1">
      <c r="A148" s="95"/>
      <c r="B148" s="910"/>
      <c r="C148" s="910"/>
      <c r="D148" s="707"/>
      <c r="E148" s="96"/>
      <c r="F148" s="107"/>
      <c r="G148" s="107"/>
      <c r="H148" s="107"/>
      <c r="I148" s="107"/>
      <c r="J148" s="107"/>
      <c r="K148" s="266"/>
      <c r="L148" s="266"/>
      <c r="M148" s="266"/>
      <c r="N148" s="266"/>
      <c r="O148" s="266"/>
      <c r="P148" s="266"/>
      <c r="Q148" s="266"/>
      <c r="R148" s="266"/>
      <c r="S148" s="266"/>
      <c r="T148" s="266"/>
      <c r="U148" s="266"/>
      <c r="BF148" s="158"/>
      <c r="BI148" s="159"/>
      <c r="BJ148" s="159"/>
      <c r="BK148" s="159"/>
      <c r="BN148" s="42"/>
    </row>
    <row r="149" spans="1:66" ht="0.75" customHeight="1">
      <c r="A149" s="95"/>
      <c r="B149" s="910"/>
      <c r="C149" s="910"/>
      <c r="D149" s="707"/>
      <c r="E149" s="96"/>
      <c r="F149" s="107"/>
      <c r="G149" s="107"/>
      <c r="H149" s="107"/>
      <c r="I149" s="107"/>
      <c r="J149" s="107"/>
      <c r="K149" s="266"/>
      <c r="L149" s="266"/>
      <c r="M149" s="266"/>
      <c r="N149" s="266"/>
      <c r="O149" s="266"/>
      <c r="P149" s="266"/>
      <c r="Q149" s="266"/>
      <c r="R149" s="266"/>
      <c r="S149" s="266"/>
      <c r="T149" s="266"/>
      <c r="U149" s="266"/>
      <c r="BF149" s="158"/>
      <c r="BI149" s="159"/>
      <c r="BJ149" s="159"/>
      <c r="BK149" s="159"/>
      <c r="BN149" s="42"/>
    </row>
    <row r="150" spans="1:66" ht="0.75" customHeight="1">
      <c r="A150" s="95"/>
      <c r="B150" s="910"/>
      <c r="C150" s="910"/>
      <c r="D150" s="707"/>
      <c r="E150" s="96"/>
      <c r="F150" s="107"/>
      <c r="G150" s="107"/>
      <c r="H150" s="107"/>
      <c r="I150" s="107"/>
      <c r="J150" s="107"/>
      <c r="K150" s="266"/>
      <c r="L150" s="266"/>
      <c r="M150" s="266"/>
      <c r="N150" s="266"/>
      <c r="O150" s="266"/>
      <c r="P150" s="266"/>
      <c r="Q150" s="266"/>
      <c r="R150" s="266"/>
      <c r="S150" s="266"/>
      <c r="T150" s="266"/>
      <c r="U150" s="266"/>
      <c r="BF150" s="158"/>
      <c r="BI150" s="159"/>
      <c r="BJ150" s="159"/>
      <c r="BK150" s="159"/>
      <c r="BN150" s="42"/>
    </row>
    <row r="151" spans="1:66" ht="0.75" customHeight="1">
      <c r="A151" s="95"/>
      <c r="B151" s="910"/>
      <c r="C151" s="910"/>
      <c r="D151" s="707"/>
      <c r="E151" s="96"/>
      <c r="F151" s="107"/>
      <c r="G151" s="107"/>
      <c r="H151" s="107"/>
      <c r="I151" s="107"/>
      <c r="J151" s="107"/>
      <c r="K151" s="266"/>
      <c r="L151" s="266"/>
      <c r="M151" s="266"/>
      <c r="N151" s="266"/>
      <c r="O151" s="266"/>
      <c r="P151" s="266"/>
      <c r="Q151" s="266"/>
      <c r="R151" s="266"/>
      <c r="S151" s="266"/>
      <c r="T151" s="266"/>
      <c r="U151" s="266"/>
      <c r="BF151" s="158"/>
      <c r="BI151" s="159"/>
      <c r="BJ151" s="159"/>
      <c r="BK151" s="159"/>
      <c r="BN151" s="42"/>
    </row>
    <row r="152" spans="1:66" ht="0.75" customHeight="1">
      <c r="A152" s="95"/>
      <c r="B152" s="910"/>
      <c r="C152" s="910"/>
      <c r="D152" s="707"/>
      <c r="E152" s="96"/>
      <c r="F152" s="107"/>
      <c r="G152" s="107"/>
      <c r="H152" s="107"/>
      <c r="I152" s="107"/>
      <c r="J152" s="107"/>
      <c r="K152" s="266"/>
      <c r="L152" s="266"/>
      <c r="M152" s="266"/>
      <c r="N152" s="266"/>
      <c r="O152" s="266"/>
      <c r="P152" s="266"/>
      <c r="Q152" s="266"/>
      <c r="R152" s="266"/>
      <c r="S152" s="266"/>
      <c r="T152" s="266"/>
      <c r="U152" s="266"/>
      <c r="BF152" s="158"/>
      <c r="BI152" s="159"/>
      <c r="BJ152" s="159"/>
      <c r="BK152" s="159"/>
      <c r="BN152" s="42"/>
    </row>
    <row r="153" spans="1:66" ht="0.75" customHeight="1">
      <c r="A153" s="95"/>
      <c r="B153" s="910"/>
      <c r="C153" s="910"/>
      <c r="D153" s="707"/>
      <c r="E153" s="96"/>
      <c r="F153" s="107"/>
      <c r="G153" s="107"/>
      <c r="H153" s="107"/>
      <c r="I153" s="107"/>
      <c r="J153" s="107"/>
      <c r="K153" s="266"/>
      <c r="L153" s="266"/>
      <c r="M153" s="266"/>
      <c r="N153" s="266"/>
      <c r="O153" s="266"/>
      <c r="P153" s="266"/>
      <c r="Q153" s="266"/>
      <c r="R153" s="266"/>
      <c r="S153" s="266"/>
      <c r="T153" s="266"/>
      <c r="U153" s="266"/>
      <c r="BF153" s="158"/>
      <c r="BI153" s="159"/>
      <c r="BJ153" s="159"/>
      <c r="BK153" s="159"/>
      <c r="BN153" s="42"/>
    </row>
    <row r="154" spans="1:66" ht="0.75" customHeight="1">
      <c r="A154" s="95"/>
      <c r="B154" s="910"/>
      <c r="C154" s="910"/>
      <c r="D154" s="707"/>
      <c r="E154" s="96"/>
      <c r="F154" s="107"/>
      <c r="G154" s="107"/>
      <c r="H154" s="107"/>
      <c r="I154" s="107"/>
      <c r="J154" s="107"/>
      <c r="K154" s="266"/>
      <c r="L154" s="266"/>
      <c r="M154" s="266"/>
      <c r="N154" s="266"/>
      <c r="O154" s="266"/>
      <c r="P154" s="266"/>
      <c r="Q154" s="266"/>
      <c r="R154" s="266"/>
      <c r="S154" s="266"/>
      <c r="T154" s="266"/>
      <c r="U154" s="266"/>
      <c r="BF154" s="158"/>
      <c r="BI154" s="159"/>
      <c r="BJ154" s="159"/>
      <c r="BK154" s="159"/>
      <c r="BN154" s="42"/>
    </row>
    <row r="155" spans="1:66" ht="0.75" customHeight="1">
      <c r="A155" s="95"/>
      <c r="B155" s="910"/>
      <c r="C155" s="910"/>
      <c r="D155" s="707"/>
      <c r="E155" s="96"/>
      <c r="F155" s="107"/>
      <c r="G155" s="107"/>
      <c r="H155" s="107"/>
      <c r="I155" s="107"/>
      <c r="J155" s="107"/>
      <c r="K155" s="266"/>
      <c r="L155" s="266"/>
      <c r="M155" s="266"/>
      <c r="N155" s="266"/>
      <c r="O155" s="266"/>
      <c r="P155" s="266"/>
      <c r="Q155" s="266"/>
      <c r="R155" s="266"/>
      <c r="S155" s="266"/>
      <c r="T155" s="266"/>
      <c r="U155" s="266"/>
      <c r="BF155" s="158"/>
      <c r="BI155" s="159"/>
      <c r="BJ155" s="159"/>
      <c r="BK155" s="159"/>
      <c r="BN155" s="42"/>
    </row>
    <row r="156" spans="1:66" ht="0.75" customHeight="1">
      <c r="A156" s="95"/>
      <c r="B156" s="910"/>
      <c r="C156" s="910"/>
      <c r="D156" s="707"/>
      <c r="E156" s="96"/>
      <c r="F156" s="107"/>
      <c r="G156" s="107"/>
      <c r="H156" s="107"/>
      <c r="I156" s="107"/>
      <c r="J156" s="107"/>
      <c r="K156" s="266"/>
      <c r="L156" s="266"/>
      <c r="M156" s="266"/>
      <c r="N156" s="266"/>
      <c r="O156" s="266"/>
      <c r="P156" s="266"/>
      <c r="Q156" s="266"/>
      <c r="R156" s="266"/>
      <c r="S156" s="266"/>
      <c r="T156" s="266"/>
      <c r="U156" s="266"/>
      <c r="BF156" s="160"/>
      <c r="BI156" s="159"/>
      <c r="BJ156" s="159"/>
      <c r="BK156" s="159"/>
      <c r="BN156" s="42"/>
    </row>
    <row r="157" spans="1:66" ht="0.75" customHeight="1">
      <c r="A157" s="95"/>
      <c r="B157" s="910"/>
      <c r="C157" s="910"/>
      <c r="D157" s="707"/>
      <c r="E157" s="96"/>
      <c r="F157" s="107"/>
      <c r="G157" s="107"/>
      <c r="H157" s="107"/>
      <c r="I157" s="107"/>
      <c r="J157" s="107"/>
      <c r="K157" s="266"/>
      <c r="L157" s="266"/>
      <c r="M157" s="266"/>
      <c r="N157" s="266"/>
      <c r="O157" s="266"/>
      <c r="P157" s="266"/>
      <c r="Q157" s="266"/>
      <c r="R157" s="266"/>
      <c r="S157" s="266"/>
      <c r="T157" s="266"/>
      <c r="U157" s="266"/>
      <c r="BF157" s="160"/>
      <c r="BI157" s="159"/>
      <c r="BJ157" s="159"/>
      <c r="BK157" s="159"/>
      <c r="BN157" s="42"/>
    </row>
    <row r="158" spans="1:66" ht="0.75" customHeight="1">
      <c r="A158" s="95"/>
      <c r="B158" s="104"/>
      <c r="C158" s="99"/>
      <c r="D158" s="707"/>
      <c r="E158" s="94"/>
      <c r="F158" s="110"/>
      <c r="G158" s="111" t="s">
        <v>720</v>
      </c>
      <c r="H158" s="111"/>
      <c r="I158" s="111"/>
      <c r="J158" s="111"/>
      <c r="K158" s="112"/>
      <c r="L158" s="112"/>
      <c r="M158" s="112"/>
      <c r="N158" s="112"/>
      <c r="O158" s="112"/>
      <c r="P158" s="112"/>
      <c r="Q158" s="112"/>
      <c r="R158" s="112"/>
      <c r="S158" s="112"/>
      <c r="T158" s="112"/>
      <c r="U158" s="113"/>
      <c r="AM158" s="162"/>
      <c r="AN158" s="162"/>
      <c r="AO158" s="162"/>
      <c r="AP158" s="162"/>
      <c r="AQ158" s="162"/>
      <c r="AR158" s="162"/>
      <c r="AS158" s="162"/>
      <c r="AT158" s="162"/>
      <c r="AU158" s="162"/>
      <c r="AV158" s="162"/>
      <c r="AW158" s="162"/>
      <c r="AX158" s="162"/>
      <c r="AY158" s="162"/>
      <c r="AZ158" s="162"/>
      <c r="BA158" s="162"/>
      <c r="BB158" s="162"/>
      <c r="BC158" s="162"/>
      <c r="BD158" s="162"/>
      <c r="BE158" s="162"/>
      <c r="BF158" s="159"/>
      <c r="BG158" s="162"/>
      <c r="BH158" s="162"/>
      <c r="BI158" s="162"/>
      <c r="BJ158" s="162"/>
      <c r="BK158" s="162"/>
    </row>
    <row r="159" spans="1:66" ht="12" customHeight="1">
      <c r="A159"/>
      <c r="B159"/>
      <c r="C159"/>
      <c r="D159" s="708"/>
      <c r="E159"/>
      <c r="F159" s="114"/>
      <c r="G159" s="114"/>
      <c r="H159" s="114"/>
      <c r="I159" s="114"/>
      <c r="J159" s="114"/>
      <c r="K159" s="114"/>
      <c r="L159" s="114"/>
      <c r="M159" s="114"/>
      <c r="N159" s="114"/>
      <c r="O159" s="114"/>
      <c r="P159" s="114"/>
      <c r="Q159" s="115"/>
      <c r="R159" s="115"/>
      <c r="S159" s="114"/>
      <c r="T159" s="114"/>
      <c r="U159" s="114"/>
      <c r="AM159" s="162"/>
      <c r="AN159" s="162"/>
      <c r="AO159" s="162"/>
      <c r="AP159" s="162"/>
      <c r="AQ159" s="162"/>
      <c r="AR159" s="162"/>
      <c r="AS159" s="162"/>
      <c r="AT159" s="162"/>
      <c r="AU159" s="162"/>
      <c r="AV159" s="162"/>
      <c r="AW159" s="162"/>
      <c r="AX159" s="162"/>
      <c r="AY159" s="162"/>
      <c r="AZ159" s="162"/>
      <c r="BA159" s="162"/>
      <c r="BB159" s="162"/>
      <c r="BC159" s="162"/>
      <c r="BD159" s="162"/>
      <c r="BE159" s="162"/>
      <c r="BF159" s="159"/>
      <c r="BG159" s="162"/>
      <c r="BH159" s="162"/>
      <c r="BI159" s="162"/>
      <c r="BJ159" s="162"/>
      <c r="BK159" s="162"/>
    </row>
    <row r="160" spans="1:66" s="121" customFormat="1">
      <c r="A160" s="39"/>
      <c r="B160" s="40"/>
      <c r="C160" s="39"/>
      <c r="D160" s="707"/>
      <c r="E160" s="41"/>
      <c r="F160" s="39"/>
      <c r="G160" s="39"/>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row>
    <row r="161" spans="1:60" s="121" customFormat="1">
      <c r="A161" s="39"/>
      <c r="B161" s="40"/>
      <c r="C161" s="39"/>
      <c r="D161" s="707"/>
      <c r="E161" s="41"/>
      <c r="F161" s="39"/>
      <c r="G161" s="39"/>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row>
    <row r="162" spans="1:60" s="121" customFormat="1">
      <c r="A162" s="39"/>
      <c r="B162" s="40"/>
      <c r="C162" s="39"/>
      <c r="D162" s="707"/>
      <c r="E162" s="41"/>
      <c r="F162" s="39"/>
      <c r="G162" s="39"/>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row>
    <row r="163" spans="1:60" s="121" customFormat="1">
      <c r="A163" s="39"/>
      <c r="B163" s="40"/>
      <c r="C163" s="39"/>
      <c r="D163" s="707"/>
      <c r="E163" s="41"/>
      <c r="F163" s="39"/>
      <c r="G163" s="39"/>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row>
    <row r="164" spans="1:60" s="121" customFormat="1">
      <c r="A164" s="39"/>
      <c r="B164" s="40"/>
      <c r="C164" s="39"/>
      <c r="D164" s="707"/>
      <c r="E164" s="41"/>
      <c r="F164" s="39"/>
      <c r="G164" s="39"/>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row>
    <row r="165" spans="1:60">
      <c r="D165" s="707"/>
    </row>
    <row r="166" spans="1:60">
      <c r="D166" s="707"/>
    </row>
    <row r="167" spans="1:60">
      <c r="D167" s="707"/>
    </row>
    <row r="168" spans="1:60">
      <c r="D168" s="707"/>
    </row>
  </sheetData>
  <sheetProtection password="FA9C" sheet="1" objects="1" scenarios="1" formatColumns="0" formatRows="0"/>
  <mergeCells count="37">
    <mergeCell ref="B130:B157"/>
    <mergeCell ref="F130:F131"/>
    <mergeCell ref="G130:G131"/>
    <mergeCell ref="C132:C144"/>
    <mergeCell ref="C145:C157"/>
    <mergeCell ref="G1:G2"/>
    <mergeCell ref="F29:F30"/>
    <mergeCell ref="F121:F123"/>
    <mergeCell ref="G121:G123"/>
    <mergeCell ref="G29:G30"/>
    <mergeCell ref="B1:B28"/>
    <mergeCell ref="C16:C28"/>
    <mergeCell ref="B29:B56"/>
    <mergeCell ref="F1:F2"/>
    <mergeCell ref="C3:C15"/>
    <mergeCell ref="C44:C56"/>
    <mergeCell ref="C31:C43"/>
    <mergeCell ref="F127:F128"/>
    <mergeCell ref="G127:G128"/>
    <mergeCell ref="F125:F126"/>
    <mergeCell ref="G125:G126"/>
    <mergeCell ref="L121:P121"/>
    <mergeCell ref="K121:K123"/>
    <mergeCell ref="J121:J123"/>
    <mergeCell ref="P122:P123"/>
    <mergeCell ref="H121:H123"/>
    <mergeCell ref="T122:T123"/>
    <mergeCell ref="I121:I123"/>
    <mergeCell ref="U121:U123"/>
    <mergeCell ref="L122:L123"/>
    <mergeCell ref="M122:M123"/>
    <mergeCell ref="N122:N123"/>
    <mergeCell ref="O122:O123"/>
    <mergeCell ref="R122:R123"/>
    <mergeCell ref="S122:S123"/>
    <mergeCell ref="R121:T121"/>
    <mergeCell ref="Q121:Q123"/>
  </mergeCells>
  <phoneticPr fontId="8" type="noConversion"/>
  <pageMargins left="0.37" right="0.35" top="1" bottom="1" header="0.5" footer="0.5"/>
  <pageSetup paperSize="9" scale="90" orientation="landscape" horizontalDpi="4294967292" verticalDpi="4294967292" r:id="rId1"/>
  <headerFooter alignWithMargins="0"/>
  <drawing r:id="rId2"/>
  <legacyDrawing r:id="rId3"/>
</worksheet>
</file>

<file path=xl/worksheets/sheet48.xml><?xml version="1.0" encoding="utf-8"?>
<worksheet xmlns="http://schemas.openxmlformats.org/spreadsheetml/2006/main" xmlns:r="http://schemas.openxmlformats.org/officeDocument/2006/relationships">
  <sheetPr codeName="VOTV_BAL_TR">
    <tabColor indexed="31"/>
    <pageSetUpPr fitToPage="1"/>
  </sheetPr>
  <dimension ref="A1:BN161"/>
  <sheetViews>
    <sheetView showGridLines="0" topLeftCell="D118" workbookViewId="0">
      <pane xSplit="4" ySplit="12" topLeftCell="H130" activePane="bottomRight" state="frozen"/>
      <selection activeCell="D118" sqref="D118"/>
      <selection pane="topRight" activeCell="H118" sqref="H118"/>
      <selection pane="bottomLeft" activeCell="D130" sqref="D130"/>
      <selection pane="bottomRight"/>
    </sheetView>
  </sheetViews>
  <sheetFormatPr defaultRowHeight="18"/>
  <cols>
    <col min="1" max="2" width="5.7109375" style="40" hidden="1" customWidth="1"/>
    <col min="3" max="3" width="5.7109375" style="39" hidden="1" customWidth="1"/>
    <col min="4" max="4" width="5.7109375" style="711" customWidth="1"/>
    <col min="5" max="5" width="4.7109375" style="41" hidden="1" customWidth="1"/>
    <col min="6" max="6" width="9.7109375" style="39" customWidth="1"/>
    <col min="7" max="7" width="40.7109375" style="39" customWidth="1"/>
    <col min="8" max="9" width="0.140625" style="39" customWidth="1"/>
    <col min="10" max="10" width="17.7109375" style="39" customWidth="1"/>
    <col min="11" max="12" width="15.7109375" style="39" customWidth="1"/>
    <col min="13" max="13" width="13.7109375" style="39" customWidth="1"/>
    <col min="14" max="14" width="17.7109375" style="39" customWidth="1"/>
    <col min="15" max="16" width="15.7109375" style="39" customWidth="1"/>
    <col min="17" max="17" width="17.7109375" style="39" customWidth="1"/>
    <col min="18" max="57" width="2.7109375" style="121" customWidth="1"/>
    <col min="58" max="58" width="17.7109375" style="39" hidden="1" customWidth="1"/>
    <col min="59" max="16384" width="9.140625" style="39"/>
  </cols>
  <sheetData>
    <row r="1" spans="1:66" ht="21" hidden="1" customHeight="1">
      <c r="A1" s="95"/>
      <c r="B1" s="910"/>
      <c r="C1" s="119" t="str">
        <f>F3</f>
        <v>0.0</v>
      </c>
      <c r="D1" s="714" t="s">
        <v>652</v>
      </c>
      <c r="E1" s="96"/>
      <c r="F1" s="835">
        <f>B1</f>
        <v>0</v>
      </c>
      <c r="G1" s="913"/>
      <c r="H1" s="107"/>
      <c r="I1" s="107"/>
      <c r="J1" s="107"/>
      <c r="K1" s="266"/>
      <c r="L1" s="266"/>
      <c r="M1" s="266"/>
      <c r="N1" s="266"/>
      <c r="O1" s="266"/>
      <c r="P1" s="266"/>
      <c r="Q1" s="266"/>
      <c r="BF1" s="158" t="s">
        <v>3144</v>
      </c>
      <c r="BG1" s="121"/>
      <c r="BH1" s="121"/>
      <c r="BI1" s="159"/>
      <c r="BJ1" s="159"/>
      <c r="BK1" s="159"/>
      <c r="BN1" s="42"/>
    </row>
    <row r="2" spans="1:66" ht="0.75" hidden="1" customHeight="1">
      <c r="A2" s="95"/>
      <c r="B2" s="910"/>
      <c r="C2" s="119"/>
      <c r="D2" s="706"/>
      <c r="E2" s="96"/>
      <c r="F2" s="835"/>
      <c r="G2" s="913"/>
      <c r="H2" s="107"/>
      <c r="I2" s="107"/>
      <c r="J2" s="107"/>
      <c r="K2" s="266"/>
      <c r="L2" s="266"/>
      <c r="M2" s="266"/>
      <c r="N2" s="266"/>
      <c r="O2" s="266"/>
      <c r="P2" s="266"/>
      <c r="Q2" s="266"/>
      <c r="BF2" s="158" t="str">
        <f>IF(TEMPLATE_SPHERE="водоснабжения","TOTAL_ORG_TW","")</f>
        <v/>
      </c>
      <c r="BG2" s="121"/>
      <c r="BH2" s="121"/>
      <c r="BI2" s="159"/>
      <c r="BJ2" s="159"/>
      <c r="BK2" s="159"/>
      <c r="BN2" s="42"/>
    </row>
    <row r="3" spans="1:66" ht="11.25" hidden="1" customHeight="1">
      <c r="A3" s="95"/>
      <c r="B3" s="910"/>
      <c r="C3" s="910"/>
      <c r="D3" s="707"/>
      <c r="E3" s="96"/>
      <c r="F3" s="106" t="str">
        <f>F1 &amp; ".0"</f>
        <v>0.0</v>
      </c>
      <c r="G3" s="105" t="s">
        <v>721</v>
      </c>
      <c r="H3" s="107"/>
      <c r="I3" s="107"/>
      <c r="J3" s="107"/>
      <c r="K3" s="266"/>
      <c r="L3" s="266"/>
      <c r="M3" s="266"/>
      <c r="N3" s="266"/>
      <c r="O3" s="266"/>
      <c r="P3" s="266"/>
      <c r="Q3" s="266"/>
      <c r="BF3" s="158" t="str">
        <f>IF(TEMPLATE_SPHERE="водоснабжения","TOTAL_ORG_PW","TOTAL_ORG")</f>
        <v>TOTAL_ORG</v>
      </c>
      <c r="BG3" s="121"/>
      <c r="BH3" s="121"/>
      <c r="BI3" s="159"/>
      <c r="BJ3" s="159"/>
      <c r="BK3" s="159"/>
      <c r="BN3" s="42"/>
    </row>
    <row r="4" spans="1:66" ht="11.25" hidden="1" customHeight="1">
      <c r="A4" s="95"/>
      <c r="B4" s="910"/>
      <c r="C4" s="910"/>
      <c r="D4" s="707"/>
      <c r="E4" s="96"/>
      <c r="F4" s="106" t="str">
        <f>F1 &amp; ".1"</f>
        <v>0.1</v>
      </c>
      <c r="G4" s="105" t="s">
        <v>722</v>
      </c>
      <c r="H4" s="107"/>
      <c r="I4" s="107"/>
      <c r="J4" s="107"/>
      <c r="K4" s="266"/>
      <c r="L4" s="266"/>
      <c r="M4" s="266"/>
      <c r="N4" s="266"/>
      <c r="O4" s="266"/>
      <c r="P4" s="266"/>
      <c r="Q4" s="266"/>
      <c r="BF4" s="158" t="str">
        <f>C1 &amp; "-I"</f>
        <v>0.0-I</v>
      </c>
      <c r="BG4" s="121"/>
      <c r="BH4" s="121"/>
      <c r="BI4" s="159"/>
      <c r="BJ4" s="159"/>
      <c r="BK4" s="159"/>
      <c r="BN4" s="42"/>
    </row>
    <row r="5" spans="1:66" ht="11.25" hidden="1" customHeight="1">
      <c r="A5" s="95"/>
      <c r="B5" s="910"/>
      <c r="C5" s="910"/>
      <c r="D5" s="707"/>
      <c r="E5" s="96"/>
      <c r="F5" s="106" t="str">
        <f>F1 &amp; ".2"</f>
        <v>0.2</v>
      </c>
      <c r="G5" s="105" t="s">
        <v>723</v>
      </c>
      <c r="H5" s="107"/>
      <c r="I5" s="107"/>
      <c r="J5" s="107"/>
      <c r="K5" s="266"/>
      <c r="L5" s="266"/>
      <c r="M5" s="266"/>
      <c r="N5" s="266"/>
      <c r="O5" s="266"/>
      <c r="P5" s="266"/>
      <c r="Q5" s="266"/>
      <c r="BF5" s="158" t="str">
        <f>C1 &amp; "-I"</f>
        <v>0.0-I</v>
      </c>
      <c r="BG5" s="121"/>
      <c r="BH5" s="121"/>
      <c r="BI5" s="159"/>
      <c r="BJ5" s="159"/>
      <c r="BK5" s="159"/>
      <c r="BN5" s="42"/>
    </row>
    <row r="6" spans="1:66" ht="11.25" hidden="1" customHeight="1">
      <c r="A6" s="95"/>
      <c r="B6" s="910"/>
      <c r="C6" s="910"/>
      <c r="D6" s="707"/>
      <c r="E6" s="96"/>
      <c r="F6" s="106" t="str">
        <f>F1 &amp; ".3"</f>
        <v>0.3</v>
      </c>
      <c r="G6" s="105" t="s">
        <v>724</v>
      </c>
      <c r="H6" s="107"/>
      <c r="I6" s="107"/>
      <c r="J6" s="107"/>
      <c r="K6" s="266"/>
      <c r="L6" s="266"/>
      <c r="M6" s="266"/>
      <c r="N6" s="266"/>
      <c r="O6" s="266"/>
      <c r="P6" s="266"/>
      <c r="Q6" s="266"/>
      <c r="BF6" s="158" t="str">
        <f>C1 &amp; "-I"</f>
        <v>0.0-I</v>
      </c>
      <c r="BG6" s="121"/>
      <c r="BH6" s="121"/>
      <c r="BI6" s="159"/>
      <c r="BJ6" s="159"/>
      <c r="BK6" s="159"/>
      <c r="BN6" s="42"/>
    </row>
    <row r="7" spans="1:66" ht="11.25" hidden="1" customHeight="1">
      <c r="A7" s="95"/>
      <c r="B7" s="910"/>
      <c r="C7" s="910"/>
      <c r="D7" s="707"/>
      <c r="E7" s="96"/>
      <c r="F7" s="106" t="str">
        <f>F1 &amp; ".4"</f>
        <v>0.4</v>
      </c>
      <c r="G7" s="105" t="s">
        <v>725</v>
      </c>
      <c r="H7" s="107"/>
      <c r="I7" s="107"/>
      <c r="J7" s="107"/>
      <c r="K7" s="266"/>
      <c r="L7" s="266"/>
      <c r="M7" s="266"/>
      <c r="N7" s="266"/>
      <c r="O7" s="266"/>
      <c r="P7" s="266"/>
      <c r="Q7" s="266"/>
      <c r="BF7" s="158" t="str">
        <f>C1 &amp; "-I"</f>
        <v>0.0-I</v>
      </c>
      <c r="BG7" s="121"/>
      <c r="BH7" s="121"/>
      <c r="BI7" s="159"/>
      <c r="BJ7" s="159"/>
      <c r="BK7" s="159"/>
      <c r="BN7" s="42"/>
    </row>
    <row r="8" spans="1:66" ht="11.25" hidden="1" customHeight="1">
      <c r="A8" s="95"/>
      <c r="B8" s="910"/>
      <c r="C8" s="910"/>
      <c r="D8" s="707"/>
      <c r="E8" s="96"/>
      <c r="F8" s="106" t="str">
        <f>F1 &amp; ".5"</f>
        <v>0.5</v>
      </c>
      <c r="G8" s="105" t="s">
        <v>726</v>
      </c>
      <c r="H8" s="107"/>
      <c r="I8" s="107"/>
      <c r="J8" s="107"/>
      <c r="K8" s="266"/>
      <c r="L8" s="266"/>
      <c r="M8" s="267"/>
      <c r="N8" s="267"/>
      <c r="O8" s="266"/>
      <c r="P8" s="266"/>
      <c r="Q8" s="266"/>
      <c r="BF8" s="158" t="str">
        <f>C1 &amp; "-I"</f>
        <v>0.0-I</v>
      </c>
      <c r="BG8" s="121"/>
      <c r="BH8" s="121"/>
      <c r="BI8" s="159"/>
      <c r="BJ8" s="159"/>
      <c r="BK8" s="159"/>
      <c r="BN8" s="42"/>
    </row>
    <row r="9" spans="1:66" ht="11.25" hidden="1" customHeight="1">
      <c r="A9" s="95"/>
      <c r="B9" s="910"/>
      <c r="C9" s="910"/>
      <c r="D9" s="707"/>
      <c r="E9" s="96"/>
      <c r="F9" s="106" t="str">
        <f>F1 &amp; ".6"</f>
        <v>0.6</v>
      </c>
      <c r="G9" s="105" t="s">
        <v>727</v>
      </c>
      <c r="H9" s="107"/>
      <c r="I9" s="107"/>
      <c r="J9" s="107"/>
      <c r="K9" s="266"/>
      <c r="L9" s="268"/>
      <c r="M9" s="266"/>
      <c r="N9" s="269"/>
      <c r="O9" s="269"/>
      <c r="P9" s="269"/>
      <c r="Q9" s="269"/>
      <c r="BF9" s="158" t="str">
        <f>C1 &amp; "-I"</f>
        <v>0.0-I</v>
      </c>
      <c r="BG9" s="121"/>
      <c r="BH9" s="121"/>
      <c r="BI9" s="159"/>
      <c r="BJ9" s="159"/>
      <c r="BK9" s="159"/>
      <c r="BN9" s="42"/>
    </row>
    <row r="10" spans="1:66" ht="11.25" hidden="1" customHeight="1">
      <c r="A10" s="95"/>
      <c r="B10" s="910"/>
      <c r="C10" s="910"/>
      <c r="D10" s="707"/>
      <c r="E10" s="96"/>
      <c r="F10" s="106" t="str">
        <f>F1 &amp; ".7"</f>
        <v>0.7</v>
      </c>
      <c r="G10" s="105" t="s">
        <v>728</v>
      </c>
      <c r="H10" s="107"/>
      <c r="I10" s="107"/>
      <c r="J10" s="107"/>
      <c r="K10" s="266"/>
      <c r="L10" s="266"/>
      <c r="M10" s="270"/>
      <c r="N10" s="270"/>
      <c r="O10" s="266"/>
      <c r="P10" s="266"/>
      <c r="Q10" s="266"/>
      <c r="BF10" s="158" t="str">
        <f>C1 &amp; "-II"</f>
        <v>0.0-II</v>
      </c>
      <c r="BG10" s="121"/>
      <c r="BH10" s="121"/>
      <c r="BI10" s="159"/>
      <c r="BJ10" s="159"/>
      <c r="BK10" s="159"/>
      <c r="BN10" s="42"/>
    </row>
    <row r="11" spans="1:66" ht="11.25" hidden="1" customHeight="1">
      <c r="A11" s="95"/>
      <c r="B11" s="910"/>
      <c r="C11" s="910"/>
      <c r="D11" s="707"/>
      <c r="E11" s="96"/>
      <c r="F11" s="106" t="str">
        <f>F1 &amp; ".8"</f>
        <v>0.8</v>
      </c>
      <c r="G11" s="105" t="s">
        <v>729</v>
      </c>
      <c r="H11" s="107"/>
      <c r="I11" s="107"/>
      <c r="J11" s="107"/>
      <c r="K11" s="266"/>
      <c r="L11" s="266"/>
      <c r="M11" s="266"/>
      <c r="N11" s="266"/>
      <c r="O11" s="266"/>
      <c r="P11" s="266"/>
      <c r="Q11" s="266"/>
      <c r="BF11" s="158" t="str">
        <f>C1 &amp; "-II"</f>
        <v>0.0-II</v>
      </c>
      <c r="BG11" s="121"/>
      <c r="BH11" s="121"/>
      <c r="BI11" s="159"/>
      <c r="BJ11" s="159"/>
      <c r="BK11" s="159"/>
      <c r="BN11" s="42"/>
    </row>
    <row r="12" spans="1:66" ht="11.25" hidden="1" customHeight="1">
      <c r="A12" s="95"/>
      <c r="B12" s="910"/>
      <c r="C12" s="910"/>
      <c r="D12" s="707"/>
      <c r="E12" s="96"/>
      <c r="F12" s="106" t="str">
        <f>F1 &amp; ".9"</f>
        <v>0.9</v>
      </c>
      <c r="G12" s="105" t="s">
        <v>730</v>
      </c>
      <c r="H12" s="107"/>
      <c r="I12" s="107"/>
      <c r="J12" s="107"/>
      <c r="K12" s="266"/>
      <c r="L12" s="266"/>
      <c r="M12" s="266"/>
      <c r="N12" s="266"/>
      <c r="O12" s="266"/>
      <c r="P12" s="266"/>
      <c r="Q12" s="266"/>
      <c r="BF12" s="158" t="str">
        <f>C1 &amp; IF(TEMPLATE_CLAIM="P","-II","-III")</f>
        <v>0.0-III</v>
      </c>
      <c r="BG12" s="121"/>
      <c r="BH12" s="121"/>
      <c r="BI12" s="159"/>
      <c r="BJ12" s="159"/>
      <c r="BK12" s="159"/>
      <c r="BN12" s="42"/>
    </row>
    <row r="13" spans="1:66" ht="11.25" hidden="1" customHeight="1">
      <c r="A13" s="95"/>
      <c r="B13" s="910"/>
      <c r="C13" s="910"/>
      <c r="D13" s="707"/>
      <c r="E13" s="96"/>
      <c r="F13" s="106" t="str">
        <f>F1 &amp; ".10"</f>
        <v>0.10</v>
      </c>
      <c r="G13" s="105" t="s">
        <v>731</v>
      </c>
      <c r="H13" s="107"/>
      <c r="I13" s="107"/>
      <c r="J13" s="107"/>
      <c r="K13" s="266"/>
      <c r="L13" s="266"/>
      <c r="M13" s="266"/>
      <c r="N13" s="266"/>
      <c r="O13" s="266"/>
      <c r="P13" s="266"/>
      <c r="Q13" s="266"/>
      <c r="BF13" s="158" t="str">
        <f>C1 &amp; IF(TEMPLATE_CLAIM="P","-II","-III")</f>
        <v>0.0-III</v>
      </c>
      <c r="BG13" s="121"/>
      <c r="BH13" s="121"/>
      <c r="BI13" s="159"/>
      <c r="BJ13" s="159"/>
      <c r="BK13" s="159"/>
      <c r="BN13" s="42"/>
    </row>
    <row r="14" spans="1:66" ht="11.25" hidden="1" customHeight="1">
      <c r="A14" s="95"/>
      <c r="B14" s="910"/>
      <c r="C14" s="910"/>
      <c r="D14" s="707"/>
      <c r="E14" s="96"/>
      <c r="F14" s="106" t="str">
        <f>F1 &amp; ".11"</f>
        <v>0.11</v>
      </c>
      <c r="G14" s="105" t="s">
        <v>732</v>
      </c>
      <c r="H14" s="107"/>
      <c r="I14" s="107"/>
      <c r="J14" s="107"/>
      <c r="K14" s="266"/>
      <c r="L14" s="266"/>
      <c r="M14" s="266"/>
      <c r="N14" s="266"/>
      <c r="O14" s="266"/>
      <c r="P14" s="266"/>
      <c r="Q14" s="266"/>
      <c r="BF14" s="158" t="str">
        <f>C1 &amp; IF(TEMPLATE_CLAIM="P","-II","-III")</f>
        <v>0.0-III</v>
      </c>
      <c r="BG14" s="121"/>
      <c r="BH14" s="121"/>
      <c r="BI14" s="159"/>
      <c r="BJ14" s="159"/>
      <c r="BK14" s="159"/>
      <c r="BN14" s="42"/>
    </row>
    <row r="15" spans="1:66" ht="11.25" hidden="1" customHeight="1">
      <c r="A15" s="95"/>
      <c r="B15" s="910"/>
      <c r="C15" s="910"/>
      <c r="D15" s="707"/>
      <c r="E15" s="96"/>
      <c r="F15" s="106" t="str">
        <f>F1 &amp; ".12"</f>
        <v>0.12</v>
      </c>
      <c r="G15" s="105" t="s">
        <v>733</v>
      </c>
      <c r="H15" s="107"/>
      <c r="I15" s="107"/>
      <c r="J15" s="107"/>
      <c r="K15" s="266"/>
      <c r="L15" s="266"/>
      <c r="M15" s="266"/>
      <c r="N15" s="266"/>
      <c r="O15" s="266"/>
      <c r="P15" s="266"/>
      <c r="Q15" s="266"/>
      <c r="BF15" s="158" t="str">
        <f>C1 &amp; IF(TEMPLATE_CLAIM="P","-II","-III")</f>
        <v>0.0-III</v>
      </c>
      <c r="BG15" s="121"/>
      <c r="BH15" s="121"/>
      <c r="BI15" s="159"/>
      <c r="BJ15" s="159"/>
      <c r="BK15" s="159"/>
      <c r="BN15" s="42"/>
    </row>
    <row r="16" spans="1:66" ht="0.75" hidden="1" customHeight="1">
      <c r="A16" s="95"/>
      <c r="B16" s="910"/>
      <c r="C16" s="910"/>
      <c r="D16" s="707"/>
      <c r="E16" s="96"/>
      <c r="F16" s="107"/>
      <c r="G16" s="107"/>
      <c r="H16" s="107"/>
      <c r="I16" s="107"/>
      <c r="J16" s="107"/>
      <c r="K16" s="266"/>
      <c r="L16" s="266"/>
      <c r="M16" s="266"/>
      <c r="N16" s="266"/>
      <c r="O16" s="266"/>
      <c r="P16" s="266"/>
      <c r="Q16" s="266"/>
      <c r="BF16" s="158"/>
      <c r="BG16" s="121"/>
      <c r="BH16" s="121"/>
      <c r="BI16" s="159"/>
      <c r="BJ16" s="159"/>
      <c r="BK16" s="159"/>
      <c r="BN16" s="42"/>
    </row>
    <row r="17" spans="1:66" ht="0.75" hidden="1" customHeight="1">
      <c r="A17" s="95"/>
      <c r="B17" s="910"/>
      <c r="C17" s="910"/>
      <c r="D17" s="707"/>
      <c r="E17" s="96"/>
      <c r="F17" s="107"/>
      <c r="G17" s="107"/>
      <c r="H17" s="107"/>
      <c r="I17" s="107"/>
      <c r="J17" s="107"/>
      <c r="K17" s="266"/>
      <c r="L17" s="266"/>
      <c r="M17" s="266"/>
      <c r="N17" s="266"/>
      <c r="O17" s="266"/>
      <c r="P17" s="266"/>
      <c r="Q17" s="266"/>
      <c r="BF17" s="158"/>
      <c r="BG17" s="121"/>
      <c r="BH17" s="121"/>
      <c r="BI17" s="159"/>
      <c r="BJ17" s="159"/>
      <c r="BK17" s="159"/>
      <c r="BN17" s="42"/>
    </row>
    <row r="18" spans="1:66" ht="0.75" hidden="1" customHeight="1">
      <c r="A18" s="95"/>
      <c r="B18" s="910"/>
      <c r="C18" s="910"/>
      <c r="D18" s="707"/>
      <c r="E18" s="96"/>
      <c r="F18" s="107"/>
      <c r="G18" s="107"/>
      <c r="H18" s="107"/>
      <c r="I18" s="107"/>
      <c r="J18" s="107"/>
      <c r="K18" s="266"/>
      <c r="L18" s="266"/>
      <c r="M18" s="266"/>
      <c r="N18" s="266"/>
      <c r="O18" s="266"/>
      <c r="P18" s="266"/>
      <c r="Q18" s="266"/>
      <c r="BF18" s="158"/>
      <c r="BG18" s="121"/>
      <c r="BH18" s="121"/>
      <c r="BI18" s="159"/>
      <c r="BJ18" s="159"/>
      <c r="BK18" s="159"/>
      <c r="BN18" s="42"/>
    </row>
    <row r="19" spans="1:66" ht="0.75" hidden="1" customHeight="1">
      <c r="A19" s="95"/>
      <c r="B19" s="910"/>
      <c r="C19" s="910"/>
      <c r="D19" s="707"/>
      <c r="E19" s="96"/>
      <c r="F19" s="107"/>
      <c r="G19" s="107"/>
      <c r="H19" s="107"/>
      <c r="I19" s="107"/>
      <c r="J19" s="107"/>
      <c r="K19" s="266"/>
      <c r="L19" s="266"/>
      <c r="M19" s="266"/>
      <c r="N19" s="266"/>
      <c r="O19" s="266"/>
      <c r="P19" s="266"/>
      <c r="Q19" s="266"/>
      <c r="BF19" s="158"/>
      <c r="BG19" s="121"/>
      <c r="BH19" s="121"/>
      <c r="BI19" s="159"/>
      <c r="BJ19" s="159"/>
      <c r="BK19" s="159"/>
      <c r="BN19" s="42"/>
    </row>
    <row r="20" spans="1:66" ht="0.75" hidden="1" customHeight="1">
      <c r="A20" s="95"/>
      <c r="B20" s="910"/>
      <c r="C20" s="910"/>
      <c r="D20" s="707"/>
      <c r="E20" s="96"/>
      <c r="F20" s="107"/>
      <c r="G20" s="107"/>
      <c r="H20" s="107"/>
      <c r="I20" s="107"/>
      <c r="J20" s="107"/>
      <c r="K20" s="266"/>
      <c r="L20" s="266"/>
      <c r="M20" s="266"/>
      <c r="N20" s="266"/>
      <c r="O20" s="266"/>
      <c r="P20" s="266"/>
      <c r="Q20" s="266"/>
      <c r="BF20" s="158"/>
      <c r="BG20" s="121"/>
      <c r="BH20" s="121"/>
      <c r="BI20" s="159"/>
      <c r="BJ20" s="159"/>
      <c r="BK20" s="159"/>
      <c r="BN20" s="42"/>
    </row>
    <row r="21" spans="1:66" ht="0.75" hidden="1" customHeight="1">
      <c r="A21" s="95"/>
      <c r="B21" s="910"/>
      <c r="C21" s="910"/>
      <c r="D21" s="707"/>
      <c r="E21" s="96"/>
      <c r="F21" s="107"/>
      <c r="G21" s="107"/>
      <c r="H21" s="107"/>
      <c r="I21" s="107"/>
      <c r="J21" s="107"/>
      <c r="K21" s="266"/>
      <c r="L21" s="266"/>
      <c r="M21" s="266"/>
      <c r="N21" s="266"/>
      <c r="O21" s="266"/>
      <c r="P21" s="266"/>
      <c r="Q21" s="266"/>
      <c r="BF21" s="158"/>
      <c r="BG21" s="121"/>
      <c r="BH21" s="121"/>
      <c r="BI21" s="159"/>
      <c r="BJ21" s="159"/>
      <c r="BK21" s="159"/>
      <c r="BN21" s="42"/>
    </row>
    <row r="22" spans="1:66" ht="0.75" hidden="1" customHeight="1">
      <c r="A22" s="95"/>
      <c r="B22" s="910"/>
      <c r="C22" s="910"/>
      <c r="D22" s="707"/>
      <c r="E22" s="96"/>
      <c r="F22" s="107"/>
      <c r="G22" s="107"/>
      <c r="H22" s="107"/>
      <c r="I22" s="107"/>
      <c r="J22" s="107"/>
      <c r="K22" s="266"/>
      <c r="L22" s="266"/>
      <c r="M22" s="266"/>
      <c r="N22" s="266"/>
      <c r="O22" s="266"/>
      <c r="P22" s="266"/>
      <c r="Q22" s="266"/>
      <c r="BF22" s="158"/>
      <c r="BG22" s="121"/>
      <c r="BH22" s="121"/>
      <c r="BI22" s="159"/>
      <c r="BJ22" s="159"/>
      <c r="BK22" s="159"/>
      <c r="BN22" s="42"/>
    </row>
    <row r="23" spans="1:66" ht="0.75" hidden="1" customHeight="1">
      <c r="A23" s="95"/>
      <c r="B23" s="910"/>
      <c r="C23" s="910"/>
      <c r="D23" s="707"/>
      <c r="E23" s="96"/>
      <c r="F23" s="107"/>
      <c r="G23" s="107"/>
      <c r="H23" s="107"/>
      <c r="I23" s="107"/>
      <c r="J23" s="107"/>
      <c r="K23" s="266"/>
      <c r="L23" s="266"/>
      <c r="M23" s="266"/>
      <c r="N23" s="266"/>
      <c r="O23" s="266"/>
      <c r="P23" s="266"/>
      <c r="Q23" s="266"/>
      <c r="BF23" s="158"/>
      <c r="BG23" s="121"/>
      <c r="BH23" s="121"/>
      <c r="BI23" s="159"/>
      <c r="BJ23" s="159"/>
      <c r="BK23" s="159"/>
      <c r="BN23" s="42"/>
    </row>
    <row r="24" spans="1:66" ht="0.75" hidden="1" customHeight="1">
      <c r="A24" s="95"/>
      <c r="B24" s="910"/>
      <c r="C24" s="910"/>
      <c r="D24" s="707"/>
      <c r="E24" s="96"/>
      <c r="F24" s="107"/>
      <c r="G24" s="107"/>
      <c r="H24" s="107"/>
      <c r="I24" s="107"/>
      <c r="J24" s="107"/>
      <c r="K24" s="266"/>
      <c r="L24" s="266"/>
      <c r="M24" s="266"/>
      <c r="N24" s="266"/>
      <c r="O24" s="266"/>
      <c r="P24" s="266"/>
      <c r="Q24" s="266"/>
      <c r="BF24" s="158"/>
      <c r="BG24" s="121"/>
      <c r="BH24" s="121"/>
      <c r="BI24" s="159"/>
      <c r="BJ24" s="159"/>
      <c r="BK24" s="159"/>
      <c r="BN24" s="42"/>
    </row>
    <row r="25" spans="1:66" ht="0.75" hidden="1" customHeight="1">
      <c r="A25" s="95"/>
      <c r="B25" s="910"/>
      <c r="C25" s="910"/>
      <c r="D25" s="707"/>
      <c r="E25" s="96"/>
      <c r="F25" s="107"/>
      <c r="G25" s="107"/>
      <c r="H25" s="107"/>
      <c r="I25" s="107"/>
      <c r="J25" s="107"/>
      <c r="K25" s="266"/>
      <c r="L25" s="266"/>
      <c r="M25" s="266"/>
      <c r="N25" s="266"/>
      <c r="O25" s="266"/>
      <c r="P25" s="266"/>
      <c r="Q25" s="266"/>
      <c r="BF25" s="158"/>
      <c r="BG25" s="121"/>
      <c r="BH25" s="121"/>
      <c r="BI25" s="159"/>
      <c r="BJ25" s="159"/>
      <c r="BK25" s="159"/>
      <c r="BN25" s="42"/>
    </row>
    <row r="26" spans="1:66" ht="0.75" hidden="1" customHeight="1">
      <c r="A26" s="95"/>
      <c r="B26" s="910"/>
      <c r="C26" s="910"/>
      <c r="D26" s="707"/>
      <c r="E26" s="96"/>
      <c r="F26" s="107"/>
      <c r="G26" s="107"/>
      <c r="H26" s="107"/>
      <c r="I26" s="107"/>
      <c r="J26" s="107"/>
      <c r="K26" s="266"/>
      <c r="L26" s="266"/>
      <c r="M26" s="266"/>
      <c r="N26" s="266"/>
      <c r="O26" s="266"/>
      <c r="P26" s="266"/>
      <c r="Q26" s="266"/>
      <c r="BF26" s="158"/>
      <c r="BG26" s="121"/>
      <c r="BH26" s="121"/>
      <c r="BI26" s="159"/>
      <c r="BJ26" s="159"/>
      <c r="BK26" s="159"/>
      <c r="BN26" s="42"/>
    </row>
    <row r="27" spans="1:66" ht="0.75" hidden="1" customHeight="1">
      <c r="A27" s="95"/>
      <c r="B27" s="910"/>
      <c r="C27" s="910"/>
      <c r="D27" s="707"/>
      <c r="E27" s="96"/>
      <c r="F27" s="107"/>
      <c r="G27" s="107"/>
      <c r="H27" s="107"/>
      <c r="I27" s="107"/>
      <c r="J27" s="107"/>
      <c r="K27" s="266"/>
      <c r="L27" s="266"/>
      <c r="M27" s="266"/>
      <c r="N27" s="266"/>
      <c r="O27" s="266"/>
      <c r="P27" s="266"/>
      <c r="Q27" s="266"/>
      <c r="BF27" s="158"/>
      <c r="BG27" s="121"/>
      <c r="BH27" s="121"/>
      <c r="BI27" s="159"/>
      <c r="BJ27" s="159"/>
      <c r="BK27" s="159"/>
      <c r="BN27" s="42"/>
    </row>
    <row r="28" spans="1:66" ht="0.75" hidden="1" customHeight="1">
      <c r="A28" s="95"/>
      <c r="B28" s="910"/>
      <c r="C28" s="910"/>
      <c r="D28" s="707"/>
      <c r="E28" s="96"/>
      <c r="F28" s="107"/>
      <c r="G28" s="107"/>
      <c r="H28" s="107"/>
      <c r="I28" s="107"/>
      <c r="J28" s="107"/>
      <c r="K28" s="266"/>
      <c r="L28" s="267"/>
      <c r="M28" s="266"/>
      <c r="N28" s="266"/>
      <c r="O28" s="266"/>
      <c r="P28" s="266"/>
      <c r="Q28" s="266"/>
      <c r="BF28" s="158"/>
      <c r="BG28" s="121"/>
      <c r="BH28" s="121"/>
      <c r="BI28" s="159"/>
      <c r="BJ28" s="159"/>
      <c r="BK28" s="159"/>
      <c r="BN28" s="42"/>
    </row>
    <row r="29" spans="1:66" hidden="1">
      <c r="A29" s="95"/>
      <c r="B29" s="910"/>
      <c r="C29" s="119" t="str">
        <f>F31</f>
        <v>0.0</v>
      </c>
      <c r="D29" s="714" t="s">
        <v>652</v>
      </c>
      <c r="E29" s="96"/>
      <c r="F29" s="835">
        <f>B29</f>
        <v>0</v>
      </c>
      <c r="G29" s="913"/>
      <c r="H29" s="266"/>
      <c r="I29" s="266"/>
      <c r="J29" s="699">
        <f>IF(TEMPLATE_CLAIM="P","",K29+L29)</f>
        <v>0</v>
      </c>
      <c r="K29" s="274"/>
      <c r="L29" s="691">
        <f>IF(TEMPLATE_CLAIM="P","",M29+N29+O29+P29+Q29)</f>
        <v>0</v>
      </c>
      <c r="M29" s="274"/>
      <c r="N29" s="274"/>
      <c r="O29" s="274"/>
      <c r="P29" s="274"/>
      <c r="Q29" s="274"/>
      <c r="BF29" s="158" t="s">
        <v>3144</v>
      </c>
      <c r="BG29" s="121"/>
      <c r="BH29" s="121"/>
      <c r="BI29" s="288"/>
      <c r="BJ29" s="288"/>
      <c r="BK29" s="159"/>
    </row>
    <row r="30" spans="1:66" ht="0.75" hidden="1" customHeight="1">
      <c r="A30" s="95"/>
      <c r="B30" s="910"/>
      <c r="C30" s="119"/>
      <c r="D30" s="706"/>
      <c r="E30" s="96"/>
      <c r="F30" s="835"/>
      <c r="G30" s="913"/>
      <c r="H30" s="107"/>
      <c r="I30" s="107"/>
      <c r="J30" s="107"/>
      <c r="K30" s="266"/>
      <c r="L30" s="266"/>
      <c r="M30" s="266"/>
      <c r="N30" s="266"/>
      <c r="O30" s="266"/>
      <c r="P30" s="266"/>
      <c r="Q30" s="266"/>
      <c r="BF30" s="158" t="str">
        <f>IF(TEMPLATE_SPHERE="водоснабжения","TOTAL_ORG_TW","")</f>
        <v/>
      </c>
      <c r="BG30" s="121"/>
      <c r="BH30" s="121"/>
      <c r="BI30" s="288"/>
      <c r="BJ30" s="288"/>
      <c r="BK30" s="159"/>
    </row>
    <row r="31" spans="1:66" hidden="1">
      <c r="A31" s="95"/>
      <c r="B31" s="910"/>
      <c r="C31" s="910"/>
      <c r="D31" s="707"/>
      <c r="E31" s="96"/>
      <c r="F31" s="106" t="str">
        <f>F29 &amp; ".0"</f>
        <v>0.0</v>
      </c>
      <c r="G31" s="105" t="s">
        <v>721</v>
      </c>
      <c r="H31" s="266"/>
      <c r="I31" s="266"/>
      <c r="J31" s="516">
        <f>K31+L31</f>
        <v>0</v>
      </c>
      <c r="K31" s="272"/>
      <c r="L31" s="271">
        <f>M31+N31+O31+P31+Q31</f>
        <v>0</v>
      </c>
      <c r="M31" s="271">
        <f>SUM(M32:M43)</f>
        <v>0</v>
      </c>
      <c r="N31" s="271">
        <f>SUM(N32:N43)</f>
        <v>0</v>
      </c>
      <c r="O31" s="271">
        <f>SUM(O32:O43)</f>
        <v>0</v>
      </c>
      <c r="P31" s="271">
        <f>SUM(P32:P43)</f>
        <v>0</v>
      </c>
      <c r="Q31" s="271">
        <f>SUM(Q32:Q43)</f>
        <v>0</v>
      </c>
      <c r="BF31" s="158" t="str">
        <f>IF(TEMPLATE_SPHERE="водоснабжения","TOTAL_ORG_PW","TOTAL_ORG")</f>
        <v>TOTAL_ORG</v>
      </c>
      <c r="BG31" s="121"/>
      <c r="BH31" s="121"/>
      <c r="BI31" s="288"/>
      <c r="BJ31" s="288"/>
      <c r="BK31" s="159"/>
    </row>
    <row r="32" spans="1:66" hidden="1">
      <c r="A32" s="95"/>
      <c r="B32" s="910"/>
      <c r="C32" s="910"/>
      <c r="D32" s="707"/>
      <c r="E32" s="96"/>
      <c r="F32" s="106" t="str">
        <f>F29 &amp; ".1"</f>
        <v>0.1</v>
      </c>
      <c r="G32" s="105" t="s">
        <v>722</v>
      </c>
      <c r="H32" s="266"/>
      <c r="I32" s="266"/>
      <c r="J32" s="266"/>
      <c r="K32" s="266"/>
      <c r="L32" s="271">
        <f t="shared" ref="L32:L43" si="0">M32+N32+O32+P32+Q32</f>
        <v>0</v>
      </c>
      <c r="M32" s="272"/>
      <c r="N32" s="272"/>
      <c r="O32" s="272"/>
      <c r="P32" s="272"/>
      <c r="Q32" s="272"/>
      <c r="BF32" s="158" t="str">
        <f>C29 &amp; "-I"</f>
        <v>0.0-I</v>
      </c>
      <c r="BG32" s="121"/>
      <c r="BH32" s="121"/>
      <c r="BI32" s="288"/>
      <c r="BJ32" s="288"/>
      <c r="BK32" s="159"/>
    </row>
    <row r="33" spans="1:66" hidden="1">
      <c r="A33" s="95"/>
      <c r="B33" s="910"/>
      <c r="C33" s="910"/>
      <c r="D33" s="707"/>
      <c r="E33" s="96"/>
      <c r="F33" s="106" t="str">
        <f>F29 &amp; ".2"</f>
        <v>0.2</v>
      </c>
      <c r="G33" s="105" t="s">
        <v>723</v>
      </c>
      <c r="H33" s="266"/>
      <c r="I33" s="266"/>
      <c r="J33" s="266"/>
      <c r="K33" s="266"/>
      <c r="L33" s="271">
        <f t="shared" si="0"/>
        <v>0</v>
      </c>
      <c r="M33" s="272"/>
      <c r="N33" s="272"/>
      <c r="O33" s="272"/>
      <c r="P33" s="272"/>
      <c r="Q33" s="272"/>
      <c r="BF33" s="158" t="str">
        <f>C29 &amp; "-I"</f>
        <v>0.0-I</v>
      </c>
      <c r="BG33" s="121"/>
      <c r="BH33" s="121"/>
      <c r="BI33" s="288"/>
      <c r="BJ33" s="288"/>
      <c r="BK33" s="159"/>
    </row>
    <row r="34" spans="1:66" hidden="1">
      <c r="A34" s="95"/>
      <c r="B34" s="910"/>
      <c r="C34" s="910"/>
      <c r="D34" s="707"/>
      <c r="E34" s="96"/>
      <c r="F34" s="106" t="str">
        <f>F29 &amp; ".3"</f>
        <v>0.3</v>
      </c>
      <c r="G34" s="105" t="s">
        <v>724</v>
      </c>
      <c r="H34" s="266"/>
      <c r="I34" s="266"/>
      <c r="J34" s="266"/>
      <c r="K34" s="266"/>
      <c r="L34" s="271">
        <f t="shared" si="0"/>
        <v>0</v>
      </c>
      <c r="M34" s="272"/>
      <c r="N34" s="272"/>
      <c r="O34" s="272"/>
      <c r="P34" s="272"/>
      <c r="Q34" s="272"/>
      <c r="BF34" s="158" t="str">
        <f>C29 &amp; "-I"</f>
        <v>0.0-I</v>
      </c>
      <c r="BG34" s="121"/>
      <c r="BH34" s="121"/>
      <c r="BI34" s="288"/>
      <c r="BJ34" s="288"/>
      <c r="BK34" s="159"/>
    </row>
    <row r="35" spans="1:66" hidden="1">
      <c r="A35" s="95"/>
      <c r="B35" s="910"/>
      <c r="C35" s="910"/>
      <c r="D35" s="707"/>
      <c r="E35" s="96"/>
      <c r="F35" s="106" t="str">
        <f>F29 &amp; ".4"</f>
        <v>0.4</v>
      </c>
      <c r="G35" s="105" t="s">
        <v>725</v>
      </c>
      <c r="H35" s="266"/>
      <c r="I35" s="266"/>
      <c r="J35" s="266"/>
      <c r="K35" s="266"/>
      <c r="L35" s="271">
        <f t="shared" si="0"/>
        <v>0</v>
      </c>
      <c r="M35" s="272"/>
      <c r="N35" s="272"/>
      <c r="O35" s="272"/>
      <c r="P35" s="272"/>
      <c r="Q35" s="272"/>
      <c r="BF35" s="158" t="str">
        <f>C29 &amp; "-I"</f>
        <v>0.0-I</v>
      </c>
      <c r="BG35" s="121"/>
      <c r="BH35" s="121"/>
      <c r="BI35" s="288"/>
      <c r="BJ35" s="288"/>
      <c r="BK35" s="159"/>
    </row>
    <row r="36" spans="1:66" hidden="1">
      <c r="A36" s="95"/>
      <c r="B36" s="910"/>
      <c r="C36" s="910"/>
      <c r="D36" s="707"/>
      <c r="E36" s="96"/>
      <c r="F36" s="106" t="str">
        <f>F29 &amp; ".5"</f>
        <v>0.5</v>
      </c>
      <c r="G36" s="105" t="s">
        <v>726</v>
      </c>
      <c r="H36" s="266"/>
      <c r="I36" s="266"/>
      <c r="J36" s="266"/>
      <c r="K36" s="266"/>
      <c r="L36" s="271">
        <f t="shared" si="0"/>
        <v>0</v>
      </c>
      <c r="M36" s="272"/>
      <c r="N36" s="272"/>
      <c r="O36" s="272"/>
      <c r="P36" s="272"/>
      <c r="Q36" s="272"/>
      <c r="BF36" s="158" t="str">
        <f>C29 &amp; "-I"</f>
        <v>0.0-I</v>
      </c>
      <c r="BG36" s="121"/>
      <c r="BH36" s="121"/>
      <c r="BI36" s="288"/>
      <c r="BJ36" s="288"/>
      <c r="BK36" s="159"/>
    </row>
    <row r="37" spans="1:66" hidden="1">
      <c r="A37" s="95"/>
      <c r="B37" s="910"/>
      <c r="C37" s="910"/>
      <c r="D37" s="707"/>
      <c r="E37" s="96"/>
      <c r="F37" s="106" t="str">
        <f>F29 &amp; ".6"</f>
        <v>0.6</v>
      </c>
      <c r="G37" s="105" t="s">
        <v>727</v>
      </c>
      <c r="H37" s="266"/>
      <c r="I37" s="266"/>
      <c r="J37" s="266"/>
      <c r="K37" s="266"/>
      <c r="L37" s="271">
        <f t="shared" si="0"/>
        <v>0</v>
      </c>
      <c r="M37" s="272"/>
      <c r="N37" s="272"/>
      <c r="O37" s="272"/>
      <c r="P37" s="272"/>
      <c r="Q37" s="272"/>
      <c r="BF37" s="158" t="str">
        <f>C29 &amp; "-I"</f>
        <v>0.0-I</v>
      </c>
      <c r="BG37" s="121"/>
      <c r="BH37" s="121"/>
      <c r="BI37" s="288"/>
      <c r="BJ37" s="288"/>
      <c r="BK37" s="159"/>
    </row>
    <row r="38" spans="1:66" hidden="1">
      <c r="A38" s="95"/>
      <c r="B38" s="910"/>
      <c r="C38" s="910"/>
      <c r="D38" s="707"/>
      <c r="E38" s="96"/>
      <c r="F38" s="106" t="str">
        <f>F29 &amp; ".7"</f>
        <v>0.7</v>
      </c>
      <c r="G38" s="105" t="s">
        <v>728</v>
      </c>
      <c r="H38" s="266"/>
      <c r="I38" s="266"/>
      <c r="J38" s="266"/>
      <c r="K38" s="266"/>
      <c r="L38" s="271">
        <f t="shared" si="0"/>
        <v>0</v>
      </c>
      <c r="M38" s="272"/>
      <c r="N38" s="272"/>
      <c r="O38" s="272"/>
      <c r="P38" s="272"/>
      <c r="Q38" s="272"/>
      <c r="BF38" s="158" t="str">
        <f>C29 &amp; "-II"</f>
        <v>0.0-II</v>
      </c>
      <c r="BG38" s="121"/>
      <c r="BH38" s="121"/>
      <c r="BI38" s="288"/>
      <c r="BJ38" s="288"/>
      <c r="BK38" s="159"/>
    </row>
    <row r="39" spans="1:66" hidden="1">
      <c r="A39" s="95"/>
      <c r="B39" s="910"/>
      <c r="C39" s="910"/>
      <c r="D39" s="707"/>
      <c r="E39" s="96"/>
      <c r="F39" s="106" t="str">
        <f>F29 &amp; ".8"</f>
        <v>0.8</v>
      </c>
      <c r="G39" s="105" t="s">
        <v>729</v>
      </c>
      <c r="H39" s="266"/>
      <c r="I39" s="266"/>
      <c r="J39" s="266"/>
      <c r="K39" s="266"/>
      <c r="L39" s="271">
        <f t="shared" si="0"/>
        <v>0</v>
      </c>
      <c r="M39" s="272"/>
      <c r="N39" s="272"/>
      <c r="O39" s="272"/>
      <c r="P39" s="272"/>
      <c r="Q39" s="272"/>
      <c r="BF39" s="158" t="str">
        <f>C29 &amp; "-II"</f>
        <v>0.0-II</v>
      </c>
      <c r="BG39" s="121"/>
      <c r="BH39" s="121"/>
      <c r="BI39" s="288"/>
      <c r="BJ39" s="288"/>
      <c r="BK39" s="159"/>
    </row>
    <row r="40" spans="1:66" hidden="1">
      <c r="A40" s="95"/>
      <c r="B40" s="910"/>
      <c r="C40" s="910"/>
      <c r="D40" s="707"/>
      <c r="E40" s="96"/>
      <c r="F40" s="106" t="str">
        <f>F29 &amp; ".9"</f>
        <v>0.9</v>
      </c>
      <c r="G40" s="105" t="s">
        <v>730</v>
      </c>
      <c r="H40" s="266"/>
      <c r="I40" s="266"/>
      <c r="J40" s="266"/>
      <c r="K40" s="266"/>
      <c r="L40" s="271">
        <f t="shared" si="0"/>
        <v>0</v>
      </c>
      <c r="M40" s="272"/>
      <c r="N40" s="272"/>
      <c r="O40" s="272"/>
      <c r="P40" s="272"/>
      <c r="Q40" s="272"/>
      <c r="BF40" s="158" t="str">
        <f>C29 &amp; IF(TEMPLATE_CLAIM="P","-II","-III")</f>
        <v>0.0-III</v>
      </c>
      <c r="BG40" s="121"/>
      <c r="BH40" s="121"/>
      <c r="BI40" s="288"/>
      <c r="BJ40" s="288"/>
      <c r="BK40" s="159"/>
    </row>
    <row r="41" spans="1:66" hidden="1">
      <c r="A41" s="95"/>
      <c r="B41" s="910"/>
      <c r="C41" s="910"/>
      <c r="D41" s="707"/>
      <c r="E41" s="96"/>
      <c r="F41" s="106" t="str">
        <f>F29 &amp; ".10"</f>
        <v>0.10</v>
      </c>
      <c r="G41" s="105" t="s">
        <v>731</v>
      </c>
      <c r="H41" s="266"/>
      <c r="I41" s="266"/>
      <c r="J41" s="266"/>
      <c r="K41" s="266"/>
      <c r="L41" s="271">
        <f t="shared" si="0"/>
        <v>0</v>
      </c>
      <c r="M41" s="272"/>
      <c r="N41" s="272"/>
      <c r="O41" s="272"/>
      <c r="P41" s="272"/>
      <c r="Q41" s="272"/>
      <c r="BF41" s="158" t="str">
        <f>C29 &amp; IF(TEMPLATE_CLAIM="P","-II","-III")</f>
        <v>0.0-III</v>
      </c>
      <c r="BG41" s="121"/>
      <c r="BH41" s="121"/>
      <c r="BI41" s="288"/>
      <c r="BJ41" s="288"/>
      <c r="BK41" s="159"/>
    </row>
    <row r="42" spans="1:66" hidden="1">
      <c r="A42" s="95"/>
      <c r="B42" s="910"/>
      <c r="C42" s="910"/>
      <c r="D42" s="707"/>
      <c r="E42" s="96"/>
      <c r="F42" s="106" t="str">
        <f>F29 &amp; ".11"</f>
        <v>0.11</v>
      </c>
      <c r="G42" s="105" t="s">
        <v>732</v>
      </c>
      <c r="H42" s="266"/>
      <c r="I42" s="266"/>
      <c r="J42" s="266"/>
      <c r="K42" s="266"/>
      <c r="L42" s="271">
        <f t="shared" si="0"/>
        <v>0</v>
      </c>
      <c r="M42" s="272"/>
      <c r="N42" s="272"/>
      <c r="O42" s="272"/>
      <c r="P42" s="272"/>
      <c r="Q42" s="272"/>
      <c r="BF42" s="158" t="str">
        <f>C29 &amp; IF(TEMPLATE_CLAIM="P","-II","-III")</f>
        <v>0.0-III</v>
      </c>
      <c r="BG42" s="121"/>
      <c r="BH42" s="121"/>
      <c r="BI42" s="288"/>
      <c r="BJ42" s="288"/>
      <c r="BK42" s="159"/>
    </row>
    <row r="43" spans="1:66" ht="11.25" hidden="1" customHeight="1">
      <c r="A43" s="95"/>
      <c r="B43" s="910"/>
      <c r="C43" s="910"/>
      <c r="D43" s="707"/>
      <c r="E43" s="96"/>
      <c r="F43" s="106" t="str">
        <f>F29 &amp; ".12"</f>
        <v>0.12</v>
      </c>
      <c r="G43" s="105" t="s">
        <v>733</v>
      </c>
      <c r="H43" s="107"/>
      <c r="I43" s="107"/>
      <c r="J43" s="266"/>
      <c r="K43" s="266"/>
      <c r="L43" s="271">
        <f t="shared" si="0"/>
        <v>0</v>
      </c>
      <c r="M43" s="272"/>
      <c r="N43" s="272"/>
      <c r="O43" s="272"/>
      <c r="P43" s="272"/>
      <c r="Q43" s="272"/>
      <c r="BF43" s="158" t="str">
        <f>C29 &amp; IF(TEMPLATE_CLAIM="P","-II","-III")</f>
        <v>0.0-III</v>
      </c>
      <c r="BG43" s="121"/>
      <c r="BH43" s="121"/>
      <c r="BI43" s="159"/>
      <c r="BJ43" s="159"/>
      <c r="BK43" s="159"/>
      <c r="BN43" s="42"/>
    </row>
    <row r="44" spans="1:66" ht="0.75" hidden="1" customHeight="1">
      <c r="A44" s="95"/>
      <c r="B44" s="910"/>
      <c r="C44" s="910"/>
      <c r="D44" s="707"/>
      <c r="E44" s="96"/>
      <c r="F44" s="107"/>
      <c r="G44" s="107"/>
      <c r="H44" s="107"/>
      <c r="I44" s="107"/>
      <c r="J44" s="107"/>
      <c r="K44" s="266"/>
      <c r="L44" s="266"/>
      <c r="M44" s="266"/>
      <c r="N44" s="266"/>
      <c r="O44" s="266"/>
      <c r="P44" s="266"/>
      <c r="Q44" s="266"/>
      <c r="BF44" s="158"/>
      <c r="BG44" s="121"/>
      <c r="BH44" s="121"/>
      <c r="BI44" s="159"/>
      <c r="BJ44" s="159"/>
      <c r="BK44" s="159"/>
      <c r="BN44" s="42"/>
    </row>
    <row r="45" spans="1:66" ht="0.75" hidden="1" customHeight="1">
      <c r="A45" s="95"/>
      <c r="B45" s="910"/>
      <c r="C45" s="910"/>
      <c r="D45" s="707"/>
      <c r="E45" s="96"/>
      <c r="F45" s="107"/>
      <c r="G45" s="107"/>
      <c r="H45" s="107"/>
      <c r="I45" s="107"/>
      <c r="J45" s="107"/>
      <c r="K45" s="266"/>
      <c r="L45" s="266"/>
      <c r="M45" s="266"/>
      <c r="N45" s="266"/>
      <c r="O45" s="266"/>
      <c r="P45" s="266"/>
      <c r="Q45" s="266"/>
      <c r="BF45" s="158"/>
      <c r="BG45" s="121"/>
      <c r="BH45" s="121"/>
      <c r="BI45" s="159"/>
      <c r="BJ45" s="159"/>
      <c r="BK45" s="159"/>
      <c r="BN45" s="42"/>
    </row>
    <row r="46" spans="1:66" ht="0.75" hidden="1" customHeight="1">
      <c r="A46" s="95"/>
      <c r="B46" s="910"/>
      <c r="C46" s="910"/>
      <c r="D46" s="707"/>
      <c r="E46" s="96"/>
      <c r="F46" s="107"/>
      <c r="G46" s="107"/>
      <c r="H46" s="107"/>
      <c r="I46" s="107"/>
      <c r="J46" s="107"/>
      <c r="K46" s="266"/>
      <c r="L46" s="266"/>
      <c r="M46" s="266"/>
      <c r="N46" s="266"/>
      <c r="O46" s="266"/>
      <c r="P46" s="266"/>
      <c r="Q46" s="266"/>
      <c r="BF46" s="158"/>
      <c r="BG46" s="121"/>
      <c r="BH46" s="121"/>
      <c r="BI46" s="159"/>
      <c r="BJ46" s="159"/>
      <c r="BK46" s="159"/>
      <c r="BN46" s="42"/>
    </row>
    <row r="47" spans="1:66" ht="0.75" hidden="1" customHeight="1">
      <c r="A47" s="95"/>
      <c r="B47" s="910"/>
      <c r="C47" s="910"/>
      <c r="D47" s="707"/>
      <c r="E47" s="96"/>
      <c r="F47" s="107"/>
      <c r="G47" s="107"/>
      <c r="H47" s="107"/>
      <c r="I47" s="107"/>
      <c r="J47" s="107"/>
      <c r="K47" s="266"/>
      <c r="L47" s="266"/>
      <c r="M47" s="266"/>
      <c r="N47" s="266"/>
      <c r="O47" s="266"/>
      <c r="P47" s="266"/>
      <c r="Q47" s="266"/>
      <c r="BF47" s="158"/>
      <c r="BG47" s="121"/>
      <c r="BH47" s="121"/>
      <c r="BI47" s="159"/>
      <c r="BJ47" s="159"/>
      <c r="BK47" s="159"/>
      <c r="BN47" s="42"/>
    </row>
    <row r="48" spans="1:66" ht="0.75" hidden="1" customHeight="1">
      <c r="A48" s="95"/>
      <c r="B48" s="910"/>
      <c r="C48" s="910"/>
      <c r="D48" s="707"/>
      <c r="E48" s="96"/>
      <c r="F48" s="107"/>
      <c r="G48" s="107"/>
      <c r="H48" s="107"/>
      <c r="I48" s="107"/>
      <c r="J48" s="107"/>
      <c r="K48" s="266"/>
      <c r="L48" s="266"/>
      <c r="M48" s="266"/>
      <c r="N48" s="266"/>
      <c r="O48" s="266"/>
      <c r="P48" s="266"/>
      <c r="Q48" s="266"/>
      <c r="BF48" s="158"/>
      <c r="BG48" s="121"/>
      <c r="BH48" s="121"/>
      <c r="BI48" s="159"/>
      <c r="BJ48" s="159"/>
      <c r="BK48" s="159"/>
      <c r="BN48" s="42"/>
    </row>
    <row r="49" spans="1:66" ht="0.75" hidden="1" customHeight="1">
      <c r="A49" s="95"/>
      <c r="B49" s="910"/>
      <c r="C49" s="910"/>
      <c r="D49" s="707"/>
      <c r="E49" s="96"/>
      <c r="F49" s="107"/>
      <c r="G49" s="107"/>
      <c r="H49" s="107"/>
      <c r="I49" s="107"/>
      <c r="J49" s="107"/>
      <c r="K49" s="266"/>
      <c r="L49" s="266"/>
      <c r="M49" s="266"/>
      <c r="N49" s="266"/>
      <c r="O49" s="266"/>
      <c r="P49" s="266"/>
      <c r="Q49" s="266"/>
      <c r="BF49" s="158"/>
      <c r="BG49" s="121"/>
      <c r="BH49" s="121"/>
      <c r="BI49" s="159"/>
      <c r="BJ49" s="159"/>
      <c r="BK49" s="159"/>
      <c r="BN49" s="42"/>
    </row>
    <row r="50" spans="1:66" ht="0.75" hidden="1" customHeight="1">
      <c r="A50" s="95"/>
      <c r="B50" s="910"/>
      <c r="C50" s="910"/>
      <c r="D50" s="707"/>
      <c r="E50" s="96"/>
      <c r="F50" s="107"/>
      <c r="G50" s="107"/>
      <c r="H50" s="107"/>
      <c r="I50" s="107"/>
      <c r="J50" s="107"/>
      <c r="K50" s="266"/>
      <c r="L50" s="266"/>
      <c r="M50" s="266"/>
      <c r="N50" s="266"/>
      <c r="O50" s="266"/>
      <c r="P50" s="266"/>
      <c r="Q50" s="266"/>
      <c r="BF50" s="158"/>
      <c r="BG50" s="121"/>
      <c r="BH50" s="121"/>
      <c r="BI50" s="159"/>
      <c r="BJ50" s="159"/>
      <c r="BK50" s="159"/>
      <c r="BN50" s="42"/>
    </row>
    <row r="51" spans="1:66" ht="0.75" hidden="1" customHeight="1">
      <c r="A51" s="95"/>
      <c r="B51" s="910"/>
      <c r="C51" s="910"/>
      <c r="D51" s="707"/>
      <c r="E51" s="96"/>
      <c r="F51" s="107"/>
      <c r="G51" s="107"/>
      <c r="H51" s="107"/>
      <c r="I51" s="107"/>
      <c r="J51" s="107"/>
      <c r="K51" s="266"/>
      <c r="L51" s="266"/>
      <c r="M51" s="266"/>
      <c r="N51" s="266"/>
      <c r="O51" s="266"/>
      <c r="P51" s="266"/>
      <c r="Q51" s="266"/>
      <c r="BF51" s="158"/>
      <c r="BG51" s="121"/>
      <c r="BH51" s="121"/>
      <c r="BI51" s="159"/>
      <c r="BJ51" s="159"/>
      <c r="BK51" s="159"/>
      <c r="BN51" s="42"/>
    </row>
    <row r="52" spans="1:66" ht="0.75" hidden="1" customHeight="1">
      <c r="A52" s="95"/>
      <c r="B52" s="910"/>
      <c r="C52" s="910"/>
      <c r="D52" s="707"/>
      <c r="E52" s="96"/>
      <c r="F52" s="107"/>
      <c r="G52" s="107"/>
      <c r="H52" s="107"/>
      <c r="I52" s="107"/>
      <c r="J52" s="107"/>
      <c r="K52" s="266"/>
      <c r="L52" s="266"/>
      <c r="M52" s="266"/>
      <c r="N52" s="266"/>
      <c r="O52" s="266"/>
      <c r="P52" s="266"/>
      <c r="Q52" s="266"/>
      <c r="BF52" s="158"/>
      <c r="BG52" s="121"/>
      <c r="BH52" s="121"/>
      <c r="BI52" s="159"/>
      <c r="BJ52" s="159"/>
      <c r="BK52" s="159"/>
      <c r="BN52" s="42"/>
    </row>
    <row r="53" spans="1:66" ht="0.75" hidden="1" customHeight="1">
      <c r="A53" s="95"/>
      <c r="B53" s="910"/>
      <c r="C53" s="910"/>
      <c r="D53" s="707"/>
      <c r="E53" s="96"/>
      <c r="F53" s="107"/>
      <c r="G53" s="107"/>
      <c r="H53" s="107"/>
      <c r="I53" s="107"/>
      <c r="J53" s="107"/>
      <c r="K53" s="266"/>
      <c r="L53" s="266"/>
      <c r="M53" s="266"/>
      <c r="N53" s="266"/>
      <c r="O53" s="266"/>
      <c r="P53" s="266"/>
      <c r="Q53" s="266"/>
      <c r="BF53" s="158"/>
      <c r="BG53" s="121"/>
      <c r="BH53" s="121"/>
      <c r="BI53" s="159"/>
      <c r="BJ53" s="159"/>
      <c r="BK53" s="159"/>
      <c r="BN53" s="42"/>
    </row>
    <row r="54" spans="1:66" ht="0.75" hidden="1" customHeight="1">
      <c r="A54" s="95"/>
      <c r="B54" s="910"/>
      <c r="C54" s="910"/>
      <c r="D54" s="707"/>
      <c r="E54" s="96"/>
      <c r="F54" s="107"/>
      <c r="G54" s="107"/>
      <c r="H54" s="107"/>
      <c r="I54" s="107"/>
      <c r="J54" s="107"/>
      <c r="K54" s="266"/>
      <c r="L54" s="266"/>
      <c r="M54" s="266"/>
      <c r="N54" s="266"/>
      <c r="O54" s="266"/>
      <c r="P54" s="266"/>
      <c r="Q54" s="266"/>
      <c r="BF54" s="158"/>
      <c r="BG54" s="121"/>
      <c r="BH54" s="121"/>
      <c r="BI54" s="159"/>
      <c r="BJ54" s="159"/>
      <c r="BK54" s="159"/>
      <c r="BN54" s="42"/>
    </row>
    <row r="55" spans="1:66" ht="0.75" hidden="1" customHeight="1">
      <c r="A55" s="95"/>
      <c r="B55" s="910"/>
      <c r="C55" s="910"/>
      <c r="D55" s="707"/>
      <c r="E55" s="96"/>
      <c r="F55" s="107"/>
      <c r="G55" s="107"/>
      <c r="H55" s="107"/>
      <c r="I55" s="107"/>
      <c r="J55" s="107"/>
      <c r="K55" s="266"/>
      <c r="L55" s="266"/>
      <c r="M55" s="266"/>
      <c r="N55" s="266"/>
      <c r="O55" s="266"/>
      <c r="P55" s="266"/>
      <c r="Q55" s="266"/>
      <c r="BF55" s="160"/>
      <c r="BG55" s="121"/>
      <c r="BH55" s="121"/>
      <c r="BI55" s="159"/>
      <c r="BJ55" s="159"/>
      <c r="BK55" s="159"/>
      <c r="BN55" s="42"/>
    </row>
    <row r="56" spans="1:66" ht="0.75" hidden="1" customHeight="1">
      <c r="A56" s="95"/>
      <c r="B56" s="910"/>
      <c r="C56" s="910"/>
      <c r="D56" s="707"/>
      <c r="E56" s="96"/>
      <c r="F56" s="107"/>
      <c r="G56" s="107"/>
      <c r="H56" s="107"/>
      <c r="I56" s="107"/>
      <c r="J56" s="107"/>
      <c r="K56" s="266"/>
      <c r="L56" s="266"/>
      <c r="M56" s="266"/>
      <c r="N56" s="266"/>
      <c r="O56" s="266"/>
      <c r="P56" s="266"/>
      <c r="Q56" s="266"/>
      <c r="BF56" s="160"/>
      <c r="BG56" s="121"/>
      <c r="BH56" s="121"/>
      <c r="BI56" s="159"/>
      <c r="BJ56" s="159"/>
      <c r="BK56" s="159"/>
      <c r="BN56" s="42"/>
    </row>
    <row r="57" spans="1:66" customFormat="1" hidden="1">
      <c r="D57" s="708"/>
    </row>
    <row r="58" spans="1:66" customFormat="1" ht="11.25" hidden="1" customHeight="1">
      <c r="D58" s="708"/>
    </row>
    <row r="59" spans="1:66" customFormat="1" ht="11.25" hidden="1" customHeight="1">
      <c r="D59" s="708"/>
    </row>
    <row r="60" spans="1:66" customFormat="1" ht="11.25" hidden="1" customHeight="1">
      <c r="D60" s="708"/>
    </row>
    <row r="61" spans="1:66" customFormat="1" ht="11.25" hidden="1" customHeight="1">
      <c r="D61" s="708"/>
    </row>
    <row r="62" spans="1:66" customFormat="1" ht="11.25" hidden="1" customHeight="1">
      <c r="D62" s="708"/>
    </row>
    <row r="63" spans="1:66" customFormat="1" ht="11.25" hidden="1" customHeight="1">
      <c r="D63" s="708"/>
    </row>
    <row r="64" spans="1:66" customFormat="1" ht="11.25" hidden="1" customHeight="1">
      <c r="D64" s="708"/>
    </row>
    <row r="65" spans="4:4" customFormat="1" ht="11.25" hidden="1" customHeight="1">
      <c r="D65" s="708"/>
    </row>
    <row r="66" spans="4:4" customFormat="1" ht="11.25" hidden="1" customHeight="1">
      <c r="D66" s="708"/>
    </row>
    <row r="67" spans="4:4" customFormat="1" ht="11.25" hidden="1" customHeight="1">
      <c r="D67" s="708"/>
    </row>
    <row r="68" spans="4:4" customFormat="1" ht="11.25" hidden="1" customHeight="1">
      <c r="D68" s="708"/>
    </row>
    <row r="69" spans="4:4" customFormat="1" ht="11.25" hidden="1" customHeight="1">
      <c r="D69" s="708"/>
    </row>
    <row r="70" spans="4:4" customFormat="1" ht="11.25" hidden="1" customHeight="1">
      <c r="D70" s="708"/>
    </row>
    <row r="71" spans="4:4" customFormat="1" ht="11.25" hidden="1" customHeight="1">
      <c r="D71" s="708"/>
    </row>
    <row r="72" spans="4:4" customFormat="1" ht="11.25" hidden="1" customHeight="1">
      <c r="D72" s="708"/>
    </row>
    <row r="73" spans="4:4" customFormat="1" ht="11.25" hidden="1" customHeight="1">
      <c r="D73" s="708"/>
    </row>
    <row r="74" spans="4:4" customFormat="1" ht="11.25" hidden="1" customHeight="1">
      <c r="D74" s="708"/>
    </row>
    <row r="75" spans="4:4" customFormat="1" ht="11.25" hidden="1" customHeight="1">
      <c r="D75" s="708"/>
    </row>
    <row r="76" spans="4:4" customFormat="1" ht="11.25" hidden="1" customHeight="1">
      <c r="D76" s="708"/>
    </row>
    <row r="77" spans="4:4" customFormat="1" ht="11.25" hidden="1" customHeight="1">
      <c r="D77" s="708"/>
    </row>
    <row r="78" spans="4:4" customFormat="1" ht="11.25" hidden="1" customHeight="1">
      <c r="D78" s="708"/>
    </row>
    <row r="79" spans="4:4" customFormat="1" ht="11.25" hidden="1" customHeight="1">
      <c r="D79" s="708"/>
    </row>
    <row r="80" spans="4:4" customFormat="1" ht="11.25" hidden="1" customHeight="1">
      <c r="D80" s="708"/>
    </row>
    <row r="81" spans="4:4" customFormat="1" ht="11.25" hidden="1" customHeight="1">
      <c r="D81" s="708"/>
    </row>
    <row r="82" spans="4:4" customFormat="1" ht="11.25" hidden="1" customHeight="1">
      <c r="D82" s="708"/>
    </row>
    <row r="83" spans="4:4" customFormat="1" ht="11.25" hidden="1" customHeight="1">
      <c r="D83" s="708"/>
    </row>
    <row r="84" spans="4:4" customFormat="1" ht="11.25" hidden="1" customHeight="1">
      <c r="D84" s="708"/>
    </row>
    <row r="85" spans="4:4" customFormat="1" ht="11.25" hidden="1" customHeight="1">
      <c r="D85" s="708"/>
    </row>
    <row r="86" spans="4:4" customFormat="1" ht="11.25" hidden="1" customHeight="1">
      <c r="D86" s="708"/>
    </row>
    <row r="87" spans="4:4" customFormat="1" ht="11.25" hidden="1" customHeight="1">
      <c r="D87" s="708"/>
    </row>
    <row r="88" spans="4:4" customFormat="1" ht="11.25" hidden="1" customHeight="1">
      <c r="D88" s="708"/>
    </row>
    <row r="89" spans="4:4" customFormat="1" ht="11.25" hidden="1" customHeight="1">
      <c r="D89" s="708"/>
    </row>
    <row r="90" spans="4:4" customFormat="1" ht="11.25" hidden="1" customHeight="1">
      <c r="D90" s="708"/>
    </row>
    <row r="91" spans="4:4" customFormat="1" ht="11.25" hidden="1" customHeight="1">
      <c r="D91" s="708"/>
    </row>
    <row r="92" spans="4:4" customFormat="1" ht="11.25" hidden="1" customHeight="1">
      <c r="D92" s="708"/>
    </row>
    <row r="93" spans="4:4" customFormat="1" ht="11.25" hidden="1" customHeight="1">
      <c r="D93" s="708"/>
    </row>
    <row r="94" spans="4:4" customFormat="1" ht="11.25" hidden="1" customHeight="1">
      <c r="D94" s="708"/>
    </row>
    <row r="95" spans="4:4" customFormat="1" ht="11.25" hidden="1" customHeight="1">
      <c r="D95" s="708"/>
    </row>
    <row r="96" spans="4:4" customFormat="1" ht="11.25" hidden="1" customHeight="1">
      <c r="D96" s="708"/>
    </row>
    <row r="97" spans="4:4" customFormat="1" ht="11.25" hidden="1" customHeight="1">
      <c r="D97" s="708"/>
    </row>
    <row r="98" spans="4:4" customFormat="1" ht="11.25" hidden="1" customHeight="1">
      <c r="D98" s="708"/>
    </row>
    <row r="99" spans="4:4" customFormat="1" ht="11.25" hidden="1" customHeight="1">
      <c r="D99" s="708"/>
    </row>
    <row r="100" spans="4:4" customFormat="1" ht="11.25" hidden="1" customHeight="1">
      <c r="D100" s="708"/>
    </row>
    <row r="101" spans="4:4" customFormat="1" ht="11.25" hidden="1" customHeight="1">
      <c r="D101" s="708"/>
    </row>
    <row r="102" spans="4:4" customFormat="1" ht="11.25" hidden="1" customHeight="1">
      <c r="D102" s="708"/>
    </row>
    <row r="103" spans="4:4" customFormat="1" ht="11.25" hidden="1" customHeight="1">
      <c r="D103" s="708"/>
    </row>
    <row r="104" spans="4:4" customFormat="1" ht="11.25" hidden="1" customHeight="1">
      <c r="D104" s="708"/>
    </row>
    <row r="105" spans="4:4" customFormat="1" ht="11.25" hidden="1" customHeight="1">
      <c r="D105" s="708"/>
    </row>
    <row r="106" spans="4:4" customFormat="1" ht="11.25" hidden="1" customHeight="1">
      <c r="D106" s="708"/>
    </row>
    <row r="107" spans="4:4" customFormat="1" ht="11.25" hidden="1" customHeight="1">
      <c r="D107" s="708"/>
    </row>
    <row r="108" spans="4:4" customFormat="1" ht="11.25" hidden="1" customHeight="1">
      <c r="D108" s="708"/>
    </row>
    <row r="109" spans="4:4" customFormat="1" ht="11.25" hidden="1" customHeight="1">
      <c r="D109" s="708"/>
    </row>
    <row r="110" spans="4:4" customFormat="1" ht="11.25" hidden="1" customHeight="1">
      <c r="D110" s="708"/>
    </row>
    <row r="111" spans="4:4" customFormat="1" ht="11.25" hidden="1" customHeight="1">
      <c r="D111" s="708"/>
    </row>
    <row r="112" spans="4:4" customFormat="1" ht="11.25" hidden="1" customHeight="1">
      <c r="D112" s="708"/>
    </row>
    <row r="113" spans="1:63" customFormat="1" ht="12" hidden="1" customHeight="1">
      <c r="D113" s="708"/>
    </row>
    <row r="114" spans="1:63" customFormat="1" ht="11.25" hidden="1" customHeight="1">
      <c r="D114" s="708"/>
    </row>
    <row r="115" spans="1:63" customFormat="1" ht="11.25" hidden="1" customHeight="1">
      <c r="D115" s="708"/>
    </row>
    <row r="116" spans="1:63" customFormat="1" ht="11.25" hidden="1" customHeight="1">
      <c r="D116" s="708"/>
    </row>
    <row r="117" spans="1:63" customFormat="1" ht="11.25" hidden="1" customHeight="1">
      <c r="D117" s="708"/>
    </row>
    <row r="118" spans="1:63" customFormat="1" ht="12" customHeight="1">
      <c r="D118" s="708"/>
      <c r="G118" s="730" t="s">
        <v>2665</v>
      </c>
    </row>
    <row r="119" spans="1:63" s="121" customFormat="1" ht="18" customHeight="1">
      <c r="A119" s="95"/>
      <c r="B119" s="165"/>
      <c r="C119" s="164"/>
      <c r="D119" s="712"/>
      <c r="E119" s="96"/>
      <c r="F119" s="422" t="str">
        <f>"Баланс организаций " &amp; TEMPLATE_SPHERE &amp; ", осуществляющих передачу (транспортировку) по муниципальному образованию - " &amp; IF(mo="","Не определено",mo)</f>
        <v>Баланс организаций водоотведения, осуществляющих передачу (транспортировку) по муниципальному образованию - Село Булава</v>
      </c>
      <c r="G119" s="415"/>
    </row>
    <row r="120" spans="1:63" s="121" customFormat="1">
      <c r="A120" s="95"/>
      <c r="B120" s="40"/>
      <c r="C120" s="39"/>
      <c r="D120" s="711"/>
      <c r="F120" s="44" t="s">
        <v>343</v>
      </c>
    </row>
    <row r="121" spans="1:63" s="121" customFormat="1">
      <c r="A121" s="39"/>
      <c r="B121" s="40"/>
      <c r="C121" s="39"/>
      <c r="D121" s="708"/>
      <c r="F121" s="936" t="s">
        <v>641</v>
      </c>
      <c r="G121" s="930" t="s">
        <v>735</v>
      </c>
      <c r="H121" s="930"/>
      <c r="I121" s="930"/>
      <c r="J121" s="828" t="s">
        <v>53</v>
      </c>
      <c r="K121" s="828" t="s">
        <v>781</v>
      </c>
      <c r="L121" s="828" t="s">
        <v>54</v>
      </c>
      <c r="M121" s="828"/>
      <c r="N121" s="828"/>
      <c r="O121" s="828"/>
      <c r="P121" s="828"/>
      <c r="Q121" s="828"/>
    </row>
    <row r="122" spans="1:63" ht="30" customHeight="1">
      <c r="A122" s="39"/>
      <c r="D122" s="708"/>
      <c r="E122" s="121"/>
      <c r="F122" s="936"/>
      <c r="G122" s="930"/>
      <c r="H122" s="930"/>
      <c r="I122" s="930"/>
      <c r="J122" s="828"/>
      <c r="K122" s="828"/>
      <c r="L122" s="828" t="s">
        <v>745</v>
      </c>
      <c r="M122" s="828" t="s">
        <v>55</v>
      </c>
      <c r="N122" s="828" t="s">
        <v>56</v>
      </c>
      <c r="O122" s="828" t="s">
        <v>57</v>
      </c>
      <c r="P122" s="828" t="s">
        <v>58</v>
      </c>
      <c r="Q122" s="828" t="s">
        <v>59</v>
      </c>
    </row>
    <row r="123" spans="1:63" ht="42" customHeight="1">
      <c r="A123" s="39"/>
      <c r="E123" s="121"/>
      <c r="F123" s="936"/>
      <c r="G123" s="930"/>
      <c r="H123" s="930"/>
      <c r="I123" s="930"/>
      <c r="J123" s="828"/>
      <c r="K123" s="828"/>
      <c r="L123" s="828"/>
      <c r="M123" s="828"/>
      <c r="N123" s="828"/>
      <c r="O123" s="828"/>
      <c r="P123" s="828"/>
      <c r="Q123" s="828"/>
    </row>
    <row r="124" spans="1:63" ht="12" customHeight="1">
      <c r="A124" s="39"/>
      <c r="E124" s="121"/>
      <c r="F124" s="518"/>
      <c r="G124" s="519" t="s">
        <v>759</v>
      </c>
      <c r="H124" s="519"/>
      <c r="I124" s="519"/>
      <c r="J124" s="519">
        <v>1</v>
      </c>
      <c r="K124" s="519">
        <v>2</v>
      </c>
      <c r="L124" s="519">
        <v>3</v>
      </c>
      <c r="M124" s="519" t="s">
        <v>760</v>
      </c>
      <c r="N124" s="519" t="s">
        <v>761</v>
      </c>
      <c r="O124" s="519" t="s">
        <v>762</v>
      </c>
      <c r="P124" s="519" t="s">
        <v>763</v>
      </c>
      <c r="Q124" s="519" t="s">
        <v>764</v>
      </c>
    </row>
    <row r="125" spans="1:63" ht="24" customHeight="1">
      <c r="A125" s="38"/>
      <c r="B125" s="104" t="s">
        <v>3141</v>
      </c>
      <c r="C125" s="38"/>
      <c r="D125" s="714" t="s">
        <v>652</v>
      </c>
      <c r="E125" s="94"/>
      <c r="F125" s="961" t="str">
        <f>B125</f>
        <v>0.1</v>
      </c>
      <c r="G125" s="962" t="s">
        <v>778</v>
      </c>
      <c r="H125" s="517"/>
      <c r="I125" s="517"/>
      <c r="J125" s="273">
        <f t="shared" ref="J125:Q125" si="1">SUMIF($BF129:$BF158,$BF125,J129:J158)</f>
        <v>0</v>
      </c>
      <c r="K125" s="273">
        <f t="shared" si="1"/>
        <v>0</v>
      </c>
      <c r="L125" s="273">
        <f t="shared" si="1"/>
        <v>0</v>
      </c>
      <c r="M125" s="273">
        <f t="shared" si="1"/>
        <v>0</v>
      </c>
      <c r="N125" s="273">
        <f t="shared" si="1"/>
        <v>0</v>
      </c>
      <c r="O125" s="273">
        <f t="shared" si="1"/>
        <v>0</v>
      </c>
      <c r="P125" s="273">
        <f t="shared" si="1"/>
        <v>0</v>
      </c>
      <c r="Q125" s="273">
        <f t="shared" si="1"/>
        <v>0</v>
      </c>
      <c r="AM125" s="162"/>
      <c r="AN125" s="162"/>
      <c r="AO125" s="162"/>
      <c r="AP125" s="162"/>
      <c r="AQ125" s="162"/>
      <c r="AR125" s="162"/>
      <c r="AS125" s="162"/>
      <c r="AT125" s="162"/>
      <c r="AU125" s="162"/>
      <c r="AV125" s="162"/>
      <c r="AW125" s="162"/>
      <c r="AX125" s="162"/>
      <c r="AY125" s="162"/>
      <c r="AZ125" s="162"/>
      <c r="BA125" s="162"/>
      <c r="BB125" s="162"/>
      <c r="BC125" s="162"/>
      <c r="BD125" s="162"/>
      <c r="BE125" s="162"/>
      <c r="BF125" s="158" t="s">
        <v>3143</v>
      </c>
      <c r="BG125" s="162"/>
      <c r="BH125" s="162"/>
      <c r="BI125" s="162"/>
      <c r="BJ125" s="162"/>
      <c r="BK125" s="162"/>
    </row>
    <row r="126" spans="1:63" ht="0.75" customHeight="1">
      <c r="A126" s="38"/>
      <c r="B126" s="104"/>
      <c r="C126" s="38"/>
      <c r="E126" s="94"/>
      <c r="F126" s="911"/>
      <c r="G126" s="913"/>
      <c r="H126" s="107"/>
      <c r="I126" s="107"/>
      <c r="J126" s="266"/>
      <c r="K126" s="266"/>
      <c r="L126" s="266"/>
      <c r="M126" s="266"/>
      <c r="N126" s="266"/>
      <c r="O126" s="266"/>
      <c r="P126" s="266"/>
      <c r="Q126" s="266"/>
      <c r="AM126" s="162"/>
      <c r="AN126" s="162"/>
      <c r="AO126" s="162"/>
      <c r="AP126" s="162"/>
      <c r="AQ126" s="162"/>
      <c r="AR126" s="162"/>
      <c r="AS126" s="162"/>
      <c r="AT126" s="162"/>
      <c r="AU126" s="162"/>
      <c r="AV126" s="162"/>
      <c r="AW126" s="162"/>
      <c r="AX126" s="162"/>
      <c r="AY126" s="162"/>
      <c r="AZ126" s="162"/>
      <c r="BA126" s="162"/>
      <c r="BB126" s="162"/>
      <c r="BC126" s="162"/>
      <c r="BD126" s="162"/>
      <c r="BE126" s="162"/>
      <c r="BF126" s="158"/>
      <c r="BG126" s="162"/>
      <c r="BH126" s="162"/>
      <c r="BI126" s="162"/>
      <c r="BJ126" s="162"/>
      <c r="BK126" s="162"/>
    </row>
    <row r="127" spans="1:63" ht="24" customHeight="1">
      <c r="A127" s="38"/>
      <c r="B127" s="104" t="s">
        <v>3142</v>
      </c>
      <c r="C127" s="38"/>
      <c r="E127" s="94"/>
      <c r="F127" s="911" t="str">
        <f>B127</f>
        <v>0.2</v>
      </c>
      <c r="G127" s="913" t="str">
        <f>IF(TEMPLATE_CLAIM="U","Всего по МО (только годовые значения по данным предыдущего мониторинга)","")</f>
        <v>Всего по МО (только годовые значения по данным предыдущего мониторинга)</v>
      </c>
      <c r="H127" s="107"/>
      <c r="I127" s="107"/>
      <c r="J127" s="274">
        <f t="shared" ref="J127:Q127" si="2">IF(TEMPLATE_CLAIM="P","",SUMIF($BF129:$BF158,$BF127,J129:J158))</f>
        <v>0</v>
      </c>
      <c r="K127" s="274">
        <f t="shared" si="2"/>
        <v>0</v>
      </c>
      <c r="L127" s="274">
        <f t="shared" si="2"/>
        <v>0</v>
      </c>
      <c r="M127" s="274">
        <f t="shared" si="2"/>
        <v>0</v>
      </c>
      <c r="N127" s="274">
        <f t="shared" si="2"/>
        <v>0</v>
      </c>
      <c r="O127" s="274">
        <f t="shared" si="2"/>
        <v>0</v>
      </c>
      <c r="P127" s="274">
        <f t="shared" si="2"/>
        <v>0</v>
      </c>
      <c r="Q127" s="274">
        <f t="shared" si="2"/>
        <v>0</v>
      </c>
      <c r="AM127" s="162"/>
      <c r="AN127" s="162"/>
      <c r="AO127" s="162"/>
      <c r="AP127" s="162"/>
      <c r="AQ127" s="162"/>
      <c r="AR127" s="162"/>
      <c r="AS127" s="162"/>
      <c r="AT127" s="162"/>
      <c r="AU127" s="162"/>
      <c r="AV127" s="162"/>
      <c r="AW127" s="162"/>
      <c r="AX127" s="162"/>
      <c r="AY127" s="162"/>
      <c r="AZ127" s="162"/>
      <c r="BA127" s="162"/>
      <c r="BB127" s="162"/>
      <c r="BC127" s="162"/>
      <c r="BD127" s="162"/>
      <c r="BE127" s="162"/>
      <c r="BF127" s="158" t="s">
        <v>3144</v>
      </c>
      <c r="BG127" s="162"/>
      <c r="BH127" s="162"/>
      <c r="BI127" s="162"/>
      <c r="BJ127" s="162"/>
      <c r="BK127" s="162"/>
    </row>
    <row r="128" spans="1:63" ht="0.75" customHeight="1">
      <c r="A128" s="38"/>
      <c r="B128" s="104"/>
      <c r="C128" s="38"/>
      <c r="E128" s="94"/>
      <c r="F128" s="911"/>
      <c r="G128" s="913"/>
      <c r="H128" s="107"/>
      <c r="I128" s="107"/>
      <c r="J128" s="107"/>
      <c r="K128" s="266"/>
      <c r="L128" s="266"/>
      <c r="M128" s="266"/>
      <c r="N128" s="266"/>
      <c r="O128" s="266"/>
      <c r="P128" s="266"/>
      <c r="Q128" s="266"/>
      <c r="AM128" s="162"/>
      <c r="AN128" s="162"/>
      <c r="AO128" s="162"/>
      <c r="AP128" s="162"/>
      <c r="AQ128" s="162"/>
      <c r="AR128" s="162"/>
      <c r="AS128" s="162"/>
      <c r="AT128" s="162"/>
      <c r="AU128" s="162"/>
      <c r="AV128" s="162"/>
      <c r="AW128" s="162"/>
      <c r="AX128" s="162"/>
      <c r="AY128" s="162"/>
      <c r="AZ128" s="162"/>
      <c r="BA128" s="162"/>
      <c r="BB128" s="162"/>
      <c r="BC128" s="162"/>
      <c r="BD128" s="162"/>
      <c r="BE128" s="162"/>
      <c r="BF128" s="158"/>
      <c r="BG128" s="162"/>
      <c r="BH128" s="162"/>
      <c r="BI128" s="162"/>
      <c r="BJ128" s="162"/>
      <c r="BK128" s="162"/>
    </row>
    <row r="129" spans="1:66" ht="12" hidden="1" customHeight="1">
      <c r="A129" s="38"/>
      <c r="B129" s="46">
        <v>0</v>
      </c>
      <c r="C129" s="38"/>
      <c r="E129" s="94"/>
      <c r="F129" s="639"/>
      <c r="G129" s="603"/>
      <c r="H129" s="154"/>
      <c r="I129" s="154"/>
      <c r="J129" s="154"/>
      <c r="K129" s="585"/>
      <c r="L129" s="585"/>
      <c r="M129" s="585"/>
      <c r="N129" s="585"/>
      <c r="O129" s="585"/>
      <c r="P129" s="585"/>
      <c r="Q129" s="585"/>
      <c r="AM129" s="162"/>
      <c r="AN129" s="162"/>
      <c r="AO129" s="162"/>
      <c r="AP129" s="162"/>
      <c r="AQ129" s="162"/>
      <c r="AR129" s="162"/>
      <c r="AS129" s="162"/>
      <c r="AT129" s="162"/>
      <c r="AU129" s="162"/>
      <c r="AV129" s="162"/>
      <c r="AW129" s="162"/>
      <c r="AX129" s="162"/>
      <c r="AY129" s="162"/>
      <c r="AZ129" s="162"/>
      <c r="BA129" s="162"/>
      <c r="BB129" s="162"/>
      <c r="BC129" s="162"/>
      <c r="BD129" s="162"/>
      <c r="BE129" s="162"/>
      <c r="BF129" s="159"/>
      <c r="BG129" s="162"/>
      <c r="BH129" s="162"/>
      <c r="BI129" s="162"/>
      <c r="BJ129" s="162"/>
      <c r="BK129" s="162"/>
    </row>
    <row r="130" spans="1:66" ht="21" hidden="1" customHeight="1">
      <c r="A130" s="95"/>
      <c r="B130" s="910">
        <v>1</v>
      </c>
      <c r="C130" s="119" t="str">
        <f>F132</f>
        <v>1.0</v>
      </c>
      <c r="D130" s="714" t="s">
        <v>652</v>
      </c>
      <c r="E130" s="731" t="s">
        <v>719</v>
      </c>
      <c r="F130" s="835">
        <f>B130</f>
        <v>1</v>
      </c>
      <c r="G130" s="960" t="str">
        <f>IF('Список организаций'!$I$16="","Не определено",'Список организаций'!$I$16)</f>
        <v>МУП СП "Село Булава" Булавинское ТЭП"</v>
      </c>
      <c r="H130" s="107"/>
      <c r="I130" s="107"/>
      <c r="J130" s="107"/>
      <c r="K130" s="266"/>
      <c r="L130" s="266"/>
      <c r="M130" s="266"/>
      <c r="N130" s="266"/>
      <c r="O130" s="266"/>
      <c r="P130" s="266"/>
      <c r="Q130" s="266"/>
      <c r="BF130" s="158" t="s">
        <v>3144</v>
      </c>
      <c r="BG130" s="121"/>
      <c r="BH130" s="121"/>
      <c r="BI130" s="159"/>
      <c r="BJ130" s="159"/>
      <c r="BK130" s="159"/>
      <c r="BN130" s="42"/>
    </row>
    <row r="131" spans="1:66" ht="0.75" hidden="1" customHeight="1">
      <c r="A131" s="95"/>
      <c r="B131" s="910"/>
      <c r="C131" s="119"/>
      <c r="D131" s="706"/>
      <c r="E131" s="96"/>
      <c r="F131" s="835"/>
      <c r="G131" s="913"/>
      <c r="H131" s="107"/>
      <c r="I131" s="107"/>
      <c r="J131" s="107"/>
      <c r="K131" s="266"/>
      <c r="L131" s="266"/>
      <c r="M131" s="266"/>
      <c r="N131" s="266"/>
      <c r="O131" s="266"/>
      <c r="P131" s="266"/>
      <c r="Q131" s="266"/>
      <c r="BF131" s="158" t="str">
        <f>IF(TEMPLATE_SPHERE="водоснабжения","TOTAL_ORG_TW","")</f>
        <v/>
      </c>
      <c r="BG131" s="121"/>
      <c r="BH131" s="121"/>
      <c r="BI131" s="159"/>
      <c r="BJ131" s="159"/>
      <c r="BK131" s="159"/>
      <c r="BN131" s="42"/>
    </row>
    <row r="132" spans="1:66" ht="11.25" hidden="1" customHeight="1">
      <c r="A132" s="95"/>
      <c r="B132" s="910"/>
      <c r="C132" s="910"/>
      <c r="D132" s="707"/>
      <c r="E132" s="96"/>
      <c r="F132" s="106" t="str">
        <f>F130 &amp; ".0"</f>
        <v>1.0</v>
      </c>
      <c r="G132" s="105" t="s">
        <v>721</v>
      </c>
      <c r="H132" s="107"/>
      <c r="I132" s="107"/>
      <c r="J132" s="107"/>
      <c r="K132" s="266"/>
      <c r="L132" s="266"/>
      <c r="M132" s="266"/>
      <c r="N132" s="266"/>
      <c r="O132" s="266"/>
      <c r="P132" s="266"/>
      <c r="Q132" s="266"/>
      <c r="BF132" s="158" t="str">
        <f>IF(TEMPLATE_SPHERE="водоснабжения","TOTAL_ORG_PW","TOTAL_ORG")</f>
        <v>TOTAL_ORG</v>
      </c>
      <c r="BG132" s="121"/>
      <c r="BH132" s="121"/>
      <c r="BI132" s="159"/>
      <c r="BJ132" s="159"/>
      <c r="BK132" s="159"/>
      <c r="BN132" s="42"/>
    </row>
    <row r="133" spans="1:66" ht="11.25" hidden="1" customHeight="1">
      <c r="A133" s="95"/>
      <c r="B133" s="910"/>
      <c r="C133" s="910"/>
      <c r="D133" s="707"/>
      <c r="E133" s="96"/>
      <c r="F133" s="106" t="str">
        <f>F130 &amp; ".1"</f>
        <v>1.1</v>
      </c>
      <c r="G133" s="105" t="s">
        <v>722</v>
      </c>
      <c r="H133" s="107"/>
      <c r="I133" s="107"/>
      <c r="J133" s="107"/>
      <c r="K133" s="266"/>
      <c r="L133" s="266"/>
      <c r="M133" s="266"/>
      <c r="N133" s="266"/>
      <c r="O133" s="266"/>
      <c r="P133" s="266"/>
      <c r="Q133" s="266"/>
      <c r="BF133" s="158" t="str">
        <f>C130 &amp; "-I"</f>
        <v>1.0-I</v>
      </c>
      <c r="BG133" s="121"/>
      <c r="BH133" s="121"/>
      <c r="BI133" s="159"/>
      <c r="BJ133" s="159"/>
      <c r="BK133" s="159"/>
      <c r="BN133" s="42"/>
    </row>
    <row r="134" spans="1:66" ht="11.25" hidden="1" customHeight="1">
      <c r="A134" s="95"/>
      <c r="B134" s="910"/>
      <c r="C134" s="910"/>
      <c r="D134" s="707"/>
      <c r="E134" s="96"/>
      <c r="F134" s="106" t="str">
        <f>F130 &amp; ".2"</f>
        <v>1.2</v>
      </c>
      <c r="G134" s="105" t="s">
        <v>723</v>
      </c>
      <c r="H134" s="107"/>
      <c r="I134" s="107"/>
      <c r="J134" s="107"/>
      <c r="K134" s="266"/>
      <c r="L134" s="266"/>
      <c r="M134" s="266"/>
      <c r="N134" s="266"/>
      <c r="O134" s="266"/>
      <c r="P134" s="266"/>
      <c r="Q134" s="266"/>
      <c r="BF134" s="158" t="str">
        <f>C130 &amp; "-I"</f>
        <v>1.0-I</v>
      </c>
      <c r="BG134" s="121"/>
      <c r="BH134" s="121"/>
      <c r="BI134" s="159"/>
      <c r="BJ134" s="159"/>
      <c r="BK134" s="159"/>
      <c r="BN134" s="42"/>
    </row>
    <row r="135" spans="1:66" ht="11.25" hidden="1" customHeight="1">
      <c r="A135" s="95"/>
      <c r="B135" s="910"/>
      <c r="C135" s="910"/>
      <c r="D135" s="707"/>
      <c r="E135" s="96"/>
      <c r="F135" s="106" t="str">
        <f>F130 &amp; ".3"</f>
        <v>1.3</v>
      </c>
      <c r="G135" s="105" t="s">
        <v>724</v>
      </c>
      <c r="H135" s="107"/>
      <c r="I135" s="107"/>
      <c r="J135" s="107"/>
      <c r="K135" s="266"/>
      <c r="L135" s="266"/>
      <c r="M135" s="266"/>
      <c r="N135" s="266"/>
      <c r="O135" s="266"/>
      <c r="P135" s="266"/>
      <c r="Q135" s="266"/>
      <c r="BF135" s="158" t="str">
        <f>C130 &amp; "-I"</f>
        <v>1.0-I</v>
      </c>
      <c r="BG135" s="121"/>
      <c r="BH135" s="121"/>
      <c r="BI135" s="159"/>
      <c r="BJ135" s="159"/>
      <c r="BK135" s="159"/>
      <c r="BN135" s="42"/>
    </row>
    <row r="136" spans="1:66" ht="11.25" hidden="1" customHeight="1">
      <c r="A136" s="95"/>
      <c r="B136" s="910"/>
      <c r="C136" s="910"/>
      <c r="D136" s="707"/>
      <c r="E136" s="96"/>
      <c r="F136" s="106" t="str">
        <f>F130 &amp; ".4"</f>
        <v>1.4</v>
      </c>
      <c r="G136" s="105" t="s">
        <v>725</v>
      </c>
      <c r="H136" s="107"/>
      <c r="I136" s="107"/>
      <c r="J136" s="107"/>
      <c r="K136" s="266"/>
      <c r="L136" s="266"/>
      <c r="M136" s="266"/>
      <c r="N136" s="266"/>
      <c r="O136" s="266"/>
      <c r="P136" s="266"/>
      <c r="Q136" s="266"/>
      <c r="BF136" s="158" t="str">
        <f>C130 &amp; "-I"</f>
        <v>1.0-I</v>
      </c>
      <c r="BG136" s="121"/>
      <c r="BH136" s="121"/>
      <c r="BI136" s="159"/>
      <c r="BJ136" s="159"/>
      <c r="BK136" s="159"/>
      <c r="BN136" s="42"/>
    </row>
    <row r="137" spans="1:66" ht="11.25" hidden="1" customHeight="1">
      <c r="A137" s="95"/>
      <c r="B137" s="910"/>
      <c r="C137" s="910"/>
      <c r="D137" s="707"/>
      <c r="E137" s="96"/>
      <c r="F137" s="106" t="str">
        <f>F130 &amp; ".5"</f>
        <v>1.5</v>
      </c>
      <c r="G137" s="105" t="s">
        <v>726</v>
      </c>
      <c r="H137" s="107"/>
      <c r="I137" s="107"/>
      <c r="J137" s="107"/>
      <c r="K137" s="266"/>
      <c r="L137" s="266"/>
      <c r="M137" s="267"/>
      <c r="N137" s="267"/>
      <c r="O137" s="266"/>
      <c r="P137" s="266"/>
      <c r="Q137" s="266"/>
      <c r="BF137" s="158" t="str">
        <f>C130 &amp; "-I"</f>
        <v>1.0-I</v>
      </c>
      <c r="BG137" s="121"/>
      <c r="BH137" s="121"/>
      <c r="BI137" s="159"/>
      <c r="BJ137" s="159"/>
      <c r="BK137" s="159"/>
      <c r="BN137" s="42"/>
    </row>
    <row r="138" spans="1:66" ht="11.25" hidden="1" customHeight="1">
      <c r="A138" s="95"/>
      <c r="B138" s="910"/>
      <c r="C138" s="910"/>
      <c r="D138" s="707"/>
      <c r="E138" s="96"/>
      <c r="F138" s="106" t="str">
        <f>F130 &amp; ".6"</f>
        <v>1.6</v>
      </c>
      <c r="G138" s="105" t="s">
        <v>727</v>
      </c>
      <c r="H138" s="107"/>
      <c r="I138" s="107"/>
      <c r="J138" s="107"/>
      <c r="K138" s="266"/>
      <c r="L138" s="268"/>
      <c r="M138" s="266"/>
      <c r="N138" s="269"/>
      <c r="O138" s="269"/>
      <c r="P138" s="269"/>
      <c r="Q138" s="269"/>
      <c r="BF138" s="158" t="str">
        <f>C130 &amp; "-I"</f>
        <v>1.0-I</v>
      </c>
      <c r="BG138" s="121"/>
      <c r="BH138" s="121"/>
      <c r="BI138" s="159"/>
      <c r="BJ138" s="159"/>
      <c r="BK138" s="159"/>
      <c r="BN138" s="42"/>
    </row>
    <row r="139" spans="1:66" ht="11.25" hidden="1" customHeight="1">
      <c r="A139" s="95"/>
      <c r="B139" s="910"/>
      <c r="C139" s="910"/>
      <c r="D139" s="707"/>
      <c r="E139" s="96"/>
      <c r="F139" s="106" t="str">
        <f>F130 &amp; ".7"</f>
        <v>1.7</v>
      </c>
      <c r="G139" s="105" t="s">
        <v>728</v>
      </c>
      <c r="H139" s="107"/>
      <c r="I139" s="107"/>
      <c r="J139" s="107"/>
      <c r="K139" s="266"/>
      <c r="L139" s="266"/>
      <c r="M139" s="270"/>
      <c r="N139" s="270"/>
      <c r="O139" s="266"/>
      <c r="P139" s="266"/>
      <c r="Q139" s="266"/>
      <c r="BF139" s="158" t="str">
        <f>C130 &amp; "-II"</f>
        <v>1.0-II</v>
      </c>
      <c r="BG139" s="121"/>
      <c r="BH139" s="121"/>
      <c r="BI139" s="159"/>
      <c r="BJ139" s="159"/>
      <c r="BK139" s="159"/>
      <c r="BN139" s="42"/>
    </row>
    <row r="140" spans="1:66" ht="11.25" hidden="1" customHeight="1">
      <c r="A140" s="95"/>
      <c r="B140" s="910"/>
      <c r="C140" s="910"/>
      <c r="D140" s="707"/>
      <c r="E140" s="96"/>
      <c r="F140" s="106" t="str">
        <f>F130 &amp; ".8"</f>
        <v>1.8</v>
      </c>
      <c r="G140" s="105" t="s">
        <v>729</v>
      </c>
      <c r="H140" s="107"/>
      <c r="I140" s="107"/>
      <c r="J140" s="107"/>
      <c r="K140" s="266"/>
      <c r="L140" s="266"/>
      <c r="M140" s="266"/>
      <c r="N140" s="266"/>
      <c r="O140" s="266"/>
      <c r="P140" s="266"/>
      <c r="Q140" s="266"/>
      <c r="BF140" s="158" t="str">
        <f>C130 &amp; "-II"</f>
        <v>1.0-II</v>
      </c>
      <c r="BG140" s="121"/>
      <c r="BH140" s="121"/>
      <c r="BI140" s="159"/>
      <c r="BJ140" s="159"/>
      <c r="BK140" s="159"/>
      <c r="BN140" s="42"/>
    </row>
    <row r="141" spans="1:66" ht="11.25" hidden="1" customHeight="1">
      <c r="A141" s="95"/>
      <c r="B141" s="910"/>
      <c r="C141" s="910"/>
      <c r="D141" s="707"/>
      <c r="E141" s="96"/>
      <c r="F141" s="106" t="str">
        <f>F130 &amp; ".9"</f>
        <v>1.9</v>
      </c>
      <c r="G141" s="105" t="s">
        <v>730</v>
      </c>
      <c r="H141" s="107"/>
      <c r="I141" s="107"/>
      <c r="J141" s="107"/>
      <c r="K141" s="266"/>
      <c r="L141" s="266"/>
      <c r="M141" s="266"/>
      <c r="N141" s="266"/>
      <c r="O141" s="266"/>
      <c r="P141" s="266"/>
      <c r="Q141" s="266"/>
      <c r="BF141" s="158" t="str">
        <f>C130 &amp; IF(TEMPLATE_CLAIM="P","-II","-III")</f>
        <v>1.0-III</v>
      </c>
      <c r="BG141" s="121"/>
      <c r="BH141" s="121"/>
      <c r="BI141" s="159"/>
      <c r="BJ141" s="159"/>
      <c r="BK141" s="159"/>
      <c r="BN141" s="42"/>
    </row>
    <row r="142" spans="1:66" ht="11.25" hidden="1" customHeight="1">
      <c r="A142" s="95"/>
      <c r="B142" s="910"/>
      <c r="C142" s="910"/>
      <c r="D142" s="707"/>
      <c r="E142" s="96"/>
      <c r="F142" s="106" t="str">
        <f>F130 &amp; ".10"</f>
        <v>1.10</v>
      </c>
      <c r="G142" s="105" t="s">
        <v>731</v>
      </c>
      <c r="H142" s="107"/>
      <c r="I142" s="107"/>
      <c r="J142" s="107"/>
      <c r="K142" s="266"/>
      <c r="L142" s="266"/>
      <c r="M142" s="266"/>
      <c r="N142" s="266"/>
      <c r="O142" s="266"/>
      <c r="P142" s="266"/>
      <c r="Q142" s="266"/>
      <c r="BF142" s="158" t="str">
        <f>C130 &amp; IF(TEMPLATE_CLAIM="P","-II","-III")</f>
        <v>1.0-III</v>
      </c>
      <c r="BG142" s="121"/>
      <c r="BH142" s="121"/>
      <c r="BI142" s="159"/>
      <c r="BJ142" s="159"/>
      <c r="BK142" s="159"/>
      <c r="BN142" s="42"/>
    </row>
    <row r="143" spans="1:66" ht="11.25" hidden="1" customHeight="1">
      <c r="A143" s="95"/>
      <c r="B143" s="910"/>
      <c r="C143" s="910"/>
      <c r="D143" s="707"/>
      <c r="E143" s="96"/>
      <c r="F143" s="106" t="str">
        <f>F130 &amp; ".11"</f>
        <v>1.11</v>
      </c>
      <c r="G143" s="105" t="s">
        <v>732</v>
      </c>
      <c r="H143" s="107"/>
      <c r="I143" s="107"/>
      <c r="J143" s="107"/>
      <c r="K143" s="266"/>
      <c r="L143" s="266"/>
      <c r="M143" s="266"/>
      <c r="N143" s="266"/>
      <c r="O143" s="266"/>
      <c r="P143" s="266"/>
      <c r="Q143" s="266"/>
      <c r="BF143" s="158" t="str">
        <f>C130 &amp; IF(TEMPLATE_CLAIM="P","-II","-III")</f>
        <v>1.0-III</v>
      </c>
      <c r="BG143" s="121"/>
      <c r="BH143" s="121"/>
      <c r="BI143" s="159"/>
      <c r="BJ143" s="159"/>
      <c r="BK143" s="159"/>
      <c r="BN143" s="42"/>
    </row>
    <row r="144" spans="1:66" ht="11.25" hidden="1" customHeight="1">
      <c r="A144" s="95"/>
      <c r="B144" s="910"/>
      <c r="C144" s="910"/>
      <c r="D144" s="707"/>
      <c r="E144" s="96"/>
      <c r="F144" s="106" t="str">
        <f>F130 &amp; ".12"</f>
        <v>1.12</v>
      </c>
      <c r="G144" s="105" t="s">
        <v>733</v>
      </c>
      <c r="H144" s="107"/>
      <c r="I144" s="107"/>
      <c r="J144" s="107"/>
      <c r="K144" s="266"/>
      <c r="L144" s="266"/>
      <c r="M144" s="266"/>
      <c r="N144" s="266"/>
      <c r="O144" s="266"/>
      <c r="P144" s="266"/>
      <c r="Q144" s="266"/>
      <c r="BF144" s="158" t="str">
        <f>C130 &amp; IF(TEMPLATE_CLAIM="P","-II","-III")</f>
        <v>1.0-III</v>
      </c>
      <c r="BG144" s="121"/>
      <c r="BH144" s="121"/>
      <c r="BI144" s="159"/>
      <c r="BJ144" s="159"/>
      <c r="BK144" s="159"/>
      <c r="BN144" s="42"/>
    </row>
    <row r="145" spans="1:66" ht="0.75" hidden="1" customHeight="1">
      <c r="A145" s="95"/>
      <c r="B145" s="910"/>
      <c r="C145" s="910"/>
      <c r="D145" s="707"/>
      <c r="E145" s="96"/>
      <c r="F145" s="107"/>
      <c r="G145" s="107"/>
      <c r="H145" s="107"/>
      <c r="I145" s="107"/>
      <c r="J145" s="107"/>
      <c r="K145" s="266"/>
      <c r="L145" s="266"/>
      <c r="M145" s="266"/>
      <c r="N145" s="266"/>
      <c r="O145" s="266"/>
      <c r="P145" s="266"/>
      <c r="Q145" s="266"/>
      <c r="BF145" s="158"/>
      <c r="BG145" s="121"/>
      <c r="BH145" s="121"/>
      <c r="BI145" s="159"/>
      <c r="BJ145" s="159"/>
      <c r="BK145" s="159"/>
      <c r="BN145" s="42"/>
    </row>
    <row r="146" spans="1:66" ht="0.75" hidden="1" customHeight="1">
      <c r="A146" s="95"/>
      <c r="B146" s="910"/>
      <c r="C146" s="910"/>
      <c r="D146" s="707"/>
      <c r="E146" s="96"/>
      <c r="F146" s="107"/>
      <c r="G146" s="107"/>
      <c r="H146" s="107"/>
      <c r="I146" s="107"/>
      <c r="J146" s="107"/>
      <c r="K146" s="266"/>
      <c r="L146" s="266"/>
      <c r="M146" s="266"/>
      <c r="N146" s="266"/>
      <c r="O146" s="266"/>
      <c r="P146" s="266"/>
      <c r="Q146" s="266"/>
      <c r="BF146" s="158"/>
      <c r="BG146" s="121"/>
      <c r="BH146" s="121"/>
      <c r="BI146" s="159"/>
      <c r="BJ146" s="159"/>
      <c r="BK146" s="159"/>
      <c r="BN146" s="42"/>
    </row>
    <row r="147" spans="1:66" ht="0.75" hidden="1" customHeight="1">
      <c r="A147" s="95"/>
      <c r="B147" s="910"/>
      <c r="C147" s="910"/>
      <c r="D147" s="707"/>
      <c r="E147" s="96"/>
      <c r="F147" s="107"/>
      <c r="G147" s="107"/>
      <c r="H147" s="107"/>
      <c r="I147" s="107"/>
      <c r="J147" s="107"/>
      <c r="K147" s="266"/>
      <c r="L147" s="266"/>
      <c r="M147" s="266"/>
      <c r="N147" s="266"/>
      <c r="O147" s="266"/>
      <c r="P147" s="266"/>
      <c r="Q147" s="266"/>
      <c r="BF147" s="158"/>
      <c r="BG147" s="121"/>
      <c r="BH147" s="121"/>
      <c r="BI147" s="159"/>
      <c r="BJ147" s="159"/>
      <c r="BK147" s="159"/>
      <c r="BN147" s="42"/>
    </row>
    <row r="148" spans="1:66" ht="0.75" hidden="1" customHeight="1">
      <c r="A148" s="95"/>
      <c r="B148" s="910"/>
      <c r="C148" s="910"/>
      <c r="D148" s="707"/>
      <c r="E148" s="96"/>
      <c r="F148" s="107"/>
      <c r="G148" s="107"/>
      <c r="H148" s="107"/>
      <c r="I148" s="107"/>
      <c r="J148" s="107"/>
      <c r="K148" s="266"/>
      <c r="L148" s="266"/>
      <c r="M148" s="266"/>
      <c r="N148" s="266"/>
      <c r="O148" s="266"/>
      <c r="P148" s="266"/>
      <c r="Q148" s="266"/>
      <c r="BF148" s="158"/>
      <c r="BG148" s="121"/>
      <c r="BH148" s="121"/>
      <c r="BI148" s="159"/>
      <c r="BJ148" s="159"/>
      <c r="BK148" s="159"/>
      <c r="BN148" s="42"/>
    </row>
    <row r="149" spans="1:66" ht="0.75" hidden="1" customHeight="1">
      <c r="A149" s="95"/>
      <c r="B149" s="910"/>
      <c r="C149" s="910"/>
      <c r="D149" s="707"/>
      <c r="E149" s="96"/>
      <c r="F149" s="107"/>
      <c r="G149" s="107"/>
      <c r="H149" s="107"/>
      <c r="I149" s="107"/>
      <c r="J149" s="107"/>
      <c r="K149" s="266"/>
      <c r="L149" s="266"/>
      <c r="M149" s="266"/>
      <c r="N149" s="266"/>
      <c r="O149" s="266"/>
      <c r="P149" s="266"/>
      <c r="Q149" s="266"/>
      <c r="BF149" s="158"/>
      <c r="BG149" s="121"/>
      <c r="BH149" s="121"/>
      <c r="BI149" s="159"/>
      <c r="BJ149" s="159"/>
      <c r="BK149" s="159"/>
      <c r="BN149" s="42"/>
    </row>
    <row r="150" spans="1:66" ht="0.75" hidden="1" customHeight="1">
      <c r="A150" s="95"/>
      <c r="B150" s="910"/>
      <c r="C150" s="910"/>
      <c r="D150" s="707"/>
      <c r="E150" s="96"/>
      <c r="F150" s="107"/>
      <c r="G150" s="107"/>
      <c r="H150" s="107"/>
      <c r="I150" s="107"/>
      <c r="J150" s="107"/>
      <c r="K150" s="266"/>
      <c r="L150" s="266"/>
      <c r="M150" s="266"/>
      <c r="N150" s="266"/>
      <c r="O150" s="266"/>
      <c r="P150" s="266"/>
      <c r="Q150" s="266"/>
      <c r="BF150" s="158"/>
      <c r="BG150" s="121"/>
      <c r="BH150" s="121"/>
      <c r="BI150" s="159"/>
      <c r="BJ150" s="159"/>
      <c r="BK150" s="159"/>
      <c r="BN150" s="42"/>
    </row>
    <row r="151" spans="1:66" ht="0.75" hidden="1" customHeight="1">
      <c r="A151" s="95"/>
      <c r="B151" s="910"/>
      <c r="C151" s="910"/>
      <c r="D151" s="707"/>
      <c r="E151" s="96"/>
      <c r="F151" s="107"/>
      <c r="G151" s="107"/>
      <c r="H151" s="107"/>
      <c r="I151" s="107"/>
      <c r="J151" s="107"/>
      <c r="K151" s="266"/>
      <c r="L151" s="266"/>
      <c r="M151" s="266"/>
      <c r="N151" s="266"/>
      <c r="O151" s="266"/>
      <c r="P151" s="266"/>
      <c r="Q151" s="266"/>
      <c r="BF151" s="158"/>
      <c r="BG151" s="121"/>
      <c r="BH151" s="121"/>
      <c r="BI151" s="159"/>
      <c r="BJ151" s="159"/>
      <c r="BK151" s="159"/>
      <c r="BN151" s="42"/>
    </row>
    <row r="152" spans="1:66" ht="0.75" hidden="1" customHeight="1">
      <c r="A152" s="95"/>
      <c r="B152" s="910"/>
      <c r="C152" s="910"/>
      <c r="D152" s="707"/>
      <c r="E152" s="96"/>
      <c r="F152" s="107"/>
      <c r="G152" s="107"/>
      <c r="H152" s="107"/>
      <c r="I152" s="107"/>
      <c r="J152" s="107"/>
      <c r="K152" s="266"/>
      <c r="L152" s="266"/>
      <c r="M152" s="266"/>
      <c r="N152" s="266"/>
      <c r="O152" s="266"/>
      <c r="P152" s="266"/>
      <c r="Q152" s="266"/>
      <c r="BF152" s="158"/>
      <c r="BG152" s="121"/>
      <c r="BH152" s="121"/>
      <c r="BI152" s="159"/>
      <c r="BJ152" s="159"/>
      <c r="BK152" s="159"/>
      <c r="BN152" s="42"/>
    </row>
    <row r="153" spans="1:66" ht="0.75" hidden="1" customHeight="1">
      <c r="A153" s="95"/>
      <c r="B153" s="910"/>
      <c r="C153" s="910"/>
      <c r="D153" s="707"/>
      <c r="E153" s="96"/>
      <c r="F153" s="107"/>
      <c r="G153" s="107"/>
      <c r="H153" s="107"/>
      <c r="I153" s="107"/>
      <c r="J153" s="107"/>
      <c r="K153" s="266"/>
      <c r="L153" s="266"/>
      <c r="M153" s="266"/>
      <c r="N153" s="266"/>
      <c r="O153" s="266"/>
      <c r="P153" s="266"/>
      <c r="Q153" s="266"/>
      <c r="BF153" s="158"/>
      <c r="BG153" s="121"/>
      <c r="BH153" s="121"/>
      <c r="BI153" s="159"/>
      <c r="BJ153" s="159"/>
      <c r="BK153" s="159"/>
      <c r="BN153" s="42"/>
    </row>
    <row r="154" spans="1:66" ht="0.75" hidden="1" customHeight="1">
      <c r="A154" s="95"/>
      <c r="B154" s="910"/>
      <c r="C154" s="910"/>
      <c r="D154" s="707"/>
      <c r="E154" s="96"/>
      <c r="F154" s="107"/>
      <c r="G154" s="107"/>
      <c r="H154" s="107"/>
      <c r="I154" s="107"/>
      <c r="J154" s="107"/>
      <c r="K154" s="266"/>
      <c r="L154" s="266"/>
      <c r="M154" s="266"/>
      <c r="N154" s="266"/>
      <c r="O154" s="266"/>
      <c r="P154" s="266"/>
      <c r="Q154" s="266"/>
      <c r="BF154" s="158"/>
      <c r="BG154" s="121"/>
      <c r="BH154" s="121"/>
      <c r="BI154" s="159"/>
      <c r="BJ154" s="159"/>
      <c r="BK154" s="159"/>
      <c r="BN154" s="42"/>
    </row>
    <row r="155" spans="1:66" ht="0.75" hidden="1" customHeight="1">
      <c r="A155" s="95"/>
      <c r="B155" s="910"/>
      <c r="C155" s="910"/>
      <c r="D155" s="707"/>
      <c r="E155" s="96"/>
      <c r="F155" s="107"/>
      <c r="G155" s="107"/>
      <c r="H155" s="107"/>
      <c r="I155" s="107"/>
      <c r="J155" s="107"/>
      <c r="K155" s="266"/>
      <c r="L155" s="266"/>
      <c r="M155" s="266"/>
      <c r="N155" s="266"/>
      <c r="O155" s="266"/>
      <c r="P155" s="266"/>
      <c r="Q155" s="266"/>
      <c r="BF155" s="158"/>
      <c r="BG155" s="121"/>
      <c r="BH155" s="121"/>
      <c r="BI155" s="159"/>
      <c r="BJ155" s="159"/>
      <c r="BK155" s="159"/>
      <c r="BN155" s="42"/>
    </row>
    <row r="156" spans="1:66" ht="0.75" hidden="1" customHeight="1">
      <c r="A156" s="95"/>
      <c r="B156" s="910"/>
      <c r="C156" s="910"/>
      <c r="D156" s="707"/>
      <c r="E156" s="96"/>
      <c r="F156" s="107"/>
      <c r="G156" s="107"/>
      <c r="H156" s="107"/>
      <c r="I156" s="107"/>
      <c r="J156" s="107"/>
      <c r="K156" s="266"/>
      <c r="L156" s="266"/>
      <c r="M156" s="266"/>
      <c r="N156" s="266"/>
      <c r="O156" s="266"/>
      <c r="P156" s="266"/>
      <c r="Q156" s="266"/>
      <c r="BF156" s="158"/>
      <c r="BG156" s="121"/>
      <c r="BH156" s="121"/>
      <c r="BI156" s="159"/>
      <c r="BJ156" s="159"/>
      <c r="BK156" s="159"/>
      <c r="BN156" s="42"/>
    </row>
    <row r="157" spans="1:66" ht="0.75" hidden="1" customHeight="1">
      <c r="A157" s="95"/>
      <c r="B157" s="910"/>
      <c r="C157" s="910"/>
      <c r="D157" s="707"/>
      <c r="E157" s="96"/>
      <c r="F157" s="107"/>
      <c r="G157" s="107"/>
      <c r="H157" s="107"/>
      <c r="I157" s="107"/>
      <c r="J157" s="107"/>
      <c r="K157" s="266"/>
      <c r="L157" s="267"/>
      <c r="M157" s="266"/>
      <c r="N157" s="266"/>
      <c r="O157" s="266"/>
      <c r="P157" s="266"/>
      <c r="Q157" s="266"/>
      <c r="BF157" s="158"/>
      <c r="BG157" s="121"/>
      <c r="BH157" s="121"/>
      <c r="BI157" s="159"/>
      <c r="BJ157" s="159"/>
      <c r="BK157" s="159"/>
      <c r="BN157" s="42"/>
    </row>
    <row r="158" spans="1:66" ht="0.75" customHeight="1">
      <c r="A158" s="95"/>
      <c r="B158" s="104"/>
      <c r="C158" s="99"/>
      <c r="D158" s="707"/>
      <c r="E158" s="94"/>
      <c r="F158" s="110"/>
      <c r="G158" s="111" t="s">
        <v>720</v>
      </c>
      <c r="H158" s="111"/>
      <c r="I158" s="111"/>
      <c r="J158" s="111"/>
      <c r="K158" s="112"/>
      <c r="L158" s="112"/>
      <c r="M158" s="112"/>
      <c r="N158" s="112"/>
      <c r="O158" s="112"/>
      <c r="P158" s="112"/>
      <c r="Q158" s="113"/>
      <c r="AM158" s="162"/>
      <c r="AN158" s="162"/>
      <c r="AO158" s="162"/>
      <c r="AP158" s="162"/>
      <c r="AQ158" s="162"/>
      <c r="AR158" s="162"/>
      <c r="AS158" s="162"/>
      <c r="AT158" s="162"/>
      <c r="AU158" s="162"/>
      <c r="AV158" s="162"/>
      <c r="AW158" s="162"/>
      <c r="AX158" s="162"/>
      <c r="AY158" s="162"/>
      <c r="AZ158" s="162"/>
      <c r="BA158" s="162"/>
      <c r="BB158" s="162"/>
      <c r="BC158" s="162"/>
      <c r="BD158" s="162"/>
      <c r="BE158" s="162"/>
      <c r="BF158" s="159"/>
      <c r="BG158" s="162"/>
      <c r="BH158" s="162"/>
      <c r="BI158" s="162"/>
      <c r="BJ158" s="162"/>
      <c r="BK158" s="162"/>
    </row>
    <row r="159" spans="1:66" ht="12" customHeight="1">
      <c r="A159" s="121"/>
      <c r="B159"/>
      <c r="C159"/>
      <c r="D159" s="708"/>
      <c r="E159" s="121"/>
      <c r="F159" s="114"/>
      <c r="G159" s="114"/>
      <c r="H159" s="114"/>
      <c r="I159" s="114"/>
      <c r="J159" s="114"/>
      <c r="K159" s="114"/>
      <c r="L159" s="114"/>
      <c r="M159" s="114"/>
      <c r="N159" s="114"/>
      <c r="O159" s="114"/>
      <c r="P159" s="114"/>
      <c r="Q159" s="115"/>
      <c r="AM159" s="162"/>
      <c r="AN159" s="162"/>
      <c r="AO159" s="162"/>
      <c r="AP159" s="162"/>
      <c r="AQ159" s="162"/>
      <c r="AR159" s="162"/>
      <c r="AS159" s="162"/>
      <c r="AT159" s="162"/>
      <c r="AU159" s="162"/>
      <c r="AV159" s="162"/>
      <c r="AW159" s="162"/>
      <c r="AX159" s="162"/>
      <c r="AY159" s="162"/>
      <c r="AZ159" s="162"/>
      <c r="BA159" s="162"/>
      <c r="BB159" s="162"/>
      <c r="BC159" s="162"/>
      <c r="BD159" s="162"/>
      <c r="BE159" s="162"/>
      <c r="BF159" s="159"/>
      <c r="BG159" s="162"/>
      <c r="BH159" s="162"/>
      <c r="BI159" s="162"/>
      <c r="BJ159" s="162"/>
      <c r="BK159" s="162"/>
    </row>
    <row r="160" spans="1:66" s="121" customFormat="1" ht="12" customHeight="1">
      <c r="B160"/>
      <c r="C160"/>
      <c r="D160" s="708"/>
    </row>
    <row r="161" spans="2:4" s="121" customFormat="1">
      <c r="B161"/>
      <c r="C161"/>
      <c r="D161" s="708"/>
    </row>
  </sheetData>
  <sheetProtection password="FA9C" sheet="1" objects="1" scenarios="1" formatColumns="0" formatRows="0"/>
  <mergeCells count="32">
    <mergeCell ref="B1:B28"/>
    <mergeCell ref="F1:F2"/>
    <mergeCell ref="G1:G2"/>
    <mergeCell ref="C3:C15"/>
    <mergeCell ref="C16:C28"/>
    <mergeCell ref="H121:H123"/>
    <mergeCell ref="I121:I123"/>
    <mergeCell ref="M122:M123"/>
    <mergeCell ref="B130:B157"/>
    <mergeCell ref="F130:F131"/>
    <mergeCell ref="G130:G131"/>
    <mergeCell ref="C132:C144"/>
    <mergeCell ref="C145:C157"/>
    <mergeCell ref="L122:L123"/>
    <mergeCell ref="J121:J123"/>
    <mergeCell ref="L121:Q121"/>
    <mergeCell ref="N122:N123"/>
    <mergeCell ref="O122:O123"/>
    <mergeCell ref="P122:P123"/>
    <mergeCell ref="Q122:Q123"/>
    <mergeCell ref="K121:K123"/>
    <mergeCell ref="B29:B56"/>
    <mergeCell ref="F29:F30"/>
    <mergeCell ref="G29:G30"/>
    <mergeCell ref="C31:C43"/>
    <mergeCell ref="C44:C56"/>
    <mergeCell ref="F127:F128"/>
    <mergeCell ref="G127:G128"/>
    <mergeCell ref="F121:F123"/>
    <mergeCell ref="G121:G123"/>
    <mergeCell ref="F125:F126"/>
    <mergeCell ref="G125:G126"/>
  </mergeCells>
  <phoneticPr fontId="8" type="noConversion"/>
  <dataValidations disablePrompts="1" count="1">
    <dataValidation allowBlank="1" showInputMessage="1" showErrorMessage="1" sqref="N122:O122"/>
  </dataValidations>
  <pageMargins left="0.37" right="0.35" top="1" bottom="1" header="0.5" footer="0.5"/>
  <pageSetup paperSize="9" scale="37" orientation="landscape" horizontalDpi="4294967292" verticalDpi="4294967292" r:id="rId1"/>
  <headerFooter alignWithMargins="0"/>
  <drawing r:id="rId2"/>
  <legacyDrawing r:id="rId3"/>
</worksheet>
</file>

<file path=xl/worksheets/sheet49.xml><?xml version="1.0" encoding="utf-8"?>
<worksheet xmlns="http://schemas.openxmlformats.org/spreadsheetml/2006/main" xmlns:r="http://schemas.openxmlformats.org/officeDocument/2006/relationships">
  <sheetPr codeName="VOTV_DF">
    <tabColor rgb="FFFFC000"/>
    <outlinePr summaryBelow="0"/>
  </sheetPr>
  <dimension ref="A1:AU166"/>
  <sheetViews>
    <sheetView showGridLines="0" topLeftCell="AL8" workbookViewId="0"/>
  </sheetViews>
  <sheetFormatPr defaultColWidth="8.7109375" defaultRowHeight="11.25"/>
  <cols>
    <col min="1" max="37" width="2.7109375"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4" width="0.140625" style="47" customWidth="1"/>
    <col min="45" max="46" width="2.7109375" style="47" customWidth="1"/>
    <col min="47" max="16384" width="8.7109375" style="47"/>
  </cols>
  <sheetData>
    <row r="1" spans="1:47" s="48" customFormat="1" ht="12" hidden="1" customHeight="1">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199"/>
      <c r="AQ1" s="47"/>
      <c r="AR1" s="47"/>
      <c r="AS1" s="47"/>
      <c r="AT1" s="47"/>
      <c r="AU1" s="47"/>
    </row>
    <row r="2" spans="1:47" s="48" customFormat="1" ht="12" hidden="1" customHeight="1">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199"/>
      <c r="AQ2" s="47"/>
      <c r="AR2" s="47"/>
      <c r="AS2" s="47"/>
      <c r="AT2" s="47"/>
      <c r="AU2" s="47"/>
    </row>
    <row r="3" spans="1:47" s="48" customFormat="1" ht="12" hidden="1" customHeight="1">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199"/>
      <c r="AQ3" s="47"/>
      <c r="AR3" s="47"/>
      <c r="AS3" s="47"/>
      <c r="AT3" s="47"/>
      <c r="AU3" s="47"/>
    </row>
    <row r="4" spans="1:47" s="48" customFormat="1" ht="12" hidden="1" customHeight="1">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199"/>
      <c r="AQ4" s="47"/>
      <c r="AR4" s="47"/>
      <c r="AS4" s="47"/>
      <c r="AT4" s="47"/>
      <c r="AU4" s="47"/>
    </row>
    <row r="5" spans="1:47" s="48" customFormat="1" ht="12" hidden="1" customHeight="1">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199"/>
      <c r="AQ5" s="47"/>
      <c r="AR5" s="47"/>
      <c r="AS5" s="47"/>
      <c r="AT5" s="47"/>
      <c r="AU5" s="47"/>
    </row>
    <row r="6" spans="1:47" s="48" customFormat="1" ht="12" hidden="1" customHeight="1">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199"/>
      <c r="AQ6" s="47"/>
      <c r="AR6" s="47"/>
      <c r="AS6" s="47"/>
      <c r="AT6" s="47"/>
      <c r="AU6" s="47"/>
    </row>
    <row r="7" spans="1:47" s="48" customFormat="1" ht="12" hidden="1" customHeight="1">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199"/>
      <c r="AO7" s="158"/>
      <c r="AQ7" s="47"/>
      <c r="AR7" s="47"/>
      <c r="AS7" s="47"/>
      <c r="AT7" s="47"/>
      <c r="AU7" s="47"/>
    </row>
    <row r="8" spans="1:47" s="312" customFormat="1" ht="12" customHeight="1">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308"/>
      <c r="AN8" s="618"/>
      <c r="AO8" s="432"/>
      <c r="AP8" s="616" t="s">
        <v>2790</v>
      </c>
      <c r="AQ8" s="522"/>
      <c r="AR8" s="522"/>
      <c r="AS8" s="522"/>
      <c r="AT8" s="520"/>
      <c r="AU8" s="520"/>
    </row>
    <row r="9" spans="1:47"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"Дополнительные факторы организаций " &amp; TEMPLATE_SPHERE &amp; " по муниципальному образованию - " &amp; IF(mo="","Не определено",mo)</f>
        <v>Дополнительные факторы организаций водоотведения по муниципальному образованию - Село Булава</v>
      </c>
      <c r="AO9" s="917"/>
      <c r="AP9" s="917"/>
      <c r="AQ9" s="201"/>
      <c r="AR9" s="122"/>
      <c r="AS9" s="200"/>
    </row>
    <row r="10" spans="1:47" s="48" customFormat="1" ht="12" customHeight="1">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189"/>
      <c r="AO10" s="209"/>
      <c r="AP10" s="214" t="s">
        <v>786</v>
      </c>
      <c r="AQ10" s="201"/>
      <c r="AR10" s="168" t="s">
        <v>720</v>
      </c>
      <c r="AS10" s="53"/>
      <c r="AT10" s="47"/>
      <c r="AU10" s="47"/>
    </row>
    <row r="11" spans="1:47" ht="12" customHeight="1">
      <c r="A11" s="47"/>
      <c r="B11" s="47"/>
      <c r="C11" s="47"/>
      <c r="D11" s="47"/>
      <c r="E11" s="47"/>
      <c r="F11" s="47"/>
      <c r="G11" s="47"/>
      <c r="H11" s="47"/>
      <c r="I11" s="47"/>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50"/>
      <c r="AM11" s="125"/>
      <c r="AN11" s="802" t="s">
        <v>641</v>
      </c>
      <c r="AO11" s="804" t="s">
        <v>787</v>
      </c>
      <c r="AP11" s="819" t="s">
        <v>778</v>
      </c>
      <c r="AQ11" s="206">
        <v>0</v>
      </c>
      <c r="AR11" s="206"/>
      <c r="AS11" s="220"/>
    </row>
    <row r="12" spans="1:47" ht="48" customHeight="1">
      <c r="A12" s="47"/>
      <c r="B12" s="47"/>
      <c r="C12" s="47"/>
      <c r="D12" s="47"/>
      <c r="E12" s="47"/>
      <c r="F12" s="47"/>
      <c r="G12" s="47"/>
      <c r="H12" s="47"/>
      <c r="I12" s="47"/>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50"/>
      <c r="AM12" s="125"/>
      <c r="AN12" s="803"/>
      <c r="AO12" s="805"/>
      <c r="AP12" s="819"/>
      <c r="AQ12" s="207"/>
      <c r="AR12" s="207"/>
      <c r="AS12" s="121"/>
      <c r="AT12" s="121"/>
    </row>
    <row r="13" spans="1:47" ht="11.25" customHeight="1">
      <c r="A13" s="47"/>
      <c r="B13" s="47"/>
      <c r="C13" s="47"/>
      <c r="D13" s="47"/>
      <c r="E13" s="47"/>
      <c r="F13" s="47"/>
      <c r="G13" s="47"/>
      <c r="H13" s="47"/>
      <c r="I13" s="47"/>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222"/>
      <c r="AO13" s="501" t="s">
        <v>788</v>
      </c>
      <c r="AP13" s="564"/>
      <c r="AQ13" s="330"/>
      <c r="AR13" s="207"/>
      <c r="AS13" s="121"/>
      <c r="AT13" s="121"/>
    </row>
    <row r="14" spans="1:47" ht="11.25" customHeight="1">
      <c r="A14" s="47"/>
      <c r="B14" s="47"/>
      <c r="C14" s="47"/>
      <c r="D14" s="47"/>
      <c r="E14" s="47"/>
      <c r="F14" s="47"/>
      <c r="G14" s="47"/>
      <c r="H14" s="47"/>
      <c r="I14" s="47"/>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222"/>
      <c r="AO14" s="556" t="str">
        <f>IF(CALC_IDENTIFIER="","",CALC_IDENTIFIER)</f>
        <v/>
      </c>
      <c r="AP14" s="557" t="s">
        <v>745</v>
      </c>
      <c r="AQ14" s="330"/>
      <c r="AR14" s="207"/>
      <c r="AS14" s="121"/>
      <c r="AT14" s="121"/>
    </row>
    <row r="15" spans="1:47" ht="0.75" customHeight="1">
      <c r="AL15" s="121"/>
      <c r="AM15" s="121"/>
      <c r="AN15" s="504"/>
      <c r="AO15" s="566"/>
      <c r="AP15" s="543"/>
      <c r="AQ15" s="321"/>
      <c r="AR15" s="258"/>
      <c r="AS15" s="121"/>
      <c r="AT15" s="121"/>
    </row>
    <row r="16" spans="1:47" ht="0.75" customHeight="1">
      <c r="AL16" s="121"/>
      <c r="AM16" s="121"/>
      <c r="AN16" s="504"/>
      <c r="AO16" s="527"/>
      <c r="AP16" s="543"/>
      <c r="AQ16" s="321"/>
      <c r="AR16" s="258"/>
      <c r="AS16" s="121"/>
      <c r="AT16" s="121"/>
    </row>
    <row r="17" spans="38:46">
      <c r="AL17" s="121"/>
      <c r="AM17" s="121"/>
      <c r="AN17" s="504" t="s">
        <v>751</v>
      </c>
      <c r="AO17" s="526" t="s">
        <v>2814</v>
      </c>
      <c r="AP17" s="257">
        <f>SUMIF(AQ$14:AR$14,AP$14,AQ17:AR17)</f>
        <v>0</v>
      </c>
      <c r="AQ17" s="321"/>
      <c r="AR17" s="258"/>
      <c r="AS17" s="121"/>
      <c r="AT17" s="121"/>
    </row>
    <row r="18" spans="38:46">
      <c r="AL18" s="121"/>
      <c r="AM18" s="121"/>
      <c r="AN18" s="504" t="s">
        <v>66</v>
      </c>
      <c r="AO18" s="527" t="s">
        <v>2815</v>
      </c>
      <c r="AP18" s="257">
        <f>SUMIF(AQ$14:AR$14,AP$14,AQ18:AR18)</f>
        <v>0</v>
      </c>
      <c r="AQ18" s="321"/>
      <c r="AR18" s="258"/>
      <c r="AS18" s="121"/>
      <c r="AT18" s="121"/>
    </row>
    <row r="19" spans="38:46">
      <c r="AL19" s="121"/>
      <c r="AM19" s="121"/>
      <c r="AN19" s="504" t="s">
        <v>632</v>
      </c>
      <c r="AO19" s="528" t="s">
        <v>2816</v>
      </c>
      <c r="AP19" s="257">
        <f>SUMIF(AQ$14:AR$14,AP$14,AQ19:AR19)</f>
        <v>0</v>
      </c>
      <c r="AQ19" s="321"/>
      <c r="AR19" s="258"/>
      <c r="AS19" s="121"/>
      <c r="AT19" s="121"/>
    </row>
    <row r="20" spans="38:46">
      <c r="AL20" s="121"/>
      <c r="AM20" s="121"/>
      <c r="AN20" s="223" t="s">
        <v>2817</v>
      </c>
      <c r="AO20" s="529" t="s">
        <v>2972</v>
      </c>
      <c r="AP20" s="257">
        <f>SUMIF(AQ$14:AR$14,AP$14,AQ20:AR20)</f>
        <v>0</v>
      </c>
      <c r="AQ20" s="321"/>
      <c r="AR20" s="258"/>
      <c r="AS20" s="121"/>
      <c r="AT20" s="121"/>
    </row>
    <row r="21" spans="38:46">
      <c r="AL21" s="121"/>
      <c r="AM21" s="121"/>
      <c r="AN21" s="223" t="s">
        <v>2818</v>
      </c>
      <c r="AO21" s="529" t="s">
        <v>2988</v>
      </c>
      <c r="AP21" s="257">
        <f>SUMIF(AQ$14:AR$14,AP$14,AQ21:AR21)</f>
        <v>0</v>
      </c>
      <c r="AQ21" s="321"/>
      <c r="AR21" s="258"/>
      <c r="AS21" s="121"/>
      <c r="AT21" s="121"/>
    </row>
    <row r="22" spans="38:46" hidden="1">
      <c r="AL22" s="121"/>
      <c r="AM22" s="121"/>
      <c r="AN22" s="223"/>
      <c r="AO22" s="529"/>
      <c r="AP22" s="260"/>
      <c r="AQ22" s="321"/>
      <c r="AR22" s="258"/>
      <c r="AS22" s="121"/>
      <c r="AT22" s="121"/>
    </row>
    <row r="23" spans="38:46" hidden="1">
      <c r="AL23" s="121"/>
      <c r="AM23" s="121"/>
      <c r="AN23" s="524"/>
      <c r="AO23" s="530"/>
      <c r="AP23" s="255"/>
      <c r="AQ23" s="321"/>
      <c r="AR23" s="258"/>
      <c r="AS23" s="121"/>
      <c r="AT23" s="121"/>
    </row>
    <row r="24" spans="38:46" hidden="1">
      <c r="AL24" s="121"/>
      <c r="AM24" s="121"/>
      <c r="AN24" s="524"/>
      <c r="AO24" s="530"/>
      <c r="AP24" s="260"/>
      <c r="AQ24" s="321"/>
      <c r="AR24" s="258"/>
      <c r="AS24" s="121"/>
      <c r="AT24" s="121"/>
    </row>
    <row r="25" spans="38:46" hidden="1">
      <c r="AL25" s="121"/>
      <c r="AM25" s="121"/>
      <c r="AN25" s="223"/>
      <c r="AO25" s="531"/>
      <c r="AP25" s="260"/>
      <c r="AQ25" s="321"/>
      <c r="AR25" s="258"/>
      <c r="AS25" s="121"/>
      <c r="AT25" s="121"/>
    </row>
    <row r="26" spans="38:46" hidden="1">
      <c r="AL26" s="121"/>
      <c r="AM26" s="121"/>
      <c r="AN26" s="524"/>
      <c r="AO26" s="530"/>
      <c r="AP26" s="255"/>
      <c r="AQ26" s="321"/>
      <c r="AR26" s="258"/>
      <c r="AS26" s="121"/>
      <c r="AT26" s="121"/>
    </row>
    <row r="27" spans="38:46" hidden="1">
      <c r="AL27" s="121"/>
      <c r="AM27" s="121"/>
      <c r="AN27" s="524"/>
      <c r="AO27" s="530"/>
      <c r="AP27" s="260"/>
      <c r="AQ27" s="321"/>
      <c r="AR27" s="258"/>
      <c r="AS27" s="121"/>
      <c r="AT27" s="121"/>
    </row>
    <row r="28" spans="38:46" hidden="1">
      <c r="AL28" s="121"/>
      <c r="AM28" s="121"/>
      <c r="AN28" s="223"/>
      <c r="AO28" s="529"/>
      <c r="AP28" s="260"/>
      <c r="AQ28" s="321"/>
      <c r="AR28" s="258"/>
      <c r="AS28" s="121"/>
      <c r="AT28" s="121"/>
    </row>
    <row r="29" spans="38:46" hidden="1">
      <c r="AL29" s="121"/>
      <c r="AM29" s="121"/>
      <c r="AN29" s="524"/>
      <c r="AO29" s="530"/>
      <c r="AP29" s="255"/>
      <c r="AQ29" s="321"/>
      <c r="AR29" s="258"/>
      <c r="AS29" s="121"/>
      <c r="AT29" s="121"/>
    </row>
    <row r="30" spans="38:46" hidden="1">
      <c r="AL30" s="121"/>
      <c r="AM30" s="121"/>
      <c r="AN30" s="524"/>
      <c r="AO30" s="530"/>
      <c r="AP30" s="260"/>
      <c r="AQ30" s="321"/>
      <c r="AR30" s="258"/>
      <c r="AS30" s="121"/>
      <c r="AT30" s="121"/>
    </row>
    <row r="31" spans="38:46" hidden="1">
      <c r="AL31" s="121"/>
      <c r="AM31" s="121"/>
      <c r="AN31" s="223"/>
      <c r="AO31" s="531"/>
      <c r="AP31" s="260"/>
      <c r="AQ31" s="321"/>
      <c r="AR31" s="258"/>
      <c r="AS31" s="121"/>
      <c r="AT31" s="121"/>
    </row>
    <row r="32" spans="38:46" hidden="1">
      <c r="AL32" s="121"/>
      <c r="AM32" s="121"/>
      <c r="AN32" s="524"/>
      <c r="AO32" s="530"/>
      <c r="AP32" s="255"/>
      <c r="AQ32" s="321"/>
      <c r="AR32" s="258"/>
      <c r="AS32" s="121"/>
      <c r="AT32" s="121"/>
    </row>
    <row r="33" spans="38:46" hidden="1">
      <c r="AL33" s="121"/>
      <c r="AM33" s="121"/>
      <c r="AN33" s="524"/>
      <c r="AO33" s="530"/>
      <c r="AP33" s="260"/>
      <c r="AQ33" s="321"/>
      <c r="AR33" s="258"/>
      <c r="AS33" s="121"/>
      <c r="AT33" s="121"/>
    </row>
    <row r="34" spans="38:46" hidden="1">
      <c r="AL34" s="121"/>
      <c r="AM34" s="121"/>
      <c r="AN34" s="223"/>
      <c r="AO34" s="529"/>
      <c r="AP34" s="260"/>
      <c r="AQ34" s="321"/>
      <c r="AR34" s="258"/>
      <c r="AS34" s="121"/>
      <c r="AT34" s="121"/>
    </row>
    <row r="35" spans="38:46" hidden="1">
      <c r="AL35" s="121"/>
      <c r="AM35" s="121"/>
      <c r="AN35" s="524"/>
      <c r="AO35" s="530"/>
      <c r="AP35" s="255"/>
      <c r="AQ35" s="321"/>
      <c r="AR35" s="258"/>
      <c r="AS35" s="121"/>
      <c r="AT35" s="121"/>
    </row>
    <row r="36" spans="38:46" hidden="1">
      <c r="AL36" s="121"/>
      <c r="AM36" s="121"/>
      <c r="AN36" s="524"/>
      <c r="AO36" s="530"/>
      <c r="AP36" s="260"/>
      <c r="AQ36" s="321"/>
      <c r="AR36" s="258"/>
      <c r="AS36" s="121"/>
      <c r="AT36" s="121"/>
    </row>
    <row r="37" spans="38:46" hidden="1">
      <c r="AL37" s="121"/>
      <c r="AM37" s="121"/>
      <c r="AN37" s="223"/>
      <c r="AO37" s="531"/>
      <c r="AP37" s="260"/>
      <c r="AQ37" s="321"/>
      <c r="AR37" s="258"/>
      <c r="AS37" s="121"/>
      <c r="AT37" s="121"/>
    </row>
    <row r="38" spans="38:46" hidden="1">
      <c r="AL38" s="121"/>
      <c r="AM38" s="121"/>
      <c r="AN38" s="524"/>
      <c r="AO38" s="530"/>
      <c r="AP38" s="255"/>
      <c r="AQ38" s="321"/>
      <c r="AR38" s="258"/>
      <c r="AS38" s="121"/>
      <c r="AT38" s="121"/>
    </row>
    <row r="39" spans="38:46" hidden="1">
      <c r="AL39" s="121"/>
      <c r="AM39" s="121"/>
      <c r="AN39" s="524"/>
      <c r="AO39" s="530"/>
      <c r="AP39" s="260"/>
      <c r="AQ39" s="321"/>
      <c r="AR39" s="258"/>
      <c r="AS39" s="121"/>
      <c r="AT39" s="121"/>
    </row>
    <row r="40" spans="38:46" hidden="1">
      <c r="AL40" s="121"/>
      <c r="AM40" s="121"/>
      <c r="AN40" s="223"/>
      <c r="AO40" s="529"/>
      <c r="AP40" s="260"/>
      <c r="AQ40" s="321"/>
      <c r="AR40" s="258"/>
      <c r="AS40" s="121"/>
      <c r="AT40" s="121"/>
    </row>
    <row r="41" spans="38:46" hidden="1">
      <c r="AL41" s="121"/>
      <c r="AM41" s="121"/>
      <c r="AN41" s="524"/>
      <c r="AO41" s="530"/>
      <c r="AP41" s="255"/>
      <c r="AQ41" s="321"/>
      <c r="AR41" s="258"/>
      <c r="AS41" s="121"/>
      <c r="AT41" s="121"/>
    </row>
    <row r="42" spans="38:46" hidden="1">
      <c r="AL42" s="121"/>
      <c r="AM42" s="121"/>
      <c r="AN42" s="524"/>
      <c r="AO42" s="530"/>
      <c r="AP42" s="260"/>
      <c r="AQ42" s="321"/>
      <c r="AR42" s="258"/>
      <c r="AS42" s="121"/>
      <c r="AT42" s="121"/>
    </row>
    <row r="43" spans="38:46" hidden="1">
      <c r="AL43" s="121"/>
      <c r="AM43" s="121"/>
      <c r="AN43" s="223"/>
      <c r="AO43" s="531"/>
      <c r="AP43" s="260"/>
      <c r="AQ43" s="321"/>
      <c r="AR43" s="258"/>
      <c r="AS43" s="121"/>
      <c r="AT43" s="121"/>
    </row>
    <row r="44" spans="38:46" hidden="1">
      <c r="AL44" s="121"/>
      <c r="AM44" s="121"/>
      <c r="AN44" s="524"/>
      <c r="AO44" s="530"/>
      <c r="AP44" s="255"/>
      <c r="AQ44" s="321"/>
      <c r="AR44" s="258"/>
      <c r="AS44" s="121"/>
      <c r="AT44" s="121"/>
    </row>
    <row r="45" spans="38:46" hidden="1">
      <c r="AL45" s="121"/>
      <c r="AM45" s="121"/>
      <c r="AN45" s="524"/>
      <c r="AO45" s="530"/>
      <c r="AP45" s="260"/>
      <c r="AQ45" s="321"/>
      <c r="AR45" s="258"/>
      <c r="AS45" s="121"/>
      <c r="AT45" s="121"/>
    </row>
    <row r="46" spans="38:46">
      <c r="AL46" s="121"/>
      <c r="AM46" s="121"/>
      <c r="AN46" s="504" t="s">
        <v>633</v>
      </c>
      <c r="AO46" s="532" t="s">
        <v>2819</v>
      </c>
      <c r="AP46" s="257">
        <f t="shared" ref="AP46:AP55" si="0">SUMIF(AQ$14:AR$14,AP$14,AQ46:AR46)</f>
        <v>0</v>
      </c>
      <c r="AQ46" s="321"/>
      <c r="AR46" s="258"/>
      <c r="AS46" s="121"/>
      <c r="AT46" s="121"/>
    </row>
    <row r="47" spans="38:46">
      <c r="AL47" s="121"/>
      <c r="AM47" s="121"/>
      <c r="AN47" s="504" t="s">
        <v>69</v>
      </c>
      <c r="AO47" s="527" t="s">
        <v>2820</v>
      </c>
      <c r="AP47" s="257">
        <f t="shared" si="0"/>
        <v>0</v>
      </c>
      <c r="AQ47" s="321"/>
      <c r="AR47" s="258"/>
      <c r="AS47" s="121"/>
      <c r="AT47" s="121"/>
    </row>
    <row r="48" spans="38:46">
      <c r="AL48" s="121"/>
      <c r="AM48" s="121"/>
      <c r="AN48" s="504" t="s">
        <v>72</v>
      </c>
      <c r="AO48" s="527" t="s">
        <v>2471</v>
      </c>
      <c r="AP48" s="257">
        <f t="shared" si="0"/>
        <v>0</v>
      </c>
      <c r="AQ48" s="321"/>
      <c r="AR48" s="258"/>
      <c r="AS48" s="121"/>
      <c r="AT48" s="121"/>
    </row>
    <row r="49" spans="38:46">
      <c r="AL49" s="121"/>
      <c r="AM49" s="121"/>
      <c r="AN49" s="504" t="s">
        <v>2821</v>
      </c>
      <c r="AO49" s="527" t="s">
        <v>2822</v>
      </c>
      <c r="AP49" s="257">
        <f t="shared" si="0"/>
        <v>0</v>
      </c>
      <c r="AQ49" s="321"/>
      <c r="AR49" s="258"/>
      <c r="AS49" s="121"/>
      <c r="AT49" s="121"/>
    </row>
    <row r="50" spans="38:46">
      <c r="AL50" s="121"/>
      <c r="AM50" s="121"/>
      <c r="AN50" s="504" t="s">
        <v>888</v>
      </c>
      <c r="AO50" s="528" t="s">
        <v>2823</v>
      </c>
      <c r="AP50" s="257">
        <f t="shared" si="0"/>
        <v>0</v>
      </c>
      <c r="AQ50" s="321"/>
      <c r="AR50" s="258"/>
      <c r="AS50" s="121"/>
      <c r="AT50" s="121"/>
    </row>
    <row r="51" spans="38:46">
      <c r="AL51" s="121"/>
      <c r="AM51" s="121"/>
      <c r="AN51" s="504" t="s">
        <v>889</v>
      </c>
      <c r="AO51" s="528" t="s">
        <v>2824</v>
      </c>
      <c r="AP51" s="257">
        <f t="shared" si="0"/>
        <v>0</v>
      </c>
      <c r="AQ51" s="321"/>
      <c r="AR51" s="258"/>
      <c r="AS51" s="121"/>
      <c r="AT51" s="121"/>
    </row>
    <row r="52" spans="38:46">
      <c r="AL52" s="121"/>
      <c r="AM52" s="121"/>
      <c r="AN52" s="504" t="s">
        <v>890</v>
      </c>
      <c r="AO52" s="528" t="s">
        <v>2825</v>
      </c>
      <c r="AP52" s="257">
        <f t="shared" si="0"/>
        <v>0</v>
      </c>
      <c r="AQ52" s="321"/>
      <c r="AR52" s="258"/>
      <c r="AS52" s="121"/>
      <c r="AT52" s="121"/>
    </row>
    <row r="53" spans="38:46">
      <c r="AL53" s="121"/>
      <c r="AM53" s="121"/>
      <c r="AN53" s="504" t="s">
        <v>2826</v>
      </c>
      <c r="AO53" s="527" t="s">
        <v>2827</v>
      </c>
      <c r="AP53" s="257">
        <f t="shared" si="0"/>
        <v>0</v>
      </c>
      <c r="AQ53" s="321"/>
      <c r="AR53" s="258"/>
      <c r="AS53" s="121"/>
      <c r="AT53" s="121"/>
    </row>
    <row r="54" spans="38:46">
      <c r="AL54" s="121"/>
      <c r="AM54" s="121"/>
      <c r="AN54" s="504" t="s">
        <v>2828</v>
      </c>
      <c r="AO54" s="527" t="s">
        <v>2829</v>
      </c>
      <c r="AP54" s="257">
        <f t="shared" si="0"/>
        <v>0</v>
      </c>
      <c r="AQ54" s="321"/>
      <c r="AR54" s="258"/>
      <c r="AS54" s="121"/>
      <c r="AT54" s="121"/>
    </row>
    <row r="55" spans="38:46">
      <c r="AL55" s="121"/>
      <c r="AM55" s="121"/>
      <c r="AN55" s="504" t="s">
        <v>2830</v>
      </c>
      <c r="AO55" s="527" t="s">
        <v>2831</v>
      </c>
      <c r="AP55" s="257">
        <f t="shared" si="0"/>
        <v>0</v>
      </c>
      <c r="AQ55" s="321"/>
      <c r="AR55" s="258"/>
      <c r="AS55" s="121"/>
      <c r="AT55" s="121"/>
    </row>
    <row r="56" spans="38:46" hidden="1">
      <c r="AL56" s="121"/>
      <c r="AM56" s="121"/>
      <c r="AN56" s="222"/>
      <c r="AO56" s="529"/>
      <c r="AP56" s="255"/>
      <c r="AQ56" s="321"/>
      <c r="AR56" s="258"/>
      <c r="AS56" s="121"/>
      <c r="AT56" s="121"/>
    </row>
    <row r="57" spans="38:46" hidden="1">
      <c r="AL57" s="121"/>
      <c r="AM57" s="121"/>
      <c r="AN57" s="222"/>
      <c r="AO57" s="529"/>
      <c r="AP57" s="255"/>
      <c r="AQ57" s="321"/>
      <c r="AR57" s="258"/>
      <c r="AS57" s="121"/>
      <c r="AT57" s="121"/>
    </row>
    <row r="58" spans="38:46" hidden="1">
      <c r="AL58" s="121"/>
      <c r="AM58" s="121"/>
      <c r="AN58" s="222"/>
      <c r="AO58" s="529"/>
      <c r="AP58" s="255"/>
      <c r="AQ58" s="321"/>
      <c r="AR58" s="258"/>
      <c r="AS58" s="121"/>
      <c r="AT58" s="121"/>
    </row>
    <row r="59" spans="38:46">
      <c r="AL59" s="121"/>
      <c r="AM59" s="121"/>
      <c r="AN59" s="222" t="s">
        <v>2832</v>
      </c>
      <c r="AO59" s="533" t="s">
        <v>1832</v>
      </c>
      <c r="AP59" s="257">
        <f>SUMIF(AQ$14:AR$14,AP$14,AQ59:AR59)</f>
        <v>0</v>
      </c>
      <c r="AQ59" s="321"/>
      <c r="AR59" s="258"/>
      <c r="AS59" s="121"/>
      <c r="AT59" s="121"/>
    </row>
    <row r="60" spans="38:46" hidden="1">
      <c r="AL60" s="121"/>
      <c r="AM60" s="121"/>
      <c r="AN60" s="222"/>
      <c r="AO60" s="529"/>
      <c r="AP60" s="255"/>
      <c r="AQ60" s="321"/>
      <c r="AR60" s="258"/>
      <c r="AS60" s="121"/>
      <c r="AT60" s="121"/>
    </row>
    <row r="61" spans="38:46" hidden="1">
      <c r="AL61" s="121"/>
      <c r="AM61" s="121"/>
      <c r="AN61" s="222"/>
      <c r="AO61" s="529"/>
      <c r="AP61" s="260"/>
      <c r="AQ61" s="321"/>
      <c r="AR61" s="258"/>
      <c r="AS61" s="121"/>
      <c r="AT61" s="121"/>
    </row>
    <row r="62" spans="38:46" hidden="1">
      <c r="AL62" s="121"/>
      <c r="AM62" s="121"/>
      <c r="AN62" s="222"/>
      <c r="AO62" s="563"/>
      <c r="AP62" s="260"/>
      <c r="AQ62" s="321"/>
      <c r="AR62" s="258"/>
      <c r="AS62" s="121"/>
      <c r="AT62" s="121"/>
    </row>
    <row r="63" spans="38:46" hidden="1">
      <c r="AL63" s="121"/>
      <c r="AM63" s="121"/>
      <c r="AN63" s="222"/>
      <c r="AO63" s="563"/>
      <c r="AP63" s="260"/>
      <c r="AQ63" s="321"/>
      <c r="AR63" s="258"/>
      <c r="AS63" s="121"/>
      <c r="AT63" s="121"/>
    </row>
    <row r="64" spans="38:46" hidden="1">
      <c r="AL64" s="121"/>
      <c r="AM64" s="121"/>
      <c r="AN64" s="222"/>
      <c r="AO64" s="563"/>
      <c r="AP64" s="260"/>
      <c r="AQ64" s="321"/>
      <c r="AR64" s="258"/>
      <c r="AS64" s="121"/>
      <c r="AT64" s="121"/>
    </row>
    <row r="65" spans="38:46">
      <c r="AL65" s="121"/>
      <c r="AM65" s="121"/>
      <c r="AN65" s="222" t="s">
        <v>2835</v>
      </c>
      <c r="AO65" s="533" t="s">
        <v>1838</v>
      </c>
      <c r="AP65" s="257">
        <f>SUMIF(AQ$14:AR$14,AP$14,AQ65:AR65)</f>
        <v>0</v>
      </c>
      <c r="AQ65" s="321"/>
      <c r="AR65" s="258"/>
      <c r="AS65" s="121"/>
      <c r="AT65" s="121"/>
    </row>
    <row r="66" spans="38:46" hidden="1">
      <c r="AL66" s="121"/>
      <c r="AM66" s="121"/>
      <c r="AN66" s="222"/>
      <c r="AO66" s="529"/>
      <c r="AP66" s="255"/>
      <c r="AQ66" s="321"/>
      <c r="AR66" s="258"/>
      <c r="AS66" s="121"/>
      <c r="AT66" s="121"/>
    </row>
    <row r="67" spans="38:46" hidden="1">
      <c r="AL67" s="121"/>
      <c r="AM67" s="121"/>
      <c r="AN67" s="222"/>
      <c r="AO67" s="529"/>
      <c r="AP67" s="255"/>
      <c r="AQ67" s="321"/>
      <c r="AR67" s="258"/>
      <c r="AS67" s="121"/>
      <c r="AT67" s="121"/>
    </row>
    <row r="68" spans="38:46" hidden="1">
      <c r="AL68" s="121"/>
      <c r="AM68" s="121"/>
      <c r="AN68" s="222"/>
      <c r="AO68" s="529"/>
      <c r="AP68" s="255"/>
      <c r="AQ68" s="321"/>
      <c r="AR68" s="258"/>
      <c r="AS68" s="121"/>
      <c r="AT68" s="121"/>
    </row>
    <row r="69" spans="38:46" hidden="1">
      <c r="AL69" s="121"/>
      <c r="AM69" s="121"/>
      <c r="AN69" s="222"/>
      <c r="AO69" s="529"/>
      <c r="AP69" s="255"/>
      <c r="AQ69" s="321"/>
      <c r="AR69" s="258"/>
      <c r="AS69" s="121"/>
      <c r="AT69" s="121"/>
    </row>
    <row r="70" spans="38:46" hidden="1">
      <c r="AL70" s="121"/>
      <c r="AM70" s="121"/>
      <c r="AN70" s="222"/>
      <c r="AO70" s="529"/>
      <c r="AP70" s="255"/>
      <c r="AQ70" s="321"/>
      <c r="AR70" s="258"/>
      <c r="AS70" s="121"/>
      <c r="AT70" s="121"/>
    </row>
    <row r="71" spans="38:46">
      <c r="AL71" s="121"/>
      <c r="AM71" s="121"/>
      <c r="AN71" s="222" t="s">
        <v>2838</v>
      </c>
      <c r="AO71" s="533" t="s">
        <v>1843</v>
      </c>
      <c r="AP71" s="257">
        <f>SUMIF(AQ$14:AR$14,AP$14,AQ71:AR71)</f>
        <v>0</v>
      </c>
      <c r="AQ71" s="321"/>
      <c r="AR71" s="258"/>
      <c r="AS71" s="121"/>
      <c r="AT71" s="121"/>
    </row>
    <row r="72" spans="38:46" hidden="1">
      <c r="AL72" s="121"/>
      <c r="AM72" s="121"/>
      <c r="AN72" s="222"/>
      <c r="AO72" s="529"/>
      <c r="AP72" s="255"/>
      <c r="AQ72" s="321"/>
      <c r="AR72" s="258"/>
      <c r="AS72" s="121"/>
      <c r="AT72" s="121"/>
    </row>
    <row r="73" spans="38:46" hidden="1">
      <c r="AL73" s="121"/>
      <c r="AM73" s="121"/>
      <c r="AN73" s="222"/>
      <c r="AO73" s="529"/>
      <c r="AP73" s="255"/>
      <c r="AQ73" s="321"/>
      <c r="AR73" s="258"/>
      <c r="AS73" s="121"/>
      <c r="AT73" s="121"/>
    </row>
    <row r="74" spans="38:46">
      <c r="AL74" s="121"/>
      <c r="AM74" s="121"/>
      <c r="AN74" s="222" t="s">
        <v>2841</v>
      </c>
      <c r="AO74" s="533" t="s">
        <v>1849</v>
      </c>
      <c r="AP74" s="257">
        <f>SUMIF(AQ$14:AR$14,AP$14,AQ74:AR74)</f>
        <v>0</v>
      </c>
      <c r="AQ74" s="321"/>
      <c r="AR74" s="258"/>
      <c r="AS74" s="121"/>
      <c r="AT74" s="121"/>
    </row>
    <row r="75" spans="38:46" hidden="1">
      <c r="AL75" s="121"/>
      <c r="AM75" s="121"/>
      <c r="AN75" s="222"/>
      <c r="AO75" s="529"/>
      <c r="AP75" s="255"/>
      <c r="AQ75" s="321"/>
      <c r="AR75" s="258"/>
      <c r="AS75" s="121"/>
      <c r="AT75" s="121"/>
    </row>
    <row r="76" spans="38:46" hidden="1">
      <c r="AL76" s="121"/>
      <c r="AM76" s="121"/>
      <c r="AN76" s="222"/>
      <c r="AO76" s="529"/>
      <c r="AP76" s="255"/>
      <c r="AQ76" s="321"/>
      <c r="AR76" s="258"/>
      <c r="AS76" s="121"/>
      <c r="AT76" s="121"/>
    </row>
    <row r="77" spans="38:46" ht="22.5">
      <c r="AL77" s="121"/>
      <c r="AM77" s="121"/>
      <c r="AN77" s="222" t="s">
        <v>2844</v>
      </c>
      <c r="AO77" s="533" t="s">
        <v>1856</v>
      </c>
      <c r="AP77" s="257">
        <f>SUMIF(AQ$14:AR$14,AP$14,AQ77:AR77)</f>
        <v>0</v>
      </c>
      <c r="AQ77" s="321"/>
      <c r="AR77" s="258"/>
      <c r="AS77" s="121"/>
      <c r="AT77" s="121"/>
    </row>
    <row r="78" spans="38:46" hidden="1">
      <c r="AL78" s="121"/>
      <c r="AM78" s="121"/>
      <c r="AN78" s="222"/>
      <c r="AO78" s="529"/>
      <c r="AP78" s="255"/>
      <c r="AQ78" s="321"/>
      <c r="AR78" s="258"/>
      <c r="AS78" s="121"/>
      <c r="AT78" s="121"/>
    </row>
    <row r="79" spans="38:46" hidden="1">
      <c r="AL79" s="121"/>
      <c r="AM79" s="121"/>
      <c r="AN79" s="222"/>
      <c r="AO79" s="529"/>
      <c r="AP79" s="255"/>
      <c r="AQ79" s="321"/>
      <c r="AR79" s="258"/>
      <c r="AS79" s="121"/>
      <c r="AT79" s="121"/>
    </row>
    <row r="80" spans="38:46">
      <c r="AL80" s="121"/>
      <c r="AM80" s="121"/>
      <c r="AN80" s="504" t="s">
        <v>2847</v>
      </c>
      <c r="AO80" s="535" t="s">
        <v>2848</v>
      </c>
      <c r="AP80" s="257">
        <f t="shared" ref="AP80:AP85" si="1">SUMIF(AQ$14:AR$14,AP$14,AQ80:AR80)</f>
        <v>0</v>
      </c>
      <c r="AQ80" s="321"/>
      <c r="AR80" s="258"/>
      <c r="AS80" s="121"/>
      <c r="AT80" s="121"/>
    </row>
    <row r="81" spans="38:46" ht="22.5">
      <c r="AL81" s="121"/>
      <c r="AM81" s="121"/>
      <c r="AN81" s="504" t="s">
        <v>2849</v>
      </c>
      <c r="AO81" s="533" t="s">
        <v>2415</v>
      </c>
      <c r="AP81" s="257">
        <f t="shared" si="1"/>
        <v>0</v>
      </c>
      <c r="AQ81" s="321"/>
      <c r="AR81" s="258"/>
      <c r="AS81" s="121"/>
      <c r="AT81" s="121"/>
    </row>
    <row r="82" spans="38:46" ht="22.5">
      <c r="AL82" s="121"/>
      <c r="AM82" s="121"/>
      <c r="AN82" s="504" t="s">
        <v>2850</v>
      </c>
      <c r="AO82" s="533" t="s">
        <v>2417</v>
      </c>
      <c r="AP82" s="257">
        <f t="shared" si="1"/>
        <v>0</v>
      </c>
      <c r="AQ82" s="321"/>
      <c r="AR82" s="258"/>
      <c r="AS82" s="121"/>
      <c r="AT82" s="121"/>
    </row>
    <row r="83" spans="38:46" ht="22.5">
      <c r="AL83" s="121"/>
      <c r="AM83" s="121"/>
      <c r="AN83" s="504" t="s">
        <v>2316</v>
      </c>
      <c r="AO83" s="533" t="s">
        <v>2420</v>
      </c>
      <c r="AP83" s="257">
        <f t="shared" si="1"/>
        <v>0</v>
      </c>
      <c r="AQ83" s="321"/>
      <c r="AR83" s="258"/>
      <c r="AS83" s="121"/>
      <c r="AT83" s="121"/>
    </row>
    <row r="84" spans="38:46">
      <c r="AL84" s="121"/>
      <c r="AM84" s="121"/>
      <c r="AN84" s="504" t="s">
        <v>2317</v>
      </c>
      <c r="AO84" s="533" t="s">
        <v>2423</v>
      </c>
      <c r="AP84" s="257">
        <f t="shared" si="1"/>
        <v>0</v>
      </c>
      <c r="AQ84" s="321"/>
      <c r="AR84" s="258"/>
      <c r="AS84" s="121"/>
      <c r="AT84" s="121"/>
    </row>
    <row r="85" spans="38:46" ht="22.5">
      <c r="AL85" s="121"/>
      <c r="AM85" s="121"/>
      <c r="AN85" s="504" t="s">
        <v>2318</v>
      </c>
      <c r="AO85" s="533" t="s">
        <v>2426</v>
      </c>
      <c r="AP85" s="257">
        <f t="shared" si="1"/>
        <v>0</v>
      </c>
      <c r="AQ85" s="321"/>
      <c r="AR85" s="258"/>
      <c r="AS85" s="121"/>
      <c r="AT85" s="121"/>
    </row>
    <row r="86" spans="38:46" hidden="1">
      <c r="AL86" s="121"/>
      <c r="AM86" s="121"/>
      <c r="AN86" s="560" t="str">
        <f>IF(TEMPLATE_SPHERE="водоснабжения","2.9","")</f>
        <v/>
      </c>
      <c r="AO86" s="561" t="str">
        <f>IF(TEMPLATE_SPHERE="водоснабжения","Покупная вода","")</f>
        <v/>
      </c>
      <c r="AP86" s="257" t="str">
        <f>IF(TEMPLATE_SPHERE="водоснабжения",SUMIF(AQ$14:AR$14,AP$14,AQ86:AR86),"")</f>
        <v/>
      </c>
      <c r="AQ86" s="321"/>
      <c r="AR86" s="258"/>
      <c r="AS86" s="121"/>
      <c r="AT86" s="121"/>
    </row>
    <row r="87" spans="38:46" hidden="1">
      <c r="AL87" s="121"/>
      <c r="AM87" s="121"/>
      <c r="AN87" s="222"/>
      <c r="AO87" s="529"/>
      <c r="AP87" s="255"/>
      <c r="AQ87" s="321"/>
      <c r="AR87" s="258"/>
      <c r="AS87" s="121"/>
      <c r="AT87" s="121"/>
    </row>
    <row r="88" spans="38:46" hidden="1">
      <c r="AL88" s="121"/>
      <c r="AM88" s="121"/>
      <c r="AN88" s="222"/>
      <c r="AO88" s="529"/>
      <c r="AP88" s="255"/>
      <c r="AQ88" s="321"/>
      <c r="AR88" s="258"/>
      <c r="AS88" s="121"/>
      <c r="AT88" s="121"/>
    </row>
    <row r="89" spans="38:46" hidden="1">
      <c r="AL89" s="121"/>
      <c r="AM89" s="121"/>
      <c r="AN89" s="222"/>
      <c r="AO89" s="529"/>
      <c r="AP89" s="255"/>
      <c r="AQ89" s="321"/>
      <c r="AR89" s="258"/>
      <c r="AS89" s="121"/>
      <c r="AT89" s="121"/>
    </row>
    <row r="90" spans="38:46" ht="22.5">
      <c r="AL90" s="121"/>
      <c r="AM90" s="121"/>
      <c r="AN90" s="504" t="s">
        <v>2323</v>
      </c>
      <c r="AO90"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AP90" s="257">
        <f t="shared" ref="AP90:AP136" si="2">SUMIF(AQ$14:AR$14,AP$14,AQ90:AR90)</f>
        <v>0</v>
      </c>
      <c r="AQ90" s="321"/>
      <c r="AR90" s="258"/>
      <c r="AS90" s="121"/>
      <c r="AT90" s="121"/>
    </row>
    <row r="91" spans="38:46" ht="22.5">
      <c r="AL91" s="121"/>
      <c r="AM91" s="121"/>
      <c r="AN91" s="504" t="s">
        <v>2324</v>
      </c>
      <c r="AO91"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AP91" s="257">
        <f t="shared" si="2"/>
        <v>0</v>
      </c>
      <c r="AQ91" s="321"/>
      <c r="AR91" s="258"/>
      <c r="AS91" s="121"/>
      <c r="AT91" s="121"/>
    </row>
    <row r="92" spans="38:46" ht="22.5">
      <c r="AL92" s="121"/>
      <c r="AM92" s="121"/>
      <c r="AN92" s="504" t="s">
        <v>2325</v>
      </c>
      <c r="AO92"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AP92" s="257">
        <f t="shared" si="2"/>
        <v>0</v>
      </c>
      <c r="AQ92" s="321"/>
      <c r="AR92" s="258"/>
      <c r="AS92" s="121"/>
      <c r="AT92" s="121"/>
    </row>
    <row r="93" spans="38:46">
      <c r="AL93" s="121"/>
      <c r="AM93" s="121"/>
      <c r="AN93" s="504" t="s">
        <v>2326</v>
      </c>
      <c r="AO93" s="527" t="s">
        <v>2327</v>
      </c>
      <c r="AP93" s="257">
        <f t="shared" si="2"/>
        <v>0</v>
      </c>
      <c r="AQ93" s="321"/>
      <c r="AR93" s="258"/>
      <c r="AS93" s="121"/>
      <c r="AT93" s="121"/>
    </row>
    <row r="94" spans="38:46">
      <c r="AL94" s="121"/>
      <c r="AM94" s="121"/>
      <c r="AN94" s="504" t="s">
        <v>2328</v>
      </c>
      <c r="AO94" s="528" t="s">
        <v>2329</v>
      </c>
      <c r="AP94" s="257">
        <f t="shared" si="2"/>
        <v>0</v>
      </c>
      <c r="AQ94" s="321"/>
      <c r="AR94" s="258"/>
      <c r="AS94" s="121"/>
      <c r="AT94" s="121"/>
    </row>
    <row r="95" spans="38:46">
      <c r="AL95" s="121"/>
      <c r="AM95" s="121"/>
      <c r="AN95" s="504" t="s">
        <v>2330</v>
      </c>
      <c r="AO95" s="528" t="s">
        <v>2331</v>
      </c>
      <c r="AP95" s="257">
        <f t="shared" si="2"/>
        <v>0</v>
      </c>
      <c r="AQ95" s="321"/>
      <c r="AR95" s="258"/>
      <c r="AS95" s="121"/>
      <c r="AT95" s="121"/>
    </row>
    <row r="96" spans="38:46">
      <c r="AL96" s="121"/>
      <c r="AM96" s="121"/>
      <c r="AN96" s="504" t="s">
        <v>2332</v>
      </c>
      <c r="AO96" s="527" t="s">
        <v>2333</v>
      </c>
      <c r="AP96" s="257">
        <f t="shared" si="2"/>
        <v>0</v>
      </c>
      <c r="AQ96" s="321"/>
      <c r="AR96" s="258"/>
      <c r="AS96" s="121"/>
      <c r="AT96" s="121"/>
    </row>
    <row r="97" spans="38:46">
      <c r="AL97" s="121"/>
      <c r="AM97" s="121"/>
      <c r="AN97" s="504" t="s">
        <v>2334</v>
      </c>
      <c r="AO97" s="527" t="s">
        <v>2335</v>
      </c>
      <c r="AP97" s="257">
        <f t="shared" si="2"/>
        <v>0</v>
      </c>
      <c r="AQ97" s="321"/>
      <c r="AR97" s="258"/>
      <c r="AS97" s="121"/>
      <c r="AT97" s="121"/>
    </row>
    <row r="98" spans="38:46" ht="22.5">
      <c r="AL98" s="121"/>
      <c r="AM98" s="121"/>
      <c r="AN98" s="504" t="s">
        <v>2336</v>
      </c>
      <c r="AO98" s="527" t="s">
        <v>2337</v>
      </c>
      <c r="AP98" s="257">
        <f t="shared" si="2"/>
        <v>0</v>
      </c>
      <c r="AQ98" s="321"/>
      <c r="AR98" s="258"/>
      <c r="AS98" s="121"/>
      <c r="AT98" s="121"/>
    </row>
    <row r="99" spans="38:46">
      <c r="AL99" s="121"/>
      <c r="AM99" s="121"/>
      <c r="AN99" s="504" t="s">
        <v>2338</v>
      </c>
      <c r="AO99" s="527" t="s">
        <v>2339</v>
      </c>
      <c r="AP99" s="257">
        <f t="shared" si="2"/>
        <v>0</v>
      </c>
      <c r="AQ99" s="321"/>
      <c r="AR99" s="258"/>
      <c r="AS99" s="121"/>
      <c r="AT99" s="121"/>
    </row>
    <row r="100" spans="38:46">
      <c r="AL100" s="121"/>
      <c r="AM100" s="121"/>
      <c r="AN100" s="504" t="s">
        <v>2340</v>
      </c>
      <c r="AO100" s="528" t="s">
        <v>2341</v>
      </c>
      <c r="AP100" s="257">
        <f t="shared" si="2"/>
        <v>0</v>
      </c>
      <c r="AQ100" s="321"/>
      <c r="AR100" s="258"/>
      <c r="AS100" s="121"/>
      <c r="AT100" s="121"/>
    </row>
    <row r="101" spans="38:46">
      <c r="AL101" s="121"/>
      <c r="AM101" s="121"/>
      <c r="AN101" s="504" t="s">
        <v>2342</v>
      </c>
      <c r="AO101" s="528" t="s">
        <v>2343</v>
      </c>
      <c r="AP101" s="257">
        <f t="shared" si="2"/>
        <v>0</v>
      </c>
      <c r="AQ101" s="321"/>
      <c r="AR101" s="258"/>
      <c r="AS101" s="121"/>
      <c r="AT101" s="121"/>
    </row>
    <row r="102" spans="38:46">
      <c r="AL102" s="121"/>
      <c r="AM102" s="121"/>
      <c r="AN102" s="504" t="s">
        <v>2344</v>
      </c>
      <c r="AO102" s="528" t="s">
        <v>2345</v>
      </c>
      <c r="AP102" s="257">
        <f t="shared" si="2"/>
        <v>0</v>
      </c>
      <c r="AQ102" s="321"/>
      <c r="AR102" s="258"/>
      <c r="AS102" s="121"/>
      <c r="AT102" s="121"/>
    </row>
    <row r="103" spans="38:46">
      <c r="AL103" s="121"/>
      <c r="AM103" s="121"/>
      <c r="AN103" s="504" t="s">
        <v>2346</v>
      </c>
      <c r="AO103" s="528" t="s">
        <v>2347</v>
      </c>
      <c r="AP103" s="257">
        <f t="shared" si="2"/>
        <v>0</v>
      </c>
      <c r="AQ103" s="321"/>
      <c r="AR103" s="258"/>
      <c r="AS103" s="121"/>
      <c r="AT103" s="121"/>
    </row>
    <row r="104" spans="38:46">
      <c r="AL104" s="121"/>
      <c r="AM104" s="121"/>
      <c r="AN104" s="504" t="s">
        <v>2348</v>
      </c>
      <c r="AO104" s="528" t="s">
        <v>2349</v>
      </c>
      <c r="AP104" s="257">
        <f t="shared" si="2"/>
        <v>0</v>
      </c>
      <c r="AQ104" s="321"/>
      <c r="AR104" s="258"/>
      <c r="AS104" s="121"/>
      <c r="AT104" s="121"/>
    </row>
    <row r="105" spans="38:46">
      <c r="AL105" s="121"/>
      <c r="AM105" s="121"/>
      <c r="AN105" s="504" t="s">
        <v>2350</v>
      </c>
      <c r="AO105" s="528" t="s">
        <v>2351</v>
      </c>
      <c r="AP105" s="257">
        <f t="shared" si="2"/>
        <v>0</v>
      </c>
      <c r="AQ105" s="321"/>
      <c r="AR105" s="258"/>
      <c r="AS105" s="121"/>
      <c r="AT105" s="121"/>
    </row>
    <row r="106" spans="38:46">
      <c r="AL106" s="121"/>
      <c r="AM106" s="121"/>
      <c r="AN106" s="504" t="s">
        <v>2352</v>
      </c>
      <c r="AO106" s="528" t="s">
        <v>2353</v>
      </c>
      <c r="AP106" s="257">
        <f t="shared" si="2"/>
        <v>0</v>
      </c>
      <c r="AQ106" s="321"/>
      <c r="AR106" s="258"/>
      <c r="AS106" s="121"/>
      <c r="AT106" s="121"/>
    </row>
    <row r="107" spans="38:46">
      <c r="AL107" s="121"/>
      <c r="AM107" s="121"/>
      <c r="AN107" s="504" t="s">
        <v>2354</v>
      </c>
      <c r="AO107" s="528" t="s">
        <v>2355</v>
      </c>
      <c r="AP107" s="257">
        <f t="shared" si="2"/>
        <v>0</v>
      </c>
      <c r="AQ107" s="321"/>
      <c r="AR107" s="258"/>
      <c r="AS107" s="121"/>
      <c r="AT107" s="121"/>
    </row>
    <row r="108" spans="38:46">
      <c r="AL108" s="121"/>
      <c r="AM108" s="121"/>
      <c r="AN108" s="504" t="s">
        <v>2356</v>
      </c>
      <c r="AO108" s="528" t="s">
        <v>2357</v>
      </c>
      <c r="AP108" s="257">
        <f t="shared" si="2"/>
        <v>0</v>
      </c>
      <c r="AQ108" s="321"/>
      <c r="AR108" s="258"/>
      <c r="AS108" s="121"/>
      <c r="AT108" s="121"/>
    </row>
    <row r="109" spans="38:46" ht="22.5">
      <c r="AL109" s="121"/>
      <c r="AM109" s="121"/>
      <c r="AN109" s="504" t="s">
        <v>2358</v>
      </c>
      <c r="AO109" s="536" t="s">
        <v>2359</v>
      </c>
      <c r="AP109" s="257">
        <f t="shared" si="2"/>
        <v>0</v>
      </c>
      <c r="AQ109" s="321"/>
      <c r="AR109" s="258"/>
      <c r="AS109" s="121"/>
      <c r="AT109" s="121"/>
    </row>
    <row r="110" spans="38:46">
      <c r="AL110" s="121"/>
      <c r="AM110" s="121"/>
      <c r="AN110" s="504" t="s">
        <v>2360</v>
      </c>
      <c r="AO110" s="537" t="s">
        <v>2444</v>
      </c>
      <c r="AP110" s="257">
        <f t="shared" si="2"/>
        <v>0</v>
      </c>
      <c r="AQ110" s="321"/>
      <c r="AR110" s="258"/>
      <c r="AS110" s="121"/>
      <c r="AT110" s="121"/>
    </row>
    <row r="111" spans="38:46">
      <c r="AL111" s="121"/>
      <c r="AM111" s="121"/>
      <c r="AN111" s="504" t="s">
        <v>2361</v>
      </c>
      <c r="AO111" s="537" t="s">
        <v>2362</v>
      </c>
      <c r="AP111" s="257">
        <f t="shared" si="2"/>
        <v>0</v>
      </c>
      <c r="AQ111" s="321"/>
      <c r="AR111" s="258"/>
      <c r="AS111" s="121"/>
      <c r="AT111" s="121"/>
    </row>
    <row r="112" spans="38:46">
      <c r="AL112" s="121"/>
      <c r="AM112" s="121"/>
      <c r="AN112" s="504" t="s">
        <v>2363</v>
      </c>
      <c r="AO112" s="528" t="s">
        <v>872</v>
      </c>
      <c r="AP112" s="257">
        <f t="shared" si="2"/>
        <v>0</v>
      </c>
      <c r="AQ112" s="321"/>
      <c r="AR112" s="258"/>
      <c r="AS112" s="121"/>
      <c r="AT112" s="121"/>
    </row>
    <row r="113" spans="38:46" ht="22.5">
      <c r="AL113" s="121"/>
      <c r="AM113" s="121"/>
      <c r="AN113" s="504" t="s">
        <v>2364</v>
      </c>
      <c r="AO113" s="528" t="s">
        <v>2365</v>
      </c>
      <c r="AP113" s="257">
        <f t="shared" si="2"/>
        <v>0</v>
      </c>
      <c r="AQ113" s="321"/>
      <c r="AR113" s="258"/>
      <c r="AS113" s="121"/>
      <c r="AT113" s="121"/>
    </row>
    <row r="114" spans="38:46">
      <c r="AL114" s="121"/>
      <c r="AM114" s="121"/>
      <c r="AN114" s="504" t="s">
        <v>2366</v>
      </c>
      <c r="AO114" s="528" t="s">
        <v>2367</v>
      </c>
      <c r="AP114" s="257">
        <f t="shared" si="2"/>
        <v>0</v>
      </c>
      <c r="AQ114" s="321"/>
      <c r="AR114" s="258"/>
      <c r="AS114" s="121"/>
      <c r="AT114" s="121"/>
    </row>
    <row r="115" spans="38:46">
      <c r="AL115" s="121"/>
      <c r="AM115" s="121"/>
      <c r="AN115" s="504" t="s">
        <v>752</v>
      </c>
      <c r="AO115" s="526" t="s">
        <v>856</v>
      </c>
      <c r="AP115" s="257">
        <f t="shared" si="2"/>
        <v>0</v>
      </c>
      <c r="AQ115" s="321"/>
      <c r="AR115" s="258"/>
      <c r="AS115" s="121"/>
      <c r="AT115" s="121"/>
    </row>
    <row r="116" spans="38:46">
      <c r="AL116" s="121"/>
      <c r="AM116" s="121"/>
      <c r="AN116" s="504" t="s">
        <v>760</v>
      </c>
      <c r="AO116" s="527" t="s">
        <v>2368</v>
      </c>
      <c r="AP116" s="257">
        <f t="shared" si="2"/>
        <v>0</v>
      </c>
      <c r="AQ116" s="321"/>
      <c r="AR116" s="258"/>
      <c r="AS116" s="121"/>
      <c r="AT116" s="121"/>
    </row>
    <row r="117" spans="38:46">
      <c r="AL117" s="121"/>
      <c r="AM117" s="121"/>
      <c r="AN117" s="504" t="s">
        <v>917</v>
      </c>
      <c r="AO117" s="528" t="s">
        <v>2369</v>
      </c>
      <c r="AP117" s="257">
        <f t="shared" si="2"/>
        <v>0</v>
      </c>
      <c r="AQ117" s="321"/>
      <c r="AR117" s="258"/>
      <c r="AS117" s="121"/>
      <c r="AT117" s="121"/>
    </row>
    <row r="118" spans="38:46">
      <c r="AL118" s="121"/>
      <c r="AM118" s="121"/>
      <c r="AN118" s="504" t="s">
        <v>761</v>
      </c>
      <c r="AO118" s="527" t="s">
        <v>862</v>
      </c>
      <c r="AP118" s="257">
        <f t="shared" si="2"/>
        <v>0</v>
      </c>
      <c r="AQ118" s="321"/>
      <c r="AR118" s="258"/>
      <c r="AS118" s="121"/>
      <c r="AT118" s="121"/>
    </row>
    <row r="119" spans="38:46">
      <c r="AL119" s="121"/>
      <c r="AM119" s="121"/>
      <c r="AN119" s="504" t="s">
        <v>762</v>
      </c>
      <c r="AO119" s="527" t="s">
        <v>864</v>
      </c>
      <c r="AP119" s="257">
        <f t="shared" si="2"/>
        <v>0</v>
      </c>
      <c r="AQ119" s="321"/>
      <c r="AR119" s="258"/>
      <c r="AS119" s="121"/>
      <c r="AT119" s="121"/>
    </row>
    <row r="120" spans="38:46">
      <c r="AL120" s="121"/>
      <c r="AM120" s="121"/>
      <c r="AN120" s="504" t="s">
        <v>763</v>
      </c>
      <c r="AO120" s="527" t="s">
        <v>866</v>
      </c>
      <c r="AP120" s="257">
        <f t="shared" si="2"/>
        <v>0</v>
      </c>
      <c r="AQ120" s="321"/>
      <c r="AR120" s="258"/>
      <c r="AS120" s="121"/>
      <c r="AT120" s="121"/>
    </row>
    <row r="121" spans="38:46">
      <c r="AL121" s="121"/>
      <c r="AM121" s="121"/>
      <c r="AN121" s="504" t="s">
        <v>764</v>
      </c>
      <c r="AO121" s="527" t="s">
        <v>2370</v>
      </c>
      <c r="AP121" s="257">
        <f t="shared" si="2"/>
        <v>0</v>
      </c>
      <c r="AQ121" s="321"/>
      <c r="AR121" s="258"/>
      <c r="AS121" s="121"/>
      <c r="AT121" s="121"/>
    </row>
    <row r="122" spans="38:46">
      <c r="AL122" s="121"/>
      <c r="AM122" s="121"/>
      <c r="AN122" s="504" t="s">
        <v>2371</v>
      </c>
      <c r="AO122" s="528" t="s">
        <v>2372</v>
      </c>
      <c r="AP122" s="257">
        <f t="shared" si="2"/>
        <v>0</v>
      </c>
      <c r="AQ122" s="321"/>
      <c r="AR122" s="258"/>
      <c r="AS122" s="121"/>
      <c r="AT122" s="121"/>
    </row>
    <row r="123" spans="38:46">
      <c r="AL123" s="121"/>
      <c r="AM123" s="121"/>
      <c r="AN123" s="504" t="s">
        <v>2373</v>
      </c>
      <c r="AO123" s="538" t="s">
        <v>2374</v>
      </c>
      <c r="AP123" s="257">
        <f t="shared" si="2"/>
        <v>0</v>
      </c>
      <c r="AQ123" s="321"/>
      <c r="AR123" s="258"/>
      <c r="AS123" s="121"/>
      <c r="AT123" s="121"/>
    </row>
    <row r="124" spans="38:46">
      <c r="AL124" s="121"/>
      <c r="AM124" s="121"/>
      <c r="AN124" s="504" t="s">
        <v>2375</v>
      </c>
      <c r="AO124" s="528" t="s">
        <v>2376</v>
      </c>
      <c r="AP124" s="257">
        <f t="shared" si="2"/>
        <v>0</v>
      </c>
      <c r="AQ124" s="321"/>
      <c r="AR124" s="258"/>
      <c r="AS124" s="121"/>
      <c r="AT124" s="121"/>
    </row>
    <row r="125" spans="38:46">
      <c r="AL125" s="121"/>
      <c r="AM125" s="121"/>
      <c r="AN125" s="504" t="s">
        <v>753</v>
      </c>
      <c r="AO125" s="527" t="s">
        <v>2377</v>
      </c>
      <c r="AP125" s="257">
        <f t="shared" si="2"/>
        <v>0</v>
      </c>
      <c r="AQ125" s="321"/>
      <c r="AR125" s="258"/>
      <c r="AS125" s="121"/>
      <c r="AT125" s="121"/>
    </row>
    <row r="126" spans="38:46">
      <c r="AL126" s="121"/>
      <c r="AM126" s="121"/>
      <c r="AN126" s="240" t="s">
        <v>352</v>
      </c>
      <c r="AO126" s="563" t="s">
        <v>288</v>
      </c>
      <c r="AP126" s="257">
        <f t="shared" si="2"/>
        <v>0</v>
      </c>
      <c r="AQ126" s="321"/>
      <c r="AR126" s="258"/>
      <c r="AS126" s="121"/>
      <c r="AT126" s="121"/>
    </row>
    <row r="127" spans="38:46">
      <c r="AL127" s="121"/>
      <c r="AM127" s="121"/>
      <c r="AN127" s="504" t="s">
        <v>766</v>
      </c>
      <c r="AO127" s="537" t="s">
        <v>847</v>
      </c>
      <c r="AP127" s="257">
        <f t="shared" si="2"/>
        <v>0</v>
      </c>
      <c r="AQ127" s="321"/>
      <c r="AR127" s="258"/>
      <c r="AS127" s="121"/>
      <c r="AT127" s="121"/>
    </row>
    <row r="128" spans="38:46" ht="22.5">
      <c r="AL128" s="121"/>
      <c r="AM128" s="121"/>
      <c r="AN128" s="504" t="s">
        <v>768</v>
      </c>
      <c r="AO128" s="688" t="s">
        <v>1688</v>
      </c>
      <c r="AP128" s="257">
        <f t="shared" si="2"/>
        <v>0</v>
      </c>
      <c r="AQ128" s="321"/>
      <c r="AR128" s="258"/>
      <c r="AS128" s="121"/>
      <c r="AT128" s="121"/>
    </row>
    <row r="129" spans="38:46" ht="22.5">
      <c r="AL129" s="121"/>
      <c r="AM129" s="121"/>
      <c r="AN129" s="504" t="s">
        <v>84</v>
      </c>
      <c r="AO129" s="537" t="s">
        <v>1689</v>
      </c>
      <c r="AP129" s="257">
        <f t="shared" si="2"/>
        <v>0</v>
      </c>
      <c r="AQ129" s="321"/>
      <c r="AR129" s="258"/>
      <c r="AS129" s="121"/>
      <c r="AT129" s="121"/>
    </row>
    <row r="130" spans="38:46">
      <c r="AL130" s="121"/>
      <c r="AM130" s="121"/>
      <c r="AN130" s="504" t="s">
        <v>769</v>
      </c>
      <c r="AO130" s="539" t="s">
        <v>851</v>
      </c>
      <c r="AP130" s="257">
        <f t="shared" si="2"/>
        <v>0</v>
      </c>
      <c r="AQ130" s="321"/>
      <c r="AR130" s="258"/>
      <c r="AS130" s="121"/>
      <c r="AT130" s="121"/>
    </row>
    <row r="131" spans="38:46">
      <c r="AL131" s="121"/>
      <c r="AM131" s="121"/>
      <c r="AN131" s="504" t="s">
        <v>3072</v>
      </c>
      <c r="AO131" s="526" t="s">
        <v>1690</v>
      </c>
      <c r="AP131" s="257">
        <f t="shared" si="2"/>
        <v>0</v>
      </c>
      <c r="AQ131" s="321"/>
      <c r="AR131" s="258"/>
      <c r="AS131" s="121"/>
      <c r="AT131" s="121"/>
    </row>
    <row r="132" spans="38:46">
      <c r="AL132" s="121"/>
      <c r="AM132" s="121"/>
      <c r="AN132" s="504" t="s">
        <v>2412</v>
      </c>
      <c r="AO132" s="604" t="s">
        <v>1691</v>
      </c>
      <c r="AP132" s="257">
        <f t="shared" si="2"/>
        <v>0</v>
      </c>
      <c r="AQ132" s="321"/>
      <c r="AR132" s="258"/>
      <c r="AS132" s="121"/>
      <c r="AT132" s="121"/>
    </row>
    <row r="133" spans="38:46">
      <c r="AL133" s="121"/>
      <c r="AM133" s="121"/>
      <c r="AN133" s="504" t="s">
        <v>2427</v>
      </c>
      <c r="AO133" s="604" t="s">
        <v>1692</v>
      </c>
      <c r="AP133" s="257">
        <f t="shared" si="2"/>
        <v>0</v>
      </c>
      <c r="AQ133" s="321"/>
      <c r="AR133" s="258"/>
      <c r="AS133" s="121"/>
      <c r="AT133" s="121"/>
    </row>
    <row r="134" spans="38:46">
      <c r="AL134" s="121"/>
      <c r="AM134" s="121"/>
      <c r="AN134" s="504" t="s">
        <v>2431</v>
      </c>
      <c r="AO134" s="526" t="s">
        <v>1693</v>
      </c>
      <c r="AP134" s="257">
        <f t="shared" si="2"/>
        <v>0</v>
      </c>
      <c r="AQ134" s="321"/>
      <c r="AR134" s="258"/>
      <c r="AS134" s="121"/>
      <c r="AT134" s="121"/>
    </row>
    <row r="135" spans="38:46">
      <c r="AL135" s="121"/>
      <c r="AM135" s="121"/>
      <c r="AN135" s="504" t="s">
        <v>845</v>
      </c>
      <c r="AO135" s="526" t="s">
        <v>1694</v>
      </c>
      <c r="AP135" s="257">
        <f t="shared" si="2"/>
        <v>0</v>
      </c>
      <c r="AQ135" s="321"/>
      <c r="AR135" s="258"/>
      <c r="AS135" s="121"/>
      <c r="AT135" s="121"/>
    </row>
    <row r="136" spans="38:46">
      <c r="AL136" s="121"/>
      <c r="AM136" s="121"/>
      <c r="AN136" s="504" t="s">
        <v>3005</v>
      </c>
      <c r="AO136" s="604" t="s">
        <v>1695</v>
      </c>
      <c r="AP136" s="257">
        <f t="shared" si="2"/>
        <v>0</v>
      </c>
      <c r="AQ136" s="321"/>
      <c r="AR136" s="258"/>
      <c r="AS136" s="121"/>
      <c r="AT136" s="121"/>
    </row>
    <row r="137" spans="38:46" ht="0.75" customHeight="1">
      <c r="AL137" s="121"/>
      <c r="AM137" s="121"/>
      <c r="AN137" s="504"/>
      <c r="AO137" s="526"/>
      <c r="AP137" s="285"/>
      <c r="AQ137" s="321"/>
      <c r="AR137" s="258"/>
      <c r="AS137" s="121"/>
      <c r="AT137" s="121"/>
    </row>
    <row r="138" spans="38:46" ht="0.75" customHeight="1">
      <c r="AL138" s="121"/>
      <c r="AM138" s="121"/>
      <c r="AN138" s="504"/>
      <c r="AO138" s="540"/>
      <c r="AP138" s="285"/>
      <c r="AQ138" s="321"/>
      <c r="AR138" s="258"/>
      <c r="AS138" s="121"/>
      <c r="AT138" s="121"/>
    </row>
    <row r="139" spans="38:46" ht="0.75" customHeight="1">
      <c r="AL139" s="121"/>
      <c r="AM139" s="121"/>
      <c r="AN139" s="504"/>
      <c r="AO139" s="526"/>
      <c r="AP139" s="285"/>
      <c r="AQ139" s="321"/>
      <c r="AR139" s="258"/>
      <c r="AS139" s="121"/>
      <c r="AT139" s="121"/>
    </row>
    <row r="140" spans="38:46" ht="0.75" customHeight="1">
      <c r="AL140" s="121"/>
      <c r="AM140" s="121"/>
      <c r="AN140" s="223"/>
      <c r="AO140" s="503"/>
      <c r="AP140" s="285"/>
      <c r="AQ140" s="321"/>
      <c r="AR140" s="258"/>
      <c r="AS140" s="121"/>
      <c r="AT140" s="121"/>
    </row>
    <row r="141" spans="38:46">
      <c r="AL141" s="121"/>
      <c r="AM141" s="121"/>
      <c r="AN141" s="223" t="s">
        <v>790</v>
      </c>
      <c r="AO141" s="685" t="str">
        <f>IF(TEMPLATE_SPHERE="водоснабжения","Изменение объёмов отпуска воды (тыс. куб.м)",IF(TEMPLATE_SPHERE="водоотведения","Изменение объёмов сточных вод, всего (тыс. куб.м)"))</f>
        <v>Изменение объёмов сточных вод, всего (тыс. куб.м)</v>
      </c>
      <c r="AP141" s="257">
        <f t="shared" ref="AP141:AP156" si="3">SUMIF(AQ$14:AR$14,AP$14,AQ141:AR141)</f>
        <v>0</v>
      </c>
      <c r="AQ141" s="321"/>
      <c r="AR141" s="258"/>
      <c r="AS141" s="121"/>
      <c r="AT141" s="121"/>
    </row>
    <row r="142" spans="38:46" ht="22.5">
      <c r="AL142" s="121"/>
      <c r="AM142" s="121"/>
      <c r="AN142" s="223" t="s">
        <v>2501</v>
      </c>
      <c r="AO142" s="686" t="str">
        <f>IF(TEMPLATE_SPHERE="водоснабжения","Изменение объёма отпуска воды на нужды предприятия (тыс. куб.м)",IF(TEMPLATE_SPHERE="водоотведения","Изменение объёма пропускаемых стоков на хозяйственные нужды (тыс. куб.м)"))</f>
        <v>Изменение объёма пропускаемых стоков на хозяйственные нужды (тыс. куб.м)</v>
      </c>
      <c r="AP142" s="257">
        <f t="shared" si="3"/>
        <v>0</v>
      </c>
      <c r="AQ142" s="321"/>
      <c r="AR142" s="258"/>
      <c r="AS142" s="121"/>
      <c r="AT142" s="121"/>
    </row>
    <row r="143" spans="38:46" ht="22.5">
      <c r="AL143" s="121"/>
      <c r="AM143" s="121"/>
      <c r="AN143" s="223" t="s">
        <v>2502</v>
      </c>
      <c r="AO143" s="686" t="str">
        <f>IF(TEMPLATE_SPHERE="водоснабжения","Изменение объёма отпуска воды другим водопроводам (тыс. куб.м)",IF(TEMPLATE_SPHERE="водоотведения","Изменение объёма передачи стоков другим канализациям (тыс. куб.м)"))</f>
        <v>Изменение объёма передачи стоков другим канализациям (тыс. куб.м)</v>
      </c>
      <c r="AP143" s="257">
        <f t="shared" si="3"/>
        <v>0</v>
      </c>
      <c r="AQ143" s="321"/>
      <c r="AR143" s="258"/>
      <c r="AS143" s="121"/>
      <c r="AT143" s="121"/>
    </row>
    <row r="144" spans="38:46">
      <c r="AL144" s="121"/>
      <c r="AM144" s="121"/>
      <c r="AN144" s="223" t="s">
        <v>2503</v>
      </c>
      <c r="AO144" s="686" t="s">
        <v>520</v>
      </c>
      <c r="AP144" s="257">
        <f t="shared" si="3"/>
        <v>0</v>
      </c>
      <c r="AQ144" s="321"/>
      <c r="AR144" s="258"/>
      <c r="AS144" s="121"/>
      <c r="AT144" s="121"/>
    </row>
    <row r="145" spans="1:46" s="121" customFormat="1">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N145" s="223" t="s">
        <v>6</v>
      </c>
      <c r="AO145" s="686" t="s">
        <v>521</v>
      </c>
      <c r="AP145" s="257">
        <f t="shared" si="3"/>
        <v>0</v>
      </c>
      <c r="AQ145" s="321"/>
      <c r="AR145" s="258"/>
    </row>
    <row r="146" spans="1:46" s="121" customFormat="1">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N146" s="223" t="s">
        <v>7</v>
      </c>
      <c r="AO146" s="686" t="s">
        <v>522</v>
      </c>
      <c r="AP146" s="257">
        <f t="shared" si="3"/>
        <v>0</v>
      </c>
      <c r="AQ146" s="321"/>
      <c r="AR146" s="258"/>
    </row>
    <row r="147" spans="1:46" s="121" customFormat="1">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N147" s="223" t="s">
        <v>792</v>
      </c>
      <c r="AO147" s="685" t="str">
        <f>IF(TEMPLATE_SPHERE="водоснабжения","Изменение объёма транспортировки воды (тыс. куб.м)",IF(TEMPLATE_SPHERE="водоотведения","Изменение объёма транспортировки стоков (тыс. куб.м)"))</f>
        <v>Изменение объёма транспортировки стоков (тыс. куб.м)</v>
      </c>
      <c r="AP147" s="257">
        <f t="shared" si="3"/>
        <v>0</v>
      </c>
      <c r="AQ147" s="321"/>
      <c r="AR147" s="258"/>
    </row>
    <row r="148" spans="1:46" s="121" customFormat="1" ht="2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N148" s="436" t="s">
        <v>1854</v>
      </c>
      <c r="AO148" s="687" t="s">
        <v>523</v>
      </c>
      <c r="AP148" s="257">
        <f t="shared" si="3"/>
        <v>0</v>
      </c>
      <c r="AQ148" s="321"/>
      <c r="AR148" s="258"/>
    </row>
    <row r="149" spans="1:46">
      <c r="AL149" s="121"/>
      <c r="AM149" s="121"/>
      <c r="AN149" s="236" t="s">
        <v>2466</v>
      </c>
      <c r="AO149" s="228" t="s">
        <v>2984</v>
      </c>
      <c r="AP149" s="257">
        <f t="shared" si="3"/>
        <v>0</v>
      </c>
      <c r="AQ149" s="321"/>
      <c r="AR149" s="258"/>
      <c r="AS149" s="121"/>
      <c r="AT149" s="121"/>
    </row>
    <row r="150" spans="1:46">
      <c r="AL150" s="121"/>
      <c r="AM150" s="121"/>
      <c r="AN150" s="236" t="s">
        <v>2467</v>
      </c>
      <c r="AO150" s="228" t="s">
        <v>2469</v>
      </c>
      <c r="AP150" s="257">
        <f t="shared" si="3"/>
        <v>0</v>
      </c>
      <c r="AQ150" s="321"/>
      <c r="AR150" s="258"/>
      <c r="AS150" s="121"/>
      <c r="AT150" s="121"/>
    </row>
    <row r="151" spans="1:46" s="121" customFormat="1">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N151" s="236" t="s">
        <v>2468</v>
      </c>
      <c r="AO151" s="228" t="s">
        <v>2471</v>
      </c>
      <c r="AP151" s="257">
        <f t="shared" si="3"/>
        <v>0</v>
      </c>
      <c r="AQ151" s="321"/>
      <c r="AR151" s="258"/>
    </row>
    <row r="152" spans="1:46" s="121" customFormat="1">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N152" s="236" t="s">
        <v>2470</v>
      </c>
      <c r="AO152" s="228" t="s">
        <v>2473</v>
      </c>
      <c r="AP152" s="257">
        <f t="shared" si="3"/>
        <v>0</v>
      </c>
      <c r="AQ152" s="321"/>
      <c r="AR152" s="258"/>
    </row>
    <row r="153" spans="1:46" s="121" customFormat="1">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N153" s="236" t="s">
        <v>2472</v>
      </c>
      <c r="AO153" s="228" t="s">
        <v>2475</v>
      </c>
      <c r="AP153" s="257">
        <f t="shared" si="3"/>
        <v>0</v>
      </c>
      <c r="AQ153" s="321"/>
      <c r="AR153" s="258"/>
    </row>
    <row r="154" spans="1:46" s="121" customFormat="1">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N154" s="236" t="s">
        <v>2474</v>
      </c>
      <c r="AO154" s="228" t="s">
        <v>2477</v>
      </c>
      <c r="AP154" s="257">
        <f t="shared" si="3"/>
        <v>0</v>
      </c>
      <c r="AQ154" s="321"/>
      <c r="AR154" s="258"/>
    </row>
    <row r="155" spans="1:46" s="121" customFormat="1">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N155" s="236" t="s">
        <v>2476</v>
      </c>
      <c r="AO155" s="228" t="s">
        <v>866</v>
      </c>
      <c r="AP155" s="257">
        <f t="shared" si="3"/>
        <v>0</v>
      </c>
      <c r="AQ155" s="321"/>
      <c r="AR155" s="258"/>
    </row>
    <row r="156" spans="1:46" s="121" customFormat="1">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N156" s="236" t="s">
        <v>2478</v>
      </c>
      <c r="AO156" s="682" t="s">
        <v>2479</v>
      </c>
      <c r="AP156" s="257">
        <f t="shared" si="3"/>
        <v>0</v>
      </c>
      <c r="AQ156" s="321"/>
      <c r="AR156" s="258"/>
    </row>
    <row r="157" spans="1:46" hidden="1">
      <c r="AL157" s="121"/>
      <c r="AM157" s="121"/>
      <c r="AN157" s="222"/>
      <c r="AO157" s="540"/>
      <c r="AP157" s="285"/>
      <c r="AQ157" s="321"/>
      <c r="AR157" s="258"/>
      <c r="AS157" s="121"/>
      <c r="AT157" s="121"/>
    </row>
    <row r="158" spans="1:46" s="121" customFormat="1" hidden="1">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N158" s="222"/>
      <c r="AO158" s="502"/>
      <c r="AP158" s="285"/>
      <c r="AQ158" s="321"/>
      <c r="AR158" s="258"/>
    </row>
    <row r="159" spans="1:46" s="121" customFormat="1" hidden="1">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N159" s="222"/>
      <c r="AO159" s="502"/>
      <c r="AP159" s="285"/>
      <c r="AQ159" s="321"/>
      <c r="AR159" s="258"/>
    </row>
    <row r="160" spans="1:46" s="121" customFormat="1" hidden="1">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N160" s="222"/>
      <c r="AO160" s="502"/>
      <c r="AP160" s="285"/>
      <c r="AQ160" s="321"/>
      <c r="AR160" s="258"/>
    </row>
    <row r="161" spans="1:47" s="121" customFormat="1" hidden="1">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N161" s="436"/>
      <c r="AO161" s="235"/>
      <c r="AP161" s="285"/>
      <c r="AQ161" s="321"/>
      <c r="AR161" s="258"/>
    </row>
    <row r="162" spans="1:47" s="121" customFormat="1" hidden="1">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N162" s="436"/>
      <c r="AO162" s="571"/>
      <c r="AP162" s="285"/>
      <c r="AQ162" s="321"/>
      <c r="AR162" s="258"/>
    </row>
    <row r="163" spans="1:47" s="121" customFormat="1" hidden="1">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N163" s="496"/>
      <c r="AO163" s="571"/>
      <c r="AP163" s="285"/>
      <c r="AQ163" s="321"/>
      <c r="AR163" s="258"/>
    </row>
    <row r="164" spans="1:47" ht="0.75" customHeight="1">
      <c r="A164" s="121"/>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223"/>
      <c r="AO164" s="216"/>
      <c r="AP164" s="543"/>
      <c r="AQ164" s="523"/>
      <c r="AR164" s="265"/>
      <c r="AS164" s="121"/>
      <c r="AT164" s="121"/>
    </row>
    <row r="165" spans="1:47" s="54" customFormat="1">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M165" s="55"/>
      <c r="AN165" s="56"/>
      <c r="AQ165" s="121"/>
      <c r="AR165" s="48"/>
      <c r="AS165" s="121"/>
      <c r="AT165" s="121"/>
    </row>
    <row r="166" spans="1:47">
      <c r="AS166" s="121"/>
      <c r="AT166" s="121"/>
      <c r="AU166" s="54"/>
    </row>
  </sheetData>
  <sheetProtection password="FA9C" sheet="1" objects="1" scenarios="1" formatColumns="0" formatRows="0"/>
  <mergeCells count="4">
    <mergeCell ref="AN9:AP9"/>
    <mergeCell ref="AN11:AN12"/>
    <mergeCell ref="AO11:AO12"/>
    <mergeCell ref="AP11:AP12"/>
  </mergeCells>
  <phoneticPr fontId="0"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codeName="TechSheet">
    <tabColor indexed="47"/>
  </sheetPr>
  <dimension ref="A1:N1124"/>
  <sheetViews>
    <sheetView zoomScale="80" zoomScaleNormal="80" workbookViewId="0"/>
  </sheetViews>
  <sheetFormatPr defaultRowHeight="11.25" customHeight="1"/>
  <cols>
    <col min="1" max="1" width="42.7109375" style="62" customWidth="1"/>
    <col min="2" max="2" width="6.7109375" style="62" customWidth="1"/>
    <col min="3" max="3" width="45.7109375" style="62" customWidth="1"/>
    <col min="4" max="4" width="4.7109375" style="62" customWidth="1"/>
    <col min="5" max="5" width="45.7109375" style="62" customWidth="1"/>
    <col min="6" max="6" width="4.7109375" style="62" customWidth="1"/>
    <col min="7" max="7" width="45.7109375" style="62" customWidth="1"/>
    <col min="8" max="9" width="4.7109375" style="62" customWidth="1"/>
    <col min="10" max="10" width="34.42578125" style="62" bestFit="1" customWidth="1"/>
    <col min="11" max="11" width="10.28515625" style="62" bestFit="1" customWidth="1"/>
    <col min="12" max="12" width="9.140625" style="62"/>
    <col min="13" max="13" width="10.28515625" style="62" bestFit="1" customWidth="1"/>
    <col min="14" max="14" width="12.42578125" style="62" bestFit="1" customWidth="1"/>
    <col min="15" max="16384" width="9.140625" style="62"/>
  </cols>
  <sheetData>
    <row r="1" spans="1:14" ht="11.25" customHeight="1">
      <c r="A1" s="62" t="s">
        <v>485</v>
      </c>
      <c r="C1" s="65" t="s">
        <v>1714</v>
      </c>
      <c r="E1" s="65" t="s">
        <v>624</v>
      </c>
      <c r="G1" s="65" t="s">
        <v>622</v>
      </c>
      <c r="H1" s="63"/>
      <c r="I1" s="63"/>
      <c r="J1" s="64"/>
      <c r="K1" s="65" t="s">
        <v>486</v>
      </c>
      <c r="M1" s="65" t="s">
        <v>330</v>
      </c>
      <c r="N1" s="65" t="s">
        <v>329</v>
      </c>
    </row>
    <row r="2" spans="1:14" ht="11.25" customHeight="1">
      <c r="A2" s="62" t="s">
        <v>487</v>
      </c>
      <c r="C2" s="69" t="s">
        <v>715</v>
      </c>
      <c r="D2" s="66"/>
      <c r="E2" s="69" t="s">
        <v>712</v>
      </c>
      <c r="G2" s="69" t="s">
        <v>619</v>
      </c>
      <c r="J2" s="64"/>
      <c r="K2" s="65" t="s">
        <v>488</v>
      </c>
      <c r="M2" s="69">
        <v>2009</v>
      </c>
      <c r="N2" s="69" t="s">
        <v>317</v>
      </c>
    </row>
    <row r="3" spans="1:14" ht="11.25" customHeight="1">
      <c r="A3" s="62" t="s">
        <v>489</v>
      </c>
      <c r="C3" s="69" t="s">
        <v>711</v>
      </c>
      <c r="E3" s="69" t="s">
        <v>710</v>
      </c>
      <c r="G3" s="69" t="s">
        <v>620</v>
      </c>
      <c r="M3" s="69">
        <v>2010</v>
      </c>
      <c r="N3" s="69" t="s">
        <v>318</v>
      </c>
    </row>
    <row r="4" spans="1:14" ht="11.25" customHeight="1">
      <c r="A4" s="62" t="s">
        <v>555</v>
      </c>
      <c r="C4" s="69" t="s">
        <v>2532</v>
      </c>
      <c r="F4" s="67"/>
      <c r="G4" s="443" t="s">
        <v>621</v>
      </c>
      <c r="M4" s="69">
        <v>2011</v>
      </c>
      <c r="N4" s="69" t="s">
        <v>319</v>
      </c>
    </row>
    <row r="5" spans="1:14" ht="11.25" customHeight="1">
      <c r="A5" s="62" t="s">
        <v>556</v>
      </c>
      <c r="C5" s="69" t="s">
        <v>713</v>
      </c>
      <c r="E5" s="65" t="s">
        <v>616</v>
      </c>
      <c r="J5" s="65" t="s">
        <v>599</v>
      </c>
      <c r="M5" s="69">
        <v>2012</v>
      </c>
      <c r="N5" s="69" t="s">
        <v>320</v>
      </c>
    </row>
    <row r="6" spans="1:14" ht="11.25" customHeight="1">
      <c r="A6" s="62" t="s">
        <v>558</v>
      </c>
      <c r="C6" s="69" t="s">
        <v>557</v>
      </c>
      <c r="E6" s="69" t="s">
        <v>614</v>
      </c>
      <c r="G6" s="65" t="s">
        <v>623</v>
      </c>
      <c r="J6" s="69" t="s">
        <v>600</v>
      </c>
      <c r="M6" s="69">
        <v>2013</v>
      </c>
      <c r="N6" s="69" t="s">
        <v>321</v>
      </c>
    </row>
    <row r="7" spans="1:14" ht="11.25" customHeight="1">
      <c r="A7" s="62" t="s">
        <v>559</v>
      </c>
      <c r="C7" s="69" t="s">
        <v>2534</v>
      </c>
      <c r="E7" s="486" t="s">
        <v>612</v>
      </c>
      <c r="G7" s="69" t="s">
        <v>561</v>
      </c>
      <c r="J7" s="69" t="s">
        <v>601</v>
      </c>
      <c r="M7" s="69">
        <v>2014</v>
      </c>
      <c r="N7" s="69" t="s">
        <v>322</v>
      </c>
    </row>
    <row r="8" spans="1:14" ht="11.25" customHeight="1">
      <c r="A8" s="62" t="s">
        <v>562</v>
      </c>
      <c r="C8" s="69" t="s">
        <v>560</v>
      </c>
      <c r="E8" s="486" t="s">
        <v>613</v>
      </c>
      <c r="G8" s="69" t="s">
        <v>2533</v>
      </c>
      <c r="J8" s="69" t="s">
        <v>602</v>
      </c>
      <c r="M8" s="69">
        <v>2015</v>
      </c>
      <c r="N8" s="69" t="s">
        <v>323</v>
      </c>
    </row>
    <row r="9" spans="1:14" ht="11.25" customHeight="1">
      <c r="A9" s="62" t="s">
        <v>563</v>
      </c>
      <c r="E9" s="486" t="s">
        <v>614</v>
      </c>
      <c r="J9" s="69" t="s">
        <v>603</v>
      </c>
      <c r="M9" s="69">
        <v>2016</v>
      </c>
      <c r="N9" s="69" t="s">
        <v>324</v>
      </c>
    </row>
    <row r="10" spans="1:14" ht="11.25" customHeight="1">
      <c r="A10" s="62" t="s">
        <v>564</v>
      </c>
      <c r="C10" s="65" t="s">
        <v>1715</v>
      </c>
      <c r="E10" s="486" t="s">
        <v>615</v>
      </c>
      <c r="G10" s="65" t="s">
        <v>1713</v>
      </c>
      <c r="J10" s="69" t="s">
        <v>604</v>
      </c>
      <c r="M10" s="69">
        <v>2017</v>
      </c>
      <c r="N10" s="69" t="s">
        <v>325</v>
      </c>
    </row>
    <row r="11" spans="1:14" ht="11.25" customHeight="1">
      <c r="A11" s="74" t="s">
        <v>565</v>
      </c>
      <c r="C11" s="69" t="s">
        <v>2585</v>
      </c>
      <c r="G11" s="69" t="s">
        <v>714</v>
      </c>
      <c r="J11" s="296" t="s">
        <v>2743</v>
      </c>
      <c r="M11" s="69">
        <v>2018</v>
      </c>
      <c r="N11" s="69" t="s">
        <v>326</v>
      </c>
    </row>
    <row r="12" spans="1:14" ht="11.25" customHeight="1">
      <c r="A12" s="75" t="s">
        <v>610</v>
      </c>
      <c r="C12" s="69" t="s">
        <v>2586</v>
      </c>
      <c r="E12" s="65" t="s">
        <v>2739</v>
      </c>
      <c r="G12" s="69" t="s">
        <v>554</v>
      </c>
      <c r="J12" s="69" t="s">
        <v>605</v>
      </c>
      <c r="M12" s="69">
        <v>2019</v>
      </c>
      <c r="N12" s="69" t="s">
        <v>327</v>
      </c>
    </row>
    <row r="13" spans="1:14" ht="11.25" customHeight="1">
      <c r="A13" s="75" t="s">
        <v>611</v>
      </c>
      <c r="C13" s="69" t="s">
        <v>2728</v>
      </c>
      <c r="E13" s="69"/>
      <c r="G13"/>
      <c r="J13" s="69" t="s">
        <v>606</v>
      </c>
      <c r="M13" s="69">
        <v>2020</v>
      </c>
      <c r="N13" s="69" t="s">
        <v>328</v>
      </c>
    </row>
    <row r="14" spans="1:14" ht="11.25" customHeight="1">
      <c r="A14" s="62" t="s">
        <v>566</v>
      </c>
      <c r="C14" s="69" t="s">
        <v>2729</v>
      </c>
      <c r="E14" s="486" t="s">
        <v>2742</v>
      </c>
      <c r="G14" s="65" t="s">
        <v>129</v>
      </c>
      <c r="J14" s="69" t="s">
        <v>607</v>
      </c>
    </row>
    <row r="15" spans="1:14" ht="11.25" customHeight="1">
      <c r="A15" s="62" t="s">
        <v>567</v>
      </c>
      <c r="C15" s="69" t="s">
        <v>2730</v>
      </c>
      <c r="E15" s="486" t="s">
        <v>3159</v>
      </c>
      <c r="G15" s="69" t="s">
        <v>3082</v>
      </c>
      <c r="J15" s="69" t="s">
        <v>608</v>
      </c>
    </row>
    <row r="16" spans="1:14" ht="11.25" customHeight="1">
      <c r="A16" s="62" t="s">
        <v>569</v>
      </c>
      <c r="E16" s="486"/>
      <c r="G16" s="69" t="s">
        <v>128</v>
      </c>
    </row>
    <row r="17" spans="1:10" ht="11.25" customHeight="1">
      <c r="A17" s="62" t="s">
        <v>570</v>
      </c>
      <c r="C17" s="65" t="s">
        <v>1716</v>
      </c>
      <c r="E17" s="486"/>
    </row>
    <row r="18" spans="1:10" ht="11.25" customHeight="1">
      <c r="A18" s="62" t="s">
        <v>571</v>
      </c>
      <c r="C18" s="69" t="s">
        <v>2735</v>
      </c>
      <c r="G18" s="65" t="s">
        <v>2734</v>
      </c>
      <c r="J18" s="65" t="s">
        <v>609</v>
      </c>
    </row>
    <row r="19" spans="1:10" ht="11.25" customHeight="1">
      <c r="A19" s="62" t="s">
        <v>572</v>
      </c>
      <c r="C19" s="69" t="s">
        <v>2736</v>
      </c>
      <c r="E19" s="65" t="s">
        <v>313</v>
      </c>
      <c r="G19" s="69" t="s">
        <v>2731</v>
      </c>
      <c r="J19" s="69" t="s">
        <v>600</v>
      </c>
    </row>
    <row r="20" spans="1:10" ht="11.25" customHeight="1">
      <c r="A20" s="62" t="s">
        <v>573</v>
      </c>
      <c r="C20" s="69" t="s">
        <v>2737</v>
      </c>
      <c r="E20" s="69"/>
      <c r="G20" s="69" t="s">
        <v>2732</v>
      </c>
      <c r="J20" s="69" t="s">
        <v>601</v>
      </c>
    </row>
    <row r="21" spans="1:10" ht="11.25" customHeight="1">
      <c r="A21" s="62" t="s">
        <v>574</v>
      </c>
      <c r="E21" s="486" t="s">
        <v>2500</v>
      </c>
      <c r="G21" s="69" t="s">
        <v>2733</v>
      </c>
      <c r="J21" s="69" t="s">
        <v>602</v>
      </c>
    </row>
    <row r="22" spans="1:10" ht="11.25" customHeight="1">
      <c r="A22" s="62" t="s">
        <v>575</v>
      </c>
      <c r="C22" s="65" t="s">
        <v>1721</v>
      </c>
      <c r="E22" s="486" t="s">
        <v>314</v>
      </c>
      <c r="J22" s="69" t="s">
        <v>603</v>
      </c>
    </row>
    <row r="23" spans="1:10" ht="11.25" customHeight="1">
      <c r="A23" s="62" t="s">
        <v>576</v>
      </c>
      <c r="C23" s="69" t="s">
        <v>1717</v>
      </c>
      <c r="E23" s="486"/>
      <c r="G23" s="65" t="s">
        <v>126</v>
      </c>
      <c r="J23" s="69" t="s">
        <v>604</v>
      </c>
    </row>
    <row r="24" spans="1:10" ht="11.25" customHeight="1">
      <c r="A24" s="62" t="s">
        <v>577</v>
      </c>
      <c r="C24" s="69" t="s">
        <v>1718</v>
      </c>
      <c r="E24" s="486"/>
      <c r="G24" s="69" t="s">
        <v>714</v>
      </c>
    </row>
    <row r="25" spans="1:10" ht="11.25" customHeight="1">
      <c r="A25" s="62" t="s">
        <v>578</v>
      </c>
      <c r="C25" s="69" t="s">
        <v>1719</v>
      </c>
      <c r="G25" s="69" t="s">
        <v>554</v>
      </c>
    </row>
    <row r="26" spans="1:10" ht="11.25" customHeight="1">
      <c r="A26" s="62" t="s">
        <v>579</v>
      </c>
      <c r="C26" s="69" t="s">
        <v>1720</v>
      </c>
      <c r="E26" s="65" t="s">
        <v>419</v>
      </c>
      <c r="J26" s="65" t="s">
        <v>798</v>
      </c>
    </row>
    <row r="27" spans="1:10" ht="11.25" customHeight="1">
      <c r="A27" s="62" t="s">
        <v>697</v>
      </c>
      <c r="E27" s="69" t="s">
        <v>418</v>
      </c>
      <c r="G27" s="65" t="s">
        <v>2965</v>
      </c>
      <c r="J27" s="69" t="s">
        <v>600</v>
      </c>
    </row>
    <row r="28" spans="1:10" ht="11.25" customHeight="1">
      <c r="A28" s="62" t="s">
        <v>580</v>
      </c>
      <c r="C28" s="65" t="s">
        <v>2580</v>
      </c>
      <c r="E28" s="486" t="s">
        <v>417</v>
      </c>
      <c r="G28" s="69" t="s">
        <v>3082</v>
      </c>
      <c r="J28" s="69" t="s">
        <v>601</v>
      </c>
    </row>
    <row r="29" spans="1:10" ht="11.25" customHeight="1">
      <c r="A29" s="62" t="s">
        <v>581</v>
      </c>
      <c r="C29" s="69" t="s">
        <v>2577</v>
      </c>
      <c r="E29" s="486" t="s">
        <v>416</v>
      </c>
      <c r="J29" s="69" t="s">
        <v>602</v>
      </c>
    </row>
    <row r="30" spans="1:10" ht="11.25" customHeight="1">
      <c r="A30" s="62" t="s">
        <v>582</v>
      </c>
      <c r="C30" s="69" t="s">
        <v>2579</v>
      </c>
      <c r="E30" s="486" t="s">
        <v>418</v>
      </c>
      <c r="G30" s="65" t="s">
        <v>127</v>
      </c>
      <c r="J30" s="69" t="s">
        <v>603</v>
      </c>
    </row>
    <row r="31" spans="1:10" ht="11.25" customHeight="1">
      <c r="A31" s="62" t="s">
        <v>583</v>
      </c>
      <c r="C31" s="69" t="s">
        <v>2578</v>
      </c>
      <c r="E31" s="486"/>
      <c r="G31" s="69" t="s">
        <v>714</v>
      </c>
      <c r="J31" s="69" t="s">
        <v>604</v>
      </c>
    </row>
    <row r="32" spans="1:10" ht="11.25" customHeight="1">
      <c r="A32" s="62" t="s">
        <v>584</v>
      </c>
      <c r="C32" s="69" t="s">
        <v>2974</v>
      </c>
      <c r="G32" s="69" t="s">
        <v>554</v>
      </c>
      <c r="J32" s="69" t="s">
        <v>605</v>
      </c>
    </row>
    <row r="33" spans="1:10" ht="11.25" customHeight="1">
      <c r="A33" s="62" t="s">
        <v>585</v>
      </c>
      <c r="E33" s="65" t="s">
        <v>2449</v>
      </c>
      <c r="J33" s="69" t="s">
        <v>606</v>
      </c>
    </row>
    <row r="34" spans="1:10" ht="11.25" customHeight="1">
      <c r="A34" s="62" t="s">
        <v>586</v>
      </c>
      <c r="C34" s="65" t="s">
        <v>2747</v>
      </c>
      <c r="E34" s="118" t="s">
        <v>307</v>
      </c>
      <c r="G34" s="65" t="s">
        <v>2964</v>
      </c>
      <c r="J34" s="69" t="s">
        <v>607</v>
      </c>
    </row>
    <row r="35" spans="1:10" ht="11.25" customHeight="1">
      <c r="A35" s="62" t="s">
        <v>587</v>
      </c>
      <c r="C35" s="69" t="s">
        <v>1722</v>
      </c>
      <c r="E35" s="487" t="s">
        <v>3084</v>
      </c>
      <c r="G35" s="69" t="s">
        <v>3082</v>
      </c>
      <c r="J35" s="69" t="s">
        <v>608</v>
      </c>
    </row>
    <row r="36" spans="1:10" ht="11.25" customHeight="1">
      <c r="A36" s="62" t="s">
        <v>588</v>
      </c>
      <c r="E36" s="487" t="s">
        <v>307</v>
      </c>
      <c r="J36" s="296" t="s">
        <v>795</v>
      </c>
    </row>
    <row r="37" spans="1:10" ht="11.25" customHeight="1">
      <c r="A37" s="62" t="s">
        <v>589</v>
      </c>
      <c r="C37" s="65" t="s">
        <v>2388</v>
      </c>
      <c r="G37" s="65" t="s">
        <v>2394</v>
      </c>
      <c r="J37" s="69" t="s">
        <v>796</v>
      </c>
    </row>
    <row r="38" spans="1:10" ht="11.25" customHeight="1">
      <c r="A38" s="62" t="s">
        <v>590</v>
      </c>
      <c r="C38" s="69" t="s">
        <v>2391</v>
      </c>
      <c r="E38" s="65" t="s">
        <v>331</v>
      </c>
      <c r="G38" s="69" t="s">
        <v>420</v>
      </c>
      <c r="J38" s="69" t="s">
        <v>797</v>
      </c>
    </row>
    <row r="39" spans="1:10" ht="11.25" customHeight="1">
      <c r="A39" s="62" t="s">
        <v>591</v>
      </c>
      <c r="C39" s="486" t="s">
        <v>2390</v>
      </c>
      <c r="E39" s="118" t="s">
        <v>332</v>
      </c>
      <c r="G39" s="69" t="s">
        <v>2973</v>
      </c>
      <c r="J39"/>
    </row>
    <row r="40" spans="1:10" ht="11.25" customHeight="1">
      <c r="A40" s="62" t="s">
        <v>592</v>
      </c>
      <c r="C40" s="486" t="s">
        <v>2389</v>
      </c>
      <c r="E40" s="487" t="s">
        <v>332</v>
      </c>
      <c r="J40"/>
    </row>
    <row r="41" spans="1:10" ht="11.25" customHeight="1">
      <c r="A41" s="62" t="s">
        <v>593</v>
      </c>
      <c r="C41" s="486" t="s">
        <v>2391</v>
      </c>
      <c r="E41" s="487" t="s">
        <v>60</v>
      </c>
      <c r="G41" s="65" t="s">
        <v>421</v>
      </c>
      <c r="J41" s="65" t="s">
        <v>568</v>
      </c>
    </row>
    <row r="42" spans="1:10" ht="11.25" customHeight="1">
      <c r="A42" s="62" t="s">
        <v>594</v>
      </c>
      <c r="C42" s="486" t="s">
        <v>2392</v>
      </c>
      <c r="G42" s="69" t="s">
        <v>423</v>
      </c>
      <c r="J42" s="68" t="s">
        <v>2539</v>
      </c>
    </row>
    <row r="43" spans="1:10" ht="11.25" customHeight="1">
      <c r="A43" s="62" t="s">
        <v>595</v>
      </c>
      <c r="E43" s="65" t="s">
        <v>2399</v>
      </c>
    </row>
    <row r="44" spans="1:10" ht="11.25" customHeight="1">
      <c r="A44" s="62" t="s">
        <v>596</v>
      </c>
      <c r="C44" s="65" t="s">
        <v>2393</v>
      </c>
      <c r="E44" s="602" t="str">
        <f>IF(TARIFF_SETUP_METHOD="Тарифы на услуги ОКК утверждались с учётом деления годовых затрат организаций на каждый соответствующий период календарной разбивки","BY_MONTHS",IF(TARIFF_SETUP_METHOD="Тарифы на услуги ОКК утверждались на год исходя из годовых показателей на каждый соответствующий период календарной разбивки","BY_PSEUDO_YEARS",""))</f>
        <v>BY_MONTHS</v>
      </c>
      <c r="G44" s="65" t="s">
        <v>422</v>
      </c>
    </row>
    <row r="45" spans="1:10" ht="11.25" customHeight="1">
      <c r="A45" s="62" t="s">
        <v>597</v>
      </c>
      <c r="C45" s="118">
        <v>3</v>
      </c>
      <c r="G45" s="69" t="s">
        <v>423</v>
      </c>
    </row>
    <row r="46" spans="1:10" ht="11.25" customHeight="1">
      <c r="A46" s="62" t="s">
        <v>598</v>
      </c>
      <c r="C46" s="487" t="s">
        <v>751</v>
      </c>
    </row>
    <row r="47" spans="1:10" ht="11.25" customHeight="1">
      <c r="A47" s="62" t="s">
        <v>800</v>
      </c>
      <c r="C47" s="487" t="s">
        <v>752</v>
      </c>
    </row>
    <row r="48" spans="1:10" ht="11.25" customHeight="1">
      <c r="A48" s="62" t="s">
        <v>801</v>
      </c>
      <c r="G48"/>
    </row>
    <row r="49" spans="1:7" ht="11.25" customHeight="1">
      <c r="A49" s="62" t="s">
        <v>802</v>
      </c>
    </row>
    <row r="50" spans="1:7" ht="11.25" customHeight="1">
      <c r="A50" s="62" t="s">
        <v>803</v>
      </c>
      <c r="C50" s="65" t="s">
        <v>1699</v>
      </c>
      <c r="E50" s="65" t="s">
        <v>1787</v>
      </c>
      <c r="G50" s="65" t="s">
        <v>1797</v>
      </c>
    </row>
    <row r="51" spans="1:7" ht="11.25" customHeight="1">
      <c r="A51" s="62" t="s">
        <v>804</v>
      </c>
      <c r="C51" s="296" t="s">
        <v>2743</v>
      </c>
      <c r="E51" s="296" t="s">
        <v>2743</v>
      </c>
      <c r="G51" s="296" t="s">
        <v>2743</v>
      </c>
    </row>
    <row r="52" spans="1:7" ht="11.25" customHeight="1">
      <c r="A52" s="62" t="s">
        <v>805</v>
      </c>
      <c r="C52" s="69" t="s">
        <v>2519</v>
      </c>
      <c r="E52" s="69" t="s">
        <v>2519</v>
      </c>
      <c r="G52" s="69" t="s">
        <v>2519</v>
      </c>
    </row>
    <row r="53" spans="1:7" ht="11.25" customHeight="1">
      <c r="A53" s="62" t="s">
        <v>806</v>
      </c>
      <c r="C53" s="69" t="s">
        <v>2520</v>
      </c>
      <c r="E53" s="69" t="s">
        <v>2520</v>
      </c>
      <c r="G53" s="69" t="s">
        <v>2520</v>
      </c>
    </row>
    <row r="54" spans="1:7" ht="11.25" customHeight="1">
      <c r="A54" s="62" t="s">
        <v>807</v>
      </c>
      <c r="C54" s="69" t="s">
        <v>2521</v>
      </c>
      <c r="E54" s="69" t="s">
        <v>2521</v>
      </c>
      <c r="G54" s="69" t="s">
        <v>2521</v>
      </c>
    </row>
    <row r="55" spans="1:7" ht="11.25" customHeight="1">
      <c r="A55" s="62" t="s">
        <v>808</v>
      </c>
      <c r="C55" s="69" t="s">
        <v>2522</v>
      </c>
      <c r="E55" s="69" t="s">
        <v>2522</v>
      </c>
      <c r="G55" s="69" t="s">
        <v>2522</v>
      </c>
    </row>
    <row r="56" spans="1:7" ht="11.25" customHeight="1">
      <c r="A56" s="62" t="s">
        <v>809</v>
      </c>
      <c r="C56" s="297" t="s">
        <v>1696</v>
      </c>
      <c r="E56" s="297" t="s">
        <v>1696</v>
      </c>
      <c r="G56" s="297" t="s">
        <v>1696</v>
      </c>
    </row>
    <row r="57" spans="1:7" ht="11.25" customHeight="1">
      <c r="A57" s="62" t="s">
        <v>810</v>
      </c>
      <c r="C57" s="69" t="s">
        <v>2523</v>
      </c>
      <c r="E57" s="69" t="s">
        <v>2523</v>
      </c>
      <c r="G57" s="69" t="s">
        <v>2523</v>
      </c>
    </row>
    <row r="58" spans="1:7" ht="11.25" customHeight="1">
      <c r="A58" s="62" t="s">
        <v>811</v>
      </c>
      <c r="C58" s="69" t="s">
        <v>2524</v>
      </c>
      <c r="E58" s="69" t="s">
        <v>2524</v>
      </c>
      <c r="G58" s="69" t="s">
        <v>2524</v>
      </c>
    </row>
    <row r="59" spans="1:7" ht="11.25" customHeight="1">
      <c r="A59" s="62" t="s">
        <v>812</v>
      </c>
      <c r="C59" s="69" t="s">
        <v>2528</v>
      </c>
      <c r="E59" s="69" t="s">
        <v>2528</v>
      </c>
      <c r="G59" s="69" t="s">
        <v>2528</v>
      </c>
    </row>
    <row r="60" spans="1:7" ht="11.25" customHeight="1">
      <c r="A60" s="62" t="s">
        <v>813</v>
      </c>
      <c r="C60" s="69" t="s">
        <v>2527</v>
      </c>
      <c r="E60" s="69" t="s">
        <v>2527</v>
      </c>
      <c r="G60" s="69" t="s">
        <v>2527</v>
      </c>
    </row>
    <row r="61" spans="1:7" ht="11.25" customHeight="1">
      <c r="A61" s="62" t="s">
        <v>814</v>
      </c>
      <c r="C61" s="296" t="s">
        <v>795</v>
      </c>
      <c r="E61" s="296" t="s">
        <v>795</v>
      </c>
      <c r="G61" s="296" t="s">
        <v>795</v>
      </c>
    </row>
    <row r="62" spans="1:7" ht="11.25" customHeight="1">
      <c r="A62" s="62" t="s">
        <v>815</v>
      </c>
      <c r="C62" s="297" t="s">
        <v>796</v>
      </c>
      <c r="E62" s="297" t="s">
        <v>796</v>
      </c>
      <c r="G62" s="297" t="s">
        <v>796</v>
      </c>
    </row>
    <row r="63" spans="1:7" ht="11.25" customHeight="1">
      <c r="A63" s="62" t="s">
        <v>816</v>
      </c>
      <c r="C63" s="297" t="s">
        <v>797</v>
      </c>
      <c r="E63" s="297" t="s">
        <v>797</v>
      </c>
      <c r="G63" s="297" t="s">
        <v>797</v>
      </c>
    </row>
    <row r="64" spans="1:7" ht="11.25" customHeight="1">
      <c r="A64" s="62" t="s">
        <v>817</v>
      </c>
      <c r="C64" s="297" t="s">
        <v>1697</v>
      </c>
      <c r="E64" s="297" t="s">
        <v>1697</v>
      </c>
      <c r="G64" s="297" t="s">
        <v>1697</v>
      </c>
    </row>
    <row r="65" spans="1:7" ht="11.25" customHeight="1">
      <c r="A65" s="62" t="s">
        <v>818</v>
      </c>
      <c r="C65" s="69" t="s">
        <v>2525</v>
      </c>
      <c r="E65" s="69" t="s">
        <v>2525</v>
      </c>
      <c r="G65" s="69" t="s">
        <v>2525</v>
      </c>
    </row>
    <row r="66" spans="1:7" ht="11.25" customHeight="1">
      <c r="A66" s="62" t="s">
        <v>819</v>
      </c>
      <c r="C66" s="297" t="s">
        <v>2734</v>
      </c>
      <c r="E66" s="297" t="s">
        <v>2734</v>
      </c>
      <c r="G66" s="297" t="s">
        <v>2734</v>
      </c>
    </row>
    <row r="67" spans="1:7" ht="11.25" customHeight="1">
      <c r="A67" s="62" t="s">
        <v>820</v>
      </c>
      <c r="C67" s="69" t="s">
        <v>2526</v>
      </c>
      <c r="E67" s="69" t="s">
        <v>2526</v>
      </c>
      <c r="G67" s="69" t="s">
        <v>2526</v>
      </c>
    </row>
    <row r="68" spans="1:7" ht="11.25" customHeight="1">
      <c r="A68" s="62" t="s">
        <v>821</v>
      </c>
      <c r="C68" s="69" t="s">
        <v>2529</v>
      </c>
      <c r="E68" s="69" t="s">
        <v>2529</v>
      </c>
      <c r="G68" s="69" t="s">
        <v>2529</v>
      </c>
    </row>
    <row r="69" spans="1:7" ht="11.25" customHeight="1">
      <c r="A69" s="62" t="s">
        <v>822</v>
      </c>
      <c r="C69" s="69" t="s">
        <v>2530</v>
      </c>
      <c r="E69" s="69" t="s">
        <v>2530</v>
      </c>
      <c r="G69" s="69" t="s">
        <v>2530</v>
      </c>
    </row>
    <row r="70" spans="1:7" ht="11.25" customHeight="1">
      <c r="A70" s="62" t="s">
        <v>823</v>
      </c>
      <c r="C70" s="69" t="s">
        <v>2531</v>
      </c>
      <c r="E70" s="69" t="s">
        <v>2531</v>
      </c>
      <c r="G70" s="69" t="s">
        <v>2531</v>
      </c>
    </row>
    <row r="71" spans="1:7" ht="11.25" customHeight="1">
      <c r="A71" s="62" t="s">
        <v>824</v>
      </c>
      <c r="C71" s="297" t="s">
        <v>1698</v>
      </c>
      <c r="E71" s="297" t="s">
        <v>1698</v>
      </c>
      <c r="G71" s="297" t="s">
        <v>1698</v>
      </c>
    </row>
    <row r="72" spans="1:7" ht="11.25" customHeight="1">
      <c r="A72" s="62" t="s">
        <v>825</v>
      </c>
      <c r="C72" s="69" t="s">
        <v>1712</v>
      </c>
      <c r="E72" s="69" t="s">
        <v>1712</v>
      </c>
      <c r="G72" s="69" t="s">
        <v>1712</v>
      </c>
    </row>
    <row r="73" spans="1:7" ht="11.25" customHeight="1">
      <c r="A73" s="62" t="s">
        <v>826</v>
      </c>
      <c r="C73" s="297" t="s">
        <v>1708</v>
      </c>
      <c r="E73" s="297" t="s">
        <v>1708</v>
      </c>
      <c r="G73" s="297" t="s">
        <v>1708</v>
      </c>
    </row>
    <row r="74" spans="1:7" ht="11.25" customHeight="1">
      <c r="A74" s="62" t="s">
        <v>827</v>
      </c>
      <c r="C74" s="297" t="s">
        <v>1709</v>
      </c>
      <c r="E74" s="297" t="s">
        <v>1709</v>
      </c>
      <c r="G74" s="297" t="s">
        <v>1709</v>
      </c>
    </row>
    <row r="75" spans="1:7" ht="11.25" customHeight="1">
      <c r="A75" s="62" t="s">
        <v>828</v>
      </c>
      <c r="C75" s="297" t="s">
        <v>1710</v>
      </c>
      <c r="E75" s="297" t="s">
        <v>1710</v>
      </c>
      <c r="G75" s="297" t="s">
        <v>1710</v>
      </c>
    </row>
    <row r="76" spans="1:7" ht="11.25" customHeight="1">
      <c r="A76" s="62" t="s">
        <v>829</v>
      </c>
      <c r="C76" s="297" t="s">
        <v>1711</v>
      </c>
      <c r="E76" s="297" t="s">
        <v>1711</v>
      </c>
      <c r="G76" s="297" t="s">
        <v>1711</v>
      </c>
    </row>
    <row r="77" spans="1:7" ht="11.25" customHeight="1">
      <c r="A77" s="62" t="s">
        <v>830</v>
      </c>
    </row>
    <row r="78" spans="1:7" ht="11.25" customHeight="1">
      <c r="A78" s="62" t="s">
        <v>831</v>
      </c>
      <c r="C78" s="65" t="s">
        <v>1702</v>
      </c>
      <c r="E78" s="65" t="s">
        <v>1788</v>
      </c>
      <c r="G78" s="65" t="s">
        <v>1798</v>
      </c>
    </row>
    <row r="79" spans="1:7" ht="11.25" customHeight="1">
      <c r="A79" s="62" t="s">
        <v>832</v>
      </c>
      <c r="C79" s="69" t="s">
        <v>2519</v>
      </c>
      <c r="E79" s="69" t="s">
        <v>2519</v>
      </c>
      <c r="G79" s="69" t="s">
        <v>2519</v>
      </c>
    </row>
    <row r="80" spans="1:7" ht="11.25" customHeight="1">
      <c r="A80" s="62" t="s">
        <v>833</v>
      </c>
      <c r="C80" s="69" t="s">
        <v>2538</v>
      </c>
      <c r="E80" s="69" t="s">
        <v>2538</v>
      </c>
      <c r="G80" s="69" t="s">
        <v>2538</v>
      </c>
    </row>
    <row r="81" spans="1:7" ht="11.25" customHeight="1">
      <c r="A81" s="62" t="s">
        <v>834</v>
      </c>
      <c r="C81" s="69" t="s">
        <v>2235</v>
      </c>
      <c r="E81" s="69" t="s">
        <v>2235</v>
      </c>
      <c r="G81" s="69" t="s">
        <v>2235</v>
      </c>
    </row>
    <row r="82" spans="1:7" ht="11.25" customHeight="1">
      <c r="A82" s="62" t="s">
        <v>835</v>
      </c>
      <c r="C82" s="69" t="s">
        <v>1889</v>
      </c>
      <c r="E82" s="607" t="s">
        <v>2539</v>
      </c>
      <c r="G82" s="607" t="s">
        <v>2539</v>
      </c>
    </row>
    <row r="83" spans="1:7" ht="11.25" customHeight="1">
      <c r="A83" s="62" t="s">
        <v>836</v>
      </c>
      <c r="C83" s="69" t="s">
        <v>1890</v>
      </c>
      <c r="E83" s="607" t="s">
        <v>2540</v>
      </c>
      <c r="G83" s="69" t="s">
        <v>2535</v>
      </c>
    </row>
    <row r="84" spans="1:7" ht="11.25" customHeight="1">
      <c r="A84" s="62" t="s">
        <v>837</v>
      </c>
      <c r="C84" s="69" t="s">
        <v>2539</v>
      </c>
      <c r="E84" s="607" t="s">
        <v>2541</v>
      </c>
      <c r="G84" s="69" t="s">
        <v>2536</v>
      </c>
    </row>
    <row r="85" spans="1:7" ht="11.25" customHeight="1">
      <c r="C85" s="69" t="s">
        <v>2540</v>
      </c>
      <c r="E85" s="607" t="s">
        <v>2748</v>
      </c>
      <c r="G85" s="69" t="s">
        <v>2698</v>
      </c>
    </row>
    <row r="86" spans="1:7" ht="11.25" customHeight="1">
      <c r="C86" s="69" t="s">
        <v>2541</v>
      </c>
      <c r="E86" s="607" t="s">
        <v>2551</v>
      </c>
      <c r="G86" s="69" t="s">
        <v>2699</v>
      </c>
    </row>
    <row r="87" spans="1:7" ht="11.25" customHeight="1">
      <c r="C87" s="69" t="s">
        <v>2542</v>
      </c>
      <c r="E87" s="607" t="s">
        <v>2552</v>
      </c>
      <c r="G87" s="69" t="s">
        <v>2700</v>
      </c>
    </row>
    <row r="88" spans="1:7" ht="11.25" customHeight="1">
      <c r="C88" s="69" t="s">
        <v>1871</v>
      </c>
      <c r="E88" s="607" t="s">
        <v>2553</v>
      </c>
      <c r="G88" s="69" t="s">
        <v>2701</v>
      </c>
    </row>
    <row r="89" spans="1:7" ht="11.25" customHeight="1">
      <c r="C89" s="69" t="s">
        <v>1872</v>
      </c>
      <c r="E89" s="607" t="s">
        <v>2554</v>
      </c>
      <c r="G89" s="69" t="s">
        <v>2540</v>
      </c>
    </row>
    <row r="90" spans="1:7" ht="11.25" customHeight="1">
      <c r="C90" s="69" t="s">
        <v>1873</v>
      </c>
      <c r="E90" s="607" t="s">
        <v>2702</v>
      </c>
      <c r="G90" s="69" t="s">
        <v>2541</v>
      </c>
    </row>
    <row r="91" spans="1:7" ht="11.25" customHeight="1">
      <c r="C91" s="69" t="s">
        <v>2543</v>
      </c>
      <c r="E91" s="607" t="s">
        <v>2703</v>
      </c>
      <c r="G91" s="607" t="s">
        <v>2542</v>
      </c>
    </row>
    <row r="92" spans="1:7" ht="11.25" customHeight="1">
      <c r="C92" s="69" t="s">
        <v>2544</v>
      </c>
      <c r="E92" s="607" t="s">
        <v>2704</v>
      </c>
      <c r="G92" s="607" t="s">
        <v>2543</v>
      </c>
    </row>
    <row r="93" spans="1:7" ht="11.25" customHeight="1">
      <c r="C93" s="69" t="s">
        <v>2545</v>
      </c>
      <c r="E93" s="607" t="s">
        <v>2555</v>
      </c>
      <c r="G93" s="69" t="s">
        <v>2748</v>
      </c>
    </row>
    <row r="94" spans="1:7" ht="11.25" customHeight="1">
      <c r="C94" s="69" t="s">
        <v>2546</v>
      </c>
      <c r="E94" s="607" t="s">
        <v>2556</v>
      </c>
    </row>
    <row r="95" spans="1:7" ht="11.25" customHeight="1">
      <c r="C95" s="69" t="s">
        <v>2547</v>
      </c>
      <c r="E95" s="607" t="s">
        <v>2557</v>
      </c>
    </row>
    <row r="96" spans="1:7" ht="11.25" customHeight="1">
      <c r="C96" s="69" t="s">
        <v>2548</v>
      </c>
      <c r="E96" s="607" t="s">
        <v>2558</v>
      </c>
    </row>
    <row r="97" spans="3:5" ht="11.25" customHeight="1">
      <c r="C97" s="69" t="s">
        <v>1877</v>
      </c>
      <c r="E97" s="607" t="s">
        <v>2559</v>
      </c>
    </row>
    <row r="98" spans="3:5" ht="11.25" customHeight="1">
      <c r="C98" s="69" t="s">
        <v>1878</v>
      </c>
      <c r="E98" s="607" t="s">
        <v>3229</v>
      </c>
    </row>
    <row r="99" spans="3:5" ht="11.25" customHeight="1">
      <c r="C99" s="69" t="s">
        <v>1879</v>
      </c>
      <c r="E99" s="607" t="s">
        <v>3232</v>
      </c>
    </row>
    <row r="100" spans="3:5" ht="11.25" customHeight="1">
      <c r="C100" s="69" t="s">
        <v>2550</v>
      </c>
    </row>
    <row r="101" spans="3:5" ht="11.25" customHeight="1">
      <c r="C101" s="69" t="s">
        <v>1880</v>
      </c>
    </row>
    <row r="102" spans="3:5" ht="11.25" customHeight="1">
      <c r="C102" s="69" t="s">
        <v>1881</v>
      </c>
    </row>
    <row r="103" spans="3:5" ht="11.25" customHeight="1">
      <c r="C103" s="69" t="s">
        <v>1882</v>
      </c>
    </row>
    <row r="104" spans="3:5" ht="11.25" customHeight="1">
      <c r="C104" s="69" t="s">
        <v>2751</v>
      </c>
    </row>
    <row r="105" spans="3:5" ht="11.25" customHeight="1">
      <c r="C105" s="69" t="s">
        <v>1883</v>
      </c>
    </row>
    <row r="106" spans="3:5" ht="11.25" customHeight="1">
      <c r="C106" s="69" t="s">
        <v>1884</v>
      </c>
    </row>
    <row r="107" spans="3:5" ht="11.25" customHeight="1">
      <c r="C107" s="69" t="s">
        <v>1885</v>
      </c>
    </row>
    <row r="108" spans="3:5" ht="11.25" customHeight="1">
      <c r="C108" s="69" t="s">
        <v>2752</v>
      </c>
    </row>
    <row r="109" spans="3:5" ht="11.25" customHeight="1">
      <c r="C109" s="69" t="s">
        <v>1886</v>
      </c>
    </row>
    <row r="110" spans="3:5" ht="11.25" customHeight="1">
      <c r="C110" s="69" t="s">
        <v>1887</v>
      </c>
    </row>
    <row r="111" spans="3:5" ht="11.25" customHeight="1">
      <c r="C111" s="69" t="s">
        <v>1888</v>
      </c>
    </row>
    <row r="112" spans="3:5" ht="11.25" customHeight="1">
      <c r="C112" s="69" t="s">
        <v>2551</v>
      </c>
    </row>
    <row r="113" spans="3:7" ht="11.25" customHeight="1">
      <c r="C113" s="69" t="s">
        <v>2552</v>
      </c>
    </row>
    <row r="114" spans="3:7" ht="11.25" customHeight="1">
      <c r="C114" s="69" t="s">
        <v>2553</v>
      </c>
    </row>
    <row r="115" spans="3:7" ht="11.25" customHeight="1">
      <c r="C115" s="69" t="s">
        <v>2554</v>
      </c>
    </row>
    <row r="116" spans="3:7" ht="11.25" customHeight="1">
      <c r="C116" s="69" t="s">
        <v>1875</v>
      </c>
    </row>
    <row r="117" spans="3:7" ht="11.25" customHeight="1">
      <c r="C117" s="69" t="s">
        <v>1874</v>
      </c>
    </row>
    <row r="118" spans="3:7" ht="11.25" customHeight="1">
      <c r="C118" s="69" t="s">
        <v>1876</v>
      </c>
    </row>
    <row r="119" spans="3:7" ht="11.25" customHeight="1">
      <c r="C119" s="69" t="s">
        <v>2555</v>
      </c>
    </row>
    <row r="120" spans="3:7" ht="11.25" customHeight="1">
      <c r="C120" s="69" t="s">
        <v>2556</v>
      </c>
    </row>
    <row r="121" spans="3:7" ht="11.25" customHeight="1">
      <c r="C121" s="69" t="s">
        <v>2557</v>
      </c>
    </row>
    <row r="122" spans="3:7" ht="11.25" customHeight="1">
      <c r="C122" s="69" t="s">
        <v>2558</v>
      </c>
    </row>
    <row r="123" spans="3:7" ht="11.25" customHeight="1">
      <c r="C123" s="69" t="s">
        <v>2559</v>
      </c>
    </row>
    <row r="125" spans="3:7" ht="11.25" customHeight="1">
      <c r="C125" s="65" t="s">
        <v>1703</v>
      </c>
      <c r="E125" s="65" t="s">
        <v>1789</v>
      </c>
      <c r="G125" s="65" t="s">
        <v>0</v>
      </c>
    </row>
    <row r="126" spans="3:7" ht="11.25" customHeight="1">
      <c r="C126" s="69" t="s">
        <v>2519</v>
      </c>
      <c r="E126" s="69" t="s">
        <v>2519</v>
      </c>
      <c r="G126" s="69" t="s">
        <v>2519</v>
      </c>
    </row>
    <row r="127" spans="3:7" ht="11.25" customHeight="1">
      <c r="C127" s="69" t="s">
        <v>2538</v>
      </c>
      <c r="E127" s="69" t="s">
        <v>2538</v>
      </c>
      <c r="G127" s="69" t="s">
        <v>2538</v>
      </c>
    </row>
    <row r="128" spans="3:7" ht="11.25" customHeight="1">
      <c r="C128" s="69" t="s">
        <v>2235</v>
      </c>
      <c r="E128" s="69" t="s">
        <v>2235</v>
      </c>
      <c r="G128" s="69" t="s">
        <v>2235</v>
      </c>
    </row>
    <row r="129" spans="3:10" ht="11.25" customHeight="1">
      <c r="C129" s="69" t="s">
        <v>2539</v>
      </c>
      <c r="E129" s="607" t="s">
        <v>2539</v>
      </c>
      <c r="G129" s="607" t="s">
        <v>2539</v>
      </c>
    </row>
    <row r="130" spans="3:10" ht="11.25" customHeight="1">
      <c r="C130" s="69" t="s">
        <v>2540</v>
      </c>
      <c r="E130" s="607" t="s">
        <v>2540</v>
      </c>
      <c r="G130" s="607" t="s">
        <v>2540</v>
      </c>
    </row>
    <row r="131" spans="3:10" ht="11.25" customHeight="1">
      <c r="C131" s="69" t="s">
        <v>2541</v>
      </c>
      <c r="E131" s="607" t="s">
        <v>2541</v>
      </c>
      <c r="G131" s="607" t="s">
        <v>2541</v>
      </c>
    </row>
    <row r="132" spans="3:10" ht="11.25" customHeight="1">
      <c r="C132" s="69" t="s">
        <v>2542</v>
      </c>
      <c r="E132" s="607" t="s">
        <v>2542</v>
      </c>
      <c r="G132" s="607" t="s">
        <v>2542</v>
      </c>
    </row>
    <row r="133" spans="3:10" ht="11.25" customHeight="1">
      <c r="C133" s="69" t="s">
        <v>1871</v>
      </c>
      <c r="E133" s="607" t="s">
        <v>2543</v>
      </c>
      <c r="G133" s="607" t="s">
        <v>2543</v>
      </c>
    </row>
    <row r="134" spans="3:10" ht="11.25" customHeight="1">
      <c r="C134" s="69" t="s">
        <v>1872</v>
      </c>
      <c r="E134" s="607" t="s">
        <v>2544</v>
      </c>
      <c r="G134" s="607" t="s">
        <v>2544</v>
      </c>
    </row>
    <row r="135" spans="3:10" ht="11.25" customHeight="1">
      <c r="C135" s="69" t="s">
        <v>1873</v>
      </c>
      <c r="E135" s="607" t="s">
        <v>2545</v>
      </c>
      <c r="G135" s="607" t="s">
        <v>2545</v>
      </c>
      <c r="J135"/>
    </row>
    <row r="136" spans="3:10" ht="11.25" customHeight="1">
      <c r="C136" s="69" t="s">
        <v>2543</v>
      </c>
      <c r="E136" s="607" t="s">
        <v>2546</v>
      </c>
      <c r="G136" s="607" t="s">
        <v>2546</v>
      </c>
      <c r="J136"/>
    </row>
    <row r="137" spans="3:10" ht="11.25" customHeight="1">
      <c r="C137" s="69" t="s">
        <v>2544</v>
      </c>
      <c r="J137"/>
    </row>
    <row r="138" spans="3:10" ht="11.25" customHeight="1">
      <c r="C138" s="69" t="s">
        <v>2545</v>
      </c>
      <c r="J138"/>
    </row>
    <row r="139" spans="3:10" ht="11.25" customHeight="1">
      <c r="C139" s="69" t="s">
        <v>2546</v>
      </c>
      <c r="J139"/>
    </row>
    <row r="140" spans="3:10" ht="11.25" customHeight="1">
      <c r="J140"/>
    </row>
    <row r="141" spans="3:10" ht="11.25" customHeight="1">
      <c r="C141" s="65" t="s">
        <v>1704</v>
      </c>
      <c r="E141" s="65" t="s">
        <v>1790</v>
      </c>
      <c r="G141"/>
      <c r="J141"/>
    </row>
    <row r="142" spans="3:10" ht="11.25" customHeight="1">
      <c r="C142" s="69" t="s">
        <v>2519</v>
      </c>
      <c r="E142" s="69" t="s">
        <v>2519</v>
      </c>
      <c r="G142"/>
      <c r="J142"/>
    </row>
    <row r="143" spans="3:10" ht="11.25" customHeight="1">
      <c r="C143" s="69" t="s">
        <v>2560</v>
      </c>
      <c r="E143" s="69" t="s">
        <v>2560</v>
      </c>
      <c r="G143"/>
      <c r="J143"/>
    </row>
    <row r="144" spans="3:10" ht="11.25" customHeight="1">
      <c r="C144" s="69" t="s">
        <v>2538</v>
      </c>
      <c r="E144" s="69" t="s">
        <v>2538</v>
      </c>
      <c r="G144"/>
      <c r="J144"/>
    </row>
    <row r="145" spans="3:10" ht="11.25" customHeight="1">
      <c r="C145" s="69" t="s">
        <v>2235</v>
      </c>
      <c r="E145" s="69" t="s">
        <v>2235</v>
      </c>
      <c r="G145"/>
      <c r="J145"/>
    </row>
    <row r="146" spans="3:10" ht="11.25" customHeight="1">
      <c r="C146" s="69" t="s">
        <v>2561</v>
      </c>
      <c r="E146" s="69" t="s">
        <v>2539</v>
      </c>
      <c r="G146"/>
      <c r="J146"/>
    </row>
    <row r="147" spans="3:10" ht="11.25" customHeight="1">
      <c r="C147" s="69" t="s">
        <v>2539</v>
      </c>
      <c r="G147"/>
      <c r="J147"/>
    </row>
    <row r="148" spans="3:10" ht="11.25" customHeight="1">
      <c r="G148"/>
      <c r="J148"/>
    </row>
    <row r="149" spans="3:10" ht="11.25" customHeight="1">
      <c r="C149" s="65" t="s">
        <v>1705</v>
      </c>
      <c r="E149"/>
      <c r="G149"/>
      <c r="J149"/>
    </row>
    <row r="150" spans="3:10" ht="11.25" customHeight="1">
      <c r="C150" s="69" t="s">
        <v>2519</v>
      </c>
      <c r="E150"/>
      <c r="G150"/>
      <c r="J150"/>
    </row>
    <row r="151" spans="3:10" ht="11.25" customHeight="1">
      <c r="C151" s="69" t="s">
        <v>2560</v>
      </c>
      <c r="E151"/>
      <c r="G151"/>
      <c r="J151"/>
    </row>
    <row r="152" spans="3:10" ht="11.25" customHeight="1">
      <c r="C152" s="69" t="s">
        <v>2538</v>
      </c>
      <c r="E152"/>
      <c r="G152"/>
      <c r="J152"/>
    </row>
    <row r="153" spans="3:10" ht="11.25" customHeight="1">
      <c r="C153" s="69" t="s">
        <v>2235</v>
      </c>
      <c r="E153"/>
      <c r="G153"/>
      <c r="J153"/>
    </row>
    <row r="154" spans="3:10" ht="11.25" customHeight="1">
      <c r="C154" s="69" t="s">
        <v>2561</v>
      </c>
      <c r="E154"/>
      <c r="G154"/>
      <c r="J154"/>
    </row>
    <row r="155" spans="3:10" ht="11.25" customHeight="1">
      <c r="C155" s="69" t="s">
        <v>2539</v>
      </c>
      <c r="E155"/>
      <c r="G155"/>
      <c r="J155"/>
    </row>
    <row r="156" spans="3:10" ht="11.25" customHeight="1">
      <c r="E156"/>
      <c r="G156"/>
      <c r="J156"/>
    </row>
    <row r="157" spans="3:10" ht="11.25" customHeight="1">
      <c r="C157" s="65" t="s">
        <v>1785</v>
      </c>
      <c r="E157" s="65" t="s">
        <v>1791</v>
      </c>
      <c r="G157" s="65" t="s">
        <v>1</v>
      </c>
      <c r="J157"/>
    </row>
    <row r="158" spans="3:10" ht="11.25" customHeight="1">
      <c r="C158" s="69" t="s">
        <v>2519</v>
      </c>
      <c r="E158" s="69" t="s">
        <v>2519</v>
      </c>
      <c r="G158" s="69" t="s">
        <v>2519</v>
      </c>
      <c r="J158"/>
    </row>
    <row r="159" spans="3:10" ht="11.25" customHeight="1">
      <c r="C159" s="69" t="s">
        <v>2562</v>
      </c>
      <c r="E159" s="69" t="s">
        <v>2562</v>
      </c>
      <c r="G159" s="69" t="s">
        <v>2562</v>
      </c>
      <c r="J159"/>
    </row>
    <row r="160" spans="3:10" ht="11.25" customHeight="1">
      <c r="C160" s="69" t="s">
        <v>2235</v>
      </c>
      <c r="E160" s="69" t="s">
        <v>2235</v>
      </c>
      <c r="G160" s="69" t="s">
        <v>2235</v>
      </c>
      <c r="J160"/>
    </row>
    <row r="161" spans="3:10" ht="11.25" customHeight="1">
      <c r="C161" s="69" t="s">
        <v>1889</v>
      </c>
      <c r="E161" s="607" t="s">
        <v>2539</v>
      </c>
      <c r="G161" s="69" t="s">
        <v>2539</v>
      </c>
      <c r="J161"/>
    </row>
    <row r="162" spans="3:10" ht="11.25" customHeight="1">
      <c r="C162" s="69" t="s">
        <v>1890</v>
      </c>
      <c r="E162" s="607" t="s">
        <v>2540</v>
      </c>
      <c r="G162" s="69" t="s">
        <v>2535</v>
      </c>
      <c r="J162"/>
    </row>
    <row r="163" spans="3:10" ht="11.25" customHeight="1">
      <c r="C163" s="69" t="s">
        <v>2539</v>
      </c>
      <c r="E163" s="607" t="s">
        <v>2541</v>
      </c>
      <c r="G163" s="69" t="s">
        <v>2536</v>
      </c>
    </row>
    <row r="164" spans="3:10" ht="11.25" customHeight="1">
      <c r="C164" s="69" t="s">
        <v>2540</v>
      </c>
      <c r="E164" s="607" t="s">
        <v>2748</v>
      </c>
      <c r="G164" s="69" t="s">
        <v>2698</v>
      </c>
    </row>
    <row r="165" spans="3:10" ht="11.25" customHeight="1">
      <c r="C165" s="69" t="s">
        <v>2541</v>
      </c>
      <c r="E165" s="607" t="s">
        <v>2551</v>
      </c>
      <c r="G165" s="69" t="s">
        <v>2699</v>
      </c>
    </row>
    <row r="166" spans="3:10" ht="11.25" customHeight="1">
      <c r="C166" s="69" t="s">
        <v>2542</v>
      </c>
      <c r="E166" s="607" t="s">
        <v>2552</v>
      </c>
      <c r="G166" s="69" t="s">
        <v>2700</v>
      </c>
    </row>
    <row r="167" spans="3:10" ht="11.25" customHeight="1">
      <c r="C167" s="69" t="s">
        <v>1871</v>
      </c>
      <c r="E167" s="607" t="s">
        <v>2553</v>
      </c>
      <c r="G167" s="69" t="s">
        <v>2701</v>
      </c>
    </row>
    <row r="168" spans="3:10" ht="11.25" customHeight="1">
      <c r="C168" s="69" t="s">
        <v>1872</v>
      </c>
      <c r="E168" s="607" t="s">
        <v>2554</v>
      </c>
      <c r="G168" s="69" t="s">
        <v>2540</v>
      </c>
    </row>
    <row r="169" spans="3:10" ht="11.25" customHeight="1">
      <c r="C169" s="69" t="s">
        <v>1873</v>
      </c>
      <c r="E169" s="607" t="s">
        <v>2702</v>
      </c>
      <c r="G169" s="69" t="s">
        <v>2541</v>
      </c>
    </row>
    <row r="170" spans="3:10" ht="11.25" customHeight="1">
      <c r="C170" s="69" t="s">
        <v>2543</v>
      </c>
      <c r="E170" s="607" t="s">
        <v>2703</v>
      </c>
      <c r="G170" s="69" t="s">
        <v>2542</v>
      </c>
    </row>
    <row r="171" spans="3:10" ht="11.25" customHeight="1">
      <c r="C171" s="69" t="s">
        <v>2544</v>
      </c>
      <c r="E171" s="607" t="s">
        <v>2704</v>
      </c>
      <c r="G171" s="69" t="s">
        <v>2543</v>
      </c>
    </row>
    <row r="172" spans="3:10" ht="11.25" customHeight="1">
      <c r="C172" s="69" t="s">
        <v>2545</v>
      </c>
      <c r="E172" s="607" t="s">
        <v>2555</v>
      </c>
      <c r="G172" s="69" t="s">
        <v>2748</v>
      </c>
    </row>
    <row r="173" spans="3:10" ht="11.25" customHeight="1">
      <c r="C173" s="69" t="s">
        <v>2546</v>
      </c>
      <c r="E173" s="607" t="s">
        <v>2556</v>
      </c>
    </row>
    <row r="174" spans="3:10" ht="11.25" customHeight="1">
      <c r="C174" s="69" t="s">
        <v>2547</v>
      </c>
      <c r="E174" s="607" t="s">
        <v>2557</v>
      </c>
    </row>
    <row r="175" spans="3:10" ht="11.25" customHeight="1">
      <c r="C175" s="69" t="s">
        <v>2548</v>
      </c>
      <c r="E175" s="607" t="s">
        <v>2558</v>
      </c>
    </row>
    <row r="176" spans="3:10" ht="11.25" customHeight="1">
      <c r="C176" s="69" t="s">
        <v>1877</v>
      </c>
      <c r="E176" s="607" t="s">
        <v>2559</v>
      </c>
    </row>
    <row r="177" spans="3:5" ht="11.25" customHeight="1">
      <c r="C177" s="69" t="s">
        <v>1878</v>
      </c>
      <c r="E177" s="607" t="s">
        <v>3229</v>
      </c>
    </row>
    <row r="178" spans="3:5" ht="11.25" customHeight="1">
      <c r="C178" s="69" t="s">
        <v>1879</v>
      </c>
      <c r="E178" s="607" t="s">
        <v>3232</v>
      </c>
    </row>
    <row r="179" spans="3:5" ht="11.25" customHeight="1">
      <c r="C179" s="69" t="s">
        <v>2550</v>
      </c>
    </row>
    <row r="180" spans="3:5" ht="11.25" customHeight="1">
      <c r="C180" s="69" t="s">
        <v>1880</v>
      </c>
    </row>
    <row r="181" spans="3:5" ht="11.25" customHeight="1">
      <c r="C181" s="69" t="s">
        <v>1881</v>
      </c>
    </row>
    <row r="182" spans="3:5" ht="11.25" customHeight="1">
      <c r="C182" s="69" t="s">
        <v>1882</v>
      </c>
    </row>
    <row r="183" spans="3:5" ht="11.25" customHeight="1">
      <c r="C183" s="69" t="s">
        <v>2751</v>
      </c>
    </row>
    <row r="184" spans="3:5" ht="11.25" customHeight="1">
      <c r="C184" s="69" t="s">
        <v>1883</v>
      </c>
    </row>
    <row r="185" spans="3:5" ht="11.25" customHeight="1">
      <c r="C185" s="69" t="s">
        <v>1884</v>
      </c>
    </row>
    <row r="186" spans="3:5" ht="11.25" customHeight="1">
      <c r="C186" s="69" t="s">
        <v>1885</v>
      </c>
    </row>
    <row r="187" spans="3:5" ht="11.25" customHeight="1">
      <c r="C187" s="69" t="s">
        <v>2752</v>
      </c>
    </row>
    <row r="188" spans="3:5" ht="11.25" customHeight="1">
      <c r="C188" s="69" t="s">
        <v>1886</v>
      </c>
    </row>
    <row r="189" spans="3:5" ht="11.25" customHeight="1">
      <c r="C189" s="69" t="s">
        <v>1887</v>
      </c>
    </row>
    <row r="190" spans="3:5" ht="11.25" customHeight="1">
      <c r="C190" s="69" t="s">
        <v>1888</v>
      </c>
    </row>
    <row r="191" spans="3:5" ht="11.25" customHeight="1">
      <c r="C191" s="69" t="s">
        <v>2551</v>
      </c>
    </row>
    <row r="192" spans="3:5" ht="11.25" customHeight="1">
      <c r="C192" s="69" t="s">
        <v>2552</v>
      </c>
    </row>
    <row r="193" spans="3:7" ht="11.25" customHeight="1">
      <c r="C193" s="69" t="s">
        <v>2553</v>
      </c>
    </row>
    <row r="194" spans="3:7" ht="11.25" customHeight="1">
      <c r="C194" s="69" t="s">
        <v>2554</v>
      </c>
    </row>
    <row r="195" spans="3:7" ht="11.25" customHeight="1">
      <c r="C195" s="69" t="s">
        <v>1875</v>
      </c>
    </row>
    <row r="196" spans="3:7" ht="11.25" customHeight="1">
      <c r="C196" s="69" t="s">
        <v>1874</v>
      </c>
    </row>
    <row r="197" spans="3:7" ht="11.25" customHeight="1">
      <c r="C197" s="69" t="s">
        <v>1876</v>
      </c>
    </row>
    <row r="198" spans="3:7" ht="11.25" customHeight="1">
      <c r="C198" s="69" t="s">
        <v>2555</v>
      </c>
    </row>
    <row r="199" spans="3:7" ht="11.25" customHeight="1">
      <c r="C199" s="69" t="s">
        <v>2556</v>
      </c>
    </row>
    <row r="200" spans="3:7" ht="11.25" customHeight="1">
      <c r="C200" s="69" t="s">
        <v>2557</v>
      </c>
    </row>
    <row r="201" spans="3:7" ht="11.25" customHeight="1">
      <c r="C201" s="69" t="s">
        <v>2558</v>
      </c>
    </row>
    <row r="202" spans="3:7" ht="11.25" customHeight="1">
      <c r="C202" s="69" t="s">
        <v>2559</v>
      </c>
    </row>
    <row r="204" spans="3:7" ht="11.25" customHeight="1">
      <c r="C204" s="65" t="s">
        <v>1786</v>
      </c>
      <c r="E204" s="65" t="s">
        <v>1792</v>
      </c>
      <c r="G204" s="65" t="s">
        <v>2</v>
      </c>
    </row>
    <row r="205" spans="3:7" ht="11.25" customHeight="1">
      <c r="C205" s="69" t="s">
        <v>2519</v>
      </c>
      <c r="E205" s="69" t="s">
        <v>2519</v>
      </c>
      <c r="G205" s="69" t="s">
        <v>2519</v>
      </c>
    </row>
    <row r="206" spans="3:7" ht="11.25" customHeight="1">
      <c r="C206" s="69" t="s">
        <v>2562</v>
      </c>
      <c r="E206" s="69" t="s">
        <v>2562</v>
      </c>
      <c r="G206" s="69" t="s">
        <v>2562</v>
      </c>
    </row>
    <row r="207" spans="3:7" ht="11.25" customHeight="1">
      <c r="C207" s="69" t="s">
        <v>2235</v>
      </c>
      <c r="E207" s="69" t="s">
        <v>2235</v>
      </c>
      <c r="G207" s="69" t="s">
        <v>2235</v>
      </c>
    </row>
    <row r="208" spans="3:7" ht="11.25" customHeight="1">
      <c r="C208" s="69" t="s">
        <v>2539</v>
      </c>
      <c r="E208" s="69" t="s">
        <v>2539</v>
      </c>
      <c r="G208" s="69" t="s">
        <v>2539</v>
      </c>
    </row>
    <row r="209" spans="3:7" ht="11.25" customHeight="1">
      <c r="C209" s="69" t="s">
        <v>2540</v>
      </c>
      <c r="E209" s="69" t="s">
        <v>2540</v>
      </c>
      <c r="G209" s="69" t="s">
        <v>2540</v>
      </c>
    </row>
    <row r="210" spans="3:7" ht="11.25" customHeight="1">
      <c r="C210" s="69" t="s">
        <v>2541</v>
      </c>
      <c r="E210" s="69" t="s">
        <v>2541</v>
      </c>
      <c r="G210" s="69" t="s">
        <v>2541</v>
      </c>
    </row>
    <row r="211" spans="3:7" ht="11.25" customHeight="1">
      <c r="C211" s="69" t="s">
        <v>2542</v>
      </c>
      <c r="E211" s="69" t="s">
        <v>2542</v>
      </c>
      <c r="G211" s="69" t="s">
        <v>2542</v>
      </c>
    </row>
    <row r="212" spans="3:7" ht="11.25" customHeight="1">
      <c r="C212" s="69" t="s">
        <v>1871</v>
      </c>
      <c r="E212" s="69" t="s">
        <v>2543</v>
      </c>
      <c r="G212" s="69" t="s">
        <v>2543</v>
      </c>
    </row>
    <row r="213" spans="3:7" ht="11.25" customHeight="1">
      <c r="C213" s="69" t="s">
        <v>1872</v>
      </c>
      <c r="E213" s="69" t="s">
        <v>2544</v>
      </c>
      <c r="G213" s="69" t="s">
        <v>2544</v>
      </c>
    </row>
    <row r="214" spans="3:7" ht="11.25" customHeight="1">
      <c r="C214" s="69" t="s">
        <v>1873</v>
      </c>
      <c r="E214" s="69" t="s">
        <v>2545</v>
      </c>
      <c r="G214" s="69" t="s">
        <v>2545</v>
      </c>
    </row>
    <row r="215" spans="3:7" ht="11.25" customHeight="1">
      <c r="C215" s="69" t="s">
        <v>2543</v>
      </c>
      <c r="E215" s="69" t="s">
        <v>2546</v>
      </c>
      <c r="G215" s="69" t="s">
        <v>2546</v>
      </c>
    </row>
    <row r="216" spans="3:7" ht="11.25" customHeight="1">
      <c r="C216" s="69" t="s">
        <v>2544</v>
      </c>
      <c r="E216"/>
      <c r="G216"/>
    </row>
    <row r="217" spans="3:7" ht="11.25" customHeight="1">
      <c r="C217" s="69" t="s">
        <v>2545</v>
      </c>
      <c r="E217"/>
      <c r="G217"/>
    </row>
    <row r="218" spans="3:7" ht="11.25" customHeight="1">
      <c r="C218" s="69" t="s">
        <v>2546</v>
      </c>
      <c r="E218"/>
      <c r="G218"/>
    </row>
    <row r="219" spans="3:7" ht="11.25" customHeight="1">
      <c r="C219"/>
      <c r="E219"/>
      <c r="G219"/>
    </row>
    <row r="220" spans="3:7" ht="11.25" customHeight="1">
      <c r="C220" s="65" t="s">
        <v>1706</v>
      </c>
      <c r="E220" s="65" t="s">
        <v>1793</v>
      </c>
      <c r="G220"/>
    </row>
    <row r="221" spans="3:7" ht="11.25" customHeight="1">
      <c r="C221" s="69" t="s">
        <v>2519</v>
      </c>
      <c r="E221" s="69" t="s">
        <v>2519</v>
      </c>
      <c r="G221"/>
    </row>
    <row r="222" spans="3:7" ht="11.25" customHeight="1">
      <c r="C222" s="69" t="s">
        <v>2560</v>
      </c>
      <c r="E222" s="69" t="s">
        <v>2560</v>
      </c>
      <c r="G222"/>
    </row>
    <row r="223" spans="3:7" ht="11.25" customHeight="1">
      <c r="C223" s="69" t="s">
        <v>2562</v>
      </c>
      <c r="E223" s="69" t="s">
        <v>2562</v>
      </c>
      <c r="G223"/>
    </row>
    <row r="224" spans="3:7" ht="11.25" customHeight="1">
      <c r="C224" s="69" t="s">
        <v>2235</v>
      </c>
      <c r="E224" s="69" t="s">
        <v>2235</v>
      </c>
      <c r="G224"/>
    </row>
    <row r="225" spans="3:7" ht="11.25" customHeight="1">
      <c r="C225" s="69" t="s">
        <v>2561</v>
      </c>
      <c r="E225" s="69" t="s">
        <v>2539</v>
      </c>
      <c r="G225"/>
    </row>
    <row r="226" spans="3:7" ht="11.25" customHeight="1">
      <c r="C226" s="69" t="s">
        <v>2539</v>
      </c>
      <c r="G226"/>
    </row>
    <row r="227" spans="3:7" ht="11.25" customHeight="1">
      <c r="F227"/>
      <c r="G227"/>
    </row>
    <row r="228" spans="3:7" ht="11.25" customHeight="1">
      <c r="C228" s="65" t="s">
        <v>1707</v>
      </c>
      <c r="E228"/>
      <c r="F228"/>
      <c r="G228"/>
    </row>
    <row r="229" spans="3:7" ht="11.25" customHeight="1">
      <c r="C229" s="69" t="s">
        <v>2519</v>
      </c>
      <c r="E229"/>
      <c r="F229"/>
      <c r="G229"/>
    </row>
    <row r="230" spans="3:7" ht="11.25" customHeight="1">
      <c r="C230" s="69" t="s">
        <v>2560</v>
      </c>
      <c r="E230"/>
      <c r="F230"/>
      <c r="G230"/>
    </row>
    <row r="231" spans="3:7" ht="11.25" customHeight="1">
      <c r="C231" s="69" t="s">
        <v>2562</v>
      </c>
      <c r="E231"/>
      <c r="F231"/>
      <c r="G231"/>
    </row>
    <row r="232" spans="3:7" ht="11.25" customHeight="1">
      <c r="C232" s="69" t="s">
        <v>2235</v>
      </c>
      <c r="E232"/>
      <c r="F232"/>
      <c r="G232"/>
    </row>
    <row r="233" spans="3:7" ht="11.25" customHeight="1">
      <c r="C233" s="69" t="s">
        <v>2561</v>
      </c>
      <c r="E233"/>
      <c r="F233"/>
      <c r="G233"/>
    </row>
    <row r="234" spans="3:7" ht="11.25" customHeight="1">
      <c r="C234" s="69" t="s">
        <v>2539</v>
      </c>
      <c r="E234"/>
      <c r="F234"/>
      <c r="G234"/>
    </row>
    <row r="235" spans="3:7" ht="11.25" customHeight="1">
      <c r="E235"/>
      <c r="G235"/>
    </row>
    <row r="236" spans="3:7" ht="11.25" customHeight="1">
      <c r="C236" s="65" t="s">
        <v>1724</v>
      </c>
      <c r="E236" s="65" t="s">
        <v>1794</v>
      </c>
      <c r="G236" s="65" t="s">
        <v>3</v>
      </c>
    </row>
    <row r="237" spans="3:7" ht="11.25" customHeight="1">
      <c r="C237" s="69" t="s">
        <v>2519</v>
      </c>
      <c r="E237" s="69" t="s">
        <v>2519</v>
      </c>
      <c r="G237" s="69" t="s">
        <v>2519</v>
      </c>
    </row>
    <row r="238" spans="3:7" ht="11.25" customHeight="1">
      <c r="C238" s="69" t="s">
        <v>2538</v>
      </c>
      <c r="E238" s="69" t="s">
        <v>2538</v>
      </c>
      <c r="G238" s="69" t="s">
        <v>2538</v>
      </c>
    </row>
    <row r="239" spans="3:7" ht="11.25" customHeight="1">
      <c r="C239" s="69" t="s">
        <v>2235</v>
      </c>
      <c r="E239" s="69" t="s">
        <v>2235</v>
      </c>
      <c r="G239" s="69" t="s">
        <v>2235</v>
      </c>
    </row>
    <row r="240" spans="3:7" ht="11.25" customHeight="1">
      <c r="C240" s="69" t="s">
        <v>2561</v>
      </c>
      <c r="E240" s="69" t="s">
        <v>2561</v>
      </c>
      <c r="G240" s="69" t="s">
        <v>2561</v>
      </c>
    </row>
    <row r="241" spans="3:10" ht="11.25" customHeight="1">
      <c r="C241" s="69" t="s">
        <v>2180</v>
      </c>
      <c r="E241" s="69" t="s">
        <v>2180</v>
      </c>
      <c r="G241" s="69" t="s">
        <v>2180</v>
      </c>
    </row>
    <row r="242" spans="3:10" ht="11.25" customHeight="1">
      <c r="C242" s="69" t="s">
        <v>2181</v>
      </c>
      <c r="E242" s="69" t="s">
        <v>2181</v>
      </c>
      <c r="G242" s="69" t="s">
        <v>2181</v>
      </c>
    </row>
    <row r="243" spans="3:10" ht="11.25" customHeight="1">
      <c r="C243" s="69" t="s">
        <v>2182</v>
      </c>
      <c r="E243" s="69" t="s">
        <v>2182</v>
      </c>
      <c r="G243" s="69" t="s">
        <v>2182</v>
      </c>
    </row>
    <row r="244" spans="3:10" ht="11.25" customHeight="1">
      <c r="C244" s="69" t="s">
        <v>2183</v>
      </c>
      <c r="E244" s="69" t="s">
        <v>2183</v>
      </c>
      <c r="G244" s="69" t="s">
        <v>2183</v>
      </c>
    </row>
    <row r="245" spans="3:10" ht="11.25" customHeight="1">
      <c r="C245" s="69" t="s">
        <v>2184</v>
      </c>
      <c r="E245" s="69" t="s">
        <v>2184</v>
      </c>
      <c r="G245" s="69" t="s">
        <v>2184</v>
      </c>
    </row>
    <row r="246" spans="3:10" ht="11.25" customHeight="1">
      <c r="C246" s="69" t="s">
        <v>2185</v>
      </c>
      <c r="E246" s="69" t="s">
        <v>2185</v>
      </c>
      <c r="G246" s="69" t="s">
        <v>2185</v>
      </c>
      <c r="J246"/>
    </row>
    <row r="247" spans="3:10" ht="11.25" customHeight="1">
      <c r="C247" s="69" t="s">
        <v>2186</v>
      </c>
      <c r="E247" s="69" t="s">
        <v>2186</v>
      </c>
      <c r="G247" s="69" t="s">
        <v>2186</v>
      </c>
      <c r="J247"/>
    </row>
    <row r="248" spans="3:10" ht="11.25" customHeight="1">
      <c r="C248" s="69" t="s">
        <v>2187</v>
      </c>
      <c r="E248" s="69" t="s">
        <v>2187</v>
      </c>
      <c r="G248" s="69" t="s">
        <v>2187</v>
      </c>
      <c r="J248"/>
    </row>
    <row r="249" spans="3:10" ht="11.25" customHeight="1">
      <c r="C249" s="69" t="s">
        <v>2188</v>
      </c>
      <c r="E249" s="69" t="s">
        <v>2188</v>
      </c>
      <c r="G249" s="69" t="s">
        <v>2188</v>
      </c>
      <c r="J249"/>
    </row>
    <row r="250" spans="3:10" ht="11.25" customHeight="1">
      <c r="C250" s="69" t="s">
        <v>2189</v>
      </c>
      <c r="E250" s="69" t="s">
        <v>2189</v>
      </c>
      <c r="G250" s="69" t="s">
        <v>2189</v>
      </c>
      <c r="J250"/>
    </row>
    <row r="251" spans="3:10" ht="11.25" customHeight="1">
      <c r="C251" s="69" t="s">
        <v>2190</v>
      </c>
      <c r="E251" s="69" t="s">
        <v>2190</v>
      </c>
      <c r="G251" s="69" t="s">
        <v>2190</v>
      </c>
      <c r="J251"/>
    </row>
    <row r="252" spans="3:10" ht="11.25" customHeight="1">
      <c r="C252" s="69" t="s">
        <v>2191</v>
      </c>
      <c r="E252" s="69" t="s">
        <v>2191</v>
      </c>
      <c r="G252" s="69" t="s">
        <v>2191</v>
      </c>
      <c r="J252"/>
    </row>
    <row r="253" spans="3:10" ht="11.25" customHeight="1">
      <c r="C253" s="69" t="s">
        <v>2192</v>
      </c>
      <c r="E253" s="69" t="s">
        <v>2192</v>
      </c>
      <c r="G253" s="69" t="s">
        <v>2192</v>
      </c>
      <c r="J253"/>
    </row>
    <row r="254" spans="3:10" ht="11.25" customHeight="1">
      <c r="C254" s="69" t="s">
        <v>2193</v>
      </c>
      <c r="E254" s="69" t="s">
        <v>2193</v>
      </c>
      <c r="G254" s="69" t="s">
        <v>2193</v>
      </c>
      <c r="J254"/>
    </row>
    <row r="255" spans="3:10" ht="11.25" customHeight="1">
      <c r="C255" s="69" t="s">
        <v>2711</v>
      </c>
      <c r="E255" s="69" t="s">
        <v>2711</v>
      </c>
      <c r="G255" s="69" t="s">
        <v>2711</v>
      </c>
      <c r="J255"/>
    </row>
    <row r="256" spans="3:10" ht="11.25" customHeight="1">
      <c r="C256" s="69" t="s">
        <v>2712</v>
      </c>
      <c r="E256" s="69" t="s">
        <v>2712</v>
      </c>
      <c r="G256" s="69" t="s">
        <v>2712</v>
      </c>
      <c r="J256"/>
    </row>
    <row r="257" spans="3:10" ht="11.25" customHeight="1">
      <c r="C257" s="69" t="s">
        <v>3160</v>
      </c>
      <c r="E257" s="69" t="s">
        <v>3160</v>
      </c>
      <c r="G257" s="69" t="s">
        <v>3160</v>
      </c>
      <c r="J257"/>
    </row>
    <row r="258" spans="3:10" ht="11.25" customHeight="1">
      <c r="C258" s="69" t="s">
        <v>3161</v>
      </c>
      <c r="E258" s="69" t="s">
        <v>3161</v>
      </c>
      <c r="G258" s="69" t="s">
        <v>3161</v>
      </c>
      <c r="J258"/>
    </row>
    <row r="259" spans="3:10" ht="11.25" customHeight="1">
      <c r="C259" s="69" t="s">
        <v>2698</v>
      </c>
      <c r="E259" s="69" t="s">
        <v>2698</v>
      </c>
      <c r="G259" s="69" t="s">
        <v>2698</v>
      </c>
      <c r="J259"/>
    </row>
    <row r="260" spans="3:10" ht="11.25" customHeight="1">
      <c r="C260" s="69" t="s">
        <v>2699</v>
      </c>
      <c r="E260" s="69" t="s">
        <v>2699</v>
      </c>
      <c r="G260" s="69" t="s">
        <v>2699</v>
      </c>
      <c r="J260"/>
    </row>
    <row r="261" spans="3:10" ht="11.25" customHeight="1">
      <c r="C261" s="69" t="s">
        <v>2537</v>
      </c>
      <c r="E261" s="69" t="s">
        <v>2537</v>
      </c>
      <c r="G261" s="69" t="s">
        <v>2537</v>
      </c>
      <c r="J261"/>
    </row>
    <row r="262" spans="3:10" ht="11.25" customHeight="1">
      <c r="C262" s="69" t="s">
        <v>2713</v>
      </c>
      <c r="E262" s="69" t="s">
        <v>2713</v>
      </c>
      <c r="G262" s="69" t="s">
        <v>2713</v>
      </c>
      <c r="J262"/>
    </row>
    <row r="263" spans="3:10" ht="11.25" customHeight="1">
      <c r="C263" s="69" t="s">
        <v>2714</v>
      </c>
      <c r="E263" s="69" t="s">
        <v>2714</v>
      </c>
      <c r="G263" s="69" t="s">
        <v>2714</v>
      </c>
      <c r="J263"/>
    </row>
    <row r="264" spans="3:10" ht="11.25" customHeight="1">
      <c r="C264" s="69" t="s">
        <v>2715</v>
      </c>
      <c r="E264" s="69" t="s">
        <v>2715</v>
      </c>
      <c r="G264" s="69" t="s">
        <v>2715</v>
      </c>
      <c r="J264"/>
    </row>
    <row r="265" spans="3:10" ht="11.25" customHeight="1">
      <c r="C265" s="69" t="s">
        <v>2716</v>
      </c>
      <c r="E265" s="69" t="s">
        <v>2716</v>
      </c>
      <c r="G265" s="69" t="s">
        <v>2716</v>
      </c>
      <c r="J265"/>
    </row>
    <row r="266" spans="3:10" ht="11.25" customHeight="1">
      <c r="C266" s="69" t="s">
        <v>2717</v>
      </c>
      <c r="E266" s="69" t="s">
        <v>2717</v>
      </c>
      <c r="G266" s="69" t="s">
        <v>2717</v>
      </c>
      <c r="J266"/>
    </row>
    <row r="267" spans="3:10" ht="11.25" customHeight="1">
      <c r="C267" s="69" t="s">
        <v>2236</v>
      </c>
      <c r="E267" s="69" t="s">
        <v>2236</v>
      </c>
      <c r="G267" s="69" t="s">
        <v>2236</v>
      </c>
      <c r="J267"/>
    </row>
    <row r="268" spans="3:10" ht="11.25" customHeight="1">
      <c r="C268" s="69" t="s">
        <v>2263</v>
      </c>
      <c r="E268" s="69" t="s">
        <v>2263</v>
      </c>
      <c r="G268" s="69" t="s">
        <v>2263</v>
      </c>
      <c r="J268"/>
    </row>
    <row r="269" spans="3:10" ht="11.25" customHeight="1">
      <c r="C269" s="69" t="s">
        <v>2718</v>
      </c>
      <c r="E269" s="69" t="s">
        <v>2718</v>
      </c>
      <c r="G269" s="69" t="s">
        <v>2718</v>
      </c>
      <c r="J269"/>
    </row>
    <row r="270" spans="3:10" ht="11.25" customHeight="1">
      <c r="C270" s="69" t="s">
        <v>2194</v>
      </c>
      <c r="E270" s="69" t="s">
        <v>2194</v>
      </c>
      <c r="G270" s="69" t="s">
        <v>2194</v>
      </c>
      <c r="J270"/>
    </row>
    <row r="271" spans="3:10" ht="11.25" customHeight="1">
      <c r="C271" s="69" t="s">
        <v>2195</v>
      </c>
      <c r="E271" s="69" t="s">
        <v>2195</v>
      </c>
      <c r="G271" s="69" t="s">
        <v>2195</v>
      </c>
      <c r="J271"/>
    </row>
    <row r="272" spans="3:10" ht="11.25" customHeight="1">
      <c r="C272" s="69" t="s">
        <v>2719</v>
      </c>
      <c r="E272" s="69" t="s">
        <v>2719</v>
      </c>
      <c r="G272" s="69" t="s">
        <v>2719</v>
      </c>
      <c r="J272"/>
    </row>
    <row r="273" spans="3:10" ht="11.25" customHeight="1">
      <c r="C273" s="69" t="s">
        <v>2196</v>
      </c>
      <c r="E273" s="69" t="s">
        <v>2196</v>
      </c>
      <c r="G273" s="69" t="s">
        <v>2196</v>
      </c>
      <c r="J273"/>
    </row>
    <row r="274" spans="3:10" ht="11.25" customHeight="1">
      <c r="C274" s="69" t="s">
        <v>2197</v>
      </c>
      <c r="E274" s="69" t="s">
        <v>2197</v>
      </c>
      <c r="G274" s="69" t="s">
        <v>2197</v>
      </c>
      <c r="J274"/>
    </row>
    <row r="275" spans="3:10" ht="11.25" customHeight="1">
      <c r="C275" s="69" t="s">
        <v>2720</v>
      </c>
      <c r="E275" s="69" t="s">
        <v>2720</v>
      </c>
      <c r="G275" s="69" t="s">
        <v>2720</v>
      </c>
      <c r="J275"/>
    </row>
    <row r="276" spans="3:10" ht="11.25" customHeight="1">
      <c r="C276" s="69" t="s">
        <v>2198</v>
      </c>
      <c r="E276" s="69" t="s">
        <v>2198</v>
      </c>
      <c r="G276" s="69" t="s">
        <v>2198</v>
      </c>
      <c r="J276"/>
    </row>
    <row r="277" spans="3:10" ht="11.25" customHeight="1">
      <c r="C277" s="69" t="s">
        <v>2199</v>
      </c>
      <c r="E277" s="69" t="s">
        <v>2199</v>
      </c>
      <c r="G277" s="69" t="s">
        <v>2199</v>
      </c>
      <c r="J277"/>
    </row>
    <row r="278" spans="3:10" ht="11.25" customHeight="1">
      <c r="C278" s="69" t="s">
        <v>2265</v>
      </c>
      <c r="E278" s="69" t="s">
        <v>2265</v>
      </c>
      <c r="G278" s="69" t="s">
        <v>2265</v>
      </c>
      <c r="J278"/>
    </row>
    <row r="279" spans="3:10" ht="11.25" customHeight="1">
      <c r="C279" s="69" t="s">
        <v>2708</v>
      </c>
      <c r="E279" s="69" t="s">
        <v>2708</v>
      </c>
      <c r="G279" s="69" t="s">
        <v>2708</v>
      </c>
      <c r="J279"/>
    </row>
    <row r="280" spans="3:10" ht="11.25" customHeight="1">
      <c r="C280" s="69" t="s">
        <v>2709</v>
      </c>
      <c r="E280" s="69" t="s">
        <v>2709</v>
      </c>
      <c r="G280" s="69" t="s">
        <v>2709</v>
      </c>
      <c r="J280"/>
    </row>
    <row r="281" spans="3:10" ht="11.25" customHeight="1">
      <c r="C281" s="69" t="s">
        <v>2721</v>
      </c>
      <c r="E281" s="69" t="s">
        <v>2721</v>
      </c>
      <c r="G281" s="69" t="s">
        <v>2721</v>
      </c>
    </row>
    <row r="283" spans="3:10" ht="11.25" customHeight="1">
      <c r="C283" s="65" t="s">
        <v>1725</v>
      </c>
      <c r="E283" s="65" t="s">
        <v>1795</v>
      </c>
      <c r="G283" s="65" t="s">
        <v>4</v>
      </c>
    </row>
    <row r="284" spans="3:10" ht="11.25" customHeight="1">
      <c r="C284" s="69" t="s">
        <v>2519</v>
      </c>
      <c r="E284" s="69" t="s">
        <v>2519</v>
      </c>
      <c r="G284" s="69" t="s">
        <v>2519</v>
      </c>
    </row>
    <row r="285" spans="3:10" ht="11.25" customHeight="1">
      <c r="C285" s="69" t="s">
        <v>2538</v>
      </c>
      <c r="E285" s="69" t="s">
        <v>2538</v>
      </c>
      <c r="G285" s="69" t="s">
        <v>2538</v>
      </c>
    </row>
    <row r="286" spans="3:10" ht="11.25" customHeight="1">
      <c r="C286" s="69" t="s">
        <v>2235</v>
      </c>
      <c r="E286" s="69" t="s">
        <v>2235</v>
      </c>
      <c r="G286" s="69" t="s">
        <v>2235</v>
      </c>
    </row>
    <row r="287" spans="3:10" ht="11.25" customHeight="1">
      <c r="C287" s="69" t="s">
        <v>2561</v>
      </c>
      <c r="E287" s="69" t="s">
        <v>2561</v>
      </c>
      <c r="G287" s="69" t="s">
        <v>2561</v>
      </c>
    </row>
    <row r="288" spans="3:10" ht="11.25" customHeight="1">
      <c r="C288" s="69" t="s">
        <v>2180</v>
      </c>
      <c r="E288" s="69" t="s">
        <v>2180</v>
      </c>
      <c r="G288" s="69" t="s">
        <v>2180</v>
      </c>
    </row>
    <row r="289" spans="3:7" ht="11.25" customHeight="1">
      <c r="C289" s="69" t="s">
        <v>2181</v>
      </c>
      <c r="E289" s="69" t="s">
        <v>2181</v>
      </c>
      <c r="G289" s="69" t="s">
        <v>2181</v>
      </c>
    </row>
    <row r="290" spans="3:7" ht="11.25" customHeight="1">
      <c r="C290" s="69" t="s">
        <v>2182</v>
      </c>
      <c r="E290" s="69" t="s">
        <v>2182</v>
      </c>
      <c r="G290" s="69" t="s">
        <v>2182</v>
      </c>
    </row>
    <row r="291" spans="3:7" ht="11.25" customHeight="1">
      <c r="C291" s="69" t="s">
        <v>2183</v>
      </c>
      <c r="E291" s="69" t="s">
        <v>2183</v>
      </c>
      <c r="G291" s="69" t="s">
        <v>2183</v>
      </c>
    </row>
    <row r="292" spans="3:7" ht="11.25" customHeight="1">
      <c r="C292" s="69" t="s">
        <v>2184</v>
      </c>
      <c r="E292" s="69" t="s">
        <v>2184</v>
      </c>
      <c r="G292" s="69" t="s">
        <v>2184</v>
      </c>
    </row>
    <row r="293" spans="3:7" ht="11.25" customHeight="1">
      <c r="C293" s="69" t="s">
        <v>2185</v>
      </c>
      <c r="E293" s="69" t="s">
        <v>2185</v>
      </c>
      <c r="G293" s="69" t="s">
        <v>2185</v>
      </c>
    </row>
    <row r="294" spans="3:7" ht="11.25" customHeight="1">
      <c r="C294" s="69" t="s">
        <v>2186</v>
      </c>
      <c r="E294" s="69" t="s">
        <v>2186</v>
      </c>
      <c r="G294" s="69" t="s">
        <v>2186</v>
      </c>
    </row>
    <row r="295" spans="3:7" ht="11.25" customHeight="1">
      <c r="C295" s="69" t="s">
        <v>2187</v>
      </c>
      <c r="E295" s="69" t="s">
        <v>2187</v>
      </c>
      <c r="G295" s="69" t="s">
        <v>2187</v>
      </c>
    </row>
    <row r="296" spans="3:7" ht="11.25" customHeight="1">
      <c r="C296" s="69" t="s">
        <v>2188</v>
      </c>
      <c r="E296" s="69" t="s">
        <v>2188</v>
      </c>
      <c r="G296" s="69" t="s">
        <v>2188</v>
      </c>
    </row>
    <row r="297" spans="3:7" ht="11.25" customHeight="1">
      <c r="C297" s="69" t="s">
        <v>2189</v>
      </c>
      <c r="E297" s="69" t="s">
        <v>2189</v>
      </c>
      <c r="G297" s="69" t="s">
        <v>2189</v>
      </c>
    </row>
    <row r="298" spans="3:7" ht="11.25" customHeight="1">
      <c r="C298" s="69" t="s">
        <v>2190</v>
      </c>
      <c r="E298" s="69" t="s">
        <v>2190</v>
      </c>
      <c r="G298" s="69" t="s">
        <v>2190</v>
      </c>
    </row>
    <row r="299" spans="3:7" ht="11.25" customHeight="1">
      <c r="C299" s="69" t="s">
        <v>2191</v>
      </c>
      <c r="E299" s="69" t="s">
        <v>2191</v>
      </c>
      <c r="G299" s="69" t="s">
        <v>2191</v>
      </c>
    </row>
    <row r="300" spans="3:7" ht="11.25" customHeight="1">
      <c r="C300" s="69" t="s">
        <v>2192</v>
      </c>
      <c r="E300" s="69" t="s">
        <v>2192</v>
      </c>
      <c r="G300" s="69" t="s">
        <v>2192</v>
      </c>
    </row>
    <row r="301" spans="3:7" ht="11.25" customHeight="1">
      <c r="C301" s="69" t="s">
        <v>2193</v>
      </c>
      <c r="E301" s="69" t="s">
        <v>2193</v>
      </c>
      <c r="G301" s="69" t="s">
        <v>2193</v>
      </c>
    </row>
    <row r="302" spans="3:7" ht="11.25" customHeight="1">
      <c r="C302" s="69" t="s">
        <v>2535</v>
      </c>
      <c r="E302" s="69" t="s">
        <v>2535</v>
      </c>
      <c r="G302" s="69" t="s">
        <v>2535</v>
      </c>
    </row>
    <row r="303" spans="3:7" ht="11.25" customHeight="1">
      <c r="C303" s="69" t="s">
        <v>2536</v>
      </c>
      <c r="E303" s="69" t="s">
        <v>2536</v>
      </c>
      <c r="G303" s="69" t="s">
        <v>2536</v>
      </c>
    </row>
    <row r="304" spans="3:7" ht="11.25" customHeight="1">
      <c r="C304" s="69" t="s">
        <v>2236</v>
      </c>
      <c r="E304" s="69" t="s">
        <v>2236</v>
      </c>
      <c r="G304" s="69" t="s">
        <v>2236</v>
      </c>
    </row>
    <row r="305" spans="3:7" ht="11.25" customHeight="1">
      <c r="C305" s="69" t="s">
        <v>2263</v>
      </c>
      <c r="E305" s="69" t="s">
        <v>2263</v>
      </c>
      <c r="G305" s="69" t="s">
        <v>2263</v>
      </c>
    </row>
    <row r="306" spans="3:7" ht="11.25" customHeight="1">
      <c r="C306" s="69" t="s">
        <v>2194</v>
      </c>
      <c r="E306" s="69" t="s">
        <v>2194</v>
      </c>
      <c r="G306" s="69" t="s">
        <v>2194</v>
      </c>
    </row>
    <row r="307" spans="3:7" ht="11.25" customHeight="1">
      <c r="C307" s="69" t="s">
        <v>2195</v>
      </c>
      <c r="E307" s="69" t="s">
        <v>2195</v>
      </c>
      <c r="G307" s="69" t="s">
        <v>2195</v>
      </c>
    </row>
    <row r="308" spans="3:7" ht="11.25" customHeight="1">
      <c r="C308" s="69" t="s">
        <v>2196</v>
      </c>
      <c r="E308" s="69" t="s">
        <v>2196</v>
      </c>
      <c r="G308" s="69" t="s">
        <v>2196</v>
      </c>
    </row>
    <row r="309" spans="3:7" ht="11.25" customHeight="1">
      <c r="C309" s="69" t="s">
        <v>2197</v>
      </c>
      <c r="E309" s="69" t="s">
        <v>2197</v>
      </c>
      <c r="G309" s="69" t="s">
        <v>2197</v>
      </c>
    </row>
    <row r="310" spans="3:7" ht="11.25" customHeight="1">
      <c r="C310" s="69" t="s">
        <v>2543</v>
      </c>
      <c r="E310" s="69" t="s">
        <v>2543</v>
      </c>
      <c r="G310" s="69" t="s">
        <v>2543</v>
      </c>
    </row>
    <row r="311" spans="3:7" ht="11.25" customHeight="1">
      <c r="C311" s="69" t="s">
        <v>2198</v>
      </c>
      <c r="E311" s="69" t="s">
        <v>2198</v>
      </c>
      <c r="G311" s="69" t="s">
        <v>2198</v>
      </c>
    </row>
    <row r="312" spans="3:7" ht="11.25" customHeight="1">
      <c r="C312" s="69" t="s">
        <v>2199</v>
      </c>
      <c r="E312" s="69" t="s">
        <v>2199</v>
      </c>
      <c r="G312" s="69" t="s">
        <v>2199</v>
      </c>
    </row>
    <row r="313" spans="3:7" ht="11.25" customHeight="1">
      <c r="C313" s="69" t="s">
        <v>2708</v>
      </c>
      <c r="E313" s="69" t="s">
        <v>2708</v>
      </c>
      <c r="G313" s="69" t="s">
        <v>2708</v>
      </c>
    </row>
    <row r="314" spans="3:7" ht="11.25" customHeight="1">
      <c r="C314" s="69" t="s">
        <v>2709</v>
      </c>
      <c r="E314" s="69" t="s">
        <v>2709</v>
      </c>
      <c r="G314" s="69" t="s">
        <v>2709</v>
      </c>
    </row>
    <row r="315" spans="3:7" ht="11.25" customHeight="1">
      <c r="C315" s="69" t="s">
        <v>2710</v>
      </c>
      <c r="E315" s="69" t="s">
        <v>2710</v>
      </c>
      <c r="G315" s="69" t="s">
        <v>2710</v>
      </c>
    </row>
    <row r="316" spans="3:7" ht="11.25" customHeight="1">
      <c r="C316" s="69" t="s">
        <v>2549</v>
      </c>
      <c r="E316" s="69" t="s">
        <v>2549</v>
      </c>
      <c r="G316" s="69" t="s">
        <v>2549</v>
      </c>
    </row>
    <row r="317" spans="3:7" ht="11.25" customHeight="1">
      <c r="C317" s="69" t="s">
        <v>2749</v>
      </c>
      <c r="E317" s="69" t="s">
        <v>2749</v>
      </c>
      <c r="G317" s="69" t="s">
        <v>2749</v>
      </c>
    </row>
    <row r="318" spans="3:7" ht="11.25" customHeight="1">
      <c r="C318" s="69" t="s">
        <v>2200</v>
      </c>
      <c r="E318" s="69" t="s">
        <v>2200</v>
      </c>
      <c r="G318" s="69" t="s">
        <v>2200</v>
      </c>
    </row>
    <row r="319" spans="3:7" ht="11.25" customHeight="1">
      <c r="C319" s="69" t="s">
        <v>2201</v>
      </c>
      <c r="E319" s="69" t="s">
        <v>2201</v>
      </c>
      <c r="G319" s="69" t="s">
        <v>2201</v>
      </c>
    </row>
    <row r="320" spans="3:7" ht="11.25" customHeight="1">
      <c r="C320" s="69" t="s">
        <v>2550</v>
      </c>
      <c r="E320" s="69" t="s">
        <v>2550</v>
      </c>
      <c r="G320" s="69" t="s">
        <v>2550</v>
      </c>
    </row>
    <row r="321" spans="3:7" ht="11.25" customHeight="1">
      <c r="C321" s="69" t="s">
        <v>3165</v>
      </c>
      <c r="E321" s="69" t="s">
        <v>3165</v>
      </c>
      <c r="G321" s="69" t="s">
        <v>3165</v>
      </c>
    </row>
    <row r="322" spans="3:7" ht="11.25" customHeight="1">
      <c r="C322" s="69" t="s">
        <v>3174</v>
      </c>
      <c r="E322" s="69" t="s">
        <v>3174</v>
      </c>
      <c r="G322" s="69" t="s">
        <v>3174</v>
      </c>
    </row>
    <row r="323" spans="3:7" ht="11.25" customHeight="1">
      <c r="C323" s="69" t="s">
        <v>2202</v>
      </c>
      <c r="E323" s="69" t="s">
        <v>2202</v>
      </c>
      <c r="G323" s="69" t="s">
        <v>2202</v>
      </c>
    </row>
    <row r="324" spans="3:7" ht="11.25" customHeight="1">
      <c r="C324" s="69" t="s">
        <v>2203</v>
      </c>
      <c r="E324" s="69" t="s">
        <v>2203</v>
      </c>
      <c r="G324" s="69" t="s">
        <v>2203</v>
      </c>
    </row>
    <row r="325" spans="3:7" ht="11.25" customHeight="1">
      <c r="C325" s="69" t="s">
        <v>2553</v>
      </c>
      <c r="E325" s="69" t="s">
        <v>2553</v>
      </c>
      <c r="G325" s="69" t="s">
        <v>2553</v>
      </c>
    </row>
    <row r="326" spans="3:7" ht="11.25" customHeight="1">
      <c r="C326" s="69" t="s">
        <v>2204</v>
      </c>
      <c r="E326" s="69" t="s">
        <v>2204</v>
      </c>
      <c r="G326" s="69" t="s">
        <v>2204</v>
      </c>
    </row>
    <row r="327" spans="3:7" ht="11.25" customHeight="1">
      <c r="C327" s="69" t="s">
        <v>2205</v>
      </c>
      <c r="E327" s="69" t="s">
        <v>2205</v>
      </c>
      <c r="G327" s="69" t="s">
        <v>2205</v>
      </c>
    </row>
    <row r="328" spans="3:7" ht="11.25" customHeight="1">
      <c r="C328" s="69" t="s">
        <v>2206</v>
      </c>
      <c r="E328" s="69" t="s">
        <v>2206</v>
      </c>
      <c r="G328" s="69" t="s">
        <v>2206</v>
      </c>
    </row>
    <row r="329" spans="3:7" ht="11.25" customHeight="1">
      <c r="C329" s="69" t="s">
        <v>2207</v>
      </c>
      <c r="E329" s="69" t="s">
        <v>2207</v>
      </c>
      <c r="G329" s="69" t="s">
        <v>2207</v>
      </c>
    </row>
    <row r="330" spans="3:7" ht="11.25" customHeight="1">
      <c r="C330" s="69" t="s">
        <v>2208</v>
      </c>
      <c r="E330" s="69" t="s">
        <v>2208</v>
      </c>
      <c r="G330" s="69" t="s">
        <v>2208</v>
      </c>
    </row>
    <row r="331" spans="3:7" ht="11.25" customHeight="1">
      <c r="C331" s="69" t="s">
        <v>2209</v>
      </c>
      <c r="E331" s="69" t="s">
        <v>2209</v>
      </c>
      <c r="G331" s="69" t="s">
        <v>2209</v>
      </c>
    </row>
    <row r="332" spans="3:7" ht="11.25" customHeight="1">
      <c r="C332" s="69" t="s">
        <v>2210</v>
      </c>
      <c r="E332" s="69" t="s">
        <v>2210</v>
      </c>
      <c r="G332" s="69" t="s">
        <v>2210</v>
      </c>
    </row>
    <row r="333" spans="3:7" ht="11.25" customHeight="1">
      <c r="C333" s="69" t="s">
        <v>2211</v>
      </c>
      <c r="E333" s="69" t="s">
        <v>2211</v>
      </c>
      <c r="G333" s="69" t="s">
        <v>2211</v>
      </c>
    </row>
    <row r="334" spans="3:7" ht="11.25" customHeight="1">
      <c r="C334" s="69" t="s">
        <v>2212</v>
      </c>
      <c r="E334" s="69" t="s">
        <v>2212</v>
      </c>
      <c r="G334" s="69" t="s">
        <v>2212</v>
      </c>
    </row>
    <row r="335" spans="3:7" ht="11.25" customHeight="1">
      <c r="C335" s="69" t="s">
        <v>2213</v>
      </c>
      <c r="E335" s="69" t="s">
        <v>2213</v>
      </c>
      <c r="G335" s="69" t="s">
        <v>2213</v>
      </c>
    </row>
    <row r="336" spans="3:7" ht="11.25" customHeight="1">
      <c r="C336" s="69" t="s">
        <v>3230</v>
      </c>
      <c r="E336" s="69" t="s">
        <v>3230</v>
      </c>
      <c r="G336" s="69" t="s">
        <v>3230</v>
      </c>
    </row>
    <row r="337" spans="3:7" ht="11.25" customHeight="1">
      <c r="C337" s="69" t="s">
        <v>3231</v>
      </c>
      <c r="E337" s="69" t="s">
        <v>3231</v>
      </c>
      <c r="G337" s="69" t="s">
        <v>3231</v>
      </c>
    </row>
    <row r="338" spans="3:7" ht="11.25" customHeight="1">
      <c r="C338" s="69" t="s">
        <v>2214</v>
      </c>
      <c r="E338" s="69" t="s">
        <v>2214</v>
      </c>
      <c r="G338" s="69" t="s">
        <v>2214</v>
      </c>
    </row>
    <row r="339" spans="3:7" ht="11.25" customHeight="1">
      <c r="C339" s="69" t="s">
        <v>2215</v>
      </c>
      <c r="E339" s="69" t="s">
        <v>2215</v>
      </c>
      <c r="G339" s="69" t="s">
        <v>2215</v>
      </c>
    </row>
    <row r="340" spans="3:7" ht="11.25" customHeight="1">
      <c r="C340" s="69" t="s">
        <v>3232</v>
      </c>
      <c r="E340" s="69" t="s">
        <v>3232</v>
      </c>
      <c r="G340" s="69" t="s">
        <v>3232</v>
      </c>
    </row>
    <row r="341" spans="3:7" ht="11.25" customHeight="1">
      <c r="C341" s="69" t="s">
        <v>3236</v>
      </c>
      <c r="E341" s="69" t="s">
        <v>3236</v>
      </c>
      <c r="G341" s="69" t="s">
        <v>3236</v>
      </c>
    </row>
    <row r="342" spans="3:7" ht="11.25" customHeight="1">
      <c r="C342" s="69" t="s">
        <v>3237</v>
      </c>
      <c r="E342" s="69" t="s">
        <v>3237</v>
      </c>
      <c r="G342" s="69" t="s">
        <v>3237</v>
      </c>
    </row>
    <row r="343" spans="3:7" ht="11.25" customHeight="1">
      <c r="C343" s="69" t="s">
        <v>2216</v>
      </c>
      <c r="E343" s="69" t="s">
        <v>2216</v>
      </c>
      <c r="G343" s="69" t="s">
        <v>2216</v>
      </c>
    </row>
    <row r="344" spans="3:7" ht="11.25" customHeight="1">
      <c r="C344" s="69" t="s">
        <v>2217</v>
      </c>
      <c r="E344" s="69" t="s">
        <v>2217</v>
      </c>
      <c r="G344" s="69" t="s">
        <v>2217</v>
      </c>
    </row>
    <row r="345" spans="3:7" ht="11.25" customHeight="1">
      <c r="C345" s="69" t="s">
        <v>2218</v>
      </c>
      <c r="E345" s="69" t="s">
        <v>2218</v>
      </c>
      <c r="G345" s="69" t="s">
        <v>2218</v>
      </c>
    </row>
    <row r="346" spans="3:7" ht="11.25" customHeight="1">
      <c r="C346" s="69" t="s">
        <v>2219</v>
      </c>
      <c r="E346" s="69" t="s">
        <v>2219</v>
      </c>
      <c r="G346" s="69" t="s">
        <v>2219</v>
      </c>
    </row>
    <row r="347" spans="3:7" ht="11.25" customHeight="1">
      <c r="C347" s="69" t="s">
        <v>2220</v>
      </c>
      <c r="E347" s="69" t="s">
        <v>2220</v>
      </c>
      <c r="G347" s="69" t="s">
        <v>2220</v>
      </c>
    </row>
    <row r="348" spans="3:7" ht="11.25" customHeight="1">
      <c r="C348" s="69" t="s">
        <v>2221</v>
      </c>
      <c r="E348" s="69" t="s">
        <v>2221</v>
      </c>
      <c r="G348" s="69" t="s">
        <v>2221</v>
      </c>
    </row>
    <row r="349" spans="3:7" ht="11.25" customHeight="1">
      <c r="C349" s="69" t="s">
        <v>3238</v>
      </c>
      <c r="E349" s="69" t="s">
        <v>3238</v>
      </c>
      <c r="G349" s="69" t="s">
        <v>3238</v>
      </c>
    </row>
    <row r="350" spans="3:7" ht="11.25" customHeight="1">
      <c r="C350" s="69" t="s">
        <v>3241</v>
      </c>
      <c r="E350" s="69" t="s">
        <v>3241</v>
      </c>
      <c r="G350" s="69" t="s">
        <v>3241</v>
      </c>
    </row>
    <row r="351" spans="3:7" ht="11.25" customHeight="1">
      <c r="C351" s="69" t="s">
        <v>2222</v>
      </c>
      <c r="E351" s="69" t="s">
        <v>2222</v>
      </c>
      <c r="G351" s="69" t="s">
        <v>2222</v>
      </c>
    </row>
    <row r="352" spans="3:7" ht="11.25" customHeight="1">
      <c r="C352" s="69" t="s">
        <v>2223</v>
      </c>
      <c r="E352" s="69" t="s">
        <v>2223</v>
      </c>
      <c r="G352" s="69" t="s">
        <v>2223</v>
      </c>
    </row>
    <row r="353" spans="3:7" ht="11.25" customHeight="1">
      <c r="C353" s="69" t="s">
        <v>2224</v>
      </c>
      <c r="E353" s="69" t="s">
        <v>2224</v>
      </c>
      <c r="G353" s="69" t="s">
        <v>2224</v>
      </c>
    </row>
    <row r="354" spans="3:7" ht="11.25" customHeight="1">
      <c r="C354" s="69" t="s">
        <v>2225</v>
      </c>
      <c r="E354" s="69" t="s">
        <v>2225</v>
      </c>
      <c r="G354" s="69" t="s">
        <v>2225</v>
      </c>
    </row>
    <row r="355" spans="3:7" ht="11.25" customHeight="1">
      <c r="C355" s="69" t="s">
        <v>3246</v>
      </c>
      <c r="E355" s="69" t="s">
        <v>3246</v>
      </c>
      <c r="G355" s="69" t="s">
        <v>3246</v>
      </c>
    </row>
    <row r="356" spans="3:7" ht="11.25" customHeight="1">
      <c r="C356" s="69" t="s">
        <v>2226</v>
      </c>
      <c r="E356" s="69" t="s">
        <v>2226</v>
      </c>
      <c r="G356" s="69" t="s">
        <v>2226</v>
      </c>
    </row>
    <row r="357" spans="3:7" ht="11.25" customHeight="1">
      <c r="C357" s="69" t="s">
        <v>2227</v>
      </c>
      <c r="E357" s="69" t="s">
        <v>2227</v>
      </c>
      <c r="G357" s="69" t="s">
        <v>2227</v>
      </c>
    </row>
    <row r="358" spans="3:7" ht="11.25" customHeight="1">
      <c r="C358" s="69" t="s">
        <v>2228</v>
      </c>
      <c r="E358" s="69" t="s">
        <v>2228</v>
      </c>
      <c r="G358" s="69" t="s">
        <v>2228</v>
      </c>
    </row>
    <row r="359" spans="3:7" ht="11.25" customHeight="1">
      <c r="C359" s="69" t="s">
        <v>2229</v>
      </c>
      <c r="E359" s="69" t="s">
        <v>2229</v>
      </c>
      <c r="G359" s="69" t="s">
        <v>2229</v>
      </c>
    </row>
    <row r="360" spans="3:7" ht="11.25" customHeight="1">
      <c r="C360" s="69" t="s">
        <v>2230</v>
      </c>
      <c r="E360" s="69" t="s">
        <v>2230</v>
      </c>
      <c r="G360" s="69" t="s">
        <v>2230</v>
      </c>
    </row>
    <row r="361" spans="3:7" ht="11.25" customHeight="1">
      <c r="C361" s="69" t="s">
        <v>2231</v>
      </c>
      <c r="E361" s="69" t="s">
        <v>2231</v>
      </c>
      <c r="G361" s="69" t="s">
        <v>2231</v>
      </c>
    </row>
    <row r="362" spans="3:7" ht="11.25" customHeight="1">
      <c r="C362" s="69" t="s">
        <v>2232</v>
      </c>
      <c r="E362" s="69" t="s">
        <v>2232</v>
      </c>
      <c r="G362" s="69" t="s">
        <v>2232</v>
      </c>
    </row>
    <row r="363" spans="3:7" ht="11.25" customHeight="1">
      <c r="C363" s="69" t="s">
        <v>2233</v>
      </c>
      <c r="E363" s="69" t="s">
        <v>2233</v>
      </c>
      <c r="G363" s="69" t="s">
        <v>2233</v>
      </c>
    </row>
    <row r="364" spans="3:7" ht="11.25" customHeight="1">
      <c r="C364" s="69" t="s">
        <v>3248</v>
      </c>
      <c r="E364" s="69" t="s">
        <v>3248</v>
      </c>
      <c r="G364" s="69" t="s">
        <v>3248</v>
      </c>
    </row>
    <row r="365" spans="3:7" ht="11.25" customHeight="1">
      <c r="C365" s="69" t="s">
        <v>3249</v>
      </c>
      <c r="E365" s="69" t="s">
        <v>3249</v>
      </c>
      <c r="G365" s="69" t="s">
        <v>3249</v>
      </c>
    </row>
    <row r="366" spans="3:7" ht="11.25" customHeight="1">
      <c r="C366" s="69" t="s">
        <v>3250</v>
      </c>
      <c r="E366" s="69" t="s">
        <v>3250</v>
      </c>
      <c r="G366" s="69" t="s">
        <v>3250</v>
      </c>
    </row>
    <row r="367" spans="3:7" ht="11.25" customHeight="1">
      <c r="C367" s="69" t="s">
        <v>3252</v>
      </c>
      <c r="E367" s="69" t="s">
        <v>3252</v>
      </c>
      <c r="G367" s="69" t="s">
        <v>3252</v>
      </c>
    </row>
    <row r="368" spans="3:7" ht="11.25" customHeight="1">
      <c r="C368" s="69" t="s">
        <v>461</v>
      </c>
      <c r="E368" s="69" t="s">
        <v>461</v>
      </c>
      <c r="G368" s="69" t="s">
        <v>461</v>
      </c>
    </row>
    <row r="369" spans="3:7" ht="11.25" customHeight="1">
      <c r="C369" s="69" t="s">
        <v>463</v>
      </c>
      <c r="E369" s="69" t="s">
        <v>463</v>
      </c>
      <c r="G369" s="69" t="s">
        <v>463</v>
      </c>
    </row>
    <row r="370" spans="3:7" ht="11.25" customHeight="1">
      <c r="C370" s="69" t="s">
        <v>464</v>
      </c>
      <c r="E370" s="69" t="s">
        <v>464</v>
      </c>
      <c r="G370" s="69" t="s">
        <v>464</v>
      </c>
    </row>
    <row r="371" spans="3:7" ht="11.25" customHeight="1">
      <c r="C371" s="69" t="s">
        <v>465</v>
      </c>
      <c r="E371" s="69" t="s">
        <v>465</v>
      </c>
      <c r="G371" s="69" t="s">
        <v>465</v>
      </c>
    </row>
    <row r="372" spans="3:7" ht="11.25" customHeight="1">
      <c r="C372" s="69" t="s">
        <v>2234</v>
      </c>
      <c r="E372" s="69" t="s">
        <v>2234</v>
      </c>
      <c r="G372" s="69" t="s">
        <v>2234</v>
      </c>
    </row>
    <row r="373" spans="3:7" ht="11.25" customHeight="1">
      <c r="C373" s="69" t="s">
        <v>466</v>
      </c>
      <c r="E373" s="69" t="s">
        <v>466</v>
      </c>
      <c r="G373" s="69" t="s">
        <v>466</v>
      </c>
    </row>
    <row r="375" spans="3:7" ht="11.25" customHeight="1">
      <c r="C375" s="65" t="s">
        <v>1700</v>
      </c>
      <c r="E375" s="65" t="s">
        <v>1796</v>
      </c>
      <c r="G375" s="65" t="s">
        <v>5</v>
      </c>
    </row>
    <row r="376" spans="3:7" ht="11.25" customHeight="1">
      <c r="C376" s="69" t="s">
        <v>2519</v>
      </c>
      <c r="E376" s="69" t="s">
        <v>2519</v>
      </c>
      <c r="G376" s="69" t="s">
        <v>2519</v>
      </c>
    </row>
    <row r="377" spans="3:7" ht="11.25" customHeight="1">
      <c r="C377" s="69" t="s">
        <v>2538</v>
      </c>
      <c r="E377" s="69" t="s">
        <v>2538</v>
      </c>
      <c r="G377" s="69" t="s">
        <v>2538</v>
      </c>
    </row>
    <row r="378" spans="3:7" ht="11.25" customHeight="1">
      <c r="C378" s="69" t="s">
        <v>2235</v>
      </c>
      <c r="E378" s="69" t="s">
        <v>2235</v>
      </c>
      <c r="G378" s="69" t="s">
        <v>2235</v>
      </c>
    </row>
    <row r="379" spans="3:7" ht="11.25" customHeight="1">
      <c r="C379" s="69" t="s">
        <v>2539</v>
      </c>
      <c r="E379" s="69" t="s">
        <v>2539</v>
      </c>
      <c r="G379" s="69" t="s">
        <v>2539</v>
      </c>
    </row>
    <row r="380" spans="3:7" ht="11.25" customHeight="1">
      <c r="C380" s="69" t="s">
        <v>2535</v>
      </c>
      <c r="E380" s="69" t="s">
        <v>2535</v>
      </c>
      <c r="G380" s="69" t="s">
        <v>2535</v>
      </c>
    </row>
    <row r="381" spans="3:7" ht="11.25" customHeight="1">
      <c r="C381" s="69" t="s">
        <v>2536</v>
      </c>
      <c r="E381" s="69" t="s">
        <v>2540</v>
      </c>
      <c r="G381" s="69" t="s">
        <v>2540</v>
      </c>
    </row>
    <row r="382" spans="3:7" ht="11.25" customHeight="1">
      <c r="C382" s="69" t="s">
        <v>3160</v>
      </c>
      <c r="E382" s="69" t="s">
        <v>3162</v>
      </c>
      <c r="G382" s="69" t="s">
        <v>3162</v>
      </c>
    </row>
    <row r="383" spans="3:7" ht="11.25" customHeight="1">
      <c r="C383" s="69" t="s">
        <v>3161</v>
      </c>
      <c r="E383" s="69" t="s">
        <v>2236</v>
      </c>
      <c r="G383" s="69" t="s">
        <v>2236</v>
      </c>
    </row>
    <row r="384" spans="3:7" ht="11.25" customHeight="1">
      <c r="C384" s="69" t="s">
        <v>2537</v>
      </c>
      <c r="E384" s="69" t="s">
        <v>2237</v>
      </c>
      <c r="G384" s="69" t="s">
        <v>2237</v>
      </c>
    </row>
    <row r="385" spans="3:7" ht="11.25" customHeight="1">
      <c r="C385" s="69" t="s">
        <v>2540</v>
      </c>
      <c r="E385" s="69" t="s">
        <v>2238</v>
      </c>
      <c r="G385" s="69" t="s">
        <v>2238</v>
      </c>
    </row>
    <row r="386" spans="3:7" ht="11.25" customHeight="1">
      <c r="C386" s="69" t="s">
        <v>3162</v>
      </c>
      <c r="E386" s="69" t="s">
        <v>2239</v>
      </c>
      <c r="G386" s="69" t="s">
        <v>2239</v>
      </c>
    </row>
    <row r="387" spans="3:7" ht="11.25" customHeight="1">
      <c r="C387" s="69" t="s">
        <v>3163</v>
      </c>
      <c r="E387" s="69" t="s">
        <v>2240</v>
      </c>
      <c r="G387" s="69" t="s">
        <v>2240</v>
      </c>
    </row>
    <row r="388" spans="3:7" ht="11.25" customHeight="1">
      <c r="C388" s="69" t="s">
        <v>3164</v>
      </c>
      <c r="E388" s="69" t="s">
        <v>2241</v>
      </c>
      <c r="G388" s="69" t="s">
        <v>2241</v>
      </c>
    </row>
    <row r="389" spans="3:7" ht="11.25" customHeight="1">
      <c r="C389" s="69" t="s">
        <v>2541</v>
      </c>
      <c r="E389" s="69" t="s">
        <v>2242</v>
      </c>
      <c r="G389" s="69" t="s">
        <v>2242</v>
      </c>
    </row>
    <row r="390" spans="3:7" ht="11.25" customHeight="1">
      <c r="C390" s="69" t="s">
        <v>2542</v>
      </c>
      <c r="E390" s="69" t="s">
        <v>2243</v>
      </c>
      <c r="G390" s="69" t="s">
        <v>2243</v>
      </c>
    </row>
    <row r="391" spans="3:7" ht="11.25" customHeight="1">
      <c r="C391" s="69" t="s">
        <v>2551</v>
      </c>
      <c r="E391" s="69" t="s">
        <v>2244</v>
      </c>
      <c r="G391" s="69" t="s">
        <v>2244</v>
      </c>
    </row>
    <row r="392" spans="3:7" ht="11.25" customHeight="1">
      <c r="C392" s="69" t="s">
        <v>2552</v>
      </c>
      <c r="E392" s="69" t="s">
        <v>2245</v>
      </c>
      <c r="G392" s="69" t="s">
        <v>2245</v>
      </c>
    </row>
    <row r="393" spans="3:7" ht="11.25" customHeight="1">
      <c r="C393" s="69" t="s">
        <v>3165</v>
      </c>
      <c r="E393" s="69" t="s">
        <v>2246</v>
      </c>
      <c r="G393" s="69" t="s">
        <v>2246</v>
      </c>
    </row>
    <row r="394" spans="3:7" ht="11.25" customHeight="1">
      <c r="C394" s="605" t="s">
        <v>3166</v>
      </c>
      <c r="E394" s="69" t="s">
        <v>2247</v>
      </c>
      <c r="G394" s="69" t="s">
        <v>2247</v>
      </c>
    </row>
    <row r="395" spans="3:7" ht="11.25" customHeight="1">
      <c r="C395" s="605" t="s">
        <v>3167</v>
      </c>
      <c r="E395" s="69" t="s">
        <v>2248</v>
      </c>
      <c r="G395" s="69" t="s">
        <v>2248</v>
      </c>
    </row>
    <row r="396" spans="3:7" ht="11.25" customHeight="1">
      <c r="C396" s="605" t="s">
        <v>3168</v>
      </c>
      <c r="E396" s="69" t="s">
        <v>2249</v>
      </c>
      <c r="G396" s="69" t="s">
        <v>2249</v>
      </c>
    </row>
    <row r="397" spans="3:7" ht="11.25" customHeight="1">
      <c r="C397" s="605" t="s">
        <v>2169</v>
      </c>
      <c r="E397" s="69" t="s">
        <v>2250</v>
      </c>
      <c r="G397" s="69" t="s">
        <v>2250</v>
      </c>
    </row>
    <row r="398" spans="3:7" ht="11.25" customHeight="1">
      <c r="C398" s="605" t="s">
        <v>3169</v>
      </c>
      <c r="E398" s="69" t="s">
        <v>2251</v>
      </c>
      <c r="G398" s="69" t="s">
        <v>2251</v>
      </c>
    </row>
    <row r="399" spans="3:7" ht="11.25" customHeight="1">
      <c r="C399" s="605" t="s">
        <v>2170</v>
      </c>
      <c r="E399" s="69" t="s">
        <v>2252</v>
      </c>
      <c r="G399" s="69" t="s">
        <v>2252</v>
      </c>
    </row>
    <row r="400" spans="3:7" ht="11.25" customHeight="1">
      <c r="C400" s="605" t="s">
        <v>2171</v>
      </c>
      <c r="E400" s="69" t="s">
        <v>2253</v>
      </c>
      <c r="G400" s="69" t="s">
        <v>2253</v>
      </c>
    </row>
    <row r="401" spans="3:7" ht="11.25" customHeight="1">
      <c r="C401" s="605" t="s">
        <v>2172</v>
      </c>
      <c r="E401" s="69" t="s">
        <v>2254</v>
      </c>
      <c r="G401" s="69" t="s">
        <v>2254</v>
      </c>
    </row>
    <row r="402" spans="3:7" ht="11.25" customHeight="1">
      <c r="C402" s="605" t="s">
        <v>3170</v>
      </c>
      <c r="E402" s="69" t="s">
        <v>2255</v>
      </c>
      <c r="G402" s="69" t="s">
        <v>2255</v>
      </c>
    </row>
    <row r="403" spans="3:7" ht="11.25" customHeight="1">
      <c r="C403" s="605" t="s">
        <v>3171</v>
      </c>
      <c r="E403" s="69" t="s">
        <v>2256</v>
      </c>
      <c r="G403" s="69" t="s">
        <v>2256</v>
      </c>
    </row>
    <row r="404" spans="3:7" ht="11.25" customHeight="1">
      <c r="C404" s="605" t="s">
        <v>3172</v>
      </c>
      <c r="E404" s="69" t="s">
        <v>2257</v>
      </c>
      <c r="G404" s="69" t="s">
        <v>2257</v>
      </c>
    </row>
    <row r="405" spans="3:7" ht="11.25" customHeight="1">
      <c r="C405" s="605" t="s">
        <v>2173</v>
      </c>
      <c r="E405" s="69" t="s">
        <v>2258</v>
      </c>
      <c r="G405" s="69" t="s">
        <v>2258</v>
      </c>
    </row>
    <row r="406" spans="3:7" ht="11.25" customHeight="1">
      <c r="C406" s="605" t="s">
        <v>3173</v>
      </c>
      <c r="E406" s="69" t="s">
        <v>2259</v>
      </c>
      <c r="G406" s="69" t="s">
        <v>2259</v>
      </c>
    </row>
    <row r="407" spans="3:7" ht="11.25" customHeight="1">
      <c r="C407" s="605" t="s">
        <v>2174</v>
      </c>
      <c r="E407" s="69" t="s">
        <v>2260</v>
      </c>
      <c r="G407" s="69" t="s">
        <v>2260</v>
      </c>
    </row>
    <row r="408" spans="3:7" ht="11.25" customHeight="1">
      <c r="C408" s="605" t="s">
        <v>2175</v>
      </c>
      <c r="E408" s="69" t="s">
        <v>2261</v>
      </c>
      <c r="G408" s="69" t="s">
        <v>2261</v>
      </c>
    </row>
    <row r="409" spans="3:7" ht="11.25" customHeight="1">
      <c r="C409" s="605" t="s">
        <v>2176</v>
      </c>
      <c r="E409" s="69" t="s">
        <v>2262</v>
      </c>
      <c r="G409" s="69" t="s">
        <v>2262</v>
      </c>
    </row>
    <row r="410" spans="3:7" ht="11.25" customHeight="1">
      <c r="C410" s="69" t="s">
        <v>3174</v>
      </c>
      <c r="E410" s="69" t="s">
        <v>2263</v>
      </c>
      <c r="G410" s="69" t="s">
        <v>2263</v>
      </c>
    </row>
    <row r="411" spans="3:7" ht="11.25" customHeight="1">
      <c r="C411" s="69" t="s">
        <v>3175</v>
      </c>
      <c r="E411" s="69" t="s">
        <v>3163</v>
      </c>
      <c r="G411" s="69" t="s">
        <v>3163</v>
      </c>
    </row>
    <row r="412" spans="3:7" ht="11.25" customHeight="1">
      <c r="C412" s="69" t="s">
        <v>3176</v>
      </c>
      <c r="E412" s="69" t="s">
        <v>3164</v>
      </c>
      <c r="G412" s="69" t="s">
        <v>3164</v>
      </c>
    </row>
    <row r="413" spans="3:7" ht="11.25" customHeight="1">
      <c r="C413" s="69" t="s">
        <v>3177</v>
      </c>
      <c r="E413" s="69" t="s">
        <v>2264</v>
      </c>
      <c r="G413" s="69" t="s">
        <v>2264</v>
      </c>
    </row>
    <row r="414" spans="3:7" ht="11.25" customHeight="1">
      <c r="C414" s="69" t="s">
        <v>3178</v>
      </c>
      <c r="E414" s="69" t="s">
        <v>2198</v>
      </c>
      <c r="G414" s="69" t="s">
        <v>2198</v>
      </c>
    </row>
    <row r="415" spans="3:7" ht="11.25" customHeight="1">
      <c r="C415" s="69" t="s">
        <v>3179</v>
      </c>
      <c r="E415" s="69" t="s">
        <v>2199</v>
      </c>
      <c r="G415" s="69" t="s">
        <v>2199</v>
      </c>
    </row>
    <row r="416" spans="3:7" ht="11.25" customHeight="1">
      <c r="C416" s="69" t="s">
        <v>3180</v>
      </c>
      <c r="E416" s="69" t="s">
        <v>2265</v>
      </c>
      <c r="G416" s="69" t="s">
        <v>2265</v>
      </c>
    </row>
    <row r="417" spans="3:7" ht="11.25" customHeight="1">
      <c r="C417" s="69" t="s">
        <v>3181</v>
      </c>
      <c r="E417" s="69" t="s">
        <v>2266</v>
      </c>
      <c r="G417" s="69" t="s">
        <v>2266</v>
      </c>
    </row>
    <row r="418" spans="3:7" ht="11.25" customHeight="1">
      <c r="C418" s="69" t="s">
        <v>3182</v>
      </c>
      <c r="E418" s="69" t="s">
        <v>2267</v>
      </c>
      <c r="G418" s="69" t="s">
        <v>2267</v>
      </c>
    </row>
    <row r="419" spans="3:7" ht="11.25" customHeight="1">
      <c r="C419" s="69" t="s">
        <v>3183</v>
      </c>
      <c r="E419" s="69" t="s">
        <v>2268</v>
      </c>
      <c r="G419" s="69" t="s">
        <v>2268</v>
      </c>
    </row>
    <row r="420" spans="3:7" ht="11.25" customHeight="1">
      <c r="C420" s="69" t="s">
        <v>3184</v>
      </c>
      <c r="E420" s="605" t="s">
        <v>2689</v>
      </c>
      <c r="G420" s="605" t="s">
        <v>2689</v>
      </c>
    </row>
    <row r="421" spans="3:7" ht="11.25" customHeight="1">
      <c r="C421" s="69" t="s">
        <v>3185</v>
      </c>
      <c r="E421" s="605" t="s">
        <v>2690</v>
      </c>
      <c r="G421" s="605" t="s">
        <v>2690</v>
      </c>
    </row>
    <row r="422" spans="3:7" ht="11.25" customHeight="1">
      <c r="C422" s="69" t="s">
        <v>3186</v>
      </c>
      <c r="E422" s="605" t="s">
        <v>2691</v>
      </c>
      <c r="G422" s="605" t="s">
        <v>2691</v>
      </c>
    </row>
    <row r="423" spans="3:7" ht="11.25" customHeight="1">
      <c r="C423" s="69" t="s">
        <v>3187</v>
      </c>
      <c r="E423" s="69" t="s">
        <v>2269</v>
      </c>
      <c r="G423" s="69" t="s">
        <v>2269</v>
      </c>
    </row>
    <row r="424" spans="3:7" ht="11.25" customHeight="1">
      <c r="C424" s="69" t="s">
        <v>3188</v>
      </c>
      <c r="E424" s="69" t="s">
        <v>2270</v>
      </c>
      <c r="G424" s="69" t="s">
        <v>2270</v>
      </c>
    </row>
    <row r="425" spans="3:7" ht="11.25" customHeight="1">
      <c r="C425" s="69" t="s">
        <v>3189</v>
      </c>
      <c r="E425" s="69" t="s">
        <v>2271</v>
      </c>
      <c r="G425" s="69" t="s">
        <v>2271</v>
      </c>
    </row>
    <row r="426" spans="3:7" ht="11.25" customHeight="1">
      <c r="C426" s="69" t="s">
        <v>3190</v>
      </c>
      <c r="E426" s="605" t="s">
        <v>2692</v>
      </c>
      <c r="G426" s="605" t="s">
        <v>2692</v>
      </c>
    </row>
    <row r="427" spans="3:7" ht="11.25" customHeight="1">
      <c r="C427" s="69" t="s">
        <v>3191</v>
      </c>
      <c r="E427" s="605" t="s">
        <v>2693</v>
      </c>
      <c r="G427" s="605" t="s">
        <v>2693</v>
      </c>
    </row>
    <row r="428" spans="3:7" ht="11.25" customHeight="1">
      <c r="C428" s="69" t="s">
        <v>3192</v>
      </c>
      <c r="E428" s="605" t="s">
        <v>2694</v>
      </c>
      <c r="G428" s="605" t="s">
        <v>2694</v>
      </c>
    </row>
    <row r="429" spans="3:7" ht="11.25" customHeight="1">
      <c r="C429" s="69" t="s">
        <v>3193</v>
      </c>
      <c r="E429" s="69" t="s">
        <v>2272</v>
      </c>
      <c r="G429" s="69" t="s">
        <v>2272</v>
      </c>
    </row>
    <row r="430" spans="3:7" ht="11.25" customHeight="1">
      <c r="C430" s="69" t="s">
        <v>3194</v>
      </c>
      <c r="E430" s="69" t="s">
        <v>2273</v>
      </c>
      <c r="G430" s="69" t="s">
        <v>2273</v>
      </c>
    </row>
    <row r="431" spans="3:7" ht="11.25" customHeight="1">
      <c r="C431" s="69" t="s">
        <v>3195</v>
      </c>
      <c r="E431" s="69" t="s">
        <v>2274</v>
      </c>
      <c r="G431" s="69" t="s">
        <v>2274</v>
      </c>
    </row>
    <row r="432" spans="3:7" ht="11.25" customHeight="1">
      <c r="C432" s="69" t="s">
        <v>3196</v>
      </c>
      <c r="E432" s="605" t="s">
        <v>2695</v>
      </c>
      <c r="G432" s="605" t="s">
        <v>2695</v>
      </c>
    </row>
    <row r="433" spans="3:7" ht="11.25" customHeight="1">
      <c r="C433" s="69" t="s">
        <v>3197</v>
      </c>
      <c r="E433" s="605" t="s">
        <v>2696</v>
      </c>
      <c r="G433" s="605" t="s">
        <v>2696</v>
      </c>
    </row>
    <row r="434" spans="3:7" ht="11.25" customHeight="1">
      <c r="C434" s="69" t="s">
        <v>3198</v>
      </c>
      <c r="E434" s="605" t="s">
        <v>2697</v>
      </c>
      <c r="G434" s="605" t="s">
        <v>2697</v>
      </c>
    </row>
    <row r="435" spans="3:7" ht="11.25" customHeight="1">
      <c r="C435" s="69" t="s">
        <v>3199</v>
      </c>
      <c r="E435" s="69" t="s">
        <v>2275</v>
      </c>
      <c r="G435" s="69" t="s">
        <v>2275</v>
      </c>
    </row>
    <row r="436" spans="3:7" ht="11.25" customHeight="1">
      <c r="C436" s="69" t="s">
        <v>3200</v>
      </c>
      <c r="E436" s="69" t="s">
        <v>2276</v>
      </c>
      <c r="G436" s="69" t="s">
        <v>2276</v>
      </c>
    </row>
    <row r="437" spans="3:7" ht="11.25" customHeight="1">
      <c r="C437" s="69" t="s">
        <v>3201</v>
      </c>
      <c r="E437" s="69" t="s">
        <v>2277</v>
      </c>
      <c r="G437" s="69" t="s">
        <v>2277</v>
      </c>
    </row>
    <row r="438" spans="3:7" ht="11.25" customHeight="1">
      <c r="C438" s="69" t="s">
        <v>2553</v>
      </c>
      <c r="E438" s="69" t="s">
        <v>2278</v>
      </c>
      <c r="G438" s="69" t="s">
        <v>2278</v>
      </c>
    </row>
    <row r="439" spans="3:7" ht="11.25" customHeight="1">
      <c r="C439" s="69" t="s">
        <v>2554</v>
      </c>
      <c r="E439" s="69" t="s">
        <v>2279</v>
      </c>
      <c r="G439" s="69" t="s">
        <v>2279</v>
      </c>
    </row>
    <row r="440" spans="3:7" ht="11.25" customHeight="1">
      <c r="C440" s="69" t="s">
        <v>2555</v>
      </c>
      <c r="E440" s="69" t="s">
        <v>2280</v>
      </c>
      <c r="G440" s="69" t="s">
        <v>2280</v>
      </c>
    </row>
    <row r="441" spans="3:7" ht="11.25" customHeight="1">
      <c r="C441" s="69" t="s">
        <v>3202</v>
      </c>
      <c r="E441" s="69" t="s">
        <v>2281</v>
      </c>
      <c r="G441" s="69" t="s">
        <v>2281</v>
      </c>
    </row>
    <row r="442" spans="3:7" ht="11.25" customHeight="1">
      <c r="C442" s="69" t="s">
        <v>3203</v>
      </c>
      <c r="E442" s="69" t="s">
        <v>2282</v>
      </c>
      <c r="G442" s="69" t="s">
        <v>2282</v>
      </c>
    </row>
    <row r="443" spans="3:7" ht="11.25" customHeight="1">
      <c r="C443" s="69" t="s">
        <v>3204</v>
      </c>
      <c r="E443" s="69" t="s">
        <v>2283</v>
      </c>
      <c r="G443" s="69" t="s">
        <v>2283</v>
      </c>
    </row>
    <row r="444" spans="3:7" ht="11.25" customHeight="1">
      <c r="C444" s="69" t="s">
        <v>3205</v>
      </c>
      <c r="E444" s="69" t="s">
        <v>2284</v>
      </c>
      <c r="G444" s="69" t="s">
        <v>2284</v>
      </c>
    </row>
    <row r="445" spans="3:7" ht="11.25" customHeight="1">
      <c r="C445" s="69" t="s">
        <v>3206</v>
      </c>
      <c r="E445" s="69" t="s">
        <v>2285</v>
      </c>
      <c r="G445" s="69" t="s">
        <v>2285</v>
      </c>
    </row>
    <row r="446" spans="3:7" ht="11.25" customHeight="1">
      <c r="C446" s="69" t="s">
        <v>3207</v>
      </c>
      <c r="E446" s="69" t="s">
        <v>2286</v>
      </c>
      <c r="G446" s="69" t="s">
        <v>2286</v>
      </c>
    </row>
    <row r="447" spans="3:7" ht="11.25" customHeight="1">
      <c r="C447" s="69" t="s">
        <v>3208</v>
      </c>
      <c r="E447" s="69" t="s">
        <v>2287</v>
      </c>
      <c r="G447" s="69" t="s">
        <v>2287</v>
      </c>
    </row>
    <row r="448" spans="3:7" ht="11.25" customHeight="1">
      <c r="C448" s="69" t="s">
        <v>3209</v>
      </c>
      <c r="E448" s="69" t="s">
        <v>2288</v>
      </c>
      <c r="G448" s="69" t="s">
        <v>2288</v>
      </c>
    </row>
    <row r="449" spans="3:7" ht="11.25" customHeight="1">
      <c r="C449" s="69" t="s">
        <v>3210</v>
      </c>
      <c r="E449" s="69" t="s">
        <v>2289</v>
      </c>
      <c r="G449" s="69" t="s">
        <v>2289</v>
      </c>
    </row>
    <row r="450" spans="3:7" ht="11.25" customHeight="1">
      <c r="C450" s="69" t="s">
        <v>3211</v>
      </c>
      <c r="E450" s="69" t="s">
        <v>2290</v>
      </c>
      <c r="G450" s="606" t="s">
        <v>462</v>
      </c>
    </row>
    <row r="451" spans="3:7" ht="11.25" customHeight="1">
      <c r="C451" s="69" t="s">
        <v>3212</v>
      </c>
      <c r="E451" s="69" t="s">
        <v>2291</v>
      </c>
      <c r="G451" s="606" t="s">
        <v>467</v>
      </c>
    </row>
    <row r="452" spans="3:7" ht="11.25" customHeight="1">
      <c r="C452" s="69" t="s">
        <v>3213</v>
      </c>
      <c r="E452" s="69" t="s">
        <v>2292</v>
      </c>
      <c r="G452" s="606" t="s">
        <v>468</v>
      </c>
    </row>
    <row r="453" spans="3:7" ht="11.25" customHeight="1">
      <c r="C453" s="69" t="s">
        <v>3214</v>
      </c>
      <c r="E453" s="69" t="s">
        <v>2293</v>
      </c>
      <c r="G453" s="606" t="s">
        <v>2750</v>
      </c>
    </row>
    <row r="454" spans="3:7" ht="11.25" customHeight="1">
      <c r="C454" s="69" t="s">
        <v>3215</v>
      </c>
      <c r="E454" s="69" t="s">
        <v>2294</v>
      </c>
      <c r="G454" s="69" t="s">
        <v>2294</v>
      </c>
    </row>
    <row r="455" spans="3:7" ht="11.25" customHeight="1">
      <c r="C455" s="69" t="s">
        <v>3216</v>
      </c>
      <c r="E455" s="69" t="s">
        <v>2295</v>
      </c>
      <c r="G455" s="69" t="s">
        <v>2295</v>
      </c>
    </row>
    <row r="456" spans="3:7" ht="11.25" customHeight="1">
      <c r="C456" s="69" t="s">
        <v>3217</v>
      </c>
      <c r="E456" s="69" t="s">
        <v>2296</v>
      </c>
      <c r="G456" s="69" t="s">
        <v>2296</v>
      </c>
    </row>
    <row r="457" spans="3:7" ht="11.25" customHeight="1">
      <c r="C457" s="69" t="s">
        <v>3218</v>
      </c>
      <c r="E457" s="69" t="s">
        <v>2297</v>
      </c>
      <c r="G457" s="69" t="s">
        <v>2297</v>
      </c>
    </row>
    <row r="458" spans="3:7" ht="11.25" customHeight="1">
      <c r="C458" s="69" t="s">
        <v>3219</v>
      </c>
      <c r="E458" s="69" t="s">
        <v>2298</v>
      </c>
      <c r="G458" s="69" t="s">
        <v>2298</v>
      </c>
    </row>
    <row r="459" spans="3:7" ht="11.25" customHeight="1">
      <c r="C459" s="69" t="s">
        <v>3220</v>
      </c>
      <c r="E459" s="69" t="s">
        <v>2299</v>
      </c>
      <c r="G459" s="69" t="s">
        <v>2299</v>
      </c>
    </row>
    <row r="460" spans="3:7" ht="11.25" customHeight="1">
      <c r="C460" s="69" t="s">
        <v>3221</v>
      </c>
      <c r="E460" s="69" t="s">
        <v>2300</v>
      </c>
      <c r="G460" s="69" t="s">
        <v>2300</v>
      </c>
    </row>
    <row r="461" spans="3:7" ht="11.25" customHeight="1">
      <c r="C461" s="69" t="s">
        <v>3222</v>
      </c>
      <c r="E461" s="69" t="s">
        <v>2301</v>
      </c>
      <c r="G461" s="69" t="s">
        <v>2301</v>
      </c>
    </row>
    <row r="462" spans="3:7" ht="11.25" customHeight="1">
      <c r="C462" s="69" t="s">
        <v>3223</v>
      </c>
      <c r="E462" s="69" t="s">
        <v>2667</v>
      </c>
      <c r="G462" s="69" t="s">
        <v>2667</v>
      </c>
    </row>
    <row r="463" spans="3:7" ht="11.25" customHeight="1">
      <c r="C463" s="69" t="s">
        <v>3224</v>
      </c>
      <c r="E463" s="69" t="s">
        <v>2668</v>
      </c>
      <c r="G463" s="69" t="s">
        <v>2668</v>
      </c>
    </row>
    <row r="464" spans="3:7" ht="11.25" customHeight="1">
      <c r="C464" s="69" t="s">
        <v>3225</v>
      </c>
      <c r="E464" s="69" t="s">
        <v>2669</v>
      </c>
      <c r="G464" s="69" t="s">
        <v>2669</v>
      </c>
    </row>
    <row r="465" spans="3:7" ht="11.25" customHeight="1">
      <c r="C465" s="69" t="s">
        <v>3226</v>
      </c>
      <c r="E465" s="69" t="s">
        <v>2670</v>
      </c>
      <c r="G465" s="69" t="s">
        <v>2670</v>
      </c>
    </row>
    <row r="466" spans="3:7" ht="11.25" customHeight="1">
      <c r="C466" s="69" t="s">
        <v>3227</v>
      </c>
      <c r="E466" s="69" t="s">
        <v>2671</v>
      </c>
      <c r="G466" s="69" t="s">
        <v>2671</v>
      </c>
    </row>
    <row r="467" spans="3:7" ht="11.25" customHeight="1">
      <c r="C467" s="69" t="s">
        <v>3228</v>
      </c>
      <c r="E467" s="69" t="s">
        <v>2672</v>
      </c>
      <c r="G467" s="69" t="s">
        <v>2672</v>
      </c>
    </row>
    <row r="468" spans="3:7" ht="11.25" customHeight="1">
      <c r="C468" s="605" t="s">
        <v>1862</v>
      </c>
      <c r="E468" s="69" t="s">
        <v>2673</v>
      </c>
      <c r="G468" s="69" t="s">
        <v>2673</v>
      </c>
    </row>
    <row r="469" spans="3:7" ht="11.25" customHeight="1">
      <c r="C469" s="605" t="s">
        <v>1863</v>
      </c>
      <c r="E469" s="69" t="s">
        <v>2674</v>
      </c>
      <c r="G469" s="69" t="s">
        <v>2674</v>
      </c>
    </row>
    <row r="470" spans="3:7" ht="11.25" customHeight="1">
      <c r="C470" s="605" t="s">
        <v>1864</v>
      </c>
      <c r="E470" s="69" t="s">
        <v>2675</v>
      </c>
      <c r="G470" s="69" t="s">
        <v>2675</v>
      </c>
    </row>
    <row r="471" spans="3:7" ht="11.25" customHeight="1">
      <c r="C471" s="69" t="s">
        <v>3229</v>
      </c>
      <c r="E471" s="69" t="s">
        <v>2676</v>
      </c>
      <c r="G471" s="69" t="s">
        <v>2676</v>
      </c>
    </row>
    <row r="472" spans="3:7" ht="11.25" customHeight="1">
      <c r="C472" s="69" t="s">
        <v>3230</v>
      </c>
      <c r="E472" s="69" t="s">
        <v>2677</v>
      </c>
      <c r="G472" s="69" t="s">
        <v>2677</v>
      </c>
    </row>
    <row r="473" spans="3:7" ht="11.25" customHeight="1">
      <c r="C473" s="69" t="s">
        <v>3231</v>
      </c>
      <c r="E473" s="69" t="s">
        <v>2678</v>
      </c>
      <c r="G473" s="69" t="s">
        <v>2678</v>
      </c>
    </row>
    <row r="474" spans="3:7" ht="11.25" customHeight="1">
      <c r="C474" s="608" t="s">
        <v>1865</v>
      </c>
      <c r="E474" s="69" t="s">
        <v>2679</v>
      </c>
      <c r="G474" s="69" t="s">
        <v>2679</v>
      </c>
    </row>
    <row r="475" spans="3:7" ht="11.25" customHeight="1">
      <c r="C475" s="608" t="s">
        <v>1866</v>
      </c>
      <c r="E475" s="69" t="s">
        <v>2680</v>
      </c>
      <c r="G475" s="69" t="s">
        <v>2680</v>
      </c>
    </row>
    <row r="476" spans="3:7" ht="11.25" customHeight="1">
      <c r="C476" s="608" t="s">
        <v>1867</v>
      </c>
      <c r="E476" s="69" t="s">
        <v>2681</v>
      </c>
      <c r="G476" s="69" t="s">
        <v>2681</v>
      </c>
    </row>
    <row r="477" spans="3:7" ht="11.25" customHeight="1">
      <c r="C477" s="69" t="s">
        <v>3232</v>
      </c>
      <c r="E477" s="69" t="s">
        <v>2682</v>
      </c>
      <c r="G477" s="69" t="s">
        <v>2682</v>
      </c>
    </row>
    <row r="478" spans="3:7" ht="11.25" customHeight="1">
      <c r="C478" s="69" t="s">
        <v>3233</v>
      </c>
      <c r="E478" s="69" t="s">
        <v>2683</v>
      </c>
      <c r="G478" s="69" t="s">
        <v>2683</v>
      </c>
    </row>
    <row r="479" spans="3:7" ht="11.25" customHeight="1">
      <c r="C479" s="69" t="s">
        <v>3234</v>
      </c>
      <c r="E479" s="69" t="s">
        <v>2541</v>
      </c>
      <c r="G479" s="69" t="s">
        <v>2541</v>
      </c>
    </row>
    <row r="480" spans="3:7" ht="11.25" customHeight="1">
      <c r="C480" s="608" t="s">
        <v>1868</v>
      </c>
      <c r="E480" s="69" t="s">
        <v>2542</v>
      </c>
      <c r="G480" s="69" t="s">
        <v>2542</v>
      </c>
    </row>
    <row r="481" spans="3:7" ht="11.25" customHeight="1">
      <c r="C481" s="608" t="s">
        <v>1869</v>
      </c>
      <c r="E481" s="69" t="s">
        <v>2684</v>
      </c>
      <c r="G481" s="69" t="s">
        <v>2684</v>
      </c>
    </row>
    <row r="482" spans="3:7" ht="11.25" customHeight="1">
      <c r="C482" s="608" t="s">
        <v>1870</v>
      </c>
      <c r="E482" s="69" t="s">
        <v>2543</v>
      </c>
      <c r="G482" s="69" t="s">
        <v>2543</v>
      </c>
    </row>
    <row r="483" spans="3:7" ht="11.25" customHeight="1">
      <c r="C483" s="69" t="s">
        <v>3235</v>
      </c>
      <c r="E483" s="69" t="s">
        <v>2544</v>
      </c>
      <c r="G483" s="69" t="s">
        <v>2544</v>
      </c>
    </row>
    <row r="484" spans="3:7" ht="11.25" customHeight="1">
      <c r="C484" s="69" t="s">
        <v>3236</v>
      </c>
      <c r="E484" s="69" t="s">
        <v>2545</v>
      </c>
      <c r="G484" s="69" t="s">
        <v>2545</v>
      </c>
    </row>
    <row r="485" spans="3:7" ht="11.25" customHeight="1">
      <c r="C485" s="69" t="s">
        <v>3237</v>
      </c>
      <c r="E485" s="69" t="s">
        <v>2546</v>
      </c>
      <c r="G485" s="69" t="s">
        <v>2546</v>
      </c>
    </row>
    <row r="486" spans="3:7" ht="11.25" customHeight="1">
      <c r="C486" s="69" t="s">
        <v>3238</v>
      </c>
      <c r="E486" s="69" t="s">
        <v>2685</v>
      </c>
      <c r="G486" s="69" t="s">
        <v>2685</v>
      </c>
    </row>
    <row r="487" spans="3:7" ht="11.25" customHeight="1">
      <c r="C487" s="69" t="s">
        <v>3239</v>
      </c>
      <c r="E487" s="69" t="s">
        <v>2686</v>
      </c>
      <c r="G487" s="69" t="s">
        <v>2686</v>
      </c>
    </row>
    <row r="488" spans="3:7" ht="11.25" customHeight="1">
      <c r="C488" s="69" t="s">
        <v>3240</v>
      </c>
      <c r="E488" s="69" t="s">
        <v>2687</v>
      </c>
      <c r="G488" s="69" t="s">
        <v>2687</v>
      </c>
    </row>
    <row r="489" spans="3:7" ht="11.25" customHeight="1">
      <c r="C489" s="69" t="s">
        <v>3241</v>
      </c>
      <c r="E489" s="69" t="s">
        <v>2748</v>
      </c>
      <c r="G489" s="69" t="s">
        <v>2748</v>
      </c>
    </row>
    <row r="490" spans="3:7" ht="11.25" customHeight="1">
      <c r="C490" s="69" t="s">
        <v>3242</v>
      </c>
      <c r="E490" s="605" t="s">
        <v>2688</v>
      </c>
      <c r="G490" s="605" t="s">
        <v>2688</v>
      </c>
    </row>
    <row r="491" spans="3:7" ht="11.25" customHeight="1">
      <c r="C491" s="69" t="s">
        <v>3243</v>
      </c>
      <c r="E491" s="69" t="s">
        <v>2548</v>
      </c>
      <c r="G491" s="69" t="s">
        <v>2548</v>
      </c>
    </row>
    <row r="492" spans="3:7" ht="11.25" customHeight="1">
      <c r="C492" s="69" t="s">
        <v>3244</v>
      </c>
      <c r="E492" s="69" t="s">
        <v>2550</v>
      </c>
      <c r="G492" s="69" t="s">
        <v>2550</v>
      </c>
    </row>
    <row r="493" spans="3:7" ht="11.25" customHeight="1">
      <c r="C493" s="69" t="s">
        <v>3245</v>
      </c>
      <c r="E493" s="69" t="s">
        <v>2751</v>
      </c>
      <c r="G493" s="69" t="s">
        <v>2751</v>
      </c>
    </row>
    <row r="494" spans="3:7" ht="11.25" customHeight="1">
      <c r="C494" s="69" t="s">
        <v>3246</v>
      </c>
      <c r="E494" s="69" t="s">
        <v>2551</v>
      </c>
      <c r="G494" s="69" t="s">
        <v>2551</v>
      </c>
    </row>
    <row r="495" spans="3:7" ht="11.25" customHeight="1">
      <c r="C495" s="69" t="s">
        <v>3247</v>
      </c>
      <c r="E495" s="69" t="s">
        <v>3228</v>
      </c>
      <c r="G495" s="69" t="s">
        <v>3228</v>
      </c>
    </row>
    <row r="496" spans="3:7" ht="11.25" customHeight="1">
      <c r="C496" s="69" t="s">
        <v>3248</v>
      </c>
      <c r="E496" s="69" t="s">
        <v>3244</v>
      </c>
      <c r="G496" s="69" t="s">
        <v>3244</v>
      </c>
    </row>
    <row r="497" spans="3:7" ht="11.25" customHeight="1">
      <c r="C497" s="69" t="s">
        <v>3249</v>
      </c>
      <c r="E497" s="69" t="s">
        <v>3250</v>
      </c>
      <c r="G497" s="69" t="s">
        <v>3250</v>
      </c>
    </row>
    <row r="498" spans="3:7" ht="11.25" customHeight="1">
      <c r="C498" s="69" t="s">
        <v>3250</v>
      </c>
      <c r="E498" s="69" t="s">
        <v>3252</v>
      </c>
      <c r="G498" s="69" t="s">
        <v>3252</v>
      </c>
    </row>
    <row r="499" spans="3:7" ht="11.25" customHeight="1">
      <c r="C499" s="69" t="s">
        <v>3251</v>
      </c>
      <c r="E499" s="69" t="s">
        <v>483</v>
      </c>
      <c r="G499" s="69" t="s">
        <v>483</v>
      </c>
    </row>
    <row r="500" spans="3:7" ht="11.25" customHeight="1">
      <c r="C500" s="69" t="s">
        <v>3252</v>
      </c>
    </row>
    <row r="501" spans="3:7" ht="11.25" customHeight="1">
      <c r="C501" s="69" t="s">
        <v>453</v>
      </c>
    </row>
    <row r="502" spans="3:7" ht="11.25" customHeight="1">
      <c r="C502" s="69" t="s">
        <v>454</v>
      </c>
    </row>
    <row r="503" spans="3:7" ht="11.25" customHeight="1">
      <c r="C503" s="69" t="s">
        <v>455</v>
      </c>
    </row>
    <row r="504" spans="3:7" ht="11.25" customHeight="1">
      <c r="C504" s="69" t="s">
        <v>456</v>
      </c>
    </row>
    <row r="505" spans="3:7" ht="11.25" customHeight="1">
      <c r="C505" s="69" t="s">
        <v>457</v>
      </c>
    </row>
    <row r="506" spans="3:7" ht="11.25" customHeight="1">
      <c r="C506" s="69" t="s">
        <v>458</v>
      </c>
    </row>
    <row r="507" spans="3:7" ht="11.25" customHeight="1">
      <c r="C507" s="69" t="s">
        <v>459</v>
      </c>
    </row>
    <row r="508" spans="3:7" ht="11.25" customHeight="1">
      <c r="C508" s="69" t="s">
        <v>460</v>
      </c>
    </row>
    <row r="509" spans="3:7" ht="11.25" customHeight="1">
      <c r="C509" s="69" t="s">
        <v>461</v>
      </c>
    </row>
    <row r="510" spans="3:7" ht="11.25" customHeight="1">
      <c r="C510" s="69" t="s">
        <v>1861</v>
      </c>
    </row>
    <row r="511" spans="3:7" ht="11.25" customHeight="1">
      <c r="C511" s="69" t="s">
        <v>463</v>
      </c>
    </row>
    <row r="512" spans="3:7" ht="11.25" customHeight="1">
      <c r="C512" s="69" t="s">
        <v>464</v>
      </c>
    </row>
    <row r="513" spans="3:3" ht="11.25" customHeight="1">
      <c r="C513" s="69" t="s">
        <v>465</v>
      </c>
    </row>
    <row r="514" spans="3:3" ht="11.25" customHeight="1">
      <c r="C514" s="69" t="s">
        <v>466</v>
      </c>
    </row>
    <row r="515" spans="3:3" ht="11.25" customHeight="1">
      <c r="C515" s="69" t="s">
        <v>467</v>
      </c>
    </row>
    <row r="516" spans="3:3" ht="11.25" customHeight="1">
      <c r="C516" s="69" t="s">
        <v>468</v>
      </c>
    </row>
    <row r="517" spans="3:3" ht="11.25" customHeight="1">
      <c r="C517" s="69" t="s">
        <v>469</v>
      </c>
    </row>
    <row r="518" spans="3:3" ht="11.25" customHeight="1">
      <c r="C518" s="69" t="s">
        <v>470</v>
      </c>
    </row>
    <row r="519" spans="3:3" ht="11.25" customHeight="1">
      <c r="C519" s="69" t="s">
        <v>471</v>
      </c>
    </row>
    <row r="520" spans="3:3" ht="11.25" customHeight="1">
      <c r="C520" s="69" t="s">
        <v>472</v>
      </c>
    </row>
    <row r="521" spans="3:3" ht="11.25" customHeight="1">
      <c r="C521" s="69" t="s">
        <v>473</v>
      </c>
    </row>
    <row r="522" spans="3:3" ht="11.25" customHeight="1">
      <c r="C522" s="69" t="s">
        <v>474</v>
      </c>
    </row>
    <row r="523" spans="3:3" ht="11.25" customHeight="1">
      <c r="C523" s="69" t="s">
        <v>475</v>
      </c>
    </row>
    <row r="524" spans="3:3" ht="11.25" customHeight="1">
      <c r="C524" s="69" t="s">
        <v>476</v>
      </c>
    </row>
    <row r="525" spans="3:3" ht="11.25" customHeight="1">
      <c r="C525" s="69" t="s">
        <v>477</v>
      </c>
    </row>
    <row r="526" spans="3:3" ht="11.25" customHeight="1">
      <c r="C526" s="69" t="s">
        <v>478</v>
      </c>
    </row>
    <row r="527" spans="3:3" ht="11.25" customHeight="1">
      <c r="C527" s="69" t="s">
        <v>479</v>
      </c>
    </row>
    <row r="528" spans="3:3" ht="11.25" customHeight="1">
      <c r="C528" s="69" t="s">
        <v>480</v>
      </c>
    </row>
    <row r="529" spans="3:3" ht="11.25" customHeight="1">
      <c r="C529" s="69" t="s">
        <v>481</v>
      </c>
    </row>
    <row r="530" spans="3:3" ht="11.25" customHeight="1">
      <c r="C530" s="69" t="s">
        <v>482</v>
      </c>
    </row>
    <row r="531" spans="3:3" ht="11.25" customHeight="1">
      <c r="C531" s="69" t="s">
        <v>483</v>
      </c>
    </row>
    <row r="533" spans="3:3" ht="11.25" customHeight="1">
      <c r="C533" s="65" t="s">
        <v>1701</v>
      </c>
    </row>
    <row r="534" spans="3:3" ht="11.25" customHeight="1">
      <c r="C534" s="69" t="s">
        <v>2519</v>
      </c>
    </row>
    <row r="535" spans="3:3" ht="11.25" customHeight="1">
      <c r="C535" s="69" t="s">
        <v>2538</v>
      </c>
    </row>
    <row r="536" spans="3:3" ht="11.25" customHeight="1">
      <c r="C536" s="69" t="s">
        <v>2235</v>
      </c>
    </row>
    <row r="537" spans="3:3" ht="11.25" customHeight="1">
      <c r="C537" s="69" t="s">
        <v>2779</v>
      </c>
    </row>
    <row r="538" spans="3:3" ht="11.25" customHeight="1">
      <c r="C538" s="69" t="s">
        <v>1897</v>
      </c>
    </row>
    <row r="539" spans="3:3" ht="11.25" customHeight="1">
      <c r="C539" s="69" t="s">
        <v>1898</v>
      </c>
    </row>
    <row r="540" spans="3:3" ht="11.25" customHeight="1">
      <c r="C540" s="69" t="s">
        <v>1899</v>
      </c>
    </row>
    <row r="541" spans="3:3" ht="11.25" customHeight="1">
      <c r="C541" s="69" t="s">
        <v>1900</v>
      </c>
    </row>
    <row r="542" spans="3:3" ht="11.25" customHeight="1">
      <c r="C542" s="69" t="s">
        <v>2180</v>
      </c>
    </row>
    <row r="543" spans="3:3" ht="11.25" customHeight="1">
      <c r="C543" s="69" t="s">
        <v>2181</v>
      </c>
    </row>
    <row r="544" spans="3:3" ht="11.25" customHeight="1">
      <c r="C544" s="69" t="s">
        <v>2182</v>
      </c>
    </row>
    <row r="545" spans="3:3" ht="11.25" customHeight="1">
      <c r="C545" s="69" t="s">
        <v>2183</v>
      </c>
    </row>
    <row r="546" spans="3:3" ht="11.25" customHeight="1">
      <c r="C546" s="69" t="s">
        <v>2184</v>
      </c>
    </row>
    <row r="547" spans="3:3" ht="11.25" customHeight="1">
      <c r="C547" s="69" t="s">
        <v>2185</v>
      </c>
    </row>
    <row r="548" spans="3:3" ht="11.25" customHeight="1">
      <c r="C548" s="69" t="s">
        <v>2186</v>
      </c>
    </row>
    <row r="549" spans="3:3" ht="11.25" customHeight="1">
      <c r="C549" s="69" t="s">
        <v>1901</v>
      </c>
    </row>
    <row r="550" spans="3:3" ht="11.25" customHeight="1">
      <c r="C550" s="69" t="s">
        <v>2187</v>
      </c>
    </row>
    <row r="551" spans="3:3" ht="11.25" customHeight="1">
      <c r="C551" s="69" t="s">
        <v>2188</v>
      </c>
    </row>
    <row r="552" spans="3:3" ht="11.25" customHeight="1">
      <c r="C552" s="69" t="s">
        <v>2189</v>
      </c>
    </row>
    <row r="553" spans="3:3" ht="11.25" customHeight="1">
      <c r="C553" s="69" t="s">
        <v>2190</v>
      </c>
    </row>
    <row r="554" spans="3:3" ht="11.25" customHeight="1">
      <c r="C554" s="69" t="s">
        <v>2191</v>
      </c>
    </row>
    <row r="555" spans="3:3" ht="11.25" customHeight="1">
      <c r="C555" s="69" t="s">
        <v>2192</v>
      </c>
    </row>
    <row r="556" spans="3:3" ht="11.25" customHeight="1">
      <c r="C556" s="69" t="s">
        <v>2193</v>
      </c>
    </row>
    <row r="557" spans="3:3" ht="11.25" customHeight="1">
      <c r="C557" s="69" t="s">
        <v>1902</v>
      </c>
    </row>
    <row r="558" spans="3:3" ht="11.25" customHeight="1">
      <c r="C558" s="69" t="s">
        <v>1903</v>
      </c>
    </row>
    <row r="559" spans="3:3" ht="11.25" customHeight="1">
      <c r="C559" s="69" t="s">
        <v>1904</v>
      </c>
    </row>
    <row r="560" spans="3:3" ht="11.25" customHeight="1">
      <c r="C560" s="69" t="s">
        <v>1905</v>
      </c>
    </row>
    <row r="561" spans="3:3" ht="11.25" customHeight="1">
      <c r="C561" s="69" t="s">
        <v>1906</v>
      </c>
    </row>
    <row r="562" spans="3:3" ht="11.25" customHeight="1">
      <c r="C562" s="69" t="s">
        <v>1907</v>
      </c>
    </row>
    <row r="563" spans="3:3" ht="11.25" customHeight="1">
      <c r="C563" s="69" t="s">
        <v>1908</v>
      </c>
    </row>
    <row r="564" spans="3:3" ht="11.25" customHeight="1">
      <c r="C564" s="69" t="s">
        <v>1909</v>
      </c>
    </row>
    <row r="565" spans="3:3" ht="11.25" customHeight="1">
      <c r="C565" s="69" t="s">
        <v>1910</v>
      </c>
    </row>
    <row r="566" spans="3:3" ht="11.25" customHeight="1">
      <c r="C566" s="69" t="s">
        <v>1911</v>
      </c>
    </row>
    <row r="567" spans="3:3" ht="11.25" customHeight="1">
      <c r="C567" s="69" t="s">
        <v>1912</v>
      </c>
    </row>
    <row r="568" spans="3:3" ht="11.25" customHeight="1">
      <c r="C568" s="69" t="s">
        <v>1913</v>
      </c>
    </row>
    <row r="569" spans="3:3" ht="11.25" customHeight="1">
      <c r="C569" s="69" t="s">
        <v>1914</v>
      </c>
    </row>
    <row r="570" spans="3:3" ht="11.25" customHeight="1">
      <c r="C570" s="69" t="s">
        <v>1915</v>
      </c>
    </row>
    <row r="571" spans="3:3" ht="11.25" customHeight="1">
      <c r="C571" s="69" t="s">
        <v>1916</v>
      </c>
    </row>
    <row r="572" spans="3:3" ht="11.25" customHeight="1">
      <c r="C572" s="69" t="s">
        <v>1917</v>
      </c>
    </row>
    <row r="573" spans="3:3" ht="11.25" customHeight="1">
      <c r="C573" s="69" t="s">
        <v>1918</v>
      </c>
    </row>
    <row r="574" spans="3:3" ht="11.25" customHeight="1">
      <c r="C574" s="69" t="s">
        <v>1919</v>
      </c>
    </row>
    <row r="575" spans="3:3" ht="11.25" customHeight="1">
      <c r="C575" s="69" t="s">
        <v>1920</v>
      </c>
    </row>
    <row r="576" spans="3:3" ht="11.25" customHeight="1">
      <c r="C576" s="69" t="s">
        <v>1921</v>
      </c>
    </row>
    <row r="577" spans="3:3" ht="11.25" customHeight="1">
      <c r="C577" s="69" t="s">
        <v>1922</v>
      </c>
    </row>
    <row r="578" spans="3:3" ht="11.25" customHeight="1">
      <c r="C578" s="69" t="s">
        <v>1923</v>
      </c>
    </row>
    <row r="579" spans="3:3" ht="11.25" customHeight="1">
      <c r="C579" s="69" t="s">
        <v>1924</v>
      </c>
    </row>
    <row r="580" spans="3:3" ht="11.25" customHeight="1">
      <c r="C580" s="69" t="s">
        <v>1925</v>
      </c>
    </row>
    <row r="581" spans="3:3" ht="11.25" customHeight="1">
      <c r="C581" s="69" t="s">
        <v>1926</v>
      </c>
    </row>
    <row r="582" spans="3:3" ht="11.25" customHeight="1">
      <c r="C582" s="69" t="s">
        <v>1927</v>
      </c>
    </row>
    <row r="583" spans="3:3" ht="11.25" customHeight="1">
      <c r="C583" s="69" t="s">
        <v>1928</v>
      </c>
    </row>
    <row r="584" spans="3:3" ht="11.25" customHeight="1">
      <c r="C584" s="69" t="s">
        <v>1929</v>
      </c>
    </row>
    <row r="585" spans="3:3" ht="11.25" customHeight="1">
      <c r="C585" s="69" t="s">
        <v>1930</v>
      </c>
    </row>
    <row r="586" spans="3:3" ht="11.25" customHeight="1">
      <c r="C586" s="69" t="s">
        <v>1931</v>
      </c>
    </row>
    <row r="587" spans="3:3" ht="11.25" customHeight="1">
      <c r="C587" s="69" t="s">
        <v>1932</v>
      </c>
    </row>
    <row r="588" spans="3:3" ht="11.25" customHeight="1">
      <c r="C588" s="69" t="s">
        <v>1933</v>
      </c>
    </row>
    <row r="589" spans="3:3" ht="11.25" customHeight="1">
      <c r="C589" s="69" t="s">
        <v>1934</v>
      </c>
    </row>
    <row r="590" spans="3:3" ht="11.25" customHeight="1">
      <c r="C590" s="69" t="s">
        <v>1935</v>
      </c>
    </row>
    <row r="591" spans="3:3" ht="11.25" customHeight="1">
      <c r="C591" s="69" t="s">
        <v>1936</v>
      </c>
    </row>
    <row r="592" spans="3:3" ht="11.25" customHeight="1">
      <c r="C592" s="69" t="s">
        <v>1937</v>
      </c>
    </row>
    <row r="593" spans="3:3" ht="11.25" customHeight="1">
      <c r="C593" s="69" t="s">
        <v>1938</v>
      </c>
    </row>
    <row r="594" spans="3:3" ht="11.25" customHeight="1">
      <c r="C594" s="69" t="s">
        <v>1939</v>
      </c>
    </row>
    <row r="595" spans="3:3" ht="11.25" customHeight="1">
      <c r="C595" s="69" t="s">
        <v>1940</v>
      </c>
    </row>
    <row r="596" spans="3:3" ht="11.25" customHeight="1">
      <c r="C596" s="69" t="s">
        <v>1941</v>
      </c>
    </row>
    <row r="597" spans="3:3" ht="11.25" customHeight="1">
      <c r="C597" s="69" t="s">
        <v>1942</v>
      </c>
    </row>
    <row r="598" spans="3:3" ht="11.25" customHeight="1">
      <c r="C598" s="69" t="s">
        <v>1943</v>
      </c>
    </row>
    <row r="599" spans="3:3" ht="11.25" customHeight="1">
      <c r="C599" s="69" t="s">
        <v>1944</v>
      </c>
    </row>
    <row r="600" spans="3:3" ht="11.25" customHeight="1">
      <c r="C600" s="69" t="s">
        <v>1945</v>
      </c>
    </row>
    <row r="601" spans="3:3" ht="11.25" customHeight="1">
      <c r="C601" s="69" t="s">
        <v>1946</v>
      </c>
    </row>
    <row r="602" spans="3:3" ht="11.25" customHeight="1">
      <c r="C602" s="69" t="s">
        <v>1947</v>
      </c>
    </row>
    <row r="603" spans="3:3" ht="11.25" customHeight="1">
      <c r="C603" s="608" t="s">
        <v>552</v>
      </c>
    </row>
    <row r="604" spans="3:3" ht="11.25" customHeight="1">
      <c r="C604" s="69" t="s">
        <v>1948</v>
      </c>
    </row>
    <row r="605" spans="3:3" ht="11.25" customHeight="1">
      <c r="C605" s="69" t="s">
        <v>1949</v>
      </c>
    </row>
    <row r="606" spans="3:3" ht="11.25" customHeight="1">
      <c r="C606" s="69" t="s">
        <v>1950</v>
      </c>
    </row>
    <row r="607" spans="3:3" ht="11.25" customHeight="1">
      <c r="C607" s="69" t="s">
        <v>1951</v>
      </c>
    </row>
    <row r="608" spans="3:3" ht="11.25" customHeight="1">
      <c r="C608" s="69" t="s">
        <v>1952</v>
      </c>
    </row>
    <row r="609" spans="3:3" ht="11.25" customHeight="1">
      <c r="C609" s="69" t="s">
        <v>1953</v>
      </c>
    </row>
    <row r="610" spans="3:3" ht="11.25" customHeight="1">
      <c r="C610" s="69" t="s">
        <v>1954</v>
      </c>
    </row>
    <row r="611" spans="3:3" ht="11.25" customHeight="1">
      <c r="C611" s="69" t="s">
        <v>1955</v>
      </c>
    </row>
    <row r="612" spans="3:3" ht="11.25" customHeight="1">
      <c r="C612" s="69" t="s">
        <v>1956</v>
      </c>
    </row>
    <row r="613" spans="3:3" ht="11.25" customHeight="1">
      <c r="C613" s="69" t="s">
        <v>1957</v>
      </c>
    </row>
    <row r="614" spans="3:3" ht="11.25" customHeight="1">
      <c r="C614" s="69" t="s">
        <v>1958</v>
      </c>
    </row>
    <row r="615" spans="3:3" ht="11.25" customHeight="1">
      <c r="C615" s="69" t="s">
        <v>1959</v>
      </c>
    </row>
    <row r="616" spans="3:3" ht="11.25" customHeight="1">
      <c r="C616" s="69" t="s">
        <v>1960</v>
      </c>
    </row>
    <row r="617" spans="3:3" ht="11.25" customHeight="1">
      <c r="C617" s="69" t="s">
        <v>1961</v>
      </c>
    </row>
    <row r="618" spans="3:3" ht="11.25" customHeight="1">
      <c r="C618" s="69" t="s">
        <v>1962</v>
      </c>
    </row>
    <row r="619" spans="3:3" ht="11.25" customHeight="1">
      <c r="C619" s="69" t="s">
        <v>1963</v>
      </c>
    </row>
    <row r="620" spans="3:3" ht="11.25" customHeight="1">
      <c r="C620" s="69" t="s">
        <v>1964</v>
      </c>
    </row>
    <row r="621" spans="3:3" ht="11.25" customHeight="1">
      <c r="C621" s="69" t="s">
        <v>1965</v>
      </c>
    </row>
    <row r="622" spans="3:3" ht="11.25" customHeight="1">
      <c r="C622" s="69" t="s">
        <v>1966</v>
      </c>
    </row>
    <row r="623" spans="3:3" ht="11.25" customHeight="1">
      <c r="C623" s="69" t="s">
        <v>1967</v>
      </c>
    </row>
    <row r="624" spans="3:3" ht="11.25" customHeight="1">
      <c r="C624" s="69" t="s">
        <v>1968</v>
      </c>
    </row>
    <row r="625" spans="3:3" ht="11.25" customHeight="1">
      <c r="C625" s="69" t="s">
        <v>1969</v>
      </c>
    </row>
    <row r="626" spans="3:3" ht="11.25" customHeight="1">
      <c r="C626" s="69" t="s">
        <v>1970</v>
      </c>
    </row>
    <row r="627" spans="3:3" ht="11.25" customHeight="1">
      <c r="C627" s="69" t="s">
        <v>1971</v>
      </c>
    </row>
    <row r="628" spans="3:3" ht="11.25" customHeight="1">
      <c r="C628" s="69" t="s">
        <v>1972</v>
      </c>
    </row>
    <row r="629" spans="3:3" ht="11.25" customHeight="1">
      <c r="C629" s="69" t="s">
        <v>1973</v>
      </c>
    </row>
    <row r="630" spans="3:3" ht="11.25" customHeight="1">
      <c r="C630" s="69" t="s">
        <v>1974</v>
      </c>
    </row>
    <row r="631" spans="3:3" ht="11.25" customHeight="1">
      <c r="C631" s="69" t="s">
        <v>1975</v>
      </c>
    </row>
    <row r="632" spans="3:3" ht="11.25" customHeight="1">
      <c r="C632" s="69" t="s">
        <v>1976</v>
      </c>
    </row>
    <row r="633" spans="3:3" ht="11.25" customHeight="1">
      <c r="C633" s="69" t="s">
        <v>1977</v>
      </c>
    </row>
    <row r="634" spans="3:3" ht="11.25" customHeight="1">
      <c r="C634" s="69" t="s">
        <v>1978</v>
      </c>
    </row>
    <row r="635" spans="3:3" ht="11.25" customHeight="1">
      <c r="C635" s="69" t="s">
        <v>1979</v>
      </c>
    </row>
    <row r="636" spans="3:3" ht="11.25" customHeight="1">
      <c r="C636" s="69" t="s">
        <v>1980</v>
      </c>
    </row>
    <row r="637" spans="3:3" ht="11.25" customHeight="1">
      <c r="C637" s="69" t="s">
        <v>1981</v>
      </c>
    </row>
    <row r="638" spans="3:3" ht="11.25" customHeight="1">
      <c r="C638" s="69" t="s">
        <v>1982</v>
      </c>
    </row>
    <row r="639" spans="3:3" ht="11.25" customHeight="1">
      <c r="C639" s="69" t="s">
        <v>1984</v>
      </c>
    </row>
    <row r="640" spans="3:3" ht="11.25" customHeight="1">
      <c r="C640" s="69" t="s">
        <v>483</v>
      </c>
    </row>
    <row r="642" spans="3:3" ht="11.25" customHeight="1">
      <c r="C642" s="65" t="s">
        <v>1983</v>
      </c>
    </row>
    <row r="643" spans="3:3" ht="11.25" customHeight="1">
      <c r="C643" s="69" t="s">
        <v>2519</v>
      </c>
    </row>
    <row r="644" spans="3:3" ht="11.25" customHeight="1">
      <c r="C644" s="69" t="s">
        <v>2538</v>
      </c>
    </row>
    <row r="645" spans="3:3" ht="11.25" customHeight="1">
      <c r="C645" s="69" t="s">
        <v>2235</v>
      </c>
    </row>
    <row r="646" spans="3:3" ht="11.25" customHeight="1">
      <c r="C646" s="69" t="s">
        <v>1985</v>
      </c>
    </row>
    <row r="647" spans="3:3" ht="11.25" customHeight="1">
      <c r="C647" s="69" t="s">
        <v>1986</v>
      </c>
    </row>
    <row r="648" spans="3:3" ht="11.25" customHeight="1">
      <c r="C648" s="69" t="s">
        <v>1987</v>
      </c>
    </row>
    <row r="649" spans="3:3" ht="11.25" customHeight="1">
      <c r="C649" s="69" t="s">
        <v>1988</v>
      </c>
    </row>
    <row r="650" spans="3:3" ht="11.25" customHeight="1">
      <c r="C650" s="69" t="s">
        <v>1989</v>
      </c>
    </row>
    <row r="651" spans="3:3" ht="11.25" customHeight="1">
      <c r="C651" s="69" t="s">
        <v>1990</v>
      </c>
    </row>
    <row r="652" spans="3:3" ht="11.25" customHeight="1">
      <c r="C652" s="69" t="s">
        <v>1991</v>
      </c>
    </row>
    <row r="653" spans="3:3" ht="11.25" customHeight="1">
      <c r="C653" s="69" t="s">
        <v>1992</v>
      </c>
    </row>
    <row r="654" spans="3:3" ht="11.25" customHeight="1">
      <c r="C654" s="69" t="s">
        <v>1993</v>
      </c>
    </row>
    <row r="655" spans="3:3" ht="11.25" customHeight="1">
      <c r="C655" s="69" t="s">
        <v>1994</v>
      </c>
    </row>
    <row r="656" spans="3:3" ht="11.25" customHeight="1">
      <c r="C656" s="69" t="s">
        <v>1995</v>
      </c>
    </row>
    <row r="657" spans="3:3" ht="11.25" customHeight="1">
      <c r="C657" s="69" t="s">
        <v>1996</v>
      </c>
    </row>
    <row r="658" spans="3:3" ht="11.25" customHeight="1">
      <c r="C658" s="69" t="s">
        <v>1997</v>
      </c>
    </row>
    <row r="659" spans="3:3" ht="11.25" customHeight="1">
      <c r="C659" s="69" t="s">
        <v>1998</v>
      </c>
    </row>
    <row r="660" spans="3:3" ht="11.25" customHeight="1">
      <c r="C660" s="69" t="s">
        <v>1999</v>
      </c>
    </row>
    <row r="661" spans="3:3" ht="11.25" customHeight="1">
      <c r="C661" s="69" t="s">
        <v>2000</v>
      </c>
    </row>
    <row r="662" spans="3:3" ht="11.25" customHeight="1">
      <c r="C662" s="69" t="s">
        <v>2001</v>
      </c>
    </row>
    <row r="663" spans="3:3" ht="11.25" customHeight="1">
      <c r="C663" s="69" t="s">
        <v>2002</v>
      </c>
    </row>
    <row r="664" spans="3:3" ht="11.25" customHeight="1">
      <c r="C664" s="69" t="s">
        <v>2003</v>
      </c>
    </row>
    <row r="665" spans="3:3" ht="11.25" customHeight="1">
      <c r="C665" s="69" t="s">
        <v>2004</v>
      </c>
    </row>
    <row r="666" spans="3:3" ht="11.25" customHeight="1">
      <c r="C666" s="69" t="s">
        <v>2005</v>
      </c>
    </row>
    <row r="667" spans="3:3" ht="11.25" customHeight="1">
      <c r="C667" s="69" t="s">
        <v>2006</v>
      </c>
    </row>
    <row r="668" spans="3:3" ht="11.25" customHeight="1">
      <c r="C668" s="69" t="s">
        <v>2007</v>
      </c>
    </row>
    <row r="669" spans="3:3" ht="11.25" customHeight="1">
      <c r="C669" s="69" t="s">
        <v>2008</v>
      </c>
    </row>
    <row r="670" spans="3:3" ht="11.25" customHeight="1">
      <c r="C670" s="69" t="s">
        <v>2009</v>
      </c>
    </row>
    <row r="671" spans="3:3" ht="11.25" customHeight="1">
      <c r="C671" s="69" t="s">
        <v>2010</v>
      </c>
    </row>
    <row r="672" spans="3:3" ht="11.25" customHeight="1">
      <c r="C672" s="69" t="s">
        <v>2011</v>
      </c>
    </row>
    <row r="673" spans="3:3" ht="11.25" customHeight="1">
      <c r="C673" s="69" t="s">
        <v>2012</v>
      </c>
    </row>
    <row r="674" spans="3:3" ht="11.25" customHeight="1">
      <c r="C674" s="69" t="s">
        <v>2013</v>
      </c>
    </row>
    <row r="675" spans="3:3" ht="11.25" customHeight="1">
      <c r="C675" s="69" t="s">
        <v>2014</v>
      </c>
    </row>
    <row r="676" spans="3:3" ht="11.25" customHeight="1">
      <c r="C676" s="69" t="s">
        <v>2015</v>
      </c>
    </row>
    <row r="677" spans="3:3" ht="11.25" customHeight="1">
      <c r="C677" s="69" t="s">
        <v>2016</v>
      </c>
    </row>
    <row r="678" spans="3:3" ht="11.25" customHeight="1">
      <c r="C678" s="69" t="s">
        <v>2017</v>
      </c>
    </row>
    <row r="679" spans="3:3" ht="11.25" customHeight="1">
      <c r="C679" s="69" t="s">
        <v>2018</v>
      </c>
    </row>
    <row r="680" spans="3:3" ht="11.25" customHeight="1">
      <c r="C680" s="69" t="s">
        <v>2019</v>
      </c>
    </row>
    <row r="681" spans="3:3" ht="11.25" customHeight="1">
      <c r="C681" s="69" t="s">
        <v>2020</v>
      </c>
    </row>
    <row r="682" spans="3:3" ht="11.25" customHeight="1">
      <c r="C682" s="69" t="s">
        <v>2021</v>
      </c>
    </row>
    <row r="683" spans="3:3" ht="11.25" customHeight="1">
      <c r="C683" s="69" t="s">
        <v>2022</v>
      </c>
    </row>
    <row r="684" spans="3:3" ht="11.25" customHeight="1">
      <c r="C684" s="69" t="s">
        <v>2023</v>
      </c>
    </row>
    <row r="685" spans="3:3" ht="11.25" customHeight="1">
      <c r="C685" s="69" t="s">
        <v>2024</v>
      </c>
    </row>
    <row r="686" spans="3:3" ht="11.25" customHeight="1">
      <c r="C686" s="69" t="s">
        <v>2025</v>
      </c>
    </row>
    <row r="687" spans="3:3" ht="11.25" customHeight="1">
      <c r="C687" s="69" t="s">
        <v>2026</v>
      </c>
    </row>
    <row r="688" spans="3:3" ht="11.25" customHeight="1">
      <c r="C688" s="69" t="s">
        <v>2027</v>
      </c>
    </row>
    <row r="689" spans="3:3" ht="11.25" customHeight="1">
      <c r="C689" s="69" t="s">
        <v>2028</v>
      </c>
    </row>
    <row r="690" spans="3:3" ht="11.25" customHeight="1">
      <c r="C690" s="69" t="s">
        <v>2029</v>
      </c>
    </row>
    <row r="691" spans="3:3" ht="11.25" customHeight="1">
      <c r="C691" s="69" t="s">
        <v>2030</v>
      </c>
    </row>
    <row r="692" spans="3:3" ht="11.25" customHeight="1">
      <c r="C692" s="69" t="s">
        <v>2031</v>
      </c>
    </row>
    <row r="693" spans="3:3" ht="11.25" customHeight="1">
      <c r="C693" s="69" t="s">
        <v>2032</v>
      </c>
    </row>
    <row r="694" spans="3:3" ht="11.25" customHeight="1">
      <c r="C694" s="69" t="s">
        <v>2033</v>
      </c>
    </row>
    <row r="695" spans="3:3" ht="11.25" customHeight="1">
      <c r="C695" s="69" t="s">
        <v>2034</v>
      </c>
    </row>
    <row r="696" spans="3:3" ht="11.25" customHeight="1">
      <c r="C696" s="69" t="s">
        <v>2035</v>
      </c>
    </row>
    <row r="697" spans="3:3" ht="11.25" customHeight="1">
      <c r="C697" s="69" t="s">
        <v>2036</v>
      </c>
    </row>
    <row r="698" spans="3:3" ht="11.25" customHeight="1">
      <c r="C698" s="69" t="s">
        <v>2037</v>
      </c>
    </row>
    <row r="699" spans="3:3" ht="11.25" customHeight="1">
      <c r="C699" s="69" t="s">
        <v>2038</v>
      </c>
    </row>
    <row r="700" spans="3:3" ht="11.25" customHeight="1">
      <c r="C700" s="69" t="s">
        <v>2039</v>
      </c>
    </row>
    <row r="701" spans="3:3" ht="11.25" customHeight="1">
      <c r="C701" s="69" t="s">
        <v>2040</v>
      </c>
    </row>
    <row r="702" spans="3:3" ht="11.25" customHeight="1">
      <c r="C702" s="69" t="s">
        <v>2041</v>
      </c>
    </row>
    <row r="703" spans="3:3" ht="11.25" customHeight="1">
      <c r="C703" s="69" t="s">
        <v>2042</v>
      </c>
    </row>
    <row r="704" spans="3:3" ht="11.25" customHeight="1">
      <c r="C704" s="69" t="s">
        <v>2043</v>
      </c>
    </row>
    <row r="705" spans="3:3" ht="11.25" customHeight="1">
      <c r="C705" s="69" t="s">
        <v>2044</v>
      </c>
    </row>
    <row r="706" spans="3:3" ht="11.25" customHeight="1">
      <c r="C706" s="69" t="s">
        <v>2045</v>
      </c>
    </row>
    <row r="707" spans="3:3" ht="11.25" customHeight="1">
      <c r="C707" s="69" t="s">
        <v>2046</v>
      </c>
    </row>
    <row r="708" spans="3:3" ht="11.25" customHeight="1">
      <c r="C708" s="69" t="s">
        <v>2047</v>
      </c>
    </row>
    <row r="709" spans="3:3" ht="11.25" customHeight="1">
      <c r="C709" s="69" t="s">
        <v>2048</v>
      </c>
    </row>
    <row r="710" spans="3:3" ht="11.25" customHeight="1">
      <c r="C710" s="69" t="s">
        <v>2049</v>
      </c>
    </row>
    <row r="711" spans="3:3" ht="11.25" customHeight="1">
      <c r="C711" s="69" t="s">
        <v>2050</v>
      </c>
    </row>
    <row r="712" spans="3:3" ht="11.25" customHeight="1">
      <c r="C712" s="69" t="s">
        <v>2051</v>
      </c>
    </row>
    <row r="713" spans="3:3" ht="11.25" customHeight="1">
      <c r="C713" s="69" t="s">
        <v>2052</v>
      </c>
    </row>
    <row r="714" spans="3:3" ht="11.25" customHeight="1">
      <c r="C714" s="69" t="s">
        <v>2053</v>
      </c>
    </row>
    <row r="715" spans="3:3" ht="11.25" customHeight="1">
      <c r="C715" s="69" t="s">
        <v>2054</v>
      </c>
    </row>
    <row r="716" spans="3:3" ht="11.25" customHeight="1">
      <c r="C716" s="69" t="s">
        <v>483</v>
      </c>
    </row>
    <row r="718" spans="3:3" ht="11.25" customHeight="1">
      <c r="C718" s="65" t="s">
        <v>2055</v>
      </c>
    </row>
    <row r="719" spans="3:3" ht="11.25" customHeight="1">
      <c r="C719" s="69" t="s">
        <v>2519</v>
      </c>
    </row>
    <row r="720" spans="3:3" ht="11.25" customHeight="1">
      <c r="C720" s="69" t="s">
        <v>2538</v>
      </c>
    </row>
    <row r="721" spans="3:3" ht="11.25" customHeight="1">
      <c r="C721" s="69" t="s">
        <v>2235</v>
      </c>
    </row>
    <row r="722" spans="3:3" ht="11.25" customHeight="1">
      <c r="C722" s="69" t="s">
        <v>2056</v>
      </c>
    </row>
    <row r="723" spans="3:3" ht="11.25" customHeight="1">
      <c r="C723" s="69" t="s">
        <v>2057</v>
      </c>
    </row>
    <row r="724" spans="3:3" ht="11.25" customHeight="1">
      <c r="C724" s="69" t="s">
        <v>2058</v>
      </c>
    </row>
    <row r="725" spans="3:3" ht="11.25" customHeight="1">
      <c r="C725" s="69" t="s">
        <v>2059</v>
      </c>
    </row>
    <row r="726" spans="3:3" ht="11.25" customHeight="1">
      <c r="C726" s="69" t="s">
        <v>2060</v>
      </c>
    </row>
    <row r="727" spans="3:3" ht="11.25" customHeight="1">
      <c r="C727" s="69" t="s">
        <v>2061</v>
      </c>
    </row>
    <row r="728" spans="3:3" ht="11.25" customHeight="1">
      <c r="C728" s="69" t="s">
        <v>2062</v>
      </c>
    </row>
    <row r="729" spans="3:3" ht="11.25" customHeight="1">
      <c r="C729" s="69" t="s">
        <v>2063</v>
      </c>
    </row>
    <row r="730" spans="3:3" ht="11.25" customHeight="1">
      <c r="C730" s="69" t="s">
        <v>2064</v>
      </c>
    </row>
    <row r="731" spans="3:3" ht="11.25" customHeight="1">
      <c r="C731" s="69" t="s">
        <v>2065</v>
      </c>
    </row>
    <row r="732" spans="3:3" ht="11.25" customHeight="1">
      <c r="C732" s="69" t="s">
        <v>2066</v>
      </c>
    </row>
    <row r="733" spans="3:3" ht="11.25" customHeight="1">
      <c r="C733" s="69" t="s">
        <v>2067</v>
      </c>
    </row>
    <row r="734" spans="3:3" ht="11.25" customHeight="1">
      <c r="C734" s="69" t="s">
        <v>2068</v>
      </c>
    </row>
    <row r="735" spans="3:3" ht="11.25" customHeight="1">
      <c r="C735" s="69" t="s">
        <v>2069</v>
      </c>
    </row>
    <row r="736" spans="3:3" ht="11.25" customHeight="1">
      <c r="C736" s="69" t="s">
        <v>2070</v>
      </c>
    </row>
    <row r="737" spans="3:3" ht="11.25" customHeight="1">
      <c r="C737" s="69" t="s">
        <v>2071</v>
      </c>
    </row>
    <row r="738" spans="3:3" ht="11.25" customHeight="1">
      <c r="C738" s="69" t="s">
        <v>2072</v>
      </c>
    </row>
    <row r="739" spans="3:3" ht="11.25" customHeight="1">
      <c r="C739" s="69" t="s">
        <v>2073</v>
      </c>
    </row>
    <row r="740" spans="3:3" ht="11.25" customHeight="1">
      <c r="C740" s="69" t="s">
        <v>2074</v>
      </c>
    </row>
    <row r="741" spans="3:3" ht="11.25" customHeight="1">
      <c r="C741" s="69" t="s">
        <v>2075</v>
      </c>
    </row>
    <row r="742" spans="3:3" ht="11.25" customHeight="1">
      <c r="C742" s="69" t="s">
        <v>2076</v>
      </c>
    </row>
    <row r="743" spans="3:3" ht="11.25" customHeight="1">
      <c r="C743" s="69" t="s">
        <v>2077</v>
      </c>
    </row>
    <row r="744" spans="3:3" ht="11.25" customHeight="1">
      <c r="C744" s="69" t="s">
        <v>2078</v>
      </c>
    </row>
    <row r="745" spans="3:3" ht="11.25" customHeight="1">
      <c r="C745" s="69" t="s">
        <v>2079</v>
      </c>
    </row>
    <row r="746" spans="3:3" ht="11.25" customHeight="1">
      <c r="C746" s="69" t="s">
        <v>2080</v>
      </c>
    </row>
    <row r="747" spans="3:3" ht="11.25" customHeight="1">
      <c r="C747" s="69" t="s">
        <v>2081</v>
      </c>
    </row>
    <row r="748" spans="3:3" ht="11.25" customHeight="1">
      <c r="C748" s="69" t="s">
        <v>2082</v>
      </c>
    </row>
    <row r="749" spans="3:3" ht="11.25" customHeight="1">
      <c r="C749" s="69" t="s">
        <v>2083</v>
      </c>
    </row>
    <row r="750" spans="3:3" ht="11.25" customHeight="1">
      <c r="C750" s="69" t="s">
        <v>2084</v>
      </c>
    </row>
    <row r="751" spans="3:3" ht="11.25" customHeight="1">
      <c r="C751" s="69" t="s">
        <v>2085</v>
      </c>
    </row>
    <row r="752" spans="3:3" ht="11.25" customHeight="1">
      <c r="C752" s="69" t="s">
        <v>2086</v>
      </c>
    </row>
    <row r="753" spans="3:3" ht="11.25" customHeight="1">
      <c r="C753" s="69" t="s">
        <v>2087</v>
      </c>
    </row>
    <row r="754" spans="3:3" ht="11.25" customHeight="1">
      <c r="C754" s="69" t="s">
        <v>2088</v>
      </c>
    </row>
    <row r="755" spans="3:3" ht="11.25" customHeight="1">
      <c r="C755" s="69" t="s">
        <v>2089</v>
      </c>
    </row>
    <row r="756" spans="3:3" ht="11.25" customHeight="1">
      <c r="C756" s="69" t="s">
        <v>2090</v>
      </c>
    </row>
    <row r="757" spans="3:3" ht="11.25" customHeight="1">
      <c r="C757" s="69" t="s">
        <v>2091</v>
      </c>
    </row>
    <row r="758" spans="3:3" ht="11.25" customHeight="1">
      <c r="C758" s="69" t="s">
        <v>483</v>
      </c>
    </row>
    <row r="760" spans="3:3" ht="11.25" customHeight="1">
      <c r="C760" s="65" t="s">
        <v>2092</v>
      </c>
    </row>
    <row r="761" spans="3:3" ht="11.25" customHeight="1">
      <c r="C761" s="69" t="s">
        <v>2519</v>
      </c>
    </row>
    <row r="762" spans="3:3" ht="11.25" customHeight="1">
      <c r="C762" s="69" t="s">
        <v>2538</v>
      </c>
    </row>
    <row r="763" spans="3:3" ht="11.25" customHeight="1">
      <c r="C763" s="69" t="s">
        <v>2235</v>
      </c>
    </row>
    <row r="764" spans="3:3" ht="11.25" customHeight="1">
      <c r="C764" s="69" t="s">
        <v>2094</v>
      </c>
    </row>
    <row r="765" spans="3:3" ht="11.25" customHeight="1">
      <c r="C765" s="69" t="s">
        <v>2095</v>
      </c>
    </row>
    <row r="766" spans="3:3" ht="11.25" customHeight="1">
      <c r="C766" s="69" t="s">
        <v>2096</v>
      </c>
    </row>
    <row r="767" spans="3:3" ht="11.25" customHeight="1">
      <c r="C767" s="69" t="s">
        <v>2097</v>
      </c>
    </row>
    <row r="768" spans="3:3" ht="11.25" customHeight="1">
      <c r="C768" s="69" t="s">
        <v>2098</v>
      </c>
    </row>
    <row r="769" spans="3:3" ht="11.25" customHeight="1">
      <c r="C769" s="69" t="s">
        <v>2099</v>
      </c>
    </row>
    <row r="770" spans="3:3" ht="11.25" customHeight="1">
      <c r="C770" s="69" t="s">
        <v>2100</v>
      </c>
    </row>
    <row r="771" spans="3:3" ht="11.25" customHeight="1">
      <c r="C771" s="69" t="s">
        <v>2101</v>
      </c>
    </row>
    <row r="772" spans="3:3" ht="11.25" customHeight="1">
      <c r="C772" s="69" t="s">
        <v>2102</v>
      </c>
    </row>
    <row r="773" spans="3:3" ht="11.25" customHeight="1">
      <c r="C773" s="69" t="s">
        <v>2103</v>
      </c>
    </row>
    <row r="774" spans="3:3" ht="11.25" customHeight="1">
      <c r="C774" s="69" t="s">
        <v>2104</v>
      </c>
    </row>
    <row r="775" spans="3:3" ht="11.25" customHeight="1">
      <c r="C775" s="69" t="s">
        <v>2105</v>
      </c>
    </row>
    <row r="776" spans="3:3" ht="11.25" customHeight="1">
      <c r="C776" s="69" t="s">
        <v>2106</v>
      </c>
    </row>
    <row r="777" spans="3:3" ht="11.25" customHeight="1">
      <c r="C777" s="69" t="s">
        <v>2107</v>
      </c>
    </row>
    <row r="778" spans="3:3" ht="11.25" customHeight="1">
      <c r="C778" s="69" t="s">
        <v>2108</v>
      </c>
    </row>
    <row r="779" spans="3:3" ht="11.25" customHeight="1">
      <c r="C779" s="69" t="s">
        <v>2109</v>
      </c>
    </row>
    <row r="780" spans="3:3" ht="11.25" customHeight="1">
      <c r="C780" s="69" t="s">
        <v>2110</v>
      </c>
    </row>
    <row r="781" spans="3:3" ht="11.25" customHeight="1">
      <c r="C781" s="69" t="s">
        <v>2111</v>
      </c>
    </row>
    <row r="782" spans="3:3" ht="11.25" customHeight="1">
      <c r="C782" s="69" t="s">
        <v>2112</v>
      </c>
    </row>
    <row r="783" spans="3:3" ht="11.25" customHeight="1">
      <c r="C783" s="69" t="s">
        <v>2113</v>
      </c>
    </row>
    <row r="784" spans="3:3" ht="11.25" customHeight="1">
      <c r="C784" s="69" t="s">
        <v>2114</v>
      </c>
    </row>
    <row r="785" spans="3:3" ht="11.25" customHeight="1">
      <c r="C785" s="69" t="s">
        <v>2115</v>
      </c>
    </row>
    <row r="786" spans="3:3" ht="11.25" customHeight="1">
      <c r="C786" s="69" t="s">
        <v>2116</v>
      </c>
    </row>
    <row r="787" spans="3:3" ht="11.25" customHeight="1">
      <c r="C787" s="69" t="s">
        <v>2117</v>
      </c>
    </row>
    <row r="788" spans="3:3" ht="11.25" customHeight="1">
      <c r="C788" s="69" t="s">
        <v>2118</v>
      </c>
    </row>
    <row r="789" spans="3:3" ht="11.25" customHeight="1">
      <c r="C789" s="69" t="s">
        <v>2119</v>
      </c>
    </row>
    <row r="790" spans="3:3" ht="11.25" customHeight="1">
      <c r="C790" s="69" t="s">
        <v>2120</v>
      </c>
    </row>
    <row r="791" spans="3:3" ht="11.25" customHeight="1">
      <c r="C791" s="69" t="s">
        <v>2121</v>
      </c>
    </row>
    <row r="792" spans="3:3" ht="11.25" customHeight="1">
      <c r="C792" s="69" t="s">
        <v>2122</v>
      </c>
    </row>
    <row r="793" spans="3:3" ht="11.25" customHeight="1">
      <c r="C793" s="69" t="s">
        <v>2123</v>
      </c>
    </row>
    <row r="794" spans="3:3" ht="11.25" customHeight="1">
      <c r="C794" s="69" t="s">
        <v>2124</v>
      </c>
    </row>
    <row r="795" spans="3:3" ht="11.25" customHeight="1">
      <c r="C795" s="69" t="s">
        <v>2125</v>
      </c>
    </row>
    <row r="796" spans="3:3" ht="11.25" customHeight="1">
      <c r="C796" s="69" t="s">
        <v>2126</v>
      </c>
    </row>
    <row r="797" spans="3:3" ht="11.25" customHeight="1">
      <c r="C797" s="69" t="s">
        <v>2127</v>
      </c>
    </row>
    <row r="798" spans="3:3" ht="11.25" customHeight="1">
      <c r="C798" s="69" t="s">
        <v>2128</v>
      </c>
    </row>
    <row r="799" spans="3:3" ht="11.25" customHeight="1">
      <c r="C799" s="69" t="s">
        <v>2129</v>
      </c>
    </row>
    <row r="800" spans="3:3" ht="11.25" customHeight="1">
      <c r="C800" s="69" t="s">
        <v>483</v>
      </c>
    </row>
    <row r="802" spans="3:3" ht="11.25" customHeight="1">
      <c r="C802" s="65" t="s">
        <v>2093</v>
      </c>
    </row>
    <row r="803" spans="3:3" ht="11.25" customHeight="1">
      <c r="C803" s="69" t="s">
        <v>2519</v>
      </c>
    </row>
    <row r="804" spans="3:3" ht="11.25" customHeight="1">
      <c r="C804" s="69" t="s">
        <v>2538</v>
      </c>
    </row>
    <row r="805" spans="3:3" ht="11.25" customHeight="1">
      <c r="C805" s="69" t="s">
        <v>2235</v>
      </c>
    </row>
    <row r="806" spans="3:3" ht="11.25" customHeight="1">
      <c r="C806" s="69" t="s">
        <v>2130</v>
      </c>
    </row>
    <row r="807" spans="3:3" ht="11.25" customHeight="1">
      <c r="C807" s="69" t="s">
        <v>2131</v>
      </c>
    </row>
    <row r="808" spans="3:3" ht="11.25" customHeight="1">
      <c r="C808" s="69" t="s">
        <v>2132</v>
      </c>
    </row>
    <row r="809" spans="3:3" ht="11.25" customHeight="1">
      <c r="C809" s="69" t="s">
        <v>2133</v>
      </c>
    </row>
    <row r="810" spans="3:3" ht="11.25" customHeight="1">
      <c r="C810" s="69" t="s">
        <v>2134</v>
      </c>
    </row>
    <row r="811" spans="3:3" ht="11.25" customHeight="1">
      <c r="C811" s="69" t="s">
        <v>2135</v>
      </c>
    </row>
    <row r="812" spans="3:3" ht="11.25" customHeight="1">
      <c r="C812" s="69" t="s">
        <v>2136</v>
      </c>
    </row>
    <row r="813" spans="3:3" ht="11.25" customHeight="1">
      <c r="C813" s="69" t="s">
        <v>2137</v>
      </c>
    </row>
    <row r="814" spans="3:3" ht="11.25" customHeight="1">
      <c r="C814" s="69" t="s">
        <v>2138</v>
      </c>
    </row>
    <row r="815" spans="3:3" ht="11.25" customHeight="1">
      <c r="C815" s="69" t="s">
        <v>2139</v>
      </c>
    </row>
    <row r="816" spans="3:3" ht="11.25" customHeight="1">
      <c r="C816" s="69" t="s">
        <v>2140</v>
      </c>
    </row>
    <row r="817" spans="3:3" ht="11.25" customHeight="1">
      <c r="C817" s="69" t="s">
        <v>2141</v>
      </c>
    </row>
    <row r="818" spans="3:3" ht="11.25" customHeight="1">
      <c r="C818" s="69" t="s">
        <v>2142</v>
      </c>
    </row>
    <row r="819" spans="3:3" ht="11.25" customHeight="1">
      <c r="C819" s="69" t="s">
        <v>2143</v>
      </c>
    </row>
    <row r="820" spans="3:3" ht="11.25" customHeight="1">
      <c r="C820" s="69" t="s">
        <v>2144</v>
      </c>
    </row>
    <row r="821" spans="3:3" ht="11.25" customHeight="1">
      <c r="C821" s="69" t="s">
        <v>2145</v>
      </c>
    </row>
    <row r="822" spans="3:3" ht="11.25" customHeight="1">
      <c r="C822" s="69" t="s">
        <v>2146</v>
      </c>
    </row>
    <row r="823" spans="3:3" ht="11.25" customHeight="1">
      <c r="C823" s="69" t="s">
        <v>2147</v>
      </c>
    </row>
    <row r="824" spans="3:3" ht="11.25" customHeight="1">
      <c r="C824" s="69" t="s">
        <v>2148</v>
      </c>
    </row>
    <row r="825" spans="3:3" ht="11.25" customHeight="1">
      <c r="C825" s="69" t="s">
        <v>2149</v>
      </c>
    </row>
    <row r="826" spans="3:3" ht="11.25" customHeight="1">
      <c r="C826" s="69" t="s">
        <v>2150</v>
      </c>
    </row>
    <row r="827" spans="3:3" ht="11.25" customHeight="1">
      <c r="C827" s="69" t="s">
        <v>2151</v>
      </c>
    </row>
    <row r="828" spans="3:3" ht="11.25" customHeight="1">
      <c r="C828" s="69" t="s">
        <v>2152</v>
      </c>
    </row>
    <row r="829" spans="3:3" ht="11.25" customHeight="1">
      <c r="C829" s="69" t="s">
        <v>2153</v>
      </c>
    </row>
    <row r="830" spans="3:3" ht="11.25" customHeight="1">
      <c r="C830" s="69" t="s">
        <v>2154</v>
      </c>
    </row>
    <row r="831" spans="3:3" ht="11.25" customHeight="1">
      <c r="C831" s="69" t="s">
        <v>2155</v>
      </c>
    </row>
    <row r="832" spans="3:3" ht="11.25" customHeight="1">
      <c r="C832" s="69" t="s">
        <v>2156</v>
      </c>
    </row>
    <row r="833" spans="3:3" ht="11.25" customHeight="1">
      <c r="C833" s="69" t="s">
        <v>2157</v>
      </c>
    </row>
    <row r="834" spans="3:3" ht="11.25" customHeight="1">
      <c r="C834" s="69" t="s">
        <v>2158</v>
      </c>
    </row>
    <row r="835" spans="3:3" ht="11.25" customHeight="1">
      <c r="C835" s="69" t="s">
        <v>2159</v>
      </c>
    </row>
    <row r="836" spans="3:3" ht="11.25" customHeight="1">
      <c r="C836" s="69" t="s">
        <v>2160</v>
      </c>
    </row>
    <row r="837" spans="3:3" ht="11.25" customHeight="1">
      <c r="C837" s="69" t="s">
        <v>2161</v>
      </c>
    </row>
    <row r="838" spans="3:3" ht="11.25" customHeight="1">
      <c r="C838" s="69" t="s">
        <v>2162</v>
      </c>
    </row>
    <row r="839" spans="3:3" ht="11.25" customHeight="1">
      <c r="C839" s="69" t="s">
        <v>2163</v>
      </c>
    </row>
    <row r="840" spans="3:3" ht="11.25" customHeight="1">
      <c r="C840" s="69" t="s">
        <v>2164</v>
      </c>
    </row>
    <row r="841" spans="3:3" ht="11.25" customHeight="1">
      <c r="C841" s="69" t="s">
        <v>2165</v>
      </c>
    </row>
    <row r="842" spans="3:3" ht="11.25" customHeight="1">
      <c r="C842" s="69" t="s">
        <v>483</v>
      </c>
    </row>
    <row r="844" spans="3:3" ht="11.25" customHeight="1">
      <c r="C844" s="65" t="s">
        <v>553</v>
      </c>
    </row>
    <row r="845" spans="3:3" ht="11.25" customHeight="1">
      <c r="C845" s="69" t="s">
        <v>2519</v>
      </c>
    </row>
    <row r="846" spans="3:3" ht="11.25" customHeight="1">
      <c r="C846" s="69" t="s">
        <v>2538</v>
      </c>
    </row>
    <row r="847" spans="3:3" ht="11.25" customHeight="1">
      <c r="C847" s="69" t="s">
        <v>2235</v>
      </c>
    </row>
    <row r="848" spans="3:3" ht="11.25" customHeight="1">
      <c r="C848" s="69" t="s">
        <v>2753</v>
      </c>
    </row>
    <row r="849" spans="3:3" ht="11.25" customHeight="1">
      <c r="C849" s="69" t="s">
        <v>2754</v>
      </c>
    </row>
    <row r="850" spans="3:3" ht="11.25" customHeight="1">
      <c r="C850" s="69" t="s">
        <v>2755</v>
      </c>
    </row>
    <row r="851" spans="3:3" ht="11.25" customHeight="1">
      <c r="C851" s="69" t="s">
        <v>2756</v>
      </c>
    </row>
    <row r="852" spans="3:3" ht="11.25" customHeight="1">
      <c r="C852" s="69" t="s">
        <v>2757</v>
      </c>
    </row>
    <row r="853" spans="3:3" ht="11.25" customHeight="1">
      <c r="C853" s="69" t="s">
        <v>2758</v>
      </c>
    </row>
    <row r="854" spans="3:3" ht="11.25" customHeight="1">
      <c r="C854" s="69" t="s">
        <v>2759</v>
      </c>
    </row>
    <row r="855" spans="3:3" ht="11.25" customHeight="1">
      <c r="C855" s="69" t="s">
        <v>2760</v>
      </c>
    </row>
    <row r="856" spans="3:3" ht="11.25" customHeight="1">
      <c r="C856" s="69" t="s">
        <v>2761</v>
      </c>
    </row>
    <row r="857" spans="3:3" ht="11.25" customHeight="1">
      <c r="C857" s="69" t="s">
        <v>2762</v>
      </c>
    </row>
    <row r="858" spans="3:3" ht="11.25" customHeight="1">
      <c r="C858" s="69" t="s">
        <v>2763</v>
      </c>
    </row>
    <row r="859" spans="3:3" ht="11.25" customHeight="1">
      <c r="C859" s="69" t="s">
        <v>2764</v>
      </c>
    </row>
    <row r="860" spans="3:3" ht="11.25" customHeight="1">
      <c r="C860" s="69" t="s">
        <v>2765</v>
      </c>
    </row>
    <row r="861" spans="3:3" ht="11.25" customHeight="1">
      <c r="C861" s="69" t="s">
        <v>2766</v>
      </c>
    </row>
    <row r="862" spans="3:3" ht="11.25" customHeight="1">
      <c r="C862" s="69" t="s">
        <v>2767</v>
      </c>
    </row>
    <row r="863" spans="3:3" ht="11.25" customHeight="1">
      <c r="C863" s="69" t="s">
        <v>2768</v>
      </c>
    </row>
    <row r="864" spans="3:3" ht="11.25" customHeight="1">
      <c r="C864" s="69" t="s">
        <v>2769</v>
      </c>
    </row>
    <row r="865" spans="3:7" ht="11.25" customHeight="1">
      <c r="C865" s="69" t="s">
        <v>2770</v>
      </c>
    </row>
    <row r="866" spans="3:7" ht="11.25" customHeight="1">
      <c r="C866" s="69" t="s">
        <v>2771</v>
      </c>
    </row>
    <row r="867" spans="3:7" ht="11.25" customHeight="1">
      <c r="C867" s="69" t="s">
        <v>2772</v>
      </c>
    </row>
    <row r="868" spans="3:7" ht="11.25" customHeight="1">
      <c r="C868" s="69" t="s">
        <v>2773</v>
      </c>
    </row>
    <row r="869" spans="3:7" ht="11.25" customHeight="1">
      <c r="C869" s="69" t="s">
        <v>2774</v>
      </c>
    </row>
    <row r="870" spans="3:7" ht="11.25" customHeight="1">
      <c r="C870" s="69" t="s">
        <v>2775</v>
      </c>
    </row>
    <row r="871" spans="3:7" ht="11.25" customHeight="1">
      <c r="C871" s="69" t="s">
        <v>2776</v>
      </c>
    </row>
    <row r="872" spans="3:7" ht="11.25" customHeight="1">
      <c r="C872" s="69" t="s">
        <v>2777</v>
      </c>
    </row>
    <row r="873" spans="3:7" ht="11.25" customHeight="1">
      <c r="C873" s="69" t="s">
        <v>2778</v>
      </c>
    </row>
    <row r="874" spans="3:7" ht="11.25" customHeight="1">
      <c r="C874" s="69" t="s">
        <v>483</v>
      </c>
    </row>
    <row r="880" spans="3:7" ht="11.25" customHeight="1">
      <c r="C880" s="65" t="s">
        <v>3088</v>
      </c>
      <c r="E880" s="65" t="s">
        <v>3089</v>
      </c>
      <c r="G880" s="65" t="s">
        <v>3090</v>
      </c>
    </row>
    <row r="881" spans="3:7" ht="11.25" customHeight="1">
      <c r="C881" s="296" t="s">
        <v>2743</v>
      </c>
      <c r="E881" s="296" t="s">
        <v>2743</v>
      </c>
      <c r="G881" s="296" t="s">
        <v>2743</v>
      </c>
    </row>
    <row r="882" spans="3:7" ht="11.25" customHeight="1">
      <c r="C882" s="69" t="s">
        <v>2519</v>
      </c>
      <c r="E882" s="69" t="s">
        <v>2519</v>
      </c>
      <c r="G882" s="69" t="s">
        <v>2519</v>
      </c>
    </row>
    <row r="883" spans="3:7" ht="11.25" customHeight="1">
      <c r="C883" s="69" t="s">
        <v>2520</v>
      </c>
      <c r="E883" s="69" t="s">
        <v>2520</v>
      </c>
      <c r="G883" s="69" t="s">
        <v>2520</v>
      </c>
    </row>
    <row r="884" spans="3:7" ht="11.25" customHeight="1">
      <c r="C884" s="69" t="s">
        <v>2521</v>
      </c>
      <c r="E884" s="69" t="s">
        <v>2521</v>
      </c>
      <c r="G884" s="69" t="s">
        <v>2521</v>
      </c>
    </row>
    <row r="885" spans="3:7" ht="11.25" customHeight="1">
      <c r="C885" s="69" t="s">
        <v>2522</v>
      </c>
      <c r="E885" s="69" t="s">
        <v>2522</v>
      </c>
      <c r="G885" s="69" t="s">
        <v>2522</v>
      </c>
    </row>
    <row r="886" spans="3:7" ht="11.25" customHeight="1">
      <c r="C886" s="297" t="s">
        <v>1696</v>
      </c>
      <c r="E886" s="297" t="s">
        <v>1696</v>
      </c>
      <c r="G886" s="297" t="s">
        <v>1696</v>
      </c>
    </row>
    <row r="887" spans="3:7" ht="11.25" customHeight="1">
      <c r="C887" s="69" t="s">
        <v>2523</v>
      </c>
      <c r="E887" s="69" t="s">
        <v>2523</v>
      </c>
      <c r="G887" s="69" t="s">
        <v>2523</v>
      </c>
    </row>
    <row r="888" spans="3:7" ht="11.25" customHeight="1">
      <c r="C888" s="69" t="s">
        <v>2524</v>
      </c>
      <c r="E888" s="69" t="s">
        <v>2524</v>
      </c>
      <c r="G888" s="69" t="s">
        <v>2524</v>
      </c>
    </row>
    <row r="889" spans="3:7" ht="11.25" customHeight="1">
      <c r="C889" s="69" t="s">
        <v>2528</v>
      </c>
      <c r="E889" s="69" t="s">
        <v>2528</v>
      </c>
      <c r="G889" s="69" t="s">
        <v>2528</v>
      </c>
    </row>
    <row r="890" spans="3:7" ht="11.25" customHeight="1">
      <c r="C890" s="69" t="s">
        <v>2527</v>
      </c>
      <c r="E890" s="69" t="s">
        <v>2527</v>
      </c>
      <c r="G890" s="69" t="s">
        <v>2527</v>
      </c>
    </row>
    <row r="891" spans="3:7" ht="11.25" customHeight="1">
      <c r="C891" s="296" t="s">
        <v>795</v>
      </c>
      <c r="E891" s="296" t="s">
        <v>795</v>
      </c>
      <c r="G891" s="296" t="s">
        <v>795</v>
      </c>
    </row>
    <row r="892" spans="3:7" ht="11.25" customHeight="1">
      <c r="C892" s="297" t="s">
        <v>796</v>
      </c>
      <c r="E892" s="297" t="s">
        <v>796</v>
      </c>
      <c r="G892" s="297" t="s">
        <v>796</v>
      </c>
    </row>
    <row r="893" spans="3:7" ht="11.25" customHeight="1">
      <c r="C893" s="297" t="s">
        <v>797</v>
      </c>
      <c r="E893" s="297" t="s">
        <v>797</v>
      </c>
      <c r="G893" s="297" t="s">
        <v>797</v>
      </c>
    </row>
    <row r="894" spans="3:7" ht="11.25" customHeight="1">
      <c r="C894" s="297" t="s">
        <v>1697</v>
      </c>
      <c r="E894" s="297" t="s">
        <v>1697</v>
      </c>
      <c r="G894" s="297" t="s">
        <v>1697</v>
      </c>
    </row>
    <row r="895" spans="3:7" ht="11.25" customHeight="1">
      <c r="C895" s="69" t="s">
        <v>2525</v>
      </c>
      <c r="E895" s="69" t="s">
        <v>2525</v>
      </c>
      <c r="G895" s="69" t="s">
        <v>2525</v>
      </c>
    </row>
    <row r="896" spans="3:7" ht="11.25" customHeight="1">
      <c r="C896" s="297" t="s">
        <v>2734</v>
      </c>
      <c r="E896" s="297" t="s">
        <v>2734</v>
      </c>
      <c r="G896" s="297" t="s">
        <v>2734</v>
      </c>
    </row>
    <row r="897" spans="3:7" ht="11.25" customHeight="1">
      <c r="C897" s="69" t="s">
        <v>2526</v>
      </c>
      <c r="E897" s="69" t="s">
        <v>2526</v>
      </c>
      <c r="G897" s="69" t="s">
        <v>2526</v>
      </c>
    </row>
    <row r="898" spans="3:7" ht="11.25" customHeight="1">
      <c r="C898" s="69" t="s">
        <v>2529</v>
      </c>
      <c r="E898" s="69" t="s">
        <v>2529</v>
      </c>
      <c r="G898" s="69" t="s">
        <v>2529</v>
      </c>
    </row>
    <row r="899" spans="3:7" ht="11.25" customHeight="1">
      <c r="C899" s="69" t="s">
        <v>2530</v>
      </c>
      <c r="E899" s="69" t="s">
        <v>2530</v>
      </c>
      <c r="G899" s="69" t="s">
        <v>2530</v>
      </c>
    </row>
    <row r="900" spans="3:7" ht="11.25" customHeight="1">
      <c r="C900" s="69" t="s">
        <v>2531</v>
      </c>
      <c r="E900" s="69" t="s">
        <v>2531</v>
      </c>
      <c r="G900" s="69" t="s">
        <v>2531</v>
      </c>
    </row>
    <row r="901" spans="3:7" ht="11.25" customHeight="1">
      <c r="C901" s="297" t="s">
        <v>1698</v>
      </c>
      <c r="E901" s="297" t="s">
        <v>1698</v>
      </c>
      <c r="G901" s="297" t="s">
        <v>1698</v>
      </c>
    </row>
    <row r="902" spans="3:7" ht="11.25" customHeight="1">
      <c r="C902" s="69" t="s">
        <v>1712</v>
      </c>
      <c r="E902" s="69" t="s">
        <v>1712</v>
      </c>
      <c r="G902" s="69" t="s">
        <v>1712</v>
      </c>
    </row>
    <row r="903" spans="3:7" ht="11.25" customHeight="1">
      <c r="C903" s="297" t="s">
        <v>1708</v>
      </c>
      <c r="E903" s="297" t="s">
        <v>1708</v>
      </c>
      <c r="G903" s="297" t="s">
        <v>1708</v>
      </c>
    </row>
    <row r="904" spans="3:7" ht="11.25" customHeight="1">
      <c r="C904" s="297" t="s">
        <v>1709</v>
      </c>
      <c r="E904" s="297" t="s">
        <v>1709</v>
      </c>
      <c r="G904" s="297" t="s">
        <v>1709</v>
      </c>
    </row>
    <row r="905" spans="3:7" ht="11.25" customHeight="1">
      <c r="C905" s="297" t="s">
        <v>1710</v>
      </c>
      <c r="E905" s="297" t="s">
        <v>1710</v>
      </c>
      <c r="G905" s="297" t="s">
        <v>1710</v>
      </c>
    </row>
    <row r="906" spans="3:7" ht="11.25" customHeight="1">
      <c r="C906" s="297" t="s">
        <v>1711</v>
      </c>
      <c r="E906" s="297" t="s">
        <v>1711</v>
      </c>
      <c r="G906" s="297" t="s">
        <v>1711</v>
      </c>
    </row>
    <row r="908" spans="3:7" ht="11.25" customHeight="1">
      <c r="C908" s="65" t="s">
        <v>3085</v>
      </c>
      <c r="E908" s="65" t="s">
        <v>3086</v>
      </c>
      <c r="G908" s="65" t="s">
        <v>3087</v>
      </c>
    </row>
    <row r="909" spans="3:7" ht="11.25" customHeight="1">
      <c r="C909" s="69" t="s">
        <v>2519</v>
      </c>
      <c r="E909" s="69" t="s">
        <v>2519</v>
      </c>
      <c r="G909" s="69" t="s">
        <v>2519</v>
      </c>
    </row>
    <row r="910" spans="3:7" ht="11.25" customHeight="1">
      <c r="C910" s="69" t="s">
        <v>2538</v>
      </c>
      <c r="E910" s="69" t="s">
        <v>2538</v>
      </c>
      <c r="G910" s="69" t="s">
        <v>2538</v>
      </c>
    </row>
    <row r="911" spans="3:7" ht="11.25" customHeight="1">
      <c r="C911" s="69" t="s">
        <v>2235</v>
      </c>
      <c r="E911" s="69" t="s">
        <v>2235</v>
      </c>
      <c r="G911" s="69" t="s">
        <v>2235</v>
      </c>
    </row>
    <row r="912" spans="3:7" ht="11.25" customHeight="1">
      <c r="C912" s="69" t="s">
        <v>2539</v>
      </c>
      <c r="E912" s="69" t="s">
        <v>2539</v>
      </c>
      <c r="G912" s="69" t="s">
        <v>2539</v>
      </c>
    </row>
    <row r="913" spans="3:7" ht="11.25" customHeight="1">
      <c r="C913" s="69" t="s">
        <v>2535</v>
      </c>
      <c r="E913" s="69" t="s">
        <v>2535</v>
      </c>
      <c r="G913" s="69" t="s">
        <v>2535</v>
      </c>
    </row>
    <row r="914" spans="3:7" ht="11.25" customHeight="1">
      <c r="C914" s="69" t="s">
        <v>2536</v>
      </c>
      <c r="E914" s="69" t="s">
        <v>2540</v>
      </c>
      <c r="G914" s="69" t="s">
        <v>2540</v>
      </c>
    </row>
    <row r="915" spans="3:7" ht="11.25" customHeight="1">
      <c r="C915" s="69" t="s">
        <v>3160</v>
      </c>
      <c r="E915" s="69" t="s">
        <v>3162</v>
      </c>
      <c r="G915" s="69" t="s">
        <v>3162</v>
      </c>
    </row>
    <row r="916" spans="3:7" ht="11.25" customHeight="1">
      <c r="C916" s="69" t="s">
        <v>3161</v>
      </c>
      <c r="E916" s="69" t="s">
        <v>2236</v>
      </c>
      <c r="G916" s="69" t="s">
        <v>2236</v>
      </c>
    </row>
    <row r="917" spans="3:7" ht="11.25" customHeight="1">
      <c r="C917" s="69" t="s">
        <v>2537</v>
      </c>
      <c r="E917" s="69" t="s">
        <v>2237</v>
      </c>
      <c r="G917" s="69" t="s">
        <v>2237</v>
      </c>
    </row>
    <row r="918" spans="3:7" ht="11.25" customHeight="1">
      <c r="C918" s="69" t="s">
        <v>2540</v>
      </c>
      <c r="E918" s="69" t="s">
        <v>2238</v>
      </c>
      <c r="G918" s="69" t="s">
        <v>2238</v>
      </c>
    </row>
    <row r="919" spans="3:7" ht="11.25" customHeight="1">
      <c r="C919" s="69" t="s">
        <v>3162</v>
      </c>
      <c r="E919" s="69" t="s">
        <v>2239</v>
      </c>
      <c r="G919" s="69" t="s">
        <v>2239</v>
      </c>
    </row>
    <row r="920" spans="3:7" ht="11.25" customHeight="1">
      <c r="C920" s="69" t="s">
        <v>3163</v>
      </c>
      <c r="E920" s="69" t="s">
        <v>2240</v>
      </c>
      <c r="G920" s="69" t="s">
        <v>2240</v>
      </c>
    </row>
    <row r="921" spans="3:7" ht="11.25" customHeight="1">
      <c r="C921" s="69" t="s">
        <v>3164</v>
      </c>
      <c r="E921" s="69" t="s">
        <v>2241</v>
      </c>
      <c r="G921" s="69" t="s">
        <v>2241</v>
      </c>
    </row>
    <row r="922" spans="3:7" ht="11.25" customHeight="1">
      <c r="C922" s="69" t="s">
        <v>2541</v>
      </c>
      <c r="E922" s="69" t="s">
        <v>2242</v>
      </c>
      <c r="G922" s="69" t="s">
        <v>2242</v>
      </c>
    </row>
    <row r="923" spans="3:7" ht="11.25" customHeight="1">
      <c r="C923" s="69" t="s">
        <v>2542</v>
      </c>
      <c r="E923" s="69" t="s">
        <v>2243</v>
      </c>
      <c r="G923" s="69" t="s">
        <v>2243</v>
      </c>
    </row>
    <row r="924" spans="3:7" ht="11.25" customHeight="1">
      <c r="C924" s="69" t="s">
        <v>2748</v>
      </c>
      <c r="E924" s="69" t="s">
        <v>2244</v>
      </c>
      <c r="G924" s="69" t="s">
        <v>2244</v>
      </c>
    </row>
    <row r="925" spans="3:7" ht="11.25" customHeight="1">
      <c r="C925" s="69" t="s">
        <v>2548</v>
      </c>
      <c r="E925" s="69" t="s">
        <v>2245</v>
      </c>
      <c r="G925" s="69" t="s">
        <v>2245</v>
      </c>
    </row>
    <row r="926" spans="3:7" ht="11.25" customHeight="1">
      <c r="C926" s="69" t="s">
        <v>2550</v>
      </c>
      <c r="E926" s="69" t="s">
        <v>2246</v>
      </c>
      <c r="G926" s="69" t="s">
        <v>2246</v>
      </c>
    </row>
    <row r="927" spans="3:7" ht="11.25" customHeight="1">
      <c r="C927" s="69" t="s">
        <v>3091</v>
      </c>
      <c r="E927" s="69" t="s">
        <v>2247</v>
      </c>
      <c r="G927" s="69" t="s">
        <v>2247</v>
      </c>
    </row>
    <row r="928" spans="3:7" ht="11.25" customHeight="1">
      <c r="C928" s="606" t="s">
        <v>462</v>
      </c>
      <c r="E928" s="69" t="s">
        <v>2248</v>
      </c>
      <c r="G928" s="69" t="s">
        <v>2248</v>
      </c>
    </row>
    <row r="929" spans="3:7" ht="11.25" customHeight="1">
      <c r="C929" s="606" t="s">
        <v>467</v>
      </c>
      <c r="E929" s="69" t="s">
        <v>2249</v>
      </c>
      <c r="G929" s="69" t="s">
        <v>2249</v>
      </c>
    </row>
    <row r="930" spans="3:7" ht="11.25" customHeight="1">
      <c r="C930" s="606" t="s">
        <v>468</v>
      </c>
      <c r="E930" s="69" t="s">
        <v>2250</v>
      </c>
      <c r="G930" s="69" t="s">
        <v>2250</v>
      </c>
    </row>
    <row r="931" spans="3:7" ht="11.25" customHeight="1">
      <c r="C931" s="606" t="s">
        <v>2750</v>
      </c>
      <c r="E931" s="69" t="s">
        <v>2251</v>
      </c>
      <c r="G931" s="69" t="s">
        <v>2251</v>
      </c>
    </row>
    <row r="932" spans="3:7" ht="11.25" customHeight="1">
      <c r="C932" s="606" t="s">
        <v>3092</v>
      </c>
      <c r="E932" s="69" t="s">
        <v>2252</v>
      </c>
      <c r="G932" s="69" t="s">
        <v>2252</v>
      </c>
    </row>
    <row r="933" spans="3:7" ht="11.25" customHeight="1">
      <c r="C933" s="606" t="s">
        <v>3093</v>
      </c>
      <c r="E933" s="69" t="s">
        <v>2253</v>
      </c>
      <c r="G933" s="69" t="s">
        <v>2253</v>
      </c>
    </row>
    <row r="934" spans="3:7" ht="11.25" customHeight="1">
      <c r="C934" s="606" t="s">
        <v>3094</v>
      </c>
      <c r="E934" s="69" t="s">
        <v>2254</v>
      </c>
      <c r="G934" s="69" t="s">
        <v>2254</v>
      </c>
    </row>
    <row r="935" spans="3:7" ht="11.25" customHeight="1">
      <c r="C935" s="69" t="s">
        <v>3095</v>
      </c>
      <c r="E935" s="69" t="s">
        <v>2255</v>
      </c>
      <c r="G935" s="69" t="s">
        <v>2255</v>
      </c>
    </row>
    <row r="936" spans="3:7" ht="11.25" customHeight="1">
      <c r="C936" s="606" t="s">
        <v>3096</v>
      </c>
      <c r="E936" s="69" t="s">
        <v>2256</v>
      </c>
      <c r="G936" s="69" t="s">
        <v>2256</v>
      </c>
    </row>
    <row r="937" spans="3:7" ht="11.25" customHeight="1">
      <c r="C937" s="606" t="s">
        <v>3097</v>
      </c>
      <c r="E937" s="69" t="s">
        <v>2257</v>
      </c>
      <c r="G937" s="69" t="s">
        <v>2257</v>
      </c>
    </row>
    <row r="938" spans="3:7" ht="11.25" customHeight="1">
      <c r="C938" s="606" t="s">
        <v>3098</v>
      </c>
      <c r="E938" s="69" t="s">
        <v>2258</v>
      </c>
      <c r="G938" s="69" t="s">
        <v>2258</v>
      </c>
    </row>
    <row r="939" spans="3:7" ht="11.25" customHeight="1">
      <c r="C939" s="606" t="s">
        <v>3099</v>
      </c>
      <c r="E939" s="69" t="s">
        <v>2259</v>
      </c>
      <c r="G939" s="69" t="s">
        <v>2259</v>
      </c>
    </row>
    <row r="940" spans="3:7" ht="11.25" customHeight="1">
      <c r="C940" s="606" t="s">
        <v>3100</v>
      </c>
      <c r="E940" s="69" t="s">
        <v>2260</v>
      </c>
      <c r="G940" s="69" t="s">
        <v>2260</v>
      </c>
    </row>
    <row r="941" spans="3:7" ht="11.25" customHeight="1">
      <c r="C941" s="606" t="s">
        <v>3101</v>
      </c>
      <c r="E941" s="69" t="s">
        <v>2261</v>
      </c>
      <c r="G941" s="69" t="s">
        <v>2261</v>
      </c>
    </row>
    <row r="942" spans="3:7" ht="11.25" customHeight="1">
      <c r="C942" s="606" t="s">
        <v>3102</v>
      </c>
      <c r="E942" s="69" t="s">
        <v>2262</v>
      </c>
      <c r="G942" s="69" t="s">
        <v>2262</v>
      </c>
    </row>
    <row r="943" spans="3:7" ht="11.25" customHeight="1">
      <c r="C943" s="69" t="s">
        <v>3103</v>
      </c>
      <c r="E943" s="69" t="s">
        <v>2263</v>
      </c>
      <c r="G943" s="69" t="s">
        <v>2263</v>
      </c>
    </row>
    <row r="944" spans="3:7" ht="11.25" customHeight="1">
      <c r="C944" s="69" t="s">
        <v>2751</v>
      </c>
      <c r="E944" s="69" t="s">
        <v>3163</v>
      </c>
      <c r="G944" s="69" t="s">
        <v>3163</v>
      </c>
    </row>
    <row r="945" spans="3:7" ht="11.25" customHeight="1">
      <c r="C945" s="69" t="s">
        <v>2752</v>
      </c>
      <c r="E945" s="69" t="s">
        <v>3164</v>
      </c>
      <c r="G945" s="69" t="s">
        <v>3164</v>
      </c>
    </row>
    <row r="946" spans="3:7" ht="11.25" customHeight="1">
      <c r="C946" s="69" t="s">
        <v>3104</v>
      </c>
      <c r="E946" s="69" t="s">
        <v>2264</v>
      </c>
      <c r="G946" s="69" t="s">
        <v>2264</v>
      </c>
    </row>
    <row r="947" spans="3:7" ht="11.25" customHeight="1">
      <c r="C947" s="69" t="s">
        <v>3105</v>
      </c>
      <c r="E947" s="69" t="s">
        <v>2198</v>
      </c>
      <c r="G947" s="69" t="s">
        <v>2198</v>
      </c>
    </row>
    <row r="948" spans="3:7" ht="11.25" customHeight="1">
      <c r="C948" s="69" t="s">
        <v>3106</v>
      </c>
      <c r="E948" s="69" t="s">
        <v>2199</v>
      </c>
      <c r="G948" s="69" t="s">
        <v>2199</v>
      </c>
    </row>
    <row r="949" spans="3:7" ht="11.25" customHeight="1">
      <c r="C949" s="69" t="s">
        <v>3107</v>
      </c>
      <c r="E949" s="69" t="s">
        <v>2265</v>
      </c>
      <c r="G949" s="69" t="s">
        <v>2265</v>
      </c>
    </row>
    <row r="950" spans="3:7" ht="11.25" customHeight="1">
      <c r="C950" s="69" t="s">
        <v>3108</v>
      </c>
      <c r="E950" s="69" t="s">
        <v>2266</v>
      </c>
      <c r="G950" s="69" t="s">
        <v>2266</v>
      </c>
    </row>
    <row r="951" spans="3:7" ht="11.25" customHeight="1">
      <c r="C951" s="69" t="s">
        <v>3109</v>
      </c>
      <c r="E951" s="69" t="s">
        <v>2267</v>
      </c>
      <c r="G951" s="69" t="s">
        <v>2267</v>
      </c>
    </row>
    <row r="952" spans="3:7" ht="11.25" customHeight="1">
      <c r="C952" s="69" t="s">
        <v>3110</v>
      </c>
      <c r="E952" s="69" t="s">
        <v>2268</v>
      </c>
      <c r="G952" s="69" t="s">
        <v>2268</v>
      </c>
    </row>
    <row r="953" spans="3:7" ht="11.25" customHeight="1">
      <c r="C953" s="69" t="s">
        <v>3111</v>
      </c>
      <c r="E953" s="605" t="s">
        <v>2689</v>
      </c>
      <c r="G953" s="605" t="s">
        <v>2689</v>
      </c>
    </row>
    <row r="954" spans="3:7" ht="11.25" customHeight="1">
      <c r="C954" s="69" t="s">
        <v>3112</v>
      </c>
      <c r="E954" s="605" t="s">
        <v>2690</v>
      </c>
      <c r="G954" s="605" t="s">
        <v>2690</v>
      </c>
    </row>
    <row r="955" spans="3:7" ht="11.25" customHeight="1">
      <c r="C955" s="69" t="s">
        <v>2779</v>
      </c>
      <c r="E955" s="605" t="s">
        <v>2691</v>
      </c>
      <c r="G955" s="605" t="s">
        <v>2691</v>
      </c>
    </row>
    <row r="956" spans="3:7" ht="11.25" customHeight="1">
      <c r="C956" s="69" t="s">
        <v>3113</v>
      </c>
      <c r="E956" s="69" t="s">
        <v>2269</v>
      </c>
      <c r="G956" s="69" t="s">
        <v>2269</v>
      </c>
    </row>
    <row r="957" spans="3:7" ht="11.25" customHeight="1">
      <c r="C957" s="69" t="s">
        <v>2753</v>
      </c>
      <c r="E957" s="69" t="s">
        <v>2270</v>
      </c>
      <c r="G957" s="69" t="s">
        <v>2270</v>
      </c>
    </row>
    <row r="958" spans="3:7" ht="11.25" customHeight="1">
      <c r="C958" s="69" t="s">
        <v>2754</v>
      </c>
      <c r="E958" s="69" t="s">
        <v>2271</v>
      </c>
      <c r="G958" s="69" t="s">
        <v>2271</v>
      </c>
    </row>
    <row r="959" spans="3:7" ht="11.25" customHeight="1">
      <c r="C959" s="606" t="s">
        <v>3114</v>
      </c>
      <c r="E959" s="605" t="s">
        <v>2692</v>
      </c>
      <c r="G959" s="605" t="s">
        <v>2692</v>
      </c>
    </row>
    <row r="960" spans="3:7" ht="11.25" customHeight="1">
      <c r="C960" s="606" t="s">
        <v>3115</v>
      </c>
      <c r="E960" s="605" t="s">
        <v>2693</v>
      </c>
      <c r="G960" s="605" t="s">
        <v>2693</v>
      </c>
    </row>
    <row r="961" spans="3:7" ht="11.25" customHeight="1">
      <c r="C961" s="606" t="s">
        <v>3116</v>
      </c>
      <c r="E961" s="605" t="s">
        <v>2694</v>
      </c>
      <c r="G961" s="605" t="s">
        <v>2694</v>
      </c>
    </row>
    <row r="962" spans="3:7" ht="11.25" customHeight="1">
      <c r="C962" s="606" t="s">
        <v>3117</v>
      </c>
      <c r="E962" s="69" t="s">
        <v>2272</v>
      </c>
      <c r="G962" s="69" t="s">
        <v>2272</v>
      </c>
    </row>
    <row r="963" spans="3:7" ht="11.25" customHeight="1">
      <c r="C963" s="606" t="s">
        <v>3118</v>
      </c>
      <c r="E963" s="69" t="s">
        <v>2273</v>
      </c>
      <c r="G963" s="69" t="s">
        <v>2273</v>
      </c>
    </row>
    <row r="964" spans="3:7" ht="11.25" customHeight="1">
      <c r="C964" s="606" t="s">
        <v>3119</v>
      </c>
      <c r="E964" s="69" t="s">
        <v>2274</v>
      </c>
      <c r="G964" s="69" t="s">
        <v>2274</v>
      </c>
    </row>
    <row r="965" spans="3:7" ht="11.25" customHeight="1">
      <c r="C965" s="606" t="s">
        <v>3120</v>
      </c>
      <c r="E965" s="605" t="s">
        <v>2695</v>
      </c>
      <c r="G965" s="605" t="s">
        <v>2695</v>
      </c>
    </row>
    <row r="966" spans="3:7" ht="11.25" customHeight="1">
      <c r="C966" s="606" t="s">
        <v>3121</v>
      </c>
      <c r="E966" s="605" t="s">
        <v>2696</v>
      </c>
      <c r="G966" s="605" t="s">
        <v>2696</v>
      </c>
    </row>
    <row r="967" spans="3:7" ht="11.25" customHeight="1">
      <c r="C967" s="606" t="s">
        <v>3122</v>
      </c>
      <c r="E967" s="605" t="s">
        <v>2697</v>
      </c>
      <c r="G967" s="605" t="s">
        <v>2697</v>
      </c>
    </row>
    <row r="968" spans="3:7" ht="11.25" customHeight="1">
      <c r="C968" s="606" t="s">
        <v>3123</v>
      </c>
      <c r="E968" s="69" t="s">
        <v>2275</v>
      </c>
      <c r="G968" s="69" t="s">
        <v>2275</v>
      </c>
    </row>
    <row r="969" spans="3:7" ht="11.25" customHeight="1">
      <c r="C969" s="606" t="s">
        <v>3124</v>
      </c>
      <c r="E969" s="69" t="s">
        <v>2276</v>
      </c>
      <c r="G969" s="69" t="s">
        <v>2276</v>
      </c>
    </row>
    <row r="970" spans="3:7" ht="11.25" customHeight="1">
      <c r="C970" s="606" t="s">
        <v>3125</v>
      </c>
      <c r="E970" s="69" t="s">
        <v>2277</v>
      </c>
      <c r="G970" s="69" t="s">
        <v>2277</v>
      </c>
    </row>
    <row r="971" spans="3:7" ht="11.25" customHeight="1">
      <c r="C971" s="606" t="s">
        <v>3126</v>
      </c>
      <c r="E971" s="69" t="s">
        <v>2278</v>
      </c>
      <c r="G971" s="69" t="s">
        <v>2278</v>
      </c>
    </row>
    <row r="972" spans="3:7" ht="11.25" customHeight="1">
      <c r="C972" s="606" t="s">
        <v>3127</v>
      </c>
      <c r="E972" s="69" t="s">
        <v>2279</v>
      </c>
      <c r="G972" s="69" t="s">
        <v>2279</v>
      </c>
    </row>
    <row r="973" spans="3:7" ht="11.25" customHeight="1">
      <c r="C973" s="606" t="s">
        <v>3128</v>
      </c>
      <c r="E973" s="69" t="s">
        <v>2280</v>
      </c>
      <c r="G973" s="69" t="s">
        <v>2280</v>
      </c>
    </row>
    <row r="974" spans="3:7" ht="11.25" customHeight="1">
      <c r="C974" s="606" t="s">
        <v>3129</v>
      </c>
      <c r="E974" s="69" t="s">
        <v>2281</v>
      </c>
      <c r="G974" s="69" t="s">
        <v>2281</v>
      </c>
    </row>
    <row r="975" spans="3:7" ht="11.25" customHeight="1">
      <c r="C975" s="606" t="s">
        <v>3130</v>
      </c>
      <c r="E975" s="69" t="s">
        <v>2282</v>
      </c>
      <c r="G975" s="69" t="s">
        <v>2282</v>
      </c>
    </row>
    <row r="976" spans="3:7" ht="11.25" customHeight="1">
      <c r="C976" s="606" t="s">
        <v>3131</v>
      </c>
      <c r="E976" s="69" t="s">
        <v>2283</v>
      </c>
      <c r="G976" s="69" t="s">
        <v>2283</v>
      </c>
    </row>
    <row r="977" spans="3:7" ht="11.25" customHeight="1">
      <c r="C977" s="606" t="s">
        <v>3132</v>
      </c>
      <c r="E977" s="69" t="s">
        <v>2284</v>
      </c>
      <c r="G977" s="69" t="s">
        <v>2284</v>
      </c>
    </row>
    <row r="978" spans="3:7" ht="11.25" customHeight="1">
      <c r="C978" s="606" t="s">
        <v>3133</v>
      </c>
      <c r="E978" s="69" t="s">
        <v>2285</v>
      </c>
      <c r="G978" s="69" t="s">
        <v>2285</v>
      </c>
    </row>
    <row r="979" spans="3:7" ht="11.25" customHeight="1">
      <c r="C979" s="606" t="s">
        <v>3134</v>
      </c>
      <c r="E979" s="69" t="s">
        <v>2286</v>
      </c>
      <c r="G979" s="69" t="s">
        <v>2286</v>
      </c>
    </row>
    <row r="980" spans="3:7" ht="11.25" customHeight="1">
      <c r="C980" s="606" t="s">
        <v>3135</v>
      </c>
      <c r="E980" s="69" t="s">
        <v>2287</v>
      </c>
      <c r="G980" s="69" t="s">
        <v>2287</v>
      </c>
    </row>
    <row r="981" spans="3:7" ht="11.25" customHeight="1">
      <c r="C981" s="606" t="s">
        <v>3136</v>
      </c>
      <c r="E981" s="69" t="s">
        <v>2288</v>
      </c>
      <c r="G981" s="69" t="s">
        <v>2288</v>
      </c>
    </row>
    <row r="982" spans="3:7" ht="11.25" customHeight="1">
      <c r="C982" s="606" t="s">
        <v>3137</v>
      </c>
      <c r="E982" s="69" t="s">
        <v>2289</v>
      </c>
      <c r="G982" s="69" t="s">
        <v>2289</v>
      </c>
    </row>
    <row r="983" spans="3:7" ht="11.25" customHeight="1">
      <c r="C983" s="606" t="s">
        <v>3138</v>
      </c>
      <c r="E983" s="69" t="s">
        <v>2290</v>
      </c>
      <c r="G983" s="606" t="s">
        <v>462</v>
      </c>
    </row>
    <row r="984" spans="3:7" ht="11.25" customHeight="1">
      <c r="C984" s="69" t="s">
        <v>2551</v>
      </c>
      <c r="E984" s="69" t="s">
        <v>2291</v>
      </c>
      <c r="G984" s="606" t="s">
        <v>467</v>
      </c>
    </row>
    <row r="985" spans="3:7" ht="11.25" customHeight="1">
      <c r="C985" s="69" t="s">
        <v>2552</v>
      </c>
      <c r="E985" s="69" t="s">
        <v>2292</v>
      </c>
      <c r="G985" s="606" t="s">
        <v>468</v>
      </c>
    </row>
    <row r="986" spans="3:7" ht="11.25" customHeight="1">
      <c r="C986" s="69" t="s">
        <v>3165</v>
      </c>
      <c r="E986" s="69" t="s">
        <v>2293</v>
      </c>
      <c r="G986" s="606" t="s">
        <v>2750</v>
      </c>
    </row>
    <row r="987" spans="3:7" ht="11.25" customHeight="1">
      <c r="C987" s="608" t="s">
        <v>3166</v>
      </c>
      <c r="E987" s="69" t="s">
        <v>2294</v>
      </c>
      <c r="G987" s="69" t="s">
        <v>2294</v>
      </c>
    </row>
    <row r="988" spans="3:7" ht="11.25" customHeight="1">
      <c r="C988" s="608" t="s">
        <v>3167</v>
      </c>
      <c r="E988" s="69" t="s">
        <v>2295</v>
      </c>
      <c r="G988" s="69" t="s">
        <v>2295</v>
      </c>
    </row>
    <row r="989" spans="3:7" ht="11.25" customHeight="1">
      <c r="C989" s="608" t="s">
        <v>3168</v>
      </c>
      <c r="E989" s="69" t="s">
        <v>2296</v>
      </c>
      <c r="G989" s="69" t="s">
        <v>2296</v>
      </c>
    </row>
    <row r="990" spans="3:7" ht="11.25" customHeight="1">
      <c r="C990" s="608" t="s">
        <v>2169</v>
      </c>
      <c r="E990" s="69" t="s">
        <v>2297</v>
      </c>
      <c r="G990" s="69" t="s">
        <v>2297</v>
      </c>
    </row>
    <row r="991" spans="3:7" ht="11.25" customHeight="1">
      <c r="C991" s="608" t="s">
        <v>3169</v>
      </c>
      <c r="E991" s="69" t="s">
        <v>2298</v>
      </c>
      <c r="G991" s="69" t="s">
        <v>2298</v>
      </c>
    </row>
    <row r="992" spans="3:7" ht="11.25" customHeight="1">
      <c r="C992" s="608" t="s">
        <v>2170</v>
      </c>
      <c r="E992" s="69" t="s">
        <v>2299</v>
      </c>
      <c r="G992" s="69" t="s">
        <v>2299</v>
      </c>
    </row>
    <row r="993" spans="3:7" ht="11.25" customHeight="1">
      <c r="C993" s="608" t="s">
        <v>2171</v>
      </c>
      <c r="E993" s="69" t="s">
        <v>2300</v>
      </c>
      <c r="G993" s="69" t="s">
        <v>2300</v>
      </c>
    </row>
    <row r="994" spans="3:7" ht="11.25" customHeight="1">
      <c r="C994" s="608" t="s">
        <v>2172</v>
      </c>
      <c r="E994" s="69" t="s">
        <v>2301</v>
      </c>
      <c r="G994" s="69" t="s">
        <v>2301</v>
      </c>
    </row>
    <row r="995" spans="3:7" ht="11.25" customHeight="1">
      <c r="C995" s="608" t="s">
        <v>3170</v>
      </c>
      <c r="E995" s="69" t="s">
        <v>2667</v>
      </c>
      <c r="G995" s="69" t="s">
        <v>2667</v>
      </c>
    </row>
    <row r="996" spans="3:7" ht="11.25" customHeight="1">
      <c r="C996" s="608" t="s">
        <v>3171</v>
      </c>
      <c r="E996" s="69" t="s">
        <v>2668</v>
      </c>
      <c r="G996" s="69" t="s">
        <v>2668</v>
      </c>
    </row>
    <row r="997" spans="3:7" ht="11.25" customHeight="1">
      <c r="C997" s="608" t="s">
        <v>3172</v>
      </c>
      <c r="E997" s="69" t="s">
        <v>2669</v>
      </c>
      <c r="G997" s="69" t="s">
        <v>2669</v>
      </c>
    </row>
    <row r="998" spans="3:7" ht="11.25" customHeight="1">
      <c r="C998" s="608" t="s">
        <v>2173</v>
      </c>
      <c r="E998" s="69" t="s">
        <v>2670</v>
      </c>
      <c r="G998" s="69" t="s">
        <v>2670</v>
      </c>
    </row>
    <row r="999" spans="3:7" ht="11.25" customHeight="1">
      <c r="C999" s="608" t="s">
        <v>3173</v>
      </c>
      <c r="E999" s="69" t="s">
        <v>2671</v>
      </c>
      <c r="G999" s="69" t="s">
        <v>2671</v>
      </c>
    </row>
    <row r="1000" spans="3:7" ht="11.25" customHeight="1">
      <c r="C1000" s="608" t="s">
        <v>2174</v>
      </c>
      <c r="E1000" s="69" t="s">
        <v>2672</v>
      </c>
      <c r="G1000" s="69" t="s">
        <v>2672</v>
      </c>
    </row>
    <row r="1001" spans="3:7" ht="11.25" customHeight="1">
      <c r="C1001" s="608" t="s">
        <v>2175</v>
      </c>
      <c r="E1001" s="69" t="s">
        <v>2673</v>
      </c>
      <c r="G1001" s="69" t="s">
        <v>2673</v>
      </c>
    </row>
    <row r="1002" spans="3:7" ht="11.25" customHeight="1">
      <c r="C1002" s="608" t="s">
        <v>2176</v>
      </c>
      <c r="E1002" s="69" t="s">
        <v>2674</v>
      </c>
      <c r="G1002" s="69" t="s">
        <v>2674</v>
      </c>
    </row>
    <row r="1003" spans="3:7" ht="11.25" customHeight="1">
      <c r="C1003" s="69" t="s">
        <v>3174</v>
      </c>
      <c r="E1003" s="69" t="s">
        <v>2675</v>
      </c>
      <c r="G1003" s="69" t="s">
        <v>2675</v>
      </c>
    </row>
    <row r="1004" spans="3:7" ht="11.25" customHeight="1">
      <c r="C1004" s="69" t="s">
        <v>3175</v>
      </c>
      <c r="E1004" s="69" t="s">
        <v>2676</v>
      </c>
      <c r="G1004" s="69" t="s">
        <v>2676</v>
      </c>
    </row>
    <row r="1005" spans="3:7" ht="11.25" customHeight="1">
      <c r="C1005" s="69" t="s">
        <v>3176</v>
      </c>
      <c r="E1005" s="69" t="s">
        <v>2677</v>
      </c>
      <c r="G1005" s="69" t="s">
        <v>2677</v>
      </c>
    </row>
    <row r="1006" spans="3:7" ht="11.25" customHeight="1">
      <c r="C1006" s="69" t="s">
        <v>3177</v>
      </c>
      <c r="E1006" s="69" t="s">
        <v>2678</v>
      </c>
      <c r="G1006" s="69" t="s">
        <v>2678</v>
      </c>
    </row>
    <row r="1007" spans="3:7" ht="11.25" customHeight="1">
      <c r="C1007" s="69" t="s">
        <v>3178</v>
      </c>
      <c r="E1007" s="69" t="s">
        <v>2679</v>
      </c>
      <c r="G1007" s="69" t="s">
        <v>2679</v>
      </c>
    </row>
    <row r="1008" spans="3:7" ht="11.25" customHeight="1">
      <c r="C1008" s="69" t="s">
        <v>3179</v>
      </c>
      <c r="E1008" s="69" t="s">
        <v>2680</v>
      </c>
      <c r="G1008" s="69" t="s">
        <v>2680</v>
      </c>
    </row>
    <row r="1009" spans="3:7" ht="11.25" customHeight="1">
      <c r="C1009" s="69" t="s">
        <v>3180</v>
      </c>
      <c r="E1009" s="69" t="s">
        <v>2681</v>
      </c>
      <c r="G1009" s="69" t="s">
        <v>2681</v>
      </c>
    </row>
    <row r="1010" spans="3:7" ht="11.25" customHeight="1">
      <c r="C1010" s="69" t="s">
        <v>3181</v>
      </c>
      <c r="E1010" s="69" t="s">
        <v>2682</v>
      </c>
      <c r="G1010" s="69" t="s">
        <v>2682</v>
      </c>
    </row>
    <row r="1011" spans="3:7" ht="11.25" customHeight="1">
      <c r="C1011" s="69" t="s">
        <v>3182</v>
      </c>
      <c r="E1011" s="69" t="s">
        <v>2683</v>
      </c>
      <c r="G1011" s="69" t="s">
        <v>2683</v>
      </c>
    </row>
    <row r="1012" spans="3:7" ht="11.25" customHeight="1">
      <c r="C1012" s="69" t="s">
        <v>3183</v>
      </c>
      <c r="E1012" s="69" t="s">
        <v>2541</v>
      </c>
      <c r="G1012" s="69" t="s">
        <v>2541</v>
      </c>
    </row>
    <row r="1013" spans="3:7" ht="11.25" customHeight="1">
      <c r="C1013" s="69" t="s">
        <v>3184</v>
      </c>
      <c r="E1013" s="69" t="s">
        <v>2542</v>
      </c>
      <c r="G1013" s="69" t="s">
        <v>2542</v>
      </c>
    </row>
    <row r="1014" spans="3:7" ht="11.25" customHeight="1">
      <c r="C1014" s="69" t="s">
        <v>3185</v>
      </c>
      <c r="E1014" s="69" t="s">
        <v>2684</v>
      </c>
      <c r="G1014" s="69" t="s">
        <v>2684</v>
      </c>
    </row>
    <row r="1015" spans="3:7" ht="11.25" customHeight="1">
      <c r="C1015" s="69" t="s">
        <v>3186</v>
      </c>
      <c r="E1015" s="69" t="s">
        <v>2543</v>
      </c>
      <c r="G1015" s="69" t="s">
        <v>2543</v>
      </c>
    </row>
    <row r="1016" spans="3:7" ht="11.25" customHeight="1">
      <c r="C1016" s="69" t="s">
        <v>3187</v>
      </c>
      <c r="E1016" s="69" t="s">
        <v>2544</v>
      </c>
      <c r="G1016" s="69" t="s">
        <v>2544</v>
      </c>
    </row>
    <row r="1017" spans="3:7" ht="11.25" customHeight="1">
      <c r="C1017" s="69" t="s">
        <v>3188</v>
      </c>
      <c r="E1017" s="69" t="s">
        <v>2545</v>
      </c>
      <c r="G1017" s="69" t="s">
        <v>2545</v>
      </c>
    </row>
    <row r="1018" spans="3:7" ht="11.25" customHeight="1">
      <c r="C1018" s="69" t="s">
        <v>3189</v>
      </c>
      <c r="E1018" s="69" t="s">
        <v>2546</v>
      </c>
      <c r="G1018" s="69" t="s">
        <v>2546</v>
      </c>
    </row>
    <row r="1019" spans="3:7" ht="11.25" customHeight="1">
      <c r="C1019" s="69" t="s">
        <v>3190</v>
      </c>
      <c r="E1019" s="69" t="s">
        <v>2685</v>
      </c>
      <c r="G1019" s="69" t="s">
        <v>2685</v>
      </c>
    </row>
    <row r="1020" spans="3:7" ht="11.25" customHeight="1">
      <c r="C1020" s="69" t="s">
        <v>3191</v>
      </c>
      <c r="E1020" s="69" t="s">
        <v>2686</v>
      </c>
      <c r="G1020" s="69" t="s">
        <v>2686</v>
      </c>
    </row>
    <row r="1021" spans="3:7" ht="11.25" customHeight="1">
      <c r="C1021" s="69" t="s">
        <v>3192</v>
      </c>
      <c r="E1021" s="69" t="s">
        <v>2687</v>
      </c>
      <c r="G1021" s="69" t="s">
        <v>2687</v>
      </c>
    </row>
    <row r="1022" spans="3:7" ht="11.25" customHeight="1">
      <c r="C1022" s="69" t="s">
        <v>3193</v>
      </c>
      <c r="E1022" s="69" t="s">
        <v>2748</v>
      </c>
      <c r="G1022" s="69" t="s">
        <v>2748</v>
      </c>
    </row>
    <row r="1023" spans="3:7" ht="11.25" customHeight="1">
      <c r="C1023" s="69" t="s">
        <v>3194</v>
      </c>
      <c r="E1023" s="605" t="s">
        <v>2688</v>
      </c>
      <c r="G1023" s="605" t="s">
        <v>2688</v>
      </c>
    </row>
    <row r="1024" spans="3:7" ht="11.25" customHeight="1">
      <c r="C1024" s="69" t="s">
        <v>3195</v>
      </c>
      <c r="E1024" s="69" t="s">
        <v>2548</v>
      </c>
      <c r="G1024" s="69" t="s">
        <v>2548</v>
      </c>
    </row>
    <row r="1025" spans="3:7" ht="11.25" customHeight="1">
      <c r="C1025" s="69" t="s">
        <v>3196</v>
      </c>
      <c r="E1025" s="69" t="s">
        <v>2550</v>
      </c>
      <c r="G1025" s="69" t="s">
        <v>2550</v>
      </c>
    </row>
    <row r="1026" spans="3:7" ht="11.25" customHeight="1">
      <c r="C1026" s="69" t="s">
        <v>3197</v>
      </c>
      <c r="E1026" s="69" t="s">
        <v>2751</v>
      </c>
      <c r="G1026" s="69" t="s">
        <v>2751</v>
      </c>
    </row>
    <row r="1027" spans="3:7" ht="11.25" customHeight="1">
      <c r="C1027" s="69" t="s">
        <v>3198</v>
      </c>
      <c r="E1027" s="69" t="s">
        <v>2551</v>
      </c>
      <c r="G1027" s="69" t="s">
        <v>2551</v>
      </c>
    </row>
    <row r="1028" spans="3:7" ht="11.25" customHeight="1">
      <c r="C1028" s="69" t="s">
        <v>3199</v>
      </c>
      <c r="E1028" s="69" t="s">
        <v>3228</v>
      </c>
      <c r="G1028" s="69" t="s">
        <v>3228</v>
      </c>
    </row>
    <row r="1029" spans="3:7" ht="11.25" customHeight="1">
      <c r="C1029" s="69" t="s">
        <v>3200</v>
      </c>
      <c r="E1029" s="69" t="s">
        <v>3244</v>
      </c>
      <c r="G1029" s="69" t="s">
        <v>3244</v>
      </c>
    </row>
    <row r="1030" spans="3:7" ht="11.25" customHeight="1">
      <c r="C1030" s="69" t="s">
        <v>3201</v>
      </c>
      <c r="E1030" s="69" t="s">
        <v>3250</v>
      </c>
      <c r="G1030" s="69" t="s">
        <v>3250</v>
      </c>
    </row>
    <row r="1031" spans="3:7" ht="11.25" customHeight="1">
      <c r="C1031" s="69" t="s">
        <v>2553</v>
      </c>
      <c r="E1031" s="69" t="s">
        <v>3252</v>
      </c>
      <c r="G1031" s="69" t="s">
        <v>3252</v>
      </c>
    </row>
    <row r="1032" spans="3:7" ht="11.25" customHeight="1">
      <c r="C1032" s="69" t="s">
        <v>2554</v>
      </c>
      <c r="E1032" s="69" t="s">
        <v>483</v>
      </c>
      <c r="G1032" s="69" t="s">
        <v>483</v>
      </c>
    </row>
    <row r="1033" spans="3:7" ht="11.25" customHeight="1">
      <c r="C1033" s="69" t="s">
        <v>2555</v>
      </c>
    </row>
    <row r="1034" spans="3:7" ht="11.25" customHeight="1">
      <c r="C1034" s="69" t="s">
        <v>3202</v>
      </c>
    </row>
    <row r="1035" spans="3:7" ht="11.25" customHeight="1">
      <c r="C1035" s="69" t="s">
        <v>3203</v>
      </c>
    </row>
    <row r="1036" spans="3:7" ht="11.25" customHeight="1">
      <c r="C1036" s="69" t="s">
        <v>3204</v>
      </c>
    </row>
    <row r="1037" spans="3:7" ht="11.25" customHeight="1">
      <c r="C1037" s="69" t="s">
        <v>3205</v>
      </c>
    </row>
    <row r="1038" spans="3:7" ht="11.25" customHeight="1">
      <c r="C1038" s="69" t="s">
        <v>3206</v>
      </c>
    </row>
    <row r="1039" spans="3:7" ht="11.25" customHeight="1">
      <c r="C1039" s="69" t="s">
        <v>3207</v>
      </c>
    </row>
    <row r="1040" spans="3:7" ht="11.25" customHeight="1">
      <c r="C1040" s="69" t="s">
        <v>3208</v>
      </c>
    </row>
    <row r="1041" spans="3:3" ht="11.25" customHeight="1">
      <c r="C1041" s="69" t="s">
        <v>3209</v>
      </c>
    </row>
    <row r="1042" spans="3:3" ht="11.25" customHeight="1">
      <c r="C1042" s="69" t="s">
        <v>3210</v>
      </c>
    </row>
    <row r="1043" spans="3:3" ht="11.25" customHeight="1">
      <c r="C1043" s="69" t="s">
        <v>3211</v>
      </c>
    </row>
    <row r="1044" spans="3:3" ht="11.25" customHeight="1">
      <c r="C1044" s="69" t="s">
        <v>3212</v>
      </c>
    </row>
    <row r="1045" spans="3:3" ht="11.25" customHeight="1">
      <c r="C1045" s="69" t="s">
        <v>3213</v>
      </c>
    </row>
    <row r="1046" spans="3:3" ht="11.25" customHeight="1">
      <c r="C1046" s="69" t="s">
        <v>3214</v>
      </c>
    </row>
    <row r="1047" spans="3:3" ht="11.25" customHeight="1">
      <c r="C1047" s="69" t="s">
        <v>3215</v>
      </c>
    </row>
    <row r="1048" spans="3:3" ht="11.25" customHeight="1">
      <c r="C1048" s="69" t="s">
        <v>3216</v>
      </c>
    </row>
    <row r="1049" spans="3:3" ht="11.25" customHeight="1">
      <c r="C1049" s="69" t="s">
        <v>3217</v>
      </c>
    </row>
    <row r="1050" spans="3:3" ht="11.25" customHeight="1">
      <c r="C1050" s="69" t="s">
        <v>3218</v>
      </c>
    </row>
    <row r="1051" spans="3:3" ht="11.25" customHeight="1">
      <c r="C1051" s="69" t="s">
        <v>3219</v>
      </c>
    </row>
    <row r="1052" spans="3:3" ht="11.25" customHeight="1">
      <c r="C1052" s="69" t="s">
        <v>3220</v>
      </c>
    </row>
    <row r="1053" spans="3:3" ht="11.25" customHeight="1">
      <c r="C1053" s="69" t="s">
        <v>3221</v>
      </c>
    </row>
    <row r="1054" spans="3:3" ht="11.25" customHeight="1">
      <c r="C1054" s="69" t="s">
        <v>3222</v>
      </c>
    </row>
    <row r="1055" spans="3:3" ht="11.25" customHeight="1">
      <c r="C1055" s="69" t="s">
        <v>3223</v>
      </c>
    </row>
    <row r="1056" spans="3:3" ht="11.25" customHeight="1">
      <c r="C1056" s="69" t="s">
        <v>3224</v>
      </c>
    </row>
    <row r="1057" spans="3:3" ht="11.25" customHeight="1">
      <c r="C1057" s="69" t="s">
        <v>3225</v>
      </c>
    </row>
    <row r="1058" spans="3:3" ht="11.25" customHeight="1">
      <c r="C1058" s="69" t="s">
        <v>3226</v>
      </c>
    </row>
    <row r="1059" spans="3:3" ht="11.25" customHeight="1">
      <c r="C1059" s="69" t="s">
        <v>3227</v>
      </c>
    </row>
    <row r="1060" spans="3:3" ht="11.25" customHeight="1">
      <c r="C1060" s="69" t="s">
        <v>3228</v>
      </c>
    </row>
    <row r="1061" spans="3:3" ht="11.25" customHeight="1">
      <c r="C1061" s="608" t="s">
        <v>1862</v>
      </c>
    </row>
    <row r="1062" spans="3:3" ht="11.25" customHeight="1">
      <c r="C1062" s="608" t="s">
        <v>1863</v>
      </c>
    </row>
    <row r="1063" spans="3:3" ht="11.25" customHeight="1">
      <c r="C1063" s="608" t="s">
        <v>1864</v>
      </c>
    </row>
    <row r="1064" spans="3:3" ht="11.25" customHeight="1">
      <c r="C1064" s="69" t="s">
        <v>3229</v>
      </c>
    </row>
    <row r="1065" spans="3:3" ht="11.25" customHeight="1">
      <c r="C1065" s="69" t="s">
        <v>3230</v>
      </c>
    </row>
    <row r="1066" spans="3:3" ht="11.25" customHeight="1">
      <c r="C1066" s="69" t="s">
        <v>3231</v>
      </c>
    </row>
    <row r="1067" spans="3:3" ht="11.25" customHeight="1">
      <c r="C1067" s="608" t="s">
        <v>1865</v>
      </c>
    </row>
    <row r="1068" spans="3:3" ht="11.25" customHeight="1">
      <c r="C1068" s="608" t="s">
        <v>1866</v>
      </c>
    </row>
    <row r="1069" spans="3:3" ht="11.25" customHeight="1">
      <c r="C1069" s="608" t="s">
        <v>1867</v>
      </c>
    </row>
    <row r="1070" spans="3:3" ht="11.25" customHeight="1">
      <c r="C1070" s="69" t="s">
        <v>3232</v>
      </c>
    </row>
    <row r="1071" spans="3:3" ht="11.25" customHeight="1">
      <c r="C1071" s="69" t="s">
        <v>3233</v>
      </c>
    </row>
    <row r="1072" spans="3:3" ht="11.25" customHeight="1">
      <c r="C1072" s="69" t="s">
        <v>3234</v>
      </c>
    </row>
    <row r="1073" spans="3:3" ht="11.25" customHeight="1">
      <c r="C1073" s="608" t="s">
        <v>1868</v>
      </c>
    </row>
    <row r="1074" spans="3:3" ht="11.25" customHeight="1">
      <c r="C1074" s="608" t="s">
        <v>1869</v>
      </c>
    </row>
    <row r="1075" spans="3:3" ht="11.25" customHeight="1">
      <c r="C1075" s="608" t="s">
        <v>1870</v>
      </c>
    </row>
    <row r="1076" spans="3:3" ht="11.25" customHeight="1">
      <c r="C1076" s="69" t="s">
        <v>3235</v>
      </c>
    </row>
    <row r="1077" spans="3:3" ht="11.25" customHeight="1">
      <c r="C1077" s="69" t="s">
        <v>3236</v>
      </c>
    </row>
    <row r="1078" spans="3:3" ht="11.25" customHeight="1">
      <c r="C1078" s="69" t="s">
        <v>3237</v>
      </c>
    </row>
    <row r="1079" spans="3:3" ht="11.25" customHeight="1">
      <c r="C1079" s="69" t="s">
        <v>3238</v>
      </c>
    </row>
    <row r="1080" spans="3:3" ht="11.25" customHeight="1">
      <c r="C1080" s="69" t="s">
        <v>3239</v>
      </c>
    </row>
    <row r="1081" spans="3:3" ht="11.25" customHeight="1">
      <c r="C1081" s="69" t="s">
        <v>3240</v>
      </c>
    </row>
    <row r="1082" spans="3:3" ht="11.25" customHeight="1">
      <c r="C1082" s="69" t="s">
        <v>3241</v>
      </c>
    </row>
    <row r="1083" spans="3:3" ht="11.25" customHeight="1">
      <c r="C1083" s="69" t="s">
        <v>3242</v>
      </c>
    </row>
    <row r="1084" spans="3:3" ht="11.25" customHeight="1">
      <c r="C1084" s="69" t="s">
        <v>3243</v>
      </c>
    </row>
    <row r="1085" spans="3:3" ht="11.25" customHeight="1">
      <c r="C1085" s="69" t="s">
        <v>3244</v>
      </c>
    </row>
    <row r="1086" spans="3:3" ht="11.25" customHeight="1">
      <c r="C1086" s="69" t="s">
        <v>3245</v>
      </c>
    </row>
    <row r="1087" spans="3:3" ht="11.25" customHeight="1">
      <c r="C1087" s="69" t="s">
        <v>3246</v>
      </c>
    </row>
    <row r="1088" spans="3:3" ht="11.25" customHeight="1">
      <c r="C1088" s="69" t="s">
        <v>3247</v>
      </c>
    </row>
    <row r="1089" spans="3:3" ht="11.25" customHeight="1">
      <c r="C1089" s="69" t="s">
        <v>3248</v>
      </c>
    </row>
    <row r="1090" spans="3:3" ht="11.25" customHeight="1">
      <c r="C1090" s="69" t="s">
        <v>3249</v>
      </c>
    </row>
    <row r="1091" spans="3:3" ht="11.25" customHeight="1">
      <c r="C1091" s="69" t="s">
        <v>3250</v>
      </c>
    </row>
    <row r="1092" spans="3:3" ht="11.25" customHeight="1">
      <c r="C1092" s="69" t="s">
        <v>3251</v>
      </c>
    </row>
    <row r="1093" spans="3:3" ht="11.25" customHeight="1">
      <c r="C1093" s="69" t="s">
        <v>3252</v>
      </c>
    </row>
    <row r="1094" spans="3:3" ht="11.25" customHeight="1">
      <c r="C1094" s="69" t="s">
        <v>453</v>
      </c>
    </row>
    <row r="1095" spans="3:3" ht="11.25" customHeight="1">
      <c r="C1095" s="69" t="s">
        <v>454</v>
      </c>
    </row>
    <row r="1096" spans="3:3" ht="11.25" customHeight="1">
      <c r="C1096" s="69" t="s">
        <v>455</v>
      </c>
    </row>
    <row r="1097" spans="3:3" ht="11.25" customHeight="1">
      <c r="C1097" s="69" t="s">
        <v>456</v>
      </c>
    </row>
    <row r="1098" spans="3:3" ht="11.25" customHeight="1">
      <c r="C1098" s="69" t="s">
        <v>457</v>
      </c>
    </row>
    <row r="1099" spans="3:3" ht="11.25" customHeight="1">
      <c r="C1099" s="69" t="s">
        <v>458</v>
      </c>
    </row>
    <row r="1100" spans="3:3" ht="11.25" customHeight="1">
      <c r="C1100" s="69" t="s">
        <v>459</v>
      </c>
    </row>
    <row r="1101" spans="3:3" ht="11.25" customHeight="1">
      <c r="C1101" s="69" t="s">
        <v>460</v>
      </c>
    </row>
    <row r="1102" spans="3:3" ht="11.25" customHeight="1">
      <c r="C1102" s="69" t="s">
        <v>461</v>
      </c>
    </row>
    <row r="1103" spans="3:3" ht="11.25" customHeight="1">
      <c r="C1103" s="69" t="s">
        <v>1861</v>
      </c>
    </row>
    <row r="1104" spans="3:3" ht="11.25" customHeight="1">
      <c r="C1104" s="69" t="s">
        <v>463</v>
      </c>
    </row>
    <row r="1105" spans="3:3" ht="11.25" customHeight="1">
      <c r="C1105" s="69" t="s">
        <v>464</v>
      </c>
    </row>
    <row r="1106" spans="3:3" ht="11.25" customHeight="1">
      <c r="C1106" s="69" t="s">
        <v>465</v>
      </c>
    </row>
    <row r="1107" spans="3:3" ht="11.25" customHeight="1">
      <c r="C1107" s="69" t="s">
        <v>466</v>
      </c>
    </row>
    <row r="1108" spans="3:3" ht="11.25" customHeight="1">
      <c r="C1108" s="69" t="s">
        <v>467</v>
      </c>
    </row>
    <row r="1109" spans="3:3" ht="11.25" customHeight="1">
      <c r="C1109" s="69" t="s">
        <v>468</v>
      </c>
    </row>
    <row r="1110" spans="3:3" ht="11.25" customHeight="1">
      <c r="C1110" s="69" t="s">
        <v>469</v>
      </c>
    </row>
    <row r="1111" spans="3:3" ht="11.25" customHeight="1">
      <c r="C1111" s="69" t="s">
        <v>470</v>
      </c>
    </row>
    <row r="1112" spans="3:3" ht="11.25" customHeight="1">
      <c r="C1112" s="69" t="s">
        <v>471</v>
      </c>
    </row>
    <row r="1113" spans="3:3" ht="11.25" customHeight="1">
      <c r="C1113" s="69" t="s">
        <v>472</v>
      </c>
    </row>
    <row r="1114" spans="3:3" ht="11.25" customHeight="1">
      <c r="C1114" s="69" t="s">
        <v>473</v>
      </c>
    </row>
    <row r="1115" spans="3:3" ht="11.25" customHeight="1">
      <c r="C1115" s="69" t="s">
        <v>474</v>
      </c>
    </row>
    <row r="1116" spans="3:3" ht="11.25" customHeight="1">
      <c r="C1116" s="69" t="s">
        <v>475</v>
      </c>
    </row>
    <row r="1117" spans="3:3" ht="11.25" customHeight="1">
      <c r="C1117" s="69" t="s">
        <v>476</v>
      </c>
    </row>
    <row r="1118" spans="3:3" ht="11.25" customHeight="1">
      <c r="C1118" s="69" t="s">
        <v>477</v>
      </c>
    </row>
    <row r="1119" spans="3:3" ht="11.25" customHeight="1">
      <c r="C1119" s="69" t="s">
        <v>478</v>
      </c>
    </row>
    <row r="1120" spans="3:3" ht="11.25" customHeight="1">
      <c r="C1120" s="69" t="s">
        <v>479</v>
      </c>
    </row>
    <row r="1121" spans="3:3" ht="11.25" customHeight="1">
      <c r="C1121" s="69" t="s">
        <v>480</v>
      </c>
    </row>
    <row r="1122" spans="3:3" ht="11.25" customHeight="1">
      <c r="C1122" s="69" t="s">
        <v>481</v>
      </c>
    </row>
    <row r="1123" spans="3:3" ht="11.25" customHeight="1">
      <c r="C1123" s="69" t="s">
        <v>482</v>
      </c>
    </row>
    <row r="1124" spans="3:3" ht="11.25" customHeight="1">
      <c r="C1124" s="69" t="s">
        <v>483</v>
      </c>
    </row>
  </sheetData>
  <sheetProtection formatColumns="0" formatRows="0"/>
  <phoneticPr fontId="8" type="noConversion"/>
  <pageMargins left="0.75" right="0.75" top="1" bottom="1" header="0.5" footer="0.5"/>
  <pageSetup paperSize="9" orientation="portrait" horizontalDpi="200" verticalDpi="200" r:id="rId1"/>
  <headerFooter alignWithMargins="0"/>
  <legacyDrawing r:id="rId2"/>
</worksheet>
</file>

<file path=xl/worksheets/sheet50.xml><?xml version="1.0" encoding="utf-8"?>
<worksheet xmlns="http://schemas.openxmlformats.org/spreadsheetml/2006/main" xmlns:r="http://schemas.openxmlformats.org/officeDocument/2006/relationships">
  <sheetPr codeName="VOTV_CALC_PERIOD_YEAR">
    <tabColor rgb="FF002060"/>
    <outlinePr summaryBelow="0"/>
  </sheetPr>
  <dimension ref="A1:AX166"/>
  <sheetViews>
    <sheetView showGridLines="0" topLeftCell="AL8" workbookViewId="0">
      <selection activeCell="BD17" sqref="BD17:BD18"/>
    </sheetView>
  </sheetViews>
  <sheetFormatPr defaultColWidth="8.7109375" defaultRowHeight="11.25"/>
  <cols>
    <col min="1" max="37" width="2.7109375"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3" width="0.140625" style="47" customWidth="1"/>
    <col min="44" max="45" width="0.140625" style="47" hidden="1" customWidth="1"/>
    <col min="46" max="46" width="17.7109375" style="47" customWidth="1"/>
    <col min="47" max="47" width="0.140625" style="47" customWidth="1"/>
    <col min="48" max="49" width="2.7109375" style="47" customWidth="1"/>
    <col min="50" max="16384" width="8.7109375" style="47"/>
  </cols>
  <sheetData>
    <row r="1" spans="1:50" s="48" customFormat="1" ht="12" hidden="1" customHeight="1">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199"/>
      <c r="AQ1" s="47"/>
      <c r="AR1" s="47"/>
      <c r="AS1" s="47"/>
      <c r="AT1" s="47"/>
      <c r="AU1" s="47"/>
      <c r="AV1" s="47"/>
      <c r="AW1" s="47"/>
      <c r="AX1" s="47"/>
    </row>
    <row r="2" spans="1:50" s="48" customFormat="1" ht="12" hidden="1" customHeight="1">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199"/>
      <c r="AQ2" s="47"/>
      <c r="AR2" s="47"/>
      <c r="AS2" s="47"/>
      <c r="AT2" s="47"/>
      <c r="AU2" s="47"/>
      <c r="AV2" s="47"/>
      <c r="AW2" s="47"/>
      <c r="AX2" s="47"/>
    </row>
    <row r="3" spans="1:50" s="48" customFormat="1" ht="12" hidden="1" customHeight="1">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199"/>
      <c r="AQ3" s="47"/>
      <c r="AR3" s="47"/>
      <c r="AS3" s="47"/>
      <c r="AT3" s="47"/>
      <c r="AU3" s="47"/>
      <c r="AV3" s="47"/>
      <c r="AW3" s="47"/>
      <c r="AX3" s="47"/>
    </row>
    <row r="4" spans="1:50" s="48" customFormat="1" ht="12" hidden="1" customHeight="1">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199"/>
      <c r="AQ4" s="47"/>
      <c r="AR4" s="47"/>
      <c r="AS4" s="47"/>
      <c r="AT4" s="47"/>
      <c r="AU4" s="47"/>
      <c r="AV4" s="47"/>
      <c r="AW4" s="47"/>
      <c r="AX4" s="47"/>
    </row>
    <row r="5" spans="1:50" s="48" customFormat="1" ht="12" hidden="1" customHeight="1">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199"/>
      <c r="AQ5" s="47"/>
      <c r="AR5" s="47"/>
      <c r="AS5" s="47"/>
      <c r="AT5" s="47"/>
      <c r="AU5" s="47"/>
      <c r="AV5" s="47"/>
      <c r="AW5" s="47"/>
      <c r="AX5" s="47"/>
    </row>
    <row r="6" spans="1:50" s="48" customFormat="1" ht="12" hidden="1" customHeight="1">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199"/>
      <c r="AQ6" s="47"/>
      <c r="AR6" s="47"/>
      <c r="AS6" s="47"/>
      <c r="AT6" s="47"/>
      <c r="AU6" s="47"/>
      <c r="AV6" s="47"/>
      <c r="AW6" s="47"/>
      <c r="AX6" s="47"/>
    </row>
    <row r="7" spans="1:50" s="48" customFormat="1" ht="12" hidden="1" customHeight="1">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199"/>
      <c r="AO7" s="158"/>
      <c r="AQ7" s="47"/>
      <c r="AR7" s="47"/>
      <c r="AS7" s="47"/>
      <c r="AT7" s="47"/>
      <c r="AU7" s="47"/>
      <c r="AV7" s="47"/>
      <c r="AW7" s="47"/>
      <c r="AX7" s="47"/>
    </row>
    <row r="8" spans="1:50" s="312" customFormat="1" ht="12" customHeight="1">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308"/>
      <c r="AN8" s="618"/>
      <c r="AO8" s="432"/>
      <c r="AP8" s="616" t="s">
        <v>2790</v>
      </c>
      <c r="AQ8" s="522"/>
      <c r="AR8" s="624"/>
      <c r="AS8" s="624"/>
      <c r="AT8" s="624" t="s">
        <v>3269</v>
      </c>
      <c r="AU8" s="522"/>
      <c r="AV8" s="522"/>
      <c r="AW8" s="520"/>
      <c r="AX8" s="520"/>
    </row>
    <row r="9" spans="1:50"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по муниципальному образованию - " &amp; IF(mo="","Не определено",mo)</f>
        <v>Фактические расходы организаций водоотведения по муниципальному образованию - Село Булава</v>
      </c>
      <c r="AO9" s="917"/>
      <c r="AP9" s="917"/>
      <c r="AQ9" s="201"/>
      <c r="AR9" s="625" t="str">
        <f>AR11 &amp; ".1"</f>
        <v>1.1</v>
      </c>
      <c r="AS9" s="625" t="str">
        <f>AR11 &amp; ".2"</f>
        <v>1.2</v>
      </c>
      <c r="AT9" s="625" t="str">
        <f>AR11 &amp; ".0"</f>
        <v>1.0</v>
      </c>
      <c r="AU9" s="122"/>
      <c r="AV9" s="200"/>
    </row>
    <row r="10" spans="1:50" s="48" customFormat="1" ht="12" customHeight="1">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189"/>
      <c r="AO10" s="209"/>
      <c r="AP10" s="214" t="s">
        <v>786</v>
      </c>
      <c r="AQ10" s="201"/>
      <c r="AR10" s="814" t="s">
        <v>719</v>
      </c>
      <c r="AS10" s="814"/>
      <c r="AT10" s="814"/>
      <c r="AU10" s="168" t="s">
        <v>720</v>
      </c>
      <c r="AV10" s="53"/>
      <c r="AW10" s="47"/>
      <c r="AX10" s="47"/>
    </row>
    <row r="11" spans="1:50" ht="12" customHeight="1">
      <c r="A11" s="47"/>
      <c r="B11" s="47"/>
      <c r="C11" s="47"/>
      <c r="D11" s="47"/>
      <c r="E11" s="47"/>
      <c r="F11" s="47"/>
      <c r="G11" s="47"/>
      <c r="H11" s="47"/>
      <c r="I11" s="47"/>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50"/>
      <c r="AM11" s="125"/>
      <c r="AN11" s="802" t="s">
        <v>641</v>
      </c>
      <c r="AO11" s="804" t="s">
        <v>787</v>
      </c>
      <c r="AP11" s="819" t="s">
        <v>778</v>
      </c>
      <c r="AQ11" s="206">
        <v>0</v>
      </c>
      <c r="AR11" s="808">
        <v>1</v>
      </c>
      <c r="AS11" s="809"/>
      <c r="AT11" s="810"/>
      <c r="AU11" s="206"/>
      <c r="AV11" s="220"/>
    </row>
    <row r="12" spans="1:50" ht="12.75" customHeight="1">
      <c r="A12" s="47"/>
      <c r="B12" s="47"/>
      <c r="C12" s="47"/>
      <c r="D12" s="47"/>
      <c r="E12" s="47"/>
      <c r="F12" s="47"/>
      <c r="G12" s="47"/>
      <c r="H12" s="47"/>
      <c r="I12" s="47"/>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50"/>
      <c r="AM12" s="125"/>
      <c r="AN12" s="803"/>
      <c r="AO12" s="805"/>
      <c r="AP12" s="819"/>
      <c r="AQ12" s="207"/>
      <c r="AR12" s="964" t="str">
        <f>IF('Список организаций'!$I$16="","Не определено",'Список организаций'!$I$16)</f>
        <v>МУП СП "Село Булава" Булавинское ТЭП"</v>
      </c>
      <c r="AS12" s="797"/>
      <c r="AT12" s="798"/>
      <c r="AU12" s="207"/>
      <c r="AV12" s="121"/>
      <c r="AW12" s="121"/>
    </row>
    <row r="13" spans="1:50" ht="11.25" customHeight="1">
      <c r="A13" s="47"/>
      <c r="B13" s="47"/>
      <c r="C13" s="47"/>
      <c r="D13" s="47"/>
      <c r="E13" s="47"/>
      <c r="F13" s="47"/>
      <c r="G13" s="47"/>
      <c r="H13" s="47"/>
      <c r="I13" s="47"/>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222"/>
      <c r="AO13" s="501" t="s">
        <v>788</v>
      </c>
      <c r="AP13" s="564"/>
      <c r="AQ13" s="330"/>
      <c r="AR13" s="963" t="str">
        <f>IF('Список организаций'!$M$16="","Не определено",'Список организаций'!$M$16)</f>
        <v>нет</v>
      </c>
      <c r="AS13" s="800"/>
      <c r="AT13" s="801"/>
      <c r="AU13" s="207"/>
      <c r="AV13" s="121"/>
      <c r="AW13" s="121"/>
    </row>
    <row r="14" spans="1:50" ht="11.25" customHeight="1">
      <c r="A14" s="47"/>
      <c r="B14" s="47"/>
      <c r="C14" s="47"/>
      <c r="D14" s="47"/>
      <c r="E14" s="47"/>
      <c r="F14" s="47"/>
      <c r="G14" s="47"/>
      <c r="H14" s="47"/>
      <c r="I14" s="47"/>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222"/>
      <c r="AO14" s="556" t="str">
        <f>IF(CALC_IDENTIFIER="","",CALC_IDENTIFIER)</f>
        <v/>
      </c>
      <c r="AP14" s="557" t="s">
        <v>745</v>
      </c>
      <c r="AQ14" s="330"/>
      <c r="AR14" s="568"/>
      <c r="AS14" s="568"/>
      <c r="AT14" s="568" t="s">
        <v>745</v>
      </c>
      <c r="AU14" s="207"/>
      <c r="AV14" s="121"/>
      <c r="AW14" s="121"/>
    </row>
    <row r="15" spans="1:50">
      <c r="AL15" s="121"/>
      <c r="AM15" s="121"/>
      <c r="AN15" s="504" t="s">
        <v>642</v>
      </c>
      <c r="AO15" s="566" t="str">
        <f>IF(TEMPLATE_SPHERE="водоснабжения","Объём отпуска воды (тыс. куб.м)",IF(TEMPLATE_SPHERE="водоотведения","Пропущено сточных вод, всего (тыс. куб.м)"))</f>
        <v>Пропущено сточных вод, всего (тыс. куб.м)</v>
      </c>
      <c r="AP15" s="551">
        <f t="shared" ref="AP15:AP21" si="0">SUMIF(AQ$14:AU$14,AP$14,AQ15:AU15)</f>
        <v>2.9558</v>
      </c>
      <c r="AQ15" s="321"/>
      <c r="AR15" s="567"/>
      <c r="AS15" s="323"/>
      <c r="AT15" s="262">
        <f>'РО 01.01 - 30.06'!AT15+'РО 01.07 - 31.08'!AT15+'РО 01.09 - 31.12'!AT15</f>
        <v>2.9558</v>
      </c>
      <c r="AU15" s="258"/>
      <c r="AV15" s="121"/>
      <c r="AW15" s="121"/>
    </row>
    <row r="16" spans="1:50" ht="22.5">
      <c r="AL16" s="121"/>
      <c r="AM16" s="121"/>
      <c r="AN16" s="504" t="s">
        <v>790</v>
      </c>
      <c r="AO16" s="527" t="s">
        <v>369</v>
      </c>
      <c r="AP16" s="257">
        <f t="shared" si="0"/>
        <v>0</v>
      </c>
      <c r="AQ16" s="321"/>
      <c r="AR16" s="553"/>
      <c r="AS16" s="553"/>
      <c r="AT16" s="262">
        <f>'РО 01.01 - 30.06'!AT16+'РО 01.07 - 31.08'!AT16+'РО 01.09 - 31.12'!AT16</f>
        <v>0</v>
      </c>
      <c r="AU16" s="258"/>
      <c r="AV16" s="121"/>
      <c r="AW16" s="121"/>
    </row>
    <row r="17" spans="38:49">
      <c r="AL17" s="121"/>
      <c r="AM17" s="121"/>
      <c r="AN17" s="504" t="s">
        <v>751</v>
      </c>
      <c r="AO17" s="526" t="s">
        <v>2814</v>
      </c>
      <c r="AP17" s="257">
        <f t="shared" si="0"/>
        <v>156.89999999999998</v>
      </c>
      <c r="AQ17" s="321"/>
      <c r="AR17" s="260"/>
      <c r="AS17" s="260"/>
      <c r="AT17" s="262">
        <f>'РО 01.01 - 30.06'!AT17+'РО 01.07 - 31.08'!AT17+'РО 01.09 - 31.12'!AT17</f>
        <v>156.89999999999998</v>
      </c>
      <c r="AU17" s="258"/>
      <c r="AV17" s="121"/>
      <c r="AW17" s="121"/>
    </row>
    <row r="18" spans="38:49">
      <c r="AL18" s="121"/>
      <c r="AM18" s="121"/>
      <c r="AN18" s="504" t="s">
        <v>66</v>
      </c>
      <c r="AO18" s="527" t="s">
        <v>2815</v>
      </c>
      <c r="AP18" s="257">
        <f t="shared" si="0"/>
        <v>0</v>
      </c>
      <c r="AQ18" s="321"/>
      <c r="AR18" s="260"/>
      <c r="AS18" s="260"/>
      <c r="AT18" s="262">
        <f>'РО 01.01 - 30.06'!AT18+'РО 01.07 - 31.08'!AT18+'РО 01.09 - 31.12'!AT18</f>
        <v>0</v>
      </c>
      <c r="AU18" s="258"/>
      <c r="AV18" s="121"/>
      <c r="AW18" s="121"/>
    </row>
    <row r="19" spans="38:49">
      <c r="AL19" s="121"/>
      <c r="AM19" s="121"/>
      <c r="AN19" s="504" t="s">
        <v>632</v>
      </c>
      <c r="AO19" s="528" t="s">
        <v>2816</v>
      </c>
      <c r="AP19" s="257">
        <f t="shared" si="0"/>
        <v>0</v>
      </c>
      <c r="AQ19" s="321"/>
      <c r="AR19" s="260"/>
      <c r="AS19" s="260"/>
      <c r="AT19" s="262">
        <f>'РО 01.01 - 30.06'!AT19+'РО 01.07 - 31.08'!AT19+'РО 01.09 - 31.12'!AT19</f>
        <v>0</v>
      </c>
      <c r="AU19" s="258"/>
      <c r="AV19" s="121"/>
      <c r="AW19" s="121"/>
    </row>
    <row r="20" spans="38:49">
      <c r="AL20" s="121"/>
      <c r="AM20" s="121"/>
      <c r="AN20" s="223" t="s">
        <v>2817</v>
      </c>
      <c r="AO20" s="529" t="s">
        <v>2972</v>
      </c>
      <c r="AP20" s="257">
        <f t="shared" si="0"/>
        <v>0</v>
      </c>
      <c r="AQ20" s="321"/>
      <c r="AR20" s="260"/>
      <c r="AS20" s="260"/>
      <c r="AT20" s="262">
        <f>'РО 01.01 - 30.06'!AT20+'РО 01.07 - 31.08'!AT20+'РО 01.09 - 31.12'!AT20</f>
        <v>0</v>
      </c>
      <c r="AU20" s="258"/>
      <c r="AV20" s="121"/>
      <c r="AW20" s="121"/>
    </row>
    <row r="21" spans="38:49">
      <c r="AL21" s="121"/>
      <c r="AM21" s="121"/>
      <c r="AN21" s="223" t="s">
        <v>2818</v>
      </c>
      <c r="AO21" s="529" t="s">
        <v>2988</v>
      </c>
      <c r="AP21" s="257">
        <f t="shared" si="0"/>
        <v>0</v>
      </c>
      <c r="AQ21" s="321"/>
      <c r="AR21" s="260"/>
      <c r="AS21" s="260"/>
      <c r="AT21" s="262">
        <f>'РО 01.01 - 30.06'!AT21+'РО 01.07 - 31.08'!AT21+'РО 01.09 - 31.12'!AT21</f>
        <v>0</v>
      </c>
      <c r="AU21" s="258"/>
      <c r="AV21" s="121"/>
      <c r="AW21" s="121"/>
    </row>
    <row r="22" spans="38:49" hidden="1">
      <c r="AL22" s="121"/>
      <c r="AM22" s="121"/>
      <c r="AN22" s="223"/>
      <c r="AO22" s="529"/>
      <c r="AP22" s="260"/>
      <c r="AQ22" s="321"/>
      <c r="AR22" s="260"/>
      <c r="AS22" s="260"/>
      <c r="AT22" s="260"/>
      <c r="AU22" s="258"/>
      <c r="AV22" s="121"/>
      <c r="AW22" s="121"/>
    </row>
    <row r="23" spans="38:49" hidden="1">
      <c r="AL23" s="121"/>
      <c r="AM23" s="121"/>
      <c r="AN23" s="524"/>
      <c r="AO23" s="530"/>
      <c r="AP23" s="255"/>
      <c r="AQ23" s="321"/>
      <c r="AR23" s="260"/>
      <c r="AS23" s="260"/>
      <c r="AT23" s="260"/>
      <c r="AU23" s="258"/>
      <c r="AV23" s="121"/>
      <c r="AW23" s="121"/>
    </row>
    <row r="24" spans="38:49" hidden="1">
      <c r="AL24" s="121"/>
      <c r="AM24" s="121"/>
      <c r="AN24" s="524"/>
      <c r="AO24" s="530"/>
      <c r="AP24" s="260"/>
      <c r="AQ24" s="321"/>
      <c r="AR24" s="260"/>
      <c r="AS24" s="260"/>
      <c r="AT24" s="260"/>
      <c r="AU24" s="258"/>
      <c r="AV24" s="121"/>
      <c r="AW24" s="121"/>
    </row>
    <row r="25" spans="38:49" hidden="1">
      <c r="AL25" s="121"/>
      <c r="AM25" s="121"/>
      <c r="AN25" s="223"/>
      <c r="AO25" s="531"/>
      <c r="AP25" s="260"/>
      <c r="AQ25" s="321"/>
      <c r="AR25" s="260"/>
      <c r="AS25" s="260"/>
      <c r="AT25" s="260"/>
      <c r="AU25" s="258"/>
      <c r="AV25" s="121"/>
      <c r="AW25" s="121"/>
    </row>
    <row r="26" spans="38:49" hidden="1">
      <c r="AL26" s="121"/>
      <c r="AM26" s="121"/>
      <c r="AN26" s="524"/>
      <c r="AO26" s="530"/>
      <c r="AP26" s="255"/>
      <c r="AQ26" s="321"/>
      <c r="AR26" s="260"/>
      <c r="AS26" s="260"/>
      <c r="AT26" s="260"/>
      <c r="AU26" s="258"/>
      <c r="AV26" s="121"/>
      <c r="AW26" s="121"/>
    </row>
    <row r="27" spans="38:49" hidden="1">
      <c r="AL27" s="121"/>
      <c r="AM27" s="121"/>
      <c r="AN27" s="524"/>
      <c r="AO27" s="530"/>
      <c r="AP27" s="260"/>
      <c r="AQ27" s="321"/>
      <c r="AR27" s="260"/>
      <c r="AS27" s="260"/>
      <c r="AT27" s="260"/>
      <c r="AU27" s="258"/>
      <c r="AV27" s="121"/>
      <c r="AW27" s="121"/>
    </row>
    <row r="28" spans="38:49" hidden="1">
      <c r="AL28" s="121"/>
      <c r="AM28" s="121"/>
      <c r="AN28" s="223"/>
      <c r="AO28" s="529"/>
      <c r="AP28" s="260"/>
      <c r="AQ28" s="321"/>
      <c r="AR28" s="260"/>
      <c r="AS28" s="260"/>
      <c r="AT28" s="260"/>
      <c r="AU28" s="258"/>
      <c r="AV28" s="121"/>
      <c r="AW28" s="121"/>
    </row>
    <row r="29" spans="38:49" hidden="1">
      <c r="AL29" s="121"/>
      <c r="AM29" s="121"/>
      <c r="AN29" s="524"/>
      <c r="AO29" s="530"/>
      <c r="AP29" s="255"/>
      <c r="AQ29" s="321"/>
      <c r="AR29" s="260"/>
      <c r="AS29" s="260"/>
      <c r="AT29" s="260"/>
      <c r="AU29" s="258"/>
      <c r="AV29" s="121"/>
      <c r="AW29" s="121"/>
    </row>
    <row r="30" spans="38:49" hidden="1">
      <c r="AL30" s="121"/>
      <c r="AM30" s="121"/>
      <c r="AN30" s="524"/>
      <c r="AO30" s="530"/>
      <c r="AP30" s="260"/>
      <c r="AQ30" s="321"/>
      <c r="AR30" s="260"/>
      <c r="AS30" s="260"/>
      <c r="AT30" s="260"/>
      <c r="AU30" s="258"/>
      <c r="AV30" s="121"/>
      <c r="AW30" s="121"/>
    </row>
    <row r="31" spans="38:49" hidden="1">
      <c r="AL31" s="121"/>
      <c r="AM31" s="121"/>
      <c r="AN31" s="223"/>
      <c r="AO31" s="531"/>
      <c r="AP31" s="260"/>
      <c r="AQ31" s="321"/>
      <c r="AR31" s="260"/>
      <c r="AS31" s="260"/>
      <c r="AT31" s="260"/>
      <c r="AU31" s="258"/>
      <c r="AV31" s="121"/>
      <c r="AW31" s="121"/>
    </row>
    <row r="32" spans="38:49" hidden="1">
      <c r="AL32" s="121"/>
      <c r="AM32" s="121"/>
      <c r="AN32" s="524"/>
      <c r="AO32" s="530"/>
      <c r="AP32" s="255"/>
      <c r="AQ32" s="321"/>
      <c r="AR32" s="260"/>
      <c r="AS32" s="260"/>
      <c r="AT32" s="260"/>
      <c r="AU32" s="258"/>
      <c r="AV32" s="121"/>
      <c r="AW32" s="121"/>
    </row>
    <row r="33" spans="38:49" hidden="1">
      <c r="AL33" s="121"/>
      <c r="AM33" s="121"/>
      <c r="AN33" s="524"/>
      <c r="AO33" s="530"/>
      <c r="AP33" s="260"/>
      <c r="AQ33" s="321"/>
      <c r="AR33" s="260"/>
      <c r="AS33" s="260"/>
      <c r="AT33" s="260"/>
      <c r="AU33" s="258"/>
      <c r="AV33" s="121"/>
      <c r="AW33" s="121"/>
    </row>
    <row r="34" spans="38:49" hidden="1">
      <c r="AL34" s="121"/>
      <c r="AM34" s="121"/>
      <c r="AN34" s="223"/>
      <c r="AO34" s="529"/>
      <c r="AP34" s="260"/>
      <c r="AQ34" s="321"/>
      <c r="AR34" s="260"/>
      <c r="AS34" s="260"/>
      <c r="AT34" s="260"/>
      <c r="AU34" s="258"/>
      <c r="AV34" s="121"/>
      <c r="AW34" s="121"/>
    </row>
    <row r="35" spans="38:49" hidden="1">
      <c r="AL35" s="121"/>
      <c r="AM35" s="121"/>
      <c r="AN35" s="524"/>
      <c r="AO35" s="530"/>
      <c r="AP35" s="255"/>
      <c r="AQ35" s="321"/>
      <c r="AR35" s="260"/>
      <c r="AS35" s="260"/>
      <c r="AT35" s="260"/>
      <c r="AU35" s="258"/>
      <c r="AV35" s="121"/>
      <c r="AW35" s="121"/>
    </row>
    <row r="36" spans="38:49" hidden="1">
      <c r="AL36" s="121"/>
      <c r="AM36" s="121"/>
      <c r="AN36" s="524"/>
      <c r="AO36" s="530"/>
      <c r="AP36" s="260"/>
      <c r="AQ36" s="321"/>
      <c r="AR36" s="260"/>
      <c r="AS36" s="260"/>
      <c r="AT36" s="260"/>
      <c r="AU36" s="258"/>
      <c r="AV36" s="121"/>
      <c r="AW36" s="121"/>
    </row>
    <row r="37" spans="38:49" hidden="1">
      <c r="AL37" s="121"/>
      <c r="AM37" s="121"/>
      <c r="AN37" s="223"/>
      <c r="AO37" s="531"/>
      <c r="AP37" s="260"/>
      <c r="AQ37" s="321"/>
      <c r="AR37" s="260"/>
      <c r="AS37" s="260"/>
      <c r="AT37" s="260"/>
      <c r="AU37" s="258"/>
      <c r="AV37" s="121"/>
      <c r="AW37" s="121"/>
    </row>
    <row r="38" spans="38:49" hidden="1">
      <c r="AL38" s="121"/>
      <c r="AM38" s="121"/>
      <c r="AN38" s="524"/>
      <c r="AO38" s="530"/>
      <c r="AP38" s="255"/>
      <c r="AQ38" s="321"/>
      <c r="AR38" s="260"/>
      <c r="AS38" s="260"/>
      <c r="AT38" s="260"/>
      <c r="AU38" s="258"/>
      <c r="AV38" s="121"/>
      <c r="AW38" s="121"/>
    </row>
    <row r="39" spans="38:49" hidden="1">
      <c r="AL39" s="121"/>
      <c r="AM39" s="121"/>
      <c r="AN39" s="524"/>
      <c r="AO39" s="530"/>
      <c r="AP39" s="260"/>
      <c r="AQ39" s="321"/>
      <c r="AR39" s="260"/>
      <c r="AS39" s="260"/>
      <c r="AT39" s="260"/>
      <c r="AU39" s="258"/>
      <c r="AV39" s="121"/>
      <c r="AW39" s="121"/>
    </row>
    <row r="40" spans="38:49" hidden="1">
      <c r="AL40" s="121"/>
      <c r="AM40" s="121"/>
      <c r="AN40" s="223"/>
      <c r="AO40" s="529"/>
      <c r="AP40" s="260"/>
      <c r="AQ40" s="321"/>
      <c r="AR40" s="260"/>
      <c r="AS40" s="260"/>
      <c r="AT40" s="260"/>
      <c r="AU40" s="258"/>
      <c r="AV40" s="121"/>
      <c r="AW40" s="121"/>
    </row>
    <row r="41" spans="38:49" hidden="1">
      <c r="AL41" s="121"/>
      <c r="AM41" s="121"/>
      <c r="AN41" s="524"/>
      <c r="AO41" s="530"/>
      <c r="AP41" s="255"/>
      <c r="AQ41" s="321"/>
      <c r="AR41" s="260"/>
      <c r="AS41" s="260"/>
      <c r="AT41" s="260"/>
      <c r="AU41" s="258"/>
      <c r="AV41" s="121"/>
      <c r="AW41" s="121"/>
    </row>
    <row r="42" spans="38:49" hidden="1">
      <c r="AL42" s="121"/>
      <c r="AM42" s="121"/>
      <c r="AN42" s="524"/>
      <c r="AO42" s="530"/>
      <c r="AP42" s="260"/>
      <c r="AQ42" s="321"/>
      <c r="AR42" s="260"/>
      <c r="AS42" s="260"/>
      <c r="AT42" s="260"/>
      <c r="AU42" s="258"/>
      <c r="AV42" s="121"/>
      <c r="AW42" s="121"/>
    </row>
    <row r="43" spans="38:49" hidden="1">
      <c r="AL43" s="121"/>
      <c r="AM43" s="121"/>
      <c r="AN43" s="223"/>
      <c r="AO43" s="531"/>
      <c r="AP43" s="260"/>
      <c r="AQ43" s="321"/>
      <c r="AR43" s="260"/>
      <c r="AS43" s="260"/>
      <c r="AT43" s="260"/>
      <c r="AU43" s="258"/>
      <c r="AV43" s="121"/>
      <c r="AW43" s="121"/>
    </row>
    <row r="44" spans="38:49" hidden="1">
      <c r="AL44" s="121"/>
      <c r="AM44" s="121"/>
      <c r="AN44" s="524"/>
      <c r="AO44" s="530"/>
      <c r="AP44" s="255"/>
      <c r="AQ44" s="321"/>
      <c r="AR44" s="260"/>
      <c r="AS44" s="260"/>
      <c r="AT44" s="260"/>
      <c r="AU44" s="258"/>
      <c r="AV44" s="121"/>
      <c r="AW44" s="121"/>
    </row>
    <row r="45" spans="38:49" hidden="1">
      <c r="AL45" s="121"/>
      <c r="AM45" s="121"/>
      <c r="AN45" s="524"/>
      <c r="AO45" s="530"/>
      <c r="AP45" s="260"/>
      <c r="AQ45" s="321"/>
      <c r="AR45" s="260"/>
      <c r="AS45" s="260"/>
      <c r="AT45" s="260"/>
      <c r="AU45" s="258"/>
      <c r="AV45" s="121"/>
      <c r="AW45" s="121"/>
    </row>
    <row r="46" spans="38:49">
      <c r="AL46" s="121"/>
      <c r="AM46" s="121"/>
      <c r="AN46" s="504" t="s">
        <v>633</v>
      </c>
      <c r="AO46" s="532" t="s">
        <v>2819</v>
      </c>
      <c r="AP46" s="257">
        <f t="shared" ref="AP46:AP55" si="1">SUMIF(AQ$14:AU$14,AP$14,AQ46:AU46)</f>
        <v>0</v>
      </c>
      <c r="AQ46" s="321"/>
      <c r="AR46" s="260"/>
      <c r="AS46" s="260"/>
      <c r="AT46" s="262">
        <f>'РО 01.01 - 30.06'!AT46+'РО 01.07 - 31.08'!AT46+'РО 01.09 - 31.12'!AT46</f>
        <v>0</v>
      </c>
      <c r="AU46" s="258"/>
      <c r="AV46" s="121"/>
      <c r="AW46" s="121"/>
    </row>
    <row r="47" spans="38:49">
      <c r="AL47" s="121"/>
      <c r="AM47" s="121"/>
      <c r="AN47" s="504" t="s">
        <v>69</v>
      </c>
      <c r="AO47" s="527" t="s">
        <v>2820</v>
      </c>
      <c r="AP47" s="257">
        <f t="shared" si="1"/>
        <v>0</v>
      </c>
      <c r="AQ47" s="321"/>
      <c r="AR47" s="260"/>
      <c r="AS47" s="260"/>
      <c r="AT47" s="262">
        <f>'РО 01.01 - 30.06'!AT47+'РО 01.07 - 31.08'!AT47+'РО 01.09 - 31.12'!AT47</f>
        <v>0</v>
      </c>
      <c r="AU47" s="258"/>
      <c r="AV47" s="121"/>
      <c r="AW47" s="121"/>
    </row>
    <row r="48" spans="38:49">
      <c r="AL48" s="121"/>
      <c r="AM48" s="121"/>
      <c r="AN48" s="504" t="s">
        <v>72</v>
      </c>
      <c r="AO48" s="527" t="s">
        <v>2471</v>
      </c>
      <c r="AP48" s="257">
        <f t="shared" si="1"/>
        <v>0</v>
      </c>
      <c r="AQ48" s="321"/>
      <c r="AR48" s="260"/>
      <c r="AS48" s="260"/>
      <c r="AT48" s="262">
        <f>'РО 01.01 - 30.06'!AT48+'РО 01.07 - 31.08'!AT48+'РО 01.09 - 31.12'!AT48</f>
        <v>0</v>
      </c>
      <c r="AU48" s="258"/>
      <c r="AV48" s="121"/>
      <c r="AW48" s="121"/>
    </row>
    <row r="49" spans="38:49">
      <c r="AL49" s="121"/>
      <c r="AM49" s="121"/>
      <c r="AN49" s="504" t="s">
        <v>2821</v>
      </c>
      <c r="AO49" s="527" t="s">
        <v>2822</v>
      </c>
      <c r="AP49" s="257">
        <f t="shared" si="1"/>
        <v>0</v>
      </c>
      <c r="AQ49" s="321"/>
      <c r="AR49" s="260"/>
      <c r="AS49" s="260"/>
      <c r="AT49" s="262">
        <f>'РО 01.01 - 30.06'!AT49+'РО 01.07 - 31.08'!AT49+'РО 01.09 - 31.12'!AT49</f>
        <v>0</v>
      </c>
      <c r="AU49" s="258"/>
      <c r="AV49" s="121"/>
      <c r="AW49" s="121"/>
    </row>
    <row r="50" spans="38:49">
      <c r="AL50" s="121"/>
      <c r="AM50" s="121"/>
      <c r="AN50" s="504" t="s">
        <v>888</v>
      </c>
      <c r="AO50" s="528" t="s">
        <v>2823</v>
      </c>
      <c r="AP50" s="257">
        <f t="shared" si="1"/>
        <v>0</v>
      </c>
      <c r="AQ50" s="321"/>
      <c r="AR50" s="260"/>
      <c r="AS50" s="260"/>
      <c r="AT50" s="262">
        <f>'РО 01.01 - 30.06'!AT50+'РО 01.07 - 31.08'!AT50+'РО 01.09 - 31.12'!AT50</f>
        <v>0</v>
      </c>
      <c r="AU50" s="258"/>
      <c r="AV50" s="121"/>
      <c r="AW50" s="121"/>
    </row>
    <row r="51" spans="38:49">
      <c r="AL51" s="121"/>
      <c r="AM51" s="121"/>
      <c r="AN51" s="504" t="s">
        <v>889</v>
      </c>
      <c r="AO51" s="528" t="s">
        <v>2824</v>
      </c>
      <c r="AP51" s="257">
        <f t="shared" si="1"/>
        <v>0</v>
      </c>
      <c r="AQ51" s="321"/>
      <c r="AR51" s="260"/>
      <c r="AS51" s="260"/>
      <c r="AT51" s="262">
        <f>'РО 01.01 - 30.06'!AT51+'РО 01.07 - 31.08'!AT51+'РО 01.09 - 31.12'!AT51</f>
        <v>0</v>
      </c>
      <c r="AU51" s="258"/>
      <c r="AV51" s="121"/>
      <c r="AW51" s="121"/>
    </row>
    <row r="52" spans="38:49">
      <c r="AL52" s="121"/>
      <c r="AM52" s="121"/>
      <c r="AN52" s="504" t="s">
        <v>890</v>
      </c>
      <c r="AO52" s="528" t="s">
        <v>2825</v>
      </c>
      <c r="AP52" s="257">
        <f t="shared" si="1"/>
        <v>0</v>
      </c>
      <c r="AQ52" s="321"/>
      <c r="AR52" s="260"/>
      <c r="AS52" s="260"/>
      <c r="AT52" s="262">
        <f>'РО 01.01 - 30.06'!AT52+'РО 01.07 - 31.08'!AT52+'РО 01.09 - 31.12'!AT52</f>
        <v>0</v>
      </c>
      <c r="AU52" s="258"/>
      <c r="AV52" s="121"/>
      <c r="AW52" s="121"/>
    </row>
    <row r="53" spans="38:49">
      <c r="AL53" s="121"/>
      <c r="AM53" s="121"/>
      <c r="AN53" s="504" t="s">
        <v>2826</v>
      </c>
      <c r="AO53" s="527" t="s">
        <v>2827</v>
      </c>
      <c r="AP53" s="257">
        <f t="shared" si="1"/>
        <v>0</v>
      </c>
      <c r="AQ53" s="321"/>
      <c r="AR53" s="260"/>
      <c r="AS53" s="260"/>
      <c r="AT53" s="262">
        <f>'РО 01.01 - 30.06'!AT53+'РО 01.07 - 31.08'!AT53+'РО 01.09 - 31.12'!AT53</f>
        <v>0</v>
      </c>
      <c r="AU53" s="258"/>
      <c r="AV53" s="121"/>
      <c r="AW53" s="121"/>
    </row>
    <row r="54" spans="38:49">
      <c r="AL54" s="121"/>
      <c r="AM54" s="121"/>
      <c r="AN54" s="504" t="s">
        <v>2828</v>
      </c>
      <c r="AO54" s="527" t="s">
        <v>2829</v>
      </c>
      <c r="AP54" s="257">
        <f t="shared" si="1"/>
        <v>0</v>
      </c>
      <c r="AQ54" s="321"/>
      <c r="AR54" s="260"/>
      <c r="AS54" s="260"/>
      <c r="AT54" s="262">
        <f>'РО 01.01 - 30.06'!AT54+'РО 01.07 - 31.08'!AT54+'РО 01.09 - 31.12'!AT54</f>
        <v>0</v>
      </c>
      <c r="AU54" s="258"/>
      <c r="AV54" s="121"/>
      <c r="AW54" s="121"/>
    </row>
    <row r="55" spans="38:49">
      <c r="AL55" s="121"/>
      <c r="AM55" s="121"/>
      <c r="AN55" s="504" t="s">
        <v>2830</v>
      </c>
      <c r="AO55" s="527" t="s">
        <v>2831</v>
      </c>
      <c r="AP55" s="257">
        <f t="shared" si="1"/>
        <v>108.6</v>
      </c>
      <c r="AQ55" s="321"/>
      <c r="AR55" s="260"/>
      <c r="AS55" s="260"/>
      <c r="AT55" s="262">
        <f>'РО 01.01 - 30.06'!AT55+'РО 01.07 - 31.08'!AT55+'РО 01.09 - 31.12'!AT55</f>
        <v>108.6</v>
      </c>
      <c r="AU55" s="258"/>
      <c r="AV55" s="121"/>
      <c r="AW55" s="121"/>
    </row>
    <row r="56" spans="38:49" hidden="1">
      <c r="AL56" s="121"/>
      <c r="AM56" s="121"/>
      <c r="AN56" s="222"/>
      <c r="AO56" s="529"/>
      <c r="AP56" s="255"/>
      <c r="AQ56" s="321"/>
      <c r="AR56" s="260"/>
      <c r="AS56" s="260"/>
      <c r="AT56" s="260"/>
      <c r="AU56" s="258"/>
      <c r="AV56" s="121"/>
      <c r="AW56" s="121"/>
    </row>
    <row r="57" spans="38:49" hidden="1">
      <c r="AL57" s="121"/>
      <c r="AM57" s="121"/>
      <c r="AN57" s="222"/>
      <c r="AO57" s="529"/>
      <c r="AP57" s="255"/>
      <c r="AQ57" s="321"/>
      <c r="AR57" s="260"/>
      <c r="AS57" s="260"/>
      <c r="AT57" s="260"/>
      <c r="AU57" s="258"/>
      <c r="AV57" s="121"/>
      <c r="AW57" s="121"/>
    </row>
    <row r="58" spans="38:49" hidden="1">
      <c r="AL58" s="121"/>
      <c r="AM58" s="121"/>
      <c r="AN58" s="222"/>
      <c r="AO58" s="529"/>
      <c r="AP58" s="255"/>
      <c r="AQ58" s="321"/>
      <c r="AR58" s="260"/>
      <c r="AS58" s="260"/>
      <c r="AT58" s="260"/>
      <c r="AU58" s="258"/>
      <c r="AV58" s="121"/>
      <c r="AW58" s="121"/>
    </row>
    <row r="59" spans="38:49">
      <c r="AL59" s="121"/>
      <c r="AM59" s="121"/>
      <c r="AN59" s="222" t="s">
        <v>2832</v>
      </c>
      <c r="AO59" s="533" t="s">
        <v>1832</v>
      </c>
      <c r="AP59" s="257">
        <f>SUMIF(AQ$14:AU$14,AP$14,AQ59:AU59)</f>
        <v>0</v>
      </c>
      <c r="AQ59" s="321"/>
      <c r="AR59" s="260"/>
      <c r="AS59" s="260"/>
      <c r="AT59" s="262">
        <f>'РО 01.01 - 30.06'!AT59+'РО 01.07 - 31.08'!AT59+'РО 01.09 - 31.12'!AT59</f>
        <v>0</v>
      </c>
      <c r="AU59" s="258"/>
      <c r="AV59" s="121"/>
      <c r="AW59" s="121"/>
    </row>
    <row r="60" spans="38:49" hidden="1">
      <c r="AL60" s="121"/>
      <c r="AM60" s="121"/>
      <c r="AN60" s="222"/>
      <c r="AO60" s="529"/>
      <c r="AP60" s="255"/>
      <c r="AQ60" s="321"/>
      <c r="AR60" s="260"/>
      <c r="AS60" s="260"/>
      <c r="AT60" s="260"/>
      <c r="AU60" s="258"/>
      <c r="AV60" s="121"/>
      <c r="AW60" s="121"/>
    </row>
    <row r="61" spans="38:49" hidden="1">
      <c r="AL61" s="121"/>
      <c r="AM61" s="121"/>
      <c r="AN61" s="222"/>
      <c r="AO61" s="529"/>
      <c r="AP61" s="260"/>
      <c r="AQ61" s="321"/>
      <c r="AR61" s="260"/>
      <c r="AS61" s="260"/>
      <c r="AT61" s="260"/>
      <c r="AU61" s="258"/>
      <c r="AV61" s="121"/>
      <c r="AW61" s="121"/>
    </row>
    <row r="62" spans="38:49" hidden="1">
      <c r="AL62" s="121"/>
      <c r="AM62" s="121"/>
      <c r="AN62" s="222"/>
      <c r="AO62" s="563"/>
      <c r="AP62" s="260"/>
      <c r="AQ62" s="321"/>
      <c r="AR62" s="260"/>
      <c r="AS62" s="260"/>
      <c r="AT62" s="260"/>
      <c r="AU62" s="258"/>
      <c r="AV62" s="121"/>
      <c r="AW62" s="121"/>
    </row>
    <row r="63" spans="38:49" hidden="1">
      <c r="AL63" s="121"/>
      <c r="AM63" s="121"/>
      <c r="AN63" s="222"/>
      <c r="AO63" s="563"/>
      <c r="AP63" s="260"/>
      <c r="AQ63" s="321"/>
      <c r="AR63" s="260"/>
      <c r="AS63" s="260"/>
      <c r="AT63" s="260"/>
      <c r="AU63" s="258"/>
      <c r="AV63" s="121"/>
      <c r="AW63" s="121"/>
    </row>
    <row r="64" spans="38:49" hidden="1">
      <c r="AL64" s="121"/>
      <c r="AM64" s="121"/>
      <c r="AN64" s="222"/>
      <c r="AO64" s="563"/>
      <c r="AP64" s="260"/>
      <c r="AQ64" s="321"/>
      <c r="AR64" s="260"/>
      <c r="AS64" s="260"/>
      <c r="AT64" s="260"/>
      <c r="AU64" s="258"/>
      <c r="AV64" s="121"/>
      <c r="AW64" s="121"/>
    </row>
    <row r="65" spans="38:49">
      <c r="AL65" s="121"/>
      <c r="AM65" s="121"/>
      <c r="AN65" s="222" t="s">
        <v>2835</v>
      </c>
      <c r="AO65" s="533" t="s">
        <v>1838</v>
      </c>
      <c r="AP65" s="257">
        <f>SUMIF(AQ$14:AU$14,AP$14,AQ65:AU65)</f>
        <v>93.1</v>
      </c>
      <c r="AQ65" s="321"/>
      <c r="AR65" s="260"/>
      <c r="AS65" s="260"/>
      <c r="AT65" s="262">
        <f>'РО 01.01 - 30.06'!AT65+'РО 01.07 - 31.08'!AT65+'РО 01.09 - 31.12'!AT65</f>
        <v>93.1</v>
      </c>
      <c r="AU65" s="258"/>
      <c r="AV65" s="121"/>
      <c r="AW65" s="121"/>
    </row>
    <row r="66" spans="38:49" hidden="1">
      <c r="AL66" s="121"/>
      <c r="AM66" s="121"/>
      <c r="AN66" s="222"/>
      <c r="AO66" s="529"/>
      <c r="AP66" s="255"/>
      <c r="AQ66" s="321"/>
      <c r="AR66" s="260"/>
      <c r="AS66" s="260"/>
      <c r="AT66" s="260"/>
      <c r="AU66" s="258"/>
      <c r="AV66" s="121"/>
      <c r="AW66" s="121"/>
    </row>
    <row r="67" spans="38:49" hidden="1">
      <c r="AL67" s="121"/>
      <c r="AM67" s="121"/>
      <c r="AN67" s="222"/>
      <c r="AO67" s="529"/>
      <c r="AP67" s="255"/>
      <c r="AQ67" s="321"/>
      <c r="AR67" s="260"/>
      <c r="AS67" s="260"/>
      <c r="AT67" s="260"/>
      <c r="AU67" s="258"/>
      <c r="AV67" s="121"/>
      <c r="AW67" s="121"/>
    </row>
    <row r="68" spans="38:49" hidden="1">
      <c r="AL68" s="121"/>
      <c r="AM68" s="121"/>
      <c r="AN68" s="222"/>
      <c r="AO68" s="529"/>
      <c r="AP68" s="255"/>
      <c r="AQ68" s="321"/>
      <c r="AR68" s="260"/>
      <c r="AS68" s="260"/>
      <c r="AT68" s="260"/>
      <c r="AU68" s="258"/>
      <c r="AV68" s="121"/>
      <c r="AW68" s="121"/>
    </row>
    <row r="69" spans="38:49" hidden="1">
      <c r="AL69" s="121"/>
      <c r="AM69" s="121"/>
      <c r="AN69" s="222"/>
      <c r="AO69" s="529"/>
      <c r="AP69" s="255"/>
      <c r="AQ69" s="321"/>
      <c r="AR69" s="260"/>
      <c r="AS69" s="260"/>
      <c r="AT69" s="260"/>
      <c r="AU69" s="258"/>
      <c r="AV69" s="121"/>
      <c r="AW69" s="121"/>
    </row>
    <row r="70" spans="38:49" hidden="1">
      <c r="AL70" s="121"/>
      <c r="AM70" s="121"/>
      <c r="AN70" s="222"/>
      <c r="AO70" s="529"/>
      <c r="AP70" s="255"/>
      <c r="AQ70" s="321"/>
      <c r="AR70" s="260"/>
      <c r="AS70" s="260"/>
      <c r="AT70" s="260"/>
      <c r="AU70" s="258"/>
      <c r="AV70" s="121"/>
      <c r="AW70" s="121"/>
    </row>
    <row r="71" spans="38:49">
      <c r="AL71" s="121"/>
      <c r="AM71" s="121"/>
      <c r="AN71" s="222" t="s">
        <v>2838</v>
      </c>
      <c r="AO71" s="533" t="s">
        <v>1843</v>
      </c>
      <c r="AP71" s="257">
        <f>SUMIF(AQ$14:AU$14,AP$14,AQ71:AU71)</f>
        <v>0</v>
      </c>
      <c r="AQ71" s="321"/>
      <c r="AR71" s="260"/>
      <c r="AS71" s="260"/>
      <c r="AT71" s="262">
        <f>'РО 01.01 - 30.06'!AT71+'РО 01.07 - 31.08'!AT71+'РО 01.09 - 31.12'!AT71</f>
        <v>0</v>
      </c>
      <c r="AU71" s="258"/>
      <c r="AV71" s="121"/>
      <c r="AW71" s="121"/>
    </row>
    <row r="72" spans="38:49" hidden="1">
      <c r="AL72" s="121"/>
      <c r="AM72" s="121"/>
      <c r="AN72" s="222"/>
      <c r="AO72" s="529"/>
      <c r="AP72" s="255"/>
      <c r="AQ72" s="321"/>
      <c r="AR72" s="260"/>
      <c r="AS72" s="260"/>
      <c r="AT72" s="260"/>
      <c r="AU72" s="258"/>
      <c r="AV72" s="121"/>
      <c r="AW72" s="121"/>
    </row>
    <row r="73" spans="38:49" hidden="1">
      <c r="AL73" s="121"/>
      <c r="AM73" s="121"/>
      <c r="AN73" s="222"/>
      <c r="AO73" s="529"/>
      <c r="AP73" s="255"/>
      <c r="AQ73" s="321"/>
      <c r="AR73" s="260"/>
      <c r="AS73" s="260"/>
      <c r="AT73" s="260"/>
      <c r="AU73" s="258"/>
      <c r="AV73" s="121"/>
      <c r="AW73" s="121"/>
    </row>
    <row r="74" spans="38:49">
      <c r="AL74" s="121"/>
      <c r="AM74" s="121"/>
      <c r="AN74" s="222" t="s">
        <v>2841</v>
      </c>
      <c r="AO74" s="533" t="s">
        <v>1849</v>
      </c>
      <c r="AP74" s="257">
        <f>SUMIF(AQ$14:AU$14,AP$14,AQ74:AU74)</f>
        <v>15.5</v>
      </c>
      <c r="AQ74" s="321"/>
      <c r="AR74" s="260"/>
      <c r="AS74" s="260"/>
      <c r="AT74" s="262">
        <f>'РО 01.01 - 30.06'!AT74+'РО 01.07 - 31.08'!AT74+'РО 01.09 - 31.12'!AT74</f>
        <v>15.5</v>
      </c>
      <c r="AU74" s="258"/>
      <c r="AV74" s="121"/>
      <c r="AW74" s="121"/>
    </row>
    <row r="75" spans="38:49" hidden="1">
      <c r="AL75" s="121"/>
      <c r="AM75" s="121"/>
      <c r="AN75" s="222"/>
      <c r="AO75" s="529"/>
      <c r="AP75" s="255"/>
      <c r="AQ75" s="321"/>
      <c r="AR75" s="260"/>
      <c r="AS75" s="260"/>
      <c r="AT75" s="260"/>
      <c r="AU75" s="258"/>
      <c r="AV75" s="121"/>
      <c r="AW75" s="121"/>
    </row>
    <row r="76" spans="38:49" hidden="1">
      <c r="AL76" s="121"/>
      <c r="AM76" s="121"/>
      <c r="AN76" s="222"/>
      <c r="AO76" s="529"/>
      <c r="AP76" s="255"/>
      <c r="AQ76" s="321"/>
      <c r="AR76" s="260"/>
      <c r="AS76" s="260"/>
      <c r="AT76" s="260"/>
      <c r="AU76" s="258"/>
      <c r="AV76" s="121"/>
      <c r="AW76" s="121"/>
    </row>
    <row r="77" spans="38:49" ht="22.5">
      <c r="AL77" s="121"/>
      <c r="AM77" s="121"/>
      <c r="AN77" s="222" t="s">
        <v>2844</v>
      </c>
      <c r="AO77" s="533" t="s">
        <v>1856</v>
      </c>
      <c r="AP77" s="257">
        <f>SUMIF(AQ$14:AU$14,AP$14,AQ77:AU77)</f>
        <v>0</v>
      </c>
      <c r="AQ77" s="321"/>
      <c r="AR77" s="260"/>
      <c r="AS77" s="260"/>
      <c r="AT77" s="262">
        <f>'РО 01.01 - 30.06'!AT77+'РО 01.07 - 31.08'!AT77+'РО 01.09 - 31.12'!AT77</f>
        <v>0</v>
      </c>
      <c r="AU77" s="258"/>
      <c r="AV77" s="121"/>
      <c r="AW77" s="121"/>
    </row>
    <row r="78" spans="38:49" hidden="1">
      <c r="AL78" s="121"/>
      <c r="AM78" s="121"/>
      <c r="AN78" s="222"/>
      <c r="AO78" s="529"/>
      <c r="AP78" s="255"/>
      <c r="AQ78" s="321"/>
      <c r="AR78" s="260"/>
      <c r="AS78" s="260"/>
      <c r="AT78" s="260"/>
      <c r="AU78" s="258"/>
      <c r="AV78" s="121"/>
      <c r="AW78" s="121"/>
    </row>
    <row r="79" spans="38:49" hidden="1">
      <c r="AL79" s="121"/>
      <c r="AM79" s="121"/>
      <c r="AN79" s="222"/>
      <c r="AO79" s="529"/>
      <c r="AP79" s="255"/>
      <c r="AQ79" s="321"/>
      <c r="AR79" s="260"/>
      <c r="AS79" s="260"/>
      <c r="AT79" s="260"/>
      <c r="AU79" s="258"/>
      <c r="AV79" s="121"/>
      <c r="AW79" s="121"/>
    </row>
    <row r="80" spans="38:49">
      <c r="AL80" s="121"/>
      <c r="AM80" s="121"/>
      <c r="AN80" s="504" t="s">
        <v>2847</v>
      </c>
      <c r="AO80" s="535" t="s">
        <v>2848</v>
      </c>
      <c r="AP80" s="257">
        <f t="shared" ref="AP80:AP85" si="2">SUMIF(AQ$14:AU$14,AP$14,AQ80:AU80)</f>
        <v>29.700000000000003</v>
      </c>
      <c r="AQ80" s="321"/>
      <c r="AR80" s="260"/>
      <c r="AS80" s="260"/>
      <c r="AT80" s="262">
        <f>'РО 01.01 - 30.06'!AT80+'РО 01.07 - 31.08'!AT80+'РО 01.09 - 31.12'!AT80</f>
        <v>29.700000000000003</v>
      </c>
      <c r="AU80" s="258"/>
      <c r="AV80" s="121"/>
      <c r="AW80" s="121"/>
    </row>
    <row r="81" spans="38:49" ht="22.5">
      <c r="AL81" s="121"/>
      <c r="AM81" s="121"/>
      <c r="AN81" s="504" t="s">
        <v>2849</v>
      </c>
      <c r="AO81" s="533" t="s">
        <v>2415</v>
      </c>
      <c r="AP81" s="257">
        <f t="shared" si="2"/>
        <v>0</v>
      </c>
      <c r="AQ81" s="321"/>
      <c r="AR81" s="260"/>
      <c r="AS81" s="260"/>
      <c r="AT81" s="262">
        <f>'РО 01.01 - 30.06'!AT81+'РО 01.07 - 31.08'!AT81+'РО 01.09 - 31.12'!AT81</f>
        <v>0</v>
      </c>
      <c r="AU81" s="258"/>
      <c r="AV81" s="121"/>
      <c r="AW81" s="121"/>
    </row>
    <row r="82" spans="38:49" ht="22.5">
      <c r="AL82" s="121"/>
      <c r="AM82" s="121"/>
      <c r="AN82" s="504" t="s">
        <v>2850</v>
      </c>
      <c r="AO82" s="533" t="s">
        <v>2417</v>
      </c>
      <c r="AP82" s="257">
        <f t="shared" si="2"/>
        <v>25.4</v>
      </c>
      <c r="AQ82" s="321"/>
      <c r="AR82" s="260"/>
      <c r="AS82" s="260"/>
      <c r="AT82" s="262">
        <f>'РО 01.01 - 30.06'!AT82+'РО 01.07 - 31.08'!AT82+'РО 01.09 - 31.12'!AT82</f>
        <v>25.4</v>
      </c>
      <c r="AU82" s="258"/>
      <c r="AV82" s="121"/>
      <c r="AW82" s="121"/>
    </row>
    <row r="83" spans="38:49" ht="22.5">
      <c r="AL83" s="121"/>
      <c r="AM83" s="121"/>
      <c r="AN83" s="504" t="s">
        <v>2316</v>
      </c>
      <c r="AO83" s="533" t="s">
        <v>2420</v>
      </c>
      <c r="AP83" s="257">
        <f t="shared" si="2"/>
        <v>0</v>
      </c>
      <c r="AQ83" s="321"/>
      <c r="AR83" s="260"/>
      <c r="AS83" s="260"/>
      <c r="AT83" s="262">
        <f>'РО 01.01 - 30.06'!AT83+'РО 01.07 - 31.08'!AT83+'РО 01.09 - 31.12'!AT83</f>
        <v>0</v>
      </c>
      <c r="AU83" s="258"/>
      <c r="AV83" s="121"/>
      <c r="AW83" s="121"/>
    </row>
    <row r="84" spans="38:49">
      <c r="AL84" s="121"/>
      <c r="AM84" s="121"/>
      <c r="AN84" s="504" t="s">
        <v>2317</v>
      </c>
      <c r="AO84" s="533" t="s">
        <v>2423</v>
      </c>
      <c r="AP84" s="257">
        <f t="shared" si="2"/>
        <v>4.3</v>
      </c>
      <c r="AQ84" s="321"/>
      <c r="AR84" s="260"/>
      <c r="AS84" s="260"/>
      <c r="AT84" s="262">
        <f>'РО 01.01 - 30.06'!AT84+'РО 01.07 - 31.08'!AT84+'РО 01.09 - 31.12'!AT84</f>
        <v>4.3</v>
      </c>
      <c r="AU84" s="258"/>
      <c r="AV84" s="121"/>
      <c r="AW84" s="121"/>
    </row>
    <row r="85" spans="38:49" ht="22.5">
      <c r="AL85" s="121"/>
      <c r="AM85" s="121"/>
      <c r="AN85" s="504" t="s">
        <v>2318</v>
      </c>
      <c r="AO85" s="533" t="s">
        <v>2426</v>
      </c>
      <c r="AP85" s="257">
        <f t="shared" si="2"/>
        <v>0</v>
      </c>
      <c r="AQ85" s="321"/>
      <c r="AR85" s="260"/>
      <c r="AS85" s="260"/>
      <c r="AT85" s="262">
        <f>'РО 01.01 - 30.06'!AT85+'РО 01.07 - 31.08'!AT85+'РО 01.09 - 31.12'!AT85</f>
        <v>0</v>
      </c>
      <c r="AU85" s="258"/>
      <c r="AV85" s="121"/>
      <c r="AW85" s="121"/>
    </row>
    <row r="86" spans="38:49" hidden="1">
      <c r="AL86" s="121"/>
      <c r="AM86" s="121"/>
      <c r="AN86" s="560" t="str">
        <f>IF(TEMPLATE_SPHERE="водоснабжения","2.9","")</f>
        <v/>
      </c>
      <c r="AO86" s="561" t="str">
        <f>IF(TEMPLATE_SPHERE="водоснабжения","Покупная вода","")</f>
        <v/>
      </c>
      <c r="AP86" s="257" t="str">
        <f>IF(TEMPLATE_SPHERE="водоснабжения",SUMIF(AQ$14:AU$14,AP$14,AQ86:AU86),"")</f>
        <v/>
      </c>
      <c r="AQ86" s="321"/>
      <c r="AR86" s="260"/>
      <c r="AS86" s="260"/>
      <c r="AT86" s="260"/>
      <c r="AU86" s="258"/>
      <c r="AV86" s="121"/>
      <c r="AW86" s="121"/>
    </row>
    <row r="87" spans="38:49" hidden="1">
      <c r="AL87" s="121"/>
      <c r="AM87" s="121"/>
      <c r="AN87" s="222"/>
      <c r="AO87" s="529"/>
      <c r="AP87" s="255"/>
      <c r="AQ87" s="321"/>
      <c r="AR87" s="260"/>
      <c r="AS87" s="260"/>
      <c r="AT87" s="260"/>
      <c r="AU87" s="258"/>
      <c r="AV87" s="121"/>
      <c r="AW87" s="121"/>
    </row>
    <row r="88" spans="38:49" hidden="1">
      <c r="AL88" s="121"/>
      <c r="AM88" s="121"/>
      <c r="AN88" s="222"/>
      <c r="AO88" s="529"/>
      <c r="AP88" s="255"/>
      <c r="AQ88" s="321"/>
      <c r="AR88" s="260"/>
      <c r="AS88" s="260"/>
      <c r="AT88" s="260"/>
      <c r="AU88" s="258"/>
      <c r="AV88" s="121"/>
      <c r="AW88" s="121"/>
    </row>
    <row r="89" spans="38:49" hidden="1">
      <c r="AL89" s="121"/>
      <c r="AM89" s="121"/>
      <c r="AN89" s="222"/>
      <c r="AO89" s="529"/>
      <c r="AP89" s="255"/>
      <c r="AQ89" s="321"/>
      <c r="AR89" s="260"/>
      <c r="AS89" s="260"/>
      <c r="AT89" s="260"/>
      <c r="AU89" s="258"/>
      <c r="AV89" s="121"/>
      <c r="AW89" s="121"/>
    </row>
    <row r="90" spans="38:49" ht="22.5">
      <c r="AL90" s="121"/>
      <c r="AM90" s="121"/>
      <c r="AN90" s="504" t="s">
        <v>2323</v>
      </c>
      <c r="AO90"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AP90" s="257">
        <f t="shared" ref="AP90:AP114" si="3">SUMIF(AQ$14:AU$14,AP$14,AQ90:AU90)</f>
        <v>0</v>
      </c>
      <c r="AQ90" s="321"/>
      <c r="AR90" s="260"/>
      <c r="AS90" s="260"/>
      <c r="AT90" s="262">
        <f>'РО 01.01 - 30.06'!AT90+'РО 01.07 - 31.08'!AT90+'РО 01.09 - 31.12'!AT90</f>
        <v>0</v>
      </c>
      <c r="AU90" s="258"/>
      <c r="AV90" s="121"/>
      <c r="AW90" s="121"/>
    </row>
    <row r="91" spans="38:49" ht="22.5">
      <c r="AL91" s="121"/>
      <c r="AM91" s="121"/>
      <c r="AN91" s="504" t="s">
        <v>2324</v>
      </c>
      <c r="AO91"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AP91" s="257">
        <f t="shared" si="3"/>
        <v>0</v>
      </c>
      <c r="AQ91" s="321"/>
      <c r="AR91" s="260"/>
      <c r="AS91" s="260"/>
      <c r="AT91" s="262">
        <f>'РО 01.01 - 30.06'!AT91+'РО 01.07 - 31.08'!AT91+'РО 01.09 - 31.12'!AT91</f>
        <v>0</v>
      </c>
      <c r="AU91" s="258"/>
      <c r="AV91" s="121"/>
      <c r="AW91" s="121"/>
    </row>
    <row r="92" spans="38:49" ht="22.5">
      <c r="AL92" s="121"/>
      <c r="AM92" s="121"/>
      <c r="AN92" s="504" t="s">
        <v>2325</v>
      </c>
      <c r="AO92"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AP92" s="257">
        <f t="shared" si="3"/>
        <v>0</v>
      </c>
      <c r="AQ92" s="321"/>
      <c r="AR92" s="260"/>
      <c r="AS92" s="260"/>
      <c r="AT92" s="262">
        <f>'РО 01.01 - 30.06'!AT92+'РО 01.07 - 31.08'!AT92+'РО 01.09 - 31.12'!AT92</f>
        <v>0</v>
      </c>
      <c r="AU92" s="258"/>
      <c r="AV92" s="121"/>
      <c r="AW92" s="121"/>
    </row>
    <row r="93" spans="38:49">
      <c r="AL93" s="121"/>
      <c r="AM93" s="121"/>
      <c r="AN93" s="504" t="s">
        <v>2326</v>
      </c>
      <c r="AO93" s="527" t="s">
        <v>2327</v>
      </c>
      <c r="AP93" s="257">
        <f t="shared" si="3"/>
        <v>0</v>
      </c>
      <c r="AQ93" s="321"/>
      <c r="AR93" s="260"/>
      <c r="AS93" s="260"/>
      <c r="AT93" s="262">
        <f>'РО 01.01 - 30.06'!AT93+'РО 01.07 - 31.08'!AT93+'РО 01.09 - 31.12'!AT93</f>
        <v>0</v>
      </c>
      <c r="AU93" s="258"/>
      <c r="AV93" s="121"/>
      <c r="AW93" s="121"/>
    </row>
    <row r="94" spans="38:49">
      <c r="AL94" s="121"/>
      <c r="AM94" s="121"/>
      <c r="AN94" s="504" t="s">
        <v>2328</v>
      </c>
      <c r="AO94" s="528" t="s">
        <v>2329</v>
      </c>
      <c r="AP94" s="257">
        <f t="shared" si="3"/>
        <v>0</v>
      </c>
      <c r="AQ94" s="321"/>
      <c r="AR94" s="260"/>
      <c r="AS94" s="260"/>
      <c r="AT94" s="262">
        <f>'РО 01.01 - 30.06'!AT94+'РО 01.07 - 31.08'!AT94+'РО 01.09 - 31.12'!AT94</f>
        <v>0</v>
      </c>
      <c r="AU94" s="258"/>
      <c r="AV94" s="121"/>
      <c r="AW94" s="121"/>
    </row>
    <row r="95" spans="38:49">
      <c r="AL95" s="121"/>
      <c r="AM95" s="121"/>
      <c r="AN95" s="504" t="s">
        <v>2330</v>
      </c>
      <c r="AO95" s="528" t="s">
        <v>2331</v>
      </c>
      <c r="AP95" s="257">
        <f t="shared" si="3"/>
        <v>0</v>
      </c>
      <c r="AQ95" s="321"/>
      <c r="AR95" s="260"/>
      <c r="AS95" s="260"/>
      <c r="AT95" s="262">
        <f>'РО 01.01 - 30.06'!AT95+'РО 01.07 - 31.08'!AT95+'РО 01.09 - 31.12'!AT95</f>
        <v>0</v>
      </c>
      <c r="AU95" s="258"/>
      <c r="AV95" s="121"/>
      <c r="AW95" s="121"/>
    </row>
    <row r="96" spans="38:49">
      <c r="AL96" s="121"/>
      <c r="AM96" s="121"/>
      <c r="AN96" s="504" t="s">
        <v>2332</v>
      </c>
      <c r="AO96" s="527" t="s">
        <v>2333</v>
      </c>
      <c r="AP96" s="257">
        <f t="shared" si="3"/>
        <v>0</v>
      </c>
      <c r="AQ96" s="321"/>
      <c r="AR96" s="260"/>
      <c r="AS96" s="260"/>
      <c r="AT96" s="262">
        <f>'РО 01.01 - 30.06'!AT96+'РО 01.07 - 31.08'!AT96+'РО 01.09 - 31.12'!AT96</f>
        <v>0</v>
      </c>
      <c r="AU96" s="258"/>
      <c r="AV96" s="121"/>
      <c r="AW96" s="121"/>
    </row>
    <row r="97" spans="38:49">
      <c r="AL97" s="121"/>
      <c r="AM97" s="121"/>
      <c r="AN97" s="504" t="s">
        <v>2334</v>
      </c>
      <c r="AO97" s="527" t="s">
        <v>2335</v>
      </c>
      <c r="AP97" s="257">
        <f t="shared" si="3"/>
        <v>0</v>
      </c>
      <c r="AQ97" s="321"/>
      <c r="AR97" s="260"/>
      <c r="AS97" s="260"/>
      <c r="AT97" s="262">
        <f>'РО 01.01 - 30.06'!AT97+'РО 01.07 - 31.08'!AT97+'РО 01.09 - 31.12'!AT97</f>
        <v>0</v>
      </c>
      <c r="AU97" s="258"/>
      <c r="AV97" s="121"/>
      <c r="AW97" s="121"/>
    </row>
    <row r="98" spans="38:49" ht="22.5">
      <c r="AL98" s="121"/>
      <c r="AM98" s="121"/>
      <c r="AN98" s="504" t="s">
        <v>2336</v>
      </c>
      <c r="AO98" s="527" t="s">
        <v>2337</v>
      </c>
      <c r="AP98" s="257">
        <f t="shared" si="3"/>
        <v>16.3</v>
      </c>
      <c r="AQ98" s="321"/>
      <c r="AR98" s="260"/>
      <c r="AS98" s="260"/>
      <c r="AT98" s="262">
        <f>'РО 01.01 - 30.06'!AT98+'РО 01.07 - 31.08'!AT98+'РО 01.09 - 31.12'!AT98</f>
        <v>16.3</v>
      </c>
      <c r="AU98" s="258"/>
      <c r="AV98" s="121"/>
      <c r="AW98" s="121"/>
    </row>
    <row r="99" spans="38:49">
      <c r="AL99" s="121"/>
      <c r="AM99" s="121"/>
      <c r="AN99" s="504" t="s">
        <v>2338</v>
      </c>
      <c r="AO99" s="527" t="s">
        <v>2339</v>
      </c>
      <c r="AP99" s="257">
        <f t="shared" si="3"/>
        <v>2.2999999999999998</v>
      </c>
      <c r="AQ99" s="321"/>
      <c r="AR99" s="260"/>
      <c r="AS99" s="260"/>
      <c r="AT99" s="262">
        <f>'РО 01.01 - 30.06'!AT99+'РО 01.07 - 31.08'!AT99+'РО 01.09 - 31.12'!AT99</f>
        <v>2.2999999999999998</v>
      </c>
      <c r="AU99" s="258"/>
      <c r="AV99" s="121"/>
      <c r="AW99" s="121"/>
    </row>
    <row r="100" spans="38:49">
      <c r="AL100" s="121"/>
      <c r="AM100" s="121"/>
      <c r="AN100" s="504" t="s">
        <v>2340</v>
      </c>
      <c r="AO100" s="528" t="s">
        <v>2341</v>
      </c>
      <c r="AP100" s="257">
        <f t="shared" si="3"/>
        <v>0</v>
      </c>
      <c r="AQ100" s="321"/>
      <c r="AR100" s="260"/>
      <c r="AS100" s="260"/>
      <c r="AT100" s="262">
        <f>'РО 01.01 - 30.06'!AT100+'РО 01.07 - 31.08'!AT100+'РО 01.09 - 31.12'!AT100</f>
        <v>0</v>
      </c>
      <c r="AU100" s="258"/>
      <c r="AV100" s="121"/>
      <c r="AW100" s="121"/>
    </row>
    <row r="101" spans="38:49">
      <c r="AL101" s="121"/>
      <c r="AM101" s="121"/>
      <c r="AN101" s="504" t="s">
        <v>2342</v>
      </c>
      <c r="AO101" s="528" t="s">
        <v>2343</v>
      </c>
      <c r="AP101" s="257">
        <f t="shared" si="3"/>
        <v>0</v>
      </c>
      <c r="AQ101" s="321"/>
      <c r="AR101" s="260"/>
      <c r="AS101" s="260"/>
      <c r="AT101" s="262">
        <f>'РО 01.01 - 30.06'!AT101+'РО 01.07 - 31.08'!AT101+'РО 01.09 - 31.12'!AT101</f>
        <v>0</v>
      </c>
      <c r="AU101" s="258"/>
      <c r="AV101" s="121"/>
      <c r="AW101" s="121"/>
    </row>
    <row r="102" spans="38:49">
      <c r="AL102" s="121"/>
      <c r="AM102" s="121"/>
      <c r="AN102" s="504" t="s">
        <v>2344</v>
      </c>
      <c r="AO102" s="528" t="s">
        <v>2345</v>
      </c>
      <c r="AP102" s="257">
        <f t="shared" si="3"/>
        <v>0</v>
      </c>
      <c r="AQ102" s="321"/>
      <c r="AR102" s="260"/>
      <c r="AS102" s="260"/>
      <c r="AT102" s="262">
        <f>'РО 01.01 - 30.06'!AT102+'РО 01.07 - 31.08'!AT102+'РО 01.09 - 31.12'!AT102</f>
        <v>0</v>
      </c>
      <c r="AU102" s="258"/>
      <c r="AV102" s="121"/>
      <c r="AW102" s="121"/>
    </row>
    <row r="103" spans="38:49">
      <c r="AL103" s="121"/>
      <c r="AM103" s="121"/>
      <c r="AN103" s="504" t="s">
        <v>2346</v>
      </c>
      <c r="AO103" s="528" t="s">
        <v>2347</v>
      </c>
      <c r="AP103" s="257">
        <f t="shared" si="3"/>
        <v>0</v>
      </c>
      <c r="AQ103" s="321"/>
      <c r="AR103" s="260"/>
      <c r="AS103" s="260"/>
      <c r="AT103" s="262">
        <f>'РО 01.01 - 30.06'!AT103+'РО 01.07 - 31.08'!AT103+'РО 01.09 - 31.12'!AT103</f>
        <v>0</v>
      </c>
      <c r="AU103" s="258"/>
      <c r="AV103" s="121"/>
      <c r="AW103" s="121"/>
    </row>
    <row r="104" spans="38:49">
      <c r="AL104" s="121"/>
      <c r="AM104" s="121"/>
      <c r="AN104" s="504" t="s">
        <v>2348</v>
      </c>
      <c r="AO104" s="528" t="s">
        <v>2349</v>
      </c>
      <c r="AP104" s="257">
        <f t="shared" si="3"/>
        <v>0</v>
      </c>
      <c r="AQ104" s="321"/>
      <c r="AR104" s="260"/>
      <c r="AS104" s="260"/>
      <c r="AT104" s="262">
        <f>'РО 01.01 - 30.06'!AT104+'РО 01.07 - 31.08'!AT104+'РО 01.09 - 31.12'!AT104</f>
        <v>0</v>
      </c>
      <c r="AU104" s="258"/>
      <c r="AV104" s="121"/>
      <c r="AW104" s="121"/>
    </row>
    <row r="105" spans="38:49">
      <c r="AL105" s="121"/>
      <c r="AM105" s="121"/>
      <c r="AN105" s="504" t="s">
        <v>2350</v>
      </c>
      <c r="AO105" s="528" t="s">
        <v>2351</v>
      </c>
      <c r="AP105" s="257">
        <f t="shared" si="3"/>
        <v>0</v>
      </c>
      <c r="AQ105" s="321"/>
      <c r="AR105" s="260"/>
      <c r="AS105" s="260"/>
      <c r="AT105" s="262">
        <f>'РО 01.01 - 30.06'!AT105+'РО 01.07 - 31.08'!AT105+'РО 01.09 - 31.12'!AT105</f>
        <v>0</v>
      </c>
      <c r="AU105" s="258"/>
      <c r="AV105" s="121"/>
      <c r="AW105" s="121"/>
    </row>
    <row r="106" spans="38:49">
      <c r="AL106" s="121"/>
      <c r="AM106" s="121"/>
      <c r="AN106" s="504" t="s">
        <v>2352</v>
      </c>
      <c r="AO106" s="528" t="s">
        <v>2353</v>
      </c>
      <c r="AP106" s="257">
        <f t="shared" si="3"/>
        <v>2.2999999999999998</v>
      </c>
      <c r="AQ106" s="321"/>
      <c r="AR106" s="260"/>
      <c r="AS106" s="260"/>
      <c r="AT106" s="262">
        <f>'РО 01.01 - 30.06'!AT106+'РО 01.07 - 31.08'!AT106+'РО 01.09 - 31.12'!AT106</f>
        <v>2.2999999999999998</v>
      </c>
      <c r="AU106" s="258"/>
      <c r="AV106" s="121"/>
      <c r="AW106" s="121"/>
    </row>
    <row r="107" spans="38:49">
      <c r="AL107" s="121"/>
      <c r="AM107" s="121"/>
      <c r="AN107" s="504" t="s">
        <v>2354</v>
      </c>
      <c r="AO107" s="528" t="s">
        <v>2355</v>
      </c>
      <c r="AP107" s="257">
        <f t="shared" si="3"/>
        <v>0</v>
      </c>
      <c r="AQ107" s="321"/>
      <c r="AR107" s="260"/>
      <c r="AS107" s="260"/>
      <c r="AT107" s="262">
        <f>'РО 01.01 - 30.06'!AT107+'РО 01.07 - 31.08'!AT107+'РО 01.09 - 31.12'!AT107</f>
        <v>0</v>
      </c>
      <c r="AU107" s="258"/>
      <c r="AV107" s="121"/>
      <c r="AW107" s="121"/>
    </row>
    <row r="108" spans="38:49">
      <c r="AL108" s="121"/>
      <c r="AM108" s="121"/>
      <c r="AN108" s="504" t="s">
        <v>2356</v>
      </c>
      <c r="AO108" s="528" t="s">
        <v>2357</v>
      </c>
      <c r="AP108" s="257">
        <f t="shared" si="3"/>
        <v>0</v>
      </c>
      <c r="AQ108" s="321"/>
      <c r="AR108" s="260"/>
      <c r="AS108" s="260"/>
      <c r="AT108" s="262">
        <f>'РО 01.01 - 30.06'!AT108+'РО 01.07 - 31.08'!AT108+'РО 01.09 - 31.12'!AT108</f>
        <v>0</v>
      </c>
      <c r="AU108" s="258"/>
      <c r="AV108" s="121"/>
      <c r="AW108" s="121"/>
    </row>
    <row r="109" spans="38:49" ht="22.5">
      <c r="AL109" s="121"/>
      <c r="AM109" s="121"/>
      <c r="AN109" s="504" t="s">
        <v>2358</v>
      </c>
      <c r="AO109" s="536" t="s">
        <v>2359</v>
      </c>
      <c r="AP109" s="257">
        <f t="shared" si="3"/>
        <v>0</v>
      </c>
      <c r="AQ109" s="321"/>
      <c r="AR109" s="260"/>
      <c r="AS109" s="260"/>
      <c r="AT109" s="262">
        <f>'РО 01.01 - 30.06'!AT109+'РО 01.07 - 31.08'!AT109+'РО 01.09 - 31.12'!AT109</f>
        <v>0</v>
      </c>
      <c r="AU109" s="258"/>
      <c r="AV109" s="121"/>
      <c r="AW109" s="121"/>
    </row>
    <row r="110" spans="38:49">
      <c r="AL110" s="121"/>
      <c r="AM110" s="121"/>
      <c r="AN110" s="504" t="s">
        <v>2360</v>
      </c>
      <c r="AO110" s="537" t="s">
        <v>2444</v>
      </c>
      <c r="AP110" s="257">
        <f t="shared" si="3"/>
        <v>0</v>
      </c>
      <c r="AQ110" s="321"/>
      <c r="AR110" s="260"/>
      <c r="AS110" s="260"/>
      <c r="AT110" s="262">
        <f>'РО 01.01 - 30.06'!AT110+'РО 01.07 - 31.08'!AT110+'РО 01.09 - 31.12'!AT110</f>
        <v>0</v>
      </c>
      <c r="AU110" s="258"/>
      <c r="AV110" s="121"/>
      <c r="AW110" s="121"/>
    </row>
    <row r="111" spans="38:49">
      <c r="AL111" s="121"/>
      <c r="AM111" s="121"/>
      <c r="AN111" s="504" t="s">
        <v>2361</v>
      </c>
      <c r="AO111" s="537" t="s">
        <v>2362</v>
      </c>
      <c r="AP111" s="257">
        <f t="shared" si="3"/>
        <v>0</v>
      </c>
      <c r="AQ111" s="321"/>
      <c r="AR111" s="260"/>
      <c r="AS111" s="260"/>
      <c r="AT111" s="262">
        <f>'РО 01.01 - 30.06'!AT111+'РО 01.07 - 31.08'!AT111+'РО 01.09 - 31.12'!AT111</f>
        <v>0</v>
      </c>
      <c r="AU111" s="258"/>
      <c r="AV111" s="121"/>
      <c r="AW111" s="121"/>
    </row>
    <row r="112" spans="38:49">
      <c r="AL112" s="121"/>
      <c r="AM112" s="121"/>
      <c r="AN112" s="504" t="s">
        <v>2363</v>
      </c>
      <c r="AO112" s="528" t="s">
        <v>872</v>
      </c>
      <c r="AP112" s="257">
        <f t="shared" si="3"/>
        <v>0</v>
      </c>
      <c r="AQ112" s="321"/>
      <c r="AR112" s="260"/>
      <c r="AS112" s="260"/>
      <c r="AT112" s="262">
        <f>'РО 01.01 - 30.06'!AT112+'РО 01.07 - 31.08'!AT112+'РО 01.09 - 31.12'!AT112</f>
        <v>0</v>
      </c>
      <c r="AU112" s="258"/>
      <c r="AV112" s="121"/>
      <c r="AW112" s="121"/>
    </row>
    <row r="113" spans="1:49" ht="22.5">
      <c r="AL113" s="121"/>
      <c r="AM113" s="121"/>
      <c r="AN113" s="504" t="s">
        <v>2364</v>
      </c>
      <c r="AO113" s="528" t="s">
        <v>2365</v>
      </c>
      <c r="AP113" s="257">
        <f t="shared" si="3"/>
        <v>0</v>
      </c>
      <c r="AQ113" s="321"/>
      <c r="AR113" s="260"/>
      <c r="AS113" s="260"/>
      <c r="AT113" s="262">
        <f>'РО 01.01 - 30.06'!AT113+'РО 01.07 - 31.08'!AT113+'РО 01.09 - 31.12'!AT113</f>
        <v>0</v>
      </c>
      <c r="AU113" s="258"/>
      <c r="AV113" s="121"/>
      <c r="AW113" s="121"/>
    </row>
    <row r="114" spans="1:49">
      <c r="AL114" s="121"/>
      <c r="AM114" s="121"/>
      <c r="AN114" s="504" t="s">
        <v>2366</v>
      </c>
      <c r="AO114" s="528" t="s">
        <v>2367</v>
      </c>
      <c r="AP114" s="257">
        <f t="shared" si="3"/>
        <v>0</v>
      </c>
      <c r="AQ114" s="321"/>
      <c r="AR114" s="260"/>
      <c r="AS114" s="260"/>
      <c r="AT114" s="262">
        <f>'РО 01.01 - 30.06'!AT114+'РО 01.07 - 31.08'!AT114+'РО 01.09 - 31.12'!AT114</f>
        <v>0</v>
      </c>
      <c r="AU114" s="258"/>
      <c r="AV114" s="121"/>
      <c r="AW114" s="121"/>
    </row>
    <row r="115" spans="1:49" ht="0.75" customHeight="1">
      <c r="AL115" s="121"/>
      <c r="AM115" s="121"/>
      <c r="AN115" s="504"/>
      <c r="AO115" s="526"/>
      <c r="AP115" s="527"/>
      <c r="AQ115" s="321"/>
      <c r="AR115" s="260"/>
      <c r="AS115" s="260"/>
      <c r="AT115" s="260"/>
      <c r="AU115" s="258"/>
      <c r="AV115" s="121"/>
      <c r="AW115" s="121"/>
    </row>
    <row r="116" spans="1:49" ht="0.75" customHeight="1">
      <c r="AL116" s="121"/>
      <c r="AM116" s="121"/>
      <c r="AN116" s="504"/>
      <c r="AO116" s="527"/>
      <c r="AP116" s="527"/>
      <c r="AQ116" s="321"/>
      <c r="AR116" s="260"/>
      <c r="AS116" s="260"/>
      <c r="AT116" s="260"/>
      <c r="AU116" s="258"/>
      <c r="AV116" s="121"/>
      <c r="AW116" s="121"/>
    </row>
    <row r="117" spans="1:49" ht="0.75" customHeight="1">
      <c r="AL117" s="121"/>
      <c r="AM117" s="121"/>
      <c r="AN117" s="504"/>
      <c r="AO117" s="528"/>
      <c r="AP117" s="527"/>
      <c r="AQ117" s="321"/>
      <c r="AR117" s="260"/>
      <c r="AS117" s="260"/>
      <c r="AT117" s="260"/>
      <c r="AU117" s="258"/>
      <c r="AV117" s="121"/>
      <c r="AW117" s="121"/>
    </row>
    <row r="118" spans="1:49" ht="0.75" customHeight="1">
      <c r="AL118" s="121"/>
      <c r="AM118" s="121"/>
      <c r="AN118" s="504"/>
      <c r="AO118" s="527"/>
      <c r="AP118" s="527"/>
      <c r="AQ118" s="321"/>
      <c r="AR118" s="260"/>
      <c r="AS118" s="260"/>
      <c r="AT118" s="260"/>
      <c r="AU118" s="258"/>
      <c r="AV118" s="121"/>
      <c r="AW118" s="121"/>
    </row>
    <row r="119" spans="1:49" ht="0.75" customHeight="1">
      <c r="AL119" s="121"/>
      <c r="AM119" s="121"/>
      <c r="AN119" s="504"/>
      <c r="AO119" s="527"/>
      <c r="AP119" s="527"/>
      <c r="AQ119" s="321"/>
      <c r="AR119" s="260"/>
      <c r="AS119" s="260"/>
      <c r="AT119" s="260"/>
      <c r="AU119" s="258"/>
      <c r="AV119" s="121"/>
      <c r="AW119" s="121"/>
    </row>
    <row r="120" spans="1:49" ht="0.75" customHeight="1">
      <c r="AL120" s="121"/>
      <c r="AM120" s="121"/>
      <c r="AN120" s="504"/>
      <c r="AO120" s="527"/>
      <c r="AP120" s="527"/>
      <c r="AQ120" s="321"/>
      <c r="AR120" s="260"/>
      <c r="AS120" s="260"/>
      <c r="AT120" s="260"/>
      <c r="AU120" s="258"/>
      <c r="AV120" s="121"/>
      <c r="AW120" s="121"/>
    </row>
    <row r="121" spans="1:49" ht="0.75" customHeight="1">
      <c r="AL121" s="121"/>
      <c r="AM121" s="121"/>
      <c r="AN121" s="504"/>
      <c r="AO121" s="527"/>
      <c r="AP121" s="527"/>
      <c r="AQ121" s="321"/>
      <c r="AR121" s="260"/>
      <c r="AS121" s="260"/>
      <c r="AT121" s="260"/>
      <c r="AU121" s="258"/>
      <c r="AV121" s="121"/>
      <c r="AW121" s="121"/>
    </row>
    <row r="122" spans="1:49" ht="0.75" customHeight="1">
      <c r="AL122" s="121"/>
      <c r="AM122" s="121"/>
      <c r="AN122" s="504"/>
      <c r="AO122" s="528"/>
      <c r="AP122" s="527"/>
      <c r="AQ122" s="321"/>
      <c r="AR122" s="260"/>
      <c r="AS122" s="260"/>
      <c r="AT122" s="260"/>
      <c r="AU122" s="258"/>
      <c r="AV122" s="121"/>
      <c r="AW122" s="121"/>
    </row>
    <row r="123" spans="1:49" ht="0.75" customHeight="1">
      <c r="AL123" s="121"/>
      <c r="AM123" s="121"/>
      <c r="AN123" s="504"/>
      <c r="AO123" s="538"/>
      <c r="AP123" s="527"/>
      <c r="AQ123" s="321"/>
      <c r="AR123" s="260"/>
      <c r="AS123" s="260"/>
      <c r="AT123" s="260"/>
      <c r="AU123" s="258"/>
      <c r="AV123" s="121"/>
      <c r="AW123" s="121"/>
    </row>
    <row r="124" spans="1:49" ht="0.75" customHeight="1">
      <c r="AL124" s="121"/>
      <c r="AM124" s="121"/>
      <c r="AN124" s="504"/>
      <c r="AO124" s="528"/>
      <c r="AP124" s="527"/>
      <c r="AQ124" s="321"/>
      <c r="AR124" s="260"/>
      <c r="AS124" s="260"/>
      <c r="AT124" s="260"/>
      <c r="AU124" s="258"/>
      <c r="AV124" s="121"/>
      <c r="AW124" s="121"/>
    </row>
    <row r="125" spans="1:49" ht="0.75" customHeight="1">
      <c r="A125" s="47"/>
      <c r="B125" s="47"/>
      <c r="C125" s="47"/>
      <c r="D125" s="47"/>
      <c r="E125" s="47"/>
      <c r="F125" s="47"/>
      <c r="G125" s="47"/>
      <c r="H125" s="47"/>
      <c r="I125" s="47"/>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50"/>
      <c r="AM125" s="126"/>
      <c r="AN125" s="223"/>
      <c r="AO125" s="728"/>
      <c r="AP125" s="260"/>
      <c r="AQ125" s="258"/>
      <c r="AR125" s="260"/>
      <c r="AS125" s="260"/>
      <c r="AT125" s="260"/>
      <c r="AU125" s="258"/>
      <c r="AV125" s="127"/>
    </row>
    <row r="126" spans="1:49" ht="0.75" customHeight="1">
      <c r="A126" s="47"/>
      <c r="B126" s="47"/>
      <c r="C126" s="47"/>
      <c r="D126" s="47"/>
      <c r="E126" s="47"/>
      <c r="F126" s="47"/>
      <c r="G126" s="47"/>
      <c r="H126" s="47"/>
      <c r="I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50"/>
      <c r="AM126" s="126"/>
      <c r="AN126" s="223"/>
      <c r="AO126" s="728"/>
      <c r="AP126" s="260"/>
      <c r="AQ126" s="258"/>
      <c r="AR126" s="260"/>
      <c r="AS126" s="260"/>
      <c r="AT126" s="260"/>
      <c r="AU126" s="258"/>
      <c r="AV126" s="127"/>
    </row>
    <row r="127" spans="1:49" ht="0.75" customHeight="1">
      <c r="A127" s="47"/>
      <c r="B127" s="47"/>
      <c r="C127" s="47"/>
      <c r="D127" s="47"/>
      <c r="E127" s="47"/>
      <c r="F127" s="47"/>
      <c r="G127" s="47"/>
      <c r="H127" s="47"/>
      <c r="I127" s="4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50"/>
      <c r="AM127" s="126"/>
      <c r="AN127" s="223"/>
      <c r="AO127" s="728"/>
      <c r="AP127" s="260"/>
      <c r="AQ127" s="258"/>
      <c r="AR127" s="260"/>
      <c r="AS127" s="260"/>
      <c r="AT127" s="260"/>
      <c r="AU127" s="258"/>
      <c r="AV127" s="127"/>
    </row>
    <row r="128" spans="1:49" ht="0.75" customHeight="1">
      <c r="A128" s="47"/>
      <c r="B128" s="47"/>
      <c r="C128" s="47"/>
      <c r="D128" s="47"/>
      <c r="E128" s="47"/>
      <c r="F128" s="47"/>
      <c r="G128" s="47"/>
      <c r="H128" s="47"/>
      <c r="I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50"/>
      <c r="AM128" s="126"/>
      <c r="AN128" s="223"/>
      <c r="AO128" s="728"/>
      <c r="AP128" s="260"/>
      <c r="AQ128" s="258"/>
      <c r="AR128" s="260"/>
      <c r="AS128" s="260"/>
      <c r="AT128" s="260"/>
      <c r="AU128" s="258"/>
      <c r="AV128" s="127"/>
    </row>
    <row r="129" spans="1:49" ht="0.75" customHeight="1">
      <c r="A129" s="47"/>
      <c r="B129" s="47"/>
      <c r="C129" s="47"/>
      <c r="D129" s="47"/>
      <c r="E129" s="47"/>
      <c r="F129" s="47"/>
      <c r="G129" s="47"/>
      <c r="H129" s="47"/>
      <c r="I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50"/>
      <c r="AM129" s="126"/>
      <c r="AN129" s="223"/>
      <c r="AO129" s="728"/>
      <c r="AP129" s="260"/>
      <c r="AQ129" s="258"/>
      <c r="AR129" s="260"/>
      <c r="AS129" s="260"/>
      <c r="AT129" s="260"/>
      <c r="AU129" s="258"/>
      <c r="AV129" s="127"/>
    </row>
    <row r="130" spans="1:49" ht="0.75" customHeight="1">
      <c r="A130" s="47"/>
      <c r="B130" s="47"/>
      <c r="C130" s="47"/>
      <c r="D130" s="47"/>
      <c r="E130" s="47"/>
      <c r="F130" s="47"/>
      <c r="G130" s="47"/>
      <c r="H130" s="47"/>
      <c r="I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50"/>
      <c r="AM130" s="126"/>
      <c r="AN130" s="223"/>
      <c r="AO130" s="728"/>
      <c r="AP130" s="260"/>
      <c r="AQ130" s="258"/>
      <c r="AR130" s="260"/>
      <c r="AS130" s="260"/>
      <c r="AT130" s="260"/>
      <c r="AU130" s="258"/>
      <c r="AV130" s="127"/>
    </row>
    <row r="131" spans="1:49" ht="0.75" customHeight="1">
      <c r="AL131" s="121"/>
      <c r="AM131" s="121"/>
      <c r="AN131" s="504"/>
      <c r="AO131" s="526"/>
      <c r="AP131" s="526"/>
      <c r="AQ131" s="321"/>
      <c r="AR131" s="260"/>
      <c r="AS131" s="260"/>
      <c r="AT131" s="260"/>
      <c r="AU131" s="258"/>
      <c r="AV131" s="121"/>
      <c r="AW131" s="121"/>
    </row>
    <row r="132" spans="1:49" ht="0.75" customHeight="1">
      <c r="AL132" s="121"/>
      <c r="AM132" s="121"/>
      <c r="AN132" s="504"/>
      <c r="AO132" s="526"/>
      <c r="AP132" s="526"/>
      <c r="AQ132" s="321"/>
      <c r="AR132" s="260"/>
      <c r="AS132" s="260"/>
      <c r="AT132" s="260"/>
      <c r="AU132" s="258"/>
      <c r="AV132" s="121"/>
      <c r="AW132" s="121"/>
    </row>
    <row r="133" spans="1:49" ht="0.75" customHeight="1">
      <c r="AL133" s="121"/>
      <c r="AM133" s="121"/>
      <c r="AN133" s="504"/>
      <c r="AO133" s="526"/>
      <c r="AP133" s="526"/>
      <c r="AQ133" s="321"/>
      <c r="AR133" s="260"/>
      <c r="AS133" s="260"/>
      <c r="AT133" s="260"/>
      <c r="AU133" s="258"/>
      <c r="AV133" s="121"/>
      <c r="AW133" s="121"/>
    </row>
    <row r="134" spans="1:49" ht="0.75" customHeight="1">
      <c r="AL134" s="121"/>
      <c r="AM134" s="121"/>
      <c r="AN134" s="504"/>
      <c r="AO134" s="526"/>
      <c r="AP134" s="526"/>
      <c r="AQ134" s="321"/>
      <c r="AR134" s="260"/>
      <c r="AS134" s="260"/>
      <c r="AT134" s="260"/>
      <c r="AU134" s="258"/>
      <c r="AV134" s="121"/>
      <c r="AW134" s="121"/>
    </row>
    <row r="135" spans="1:49" ht="0.75" customHeight="1">
      <c r="AL135" s="121"/>
      <c r="AM135" s="121"/>
      <c r="AN135" s="504"/>
      <c r="AO135" s="526"/>
      <c r="AP135" s="526"/>
      <c r="AQ135" s="321"/>
      <c r="AR135" s="260"/>
      <c r="AS135" s="260"/>
      <c r="AT135" s="260"/>
      <c r="AU135" s="258"/>
      <c r="AV135" s="121"/>
      <c r="AW135" s="121"/>
    </row>
    <row r="136" spans="1:49" ht="0.75" customHeight="1">
      <c r="AL136" s="121"/>
      <c r="AM136" s="121"/>
      <c r="AN136" s="504"/>
      <c r="AO136" s="526"/>
      <c r="AP136" s="526"/>
      <c r="AQ136" s="321"/>
      <c r="AR136" s="260"/>
      <c r="AS136" s="260"/>
      <c r="AT136" s="260"/>
      <c r="AU136" s="258"/>
      <c r="AV136" s="121"/>
      <c r="AW136" s="121"/>
    </row>
    <row r="137" spans="1:49" ht="0.75" customHeight="1">
      <c r="AL137" s="121"/>
      <c r="AM137" s="121"/>
      <c r="AN137" s="504"/>
      <c r="AO137" s="526"/>
      <c r="AP137" s="526"/>
      <c r="AQ137" s="321"/>
      <c r="AR137" s="260"/>
      <c r="AS137" s="260"/>
      <c r="AT137" s="260"/>
      <c r="AU137" s="258"/>
      <c r="AV137" s="121"/>
      <c r="AW137" s="121"/>
    </row>
    <row r="138" spans="1:49" ht="0.75" customHeight="1">
      <c r="AL138" s="121"/>
      <c r="AM138" s="121"/>
      <c r="AN138" s="504"/>
      <c r="AO138" s="540"/>
      <c r="AP138" s="526"/>
      <c r="AQ138" s="321"/>
      <c r="AR138" s="260"/>
      <c r="AS138" s="260"/>
      <c r="AT138" s="260"/>
      <c r="AU138" s="258"/>
      <c r="AV138" s="121"/>
      <c r="AW138" s="121"/>
    </row>
    <row r="139" spans="1:49" ht="0.75" customHeight="1">
      <c r="AL139" s="121"/>
      <c r="AM139" s="121"/>
      <c r="AN139" s="504"/>
      <c r="AO139" s="526"/>
      <c r="AP139" s="526"/>
      <c r="AQ139" s="321"/>
      <c r="AR139" s="260"/>
      <c r="AS139" s="260"/>
      <c r="AT139" s="260"/>
      <c r="AU139" s="258"/>
      <c r="AV139" s="121"/>
      <c r="AW139" s="121"/>
    </row>
    <row r="140" spans="1:49" ht="0.75" customHeight="1">
      <c r="AL140" s="121"/>
      <c r="AM140" s="121"/>
      <c r="AN140" s="504"/>
      <c r="AO140" s="526"/>
      <c r="AP140" s="526"/>
      <c r="AQ140" s="321"/>
      <c r="AR140" s="260"/>
      <c r="AS140" s="260"/>
      <c r="AT140" s="260"/>
      <c r="AU140" s="258"/>
      <c r="AV140" s="121"/>
      <c r="AW140" s="121"/>
    </row>
    <row r="141" spans="1:49" ht="0.75" customHeight="1">
      <c r="AL141" s="121"/>
      <c r="AM141" s="121"/>
      <c r="AN141" s="504"/>
      <c r="AO141" s="526"/>
      <c r="AP141" s="526"/>
      <c r="AQ141" s="321"/>
      <c r="AR141" s="260"/>
      <c r="AS141" s="260"/>
      <c r="AT141" s="260"/>
      <c r="AU141" s="258"/>
      <c r="AV141" s="121"/>
      <c r="AW141" s="121"/>
    </row>
    <row r="142" spans="1:49" ht="0.75" customHeight="1">
      <c r="AL142" s="121"/>
      <c r="AM142" s="121"/>
      <c r="AN142" s="504"/>
      <c r="AO142" s="526"/>
      <c r="AP142" s="526"/>
      <c r="AQ142" s="321"/>
      <c r="AR142" s="260"/>
      <c r="AS142" s="260"/>
      <c r="AT142" s="260"/>
      <c r="AU142" s="258"/>
      <c r="AV142" s="121"/>
      <c r="AW142" s="121"/>
    </row>
    <row r="143" spans="1:49" ht="0.75" customHeight="1">
      <c r="AL143" s="121"/>
      <c r="AM143" s="121"/>
      <c r="AN143" s="504"/>
      <c r="AO143" s="526"/>
      <c r="AP143" s="526"/>
      <c r="AQ143" s="321"/>
      <c r="AR143" s="260"/>
      <c r="AS143" s="260"/>
      <c r="AT143" s="260"/>
      <c r="AU143" s="258"/>
      <c r="AV143" s="121"/>
      <c r="AW143" s="121"/>
    </row>
    <row r="144" spans="1:49" ht="0.75" customHeight="1">
      <c r="AL144" s="121"/>
      <c r="AM144" s="121"/>
      <c r="AN144" s="559"/>
      <c r="AO144" s="604"/>
      <c r="AP144" s="526"/>
      <c r="AQ144" s="321"/>
      <c r="AR144" s="260"/>
      <c r="AS144" s="260"/>
      <c r="AT144" s="260"/>
      <c r="AU144" s="258"/>
      <c r="AV144" s="121"/>
      <c r="AW144" s="121"/>
    </row>
    <row r="145" spans="1:49" s="121" customFormat="1" ht="0.75" customHeight="1">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N145" s="504"/>
      <c r="AO145" s="526"/>
      <c r="AP145" s="526"/>
      <c r="AQ145" s="321"/>
      <c r="AR145" s="260"/>
      <c r="AS145" s="260"/>
      <c r="AT145" s="260"/>
      <c r="AU145" s="258"/>
    </row>
    <row r="146" spans="1:49" s="121" customFormat="1" ht="0.75" customHeight="1">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N146" s="222"/>
      <c r="AO146" s="540"/>
      <c r="AP146" s="526"/>
      <c r="AQ146" s="321"/>
      <c r="AR146" s="260"/>
      <c r="AS146" s="260"/>
      <c r="AT146" s="260"/>
      <c r="AU146" s="258"/>
    </row>
    <row r="147" spans="1:49" s="121" customFormat="1" ht="0.75" customHeight="1">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N147" s="222"/>
      <c r="AO147" s="540"/>
      <c r="AP147" s="526"/>
      <c r="AQ147" s="321"/>
      <c r="AR147" s="260"/>
      <c r="AS147" s="260"/>
      <c r="AT147" s="260"/>
      <c r="AU147" s="258"/>
    </row>
    <row r="148" spans="1:49" s="121" customFormat="1" ht="0.75" customHeight="1">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N148" s="222"/>
      <c r="AO148" s="541"/>
      <c r="AP148" s="526"/>
      <c r="AQ148" s="321"/>
      <c r="AR148" s="260"/>
      <c r="AS148" s="260"/>
      <c r="AT148" s="260"/>
      <c r="AU148" s="258"/>
    </row>
    <row r="149" spans="1:49" ht="0.75" customHeight="1">
      <c r="AL149" s="121"/>
      <c r="AM149" s="121"/>
      <c r="AN149" s="222"/>
      <c r="AO149" s="502"/>
      <c r="AP149" s="526"/>
      <c r="AQ149" s="321"/>
      <c r="AR149" s="260"/>
      <c r="AS149" s="260"/>
      <c r="AT149" s="260"/>
      <c r="AU149" s="258"/>
      <c r="AV149" s="121"/>
      <c r="AW149" s="121"/>
    </row>
    <row r="150" spans="1:49" ht="0.75" customHeight="1">
      <c r="AL150" s="121"/>
      <c r="AM150" s="121"/>
      <c r="AN150" s="222"/>
      <c r="AO150" s="502"/>
      <c r="AP150" s="526"/>
      <c r="AQ150" s="321"/>
      <c r="AR150" s="260"/>
      <c r="AS150" s="260"/>
      <c r="AT150" s="260"/>
      <c r="AU150" s="258"/>
      <c r="AV150" s="121"/>
      <c r="AW150" s="121"/>
    </row>
    <row r="151" spans="1:49" s="121" customFormat="1" ht="0.75" customHeight="1">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N151" s="222"/>
      <c r="AO151" s="540"/>
      <c r="AP151" s="526"/>
      <c r="AQ151" s="321"/>
      <c r="AR151" s="260"/>
      <c r="AS151" s="260"/>
      <c r="AT151" s="260"/>
      <c r="AU151" s="258"/>
    </row>
    <row r="152" spans="1:49" s="121" customFormat="1" ht="0.75" customHeight="1">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N152" s="222"/>
      <c r="AO152" s="502"/>
      <c r="AP152" s="526"/>
      <c r="AQ152" s="321"/>
      <c r="AR152" s="260"/>
      <c r="AS152" s="260"/>
      <c r="AT152" s="260"/>
      <c r="AU152" s="258"/>
    </row>
    <row r="153" spans="1:49" s="121" customFormat="1" ht="0.75" customHeight="1">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N153" s="222"/>
      <c r="AO153" s="502"/>
      <c r="AP153" s="526"/>
      <c r="AQ153" s="321"/>
      <c r="AR153" s="260"/>
      <c r="AS153" s="260"/>
      <c r="AT153" s="260"/>
      <c r="AU153" s="258"/>
    </row>
    <row r="154" spans="1:49" s="121" customFormat="1" ht="0.75" customHeight="1">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N154" s="222"/>
      <c r="AO154" s="540"/>
      <c r="AP154" s="526"/>
      <c r="AQ154" s="321"/>
      <c r="AR154" s="260"/>
      <c r="AS154" s="260"/>
      <c r="AT154" s="260"/>
      <c r="AU154" s="258"/>
    </row>
    <row r="155" spans="1:49" s="121" customFormat="1" ht="0.75" customHeight="1">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N155" s="222"/>
      <c r="AO155" s="502"/>
      <c r="AP155" s="526"/>
      <c r="AQ155" s="321"/>
      <c r="AR155" s="260"/>
      <c r="AS155" s="260"/>
      <c r="AT155" s="260"/>
      <c r="AU155" s="258"/>
    </row>
    <row r="156" spans="1:49" s="121" customFormat="1" ht="0.75" customHeight="1">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N156" s="222"/>
      <c r="AO156" s="502"/>
      <c r="AP156" s="526"/>
      <c r="AQ156" s="321"/>
      <c r="AR156" s="260"/>
      <c r="AS156" s="260"/>
      <c r="AT156" s="260"/>
      <c r="AU156" s="258"/>
    </row>
    <row r="157" spans="1:49" ht="0.75" customHeight="1">
      <c r="AL157" s="121"/>
      <c r="AM157" s="121"/>
      <c r="AN157" s="222"/>
      <c r="AO157" s="540"/>
      <c r="AP157" s="526"/>
      <c r="AQ157" s="321"/>
      <c r="AR157" s="260"/>
      <c r="AS157" s="260"/>
      <c r="AT157" s="260"/>
      <c r="AU157" s="258"/>
      <c r="AV157" s="121"/>
      <c r="AW157" s="121"/>
    </row>
    <row r="158" spans="1:49" s="121" customFormat="1" ht="0.75" customHeight="1">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N158" s="222"/>
      <c r="AO158" s="502"/>
      <c r="AP158" s="526"/>
      <c r="AQ158" s="321"/>
      <c r="AR158" s="260"/>
      <c r="AS158" s="260"/>
      <c r="AT158" s="260"/>
      <c r="AU158" s="258"/>
    </row>
    <row r="159" spans="1:49" s="121" customFormat="1" ht="0.75" customHeight="1">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N159" s="222"/>
      <c r="AO159" s="502"/>
      <c r="AP159" s="526"/>
      <c r="AQ159" s="321"/>
      <c r="AR159" s="260"/>
      <c r="AS159" s="260"/>
      <c r="AT159" s="260"/>
      <c r="AU159" s="258"/>
    </row>
    <row r="160" spans="1:49" s="121" customFormat="1" ht="0.75" customHeight="1">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N160" s="222"/>
      <c r="AO160" s="502"/>
      <c r="AP160" s="526"/>
      <c r="AQ160" s="321"/>
      <c r="AR160" s="260"/>
      <c r="AS160" s="260"/>
      <c r="AT160" s="260"/>
      <c r="AU160" s="258"/>
    </row>
    <row r="161" spans="1:50" s="121" customFormat="1" ht="0.75" customHeight="1">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N161" s="436"/>
      <c r="AO161" s="235"/>
      <c r="AP161" s="526"/>
      <c r="AQ161" s="321"/>
      <c r="AR161" s="260"/>
      <c r="AS161" s="260"/>
      <c r="AT161" s="260"/>
      <c r="AU161" s="258"/>
    </row>
    <row r="162" spans="1:50" s="121" customFormat="1" ht="0.75" customHeight="1">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N162" s="436"/>
      <c r="AO162" s="571"/>
      <c r="AP162" s="526"/>
      <c r="AQ162" s="321"/>
      <c r="AR162" s="260"/>
      <c r="AS162" s="260"/>
      <c r="AT162" s="260"/>
      <c r="AU162" s="258"/>
    </row>
    <row r="163" spans="1:50" s="121" customFormat="1" ht="0.75" customHeight="1">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N163" s="496"/>
      <c r="AO163" s="571"/>
      <c r="AP163" s="526"/>
      <c r="AQ163" s="321"/>
      <c r="AR163" s="260"/>
      <c r="AS163" s="260"/>
      <c r="AT163" s="260"/>
      <c r="AU163" s="258"/>
    </row>
    <row r="164" spans="1:50" ht="0.75" customHeight="1">
      <c r="A164" s="121"/>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223"/>
      <c r="AO164" s="216"/>
      <c r="AP164" s="543"/>
      <c r="AQ164" s="523"/>
      <c r="AR164" s="547"/>
      <c r="AS164" s="547"/>
      <c r="AT164" s="547"/>
      <c r="AU164" s="265"/>
      <c r="AV164" s="121"/>
      <c r="AW164" s="121"/>
    </row>
    <row r="165" spans="1:50" s="54" customFormat="1">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M165" s="55"/>
      <c r="AN165" s="56"/>
      <c r="AQ165" s="121"/>
      <c r="AR165" s="121"/>
      <c r="AS165" s="121"/>
      <c r="AT165" s="121"/>
      <c r="AU165" s="48"/>
      <c r="AV165" s="121"/>
      <c r="AW165" s="121"/>
    </row>
    <row r="166" spans="1:50">
      <c r="AV166" s="121"/>
      <c r="AW166" s="121"/>
      <c r="AX166" s="54"/>
    </row>
  </sheetData>
  <sheetProtection password="FA9C" sheet="1" objects="1" scenarios="1" formatColumns="0" formatRows="0"/>
  <mergeCells count="8">
    <mergeCell ref="AR13:AT13"/>
    <mergeCell ref="AN9:AP9"/>
    <mergeCell ref="AN11:AN12"/>
    <mergeCell ref="AO11:AO12"/>
    <mergeCell ref="AP11:AP12"/>
    <mergeCell ref="AR10:AT10"/>
    <mergeCell ref="AR11:AT11"/>
    <mergeCell ref="AR12:AT12"/>
  </mergeCells>
  <phoneticPr fontId="8" type="noConversion"/>
  <pageMargins left="0.74803149606299213" right="0.74803149606299213" top="0.15748031496062992" bottom="0.23622047244094491" header="0.19685039370078741" footer="0.23622047244094491"/>
  <pageSetup paperSize="9" scale="90"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sheetPr codeName="VOTV_CALC_PERIOD1">
    <tabColor rgb="FF00B050"/>
    <outlinePr summaryBelow="0"/>
  </sheetPr>
  <dimension ref="A1:AW167"/>
  <sheetViews>
    <sheetView showGridLines="0" topLeftCell="AL8" workbookViewId="0">
      <selection activeCell="AT82" sqref="AT82"/>
    </sheetView>
  </sheetViews>
  <sheetFormatPr defaultColWidth="8.7109375" defaultRowHeight="11.25"/>
  <cols>
    <col min="1" max="37" width="2.7109375" style="121"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3" width="0.140625" style="47" customWidth="1"/>
    <col min="44" max="45" width="0.140625" style="47" hidden="1" customWidth="1"/>
    <col min="46" max="46" width="17.7109375" style="47" customWidth="1"/>
    <col min="47" max="47" width="0.140625" style="47" customWidth="1"/>
    <col min="48" max="49" width="2.7109375" style="47" customWidth="1"/>
    <col min="50" max="16384" width="8.7109375" style="47"/>
  </cols>
  <sheetData>
    <row r="1" spans="1:49" ht="12" hidden="1" customHeight="1">
      <c r="A1" s="47"/>
      <c r="B1" s="47"/>
      <c r="C1" s="47"/>
      <c r="D1" s="47"/>
      <c r="E1" s="47"/>
      <c r="F1" s="47"/>
      <c r="G1" s="47"/>
      <c r="H1" s="47"/>
      <c r="I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row>
    <row r="2" spans="1:49" ht="12" hidden="1" customHeight="1">
      <c r="A2" s="47"/>
      <c r="B2" s="47"/>
      <c r="C2" s="47"/>
      <c r="D2" s="47"/>
      <c r="E2" s="47"/>
      <c r="F2" s="47"/>
      <c r="G2" s="47"/>
      <c r="H2" s="47"/>
      <c r="I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row>
    <row r="3" spans="1:49" ht="12" hidden="1" customHeight="1">
      <c r="A3" s="47"/>
      <c r="B3" s="47"/>
      <c r="C3" s="47"/>
      <c r="D3" s="47"/>
      <c r="E3" s="47"/>
      <c r="F3" s="47"/>
      <c r="G3" s="47"/>
      <c r="H3" s="47"/>
      <c r="I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row>
    <row r="4" spans="1:49" ht="12" hidden="1" customHeight="1">
      <c r="A4" s="47"/>
      <c r="B4" s="47"/>
      <c r="C4" s="47"/>
      <c r="D4" s="47"/>
      <c r="E4" s="47"/>
      <c r="F4" s="47"/>
      <c r="G4" s="47"/>
      <c r="H4" s="47"/>
      <c r="I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row>
    <row r="5" spans="1:49" ht="12" hidden="1" customHeight="1">
      <c r="A5" s="47"/>
      <c r="B5" s="47"/>
      <c r="C5" s="47"/>
      <c r="D5" s="47"/>
      <c r="E5" s="47"/>
      <c r="F5" s="47"/>
      <c r="G5" s="47"/>
      <c r="H5" s="47"/>
      <c r="I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row>
    <row r="6" spans="1:49" ht="12" hidden="1" customHeight="1">
      <c r="A6" s="47"/>
      <c r="B6" s="47"/>
      <c r="C6" s="47"/>
      <c r="D6" s="47"/>
      <c r="E6" s="47"/>
      <c r="F6" s="47"/>
      <c r="G6" s="47"/>
      <c r="H6" s="47"/>
      <c r="I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row>
    <row r="7" spans="1:49" ht="12" hidden="1" customHeight="1">
      <c r="A7" s="47"/>
      <c r="B7" s="47"/>
      <c r="C7" s="47"/>
      <c r="D7" s="47"/>
      <c r="E7" s="47"/>
      <c r="F7" s="47"/>
      <c r="G7" s="47"/>
      <c r="H7" s="47"/>
      <c r="I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row>
    <row r="8" spans="1:49" s="520" customFormat="1" ht="11.25" customHeight="1">
      <c r="J8" s="521"/>
      <c r="AM8" s="522"/>
      <c r="AN8" s="637">
        <f>IF(TARIFF_SETUP_METHOD_CODE="BY_PSEUDO_YEARS",12,6)</f>
        <v>6</v>
      </c>
      <c r="AO8" s="431" t="str">
        <f>"Необходимо указывать " &amp; IF(TARIFF_SETUP_METHOD_CODE="BY_PSEUDO_YEARS","общегодовые значения","значения по периодам")</f>
        <v>Необходимо указывать значения по периодам</v>
      </c>
      <c r="AP8" s="616" t="s">
        <v>785</v>
      </c>
      <c r="AQ8" s="522"/>
      <c r="AR8" s="624"/>
      <c r="AS8" s="624"/>
      <c r="AT8" s="624" t="s">
        <v>3269</v>
      </c>
      <c r="AU8" s="522"/>
      <c r="AV8" s="522"/>
    </row>
    <row r="9" spans="1:49"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по муниципальному образованию - " &amp; IF(mo="","Не определено",mo)</f>
        <v>Фактические расходы организаций водоотведения по муниципальному образованию - Село Булава</v>
      </c>
      <c r="AO9" s="917"/>
      <c r="AP9" s="917"/>
      <c r="AQ9" s="201"/>
      <c r="AR9" s="625" t="str">
        <f>AR11 &amp; ".1"</f>
        <v>1.1</v>
      </c>
      <c r="AS9" s="625" t="str">
        <f>AR11 &amp; ".2"</f>
        <v>1.2</v>
      </c>
      <c r="AT9" s="625" t="str">
        <f>AR11 &amp; ".0"</f>
        <v>1.0</v>
      </c>
      <c r="AU9" s="122"/>
      <c r="AV9" s="200"/>
    </row>
    <row r="10" spans="1:49" ht="12" customHeight="1">
      <c r="A10" s="47"/>
      <c r="B10" s="47"/>
      <c r="C10" s="47"/>
      <c r="D10" s="47"/>
      <c r="E10" s="47"/>
      <c r="F10" s="47"/>
      <c r="G10" s="47"/>
      <c r="H10" s="47"/>
      <c r="I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M10" s="124"/>
      <c r="AN10" s="430" t="s">
        <v>2489</v>
      </c>
      <c r="AO10" s="221"/>
      <c r="AP10" s="122" t="s">
        <v>786</v>
      </c>
      <c r="AQ10" s="201"/>
      <c r="AR10" s="814" t="s">
        <v>719</v>
      </c>
      <c r="AS10" s="814"/>
      <c r="AT10" s="814"/>
      <c r="AU10" s="168" t="s">
        <v>720</v>
      </c>
      <c r="AV10" s="53"/>
    </row>
    <row r="11" spans="1:49" ht="12" customHeight="1">
      <c r="A11" s="47"/>
      <c r="B11" s="47"/>
      <c r="C11" s="47"/>
      <c r="D11" s="47"/>
      <c r="E11" s="47"/>
      <c r="F11" s="47"/>
      <c r="G11" s="47"/>
      <c r="H11" s="47"/>
      <c r="I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50"/>
      <c r="AM11" s="125"/>
      <c r="AN11" s="802" t="s">
        <v>641</v>
      </c>
      <c r="AO11" s="804" t="s">
        <v>787</v>
      </c>
      <c r="AP11" s="806" t="s">
        <v>778</v>
      </c>
      <c r="AQ11" s="206">
        <v>0</v>
      </c>
      <c r="AR11" s="808">
        <v>1</v>
      </c>
      <c r="AS11" s="809"/>
      <c r="AT11" s="810"/>
      <c r="AU11" s="206"/>
      <c r="AV11" s="220"/>
    </row>
    <row r="12" spans="1:49" ht="48" customHeight="1">
      <c r="A12" s="47"/>
      <c r="B12" s="47"/>
      <c r="C12" s="47"/>
      <c r="D12" s="47"/>
      <c r="E12" s="47"/>
      <c r="F12" s="47"/>
      <c r="G12" s="47"/>
      <c r="H12" s="47"/>
      <c r="I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50"/>
      <c r="AM12" s="125"/>
      <c r="AN12" s="803"/>
      <c r="AO12" s="805"/>
      <c r="AP12" s="807"/>
      <c r="AQ12" s="207"/>
      <c r="AR12" s="964" t="str">
        <f>IF('Список организаций'!$I$16="","Не определено",'Список организаций'!$I$16)</f>
        <v>МУП СП "Село Булава" Булавинское ТЭП"</v>
      </c>
      <c r="AS12" s="797"/>
      <c r="AT12" s="798"/>
      <c r="AU12" s="207"/>
      <c r="AV12" s="121"/>
      <c r="AW12" s="121"/>
    </row>
    <row r="13" spans="1:49" ht="11.25" customHeight="1">
      <c r="A13" s="47"/>
      <c r="B13" s="47"/>
      <c r="C13" s="47"/>
      <c r="D13" s="47"/>
      <c r="E13" s="47"/>
      <c r="F13" s="47"/>
      <c r="G13" s="47"/>
      <c r="H13" s="47"/>
      <c r="I13" s="47"/>
      <c r="AL13" s="121"/>
      <c r="AM13" s="121"/>
      <c r="AN13" s="222"/>
      <c r="AO13" s="501" t="s">
        <v>788</v>
      </c>
      <c r="AP13" s="542"/>
      <c r="AQ13" s="330"/>
      <c r="AR13" s="963" t="str">
        <f>IF('Список организаций'!$M$16="","Не определено",'Список организаций'!$M$16)</f>
        <v>нет</v>
      </c>
      <c r="AS13" s="800"/>
      <c r="AT13" s="801"/>
      <c r="AU13" s="207"/>
      <c r="AV13" s="121"/>
      <c r="AW13" s="121"/>
    </row>
    <row r="14" spans="1:49">
      <c r="A14" s="47"/>
      <c r="B14" s="47"/>
      <c r="C14" s="47"/>
      <c r="D14" s="47"/>
      <c r="E14" s="47"/>
      <c r="F14" s="47"/>
      <c r="G14" s="47"/>
      <c r="H14" s="47"/>
      <c r="I14" s="47"/>
      <c r="AL14" s="121"/>
      <c r="AM14" s="121"/>
      <c r="AN14" s="222"/>
      <c r="AO14" s="556" t="str">
        <f>IF(CALC_IDENTIFIER="","",CALC_IDENTIFIER)</f>
        <v/>
      </c>
      <c r="AP14" s="557" t="s">
        <v>745</v>
      </c>
      <c r="AQ14" s="330"/>
      <c r="AR14" s="568"/>
      <c r="AS14" s="568"/>
      <c r="AT14" s="568" t="s">
        <v>745</v>
      </c>
      <c r="AU14" s="207"/>
      <c r="AV14" s="121"/>
      <c r="AW14" s="121"/>
    </row>
    <row r="15" spans="1:49">
      <c r="AL15" s="121"/>
      <c r="AM15" s="121"/>
      <c r="AN15" s="504" t="s">
        <v>642</v>
      </c>
      <c r="AO15" s="566" t="str">
        <f>IF(TEMPLATE_SPHERE="водоснабжения","Объём отпуска воды (тыс. куб.м)",IF(TEMPLATE_SPHERE="водоотведения","Пропущено сточных вод, всего (тыс. куб.м)"))</f>
        <v>Пропущено сточных вод, всего (тыс. куб.м)</v>
      </c>
      <c r="AP15" s="551">
        <f t="shared" ref="AP15:AP22" si="0">SUMIF(AQ$14:AU$14,AP$14,AQ15:AU15)</f>
        <v>1.4517</v>
      </c>
      <c r="AQ15" s="321"/>
      <c r="AR15" s="567"/>
      <c r="AS15" s="323"/>
      <c r="AT15" s="632">
        <f>IF(TARIFF_SETUP_METHOD_CODE="BY_MONTHS",SUMIF(БПр!$BF$129:$BF$158,AT$9&amp;"-"&amp;$AP$8,БПр!$J$129:$J$158),IF(TARIFF_SETUP_METHOD_CODE="BY_PSEUDO_YEARS",SUMIF(БПр!$F$129:$F$158,AT$9,БПр!$J$129:$J$158),0))/1000</f>
        <v>1.4517</v>
      </c>
      <c r="AU15" s="258"/>
      <c r="AV15" s="121"/>
      <c r="AW15" s="121"/>
    </row>
    <row r="16" spans="1:49" ht="22.5">
      <c r="AL16" s="121"/>
      <c r="AM16" s="121"/>
      <c r="AN16" s="504" t="s">
        <v>790</v>
      </c>
      <c r="AO16" s="527" t="s">
        <v>369</v>
      </c>
      <c r="AP16" s="257">
        <f t="shared" si="0"/>
        <v>0</v>
      </c>
      <c r="AQ16" s="321"/>
      <c r="AR16" s="553"/>
      <c r="AS16" s="553"/>
      <c r="AT16" s="629">
        <f>IF($AP$8="I",SUMIF('ТМ2 01.01 - 30.06'!$C$21:$C$25,AT$9,'ТМ2 01.01 - 30.06'!$AL$21:$AL$25),IF($AP$8="II",SUMIF('ТМ2 01.07 - 31.08'!$C$21:$C$25,AT$9,'ТМ2 01.07 - 31.08'!$AL$21:$AL$25),IF($AP$8="III",SUMIF('ТМ2 01.09 - 31.12'!$C$21:$C$25,AT$9,'ТМ2 01.09 - 31.12'!$AL$21:$AL$25),0)))/1000</f>
        <v>0</v>
      </c>
      <c r="AU16" s="258"/>
      <c r="AV16" s="121"/>
      <c r="AW16" s="121"/>
    </row>
    <row r="17" spans="38:49">
      <c r="AL17" s="121"/>
      <c r="AM17" s="121"/>
      <c r="AN17" s="504" t="s">
        <v>751</v>
      </c>
      <c r="AO17" s="526" t="s">
        <v>2814</v>
      </c>
      <c r="AP17" s="257">
        <f t="shared" si="0"/>
        <v>89.6</v>
      </c>
      <c r="AQ17" s="321"/>
      <c r="AR17" s="260"/>
      <c r="AS17" s="260"/>
      <c r="AT17" s="257">
        <f>AT18+AT47+AT48+AT49+AT53+AT54+AT55+AT80+AT86+AT90+AT91+AT92+AT93+AT96+AT97+AT98+AT99+AT109</f>
        <v>89.6</v>
      </c>
      <c r="AU17" s="258"/>
      <c r="AV17" s="121"/>
      <c r="AW17" s="121"/>
    </row>
    <row r="18" spans="38:49">
      <c r="AL18" s="121"/>
      <c r="AM18" s="121"/>
      <c r="AN18" s="504" t="s">
        <v>66</v>
      </c>
      <c r="AO18" s="527" t="s">
        <v>2815</v>
      </c>
      <c r="AP18" s="257">
        <f t="shared" si="0"/>
        <v>0</v>
      </c>
      <c r="AQ18" s="321"/>
      <c r="AR18" s="260"/>
      <c r="AS18" s="260"/>
      <c r="AT18" s="257">
        <f>AT19+AT46</f>
        <v>0</v>
      </c>
      <c r="AU18" s="258"/>
      <c r="AV18" s="121"/>
      <c r="AW18" s="121"/>
    </row>
    <row r="19" spans="38:49">
      <c r="AL19" s="121"/>
      <c r="AM19" s="121"/>
      <c r="AN19" s="504" t="s">
        <v>632</v>
      </c>
      <c r="AO19" s="528" t="s">
        <v>2816</v>
      </c>
      <c r="AP19" s="257">
        <f t="shared" si="0"/>
        <v>0</v>
      </c>
      <c r="AQ19" s="321"/>
      <c r="AR19" s="260"/>
      <c r="AS19" s="260"/>
      <c r="AT19" s="257">
        <f>AT22+AT25+AT28+AT31+AT34+AT37+AT40+AT43</f>
        <v>0</v>
      </c>
      <c r="AU19" s="258"/>
      <c r="AV19" s="121"/>
      <c r="AW19" s="121"/>
    </row>
    <row r="20" spans="38:49">
      <c r="AL20" s="121"/>
      <c r="AM20" s="121"/>
      <c r="AN20" s="223" t="s">
        <v>2817</v>
      </c>
      <c r="AO20" s="529" t="s">
        <v>2972</v>
      </c>
      <c r="AP20" s="257">
        <f t="shared" si="0"/>
        <v>0</v>
      </c>
      <c r="AQ20" s="321"/>
      <c r="AR20" s="260"/>
      <c r="AS20" s="260"/>
      <c r="AT20" s="257">
        <f>AT24+AT30+AT36+AT42</f>
        <v>0</v>
      </c>
      <c r="AU20" s="258"/>
      <c r="AV20" s="121"/>
      <c r="AW20" s="121"/>
    </row>
    <row r="21" spans="38:49">
      <c r="AL21" s="121"/>
      <c r="AM21" s="121"/>
      <c r="AN21" s="223" t="s">
        <v>2818</v>
      </c>
      <c r="AO21" s="529" t="s">
        <v>2988</v>
      </c>
      <c r="AP21" s="257">
        <f t="shared" si="0"/>
        <v>0</v>
      </c>
      <c r="AQ21" s="321"/>
      <c r="AR21" s="260"/>
      <c r="AS21" s="260"/>
      <c r="AT21" s="257">
        <f>AT27+AT33+AT39+AT45</f>
        <v>0</v>
      </c>
      <c r="AU21" s="258"/>
      <c r="AV21" s="121"/>
      <c r="AW21" s="121"/>
    </row>
    <row r="22" spans="38:49">
      <c r="AL22" s="121"/>
      <c r="AM22" s="121"/>
      <c r="AN22" s="223" t="s">
        <v>8</v>
      </c>
      <c r="AO22" s="529" t="s">
        <v>3011</v>
      </c>
      <c r="AP22" s="257">
        <f t="shared" si="0"/>
        <v>0</v>
      </c>
      <c r="AQ22" s="321"/>
      <c r="AR22" s="260"/>
      <c r="AS22" s="260"/>
      <c r="AT22" s="257">
        <f>AT23*AT24</f>
        <v>0</v>
      </c>
      <c r="AU22" s="258"/>
      <c r="AV22" s="121"/>
      <c r="AW22" s="121"/>
    </row>
    <row r="23" spans="38:49">
      <c r="AL23" s="121"/>
      <c r="AM23" s="121"/>
      <c r="AN23" s="524" t="s">
        <v>9</v>
      </c>
      <c r="AO23" s="530" t="s">
        <v>2968</v>
      </c>
      <c r="AP23" s="544">
        <f>IF(AP24=0,0,AP22/AP24)</f>
        <v>0</v>
      </c>
      <c r="AQ23" s="321"/>
      <c r="AR23" s="260"/>
      <c r="AS23" s="260"/>
      <c r="AT23" s="261"/>
      <c r="AU23" s="258"/>
      <c r="AV23" s="121"/>
      <c r="AW23" s="121"/>
    </row>
    <row r="24" spans="38:49">
      <c r="AL24" s="121"/>
      <c r="AM24" s="121"/>
      <c r="AN24" s="524" t="s">
        <v>10</v>
      </c>
      <c r="AO24" s="530" t="s">
        <v>2972</v>
      </c>
      <c r="AP24" s="257">
        <f>SUMIF(AQ$14:AU$14,AP$14,AQ24:AU24)</f>
        <v>0</v>
      </c>
      <c r="AQ24" s="321"/>
      <c r="AR24" s="260"/>
      <c r="AS24" s="260"/>
      <c r="AT24" s="261"/>
      <c r="AU24" s="258"/>
      <c r="AV24" s="121"/>
      <c r="AW24" s="121"/>
    </row>
    <row r="25" spans="38:49">
      <c r="AL25" s="121"/>
      <c r="AM25" s="121"/>
      <c r="AN25" s="223" t="s">
        <v>11</v>
      </c>
      <c r="AO25" s="531" t="s">
        <v>3015</v>
      </c>
      <c r="AP25" s="257">
        <f>SUMIF(AQ$14:AU$14,AP$14,AQ25:AU25)</f>
        <v>0</v>
      </c>
      <c r="AQ25" s="321"/>
      <c r="AR25" s="260"/>
      <c r="AS25" s="260"/>
      <c r="AT25" s="257">
        <f>AT26*AT27</f>
        <v>0</v>
      </c>
      <c r="AU25" s="258"/>
      <c r="AV25" s="121"/>
      <c r="AW25" s="121"/>
    </row>
    <row r="26" spans="38:49">
      <c r="AL26" s="121"/>
      <c r="AM26" s="121"/>
      <c r="AN26" s="524" t="s">
        <v>12</v>
      </c>
      <c r="AO26" s="530" t="s">
        <v>2970</v>
      </c>
      <c r="AP26" s="544">
        <f>IF(AP27=0,0,AP25/AP27)</f>
        <v>0</v>
      </c>
      <c r="AQ26" s="321"/>
      <c r="AR26" s="260"/>
      <c r="AS26" s="260"/>
      <c r="AT26" s="261"/>
      <c r="AU26" s="258"/>
      <c r="AV26" s="121"/>
      <c r="AW26" s="121"/>
    </row>
    <row r="27" spans="38:49">
      <c r="AL27" s="121"/>
      <c r="AM27" s="121"/>
      <c r="AN27" s="524" t="s">
        <v>13</v>
      </c>
      <c r="AO27" s="530" t="s">
        <v>3018</v>
      </c>
      <c r="AP27" s="257">
        <f>SUMIF(AQ$14:AU$14,AP$14,AQ27:AU27)</f>
        <v>0</v>
      </c>
      <c r="AQ27" s="321"/>
      <c r="AR27" s="260"/>
      <c r="AS27" s="260"/>
      <c r="AT27" s="261"/>
      <c r="AU27" s="258"/>
      <c r="AV27" s="121"/>
      <c r="AW27" s="121"/>
    </row>
    <row r="28" spans="38:49">
      <c r="AL28" s="121"/>
      <c r="AM28" s="121"/>
      <c r="AN28" s="223" t="s">
        <v>14</v>
      </c>
      <c r="AO28" s="529" t="s">
        <v>3020</v>
      </c>
      <c r="AP28" s="257">
        <f>SUMIF(AQ$14:AU$14,AP$14,AQ28:AU28)</f>
        <v>0</v>
      </c>
      <c r="AQ28" s="321"/>
      <c r="AR28" s="260"/>
      <c r="AS28" s="260"/>
      <c r="AT28" s="257">
        <f>AT29*AT30</f>
        <v>0</v>
      </c>
      <c r="AU28" s="258"/>
      <c r="AV28" s="121"/>
      <c r="AW28" s="121"/>
    </row>
    <row r="29" spans="38:49">
      <c r="AL29" s="121"/>
      <c r="AM29" s="121"/>
      <c r="AN29" s="524" t="s">
        <v>15</v>
      </c>
      <c r="AO29" s="530" t="s">
        <v>2968</v>
      </c>
      <c r="AP29" s="544">
        <f>IF(AP30=0,0,AP28/AP30)</f>
        <v>0</v>
      </c>
      <c r="AQ29" s="321"/>
      <c r="AR29" s="260"/>
      <c r="AS29" s="260"/>
      <c r="AT29" s="261"/>
      <c r="AU29" s="258"/>
      <c r="AV29" s="121"/>
      <c r="AW29" s="121"/>
    </row>
    <row r="30" spans="38:49">
      <c r="AL30" s="121"/>
      <c r="AM30" s="121"/>
      <c r="AN30" s="524" t="s">
        <v>16</v>
      </c>
      <c r="AO30" s="530" t="s">
        <v>2972</v>
      </c>
      <c r="AP30" s="257">
        <f>SUMIF(AQ$14:AU$14,AP$14,AQ30:AU30)</f>
        <v>0</v>
      </c>
      <c r="AQ30" s="321"/>
      <c r="AR30" s="260"/>
      <c r="AS30" s="260"/>
      <c r="AT30" s="261"/>
      <c r="AU30" s="258"/>
      <c r="AV30" s="121"/>
      <c r="AW30" s="121"/>
    </row>
    <row r="31" spans="38:49">
      <c r="AL31" s="121"/>
      <c r="AM31" s="121"/>
      <c r="AN31" s="223" t="s">
        <v>17</v>
      </c>
      <c r="AO31" s="531" t="s">
        <v>3024</v>
      </c>
      <c r="AP31" s="257">
        <f>SUMIF(AQ$14:AU$14,AP$14,AQ31:AU31)</f>
        <v>0</v>
      </c>
      <c r="AQ31" s="321"/>
      <c r="AR31" s="260"/>
      <c r="AS31" s="260"/>
      <c r="AT31" s="257">
        <f>AT32*AT33</f>
        <v>0</v>
      </c>
      <c r="AU31" s="258"/>
      <c r="AV31" s="121"/>
      <c r="AW31" s="121"/>
    </row>
    <row r="32" spans="38:49">
      <c r="AL32" s="121"/>
      <c r="AM32" s="121"/>
      <c r="AN32" s="524" t="s">
        <v>18</v>
      </c>
      <c r="AO32" s="530" t="s">
        <v>2970</v>
      </c>
      <c r="AP32" s="544">
        <f>IF(AP33=0,0,AP31/AP33)</f>
        <v>0</v>
      </c>
      <c r="AQ32" s="321"/>
      <c r="AR32" s="260"/>
      <c r="AS32" s="260"/>
      <c r="AT32" s="261"/>
      <c r="AU32" s="258"/>
      <c r="AV32" s="121"/>
      <c r="AW32" s="121"/>
    </row>
    <row r="33" spans="38:49">
      <c r="AL33" s="121"/>
      <c r="AM33" s="121"/>
      <c r="AN33" s="524" t="s">
        <v>19</v>
      </c>
      <c r="AO33" s="530" t="s">
        <v>3018</v>
      </c>
      <c r="AP33" s="257">
        <f>SUMIF(AQ$14:AU$14,AP$14,AQ33:AU33)</f>
        <v>0</v>
      </c>
      <c r="AQ33" s="321"/>
      <c r="AR33" s="260"/>
      <c r="AS33" s="260"/>
      <c r="AT33" s="261"/>
      <c r="AU33" s="258"/>
      <c r="AV33" s="121"/>
      <c r="AW33" s="121"/>
    </row>
    <row r="34" spans="38:49">
      <c r="AL34" s="121"/>
      <c r="AM34" s="121"/>
      <c r="AN34" s="223" t="s">
        <v>20</v>
      </c>
      <c r="AO34" s="529" t="s">
        <v>3028</v>
      </c>
      <c r="AP34" s="257">
        <f>SUMIF(AQ$14:AU$14,AP$14,AQ34:AU34)</f>
        <v>0</v>
      </c>
      <c r="AQ34" s="321"/>
      <c r="AR34" s="260"/>
      <c r="AS34" s="260"/>
      <c r="AT34" s="257">
        <f>AT35*AT36</f>
        <v>0</v>
      </c>
      <c r="AU34" s="258"/>
      <c r="AV34" s="121"/>
      <c r="AW34" s="121"/>
    </row>
    <row r="35" spans="38:49">
      <c r="AL35" s="121"/>
      <c r="AM35" s="121"/>
      <c r="AN35" s="524" t="s">
        <v>21</v>
      </c>
      <c r="AO35" s="530" t="s">
        <v>2968</v>
      </c>
      <c r="AP35" s="544">
        <f>IF(AP36=0,0,AP34/AP36)</f>
        <v>0</v>
      </c>
      <c r="AQ35" s="321"/>
      <c r="AR35" s="260"/>
      <c r="AS35" s="260"/>
      <c r="AT35" s="261"/>
      <c r="AU35" s="258"/>
      <c r="AV35" s="121"/>
      <c r="AW35" s="121"/>
    </row>
    <row r="36" spans="38:49">
      <c r="AL36" s="121"/>
      <c r="AM36" s="121"/>
      <c r="AN36" s="524" t="s">
        <v>22</v>
      </c>
      <c r="AO36" s="530" t="s">
        <v>2972</v>
      </c>
      <c r="AP36" s="257">
        <f>SUMIF(AQ$14:AU$14,AP$14,AQ36:AU36)</f>
        <v>0</v>
      </c>
      <c r="AQ36" s="321"/>
      <c r="AR36" s="260"/>
      <c r="AS36" s="260"/>
      <c r="AT36" s="261"/>
      <c r="AU36" s="258"/>
      <c r="AV36" s="121"/>
      <c r="AW36" s="121"/>
    </row>
    <row r="37" spans="38:49">
      <c r="AL37" s="121"/>
      <c r="AM37" s="121"/>
      <c r="AN37" s="223" t="s">
        <v>23</v>
      </c>
      <c r="AO37" s="531" t="s">
        <v>3032</v>
      </c>
      <c r="AP37" s="257">
        <f>SUMIF(AQ$14:AU$14,AP$14,AQ37:AU37)</f>
        <v>0</v>
      </c>
      <c r="AQ37" s="321"/>
      <c r="AR37" s="260"/>
      <c r="AS37" s="260"/>
      <c r="AT37" s="257">
        <f>AT38*AT39</f>
        <v>0</v>
      </c>
      <c r="AU37" s="258"/>
      <c r="AV37" s="121"/>
      <c r="AW37" s="121"/>
    </row>
    <row r="38" spans="38:49">
      <c r="AL38" s="121"/>
      <c r="AM38" s="121"/>
      <c r="AN38" s="524" t="s">
        <v>24</v>
      </c>
      <c r="AO38" s="530" t="s">
        <v>2970</v>
      </c>
      <c r="AP38" s="544">
        <f>IF(AP39=0,0,AP37/AP39)</f>
        <v>0</v>
      </c>
      <c r="AQ38" s="321"/>
      <c r="AR38" s="260"/>
      <c r="AS38" s="260"/>
      <c r="AT38" s="261"/>
      <c r="AU38" s="258"/>
      <c r="AV38" s="121"/>
      <c r="AW38" s="121"/>
    </row>
    <row r="39" spans="38:49">
      <c r="AL39" s="121"/>
      <c r="AM39" s="121"/>
      <c r="AN39" s="524" t="s">
        <v>25</v>
      </c>
      <c r="AO39" s="530" t="s">
        <v>3018</v>
      </c>
      <c r="AP39" s="257">
        <f>SUMIF(AQ$14:AU$14,AP$14,AQ39:AU39)</f>
        <v>0</v>
      </c>
      <c r="AQ39" s="321"/>
      <c r="AR39" s="260"/>
      <c r="AS39" s="260"/>
      <c r="AT39" s="261"/>
      <c r="AU39" s="258"/>
      <c r="AV39" s="121"/>
      <c r="AW39" s="121"/>
    </row>
    <row r="40" spans="38:49">
      <c r="AL40" s="121"/>
      <c r="AM40" s="121"/>
      <c r="AN40" s="223" t="s">
        <v>26</v>
      </c>
      <c r="AO40" s="529" t="s">
        <v>3036</v>
      </c>
      <c r="AP40" s="257">
        <f>SUMIF(AQ$14:AU$14,AP$14,AQ40:AU40)</f>
        <v>0</v>
      </c>
      <c r="AQ40" s="321"/>
      <c r="AR40" s="260"/>
      <c r="AS40" s="260"/>
      <c r="AT40" s="257">
        <f>AT41*AT42</f>
        <v>0</v>
      </c>
      <c r="AU40" s="258"/>
      <c r="AV40" s="121"/>
      <c r="AW40" s="121"/>
    </row>
    <row r="41" spans="38:49">
      <c r="AL41" s="121"/>
      <c r="AM41" s="121"/>
      <c r="AN41" s="524" t="s">
        <v>27</v>
      </c>
      <c r="AO41" s="530" t="s">
        <v>2968</v>
      </c>
      <c r="AP41" s="544">
        <f>IF(AP42=0,0,AP40/AP42)</f>
        <v>0</v>
      </c>
      <c r="AQ41" s="321"/>
      <c r="AR41" s="260"/>
      <c r="AS41" s="260"/>
      <c r="AT41" s="261"/>
      <c r="AU41" s="258"/>
      <c r="AV41" s="121"/>
      <c r="AW41" s="121"/>
    </row>
    <row r="42" spans="38:49">
      <c r="AL42" s="121"/>
      <c r="AM42" s="121"/>
      <c r="AN42" s="524" t="s">
        <v>28</v>
      </c>
      <c r="AO42" s="530" t="s">
        <v>2972</v>
      </c>
      <c r="AP42" s="257">
        <f>SUMIF(AQ$14:AU$14,AP$14,AQ42:AU42)</f>
        <v>0</v>
      </c>
      <c r="AQ42" s="321"/>
      <c r="AR42" s="260"/>
      <c r="AS42" s="260"/>
      <c r="AT42" s="261"/>
      <c r="AU42" s="258"/>
      <c r="AV42" s="121"/>
      <c r="AW42" s="121"/>
    </row>
    <row r="43" spans="38:49">
      <c r="AL43" s="121"/>
      <c r="AM43" s="121"/>
      <c r="AN43" s="223" t="s">
        <v>29</v>
      </c>
      <c r="AO43" s="531" t="s">
        <v>3040</v>
      </c>
      <c r="AP43" s="257">
        <f>SUMIF(AQ$14:AU$14,AP$14,AQ43:AU43)</f>
        <v>0</v>
      </c>
      <c r="AQ43" s="321"/>
      <c r="AR43" s="260"/>
      <c r="AS43" s="260"/>
      <c r="AT43" s="257">
        <f>AT44*AT45</f>
        <v>0</v>
      </c>
      <c r="AU43" s="258"/>
      <c r="AV43" s="121"/>
      <c r="AW43" s="121"/>
    </row>
    <row r="44" spans="38:49">
      <c r="AL44" s="121"/>
      <c r="AM44" s="121"/>
      <c r="AN44" s="524" t="s">
        <v>30</v>
      </c>
      <c r="AO44" s="530" t="s">
        <v>2970</v>
      </c>
      <c r="AP44" s="544">
        <f>IF(AP45=0,0,AP43/AP45)</f>
        <v>0</v>
      </c>
      <c r="AQ44" s="321"/>
      <c r="AR44" s="260"/>
      <c r="AS44" s="260"/>
      <c r="AT44" s="261"/>
      <c r="AU44" s="258"/>
      <c r="AV44" s="121"/>
      <c r="AW44" s="121"/>
    </row>
    <row r="45" spans="38:49">
      <c r="AL45" s="121"/>
      <c r="AM45" s="121"/>
      <c r="AN45" s="524" t="s">
        <v>31</v>
      </c>
      <c r="AO45" s="530" t="s">
        <v>3018</v>
      </c>
      <c r="AP45" s="257">
        <f t="shared" ref="AP45:AP55" si="1">SUMIF(AQ$14:AU$14,AP$14,AQ45:AU45)</f>
        <v>0</v>
      </c>
      <c r="AQ45" s="321"/>
      <c r="AR45" s="260"/>
      <c r="AS45" s="260"/>
      <c r="AT45" s="261"/>
      <c r="AU45" s="258"/>
      <c r="AV45" s="121"/>
      <c r="AW45" s="121"/>
    </row>
    <row r="46" spans="38:49">
      <c r="AL46" s="121"/>
      <c r="AM46" s="121"/>
      <c r="AN46" s="504" t="s">
        <v>633</v>
      </c>
      <c r="AO46" s="532" t="s">
        <v>2819</v>
      </c>
      <c r="AP46" s="257">
        <f t="shared" si="1"/>
        <v>0</v>
      </c>
      <c r="AQ46" s="321"/>
      <c r="AR46" s="260"/>
      <c r="AS46" s="260"/>
      <c r="AT46" s="261"/>
      <c r="AU46" s="258"/>
      <c r="AV46" s="121"/>
      <c r="AW46" s="121"/>
    </row>
    <row r="47" spans="38:49">
      <c r="AL47" s="121"/>
      <c r="AM47" s="121"/>
      <c r="AN47" s="504" t="s">
        <v>69</v>
      </c>
      <c r="AO47" s="527" t="s">
        <v>2820</v>
      </c>
      <c r="AP47" s="257">
        <f t="shared" si="1"/>
        <v>0</v>
      </c>
      <c r="AQ47" s="321"/>
      <c r="AR47" s="260"/>
      <c r="AS47" s="260"/>
      <c r="AT47" s="261"/>
      <c r="AU47" s="258"/>
      <c r="AV47" s="121"/>
      <c r="AW47" s="121"/>
    </row>
    <row r="48" spans="38:49">
      <c r="AL48" s="121"/>
      <c r="AM48" s="121"/>
      <c r="AN48" s="504" t="s">
        <v>72</v>
      </c>
      <c r="AO48" s="527" t="s">
        <v>2471</v>
      </c>
      <c r="AP48" s="257">
        <f t="shared" si="1"/>
        <v>0</v>
      </c>
      <c r="AQ48" s="321"/>
      <c r="AR48" s="260"/>
      <c r="AS48" s="260"/>
      <c r="AT48" s="261"/>
      <c r="AU48" s="258"/>
      <c r="AV48" s="121"/>
      <c r="AW48" s="121"/>
    </row>
    <row r="49" spans="38:49">
      <c r="AL49" s="121"/>
      <c r="AM49" s="121"/>
      <c r="AN49" s="504" t="s">
        <v>2821</v>
      </c>
      <c r="AO49" s="527" t="s">
        <v>2822</v>
      </c>
      <c r="AP49" s="257">
        <f t="shared" si="1"/>
        <v>0</v>
      </c>
      <c r="AQ49" s="321"/>
      <c r="AR49" s="260"/>
      <c r="AS49" s="260"/>
      <c r="AT49" s="257">
        <f>SUM(AT50:AT52)</f>
        <v>0</v>
      </c>
      <c r="AU49" s="258"/>
      <c r="AV49" s="121"/>
      <c r="AW49" s="121"/>
    </row>
    <row r="50" spans="38:49">
      <c r="AL50" s="121"/>
      <c r="AM50" s="121"/>
      <c r="AN50" s="504" t="s">
        <v>888</v>
      </c>
      <c r="AO50" s="528" t="s">
        <v>2823</v>
      </c>
      <c r="AP50" s="257">
        <f t="shared" si="1"/>
        <v>0</v>
      </c>
      <c r="AQ50" s="321"/>
      <c r="AR50" s="260"/>
      <c r="AS50" s="260"/>
      <c r="AT50" s="261"/>
      <c r="AU50" s="258"/>
      <c r="AV50" s="121"/>
      <c r="AW50" s="121"/>
    </row>
    <row r="51" spans="38:49">
      <c r="AL51" s="121"/>
      <c r="AM51" s="121"/>
      <c r="AN51" s="504" t="s">
        <v>889</v>
      </c>
      <c r="AO51" s="528" t="s">
        <v>2824</v>
      </c>
      <c r="AP51" s="257">
        <f t="shared" si="1"/>
        <v>0</v>
      </c>
      <c r="AQ51" s="321"/>
      <c r="AR51" s="260"/>
      <c r="AS51" s="260"/>
      <c r="AT51" s="261"/>
      <c r="AU51" s="258"/>
      <c r="AV51" s="121"/>
      <c r="AW51" s="121"/>
    </row>
    <row r="52" spans="38:49">
      <c r="AL52" s="121"/>
      <c r="AM52" s="121"/>
      <c r="AN52" s="504" t="s">
        <v>890</v>
      </c>
      <c r="AO52" s="528" t="s">
        <v>2825</v>
      </c>
      <c r="AP52" s="257">
        <f t="shared" si="1"/>
        <v>0</v>
      </c>
      <c r="AQ52" s="321"/>
      <c r="AR52" s="260"/>
      <c r="AS52" s="260"/>
      <c r="AT52" s="261"/>
      <c r="AU52" s="258"/>
      <c r="AV52" s="121"/>
      <c r="AW52" s="121"/>
    </row>
    <row r="53" spans="38:49">
      <c r="AL53" s="121"/>
      <c r="AM53" s="121"/>
      <c r="AN53" s="504" t="s">
        <v>2826</v>
      </c>
      <c r="AO53" s="527" t="s">
        <v>2827</v>
      </c>
      <c r="AP53" s="257">
        <f t="shared" si="1"/>
        <v>0</v>
      </c>
      <c r="AQ53" s="321"/>
      <c r="AR53" s="260"/>
      <c r="AS53" s="260"/>
      <c r="AT53" s="261"/>
      <c r="AU53" s="258"/>
      <c r="AV53" s="121"/>
      <c r="AW53" s="121"/>
    </row>
    <row r="54" spans="38:49">
      <c r="AL54" s="121"/>
      <c r="AM54" s="121"/>
      <c r="AN54" s="504" t="s">
        <v>2828</v>
      </c>
      <c r="AO54" s="527" t="s">
        <v>2829</v>
      </c>
      <c r="AP54" s="257">
        <f t="shared" si="1"/>
        <v>0</v>
      </c>
      <c r="AQ54" s="321"/>
      <c r="AR54" s="260"/>
      <c r="AS54" s="260"/>
      <c r="AT54" s="261"/>
      <c r="AU54" s="258"/>
      <c r="AV54" s="121"/>
      <c r="AW54" s="121"/>
    </row>
    <row r="55" spans="38:49">
      <c r="AL55" s="121"/>
      <c r="AM55" s="121"/>
      <c r="AN55" s="504" t="s">
        <v>2830</v>
      </c>
      <c r="AO55" s="527" t="s">
        <v>2831</v>
      </c>
      <c r="AP55" s="257">
        <f t="shared" si="1"/>
        <v>64.5</v>
      </c>
      <c r="AQ55" s="321"/>
      <c r="AR55" s="260"/>
      <c r="AS55" s="260"/>
      <c r="AT55" s="257">
        <f>SUM(AT59,AT65,AT71,AT74,AT77)</f>
        <v>64.5</v>
      </c>
      <c r="AU55" s="258"/>
      <c r="AV55" s="121"/>
      <c r="AW55" s="121"/>
    </row>
    <row r="56" spans="38:49" ht="22.5">
      <c r="AL56" s="121"/>
      <c r="AM56" s="121"/>
      <c r="AN56" s="279" t="s">
        <v>353</v>
      </c>
      <c r="AO56" s="558" t="s">
        <v>2782</v>
      </c>
      <c r="AP56" s="257">
        <f>IF(AP57&lt;&gt;0,(1000*AP55/AP57)/$AN$8,0)</f>
        <v>19545.454545454544</v>
      </c>
      <c r="AQ56" s="321"/>
      <c r="AR56" s="260"/>
      <c r="AS56" s="260"/>
      <c r="AT56" s="257">
        <f>IF(AT57=0,0,(1000*AT55/AT57)/$AN$8)</f>
        <v>19545.454545454544</v>
      </c>
      <c r="AU56" s="258"/>
      <c r="AV56" s="121"/>
      <c r="AW56" s="121"/>
    </row>
    <row r="57" spans="38:49">
      <c r="AL57" s="121"/>
      <c r="AM57" s="121"/>
      <c r="AN57" s="279" t="s">
        <v>354</v>
      </c>
      <c r="AO57" s="558" t="s">
        <v>2783</v>
      </c>
      <c r="AP57" s="257">
        <f>SUM(AQ57:AU57)</f>
        <v>0.55000000000000004</v>
      </c>
      <c r="AQ57" s="321"/>
      <c r="AR57" s="260"/>
      <c r="AS57" s="260"/>
      <c r="AT57" s="257">
        <f>SUM(AT61,AT67,AT73,AT76,AT79)</f>
        <v>0.55000000000000004</v>
      </c>
      <c r="AU57" s="258"/>
      <c r="AV57" s="121"/>
      <c r="AW57" s="121"/>
    </row>
    <row r="58" spans="38:49" ht="22.5">
      <c r="AL58" s="121"/>
      <c r="AM58" s="121"/>
      <c r="AN58" s="279" t="s">
        <v>355</v>
      </c>
      <c r="AO58" s="558" t="s">
        <v>120</v>
      </c>
      <c r="AP58" s="263"/>
      <c r="AQ58" s="321"/>
      <c r="AR58" s="260"/>
      <c r="AS58" s="260"/>
      <c r="AT58" s="261"/>
      <c r="AU58" s="258"/>
      <c r="AV58" s="121"/>
      <c r="AW58" s="121"/>
    </row>
    <row r="59" spans="38:49">
      <c r="AL59" s="121"/>
      <c r="AM59" s="121"/>
      <c r="AN59" s="222" t="s">
        <v>2832</v>
      </c>
      <c r="AO59" s="533" t="s">
        <v>1832</v>
      </c>
      <c r="AP59" s="257">
        <f>SUMIF(AQ$14:AU$14,AP$14,AQ59:AU59)</f>
        <v>0</v>
      </c>
      <c r="AQ59" s="321"/>
      <c r="AR59" s="260"/>
      <c r="AS59" s="260"/>
      <c r="AT59" s="261"/>
      <c r="AU59" s="258"/>
      <c r="AV59" s="121"/>
      <c r="AW59" s="121"/>
    </row>
    <row r="60" spans="38:49" ht="22.5">
      <c r="AL60" s="121"/>
      <c r="AM60" s="121"/>
      <c r="AN60" s="222" t="s">
        <v>2833</v>
      </c>
      <c r="AO60" s="529" t="s">
        <v>1834</v>
      </c>
      <c r="AP60" s="254"/>
      <c r="AQ60" s="321"/>
      <c r="AR60" s="260"/>
      <c r="AS60" s="260"/>
      <c r="AT60" s="257">
        <f>IF(AT61&lt;&gt;0,(1000*AT59/AT61)/$AN$8,0)</f>
        <v>0</v>
      </c>
      <c r="AU60" s="258"/>
      <c r="AV60" s="121"/>
      <c r="AW60" s="121"/>
    </row>
    <row r="61" spans="38:49" ht="22.5">
      <c r="AL61" s="121"/>
      <c r="AM61" s="121"/>
      <c r="AN61" s="222" t="s">
        <v>2834</v>
      </c>
      <c r="AO61" s="529" t="s">
        <v>1836</v>
      </c>
      <c r="AP61" s="257">
        <f>SUMIF(AQ$14:AU$14,AP$14,AQ61:AU61)</f>
        <v>0</v>
      </c>
      <c r="AQ61" s="321"/>
      <c r="AR61" s="260"/>
      <c r="AS61" s="260"/>
      <c r="AT61" s="261"/>
      <c r="AU61" s="258"/>
      <c r="AV61" s="121"/>
      <c r="AW61" s="121"/>
    </row>
    <row r="62" spans="38:49">
      <c r="AL62" s="121"/>
      <c r="AM62" s="121"/>
      <c r="AN62" s="222" t="s">
        <v>356</v>
      </c>
      <c r="AO62" s="558" t="s">
        <v>119</v>
      </c>
      <c r="AP62" s="263"/>
      <c r="AQ62" s="321"/>
      <c r="AR62" s="260"/>
      <c r="AS62" s="260"/>
      <c r="AT62" s="261"/>
      <c r="AU62" s="258"/>
      <c r="AV62" s="121"/>
      <c r="AW62" s="121"/>
    </row>
    <row r="63" spans="38:49">
      <c r="AL63" s="121"/>
      <c r="AM63" s="121"/>
      <c r="AN63" s="222" t="s">
        <v>357</v>
      </c>
      <c r="AO63" s="558" t="s">
        <v>121</v>
      </c>
      <c r="AP63" s="263"/>
      <c r="AQ63" s="321"/>
      <c r="AR63" s="260"/>
      <c r="AS63" s="260"/>
      <c r="AT63" s="261"/>
      <c r="AU63" s="258"/>
      <c r="AV63" s="121"/>
      <c r="AW63" s="121"/>
    </row>
    <row r="64" spans="38:49">
      <c r="AL64" s="121"/>
      <c r="AM64" s="121"/>
      <c r="AN64" s="222" t="s">
        <v>358</v>
      </c>
      <c r="AO64" s="558" t="s">
        <v>122</v>
      </c>
      <c r="AP64" s="263"/>
      <c r="AQ64" s="321"/>
      <c r="AR64" s="260"/>
      <c r="AS64" s="260"/>
      <c r="AT64" s="261"/>
      <c r="AU64" s="258"/>
      <c r="AV64" s="121"/>
      <c r="AW64" s="121"/>
    </row>
    <row r="65" spans="38:49">
      <c r="AL65" s="121"/>
      <c r="AM65" s="121"/>
      <c r="AN65" s="222" t="s">
        <v>2835</v>
      </c>
      <c r="AO65" s="533" t="s">
        <v>1838</v>
      </c>
      <c r="AP65" s="257">
        <f>SUMIF(AQ$14:AU$14,AP$14,AQ65:AU65)</f>
        <v>58</v>
      </c>
      <c r="AQ65" s="321"/>
      <c r="AR65" s="260"/>
      <c r="AS65" s="260"/>
      <c r="AT65" s="261">
        <v>58</v>
      </c>
      <c r="AU65" s="258"/>
      <c r="AV65" s="121"/>
      <c r="AW65" s="121"/>
    </row>
    <row r="66" spans="38:49">
      <c r="AL66" s="121"/>
      <c r="AM66" s="121"/>
      <c r="AN66" s="222" t="s">
        <v>2836</v>
      </c>
      <c r="AO66" s="534" t="s">
        <v>1839</v>
      </c>
      <c r="AP66" s="254"/>
      <c r="AQ66" s="321"/>
      <c r="AR66" s="260"/>
      <c r="AS66" s="260"/>
      <c r="AT66" s="257">
        <f>IF(AT67&lt;&gt;0,(1000*AT65/AT67)/$AN$8,0)</f>
        <v>19333.333333333332</v>
      </c>
      <c r="AU66" s="258"/>
      <c r="AV66" s="121"/>
      <c r="AW66" s="121"/>
    </row>
    <row r="67" spans="38:49" ht="22.5">
      <c r="AL67" s="121"/>
      <c r="AM67" s="121"/>
      <c r="AN67" s="222" t="s">
        <v>2837</v>
      </c>
      <c r="AO67" s="534" t="s">
        <v>1841</v>
      </c>
      <c r="AP67" s="257">
        <f>SUMIF(AQ$14:AU$14,AP$14,AQ67:AU67)</f>
        <v>0.5</v>
      </c>
      <c r="AQ67" s="321"/>
      <c r="AR67" s="260"/>
      <c r="AS67" s="260"/>
      <c r="AT67" s="261">
        <v>0.5</v>
      </c>
      <c r="AU67" s="258"/>
      <c r="AV67" s="121"/>
      <c r="AW67" s="121"/>
    </row>
    <row r="68" spans="38:49">
      <c r="AL68" s="121"/>
      <c r="AM68" s="121"/>
      <c r="AN68" s="222" t="s">
        <v>359</v>
      </c>
      <c r="AO68" s="558" t="s">
        <v>119</v>
      </c>
      <c r="AP68" s="263"/>
      <c r="AQ68" s="321"/>
      <c r="AR68" s="260"/>
      <c r="AS68" s="260"/>
      <c r="AT68" s="261"/>
      <c r="AU68" s="258"/>
      <c r="AV68" s="121"/>
      <c r="AW68" s="121"/>
    </row>
    <row r="69" spans="38:49">
      <c r="AL69" s="121"/>
      <c r="AM69" s="121"/>
      <c r="AN69" s="222" t="s">
        <v>360</v>
      </c>
      <c r="AO69" s="558" t="s">
        <v>121</v>
      </c>
      <c r="AP69" s="263"/>
      <c r="AQ69" s="321"/>
      <c r="AR69" s="260"/>
      <c r="AS69" s="260"/>
      <c r="AT69" s="261"/>
      <c r="AU69" s="258"/>
      <c r="AV69" s="121"/>
      <c r="AW69" s="121"/>
    </row>
    <row r="70" spans="38:49">
      <c r="AL70" s="121"/>
      <c r="AM70" s="121"/>
      <c r="AN70" s="222" t="s">
        <v>361</v>
      </c>
      <c r="AO70" s="558" t="s">
        <v>122</v>
      </c>
      <c r="AP70" s="263"/>
      <c r="AQ70" s="321"/>
      <c r="AR70" s="260"/>
      <c r="AS70" s="260"/>
      <c r="AT70" s="261"/>
      <c r="AU70" s="258"/>
      <c r="AV70" s="121"/>
      <c r="AW70" s="121"/>
    </row>
    <row r="71" spans="38:49">
      <c r="AL71" s="121"/>
      <c r="AM71" s="121"/>
      <c r="AN71" s="222" t="s">
        <v>2838</v>
      </c>
      <c r="AO71" s="533" t="s">
        <v>1843</v>
      </c>
      <c r="AP71" s="257">
        <f>SUMIF(AQ$14:AU$14,AP$14,AQ71:AU71)</f>
        <v>0</v>
      </c>
      <c r="AQ71" s="321"/>
      <c r="AR71" s="260"/>
      <c r="AS71" s="260"/>
      <c r="AT71" s="261"/>
      <c r="AU71" s="258"/>
      <c r="AV71" s="121"/>
      <c r="AW71" s="121"/>
    </row>
    <row r="72" spans="38:49">
      <c r="AL72" s="121"/>
      <c r="AM72" s="121"/>
      <c r="AN72" s="222" t="s">
        <v>2839</v>
      </c>
      <c r="AO72" s="534" t="s">
        <v>1844</v>
      </c>
      <c r="AP72" s="254"/>
      <c r="AQ72" s="321"/>
      <c r="AR72" s="260"/>
      <c r="AS72" s="260"/>
      <c r="AT72" s="257">
        <f>IF(AT73&lt;&gt;0,(1000*AT71/AT73)/$AN$8,0)</f>
        <v>0</v>
      </c>
      <c r="AU72" s="258"/>
      <c r="AV72" s="121"/>
      <c r="AW72" s="121"/>
    </row>
    <row r="73" spans="38:49" ht="22.5">
      <c r="AL73" s="121"/>
      <c r="AM73" s="121"/>
      <c r="AN73" s="222" t="s">
        <v>2840</v>
      </c>
      <c r="AO73" s="534" t="s">
        <v>1846</v>
      </c>
      <c r="AP73" s="257">
        <f>SUMIF(AQ$14:AU$14,AP$14,AQ73:AU73)</f>
        <v>0</v>
      </c>
      <c r="AQ73" s="321"/>
      <c r="AR73" s="260"/>
      <c r="AS73" s="260"/>
      <c r="AT73" s="261"/>
      <c r="AU73" s="258"/>
      <c r="AV73" s="121"/>
      <c r="AW73" s="121"/>
    </row>
    <row r="74" spans="38:49">
      <c r="AL74" s="121"/>
      <c r="AM74" s="121"/>
      <c r="AN74" s="222" t="s">
        <v>2841</v>
      </c>
      <c r="AO74" s="533" t="s">
        <v>1849</v>
      </c>
      <c r="AP74" s="257">
        <f>SUMIF(AQ$14:AU$14,AP$14,AQ74:AU74)</f>
        <v>6.5</v>
      </c>
      <c r="AQ74" s="321"/>
      <c r="AR74" s="260"/>
      <c r="AS74" s="260"/>
      <c r="AT74" s="261">
        <v>6.5</v>
      </c>
      <c r="AU74" s="258"/>
      <c r="AV74" s="121"/>
      <c r="AW74" s="121"/>
    </row>
    <row r="75" spans="38:49">
      <c r="AL75" s="121"/>
      <c r="AM75" s="121"/>
      <c r="AN75" s="222" t="s">
        <v>2842</v>
      </c>
      <c r="AO75" s="534" t="s">
        <v>1851</v>
      </c>
      <c r="AP75" s="254"/>
      <c r="AQ75" s="321"/>
      <c r="AR75" s="260"/>
      <c r="AS75" s="260"/>
      <c r="AT75" s="257">
        <f>IF(AT76&lt;&gt;0,(1000*AT74/AT76)/$AN$8,0)</f>
        <v>21666.666666666668</v>
      </c>
      <c r="AU75" s="258"/>
      <c r="AV75" s="121"/>
      <c r="AW75" s="121"/>
    </row>
    <row r="76" spans="38:49" ht="22.5">
      <c r="AL76" s="121"/>
      <c r="AM76" s="121"/>
      <c r="AN76" s="222" t="s">
        <v>2843</v>
      </c>
      <c r="AO76" s="529" t="s">
        <v>1853</v>
      </c>
      <c r="AP76" s="257">
        <f>SUMIF(AQ$14:AU$14,AP$14,AQ76:AU76)</f>
        <v>0.05</v>
      </c>
      <c r="AQ76" s="321"/>
      <c r="AR76" s="260"/>
      <c r="AS76" s="260"/>
      <c r="AT76" s="261">
        <v>0.05</v>
      </c>
      <c r="AU76" s="258"/>
      <c r="AV76" s="121"/>
      <c r="AW76" s="121"/>
    </row>
    <row r="77" spans="38:49" ht="22.5">
      <c r="AL77" s="121"/>
      <c r="AM77" s="121"/>
      <c r="AN77" s="222" t="s">
        <v>2844</v>
      </c>
      <c r="AO77" s="533" t="s">
        <v>1856</v>
      </c>
      <c r="AP77" s="257">
        <f>SUMIF(AQ$14:AU$14,AP$14,AQ77:AU77)</f>
        <v>0</v>
      </c>
      <c r="AQ77" s="321"/>
      <c r="AR77" s="260"/>
      <c r="AS77" s="260"/>
      <c r="AT77" s="261"/>
      <c r="AU77" s="258"/>
      <c r="AV77" s="121"/>
      <c r="AW77" s="121"/>
    </row>
    <row r="78" spans="38:49" ht="22.5">
      <c r="AL78" s="121"/>
      <c r="AM78" s="121"/>
      <c r="AN78" s="222" t="s">
        <v>2845</v>
      </c>
      <c r="AO78" s="534" t="s">
        <v>2307</v>
      </c>
      <c r="AP78" s="254"/>
      <c r="AQ78" s="321"/>
      <c r="AR78" s="260"/>
      <c r="AS78" s="260"/>
      <c r="AT78" s="257">
        <f>IF(AT79&lt;&gt;0,(1000*AT77/AT79)/$AN$8,0)</f>
        <v>0</v>
      </c>
      <c r="AU78" s="258"/>
      <c r="AV78" s="121"/>
      <c r="AW78" s="121"/>
    </row>
    <row r="79" spans="38:49" ht="22.5">
      <c r="AL79" s="121"/>
      <c r="AM79" s="121"/>
      <c r="AN79" s="222" t="s">
        <v>2846</v>
      </c>
      <c r="AO79" s="529" t="s">
        <v>1860</v>
      </c>
      <c r="AP79" s="257">
        <f t="shared" ref="AP79:AP85" si="2">SUMIF(AQ$14:AU$14,AP$14,AQ79:AU79)</f>
        <v>0</v>
      </c>
      <c r="AQ79" s="321"/>
      <c r="AR79" s="260"/>
      <c r="AS79" s="260"/>
      <c r="AT79" s="261"/>
      <c r="AU79" s="258"/>
      <c r="AV79" s="121"/>
      <c r="AW79" s="121"/>
    </row>
    <row r="80" spans="38:49">
      <c r="AL80" s="121"/>
      <c r="AM80" s="121"/>
      <c r="AN80" s="504" t="s">
        <v>2847</v>
      </c>
      <c r="AO80" s="535" t="s">
        <v>2848</v>
      </c>
      <c r="AP80" s="257">
        <f t="shared" si="2"/>
        <v>18.100000000000001</v>
      </c>
      <c r="AQ80" s="321"/>
      <c r="AR80" s="260"/>
      <c r="AS80" s="260"/>
      <c r="AT80" s="257">
        <f>SUM(AT81:AT85)</f>
        <v>18.100000000000001</v>
      </c>
      <c r="AU80" s="258"/>
      <c r="AV80" s="121"/>
      <c r="AW80" s="121"/>
    </row>
    <row r="81" spans="38:49" ht="22.5">
      <c r="AL81" s="121"/>
      <c r="AM81" s="121"/>
      <c r="AN81" s="504" t="s">
        <v>2849</v>
      </c>
      <c r="AO81" s="533" t="s">
        <v>2415</v>
      </c>
      <c r="AP81" s="257">
        <f t="shared" si="2"/>
        <v>0</v>
      </c>
      <c r="AQ81" s="321"/>
      <c r="AR81" s="260"/>
      <c r="AS81" s="260"/>
      <c r="AT81" s="261"/>
      <c r="AU81" s="258"/>
      <c r="AV81" s="121"/>
      <c r="AW81" s="121"/>
    </row>
    <row r="82" spans="38:49" ht="22.5">
      <c r="AL82" s="121"/>
      <c r="AM82" s="121"/>
      <c r="AN82" s="504" t="s">
        <v>2850</v>
      </c>
      <c r="AO82" s="533" t="s">
        <v>2417</v>
      </c>
      <c r="AP82" s="257">
        <f t="shared" si="2"/>
        <v>16.3</v>
      </c>
      <c r="AQ82" s="321"/>
      <c r="AR82" s="260"/>
      <c r="AS82" s="260"/>
      <c r="AT82" s="261">
        <v>16.3</v>
      </c>
      <c r="AU82" s="258"/>
      <c r="AV82" s="121"/>
      <c r="AW82" s="121"/>
    </row>
    <row r="83" spans="38:49" ht="22.5">
      <c r="AL83" s="121"/>
      <c r="AM83" s="121"/>
      <c r="AN83" s="504" t="s">
        <v>2316</v>
      </c>
      <c r="AO83" s="533" t="s">
        <v>2420</v>
      </c>
      <c r="AP83" s="257">
        <f t="shared" si="2"/>
        <v>0</v>
      </c>
      <c r="AQ83" s="321"/>
      <c r="AR83" s="260"/>
      <c r="AS83" s="260"/>
      <c r="AT83" s="261"/>
      <c r="AU83" s="258"/>
      <c r="AV83" s="121"/>
      <c r="AW83" s="121"/>
    </row>
    <row r="84" spans="38:49">
      <c r="AL84" s="121"/>
      <c r="AM84" s="121"/>
      <c r="AN84" s="504" t="s">
        <v>2317</v>
      </c>
      <c r="AO84" s="533" t="s">
        <v>2423</v>
      </c>
      <c r="AP84" s="257">
        <f t="shared" si="2"/>
        <v>1.8</v>
      </c>
      <c r="AQ84" s="321"/>
      <c r="AR84" s="260"/>
      <c r="AS84" s="260"/>
      <c r="AT84" s="261">
        <v>1.8</v>
      </c>
      <c r="AU84" s="258"/>
      <c r="AV84" s="121"/>
      <c r="AW84" s="121"/>
    </row>
    <row r="85" spans="38:49" ht="22.5">
      <c r="AL85" s="121"/>
      <c r="AM85" s="121"/>
      <c r="AN85" s="504" t="s">
        <v>2318</v>
      </c>
      <c r="AO85" s="533" t="s">
        <v>2426</v>
      </c>
      <c r="AP85" s="257">
        <f t="shared" si="2"/>
        <v>0</v>
      </c>
      <c r="AQ85" s="321"/>
      <c r="AR85" s="260"/>
      <c r="AS85" s="260"/>
      <c r="AT85" s="261"/>
      <c r="AU85" s="258"/>
      <c r="AV85" s="121"/>
      <c r="AW85" s="121"/>
    </row>
    <row r="86" spans="38:49" hidden="1">
      <c r="AL86" s="121"/>
      <c r="AM86" s="121"/>
      <c r="AN86" s="560" t="str">
        <f>IF(TEMPLATE_SPHERE="водоснабжения","2.9","")</f>
        <v/>
      </c>
      <c r="AO86" s="561" t="str">
        <f>IF(TEMPLATE_SPHERE="водоснабжения","Покупная вода","")</f>
        <v/>
      </c>
      <c r="AP86" s="257" t="str">
        <f>IF(TEMPLATE_SPHERE="водоснабжения",SUMIF(AQ$14:AU$14,AP$14,AQ86:AU86),"")</f>
        <v/>
      </c>
      <c r="AQ86" s="321"/>
      <c r="AR86" s="260"/>
      <c r="AS86" s="260"/>
      <c r="AT86" s="260"/>
      <c r="AU86" s="258"/>
      <c r="AV86" s="121"/>
      <c r="AW86" s="121"/>
    </row>
    <row r="87" spans="38:49" hidden="1">
      <c r="AL87" s="121"/>
      <c r="AM87" s="121"/>
      <c r="AN87" s="560" t="str">
        <f>IF(TEMPLATE_SPHERE="водоснабжения","2.9.1","")</f>
        <v/>
      </c>
      <c r="AO87" s="562" t="str">
        <f>IF(TEMPLATE_SPHERE="водоснабжения","тариф (руб./куб.м)","")</f>
        <v/>
      </c>
      <c r="AP87" s="257" t="str">
        <f>IF(TEMPLATE_SPHERE="водоснабжения",IF(AP88=0,0,(AP86-AP89)/AP88),"")</f>
        <v/>
      </c>
      <c r="AQ87" s="321"/>
      <c r="AR87" s="260"/>
      <c r="AS87" s="260"/>
      <c r="AT87" s="260"/>
      <c r="AU87" s="258"/>
      <c r="AV87" s="121"/>
      <c r="AW87" s="121"/>
    </row>
    <row r="88" spans="38:49" hidden="1">
      <c r="AL88" s="121"/>
      <c r="AM88" s="121"/>
      <c r="AN88" s="560" t="str">
        <f>IF(TEMPLATE_SPHERE="водоснабжения","2.9.2","")</f>
        <v/>
      </c>
      <c r="AO88" s="562" t="str">
        <f>IF(TEMPLATE_SPHERE="водоснабжения","объём (тыс. куб.м)","")</f>
        <v/>
      </c>
      <c r="AP88" s="257" t="str">
        <f>IF(TEMPLATE_SPHERE="водоснабжения",SUMIF(AQ$14:AU$14,AP$14,AQ88:AU88),"")</f>
        <v/>
      </c>
      <c r="AQ88" s="321"/>
      <c r="AR88" s="260"/>
      <c r="AS88" s="260"/>
      <c r="AT88" s="260"/>
      <c r="AU88" s="258"/>
      <c r="AV88" s="121"/>
      <c r="AW88" s="121"/>
    </row>
    <row r="89" spans="38:49" hidden="1">
      <c r="AL89" s="121"/>
      <c r="AM89" s="121"/>
      <c r="AN89" s="560" t="str">
        <f>IF(TEMPLATE_SPHERE="водоснабжения","2.9.3","")</f>
        <v/>
      </c>
      <c r="AO89" s="562" t="str">
        <f>IF(TEMPLATE_SPHERE="водоснабжения","покупка потерь","")</f>
        <v/>
      </c>
      <c r="AP89" s="257" t="str">
        <f>IF(TEMPLATE_SPHERE="водоснабжения",SUMIF(AQ$14:AU$14,AP$14,AQ89:AU89),"")</f>
        <v/>
      </c>
      <c r="AQ89" s="321"/>
      <c r="AR89" s="260"/>
      <c r="AS89" s="260"/>
      <c r="AT89" s="260"/>
      <c r="AU89" s="258"/>
      <c r="AV89" s="121"/>
      <c r="AW89" s="121"/>
    </row>
    <row r="90" spans="38:49" ht="22.5">
      <c r="AL90" s="121"/>
      <c r="AM90" s="121"/>
      <c r="AN90" s="504" t="s">
        <v>2323</v>
      </c>
      <c r="AO90"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AP90" s="257">
        <f t="shared" ref="AP90:AP114" si="3">SUMIF(AQ$14:AU$14,AP$14,AQ90:AU90)</f>
        <v>0</v>
      </c>
      <c r="AQ90" s="321"/>
      <c r="AR90" s="260"/>
      <c r="AS90" s="260"/>
      <c r="AT90" s="261"/>
      <c r="AU90" s="258"/>
      <c r="AV90" s="121"/>
      <c r="AW90" s="121"/>
    </row>
    <row r="91" spans="38:49" ht="22.5">
      <c r="AL91" s="121"/>
      <c r="AM91" s="121"/>
      <c r="AN91" s="504" t="s">
        <v>2324</v>
      </c>
      <c r="AO91"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AP91" s="257">
        <f t="shared" si="3"/>
        <v>0</v>
      </c>
      <c r="AQ91" s="321"/>
      <c r="AR91" s="260"/>
      <c r="AS91" s="260"/>
      <c r="AT91" s="261"/>
      <c r="AU91" s="258"/>
      <c r="AV91" s="121"/>
      <c r="AW91" s="121"/>
    </row>
    <row r="92" spans="38:49" ht="22.5">
      <c r="AL92" s="121"/>
      <c r="AM92" s="121"/>
      <c r="AN92" s="504" t="s">
        <v>2325</v>
      </c>
      <c r="AO92"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AP92" s="257">
        <f t="shared" si="3"/>
        <v>0</v>
      </c>
      <c r="AQ92" s="321"/>
      <c r="AR92" s="260"/>
      <c r="AS92" s="260"/>
      <c r="AT92" s="261"/>
      <c r="AU92" s="258"/>
      <c r="AV92" s="121"/>
      <c r="AW92" s="121"/>
    </row>
    <row r="93" spans="38:49">
      <c r="AL93" s="121"/>
      <c r="AM93" s="121"/>
      <c r="AN93" s="504" t="s">
        <v>2326</v>
      </c>
      <c r="AO93" s="527" t="s">
        <v>2327</v>
      </c>
      <c r="AP93" s="257">
        <f t="shared" si="3"/>
        <v>0</v>
      </c>
      <c r="AQ93" s="321"/>
      <c r="AR93" s="260"/>
      <c r="AS93" s="260"/>
      <c r="AT93" s="257">
        <f>SUM(AT94:AT95)</f>
        <v>0</v>
      </c>
      <c r="AU93" s="258"/>
      <c r="AV93" s="121"/>
      <c r="AW93" s="121"/>
    </row>
    <row r="94" spans="38:49">
      <c r="AL94" s="121"/>
      <c r="AM94" s="121"/>
      <c r="AN94" s="504" t="s">
        <v>2328</v>
      </c>
      <c r="AO94" s="528" t="s">
        <v>2329</v>
      </c>
      <c r="AP94" s="257">
        <f t="shared" si="3"/>
        <v>0</v>
      </c>
      <c r="AQ94" s="321"/>
      <c r="AR94" s="260"/>
      <c r="AS94" s="260"/>
      <c r="AT94" s="261"/>
      <c r="AU94" s="258"/>
      <c r="AV94" s="121"/>
      <c r="AW94" s="121"/>
    </row>
    <row r="95" spans="38:49">
      <c r="AL95" s="121"/>
      <c r="AM95" s="121"/>
      <c r="AN95" s="504" t="s">
        <v>2330</v>
      </c>
      <c r="AO95" s="528" t="s">
        <v>2331</v>
      </c>
      <c r="AP95" s="257">
        <f t="shared" si="3"/>
        <v>0</v>
      </c>
      <c r="AQ95" s="321"/>
      <c r="AR95" s="260"/>
      <c r="AS95" s="260"/>
      <c r="AT95" s="261"/>
      <c r="AU95" s="258"/>
      <c r="AV95" s="121"/>
      <c r="AW95" s="121"/>
    </row>
    <row r="96" spans="38:49">
      <c r="AL96" s="121"/>
      <c r="AM96" s="121"/>
      <c r="AN96" s="504" t="s">
        <v>2332</v>
      </c>
      <c r="AO96" s="527" t="s">
        <v>2333</v>
      </c>
      <c r="AP96" s="257">
        <f t="shared" si="3"/>
        <v>0</v>
      </c>
      <c r="AQ96" s="321"/>
      <c r="AR96" s="260"/>
      <c r="AS96" s="260"/>
      <c r="AT96" s="261"/>
      <c r="AU96" s="258"/>
      <c r="AV96" s="121"/>
      <c r="AW96" s="121"/>
    </row>
    <row r="97" spans="38:49">
      <c r="AL97" s="121"/>
      <c r="AM97" s="121"/>
      <c r="AN97" s="504" t="s">
        <v>2334</v>
      </c>
      <c r="AO97" s="527" t="s">
        <v>2335</v>
      </c>
      <c r="AP97" s="257">
        <f t="shared" si="3"/>
        <v>0</v>
      </c>
      <c r="AQ97" s="321"/>
      <c r="AR97" s="260"/>
      <c r="AS97" s="260"/>
      <c r="AT97" s="261"/>
      <c r="AU97" s="258"/>
      <c r="AV97" s="121"/>
      <c r="AW97" s="121"/>
    </row>
    <row r="98" spans="38:49" ht="22.5">
      <c r="AL98" s="121"/>
      <c r="AM98" s="121"/>
      <c r="AN98" s="504" t="s">
        <v>2336</v>
      </c>
      <c r="AO98" s="527" t="s">
        <v>2337</v>
      </c>
      <c r="AP98" s="257">
        <f t="shared" si="3"/>
        <v>6.8</v>
      </c>
      <c r="AQ98" s="321"/>
      <c r="AR98" s="260"/>
      <c r="AS98" s="260"/>
      <c r="AT98" s="261">
        <v>6.8</v>
      </c>
      <c r="AU98" s="258"/>
      <c r="AV98" s="121"/>
      <c r="AW98" s="121"/>
    </row>
    <row r="99" spans="38:49">
      <c r="AL99" s="121"/>
      <c r="AM99" s="121"/>
      <c r="AN99" s="504" t="s">
        <v>2338</v>
      </c>
      <c r="AO99" s="527" t="s">
        <v>2339</v>
      </c>
      <c r="AP99" s="257">
        <f t="shared" si="3"/>
        <v>0.2</v>
      </c>
      <c r="AQ99" s="321"/>
      <c r="AR99" s="260"/>
      <c r="AS99" s="260"/>
      <c r="AT99" s="257">
        <f>SUM(AT100:AT108)</f>
        <v>0.2</v>
      </c>
      <c r="AU99" s="258"/>
      <c r="AV99" s="121"/>
      <c r="AW99" s="121"/>
    </row>
    <row r="100" spans="38:49">
      <c r="AL100" s="121"/>
      <c r="AM100" s="121"/>
      <c r="AN100" s="504" t="s">
        <v>2340</v>
      </c>
      <c r="AO100" s="528" t="s">
        <v>2341</v>
      </c>
      <c r="AP100" s="257">
        <f t="shared" si="3"/>
        <v>0</v>
      </c>
      <c r="AQ100" s="321"/>
      <c r="AR100" s="260"/>
      <c r="AS100" s="260"/>
      <c r="AT100" s="261"/>
      <c r="AU100" s="258"/>
      <c r="AV100" s="121"/>
      <c r="AW100" s="121"/>
    </row>
    <row r="101" spans="38:49">
      <c r="AL101" s="121"/>
      <c r="AM101" s="121"/>
      <c r="AN101" s="504" t="s">
        <v>2342</v>
      </c>
      <c r="AO101" s="528" t="s">
        <v>2343</v>
      </c>
      <c r="AP101" s="257">
        <f t="shared" si="3"/>
        <v>0</v>
      </c>
      <c r="AQ101" s="321"/>
      <c r="AR101" s="260"/>
      <c r="AS101" s="260"/>
      <c r="AT101" s="261"/>
      <c r="AU101" s="258"/>
      <c r="AV101" s="121"/>
      <c r="AW101" s="121"/>
    </row>
    <row r="102" spans="38:49">
      <c r="AL102" s="121"/>
      <c r="AM102" s="121"/>
      <c r="AN102" s="504" t="s">
        <v>2344</v>
      </c>
      <c r="AO102" s="528" t="s">
        <v>2345</v>
      </c>
      <c r="AP102" s="257">
        <f t="shared" si="3"/>
        <v>0</v>
      </c>
      <c r="AQ102" s="321"/>
      <c r="AR102" s="260"/>
      <c r="AS102" s="260"/>
      <c r="AT102" s="261"/>
      <c r="AU102" s="258"/>
      <c r="AV102" s="121"/>
      <c r="AW102" s="121"/>
    </row>
    <row r="103" spans="38:49">
      <c r="AL103" s="121"/>
      <c r="AM103" s="121"/>
      <c r="AN103" s="504" t="s">
        <v>2346</v>
      </c>
      <c r="AO103" s="528" t="s">
        <v>2347</v>
      </c>
      <c r="AP103" s="257">
        <f t="shared" si="3"/>
        <v>0</v>
      </c>
      <c r="AQ103" s="321"/>
      <c r="AR103" s="260"/>
      <c r="AS103" s="260"/>
      <c r="AT103" s="261"/>
      <c r="AU103" s="258"/>
      <c r="AV103" s="121"/>
      <c r="AW103" s="121"/>
    </row>
    <row r="104" spans="38:49">
      <c r="AL104" s="121"/>
      <c r="AM104" s="121"/>
      <c r="AN104" s="504" t="s">
        <v>2348</v>
      </c>
      <c r="AO104" s="528" t="s">
        <v>2349</v>
      </c>
      <c r="AP104" s="257">
        <f t="shared" si="3"/>
        <v>0</v>
      </c>
      <c r="AQ104" s="321"/>
      <c r="AR104" s="260"/>
      <c r="AS104" s="260"/>
      <c r="AT104" s="261"/>
      <c r="AU104" s="258"/>
      <c r="AV104" s="121"/>
      <c r="AW104" s="121"/>
    </row>
    <row r="105" spans="38:49">
      <c r="AL105" s="121"/>
      <c r="AM105" s="121"/>
      <c r="AN105" s="504" t="s">
        <v>2350</v>
      </c>
      <c r="AO105" s="528" t="s">
        <v>2351</v>
      </c>
      <c r="AP105" s="257">
        <f t="shared" si="3"/>
        <v>0</v>
      </c>
      <c r="AQ105" s="321"/>
      <c r="AR105" s="260"/>
      <c r="AS105" s="260"/>
      <c r="AT105" s="261"/>
      <c r="AU105" s="258"/>
      <c r="AV105" s="121"/>
      <c r="AW105" s="121"/>
    </row>
    <row r="106" spans="38:49">
      <c r="AL106" s="121"/>
      <c r="AM106" s="121"/>
      <c r="AN106" s="504" t="s">
        <v>2352</v>
      </c>
      <c r="AO106" s="528" t="s">
        <v>2353</v>
      </c>
      <c r="AP106" s="257">
        <f t="shared" si="3"/>
        <v>0.2</v>
      </c>
      <c r="AQ106" s="321"/>
      <c r="AR106" s="260"/>
      <c r="AS106" s="260"/>
      <c r="AT106" s="261">
        <v>0.2</v>
      </c>
      <c r="AU106" s="258"/>
      <c r="AV106" s="121"/>
      <c r="AW106" s="121"/>
    </row>
    <row r="107" spans="38:49">
      <c r="AL107" s="121"/>
      <c r="AM107" s="121"/>
      <c r="AN107" s="504" t="s">
        <v>2354</v>
      </c>
      <c r="AO107" s="528" t="s">
        <v>2355</v>
      </c>
      <c r="AP107" s="257">
        <f t="shared" si="3"/>
        <v>0</v>
      </c>
      <c r="AQ107" s="321"/>
      <c r="AR107" s="260"/>
      <c r="AS107" s="260"/>
      <c r="AT107" s="261"/>
      <c r="AU107" s="258"/>
      <c r="AV107" s="121"/>
      <c r="AW107" s="121"/>
    </row>
    <row r="108" spans="38:49">
      <c r="AL108" s="121"/>
      <c r="AM108" s="121"/>
      <c r="AN108" s="504" t="s">
        <v>2356</v>
      </c>
      <c r="AO108" s="528" t="s">
        <v>2357</v>
      </c>
      <c r="AP108" s="257">
        <f t="shared" si="3"/>
        <v>0</v>
      </c>
      <c r="AQ108" s="321"/>
      <c r="AR108" s="260"/>
      <c r="AS108" s="260"/>
      <c r="AT108" s="261"/>
      <c r="AU108" s="258"/>
      <c r="AV108" s="121"/>
      <c r="AW108" s="121"/>
    </row>
    <row r="109" spans="38:49" ht="22.5">
      <c r="AL109" s="121"/>
      <c r="AM109" s="121"/>
      <c r="AN109" s="504" t="s">
        <v>2358</v>
      </c>
      <c r="AO109" s="536" t="s">
        <v>2359</v>
      </c>
      <c r="AP109" s="257">
        <f t="shared" si="3"/>
        <v>0</v>
      </c>
      <c r="AQ109" s="321"/>
      <c r="AR109" s="260"/>
      <c r="AS109" s="260"/>
      <c r="AT109" s="257">
        <f>SUM(AT110:AT114)</f>
        <v>0</v>
      </c>
      <c r="AU109" s="258"/>
      <c r="AV109" s="121"/>
      <c r="AW109" s="121"/>
    </row>
    <row r="110" spans="38:49">
      <c r="AL110" s="121"/>
      <c r="AM110" s="121"/>
      <c r="AN110" s="504" t="s">
        <v>2360</v>
      </c>
      <c r="AO110" s="537" t="s">
        <v>2444</v>
      </c>
      <c r="AP110" s="257">
        <f t="shared" si="3"/>
        <v>0</v>
      </c>
      <c r="AQ110" s="321"/>
      <c r="AR110" s="260"/>
      <c r="AS110" s="260"/>
      <c r="AT110" s="261"/>
      <c r="AU110" s="258"/>
      <c r="AV110" s="121"/>
      <c r="AW110" s="121"/>
    </row>
    <row r="111" spans="38:49">
      <c r="AL111" s="121"/>
      <c r="AM111" s="121"/>
      <c r="AN111" s="504" t="s">
        <v>2361</v>
      </c>
      <c r="AO111" s="537" t="s">
        <v>2362</v>
      </c>
      <c r="AP111" s="257">
        <f t="shared" si="3"/>
        <v>0</v>
      </c>
      <c r="AQ111" s="321"/>
      <c r="AR111" s="260"/>
      <c r="AS111" s="260"/>
      <c r="AT111" s="261"/>
      <c r="AU111" s="258"/>
      <c r="AV111" s="121"/>
      <c r="AW111" s="121"/>
    </row>
    <row r="112" spans="38:49">
      <c r="AL112" s="121"/>
      <c r="AM112" s="121"/>
      <c r="AN112" s="504" t="s">
        <v>2363</v>
      </c>
      <c r="AO112" s="528" t="s">
        <v>872</v>
      </c>
      <c r="AP112" s="257">
        <f t="shared" si="3"/>
        <v>0</v>
      </c>
      <c r="AQ112" s="321"/>
      <c r="AR112" s="260"/>
      <c r="AS112" s="260"/>
      <c r="AT112" s="261"/>
      <c r="AU112" s="258"/>
      <c r="AV112" s="121"/>
      <c r="AW112" s="121"/>
    </row>
    <row r="113" spans="1:49" ht="22.5">
      <c r="AL113" s="121"/>
      <c r="AM113" s="121"/>
      <c r="AN113" s="504" t="s">
        <v>2364</v>
      </c>
      <c r="AO113" s="528" t="s">
        <v>2365</v>
      </c>
      <c r="AP113" s="257">
        <f t="shared" si="3"/>
        <v>0</v>
      </c>
      <c r="AQ113" s="321"/>
      <c r="AR113" s="260"/>
      <c r="AS113" s="260"/>
      <c r="AT113" s="261"/>
      <c r="AU113" s="258"/>
      <c r="AV113" s="121"/>
      <c r="AW113" s="121"/>
    </row>
    <row r="114" spans="1:49">
      <c r="AL114" s="121"/>
      <c r="AM114" s="121"/>
      <c r="AN114" s="504" t="s">
        <v>2366</v>
      </c>
      <c r="AO114" s="528" t="s">
        <v>2367</v>
      </c>
      <c r="AP114" s="257">
        <f t="shared" si="3"/>
        <v>0</v>
      </c>
      <c r="AQ114" s="321"/>
      <c r="AR114" s="260"/>
      <c r="AS114" s="260"/>
      <c r="AT114" s="261"/>
      <c r="AU114" s="258"/>
      <c r="AV114" s="121"/>
      <c r="AW114" s="121"/>
    </row>
    <row r="115" spans="1:49" ht="0.75" customHeight="1">
      <c r="AL115" s="121"/>
      <c r="AM115" s="121"/>
      <c r="AN115" s="504"/>
      <c r="AO115" s="526"/>
      <c r="AP115" s="504"/>
      <c r="AQ115" s="321"/>
      <c r="AR115" s="260"/>
      <c r="AS115" s="260"/>
      <c r="AT115" s="260"/>
      <c r="AU115" s="258"/>
      <c r="AV115" s="121"/>
      <c r="AW115" s="121"/>
    </row>
    <row r="116" spans="1:49" ht="0.75" customHeight="1">
      <c r="AL116" s="121"/>
      <c r="AM116" s="121"/>
      <c r="AN116" s="504"/>
      <c r="AO116" s="527"/>
      <c r="AP116" s="504"/>
      <c r="AQ116" s="321"/>
      <c r="AR116" s="260"/>
      <c r="AS116" s="260"/>
      <c r="AT116" s="260"/>
      <c r="AU116" s="258"/>
      <c r="AV116" s="121"/>
      <c r="AW116" s="121"/>
    </row>
    <row r="117" spans="1:49" ht="0.75" customHeight="1">
      <c r="AL117" s="121"/>
      <c r="AM117" s="121"/>
      <c r="AN117" s="504"/>
      <c r="AO117" s="528"/>
      <c r="AP117" s="504"/>
      <c r="AQ117" s="321"/>
      <c r="AR117" s="260"/>
      <c r="AS117" s="260"/>
      <c r="AT117" s="260"/>
      <c r="AU117" s="258"/>
      <c r="AV117" s="121"/>
      <c r="AW117" s="121"/>
    </row>
    <row r="118" spans="1:49" ht="0.75" customHeight="1">
      <c r="AL118" s="121"/>
      <c r="AM118" s="121"/>
      <c r="AN118" s="504"/>
      <c r="AO118" s="527"/>
      <c r="AP118" s="504"/>
      <c r="AQ118" s="321"/>
      <c r="AR118" s="260"/>
      <c r="AS118" s="260"/>
      <c r="AT118" s="260"/>
      <c r="AU118" s="258"/>
      <c r="AV118" s="121"/>
      <c r="AW118" s="121"/>
    </row>
    <row r="119" spans="1:49" ht="0.75" customHeight="1">
      <c r="AL119" s="121"/>
      <c r="AM119" s="121"/>
      <c r="AN119" s="504"/>
      <c r="AO119" s="527"/>
      <c r="AP119" s="504"/>
      <c r="AQ119" s="321"/>
      <c r="AR119" s="260"/>
      <c r="AS119" s="260"/>
      <c r="AT119" s="260"/>
      <c r="AU119" s="258"/>
      <c r="AV119" s="121"/>
      <c r="AW119" s="121"/>
    </row>
    <row r="120" spans="1:49" ht="0.75" customHeight="1">
      <c r="AL120" s="121"/>
      <c r="AM120" s="121"/>
      <c r="AN120" s="504"/>
      <c r="AO120" s="527"/>
      <c r="AP120" s="504"/>
      <c r="AQ120" s="321"/>
      <c r="AR120" s="260"/>
      <c r="AS120" s="260"/>
      <c r="AT120" s="260"/>
      <c r="AU120" s="258"/>
      <c r="AV120" s="121"/>
      <c r="AW120" s="121"/>
    </row>
    <row r="121" spans="1:49" ht="0.75" customHeight="1">
      <c r="AL121" s="121"/>
      <c r="AM121" s="121"/>
      <c r="AN121" s="504"/>
      <c r="AO121" s="527"/>
      <c r="AP121" s="504"/>
      <c r="AQ121" s="321"/>
      <c r="AR121" s="260"/>
      <c r="AS121" s="260"/>
      <c r="AT121" s="260"/>
      <c r="AU121" s="258"/>
      <c r="AV121" s="121"/>
      <c r="AW121" s="121"/>
    </row>
    <row r="122" spans="1:49" ht="0.75" customHeight="1">
      <c r="AL122" s="121"/>
      <c r="AM122" s="121"/>
      <c r="AN122" s="504"/>
      <c r="AO122" s="528"/>
      <c r="AP122" s="504"/>
      <c r="AQ122" s="321"/>
      <c r="AR122" s="260"/>
      <c r="AS122" s="260"/>
      <c r="AT122" s="260"/>
      <c r="AU122" s="258"/>
      <c r="AV122" s="121"/>
      <c r="AW122" s="121"/>
    </row>
    <row r="123" spans="1:49" ht="0.75" customHeight="1">
      <c r="AL123" s="121"/>
      <c r="AM123" s="121"/>
      <c r="AN123" s="504"/>
      <c r="AO123" s="538"/>
      <c r="AP123" s="504"/>
      <c r="AQ123" s="321"/>
      <c r="AR123" s="260"/>
      <c r="AS123" s="260"/>
      <c r="AT123" s="260"/>
      <c r="AU123" s="258"/>
      <c r="AV123" s="121"/>
      <c r="AW123" s="121"/>
    </row>
    <row r="124" spans="1:49" ht="0.75" customHeight="1">
      <c r="AL124" s="121"/>
      <c r="AM124" s="121"/>
      <c r="AN124" s="504"/>
      <c r="AO124" s="528"/>
      <c r="AP124" s="504"/>
      <c r="AQ124" s="321"/>
      <c r="AR124" s="260"/>
      <c r="AS124" s="260"/>
      <c r="AT124" s="260"/>
      <c r="AU124" s="258"/>
      <c r="AV124" s="121"/>
      <c r="AW124" s="121"/>
    </row>
    <row r="125" spans="1:49" ht="0.75" customHeight="1">
      <c r="A125" s="47"/>
      <c r="B125" s="47"/>
      <c r="C125" s="47"/>
      <c r="D125" s="47"/>
      <c r="E125" s="47"/>
      <c r="F125" s="47"/>
      <c r="G125" s="47"/>
      <c r="H125" s="47"/>
      <c r="I125" s="47"/>
      <c r="J125"/>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50"/>
      <c r="AM125" s="126"/>
      <c r="AN125" s="223"/>
      <c r="AO125" s="728"/>
      <c r="AP125" s="260"/>
      <c r="AQ125" s="258"/>
      <c r="AR125" s="260"/>
      <c r="AS125" s="260"/>
      <c r="AT125" s="260"/>
      <c r="AU125" s="258"/>
      <c r="AV125" s="127"/>
    </row>
    <row r="126" spans="1:49" ht="0.75" customHeight="1">
      <c r="A126" s="47"/>
      <c r="B126" s="47"/>
      <c r="C126" s="47"/>
      <c r="D126" s="47"/>
      <c r="E126" s="47"/>
      <c r="F126" s="47"/>
      <c r="G126" s="47"/>
      <c r="H126" s="47"/>
      <c r="I126" s="47"/>
      <c r="J126"/>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50"/>
      <c r="AM126" s="126"/>
      <c r="AN126" s="223"/>
      <c r="AO126" s="728"/>
      <c r="AP126" s="260"/>
      <c r="AQ126" s="258"/>
      <c r="AR126" s="260"/>
      <c r="AS126" s="260"/>
      <c r="AT126" s="260"/>
      <c r="AU126" s="258"/>
      <c r="AV126" s="127"/>
    </row>
    <row r="127" spans="1:49" ht="0.75" customHeight="1">
      <c r="A127" s="47"/>
      <c r="B127" s="47"/>
      <c r="C127" s="47"/>
      <c r="D127" s="47"/>
      <c r="E127" s="47"/>
      <c r="F127" s="47"/>
      <c r="G127" s="47"/>
      <c r="H127" s="47"/>
      <c r="I127" s="47"/>
      <c r="J12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50"/>
      <c r="AM127" s="126"/>
      <c r="AN127" s="223"/>
      <c r="AO127" s="728"/>
      <c r="AP127" s="260"/>
      <c r="AQ127" s="258"/>
      <c r="AR127" s="260"/>
      <c r="AS127" s="260"/>
      <c r="AT127" s="260"/>
      <c r="AU127" s="258"/>
      <c r="AV127" s="127"/>
    </row>
    <row r="128" spans="1:49" ht="0.75" customHeight="1">
      <c r="A128" s="47"/>
      <c r="B128" s="47"/>
      <c r="C128" s="47"/>
      <c r="D128" s="47"/>
      <c r="E128" s="47"/>
      <c r="F128" s="47"/>
      <c r="G128" s="47"/>
      <c r="H128" s="47"/>
      <c r="I128" s="47"/>
      <c r="J128"/>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50"/>
      <c r="AM128" s="126"/>
      <c r="AN128" s="223"/>
      <c r="AO128" s="728"/>
      <c r="AP128" s="260"/>
      <c r="AQ128" s="258"/>
      <c r="AR128" s="260"/>
      <c r="AS128" s="260"/>
      <c r="AT128" s="260"/>
      <c r="AU128" s="258"/>
      <c r="AV128" s="127"/>
    </row>
    <row r="129" spans="1:49" ht="0.75" customHeight="1">
      <c r="A129" s="47"/>
      <c r="B129" s="47"/>
      <c r="C129" s="47"/>
      <c r="D129" s="47"/>
      <c r="E129" s="47"/>
      <c r="F129" s="47"/>
      <c r="G129" s="47"/>
      <c r="H129" s="47"/>
      <c r="I129" s="47"/>
      <c r="J129"/>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50"/>
      <c r="AM129" s="126"/>
      <c r="AN129" s="223"/>
      <c r="AO129" s="728"/>
      <c r="AP129" s="260"/>
      <c r="AQ129" s="258"/>
      <c r="AR129" s="260"/>
      <c r="AS129" s="260"/>
      <c r="AT129" s="260"/>
      <c r="AU129" s="258"/>
      <c r="AV129" s="127"/>
    </row>
    <row r="130" spans="1:49" ht="0.75" customHeight="1">
      <c r="A130" s="47"/>
      <c r="B130" s="47"/>
      <c r="C130" s="47"/>
      <c r="D130" s="47"/>
      <c r="E130" s="47"/>
      <c r="F130" s="47"/>
      <c r="G130" s="47"/>
      <c r="H130" s="47"/>
      <c r="I130" s="47"/>
      <c r="J130"/>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50"/>
      <c r="AM130" s="126"/>
      <c r="AN130" s="223"/>
      <c r="AO130" s="728"/>
      <c r="AP130" s="260"/>
      <c r="AQ130" s="258"/>
      <c r="AR130" s="260"/>
      <c r="AS130" s="260"/>
      <c r="AT130" s="260"/>
      <c r="AU130" s="258"/>
      <c r="AV130" s="127"/>
    </row>
    <row r="131" spans="1:49" ht="0.75" customHeight="1">
      <c r="AL131" s="121"/>
      <c r="AM131" s="121"/>
      <c r="AN131" s="504"/>
      <c r="AO131" s="526"/>
      <c r="AP131" s="504"/>
      <c r="AQ131" s="321"/>
      <c r="AR131" s="260"/>
      <c r="AS131" s="260"/>
      <c r="AT131" s="260"/>
      <c r="AU131" s="258"/>
      <c r="AV131" s="121"/>
      <c r="AW131" s="121"/>
    </row>
    <row r="132" spans="1:49" ht="0.75" customHeight="1">
      <c r="AL132" s="121"/>
      <c r="AM132" s="121"/>
      <c r="AN132" s="504"/>
      <c r="AO132" s="526"/>
      <c r="AP132" s="504"/>
      <c r="AQ132" s="321"/>
      <c r="AR132" s="260"/>
      <c r="AS132" s="260"/>
      <c r="AT132" s="260"/>
      <c r="AU132" s="258"/>
      <c r="AV132" s="121"/>
      <c r="AW132" s="121"/>
    </row>
    <row r="133" spans="1:49" ht="0.75" customHeight="1">
      <c r="AL133" s="121"/>
      <c r="AM133" s="121"/>
      <c r="AN133" s="504"/>
      <c r="AO133" s="526"/>
      <c r="AP133" s="504"/>
      <c r="AQ133" s="321"/>
      <c r="AR133" s="260"/>
      <c r="AS133" s="260"/>
      <c r="AT133" s="260"/>
      <c r="AU133" s="258"/>
      <c r="AV133" s="121"/>
      <c r="AW133" s="121"/>
    </row>
    <row r="134" spans="1:49" ht="0.75" customHeight="1">
      <c r="AL134" s="121"/>
      <c r="AM134" s="121"/>
      <c r="AN134" s="504"/>
      <c r="AO134" s="526"/>
      <c r="AP134" s="504"/>
      <c r="AQ134" s="321"/>
      <c r="AR134" s="260"/>
      <c r="AS134" s="260"/>
      <c r="AT134" s="260"/>
      <c r="AU134" s="258"/>
      <c r="AV134" s="121"/>
      <c r="AW134" s="121"/>
    </row>
    <row r="135" spans="1:49" ht="0.75" customHeight="1">
      <c r="AL135" s="121"/>
      <c r="AM135" s="121"/>
      <c r="AN135" s="504"/>
      <c r="AO135" s="526"/>
      <c r="AP135" s="504"/>
      <c r="AQ135" s="321"/>
      <c r="AR135" s="260"/>
      <c r="AS135" s="260"/>
      <c r="AT135" s="260"/>
      <c r="AU135" s="258"/>
      <c r="AV135" s="121"/>
      <c r="AW135" s="121"/>
    </row>
    <row r="136" spans="1:49" ht="0.75" customHeight="1">
      <c r="AL136" s="121"/>
      <c r="AM136" s="121"/>
      <c r="AN136" s="504"/>
      <c r="AO136" s="526"/>
      <c r="AP136" s="504"/>
      <c r="AQ136" s="321"/>
      <c r="AR136" s="260"/>
      <c r="AS136" s="260"/>
      <c r="AT136" s="260"/>
      <c r="AU136" s="258"/>
      <c r="AV136" s="121"/>
      <c r="AW136" s="121"/>
    </row>
    <row r="137" spans="1:49" ht="0.75" customHeight="1">
      <c r="AL137" s="121"/>
      <c r="AM137" s="121"/>
      <c r="AN137" s="504"/>
      <c r="AO137" s="526"/>
      <c r="AP137" s="504"/>
      <c r="AQ137" s="321"/>
      <c r="AR137" s="260"/>
      <c r="AS137" s="260"/>
      <c r="AT137" s="260"/>
      <c r="AU137" s="258"/>
      <c r="AV137" s="121"/>
      <c r="AW137" s="121"/>
    </row>
    <row r="138" spans="1:49" ht="0.75" hidden="1" customHeight="1">
      <c r="AL138" s="121"/>
      <c r="AM138" s="121"/>
      <c r="AN138" s="504"/>
      <c r="AO138" s="540"/>
      <c r="AP138" s="504"/>
      <c r="AQ138" s="321"/>
      <c r="AR138" s="260"/>
      <c r="AS138" s="260"/>
      <c r="AT138" s="260"/>
      <c r="AU138" s="258"/>
      <c r="AV138" s="121"/>
      <c r="AW138" s="121"/>
    </row>
    <row r="139" spans="1:49" ht="0.75" customHeight="1">
      <c r="AL139" s="121"/>
      <c r="AM139" s="121"/>
      <c r="AN139" s="504"/>
      <c r="AO139" s="526"/>
      <c r="AP139" s="504"/>
      <c r="AQ139" s="321"/>
      <c r="AR139" s="260"/>
      <c r="AS139" s="260"/>
      <c r="AT139" s="260"/>
      <c r="AU139" s="258"/>
      <c r="AV139" s="121"/>
      <c r="AW139" s="121"/>
    </row>
    <row r="140" spans="1:49" ht="0.75" customHeight="1">
      <c r="AL140" s="121"/>
      <c r="AM140" s="121"/>
      <c r="AN140" s="504"/>
      <c r="AO140" s="526"/>
      <c r="AP140" s="504"/>
      <c r="AQ140" s="321"/>
      <c r="AR140" s="260"/>
      <c r="AS140" s="260"/>
      <c r="AT140" s="260"/>
      <c r="AU140" s="258"/>
      <c r="AV140" s="121"/>
      <c r="AW140" s="121"/>
    </row>
    <row r="141" spans="1:49" ht="0.75" customHeight="1">
      <c r="AL141" s="121"/>
      <c r="AM141" s="121"/>
      <c r="AN141" s="504"/>
      <c r="AO141" s="526"/>
      <c r="AP141" s="504"/>
      <c r="AQ141" s="321"/>
      <c r="AR141" s="260"/>
      <c r="AS141" s="260"/>
      <c r="AT141" s="260"/>
      <c r="AU141" s="258"/>
      <c r="AV141" s="121"/>
      <c r="AW141" s="121"/>
    </row>
    <row r="142" spans="1:49" ht="0.75" customHeight="1">
      <c r="AL142" s="121"/>
      <c r="AM142" s="121"/>
      <c r="AN142" s="504"/>
      <c r="AO142" s="526"/>
      <c r="AP142" s="504"/>
      <c r="AQ142" s="321"/>
      <c r="AR142" s="260"/>
      <c r="AS142" s="260"/>
      <c r="AT142" s="260"/>
      <c r="AU142" s="258"/>
      <c r="AV142" s="121"/>
      <c r="AW142" s="121"/>
    </row>
    <row r="143" spans="1:49" ht="0.75" customHeight="1">
      <c r="AL143" s="121"/>
      <c r="AM143" s="121"/>
      <c r="AN143" s="504"/>
      <c r="AO143" s="526"/>
      <c r="AP143" s="504"/>
      <c r="AQ143" s="321"/>
      <c r="AR143" s="260"/>
      <c r="AS143" s="260"/>
      <c r="AT143" s="260"/>
      <c r="AU143" s="258"/>
      <c r="AV143" s="121"/>
      <c r="AW143" s="121"/>
    </row>
    <row r="144" spans="1:49" ht="0.75" customHeight="1">
      <c r="AL144" s="121"/>
      <c r="AM144" s="121"/>
      <c r="AN144" s="559"/>
      <c r="AO144" s="604"/>
      <c r="AP144" s="504"/>
      <c r="AQ144" s="321"/>
      <c r="AR144" s="260"/>
      <c r="AS144" s="260"/>
      <c r="AT144" s="260"/>
      <c r="AU144" s="258"/>
      <c r="AV144" s="121"/>
      <c r="AW144" s="121"/>
    </row>
    <row r="145" spans="38:49" s="121" customFormat="1" ht="0.75" customHeight="1">
      <c r="AN145" s="504"/>
      <c r="AO145" s="526"/>
      <c r="AP145" s="504"/>
      <c r="AQ145" s="321"/>
      <c r="AR145" s="260"/>
      <c r="AS145" s="260"/>
      <c r="AT145" s="260"/>
      <c r="AU145" s="258"/>
    </row>
    <row r="146" spans="38:49" s="121" customFormat="1" ht="0.75" customHeight="1">
      <c r="AN146" s="222"/>
      <c r="AO146" s="540"/>
      <c r="AP146" s="504"/>
      <c r="AQ146" s="321"/>
      <c r="AR146" s="260"/>
      <c r="AS146" s="260"/>
      <c r="AT146" s="260"/>
      <c r="AU146" s="258"/>
    </row>
    <row r="147" spans="38:49" s="121" customFormat="1" ht="0.75" customHeight="1">
      <c r="AN147" s="222"/>
      <c r="AO147" s="540"/>
      <c r="AP147" s="504"/>
      <c r="AQ147" s="321"/>
      <c r="AR147" s="260"/>
      <c r="AS147" s="260"/>
      <c r="AT147" s="260"/>
      <c r="AU147" s="258"/>
    </row>
    <row r="148" spans="38:49" s="121" customFormat="1" ht="0.75" customHeight="1">
      <c r="AN148" s="222"/>
      <c r="AO148" s="541"/>
      <c r="AP148" s="504"/>
      <c r="AQ148" s="321"/>
      <c r="AR148" s="260"/>
      <c r="AS148" s="260"/>
      <c r="AT148" s="260"/>
      <c r="AU148" s="258"/>
    </row>
    <row r="149" spans="38:49" ht="0.75" customHeight="1">
      <c r="AL149" s="121"/>
      <c r="AM149" s="121"/>
      <c r="AN149" s="222"/>
      <c r="AO149" s="502"/>
      <c r="AP149" s="504"/>
      <c r="AQ149" s="321"/>
      <c r="AR149" s="260"/>
      <c r="AS149" s="260"/>
      <c r="AT149" s="260"/>
      <c r="AU149" s="258"/>
      <c r="AV149" s="121"/>
      <c r="AW149" s="121"/>
    </row>
    <row r="150" spans="38:49" ht="0.75" customHeight="1">
      <c r="AL150" s="121"/>
      <c r="AM150" s="121"/>
      <c r="AN150" s="222"/>
      <c r="AO150" s="502"/>
      <c r="AP150" s="504"/>
      <c r="AQ150" s="321"/>
      <c r="AR150" s="260"/>
      <c r="AS150" s="260"/>
      <c r="AT150" s="260"/>
      <c r="AU150" s="258"/>
      <c r="AV150" s="121"/>
      <c r="AW150" s="121"/>
    </row>
    <row r="151" spans="38:49" s="121" customFormat="1" ht="0.75" customHeight="1">
      <c r="AN151" s="222"/>
      <c r="AO151" s="540"/>
      <c r="AP151" s="504"/>
      <c r="AQ151" s="321"/>
      <c r="AR151" s="260"/>
      <c r="AS151" s="260"/>
      <c r="AT151" s="260"/>
      <c r="AU151" s="258"/>
    </row>
    <row r="152" spans="38:49" s="121" customFormat="1" ht="0.75" customHeight="1">
      <c r="AN152" s="222"/>
      <c r="AO152" s="502"/>
      <c r="AP152" s="504"/>
      <c r="AQ152" s="321"/>
      <c r="AR152" s="260"/>
      <c r="AS152" s="260"/>
      <c r="AT152" s="260"/>
      <c r="AU152" s="258"/>
    </row>
    <row r="153" spans="38:49" s="121" customFormat="1" ht="0.75" customHeight="1">
      <c r="AN153" s="222"/>
      <c r="AO153" s="502"/>
      <c r="AP153" s="504"/>
      <c r="AQ153" s="321"/>
      <c r="AR153" s="260"/>
      <c r="AS153" s="260"/>
      <c r="AT153" s="260"/>
      <c r="AU153" s="258"/>
    </row>
    <row r="154" spans="38:49" s="121" customFormat="1" ht="0.75" customHeight="1">
      <c r="AN154" s="222"/>
      <c r="AO154" s="540"/>
      <c r="AP154" s="504"/>
      <c r="AQ154" s="321"/>
      <c r="AR154" s="260"/>
      <c r="AS154" s="260"/>
      <c r="AT154" s="260"/>
      <c r="AU154" s="258"/>
    </row>
    <row r="155" spans="38:49" s="121" customFormat="1" ht="0.75" customHeight="1">
      <c r="AN155" s="222"/>
      <c r="AO155" s="502"/>
      <c r="AP155" s="504"/>
      <c r="AQ155" s="321"/>
      <c r="AR155" s="260"/>
      <c r="AS155" s="260"/>
      <c r="AT155" s="260"/>
      <c r="AU155" s="258"/>
    </row>
    <row r="156" spans="38:49" s="121" customFormat="1" ht="0.75" customHeight="1">
      <c r="AN156" s="222"/>
      <c r="AO156" s="502"/>
      <c r="AP156" s="504"/>
      <c r="AQ156" s="321"/>
      <c r="AR156" s="260"/>
      <c r="AS156" s="260"/>
      <c r="AT156" s="260"/>
      <c r="AU156" s="258"/>
    </row>
    <row r="157" spans="38:49" ht="0.75" customHeight="1">
      <c r="AL157" s="121"/>
      <c r="AM157" s="121"/>
      <c r="AN157" s="222"/>
      <c r="AO157" s="540"/>
      <c r="AP157" s="504"/>
      <c r="AQ157" s="321"/>
      <c r="AR157" s="260"/>
      <c r="AS157" s="260"/>
      <c r="AT157" s="260"/>
      <c r="AU157" s="258"/>
      <c r="AV157" s="121"/>
      <c r="AW157" s="121"/>
    </row>
    <row r="158" spans="38:49" s="121" customFormat="1" ht="0.75" customHeight="1">
      <c r="AN158" s="222"/>
      <c r="AO158" s="502"/>
      <c r="AP158" s="504"/>
      <c r="AQ158" s="321"/>
      <c r="AR158" s="260"/>
      <c r="AS158" s="260"/>
      <c r="AT158" s="260"/>
      <c r="AU158" s="258"/>
    </row>
    <row r="159" spans="38:49" s="121" customFormat="1" ht="0.75" customHeight="1">
      <c r="AN159" s="222"/>
      <c r="AO159" s="502"/>
      <c r="AP159" s="504"/>
      <c r="AQ159" s="321"/>
      <c r="AR159" s="260"/>
      <c r="AS159" s="260"/>
      <c r="AT159" s="260"/>
      <c r="AU159" s="258"/>
    </row>
    <row r="160" spans="38:49" s="121" customFormat="1" hidden="1">
      <c r="AN160" s="222"/>
      <c r="AO160" s="502"/>
      <c r="AP160" s="323"/>
      <c r="AQ160" s="321"/>
      <c r="AR160" s="260"/>
      <c r="AS160" s="260"/>
      <c r="AT160" s="260"/>
      <c r="AU160" s="258"/>
    </row>
    <row r="161" spans="1:49" s="121" customFormat="1" hidden="1">
      <c r="AN161" s="222"/>
      <c r="AO161" s="502"/>
      <c r="AP161" s="323"/>
      <c r="AQ161" s="321"/>
      <c r="AR161" s="260"/>
      <c r="AS161" s="260"/>
      <c r="AT161" s="260"/>
      <c r="AU161" s="258"/>
    </row>
    <row r="162" spans="1:49" s="121" customFormat="1" hidden="1">
      <c r="AN162" s="222"/>
      <c r="AO162" s="502"/>
      <c r="AP162" s="323"/>
      <c r="AQ162" s="321"/>
      <c r="AR162" s="260"/>
      <c r="AS162" s="260"/>
      <c r="AT162" s="260"/>
      <c r="AU162" s="258"/>
    </row>
    <row r="163" spans="1:49" s="121" customFormat="1" hidden="1">
      <c r="AN163" s="222"/>
      <c r="AO163" s="502"/>
      <c r="AP163" s="323"/>
      <c r="AQ163" s="321"/>
      <c r="AR163" s="260"/>
      <c r="AS163" s="260"/>
      <c r="AT163" s="260"/>
      <c r="AU163" s="258"/>
    </row>
    <row r="164" spans="1:49" ht="0.75" customHeight="1">
      <c r="AL164" s="121"/>
      <c r="AM164" s="121"/>
      <c r="AN164" s="223"/>
      <c r="AO164" s="216"/>
      <c r="AP164" s="543"/>
      <c r="AQ164" s="523"/>
      <c r="AR164" s="547"/>
      <c r="AS164" s="547"/>
      <c r="AT164" s="547"/>
      <c r="AU164" s="265"/>
      <c r="AV164" s="121"/>
      <c r="AW164" s="121"/>
    </row>
    <row r="165" spans="1:49" s="54" customFormat="1">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48"/>
      <c r="AV165" s="121"/>
      <c r="AW165" s="121"/>
    </row>
    <row r="166" spans="1:49" s="54" customFormat="1">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47"/>
      <c r="AR166" s="47"/>
      <c r="AS166" s="47"/>
      <c r="AT166" s="47"/>
      <c r="AU166" s="47"/>
      <c r="AV166" s="121"/>
      <c r="AW166" s="121"/>
    </row>
    <row r="167" spans="1:49">
      <c r="AL167" s="121"/>
      <c r="AM167" s="121"/>
    </row>
  </sheetData>
  <sheetProtection password="FA9C" sheet="1" objects="1" scenarios="1" formatColumns="0" formatRows="0"/>
  <mergeCells count="8">
    <mergeCell ref="AR13:AT13"/>
    <mergeCell ref="AN9:AP9"/>
    <mergeCell ref="AN11:AN12"/>
    <mergeCell ref="AO11:AO12"/>
    <mergeCell ref="AP11:AP12"/>
    <mergeCell ref="AR10:AT10"/>
    <mergeCell ref="AR11:AT11"/>
    <mergeCell ref="AR12:AT12"/>
  </mergeCells>
  <phoneticPr fontId="8"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sheetPr codeName="VOTV_CALC_PERIOD2">
    <tabColor rgb="FF00B050"/>
    <outlinePr summaryBelow="0"/>
  </sheetPr>
  <dimension ref="A1:AW167"/>
  <sheetViews>
    <sheetView showGridLines="0" topLeftCell="AL8" workbookViewId="0">
      <selection activeCell="AT99" sqref="AT99"/>
    </sheetView>
  </sheetViews>
  <sheetFormatPr defaultColWidth="8.7109375" defaultRowHeight="11.25"/>
  <cols>
    <col min="1" max="37" width="2.7109375" style="121"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3" width="0.140625" style="47" customWidth="1"/>
    <col min="44" max="45" width="0.140625" style="47" hidden="1" customWidth="1"/>
    <col min="46" max="46" width="17.7109375" style="47" customWidth="1"/>
    <col min="47" max="47" width="0.140625" style="47" customWidth="1"/>
    <col min="48" max="49" width="2.7109375" style="47" customWidth="1"/>
    <col min="50" max="16384" width="8.7109375" style="47"/>
  </cols>
  <sheetData>
    <row r="1" spans="1:49" ht="12" hidden="1" customHeight="1">
      <c r="A1" s="47"/>
      <c r="B1" s="47"/>
      <c r="C1" s="47"/>
      <c r="D1" s="47"/>
      <c r="E1" s="47"/>
      <c r="F1" s="47"/>
      <c r="G1" s="47"/>
      <c r="H1" s="47"/>
      <c r="I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row>
    <row r="2" spans="1:49" ht="12" hidden="1" customHeight="1">
      <c r="A2" s="47"/>
      <c r="B2" s="47"/>
      <c r="C2" s="47"/>
      <c r="D2" s="47"/>
      <c r="E2" s="47"/>
      <c r="F2" s="47"/>
      <c r="G2" s="47"/>
      <c r="H2" s="47"/>
      <c r="I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row>
    <row r="3" spans="1:49" ht="12" hidden="1" customHeight="1">
      <c r="A3" s="47"/>
      <c r="B3" s="47"/>
      <c r="C3" s="47"/>
      <c r="D3" s="47"/>
      <c r="E3" s="47"/>
      <c r="F3" s="47"/>
      <c r="G3" s="47"/>
      <c r="H3" s="47"/>
      <c r="I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row>
    <row r="4" spans="1:49" ht="12" hidden="1" customHeight="1">
      <c r="A4" s="47"/>
      <c r="B4" s="47"/>
      <c r="C4" s="47"/>
      <c r="D4" s="47"/>
      <c r="E4" s="47"/>
      <c r="F4" s="47"/>
      <c r="G4" s="47"/>
      <c r="H4" s="47"/>
      <c r="I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row>
    <row r="5" spans="1:49" ht="12" hidden="1" customHeight="1">
      <c r="A5" s="47"/>
      <c r="B5" s="47"/>
      <c r="C5" s="47"/>
      <c r="D5" s="47"/>
      <c r="E5" s="47"/>
      <c r="F5" s="47"/>
      <c r="G5" s="47"/>
      <c r="H5" s="47"/>
      <c r="I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row>
    <row r="6" spans="1:49" ht="12" hidden="1" customHeight="1">
      <c r="A6" s="47"/>
      <c r="B6" s="47"/>
      <c r="C6" s="47"/>
      <c r="D6" s="47"/>
      <c r="E6" s="47"/>
      <c r="F6" s="47"/>
      <c r="G6" s="47"/>
      <c r="H6" s="47"/>
      <c r="I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row>
    <row r="7" spans="1:49" ht="12" hidden="1" customHeight="1">
      <c r="A7" s="47"/>
      <c r="B7" s="47"/>
      <c r="C7" s="47"/>
      <c r="D7" s="47"/>
      <c r="E7" s="47"/>
      <c r="F7" s="47"/>
      <c r="G7" s="47"/>
      <c r="H7" s="47"/>
      <c r="I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row>
    <row r="8" spans="1:49" s="520" customFormat="1" ht="11.25" customHeight="1">
      <c r="J8" s="521"/>
      <c r="AM8" s="522"/>
      <c r="AN8" s="637">
        <f>IF(TARIFF_SETUP_METHOD_CODE="BY_PSEUDO_YEARS",12,IF(TEMPLATE_CLAIM="P",6,2))</f>
        <v>2</v>
      </c>
      <c r="AO8" s="431" t="str">
        <f>"Необходимо указывать " &amp; IF(TARIFF_SETUP_METHOD_CODE="BY_PSEUDO_YEARS","общегодовые значения","значения по периодам")</f>
        <v>Необходимо указывать значения по периодам</v>
      </c>
      <c r="AP8" s="616" t="s">
        <v>2497</v>
      </c>
      <c r="AQ8" s="522"/>
      <c r="AR8" s="624"/>
      <c r="AS8" s="624"/>
      <c r="AT8" s="624" t="s">
        <v>3269</v>
      </c>
      <c r="AU8" s="522"/>
      <c r="AV8" s="522"/>
    </row>
    <row r="9" spans="1:49"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по муниципальному образованию - " &amp; IF(mo="","Не определено",mo)</f>
        <v>Фактические расходы организаций водоотведения по муниципальному образованию - Село Булава</v>
      </c>
      <c r="AO9" s="917"/>
      <c r="AP9" s="917"/>
      <c r="AQ9" s="201"/>
      <c r="AR9" s="625" t="str">
        <f>AR11 &amp; ".1"</f>
        <v>1.1</v>
      </c>
      <c r="AS9" s="625" t="str">
        <f>AR11 &amp; ".2"</f>
        <v>1.2</v>
      </c>
      <c r="AT9" s="625" t="str">
        <f>AR11 &amp; ".0"</f>
        <v>1.0</v>
      </c>
      <c r="AU9" s="122"/>
      <c r="AV9" s="200"/>
    </row>
    <row r="10" spans="1:49" ht="12" customHeight="1">
      <c r="A10" s="47"/>
      <c r="B10" s="47"/>
      <c r="C10" s="47"/>
      <c r="D10" s="47"/>
      <c r="E10" s="47"/>
      <c r="F10" s="47"/>
      <c r="G10" s="47"/>
      <c r="H10" s="47"/>
      <c r="I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M10" s="124"/>
      <c r="AN10" s="491" t="str">
        <f>IF(TEMPLATE_CLAIM="P","01.07 - 31.12","01.07 - 31.08")</f>
        <v>01.07 - 31.08</v>
      </c>
      <c r="AO10" s="221"/>
      <c r="AP10" s="122" t="s">
        <v>786</v>
      </c>
      <c r="AQ10" s="201"/>
      <c r="AR10" s="814" t="s">
        <v>719</v>
      </c>
      <c r="AS10" s="814"/>
      <c r="AT10" s="814"/>
      <c r="AU10" s="168" t="s">
        <v>720</v>
      </c>
      <c r="AV10" s="53"/>
    </row>
    <row r="11" spans="1:49" ht="12" customHeight="1">
      <c r="A11" s="47"/>
      <c r="B11" s="47"/>
      <c r="C11" s="47"/>
      <c r="D11" s="47"/>
      <c r="E11" s="47"/>
      <c r="F11" s="47"/>
      <c r="G11" s="47"/>
      <c r="H11" s="47"/>
      <c r="I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50"/>
      <c r="AM11" s="125"/>
      <c r="AN11" s="802" t="s">
        <v>641</v>
      </c>
      <c r="AO11" s="804" t="s">
        <v>787</v>
      </c>
      <c r="AP11" s="806" t="s">
        <v>778</v>
      </c>
      <c r="AQ11" s="206">
        <v>0</v>
      </c>
      <c r="AR11" s="808">
        <v>1</v>
      </c>
      <c r="AS11" s="809"/>
      <c r="AT11" s="810"/>
      <c r="AU11" s="206"/>
      <c r="AV11" s="220"/>
    </row>
    <row r="12" spans="1:49" ht="48" customHeight="1">
      <c r="A12" s="47"/>
      <c r="B12" s="47"/>
      <c r="C12" s="47"/>
      <c r="D12" s="47"/>
      <c r="E12" s="47"/>
      <c r="F12" s="47"/>
      <c r="G12" s="47"/>
      <c r="H12" s="47"/>
      <c r="I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50"/>
      <c r="AM12" s="125"/>
      <c r="AN12" s="803"/>
      <c r="AO12" s="805"/>
      <c r="AP12" s="807"/>
      <c r="AQ12" s="207"/>
      <c r="AR12" s="964" t="str">
        <f>IF('Список организаций'!$I$16="","Не определено",'Список организаций'!$I$16)</f>
        <v>МУП СП "Село Булава" Булавинское ТЭП"</v>
      </c>
      <c r="AS12" s="797"/>
      <c r="AT12" s="798"/>
      <c r="AU12" s="207"/>
      <c r="AV12" s="121"/>
      <c r="AW12" s="121"/>
    </row>
    <row r="13" spans="1:49" ht="11.25" customHeight="1">
      <c r="A13" s="47"/>
      <c r="B13" s="47"/>
      <c r="C13" s="47"/>
      <c r="D13" s="47"/>
      <c r="E13" s="47"/>
      <c r="F13" s="47"/>
      <c r="G13" s="47"/>
      <c r="H13" s="47"/>
      <c r="I13" s="47"/>
      <c r="AL13" s="121"/>
      <c r="AM13" s="121"/>
      <c r="AN13" s="222"/>
      <c r="AO13" s="501" t="s">
        <v>788</v>
      </c>
      <c r="AP13" s="542"/>
      <c r="AQ13" s="330"/>
      <c r="AR13" s="963" t="str">
        <f>IF('Список организаций'!$M$16="","Не определено",'Список организаций'!$M$16)</f>
        <v>нет</v>
      </c>
      <c r="AS13" s="800"/>
      <c r="AT13" s="801"/>
      <c r="AU13" s="207"/>
      <c r="AV13" s="121"/>
      <c r="AW13" s="121"/>
    </row>
    <row r="14" spans="1:49">
      <c r="A14" s="47"/>
      <c r="B14" s="47"/>
      <c r="C14" s="47"/>
      <c r="D14" s="47"/>
      <c r="E14" s="47"/>
      <c r="F14" s="47"/>
      <c r="G14" s="47"/>
      <c r="H14" s="47"/>
      <c r="I14" s="47"/>
      <c r="AL14" s="121"/>
      <c r="AM14" s="121"/>
      <c r="AN14" s="222"/>
      <c r="AO14" s="556" t="str">
        <f>IF(CALC_IDENTIFIER="","",CALC_IDENTIFIER)</f>
        <v/>
      </c>
      <c r="AP14" s="557" t="s">
        <v>745</v>
      </c>
      <c r="AQ14" s="330"/>
      <c r="AR14" s="568"/>
      <c r="AS14" s="568"/>
      <c r="AT14" s="568" t="s">
        <v>745</v>
      </c>
      <c r="AU14" s="207"/>
      <c r="AV14" s="121"/>
      <c r="AW14" s="121"/>
    </row>
    <row r="15" spans="1:49">
      <c r="AL15" s="121"/>
      <c r="AM15" s="121"/>
      <c r="AN15" s="504" t="s">
        <v>642</v>
      </c>
      <c r="AO15" s="566" t="str">
        <f>IF(TEMPLATE_SPHERE="водоснабжения","Объём отпуска воды (тыс. куб.м)",IF(TEMPLATE_SPHERE="водоотведения","Пропущено сточных вод, всего (тыс. куб.м)"))</f>
        <v>Пропущено сточных вод, всего (тыс. куб.м)</v>
      </c>
      <c r="AP15" s="551">
        <f t="shared" ref="AP15:AP22" si="0">SUMIF(AQ$14:AU$14,AP$14,AQ15:AU15)</f>
        <v>0.46250000000000002</v>
      </c>
      <c r="AQ15" s="321"/>
      <c r="AR15" s="567"/>
      <c r="AS15" s="323"/>
      <c r="AT15" s="632">
        <f>IF(TARIFF_SETUP_METHOD_CODE="BY_MONTHS",SUMIF(БПр!$BF$129:$BF$158,AT$9&amp;"-"&amp;$AP$8,БПр!$J$129:$J$158),IF(TARIFF_SETUP_METHOD_CODE="BY_PSEUDO_YEARS",SUMIF(БПр!$F$129:$F$158,AT$9,БПр!$J$129:$J$158),0))/1000</f>
        <v>0.46250000000000002</v>
      </c>
      <c r="AU15" s="258"/>
      <c r="AV15" s="121"/>
      <c r="AW15" s="121"/>
    </row>
    <row r="16" spans="1:49" ht="22.5">
      <c r="AL16" s="121"/>
      <c r="AM16" s="121"/>
      <c r="AN16" s="504" t="s">
        <v>790</v>
      </c>
      <c r="AO16" s="527" t="s">
        <v>369</v>
      </c>
      <c r="AP16" s="257">
        <f t="shared" si="0"/>
        <v>0</v>
      </c>
      <c r="AQ16" s="321"/>
      <c r="AR16" s="553"/>
      <c r="AS16" s="553"/>
      <c r="AT16" s="629">
        <f>IF($AP$8="I",SUMIF('ТМ2 01.01 - 30.06'!$C$21:$C$25,AT$9,'ТМ2 01.01 - 30.06'!$AL$21:$AL$25),IF($AP$8="II",SUMIF('ТМ2 01.07 - 31.08'!$C$21:$C$25,AT$9,'ТМ2 01.07 - 31.08'!$AL$21:$AL$25),IF($AP$8="III",SUMIF('ТМ2 01.09 - 31.12'!$C$21:$C$25,AT$9,'ТМ2 01.09 - 31.12'!$AL$21:$AL$25),0)))/1000</f>
        <v>0</v>
      </c>
      <c r="AU16" s="258"/>
      <c r="AV16" s="121"/>
      <c r="AW16" s="121"/>
    </row>
    <row r="17" spans="38:49">
      <c r="AL17" s="121"/>
      <c r="AM17" s="121"/>
      <c r="AN17" s="504" t="s">
        <v>751</v>
      </c>
      <c r="AO17" s="526" t="s">
        <v>2814</v>
      </c>
      <c r="AP17" s="257">
        <f t="shared" si="0"/>
        <v>22.3</v>
      </c>
      <c r="AQ17" s="321"/>
      <c r="AR17" s="260"/>
      <c r="AS17" s="260"/>
      <c r="AT17" s="257">
        <f>AT18+AT47+AT48+AT49+AT53+AT54+AT55+AT80+AT86+AT90+AT91+AT92+AT93+AT96+AT97+AT98+AT99+AT109</f>
        <v>22.3</v>
      </c>
      <c r="AU17" s="258"/>
      <c r="AV17" s="121"/>
      <c r="AW17" s="121"/>
    </row>
    <row r="18" spans="38:49">
      <c r="AL18" s="121"/>
      <c r="AM18" s="121"/>
      <c r="AN18" s="504" t="s">
        <v>66</v>
      </c>
      <c r="AO18" s="527" t="s">
        <v>2815</v>
      </c>
      <c r="AP18" s="257">
        <f t="shared" si="0"/>
        <v>0</v>
      </c>
      <c r="AQ18" s="321"/>
      <c r="AR18" s="260"/>
      <c r="AS18" s="260"/>
      <c r="AT18" s="257">
        <f>AT19+AT46</f>
        <v>0</v>
      </c>
      <c r="AU18" s="258"/>
      <c r="AV18" s="121"/>
      <c r="AW18" s="121"/>
    </row>
    <row r="19" spans="38:49">
      <c r="AL19" s="121"/>
      <c r="AM19" s="121"/>
      <c r="AN19" s="504" t="s">
        <v>632</v>
      </c>
      <c r="AO19" s="528" t="s">
        <v>2816</v>
      </c>
      <c r="AP19" s="257">
        <f t="shared" si="0"/>
        <v>0</v>
      </c>
      <c r="AQ19" s="321"/>
      <c r="AR19" s="260"/>
      <c r="AS19" s="260"/>
      <c r="AT19" s="257">
        <f>AT22+AT25+AT28+AT31+AT34+AT37+AT40+AT43</f>
        <v>0</v>
      </c>
      <c r="AU19" s="258"/>
      <c r="AV19" s="121"/>
      <c r="AW19" s="121"/>
    </row>
    <row r="20" spans="38:49">
      <c r="AL20" s="121"/>
      <c r="AM20" s="121"/>
      <c r="AN20" s="223" t="s">
        <v>2817</v>
      </c>
      <c r="AO20" s="529" t="s">
        <v>2972</v>
      </c>
      <c r="AP20" s="257">
        <f t="shared" si="0"/>
        <v>0</v>
      </c>
      <c r="AQ20" s="321"/>
      <c r="AR20" s="260"/>
      <c r="AS20" s="260"/>
      <c r="AT20" s="257">
        <f>AT24+AT30+AT36+AT42</f>
        <v>0</v>
      </c>
      <c r="AU20" s="258"/>
      <c r="AV20" s="121"/>
      <c r="AW20" s="121"/>
    </row>
    <row r="21" spans="38:49">
      <c r="AL21" s="121"/>
      <c r="AM21" s="121"/>
      <c r="AN21" s="223" t="s">
        <v>2818</v>
      </c>
      <c r="AO21" s="529" t="s">
        <v>2988</v>
      </c>
      <c r="AP21" s="257">
        <f t="shared" si="0"/>
        <v>0</v>
      </c>
      <c r="AQ21" s="321"/>
      <c r="AR21" s="260"/>
      <c r="AS21" s="260"/>
      <c r="AT21" s="257">
        <f>AT27+AT33+AT39+AT45</f>
        <v>0</v>
      </c>
      <c r="AU21" s="258"/>
      <c r="AV21" s="121"/>
      <c r="AW21" s="121"/>
    </row>
    <row r="22" spans="38:49">
      <c r="AL22" s="121"/>
      <c r="AM22" s="121"/>
      <c r="AN22" s="223" t="s">
        <v>8</v>
      </c>
      <c r="AO22" s="529" t="s">
        <v>3011</v>
      </c>
      <c r="AP22" s="257">
        <f t="shared" si="0"/>
        <v>0</v>
      </c>
      <c r="AQ22" s="321"/>
      <c r="AR22" s="260"/>
      <c r="AS22" s="260"/>
      <c r="AT22" s="257">
        <f>AT23*AT24</f>
        <v>0</v>
      </c>
      <c r="AU22" s="258"/>
      <c r="AV22" s="121"/>
      <c r="AW22" s="121"/>
    </row>
    <row r="23" spans="38:49">
      <c r="AL23" s="121"/>
      <c r="AM23" s="121"/>
      <c r="AN23" s="524" t="s">
        <v>9</v>
      </c>
      <c r="AO23" s="530" t="s">
        <v>2968</v>
      </c>
      <c r="AP23" s="544">
        <f>IF(AP24=0,0,AP22/AP24)</f>
        <v>0</v>
      </c>
      <c r="AQ23" s="321"/>
      <c r="AR23" s="260"/>
      <c r="AS23" s="260"/>
      <c r="AT23" s="261"/>
      <c r="AU23" s="258"/>
      <c r="AV23" s="121"/>
      <c r="AW23" s="121"/>
    </row>
    <row r="24" spans="38:49">
      <c r="AL24" s="121"/>
      <c r="AM24" s="121"/>
      <c r="AN24" s="524" t="s">
        <v>10</v>
      </c>
      <c r="AO24" s="530" t="s">
        <v>2972</v>
      </c>
      <c r="AP24" s="257">
        <f>SUMIF(AQ$14:AU$14,AP$14,AQ24:AU24)</f>
        <v>0</v>
      </c>
      <c r="AQ24" s="321"/>
      <c r="AR24" s="260"/>
      <c r="AS24" s="260"/>
      <c r="AT24" s="261"/>
      <c r="AU24" s="258"/>
      <c r="AV24" s="121"/>
      <c r="AW24" s="121"/>
    </row>
    <row r="25" spans="38:49">
      <c r="AL25" s="121"/>
      <c r="AM25" s="121"/>
      <c r="AN25" s="223" t="s">
        <v>11</v>
      </c>
      <c r="AO25" s="531" t="s">
        <v>3015</v>
      </c>
      <c r="AP25" s="257">
        <f>SUMIF(AQ$14:AU$14,AP$14,AQ25:AU25)</f>
        <v>0</v>
      </c>
      <c r="AQ25" s="321"/>
      <c r="AR25" s="260"/>
      <c r="AS25" s="260"/>
      <c r="AT25" s="257">
        <f>AT26*AT27</f>
        <v>0</v>
      </c>
      <c r="AU25" s="258"/>
      <c r="AV25" s="121"/>
      <c r="AW25" s="121"/>
    </row>
    <row r="26" spans="38:49">
      <c r="AL26" s="121"/>
      <c r="AM26" s="121"/>
      <c r="AN26" s="524" t="s">
        <v>12</v>
      </c>
      <c r="AO26" s="530" t="s">
        <v>2970</v>
      </c>
      <c r="AP26" s="544">
        <f>IF(AP27=0,0,AP25/AP27)</f>
        <v>0</v>
      </c>
      <c r="AQ26" s="321"/>
      <c r="AR26" s="260"/>
      <c r="AS26" s="260"/>
      <c r="AT26" s="261"/>
      <c r="AU26" s="258"/>
      <c r="AV26" s="121"/>
      <c r="AW26" s="121"/>
    </row>
    <row r="27" spans="38:49">
      <c r="AL27" s="121"/>
      <c r="AM27" s="121"/>
      <c r="AN27" s="524" t="s">
        <v>13</v>
      </c>
      <c r="AO27" s="530" t="s">
        <v>3018</v>
      </c>
      <c r="AP27" s="257">
        <f>SUMIF(AQ$14:AU$14,AP$14,AQ27:AU27)</f>
        <v>0</v>
      </c>
      <c r="AQ27" s="321"/>
      <c r="AR27" s="260"/>
      <c r="AS27" s="260"/>
      <c r="AT27" s="261"/>
      <c r="AU27" s="258"/>
      <c r="AV27" s="121"/>
      <c r="AW27" s="121"/>
    </row>
    <row r="28" spans="38:49">
      <c r="AL28" s="121"/>
      <c r="AM28" s="121"/>
      <c r="AN28" s="223" t="s">
        <v>14</v>
      </c>
      <c r="AO28" s="529" t="s">
        <v>3020</v>
      </c>
      <c r="AP28" s="257">
        <f>SUMIF(AQ$14:AU$14,AP$14,AQ28:AU28)</f>
        <v>0</v>
      </c>
      <c r="AQ28" s="321"/>
      <c r="AR28" s="260"/>
      <c r="AS28" s="260"/>
      <c r="AT28" s="257">
        <f>AT29*AT30</f>
        <v>0</v>
      </c>
      <c r="AU28" s="258"/>
      <c r="AV28" s="121"/>
      <c r="AW28" s="121"/>
    </row>
    <row r="29" spans="38:49">
      <c r="AL29" s="121"/>
      <c r="AM29" s="121"/>
      <c r="AN29" s="524" t="s">
        <v>15</v>
      </c>
      <c r="AO29" s="530" t="s">
        <v>2968</v>
      </c>
      <c r="AP29" s="544">
        <f>IF(AP30=0,0,AP28/AP30)</f>
        <v>0</v>
      </c>
      <c r="AQ29" s="321"/>
      <c r="AR29" s="260"/>
      <c r="AS29" s="260"/>
      <c r="AT29" s="261"/>
      <c r="AU29" s="258"/>
      <c r="AV29" s="121"/>
      <c r="AW29" s="121"/>
    </row>
    <row r="30" spans="38:49">
      <c r="AL30" s="121"/>
      <c r="AM30" s="121"/>
      <c r="AN30" s="524" t="s">
        <v>16</v>
      </c>
      <c r="AO30" s="530" t="s">
        <v>2972</v>
      </c>
      <c r="AP30" s="257">
        <f>SUMIF(AQ$14:AU$14,AP$14,AQ30:AU30)</f>
        <v>0</v>
      </c>
      <c r="AQ30" s="321"/>
      <c r="AR30" s="260"/>
      <c r="AS30" s="260"/>
      <c r="AT30" s="261"/>
      <c r="AU30" s="258"/>
      <c r="AV30" s="121"/>
      <c r="AW30" s="121"/>
    </row>
    <row r="31" spans="38:49">
      <c r="AL31" s="121"/>
      <c r="AM31" s="121"/>
      <c r="AN31" s="223" t="s">
        <v>17</v>
      </c>
      <c r="AO31" s="531" t="s">
        <v>3024</v>
      </c>
      <c r="AP31" s="257">
        <f>SUMIF(AQ$14:AU$14,AP$14,AQ31:AU31)</f>
        <v>0</v>
      </c>
      <c r="AQ31" s="321"/>
      <c r="AR31" s="260"/>
      <c r="AS31" s="260"/>
      <c r="AT31" s="257">
        <f>AT32*AT33</f>
        <v>0</v>
      </c>
      <c r="AU31" s="258"/>
      <c r="AV31" s="121"/>
      <c r="AW31" s="121"/>
    </row>
    <row r="32" spans="38:49">
      <c r="AL32" s="121"/>
      <c r="AM32" s="121"/>
      <c r="AN32" s="524" t="s">
        <v>18</v>
      </c>
      <c r="AO32" s="530" t="s">
        <v>2970</v>
      </c>
      <c r="AP32" s="544">
        <f>IF(AP33=0,0,AP31/AP33)</f>
        <v>0</v>
      </c>
      <c r="AQ32" s="321"/>
      <c r="AR32" s="260"/>
      <c r="AS32" s="260"/>
      <c r="AT32" s="261"/>
      <c r="AU32" s="258"/>
      <c r="AV32" s="121"/>
      <c r="AW32" s="121"/>
    </row>
    <row r="33" spans="38:49">
      <c r="AL33" s="121"/>
      <c r="AM33" s="121"/>
      <c r="AN33" s="524" t="s">
        <v>19</v>
      </c>
      <c r="AO33" s="530" t="s">
        <v>3018</v>
      </c>
      <c r="AP33" s="257">
        <f>SUMIF(AQ$14:AU$14,AP$14,AQ33:AU33)</f>
        <v>0</v>
      </c>
      <c r="AQ33" s="321"/>
      <c r="AR33" s="260"/>
      <c r="AS33" s="260"/>
      <c r="AT33" s="261"/>
      <c r="AU33" s="258"/>
      <c r="AV33" s="121"/>
      <c r="AW33" s="121"/>
    </row>
    <row r="34" spans="38:49">
      <c r="AL34" s="121"/>
      <c r="AM34" s="121"/>
      <c r="AN34" s="223" t="s">
        <v>20</v>
      </c>
      <c r="AO34" s="529" t="s">
        <v>3028</v>
      </c>
      <c r="AP34" s="257">
        <f>SUMIF(AQ$14:AU$14,AP$14,AQ34:AU34)</f>
        <v>0</v>
      </c>
      <c r="AQ34" s="321"/>
      <c r="AR34" s="260"/>
      <c r="AS34" s="260"/>
      <c r="AT34" s="257">
        <f>AT35*AT36</f>
        <v>0</v>
      </c>
      <c r="AU34" s="258"/>
      <c r="AV34" s="121"/>
      <c r="AW34" s="121"/>
    </row>
    <row r="35" spans="38:49">
      <c r="AL35" s="121"/>
      <c r="AM35" s="121"/>
      <c r="AN35" s="524" t="s">
        <v>21</v>
      </c>
      <c r="AO35" s="530" t="s">
        <v>2968</v>
      </c>
      <c r="AP35" s="544">
        <f>IF(AP36=0,0,AP34/AP36)</f>
        <v>0</v>
      </c>
      <c r="AQ35" s="321"/>
      <c r="AR35" s="260"/>
      <c r="AS35" s="260"/>
      <c r="AT35" s="261"/>
      <c r="AU35" s="258"/>
      <c r="AV35" s="121"/>
      <c r="AW35" s="121"/>
    </row>
    <row r="36" spans="38:49">
      <c r="AL36" s="121"/>
      <c r="AM36" s="121"/>
      <c r="AN36" s="524" t="s">
        <v>22</v>
      </c>
      <c r="AO36" s="530" t="s">
        <v>2972</v>
      </c>
      <c r="AP36" s="257">
        <f>SUMIF(AQ$14:AU$14,AP$14,AQ36:AU36)</f>
        <v>0</v>
      </c>
      <c r="AQ36" s="321"/>
      <c r="AR36" s="260"/>
      <c r="AS36" s="260"/>
      <c r="AT36" s="261"/>
      <c r="AU36" s="258"/>
      <c r="AV36" s="121"/>
      <c r="AW36" s="121"/>
    </row>
    <row r="37" spans="38:49">
      <c r="AL37" s="121"/>
      <c r="AM37" s="121"/>
      <c r="AN37" s="223" t="s">
        <v>23</v>
      </c>
      <c r="AO37" s="531" t="s">
        <v>3032</v>
      </c>
      <c r="AP37" s="257">
        <f>SUMIF(AQ$14:AU$14,AP$14,AQ37:AU37)</f>
        <v>0</v>
      </c>
      <c r="AQ37" s="321"/>
      <c r="AR37" s="260"/>
      <c r="AS37" s="260"/>
      <c r="AT37" s="257">
        <f>AT38*AT39</f>
        <v>0</v>
      </c>
      <c r="AU37" s="258"/>
      <c r="AV37" s="121"/>
      <c r="AW37" s="121"/>
    </row>
    <row r="38" spans="38:49">
      <c r="AL38" s="121"/>
      <c r="AM38" s="121"/>
      <c r="AN38" s="524" t="s">
        <v>24</v>
      </c>
      <c r="AO38" s="530" t="s">
        <v>2970</v>
      </c>
      <c r="AP38" s="544">
        <f>IF(AP39=0,0,AP37/AP39)</f>
        <v>0</v>
      </c>
      <c r="AQ38" s="321"/>
      <c r="AR38" s="260"/>
      <c r="AS38" s="260"/>
      <c r="AT38" s="261"/>
      <c r="AU38" s="258"/>
      <c r="AV38" s="121"/>
      <c r="AW38" s="121"/>
    </row>
    <row r="39" spans="38:49">
      <c r="AL39" s="121"/>
      <c r="AM39" s="121"/>
      <c r="AN39" s="524" t="s">
        <v>25</v>
      </c>
      <c r="AO39" s="530" t="s">
        <v>3018</v>
      </c>
      <c r="AP39" s="257">
        <f>SUMIF(AQ$14:AU$14,AP$14,AQ39:AU39)</f>
        <v>0</v>
      </c>
      <c r="AQ39" s="321"/>
      <c r="AR39" s="260"/>
      <c r="AS39" s="260"/>
      <c r="AT39" s="261"/>
      <c r="AU39" s="258"/>
      <c r="AV39" s="121"/>
      <c r="AW39" s="121"/>
    </row>
    <row r="40" spans="38:49">
      <c r="AL40" s="121"/>
      <c r="AM40" s="121"/>
      <c r="AN40" s="223" t="s">
        <v>26</v>
      </c>
      <c r="AO40" s="529" t="s">
        <v>3036</v>
      </c>
      <c r="AP40" s="257">
        <f>SUMIF(AQ$14:AU$14,AP$14,AQ40:AU40)</f>
        <v>0</v>
      </c>
      <c r="AQ40" s="321"/>
      <c r="AR40" s="260"/>
      <c r="AS40" s="260"/>
      <c r="AT40" s="257">
        <f>AT41*AT42</f>
        <v>0</v>
      </c>
      <c r="AU40" s="258"/>
      <c r="AV40" s="121"/>
      <c r="AW40" s="121"/>
    </row>
    <row r="41" spans="38:49">
      <c r="AL41" s="121"/>
      <c r="AM41" s="121"/>
      <c r="AN41" s="524" t="s">
        <v>27</v>
      </c>
      <c r="AO41" s="530" t="s">
        <v>2968</v>
      </c>
      <c r="AP41" s="544">
        <f>IF(AP42=0,0,AP40/AP42)</f>
        <v>0</v>
      </c>
      <c r="AQ41" s="321"/>
      <c r="AR41" s="260"/>
      <c r="AS41" s="260"/>
      <c r="AT41" s="261"/>
      <c r="AU41" s="258"/>
      <c r="AV41" s="121"/>
      <c r="AW41" s="121"/>
    </row>
    <row r="42" spans="38:49">
      <c r="AL42" s="121"/>
      <c r="AM42" s="121"/>
      <c r="AN42" s="524" t="s">
        <v>28</v>
      </c>
      <c r="AO42" s="530" t="s">
        <v>2972</v>
      </c>
      <c r="AP42" s="257">
        <f>SUMIF(AQ$14:AU$14,AP$14,AQ42:AU42)</f>
        <v>0</v>
      </c>
      <c r="AQ42" s="321"/>
      <c r="AR42" s="260"/>
      <c r="AS42" s="260"/>
      <c r="AT42" s="261"/>
      <c r="AU42" s="258"/>
      <c r="AV42" s="121"/>
      <c r="AW42" s="121"/>
    </row>
    <row r="43" spans="38:49">
      <c r="AL43" s="121"/>
      <c r="AM43" s="121"/>
      <c r="AN43" s="223" t="s">
        <v>29</v>
      </c>
      <c r="AO43" s="531" t="s">
        <v>3040</v>
      </c>
      <c r="AP43" s="257">
        <f>SUMIF(AQ$14:AU$14,AP$14,AQ43:AU43)</f>
        <v>0</v>
      </c>
      <c r="AQ43" s="321"/>
      <c r="AR43" s="260"/>
      <c r="AS43" s="260"/>
      <c r="AT43" s="257">
        <f>AT44*AT45</f>
        <v>0</v>
      </c>
      <c r="AU43" s="258"/>
      <c r="AV43" s="121"/>
      <c r="AW43" s="121"/>
    </row>
    <row r="44" spans="38:49">
      <c r="AL44" s="121"/>
      <c r="AM44" s="121"/>
      <c r="AN44" s="524" t="s">
        <v>30</v>
      </c>
      <c r="AO44" s="530" t="s">
        <v>2970</v>
      </c>
      <c r="AP44" s="544">
        <f>IF(AP45=0,0,AP43/AP45)</f>
        <v>0</v>
      </c>
      <c r="AQ44" s="321"/>
      <c r="AR44" s="260"/>
      <c r="AS44" s="260"/>
      <c r="AT44" s="261"/>
      <c r="AU44" s="258"/>
      <c r="AV44" s="121"/>
      <c r="AW44" s="121"/>
    </row>
    <row r="45" spans="38:49">
      <c r="AL45" s="121"/>
      <c r="AM45" s="121"/>
      <c r="AN45" s="524" t="s">
        <v>31</v>
      </c>
      <c r="AO45" s="530" t="s">
        <v>3018</v>
      </c>
      <c r="AP45" s="257">
        <f t="shared" ref="AP45:AP55" si="1">SUMIF(AQ$14:AU$14,AP$14,AQ45:AU45)</f>
        <v>0</v>
      </c>
      <c r="AQ45" s="321"/>
      <c r="AR45" s="260"/>
      <c r="AS45" s="260"/>
      <c r="AT45" s="261"/>
      <c r="AU45" s="258"/>
      <c r="AV45" s="121"/>
      <c r="AW45" s="121"/>
    </row>
    <row r="46" spans="38:49">
      <c r="AL46" s="121"/>
      <c r="AM46" s="121"/>
      <c r="AN46" s="504" t="s">
        <v>633</v>
      </c>
      <c r="AO46" s="532" t="s">
        <v>2819</v>
      </c>
      <c r="AP46" s="257">
        <f t="shared" si="1"/>
        <v>0</v>
      </c>
      <c r="AQ46" s="321"/>
      <c r="AR46" s="260"/>
      <c r="AS46" s="260"/>
      <c r="AT46" s="261"/>
      <c r="AU46" s="258"/>
      <c r="AV46" s="121"/>
      <c r="AW46" s="121"/>
    </row>
    <row r="47" spans="38:49">
      <c r="AL47" s="121"/>
      <c r="AM47" s="121"/>
      <c r="AN47" s="504" t="s">
        <v>69</v>
      </c>
      <c r="AO47" s="527" t="s">
        <v>2820</v>
      </c>
      <c r="AP47" s="257">
        <f t="shared" si="1"/>
        <v>0</v>
      </c>
      <c r="AQ47" s="321"/>
      <c r="AR47" s="260"/>
      <c r="AS47" s="260"/>
      <c r="AT47" s="261"/>
      <c r="AU47" s="258"/>
      <c r="AV47" s="121"/>
      <c r="AW47" s="121"/>
    </row>
    <row r="48" spans="38:49">
      <c r="AL48" s="121"/>
      <c r="AM48" s="121"/>
      <c r="AN48" s="504" t="s">
        <v>72</v>
      </c>
      <c r="AO48" s="527" t="s">
        <v>2471</v>
      </c>
      <c r="AP48" s="257">
        <f t="shared" si="1"/>
        <v>0</v>
      </c>
      <c r="AQ48" s="321"/>
      <c r="AR48" s="260"/>
      <c r="AS48" s="260"/>
      <c r="AT48" s="261"/>
      <c r="AU48" s="258"/>
      <c r="AV48" s="121"/>
      <c r="AW48" s="121"/>
    </row>
    <row r="49" spans="38:49">
      <c r="AL49" s="121"/>
      <c r="AM49" s="121"/>
      <c r="AN49" s="504" t="s">
        <v>2821</v>
      </c>
      <c r="AO49" s="527" t="s">
        <v>2822</v>
      </c>
      <c r="AP49" s="257">
        <f t="shared" si="1"/>
        <v>0</v>
      </c>
      <c r="AQ49" s="321"/>
      <c r="AR49" s="260"/>
      <c r="AS49" s="260"/>
      <c r="AT49" s="257">
        <f>SUM(AT50:AT52)</f>
        <v>0</v>
      </c>
      <c r="AU49" s="258"/>
      <c r="AV49" s="121"/>
      <c r="AW49" s="121"/>
    </row>
    <row r="50" spans="38:49">
      <c r="AL50" s="121"/>
      <c r="AM50" s="121"/>
      <c r="AN50" s="504" t="s">
        <v>888</v>
      </c>
      <c r="AO50" s="528" t="s">
        <v>2823</v>
      </c>
      <c r="AP50" s="257">
        <f t="shared" si="1"/>
        <v>0</v>
      </c>
      <c r="AQ50" s="321"/>
      <c r="AR50" s="260"/>
      <c r="AS50" s="260"/>
      <c r="AT50" s="261"/>
      <c r="AU50" s="258"/>
      <c r="AV50" s="121"/>
      <c r="AW50" s="121"/>
    </row>
    <row r="51" spans="38:49">
      <c r="AL51" s="121"/>
      <c r="AM51" s="121"/>
      <c r="AN51" s="504" t="s">
        <v>889</v>
      </c>
      <c r="AO51" s="528" t="s">
        <v>2824</v>
      </c>
      <c r="AP51" s="257">
        <f t="shared" si="1"/>
        <v>0</v>
      </c>
      <c r="AQ51" s="321"/>
      <c r="AR51" s="260"/>
      <c r="AS51" s="260"/>
      <c r="AT51" s="261"/>
      <c r="AU51" s="258"/>
      <c r="AV51" s="121"/>
      <c r="AW51" s="121"/>
    </row>
    <row r="52" spans="38:49">
      <c r="AL52" s="121"/>
      <c r="AM52" s="121"/>
      <c r="AN52" s="504" t="s">
        <v>890</v>
      </c>
      <c r="AO52" s="528" t="s">
        <v>2825</v>
      </c>
      <c r="AP52" s="257">
        <f t="shared" si="1"/>
        <v>0</v>
      </c>
      <c r="AQ52" s="321"/>
      <c r="AR52" s="260"/>
      <c r="AS52" s="260"/>
      <c r="AT52" s="261"/>
      <c r="AU52" s="258"/>
      <c r="AV52" s="121"/>
      <c r="AW52" s="121"/>
    </row>
    <row r="53" spans="38:49">
      <c r="AL53" s="121"/>
      <c r="AM53" s="121"/>
      <c r="AN53" s="504" t="s">
        <v>2826</v>
      </c>
      <c r="AO53" s="527" t="s">
        <v>2827</v>
      </c>
      <c r="AP53" s="257">
        <f t="shared" si="1"/>
        <v>0</v>
      </c>
      <c r="AQ53" s="321"/>
      <c r="AR53" s="260"/>
      <c r="AS53" s="260"/>
      <c r="AT53" s="261"/>
      <c r="AU53" s="258"/>
      <c r="AV53" s="121"/>
      <c r="AW53" s="121"/>
    </row>
    <row r="54" spans="38:49">
      <c r="AL54" s="121"/>
      <c r="AM54" s="121"/>
      <c r="AN54" s="504" t="s">
        <v>2828</v>
      </c>
      <c r="AO54" s="527" t="s">
        <v>2829</v>
      </c>
      <c r="AP54" s="257">
        <f t="shared" si="1"/>
        <v>0</v>
      </c>
      <c r="AQ54" s="321"/>
      <c r="AR54" s="260"/>
      <c r="AS54" s="260"/>
      <c r="AT54" s="261"/>
      <c r="AU54" s="258"/>
      <c r="AV54" s="121"/>
      <c r="AW54" s="121"/>
    </row>
    <row r="55" spans="38:49">
      <c r="AL55" s="121"/>
      <c r="AM55" s="121"/>
      <c r="AN55" s="504" t="s">
        <v>2830</v>
      </c>
      <c r="AO55" s="527" t="s">
        <v>2831</v>
      </c>
      <c r="AP55" s="257">
        <f t="shared" si="1"/>
        <v>14.5</v>
      </c>
      <c r="AQ55" s="321"/>
      <c r="AR55" s="260"/>
      <c r="AS55" s="260"/>
      <c r="AT55" s="257">
        <f>SUM(AT59,AT65,AT71,AT74,AT77)</f>
        <v>14.5</v>
      </c>
      <c r="AU55" s="258"/>
      <c r="AV55" s="121"/>
      <c r="AW55" s="121"/>
    </row>
    <row r="56" spans="38:49" ht="22.5">
      <c r="AL56" s="121"/>
      <c r="AM56" s="121"/>
      <c r="AN56" s="279" t="s">
        <v>353</v>
      </c>
      <c r="AO56" s="558" t="s">
        <v>2782</v>
      </c>
      <c r="AP56" s="257">
        <f>IF(AP57&lt;&gt;0,(1000*AP55/AP57)/$AN$8,0)</f>
        <v>12719.298245614034</v>
      </c>
      <c r="AQ56" s="321"/>
      <c r="AR56" s="260"/>
      <c r="AS56" s="260"/>
      <c r="AT56" s="257">
        <f>IF(AT57=0,0,(1000*AT55/AT57)/$AN$8)</f>
        <v>12719.298245614034</v>
      </c>
      <c r="AU56" s="258"/>
      <c r="AV56" s="121"/>
      <c r="AW56" s="121"/>
    </row>
    <row r="57" spans="38:49">
      <c r="AL57" s="121"/>
      <c r="AM57" s="121"/>
      <c r="AN57" s="279" t="s">
        <v>354</v>
      </c>
      <c r="AO57" s="558" t="s">
        <v>2783</v>
      </c>
      <c r="AP57" s="257">
        <f>SUM(AQ57:AU57)</f>
        <v>0.57000000000000006</v>
      </c>
      <c r="AQ57" s="321"/>
      <c r="AR57" s="260"/>
      <c r="AS57" s="260"/>
      <c r="AT57" s="257">
        <f>SUM(AT61,AT67,AT73,AT76,AT79)</f>
        <v>0.57000000000000006</v>
      </c>
      <c r="AU57" s="258"/>
      <c r="AV57" s="121"/>
      <c r="AW57" s="121"/>
    </row>
    <row r="58" spans="38:49" ht="22.5">
      <c r="AL58" s="121"/>
      <c r="AM58" s="121"/>
      <c r="AN58" s="279" t="s">
        <v>355</v>
      </c>
      <c r="AO58" s="558" t="s">
        <v>120</v>
      </c>
      <c r="AP58" s="263"/>
      <c r="AQ58" s="321"/>
      <c r="AR58" s="260"/>
      <c r="AS58" s="260"/>
      <c r="AT58" s="261"/>
      <c r="AU58" s="258"/>
      <c r="AV58" s="121"/>
      <c r="AW58" s="121"/>
    </row>
    <row r="59" spans="38:49">
      <c r="AL59" s="121"/>
      <c r="AM59" s="121"/>
      <c r="AN59" s="222" t="s">
        <v>2832</v>
      </c>
      <c r="AO59" s="533" t="s">
        <v>1832</v>
      </c>
      <c r="AP59" s="257">
        <f>SUMIF(AQ$14:AU$14,AP$14,AQ59:AU59)</f>
        <v>0</v>
      </c>
      <c r="AQ59" s="321"/>
      <c r="AR59" s="260"/>
      <c r="AS59" s="260"/>
      <c r="AT59" s="261"/>
      <c r="AU59" s="258"/>
      <c r="AV59" s="121"/>
      <c r="AW59" s="121"/>
    </row>
    <row r="60" spans="38:49" ht="22.5">
      <c r="AL60" s="121"/>
      <c r="AM60" s="121"/>
      <c r="AN60" s="222" t="s">
        <v>2833</v>
      </c>
      <c r="AO60" s="529" t="s">
        <v>1834</v>
      </c>
      <c r="AP60" s="254"/>
      <c r="AQ60" s="321"/>
      <c r="AR60" s="260"/>
      <c r="AS60" s="260"/>
      <c r="AT60" s="257">
        <f>IF(AT61&lt;&gt;0,(1000*AT59/AT61)/$AN$8,0)</f>
        <v>0</v>
      </c>
      <c r="AU60" s="258"/>
      <c r="AV60" s="121"/>
      <c r="AW60" s="121"/>
    </row>
    <row r="61" spans="38:49" ht="22.5">
      <c r="AL61" s="121"/>
      <c r="AM61" s="121"/>
      <c r="AN61" s="222" t="s">
        <v>2834</v>
      </c>
      <c r="AO61" s="529" t="s">
        <v>1836</v>
      </c>
      <c r="AP61" s="257">
        <f>SUMIF(AQ$14:AU$14,AP$14,AQ61:AU61)</f>
        <v>0</v>
      </c>
      <c r="AQ61" s="321"/>
      <c r="AR61" s="260"/>
      <c r="AS61" s="260"/>
      <c r="AT61" s="261"/>
      <c r="AU61" s="258"/>
      <c r="AV61" s="121"/>
      <c r="AW61" s="121"/>
    </row>
    <row r="62" spans="38:49">
      <c r="AL62" s="121"/>
      <c r="AM62" s="121"/>
      <c r="AN62" s="222" t="s">
        <v>356</v>
      </c>
      <c r="AO62" s="558" t="s">
        <v>119</v>
      </c>
      <c r="AP62" s="263"/>
      <c r="AQ62" s="321"/>
      <c r="AR62" s="260"/>
      <c r="AS62" s="260"/>
      <c r="AT62" s="261"/>
      <c r="AU62" s="258"/>
      <c r="AV62" s="121"/>
      <c r="AW62" s="121"/>
    </row>
    <row r="63" spans="38:49">
      <c r="AL63" s="121"/>
      <c r="AM63" s="121"/>
      <c r="AN63" s="222" t="s">
        <v>357</v>
      </c>
      <c r="AO63" s="558" t="s">
        <v>121</v>
      </c>
      <c r="AP63" s="263"/>
      <c r="AQ63" s="321"/>
      <c r="AR63" s="260"/>
      <c r="AS63" s="260"/>
      <c r="AT63" s="261"/>
      <c r="AU63" s="258"/>
      <c r="AV63" s="121"/>
      <c r="AW63" s="121"/>
    </row>
    <row r="64" spans="38:49">
      <c r="AL64" s="121"/>
      <c r="AM64" s="121"/>
      <c r="AN64" s="222" t="s">
        <v>358</v>
      </c>
      <c r="AO64" s="558" t="s">
        <v>122</v>
      </c>
      <c r="AP64" s="263"/>
      <c r="AQ64" s="321"/>
      <c r="AR64" s="260"/>
      <c r="AS64" s="260"/>
      <c r="AT64" s="261"/>
      <c r="AU64" s="258"/>
      <c r="AV64" s="121"/>
      <c r="AW64" s="121"/>
    </row>
    <row r="65" spans="38:49">
      <c r="AL65" s="121"/>
      <c r="AM65" s="121"/>
      <c r="AN65" s="222" t="s">
        <v>2835</v>
      </c>
      <c r="AO65" s="533" t="s">
        <v>1838</v>
      </c>
      <c r="AP65" s="257">
        <f>SUMIF(AQ$14:AU$14,AP$14,AQ65:AU65)</f>
        <v>11.5</v>
      </c>
      <c r="AQ65" s="321"/>
      <c r="AR65" s="260"/>
      <c r="AS65" s="260"/>
      <c r="AT65" s="261">
        <v>11.5</v>
      </c>
      <c r="AU65" s="258"/>
      <c r="AV65" s="121"/>
      <c r="AW65" s="121"/>
    </row>
    <row r="66" spans="38:49">
      <c r="AL66" s="121"/>
      <c r="AM66" s="121"/>
      <c r="AN66" s="222" t="s">
        <v>2836</v>
      </c>
      <c r="AO66" s="534" t="s">
        <v>1839</v>
      </c>
      <c r="AP66" s="254"/>
      <c r="AQ66" s="321"/>
      <c r="AR66" s="260"/>
      <c r="AS66" s="260"/>
      <c r="AT66" s="257">
        <f>IF(AT67&lt;&gt;0,(1000*AT65/AT67)/$AN$8,0)</f>
        <v>11500</v>
      </c>
      <c r="AU66" s="258"/>
      <c r="AV66" s="121"/>
      <c r="AW66" s="121"/>
    </row>
    <row r="67" spans="38:49" ht="22.5">
      <c r="AL67" s="121"/>
      <c r="AM67" s="121"/>
      <c r="AN67" s="222" t="s">
        <v>2837</v>
      </c>
      <c r="AO67" s="534" t="s">
        <v>1841</v>
      </c>
      <c r="AP67" s="257">
        <f>SUMIF(AQ$14:AU$14,AP$14,AQ67:AU67)</f>
        <v>0.5</v>
      </c>
      <c r="AQ67" s="321"/>
      <c r="AR67" s="260"/>
      <c r="AS67" s="260"/>
      <c r="AT67" s="261">
        <v>0.5</v>
      </c>
      <c r="AU67" s="258"/>
      <c r="AV67" s="121"/>
      <c r="AW67" s="121"/>
    </row>
    <row r="68" spans="38:49">
      <c r="AL68" s="121"/>
      <c r="AM68" s="121"/>
      <c r="AN68" s="222" t="s">
        <v>359</v>
      </c>
      <c r="AO68" s="558" t="s">
        <v>119</v>
      </c>
      <c r="AP68" s="263"/>
      <c r="AQ68" s="321"/>
      <c r="AR68" s="260"/>
      <c r="AS68" s="260"/>
      <c r="AT68" s="261"/>
      <c r="AU68" s="258"/>
      <c r="AV68" s="121"/>
      <c r="AW68" s="121"/>
    </row>
    <row r="69" spans="38:49">
      <c r="AL69" s="121"/>
      <c r="AM69" s="121"/>
      <c r="AN69" s="222" t="s">
        <v>360</v>
      </c>
      <c r="AO69" s="558" t="s">
        <v>121</v>
      </c>
      <c r="AP69" s="263"/>
      <c r="AQ69" s="321"/>
      <c r="AR69" s="260"/>
      <c r="AS69" s="260"/>
      <c r="AT69" s="261"/>
      <c r="AU69" s="258"/>
      <c r="AV69" s="121"/>
      <c r="AW69" s="121"/>
    </row>
    <row r="70" spans="38:49">
      <c r="AL70" s="121"/>
      <c r="AM70" s="121"/>
      <c r="AN70" s="222" t="s">
        <v>361</v>
      </c>
      <c r="AO70" s="558" t="s">
        <v>122</v>
      </c>
      <c r="AP70" s="263"/>
      <c r="AQ70" s="321"/>
      <c r="AR70" s="260"/>
      <c r="AS70" s="260"/>
      <c r="AT70" s="261"/>
      <c r="AU70" s="258"/>
      <c r="AV70" s="121"/>
      <c r="AW70" s="121"/>
    </row>
    <row r="71" spans="38:49">
      <c r="AL71" s="121"/>
      <c r="AM71" s="121"/>
      <c r="AN71" s="222" t="s">
        <v>2838</v>
      </c>
      <c r="AO71" s="533" t="s">
        <v>1843</v>
      </c>
      <c r="AP71" s="257">
        <f>SUMIF(AQ$14:AU$14,AP$14,AQ71:AU71)</f>
        <v>0</v>
      </c>
      <c r="AQ71" s="321"/>
      <c r="AR71" s="260"/>
      <c r="AS71" s="260"/>
      <c r="AT71" s="261"/>
      <c r="AU71" s="258"/>
      <c r="AV71" s="121"/>
      <c r="AW71" s="121"/>
    </row>
    <row r="72" spans="38:49">
      <c r="AL72" s="121"/>
      <c r="AM72" s="121"/>
      <c r="AN72" s="222" t="s">
        <v>2839</v>
      </c>
      <c r="AO72" s="534" t="s">
        <v>1844</v>
      </c>
      <c r="AP72" s="254"/>
      <c r="AQ72" s="321"/>
      <c r="AR72" s="260"/>
      <c r="AS72" s="260"/>
      <c r="AT72" s="257">
        <f>IF(AT73&lt;&gt;0,(1000*AT71/AT73)/$AN$8,0)</f>
        <v>0</v>
      </c>
      <c r="AU72" s="258"/>
      <c r="AV72" s="121"/>
      <c r="AW72" s="121"/>
    </row>
    <row r="73" spans="38:49" ht="22.5">
      <c r="AL73" s="121"/>
      <c r="AM73" s="121"/>
      <c r="AN73" s="222" t="s">
        <v>2840</v>
      </c>
      <c r="AO73" s="534" t="s">
        <v>1846</v>
      </c>
      <c r="AP73" s="257">
        <f>SUMIF(AQ$14:AU$14,AP$14,AQ73:AU73)</f>
        <v>0</v>
      </c>
      <c r="AQ73" s="321"/>
      <c r="AR73" s="260"/>
      <c r="AS73" s="260"/>
      <c r="AT73" s="261"/>
      <c r="AU73" s="258"/>
      <c r="AV73" s="121"/>
      <c r="AW73" s="121"/>
    </row>
    <row r="74" spans="38:49">
      <c r="AL74" s="121"/>
      <c r="AM74" s="121"/>
      <c r="AN74" s="222" t="s">
        <v>2841</v>
      </c>
      <c r="AO74" s="533" t="s">
        <v>1849</v>
      </c>
      <c r="AP74" s="257">
        <f>SUMIF(AQ$14:AU$14,AP$14,AQ74:AU74)</f>
        <v>3</v>
      </c>
      <c r="AQ74" s="321"/>
      <c r="AR74" s="260"/>
      <c r="AS74" s="260"/>
      <c r="AT74" s="261">
        <v>3</v>
      </c>
      <c r="AU74" s="258"/>
      <c r="AV74" s="121"/>
      <c r="AW74" s="121"/>
    </row>
    <row r="75" spans="38:49">
      <c r="AL75" s="121"/>
      <c r="AM75" s="121"/>
      <c r="AN75" s="222" t="s">
        <v>2842</v>
      </c>
      <c r="AO75" s="534" t="s">
        <v>1851</v>
      </c>
      <c r="AP75" s="254"/>
      <c r="AQ75" s="321"/>
      <c r="AR75" s="260"/>
      <c r="AS75" s="260"/>
      <c r="AT75" s="257">
        <f>IF(AT76&lt;&gt;0,(1000*AT74/AT76)/$AN$8,0)</f>
        <v>21428.571428571428</v>
      </c>
      <c r="AU75" s="258"/>
      <c r="AV75" s="121"/>
      <c r="AW75" s="121"/>
    </row>
    <row r="76" spans="38:49" ht="22.5">
      <c r="AL76" s="121"/>
      <c r="AM76" s="121"/>
      <c r="AN76" s="222" t="s">
        <v>2843</v>
      </c>
      <c r="AO76" s="529" t="s">
        <v>1853</v>
      </c>
      <c r="AP76" s="257">
        <f>SUMIF(AQ$14:AU$14,AP$14,AQ76:AU76)</f>
        <v>7.0000000000000007E-2</v>
      </c>
      <c r="AQ76" s="321"/>
      <c r="AR76" s="260"/>
      <c r="AS76" s="260"/>
      <c r="AT76" s="261">
        <v>7.0000000000000007E-2</v>
      </c>
      <c r="AU76" s="258"/>
      <c r="AV76" s="121"/>
      <c r="AW76" s="121"/>
    </row>
    <row r="77" spans="38:49" ht="22.5">
      <c r="AL77" s="121"/>
      <c r="AM77" s="121"/>
      <c r="AN77" s="222" t="s">
        <v>2844</v>
      </c>
      <c r="AO77" s="533" t="s">
        <v>1856</v>
      </c>
      <c r="AP77" s="257">
        <f>SUMIF(AQ$14:AU$14,AP$14,AQ77:AU77)</f>
        <v>0</v>
      </c>
      <c r="AQ77" s="321"/>
      <c r="AR77" s="260"/>
      <c r="AS77" s="260"/>
      <c r="AT77" s="261"/>
      <c r="AU77" s="258"/>
      <c r="AV77" s="121"/>
      <c r="AW77" s="121"/>
    </row>
    <row r="78" spans="38:49" ht="22.5">
      <c r="AL78" s="121"/>
      <c r="AM78" s="121"/>
      <c r="AN78" s="222" t="s">
        <v>2845</v>
      </c>
      <c r="AO78" s="534" t="s">
        <v>2307</v>
      </c>
      <c r="AP78" s="254"/>
      <c r="AQ78" s="321"/>
      <c r="AR78" s="260"/>
      <c r="AS78" s="260"/>
      <c r="AT78" s="257">
        <f>IF(AT79&lt;&gt;0,(1000*AT77/AT79)/$AN$8,0)</f>
        <v>0</v>
      </c>
      <c r="AU78" s="258"/>
      <c r="AV78" s="121"/>
      <c r="AW78" s="121"/>
    </row>
    <row r="79" spans="38:49" ht="22.5">
      <c r="AL79" s="121"/>
      <c r="AM79" s="121"/>
      <c r="AN79" s="222" t="s">
        <v>2846</v>
      </c>
      <c r="AO79" s="529" t="s">
        <v>1860</v>
      </c>
      <c r="AP79" s="257">
        <f t="shared" ref="AP79:AP85" si="2">SUMIF(AQ$14:AU$14,AP$14,AQ79:AU79)</f>
        <v>0</v>
      </c>
      <c r="AQ79" s="321"/>
      <c r="AR79" s="260"/>
      <c r="AS79" s="260"/>
      <c r="AT79" s="261"/>
      <c r="AU79" s="258"/>
      <c r="AV79" s="121"/>
      <c r="AW79" s="121"/>
    </row>
    <row r="80" spans="38:49">
      <c r="AL80" s="121"/>
      <c r="AM80" s="121"/>
      <c r="AN80" s="504" t="s">
        <v>2847</v>
      </c>
      <c r="AO80" s="535" t="s">
        <v>2848</v>
      </c>
      <c r="AP80" s="257">
        <f t="shared" si="2"/>
        <v>4</v>
      </c>
      <c r="AQ80" s="321"/>
      <c r="AR80" s="260"/>
      <c r="AS80" s="260"/>
      <c r="AT80" s="257">
        <f>SUM(AT81:AT85)</f>
        <v>4</v>
      </c>
      <c r="AU80" s="258"/>
      <c r="AV80" s="121"/>
      <c r="AW80" s="121"/>
    </row>
    <row r="81" spans="38:49" ht="22.5">
      <c r="AL81" s="121"/>
      <c r="AM81" s="121"/>
      <c r="AN81" s="504" t="s">
        <v>2849</v>
      </c>
      <c r="AO81" s="533" t="s">
        <v>2415</v>
      </c>
      <c r="AP81" s="257">
        <f t="shared" si="2"/>
        <v>0</v>
      </c>
      <c r="AQ81" s="321"/>
      <c r="AR81" s="260"/>
      <c r="AS81" s="260"/>
      <c r="AT81" s="261"/>
      <c r="AU81" s="258"/>
      <c r="AV81" s="121"/>
      <c r="AW81" s="121"/>
    </row>
    <row r="82" spans="38:49" ht="22.5">
      <c r="AL82" s="121"/>
      <c r="AM82" s="121"/>
      <c r="AN82" s="504" t="s">
        <v>2850</v>
      </c>
      <c r="AO82" s="533" t="s">
        <v>2417</v>
      </c>
      <c r="AP82" s="257">
        <f t="shared" si="2"/>
        <v>3.2</v>
      </c>
      <c r="AQ82" s="321"/>
      <c r="AR82" s="260"/>
      <c r="AS82" s="260"/>
      <c r="AT82" s="261">
        <v>3.2</v>
      </c>
      <c r="AU82" s="258"/>
      <c r="AV82" s="121"/>
      <c r="AW82" s="121"/>
    </row>
    <row r="83" spans="38:49" ht="22.5">
      <c r="AL83" s="121"/>
      <c r="AM83" s="121"/>
      <c r="AN83" s="504" t="s">
        <v>2316</v>
      </c>
      <c r="AO83" s="533" t="s">
        <v>2420</v>
      </c>
      <c r="AP83" s="257">
        <f t="shared" si="2"/>
        <v>0</v>
      </c>
      <c r="AQ83" s="321"/>
      <c r="AR83" s="260"/>
      <c r="AS83" s="260"/>
      <c r="AT83" s="261"/>
      <c r="AU83" s="258"/>
      <c r="AV83" s="121"/>
      <c r="AW83" s="121"/>
    </row>
    <row r="84" spans="38:49">
      <c r="AL84" s="121"/>
      <c r="AM84" s="121"/>
      <c r="AN84" s="504" t="s">
        <v>2317</v>
      </c>
      <c r="AO84" s="533" t="s">
        <v>2423</v>
      </c>
      <c r="AP84" s="257">
        <f t="shared" si="2"/>
        <v>0.8</v>
      </c>
      <c r="AQ84" s="321"/>
      <c r="AR84" s="260"/>
      <c r="AS84" s="260"/>
      <c r="AT84" s="261">
        <v>0.8</v>
      </c>
      <c r="AU84" s="258"/>
      <c r="AV84" s="121"/>
      <c r="AW84" s="121"/>
    </row>
    <row r="85" spans="38:49" ht="22.5">
      <c r="AL85" s="121"/>
      <c r="AM85" s="121"/>
      <c r="AN85" s="504" t="s">
        <v>2318</v>
      </c>
      <c r="AO85" s="533" t="s">
        <v>2426</v>
      </c>
      <c r="AP85" s="257">
        <f t="shared" si="2"/>
        <v>0</v>
      </c>
      <c r="AQ85" s="321"/>
      <c r="AR85" s="260"/>
      <c r="AS85" s="260"/>
      <c r="AT85" s="261"/>
      <c r="AU85" s="258"/>
      <c r="AV85" s="121"/>
      <c r="AW85" s="121"/>
    </row>
    <row r="86" spans="38:49" hidden="1">
      <c r="AL86" s="121"/>
      <c r="AM86" s="121"/>
      <c r="AN86" s="560" t="str">
        <f>IF(TEMPLATE_SPHERE="водоснабжения","2.9","")</f>
        <v/>
      </c>
      <c r="AO86" s="561" t="str">
        <f>IF(TEMPLATE_SPHERE="водоснабжения","Покупная вода","")</f>
        <v/>
      </c>
      <c r="AP86" s="257" t="str">
        <f>IF(TEMPLATE_SPHERE="водоснабжения",SUMIF(AQ$14:AU$14,AP$14,AQ86:AU86),"")</f>
        <v/>
      </c>
      <c r="AQ86" s="321"/>
      <c r="AR86" s="260"/>
      <c r="AS86" s="260"/>
      <c r="AT86" s="260"/>
      <c r="AU86" s="258"/>
      <c r="AV86" s="121"/>
      <c r="AW86" s="121"/>
    </row>
    <row r="87" spans="38:49" hidden="1">
      <c r="AL87" s="121"/>
      <c r="AM87" s="121"/>
      <c r="AN87" s="560" t="str">
        <f>IF(TEMPLATE_SPHERE="водоснабжения","2.9.1","")</f>
        <v/>
      </c>
      <c r="AO87" s="562" t="str">
        <f>IF(TEMPLATE_SPHERE="водоснабжения","тариф (руб./куб.м)","")</f>
        <v/>
      </c>
      <c r="AP87" s="257" t="str">
        <f>IF(TEMPLATE_SPHERE="водоснабжения",IF(AP88=0,0,(AP86-AP89)/AP88),"")</f>
        <v/>
      </c>
      <c r="AQ87" s="321"/>
      <c r="AR87" s="260"/>
      <c r="AS87" s="260"/>
      <c r="AT87" s="260"/>
      <c r="AU87" s="258"/>
      <c r="AV87" s="121"/>
      <c r="AW87" s="121"/>
    </row>
    <row r="88" spans="38:49" hidden="1">
      <c r="AL88" s="121"/>
      <c r="AM88" s="121"/>
      <c r="AN88" s="560" t="str">
        <f>IF(TEMPLATE_SPHERE="водоснабжения","2.9.2","")</f>
        <v/>
      </c>
      <c r="AO88" s="562" t="str">
        <f>IF(TEMPLATE_SPHERE="водоснабжения","объём (тыс. куб.м)","")</f>
        <v/>
      </c>
      <c r="AP88" s="257" t="str">
        <f>IF(TEMPLATE_SPHERE="водоснабжения",SUMIF(AQ$14:AU$14,AP$14,AQ88:AU88),"")</f>
        <v/>
      </c>
      <c r="AQ88" s="321"/>
      <c r="AR88" s="260"/>
      <c r="AS88" s="260"/>
      <c r="AT88" s="260"/>
      <c r="AU88" s="258"/>
      <c r="AV88" s="121"/>
      <c r="AW88" s="121"/>
    </row>
    <row r="89" spans="38:49" hidden="1">
      <c r="AL89" s="121"/>
      <c r="AM89" s="121"/>
      <c r="AN89" s="560" t="str">
        <f>IF(TEMPLATE_SPHERE="водоснабжения","2.9.3","")</f>
        <v/>
      </c>
      <c r="AO89" s="562" t="str">
        <f>IF(TEMPLATE_SPHERE="водоснабжения","покупка потерь","")</f>
        <v/>
      </c>
      <c r="AP89" s="257" t="str">
        <f>IF(TEMPLATE_SPHERE="водоснабжения",SUMIF(AQ$14:AU$14,AP$14,AQ89:AU89),"")</f>
        <v/>
      </c>
      <c r="AQ89" s="321"/>
      <c r="AR89" s="260"/>
      <c r="AS89" s="260"/>
      <c r="AT89" s="260"/>
      <c r="AU89" s="258"/>
      <c r="AV89" s="121"/>
      <c r="AW89" s="121"/>
    </row>
    <row r="90" spans="38:49" ht="22.5">
      <c r="AL90" s="121"/>
      <c r="AM90" s="121"/>
      <c r="AN90" s="504" t="s">
        <v>2323</v>
      </c>
      <c r="AO90"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AP90" s="257">
        <f t="shared" ref="AP90:AP114" si="3">SUMIF(AQ$14:AU$14,AP$14,AQ90:AU90)</f>
        <v>0</v>
      </c>
      <c r="AQ90" s="321"/>
      <c r="AR90" s="260"/>
      <c r="AS90" s="260"/>
      <c r="AT90" s="261"/>
      <c r="AU90" s="258"/>
      <c r="AV90" s="121"/>
      <c r="AW90" s="121"/>
    </row>
    <row r="91" spans="38:49" ht="22.5">
      <c r="AL91" s="121"/>
      <c r="AM91" s="121"/>
      <c r="AN91" s="504" t="s">
        <v>2324</v>
      </c>
      <c r="AO91"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AP91" s="257">
        <f t="shared" si="3"/>
        <v>0</v>
      </c>
      <c r="AQ91" s="321"/>
      <c r="AR91" s="260"/>
      <c r="AS91" s="260"/>
      <c r="AT91" s="261"/>
      <c r="AU91" s="258"/>
      <c r="AV91" s="121"/>
      <c r="AW91" s="121"/>
    </row>
    <row r="92" spans="38:49" ht="22.5">
      <c r="AL92" s="121"/>
      <c r="AM92" s="121"/>
      <c r="AN92" s="504" t="s">
        <v>2325</v>
      </c>
      <c r="AO92"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AP92" s="257">
        <f t="shared" si="3"/>
        <v>0</v>
      </c>
      <c r="AQ92" s="321"/>
      <c r="AR92" s="260"/>
      <c r="AS92" s="260"/>
      <c r="AT92" s="261"/>
      <c r="AU92" s="258"/>
      <c r="AV92" s="121"/>
      <c r="AW92" s="121"/>
    </row>
    <row r="93" spans="38:49">
      <c r="AL93" s="121"/>
      <c r="AM93" s="121"/>
      <c r="AN93" s="504" t="s">
        <v>2326</v>
      </c>
      <c r="AO93" s="527" t="s">
        <v>2327</v>
      </c>
      <c r="AP93" s="257">
        <f t="shared" si="3"/>
        <v>0</v>
      </c>
      <c r="AQ93" s="321"/>
      <c r="AR93" s="260"/>
      <c r="AS93" s="260"/>
      <c r="AT93" s="257">
        <f>SUM(AT94:AT95)</f>
        <v>0</v>
      </c>
      <c r="AU93" s="258"/>
      <c r="AV93" s="121"/>
      <c r="AW93" s="121"/>
    </row>
    <row r="94" spans="38:49">
      <c r="AL94" s="121"/>
      <c r="AM94" s="121"/>
      <c r="AN94" s="504" t="s">
        <v>2328</v>
      </c>
      <c r="AO94" s="528" t="s">
        <v>2329</v>
      </c>
      <c r="AP94" s="257">
        <f t="shared" si="3"/>
        <v>0</v>
      </c>
      <c r="AQ94" s="321"/>
      <c r="AR94" s="260"/>
      <c r="AS94" s="260"/>
      <c r="AT94" s="261"/>
      <c r="AU94" s="258"/>
      <c r="AV94" s="121"/>
      <c r="AW94" s="121"/>
    </row>
    <row r="95" spans="38:49">
      <c r="AL95" s="121"/>
      <c r="AM95" s="121"/>
      <c r="AN95" s="504" t="s">
        <v>2330</v>
      </c>
      <c r="AO95" s="528" t="s">
        <v>2331</v>
      </c>
      <c r="AP95" s="257">
        <f t="shared" si="3"/>
        <v>0</v>
      </c>
      <c r="AQ95" s="321"/>
      <c r="AR95" s="260"/>
      <c r="AS95" s="260"/>
      <c r="AT95" s="261"/>
      <c r="AU95" s="258"/>
      <c r="AV95" s="121"/>
      <c r="AW95" s="121"/>
    </row>
    <row r="96" spans="38:49">
      <c r="AL96" s="121"/>
      <c r="AM96" s="121"/>
      <c r="AN96" s="504" t="s">
        <v>2332</v>
      </c>
      <c r="AO96" s="527" t="s">
        <v>2333</v>
      </c>
      <c r="AP96" s="257">
        <f t="shared" si="3"/>
        <v>0</v>
      </c>
      <c r="AQ96" s="321"/>
      <c r="AR96" s="260"/>
      <c r="AS96" s="260"/>
      <c r="AT96" s="261"/>
      <c r="AU96" s="258"/>
      <c r="AV96" s="121"/>
      <c r="AW96" s="121"/>
    </row>
    <row r="97" spans="38:49">
      <c r="AL97" s="121"/>
      <c r="AM97" s="121"/>
      <c r="AN97" s="504" t="s">
        <v>2334</v>
      </c>
      <c r="AO97" s="527" t="s">
        <v>2335</v>
      </c>
      <c r="AP97" s="257">
        <f t="shared" si="3"/>
        <v>0</v>
      </c>
      <c r="AQ97" s="321"/>
      <c r="AR97" s="260"/>
      <c r="AS97" s="260"/>
      <c r="AT97" s="261"/>
      <c r="AU97" s="258"/>
      <c r="AV97" s="121"/>
      <c r="AW97" s="121"/>
    </row>
    <row r="98" spans="38:49" ht="22.5">
      <c r="AL98" s="121"/>
      <c r="AM98" s="121"/>
      <c r="AN98" s="504" t="s">
        <v>2336</v>
      </c>
      <c r="AO98" s="527" t="s">
        <v>2337</v>
      </c>
      <c r="AP98" s="257">
        <f t="shared" si="3"/>
        <v>3.6</v>
      </c>
      <c r="AQ98" s="321"/>
      <c r="AR98" s="260"/>
      <c r="AS98" s="260"/>
      <c r="AT98" s="261">
        <v>3.6</v>
      </c>
      <c r="AU98" s="258"/>
      <c r="AV98" s="121"/>
      <c r="AW98" s="121"/>
    </row>
    <row r="99" spans="38:49">
      <c r="AL99" s="121"/>
      <c r="AM99" s="121"/>
      <c r="AN99" s="504" t="s">
        <v>2338</v>
      </c>
      <c r="AO99" s="527" t="s">
        <v>2339</v>
      </c>
      <c r="AP99" s="257">
        <f t="shared" si="3"/>
        <v>0.2</v>
      </c>
      <c r="AQ99" s="321"/>
      <c r="AR99" s="260"/>
      <c r="AS99" s="260"/>
      <c r="AT99" s="257">
        <f>SUM(AT100:AT108)</f>
        <v>0.2</v>
      </c>
      <c r="AU99" s="258"/>
      <c r="AV99" s="121"/>
      <c r="AW99" s="121"/>
    </row>
    <row r="100" spans="38:49">
      <c r="AL100" s="121"/>
      <c r="AM100" s="121"/>
      <c r="AN100" s="504" t="s">
        <v>2340</v>
      </c>
      <c r="AO100" s="528" t="s">
        <v>2341</v>
      </c>
      <c r="AP100" s="257">
        <f t="shared" si="3"/>
        <v>0</v>
      </c>
      <c r="AQ100" s="321"/>
      <c r="AR100" s="260"/>
      <c r="AS100" s="260"/>
      <c r="AT100" s="261"/>
      <c r="AU100" s="258"/>
      <c r="AV100" s="121"/>
      <c r="AW100" s="121"/>
    </row>
    <row r="101" spans="38:49">
      <c r="AL101" s="121"/>
      <c r="AM101" s="121"/>
      <c r="AN101" s="504" t="s">
        <v>2342</v>
      </c>
      <c r="AO101" s="528" t="s">
        <v>2343</v>
      </c>
      <c r="AP101" s="257">
        <f t="shared" si="3"/>
        <v>0</v>
      </c>
      <c r="AQ101" s="321"/>
      <c r="AR101" s="260"/>
      <c r="AS101" s="260"/>
      <c r="AT101" s="261"/>
      <c r="AU101" s="258"/>
      <c r="AV101" s="121"/>
      <c r="AW101" s="121"/>
    </row>
    <row r="102" spans="38:49">
      <c r="AL102" s="121"/>
      <c r="AM102" s="121"/>
      <c r="AN102" s="504" t="s">
        <v>2344</v>
      </c>
      <c r="AO102" s="528" t="s">
        <v>2345</v>
      </c>
      <c r="AP102" s="257">
        <f t="shared" si="3"/>
        <v>0</v>
      </c>
      <c r="AQ102" s="321"/>
      <c r="AR102" s="260"/>
      <c r="AS102" s="260"/>
      <c r="AT102" s="261"/>
      <c r="AU102" s="258"/>
      <c r="AV102" s="121"/>
      <c r="AW102" s="121"/>
    </row>
    <row r="103" spans="38:49">
      <c r="AL103" s="121"/>
      <c r="AM103" s="121"/>
      <c r="AN103" s="504" t="s">
        <v>2346</v>
      </c>
      <c r="AO103" s="528" t="s">
        <v>2347</v>
      </c>
      <c r="AP103" s="257">
        <f t="shared" si="3"/>
        <v>0</v>
      </c>
      <c r="AQ103" s="321"/>
      <c r="AR103" s="260"/>
      <c r="AS103" s="260"/>
      <c r="AT103" s="261"/>
      <c r="AU103" s="258"/>
      <c r="AV103" s="121"/>
      <c r="AW103" s="121"/>
    </row>
    <row r="104" spans="38:49">
      <c r="AL104" s="121"/>
      <c r="AM104" s="121"/>
      <c r="AN104" s="504" t="s">
        <v>2348</v>
      </c>
      <c r="AO104" s="528" t="s">
        <v>2349</v>
      </c>
      <c r="AP104" s="257">
        <f t="shared" si="3"/>
        <v>0</v>
      </c>
      <c r="AQ104" s="321"/>
      <c r="AR104" s="260"/>
      <c r="AS104" s="260"/>
      <c r="AT104" s="261"/>
      <c r="AU104" s="258"/>
      <c r="AV104" s="121"/>
      <c r="AW104" s="121"/>
    </row>
    <row r="105" spans="38:49">
      <c r="AL105" s="121"/>
      <c r="AM105" s="121"/>
      <c r="AN105" s="504" t="s">
        <v>2350</v>
      </c>
      <c r="AO105" s="528" t="s">
        <v>2351</v>
      </c>
      <c r="AP105" s="257">
        <f t="shared" si="3"/>
        <v>0</v>
      </c>
      <c r="AQ105" s="321"/>
      <c r="AR105" s="260"/>
      <c r="AS105" s="260"/>
      <c r="AT105" s="261"/>
      <c r="AU105" s="258"/>
      <c r="AV105" s="121"/>
      <c r="AW105" s="121"/>
    </row>
    <row r="106" spans="38:49">
      <c r="AL106" s="121"/>
      <c r="AM106" s="121"/>
      <c r="AN106" s="504" t="s">
        <v>2352</v>
      </c>
      <c r="AO106" s="528" t="s">
        <v>2353</v>
      </c>
      <c r="AP106" s="257">
        <f t="shared" si="3"/>
        <v>0.2</v>
      </c>
      <c r="AQ106" s="321"/>
      <c r="AR106" s="260"/>
      <c r="AS106" s="260"/>
      <c r="AT106" s="261">
        <v>0.2</v>
      </c>
      <c r="AU106" s="258"/>
      <c r="AV106" s="121"/>
      <c r="AW106" s="121"/>
    </row>
    <row r="107" spans="38:49">
      <c r="AL107" s="121"/>
      <c r="AM107" s="121"/>
      <c r="AN107" s="504" t="s">
        <v>2354</v>
      </c>
      <c r="AO107" s="528" t="s">
        <v>2355</v>
      </c>
      <c r="AP107" s="257">
        <f t="shared" si="3"/>
        <v>0</v>
      </c>
      <c r="AQ107" s="321"/>
      <c r="AR107" s="260"/>
      <c r="AS107" s="260"/>
      <c r="AT107" s="261"/>
      <c r="AU107" s="258"/>
      <c r="AV107" s="121"/>
      <c r="AW107" s="121"/>
    </row>
    <row r="108" spans="38:49">
      <c r="AL108" s="121"/>
      <c r="AM108" s="121"/>
      <c r="AN108" s="504" t="s">
        <v>2356</v>
      </c>
      <c r="AO108" s="528" t="s">
        <v>2357</v>
      </c>
      <c r="AP108" s="257">
        <f t="shared" si="3"/>
        <v>0</v>
      </c>
      <c r="AQ108" s="321"/>
      <c r="AR108" s="260"/>
      <c r="AS108" s="260"/>
      <c r="AT108" s="261"/>
      <c r="AU108" s="258"/>
      <c r="AV108" s="121"/>
      <c r="AW108" s="121"/>
    </row>
    <row r="109" spans="38:49" ht="22.5">
      <c r="AL109" s="121"/>
      <c r="AM109" s="121"/>
      <c r="AN109" s="504" t="s">
        <v>2358</v>
      </c>
      <c r="AO109" s="536" t="s">
        <v>2359</v>
      </c>
      <c r="AP109" s="257">
        <f t="shared" si="3"/>
        <v>0</v>
      </c>
      <c r="AQ109" s="321"/>
      <c r="AR109" s="260"/>
      <c r="AS109" s="260"/>
      <c r="AT109" s="257">
        <f>SUM(AT110:AT114)</f>
        <v>0</v>
      </c>
      <c r="AU109" s="258"/>
      <c r="AV109" s="121"/>
      <c r="AW109" s="121"/>
    </row>
    <row r="110" spans="38:49">
      <c r="AL110" s="121"/>
      <c r="AM110" s="121"/>
      <c r="AN110" s="504" t="s">
        <v>2360</v>
      </c>
      <c r="AO110" s="537" t="s">
        <v>2444</v>
      </c>
      <c r="AP110" s="257">
        <f t="shared" si="3"/>
        <v>0</v>
      </c>
      <c r="AQ110" s="321"/>
      <c r="AR110" s="260"/>
      <c r="AS110" s="260"/>
      <c r="AT110" s="261"/>
      <c r="AU110" s="258"/>
      <c r="AV110" s="121"/>
      <c r="AW110" s="121"/>
    </row>
    <row r="111" spans="38:49">
      <c r="AL111" s="121"/>
      <c r="AM111" s="121"/>
      <c r="AN111" s="504" t="s">
        <v>2361</v>
      </c>
      <c r="AO111" s="537" t="s">
        <v>2362</v>
      </c>
      <c r="AP111" s="257">
        <f t="shared" si="3"/>
        <v>0</v>
      </c>
      <c r="AQ111" s="321"/>
      <c r="AR111" s="260"/>
      <c r="AS111" s="260"/>
      <c r="AT111" s="261"/>
      <c r="AU111" s="258"/>
      <c r="AV111" s="121"/>
      <c r="AW111" s="121"/>
    </row>
    <row r="112" spans="38:49">
      <c r="AL112" s="121"/>
      <c r="AM112" s="121"/>
      <c r="AN112" s="504" t="s">
        <v>2363</v>
      </c>
      <c r="AO112" s="528" t="s">
        <v>872</v>
      </c>
      <c r="AP112" s="257">
        <f t="shared" si="3"/>
        <v>0</v>
      </c>
      <c r="AQ112" s="321"/>
      <c r="AR112" s="260"/>
      <c r="AS112" s="260"/>
      <c r="AT112" s="261"/>
      <c r="AU112" s="258"/>
      <c r="AV112" s="121"/>
      <c r="AW112" s="121"/>
    </row>
    <row r="113" spans="1:49" ht="22.5">
      <c r="AL113" s="121"/>
      <c r="AM113" s="121"/>
      <c r="AN113" s="504" t="s">
        <v>2364</v>
      </c>
      <c r="AO113" s="528" t="s">
        <v>2365</v>
      </c>
      <c r="AP113" s="257">
        <f t="shared" si="3"/>
        <v>0</v>
      </c>
      <c r="AQ113" s="321"/>
      <c r="AR113" s="260"/>
      <c r="AS113" s="260"/>
      <c r="AT113" s="261"/>
      <c r="AU113" s="258"/>
      <c r="AV113" s="121"/>
      <c r="AW113" s="121"/>
    </row>
    <row r="114" spans="1:49">
      <c r="AL114" s="121"/>
      <c r="AM114" s="121"/>
      <c r="AN114" s="504" t="s">
        <v>2366</v>
      </c>
      <c r="AO114" s="528" t="s">
        <v>2367</v>
      </c>
      <c r="AP114" s="257">
        <f t="shared" si="3"/>
        <v>0</v>
      </c>
      <c r="AQ114" s="321"/>
      <c r="AR114" s="260"/>
      <c r="AS114" s="260"/>
      <c r="AT114" s="261"/>
      <c r="AU114" s="258"/>
      <c r="AV114" s="121"/>
      <c r="AW114" s="121"/>
    </row>
    <row r="115" spans="1:49" ht="0.75" customHeight="1">
      <c r="AL115" s="121"/>
      <c r="AM115" s="121"/>
      <c r="AN115" s="504"/>
      <c r="AO115" s="526"/>
      <c r="AP115" s="504"/>
      <c r="AQ115" s="321"/>
      <c r="AR115" s="260"/>
      <c r="AS115" s="260"/>
      <c r="AT115" s="260"/>
      <c r="AU115" s="258"/>
      <c r="AV115" s="121"/>
      <c r="AW115" s="121"/>
    </row>
    <row r="116" spans="1:49" ht="0.75" customHeight="1">
      <c r="AL116" s="121"/>
      <c r="AM116" s="121"/>
      <c r="AN116" s="504"/>
      <c r="AO116" s="527"/>
      <c r="AP116" s="504"/>
      <c r="AQ116" s="321"/>
      <c r="AR116" s="260"/>
      <c r="AS116" s="260"/>
      <c r="AT116" s="260"/>
      <c r="AU116" s="258"/>
      <c r="AV116" s="121"/>
      <c r="AW116" s="121"/>
    </row>
    <row r="117" spans="1:49" ht="0.75" customHeight="1">
      <c r="AL117" s="121"/>
      <c r="AM117" s="121"/>
      <c r="AN117" s="504"/>
      <c r="AO117" s="528"/>
      <c r="AP117" s="504"/>
      <c r="AQ117" s="321"/>
      <c r="AR117" s="260"/>
      <c r="AS117" s="260"/>
      <c r="AT117" s="260"/>
      <c r="AU117" s="258"/>
      <c r="AV117" s="121"/>
      <c r="AW117" s="121"/>
    </row>
    <row r="118" spans="1:49" ht="0.75" customHeight="1">
      <c r="AL118" s="121"/>
      <c r="AM118" s="121"/>
      <c r="AN118" s="504"/>
      <c r="AO118" s="527"/>
      <c r="AP118" s="504"/>
      <c r="AQ118" s="321"/>
      <c r="AR118" s="260"/>
      <c r="AS118" s="260"/>
      <c r="AT118" s="260"/>
      <c r="AU118" s="258"/>
      <c r="AV118" s="121"/>
      <c r="AW118" s="121"/>
    </row>
    <row r="119" spans="1:49" ht="0.75" customHeight="1">
      <c r="AL119" s="121"/>
      <c r="AM119" s="121"/>
      <c r="AN119" s="504"/>
      <c r="AO119" s="527"/>
      <c r="AP119" s="504"/>
      <c r="AQ119" s="321"/>
      <c r="AR119" s="260"/>
      <c r="AS119" s="260"/>
      <c r="AT119" s="260"/>
      <c r="AU119" s="258"/>
      <c r="AV119" s="121"/>
      <c r="AW119" s="121"/>
    </row>
    <row r="120" spans="1:49" ht="0.75" customHeight="1">
      <c r="AL120" s="121"/>
      <c r="AM120" s="121"/>
      <c r="AN120" s="504"/>
      <c r="AO120" s="527"/>
      <c r="AP120" s="504"/>
      <c r="AQ120" s="321"/>
      <c r="AR120" s="260"/>
      <c r="AS120" s="260"/>
      <c r="AT120" s="260"/>
      <c r="AU120" s="258"/>
      <c r="AV120" s="121"/>
      <c r="AW120" s="121"/>
    </row>
    <row r="121" spans="1:49" ht="0.75" customHeight="1">
      <c r="AL121" s="121"/>
      <c r="AM121" s="121"/>
      <c r="AN121" s="504"/>
      <c r="AO121" s="527"/>
      <c r="AP121" s="504"/>
      <c r="AQ121" s="321"/>
      <c r="AR121" s="260"/>
      <c r="AS121" s="260"/>
      <c r="AT121" s="260"/>
      <c r="AU121" s="258"/>
      <c r="AV121" s="121"/>
      <c r="AW121" s="121"/>
    </row>
    <row r="122" spans="1:49" ht="0.75" customHeight="1">
      <c r="AL122" s="121"/>
      <c r="AM122" s="121"/>
      <c r="AN122" s="504"/>
      <c r="AO122" s="528"/>
      <c r="AP122" s="504"/>
      <c r="AQ122" s="321"/>
      <c r="AR122" s="260"/>
      <c r="AS122" s="260"/>
      <c r="AT122" s="260"/>
      <c r="AU122" s="258"/>
      <c r="AV122" s="121"/>
      <c r="AW122" s="121"/>
    </row>
    <row r="123" spans="1:49" ht="0.75" customHeight="1">
      <c r="AL123" s="121"/>
      <c r="AM123" s="121"/>
      <c r="AN123" s="504"/>
      <c r="AO123" s="538"/>
      <c r="AP123" s="504"/>
      <c r="AQ123" s="321"/>
      <c r="AR123" s="260"/>
      <c r="AS123" s="260"/>
      <c r="AT123" s="260"/>
      <c r="AU123" s="258"/>
      <c r="AV123" s="121"/>
      <c r="AW123" s="121"/>
    </row>
    <row r="124" spans="1:49" ht="0.75" customHeight="1">
      <c r="AL124" s="121"/>
      <c r="AM124" s="121"/>
      <c r="AN124" s="504"/>
      <c r="AO124" s="528"/>
      <c r="AP124" s="504"/>
      <c r="AQ124" s="321"/>
      <c r="AR124" s="260"/>
      <c r="AS124" s="260"/>
      <c r="AT124" s="260"/>
      <c r="AU124" s="258"/>
      <c r="AV124" s="121"/>
      <c r="AW124" s="121"/>
    </row>
    <row r="125" spans="1:49" ht="0.75" customHeight="1">
      <c r="A125" s="47"/>
      <c r="B125" s="47"/>
      <c r="C125" s="47"/>
      <c r="D125" s="47"/>
      <c r="E125" s="47"/>
      <c r="F125" s="47"/>
      <c r="G125" s="47"/>
      <c r="H125" s="47"/>
      <c r="I125" s="47"/>
      <c r="J125"/>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50"/>
      <c r="AM125" s="126"/>
      <c r="AN125" s="223"/>
      <c r="AO125" s="728"/>
      <c r="AP125" s="260"/>
      <c r="AQ125" s="258"/>
      <c r="AR125" s="260"/>
      <c r="AS125" s="260"/>
      <c r="AT125" s="260"/>
      <c r="AU125" s="258"/>
      <c r="AV125" s="127"/>
    </row>
    <row r="126" spans="1:49" ht="0.75" customHeight="1">
      <c r="A126" s="47"/>
      <c r="B126" s="47"/>
      <c r="C126" s="47"/>
      <c r="D126" s="47"/>
      <c r="E126" s="47"/>
      <c r="F126" s="47"/>
      <c r="G126" s="47"/>
      <c r="H126" s="47"/>
      <c r="I126" s="47"/>
      <c r="J126"/>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50"/>
      <c r="AM126" s="126"/>
      <c r="AN126" s="223"/>
      <c r="AO126" s="728"/>
      <c r="AP126" s="260"/>
      <c r="AQ126" s="258"/>
      <c r="AR126" s="260"/>
      <c r="AS126" s="260"/>
      <c r="AT126" s="260"/>
      <c r="AU126" s="258"/>
      <c r="AV126" s="127"/>
    </row>
    <row r="127" spans="1:49" ht="0.75" customHeight="1">
      <c r="A127" s="47"/>
      <c r="B127" s="47"/>
      <c r="C127" s="47"/>
      <c r="D127" s="47"/>
      <c r="E127" s="47"/>
      <c r="F127" s="47"/>
      <c r="G127" s="47"/>
      <c r="H127" s="47"/>
      <c r="I127" s="47"/>
      <c r="J12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50"/>
      <c r="AM127" s="126"/>
      <c r="AN127" s="223"/>
      <c r="AO127" s="728"/>
      <c r="AP127" s="260"/>
      <c r="AQ127" s="258"/>
      <c r="AR127" s="260"/>
      <c r="AS127" s="260"/>
      <c r="AT127" s="260"/>
      <c r="AU127" s="258"/>
      <c r="AV127" s="127"/>
    </row>
    <row r="128" spans="1:49" ht="0.75" customHeight="1">
      <c r="A128" s="47"/>
      <c r="B128" s="47"/>
      <c r="C128" s="47"/>
      <c r="D128" s="47"/>
      <c r="E128" s="47"/>
      <c r="F128" s="47"/>
      <c r="G128" s="47"/>
      <c r="H128" s="47"/>
      <c r="I128" s="47"/>
      <c r="J128"/>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50"/>
      <c r="AM128" s="126"/>
      <c r="AN128" s="223"/>
      <c r="AO128" s="728"/>
      <c r="AP128" s="260"/>
      <c r="AQ128" s="258"/>
      <c r="AR128" s="260"/>
      <c r="AS128" s="260"/>
      <c r="AT128" s="260"/>
      <c r="AU128" s="258"/>
      <c r="AV128" s="127"/>
    </row>
    <row r="129" spans="1:49" ht="0.75" customHeight="1">
      <c r="A129" s="47"/>
      <c r="B129" s="47"/>
      <c r="C129" s="47"/>
      <c r="D129" s="47"/>
      <c r="E129" s="47"/>
      <c r="F129" s="47"/>
      <c r="G129" s="47"/>
      <c r="H129" s="47"/>
      <c r="I129" s="47"/>
      <c r="J129"/>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50"/>
      <c r="AM129" s="126"/>
      <c r="AN129" s="223"/>
      <c r="AO129" s="728"/>
      <c r="AP129" s="260"/>
      <c r="AQ129" s="258"/>
      <c r="AR129" s="260"/>
      <c r="AS129" s="260"/>
      <c r="AT129" s="260"/>
      <c r="AU129" s="258"/>
      <c r="AV129" s="127"/>
    </row>
    <row r="130" spans="1:49" ht="0.75" customHeight="1">
      <c r="A130" s="47"/>
      <c r="B130" s="47"/>
      <c r="C130" s="47"/>
      <c r="D130" s="47"/>
      <c r="E130" s="47"/>
      <c r="F130" s="47"/>
      <c r="G130" s="47"/>
      <c r="H130" s="47"/>
      <c r="I130" s="47"/>
      <c r="J130"/>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50"/>
      <c r="AM130" s="126"/>
      <c r="AN130" s="223"/>
      <c r="AO130" s="728"/>
      <c r="AP130" s="260"/>
      <c r="AQ130" s="258"/>
      <c r="AR130" s="260"/>
      <c r="AS130" s="260"/>
      <c r="AT130" s="260"/>
      <c r="AU130" s="258"/>
      <c r="AV130" s="127"/>
    </row>
    <row r="131" spans="1:49" ht="0.75" customHeight="1">
      <c r="AL131" s="121"/>
      <c r="AM131" s="121"/>
      <c r="AN131" s="504"/>
      <c r="AO131" s="526"/>
      <c r="AP131" s="504"/>
      <c r="AQ131" s="321"/>
      <c r="AR131" s="260"/>
      <c r="AS131" s="260"/>
      <c r="AT131" s="260"/>
      <c r="AU131" s="258"/>
      <c r="AV131" s="121"/>
      <c r="AW131" s="121"/>
    </row>
    <row r="132" spans="1:49" ht="0.75" customHeight="1">
      <c r="AL132" s="121"/>
      <c r="AM132" s="121"/>
      <c r="AN132" s="504"/>
      <c r="AO132" s="526"/>
      <c r="AP132" s="504"/>
      <c r="AQ132" s="321"/>
      <c r="AR132" s="260"/>
      <c r="AS132" s="260"/>
      <c r="AT132" s="260"/>
      <c r="AU132" s="258"/>
      <c r="AV132" s="121"/>
      <c r="AW132" s="121"/>
    </row>
    <row r="133" spans="1:49" ht="0.75" customHeight="1">
      <c r="AL133" s="121"/>
      <c r="AM133" s="121"/>
      <c r="AN133" s="504"/>
      <c r="AO133" s="526"/>
      <c r="AP133" s="504"/>
      <c r="AQ133" s="321"/>
      <c r="AR133" s="260"/>
      <c r="AS133" s="260"/>
      <c r="AT133" s="260"/>
      <c r="AU133" s="258"/>
      <c r="AV133" s="121"/>
      <c r="AW133" s="121"/>
    </row>
    <row r="134" spans="1:49" ht="0.75" customHeight="1">
      <c r="AL134" s="121"/>
      <c r="AM134" s="121"/>
      <c r="AN134" s="504"/>
      <c r="AO134" s="526"/>
      <c r="AP134" s="504"/>
      <c r="AQ134" s="321"/>
      <c r="AR134" s="260"/>
      <c r="AS134" s="260"/>
      <c r="AT134" s="260"/>
      <c r="AU134" s="258"/>
      <c r="AV134" s="121"/>
      <c r="AW134" s="121"/>
    </row>
    <row r="135" spans="1:49" ht="0.75" customHeight="1">
      <c r="AL135" s="121"/>
      <c r="AM135" s="121"/>
      <c r="AN135" s="504"/>
      <c r="AO135" s="526"/>
      <c r="AP135" s="504"/>
      <c r="AQ135" s="321"/>
      <c r="AR135" s="260"/>
      <c r="AS135" s="260"/>
      <c r="AT135" s="260"/>
      <c r="AU135" s="258"/>
      <c r="AV135" s="121"/>
      <c r="AW135" s="121"/>
    </row>
    <row r="136" spans="1:49" ht="0.75" customHeight="1">
      <c r="AL136" s="121"/>
      <c r="AM136" s="121"/>
      <c r="AN136" s="504"/>
      <c r="AO136" s="526"/>
      <c r="AP136" s="504"/>
      <c r="AQ136" s="321"/>
      <c r="AR136" s="260"/>
      <c r="AS136" s="260"/>
      <c r="AT136" s="260"/>
      <c r="AU136" s="258"/>
      <c r="AV136" s="121"/>
      <c r="AW136" s="121"/>
    </row>
    <row r="137" spans="1:49" ht="0.75" customHeight="1">
      <c r="AL137" s="121"/>
      <c r="AM137" s="121"/>
      <c r="AN137" s="504"/>
      <c r="AO137" s="526"/>
      <c r="AP137" s="504"/>
      <c r="AQ137" s="321"/>
      <c r="AR137" s="260"/>
      <c r="AS137" s="260"/>
      <c r="AT137" s="260"/>
      <c r="AU137" s="258"/>
      <c r="AV137" s="121"/>
      <c r="AW137" s="121"/>
    </row>
    <row r="138" spans="1:49" ht="0.75" hidden="1" customHeight="1">
      <c r="AL138" s="121"/>
      <c r="AM138" s="121"/>
      <c r="AN138" s="504"/>
      <c r="AO138" s="540"/>
      <c r="AP138" s="504"/>
      <c r="AQ138" s="321"/>
      <c r="AR138" s="260"/>
      <c r="AS138" s="260"/>
      <c r="AT138" s="260"/>
      <c r="AU138" s="258"/>
      <c r="AV138" s="121"/>
      <c r="AW138" s="121"/>
    </row>
    <row r="139" spans="1:49" ht="0.75" customHeight="1">
      <c r="AL139" s="121"/>
      <c r="AM139" s="121"/>
      <c r="AN139" s="504"/>
      <c r="AO139" s="526"/>
      <c r="AP139" s="504"/>
      <c r="AQ139" s="321"/>
      <c r="AR139" s="260"/>
      <c r="AS139" s="260"/>
      <c r="AT139" s="260"/>
      <c r="AU139" s="258"/>
      <c r="AV139" s="121"/>
      <c r="AW139" s="121"/>
    </row>
    <row r="140" spans="1:49" ht="0.75" customHeight="1">
      <c r="AL140" s="121"/>
      <c r="AM140" s="121"/>
      <c r="AN140" s="504"/>
      <c r="AO140" s="526"/>
      <c r="AP140" s="504"/>
      <c r="AQ140" s="321"/>
      <c r="AR140" s="260"/>
      <c r="AS140" s="260"/>
      <c r="AT140" s="260"/>
      <c r="AU140" s="258"/>
      <c r="AV140" s="121"/>
      <c r="AW140" s="121"/>
    </row>
    <row r="141" spans="1:49" ht="0.75" customHeight="1">
      <c r="AL141" s="121"/>
      <c r="AM141" s="121"/>
      <c r="AN141" s="504"/>
      <c r="AO141" s="526"/>
      <c r="AP141" s="504"/>
      <c r="AQ141" s="321"/>
      <c r="AR141" s="260"/>
      <c r="AS141" s="260"/>
      <c r="AT141" s="260"/>
      <c r="AU141" s="258"/>
      <c r="AV141" s="121"/>
      <c r="AW141" s="121"/>
    </row>
    <row r="142" spans="1:49" ht="0.75" customHeight="1">
      <c r="AL142" s="121"/>
      <c r="AM142" s="121"/>
      <c r="AN142" s="504"/>
      <c r="AO142" s="526"/>
      <c r="AP142" s="504"/>
      <c r="AQ142" s="321"/>
      <c r="AR142" s="260"/>
      <c r="AS142" s="260"/>
      <c r="AT142" s="260"/>
      <c r="AU142" s="258"/>
      <c r="AV142" s="121"/>
      <c r="AW142" s="121"/>
    </row>
    <row r="143" spans="1:49" ht="0.75" customHeight="1">
      <c r="AL143" s="121"/>
      <c r="AM143" s="121"/>
      <c r="AN143" s="504"/>
      <c r="AO143" s="526"/>
      <c r="AP143" s="504"/>
      <c r="AQ143" s="321"/>
      <c r="AR143" s="260"/>
      <c r="AS143" s="260"/>
      <c r="AT143" s="260"/>
      <c r="AU143" s="258"/>
      <c r="AV143" s="121"/>
      <c r="AW143" s="121"/>
    </row>
    <row r="144" spans="1:49" ht="0.75" customHeight="1">
      <c r="AL144" s="121"/>
      <c r="AM144" s="121"/>
      <c r="AN144" s="559"/>
      <c r="AO144" s="604"/>
      <c r="AP144" s="504"/>
      <c r="AQ144" s="321"/>
      <c r="AR144" s="260"/>
      <c r="AS144" s="260"/>
      <c r="AT144" s="260"/>
      <c r="AU144" s="258"/>
      <c r="AV144" s="121"/>
      <c r="AW144" s="121"/>
    </row>
    <row r="145" spans="38:49" s="121" customFormat="1" ht="0.75" customHeight="1">
      <c r="AN145" s="504"/>
      <c r="AO145" s="526"/>
      <c r="AP145" s="504"/>
      <c r="AQ145" s="321"/>
      <c r="AR145" s="260"/>
      <c r="AS145" s="260"/>
      <c r="AT145" s="260"/>
      <c r="AU145" s="258"/>
    </row>
    <row r="146" spans="38:49" s="121" customFormat="1" ht="0.75" customHeight="1">
      <c r="AN146" s="222"/>
      <c r="AO146" s="540"/>
      <c r="AP146" s="504"/>
      <c r="AQ146" s="321"/>
      <c r="AR146" s="260"/>
      <c r="AS146" s="260"/>
      <c r="AT146" s="260"/>
      <c r="AU146" s="258"/>
    </row>
    <row r="147" spans="38:49" s="121" customFormat="1" ht="0.75" customHeight="1">
      <c r="AN147" s="222"/>
      <c r="AO147" s="540"/>
      <c r="AP147" s="504"/>
      <c r="AQ147" s="321"/>
      <c r="AR147" s="260"/>
      <c r="AS147" s="260"/>
      <c r="AT147" s="260"/>
      <c r="AU147" s="258"/>
    </row>
    <row r="148" spans="38:49" s="121" customFormat="1" ht="0.75" customHeight="1">
      <c r="AN148" s="222"/>
      <c r="AO148" s="541"/>
      <c r="AP148" s="504"/>
      <c r="AQ148" s="321"/>
      <c r="AR148" s="260"/>
      <c r="AS148" s="260"/>
      <c r="AT148" s="260"/>
      <c r="AU148" s="258"/>
    </row>
    <row r="149" spans="38:49" ht="0.75" customHeight="1">
      <c r="AL149" s="121"/>
      <c r="AM149" s="121"/>
      <c r="AN149" s="222"/>
      <c r="AO149" s="502"/>
      <c r="AP149" s="504"/>
      <c r="AQ149" s="321"/>
      <c r="AR149" s="260"/>
      <c r="AS149" s="260"/>
      <c r="AT149" s="260"/>
      <c r="AU149" s="258"/>
      <c r="AV149" s="121"/>
      <c r="AW149" s="121"/>
    </row>
    <row r="150" spans="38:49" ht="0.75" customHeight="1">
      <c r="AL150" s="121"/>
      <c r="AM150" s="121"/>
      <c r="AN150" s="222"/>
      <c r="AO150" s="502"/>
      <c r="AP150" s="504"/>
      <c r="AQ150" s="321"/>
      <c r="AR150" s="260"/>
      <c r="AS150" s="260"/>
      <c r="AT150" s="260"/>
      <c r="AU150" s="258"/>
      <c r="AV150" s="121"/>
      <c r="AW150" s="121"/>
    </row>
    <row r="151" spans="38:49" s="121" customFormat="1" ht="0.75" customHeight="1">
      <c r="AN151" s="222"/>
      <c r="AO151" s="540"/>
      <c r="AP151" s="504"/>
      <c r="AQ151" s="321"/>
      <c r="AR151" s="260"/>
      <c r="AS151" s="260"/>
      <c r="AT151" s="260"/>
      <c r="AU151" s="258"/>
    </row>
    <row r="152" spans="38:49" s="121" customFormat="1" ht="0.75" customHeight="1">
      <c r="AN152" s="222"/>
      <c r="AO152" s="502"/>
      <c r="AP152" s="504"/>
      <c r="AQ152" s="321"/>
      <c r="AR152" s="260"/>
      <c r="AS152" s="260"/>
      <c r="AT152" s="260"/>
      <c r="AU152" s="258"/>
    </row>
    <row r="153" spans="38:49" s="121" customFormat="1" ht="0.75" customHeight="1">
      <c r="AN153" s="222"/>
      <c r="AO153" s="502"/>
      <c r="AP153" s="504"/>
      <c r="AQ153" s="321"/>
      <c r="AR153" s="260"/>
      <c r="AS153" s="260"/>
      <c r="AT153" s="260"/>
      <c r="AU153" s="258"/>
    </row>
    <row r="154" spans="38:49" s="121" customFormat="1" ht="0.75" customHeight="1">
      <c r="AN154" s="222"/>
      <c r="AO154" s="540"/>
      <c r="AP154" s="504"/>
      <c r="AQ154" s="321"/>
      <c r="AR154" s="260"/>
      <c r="AS154" s="260"/>
      <c r="AT154" s="260"/>
      <c r="AU154" s="258"/>
    </row>
    <row r="155" spans="38:49" s="121" customFormat="1" ht="0.75" customHeight="1">
      <c r="AN155" s="222"/>
      <c r="AO155" s="502"/>
      <c r="AP155" s="504"/>
      <c r="AQ155" s="321"/>
      <c r="AR155" s="260"/>
      <c r="AS155" s="260"/>
      <c r="AT155" s="260"/>
      <c r="AU155" s="258"/>
    </row>
    <row r="156" spans="38:49" s="121" customFormat="1" ht="0.75" customHeight="1">
      <c r="AN156" s="222"/>
      <c r="AO156" s="502"/>
      <c r="AP156" s="504"/>
      <c r="AQ156" s="321"/>
      <c r="AR156" s="260"/>
      <c r="AS156" s="260"/>
      <c r="AT156" s="260"/>
      <c r="AU156" s="258"/>
    </row>
    <row r="157" spans="38:49" ht="0.75" customHeight="1">
      <c r="AL157" s="121"/>
      <c r="AM157" s="121"/>
      <c r="AN157" s="222"/>
      <c r="AO157" s="540"/>
      <c r="AP157" s="504"/>
      <c r="AQ157" s="321"/>
      <c r="AR157" s="260"/>
      <c r="AS157" s="260"/>
      <c r="AT157" s="260"/>
      <c r="AU157" s="258"/>
      <c r="AV157" s="121"/>
      <c r="AW157" s="121"/>
    </row>
    <row r="158" spans="38:49" s="121" customFormat="1" ht="0.75" customHeight="1">
      <c r="AN158" s="222"/>
      <c r="AO158" s="502"/>
      <c r="AP158" s="504"/>
      <c r="AQ158" s="321"/>
      <c r="AR158" s="260"/>
      <c r="AS158" s="260"/>
      <c r="AT158" s="260"/>
      <c r="AU158" s="258"/>
    </row>
    <row r="159" spans="38:49" s="121" customFormat="1" ht="0.75" customHeight="1">
      <c r="AN159" s="222"/>
      <c r="AO159" s="502"/>
      <c r="AP159" s="504"/>
      <c r="AQ159" s="321"/>
      <c r="AR159" s="260"/>
      <c r="AS159" s="260"/>
      <c r="AT159" s="260"/>
      <c r="AU159" s="258"/>
    </row>
    <row r="160" spans="38:49" s="121" customFormat="1" hidden="1">
      <c r="AN160" s="222"/>
      <c r="AO160" s="502"/>
      <c r="AP160" s="323"/>
      <c r="AQ160" s="321"/>
      <c r="AR160" s="260"/>
      <c r="AS160" s="260"/>
      <c r="AT160" s="260"/>
      <c r="AU160" s="258"/>
    </row>
    <row r="161" spans="1:49" s="121" customFormat="1" hidden="1">
      <c r="AN161" s="222"/>
      <c r="AO161" s="502"/>
      <c r="AP161" s="323"/>
      <c r="AQ161" s="321"/>
      <c r="AR161" s="260"/>
      <c r="AS161" s="260"/>
      <c r="AT161" s="260"/>
      <c r="AU161" s="258"/>
    </row>
    <row r="162" spans="1:49" s="121" customFormat="1" hidden="1">
      <c r="AN162" s="222"/>
      <c r="AO162" s="502"/>
      <c r="AP162" s="323"/>
      <c r="AQ162" s="321"/>
      <c r="AR162" s="260"/>
      <c r="AS162" s="260"/>
      <c r="AT162" s="260"/>
      <c r="AU162" s="258"/>
    </row>
    <row r="163" spans="1:49" s="121" customFormat="1" hidden="1">
      <c r="AN163" s="222"/>
      <c r="AO163" s="502"/>
      <c r="AP163" s="323"/>
      <c r="AQ163" s="321"/>
      <c r="AR163" s="260"/>
      <c r="AS163" s="260"/>
      <c r="AT163" s="260"/>
      <c r="AU163" s="258"/>
    </row>
    <row r="164" spans="1:49" ht="0.75" customHeight="1">
      <c r="AL164" s="121"/>
      <c r="AM164" s="121"/>
      <c r="AN164" s="223"/>
      <c r="AO164" s="216"/>
      <c r="AP164" s="543"/>
      <c r="AQ164" s="523"/>
      <c r="AR164" s="547"/>
      <c r="AS164" s="547"/>
      <c r="AT164" s="547"/>
      <c r="AU164" s="265"/>
      <c r="AV164" s="121"/>
      <c r="AW164" s="121"/>
    </row>
    <row r="165" spans="1:49" s="54" customFormat="1">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48"/>
      <c r="AV165" s="121"/>
      <c r="AW165" s="121"/>
    </row>
    <row r="166" spans="1:49" s="54" customFormat="1">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47"/>
      <c r="AR166" s="47"/>
      <c r="AS166" s="47"/>
      <c r="AT166" s="47"/>
      <c r="AU166" s="47"/>
      <c r="AV166" s="121"/>
      <c r="AW166" s="121"/>
    </row>
    <row r="167" spans="1:49">
      <c r="AL167" s="121"/>
      <c r="AM167" s="121"/>
    </row>
  </sheetData>
  <sheetProtection password="FA9C" sheet="1" objects="1" scenarios="1" formatColumns="0" formatRows="0"/>
  <mergeCells count="8">
    <mergeCell ref="AR13:AT13"/>
    <mergeCell ref="AN9:AP9"/>
    <mergeCell ref="AN11:AN12"/>
    <mergeCell ref="AO11:AO12"/>
    <mergeCell ref="AP11:AP12"/>
    <mergeCell ref="AR10:AT10"/>
    <mergeCell ref="AR11:AT11"/>
    <mergeCell ref="AR12:AT12"/>
  </mergeCells>
  <phoneticPr fontId="8"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sheetPr codeName="VOTV_CALC_PERIOD3">
    <tabColor rgb="FF00B050"/>
    <outlinePr summaryBelow="0"/>
  </sheetPr>
  <dimension ref="A1:AW167"/>
  <sheetViews>
    <sheetView showGridLines="0" topLeftCell="AL8" workbookViewId="0">
      <selection activeCell="AZ42" sqref="AZ42"/>
    </sheetView>
  </sheetViews>
  <sheetFormatPr defaultColWidth="8.7109375" defaultRowHeight="11.25"/>
  <cols>
    <col min="1" max="37" width="2.7109375" style="121"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3" width="0.140625" style="47" customWidth="1"/>
    <col min="44" max="45" width="0.140625" style="47" hidden="1" customWidth="1"/>
    <col min="46" max="46" width="17.7109375" style="47" customWidth="1"/>
    <col min="47" max="47" width="0.140625" style="47" customWidth="1"/>
    <col min="48" max="49" width="2.7109375" style="47" customWidth="1"/>
    <col min="50" max="16384" width="8.7109375" style="47"/>
  </cols>
  <sheetData>
    <row r="1" spans="1:49" ht="12" hidden="1" customHeight="1">
      <c r="A1" s="47"/>
      <c r="B1" s="47"/>
      <c r="C1" s="47"/>
      <c r="D1" s="47"/>
      <c r="E1" s="47"/>
      <c r="F1" s="47"/>
      <c r="G1" s="47"/>
      <c r="H1" s="47"/>
      <c r="I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row>
    <row r="2" spans="1:49" ht="12" hidden="1" customHeight="1">
      <c r="A2" s="47"/>
      <c r="B2" s="47"/>
      <c r="C2" s="47"/>
      <c r="D2" s="47"/>
      <c r="E2" s="47"/>
      <c r="F2" s="47"/>
      <c r="G2" s="47"/>
      <c r="H2" s="47"/>
      <c r="I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row>
    <row r="3" spans="1:49" ht="12" hidden="1" customHeight="1">
      <c r="A3" s="47"/>
      <c r="B3" s="47"/>
      <c r="C3" s="47"/>
      <c r="D3" s="47"/>
      <c r="E3" s="47"/>
      <c r="F3" s="47"/>
      <c r="G3" s="47"/>
      <c r="H3" s="47"/>
      <c r="I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row>
    <row r="4" spans="1:49" ht="12" hidden="1" customHeight="1">
      <c r="A4" s="47"/>
      <c r="B4" s="47"/>
      <c r="C4" s="47"/>
      <c r="D4" s="47"/>
      <c r="E4" s="47"/>
      <c r="F4" s="47"/>
      <c r="G4" s="47"/>
      <c r="H4" s="47"/>
      <c r="I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row>
    <row r="5" spans="1:49" ht="12" hidden="1" customHeight="1">
      <c r="A5" s="47"/>
      <c r="B5" s="47"/>
      <c r="C5" s="47"/>
      <c r="D5" s="47"/>
      <c r="E5" s="47"/>
      <c r="F5" s="47"/>
      <c r="G5" s="47"/>
      <c r="H5" s="47"/>
      <c r="I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row>
    <row r="6" spans="1:49" ht="12" hidden="1" customHeight="1">
      <c r="A6" s="47"/>
      <c r="B6" s="47"/>
      <c r="C6" s="47"/>
      <c r="D6" s="47"/>
      <c r="E6" s="47"/>
      <c r="F6" s="47"/>
      <c r="G6" s="47"/>
      <c r="H6" s="47"/>
      <c r="I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row>
    <row r="7" spans="1:49" ht="12" hidden="1" customHeight="1">
      <c r="A7" s="47"/>
      <c r="B7" s="47"/>
      <c r="C7" s="47"/>
      <c r="D7" s="47"/>
      <c r="E7" s="47"/>
      <c r="F7" s="47"/>
      <c r="G7" s="47"/>
      <c r="H7" s="47"/>
      <c r="I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row>
    <row r="8" spans="1:49" s="520" customFormat="1" ht="11.25" customHeight="1">
      <c r="J8" s="521"/>
      <c r="AM8" s="522"/>
      <c r="AN8" s="637">
        <f>IF(TARIFF_SETUP_METHOD_CODE="BY_PSEUDO_YEARS",12,4)</f>
        <v>4</v>
      </c>
      <c r="AO8" s="431" t="str">
        <f>"Необходимо указывать " &amp; IF(TARIFF_SETUP_METHOD_CODE="BY_PSEUDO_YEARS","общегодовые значения","значения по периодам")</f>
        <v>Необходимо указывать значения по периодам</v>
      </c>
      <c r="AP8" s="616" t="s">
        <v>2498</v>
      </c>
      <c r="AQ8" s="522"/>
      <c r="AR8" s="624"/>
      <c r="AS8" s="624"/>
      <c r="AT8" s="624" t="s">
        <v>3269</v>
      </c>
      <c r="AU8" s="522"/>
      <c r="AV8" s="522"/>
    </row>
    <row r="9" spans="1:49"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по муниципальному образованию - " &amp; IF(mo="","Не определено",mo)</f>
        <v>Фактические расходы организаций водоотведения по муниципальному образованию - Село Булава</v>
      </c>
      <c r="AO9" s="917"/>
      <c r="AP9" s="917"/>
      <c r="AQ9" s="201"/>
      <c r="AR9" s="625" t="str">
        <f>AR11 &amp; ".1"</f>
        <v>1.1</v>
      </c>
      <c r="AS9" s="625" t="str">
        <f>AR11 &amp; ".2"</f>
        <v>1.2</v>
      </c>
      <c r="AT9" s="625" t="str">
        <f>AR11 &amp; ".0"</f>
        <v>1.0</v>
      </c>
      <c r="AU9" s="122"/>
      <c r="AV9" s="200"/>
    </row>
    <row r="10" spans="1:49" ht="12" customHeight="1">
      <c r="A10" s="47"/>
      <c r="B10" s="47"/>
      <c r="C10" s="47"/>
      <c r="D10" s="47"/>
      <c r="E10" s="47"/>
      <c r="F10" s="47"/>
      <c r="G10" s="47"/>
      <c r="H10" s="47"/>
      <c r="I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M10" s="124"/>
      <c r="AN10" s="430" t="s">
        <v>2499</v>
      </c>
      <c r="AO10" s="221"/>
      <c r="AP10" s="122" t="s">
        <v>786</v>
      </c>
      <c r="AQ10" s="201"/>
      <c r="AR10" s="814" t="s">
        <v>719</v>
      </c>
      <c r="AS10" s="814"/>
      <c r="AT10" s="814"/>
      <c r="AU10" s="168" t="s">
        <v>720</v>
      </c>
      <c r="AV10" s="53"/>
    </row>
    <row r="11" spans="1:49" ht="12" customHeight="1">
      <c r="A11" s="47"/>
      <c r="B11" s="47"/>
      <c r="C11" s="47"/>
      <c r="D11" s="47"/>
      <c r="E11" s="47"/>
      <c r="F11" s="47"/>
      <c r="G11" s="47"/>
      <c r="H11" s="47"/>
      <c r="I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50"/>
      <c r="AM11" s="125"/>
      <c r="AN11" s="802" t="s">
        <v>641</v>
      </c>
      <c r="AO11" s="804" t="s">
        <v>787</v>
      </c>
      <c r="AP11" s="806" t="s">
        <v>778</v>
      </c>
      <c r="AQ11" s="206">
        <v>0</v>
      </c>
      <c r="AR11" s="808">
        <v>1</v>
      </c>
      <c r="AS11" s="809"/>
      <c r="AT11" s="810"/>
      <c r="AU11" s="206"/>
      <c r="AV11" s="220"/>
    </row>
    <row r="12" spans="1:49" ht="48" customHeight="1">
      <c r="A12" s="47"/>
      <c r="B12" s="47"/>
      <c r="C12" s="47"/>
      <c r="D12" s="47"/>
      <c r="E12" s="47"/>
      <c r="F12" s="47"/>
      <c r="G12" s="47"/>
      <c r="H12" s="47"/>
      <c r="I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50"/>
      <c r="AM12" s="125"/>
      <c r="AN12" s="803"/>
      <c r="AO12" s="805"/>
      <c r="AP12" s="807"/>
      <c r="AQ12" s="207"/>
      <c r="AR12" s="964" t="str">
        <f>IF('Список организаций'!$I$16="","Не определено",'Список организаций'!$I$16)</f>
        <v>МУП СП "Село Булава" Булавинское ТЭП"</v>
      </c>
      <c r="AS12" s="797"/>
      <c r="AT12" s="798"/>
      <c r="AU12" s="207"/>
      <c r="AV12" s="121"/>
      <c r="AW12" s="121"/>
    </row>
    <row r="13" spans="1:49" ht="11.25" customHeight="1">
      <c r="A13" s="47"/>
      <c r="B13" s="47"/>
      <c r="C13" s="47"/>
      <c r="D13" s="47"/>
      <c r="E13" s="47"/>
      <c r="F13" s="47"/>
      <c r="G13" s="47"/>
      <c r="H13" s="47"/>
      <c r="I13" s="47"/>
      <c r="AL13" s="121"/>
      <c r="AM13" s="121"/>
      <c r="AN13" s="222"/>
      <c r="AO13" s="501" t="s">
        <v>788</v>
      </c>
      <c r="AP13" s="542"/>
      <c r="AQ13" s="330"/>
      <c r="AR13" s="963" t="str">
        <f>IF('Список организаций'!$M$16="","Не определено",'Список организаций'!$M$16)</f>
        <v>нет</v>
      </c>
      <c r="AS13" s="800"/>
      <c r="AT13" s="801"/>
      <c r="AU13" s="207"/>
      <c r="AV13" s="121"/>
      <c r="AW13" s="121"/>
    </row>
    <row r="14" spans="1:49">
      <c r="A14" s="47"/>
      <c r="B14" s="47"/>
      <c r="C14" s="47"/>
      <c r="D14" s="47"/>
      <c r="E14" s="47"/>
      <c r="F14" s="47"/>
      <c r="G14" s="47"/>
      <c r="H14" s="47"/>
      <c r="I14" s="47"/>
      <c r="AL14" s="121"/>
      <c r="AM14" s="121"/>
      <c r="AN14" s="222"/>
      <c r="AO14" s="556" t="str">
        <f>IF(CALC_IDENTIFIER="","",CALC_IDENTIFIER)</f>
        <v/>
      </c>
      <c r="AP14" s="557" t="s">
        <v>745</v>
      </c>
      <c r="AQ14" s="330"/>
      <c r="AR14" s="568"/>
      <c r="AS14" s="568"/>
      <c r="AT14" s="568" t="s">
        <v>745</v>
      </c>
      <c r="AU14" s="207"/>
      <c r="AV14" s="121"/>
      <c r="AW14" s="121"/>
    </row>
    <row r="15" spans="1:49">
      <c r="AL15" s="121"/>
      <c r="AM15" s="121"/>
      <c r="AN15" s="504" t="s">
        <v>642</v>
      </c>
      <c r="AO15" s="566" t="str">
        <f>IF(TEMPLATE_SPHERE="водоснабжения","Объём отпуска воды (тыс. куб.м)",IF(TEMPLATE_SPHERE="водоотведения","Пропущено сточных вод, всего (тыс. куб.м)"))</f>
        <v>Пропущено сточных вод, всего (тыс. куб.м)</v>
      </c>
      <c r="AP15" s="551">
        <f t="shared" ref="AP15:AP22" si="0">SUMIF(AQ$14:AU$14,AP$14,AQ15:AU15)</f>
        <v>1.0415999999999999</v>
      </c>
      <c r="AQ15" s="321"/>
      <c r="AR15" s="567"/>
      <c r="AS15" s="323"/>
      <c r="AT15" s="632">
        <f>IF(TARIFF_SETUP_METHOD_CODE="BY_MONTHS",SUMIF(БПр!$BF$129:$BF$158,AT$9&amp;"-"&amp;$AP$8,БПр!$J$129:$J$158),IF(TARIFF_SETUP_METHOD_CODE="BY_PSEUDO_YEARS",SUMIF(БПр!$F$129:$F$158,AT$9,БПр!$J$129:$J$158),0))/1000</f>
        <v>1.0415999999999999</v>
      </c>
      <c r="AU15" s="258"/>
      <c r="AV15" s="121"/>
      <c r="AW15" s="121"/>
    </row>
    <row r="16" spans="1:49" ht="22.5">
      <c r="AL16" s="121"/>
      <c r="AM16" s="121"/>
      <c r="AN16" s="504" t="s">
        <v>790</v>
      </c>
      <c r="AO16" s="527" t="s">
        <v>369</v>
      </c>
      <c r="AP16" s="257">
        <f t="shared" si="0"/>
        <v>0</v>
      </c>
      <c r="AQ16" s="321"/>
      <c r="AR16" s="553"/>
      <c r="AS16" s="553"/>
      <c r="AT16" s="629">
        <f>IF($AP$8="I",SUMIF('ТМ2 01.01 - 30.06'!$C$21:$C$25,AT$9,'ТМ2 01.01 - 30.06'!$AL$21:$AL$25),IF($AP$8="II",SUMIF('ТМ2 01.07 - 31.08'!$C$21:$C$25,AT$9,'ТМ2 01.07 - 31.08'!$AL$21:$AL$25),IF($AP$8="III",SUMIF('ТМ2 01.09 - 31.12'!$C$21:$C$25,AT$9,'ТМ2 01.09 - 31.12'!$AL$21:$AL$25),0)))/1000</f>
        <v>0</v>
      </c>
      <c r="AU16" s="258"/>
      <c r="AV16" s="121"/>
      <c r="AW16" s="121"/>
    </row>
    <row r="17" spans="38:49">
      <c r="AL17" s="121"/>
      <c r="AM17" s="121"/>
      <c r="AN17" s="504" t="s">
        <v>751</v>
      </c>
      <c r="AO17" s="526" t="s">
        <v>2814</v>
      </c>
      <c r="AP17" s="257">
        <f t="shared" si="0"/>
        <v>45</v>
      </c>
      <c r="AQ17" s="321"/>
      <c r="AR17" s="260"/>
      <c r="AS17" s="260"/>
      <c r="AT17" s="257">
        <f>AT18+AT47+AT48+AT49+AT53+AT54+AT55+AT80+AT86+AT90+AT91+AT92+AT93+AT96+AT97+AT98+AT99+AT109</f>
        <v>45</v>
      </c>
      <c r="AU17" s="258"/>
      <c r="AV17" s="121"/>
      <c r="AW17" s="121"/>
    </row>
    <row r="18" spans="38:49">
      <c r="AL18" s="121"/>
      <c r="AM18" s="121"/>
      <c r="AN18" s="504" t="s">
        <v>66</v>
      </c>
      <c r="AO18" s="527" t="s">
        <v>2815</v>
      </c>
      <c r="AP18" s="257">
        <f t="shared" si="0"/>
        <v>0</v>
      </c>
      <c r="AQ18" s="321"/>
      <c r="AR18" s="260"/>
      <c r="AS18" s="260"/>
      <c r="AT18" s="257">
        <f>AT19+AT46</f>
        <v>0</v>
      </c>
      <c r="AU18" s="258"/>
      <c r="AV18" s="121"/>
      <c r="AW18" s="121"/>
    </row>
    <row r="19" spans="38:49">
      <c r="AL19" s="121"/>
      <c r="AM19" s="121"/>
      <c r="AN19" s="504" t="s">
        <v>632</v>
      </c>
      <c r="AO19" s="528" t="s">
        <v>2816</v>
      </c>
      <c r="AP19" s="257">
        <f t="shared" si="0"/>
        <v>0</v>
      </c>
      <c r="AQ19" s="321"/>
      <c r="AR19" s="260"/>
      <c r="AS19" s="260"/>
      <c r="AT19" s="257">
        <f>AT22+AT25+AT28+AT31+AT34+AT37+AT40+AT43</f>
        <v>0</v>
      </c>
      <c r="AU19" s="258"/>
      <c r="AV19" s="121"/>
      <c r="AW19" s="121"/>
    </row>
    <row r="20" spans="38:49">
      <c r="AL20" s="121"/>
      <c r="AM20" s="121"/>
      <c r="AN20" s="223" t="s">
        <v>2817</v>
      </c>
      <c r="AO20" s="529" t="s">
        <v>2972</v>
      </c>
      <c r="AP20" s="257">
        <f t="shared" si="0"/>
        <v>0</v>
      </c>
      <c r="AQ20" s="321"/>
      <c r="AR20" s="260"/>
      <c r="AS20" s="260"/>
      <c r="AT20" s="257">
        <f>AT24+AT30+AT36+AT42</f>
        <v>0</v>
      </c>
      <c r="AU20" s="258"/>
      <c r="AV20" s="121"/>
      <c r="AW20" s="121"/>
    </row>
    <row r="21" spans="38:49">
      <c r="AL21" s="121"/>
      <c r="AM21" s="121"/>
      <c r="AN21" s="223" t="s">
        <v>2818</v>
      </c>
      <c r="AO21" s="529" t="s">
        <v>2988</v>
      </c>
      <c r="AP21" s="257">
        <f t="shared" si="0"/>
        <v>0</v>
      </c>
      <c r="AQ21" s="321"/>
      <c r="AR21" s="260"/>
      <c r="AS21" s="260"/>
      <c r="AT21" s="257">
        <f>AT27+AT33+AT39+AT45</f>
        <v>0</v>
      </c>
      <c r="AU21" s="258"/>
      <c r="AV21" s="121"/>
      <c r="AW21" s="121"/>
    </row>
    <row r="22" spans="38:49">
      <c r="AL22" s="121"/>
      <c r="AM22" s="121"/>
      <c r="AN22" s="223" t="s">
        <v>8</v>
      </c>
      <c r="AO22" s="529" t="s">
        <v>3011</v>
      </c>
      <c r="AP22" s="257">
        <f t="shared" si="0"/>
        <v>0</v>
      </c>
      <c r="AQ22" s="321"/>
      <c r="AR22" s="260"/>
      <c r="AS22" s="260"/>
      <c r="AT22" s="257">
        <f>AT23*AT24</f>
        <v>0</v>
      </c>
      <c r="AU22" s="258"/>
      <c r="AV22" s="121"/>
      <c r="AW22" s="121"/>
    </row>
    <row r="23" spans="38:49">
      <c r="AL23" s="121"/>
      <c r="AM23" s="121"/>
      <c r="AN23" s="524" t="s">
        <v>9</v>
      </c>
      <c r="AO23" s="530" t="s">
        <v>2968</v>
      </c>
      <c r="AP23" s="544">
        <f>IF(AP24=0,0,AP22/AP24)</f>
        <v>0</v>
      </c>
      <c r="AQ23" s="321"/>
      <c r="AR23" s="260"/>
      <c r="AS23" s="260"/>
      <c r="AT23" s="261"/>
      <c r="AU23" s="258"/>
      <c r="AV23" s="121"/>
      <c r="AW23" s="121"/>
    </row>
    <row r="24" spans="38:49">
      <c r="AL24" s="121"/>
      <c r="AM24" s="121"/>
      <c r="AN24" s="524" t="s">
        <v>10</v>
      </c>
      <c r="AO24" s="530" t="s">
        <v>2972</v>
      </c>
      <c r="AP24" s="257">
        <f>SUMIF(AQ$14:AU$14,AP$14,AQ24:AU24)</f>
        <v>0</v>
      </c>
      <c r="AQ24" s="321"/>
      <c r="AR24" s="260"/>
      <c r="AS24" s="260"/>
      <c r="AT24" s="261"/>
      <c r="AU24" s="258"/>
      <c r="AV24" s="121"/>
      <c r="AW24" s="121"/>
    </row>
    <row r="25" spans="38:49">
      <c r="AL25" s="121"/>
      <c r="AM25" s="121"/>
      <c r="AN25" s="223" t="s">
        <v>11</v>
      </c>
      <c r="AO25" s="531" t="s">
        <v>3015</v>
      </c>
      <c r="AP25" s="257">
        <f>SUMIF(AQ$14:AU$14,AP$14,AQ25:AU25)</f>
        <v>0</v>
      </c>
      <c r="AQ25" s="321"/>
      <c r="AR25" s="260"/>
      <c r="AS25" s="260"/>
      <c r="AT25" s="257">
        <f>AT26*AT27</f>
        <v>0</v>
      </c>
      <c r="AU25" s="258"/>
      <c r="AV25" s="121"/>
      <c r="AW25" s="121"/>
    </row>
    <row r="26" spans="38:49">
      <c r="AL26" s="121"/>
      <c r="AM26" s="121"/>
      <c r="AN26" s="524" t="s">
        <v>12</v>
      </c>
      <c r="AO26" s="530" t="s">
        <v>2970</v>
      </c>
      <c r="AP26" s="544">
        <f>IF(AP27=0,0,AP25/AP27)</f>
        <v>0</v>
      </c>
      <c r="AQ26" s="321"/>
      <c r="AR26" s="260"/>
      <c r="AS26" s="260"/>
      <c r="AT26" s="261"/>
      <c r="AU26" s="258"/>
      <c r="AV26" s="121"/>
      <c r="AW26" s="121"/>
    </row>
    <row r="27" spans="38:49">
      <c r="AL27" s="121"/>
      <c r="AM27" s="121"/>
      <c r="AN27" s="524" t="s">
        <v>13</v>
      </c>
      <c r="AO27" s="530" t="s">
        <v>3018</v>
      </c>
      <c r="AP27" s="257">
        <f>SUMIF(AQ$14:AU$14,AP$14,AQ27:AU27)</f>
        <v>0</v>
      </c>
      <c r="AQ27" s="321"/>
      <c r="AR27" s="260"/>
      <c r="AS27" s="260"/>
      <c r="AT27" s="261"/>
      <c r="AU27" s="258"/>
      <c r="AV27" s="121"/>
      <c r="AW27" s="121"/>
    </row>
    <row r="28" spans="38:49">
      <c r="AL28" s="121"/>
      <c r="AM28" s="121"/>
      <c r="AN28" s="223" t="s">
        <v>14</v>
      </c>
      <c r="AO28" s="529" t="s">
        <v>3020</v>
      </c>
      <c r="AP28" s="257">
        <f>SUMIF(AQ$14:AU$14,AP$14,AQ28:AU28)</f>
        <v>0</v>
      </c>
      <c r="AQ28" s="321"/>
      <c r="AR28" s="260"/>
      <c r="AS28" s="260"/>
      <c r="AT28" s="257">
        <f>AT29*AT30</f>
        <v>0</v>
      </c>
      <c r="AU28" s="258"/>
      <c r="AV28" s="121"/>
      <c r="AW28" s="121"/>
    </row>
    <row r="29" spans="38:49">
      <c r="AL29" s="121"/>
      <c r="AM29" s="121"/>
      <c r="AN29" s="524" t="s">
        <v>15</v>
      </c>
      <c r="AO29" s="530" t="s">
        <v>2968</v>
      </c>
      <c r="AP29" s="544">
        <f>IF(AP30=0,0,AP28/AP30)</f>
        <v>0</v>
      </c>
      <c r="AQ29" s="321"/>
      <c r="AR29" s="260"/>
      <c r="AS29" s="260"/>
      <c r="AT29" s="261"/>
      <c r="AU29" s="258"/>
      <c r="AV29" s="121"/>
      <c r="AW29" s="121"/>
    </row>
    <row r="30" spans="38:49">
      <c r="AL30" s="121"/>
      <c r="AM30" s="121"/>
      <c r="AN30" s="524" t="s">
        <v>16</v>
      </c>
      <c r="AO30" s="530" t="s">
        <v>2972</v>
      </c>
      <c r="AP30" s="257">
        <f>SUMIF(AQ$14:AU$14,AP$14,AQ30:AU30)</f>
        <v>0</v>
      </c>
      <c r="AQ30" s="321"/>
      <c r="AR30" s="260"/>
      <c r="AS30" s="260"/>
      <c r="AT30" s="261"/>
      <c r="AU30" s="258"/>
      <c r="AV30" s="121"/>
      <c r="AW30" s="121"/>
    </row>
    <row r="31" spans="38:49">
      <c r="AL31" s="121"/>
      <c r="AM31" s="121"/>
      <c r="AN31" s="223" t="s">
        <v>17</v>
      </c>
      <c r="AO31" s="531" t="s">
        <v>3024</v>
      </c>
      <c r="AP31" s="257">
        <f>SUMIF(AQ$14:AU$14,AP$14,AQ31:AU31)</f>
        <v>0</v>
      </c>
      <c r="AQ31" s="321"/>
      <c r="AR31" s="260"/>
      <c r="AS31" s="260"/>
      <c r="AT31" s="257">
        <f>AT32*AT33</f>
        <v>0</v>
      </c>
      <c r="AU31" s="258"/>
      <c r="AV31" s="121"/>
      <c r="AW31" s="121"/>
    </row>
    <row r="32" spans="38:49">
      <c r="AL32" s="121"/>
      <c r="AM32" s="121"/>
      <c r="AN32" s="524" t="s">
        <v>18</v>
      </c>
      <c r="AO32" s="530" t="s">
        <v>2970</v>
      </c>
      <c r="AP32" s="544">
        <f>IF(AP33=0,0,AP31/AP33)</f>
        <v>0</v>
      </c>
      <c r="AQ32" s="321"/>
      <c r="AR32" s="260"/>
      <c r="AS32" s="260"/>
      <c r="AT32" s="261"/>
      <c r="AU32" s="258"/>
      <c r="AV32" s="121"/>
      <c r="AW32" s="121"/>
    </row>
    <row r="33" spans="38:49">
      <c r="AL33" s="121"/>
      <c r="AM33" s="121"/>
      <c r="AN33" s="524" t="s">
        <v>19</v>
      </c>
      <c r="AO33" s="530" t="s">
        <v>3018</v>
      </c>
      <c r="AP33" s="257">
        <f>SUMIF(AQ$14:AU$14,AP$14,AQ33:AU33)</f>
        <v>0</v>
      </c>
      <c r="AQ33" s="321"/>
      <c r="AR33" s="260"/>
      <c r="AS33" s="260"/>
      <c r="AT33" s="261"/>
      <c r="AU33" s="258"/>
      <c r="AV33" s="121"/>
      <c r="AW33" s="121"/>
    </row>
    <row r="34" spans="38:49">
      <c r="AL34" s="121"/>
      <c r="AM34" s="121"/>
      <c r="AN34" s="223" t="s">
        <v>20</v>
      </c>
      <c r="AO34" s="529" t="s">
        <v>3028</v>
      </c>
      <c r="AP34" s="257">
        <f>SUMIF(AQ$14:AU$14,AP$14,AQ34:AU34)</f>
        <v>0</v>
      </c>
      <c r="AQ34" s="321"/>
      <c r="AR34" s="260"/>
      <c r="AS34" s="260"/>
      <c r="AT34" s="257">
        <f>AT35*AT36</f>
        <v>0</v>
      </c>
      <c r="AU34" s="258"/>
      <c r="AV34" s="121"/>
      <c r="AW34" s="121"/>
    </row>
    <row r="35" spans="38:49">
      <c r="AL35" s="121"/>
      <c r="AM35" s="121"/>
      <c r="AN35" s="524" t="s">
        <v>21</v>
      </c>
      <c r="AO35" s="530" t="s">
        <v>2968</v>
      </c>
      <c r="AP35" s="544">
        <f>IF(AP36=0,0,AP34/AP36)</f>
        <v>0</v>
      </c>
      <c r="AQ35" s="321"/>
      <c r="AR35" s="260"/>
      <c r="AS35" s="260"/>
      <c r="AT35" s="261"/>
      <c r="AU35" s="258"/>
      <c r="AV35" s="121"/>
      <c r="AW35" s="121"/>
    </row>
    <row r="36" spans="38:49">
      <c r="AL36" s="121"/>
      <c r="AM36" s="121"/>
      <c r="AN36" s="524" t="s">
        <v>22</v>
      </c>
      <c r="AO36" s="530" t="s">
        <v>2972</v>
      </c>
      <c r="AP36" s="257">
        <f>SUMIF(AQ$14:AU$14,AP$14,AQ36:AU36)</f>
        <v>0</v>
      </c>
      <c r="AQ36" s="321"/>
      <c r="AR36" s="260"/>
      <c r="AS36" s="260"/>
      <c r="AT36" s="261"/>
      <c r="AU36" s="258"/>
      <c r="AV36" s="121"/>
      <c r="AW36" s="121"/>
    </row>
    <row r="37" spans="38:49">
      <c r="AL37" s="121"/>
      <c r="AM37" s="121"/>
      <c r="AN37" s="223" t="s">
        <v>23</v>
      </c>
      <c r="AO37" s="531" t="s">
        <v>3032</v>
      </c>
      <c r="AP37" s="257">
        <f>SUMIF(AQ$14:AU$14,AP$14,AQ37:AU37)</f>
        <v>0</v>
      </c>
      <c r="AQ37" s="321"/>
      <c r="AR37" s="260"/>
      <c r="AS37" s="260"/>
      <c r="AT37" s="257">
        <f>AT38*AT39</f>
        <v>0</v>
      </c>
      <c r="AU37" s="258"/>
      <c r="AV37" s="121"/>
      <c r="AW37" s="121"/>
    </row>
    <row r="38" spans="38:49">
      <c r="AL38" s="121"/>
      <c r="AM38" s="121"/>
      <c r="AN38" s="524" t="s">
        <v>24</v>
      </c>
      <c r="AO38" s="530" t="s">
        <v>2970</v>
      </c>
      <c r="AP38" s="544">
        <f>IF(AP39=0,0,AP37/AP39)</f>
        <v>0</v>
      </c>
      <c r="AQ38" s="321"/>
      <c r="AR38" s="260"/>
      <c r="AS38" s="260"/>
      <c r="AT38" s="261"/>
      <c r="AU38" s="258"/>
      <c r="AV38" s="121"/>
      <c r="AW38" s="121"/>
    </row>
    <row r="39" spans="38:49">
      <c r="AL39" s="121"/>
      <c r="AM39" s="121"/>
      <c r="AN39" s="524" t="s">
        <v>25</v>
      </c>
      <c r="AO39" s="530" t="s">
        <v>3018</v>
      </c>
      <c r="AP39" s="257">
        <f>SUMIF(AQ$14:AU$14,AP$14,AQ39:AU39)</f>
        <v>0</v>
      </c>
      <c r="AQ39" s="321"/>
      <c r="AR39" s="260"/>
      <c r="AS39" s="260"/>
      <c r="AT39" s="261"/>
      <c r="AU39" s="258"/>
      <c r="AV39" s="121"/>
      <c r="AW39" s="121"/>
    </row>
    <row r="40" spans="38:49">
      <c r="AL40" s="121"/>
      <c r="AM40" s="121"/>
      <c r="AN40" s="223" t="s">
        <v>26</v>
      </c>
      <c r="AO40" s="529" t="s">
        <v>3036</v>
      </c>
      <c r="AP40" s="257">
        <f>SUMIF(AQ$14:AU$14,AP$14,AQ40:AU40)</f>
        <v>0</v>
      </c>
      <c r="AQ40" s="321"/>
      <c r="AR40" s="260"/>
      <c r="AS40" s="260"/>
      <c r="AT40" s="257">
        <f>AT41*AT42</f>
        <v>0</v>
      </c>
      <c r="AU40" s="258"/>
      <c r="AV40" s="121"/>
      <c r="AW40" s="121"/>
    </row>
    <row r="41" spans="38:49">
      <c r="AL41" s="121"/>
      <c r="AM41" s="121"/>
      <c r="AN41" s="524" t="s">
        <v>27</v>
      </c>
      <c r="AO41" s="530" t="s">
        <v>2968</v>
      </c>
      <c r="AP41" s="544">
        <f>IF(AP42=0,0,AP40/AP42)</f>
        <v>0</v>
      </c>
      <c r="AQ41" s="321"/>
      <c r="AR41" s="260"/>
      <c r="AS41" s="260"/>
      <c r="AT41" s="261"/>
      <c r="AU41" s="258"/>
      <c r="AV41" s="121"/>
      <c r="AW41" s="121"/>
    </row>
    <row r="42" spans="38:49">
      <c r="AL42" s="121"/>
      <c r="AM42" s="121"/>
      <c r="AN42" s="524" t="s">
        <v>28</v>
      </c>
      <c r="AO42" s="530" t="s">
        <v>2972</v>
      </c>
      <c r="AP42" s="257">
        <f>SUMIF(AQ$14:AU$14,AP$14,AQ42:AU42)</f>
        <v>0</v>
      </c>
      <c r="AQ42" s="321"/>
      <c r="AR42" s="260"/>
      <c r="AS42" s="260"/>
      <c r="AT42" s="261"/>
      <c r="AU42" s="258"/>
      <c r="AV42" s="121"/>
      <c r="AW42" s="121"/>
    </row>
    <row r="43" spans="38:49">
      <c r="AL43" s="121"/>
      <c r="AM43" s="121"/>
      <c r="AN43" s="223" t="s">
        <v>29</v>
      </c>
      <c r="AO43" s="531" t="s">
        <v>3040</v>
      </c>
      <c r="AP43" s="257">
        <f>SUMIF(AQ$14:AU$14,AP$14,AQ43:AU43)</f>
        <v>0</v>
      </c>
      <c r="AQ43" s="321"/>
      <c r="AR43" s="260"/>
      <c r="AS43" s="260"/>
      <c r="AT43" s="257">
        <f>AT44*AT45</f>
        <v>0</v>
      </c>
      <c r="AU43" s="258"/>
      <c r="AV43" s="121"/>
      <c r="AW43" s="121"/>
    </row>
    <row r="44" spans="38:49">
      <c r="AL44" s="121"/>
      <c r="AM44" s="121"/>
      <c r="AN44" s="524" t="s">
        <v>30</v>
      </c>
      <c r="AO44" s="530" t="s">
        <v>2970</v>
      </c>
      <c r="AP44" s="544">
        <f>IF(AP45=0,0,AP43/AP45)</f>
        <v>0</v>
      </c>
      <c r="AQ44" s="321"/>
      <c r="AR44" s="260"/>
      <c r="AS44" s="260"/>
      <c r="AT44" s="261"/>
      <c r="AU44" s="258"/>
      <c r="AV44" s="121"/>
      <c r="AW44" s="121"/>
    </row>
    <row r="45" spans="38:49">
      <c r="AL45" s="121"/>
      <c r="AM45" s="121"/>
      <c r="AN45" s="524" t="s">
        <v>31</v>
      </c>
      <c r="AO45" s="530" t="s">
        <v>3018</v>
      </c>
      <c r="AP45" s="257">
        <f t="shared" ref="AP45:AP55" si="1">SUMIF(AQ$14:AU$14,AP$14,AQ45:AU45)</f>
        <v>0</v>
      </c>
      <c r="AQ45" s="321"/>
      <c r="AR45" s="260"/>
      <c r="AS45" s="260"/>
      <c r="AT45" s="261"/>
      <c r="AU45" s="258"/>
      <c r="AV45" s="121"/>
      <c r="AW45" s="121"/>
    </row>
    <row r="46" spans="38:49">
      <c r="AL46" s="121"/>
      <c r="AM46" s="121"/>
      <c r="AN46" s="504" t="s">
        <v>633</v>
      </c>
      <c r="AO46" s="532" t="s">
        <v>2819</v>
      </c>
      <c r="AP46" s="257">
        <f t="shared" si="1"/>
        <v>0</v>
      </c>
      <c r="AQ46" s="321"/>
      <c r="AR46" s="260"/>
      <c r="AS46" s="260"/>
      <c r="AT46" s="261"/>
      <c r="AU46" s="258"/>
      <c r="AV46" s="121"/>
      <c r="AW46" s="121"/>
    </row>
    <row r="47" spans="38:49">
      <c r="AL47" s="121"/>
      <c r="AM47" s="121"/>
      <c r="AN47" s="504" t="s">
        <v>69</v>
      </c>
      <c r="AO47" s="527" t="s">
        <v>2820</v>
      </c>
      <c r="AP47" s="257">
        <f t="shared" si="1"/>
        <v>0</v>
      </c>
      <c r="AQ47" s="321"/>
      <c r="AR47" s="260"/>
      <c r="AS47" s="260"/>
      <c r="AT47" s="261"/>
      <c r="AU47" s="258"/>
      <c r="AV47" s="121"/>
      <c r="AW47" s="121"/>
    </row>
    <row r="48" spans="38:49">
      <c r="AL48" s="121"/>
      <c r="AM48" s="121"/>
      <c r="AN48" s="504" t="s">
        <v>72</v>
      </c>
      <c r="AO48" s="527" t="s">
        <v>2471</v>
      </c>
      <c r="AP48" s="257">
        <f t="shared" si="1"/>
        <v>0</v>
      </c>
      <c r="AQ48" s="321"/>
      <c r="AR48" s="260"/>
      <c r="AS48" s="260"/>
      <c r="AT48" s="261"/>
      <c r="AU48" s="258"/>
      <c r="AV48" s="121"/>
      <c r="AW48" s="121"/>
    </row>
    <row r="49" spans="38:49">
      <c r="AL49" s="121"/>
      <c r="AM49" s="121"/>
      <c r="AN49" s="504" t="s">
        <v>2821</v>
      </c>
      <c r="AO49" s="527" t="s">
        <v>2822</v>
      </c>
      <c r="AP49" s="257">
        <f t="shared" si="1"/>
        <v>0</v>
      </c>
      <c r="AQ49" s="321"/>
      <c r="AR49" s="260"/>
      <c r="AS49" s="260"/>
      <c r="AT49" s="257">
        <f>SUM(AT50:AT52)</f>
        <v>0</v>
      </c>
      <c r="AU49" s="258"/>
      <c r="AV49" s="121"/>
      <c r="AW49" s="121"/>
    </row>
    <row r="50" spans="38:49">
      <c r="AL50" s="121"/>
      <c r="AM50" s="121"/>
      <c r="AN50" s="504" t="s">
        <v>888</v>
      </c>
      <c r="AO50" s="528" t="s">
        <v>2823</v>
      </c>
      <c r="AP50" s="257">
        <f t="shared" si="1"/>
        <v>0</v>
      </c>
      <c r="AQ50" s="321"/>
      <c r="AR50" s="260"/>
      <c r="AS50" s="260"/>
      <c r="AT50" s="261"/>
      <c r="AU50" s="258"/>
      <c r="AV50" s="121"/>
      <c r="AW50" s="121"/>
    </row>
    <row r="51" spans="38:49">
      <c r="AL51" s="121"/>
      <c r="AM51" s="121"/>
      <c r="AN51" s="504" t="s">
        <v>889</v>
      </c>
      <c r="AO51" s="528" t="s">
        <v>2824</v>
      </c>
      <c r="AP51" s="257">
        <f t="shared" si="1"/>
        <v>0</v>
      </c>
      <c r="AQ51" s="321"/>
      <c r="AR51" s="260"/>
      <c r="AS51" s="260"/>
      <c r="AT51" s="261"/>
      <c r="AU51" s="258"/>
      <c r="AV51" s="121"/>
      <c r="AW51" s="121"/>
    </row>
    <row r="52" spans="38:49">
      <c r="AL52" s="121"/>
      <c r="AM52" s="121"/>
      <c r="AN52" s="504" t="s">
        <v>890</v>
      </c>
      <c r="AO52" s="528" t="s">
        <v>2825</v>
      </c>
      <c r="AP52" s="257">
        <f t="shared" si="1"/>
        <v>0</v>
      </c>
      <c r="AQ52" s="321"/>
      <c r="AR52" s="260"/>
      <c r="AS52" s="260"/>
      <c r="AT52" s="261"/>
      <c r="AU52" s="258"/>
      <c r="AV52" s="121"/>
      <c r="AW52" s="121"/>
    </row>
    <row r="53" spans="38:49">
      <c r="AL53" s="121"/>
      <c r="AM53" s="121"/>
      <c r="AN53" s="504" t="s">
        <v>2826</v>
      </c>
      <c r="AO53" s="527" t="s">
        <v>2827</v>
      </c>
      <c r="AP53" s="257">
        <f t="shared" si="1"/>
        <v>0</v>
      </c>
      <c r="AQ53" s="321"/>
      <c r="AR53" s="260"/>
      <c r="AS53" s="260"/>
      <c r="AT53" s="261"/>
      <c r="AU53" s="258"/>
      <c r="AV53" s="121"/>
      <c r="AW53" s="121"/>
    </row>
    <row r="54" spans="38:49">
      <c r="AL54" s="121"/>
      <c r="AM54" s="121"/>
      <c r="AN54" s="504" t="s">
        <v>2828</v>
      </c>
      <c r="AO54" s="527" t="s">
        <v>2829</v>
      </c>
      <c r="AP54" s="257">
        <f t="shared" si="1"/>
        <v>0</v>
      </c>
      <c r="AQ54" s="321"/>
      <c r="AR54" s="260"/>
      <c r="AS54" s="260"/>
      <c r="AT54" s="261"/>
      <c r="AU54" s="258"/>
      <c r="AV54" s="121"/>
      <c r="AW54" s="121"/>
    </row>
    <row r="55" spans="38:49">
      <c r="AL55" s="121"/>
      <c r="AM55" s="121"/>
      <c r="AN55" s="504" t="s">
        <v>2830</v>
      </c>
      <c r="AO55" s="527" t="s">
        <v>2831</v>
      </c>
      <c r="AP55" s="257">
        <f t="shared" si="1"/>
        <v>29.6</v>
      </c>
      <c r="AQ55" s="321"/>
      <c r="AR55" s="260"/>
      <c r="AS55" s="260"/>
      <c r="AT55" s="257">
        <f>SUM(AT59,AT65,AT71,AT74,AT77)</f>
        <v>29.6</v>
      </c>
      <c r="AU55" s="258"/>
      <c r="AV55" s="121"/>
      <c r="AW55" s="121"/>
    </row>
    <row r="56" spans="38:49" ht="22.5">
      <c r="AL56" s="121"/>
      <c r="AM56" s="121"/>
      <c r="AN56" s="279" t="s">
        <v>353</v>
      </c>
      <c r="AO56" s="558" t="s">
        <v>2782</v>
      </c>
      <c r="AP56" s="257">
        <f>IF(AP57&lt;&gt;0,(1000*AP55/AP57)/$AN$8,0)</f>
        <v>12982.456140350876</v>
      </c>
      <c r="AQ56" s="321"/>
      <c r="AR56" s="260"/>
      <c r="AS56" s="260"/>
      <c r="AT56" s="257">
        <f>IF(AT57=0,0,(1000*AT55/AT57)/$AN$8)</f>
        <v>12982.456140350876</v>
      </c>
      <c r="AU56" s="258"/>
      <c r="AV56" s="121"/>
      <c r="AW56" s="121"/>
    </row>
    <row r="57" spans="38:49">
      <c r="AL57" s="121"/>
      <c r="AM57" s="121"/>
      <c r="AN57" s="279" t="s">
        <v>354</v>
      </c>
      <c r="AO57" s="558" t="s">
        <v>2783</v>
      </c>
      <c r="AP57" s="257">
        <f>SUM(AQ57:AU57)</f>
        <v>0.57000000000000006</v>
      </c>
      <c r="AQ57" s="321"/>
      <c r="AR57" s="260"/>
      <c r="AS57" s="260"/>
      <c r="AT57" s="257">
        <f>SUM(AT61,AT67,AT73,AT76,AT79)</f>
        <v>0.57000000000000006</v>
      </c>
      <c r="AU57" s="258"/>
      <c r="AV57" s="121"/>
      <c r="AW57" s="121"/>
    </row>
    <row r="58" spans="38:49" ht="22.5">
      <c r="AL58" s="121"/>
      <c r="AM58" s="121"/>
      <c r="AN58" s="279" t="s">
        <v>355</v>
      </c>
      <c r="AO58" s="558" t="s">
        <v>120</v>
      </c>
      <c r="AP58" s="263"/>
      <c r="AQ58" s="321"/>
      <c r="AR58" s="260"/>
      <c r="AS58" s="260"/>
      <c r="AT58" s="261"/>
      <c r="AU58" s="258"/>
      <c r="AV58" s="121"/>
      <c r="AW58" s="121"/>
    </row>
    <row r="59" spans="38:49">
      <c r="AL59" s="121"/>
      <c r="AM59" s="121"/>
      <c r="AN59" s="222" t="s">
        <v>2832</v>
      </c>
      <c r="AO59" s="533" t="s">
        <v>1832</v>
      </c>
      <c r="AP59" s="257">
        <f>SUMIF(AQ$14:AU$14,AP$14,AQ59:AU59)</f>
        <v>0</v>
      </c>
      <c r="AQ59" s="321"/>
      <c r="AR59" s="260"/>
      <c r="AS59" s="260"/>
      <c r="AT59" s="261"/>
      <c r="AU59" s="258"/>
      <c r="AV59" s="121"/>
      <c r="AW59" s="121"/>
    </row>
    <row r="60" spans="38:49" ht="22.5">
      <c r="AL60" s="121"/>
      <c r="AM60" s="121"/>
      <c r="AN60" s="222" t="s">
        <v>2833</v>
      </c>
      <c r="AO60" s="529" t="s">
        <v>1834</v>
      </c>
      <c r="AP60" s="254"/>
      <c r="AQ60" s="321"/>
      <c r="AR60" s="260"/>
      <c r="AS60" s="260"/>
      <c r="AT60" s="257">
        <f>IF(AT61&lt;&gt;0,(1000*AT59/AT61)/$AN$8,0)</f>
        <v>0</v>
      </c>
      <c r="AU60" s="258"/>
      <c r="AV60" s="121"/>
      <c r="AW60" s="121"/>
    </row>
    <row r="61" spans="38:49" ht="22.5">
      <c r="AL61" s="121"/>
      <c r="AM61" s="121"/>
      <c r="AN61" s="222" t="s">
        <v>2834</v>
      </c>
      <c r="AO61" s="529" t="s">
        <v>1836</v>
      </c>
      <c r="AP61" s="257">
        <f>SUMIF(AQ$14:AU$14,AP$14,AQ61:AU61)</f>
        <v>0</v>
      </c>
      <c r="AQ61" s="321"/>
      <c r="AR61" s="260"/>
      <c r="AS61" s="260"/>
      <c r="AT61" s="261"/>
      <c r="AU61" s="258"/>
      <c r="AV61" s="121"/>
      <c r="AW61" s="121"/>
    </row>
    <row r="62" spans="38:49">
      <c r="AL62" s="121"/>
      <c r="AM62" s="121"/>
      <c r="AN62" s="222" t="s">
        <v>356</v>
      </c>
      <c r="AO62" s="558" t="s">
        <v>119</v>
      </c>
      <c r="AP62" s="263"/>
      <c r="AQ62" s="321"/>
      <c r="AR62" s="260"/>
      <c r="AS62" s="260"/>
      <c r="AT62" s="261"/>
      <c r="AU62" s="258"/>
      <c r="AV62" s="121"/>
      <c r="AW62" s="121"/>
    </row>
    <row r="63" spans="38:49">
      <c r="AL63" s="121"/>
      <c r="AM63" s="121"/>
      <c r="AN63" s="222" t="s">
        <v>357</v>
      </c>
      <c r="AO63" s="558" t="s">
        <v>121</v>
      </c>
      <c r="AP63" s="263"/>
      <c r="AQ63" s="321"/>
      <c r="AR63" s="260"/>
      <c r="AS63" s="260"/>
      <c r="AT63" s="261"/>
      <c r="AU63" s="258"/>
      <c r="AV63" s="121"/>
      <c r="AW63" s="121"/>
    </row>
    <row r="64" spans="38:49">
      <c r="AL64" s="121"/>
      <c r="AM64" s="121"/>
      <c r="AN64" s="222" t="s">
        <v>358</v>
      </c>
      <c r="AO64" s="558" t="s">
        <v>122</v>
      </c>
      <c r="AP64" s="263"/>
      <c r="AQ64" s="321"/>
      <c r="AR64" s="260"/>
      <c r="AS64" s="260"/>
      <c r="AT64" s="261"/>
      <c r="AU64" s="258"/>
      <c r="AV64" s="121"/>
      <c r="AW64" s="121"/>
    </row>
    <row r="65" spans="38:49">
      <c r="AL65" s="121"/>
      <c r="AM65" s="121"/>
      <c r="AN65" s="222" t="s">
        <v>2835</v>
      </c>
      <c r="AO65" s="533" t="s">
        <v>1838</v>
      </c>
      <c r="AP65" s="257">
        <f>SUMIF(AQ$14:AU$14,AP$14,AQ65:AU65)</f>
        <v>23.6</v>
      </c>
      <c r="AQ65" s="321"/>
      <c r="AR65" s="260"/>
      <c r="AS65" s="260"/>
      <c r="AT65" s="261">
        <v>23.6</v>
      </c>
      <c r="AU65" s="258"/>
      <c r="AV65" s="121"/>
      <c r="AW65" s="121"/>
    </row>
    <row r="66" spans="38:49">
      <c r="AL66" s="121"/>
      <c r="AM66" s="121"/>
      <c r="AN66" s="222" t="s">
        <v>2836</v>
      </c>
      <c r="AO66" s="534" t="s">
        <v>1839</v>
      </c>
      <c r="AP66" s="254"/>
      <c r="AQ66" s="321"/>
      <c r="AR66" s="260"/>
      <c r="AS66" s="260"/>
      <c r="AT66" s="257">
        <f>IF(AT67&lt;&gt;0,(1000*AT65/AT67)/$AN$8,0)</f>
        <v>11800</v>
      </c>
      <c r="AU66" s="258"/>
      <c r="AV66" s="121"/>
      <c r="AW66" s="121"/>
    </row>
    <row r="67" spans="38:49" ht="22.5">
      <c r="AL67" s="121"/>
      <c r="AM67" s="121"/>
      <c r="AN67" s="222" t="s">
        <v>2837</v>
      </c>
      <c r="AO67" s="534" t="s">
        <v>1841</v>
      </c>
      <c r="AP67" s="257">
        <f>SUMIF(AQ$14:AU$14,AP$14,AQ67:AU67)</f>
        <v>0.5</v>
      </c>
      <c r="AQ67" s="321"/>
      <c r="AR67" s="260"/>
      <c r="AS67" s="260"/>
      <c r="AT67" s="261">
        <v>0.5</v>
      </c>
      <c r="AU67" s="258"/>
      <c r="AV67" s="121"/>
      <c r="AW67" s="121"/>
    </row>
    <row r="68" spans="38:49">
      <c r="AL68" s="121"/>
      <c r="AM68" s="121"/>
      <c r="AN68" s="222" t="s">
        <v>359</v>
      </c>
      <c r="AO68" s="558" t="s">
        <v>119</v>
      </c>
      <c r="AP68" s="263"/>
      <c r="AQ68" s="321"/>
      <c r="AR68" s="260"/>
      <c r="AS68" s="260"/>
      <c r="AT68" s="261"/>
      <c r="AU68" s="258"/>
      <c r="AV68" s="121"/>
      <c r="AW68" s="121"/>
    </row>
    <row r="69" spans="38:49">
      <c r="AL69" s="121"/>
      <c r="AM69" s="121"/>
      <c r="AN69" s="222" t="s">
        <v>360</v>
      </c>
      <c r="AO69" s="558" t="s">
        <v>121</v>
      </c>
      <c r="AP69" s="263"/>
      <c r="AQ69" s="321"/>
      <c r="AR69" s="260"/>
      <c r="AS69" s="260"/>
      <c r="AT69" s="261"/>
      <c r="AU69" s="258"/>
      <c r="AV69" s="121"/>
      <c r="AW69" s="121"/>
    </row>
    <row r="70" spans="38:49">
      <c r="AL70" s="121"/>
      <c r="AM70" s="121"/>
      <c r="AN70" s="222" t="s">
        <v>361</v>
      </c>
      <c r="AO70" s="558" t="s">
        <v>122</v>
      </c>
      <c r="AP70" s="263"/>
      <c r="AQ70" s="321"/>
      <c r="AR70" s="260"/>
      <c r="AS70" s="260"/>
      <c r="AT70" s="261"/>
      <c r="AU70" s="258"/>
      <c r="AV70" s="121"/>
      <c r="AW70" s="121"/>
    </row>
    <row r="71" spans="38:49">
      <c r="AL71" s="121"/>
      <c r="AM71" s="121"/>
      <c r="AN71" s="222" t="s">
        <v>2838</v>
      </c>
      <c r="AO71" s="533" t="s">
        <v>1843</v>
      </c>
      <c r="AP71" s="257">
        <f>SUMIF(AQ$14:AU$14,AP$14,AQ71:AU71)</f>
        <v>0</v>
      </c>
      <c r="AQ71" s="321"/>
      <c r="AR71" s="260"/>
      <c r="AS71" s="260"/>
      <c r="AT71" s="261"/>
      <c r="AU71" s="258"/>
      <c r="AV71" s="121"/>
      <c r="AW71" s="121"/>
    </row>
    <row r="72" spans="38:49">
      <c r="AL72" s="121"/>
      <c r="AM72" s="121"/>
      <c r="AN72" s="222" t="s">
        <v>2839</v>
      </c>
      <c r="AO72" s="534" t="s">
        <v>1844</v>
      </c>
      <c r="AP72" s="254"/>
      <c r="AQ72" s="321"/>
      <c r="AR72" s="260"/>
      <c r="AS72" s="260"/>
      <c r="AT72" s="257">
        <f>IF(AT73&lt;&gt;0,(1000*AT71/AT73)/$AN$8,0)</f>
        <v>0</v>
      </c>
      <c r="AU72" s="258"/>
      <c r="AV72" s="121"/>
      <c r="AW72" s="121"/>
    </row>
    <row r="73" spans="38:49" ht="22.5">
      <c r="AL73" s="121"/>
      <c r="AM73" s="121"/>
      <c r="AN73" s="222" t="s">
        <v>2840</v>
      </c>
      <c r="AO73" s="534" t="s">
        <v>1846</v>
      </c>
      <c r="AP73" s="257">
        <f>SUMIF(AQ$14:AU$14,AP$14,AQ73:AU73)</f>
        <v>0</v>
      </c>
      <c r="AQ73" s="321"/>
      <c r="AR73" s="260"/>
      <c r="AS73" s="260"/>
      <c r="AT73" s="261"/>
      <c r="AU73" s="258"/>
      <c r="AV73" s="121"/>
      <c r="AW73" s="121"/>
    </row>
    <row r="74" spans="38:49">
      <c r="AL74" s="121"/>
      <c r="AM74" s="121"/>
      <c r="AN74" s="222" t="s">
        <v>2841</v>
      </c>
      <c r="AO74" s="533" t="s">
        <v>1849</v>
      </c>
      <c r="AP74" s="257">
        <f>SUMIF(AQ$14:AU$14,AP$14,AQ74:AU74)</f>
        <v>6</v>
      </c>
      <c r="AQ74" s="321"/>
      <c r="AR74" s="260"/>
      <c r="AS74" s="260"/>
      <c r="AT74" s="261">
        <v>6</v>
      </c>
      <c r="AU74" s="258"/>
      <c r="AV74" s="121"/>
      <c r="AW74" s="121"/>
    </row>
    <row r="75" spans="38:49">
      <c r="AL75" s="121"/>
      <c r="AM75" s="121"/>
      <c r="AN75" s="222" t="s">
        <v>2842</v>
      </c>
      <c r="AO75" s="534" t="s">
        <v>1851</v>
      </c>
      <c r="AP75" s="254"/>
      <c r="AQ75" s="321"/>
      <c r="AR75" s="260"/>
      <c r="AS75" s="260"/>
      <c r="AT75" s="257">
        <f>IF(AT76&lt;&gt;0,(1000*AT74/AT76)/$AN$8,0)</f>
        <v>21428.571428571428</v>
      </c>
      <c r="AU75" s="258"/>
      <c r="AV75" s="121"/>
      <c r="AW75" s="121"/>
    </row>
    <row r="76" spans="38:49" ht="22.5">
      <c r="AL76" s="121"/>
      <c r="AM76" s="121"/>
      <c r="AN76" s="222" t="s">
        <v>2843</v>
      </c>
      <c r="AO76" s="529" t="s">
        <v>1853</v>
      </c>
      <c r="AP76" s="257">
        <f>SUMIF(AQ$14:AU$14,AP$14,AQ76:AU76)</f>
        <v>7.0000000000000007E-2</v>
      </c>
      <c r="AQ76" s="321"/>
      <c r="AR76" s="260"/>
      <c r="AS76" s="260"/>
      <c r="AT76" s="261">
        <v>7.0000000000000007E-2</v>
      </c>
      <c r="AU76" s="258"/>
      <c r="AV76" s="121"/>
      <c r="AW76" s="121"/>
    </row>
    <row r="77" spans="38:49" ht="22.5">
      <c r="AL77" s="121"/>
      <c r="AM77" s="121"/>
      <c r="AN77" s="222" t="s">
        <v>2844</v>
      </c>
      <c r="AO77" s="533" t="s">
        <v>1856</v>
      </c>
      <c r="AP77" s="257">
        <f>SUMIF(AQ$14:AU$14,AP$14,AQ77:AU77)</f>
        <v>0</v>
      </c>
      <c r="AQ77" s="321"/>
      <c r="AR77" s="260"/>
      <c r="AS77" s="260"/>
      <c r="AT77" s="261"/>
      <c r="AU77" s="258"/>
      <c r="AV77" s="121"/>
      <c r="AW77" s="121"/>
    </row>
    <row r="78" spans="38:49" ht="22.5">
      <c r="AL78" s="121"/>
      <c r="AM78" s="121"/>
      <c r="AN78" s="222" t="s">
        <v>2845</v>
      </c>
      <c r="AO78" s="534" t="s">
        <v>2307</v>
      </c>
      <c r="AP78" s="254"/>
      <c r="AQ78" s="321"/>
      <c r="AR78" s="260"/>
      <c r="AS78" s="260"/>
      <c r="AT78" s="257">
        <f>IF(AT79&lt;&gt;0,(1000*AT77/AT79)/$AN$8,0)</f>
        <v>0</v>
      </c>
      <c r="AU78" s="258"/>
      <c r="AV78" s="121"/>
      <c r="AW78" s="121"/>
    </row>
    <row r="79" spans="38:49" ht="22.5">
      <c r="AL79" s="121"/>
      <c r="AM79" s="121"/>
      <c r="AN79" s="222" t="s">
        <v>2846</v>
      </c>
      <c r="AO79" s="529" t="s">
        <v>1860</v>
      </c>
      <c r="AP79" s="257">
        <f t="shared" ref="AP79:AP85" si="2">SUMIF(AQ$14:AU$14,AP$14,AQ79:AU79)</f>
        <v>0</v>
      </c>
      <c r="AQ79" s="321"/>
      <c r="AR79" s="260"/>
      <c r="AS79" s="260"/>
      <c r="AT79" s="261"/>
      <c r="AU79" s="258"/>
      <c r="AV79" s="121"/>
      <c r="AW79" s="121"/>
    </row>
    <row r="80" spans="38:49">
      <c r="AL80" s="121"/>
      <c r="AM80" s="121"/>
      <c r="AN80" s="504" t="s">
        <v>2847</v>
      </c>
      <c r="AO80" s="535" t="s">
        <v>2848</v>
      </c>
      <c r="AP80" s="257">
        <f t="shared" si="2"/>
        <v>7.6000000000000005</v>
      </c>
      <c r="AQ80" s="321"/>
      <c r="AR80" s="260"/>
      <c r="AS80" s="260"/>
      <c r="AT80" s="257">
        <f>SUM(AT81:AT85)</f>
        <v>7.6000000000000005</v>
      </c>
      <c r="AU80" s="258"/>
      <c r="AV80" s="121"/>
      <c r="AW80" s="121"/>
    </row>
    <row r="81" spans="38:49" ht="22.5">
      <c r="AL81" s="121"/>
      <c r="AM81" s="121"/>
      <c r="AN81" s="504" t="s">
        <v>2849</v>
      </c>
      <c r="AO81" s="533" t="s">
        <v>2415</v>
      </c>
      <c r="AP81" s="257">
        <f t="shared" si="2"/>
        <v>0</v>
      </c>
      <c r="AQ81" s="321"/>
      <c r="AR81" s="260"/>
      <c r="AS81" s="260"/>
      <c r="AT81" s="261"/>
      <c r="AU81" s="258"/>
      <c r="AV81" s="121"/>
      <c r="AW81" s="121"/>
    </row>
    <row r="82" spans="38:49" ht="22.5">
      <c r="AL82" s="121"/>
      <c r="AM82" s="121"/>
      <c r="AN82" s="504" t="s">
        <v>2850</v>
      </c>
      <c r="AO82" s="533" t="s">
        <v>2417</v>
      </c>
      <c r="AP82" s="257">
        <f t="shared" si="2"/>
        <v>5.9</v>
      </c>
      <c r="AQ82" s="321"/>
      <c r="AR82" s="260"/>
      <c r="AS82" s="260"/>
      <c r="AT82" s="261">
        <v>5.9</v>
      </c>
      <c r="AU82" s="258"/>
      <c r="AV82" s="121"/>
      <c r="AW82" s="121"/>
    </row>
    <row r="83" spans="38:49" ht="22.5">
      <c r="AL83" s="121"/>
      <c r="AM83" s="121"/>
      <c r="AN83" s="504" t="s">
        <v>2316</v>
      </c>
      <c r="AO83" s="533" t="s">
        <v>2420</v>
      </c>
      <c r="AP83" s="257">
        <f t="shared" si="2"/>
        <v>0</v>
      </c>
      <c r="AQ83" s="321"/>
      <c r="AR83" s="260"/>
      <c r="AS83" s="260"/>
      <c r="AT83" s="261"/>
      <c r="AU83" s="258"/>
      <c r="AV83" s="121"/>
      <c r="AW83" s="121"/>
    </row>
    <row r="84" spans="38:49">
      <c r="AL84" s="121"/>
      <c r="AM84" s="121"/>
      <c r="AN84" s="504" t="s">
        <v>2317</v>
      </c>
      <c r="AO84" s="533" t="s">
        <v>2423</v>
      </c>
      <c r="AP84" s="257">
        <f t="shared" si="2"/>
        <v>1.7</v>
      </c>
      <c r="AQ84" s="321"/>
      <c r="AR84" s="260"/>
      <c r="AS84" s="260"/>
      <c r="AT84" s="261">
        <v>1.7</v>
      </c>
      <c r="AU84" s="258"/>
      <c r="AV84" s="121"/>
      <c r="AW84" s="121"/>
    </row>
    <row r="85" spans="38:49" ht="22.5">
      <c r="AL85" s="121"/>
      <c r="AM85" s="121"/>
      <c r="AN85" s="504" t="s">
        <v>2318</v>
      </c>
      <c r="AO85" s="533" t="s">
        <v>2426</v>
      </c>
      <c r="AP85" s="257">
        <f t="shared" si="2"/>
        <v>0</v>
      </c>
      <c r="AQ85" s="321"/>
      <c r="AR85" s="260"/>
      <c r="AS85" s="260"/>
      <c r="AT85" s="261"/>
      <c r="AU85" s="258"/>
      <c r="AV85" s="121"/>
      <c r="AW85" s="121"/>
    </row>
    <row r="86" spans="38:49" hidden="1">
      <c r="AL86" s="121"/>
      <c r="AM86" s="121"/>
      <c r="AN86" s="560" t="str">
        <f>IF(TEMPLATE_SPHERE="водоснабжения","2.9","")</f>
        <v/>
      </c>
      <c r="AO86" s="561" t="str">
        <f>IF(TEMPLATE_SPHERE="водоснабжения","Покупная вода","")</f>
        <v/>
      </c>
      <c r="AP86" s="257" t="str">
        <f>IF(TEMPLATE_SPHERE="водоснабжения",SUMIF(AQ$14:AU$14,AP$14,AQ86:AU86),"")</f>
        <v/>
      </c>
      <c r="AQ86" s="321"/>
      <c r="AR86" s="260"/>
      <c r="AS86" s="260"/>
      <c r="AT86" s="260"/>
      <c r="AU86" s="258"/>
      <c r="AV86" s="121"/>
      <c r="AW86" s="121"/>
    </row>
    <row r="87" spans="38:49" hidden="1">
      <c r="AL87" s="121"/>
      <c r="AM87" s="121"/>
      <c r="AN87" s="560" t="str">
        <f>IF(TEMPLATE_SPHERE="водоснабжения","2.9.1","")</f>
        <v/>
      </c>
      <c r="AO87" s="562" t="str">
        <f>IF(TEMPLATE_SPHERE="водоснабжения","тариф (руб./куб.м)","")</f>
        <v/>
      </c>
      <c r="AP87" s="257" t="str">
        <f>IF(TEMPLATE_SPHERE="водоснабжения",IF(AP88=0,0,(AP86-AP89)/AP88),"")</f>
        <v/>
      </c>
      <c r="AQ87" s="321"/>
      <c r="AR87" s="260"/>
      <c r="AS87" s="260"/>
      <c r="AT87" s="260"/>
      <c r="AU87" s="258"/>
      <c r="AV87" s="121"/>
      <c r="AW87" s="121"/>
    </row>
    <row r="88" spans="38:49" hidden="1">
      <c r="AL88" s="121"/>
      <c r="AM88" s="121"/>
      <c r="AN88" s="560" t="str">
        <f>IF(TEMPLATE_SPHERE="водоснабжения","2.9.2","")</f>
        <v/>
      </c>
      <c r="AO88" s="562" t="str">
        <f>IF(TEMPLATE_SPHERE="водоснабжения","объём (тыс. куб.м)","")</f>
        <v/>
      </c>
      <c r="AP88" s="257" t="str">
        <f>IF(TEMPLATE_SPHERE="водоснабжения",SUMIF(AQ$14:AU$14,AP$14,AQ88:AU88),"")</f>
        <v/>
      </c>
      <c r="AQ88" s="321"/>
      <c r="AR88" s="260"/>
      <c r="AS88" s="260"/>
      <c r="AT88" s="260"/>
      <c r="AU88" s="258"/>
      <c r="AV88" s="121"/>
      <c r="AW88" s="121"/>
    </row>
    <row r="89" spans="38:49" hidden="1">
      <c r="AL89" s="121"/>
      <c r="AM89" s="121"/>
      <c r="AN89" s="560" t="str">
        <f>IF(TEMPLATE_SPHERE="водоснабжения","2.9.3","")</f>
        <v/>
      </c>
      <c r="AO89" s="562" t="str">
        <f>IF(TEMPLATE_SPHERE="водоснабжения","покупка потерь","")</f>
        <v/>
      </c>
      <c r="AP89" s="257" t="str">
        <f>IF(TEMPLATE_SPHERE="водоснабжения",SUMIF(AQ$14:AU$14,AP$14,AQ89:AU89),"")</f>
        <v/>
      </c>
      <c r="AQ89" s="321"/>
      <c r="AR89" s="260"/>
      <c r="AS89" s="260"/>
      <c r="AT89" s="260"/>
      <c r="AU89" s="258"/>
      <c r="AV89" s="121"/>
      <c r="AW89" s="121"/>
    </row>
    <row r="90" spans="38:49" ht="22.5">
      <c r="AL90" s="121"/>
      <c r="AM90" s="121"/>
      <c r="AN90" s="504" t="s">
        <v>2323</v>
      </c>
      <c r="AO90"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AP90" s="257">
        <f t="shared" ref="AP90:AP114" si="3">SUMIF(AQ$14:AU$14,AP$14,AQ90:AU90)</f>
        <v>0</v>
      </c>
      <c r="AQ90" s="321"/>
      <c r="AR90" s="260"/>
      <c r="AS90" s="260"/>
      <c r="AT90" s="261"/>
      <c r="AU90" s="258"/>
      <c r="AV90" s="121"/>
      <c r="AW90" s="121"/>
    </row>
    <row r="91" spans="38:49" ht="22.5">
      <c r="AL91" s="121"/>
      <c r="AM91" s="121"/>
      <c r="AN91" s="504" t="s">
        <v>2324</v>
      </c>
      <c r="AO91"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AP91" s="257">
        <f t="shared" si="3"/>
        <v>0</v>
      </c>
      <c r="AQ91" s="321"/>
      <c r="AR91" s="260"/>
      <c r="AS91" s="260"/>
      <c r="AT91" s="261"/>
      <c r="AU91" s="258"/>
      <c r="AV91" s="121"/>
      <c r="AW91" s="121"/>
    </row>
    <row r="92" spans="38:49" ht="22.5">
      <c r="AL92" s="121"/>
      <c r="AM92" s="121"/>
      <c r="AN92" s="504" t="s">
        <v>2325</v>
      </c>
      <c r="AO92"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AP92" s="257">
        <f t="shared" si="3"/>
        <v>0</v>
      </c>
      <c r="AQ92" s="321"/>
      <c r="AR92" s="260"/>
      <c r="AS92" s="260"/>
      <c r="AT92" s="261"/>
      <c r="AU92" s="258"/>
      <c r="AV92" s="121"/>
      <c r="AW92" s="121"/>
    </row>
    <row r="93" spans="38:49">
      <c r="AL93" s="121"/>
      <c r="AM93" s="121"/>
      <c r="AN93" s="504" t="s">
        <v>2326</v>
      </c>
      <c r="AO93" s="527" t="s">
        <v>2327</v>
      </c>
      <c r="AP93" s="257">
        <f t="shared" si="3"/>
        <v>0</v>
      </c>
      <c r="AQ93" s="321"/>
      <c r="AR93" s="260"/>
      <c r="AS93" s="260"/>
      <c r="AT93" s="257">
        <f>SUM(AT94:AT95)</f>
        <v>0</v>
      </c>
      <c r="AU93" s="258"/>
      <c r="AV93" s="121"/>
      <c r="AW93" s="121"/>
    </row>
    <row r="94" spans="38:49">
      <c r="AL94" s="121"/>
      <c r="AM94" s="121"/>
      <c r="AN94" s="504" t="s">
        <v>2328</v>
      </c>
      <c r="AO94" s="528" t="s">
        <v>2329</v>
      </c>
      <c r="AP94" s="257">
        <f t="shared" si="3"/>
        <v>0</v>
      </c>
      <c r="AQ94" s="321"/>
      <c r="AR94" s="260"/>
      <c r="AS94" s="260"/>
      <c r="AT94" s="261"/>
      <c r="AU94" s="258"/>
      <c r="AV94" s="121"/>
      <c r="AW94" s="121"/>
    </row>
    <row r="95" spans="38:49">
      <c r="AL95" s="121"/>
      <c r="AM95" s="121"/>
      <c r="AN95" s="504" t="s">
        <v>2330</v>
      </c>
      <c r="AO95" s="528" t="s">
        <v>2331</v>
      </c>
      <c r="AP95" s="257">
        <f t="shared" si="3"/>
        <v>0</v>
      </c>
      <c r="AQ95" s="321"/>
      <c r="AR95" s="260"/>
      <c r="AS95" s="260"/>
      <c r="AT95" s="261"/>
      <c r="AU95" s="258"/>
      <c r="AV95" s="121"/>
      <c r="AW95" s="121"/>
    </row>
    <row r="96" spans="38:49">
      <c r="AL96" s="121"/>
      <c r="AM96" s="121"/>
      <c r="AN96" s="504" t="s">
        <v>2332</v>
      </c>
      <c r="AO96" s="527" t="s">
        <v>2333</v>
      </c>
      <c r="AP96" s="257">
        <f t="shared" si="3"/>
        <v>0</v>
      </c>
      <c r="AQ96" s="321"/>
      <c r="AR96" s="260"/>
      <c r="AS96" s="260"/>
      <c r="AT96" s="261"/>
      <c r="AU96" s="258"/>
      <c r="AV96" s="121"/>
      <c r="AW96" s="121"/>
    </row>
    <row r="97" spans="38:49">
      <c r="AL97" s="121"/>
      <c r="AM97" s="121"/>
      <c r="AN97" s="504" t="s">
        <v>2334</v>
      </c>
      <c r="AO97" s="527" t="s">
        <v>2335</v>
      </c>
      <c r="AP97" s="257">
        <f t="shared" si="3"/>
        <v>0</v>
      </c>
      <c r="AQ97" s="321"/>
      <c r="AR97" s="260"/>
      <c r="AS97" s="260"/>
      <c r="AT97" s="261"/>
      <c r="AU97" s="258"/>
      <c r="AV97" s="121"/>
      <c r="AW97" s="121"/>
    </row>
    <row r="98" spans="38:49" ht="22.5">
      <c r="AL98" s="121"/>
      <c r="AM98" s="121"/>
      <c r="AN98" s="504" t="s">
        <v>2336</v>
      </c>
      <c r="AO98" s="527" t="s">
        <v>2337</v>
      </c>
      <c r="AP98" s="257">
        <f t="shared" si="3"/>
        <v>5.9</v>
      </c>
      <c r="AQ98" s="321"/>
      <c r="AR98" s="260"/>
      <c r="AS98" s="260"/>
      <c r="AT98" s="261">
        <v>5.9</v>
      </c>
      <c r="AU98" s="258"/>
      <c r="AV98" s="121"/>
      <c r="AW98" s="121"/>
    </row>
    <row r="99" spans="38:49">
      <c r="AL99" s="121"/>
      <c r="AM99" s="121"/>
      <c r="AN99" s="504" t="s">
        <v>2338</v>
      </c>
      <c r="AO99" s="527" t="s">
        <v>2339</v>
      </c>
      <c r="AP99" s="257">
        <f t="shared" si="3"/>
        <v>1.9</v>
      </c>
      <c r="AQ99" s="321"/>
      <c r="AR99" s="260"/>
      <c r="AS99" s="260"/>
      <c r="AT99" s="257">
        <f>SUM(AT100:AT108)</f>
        <v>1.9</v>
      </c>
      <c r="AU99" s="258"/>
      <c r="AV99" s="121"/>
      <c r="AW99" s="121"/>
    </row>
    <row r="100" spans="38:49">
      <c r="AL100" s="121"/>
      <c r="AM100" s="121"/>
      <c r="AN100" s="504" t="s">
        <v>2340</v>
      </c>
      <c r="AO100" s="528" t="s">
        <v>2341</v>
      </c>
      <c r="AP100" s="257">
        <f t="shared" si="3"/>
        <v>0</v>
      </c>
      <c r="AQ100" s="321"/>
      <c r="AR100" s="260"/>
      <c r="AS100" s="260"/>
      <c r="AT100" s="261"/>
      <c r="AU100" s="258"/>
      <c r="AV100" s="121"/>
      <c r="AW100" s="121"/>
    </row>
    <row r="101" spans="38:49">
      <c r="AL101" s="121"/>
      <c r="AM101" s="121"/>
      <c r="AN101" s="504" t="s">
        <v>2342</v>
      </c>
      <c r="AO101" s="528" t="s">
        <v>2343</v>
      </c>
      <c r="AP101" s="257">
        <f t="shared" si="3"/>
        <v>0</v>
      </c>
      <c r="AQ101" s="321"/>
      <c r="AR101" s="260"/>
      <c r="AS101" s="260"/>
      <c r="AT101" s="261"/>
      <c r="AU101" s="258"/>
      <c r="AV101" s="121"/>
      <c r="AW101" s="121"/>
    </row>
    <row r="102" spans="38:49">
      <c r="AL102" s="121"/>
      <c r="AM102" s="121"/>
      <c r="AN102" s="504" t="s">
        <v>2344</v>
      </c>
      <c r="AO102" s="528" t="s">
        <v>2345</v>
      </c>
      <c r="AP102" s="257">
        <f t="shared" si="3"/>
        <v>0</v>
      </c>
      <c r="AQ102" s="321"/>
      <c r="AR102" s="260"/>
      <c r="AS102" s="260"/>
      <c r="AT102" s="261"/>
      <c r="AU102" s="258"/>
      <c r="AV102" s="121"/>
      <c r="AW102" s="121"/>
    </row>
    <row r="103" spans="38:49">
      <c r="AL103" s="121"/>
      <c r="AM103" s="121"/>
      <c r="AN103" s="504" t="s">
        <v>2346</v>
      </c>
      <c r="AO103" s="528" t="s">
        <v>2347</v>
      </c>
      <c r="AP103" s="257">
        <f t="shared" si="3"/>
        <v>0</v>
      </c>
      <c r="AQ103" s="321"/>
      <c r="AR103" s="260"/>
      <c r="AS103" s="260"/>
      <c r="AT103" s="261"/>
      <c r="AU103" s="258"/>
      <c r="AV103" s="121"/>
      <c r="AW103" s="121"/>
    </row>
    <row r="104" spans="38:49">
      <c r="AL104" s="121"/>
      <c r="AM104" s="121"/>
      <c r="AN104" s="504" t="s">
        <v>2348</v>
      </c>
      <c r="AO104" s="528" t="s">
        <v>2349</v>
      </c>
      <c r="AP104" s="257">
        <f t="shared" si="3"/>
        <v>0</v>
      </c>
      <c r="AQ104" s="321"/>
      <c r="AR104" s="260"/>
      <c r="AS104" s="260"/>
      <c r="AT104" s="261"/>
      <c r="AU104" s="258"/>
      <c r="AV104" s="121"/>
      <c r="AW104" s="121"/>
    </row>
    <row r="105" spans="38:49">
      <c r="AL105" s="121"/>
      <c r="AM105" s="121"/>
      <c r="AN105" s="504" t="s">
        <v>2350</v>
      </c>
      <c r="AO105" s="528" t="s">
        <v>2351</v>
      </c>
      <c r="AP105" s="257">
        <f t="shared" si="3"/>
        <v>0</v>
      </c>
      <c r="AQ105" s="321"/>
      <c r="AR105" s="260"/>
      <c r="AS105" s="260"/>
      <c r="AT105" s="261"/>
      <c r="AU105" s="258"/>
      <c r="AV105" s="121"/>
      <c r="AW105" s="121"/>
    </row>
    <row r="106" spans="38:49">
      <c r="AL106" s="121"/>
      <c r="AM106" s="121"/>
      <c r="AN106" s="504" t="s">
        <v>2352</v>
      </c>
      <c r="AO106" s="528" t="s">
        <v>2353</v>
      </c>
      <c r="AP106" s="257">
        <f t="shared" si="3"/>
        <v>1.9</v>
      </c>
      <c r="AQ106" s="321"/>
      <c r="AR106" s="260"/>
      <c r="AS106" s="260"/>
      <c r="AT106" s="261">
        <v>1.9</v>
      </c>
      <c r="AU106" s="258"/>
      <c r="AV106" s="121"/>
      <c r="AW106" s="121"/>
    </row>
    <row r="107" spans="38:49">
      <c r="AL107" s="121"/>
      <c r="AM107" s="121"/>
      <c r="AN107" s="504" t="s">
        <v>2354</v>
      </c>
      <c r="AO107" s="528" t="s">
        <v>2355</v>
      </c>
      <c r="AP107" s="257">
        <f t="shared" si="3"/>
        <v>0</v>
      </c>
      <c r="AQ107" s="321"/>
      <c r="AR107" s="260"/>
      <c r="AS107" s="260"/>
      <c r="AT107" s="261"/>
      <c r="AU107" s="258"/>
      <c r="AV107" s="121"/>
      <c r="AW107" s="121"/>
    </row>
    <row r="108" spans="38:49">
      <c r="AL108" s="121"/>
      <c r="AM108" s="121"/>
      <c r="AN108" s="504" t="s">
        <v>2356</v>
      </c>
      <c r="AO108" s="528" t="s">
        <v>2357</v>
      </c>
      <c r="AP108" s="257">
        <f t="shared" si="3"/>
        <v>0</v>
      </c>
      <c r="AQ108" s="321"/>
      <c r="AR108" s="260"/>
      <c r="AS108" s="260"/>
      <c r="AT108" s="261"/>
      <c r="AU108" s="258"/>
      <c r="AV108" s="121"/>
      <c r="AW108" s="121"/>
    </row>
    <row r="109" spans="38:49" ht="22.5">
      <c r="AL109" s="121"/>
      <c r="AM109" s="121"/>
      <c r="AN109" s="504" t="s">
        <v>2358</v>
      </c>
      <c r="AO109" s="536" t="s">
        <v>2359</v>
      </c>
      <c r="AP109" s="257">
        <f t="shared" si="3"/>
        <v>0</v>
      </c>
      <c r="AQ109" s="321"/>
      <c r="AR109" s="260"/>
      <c r="AS109" s="260"/>
      <c r="AT109" s="257">
        <f>SUM(AT110:AT114)</f>
        <v>0</v>
      </c>
      <c r="AU109" s="258"/>
      <c r="AV109" s="121"/>
      <c r="AW109" s="121"/>
    </row>
    <row r="110" spans="38:49">
      <c r="AL110" s="121"/>
      <c r="AM110" s="121"/>
      <c r="AN110" s="504" t="s">
        <v>2360</v>
      </c>
      <c r="AO110" s="537" t="s">
        <v>2444</v>
      </c>
      <c r="AP110" s="257">
        <f t="shared" si="3"/>
        <v>0</v>
      </c>
      <c r="AQ110" s="321"/>
      <c r="AR110" s="260"/>
      <c r="AS110" s="260"/>
      <c r="AT110" s="261"/>
      <c r="AU110" s="258"/>
      <c r="AV110" s="121"/>
      <c r="AW110" s="121"/>
    </row>
    <row r="111" spans="38:49">
      <c r="AL111" s="121"/>
      <c r="AM111" s="121"/>
      <c r="AN111" s="504" t="s">
        <v>2361</v>
      </c>
      <c r="AO111" s="537" t="s">
        <v>2362</v>
      </c>
      <c r="AP111" s="257">
        <f t="shared" si="3"/>
        <v>0</v>
      </c>
      <c r="AQ111" s="321"/>
      <c r="AR111" s="260"/>
      <c r="AS111" s="260"/>
      <c r="AT111" s="261"/>
      <c r="AU111" s="258"/>
      <c r="AV111" s="121"/>
      <c r="AW111" s="121"/>
    </row>
    <row r="112" spans="38:49">
      <c r="AL112" s="121"/>
      <c r="AM112" s="121"/>
      <c r="AN112" s="504" t="s">
        <v>2363</v>
      </c>
      <c r="AO112" s="528" t="s">
        <v>872</v>
      </c>
      <c r="AP112" s="257">
        <f t="shared" si="3"/>
        <v>0</v>
      </c>
      <c r="AQ112" s="321"/>
      <c r="AR112" s="260"/>
      <c r="AS112" s="260"/>
      <c r="AT112" s="261"/>
      <c r="AU112" s="258"/>
      <c r="AV112" s="121"/>
      <c r="AW112" s="121"/>
    </row>
    <row r="113" spans="1:49" ht="22.5">
      <c r="AL113" s="121"/>
      <c r="AM113" s="121"/>
      <c r="AN113" s="504" t="s">
        <v>2364</v>
      </c>
      <c r="AO113" s="528" t="s">
        <v>2365</v>
      </c>
      <c r="AP113" s="257">
        <f t="shared" si="3"/>
        <v>0</v>
      </c>
      <c r="AQ113" s="321"/>
      <c r="AR113" s="260"/>
      <c r="AS113" s="260"/>
      <c r="AT113" s="261"/>
      <c r="AU113" s="258"/>
      <c r="AV113" s="121"/>
      <c r="AW113" s="121"/>
    </row>
    <row r="114" spans="1:49">
      <c r="AL114" s="121"/>
      <c r="AM114" s="121"/>
      <c r="AN114" s="504" t="s">
        <v>2366</v>
      </c>
      <c r="AO114" s="528" t="s">
        <v>2367</v>
      </c>
      <c r="AP114" s="257">
        <f t="shared" si="3"/>
        <v>0</v>
      </c>
      <c r="AQ114" s="321"/>
      <c r="AR114" s="260"/>
      <c r="AS114" s="260"/>
      <c r="AT114" s="261"/>
      <c r="AU114" s="258"/>
      <c r="AV114" s="121"/>
      <c r="AW114" s="121"/>
    </row>
    <row r="115" spans="1:49" ht="0.75" customHeight="1">
      <c r="AL115" s="121"/>
      <c r="AM115" s="121"/>
      <c r="AN115" s="504"/>
      <c r="AO115" s="526"/>
      <c r="AP115" s="504"/>
      <c r="AQ115" s="321"/>
      <c r="AR115" s="260"/>
      <c r="AS115" s="260"/>
      <c r="AT115" s="260"/>
      <c r="AU115" s="258"/>
      <c r="AV115" s="121"/>
      <c r="AW115" s="121"/>
    </row>
    <row r="116" spans="1:49" ht="0.75" customHeight="1">
      <c r="AL116" s="121"/>
      <c r="AM116" s="121"/>
      <c r="AN116" s="504"/>
      <c r="AO116" s="527"/>
      <c r="AP116" s="504"/>
      <c r="AQ116" s="321"/>
      <c r="AR116" s="260"/>
      <c r="AS116" s="260"/>
      <c r="AT116" s="260"/>
      <c r="AU116" s="258"/>
      <c r="AV116" s="121"/>
      <c r="AW116" s="121"/>
    </row>
    <row r="117" spans="1:49" ht="0.75" customHeight="1">
      <c r="AL117" s="121"/>
      <c r="AM117" s="121"/>
      <c r="AN117" s="504"/>
      <c r="AO117" s="528"/>
      <c r="AP117" s="504"/>
      <c r="AQ117" s="321"/>
      <c r="AR117" s="260"/>
      <c r="AS117" s="260"/>
      <c r="AT117" s="260"/>
      <c r="AU117" s="258"/>
      <c r="AV117" s="121"/>
      <c r="AW117" s="121"/>
    </row>
    <row r="118" spans="1:49" ht="0.75" customHeight="1">
      <c r="AL118" s="121"/>
      <c r="AM118" s="121"/>
      <c r="AN118" s="504"/>
      <c r="AO118" s="527"/>
      <c r="AP118" s="504"/>
      <c r="AQ118" s="321"/>
      <c r="AR118" s="260"/>
      <c r="AS118" s="260"/>
      <c r="AT118" s="260"/>
      <c r="AU118" s="258"/>
      <c r="AV118" s="121"/>
      <c r="AW118" s="121"/>
    </row>
    <row r="119" spans="1:49" ht="0.75" customHeight="1">
      <c r="AL119" s="121"/>
      <c r="AM119" s="121"/>
      <c r="AN119" s="504"/>
      <c r="AO119" s="527"/>
      <c r="AP119" s="504"/>
      <c r="AQ119" s="321"/>
      <c r="AR119" s="260"/>
      <c r="AS119" s="260"/>
      <c r="AT119" s="260"/>
      <c r="AU119" s="258"/>
      <c r="AV119" s="121"/>
      <c r="AW119" s="121"/>
    </row>
    <row r="120" spans="1:49" ht="0.75" customHeight="1">
      <c r="AL120" s="121"/>
      <c r="AM120" s="121"/>
      <c r="AN120" s="504"/>
      <c r="AO120" s="527"/>
      <c r="AP120" s="504"/>
      <c r="AQ120" s="321"/>
      <c r="AR120" s="260"/>
      <c r="AS120" s="260"/>
      <c r="AT120" s="260"/>
      <c r="AU120" s="258"/>
      <c r="AV120" s="121"/>
      <c r="AW120" s="121"/>
    </row>
    <row r="121" spans="1:49" ht="0.75" customHeight="1">
      <c r="AL121" s="121"/>
      <c r="AM121" s="121"/>
      <c r="AN121" s="504"/>
      <c r="AO121" s="527"/>
      <c r="AP121" s="504"/>
      <c r="AQ121" s="321"/>
      <c r="AR121" s="260"/>
      <c r="AS121" s="260"/>
      <c r="AT121" s="260"/>
      <c r="AU121" s="258"/>
      <c r="AV121" s="121"/>
      <c r="AW121" s="121"/>
    </row>
    <row r="122" spans="1:49" ht="0.75" customHeight="1">
      <c r="AL122" s="121"/>
      <c r="AM122" s="121"/>
      <c r="AN122" s="504"/>
      <c r="AO122" s="528"/>
      <c r="AP122" s="504"/>
      <c r="AQ122" s="321"/>
      <c r="AR122" s="260"/>
      <c r="AS122" s="260"/>
      <c r="AT122" s="260"/>
      <c r="AU122" s="258"/>
      <c r="AV122" s="121"/>
      <c r="AW122" s="121"/>
    </row>
    <row r="123" spans="1:49" ht="0.75" customHeight="1">
      <c r="AL123" s="121"/>
      <c r="AM123" s="121"/>
      <c r="AN123" s="504"/>
      <c r="AO123" s="538"/>
      <c r="AP123" s="504"/>
      <c r="AQ123" s="321"/>
      <c r="AR123" s="260"/>
      <c r="AS123" s="260"/>
      <c r="AT123" s="260"/>
      <c r="AU123" s="258"/>
      <c r="AV123" s="121"/>
      <c r="AW123" s="121"/>
    </row>
    <row r="124" spans="1:49" ht="0.75" customHeight="1">
      <c r="AL124" s="121"/>
      <c r="AM124" s="121"/>
      <c r="AN124" s="504"/>
      <c r="AO124" s="528"/>
      <c r="AP124" s="504"/>
      <c r="AQ124" s="321"/>
      <c r="AR124" s="260"/>
      <c r="AS124" s="260"/>
      <c r="AT124" s="260"/>
      <c r="AU124" s="258"/>
      <c r="AV124" s="121"/>
      <c r="AW124" s="121"/>
    </row>
    <row r="125" spans="1:49" ht="0.75" customHeight="1">
      <c r="A125" s="47"/>
      <c r="B125" s="47"/>
      <c r="C125" s="47"/>
      <c r="D125" s="47"/>
      <c r="E125" s="47"/>
      <c r="F125" s="47"/>
      <c r="G125" s="47"/>
      <c r="H125" s="47"/>
      <c r="I125" s="47"/>
      <c r="J125"/>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50"/>
      <c r="AM125" s="126"/>
      <c r="AN125" s="223"/>
      <c r="AO125" s="728"/>
      <c r="AP125" s="260"/>
      <c r="AQ125" s="258"/>
      <c r="AR125" s="260"/>
      <c r="AS125" s="260"/>
      <c r="AT125" s="260"/>
      <c r="AU125" s="258"/>
      <c r="AV125" s="127"/>
    </row>
    <row r="126" spans="1:49" ht="0.75" customHeight="1">
      <c r="A126" s="47"/>
      <c r="B126" s="47"/>
      <c r="C126" s="47"/>
      <c r="D126" s="47"/>
      <c r="E126" s="47"/>
      <c r="F126" s="47"/>
      <c r="G126" s="47"/>
      <c r="H126" s="47"/>
      <c r="I126" s="47"/>
      <c r="J126"/>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50"/>
      <c r="AM126" s="126"/>
      <c r="AN126" s="223"/>
      <c r="AO126" s="728"/>
      <c r="AP126" s="260"/>
      <c r="AQ126" s="258"/>
      <c r="AR126" s="260"/>
      <c r="AS126" s="260"/>
      <c r="AT126" s="260"/>
      <c r="AU126" s="258"/>
      <c r="AV126" s="127"/>
    </row>
    <row r="127" spans="1:49" ht="0.75" customHeight="1">
      <c r="A127" s="47"/>
      <c r="B127" s="47"/>
      <c r="C127" s="47"/>
      <c r="D127" s="47"/>
      <c r="E127" s="47"/>
      <c r="F127" s="47"/>
      <c r="G127" s="47"/>
      <c r="H127" s="47"/>
      <c r="I127" s="47"/>
      <c r="J12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50"/>
      <c r="AM127" s="126"/>
      <c r="AN127" s="223"/>
      <c r="AO127" s="728"/>
      <c r="AP127" s="260"/>
      <c r="AQ127" s="258"/>
      <c r="AR127" s="260"/>
      <c r="AS127" s="260"/>
      <c r="AT127" s="260"/>
      <c r="AU127" s="258"/>
      <c r="AV127" s="127"/>
    </row>
    <row r="128" spans="1:49" ht="0.75" customHeight="1">
      <c r="A128" s="47"/>
      <c r="B128" s="47"/>
      <c r="C128" s="47"/>
      <c r="D128" s="47"/>
      <c r="E128" s="47"/>
      <c r="F128" s="47"/>
      <c r="G128" s="47"/>
      <c r="H128" s="47"/>
      <c r="I128" s="47"/>
      <c r="J128"/>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50"/>
      <c r="AM128" s="126"/>
      <c r="AN128" s="223"/>
      <c r="AO128" s="728"/>
      <c r="AP128" s="260"/>
      <c r="AQ128" s="258"/>
      <c r="AR128" s="260"/>
      <c r="AS128" s="260"/>
      <c r="AT128" s="260"/>
      <c r="AU128" s="258"/>
      <c r="AV128" s="127"/>
    </row>
    <row r="129" spans="1:49" ht="0.75" customHeight="1">
      <c r="A129" s="47"/>
      <c r="B129" s="47"/>
      <c r="C129" s="47"/>
      <c r="D129" s="47"/>
      <c r="E129" s="47"/>
      <c r="F129" s="47"/>
      <c r="G129" s="47"/>
      <c r="H129" s="47"/>
      <c r="I129" s="47"/>
      <c r="J129"/>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50"/>
      <c r="AM129" s="126"/>
      <c r="AN129" s="223"/>
      <c r="AO129" s="728"/>
      <c r="AP129" s="260"/>
      <c r="AQ129" s="258"/>
      <c r="AR129" s="260"/>
      <c r="AS129" s="260"/>
      <c r="AT129" s="260"/>
      <c r="AU129" s="258"/>
      <c r="AV129" s="127"/>
    </row>
    <row r="130" spans="1:49" ht="0.75" customHeight="1">
      <c r="A130" s="47"/>
      <c r="B130" s="47"/>
      <c r="C130" s="47"/>
      <c r="D130" s="47"/>
      <c r="E130" s="47"/>
      <c r="F130" s="47"/>
      <c r="G130" s="47"/>
      <c r="H130" s="47"/>
      <c r="I130" s="47"/>
      <c r="J130"/>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50"/>
      <c r="AM130" s="126"/>
      <c r="AN130" s="223"/>
      <c r="AO130" s="728"/>
      <c r="AP130" s="260"/>
      <c r="AQ130" s="258"/>
      <c r="AR130" s="260"/>
      <c r="AS130" s="260"/>
      <c r="AT130" s="260"/>
      <c r="AU130" s="258"/>
      <c r="AV130" s="127"/>
    </row>
    <row r="131" spans="1:49" ht="0.75" customHeight="1">
      <c r="AL131" s="121"/>
      <c r="AM131" s="121"/>
      <c r="AN131" s="504"/>
      <c r="AO131" s="526"/>
      <c r="AP131" s="504"/>
      <c r="AQ131" s="321"/>
      <c r="AR131" s="260"/>
      <c r="AS131" s="260"/>
      <c r="AT131" s="260"/>
      <c r="AU131" s="258"/>
      <c r="AV131" s="121"/>
      <c r="AW131" s="121"/>
    </row>
    <row r="132" spans="1:49" ht="0.75" customHeight="1">
      <c r="AL132" s="121"/>
      <c r="AM132" s="121"/>
      <c r="AN132" s="504"/>
      <c r="AO132" s="526"/>
      <c r="AP132" s="504"/>
      <c r="AQ132" s="321"/>
      <c r="AR132" s="260"/>
      <c r="AS132" s="260"/>
      <c r="AT132" s="260"/>
      <c r="AU132" s="258"/>
      <c r="AV132" s="121"/>
      <c r="AW132" s="121"/>
    </row>
    <row r="133" spans="1:49" ht="0.75" customHeight="1">
      <c r="AL133" s="121"/>
      <c r="AM133" s="121"/>
      <c r="AN133" s="504"/>
      <c r="AO133" s="526"/>
      <c r="AP133" s="504"/>
      <c r="AQ133" s="321"/>
      <c r="AR133" s="260"/>
      <c r="AS133" s="260"/>
      <c r="AT133" s="260"/>
      <c r="AU133" s="258"/>
      <c r="AV133" s="121"/>
      <c r="AW133" s="121"/>
    </row>
    <row r="134" spans="1:49" ht="0.75" customHeight="1">
      <c r="AL134" s="121"/>
      <c r="AM134" s="121"/>
      <c r="AN134" s="504"/>
      <c r="AO134" s="526"/>
      <c r="AP134" s="504"/>
      <c r="AQ134" s="321"/>
      <c r="AR134" s="260"/>
      <c r="AS134" s="260"/>
      <c r="AT134" s="260"/>
      <c r="AU134" s="258"/>
      <c r="AV134" s="121"/>
      <c r="AW134" s="121"/>
    </row>
    <row r="135" spans="1:49" ht="0.75" customHeight="1">
      <c r="AL135" s="121"/>
      <c r="AM135" s="121"/>
      <c r="AN135" s="504"/>
      <c r="AO135" s="526"/>
      <c r="AP135" s="504"/>
      <c r="AQ135" s="321"/>
      <c r="AR135" s="260"/>
      <c r="AS135" s="260"/>
      <c r="AT135" s="260"/>
      <c r="AU135" s="258"/>
      <c r="AV135" s="121"/>
      <c r="AW135" s="121"/>
    </row>
    <row r="136" spans="1:49" ht="0.75" customHeight="1">
      <c r="AL136" s="121"/>
      <c r="AM136" s="121"/>
      <c r="AN136" s="504"/>
      <c r="AO136" s="526"/>
      <c r="AP136" s="504"/>
      <c r="AQ136" s="321"/>
      <c r="AR136" s="260"/>
      <c r="AS136" s="260"/>
      <c r="AT136" s="260"/>
      <c r="AU136" s="258"/>
      <c r="AV136" s="121"/>
      <c r="AW136" s="121"/>
    </row>
    <row r="137" spans="1:49" ht="0.75" customHeight="1">
      <c r="AL137" s="121"/>
      <c r="AM137" s="121"/>
      <c r="AN137" s="504"/>
      <c r="AO137" s="526"/>
      <c r="AP137" s="504"/>
      <c r="AQ137" s="321"/>
      <c r="AR137" s="260"/>
      <c r="AS137" s="260"/>
      <c r="AT137" s="260"/>
      <c r="AU137" s="258"/>
      <c r="AV137" s="121"/>
      <c r="AW137" s="121"/>
    </row>
    <row r="138" spans="1:49" ht="0.75" hidden="1" customHeight="1">
      <c r="AL138" s="121"/>
      <c r="AM138" s="121"/>
      <c r="AN138" s="504"/>
      <c r="AO138" s="540"/>
      <c r="AP138" s="504"/>
      <c r="AQ138" s="321"/>
      <c r="AR138" s="260"/>
      <c r="AS138" s="260"/>
      <c r="AT138" s="260"/>
      <c r="AU138" s="258"/>
      <c r="AV138" s="121"/>
      <c r="AW138" s="121"/>
    </row>
    <row r="139" spans="1:49" ht="0.75" customHeight="1">
      <c r="AL139" s="121"/>
      <c r="AM139" s="121"/>
      <c r="AN139" s="504"/>
      <c r="AO139" s="526"/>
      <c r="AP139" s="504"/>
      <c r="AQ139" s="321"/>
      <c r="AR139" s="260"/>
      <c r="AS139" s="260"/>
      <c r="AT139" s="260"/>
      <c r="AU139" s="258"/>
      <c r="AV139" s="121"/>
      <c r="AW139" s="121"/>
    </row>
    <row r="140" spans="1:49" ht="0.75" customHeight="1">
      <c r="AL140" s="121"/>
      <c r="AM140" s="121"/>
      <c r="AN140" s="504"/>
      <c r="AO140" s="526"/>
      <c r="AP140" s="504"/>
      <c r="AQ140" s="321"/>
      <c r="AR140" s="260"/>
      <c r="AS140" s="260"/>
      <c r="AT140" s="260"/>
      <c r="AU140" s="258"/>
      <c r="AV140" s="121"/>
      <c r="AW140" s="121"/>
    </row>
    <row r="141" spans="1:49" ht="0.75" customHeight="1">
      <c r="AL141" s="121"/>
      <c r="AM141" s="121"/>
      <c r="AN141" s="504"/>
      <c r="AO141" s="526"/>
      <c r="AP141" s="504"/>
      <c r="AQ141" s="321"/>
      <c r="AR141" s="260"/>
      <c r="AS141" s="260"/>
      <c r="AT141" s="260"/>
      <c r="AU141" s="258"/>
      <c r="AV141" s="121"/>
      <c r="AW141" s="121"/>
    </row>
    <row r="142" spans="1:49" ht="0.75" customHeight="1">
      <c r="AL142" s="121"/>
      <c r="AM142" s="121"/>
      <c r="AN142" s="504"/>
      <c r="AO142" s="526"/>
      <c r="AP142" s="504"/>
      <c r="AQ142" s="321"/>
      <c r="AR142" s="260"/>
      <c r="AS142" s="260"/>
      <c r="AT142" s="260"/>
      <c r="AU142" s="258"/>
      <c r="AV142" s="121"/>
      <c r="AW142" s="121"/>
    </row>
    <row r="143" spans="1:49" ht="0.75" customHeight="1">
      <c r="AL143" s="121"/>
      <c r="AM143" s="121"/>
      <c r="AN143" s="504"/>
      <c r="AO143" s="526"/>
      <c r="AP143" s="504"/>
      <c r="AQ143" s="321"/>
      <c r="AR143" s="260"/>
      <c r="AS143" s="260"/>
      <c r="AT143" s="260"/>
      <c r="AU143" s="258"/>
      <c r="AV143" s="121"/>
      <c r="AW143" s="121"/>
    </row>
    <row r="144" spans="1:49" ht="0.75" customHeight="1">
      <c r="AL144" s="121"/>
      <c r="AM144" s="121"/>
      <c r="AN144" s="559"/>
      <c r="AO144" s="604"/>
      <c r="AP144" s="504"/>
      <c r="AQ144" s="321"/>
      <c r="AR144" s="260"/>
      <c r="AS144" s="260"/>
      <c r="AT144" s="260"/>
      <c r="AU144" s="258"/>
      <c r="AV144" s="121"/>
      <c r="AW144" s="121"/>
    </row>
    <row r="145" spans="38:49" s="121" customFormat="1" ht="0.75" customHeight="1">
      <c r="AN145" s="504"/>
      <c r="AO145" s="526"/>
      <c r="AP145" s="504"/>
      <c r="AQ145" s="321"/>
      <c r="AR145" s="260"/>
      <c r="AS145" s="260"/>
      <c r="AT145" s="260"/>
      <c r="AU145" s="258"/>
    </row>
    <row r="146" spans="38:49" s="121" customFormat="1" ht="0.75" customHeight="1">
      <c r="AN146" s="222"/>
      <c r="AO146" s="540"/>
      <c r="AP146" s="504"/>
      <c r="AQ146" s="321"/>
      <c r="AR146" s="260"/>
      <c r="AS146" s="260"/>
      <c r="AT146" s="260"/>
      <c r="AU146" s="258"/>
    </row>
    <row r="147" spans="38:49" s="121" customFormat="1" ht="0.75" customHeight="1">
      <c r="AN147" s="222"/>
      <c r="AO147" s="540"/>
      <c r="AP147" s="504"/>
      <c r="AQ147" s="321"/>
      <c r="AR147" s="260"/>
      <c r="AS147" s="260"/>
      <c r="AT147" s="260"/>
      <c r="AU147" s="258"/>
    </row>
    <row r="148" spans="38:49" s="121" customFormat="1" ht="0.75" customHeight="1">
      <c r="AN148" s="222"/>
      <c r="AO148" s="541"/>
      <c r="AP148" s="504"/>
      <c r="AQ148" s="321"/>
      <c r="AR148" s="260"/>
      <c r="AS148" s="260"/>
      <c r="AT148" s="260"/>
      <c r="AU148" s="258"/>
    </row>
    <row r="149" spans="38:49" ht="0.75" customHeight="1">
      <c r="AL149" s="121"/>
      <c r="AM149" s="121"/>
      <c r="AN149" s="222"/>
      <c r="AO149" s="502"/>
      <c r="AP149" s="504"/>
      <c r="AQ149" s="321"/>
      <c r="AR149" s="260"/>
      <c r="AS149" s="260"/>
      <c r="AT149" s="260"/>
      <c r="AU149" s="258"/>
      <c r="AV149" s="121"/>
      <c r="AW149" s="121"/>
    </row>
    <row r="150" spans="38:49" ht="0.75" customHeight="1">
      <c r="AL150" s="121"/>
      <c r="AM150" s="121"/>
      <c r="AN150" s="222"/>
      <c r="AO150" s="502"/>
      <c r="AP150" s="504"/>
      <c r="AQ150" s="321"/>
      <c r="AR150" s="260"/>
      <c r="AS150" s="260"/>
      <c r="AT150" s="260"/>
      <c r="AU150" s="258"/>
      <c r="AV150" s="121"/>
      <c r="AW150" s="121"/>
    </row>
    <row r="151" spans="38:49" s="121" customFormat="1" ht="0.75" customHeight="1">
      <c r="AN151" s="222"/>
      <c r="AO151" s="540"/>
      <c r="AP151" s="504"/>
      <c r="AQ151" s="321"/>
      <c r="AR151" s="260"/>
      <c r="AS151" s="260"/>
      <c r="AT151" s="260"/>
      <c r="AU151" s="258"/>
    </row>
    <row r="152" spans="38:49" s="121" customFormat="1" ht="0.75" customHeight="1">
      <c r="AN152" s="222"/>
      <c r="AO152" s="502"/>
      <c r="AP152" s="504"/>
      <c r="AQ152" s="321"/>
      <c r="AR152" s="260"/>
      <c r="AS152" s="260"/>
      <c r="AT152" s="260"/>
      <c r="AU152" s="258"/>
    </row>
    <row r="153" spans="38:49" s="121" customFormat="1" ht="0.75" customHeight="1">
      <c r="AN153" s="222"/>
      <c r="AO153" s="502"/>
      <c r="AP153" s="504"/>
      <c r="AQ153" s="321"/>
      <c r="AR153" s="260"/>
      <c r="AS153" s="260"/>
      <c r="AT153" s="260"/>
      <c r="AU153" s="258"/>
    </row>
    <row r="154" spans="38:49" s="121" customFormat="1" ht="0.75" customHeight="1">
      <c r="AN154" s="222"/>
      <c r="AO154" s="540"/>
      <c r="AP154" s="504"/>
      <c r="AQ154" s="321"/>
      <c r="AR154" s="260"/>
      <c r="AS154" s="260"/>
      <c r="AT154" s="260"/>
      <c r="AU154" s="258"/>
    </row>
    <row r="155" spans="38:49" s="121" customFormat="1" ht="0.75" customHeight="1">
      <c r="AN155" s="222"/>
      <c r="AO155" s="502"/>
      <c r="AP155" s="504"/>
      <c r="AQ155" s="321"/>
      <c r="AR155" s="260"/>
      <c r="AS155" s="260"/>
      <c r="AT155" s="260"/>
      <c r="AU155" s="258"/>
    </row>
    <row r="156" spans="38:49" s="121" customFormat="1" ht="0.75" customHeight="1">
      <c r="AN156" s="222"/>
      <c r="AO156" s="502"/>
      <c r="AP156" s="504"/>
      <c r="AQ156" s="321"/>
      <c r="AR156" s="260"/>
      <c r="AS156" s="260"/>
      <c r="AT156" s="260"/>
      <c r="AU156" s="258"/>
    </row>
    <row r="157" spans="38:49" ht="0.75" customHeight="1">
      <c r="AL157" s="121"/>
      <c r="AM157" s="121"/>
      <c r="AN157" s="222"/>
      <c r="AO157" s="540"/>
      <c r="AP157" s="504"/>
      <c r="AQ157" s="321"/>
      <c r="AR157" s="260"/>
      <c r="AS157" s="260"/>
      <c r="AT157" s="260"/>
      <c r="AU157" s="258"/>
      <c r="AV157" s="121"/>
      <c r="AW157" s="121"/>
    </row>
    <row r="158" spans="38:49" s="121" customFormat="1" ht="0.75" customHeight="1">
      <c r="AN158" s="222"/>
      <c r="AO158" s="502"/>
      <c r="AP158" s="504"/>
      <c r="AQ158" s="321"/>
      <c r="AR158" s="260"/>
      <c r="AS158" s="260"/>
      <c r="AT158" s="260"/>
      <c r="AU158" s="258"/>
    </row>
    <row r="159" spans="38:49" s="121" customFormat="1" ht="0.75" customHeight="1">
      <c r="AN159" s="222"/>
      <c r="AO159" s="502"/>
      <c r="AP159" s="504"/>
      <c r="AQ159" s="321"/>
      <c r="AR159" s="260"/>
      <c r="AS159" s="260"/>
      <c r="AT159" s="260"/>
      <c r="AU159" s="258"/>
    </row>
    <row r="160" spans="38:49" s="121" customFormat="1" hidden="1">
      <c r="AN160" s="222"/>
      <c r="AO160" s="502"/>
      <c r="AP160" s="323"/>
      <c r="AQ160" s="321"/>
      <c r="AR160" s="260"/>
      <c r="AS160" s="260"/>
      <c r="AT160" s="260"/>
      <c r="AU160" s="258"/>
    </row>
    <row r="161" spans="1:49" s="121" customFormat="1" hidden="1">
      <c r="AN161" s="222"/>
      <c r="AO161" s="502"/>
      <c r="AP161" s="323"/>
      <c r="AQ161" s="321"/>
      <c r="AR161" s="260"/>
      <c r="AS161" s="260"/>
      <c r="AT161" s="260"/>
      <c r="AU161" s="258"/>
    </row>
    <row r="162" spans="1:49" s="121" customFormat="1" hidden="1">
      <c r="AN162" s="222"/>
      <c r="AO162" s="502"/>
      <c r="AP162" s="323"/>
      <c r="AQ162" s="321"/>
      <c r="AR162" s="260"/>
      <c r="AS162" s="260"/>
      <c r="AT162" s="260"/>
      <c r="AU162" s="258"/>
    </row>
    <row r="163" spans="1:49" s="121" customFormat="1" hidden="1">
      <c r="AN163" s="222"/>
      <c r="AO163" s="502"/>
      <c r="AP163" s="323"/>
      <c r="AQ163" s="321"/>
      <c r="AR163" s="260"/>
      <c r="AS163" s="260"/>
      <c r="AT163" s="260"/>
      <c r="AU163" s="258"/>
    </row>
    <row r="164" spans="1:49" ht="0.75" customHeight="1">
      <c r="AL164" s="121"/>
      <c r="AM164" s="121"/>
      <c r="AN164" s="223"/>
      <c r="AO164" s="216"/>
      <c r="AP164" s="543"/>
      <c r="AQ164" s="523"/>
      <c r="AR164" s="547"/>
      <c r="AS164" s="547"/>
      <c r="AT164" s="547"/>
      <c r="AU164" s="265"/>
      <c r="AV164" s="121"/>
      <c r="AW164" s="121"/>
    </row>
    <row r="165" spans="1:49" s="54" customFormat="1">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48"/>
      <c r="AV165" s="121"/>
      <c r="AW165" s="121"/>
    </row>
    <row r="166" spans="1:49" s="54" customFormat="1">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47"/>
      <c r="AR166" s="47"/>
      <c r="AS166" s="47"/>
      <c r="AT166" s="47"/>
      <c r="AU166" s="47"/>
      <c r="AV166" s="121"/>
      <c r="AW166" s="121"/>
    </row>
    <row r="167" spans="1:49">
      <c r="AL167" s="121"/>
      <c r="AM167" s="121"/>
    </row>
  </sheetData>
  <sheetProtection password="FA9C" sheet="1" objects="1" scenarios="1" formatColumns="0" formatRows="0"/>
  <mergeCells count="8">
    <mergeCell ref="AR13:AT13"/>
    <mergeCell ref="AN9:AP9"/>
    <mergeCell ref="AN11:AN12"/>
    <mergeCell ref="AO11:AO12"/>
    <mergeCell ref="AP11:AP12"/>
    <mergeCell ref="AR10:AT10"/>
    <mergeCell ref="AR11:AT11"/>
    <mergeCell ref="AR12:AT12"/>
  </mergeCells>
  <phoneticPr fontId="8"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sheetPr codeName="VOTV_ConR_PERIOD_YEAR">
    <tabColor rgb="FF002060"/>
    <outlinePr summaryBelow="0"/>
  </sheetPr>
  <dimension ref="A1:AX166"/>
  <sheetViews>
    <sheetView showGridLines="0" topLeftCell="AL8" workbookViewId="0">
      <selection activeCell="BF82" sqref="BF82"/>
    </sheetView>
  </sheetViews>
  <sheetFormatPr defaultColWidth="8.7109375" defaultRowHeight="11.25"/>
  <cols>
    <col min="1" max="37" width="2.7109375"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3" width="0.140625" style="47" customWidth="1"/>
    <col min="44" max="45" width="0.140625" style="47" hidden="1" customWidth="1"/>
    <col min="46" max="46" width="17.7109375" style="47" customWidth="1"/>
    <col min="47" max="47" width="0.140625" style="47" customWidth="1"/>
    <col min="48" max="49" width="2.7109375" style="47" customWidth="1"/>
    <col min="50" max="16384" width="8.7109375" style="47"/>
  </cols>
  <sheetData>
    <row r="1" spans="1:50" s="48" customFormat="1" ht="12" hidden="1" customHeight="1">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199"/>
      <c r="AQ1" s="47"/>
      <c r="AR1" s="47"/>
      <c r="AS1" s="47"/>
      <c r="AT1" s="47"/>
      <c r="AU1" s="47"/>
      <c r="AV1" s="47"/>
      <c r="AW1" s="47"/>
      <c r="AX1" s="47"/>
    </row>
    <row r="2" spans="1:50" s="48" customFormat="1" ht="12" hidden="1" customHeight="1">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199"/>
      <c r="AQ2" s="47"/>
      <c r="AR2" s="47"/>
      <c r="AS2" s="47"/>
      <c r="AT2" s="47"/>
      <c r="AU2" s="47"/>
      <c r="AV2" s="47"/>
      <c r="AW2" s="47"/>
      <c r="AX2" s="47"/>
    </row>
    <row r="3" spans="1:50" s="48" customFormat="1" ht="12" hidden="1" customHeight="1">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199"/>
      <c r="AQ3" s="47"/>
      <c r="AR3" s="47"/>
      <c r="AS3" s="47"/>
      <c r="AT3" s="47"/>
      <c r="AU3" s="47"/>
      <c r="AV3" s="47"/>
      <c r="AW3" s="47"/>
      <c r="AX3" s="47"/>
    </row>
    <row r="4" spans="1:50" s="48" customFormat="1" ht="12" hidden="1" customHeight="1">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199"/>
      <c r="AQ4" s="47"/>
      <c r="AR4" s="47"/>
      <c r="AS4" s="47"/>
      <c r="AT4" s="47"/>
      <c r="AU4" s="47"/>
      <c r="AV4" s="47"/>
      <c r="AW4" s="47"/>
      <c r="AX4" s="47"/>
    </row>
    <row r="5" spans="1:50" s="48" customFormat="1" ht="12" hidden="1" customHeight="1">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199"/>
      <c r="AQ5" s="47"/>
      <c r="AR5" s="47"/>
      <c r="AS5" s="47"/>
      <c r="AT5" s="47"/>
      <c r="AU5" s="47"/>
      <c r="AV5" s="47"/>
      <c r="AW5" s="47"/>
      <c r="AX5" s="47"/>
    </row>
    <row r="6" spans="1:50" s="48" customFormat="1" ht="12" hidden="1" customHeight="1">
      <c r="J6" s="213"/>
      <c r="K6" s="213"/>
      <c r="L6" s="213"/>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199"/>
      <c r="AQ6" s="47"/>
      <c r="AR6" s="47"/>
      <c r="AS6" s="47"/>
      <c r="AT6" s="47"/>
      <c r="AU6" s="47"/>
      <c r="AV6" s="47"/>
      <c r="AW6" s="47"/>
      <c r="AX6" s="47"/>
    </row>
    <row r="7" spans="1:50" s="48" customFormat="1" ht="12" hidden="1" customHeight="1">
      <c r="J7" s="213"/>
      <c r="K7" s="213"/>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199"/>
      <c r="AO7" s="158"/>
      <c r="AQ7" s="47"/>
      <c r="AR7" s="47"/>
      <c r="AS7" s="47"/>
      <c r="AT7" s="47"/>
      <c r="AU7" s="47"/>
      <c r="AV7" s="47"/>
      <c r="AW7" s="47"/>
      <c r="AX7" s="47"/>
    </row>
    <row r="8" spans="1:50" s="312" customFormat="1" ht="12" customHeight="1">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308"/>
      <c r="AN8" s="618"/>
      <c r="AO8" s="432"/>
      <c r="AP8" s="616" t="s">
        <v>2790</v>
      </c>
      <c r="AQ8" s="522"/>
      <c r="AR8" s="624"/>
      <c r="AS8" s="624"/>
      <c r="AT8" s="624" t="s">
        <v>3269</v>
      </c>
      <c r="AU8" s="522"/>
      <c r="AV8" s="522"/>
      <c r="AW8" s="520"/>
      <c r="AX8" s="520"/>
    </row>
    <row r="9" spans="1:50"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на реализацию " &amp; RESOURCE_IDENTIFIER &amp; " конечным потребителям по муниципальному образованию - " &amp; IF(mo="","Не определено",mo)</f>
        <v>Фактические расходы организаций водоотведения на реализацию стоков конечным потребителям по муниципальному образованию - Село Булава</v>
      </c>
      <c r="AO9" s="917"/>
      <c r="AP9" s="917"/>
      <c r="AQ9" s="201"/>
      <c r="AR9" s="625" t="str">
        <f>AR11 &amp; ".1"</f>
        <v>1.1</v>
      </c>
      <c r="AS9" s="625" t="str">
        <f>AR11 &amp; ".2"</f>
        <v>1.2</v>
      </c>
      <c r="AT9" s="625" t="str">
        <f>AR11 &amp; ".0"</f>
        <v>1.0</v>
      </c>
      <c r="AU9" s="122"/>
      <c r="AV9" s="200"/>
    </row>
    <row r="10" spans="1:50" s="48" customFormat="1" ht="12" customHeight="1">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189"/>
      <c r="AO10" s="209"/>
      <c r="AP10" s="214" t="s">
        <v>786</v>
      </c>
      <c r="AQ10" s="201"/>
      <c r="AR10" s="814" t="s">
        <v>719</v>
      </c>
      <c r="AS10" s="814"/>
      <c r="AT10" s="814"/>
      <c r="AU10" s="168" t="s">
        <v>720</v>
      </c>
      <c r="AV10" s="53"/>
      <c r="AW10" s="47"/>
      <c r="AX10" s="47"/>
    </row>
    <row r="11" spans="1:50" ht="12" customHeight="1">
      <c r="A11" s="47"/>
      <c r="B11" s="47"/>
      <c r="C11" s="47"/>
      <c r="D11" s="47"/>
      <c r="E11" s="47"/>
      <c r="F11" s="47"/>
      <c r="G11" s="47"/>
      <c r="H11" s="47"/>
      <c r="I11" s="47"/>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50"/>
      <c r="AM11" s="125"/>
      <c r="AN11" s="802" t="s">
        <v>641</v>
      </c>
      <c r="AO11" s="804" t="s">
        <v>787</v>
      </c>
      <c r="AP11" s="819" t="s">
        <v>778</v>
      </c>
      <c r="AQ11" s="206">
        <v>0</v>
      </c>
      <c r="AR11" s="808">
        <v>1</v>
      </c>
      <c r="AS11" s="809"/>
      <c r="AT11" s="810"/>
      <c r="AU11" s="206"/>
      <c r="AV11" s="220"/>
    </row>
    <row r="12" spans="1:50" ht="48" customHeight="1">
      <c r="A12" s="47"/>
      <c r="B12" s="47"/>
      <c r="C12" s="47"/>
      <c r="D12" s="47"/>
      <c r="E12" s="47"/>
      <c r="F12" s="47"/>
      <c r="G12" s="47"/>
      <c r="H12" s="47"/>
      <c r="I12" s="47"/>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50"/>
      <c r="AM12" s="125"/>
      <c r="AN12" s="803"/>
      <c r="AO12" s="805"/>
      <c r="AP12" s="819"/>
      <c r="AQ12" s="207"/>
      <c r="AR12" s="964" t="str">
        <f>IF('Список организаций'!$I$16="","Не определено",'Список организаций'!$I$16)</f>
        <v>МУП СП "Село Булава" Булавинское ТЭП"</v>
      </c>
      <c r="AS12" s="797"/>
      <c r="AT12" s="798"/>
      <c r="AU12" s="207"/>
      <c r="AV12" s="121"/>
      <c r="AW12" s="121"/>
    </row>
    <row r="13" spans="1:50" ht="11.25" customHeight="1">
      <c r="A13" s="47"/>
      <c r="B13" s="47"/>
      <c r="C13" s="47"/>
      <c r="D13" s="47"/>
      <c r="E13" s="47"/>
      <c r="F13" s="47"/>
      <c r="G13" s="47"/>
      <c r="H13" s="47"/>
      <c r="I13" s="47"/>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222"/>
      <c r="AO13" s="501" t="s">
        <v>788</v>
      </c>
      <c r="AP13" s="564"/>
      <c r="AQ13" s="330"/>
      <c r="AR13" s="963" t="str">
        <f>IF('Список организаций'!$M$16="","Не определено",'Список организаций'!$M$16)</f>
        <v>нет</v>
      </c>
      <c r="AS13" s="800"/>
      <c r="AT13" s="801"/>
      <c r="AU13" s="207"/>
      <c r="AV13" s="121"/>
      <c r="AW13" s="121"/>
    </row>
    <row r="14" spans="1:50" ht="11.25" customHeight="1">
      <c r="A14" s="47"/>
      <c r="B14" s="47"/>
      <c r="C14" s="47"/>
      <c r="D14" s="47"/>
      <c r="E14" s="47"/>
      <c r="F14" s="47"/>
      <c r="G14" s="47"/>
      <c r="H14" s="47"/>
      <c r="I14" s="47"/>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222"/>
      <c r="AO14" s="556" t="str">
        <f>IF(CALC_IDENTIFIER="","",CALC_IDENTIFIER)</f>
        <v/>
      </c>
      <c r="AP14" s="557" t="s">
        <v>745</v>
      </c>
      <c r="AQ14" s="330"/>
      <c r="AR14" s="568"/>
      <c r="AS14" s="568"/>
      <c r="AT14" s="568" t="s">
        <v>745</v>
      </c>
      <c r="AU14" s="207"/>
      <c r="AV14" s="121"/>
      <c r="AW14" s="121"/>
    </row>
    <row r="15" spans="1:50" ht="0.75" customHeight="1">
      <c r="AL15" s="121"/>
      <c r="AM15" s="121"/>
      <c r="AN15" s="504"/>
      <c r="AO15" s="566"/>
      <c r="AP15" s="323"/>
      <c r="AQ15" s="321"/>
      <c r="AR15" s="260"/>
      <c r="AS15" s="260"/>
      <c r="AT15" s="260"/>
      <c r="AU15" s="258"/>
      <c r="AV15" s="121"/>
      <c r="AW15" s="121"/>
    </row>
    <row r="16" spans="1:50" ht="0.75" customHeight="1">
      <c r="AL16" s="121"/>
      <c r="AM16" s="121"/>
      <c r="AN16" s="504"/>
      <c r="AO16" s="527"/>
      <c r="AP16" s="260"/>
      <c r="AQ16" s="321"/>
      <c r="AR16" s="260"/>
      <c r="AS16" s="260"/>
      <c r="AT16" s="260"/>
      <c r="AU16" s="258"/>
      <c r="AV16" s="121"/>
      <c r="AW16" s="121"/>
    </row>
    <row r="17" spans="38:49">
      <c r="AL17" s="121"/>
      <c r="AM17" s="121"/>
      <c r="AN17" s="504" t="s">
        <v>751</v>
      </c>
      <c r="AO17" s="526" t="s">
        <v>2814</v>
      </c>
      <c r="AP17" s="257">
        <f>SUMIF(AQ$14:AU$14,AP$14,AQ17:AU17)</f>
        <v>120.48038771229449</v>
      </c>
      <c r="AQ17" s="321"/>
      <c r="AR17" s="260"/>
      <c r="AS17" s="260"/>
      <c r="AT17" s="262">
        <f>'РР 01.01 - 30.06'!AT17+'РР 01.07 - 31.08'!AT17+'РР 01.09 - 31.12'!AT17</f>
        <v>120.48038771229449</v>
      </c>
      <c r="AU17" s="258"/>
      <c r="AV17" s="121"/>
      <c r="AW17" s="121"/>
    </row>
    <row r="18" spans="38:49">
      <c r="AL18" s="121"/>
      <c r="AM18" s="121"/>
      <c r="AN18" s="504" t="s">
        <v>66</v>
      </c>
      <c r="AO18" s="527" t="s">
        <v>2815</v>
      </c>
      <c r="AP18" s="257">
        <f>SUMIF(AQ$14:AU$14,AP$14,AQ18:AU18)</f>
        <v>0</v>
      </c>
      <c r="AQ18" s="321"/>
      <c r="AR18" s="260"/>
      <c r="AS18" s="260"/>
      <c r="AT18" s="262">
        <f>'РР 01.01 - 30.06'!AT18+'РР 01.07 - 31.08'!AT18+'РР 01.09 - 31.12'!AT18</f>
        <v>0</v>
      </c>
      <c r="AU18" s="258"/>
      <c r="AV18" s="121"/>
      <c r="AW18" s="121"/>
    </row>
    <row r="19" spans="38:49">
      <c r="AL19" s="121"/>
      <c r="AM19" s="121"/>
      <c r="AN19" s="504" t="s">
        <v>632</v>
      </c>
      <c r="AO19" s="528" t="s">
        <v>2816</v>
      </c>
      <c r="AP19" s="257">
        <f>SUMIF(AQ$14:AU$14,AP$14,AQ19:AU19)</f>
        <v>0</v>
      </c>
      <c r="AQ19" s="321"/>
      <c r="AR19" s="260"/>
      <c r="AS19" s="260"/>
      <c r="AT19" s="262">
        <f>'РР 01.01 - 30.06'!AT19+'РР 01.07 - 31.08'!AT19+'РР 01.09 - 31.12'!AT19</f>
        <v>0</v>
      </c>
      <c r="AU19" s="258"/>
      <c r="AV19" s="121"/>
      <c r="AW19" s="121"/>
    </row>
    <row r="20" spans="38:49">
      <c r="AL20" s="121"/>
      <c r="AM20" s="121"/>
      <c r="AN20" s="223" t="s">
        <v>2817</v>
      </c>
      <c r="AO20" s="529" t="s">
        <v>2972</v>
      </c>
      <c r="AP20" s="257">
        <f>SUMIF(AQ$14:AU$14,AP$14,AQ20:AU20)</f>
        <v>0</v>
      </c>
      <c r="AQ20" s="321"/>
      <c r="AR20" s="260"/>
      <c r="AS20" s="260"/>
      <c r="AT20" s="262">
        <f>'РР 01.01 - 30.06'!AT20+'РР 01.07 - 31.08'!AT20+'РР 01.09 - 31.12'!AT20</f>
        <v>0</v>
      </c>
      <c r="AU20" s="258"/>
      <c r="AV20" s="121"/>
      <c r="AW20" s="121"/>
    </row>
    <row r="21" spans="38:49">
      <c r="AL21" s="121"/>
      <c r="AM21" s="121"/>
      <c r="AN21" s="223" t="s">
        <v>2818</v>
      </c>
      <c r="AO21" s="529" t="s">
        <v>2988</v>
      </c>
      <c r="AP21" s="257">
        <f>SUMIF(AQ$14:AU$14,AP$14,AQ21:AU21)</f>
        <v>0</v>
      </c>
      <c r="AQ21" s="321"/>
      <c r="AR21" s="260"/>
      <c r="AS21" s="260"/>
      <c r="AT21" s="262">
        <f>'РР 01.01 - 30.06'!AT21+'РР 01.07 - 31.08'!AT21+'РР 01.09 - 31.12'!AT21</f>
        <v>0</v>
      </c>
      <c r="AU21" s="258"/>
      <c r="AV21" s="121"/>
      <c r="AW21" s="121"/>
    </row>
    <row r="22" spans="38:49" hidden="1">
      <c r="AL22" s="121"/>
      <c r="AM22" s="121"/>
      <c r="AN22" s="223"/>
      <c r="AO22" s="529"/>
      <c r="AP22" s="260"/>
      <c r="AQ22" s="321"/>
      <c r="AR22" s="260"/>
      <c r="AS22" s="260"/>
      <c r="AT22" s="260"/>
      <c r="AU22" s="258"/>
      <c r="AV22" s="121"/>
      <c r="AW22" s="121"/>
    </row>
    <row r="23" spans="38:49" hidden="1">
      <c r="AL23" s="121"/>
      <c r="AM23" s="121"/>
      <c r="AN23" s="524"/>
      <c r="AO23" s="530"/>
      <c r="AP23" s="255"/>
      <c r="AQ23" s="321"/>
      <c r="AR23" s="260"/>
      <c r="AS23" s="260"/>
      <c r="AT23" s="260"/>
      <c r="AU23" s="258"/>
      <c r="AV23" s="121"/>
      <c r="AW23" s="121"/>
    </row>
    <row r="24" spans="38:49" hidden="1">
      <c r="AL24" s="121"/>
      <c r="AM24" s="121"/>
      <c r="AN24" s="524"/>
      <c r="AO24" s="530"/>
      <c r="AP24" s="260"/>
      <c r="AQ24" s="321"/>
      <c r="AR24" s="260"/>
      <c r="AS24" s="260"/>
      <c r="AT24" s="260"/>
      <c r="AU24" s="258"/>
      <c r="AV24" s="121"/>
      <c r="AW24" s="121"/>
    </row>
    <row r="25" spans="38:49" hidden="1">
      <c r="AL25" s="121"/>
      <c r="AM25" s="121"/>
      <c r="AN25" s="223"/>
      <c r="AO25" s="531"/>
      <c r="AP25" s="260"/>
      <c r="AQ25" s="321"/>
      <c r="AR25" s="260"/>
      <c r="AS25" s="260"/>
      <c r="AT25" s="260"/>
      <c r="AU25" s="258"/>
      <c r="AV25" s="121"/>
      <c r="AW25" s="121"/>
    </row>
    <row r="26" spans="38:49" hidden="1">
      <c r="AL26" s="121"/>
      <c r="AM26" s="121"/>
      <c r="AN26" s="524"/>
      <c r="AO26" s="530"/>
      <c r="AP26" s="255"/>
      <c r="AQ26" s="321"/>
      <c r="AR26" s="260"/>
      <c r="AS26" s="260"/>
      <c r="AT26" s="260"/>
      <c r="AU26" s="258"/>
      <c r="AV26" s="121"/>
      <c r="AW26" s="121"/>
    </row>
    <row r="27" spans="38:49" hidden="1">
      <c r="AL27" s="121"/>
      <c r="AM27" s="121"/>
      <c r="AN27" s="524"/>
      <c r="AO27" s="530"/>
      <c r="AP27" s="260"/>
      <c r="AQ27" s="321"/>
      <c r="AR27" s="260"/>
      <c r="AS27" s="260"/>
      <c r="AT27" s="260"/>
      <c r="AU27" s="258"/>
      <c r="AV27" s="121"/>
      <c r="AW27" s="121"/>
    </row>
    <row r="28" spans="38:49" hidden="1">
      <c r="AL28" s="121"/>
      <c r="AM28" s="121"/>
      <c r="AN28" s="223"/>
      <c r="AO28" s="529"/>
      <c r="AP28" s="260"/>
      <c r="AQ28" s="321"/>
      <c r="AR28" s="260"/>
      <c r="AS28" s="260"/>
      <c r="AT28" s="260"/>
      <c r="AU28" s="258"/>
      <c r="AV28" s="121"/>
      <c r="AW28" s="121"/>
    </row>
    <row r="29" spans="38:49" hidden="1">
      <c r="AL29" s="121"/>
      <c r="AM29" s="121"/>
      <c r="AN29" s="524"/>
      <c r="AO29" s="530"/>
      <c r="AP29" s="255"/>
      <c r="AQ29" s="321"/>
      <c r="AR29" s="260"/>
      <c r="AS29" s="260"/>
      <c r="AT29" s="260"/>
      <c r="AU29" s="258"/>
      <c r="AV29" s="121"/>
      <c r="AW29" s="121"/>
    </row>
    <row r="30" spans="38:49" hidden="1">
      <c r="AL30" s="121"/>
      <c r="AM30" s="121"/>
      <c r="AN30" s="524"/>
      <c r="AO30" s="530"/>
      <c r="AP30" s="260"/>
      <c r="AQ30" s="321"/>
      <c r="AR30" s="260"/>
      <c r="AS30" s="260"/>
      <c r="AT30" s="260"/>
      <c r="AU30" s="258"/>
      <c r="AV30" s="121"/>
      <c r="AW30" s="121"/>
    </row>
    <row r="31" spans="38:49" hidden="1">
      <c r="AL31" s="121"/>
      <c r="AM31" s="121"/>
      <c r="AN31" s="223"/>
      <c r="AO31" s="531"/>
      <c r="AP31" s="260"/>
      <c r="AQ31" s="321"/>
      <c r="AR31" s="260"/>
      <c r="AS31" s="260"/>
      <c r="AT31" s="260"/>
      <c r="AU31" s="258"/>
      <c r="AV31" s="121"/>
      <c r="AW31" s="121"/>
    </row>
    <row r="32" spans="38:49" hidden="1">
      <c r="AL32" s="121"/>
      <c r="AM32" s="121"/>
      <c r="AN32" s="524"/>
      <c r="AO32" s="530"/>
      <c r="AP32" s="255"/>
      <c r="AQ32" s="321"/>
      <c r="AR32" s="260"/>
      <c r="AS32" s="260"/>
      <c r="AT32" s="260"/>
      <c r="AU32" s="258"/>
      <c r="AV32" s="121"/>
      <c r="AW32" s="121"/>
    </row>
    <row r="33" spans="38:49" hidden="1">
      <c r="AL33" s="121"/>
      <c r="AM33" s="121"/>
      <c r="AN33" s="524"/>
      <c r="AO33" s="530"/>
      <c r="AP33" s="260"/>
      <c r="AQ33" s="321"/>
      <c r="AR33" s="260"/>
      <c r="AS33" s="260"/>
      <c r="AT33" s="260"/>
      <c r="AU33" s="258"/>
      <c r="AV33" s="121"/>
      <c r="AW33" s="121"/>
    </row>
    <row r="34" spans="38:49" hidden="1">
      <c r="AL34" s="121"/>
      <c r="AM34" s="121"/>
      <c r="AN34" s="223"/>
      <c r="AO34" s="529"/>
      <c r="AP34" s="260"/>
      <c r="AQ34" s="321"/>
      <c r="AR34" s="260"/>
      <c r="AS34" s="260"/>
      <c r="AT34" s="260"/>
      <c r="AU34" s="258"/>
      <c r="AV34" s="121"/>
      <c r="AW34" s="121"/>
    </row>
    <row r="35" spans="38:49" hidden="1">
      <c r="AL35" s="121"/>
      <c r="AM35" s="121"/>
      <c r="AN35" s="524"/>
      <c r="AO35" s="530"/>
      <c r="AP35" s="255"/>
      <c r="AQ35" s="321"/>
      <c r="AR35" s="260"/>
      <c r="AS35" s="260"/>
      <c r="AT35" s="260"/>
      <c r="AU35" s="258"/>
      <c r="AV35" s="121"/>
      <c r="AW35" s="121"/>
    </row>
    <row r="36" spans="38:49" hidden="1">
      <c r="AL36" s="121"/>
      <c r="AM36" s="121"/>
      <c r="AN36" s="524"/>
      <c r="AO36" s="530"/>
      <c r="AP36" s="260"/>
      <c r="AQ36" s="321"/>
      <c r="AR36" s="260"/>
      <c r="AS36" s="260"/>
      <c r="AT36" s="260"/>
      <c r="AU36" s="258"/>
      <c r="AV36" s="121"/>
      <c r="AW36" s="121"/>
    </row>
    <row r="37" spans="38:49" hidden="1">
      <c r="AL37" s="121"/>
      <c r="AM37" s="121"/>
      <c r="AN37" s="223"/>
      <c r="AO37" s="531"/>
      <c r="AP37" s="260"/>
      <c r="AQ37" s="321"/>
      <c r="AR37" s="260"/>
      <c r="AS37" s="260"/>
      <c r="AT37" s="260"/>
      <c r="AU37" s="258"/>
      <c r="AV37" s="121"/>
      <c r="AW37" s="121"/>
    </row>
    <row r="38" spans="38:49" hidden="1">
      <c r="AL38" s="121"/>
      <c r="AM38" s="121"/>
      <c r="AN38" s="524"/>
      <c r="AO38" s="530"/>
      <c r="AP38" s="255"/>
      <c r="AQ38" s="321"/>
      <c r="AR38" s="260"/>
      <c r="AS38" s="260"/>
      <c r="AT38" s="260"/>
      <c r="AU38" s="258"/>
      <c r="AV38" s="121"/>
      <c r="AW38" s="121"/>
    </row>
    <row r="39" spans="38:49" hidden="1">
      <c r="AL39" s="121"/>
      <c r="AM39" s="121"/>
      <c r="AN39" s="524"/>
      <c r="AO39" s="530"/>
      <c r="AP39" s="260"/>
      <c r="AQ39" s="321"/>
      <c r="AR39" s="260"/>
      <c r="AS39" s="260"/>
      <c r="AT39" s="260"/>
      <c r="AU39" s="258"/>
      <c r="AV39" s="121"/>
      <c r="AW39" s="121"/>
    </row>
    <row r="40" spans="38:49" hidden="1">
      <c r="AL40" s="121"/>
      <c r="AM40" s="121"/>
      <c r="AN40" s="223"/>
      <c r="AO40" s="529"/>
      <c r="AP40" s="260"/>
      <c r="AQ40" s="321"/>
      <c r="AR40" s="260"/>
      <c r="AS40" s="260"/>
      <c r="AT40" s="260"/>
      <c r="AU40" s="258"/>
      <c r="AV40" s="121"/>
      <c r="AW40" s="121"/>
    </row>
    <row r="41" spans="38:49" hidden="1">
      <c r="AL41" s="121"/>
      <c r="AM41" s="121"/>
      <c r="AN41" s="524"/>
      <c r="AO41" s="530"/>
      <c r="AP41" s="255"/>
      <c r="AQ41" s="321"/>
      <c r="AR41" s="260"/>
      <c r="AS41" s="260"/>
      <c r="AT41" s="260"/>
      <c r="AU41" s="258"/>
      <c r="AV41" s="121"/>
      <c r="AW41" s="121"/>
    </row>
    <row r="42" spans="38:49" hidden="1">
      <c r="AL42" s="121"/>
      <c r="AM42" s="121"/>
      <c r="AN42" s="524"/>
      <c r="AO42" s="530"/>
      <c r="AP42" s="260"/>
      <c r="AQ42" s="321"/>
      <c r="AR42" s="260"/>
      <c r="AS42" s="260"/>
      <c r="AT42" s="260"/>
      <c r="AU42" s="258"/>
      <c r="AV42" s="121"/>
      <c r="AW42" s="121"/>
    </row>
    <row r="43" spans="38:49" hidden="1">
      <c r="AL43" s="121"/>
      <c r="AM43" s="121"/>
      <c r="AN43" s="223"/>
      <c r="AO43" s="531"/>
      <c r="AP43" s="260"/>
      <c r="AQ43" s="321"/>
      <c r="AR43" s="260"/>
      <c r="AS43" s="260"/>
      <c r="AT43" s="260"/>
      <c r="AU43" s="258"/>
      <c r="AV43" s="121"/>
      <c r="AW43" s="121"/>
    </row>
    <row r="44" spans="38:49" hidden="1">
      <c r="AL44" s="121"/>
      <c r="AM44" s="121"/>
      <c r="AN44" s="524"/>
      <c r="AO44" s="530"/>
      <c r="AP44" s="255"/>
      <c r="AQ44" s="321"/>
      <c r="AR44" s="260"/>
      <c r="AS44" s="260"/>
      <c r="AT44" s="260"/>
      <c r="AU44" s="258"/>
      <c r="AV44" s="121"/>
      <c r="AW44" s="121"/>
    </row>
    <row r="45" spans="38:49" hidden="1">
      <c r="AL45" s="121"/>
      <c r="AM45" s="121"/>
      <c r="AN45" s="524"/>
      <c r="AO45" s="530"/>
      <c r="AP45" s="260"/>
      <c r="AQ45" s="321"/>
      <c r="AR45" s="260"/>
      <c r="AS45" s="260"/>
      <c r="AT45" s="260"/>
      <c r="AU45" s="258"/>
      <c r="AV45" s="121"/>
      <c r="AW45" s="121"/>
    </row>
    <row r="46" spans="38:49">
      <c r="AL46" s="121"/>
      <c r="AM46" s="121"/>
      <c r="AN46" s="504" t="s">
        <v>633</v>
      </c>
      <c r="AO46" s="532" t="s">
        <v>2819</v>
      </c>
      <c r="AP46" s="257">
        <f t="shared" ref="AP46:AP55" si="0">SUMIF(AQ$14:AU$14,AP$14,AQ46:AU46)</f>
        <v>0</v>
      </c>
      <c r="AQ46" s="321"/>
      <c r="AR46" s="260"/>
      <c r="AS46" s="260"/>
      <c r="AT46" s="262">
        <f>'РР 01.01 - 30.06'!AT46+'РР 01.07 - 31.08'!AT46+'РР 01.09 - 31.12'!AT46</f>
        <v>0</v>
      </c>
      <c r="AU46" s="258"/>
      <c r="AV46" s="121"/>
      <c r="AW46" s="121"/>
    </row>
    <row r="47" spans="38:49">
      <c r="AL47" s="121"/>
      <c r="AM47" s="121"/>
      <c r="AN47" s="504" t="s">
        <v>69</v>
      </c>
      <c r="AO47" s="527" t="s">
        <v>2820</v>
      </c>
      <c r="AP47" s="257">
        <f t="shared" si="0"/>
        <v>0</v>
      </c>
      <c r="AQ47" s="321"/>
      <c r="AR47" s="260"/>
      <c r="AS47" s="260"/>
      <c r="AT47" s="262">
        <f>'РР 01.01 - 30.06'!AT47+'РР 01.07 - 31.08'!AT47+'РР 01.09 - 31.12'!AT47</f>
        <v>0</v>
      </c>
      <c r="AU47" s="258"/>
      <c r="AV47" s="121"/>
      <c r="AW47" s="121"/>
    </row>
    <row r="48" spans="38:49">
      <c r="AL48" s="121"/>
      <c r="AM48" s="121"/>
      <c r="AN48" s="504" t="s">
        <v>72</v>
      </c>
      <c r="AO48" s="527" t="s">
        <v>2471</v>
      </c>
      <c r="AP48" s="257">
        <f t="shared" si="0"/>
        <v>0</v>
      </c>
      <c r="AQ48" s="321"/>
      <c r="AR48" s="260"/>
      <c r="AS48" s="260"/>
      <c r="AT48" s="262">
        <f>'РР 01.01 - 30.06'!AT48+'РР 01.07 - 31.08'!AT48+'РР 01.09 - 31.12'!AT48</f>
        <v>0</v>
      </c>
      <c r="AU48" s="258"/>
      <c r="AV48" s="121"/>
      <c r="AW48" s="121"/>
    </row>
    <row r="49" spans="38:49">
      <c r="AL49" s="121"/>
      <c r="AM49" s="121"/>
      <c r="AN49" s="504" t="s">
        <v>2821</v>
      </c>
      <c r="AO49" s="527" t="s">
        <v>2822</v>
      </c>
      <c r="AP49" s="257">
        <f t="shared" si="0"/>
        <v>0</v>
      </c>
      <c r="AQ49" s="321"/>
      <c r="AR49" s="260"/>
      <c r="AS49" s="260"/>
      <c r="AT49" s="262">
        <f>'РР 01.01 - 30.06'!AT49+'РР 01.07 - 31.08'!AT49+'РР 01.09 - 31.12'!AT49</f>
        <v>0</v>
      </c>
      <c r="AU49" s="258"/>
      <c r="AV49" s="121"/>
      <c r="AW49" s="121"/>
    </row>
    <row r="50" spans="38:49">
      <c r="AL50" s="121"/>
      <c r="AM50" s="121"/>
      <c r="AN50" s="504" t="s">
        <v>888</v>
      </c>
      <c r="AO50" s="528" t="s">
        <v>2823</v>
      </c>
      <c r="AP50" s="257">
        <f t="shared" si="0"/>
        <v>0</v>
      </c>
      <c r="AQ50" s="321"/>
      <c r="AR50" s="260"/>
      <c r="AS50" s="260"/>
      <c r="AT50" s="262">
        <f>'РР 01.01 - 30.06'!AT50+'РР 01.07 - 31.08'!AT50+'РР 01.09 - 31.12'!AT50</f>
        <v>0</v>
      </c>
      <c r="AU50" s="258"/>
      <c r="AV50" s="121"/>
      <c r="AW50" s="121"/>
    </row>
    <row r="51" spans="38:49">
      <c r="AL51" s="121"/>
      <c r="AM51" s="121"/>
      <c r="AN51" s="504" t="s">
        <v>889</v>
      </c>
      <c r="AO51" s="528" t="s">
        <v>2824</v>
      </c>
      <c r="AP51" s="257">
        <f t="shared" si="0"/>
        <v>0</v>
      </c>
      <c r="AQ51" s="321"/>
      <c r="AR51" s="260"/>
      <c r="AS51" s="260"/>
      <c r="AT51" s="262">
        <f>'РР 01.01 - 30.06'!AT51+'РР 01.07 - 31.08'!AT51+'РР 01.09 - 31.12'!AT51</f>
        <v>0</v>
      </c>
      <c r="AU51" s="258"/>
      <c r="AV51" s="121"/>
      <c r="AW51" s="121"/>
    </row>
    <row r="52" spans="38:49">
      <c r="AL52" s="121"/>
      <c r="AM52" s="121"/>
      <c r="AN52" s="504" t="s">
        <v>890</v>
      </c>
      <c r="AO52" s="528" t="s">
        <v>2825</v>
      </c>
      <c r="AP52" s="257">
        <f t="shared" si="0"/>
        <v>0</v>
      </c>
      <c r="AQ52" s="321"/>
      <c r="AR52" s="260"/>
      <c r="AS52" s="260"/>
      <c r="AT52" s="262">
        <f>'РР 01.01 - 30.06'!AT52+'РР 01.07 - 31.08'!AT52+'РР 01.09 - 31.12'!AT52</f>
        <v>0</v>
      </c>
      <c r="AU52" s="258"/>
      <c r="AV52" s="121"/>
      <c r="AW52" s="121"/>
    </row>
    <row r="53" spans="38:49">
      <c r="AL53" s="121"/>
      <c r="AM53" s="121"/>
      <c r="AN53" s="504" t="s">
        <v>2826</v>
      </c>
      <c r="AO53" s="527" t="s">
        <v>2827</v>
      </c>
      <c r="AP53" s="257">
        <f t="shared" si="0"/>
        <v>0</v>
      </c>
      <c r="AQ53" s="321"/>
      <c r="AR53" s="260"/>
      <c r="AS53" s="260"/>
      <c r="AT53" s="262">
        <f>'РР 01.01 - 30.06'!AT53+'РР 01.07 - 31.08'!AT53+'РР 01.09 - 31.12'!AT53</f>
        <v>0</v>
      </c>
      <c r="AU53" s="258"/>
      <c r="AV53" s="121"/>
      <c r="AW53" s="121"/>
    </row>
    <row r="54" spans="38:49">
      <c r="AL54" s="121"/>
      <c r="AM54" s="121"/>
      <c r="AN54" s="504" t="s">
        <v>2828</v>
      </c>
      <c r="AO54" s="527" t="s">
        <v>2829</v>
      </c>
      <c r="AP54" s="257">
        <f t="shared" si="0"/>
        <v>0</v>
      </c>
      <c r="AQ54" s="321"/>
      <c r="AR54" s="260"/>
      <c r="AS54" s="260"/>
      <c r="AT54" s="262">
        <f>'РР 01.01 - 30.06'!AT54+'РР 01.07 - 31.08'!AT54+'РР 01.09 - 31.12'!AT54</f>
        <v>0</v>
      </c>
      <c r="AU54" s="258"/>
      <c r="AV54" s="121"/>
      <c r="AW54" s="121"/>
    </row>
    <row r="55" spans="38:49">
      <c r="AL55" s="121"/>
      <c r="AM55" s="121"/>
      <c r="AN55" s="504" t="s">
        <v>2830</v>
      </c>
      <c r="AO55" s="527" t="s">
        <v>2831</v>
      </c>
      <c r="AP55" s="257">
        <f t="shared" si="0"/>
        <v>83.39177887543137</v>
      </c>
      <c r="AQ55" s="321"/>
      <c r="AR55" s="260"/>
      <c r="AS55" s="260"/>
      <c r="AT55" s="262">
        <f>'РР 01.01 - 30.06'!AT55+'РР 01.07 - 31.08'!AT55+'РР 01.09 - 31.12'!AT55</f>
        <v>83.39177887543137</v>
      </c>
      <c r="AU55" s="258"/>
      <c r="AV55" s="121"/>
      <c r="AW55" s="121"/>
    </row>
    <row r="56" spans="38:49" hidden="1">
      <c r="AL56" s="121"/>
      <c r="AM56" s="121"/>
      <c r="AN56" s="222"/>
      <c r="AO56" s="529"/>
      <c r="AP56" s="255"/>
      <c r="AQ56" s="321"/>
      <c r="AR56" s="260"/>
      <c r="AS56" s="260"/>
      <c r="AT56" s="260"/>
      <c r="AU56" s="258"/>
      <c r="AV56" s="121"/>
      <c r="AW56" s="121"/>
    </row>
    <row r="57" spans="38:49" hidden="1">
      <c r="AL57" s="121"/>
      <c r="AM57" s="121"/>
      <c r="AN57" s="222"/>
      <c r="AO57" s="529"/>
      <c r="AP57" s="255"/>
      <c r="AQ57" s="321"/>
      <c r="AR57" s="260"/>
      <c r="AS57" s="260"/>
      <c r="AT57" s="260"/>
      <c r="AU57" s="258"/>
      <c r="AV57" s="121"/>
      <c r="AW57" s="121"/>
    </row>
    <row r="58" spans="38:49" hidden="1">
      <c r="AL58" s="121"/>
      <c r="AM58" s="121"/>
      <c r="AN58" s="222"/>
      <c r="AO58" s="529"/>
      <c r="AP58" s="255"/>
      <c r="AQ58" s="321"/>
      <c r="AR58" s="260"/>
      <c r="AS58" s="260"/>
      <c r="AT58" s="260"/>
      <c r="AU58" s="258"/>
      <c r="AV58" s="121"/>
      <c r="AW58" s="121"/>
    </row>
    <row r="59" spans="38:49">
      <c r="AL59" s="121"/>
      <c r="AM59" s="121"/>
      <c r="AN59" s="222" t="s">
        <v>2832</v>
      </c>
      <c r="AO59" s="533" t="s">
        <v>1832</v>
      </c>
      <c r="AP59" s="257">
        <f>SUMIF(AQ$14:AU$14,AP$14,AQ59:AU59)</f>
        <v>0</v>
      </c>
      <c r="AQ59" s="321"/>
      <c r="AR59" s="260"/>
      <c r="AS59" s="260"/>
      <c r="AT59" s="262">
        <f>'РР 01.01 - 30.06'!AT59+'РР 01.07 - 31.08'!AT59+'РР 01.09 - 31.12'!AT59</f>
        <v>0</v>
      </c>
      <c r="AU59" s="258"/>
      <c r="AV59" s="121"/>
      <c r="AW59" s="121"/>
    </row>
    <row r="60" spans="38:49" hidden="1">
      <c r="AL60" s="121"/>
      <c r="AM60" s="121"/>
      <c r="AN60" s="222"/>
      <c r="AO60" s="529"/>
      <c r="AP60" s="255"/>
      <c r="AQ60" s="321"/>
      <c r="AR60" s="260"/>
      <c r="AS60" s="260"/>
      <c r="AT60" s="260"/>
      <c r="AU60" s="258"/>
      <c r="AV60" s="121"/>
      <c r="AW60" s="121"/>
    </row>
    <row r="61" spans="38:49" hidden="1">
      <c r="AL61" s="121"/>
      <c r="AM61" s="121"/>
      <c r="AN61" s="222"/>
      <c r="AO61" s="529"/>
      <c r="AP61" s="260"/>
      <c r="AQ61" s="321"/>
      <c r="AR61" s="260"/>
      <c r="AS61" s="260"/>
      <c r="AT61" s="260"/>
      <c r="AU61" s="258"/>
      <c r="AV61" s="121"/>
      <c r="AW61" s="121"/>
    </row>
    <row r="62" spans="38:49" hidden="1">
      <c r="AL62" s="121"/>
      <c r="AM62" s="121"/>
      <c r="AN62" s="222"/>
      <c r="AO62" s="563"/>
      <c r="AP62" s="260"/>
      <c r="AQ62" s="321"/>
      <c r="AR62" s="260"/>
      <c r="AS62" s="260"/>
      <c r="AT62" s="260"/>
      <c r="AU62" s="258"/>
      <c r="AV62" s="121"/>
      <c r="AW62" s="121"/>
    </row>
    <row r="63" spans="38:49" hidden="1">
      <c r="AL63" s="121"/>
      <c r="AM63" s="121"/>
      <c r="AN63" s="222"/>
      <c r="AO63" s="563"/>
      <c r="AP63" s="260"/>
      <c r="AQ63" s="321"/>
      <c r="AR63" s="260"/>
      <c r="AS63" s="260"/>
      <c r="AT63" s="260"/>
      <c r="AU63" s="258"/>
      <c r="AV63" s="121"/>
      <c r="AW63" s="121"/>
    </row>
    <row r="64" spans="38:49" hidden="1">
      <c r="AL64" s="121"/>
      <c r="AM64" s="121"/>
      <c r="AN64" s="222"/>
      <c r="AO64" s="563"/>
      <c r="AP64" s="260"/>
      <c r="AQ64" s="321"/>
      <c r="AR64" s="260"/>
      <c r="AS64" s="260"/>
      <c r="AT64" s="260"/>
      <c r="AU64" s="258"/>
      <c r="AV64" s="121"/>
      <c r="AW64" s="121"/>
    </row>
    <row r="65" spans="38:49">
      <c r="AL65" s="121"/>
      <c r="AM65" s="121"/>
      <c r="AN65" s="222" t="s">
        <v>2835</v>
      </c>
      <c r="AO65" s="533" t="s">
        <v>1838</v>
      </c>
      <c r="AP65" s="257">
        <f>SUMIF(AQ$14:AU$14,AP$14,AQ65:AU65)</f>
        <v>71.489637323228919</v>
      </c>
      <c r="AQ65" s="321"/>
      <c r="AR65" s="260"/>
      <c r="AS65" s="260"/>
      <c r="AT65" s="262">
        <f>'РР 01.01 - 30.06'!AT65+'РР 01.07 - 31.08'!AT65+'РР 01.09 - 31.12'!AT65</f>
        <v>71.489637323228919</v>
      </c>
      <c r="AU65" s="258"/>
      <c r="AV65" s="121"/>
      <c r="AW65" s="121"/>
    </row>
    <row r="66" spans="38:49" hidden="1">
      <c r="AL66" s="121"/>
      <c r="AM66" s="121"/>
      <c r="AN66" s="222"/>
      <c r="AO66" s="529"/>
      <c r="AP66" s="255"/>
      <c r="AQ66" s="321"/>
      <c r="AR66" s="260"/>
      <c r="AS66" s="260"/>
      <c r="AT66" s="260"/>
      <c r="AU66" s="258"/>
      <c r="AV66" s="121"/>
      <c r="AW66" s="121"/>
    </row>
    <row r="67" spans="38:49" hidden="1">
      <c r="AL67" s="121"/>
      <c r="AM67" s="121"/>
      <c r="AN67" s="222"/>
      <c r="AO67" s="529"/>
      <c r="AP67" s="255"/>
      <c r="AQ67" s="321"/>
      <c r="AR67" s="260"/>
      <c r="AS67" s="260"/>
      <c r="AT67" s="260"/>
      <c r="AU67" s="258"/>
      <c r="AV67" s="121"/>
      <c r="AW67" s="121"/>
    </row>
    <row r="68" spans="38:49" hidden="1">
      <c r="AL68" s="121"/>
      <c r="AM68" s="121"/>
      <c r="AN68" s="222"/>
      <c r="AO68" s="529"/>
      <c r="AP68" s="255"/>
      <c r="AQ68" s="321"/>
      <c r="AR68" s="260"/>
      <c r="AS68" s="260"/>
      <c r="AT68" s="260"/>
      <c r="AU68" s="258"/>
      <c r="AV68" s="121"/>
      <c r="AW68" s="121"/>
    </row>
    <row r="69" spans="38:49" hidden="1">
      <c r="AL69" s="121"/>
      <c r="AM69" s="121"/>
      <c r="AN69" s="222"/>
      <c r="AO69" s="529"/>
      <c r="AP69" s="255"/>
      <c r="AQ69" s="321"/>
      <c r="AR69" s="260"/>
      <c r="AS69" s="260"/>
      <c r="AT69" s="260"/>
      <c r="AU69" s="258"/>
      <c r="AV69" s="121"/>
      <c r="AW69" s="121"/>
    </row>
    <row r="70" spans="38:49" hidden="1">
      <c r="AL70" s="121"/>
      <c r="AM70" s="121"/>
      <c r="AN70" s="222"/>
      <c r="AO70" s="529"/>
      <c r="AP70" s="255"/>
      <c r="AQ70" s="321"/>
      <c r="AR70" s="260"/>
      <c r="AS70" s="260"/>
      <c r="AT70" s="260"/>
      <c r="AU70" s="258"/>
      <c r="AV70" s="121"/>
      <c r="AW70" s="121"/>
    </row>
    <row r="71" spans="38:49">
      <c r="AL71" s="121"/>
      <c r="AM71" s="121"/>
      <c r="AN71" s="222" t="s">
        <v>2838</v>
      </c>
      <c r="AO71" s="533" t="s">
        <v>1843</v>
      </c>
      <c r="AP71" s="257">
        <f>SUMIF(AQ$14:AU$14,AP$14,AQ71:AU71)</f>
        <v>0</v>
      </c>
      <c r="AQ71" s="321"/>
      <c r="AR71" s="260"/>
      <c r="AS71" s="260"/>
      <c r="AT71" s="262">
        <f>'РР 01.01 - 30.06'!AT71+'РР 01.07 - 31.08'!AT71+'РР 01.09 - 31.12'!AT71</f>
        <v>0</v>
      </c>
      <c r="AU71" s="258"/>
      <c r="AV71" s="121"/>
      <c r="AW71" s="121"/>
    </row>
    <row r="72" spans="38:49" hidden="1">
      <c r="AL72" s="121"/>
      <c r="AM72" s="121"/>
      <c r="AN72" s="222"/>
      <c r="AO72" s="529"/>
      <c r="AP72" s="255"/>
      <c r="AQ72" s="321"/>
      <c r="AR72" s="260"/>
      <c r="AS72" s="260"/>
      <c r="AT72" s="260"/>
      <c r="AU72" s="258"/>
      <c r="AV72" s="121"/>
      <c r="AW72" s="121"/>
    </row>
    <row r="73" spans="38:49" hidden="1">
      <c r="AL73" s="121"/>
      <c r="AM73" s="121"/>
      <c r="AN73" s="222"/>
      <c r="AO73" s="529"/>
      <c r="AP73" s="255"/>
      <c r="AQ73" s="321"/>
      <c r="AR73" s="260"/>
      <c r="AS73" s="260"/>
      <c r="AT73" s="260"/>
      <c r="AU73" s="258"/>
      <c r="AV73" s="121"/>
      <c r="AW73" s="121"/>
    </row>
    <row r="74" spans="38:49">
      <c r="AL74" s="121"/>
      <c r="AM74" s="121"/>
      <c r="AN74" s="222" t="s">
        <v>2841</v>
      </c>
      <c r="AO74" s="533" t="s">
        <v>1849</v>
      </c>
      <c r="AP74" s="257">
        <f>SUMIF(AQ$14:AU$14,AP$14,AQ74:AU74)</f>
        <v>11.902141552202451</v>
      </c>
      <c r="AQ74" s="321"/>
      <c r="AR74" s="260"/>
      <c r="AS74" s="260"/>
      <c r="AT74" s="262">
        <f>'РР 01.01 - 30.06'!AT74+'РР 01.07 - 31.08'!AT74+'РР 01.09 - 31.12'!AT74</f>
        <v>11.902141552202451</v>
      </c>
      <c r="AU74" s="258"/>
      <c r="AV74" s="121"/>
      <c r="AW74" s="121"/>
    </row>
    <row r="75" spans="38:49" hidden="1">
      <c r="AL75" s="121"/>
      <c r="AM75" s="121"/>
      <c r="AN75" s="222"/>
      <c r="AO75" s="529"/>
      <c r="AP75" s="255"/>
      <c r="AQ75" s="321"/>
      <c r="AR75" s="260"/>
      <c r="AS75" s="260"/>
      <c r="AT75" s="260"/>
      <c r="AU75" s="258"/>
      <c r="AV75" s="121"/>
      <c r="AW75" s="121"/>
    </row>
    <row r="76" spans="38:49" hidden="1">
      <c r="AL76" s="121"/>
      <c r="AM76" s="121"/>
      <c r="AN76" s="222"/>
      <c r="AO76" s="529"/>
      <c r="AP76" s="255"/>
      <c r="AQ76" s="321"/>
      <c r="AR76" s="260"/>
      <c r="AS76" s="260"/>
      <c r="AT76" s="260"/>
      <c r="AU76" s="258"/>
      <c r="AV76" s="121"/>
      <c r="AW76" s="121"/>
    </row>
    <row r="77" spans="38:49" ht="22.5">
      <c r="AL77" s="121"/>
      <c r="AM77" s="121"/>
      <c r="AN77" s="222" t="s">
        <v>2844</v>
      </c>
      <c r="AO77" s="533" t="s">
        <v>1856</v>
      </c>
      <c r="AP77" s="257">
        <f>SUMIF(AQ$14:AU$14,AP$14,AQ77:AU77)</f>
        <v>0</v>
      </c>
      <c r="AQ77" s="321"/>
      <c r="AR77" s="260"/>
      <c r="AS77" s="260"/>
      <c r="AT77" s="262">
        <f>'РР 01.01 - 30.06'!AT77+'РР 01.07 - 31.08'!AT77+'РР 01.09 - 31.12'!AT77</f>
        <v>0</v>
      </c>
      <c r="AU77" s="258"/>
      <c r="AV77" s="121"/>
      <c r="AW77" s="121"/>
    </row>
    <row r="78" spans="38:49" hidden="1">
      <c r="AL78" s="121"/>
      <c r="AM78" s="121"/>
      <c r="AN78" s="222"/>
      <c r="AO78" s="529"/>
      <c r="AP78" s="255"/>
      <c r="AQ78" s="321"/>
      <c r="AR78" s="260"/>
      <c r="AS78" s="260"/>
      <c r="AT78" s="260"/>
      <c r="AU78" s="258"/>
      <c r="AV78" s="121"/>
      <c r="AW78" s="121"/>
    </row>
    <row r="79" spans="38:49" hidden="1">
      <c r="AL79" s="121"/>
      <c r="AM79" s="121"/>
      <c r="AN79" s="222"/>
      <c r="AO79" s="529"/>
      <c r="AP79" s="255"/>
      <c r="AQ79" s="321"/>
      <c r="AR79" s="260"/>
      <c r="AS79" s="260"/>
      <c r="AT79" s="260"/>
      <c r="AU79" s="258"/>
      <c r="AV79" s="121"/>
      <c r="AW79" s="121"/>
    </row>
    <row r="80" spans="38:49">
      <c r="AL80" s="121"/>
      <c r="AM80" s="121"/>
      <c r="AN80" s="504" t="s">
        <v>2847</v>
      </c>
      <c r="AO80" s="535" t="s">
        <v>2848</v>
      </c>
      <c r="AP80" s="257">
        <f t="shared" ref="AP80:AP85" si="1">SUMIF(AQ$14:AU$14,AP$14,AQ80:AU80)</f>
        <v>22.806038974220186</v>
      </c>
      <c r="AQ80" s="321"/>
      <c r="AR80" s="260"/>
      <c r="AS80" s="260"/>
      <c r="AT80" s="262">
        <f>'РР 01.01 - 30.06'!AT80+'РР 01.07 - 31.08'!AT80+'РР 01.09 - 31.12'!AT80</f>
        <v>22.806038974220186</v>
      </c>
      <c r="AU80" s="258"/>
      <c r="AV80" s="121"/>
      <c r="AW80" s="121"/>
    </row>
    <row r="81" spans="38:49" ht="22.5">
      <c r="AL81" s="121"/>
      <c r="AM81" s="121"/>
      <c r="AN81" s="504" t="s">
        <v>2849</v>
      </c>
      <c r="AO81" s="533" t="s">
        <v>2415</v>
      </c>
      <c r="AP81" s="257">
        <f t="shared" si="1"/>
        <v>0</v>
      </c>
      <c r="AQ81" s="321"/>
      <c r="AR81" s="260"/>
      <c r="AS81" s="260"/>
      <c r="AT81" s="262">
        <f>'РР 01.01 - 30.06'!AT81+'РР 01.07 - 31.08'!AT81+'РР 01.09 - 31.12'!AT81</f>
        <v>0</v>
      </c>
      <c r="AU81" s="258"/>
      <c r="AV81" s="121"/>
      <c r="AW81" s="121"/>
    </row>
    <row r="82" spans="38:49" ht="22.5">
      <c r="AL82" s="121"/>
      <c r="AM82" s="121"/>
      <c r="AN82" s="504" t="s">
        <v>2850</v>
      </c>
      <c r="AO82" s="533" t="s">
        <v>2417</v>
      </c>
      <c r="AP82" s="257">
        <f t="shared" si="1"/>
        <v>19.504154543609182</v>
      </c>
      <c r="AQ82" s="321"/>
      <c r="AR82" s="260"/>
      <c r="AS82" s="260"/>
      <c r="AT82" s="262">
        <f>'РР 01.01 - 30.06'!AT82+'РР 01.07 - 31.08'!AT82+'РР 01.09 - 31.12'!AT82</f>
        <v>19.504154543609182</v>
      </c>
      <c r="AU82" s="258"/>
      <c r="AV82" s="121"/>
      <c r="AW82" s="121"/>
    </row>
    <row r="83" spans="38:49" ht="22.5">
      <c r="AL83" s="121"/>
      <c r="AM83" s="121"/>
      <c r="AN83" s="504" t="s">
        <v>2316</v>
      </c>
      <c r="AO83" s="533" t="s">
        <v>2420</v>
      </c>
      <c r="AP83" s="257">
        <f t="shared" si="1"/>
        <v>0</v>
      </c>
      <c r="AQ83" s="321"/>
      <c r="AR83" s="260"/>
      <c r="AS83" s="260"/>
      <c r="AT83" s="262">
        <f>'РР 01.01 - 30.06'!AT83+'РР 01.07 - 31.08'!AT83+'РР 01.09 - 31.12'!AT83</f>
        <v>0</v>
      </c>
      <c r="AU83" s="258"/>
      <c r="AV83" s="121"/>
      <c r="AW83" s="121"/>
    </row>
    <row r="84" spans="38:49">
      <c r="AL84" s="121"/>
      <c r="AM84" s="121"/>
      <c r="AN84" s="504" t="s">
        <v>2317</v>
      </c>
      <c r="AO84" s="533" t="s">
        <v>2423</v>
      </c>
      <c r="AP84" s="257">
        <f t="shared" si="1"/>
        <v>3.3018844306110027</v>
      </c>
      <c r="AQ84" s="321"/>
      <c r="AR84" s="260"/>
      <c r="AS84" s="260"/>
      <c r="AT84" s="262">
        <f>'РР 01.01 - 30.06'!AT84+'РР 01.07 - 31.08'!AT84+'РР 01.09 - 31.12'!AT84</f>
        <v>3.3018844306110027</v>
      </c>
      <c r="AU84" s="258"/>
      <c r="AV84" s="121"/>
      <c r="AW84" s="121"/>
    </row>
    <row r="85" spans="38:49" ht="22.5">
      <c r="AL85" s="121"/>
      <c r="AM85" s="121"/>
      <c r="AN85" s="504" t="s">
        <v>2318</v>
      </c>
      <c r="AO85" s="533" t="s">
        <v>2426</v>
      </c>
      <c r="AP85" s="257">
        <f t="shared" si="1"/>
        <v>0</v>
      </c>
      <c r="AQ85" s="321"/>
      <c r="AR85" s="260"/>
      <c r="AS85" s="260"/>
      <c r="AT85" s="262">
        <f>'РР 01.01 - 30.06'!AT85+'РР 01.07 - 31.08'!AT85+'РР 01.09 - 31.12'!AT85</f>
        <v>0</v>
      </c>
      <c r="AU85" s="258"/>
      <c r="AV85" s="121"/>
      <c r="AW85" s="121"/>
    </row>
    <row r="86" spans="38:49" hidden="1">
      <c r="AL86" s="121"/>
      <c r="AM86" s="121"/>
      <c r="AN86" s="560" t="str">
        <f>IF(TEMPLATE_SPHERE="водоснабжения","2.9","")</f>
        <v/>
      </c>
      <c r="AO86" s="561" t="str">
        <f>IF(TEMPLATE_SPHERE="водоснабжения","Покупная вода","")</f>
        <v/>
      </c>
      <c r="AP86" s="257" t="str">
        <f>IF(TEMPLATE_SPHERE="водоснабжения",SUMIF(AQ$14:AU$14,AP$14,AQ86:AU86),"")</f>
        <v/>
      </c>
      <c r="AQ86" s="321"/>
      <c r="AR86" s="260"/>
      <c r="AS86" s="260"/>
      <c r="AT86" s="260"/>
      <c r="AU86" s="258"/>
      <c r="AV86" s="121"/>
      <c r="AW86" s="121"/>
    </row>
    <row r="87" spans="38:49" hidden="1">
      <c r="AL87" s="121"/>
      <c r="AM87" s="121"/>
      <c r="AN87" s="222"/>
      <c r="AO87" s="529"/>
      <c r="AP87" s="255"/>
      <c r="AQ87" s="321"/>
      <c r="AR87" s="260"/>
      <c r="AS87" s="260"/>
      <c r="AT87" s="260"/>
      <c r="AU87" s="258"/>
      <c r="AV87" s="121"/>
      <c r="AW87" s="121"/>
    </row>
    <row r="88" spans="38:49" hidden="1">
      <c r="AL88" s="121"/>
      <c r="AM88" s="121"/>
      <c r="AN88" s="222"/>
      <c r="AO88" s="529"/>
      <c r="AP88" s="255"/>
      <c r="AQ88" s="321"/>
      <c r="AR88" s="260"/>
      <c r="AS88" s="260"/>
      <c r="AT88" s="260"/>
      <c r="AU88" s="258"/>
      <c r="AV88" s="121"/>
      <c r="AW88" s="121"/>
    </row>
    <row r="89" spans="38:49" hidden="1">
      <c r="AL89" s="121"/>
      <c r="AM89" s="121"/>
      <c r="AN89" s="222"/>
      <c r="AO89" s="529"/>
      <c r="AP89" s="255"/>
      <c r="AQ89" s="321"/>
      <c r="AR89" s="260"/>
      <c r="AS89" s="260"/>
      <c r="AT89" s="260"/>
      <c r="AU89" s="258"/>
      <c r="AV89" s="121"/>
      <c r="AW89" s="121"/>
    </row>
    <row r="90" spans="38:49" ht="22.5">
      <c r="AL90" s="121"/>
      <c r="AM90" s="121"/>
      <c r="AN90" s="504" t="s">
        <v>2323</v>
      </c>
      <c r="AO90"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AP90" s="257">
        <f t="shared" ref="AP90:AP132" si="2">SUMIF(AQ$14:AU$14,AP$14,AQ90:AU90)</f>
        <v>0</v>
      </c>
      <c r="AQ90" s="321"/>
      <c r="AR90" s="260"/>
      <c r="AS90" s="260"/>
      <c r="AT90" s="262">
        <f>'РР 01.01 - 30.06'!AT90+'РР 01.07 - 31.08'!AT90+'РР 01.09 - 31.12'!AT90</f>
        <v>0</v>
      </c>
      <c r="AU90" s="258"/>
      <c r="AV90" s="121"/>
      <c r="AW90" s="121"/>
    </row>
    <row r="91" spans="38:49" ht="22.5">
      <c r="AL91" s="121"/>
      <c r="AM91" s="121"/>
      <c r="AN91" s="504" t="s">
        <v>2324</v>
      </c>
      <c r="AO91"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AP91" s="257">
        <f t="shared" si="2"/>
        <v>0</v>
      </c>
      <c r="AQ91" s="321"/>
      <c r="AR91" s="260"/>
      <c r="AS91" s="260"/>
      <c r="AT91" s="262">
        <f>'РР 01.01 - 30.06'!AT91+'РР 01.07 - 31.08'!AT91+'РР 01.09 - 31.12'!AT91</f>
        <v>0</v>
      </c>
      <c r="AU91" s="258"/>
      <c r="AV91" s="121"/>
      <c r="AW91" s="121"/>
    </row>
    <row r="92" spans="38:49" ht="22.5">
      <c r="AL92" s="121"/>
      <c r="AM92" s="121"/>
      <c r="AN92" s="504" t="s">
        <v>2325</v>
      </c>
      <c r="AO92"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AP92" s="257">
        <f t="shared" si="2"/>
        <v>0</v>
      </c>
      <c r="AQ92" s="321"/>
      <c r="AR92" s="260"/>
      <c r="AS92" s="260"/>
      <c r="AT92" s="262">
        <f>'РР 01.01 - 30.06'!AT92+'РР 01.07 - 31.08'!AT92+'РР 01.09 - 31.12'!AT92</f>
        <v>0</v>
      </c>
      <c r="AU92" s="258"/>
      <c r="AV92" s="121"/>
      <c r="AW92" s="121"/>
    </row>
    <row r="93" spans="38:49">
      <c r="AL93" s="121"/>
      <c r="AM93" s="121"/>
      <c r="AN93" s="504" t="s">
        <v>2326</v>
      </c>
      <c r="AO93" s="527" t="s">
        <v>2327</v>
      </c>
      <c r="AP93" s="257">
        <f t="shared" si="2"/>
        <v>0</v>
      </c>
      <c r="AQ93" s="321"/>
      <c r="AR93" s="260"/>
      <c r="AS93" s="260"/>
      <c r="AT93" s="262">
        <f>'РР 01.01 - 30.06'!AT93+'РР 01.07 - 31.08'!AT93+'РР 01.09 - 31.12'!AT93</f>
        <v>0</v>
      </c>
      <c r="AU93" s="258"/>
      <c r="AV93" s="121"/>
      <c r="AW93" s="121"/>
    </row>
    <row r="94" spans="38:49">
      <c r="AL94" s="121"/>
      <c r="AM94" s="121"/>
      <c r="AN94" s="504" t="s">
        <v>2328</v>
      </c>
      <c r="AO94" s="528" t="s">
        <v>2329</v>
      </c>
      <c r="AP94" s="257">
        <f t="shared" si="2"/>
        <v>0</v>
      </c>
      <c r="AQ94" s="321"/>
      <c r="AR94" s="260"/>
      <c r="AS94" s="260"/>
      <c r="AT94" s="262">
        <f>'РР 01.01 - 30.06'!AT94+'РР 01.07 - 31.08'!AT94+'РР 01.09 - 31.12'!AT94</f>
        <v>0</v>
      </c>
      <c r="AU94" s="258"/>
      <c r="AV94" s="121"/>
      <c r="AW94" s="121"/>
    </row>
    <row r="95" spans="38:49">
      <c r="AL95" s="121"/>
      <c r="AM95" s="121"/>
      <c r="AN95" s="504" t="s">
        <v>2330</v>
      </c>
      <c r="AO95" s="528" t="s">
        <v>2331</v>
      </c>
      <c r="AP95" s="257">
        <f t="shared" si="2"/>
        <v>0</v>
      </c>
      <c r="AQ95" s="321"/>
      <c r="AR95" s="260"/>
      <c r="AS95" s="260"/>
      <c r="AT95" s="262">
        <f>'РР 01.01 - 30.06'!AT95+'РР 01.07 - 31.08'!AT95+'РР 01.09 - 31.12'!AT95</f>
        <v>0</v>
      </c>
      <c r="AU95" s="258"/>
      <c r="AV95" s="121"/>
      <c r="AW95" s="121"/>
    </row>
    <row r="96" spans="38:49">
      <c r="AL96" s="121"/>
      <c r="AM96" s="121"/>
      <c r="AN96" s="504" t="s">
        <v>2332</v>
      </c>
      <c r="AO96" s="527" t="s">
        <v>2333</v>
      </c>
      <c r="AP96" s="257">
        <f t="shared" si="2"/>
        <v>0</v>
      </c>
      <c r="AQ96" s="321"/>
      <c r="AR96" s="260"/>
      <c r="AS96" s="260"/>
      <c r="AT96" s="262">
        <f>'РР 01.01 - 30.06'!AT96+'РР 01.07 - 31.08'!AT96+'РР 01.09 - 31.12'!AT96</f>
        <v>0</v>
      </c>
      <c r="AU96" s="258"/>
      <c r="AV96" s="121"/>
      <c r="AW96" s="121"/>
    </row>
    <row r="97" spans="38:49">
      <c r="AL97" s="121"/>
      <c r="AM97" s="121"/>
      <c r="AN97" s="504" t="s">
        <v>2334</v>
      </c>
      <c r="AO97" s="527" t="s">
        <v>2335</v>
      </c>
      <c r="AP97" s="257">
        <f t="shared" si="2"/>
        <v>0</v>
      </c>
      <c r="AQ97" s="321"/>
      <c r="AR97" s="260"/>
      <c r="AS97" s="260"/>
      <c r="AT97" s="262">
        <f>'РР 01.01 - 30.06'!AT97+'РР 01.07 - 31.08'!AT97+'РР 01.09 - 31.12'!AT97</f>
        <v>0</v>
      </c>
      <c r="AU97" s="258"/>
      <c r="AV97" s="121"/>
      <c r="AW97" s="121"/>
    </row>
    <row r="98" spans="38:49" ht="22.5">
      <c r="AL98" s="121"/>
      <c r="AM98" s="121"/>
      <c r="AN98" s="504" t="s">
        <v>2336</v>
      </c>
      <c r="AO98" s="527" t="s">
        <v>2337</v>
      </c>
      <c r="AP98" s="257">
        <f t="shared" si="2"/>
        <v>12.516445632316128</v>
      </c>
      <c r="AQ98" s="321"/>
      <c r="AR98" s="260"/>
      <c r="AS98" s="260"/>
      <c r="AT98" s="262">
        <f>'РР 01.01 - 30.06'!AT98+'РР 01.07 - 31.08'!AT98+'РР 01.09 - 31.12'!AT98</f>
        <v>12.516445632316128</v>
      </c>
      <c r="AU98" s="258"/>
      <c r="AV98" s="121"/>
      <c r="AW98" s="121"/>
    </row>
    <row r="99" spans="38:49">
      <c r="AL99" s="121"/>
      <c r="AM99" s="121"/>
      <c r="AN99" s="504" t="s">
        <v>2338</v>
      </c>
      <c r="AO99" s="527" t="s">
        <v>2339</v>
      </c>
      <c r="AP99" s="257">
        <f t="shared" si="2"/>
        <v>1.7661242303268152</v>
      </c>
      <c r="AQ99" s="321"/>
      <c r="AR99" s="260"/>
      <c r="AS99" s="260"/>
      <c r="AT99" s="262">
        <f>'РР 01.01 - 30.06'!AT99+'РР 01.07 - 31.08'!AT99+'РР 01.09 - 31.12'!AT99</f>
        <v>1.7661242303268152</v>
      </c>
      <c r="AU99" s="258"/>
      <c r="AV99" s="121"/>
      <c r="AW99" s="121"/>
    </row>
    <row r="100" spans="38:49">
      <c r="AL100" s="121"/>
      <c r="AM100" s="121"/>
      <c r="AN100" s="504" t="s">
        <v>2340</v>
      </c>
      <c r="AO100" s="528" t="s">
        <v>2341</v>
      </c>
      <c r="AP100" s="257">
        <f t="shared" si="2"/>
        <v>0</v>
      </c>
      <c r="AQ100" s="321"/>
      <c r="AR100" s="260"/>
      <c r="AS100" s="260"/>
      <c r="AT100" s="262">
        <f>'РР 01.01 - 30.06'!AT100+'РР 01.07 - 31.08'!AT100+'РР 01.09 - 31.12'!AT100</f>
        <v>0</v>
      </c>
      <c r="AU100" s="258"/>
      <c r="AV100" s="121"/>
      <c r="AW100" s="121"/>
    </row>
    <row r="101" spans="38:49">
      <c r="AL101" s="121"/>
      <c r="AM101" s="121"/>
      <c r="AN101" s="504" t="s">
        <v>2342</v>
      </c>
      <c r="AO101" s="528" t="s">
        <v>2343</v>
      </c>
      <c r="AP101" s="257">
        <f t="shared" si="2"/>
        <v>0</v>
      </c>
      <c r="AQ101" s="321"/>
      <c r="AR101" s="260"/>
      <c r="AS101" s="260"/>
      <c r="AT101" s="262">
        <f>'РР 01.01 - 30.06'!AT101+'РР 01.07 - 31.08'!AT101+'РР 01.09 - 31.12'!AT101</f>
        <v>0</v>
      </c>
      <c r="AU101" s="258"/>
      <c r="AV101" s="121"/>
      <c r="AW101" s="121"/>
    </row>
    <row r="102" spans="38:49">
      <c r="AL102" s="121"/>
      <c r="AM102" s="121"/>
      <c r="AN102" s="504" t="s">
        <v>2344</v>
      </c>
      <c r="AO102" s="528" t="s">
        <v>2345</v>
      </c>
      <c r="AP102" s="257">
        <f t="shared" si="2"/>
        <v>0</v>
      </c>
      <c r="AQ102" s="321"/>
      <c r="AR102" s="260"/>
      <c r="AS102" s="260"/>
      <c r="AT102" s="262">
        <f>'РР 01.01 - 30.06'!AT102+'РР 01.07 - 31.08'!AT102+'РР 01.09 - 31.12'!AT102</f>
        <v>0</v>
      </c>
      <c r="AU102" s="258"/>
      <c r="AV102" s="121"/>
      <c r="AW102" s="121"/>
    </row>
    <row r="103" spans="38:49">
      <c r="AL103" s="121"/>
      <c r="AM103" s="121"/>
      <c r="AN103" s="504" t="s">
        <v>2346</v>
      </c>
      <c r="AO103" s="528" t="s">
        <v>2347</v>
      </c>
      <c r="AP103" s="257">
        <f t="shared" si="2"/>
        <v>0</v>
      </c>
      <c r="AQ103" s="321"/>
      <c r="AR103" s="260"/>
      <c r="AS103" s="260"/>
      <c r="AT103" s="262">
        <f>'РР 01.01 - 30.06'!AT103+'РР 01.07 - 31.08'!AT103+'РР 01.09 - 31.12'!AT103</f>
        <v>0</v>
      </c>
      <c r="AU103" s="258"/>
      <c r="AV103" s="121"/>
      <c r="AW103" s="121"/>
    </row>
    <row r="104" spans="38:49">
      <c r="AL104" s="121"/>
      <c r="AM104" s="121"/>
      <c r="AN104" s="504" t="s">
        <v>2348</v>
      </c>
      <c r="AO104" s="528" t="s">
        <v>2349</v>
      </c>
      <c r="AP104" s="257">
        <f t="shared" si="2"/>
        <v>0</v>
      </c>
      <c r="AQ104" s="321"/>
      <c r="AR104" s="260"/>
      <c r="AS104" s="260"/>
      <c r="AT104" s="262">
        <f>'РР 01.01 - 30.06'!AT104+'РР 01.07 - 31.08'!AT104+'РР 01.09 - 31.12'!AT104</f>
        <v>0</v>
      </c>
      <c r="AU104" s="258"/>
      <c r="AV104" s="121"/>
      <c r="AW104" s="121"/>
    </row>
    <row r="105" spans="38:49">
      <c r="AL105" s="121"/>
      <c r="AM105" s="121"/>
      <c r="AN105" s="504" t="s">
        <v>2350</v>
      </c>
      <c r="AO105" s="528" t="s">
        <v>2351</v>
      </c>
      <c r="AP105" s="257">
        <f t="shared" si="2"/>
        <v>0</v>
      </c>
      <c r="AQ105" s="321"/>
      <c r="AR105" s="260"/>
      <c r="AS105" s="260"/>
      <c r="AT105" s="262">
        <f>'РР 01.01 - 30.06'!AT105+'РР 01.07 - 31.08'!AT105+'РР 01.09 - 31.12'!AT105</f>
        <v>0</v>
      </c>
      <c r="AU105" s="258"/>
      <c r="AV105" s="121"/>
      <c r="AW105" s="121"/>
    </row>
    <row r="106" spans="38:49">
      <c r="AL106" s="121"/>
      <c r="AM106" s="121"/>
      <c r="AN106" s="504" t="s">
        <v>2352</v>
      </c>
      <c r="AO106" s="528" t="s">
        <v>2353</v>
      </c>
      <c r="AP106" s="257">
        <f t="shared" si="2"/>
        <v>1.7661242303268152</v>
      </c>
      <c r="AQ106" s="321"/>
      <c r="AR106" s="260"/>
      <c r="AS106" s="260"/>
      <c r="AT106" s="262">
        <f>'РР 01.01 - 30.06'!AT106+'РР 01.07 - 31.08'!AT106+'РР 01.09 - 31.12'!AT106</f>
        <v>1.7661242303268152</v>
      </c>
      <c r="AU106" s="258"/>
      <c r="AV106" s="121"/>
      <c r="AW106" s="121"/>
    </row>
    <row r="107" spans="38:49">
      <c r="AL107" s="121"/>
      <c r="AM107" s="121"/>
      <c r="AN107" s="504" t="s">
        <v>2354</v>
      </c>
      <c r="AO107" s="528" t="s">
        <v>2355</v>
      </c>
      <c r="AP107" s="257">
        <f t="shared" si="2"/>
        <v>0</v>
      </c>
      <c r="AQ107" s="321"/>
      <c r="AR107" s="260"/>
      <c r="AS107" s="260"/>
      <c r="AT107" s="262">
        <f>'РР 01.01 - 30.06'!AT107+'РР 01.07 - 31.08'!AT107+'РР 01.09 - 31.12'!AT107</f>
        <v>0</v>
      </c>
      <c r="AU107" s="258"/>
      <c r="AV107" s="121"/>
      <c r="AW107" s="121"/>
    </row>
    <row r="108" spans="38:49">
      <c r="AL108" s="121"/>
      <c r="AM108" s="121"/>
      <c r="AN108" s="504" t="s">
        <v>2356</v>
      </c>
      <c r="AO108" s="528" t="s">
        <v>2357</v>
      </c>
      <c r="AP108" s="257">
        <f t="shared" si="2"/>
        <v>0</v>
      </c>
      <c r="AQ108" s="321"/>
      <c r="AR108" s="260"/>
      <c r="AS108" s="260"/>
      <c r="AT108" s="262">
        <f>'РР 01.01 - 30.06'!AT108+'РР 01.07 - 31.08'!AT108+'РР 01.09 - 31.12'!AT108</f>
        <v>0</v>
      </c>
      <c r="AU108" s="258"/>
      <c r="AV108" s="121"/>
      <c r="AW108" s="121"/>
    </row>
    <row r="109" spans="38:49" ht="22.5">
      <c r="AL109" s="121"/>
      <c r="AM109" s="121"/>
      <c r="AN109" s="504" t="s">
        <v>2358</v>
      </c>
      <c r="AO109" s="536" t="s">
        <v>2359</v>
      </c>
      <c r="AP109" s="257">
        <f t="shared" si="2"/>
        <v>0</v>
      </c>
      <c r="AQ109" s="321"/>
      <c r="AR109" s="260"/>
      <c r="AS109" s="260"/>
      <c r="AT109" s="262">
        <f>'РР 01.01 - 30.06'!AT109+'РР 01.07 - 31.08'!AT109+'РР 01.09 - 31.12'!AT109</f>
        <v>0</v>
      </c>
      <c r="AU109" s="258"/>
      <c r="AV109" s="121"/>
      <c r="AW109" s="121"/>
    </row>
    <row r="110" spans="38:49">
      <c r="AL110" s="121"/>
      <c r="AM110" s="121"/>
      <c r="AN110" s="504" t="s">
        <v>2360</v>
      </c>
      <c r="AO110" s="537" t="s">
        <v>2444</v>
      </c>
      <c r="AP110" s="257">
        <f t="shared" si="2"/>
        <v>0</v>
      </c>
      <c r="AQ110" s="321"/>
      <c r="AR110" s="260"/>
      <c r="AS110" s="260"/>
      <c r="AT110" s="262">
        <f>'РР 01.01 - 30.06'!AT110+'РР 01.07 - 31.08'!AT110+'РР 01.09 - 31.12'!AT110</f>
        <v>0</v>
      </c>
      <c r="AU110" s="258"/>
      <c r="AV110" s="121"/>
      <c r="AW110" s="121"/>
    </row>
    <row r="111" spans="38:49">
      <c r="AL111" s="121"/>
      <c r="AM111" s="121"/>
      <c r="AN111" s="504" t="s">
        <v>2361</v>
      </c>
      <c r="AO111" s="537" t="s">
        <v>2362</v>
      </c>
      <c r="AP111" s="257">
        <f t="shared" si="2"/>
        <v>0</v>
      </c>
      <c r="AQ111" s="321"/>
      <c r="AR111" s="260"/>
      <c r="AS111" s="260"/>
      <c r="AT111" s="262">
        <f>'РР 01.01 - 30.06'!AT111+'РР 01.07 - 31.08'!AT111+'РР 01.09 - 31.12'!AT111</f>
        <v>0</v>
      </c>
      <c r="AU111" s="258"/>
      <c r="AV111" s="121"/>
      <c r="AW111" s="121"/>
    </row>
    <row r="112" spans="38:49">
      <c r="AL112" s="121"/>
      <c r="AM112" s="121"/>
      <c r="AN112" s="504" t="s">
        <v>2363</v>
      </c>
      <c r="AO112" s="528" t="s">
        <v>872</v>
      </c>
      <c r="AP112" s="257">
        <f t="shared" si="2"/>
        <v>0</v>
      </c>
      <c r="AQ112" s="321"/>
      <c r="AR112" s="260"/>
      <c r="AS112" s="260"/>
      <c r="AT112" s="262">
        <f>'РР 01.01 - 30.06'!AT112+'РР 01.07 - 31.08'!AT112+'РР 01.09 - 31.12'!AT112</f>
        <v>0</v>
      </c>
      <c r="AU112" s="258"/>
      <c r="AV112" s="121"/>
      <c r="AW112" s="121"/>
    </row>
    <row r="113" spans="1:49" ht="22.5">
      <c r="AL113" s="121"/>
      <c r="AM113" s="121"/>
      <c r="AN113" s="504" t="s">
        <v>2364</v>
      </c>
      <c r="AO113" s="528" t="s">
        <v>2365</v>
      </c>
      <c r="AP113" s="257">
        <f t="shared" si="2"/>
        <v>0</v>
      </c>
      <c r="AQ113" s="321"/>
      <c r="AR113" s="260"/>
      <c r="AS113" s="260"/>
      <c r="AT113" s="262">
        <f>'РР 01.01 - 30.06'!AT113+'РР 01.07 - 31.08'!AT113+'РР 01.09 - 31.12'!AT113</f>
        <v>0</v>
      </c>
      <c r="AU113" s="258"/>
      <c r="AV113" s="121"/>
      <c r="AW113" s="121"/>
    </row>
    <row r="114" spans="1:49">
      <c r="AL114" s="121"/>
      <c r="AM114" s="121"/>
      <c r="AN114" s="504" t="s">
        <v>2366</v>
      </c>
      <c r="AO114" s="528" t="s">
        <v>2367</v>
      </c>
      <c r="AP114" s="257">
        <f t="shared" si="2"/>
        <v>0</v>
      </c>
      <c r="AQ114" s="321"/>
      <c r="AR114" s="260"/>
      <c r="AS114" s="260"/>
      <c r="AT114" s="262">
        <f>'РР 01.01 - 30.06'!AT114+'РР 01.07 - 31.08'!AT114+'РР 01.09 - 31.12'!AT114</f>
        <v>0</v>
      </c>
      <c r="AU114" s="258"/>
      <c r="AV114" s="121"/>
      <c r="AW114" s="121"/>
    </row>
    <row r="115" spans="1:49">
      <c r="AL115" s="121"/>
      <c r="AM115" s="121"/>
      <c r="AN115" s="504" t="s">
        <v>752</v>
      </c>
      <c r="AO115" s="723" t="s">
        <v>2726</v>
      </c>
      <c r="AP115" s="257">
        <f t="shared" si="2"/>
        <v>0</v>
      </c>
      <c r="AQ115" s="321"/>
      <c r="AR115" s="260"/>
      <c r="AS115" s="260"/>
      <c r="AT115" s="262">
        <f>'РР 01.01 - 30.06'!AT115+'РР 01.07 - 31.08'!AT115+'РР 01.09 - 31.12'!AT115</f>
        <v>0</v>
      </c>
      <c r="AU115" s="258"/>
      <c r="AV115" s="121"/>
      <c r="AW115" s="121"/>
    </row>
    <row r="116" spans="1:49">
      <c r="AL116" s="121"/>
      <c r="AM116" s="121"/>
      <c r="AN116" s="504" t="s">
        <v>760</v>
      </c>
      <c r="AO116" s="527" t="s">
        <v>2368</v>
      </c>
      <c r="AP116" s="257">
        <f t="shared" si="2"/>
        <v>0</v>
      </c>
      <c r="AQ116" s="321"/>
      <c r="AR116" s="260"/>
      <c r="AS116" s="260"/>
      <c r="AT116" s="262">
        <f>'РР 01.01 - 30.06'!AT116+'РР 01.07 - 31.08'!AT116+'РР 01.09 - 31.12'!AT116</f>
        <v>0</v>
      </c>
      <c r="AU116" s="258"/>
      <c r="AV116" s="121"/>
      <c r="AW116" s="121"/>
    </row>
    <row r="117" spans="1:49">
      <c r="AL117" s="121"/>
      <c r="AM117" s="121"/>
      <c r="AN117" s="504" t="s">
        <v>917</v>
      </c>
      <c r="AO117" s="528" t="s">
        <v>2369</v>
      </c>
      <c r="AP117" s="257">
        <f t="shared" si="2"/>
        <v>0</v>
      </c>
      <c r="AQ117" s="321"/>
      <c r="AR117" s="260"/>
      <c r="AS117" s="260"/>
      <c r="AT117" s="262">
        <f>'РР 01.01 - 30.06'!AT117+'РР 01.07 - 31.08'!AT117+'РР 01.09 - 31.12'!AT117</f>
        <v>0</v>
      </c>
      <c r="AU117" s="258"/>
      <c r="AV117" s="121"/>
      <c r="AW117" s="121"/>
    </row>
    <row r="118" spans="1:49">
      <c r="AL118" s="121"/>
      <c r="AM118" s="121"/>
      <c r="AN118" s="504" t="s">
        <v>761</v>
      </c>
      <c r="AO118" s="527" t="s">
        <v>862</v>
      </c>
      <c r="AP118" s="257">
        <f t="shared" si="2"/>
        <v>0</v>
      </c>
      <c r="AQ118" s="321"/>
      <c r="AR118" s="260"/>
      <c r="AS118" s="260"/>
      <c r="AT118" s="262">
        <f>'РР 01.01 - 30.06'!AT118+'РР 01.07 - 31.08'!AT118+'РР 01.09 - 31.12'!AT118</f>
        <v>0</v>
      </c>
      <c r="AU118" s="258"/>
      <c r="AV118" s="121"/>
      <c r="AW118" s="121"/>
    </row>
    <row r="119" spans="1:49">
      <c r="AL119" s="121"/>
      <c r="AM119" s="121"/>
      <c r="AN119" s="504" t="s">
        <v>762</v>
      </c>
      <c r="AO119" s="527" t="s">
        <v>864</v>
      </c>
      <c r="AP119" s="257">
        <f t="shared" si="2"/>
        <v>0</v>
      </c>
      <c r="AQ119" s="321"/>
      <c r="AR119" s="260"/>
      <c r="AS119" s="260"/>
      <c r="AT119" s="262">
        <f>'РР 01.01 - 30.06'!AT119+'РР 01.07 - 31.08'!AT119+'РР 01.09 - 31.12'!AT119</f>
        <v>0</v>
      </c>
      <c r="AU119" s="258"/>
      <c r="AV119" s="121"/>
      <c r="AW119" s="121"/>
    </row>
    <row r="120" spans="1:49">
      <c r="AL120" s="121"/>
      <c r="AM120" s="121"/>
      <c r="AN120" s="504" t="s">
        <v>763</v>
      </c>
      <c r="AO120" s="527" t="s">
        <v>866</v>
      </c>
      <c r="AP120" s="257">
        <f t="shared" si="2"/>
        <v>0</v>
      </c>
      <c r="AQ120" s="321"/>
      <c r="AR120" s="260"/>
      <c r="AS120" s="260"/>
      <c r="AT120" s="262">
        <f>'РР 01.01 - 30.06'!AT120+'РР 01.07 - 31.08'!AT120+'РР 01.09 - 31.12'!AT120</f>
        <v>0</v>
      </c>
      <c r="AU120" s="258"/>
      <c r="AV120" s="121"/>
      <c r="AW120" s="121"/>
    </row>
    <row r="121" spans="1:49">
      <c r="AL121" s="121"/>
      <c r="AM121" s="121"/>
      <c r="AN121" s="504" t="s">
        <v>764</v>
      </c>
      <c r="AO121" s="527" t="s">
        <v>2370</v>
      </c>
      <c r="AP121" s="257">
        <f t="shared" si="2"/>
        <v>0</v>
      </c>
      <c r="AQ121" s="321"/>
      <c r="AR121" s="260"/>
      <c r="AS121" s="260"/>
      <c r="AT121" s="262">
        <f>'РР 01.01 - 30.06'!AT121+'РР 01.07 - 31.08'!AT121+'РР 01.09 - 31.12'!AT121</f>
        <v>0</v>
      </c>
      <c r="AU121" s="258"/>
      <c r="AV121" s="121"/>
      <c r="AW121" s="121"/>
    </row>
    <row r="122" spans="1:49">
      <c r="AL122" s="121"/>
      <c r="AM122" s="121"/>
      <c r="AN122" s="504" t="s">
        <v>2371</v>
      </c>
      <c r="AO122" s="528" t="s">
        <v>2372</v>
      </c>
      <c r="AP122" s="257">
        <f t="shared" si="2"/>
        <v>0</v>
      </c>
      <c r="AQ122" s="321"/>
      <c r="AR122" s="260"/>
      <c r="AS122" s="260"/>
      <c r="AT122" s="262">
        <f>'РР 01.01 - 30.06'!AT122+'РР 01.07 - 31.08'!AT122+'РР 01.09 - 31.12'!AT122</f>
        <v>0</v>
      </c>
      <c r="AU122" s="258"/>
      <c r="AV122" s="121"/>
      <c r="AW122" s="121"/>
    </row>
    <row r="123" spans="1:49">
      <c r="AL123" s="121"/>
      <c r="AM123" s="121"/>
      <c r="AN123" s="504" t="s">
        <v>2373</v>
      </c>
      <c r="AO123" s="538" t="s">
        <v>2374</v>
      </c>
      <c r="AP123" s="257">
        <f t="shared" si="2"/>
        <v>0</v>
      </c>
      <c r="AQ123" s="321"/>
      <c r="AR123" s="260"/>
      <c r="AS123" s="260"/>
      <c r="AT123" s="262">
        <f>'РР 01.01 - 30.06'!AT123+'РР 01.07 - 31.08'!AT123+'РР 01.09 - 31.12'!AT123</f>
        <v>0</v>
      </c>
      <c r="AU123" s="258"/>
      <c r="AV123" s="121"/>
      <c r="AW123" s="121"/>
    </row>
    <row r="124" spans="1:49">
      <c r="AL124" s="121"/>
      <c r="AM124" s="121"/>
      <c r="AN124" s="504" t="s">
        <v>2375</v>
      </c>
      <c r="AO124" s="528" t="s">
        <v>2376</v>
      </c>
      <c r="AP124" s="257">
        <f t="shared" si="2"/>
        <v>0</v>
      </c>
      <c r="AQ124" s="321"/>
      <c r="AR124" s="260"/>
      <c r="AS124" s="260"/>
      <c r="AT124" s="262">
        <f>'РР 01.01 - 30.06'!AT124+'РР 01.07 - 31.08'!AT124+'РР 01.09 - 31.12'!AT124</f>
        <v>0</v>
      </c>
      <c r="AU124" s="258"/>
      <c r="AV124" s="121"/>
      <c r="AW124" s="121"/>
    </row>
    <row r="125" spans="1:49" ht="0.75" customHeight="1">
      <c r="A125" s="47"/>
      <c r="B125" s="47"/>
      <c r="C125" s="47"/>
      <c r="D125" s="47"/>
      <c r="E125" s="47"/>
      <c r="F125" s="47"/>
      <c r="G125" s="47"/>
      <c r="H125" s="47"/>
      <c r="I125" s="47"/>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50"/>
      <c r="AM125" s="126"/>
      <c r="AN125" s="223"/>
      <c r="AO125" s="728"/>
      <c r="AP125" s="260"/>
      <c r="AQ125" s="258"/>
      <c r="AR125" s="260"/>
      <c r="AS125" s="260"/>
      <c r="AT125" s="260"/>
      <c r="AU125" s="258"/>
      <c r="AV125" s="127"/>
    </row>
    <row r="126" spans="1:49" ht="0.75" customHeight="1">
      <c r="A126" s="47"/>
      <c r="B126" s="47"/>
      <c r="C126" s="47"/>
      <c r="D126" s="47"/>
      <c r="E126" s="47"/>
      <c r="F126" s="47"/>
      <c r="G126" s="47"/>
      <c r="H126" s="47"/>
      <c r="I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50"/>
      <c r="AM126" s="126"/>
      <c r="AN126" s="223"/>
      <c r="AO126" s="728"/>
      <c r="AP126" s="260"/>
      <c r="AQ126" s="258"/>
      <c r="AR126" s="260"/>
      <c r="AS126" s="260"/>
      <c r="AT126" s="260"/>
      <c r="AU126" s="258"/>
      <c r="AV126" s="127"/>
    </row>
    <row r="127" spans="1:49" ht="0.75" customHeight="1">
      <c r="A127" s="47"/>
      <c r="B127" s="47"/>
      <c r="C127" s="47"/>
      <c r="D127" s="47"/>
      <c r="E127" s="47"/>
      <c r="F127" s="47"/>
      <c r="G127" s="47"/>
      <c r="H127" s="47"/>
      <c r="I127" s="4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50"/>
      <c r="AM127" s="126"/>
      <c r="AN127" s="223"/>
      <c r="AO127" s="728"/>
      <c r="AP127" s="260"/>
      <c r="AQ127" s="258"/>
      <c r="AR127" s="260"/>
      <c r="AS127" s="260"/>
      <c r="AT127" s="260"/>
      <c r="AU127" s="258"/>
      <c r="AV127" s="127"/>
    </row>
    <row r="128" spans="1:49" ht="0.75" customHeight="1">
      <c r="A128" s="47"/>
      <c r="B128" s="47"/>
      <c r="C128" s="47"/>
      <c r="D128" s="47"/>
      <c r="E128" s="47"/>
      <c r="F128" s="47"/>
      <c r="G128" s="47"/>
      <c r="H128" s="47"/>
      <c r="I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50"/>
      <c r="AM128" s="126"/>
      <c r="AN128" s="223"/>
      <c r="AO128" s="728"/>
      <c r="AP128" s="260"/>
      <c r="AQ128" s="258"/>
      <c r="AR128" s="260"/>
      <c r="AS128" s="260"/>
      <c r="AT128" s="260"/>
      <c r="AU128" s="258"/>
      <c r="AV128" s="127"/>
    </row>
    <row r="129" spans="1:49" ht="0.75" customHeight="1">
      <c r="A129" s="47"/>
      <c r="B129" s="47"/>
      <c r="C129" s="47"/>
      <c r="D129" s="47"/>
      <c r="E129" s="47"/>
      <c r="F129" s="47"/>
      <c r="G129" s="47"/>
      <c r="H129" s="47"/>
      <c r="I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50"/>
      <c r="AM129" s="126"/>
      <c r="AN129" s="223"/>
      <c r="AO129" s="728"/>
      <c r="AP129" s="260"/>
      <c r="AQ129" s="258"/>
      <c r="AR129" s="260"/>
      <c r="AS129" s="260"/>
      <c r="AT129" s="260"/>
      <c r="AU129" s="258"/>
      <c r="AV129" s="127"/>
    </row>
    <row r="130" spans="1:49" ht="0.75" customHeight="1">
      <c r="A130" s="47"/>
      <c r="B130" s="47"/>
      <c r="C130" s="47"/>
      <c r="D130" s="47"/>
      <c r="E130" s="47"/>
      <c r="F130" s="47"/>
      <c r="G130" s="47"/>
      <c r="H130" s="47"/>
      <c r="I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50"/>
      <c r="AM130" s="126"/>
      <c r="AN130" s="223"/>
      <c r="AO130" s="728"/>
      <c r="AP130" s="260"/>
      <c r="AQ130" s="258"/>
      <c r="AR130" s="260"/>
      <c r="AS130" s="260"/>
      <c r="AT130" s="260"/>
      <c r="AU130" s="258"/>
      <c r="AV130" s="127"/>
    </row>
    <row r="131" spans="1:49">
      <c r="AL131" s="121"/>
      <c r="AM131" s="121"/>
      <c r="AN131" s="725" t="s">
        <v>3072</v>
      </c>
      <c r="AO131" s="724" t="s">
        <v>2727</v>
      </c>
      <c r="AP131" s="257">
        <f t="shared" si="2"/>
        <v>13.2</v>
      </c>
      <c r="AQ131" s="321"/>
      <c r="AR131" s="260"/>
      <c r="AS131" s="260"/>
      <c r="AT131" s="262">
        <f>'РР 01.01 - 30.06'!AT131+'РР 01.07 - 31.08'!AT131+'РР 01.09 - 31.12'!AT131</f>
        <v>13.2</v>
      </c>
      <c r="AU131" s="258"/>
      <c r="AV131" s="121"/>
      <c r="AW131" s="121"/>
    </row>
    <row r="132" spans="1:49" ht="22.5">
      <c r="AL132" s="121"/>
      <c r="AM132" s="121"/>
      <c r="AN132" s="504" t="s">
        <v>2427</v>
      </c>
      <c r="AO132" s="723" t="s">
        <v>2616</v>
      </c>
      <c r="AP132" s="257">
        <f t="shared" si="2"/>
        <v>0</v>
      </c>
      <c r="AQ132" s="321"/>
      <c r="AR132" s="260"/>
      <c r="AS132" s="260"/>
      <c r="AT132" s="262">
        <f>'РР 01.01 - 30.06'!AT132+'РР 01.07 - 31.08'!AT132+'РР 01.09 - 31.12'!AT132</f>
        <v>0</v>
      </c>
      <c r="AU132" s="258"/>
      <c r="AV132" s="121"/>
      <c r="AW132" s="121"/>
    </row>
    <row r="133" spans="1:49" ht="0.75" customHeight="1">
      <c r="AL133" s="121"/>
      <c r="AM133" s="121"/>
      <c r="AN133" s="504"/>
      <c r="AO133" s="526"/>
      <c r="AP133" s="526"/>
      <c r="AQ133" s="321"/>
      <c r="AR133" s="260"/>
      <c r="AS133" s="260"/>
      <c r="AT133" s="260"/>
      <c r="AU133" s="258"/>
      <c r="AV133" s="121"/>
      <c r="AW133" s="121"/>
    </row>
    <row r="134" spans="1:49" ht="0.75" customHeight="1">
      <c r="AL134" s="121"/>
      <c r="AM134" s="121"/>
      <c r="AN134" s="504"/>
      <c r="AO134" s="526"/>
      <c r="AP134" s="526"/>
      <c r="AQ134" s="321"/>
      <c r="AR134" s="260"/>
      <c r="AS134" s="260"/>
      <c r="AT134" s="260"/>
      <c r="AU134" s="258"/>
      <c r="AV134" s="121"/>
      <c r="AW134" s="121"/>
    </row>
    <row r="135" spans="1:49" ht="0.75" customHeight="1">
      <c r="AL135" s="121"/>
      <c r="AM135" s="121"/>
      <c r="AN135" s="504"/>
      <c r="AO135" s="526"/>
      <c r="AP135" s="526"/>
      <c r="AQ135" s="321"/>
      <c r="AR135" s="260"/>
      <c r="AS135" s="260"/>
      <c r="AT135" s="260"/>
      <c r="AU135" s="258"/>
      <c r="AV135" s="121"/>
      <c r="AW135" s="121"/>
    </row>
    <row r="136" spans="1:49" ht="0.75" customHeight="1">
      <c r="AL136" s="121"/>
      <c r="AM136" s="121"/>
      <c r="AN136" s="504"/>
      <c r="AO136" s="526"/>
      <c r="AP136" s="526"/>
      <c r="AQ136" s="321"/>
      <c r="AR136" s="260"/>
      <c r="AS136" s="260"/>
      <c r="AT136" s="260"/>
      <c r="AU136" s="258"/>
      <c r="AV136" s="121"/>
      <c r="AW136" s="121"/>
    </row>
    <row r="137" spans="1:49" ht="0.75" customHeight="1">
      <c r="AL137" s="121"/>
      <c r="AM137" s="121"/>
      <c r="AN137" s="504"/>
      <c r="AO137" s="526"/>
      <c r="AP137" s="526"/>
      <c r="AQ137" s="321"/>
      <c r="AR137" s="260"/>
      <c r="AS137" s="260"/>
      <c r="AT137" s="260"/>
      <c r="AU137" s="258"/>
      <c r="AV137" s="121"/>
      <c r="AW137" s="121"/>
    </row>
    <row r="138" spans="1:49" ht="0.75" customHeight="1">
      <c r="AL138" s="121"/>
      <c r="AM138" s="121"/>
      <c r="AN138" s="504"/>
      <c r="AO138" s="526"/>
      <c r="AP138" s="526"/>
      <c r="AQ138" s="321"/>
      <c r="AR138" s="260"/>
      <c r="AS138" s="260"/>
      <c r="AT138" s="260"/>
      <c r="AU138" s="258"/>
      <c r="AV138" s="121"/>
      <c r="AW138" s="121"/>
    </row>
    <row r="139" spans="1:49" ht="0.75" customHeight="1">
      <c r="AL139" s="121"/>
      <c r="AM139" s="121"/>
      <c r="AN139" s="504"/>
      <c r="AO139" s="526"/>
      <c r="AP139" s="526"/>
      <c r="AQ139" s="321"/>
      <c r="AR139" s="260"/>
      <c r="AS139" s="260"/>
      <c r="AT139" s="260"/>
      <c r="AU139" s="258"/>
      <c r="AV139" s="121"/>
      <c r="AW139" s="121"/>
    </row>
    <row r="140" spans="1:49" ht="0.75" customHeight="1">
      <c r="AL140" s="121"/>
      <c r="AM140" s="121"/>
      <c r="AN140" s="504"/>
      <c r="AO140" s="526"/>
      <c r="AP140" s="526"/>
      <c r="AQ140" s="321"/>
      <c r="AR140" s="260"/>
      <c r="AS140" s="260"/>
      <c r="AT140" s="260"/>
      <c r="AU140" s="258"/>
      <c r="AV140" s="121"/>
      <c r="AW140" s="121"/>
    </row>
    <row r="141" spans="1:49" ht="0.75" customHeight="1">
      <c r="AL141" s="121"/>
      <c r="AM141" s="121"/>
      <c r="AN141" s="504"/>
      <c r="AO141" s="526"/>
      <c r="AP141" s="526"/>
      <c r="AQ141" s="321"/>
      <c r="AR141" s="260"/>
      <c r="AS141" s="260"/>
      <c r="AT141" s="260"/>
      <c r="AU141" s="258"/>
      <c r="AV141" s="121"/>
      <c r="AW141" s="121"/>
    </row>
    <row r="142" spans="1:49" ht="0.75" customHeight="1">
      <c r="AL142" s="121"/>
      <c r="AM142" s="121"/>
      <c r="AN142" s="504"/>
      <c r="AO142" s="526"/>
      <c r="AP142" s="526"/>
      <c r="AQ142" s="321"/>
      <c r="AR142" s="260"/>
      <c r="AS142" s="260"/>
      <c r="AT142" s="260"/>
      <c r="AU142" s="258"/>
      <c r="AV142" s="121"/>
      <c r="AW142" s="121"/>
    </row>
    <row r="143" spans="1:49" ht="0.75" customHeight="1">
      <c r="AL143" s="121"/>
      <c r="AM143" s="121"/>
      <c r="AN143" s="504"/>
      <c r="AO143" s="526"/>
      <c r="AP143" s="526"/>
      <c r="AQ143" s="321"/>
      <c r="AR143" s="260"/>
      <c r="AS143" s="260"/>
      <c r="AT143" s="260"/>
      <c r="AU143" s="258"/>
      <c r="AV143" s="121"/>
      <c r="AW143" s="121"/>
    </row>
    <row r="144" spans="1:49" ht="0.75" customHeight="1">
      <c r="AL144" s="121"/>
      <c r="AM144" s="121"/>
      <c r="AN144" s="559"/>
      <c r="AO144" s="604"/>
      <c r="AP144" s="526"/>
      <c r="AQ144" s="321"/>
      <c r="AR144" s="260"/>
      <c r="AS144" s="260"/>
      <c r="AT144" s="260"/>
      <c r="AU144" s="258"/>
      <c r="AV144" s="121"/>
      <c r="AW144" s="121"/>
    </row>
    <row r="145" spans="1:49" s="121" customFormat="1" ht="0.75" customHeight="1">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N145" s="504"/>
      <c r="AO145" s="526"/>
      <c r="AP145" s="526"/>
      <c r="AQ145" s="321"/>
      <c r="AR145" s="260"/>
      <c r="AS145" s="260"/>
      <c r="AT145" s="260"/>
      <c r="AU145" s="258"/>
    </row>
    <row r="146" spans="1:49" s="121" customFormat="1" hidden="1">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N146" s="222"/>
      <c r="AO146" s="540"/>
      <c r="AP146" s="285"/>
      <c r="AQ146" s="321"/>
      <c r="AR146" s="260"/>
      <c r="AS146" s="260"/>
      <c r="AT146" s="260"/>
      <c r="AU146" s="258"/>
    </row>
    <row r="147" spans="1:49" s="121" customFormat="1" hidden="1">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N147" s="222"/>
      <c r="AO147" s="540"/>
      <c r="AP147" s="285"/>
      <c r="AQ147" s="321"/>
      <c r="AR147" s="260"/>
      <c r="AS147" s="260"/>
      <c r="AT147" s="260"/>
      <c r="AU147" s="258"/>
    </row>
    <row r="148" spans="1:49" s="121" customFormat="1" hidden="1">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N148" s="222"/>
      <c r="AO148" s="541"/>
      <c r="AP148" s="285"/>
      <c r="AQ148" s="321"/>
      <c r="AR148" s="260"/>
      <c r="AS148" s="260"/>
      <c r="AT148" s="260"/>
      <c r="AU148" s="258"/>
    </row>
    <row r="149" spans="1:49" hidden="1">
      <c r="AL149" s="121"/>
      <c r="AM149" s="121"/>
      <c r="AN149" s="222"/>
      <c r="AO149" s="502"/>
      <c r="AP149" s="285"/>
      <c r="AQ149" s="321"/>
      <c r="AR149" s="260"/>
      <c r="AS149" s="260"/>
      <c r="AT149" s="260"/>
      <c r="AU149" s="258"/>
      <c r="AV149" s="121"/>
      <c r="AW149" s="121"/>
    </row>
    <row r="150" spans="1:49" hidden="1">
      <c r="AL150" s="121"/>
      <c r="AM150" s="121"/>
      <c r="AN150" s="222"/>
      <c r="AO150" s="502"/>
      <c r="AP150" s="285"/>
      <c r="AQ150" s="321"/>
      <c r="AR150" s="260"/>
      <c r="AS150" s="260"/>
      <c r="AT150" s="260"/>
      <c r="AU150" s="258"/>
      <c r="AV150" s="121"/>
      <c r="AW150" s="121"/>
    </row>
    <row r="151" spans="1:49" s="121" customFormat="1" hidden="1">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N151" s="222"/>
      <c r="AO151" s="540"/>
      <c r="AP151" s="285"/>
      <c r="AQ151" s="321"/>
      <c r="AR151" s="260"/>
      <c r="AS151" s="260"/>
      <c r="AT151" s="260"/>
      <c r="AU151" s="258"/>
    </row>
    <row r="152" spans="1:49" s="121" customFormat="1" hidden="1">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N152" s="222"/>
      <c r="AO152" s="502"/>
      <c r="AP152" s="285"/>
      <c r="AQ152" s="321"/>
      <c r="AR152" s="260"/>
      <c r="AS152" s="260"/>
      <c r="AT152" s="260"/>
      <c r="AU152" s="258"/>
    </row>
    <row r="153" spans="1:49" s="121" customFormat="1" hidden="1">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N153" s="222"/>
      <c r="AO153" s="502"/>
      <c r="AP153" s="285"/>
      <c r="AQ153" s="321"/>
      <c r="AR153" s="260"/>
      <c r="AS153" s="260"/>
      <c r="AT153" s="260"/>
      <c r="AU153" s="258"/>
    </row>
    <row r="154" spans="1:49" s="121" customFormat="1" hidden="1">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N154" s="222"/>
      <c r="AO154" s="540"/>
      <c r="AP154" s="285"/>
      <c r="AQ154" s="321"/>
      <c r="AR154" s="260"/>
      <c r="AS154" s="260"/>
      <c r="AT154" s="260"/>
      <c r="AU154" s="258"/>
    </row>
    <row r="155" spans="1:49" s="121" customFormat="1" hidden="1">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N155" s="222"/>
      <c r="AO155" s="502"/>
      <c r="AP155" s="285"/>
      <c r="AQ155" s="321"/>
      <c r="AR155" s="260"/>
      <c r="AS155" s="260"/>
      <c r="AT155" s="260"/>
      <c r="AU155" s="258"/>
    </row>
    <row r="156" spans="1:49" s="121" customFormat="1" hidden="1">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N156" s="222"/>
      <c r="AO156" s="502"/>
      <c r="AP156" s="285"/>
      <c r="AQ156" s="321"/>
      <c r="AR156" s="260"/>
      <c r="AS156" s="260"/>
      <c r="AT156" s="260"/>
      <c r="AU156" s="258"/>
    </row>
    <row r="157" spans="1:49" hidden="1">
      <c r="AL157" s="121"/>
      <c r="AM157" s="121"/>
      <c r="AN157" s="222"/>
      <c r="AO157" s="540"/>
      <c r="AP157" s="285"/>
      <c r="AQ157" s="321"/>
      <c r="AR157" s="260"/>
      <c r="AS157" s="260"/>
      <c r="AT157" s="260"/>
      <c r="AU157" s="258"/>
      <c r="AV157" s="121"/>
      <c r="AW157" s="121"/>
    </row>
    <row r="158" spans="1:49" s="121" customFormat="1" hidden="1">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N158" s="222"/>
      <c r="AO158" s="502"/>
      <c r="AP158" s="285"/>
      <c r="AQ158" s="321"/>
      <c r="AR158" s="260"/>
      <c r="AS158" s="260"/>
      <c r="AT158" s="260"/>
      <c r="AU158" s="258"/>
    </row>
    <row r="159" spans="1:49" s="121" customFormat="1" hidden="1">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N159" s="222"/>
      <c r="AO159" s="502"/>
      <c r="AP159" s="285"/>
      <c r="AQ159" s="321"/>
      <c r="AR159" s="260"/>
      <c r="AS159" s="260"/>
      <c r="AT159" s="260"/>
      <c r="AU159" s="258"/>
    </row>
    <row r="160" spans="1:49" s="121" customFormat="1" hidden="1">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N160" s="222"/>
      <c r="AO160" s="502"/>
      <c r="AP160" s="285"/>
      <c r="AQ160" s="321"/>
      <c r="AR160" s="260"/>
      <c r="AS160" s="260"/>
      <c r="AT160" s="260"/>
      <c r="AU160" s="258"/>
    </row>
    <row r="161" spans="1:50" s="121" customFormat="1">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N161" s="436" t="s">
        <v>857</v>
      </c>
      <c r="AO161" s="235" t="s">
        <v>395</v>
      </c>
      <c r="AP161" s="565">
        <f>SUMIF(AQ$14:AU$14,AP$14,AQ161:AU161)</f>
        <v>1.4517</v>
      </c>
      <c r="AQ161" s="321"/>
      <c r="AR161" s="260"/>
      <c r="AS161" s="260"/>
      <c r="AT161" s="629">
        <f>SUMIF(БПр!$BF$129:$BF$158,AT$9&amp;"-I",БПр!$J$129:$J$158)/1000</f>
        <v>1.4517</v>
      </c>
      <c r="AU161" s="258"/>
    </row>
    <row r="162" spans="1:50" s="121" customFormat="1">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N162" s="436" t="s">
        <v>860</v>
      </c>
      <c r="AO162" s="571" t="str">
        <f>IF(TEMPLATE_CLAIM="U","Полезный отпуск продукции 01.07 - 31.08 всего (тыс. куб.м)","Полезный отпуск продукции 01.07 - 31.12 всего (тыс. куб.м)")</f>
        <v>Полезный отпуск продукции 01.07 - 31.08 всего (тыс. куб.м)</v>
      </c>
      <c r="AP162" s="565">
        <f>SUMIF(AQ$14:AU$14,AP$14,AQ162:AU162)</f>
        <v>0.46250000000000002</v>
      </c>
      <c r="AQ162" s="321"/>
      <c r="AR162" s="260"/>
      <c r="AS162" s="260"/>
      <c r="AT162" s="629">
        <f>SUMIF(БПр!$BF$129:$BF$158,AT$9&amp;"-II",БПр!$J$129:$J$158)/1000</f>
        <v>0.46250000000000002</v>
      </c>
      <c r="AU162" s="258"/>
    </row>
    <row r="163" spans="1:50" s="121" customFormat="1">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N163" s="496" t="str">
        <f>IF(TEMPLATE_CLAIM="U","15.3","")</f>
        <v>15.3</v>
      </c>
      <c r="AO163" s="571" t="str">
        <f>IF(TEMPLATE_CLAIM="U","Полезный отпуск продукции 01.09 - 31.12 всего (тыс. куб.м)","")</f>
        <v>Полезный отпуск продукции 01.09 - 31.12 всего (тыс. куб.м)</v>
      </c>
      <c r="AP163" s="565">
        <f>IF(TEMPLATE_CLAIM="U",SUMIF(AQ$14:AU$14,AP$14,AQ163:AU163),"")</f>
        <v>1.0415999999999999</v>
      </c>
      <c r="AQ163" s="321"/>
      <c r="AR163" s="260"/>
      <c r="AS163" s="260"/>
      <c r="AT163" s="629">
        <f>IF(TEMPLATE_CLAIM="U",SUMIF(БПр!$BF$129:$BF$158,AT$9&amp;"-III",БПр!$J$129:$J$158)/1000,"")</f>
        <v>1.0415999999999999</v>
      </c>
      <c r="AU163" s="258"/>
    </row>
    <row r="164" spans="1:50" ht="0.75" customHeight="1">
      <c r="A164" s="121"/>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223"/>
      <c r="AO164" s="216"/>
      <c r="AP164" s="543"/>
      <c r="AQ164" s="523"/>
      <c r="AR164" s="547"/>
      <c r="AS164" s="547"/>
      <c r="AT164" s="547"/>
      <c r="AU164" s="265"/>
      <c r="AV164" s="121"/>
      <c r="AW164" s="121"/>
    </row>
    <row r="165" spans="1:50" s="54" customFormat="1">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M165" s="55"/>
      <c r="AN165" s="56"/>
      <c r="AQ165" s="121"/>
      <c r="AR165" s="121"/>
      <c r="AS165" s="121"/>
      <c r="AT165" s="121"/>
      <c r="AU165" s="48"/>
      <c r="AV165" s="121"/>
      <c r="AW165" s="121"/>
    </row>
    <row r="166" spans="1:50">
      <c r="AV166" s="121"/>
      <c r="AW166" s="121"/>
      <c r="AX166" s="54"/>
    </row>
  </sheetData>
  <sheetProtection password="FA9C" sheet="1" objects="1" scenarios="1" formatColumns="0" formatRows="0"/>
  <mergeCells count="8">
    <mergeCell ref="AR13:AT13"/>
    <mergeCell ref="AN9:AP9"/>
    <mergeCell ref="AN11:AN12"/>
    <mergeCell ref="AO11:AO12"/>
    <mergeCell ref="AP11:AP12"/>
    <mergeCell ref="AR10:AT10"/>
    <mergeCell ref="AR11:AT11"/>
    <mergeCell ref="AR12:AT12"/>
  </mergeCells>
  <phoneticPr fontId="8"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sheetPr codeName="VOTV_ConR_PERIOD1">
    <tabColor rgb="FF7030A0"/>
    <outlinePr summaryBelow="0"/>
  </sheetPr>
  <dimension ref="A1:AW167"/>
  <sheetViews>
    <sheetView showGridLines="0" topLeftCell="AL8" workbookViewId="0">
      <selection activeCell="AT132" sqref="AT132"/>
    </sheetView>
  </sheetViews>
  <sheetFormatPr defaultColWidth="8.7109375" defaultRowHeight="11.25"/>
  <cols>
    <col min="1" max="37" width="2.7109375" style="121"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3" width="0.140625" style="47" customWidth="1"/>
    <col min="44" max="45" width="0.140625" style="47" hidden="1" customWidth="1"/>
    <col min="46" max="46" width="17.7109375" style="47" customWidth="1"/>
    <col min="47" max="47" width="0.140625" style="47" customWidth="1"/>
    <col min="48" max="49" width="2.7109375" style="47" customWidth="1"/>
    <col min="50" max="16384" width="8.7109375" style="47"/>
  </cols>
  <sheetData>
    <row r="1" spans="1:49" ht="12" hidden="1" customHeight="1">
      <c r="A1" s="47"/>
      <c r="B1" s="47"/>
      <c r="C1" s="47"/>
      <c r="D1" s="47"/>
      <c r="E1" s="47"/>
      <c r="F1" s="47"/>
      <c r="G1" s="47"/>
      <c r="H1" s="47"/>
      <c r="I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row>
    <row r="2" spans="1:49" ht="12" hidden="1" customHeight="1">
      <c r="A2" s="47"/>
      <c r="B2" s="47"/>
      <c r="C2" s="47"/>
      <c r="D2" s="47"/>
      <c r="E2" s="47"/>
      <c r="F2" s="47"/>
      <c r="G2" s="47"/>
      <c r="H2" s="47"/>
      <c r="I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row>
    <row r="3" spans="1:49" ht="12" hidden="1" customHeight="1">
      <c r="A3" s="47"/>
      <c r="B3" s="47"/>
      <c r="C3" s="47"/>
      <c r="D3" s="47"/>
      <c r="E3" s="47"/>
      <c r="F3" s="47"/>
      <c r="G3" s="47"/>
      <c r="H3" s="47"/>
      <c r="I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row>
    <row r="4" spans="1:49" ht="12" hidden="1" customHeight="1">
      <c r="A4" s="47"/>
      <c r="B4" s="47"/>
      <c r="C4" s="47"/>
      <c r="D4" s="47"/>
      <c r="E4" s="47"/>
      <c r="F4" s="47"/>
      <c r="G4" s="47"/>
      <c r="H4" s="47"/>
      <c r="I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row>
    <row r="5" spans="1:49" ht="12" hidden="1" customHeight="1">
      <c r="A5" s="47"/>
      <c r="B5" s="47"/>
      <c r="C5" s="47"/>
      <c r="D5" s="47"/>
      <c r="E5" s="47"/>
      <c r="F5" s="47"/>
      <c r="G5" s="47"/>
      <c r="H5" s="47"/>
      <c r="I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row>
    <row r="6" spans="1:49" ht="12" hidden="1" customHeight="1">
      <c r="A6" s="47"/>
      <c r="B6" s="47"/>
      <c r="C6" s="47"/>
      <c r="D6" s="47"/>
      <c r="E6" s="47"/>
      <c r="F6" s="47"/>
      <c r="G6" s="47"/>
      <c r="H6" s="47"/>
      <c r="I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row>
    <row r="7" spans="1:49" ht="12" hidden="1" customHeight="1">
      <c r="A7" s="47"/>
      <c r="B7" s="47"/>
      <c r="C7" s="47"/>
      <c r="D7" s="47"/>
      <c r="E7" s="47"/>
      <c r="F7" s="47"/>
      <c r="G7" s="47"/>
      <c r="H7" s="47"/>
      <c r="I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row>
    <row r="8" spans="1:49" s="520" customFormat="1" ht="11.25" customHeight="1">
      <c r="J8" s="521"/>
      <c r="AM8" s="522"/>
      <c r="AN8" s="637">
        <f>IF(TARIFF_SETUP_METHOD_CODE="BY_PSEUDO_YEARS",12,6)</f>
        <v>6</v>
      </c>
      <c r="AO8" s="431" t="str">
        <f>"Необходимо указывать " &amp; IF(TARIFF_SETUP_METHOD_CODE="BY_PSEUDO_YEARS","общегодовые значения","значения по периодам")</f>
        <v>Необходимо указывать значения по периодам</v>
      </c>
      <c r="AP8" s="616" t="s">
        <v>785</v>
      </c>
      <c r="AQ8" s="522"/>
      <c r="AR8" s="624"/>
      <c r="AS8" s="624"/>
      <c r="AT8" s="624" t="s">
        <v>3269</v>
      </c>
      <c r="AU8" s="522"/>
      <c r="AV8" s="522"/>
    </row>
    <row r="9" spans="1:49"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на реализацию " &amp; RESOURCE_IDENTIFIER &amp; " конечным потребителям по муниципальному образованию - " &amp; IF(mo="","Не определено",mo)</f>
        <v>Фактические расходы организаций водоотведения на реализацию стоков конечным потребителям по муниципальному образованию - Село Булава</v>
      </c>
      <c r="AO9" s="917"/>
      <c r="AP9" s="917"/>
      <c r="AQ9" s="201"/>
      <c r="AR9" s="625" t="str">
        <f>AR11 &amp; ".1"</f>
        <v>1.1</v>
      </c>
      <c r="AS9" s="625" t="str">
        <f>AR11 &amp; ".2"</f>
        <v>1.2</v>
      </c>
      <c r="AT9" s="625" t="str">
        <f>AR11 &amp; ".0"</f>
        <v>1.0</v>
      </c>
      <c r="AU9" s="122"/>
      <c r="AV9" s="200"/>
    </row>
    <row r="10" spans="1:49" ht="12" customHeight="1">
      <c r="A10" s="47"/>
      <c r="B10" s="47"/>
      <c r="C10" s="47"/>
      <c r="D10" s="47"/>
      <c r="E10" s="47"/>
      <c r="F10" s="47"/>
      <c r="G10" s="47"/>
      <c r="H10" s="47"/>
      <c r="I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M10" s="124"/>
      <c r="AN10" s="430" t="s">
        <v>2489</v>
      </c>
      <c r="AO10" s="221"/>
      <c r="AP10" s="122" t="s">
        <v>786</v>
      </c>
      <c r="AQ10" s="201"/>
      <c r="AR10" s="814" t="s">
        <v>719</v>
      </c>
      <c r="AS10" s="814"/>
      <c r="AT10" s="814"/>
      <c r="AU10" s="168" t="s">
        <v>720</v>
      </c>
      <c r="AV10" s="53"/>
    </row>
    <row r="11" spans="1:49" ht="12" customHeight="1">
      <c r="A11" s="47"/>
      <c r="B11" s="47"/>
      <c r="C11" s="47"/>
      <c r="D11" s="47"/>
      <c r="E11" s="47"/>
      <c r="F11" s="47"/>
      <c r="G11" s="47"/>
      <c r="H11" s="47"/>
      <c r="I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50"/>
      <c r="AM11" s="125"/>
      <c r="AN11" s="802" t="s">
        <v>641</v>
      </c>
      <c r="AO11" s="804" t="s">
        <v>787</v>
      </c>
      <c r="AP11" s="806" t="s">
        <v>778</v>
      </c>
      <c r="AQ11" s="206">
        <v>0</v>
      </c>
      <c r="AR11" s="808">
        <v>1</v>
      </c>
      <c r="AS11" s="809"/>
      <c r="AT11" s="810"/>
      <c r="AU11" s="206"/>
      <c r="AV11" s="220"/>
    </row>
    <row r="12" spans="1:49" ht="48" customHeight="1">
      <c r="A12" s="47"/>
      <c r="B12" s="47"/>
      <c r="C12" s="47"/>
      <c r="D12" s="47"/>
      <c r="E12" s="47"/>
      <c r="F12" s="47"/>
      <c r="G12" s="47"/>
      <c r="H12" s="47"/>
      <c r="I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50"/>
      <c r="AM12" s="125"/>
      <c r="AN12" s="803"/>
      <c r="AO12" s="805"/>
      <c r="AP12" s="807"/>
      <c r="AQ12" s="207"/>
      <c r="AR12" s="964" t="str">
        <f>IF('Список организаций'!$I$16="","Не определено",'Список организаций'!$I$16)</f>
        <v>МУП СП "Село Булава" Булавинское ТЭП"</v>
      </c>
      <c r="AS12" s="797"/>
      <c r="AT12" s="798"/>
      <c r="AU12" s="207"/>
      <c r="AV12" s="121"/>
      <c r="AW12" s="121"/>
    </row>
    <row r="13" spans="1:49" ht="11.25" customHeight="1">
      <c r="A13" s="47"/>
      <c r="B13" s="47"/>
      <c r="C13" s="47"/>
      <c r="D13" s="47"/>
      <c r="E13" s="47"/>
      <c r="F13" s="47"/>
      <c r="G13" s="47"/>
      <c r="H13" s="47"/>
      <c r="I13" s="47"/>
      <c r="AL13" s="121"/>
      <c r="AM13" s="121"/>
      <c r="AN13" s="222"/>
      <c r="AO13" s="501" t="s">
        <v>788</v>
      </c>
      <c r="AP13" s="542"/>
      <c r="AQ13" s="330"/>
      <c r="AR13" s="963" t="str">
        <f>IF('Список организаций'!$M$16="","Не определено",'Список организаций'!$M$16)</f>
        <v>нет</v>
      </c>
      <c r="AS13" s="800"/>
      <c r="AT13" s="801"/>
      <c r="AU13" s="207"/>
      <c r="AV13" s="121"/>
      <c r="AW13" s="121"/>
    </row>
    <row r="14" spans="1:49">
      <c r="A14" s="47"/>
      <c r="B14" s="47"/>
      <c r="C14" s="47"/>
      <c r="D14" s="47"/>
      <c r="E14" s="47"/>
      <c r="F14" s="47"/>
      <c r="G14" s="47"/>
      <c r="H14" s="47"/>
      <c r="I14" s="47"/>
      <c r="AL14" s="121"/>
      <c r="AM14" s="121"/>
      <c r="AN14" s="222"/>
      <c r="AO14" s="556" t="str">
        <f>IF(CALC_IDENTIFIER="","",CALC_IDENTIFIER)</f>
        <v/>
      </c>
      <c r="AP14" s="557" t="s">
        <v>745</v>
      </c>
      <c r="AQ14" s="330"/>
      <c r="AR14" s="568"/>
      <c r="AS14" s="568"/>
      <c r="AT14" s="568" t="s">
        <v>745</v>
      </c>
      <c r="AU14" s="207"/>
      <c r="AV14" s="121"/>
      <c r="AW14" s="121"/>
    </row>
    <row r="15" spans="1:49" ht="0.75" customHeight="1">
      <c r="AL15" s="121"/>
      <c r="AM15" s="121"/>
      <c r="AN15" s="504"/>
      <c r="AO15" s="566"/>
      <c r="AP15" s="323"/>
      <c r="AQ15" s="321"/>
      <c r="AR15" s="553"/>
      <c r="AS15" s="553"/>
      <c r="AT15" s="553"/>
      <c r="AU15" s="258"/>
      <c r="AV15" s="121"/>
      <c r="AW15" s="121"/>
    </row>
    <row r="16" spans="1:49" ht="0.75" customHeight="1">
      <c r="AL16" s="121"/>
      <c r="AM16" s="121"/>
      <c r="AN16" s="504"/>
      <c r="AO16" s="527"/>
      <c r="AP16" s="260"/>
      <c r="AQ16" s="321"/>
      <c r="AR16" s="553"/>
      <c r="AS16" s="553"/>
      <c r="AT16" s="553"/>
      <c r="AU16" s="258"/>
      <c r="AV16" s="121"/>
      <c r="AW16" s="121"/>
    </row>
    <row r="17" spans="38:49">
      <c r="AL17" s="121"/>
      <c r="AM17" s="121"/>
      <c r="AN17" s="504" t="s">
        <v>751</v>
      </c>
      <c r="AO17" s="526" t="s">
        <v>2814</v>
      </c>
      <c r="AP17" s="257">
        <f>SUMIF(AQ$14:AU$14,AP$14,AQ17:AU17)</f>
        <v>68.802056972731592</v>
      </c>
      <c r="AQ17" s="321"/>
      <c r="AR17" s="260"/>
      <c r="AS17" s="260"/>
      <c r="AT17" s="257">
        <f>AT18+AT47+AT48+AT49+AT53+AT54+AT55+AT80+AT86+AT90+AT91+AT92+AT93+AT96+AT97+AT98+AT99+AT109</f>
        <v>68.802056972731592</v>
      </c>
      <c r="AU17" s="258"/>
      <c r="AV17" s="121"/>
      <c r="AW17" s="121"/>
    </row>
    <row r="18" spans="38:49">
      <c r="AL18" s="121"/>
      <c r="AM18" s="121"/>
      <c r="AN18" s="504" t="s">
        <v>66</v>
      </c>
      <c r="AO18" s="527" t="s">
        <v>2815</v>
      </c>
      <c r="AP18" s="257">
        <f>SUMIF(AQ$14:AU$14,AP$14,AQ18:AU18)</f>
        <v>0</v>
      </c>
      <c r="AQ18" s="321"/>
      <c r="AR18" s="260"/>
      <c r="AS18" s="260"/>
      <c r="AT18" s="257">
        <f>AT19+AT46</f>
        <v>0</v>
      </c>
      <c r="AU18" s="258"/>
      <c r="AV18" s="121"/>
      <c r="AW18" s="121"/>
    </row>
    <row r="19" spans="38:49">
      <c r="AL19" s="121"/>
      <c r="AM19" s="121"/>
      <c r="AN19" s="504" t="s">
        <v>632</v>
      </c>
      <c r="AO19" s="528" t="s">
        <v>2816</v>
      </c>
      <c r="AP19" s="257">
        <f>SUMIF(AQ$14:AU$14,AP$14,AQ19:AU19)</f>
        <v>0</v>
      </c>
      <c r="AQ19" s="321"/>
      <c r="AR19" s="260"/>
      <c r="AS19" s="260"/>
      <c r="AT19" s="262">
        <f>IF($AP$8="I",'РО 01.01 - 30.06'!AT19,IF($AP$8="II",'РО 01.07 - 31.08'!AT19,IF($AP$8="III",'РО 01.09 - 31.12'!AT19,0)))*AT143</f>
        <v>0</v>
      </c>
      <c r="AU19" s="258"/>
      <c r="AV19" s="121"/>
      <c r="AW19" s="121"/>
    </row>
    <row r="20" spans="38:49">
      <c r="AL20" s="121"/>
      <c r="AM20" s="121"/>
      <c r="AN20" s="223" t="s">
        <v>2817</v>
      </c>
      <c r="AO20" s="529" t="s">
        <v>2972</v>
      </c>
      <c r="AP20" s="257">
        <f>SUMIF(AQ$14:AU$14,AP$14,AQ20:AU20)</f>
        <v>0</v>
      </c>
      <c r="AQ20" s="321"/>
      <c r="AR20" s="260"/>
      <c r="AS20" s="260"/>
      <c r="AT20" s="262">
        <f>IF($AP$8="I",'РО 01.01 - 30.06'!AT20,IF($AP$8="II",'РО 01.07 - 31.08'!AT20,IF($AP$8="III",'РО 01.09 - 31.12'!AT20,0)))*AT143</f>
        <v>0</v>
      </c>
      <c r="AU20" s="258"/>
      <c r="AV20" s="121"/>
      <c r="AW20" s="121"/>
    </row>
    <row r="21" spans="38:49">
      <c r="AL21" s="121"/>
      <c r="AM21" s="121"/>
      <c r="AN21" s="223" t="s">
        <v>2818</v>
      </c>
      <c r="AO21" s="529" t="s">
        <v>2988</v>
      </c>
      <c r="AP21" s="257">
        <f>SUMIF(AQ$14:AU$14,AP$14,AQ21:AU21)</f>
        <v>0</v>
      </c>
      <c r="AQ21" s="321"/>
      <c r="AR21" s="260"/>
      <c r="AS21" s="260"/>
      <c r="AT21" s="262">
        <f>IF($AP$8="I",'РО 01.01 - 30.06'!AT21,IF($AP$8="II",'РО 01.07 - 31.08'!AT21,IF($AP$8="III",'РО 01.09 - 31.12'!AT21,0)))*AT143</f>
        <v>0</v>
      </c>
      <c r="AU21" s="258"/>
      <c r="AV21" s="121"/>
      <c r="AW21" s="121"/>
    </row>
    <row r="22" spans="38:49" hidden="1">
      <c r="AL22" s="121"/>
      <c r="AM22" s="121"/>
      <c r="AN22" s="223"/>
      <c r="AO22" s="529"/>
      <c r="AP22" s="260"/>
      <c r="AQ22" s="321"/>
      <c r="AR22" s="553"/>
      <c r="AS22" s="553"/>
      <c r="AT22" s="553"/>
      <c r="AU22" s="258"/>
      <c r="AV22" s="121"/>
      <c r="AW22" s="121"/>
    </row>
    <row r="23" spans="38:49" hidden="1">
      <c r="AL23" s="121"/>
      <c r="AM23" s="121"/>
      <c r="AN23" s="223"/>
      <c r="AO23" s="529"/>
      <c r="AP23" s="260"/>
      <c r="AQ23" s="321"/>
      <c r="AR23" s="553"/>
      <c r="AS23" s="553"/>
      <c r="AT23" s="553"/>
      <c r="AU23" s="258"/>
      <c r="AV23" s="121"/>
      <c r="AW23" s="121"/>
    </row>
    <row r="24" spans="38:49" hidden="1">
      <c r="AL24" s="121"/>
      <c r="AM24" s="121"/>
      <c r="AN24" s="223"/>
      <c r="AO24" s="529"/>
      <c r="AP24" s="260"/>
      <c r="AQ24" s="321"/>
      <c r="AR24" s="553"/>
      <c r="AS24" s="553"/>
      <c r="AT24" s="553"/>
      <c r="AU24" s="258"/>
      <c r="AV24" s="121"/>
      <c r="AW24" s="121"/>
    </row>
    <row r="25" spans="38:49" hidden="1">
      <c r="AL25" s="121"/>
      <c r="AM25" s="121"/>
      <c r="AN25" s="223"/>
      <c r="AO25" s="529"/>
      <c r="AP25" s="260"/>
      <c r="AQ25" s="321"/>
      <c r="AR25" s="553"/>
      <c r="AS25" s="553"/>
      <c r="AT25" s="553"/>
      <c r="AU25" s="258"/>
      <c r="AV25" s="121"/>
      <c r="AW25" s="121"/>
    </row>
    <row r="26" spans="38:49" hidden="1">
      <c r="AL26" s="121"/>
      <c r="AM26" s="121"/>
      <c r="AN26" s="223"/>
      <c r="AO26" s="529"/>
      <c r="AP26" s="260"/>
      <c r="AQ26" s="321"/>
      <c r="AR26" s="553"/>
      <c r="AS26" s="553"/>
      <c r="AT26" s="553"/>
      <c r="AU26" s="258"/>
      <c r="AV26" s="121"/>
      <c r="AW26" s="121"/>
    </row>
    <row r="27" spans="38:49" hidden="1">
      <c r="AL27" s="121"/>
      <c r="AM27" s="121"/>
      <c r="AN27" s="223"/>
      <c r="AO27" s="529"/>
      <c r="AP27" s="260"/>
      <c r="AQ27" s="321"/>
      <c r="AR27" s="553"/>
      <c r="AS27" s="553"/>
      <c r="AT27" s="553"/>
      <c r="AU27" s="258"/>
      <c r="AV27" s="121"/>
      <c r="AW27" s="121"/>
    </row>
    <row r="28" spans="38:49" hidden="1">
      <c r="AL28" s="121"/>
      <c r="AM28" s="121"/>
      <c r="AN28" s="223"/>
      <c r="AO28" s="529"/>
      <c r="AP28" s="260"/>
      <c r="AQ28" s="321"/>
      <c r="AR28" s="553"/>
      <c r="AS28" s="553"/>
      <c r="AT28" s="553"/>
      <c r="AU28" s="258"/>
      <c r="AV28" s="121"/>
      <c r="AW28" s="121"/>
    </row>
    <row r="29" spans="38:49" hidden="1">
      <c r="AL29" s="121"/>
      <c r="AM29" s="121"/>
      <c r="AN29" s="223"/>
      <c r="AO29" s="529"/>
      <c r="AP29" s="260"/>
      <c r="AQ29" s="321"/>
      <c r="AR29" s="553"/>
      <c r="AS29" s="553"/>
      <c r="AT29" s="553"/>
      <c r="AU29" s="258"/>
      <c r="AV29" s="121"/>
      <c r="AW29" s="121"/>
    </row>
    <row r="30" spans="38:49" hidden="1">
      <c r="AL30" s="121"/>
      <c r="AM30" s="121"/>
      <c r="AN30" s="223"/>
      <c r="AO30" s="529"/>
      <c r="AP30" s="260"/>
      <c r="AQ30" s="321"/>
      <c r="AR30" s="553"/>
      <c r="AS30" s="553"/>
      <c r="AT30" s="553"/>
      <c r="AU30" s="258"/>
      <c r="AV30" s="121"/>
      <c r="AW30" s="121"/>
    </row>
    <row r="31" spans="38:49" hidden="1">
      <c r="AL31" s="121"/>
      <c r="AM31" s="121"/>
      <c r="AN31" s="223"/>
      <c r="AO31" s="529"/>
      <c r="AP31" s="260"/>
      <c r="AQ31" s="321"/>
      <c r="AR31" s="553"/>
      <c r="AS31" s="553"/>
      <c r="AT31" s="553"/>
      <c r="AU31" s="258"/>
      <c r="AV31" s="121"/>
      <c r="AW31" s="121"/>
    </row>
    <row r="32" spans="38:49" hidden="1">
      <c r="AL32" s="121"/>
      <c r="AM32" s="121"/>
      <c r="AN32" s="223"/>
      <c r="AO32" s="529"/>
      <c r="AP32" s="260"/>
      <c r="AQ32" s="321"/>
      <c r="AR32" s="553"/>
      <c r="AS32" s="553"/>
      <c r="AT32" s="553"/>
      <c r="AU32" s="258"/>
      <c r="AV32" s="121"/>
      <c r="AW32" s="121"/>
    </row>
    <row r="33" spans="38:49" hidden="1">
      <c r="AL33" s="121"/>
      <c r="AM33" s="121"/>
      <c r="AN33" s="223"/>
      <c r="AO33" s="529"/>
      <c r="AP33" s="260"/>
      <c r="AQ33" s="321"/>
      <c r="AR33" s="553"/>
      <c r="AS33" s="553"/>
      <c r="AT33" s="553"/>
      <c r="AU33" s="258"/>
      <c r="AV33" s="121"/>
      <c r="AW33" s="121"/>
    </row>
    <row r="34" spans="38:49" hidden="1">
      <c r="AL34" s="121"/>
      <c r="AM34" s="121"/>
      <c r="AN34" s="223"/>
      <c r="AO34" s="529"/>
      <c r="AP34" s="260"/>
      <c r="AQ34" s="321"/>
      <c r="AR34" s="553"/>
      <c r="AS34" s="553"/>
      <c r="AT34" s="553"/>
      <c r="AU34" s="258"/>
      <c r="AV34" s="121"/>
      <c r="AW34" s="121"/>
    </row>
    <row r="35" spans="38:49" hidden="1">
      <c r="AL35" s="121"/>
      <c r="AM35" s="121"/>
      <c r="AN35" s="223"/>
      <c r="AO35" s="529"/>
      <c r="AP35" s="260"/>
      <c r="AQ35" s="321"/>
      <c r="AR35" s="553"/>
      <c r="AS35" s="553"/>
      <c r="AT35" s="553"/>
      <c r="AU35" s="258"/>
      <c r="AV35" s="121"/>
      <c r="AW35" s="121"/>
    </row>
    <row r="36" spans="38:49" hidden="1">
      <c r="AL36" s="121"/>
      <c r="AM36" s="121"/>
      <c r="AN36" s="223"/>
      <c r="AO36" s="529"/>
      <c r="AP36" s="260"/>
      <c r="AQ36" s="321"/>
      <c r="AR36" s="553"/>
      <c r="AS36" s="553"/>
      <c r="AT36" s="553"/>
      <c r="AU36" s="258"/>
      <c r="AV36" s="121"/>
      <c r="AW36" s="121"/>
    </row>
    <row r="37" spans="38:49" hidden="1">
      <c r="AL37" s="121"/>
      <c r="AM37" s="121"/>
      <c r="AN37" s="223"/>
      <c r="AO37" s="529"/>
      <c r="AP37" s="260"/>
      <c r="AQ37" s="321"/>
      <c r="AR37" s="553"/>
      <c r="AS37" s="553"/>
      <c r="AT37" s="553"/>
      <c r="AU37" s="258"/>
      <c r="AV37" s="121"/>
      <c r="AW37" s="121"/>
    </row>
    <row r="38" spans="38:49" hidden="1">
      <c r="AL38" s="121"/>
      <c r="AM38" s="121"/>
      <c r="AN38" s="223"/>
      <c r="AO38" s="529"/>
      <c r="AP38" s="260"/>
      <c r="AQ38" s="321"/>
      <c r="AR38" s="553"/>
      <c r="AS38" s="553"/>
      <c r="AT38" s="553"/>
      <c r="AU38" s="258"/>
      <c r="AV38" s="121"/>
      <c r="AW38" s="121"/>
    </row>
    <row r="39" spans="38:49" hidden="1">
      <c r="AL39" s="121"/>
      <c r="AM39" s="121"/>
      <c r="AN39" s="223"/>
      <c r="AO39" s="529"/>
      <c r="AP39" s="260"/>
      <c r="AQ39" s="321"/>
      <c r="AR39" s="553"/>
      <c r="AS39" s="553"/>
      <c r="AT39" s="553"/>
      <c r="AU39" s="258"/>
      <c r="AV39" s="121"/>
      <c r="AW39" s="121"/>
    </row>
    <row r="40" spans="38:49" hidden="1">
      <c r="AL40" s="121"/>
      <c r="AM40" s="121"/>
      <c r="AN40" s="223"/>
      <c r="AO40" s="529"/>
      <c r="AP40" s="260"/>
      <c r="AQ40" s="321"/>
      <c r="AR40" s="553"/>
      <c r="AS40" s="553"/>
      <c r="AT40" s="553"/>
      <c r="AU40" s="258"/>
      <c r="AV40" s="121"/>
      <c r="AW40" s="121"/>
    </row>
    <row r="41" spans="38:49" hidden="1">
      <c r="AL41" s="121"/>
      <c r="AM41" s="121"/>
      <c r="AN41" s="223"/>
      <c r="AO41" s="529"/>
      <c r="AP41" s="260"/>
      <c r="AQ41" s="321"/>
      <c r="AR41" s="553"/>
      <c r="AS41" s="553"/>
      <c r="AT41" s="553"/>
      <c r="AU41" s="258"/>
      <c r="AV41" s="121"/>
      <c r="AW41" s="121"/>
    </row>
    <row r="42" spans="38:49" hidden="1">
      <c r="AL42" s="121"/>
      <c r="AM42" s="121"/>
      <c r="AN42" s="223"/>
      <c r="AO42" s="529"/>
      <c r="AP42" s="260"/>
      <c r="AQ42" s="321"/>
      <c r="AR42" s="553"/>
      <c r="AS42" s="553"/>
      <c r="AT42" s="553"/>
      <c r="AU42" s="258"/>
      <c r="AV42" s="121"/>
      <c r="AW42" s="121"/>
    </row>
    <row r="43" spans="38:49" hidden="1">
      <c r="AL43" s="121"/>
      <c r="AM43" s="121"/>
      <c r="AN43" s="223"/>
      <c r="AO43" s="529"/>
      <c r="AP43" s="260"/>
      <c r="AQ43" s="321"/>
      <c r="AR43" s="553"/>
      <c r="AS43" s="553"/>
      <c r="AT43" s="553"/>
      <c r="AU43" s="258"/>
      <c r="AV43" s="121"/>
      <c r="AW43" s="121"/>
    </row>
    <row r="44" spans="38:49" hidden="1">
      <c r="AL44" s="121"/>
      <c r="AM44" s="121"/>
      <c r="AN44" s="223"/>
      <c r="AO44" s="529"/>
      <c r="AP44" s="260"/>
      <c r="AQ44" s="321"/>
      <c r="AR44" s="553"/>
      <c r="AS44" s="553"/>
      <c r="AT44" s="553"/>
      <c r="AU44" s="258"/>
      <c r="AV44" s="121"/>
      <c r="AW44" s="121"/>
    </row>
    <row r="45" spans="38:49" hidden="1">
      <c r="AL45" s="121"/>
      <c r="AM45" s="121"/>
      <c r="AN45" s="223"/>
      <c r="AO45" s="529"/>
      <c r="AP45" s="260"/>
      <c r="AQ45" s="321"/>
      <c r="AR45" s="553"/>
      <c r="AS45" s="553"/>
      <c r="AT45" s="553"/>
      <c r="AU45" s="258"/>
      <c r="AV45" s="121"/>
      <c r="AW45" s="121"/>
    </row>
    <row r="46" spans="38:49">
      <c r="AL46" s="121"/>
      <c r="AM46" s="121"/>
      <c r="AN46" s="504" t="s">
        <v>633</v>
      </c>
      <c r="AO46" s="532" t="s">
        <v>2819</v>
      </c>
      <c r="AP46" s="257">
        <f t="shared" ref="AP46:AP55" si="0">SUMIF(AQ$14:AU$14,AP$14,AQ46:AU46)</f>
        <v>0</v>
      </c>
      <c r="AQ46" s="321"/>
      <c r="AR46" s="260"/>
      <c r="AS46" s="260"/>
      <c r="AT46" s="262">
        <f>IF($AP$8="I",'РО 01.01 - 30.06'!AT46,IF($AP$8="II",'РО 01.07 - 31.08'!AT46,IF($AP$8="III",'РО 01.09 - 31.12'!AT46,0)))*AT143</f>
        <v>0</v>
      </c>
      <c r="AU46" s="258"/>
      <c r="AV46" s="121"/>
      <c r="AW46" s="121"/>
    </row>
    <row r="47" spans="38:49">
      <c r="AL47" s="121"/>
      <c r="AM47" s="121"/>
      <c r="AN47" s="504" t="s">
        <v>69</v>
      </c>
      <c r="AO47" s="527" t="s">
        <v>2820</v>
      </c>
      <c r="AP47" s="257">
        <f t="shared" si="0"/>
        <v>0</v>
      </c>
      <c r="AQ47" s="321"/>
      <c r="AR47" s="260"/>
      <c r="AS47" s="260"/>
      <c r="AT47" s="262">
        <f>IF($AP$8="I",'РО 01.01 - 30.06'!AT47,IF($AP$8="II",'РО 01.07 - 31.08'!AT47,IF($AP$8="III",'РО 01.09 - 31.12'!AT47,0)))*AT143</f>
        <v>0</v>
      </c>
      <c r="AU47" s="258"/>
      <c r="AV47" s="121"/>
      <c r="AW47" s="121"/>
    </row>
    <row r="48" spans="38:49">
      <c r="AL48" s="121"/>
      <c r="AM48" s="121"/>
      <c r="AN48" s="504" t="s">
        <v>72</v>
      </c>
      <c r="AO48" s="527" t="s">
        <v>2471</v>
      </c>
      <c r="AP48" s="257">
        <f t="shared" si="0"/>
        <v>0</v>
      </c>
      <c r="AQ48" s="321"/>
      <c r="AR48" s="260"/>
      <c r="AS48" s="260"/>
      <c r="AT48" s="262">
        <f>IF($AP$8="I",'РО 01.01 - 30.06'!AT48,IF($AP$8="II",'РО 01.07 - 31.08'!AT48,IF($AP$8="III",'РО 01.09 - 31.12'!AT48,0)))*AT143</f>
        <v>0</v>
      </c>
      <c r="AU48" s="258"/>
      <c r="AV48" s="121"/>
      <c r="AW48" s="121"/>
    </row>
    <row r="49" spans="38:49">
      <c r="AL49" s="121"/>
      <c r="AM49" s="121"/>
      <c r="AN49" s="504" t="s">
        <v>2821</v>
      </c>
      <c r="AO49" s="527" t="s">
        <v>2822</v>
      </c>
      <c r="AP49" s="257">
        <f t="shared" si="0"/>
        <v>0</v>
      </c>
      <c r="AQ49" s="321"/>
      <c r="AR49" s="260"/>
      <c r="AS49" s="260"/>
      <c r="AT49" s="257">
        <f>SUM(AT50:AT52)</f>
        <v>0</v>
      </c>
      <c r="AU49" s="258"/>
      <c r="AV49" s="121"/>
      <c r="AW49" s="121"/>
    </row>
    <row r="50" spans="38:49">
      <c r="AL50" s="121"/>
      <c r="AM50" s="121"/>
      <c r="AN50" s="504" t="s">
        <v>888</v>
      </c>
      <c r="AO50" s="528" t="s">
        <v>2823</v>
      </c>
      <c r="AP50" s="257">
        <f t="shared" si="0"/>
        <v>0</v>
      </c>
      <c r="AQ50" s="321"/>
      <c r="AR50" s="260"/>
      <c r="AS50" s="260"/>
      <c r="AT50" s="262">
        <f>IF($AP$8="I",'РО 01.01 - 30.06'!AT50,IF($AP$8="II",'РО 01.07 - 31.08'!AT50,IF($AP$8="III",'РО 01.09 - 31.12'!AT50,0)))*AT143</f>
        <v>0</v>
      </c>
      <c r="AU50" s="258"/>
      <c r="AV50" s="121"/>
      <c r="AW50" s="121"/>
    </row>
    <row r="51" spans="38:49">
      <c r="AL51" s="121"/>
      <c r="AM51" s="121"/>
      <c r="AN51" s="504" t="s">
        <v>889</v>
      </c>
      <c r="AO51" s="528" t="s">
        <v>2824</v>
      </c>
      <c r="AP51" s="257">
        <f t="shared" si="0"/>
        <v>0</v>
      </c>
      <c r="AQ51" s="321"/>
      <c r="AR51" s="260"/>
      <c r="AS51" s="260"/>
      <c r="AT51" s="262">
        <f>IF($AP$8="I",'РО 01.01 - 30.06'!AT51,IF($AP$8="II",'РО 01.07 - 31.08'!AT51,IF($AP$8="III",'РО 01.09 - 31.12'!AT51,0)))*AT143</f>
        <v>0</v>
      </c>
      <c r="AU51" s="258"/>
      <c r="AV51" s="121"/>
      <c r="AW51" s="121"/>
    </row>
    <row r="52" spans="38:49">
      <c r="AL52" s="121"/>
      <c r="AM52" s="121"/>
      <c r="AN52" s="504" t="s">
        <v>890</v>
      </c>
      <c r="AO52" s="528" t="s">
        <v>2825</v>
      </c>
      <c r="AP52" s="257">
        <f t="shared" si="0"/>
        <v>0</v>
      </c>
      <c r="AQ52" s="321"/>
      <c r="AR52" s="260"/>
      <c r="AS52" s="260"/>
      <c r="AT52" s="262">
        <f>IF($AP$8="I",'РО 01.01 - 30.06'!AT52,IF($AP$8="II",'РО 01.07 - 31.08'!AT52,IF($AP$8="III",'РО 01.09 - 31.12'!AT52,0)))*AT143</f>
        <v>0</v>
      </c>
      <c r="AU52" s="258"/>
      <c r="AV52" s="121"/>
      <c r="AW52" s="121"/>
    </row>
    <row r="53" spans="38:49">
      <c r="AL53" s="121"/>
      <c r="AM53" s="121"/>
      <c r="AN53" s="504" t="s">
        <v>2826</v>
      </c>
      <c r="AO53" s="527" t="s">
        <v>2827</v>
      </c>
      <c r="AP53" s="257">
        <f t="shared" si="0"/>
        <v>0</v>
      </c>
      <c r="AQ53" s="321"/>
      <c r="AR53" s="260"/>
      <c r="AS53" s="260"/>
      <c r="AT53" s="262">
        <f>IF($AP$8="I",'РО 01.01 - 30.06'!AT53,IF($AP$8="II",'РО 01.07 - 31.08'!AT53,IF($AP$8="III",'РО 01.09 - 31.12'!AT53,0)))*AT143</f>
        <v>0</v>
      </c>
      <c r="AU53" s="258"/>
      <c r="AV53" s="121"/>
      <c r="AW53" s="121"/>
    </row>
    <row r="54" spans="38:49">
      <c r="AL54" s="121"/>
      <c r="AM54" s="121"/>
      <c r="AN54" s="504" t="s">
        <v>2828</v>
      </c>
      <c r="AO54" s="527" t="s">
        <v>2829</v>
      </c>
      <c r="AP54" s="257">
        <f t="shared" si="0"/>
        <v>0</v>
      </c>
      <c r="AQ54" s="321"/>
      <c r="AR54" s="260"/>
      <c r="AS54" s="260"/>
      <c r="AT54" s="262">
        <f>IF($AP$8="I",'РО 01.01 - 30.06'!AT54,IF($AP$8="II",'РО 01.07 - 31.08'!AT54,IF($AP$8="III",'РО 01.09 - 31.12'!AT54,0)))*AT143</f>
        <v>0</v>
      </c>
      <c r="AU54" s="258"/>
      <c r="AV54" s="121"/>
      <c r="AW54" s="121"/>
    </row>
    <row r="55" spans="38:49">
      <c r="AL55" s="121"/>
      <c r="AM55" s="121"/>
      <c r="AN55" s="504" t="s">
        <v>2830</v>
      </c>
      <c r="AO55" s="527" t="s">
        <v>2831</v>
      </c>
      <c r="AP55" s="257">
        <f t="shared" si="0"/>
        <v>49.528266459165039</v>
      </c>
      <c r="AQ55" s="321"/>
      <c r="AR55" s="260"/>
      <c r="AS55" s="260"/>
      <c r="AT55" s="257">
        <f>SUM(AT59,AT65,AT71,AT74,AT77)</f>
        <v>49.528266459165039</v>
      </c>
      <c r="AU55" s="258"/>
      <c r="AV55" s="121"/>
      <c r="AW55" s="121"/>
    </row>
    <row r="56" spans="38:49" hidden="1">
      <c r="AL56" s="121"/>
      <c r="AM56" s="121"/>
      <c r="AN56" s="279"/>
      <c r="AO56" s="558"/>
      <c r="AP56" s="222"/>
      <c r="AQ56" s="321"/>
      <c r="AR56" s="553"/>
      <c r="AS56" s="553"/>
      <c r="AT56" s="553"/>
      <c r="AU56" s="258"/>
      <c r="AV56" s="121"/>
      <c r="AW56" s="121"/>
    </row>
    <row r="57" spans="38:49" hidden="1">
      <c r="AL57" s="121"/>
      <c r="AM57" s="121"/>
      <c r="AN57" s="279"/>
      <c r="AO57" s="558"/>
      <c r="AP57" s="222"/>
      <c r="AQ57" s="321"/>
      <c r="AR57" s="553"/>
      <c r="AS57" s="553"/>
      <c r="AT57" s="553"/>
      <c r="AU57" s="258"/>
      <c r="AV57" s="121"/>
      <c r="AW57" s="121"/>
    </row>
    <row r="58" spans="38:49" hidden="1">
      <c r="AL58" s="121"/>
      <c r="AM58" s="121"/>
      <c r="AN58" s="279"/>
      <c r="AO58" s="558"/>
      <c r="AP58" s="222"/>
      <c r="AQ58" s="321"/>
      <c r="AR58" s="553"/>
      <c r="AS58" s="553"/>
      <c r="AT58" s="553"/>
      <c r="AU58" s="258"/>
      <c r="AV58" s="121"/>
      <c r="AW58" s="121"/>
    </row>
    <row r="59" spans="38:49">
      <c r="AL59" s="121"/>
      <c r="AM59" s="121"/>
      <c r="AN59" s="222" t="s">
        <v>2832</v>
      </c>
      <c r="AO59" s="533" t="s">
        <v>1832</v>
      </c>
      <c r="AP59" s="257">
        <f>SUMIF(AQ$14:AU$14,AP$14,AQ59:AU59)</f>
        <v>0</v>
      </c>
      <c r="AQ59" s="321"/>
      <c r="AR59" s="260"/>
      <c r="AS59" s="260"/>
      <c r="AT59" s="262">
        <f>IF($AP$8="I",'РО 01.01 - 30.06'!AT59,IF($AP$8="II",'РО 01.07 - 31.08'!AT59,IF($AP$8="III",'РО 01.09 - 31.12'!AT59,0)))*AT143</f>
        <v>0</v>
      </c>
      <c r="AU59" s="258"/>
      <c r="AV59" s="121"/>
      <c r="AW59" s="121"/>
    </row>
    <row r="60" spans="38:49" hidden="1">
      <c r="AL60" s="121"/>
      <c r="AM60" s="121"/>
      <c r="AN60" s="222"/>
      <c r="AO60" s="529"/>
      <c r="AP60" s="222"/>
      <c r="AQ60" s="321"/>
      <c r="AR60" s="553"/>
      <c r="AS60" s="553"/>
      <c r="AT60" s="553"/>
      <c r="AU60" s="258"/>
      <c r="AV60" s="121"/>
      <c r="AW60" s="121"/>
    </row>
    <row r="61" spans="38:49" hidden="1">
      <c r="AL61" s="121"/>
      <c r="AM61" s="121"/>
      <c r="AN61" s="222"/>
      <c r="AO61" s="529"/>
      <c r="AP61" s="222"/>
      <c r="AQ61" s="321"/>
      <c r="AR61" s="553"/>
      <c r="AS61" s="553"/>
      <c r="AT61" s="553"/>
      <c r="AU61" s="258"/>
      <c r="AV61" s="121"/>
      <c r="AW61" s="121"/>
    </row>
    <row r="62" spans="38:49" hidden="1">
      <c r="AL62" s="121"/>
      <c r="AM62" s="121"/>
      <c r="AN62" s="222"/>
      <c r="AO62" s="558"/>
      <c r="AP62" s="222"/>
      <c r="AQ62" s="321"/>
      <c r="AR62" s="553"/>
      <c r="AS62" s="553"/>
      <c r="AT62" s="553"/>
      <c r="AU62" s="258"/>
      <c r="AV62" s="121"/>
      <c r="AW62" s="121"/>
    </row>
    <row r="63" spans="38:49" hidden="1">
      <c r="AL63" s="121"/>
      <c r="AM63" s="121"/>
      <c r="AN63" s="222"/>
      <c r="AO63" s="558"/>
      <c r="AP63" s="222"/>
      <c r="AQ63" s="321"/>
      <c r="AR63" s="553"/>
      <c r="AS63" s="553"/>
      <c r="AT63" s="553"/>
      <c r="AU63" s="258"/>
      <c r="AV63" s="121"/>
      <c r="AW63" s="121"/>
    </row>
    <row r="64" spans="38:49" hidden="1">
      <c r="AL64" s="121"/>
      <c r="AM64" s="121"/>
      <c r="AN64" s="222"/>
      <c r="AO64" s="558"/>
      <c r="AP64" s="222"/>
      <c r="AQ64" s="321"/>
      <c r="AR64" s="553"/>
      <c r="AS64" s="553"/>
      <c r="AT64" s="553"/>
      <c r="AU64" s="258"/>
      <c r="AV64" s="121"/>
      <c r="AW64" s="121"/>
    </row>
    <row r="65" spans="38:49">
      <c r="AL65" s="121"/>
      <c r="AM65" s="121"/>
      <c r="AN65" s="222" t="s">
        <v>2835</v>
      </c>
      <c r="AO65" s="533" t="s">
        <v>1838</v>
      </c>
      <c r="AP65" s="257">
        <f>SUMIF(AQ$14:AU$14,AP$14,AQ65:AU65)</f>
        <v>44.53704580824143</v>
      </c>
      <c r="AQ65" s="321"/>
      <c r="AR65" s="260"/>
      <c r="AS65" s="260"/>
      <c r="AT65" s="262">
        <f>IF($AP$8="I",'РО 01.01 - 30.06'!AT65,IF($AP$8="II",'РО 01.07 - 31.08'!AT65,IF($AP$8="III",'РО 01.09 - 31.12'!AT65,0)))*AT143</f>
        <v>44.53704580824143</v>
      </c>
      <c r="AU65" s="258"/>
      <c r="AV65" s="121"/>
      <c r="AW65" s="121"/>
    </row>
    <row r="66" spans="38:49" hidden="1">
      <c r="AL66" s="121"/>
      <c r="AM66" s="121"/>
      <c r="AN66" s="222"/>
      <c r="AO66" s="534"/>
      <c r="AP66" s="222"/>
      <c r="AQ66" s="321"/>
      <c r="AR66" s="553"/>
      <c r="AS66" s="553"/>
      <c r="AT66" s="553"/>
      <c r="AU66" s="258"/>
      <c r="AV66" s="121"/>
      <c r="AW66" s="121"/>
    </row>
    <row r="67" spans="38:49" hidden="1">
      <c r="AL67" s="121"/>
      <c r="AM67" s="121"/>
      <c r="AN67" s="222"/>
      <c r="AO67" s="534"/>
      <c r="AP67" s="222"/>
      <c r="AQ67" s="321"/>
      <c r="AR67" s="553"/>
      <c r="AS67" s="553"/>
      <c r="AT67" s="553"/>
      <c r="AU67" s="258"/>
      <c r="AV67" s="121"/>
      <c r="AW67" s="121"/>
    </row>
    <row r="68" spans="38:49" hidden="1">
      <c r="AL68" s="121"/>
      <c r="AM68" s="121"/>
      <c r="AN68" s="222"/>
      <c r="AO68" s="558"/>
      <c r="AP68" s="222"/>
      <c r="AQ68" s="321"/>
      <c r="AR68" s="553"/>
      <c r="AS68" s="553"/>
      <c r="AT68" s="553"/>
      <c r="AU68" s="258"/>
      <c r="AV68" s="121"/>
      <c r="AW68" s="121"/>
    </row>
    <row r="69" spans="38:49" hidden="1">
      <c r="AL69" s="121"/>
      <c r="AM69" s="121"/>
      <c r="AN69" s="222"/>
      <c r="AO69" s="558"/>
      <c r="AP69" s="222"/>
      <c r="AQ69" s="321"/>
      <c r="AR69" s="553"/>
      <c r="AS69" s="553"/>
      <c r="AT69" s="553"/>
      <c r="AU69" s="258"/>
      <c r="AV69" s="121"/>
      <c r="AW69" s="121"/>
    </row>
    <row r="70" spans="38:49" hidden="1">
      <c r="AL70" s="121"/>
      <c r="AM70" s="121"/>
      <c r="AN70" s="222"/>
      <c r="AO70" s="558"/>
      <c r="AP70" s="222"/>
      <c r="AQ70" s="321"/>
      <c r="AR70" s="553"/>
      <c r="AS70" s="553"/>
      <c r="AT70" s="553"/>
      <c r="AU70" s="258"/>
      <c r="AV70" s="121"/>
      <c r="AW70" s="121"/>
    </row>
    <row r="71" spans="38:49">
      <c r="AL71" s="121"/>
      <c r="AM71" s="121"/>
      <c r="AN71" s="222" t="s">
        <v>2838</v>
      </c>
      <c r="AO71" s="533" t="s">
        <v>1843</v>
      </c>
      <c r="AP71" s="257">
        <f>SUMIF(AQ$14:AU$14,AP$14,AQ71:AU71)</f>
        <v>0</v>
      </c>
      <c r="AQ71" s="321"/>
      <c r="AR71" s="260"/>
      <c r="AS71" s="260"/>
      <c r="AT71" s="262">
        <f>IF($AP$8="I",'РО 01.01 - 30.06'!AT71,IF($AP$8="II",'РО 01.07 - 31.08'!AT71,IF($AP$8="III",'РО 01.09 - 31.12'!AT71,0)))*AT143</f>
        <v>0</v>
      </c>
      <c r="AU71" s="258"/>
      <c r="AV71" s="121"/>
      <c r="AW71" s="121"/>
    </row>
    <row r="72" spans="38:49" hidden="1">
      <c r="AL72" s="121"/>
      <c r="AM72" s="121"/>
      <c r="AN72" s="222"/>
      <c r="AO72" s="534"/>
      <c r="AP72" s="222"/>
      <c r="AQ72" s="321"/>
      <c r="AR72" s="553"/>
      <c r="AS72" s="553"/>
      <c r="AT72" s="553"/>
      <c r="AU72" s="258"/>
      <c r="AV72" s="121"/>
      <c r="AW72" s="121"/>
    </row>
    <row r="73" spans="38:49" hidden="1">
      <c r="AL73" s="121"/>
      <c r="AM73" s="121"/>
      <c r="AN73" s="222"/>
      <c r="AO73" s="534"/>
      <c r="AP73" s="222"/>
      <c r="AQ73" s="321"/>
      <c r="AR73" s="553"/>
      <c r="AS73" s="553"/>
      <c r="AT73" s="553"/>
      <c r="AU73" s="258"/>
      <c r="AV73" s="121"/>
      <c r="AW73" s="121"/>
    </row>
    <row r="74" spans="38:49">
      <c r="AL74" s="121"/>
      <c r="AM74" s="121"/>
      <c r="AN74" s="222" t="s">
        <v>2841</v>
      </c>
      <c r="AO74" s="533" t="s">
        <v>1849</v>
      </c>
      <c r="AP74" s="257">
        <f>SUMIF(AQ$14:AU$14,AP$14,AQ74:AU74)</f>
        <v>4.9912206509236086</v>
      </c>
      <c r="AQ74" s="321"/>
      <c r="AR74" s="260"/>
      <c r="AS74" s="260"/>
      <c r="AT74" s="262">
        <f>IF($AP$8="I",'РО 01.01 - 30.06'!AT74,IF($AP$8="II",'РО 01.07 - 31.08'!AT74,IF($AP$8="III",'РО 01.09 - 31.12'!AT74,0)))*AT143</f>
        <v>4.9912206509236086</v>
      </c>
      <c r="AU74" s="258"/>
      <c r="AV74" s="121"/>
      <c r="AW74" s="121"/>
    </row>
    <row r="75" spans="38:49" hidden="1">
      <c r="AL75" s="121"/>
      <c r="AM75" s="121"/>
      <c r="AN75" s="222"/>
      <c r="AO75" s="534"/>
      <c r="AP75" s="222"/>
      <c r="AQ75" s="321"/>
      <c r="AR75" s="553"/>
      <c r="AS75" s="553"/>
      <c r="AT75" s="553"/>
      <c r="AU75" s="258"/>
      <c r="AV75" s="121"/>
      <c r="AW75" s="121"/>
    </row>
    <row r="76" spans="38:49" hidden="1">
      <c r="AL76" s="121"/>
      <c r="AM76" s="121"/>
      <c r="AN76" s="222"/>
      <c r="AO76" s="529"/>
      <c r="AP76" s="222"/>
      <c r="AQ76" s="321"/>
      <c r="AR76" s="553"/>
      <c r="AS76" s="553"/>
      <c r="AT76" s="553"/>
      <c r="AU76" s="258"/>
      <c r="AV76" s="121"/>
      <c r="AW76" s="121"/>
    </row>
    <row r="77" spans="38:49" ht="22.5">
      <c r="AL77" s="121"/>
      <c r="AM77" s="121"/>
      <c r="AN77" s="222" t="s">
        <v>2844</v>
      </c>
      <c r="AO77" s="533" t="s">
        <v>1856</v>
      </c>
      <c r="AP77" s="257">
        <f>SUMIF(AQ$14:AU$14,AP$14,AQ77:AU77)</f>
        <v>0</v>
      </c>
      <c r="AQ77" s="321"/>
      <c r="AR77" s="260"/>
      <c r="AS77" s="260"/>
      <c r="AT77" s="262">
        <f>IF($AP$8="I",'РО 01.01 - 30.06'!AT77,IF($AP$8="II",'РО 01.07 - 31.08'!AT77,IF($AP$8="III",'РО 01.09 - 31.12'!AT77,0)))*AT143</f>
        <v>0</v>
      </c>
      <c r="AU77" s="258"/>
      <c r="AV77" s="121"/>
      <c r="AW77" s="121"/>
    </row>
    <row r="78" spans="38:49" hidden="1">
      <c r="AL78" s="121"/>
      <c r="AM78" s="121"/>
      <c r="AN78" s="222"/>
      <c r="AO78" s="534"/>
      <c r="AP78" s="222"/>
      <c r="AQ78" s="321"/>
      <c r="AR78" s="553"/>
      <c r="AS78" s="553"/>
      <c r="AT78" s="553"/>
      <c r="AU78" s="258"/>
      <c r="AV78" s="121"/>
      <c r="AW78" s="121"/>
    </row>
    <row r="79" spans="38:49" hidden="1">
      <c r="AL79" s="121"/>
      <c r="AM79" s="121"/>
      <c r="AN79" s="222"/>
      <c r="AO79" s="529"/>
      <c r="AP79" s="222"/>
      <c r="AQ79" s="321"/>
      <c r="AR79" s="553"/>
      <c r="AS79" s="553"/>
      <c r="AT79" s="553"/>
      <c r="AU79" s="258"/>
      <c r="AV79" s="121"/>
      <c r="AW79" s="121"/>
    </row>
    <row r="80" spans="38:49">
      <c r="AL80" s="121"/>
      <c r="AM80" s="121"/>
      <c r="AN80" s="504" t="s">
        <v>2847</v>
      </c>
      <c r="AO80" s="535" t="s">
        <v>2848</v>
      </c>
      <c r="AP80" s="257">
        <f t="shared" ref="AP80:AP85" si="1">SUMIF(AQ$14:AU$14,AP$14,AQ80:AU80)</f>
        <v>13.898629812571896</v>
      </c>
      <c r="AQ80" s="321"/>
      <c r="AR80" s="260"/>
      <c r="AS80" s="260"/>
      <c r="AT80" s="257">
        <f>SUM(AT81:AT85)</f>
        <v>13.898629812571896</v>
      </c>
      <c r="AU80" s="258"/>
      <c r="AV80" s="121"/>
      <c r="AW80" s="121"/>
    </row>
    <row r="81" spans="38:49" ht="22.5">
      <c r="AL81" s="121"/>
      <c r="AM81" s="121"/>
      <c r="AN81" s="504" t="s">
        <v>2849</v>
      </c>
      <c r="AO81" s="533" t="s">
        <v>2415</v>
      </c>
      <c r="AP81" s="257">
        <f t="shared" si="1"/>
        <v>0</v>
      </c>
      <c r="AQ81" s="321"/>
      <c r="AR81" s="260"/>
      <c r="AS81" s="260"/>
      <c r="AT81" s="262">
        <f>IF($AP$8="I",'РО 01.01 - 30.06'!AT81,IF($AP$8="II",'РО 01.07 - 31.08'!AT81,IF($AP$8="III",'РО 01.09 - 31.12'!AT81,0)))*AT143</f>
        <v>0</v>
      </c>
      <c r="AU81" s="258"/>
      <c r="AV81" s="121"/>
      <c r="AW81" s="121"/>
    </row>
    <row r="82" spans="38:49" ht="22.5">
      <c r="AL82" s="121"/>
      <c r="AM82" s="121"/>
      <c r="AN82" s="504" t="s">
        <v>2850</v>
      </c>
      <c r="AO82" s="533" t="s">
        <v>2417</v>
      </c>
      <c r="AP82" s="257">
        <f t="shared" si="1"/>
        <v>12.516445632316128</v>
      </c>
      <c r="AQ82" s="321"/>
      <c r="AR82" s="260"/>
      <c r="AS82" s="260"/>
      <c r="AT82" s="262">
        <f>IF($AP$8="I",'РО 01.01 - 30.06'!AT82,IF($AP$8="II",'РО 01.07 - 31.08'!AT82,IF($AP$8="III",'РО 01.09 - 31.12'!AT82,0)))*AT143</f>
        <v>12.516445632316128</v>
      </c>
      <c r="AU82" s="258"/>
      <c r="AV82" s="121"/>
      <c r="AW82" s="121"/>
    </row>
    <row r="83" spans="38:49" ht="22.5">
      <c r="AL83" s="121"/>
      <c r="AM83" s="121"/>
      <c r="AN83" s="504" t="s">
        <v>2316</v>
      </c>
      <c r="AO83" s="533" t="s">
        <v>2420</v>
      </c>
      <c r="AP83" s="257">
        <f t="shared" si="1"/>
        <v>0</v>
      </c>
      <c r="AQ83" s="321"/>
      <c r="AR83" s="260"/>
      <c r="AS83" s="260"/>
      <c r="AT83" s="262">
        <f>IF($AP$8="I",'РО 01.01 - 30.06'!AT83,IF($AP$8="II",'РО 01.07 - 31.08'!AT83,IF($AP$8="III",'РО 01.09 - 31.12'!AT83,0)))*AT143</f>
        <v>0</v>
      </c>
      <c r="AU83" s="258"/>
      <c r="AV83" s="121"/>
      <c r="AW83" s="121"/>
    </row>
    <row r="84" spans="38:49">
      <c r="AL84" s="121"/>
      <c r="AM84" s="121"/>
      <c r="AN84" s="504" t="s">
        <v>2317</v>
      </c>
      <c r="AO84" s="533" t="s">
        <v>2423</v>
      </c>
      <c r="AP84" s="257">
        <f t="shared" si="1"/>
        <v>1.3821841802557686</v>
      </c>
      <c r="AQ84" s="321"/>
      <c r="AR84" s="260"/>
      <c r="AS84" s="260"/>
      <c r="AT84" s="262">
        <f>IF($AP$8="I",'РО 01.01 - 30.06'!AT84,IF($AP$8="II",'РО 01.07 - 31.08'!AT84,IF($AP$8="III",'РО 01.09 - 31.12'!AT84,0)))*AT143</f>
        <v>1.3821841802557686</v>
      </c>
      <c r="AU84" s="258"/>
      <c r="AV84" s="121"/>
      <c r="AW84" s="121"/>
    </row>
    <row r="85" spans="38:49" ht="22.5">
      <c r="AL85" s="121"/>
      <c r="AM85" s="121"/>
      <c r="AN85" s="504" t="s">
        <v>2318</v>
      </c>
      <c r="AO85" s="533" t="s">
        <v>2426</v>
      </c>
      <c r="AP85" s="257">
        <f t="shared" si="1"/>
        <v>0</v>
      </c>
      <c r="AQ85" s="321"/>
      <c r="AR85" s="260"/>
      <c r="AS85" s="260"/>
      <c r="AT85" s="262">
        <f>IF($AP$8="I",'РО 01.01 - 30.06'!AT85,IF($AP$8="II",'РО 01.07 - 31.08'!AT85,IF($AP$8="III",'РО 01.09 - 31.12'!AT85,0)))*AT143</f>
        <v>0</v>
      </c>
      <c r="AU85" s="258"/>
      <c r="AV85" s="121"/>
      <c r="AW85" s="121"/>
    </row>
    <row r="86" spans="38:49" hidden="1">
      <c r="AL86" s="121"/>
      <c r="AM86" s="121"/>
      <c r="AN86" s="560" t="str">
        <f>IF(TEMPLATE_SPHERE="водоснабжения","2.9","")</f>
        <v/>
      </c>
      <c r="AO86" s="561" t="str">
        <f>IF(TEMPLATE_SPHERE="водоснабжения","Покупная вода","")</f>
        <v/>
      </c>
      <c r="AP86" s="257" t="str">
        <f>IF(TEMPLATE_SPHERE="водоснабжения",SUMIF(AQ$14:AU$14,AP$14,AQ86:AU86),"")</f>
        <v/>
      </c>
      <c r="AQ86" s="321"/>
      <c r="AR86" s="553"/>
      <c r="AS86" s="553"/>
      <c r="AT86" s="553"/>
      <c r="AU86" s="258"/>
      <c r="AV86" s="121"/>
      <c r="AW86" s="121"/>
    </row>
    <row r="87" spans="38:49" hidden="1">
      <c r="AL87" s="121"/>
      <c r="AM87" s="121"/>
      <c r="AN87" s="560" t="str">
        <f>IF(TEMPLATE_SPHERE="водоснабжения","2.9.1","")</f>
        <v/>
      </c>
      <c r="AO87" s="562" t="str">
        <f>IF(TEMPLATE_SPHERE="водоснабжения","тариф (руб./куб.м)","")</f>
        <v/>
      </c>
      <c r="AP87" s="257" t="str">
        <f>IF(TEMPLATE_SPHERE="водоснабжения",IF(AP88=0,0,(AP86-AP89)/AP88),"")</f>
        <v/>
      </c>
      <c r="AQ87" s="321"/>
      <c r="AR87" s="553"/>
      <c r="AS87" s="553"/>
      <c r="AT87" s="553"/>
      <c r="AU87" s="258"/>
      <c r="AV87" s="121"/>
      <c r="AW87" s="121"/>
    </row>
    <row r="88" spans="38:49" hidden="1">
      <c r="AL88" s="121"/>
      <c r="AM88" s="121"/>
      <c r="AN88" s="560" t="str">
        <f>IF(TEMPLATE_SPHERE="водоснабжения","2.9.2","")</f>
        <v/>
      </c>
      <c r="AO88" s="562" t="str">
        <f>IF(TEMPLATE_SPHERE="водоснабжения","объём (тыс. куб.м)","")</f>
        <v/>
      </c>
      <c r="AP88" s="257" t="str">
        <f>IF(TEMPLATE_SPHERE="водоснабжения",SUMIF(AQ$14:AU$14,AP$14,AQ88:AU88),"")</f>
        <v/>
      </c>
      <c r="AQ88" s="321"/>
      <c r="AR88" s="553"/>
      <c r="AS88" s="553"/>
      <c r="AT88" s="553"/>
      <c r="AU88" s="258"/>
      <c r="AV88" s="121"/>
      <c r="AW88" s="121"/>
    </row>
    <row r="89" spans="38:49" hidden="1">
      <c r="AL89" s="121"/>
      <c r="AM89" s="121"/>
      <c r="AN89" s="560" t="str">
        <f>IF(TEMPLATE_SPHERE="водоснабжения","2.9.3","")</f>
        <v/>
      </c>
      <c r="AO89" s="562" t="str">
        <f>IF(TEMPLATE_SPHERE="водоснабжения","покупка потерь","")</f>
        <v/>
      </c>
      <c r="AP89" s="257" t="str">
        <f>IF(TEMPLATE_SPHERE="водоснабжения",SUMIF(AQ$14:AU$14,AP$14,AQ89:AU89),"")</f>
        <v/>
      </c>
      <c r="AQ89" s="321"/>
      <c r="AR89" s="553"/>
      <c r="AS89" s="553"/>
      <c r="AT89" s="553"/>
      <c r="AU89" s="258"/>
      <c r="AV89" s="121"/>
      <c r="AW89" s="121"/>
    </row>
    <row r="90" spans="38:49" ht="22.5">
      <c r="AL90" s="121"/>
      <c r="AM90" s="121"/>
      <c r="AN90" s="504" t="s">
        <v>2323</v>
      </c>
      <c r="AO90"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AP90" s="257">
        <f t="shared" ref="AP90:AP132" si="2">SUMIF(AQ$14:AU$14,AP$14,AQ90:AU90)</f>
        <v>0</v>
      </c>
      <c r="AQ90" s="321"/>
      <c r="AR90" s="260"/>
      <c r="AS90" s="260"/>
      <c r="AT90" s="262">
        <f>IF($AP$8="I",'РО 01.01 - 30.06'!AT90,IF($AP$8="II",'РО 01.07 - 31.08'!AT90,IF($AP$8="III",'РО 01.09 - 31.12'!AT90,0)))*AT143</f>
        <v>0</v>
      </c>
      <c r="AU90" s="258"/>
      <c r="AV90" s="121"/>
      <c r="AW90" s="121"/>
    </row>
    <row r="91" spans="38:49" ht="22.5">
      <c r="AL91" s="121"/>
      <c r="AM91" s="121"/>
      <c r="AN91" s="504" t="s">
        <v>2324</v>
      </c>
      <c r="AO91"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AP91" s="257">
        <f t="shared" si="2"/>
        <v>0</v>
      </c>
      <c r="AQ91" s="321"/>
      <c r="AR91" s="260"/>
      <c r="AS91" s="260"/>
      <c r="AT91" s="262">
        <f>IF($AP$8="I",'РО 01.01 - 30.06'!AT91,IF($AP$8="II",'РО 01.07 - 31.08'!AT91,IF($AP$8="III",'РО 01.09 - 31.12'!AT91,0)))*AT143</f>
        <v>0</v>
      </c>
      <c r="AU91" s="258"/>
      <c r="AV91" s="121"/>
      <c r="AW91" s="121"/>
    </row>
    <row r="92" spans="38:49" ht="22.5">
      <c r="AL92" s="121"/>
      <c r="AM92" s="121"/>
      <c r="AN92" s="504" t="s">
        <v>2325</v>
      </c>
      <c r="AO92"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AP92" s="257">
        <f t="shared" si="2"/>
        <v>0</v>
      </c>
      <c r="AQ92" s="321"/>
      <c r="AR92" s="260"/>
      <c r="AS92" s="260"/>
      <c r="AT92" s="262">
        <f>IF($AP$8="I",'РО 01.01 - 30.06'!AT92,IF($AP$8="II",'РО 01.07 - 31.08'!AT92,IF($AP$8="III",'РО 01.09 - 31.12'!AT92,0)))*AT143</f>
        <v>0</v>
      </c>
      <c r="AU92" s="258"/>
      <c r="AV92" s="121"/>
      <c r="AW92" s="121"/>
    </row>
    <row r="93" spans="38:49">
      <c r="AL93" s="121"/>
      <c r="AM93" s="121"/>
      <c r="AN93" s="504" t="s">
        <v>2326</v>
      </c>
      <c r="AO93" s="527" t="s">
        <v>2327</v>
      </c>
      <c r="AP93" s="257">
        <f t="shared" si="2"/>
        <v>0</v>
      </c>
      <c r="AQ93" s="321"/>
      <c r="AR93" s="260"/>
      <c r="AS93" s="260"/>
      <c r="AT93" s="257">
        <f>SUM(AT94:AT95)</f>
        <v>0</v>
      </c>
      <c r="AU93" s="258"/>
      <c r="AV93" s="121"/>
      <c r="AW93" s="121"/>
    </row>
    <row r="94" spans="38:49">
      <c r="AL94" s="121"/>
      <c r="AM94" s="121"/>
      <c r="AN94" s="504" t="s">
        <v>2328</v>
      </c>
      <c r="AO94" s="528" t="s">
        <v>2329</v>
      </c>
      <c r="AP94" s="257">
        <f t="shared" si="2"/>
        <v>0</v>
      </c>
      <c r="AQ94" s="321"/>
      <c r="AR94" s="260"/>
      <c r="AS94" s="260"/>
      <c r="AT94" s="262">
        <f>IF($AP$8="I",'РО 01.01 - 30.06'!AT94,IF($AP$8="II",'РО 01.07 - 31.08'!AT94,IF($AP$8="III",'РО 01.09 - 31.12'!AT94,0)))*AT143</f>
        <v>0</v>
      </c>
      <c r="AU94" s="258"/>
      <c r="AV94" s="121"/>
      <c r="AW94" s="121"/>
    </row>
    <row r="95" spans="38:49">
      <c r="AL95" s="121"/>
      <c r="AM95" s="121"/>
      <c r="AN95" s="504" t="s">
        <v>2330</v>
      </c>
      <c r="AO95" s="528" t="s">
        <v>2331</v>
      </c>
      <c r="AP95" s="257">
        <f t="shared" si="2"/>
        <v>0</v>
      </c>
      <c r="AQ95" s="321"/>
      <c r="AR95" s="260"/>
      <c r="AS95" s="260"/>
      <c r="AT95" s="262">
        <f>IF($AP$8="I",'РО 01.01 - 30.06'!AT95,IF($AP$8="II",'РО 01.07 - 31.08'!AT95,IF($AP$8="III",'РО 01.09 - 31.12'!AT95,0)))*AT143</f>
        <v>0</v>
      </c>
      <c r="AU95" s="258"/>
      <c r="AV95" s="121"/>
      <c r="AW95" s="121"/>
    </row>
    <row r="96" spans="38:49">
      <c r="AL96" s="121"/>
      <c r="AM96" s="121"/>
      <c r="AN96" s="504" t="s">
        <v>2332</v>
      </c>
      <c r="AO96" s="527" t="s">
        <v>2333</v>
      </c>
      <c r="AP96" s="257">
        <f t="shared" si="2"/>
        <v>0</v>
      </c>
      <c r="AQ96" s="321"/>
      <c r="AR96" s="260"/>
      <c r="AS96" s="260"/>
      <c r="AT96" s="262">
        <f>IF($AP$8="I",'РО 01.01 - 30.06'!AT96,IF($AP$8="II",'РО 01.07 - 31.08'!AT96,IF($AP$8="III",'РО 01.09 - 31.12'!AT96,0)))*AT143</f>
        <v>0</v>
      </c>
      <c r="AU96" s="258"/>
      <c r="AV96" s="121"/>
      <c r="AW96" s="121"/>
    </row>
    <row r="97" spans="38:49">
      <c r="AL97" s="121"/>
      <c r="AM97" s="121"/>
      <c r="AN97" s="504" t="s">
        <v>2334</v>
      </c>
      <c r="AO97" s="527" t="s">
        <v>2335</v>
      </c>
      <c r="AP97" s="257">
        <f t="shared" si="2"/>
        <v>0</v>
      </c>
      <c r="AQ97" s="321"/>
      <c r="AR97" s="260"/>
      <c r="AS97" s="260"/>
      <c r="AT97" s="262">
        <f>IF($AP$8="I",'РО 01.01 - 30.06'!AT97,IF($AP$8="II",'РО 01.07 - 31.08'!AT97,IF($AP$8="III",'РО 01.09 - 31.12'!AT97,0)))*AT143</f>
        <v>0</v>
      </c>
      <c r="AU97" s="258"/>
      <c r="AV97" s="121"/>
      <c r="AW97" s="121"/>
    </row>
    <row r="98" spans="38:49" ht="22.5">
      <c r="AL98" s="121"/>
      <c r="AM98" s="121"/>
      <c r="AN98" s="504" t="s">
        <v>2336</v>
      </c>
      <c r="AO98" s="527" t="s">
        <v>2337</v>
      </c>
      <c r="AP98" s="257">
        <f t="shared" si="2"/>
        <v>5.2215846809662363</v>
      </c>
      <c r="AQ98" s="321"/>
      <c r="AR98" s="260"/>
      <c r="AS98" s="260"/>
      <c r="AT98" s="262">
        <f>IF($AP$8="I",'РО 01.01 - 30.06'!AT98,IF($AP$8="II",'РО 01.07 - 31.08'!AT98,IF($AP$8="III",'РО 01.09 - 31.12'!AT98,0)))*AT143</f>
        <v>5.2215846809662363</v>
      </c>
      <c r="AU98" s="258"/>
      <c r="AV98" s="121"/>
      <c r="AW98" s="121"/>
    </row>
    <row r="99" spans="38:49">
      <c r="AL99" s="121"/>
      <c r="AM99" s="121"/>
      <c r="AN99" s="504" t="s">
        <v>2338</v>
      </c>
      <c r="AO99" s="527" t="s">
        <v>2339</v>
      </c>
      <c r="AP99" s="257">
        <f t="shared" si="2"/>
        <v>0.15357602002841875</v>
      </c>
      <c r="AQ99" s="321"/>
      <c r="AR99" s="260"/>
      <c r="AS99" s="260"/>
      <c r="AT99" s="257">
        <f>SUM(AT100:AT108)</f>
        <v>0.15357602002841875</v>
      </c>
      <c r="AU99" s="258"/>
      <c r="AV99" s="121"/>
      <c r="AW99" s="121"/>
    </row>
    <row r="100" spans="38:49">
      <c r="AL100" s="121"/>
      <c r="AM100" s="121"/>
      <c r="AN100" s="504" t="s">
        <v>2340</v>
      </c>
      <c r="AO100" s="528" t="s">
        <v>2341</v>
      </c>
      <c r="AP100" s="257">
        <f t="shared" si="2"/>
        <v>0</v>
      </c>
      <c r="AQ100" s="321"/>
      <c r="AR100" s="260"/>
      <c r="AS100" s="260"/>
      <c r="AT100" s="262">
        <f>IF($AP$8="I",'РО 01.01 - 30.06'!AT100,IF($AP$8="II",'РО 01.07 - 31.08'!AT100,IF($AP$8="III",'РО 01.09 - 31.12'!AT100,0)))*AT143</f>
        <v>0</v>
      </c>
      <c r="AU100" s="258"/>
      <c r="AV100" s="121"/>
      <c r="AW100" s="121"/>
    </row>
    <row r="101" spans="38:49">
      <c r="AL101" s="121"/>
      <c r="AM101" s="121"/>
      <c r="AN101" s="504" t="s">
        <v>2342</v>
      </c>
      <c r="AO101" s="528" t="s">
        <v>2343</v>
      </c>
      <c r="AP101" s="257">
        <f t="shared" si="2"/>
        <v>0</v>
      </c>
      <c r="AQ101" s="321"/>
      <c r="AR101" s="260"/>
      <c r="AS101" s="260"/>
      <c r="AT101" s="262">
        <f>IF($AP$8="I",'РО 01.01 - 30.06'!AT101,IF($AP$8="II",'РО 01.07 - 31.08'!AT101,IF($AP$8="III",'РО 01.09 - 31.12'!AT101,0)))*AT143</f>
        <v>0</v>
      </c>
      <c r="AU101" s="258"/>
      <c r="AV101" s="121"/>
      <c r="AW101" s="121"/>
    </row>
    <row r="102" spans="38:49">
      <c r="AL102" s="121"/>
      <c r="AM102" s="121"/>
      <c r="AN102" s="504" t="s">
        <v>2344</v>
      </c>
      <c r="AO102" s="528" t="s">
        <v>2345</v>
      </c>
      <c r="AP102" s="257">
        <f t="shared" si="2"/>
        <v>0</v>
      </c>
      <c r="AQ102" s="321"/>
      <c r="AR102" s="260"/>
      <c r="AS102" s="260"/>
      <c r="AT102" s="262">
        <f>IF($AP$8="I",'РО 01.01 - 30.06'!AT102,IF($AP$8="II",'РО 01.07 - 31.08'!AT102,IF($AP$8="III",'РО 01.09 - 31.12'!AT102,0)))*AT143</f>
        <v>0</v>
      </c>
      <c r="AU102" s="258"/>
      <c r="AV102" s="121"/>
      <c r="AW102" s="121"/>
    </row>
    <row r="103" spans="38:49">
      <c r="AL103" s="121"/>
      <c r="AM103" s="121"/>
      <c r="AN103" s="504" t="s">
        <v>2346</v>
      </c>
      <c r="AO103" s="528" t="s">
        <v>2347</v>
      </c>
      <c r="AP103" s="257">
        <f t="shared" si="2"/>
        <v>0</v>
      </c>
      <c r="AQ103" s="321"/>
      <c r="AR103" s="260"/>
      <c r="AS103" s="260"/>
      <c r="AT103" s="262">
        <f>IF($AP$8="I",'РО 01.01 - 30.06'!AT103,IF($AP$8="II",'РО 01.07 - 31.08'!AT103,IF($AP$8="III",'РО 01.09 - 31.12'!AT103,0)))*AT143</f>
        <v>0</v>
      </c>
      <c r="AU103" s="258"/>
      <c r="AV103" s="121"/>
      <c r="AW103" s="121"/>
    </row>
    <row r="104" spans="38:49">
      <c r="AL104" s="121"/>
      <c r="AM104" s="121"/>
      <c r="AN104" s="504" t="s">
        <v>2348</v>
      </c>
      <c r="AO104" s="528" t="s">
        <v>2349</v>
      </c>
      <c r="AP104" s="257">
        <f t="shared" si="2"/>
        <v>0</v>
      </c>
      <c r="AQ104" s="321"/>
      <c r="AR104" s="260"/>
      <c r="AS104" s="260"/>
      <c r="AT104" s="262">
        <f>IF($AP$8="I",'РО 01.01 - 30.06'!AT104,IF($AP$8="II",'РО 01.07 - 31.08'!AT104,IF($AP$8="III",'РО 01.09 - 31.12'!AT104,0)))*AT143</f>
        <v>0</v>
      </c>
      <c r="AU104" s="258"/>
      <c r="AV104" s="121"/>
      <c r="AW104" s="121"/>
    </row>
    <row r="105" spans="38:49">
      <c r="AL105" s="121"/>
      <c r="AM105" s="121"/>
      <c r="AN105" s="504" t="s">
        <v>2350</v>
      </c>
      <c r="AO105" s="528" t="s">
        <v>2351</v>
      </c>
      <c r="AP105" s="257">
        <f t="shared" si="2"/>
        <v>0</v>
      </c>
      <c r="AQ105" s="321"/>
      <c r="AR105" s="260"/>
      <c r="AS105" s="260"/>
      <c r="AT105" s="262">
        <f>IF($AP$8="I",'РО 01.01 - 30.06'!AT105,IF($AP$8="II",'РО 01.07 - 31.08'!AT105,IF($AP$8="III",'РО 01.09 - 31.12'!AT105,0)))*AT143</f>
        <v>0</v>
      </c>
      <c r="AU105" s="258"/>
      <c r="AV105" s="121"/>
      <c r="AW105" s="121"/>
    </row>
    <row r="106" spans="38:49">
      <c r="AL106" s="121"/>
      <c r="AM106" s="121"/>
      <c r="AN106" s="504" t="s">
        <v>2352</v>
      </c>
      <c r="AO106" s="528" t="s">
        <v>2353</v>
      </c>
      <c r="AP106" s="257">
        <f t="shared" si="2"/>
        <v>0.15357602002841875</v>
      </c>
      <c r="AQ106" s="321"/>
      <c r="AR106" s="260"/>
      <c r="AS106" s="260"/>
      <c r="AT106" s="262">
        <f>IF($AP$8="I",'РО 01.01 - 30.06'!AT106,IF($AP$8="II",'РО 01.07 - 31.08'!AT106,IF($AP$8="III",'РО 01.09 - 31.12'!AT106,0)))*AT143</f>
        <v>0.15357602002841875</v>
      </c>
      <c r="AU106" s="258"/>
      <c r="AV106" s="121"/>
      <c r="AW106" s="121"/>
    </row>
    <row r="107" spans="38:49">
      <c r="AL107" s="121"/>
      <c r="AM107" s="121"/>
      <c r="AN107" s="504" t="s">
        <v>2354</v>
      </c>
      <c r="AO107" s="528" t="s">
        <v>2355</v>
      </c>
      <c r="AP107" s="257">
        <f t="shared" si="2"/>
        <v>0</v>
      </c>
      <c r="AQ107" s="321"/>
      <c r="AR107" s="260"/>
      <c r="AS107" s="260"/>
      <c r="AT107" s="262">
        <f>IF($AP$8="I",'РО 01.01 - 30.06'!AT107,IF($AP$8="II",'РО 01.07 - 31.08'!AT107,IF($AP$8="III",'РО 01.09 - 31.12'!AT107,0)))*AT143</f>
        <v>0</v>
      </c>
      <c r="AU107" s="258"/>
      <c r="AV107" s="121"/>
      <c r="AW107" s="121"/>
    </row>
    <row r="108" spans="38:49">
      <c r="AL108" s="121"/>
      <c r="AM108" s="121"/>
      <c r="AN108" s="504" t="s">
        <v>2356</v>
      </c>
      <c r="AO108" s="528" t="s">
        <v>2357</v>
      </c>
      <c r="AP108" s="257">
        <f t="shared" si="2"/>
        <v>0</v>
      </c>
      <c r="AQ108" s="321"/>
      <c r="AR108" s="260"/>
      <c r="AS108" s="260"/>
      <c r="AT108" s="262">
        <f>IF($AP$8="I",'РО 01.01 - 30.06'!AT108,IF($AP$8="II",'РО 01.07 - 31.08'!AT108,IF($AP$8="III",'РО 01.09 - 31.12'!AT108,0)))*AT143</f>
        <v>0</v>
      </c>
      <c r="AU108" s="258"/>
      <c r="AV108" s="121"/>
      <c r="AW108" s="121"/>
    </row>
    <row r="109" spans="38:49" ht="22.5">
      <c r="AL109" s="121"/>
      <c r="AM109" s="121"/>
      <c r="AN109" s="504" t="s">
        <v>2358</v>
      </c>
      <c r="AO109" s="536" t="s">
        <v>2359</v>
      </c>
      <c r="AP109" s="257">
        <f t="shared" si="2"/>
        <v>0</v>
      </c>
      <c r="AQ109" s="321"/>
      <c r="AR109" s="260"/>
      <c r="AS109" s="260"/>
      <c r="AT109" s="257">
        <f>SUM(AT110:AT114)</f>
        <v>0</v>
      </c>
      <c r="AU109" s="258"/>
      <c r="AV109" s="121"/>
      <c r="AW109" s="121"/>
    </row>
    <row r="110" spans="38:49">
      <c r="AL110" s="121"/>
      <c r="AM110" s="121"/>
      <c r="AN110" s="504" t="s">
        <v>2360</v>
      </c>
      <c r="AO110" s="537" t="s">
        <v>2444</v>
      </c>
      <c r="AP110" s="257">
        <f t="shared" si="2"/>
        <v>0</v>
      </c>
      <c r="AQ110" s="321"/>
      <c r="AR110" s="260"/>
      <c r="AS110" s="260"/>
      <c r="AT110" s="262">
        <f>IF($AP$8="I",'РО 01.01 - 30.06'!AT110,IF($AP$8="II",'РО 01.07 - 31.08'!AT110,IF($AP$8="III",'РО 01.09 - 31.12'!AT110,0)))*AT143</f>
        <v>0</v>
      </c>
      <c r="AU110" s="258"/>
      <c r="AV110" s="121"/>
      <c r="AW110" s="121"/>
    </row>
    <row r="111" spans="38:49">
      <c r="AL111" s="121"/>
      <c r="AM111" s="121"/>
      <c r="AN111" s="504" t="s">
        <v>2361</v>
      </c>
      <c r="AO111" s="537" t="s">
        <v>2362</v>
      </c>
      <c r="AP111" s="257">
        <f t="shared" si="2"/>
        <v>0</v>
      </c>
      <c r="AQ111" s="321"/>
      <c r="AR111" s="260"/>
      <c r="AS111" s="260"/>
      <c r="AT111" s="262">
        <f>IF($AP$8="I",'РО 01.01 - 30.06'!AT111,IF($AP$8="II",'РО 01.07 - 31.08'!AT111,IF($AP$8="III",'РО 01.09 - 31.12'!AT111,0)))*AT143</f>
        <v>0</v>
      </c>
      <c r="AU111" s="258"/>
      <c r="AV111" s="121"/>
      <c r="AW111" s="121"/>
    </row>
    <row r="112" spans="38:49">
      <c r="AL112" s="121"/>
      <c r="AM112" s="121"/>
      <c r="AN112" s="504" t="s">
        <v>2363</v>
      </c>
      <c r="AO112" s="528" t="s">
        <v>872</v>
      </c>
      <c r="AP112" s="257">
        <f t="shared" si="2"/>
        <v>0</v>
      </c>
      <c r="AQ112" s="321"/>
      <c r="AR112" s="260"/>
      <c r="AS112" s="260"/>
      <c r="AT112" s="262">
        <f>IF($AP$8="I",'РО 01.01 - 30.06'!AT112,IF($AP$8="II",'РО 01.07 - 31.08'!AT112,IF($AP$8="III",'РО 01.09 - 31.12'!AT112,0)))*AT143</f>
        <v>0</v>
      </c>
      <c r="AU112" s="258"/>
      <c r="AV112" s="121"/>
      <c r="AW112" s="121"/>
    </row>
    <row r="113" spans="1:49" ht="22.5">
      <c r="AL113" s="121"/>
      <c r="AM113" s="121"/>
      <c r="AN113" s="504" t="s">
        <v>2364</v>
      </c>
      <c r="AO113" s="528" t="s">
        <v>2365</v>
      </c>
      <c r="AP113" s="257">
        <f t="shared" si="2"/>
        <v>0</v>
      </c>
      <c r="AQ113" s="321"/>
      <c r="AR113" s="260"/>
      <c r="AS113" s="260"/>
      <c r="AT113" s="262">
        <f>IF($AP$8="I",'РО 01.01 - 30.06'!AT113,IF($AP$8="II",'РО 01.07 - 31.08'!AT113,IF($AP$8="III",'РО 01.09 - 31.12'!AT113,0)))*AT143</f>
        <v>0</v>
      </c>
      <c r="AU113" s="258"/>
      <c r="AV113" s="121"/>
      <c r="AW113" s="121"/>
    </row>
    <row r="114" spans="1:49">
      <c r="AL114" s="121"/>
      <c r="AM114" s="121"/>
      <c r="AN114" s="504" t="s">
        <v>2366</v>
      </c>
      <c r="AO114" s="528" t="s">
        <v>2367</v>
      </c>
      <c r="AP114" s="257">
        <f t="shared" si="2"/>
        <v>0</v>
      </c>
      <c r="AQ114" s="321"/>
      <c r="AR114" s="260"/>
      <c r="AS114" s="260"/>
      <c r="AT114" s="262">
        <f>IF($AP$8="I",'РО 01.01 - 30.06'!AT114,IF($AP$8="II",'РО 01.07 - 31.08'!AT114,IF($AP$8="III",'РО 01.09 - 31.12'!AT114,0)))*AT143</f>
        <v>0</v>
      </c>
      <c r="AU114" s="258"/>
      <c r="AV114" s="121"/>
      <c r="AW114" s="121"/>
    </row>
    <row r="115" spans="1:49">
      <c r="AL115" s="121"/>
      <c r="AM115" s="121"/>
      <c r="AN115" s="504" t="s">
        <v>752</v>
      </c>
      <c r="AO115" s="723" t="s">
        <v>2726</v>
      </c>
      <c r="AP115" s="257">
        <f t="shared" si="2"/>
        <v>0</v>
      </c>
      <c r="AQ115" s="321"/>
      <c r="AR115" s="260"/>
      <c r="AS115" s="260"/>
      <c r="AT115" s="257">
        <f>SUM(AT116,AT118:AT121)</f>
        <v>0</v>
      </c>
      <c r="AU115" s="258"/>
      <c r="AV115" s="121"/>
      <c r="AW115" s="121"/>
    </row>
    <row r="116" spans="1:49">
      <c r="AL116" s="121"/>
      <c r="AM116" s="121"/>
      <c r="AN116" s="504" t="s">
        <v>760</v>
      </c>
      <c r="AO116" s="527" t="s">
        <v>2368</v>
      </c>
      <c r="AP116" s="257">
        <f t="shared" si="2"/>
        <v>0</v>
      </c>
      <c r="AQ116" s="321"/>
      <c r="AR116" s="260"/>
      <c r="AS116" s="260"/>
      <c r="AT116" s="261"/>
      <c r="AU116" s="258"/>
      <c r="AV116" s="121"/>
      <c r="AW116" s="121"/>
    </row>
    <row r="117" spans="1:49">
      <c r="AL117" s="121"/>
      <c r="AM117" s="121"/>
      <c r="AN117" s="504" t="s">
        <v>917</v>
      </c>
      <c r="AO117" s="528" t="s">
        <v>2369</v>
      </c>
      <c r="AP117" s="257">
        <f t="shared" si="2"/>
        <v>0</v>
      </c>
      <c r="AQ117" s="321"/>
      <c r="AR117" s="260"/>
      <c r="AS117" s="260"/>
      <c r="AT117" s="261"/>
      <c r="AU117" s="258"/>
      <c r="AV117" s="121"/>
      <c r="AW117" s="121"/>
    </row>
    <row r="118" spans="1:49">
      <c r="AL118" s="121"/>
      <c r="AM118" s="121"/>
      <c r="AN118" s="504" t="s">
        <v>761</v>
      </c>
      <c r="AO118" s="527" t="s">
        <v>862</v>
      </c>
      <c r="AP118" s="257">
        <f t="shared" si="2"/>
        <v>0</v>
      </c>
      <c r="AQ118" s="321"/>
      <c r="AR118" s="260"/>
      <c r="AS118" s="260"/>
      <c r="AT118" s="261"/>
      <c r="AU118" s="258"/>
      <c r="AV118" s="121"/>
      <c r="AW118" s="121"/>
    </row>
    <row r="119" spans="1:49">
      <c r="AL119" s="121"/>
      <c r="AM119" s="121"/>
      <c r="AN119" s="504" t="s">
        <v>762</v>
      </c>
      <c r="AO119" s="527" t="s">
        <v>864</v>
      </c>
      <c r="AP119" s="257">
        <f t="shared" si="2"/>
        <v>0</v>
      </c>
      <c r="AQ119" s="321"/>
      <c r="AR119" s="260"/>
      <c r="AS119" s="260"/>
      <c r="AT119" s="261"/>
      <c r="AU119" s="258"/>
      <c r="AV119" s="121"/>
      <c r="AW119" s="121"/>
    </row>
    <row r="120" spans="1:49">
      <c r="AL120" s="121"/>
      <c r="AM120" s="121"/>
      <c r="AN120" s="504" t="s">
        <v>763</v>
      </c>
      <c r="AO120" s="527" t="s">
        <v>866</v>
      </c>
      <c r="AP120" s="257">
        <f t="shared" si="2"/>
        <v>0</v>
      </c>
      <c r="AQ120" s="321"/>
      <c r="AR120" s="260"/>
      <c r="AS120" s="260"/>
      <c r="AT120" s="261"/>
      <c r="AU120" s="258"/>
      <c r="AV120" s="121"/>
      <c r="AW120" s="121"/>
    </row>
    <row r="121" spans="1:49">
      <c r="AL121" s="121"/>
      <c r="AM121" s="121"/>
      <c r="AN121" s="504" t="s">
        <v>764</v>
      </c>
      <c r="AO121" s="527" t="s">
        <v>2370</v>
      </c>
      <c r="AP121" s="257">
        <f t="shared" si="2"/>
        <v>0</v>
      </c>
      <c r="AQ121" s="321"/>
      <c r="AR121" s="260"/>
      <c r="AS121" s="260"/>
      <c r="AT121" s="257">
        <f>SUM(AT122,AT124)</f>
        <v>0</v>
      </c>
      <c r="AU121" s="258"/>
      <c r="AV121" s="121"/>
      <c r="AW121" s="121"/>
    </row>
    <row r="122" spans="1:49">
      <c r="AL122" s="121"/>
      <c r="AM122" s="121"/>
      <c r="AN122" s="504" t="s">
        <v>2371</v>
      </c>
      <c r="AO122" s="528" t="s">
        <v>2372</v>
      </c>
      <c r="AP122" s="257">
        <f t="shared" si="2"/>
        <v>0</v>
      </c>
      <c r="AQ122" s="321"/>
      <c r="AR122" s="260"/>
      <c r="AS122" s="260"/>
      <c r="AT122" s="261"/>
      <c r="AU122" s="258"/>
      <c r="AV122" s="121"/>
      <c r="AW122" s="121"/>
    </row>
    <row r="123" spans="1:49">
      <c r="AL123" s="121"/>
      <c r="AM123" s="121"/>
      <c r="AN123" s="504" t="s">
        <v>2373</v>
      </c>
      <c r="AO123" s="538" t="s">
        <v>2374</v>
      </c>
      <c r="AP123" s="257">
        <f t="shared" si="2"/>
        <v>0</v>
      </c>
      <c r="AQ123" s="321"/>
      <c r="AR123" s="260"/>
      <c r="AS123" s="260"/>
      <c r="AT123" s="261"/>
      <c r="AU123" s="258"/>
      <c r="AV123" s="121"/>
      <c r="AW123" s="121"/>
    </row>
    <row r="124" spans="1:49">
      <c r="AL124" s="121"/>
      <c r="AM124" s="121"/>
      <c r="AN124" s="504" t="s">
        <v>2375</v>
      </c>
      <c r="AO124" s="528" t="s">
        <v>2376</v>
      </c>
      <c r="AP124" s="257">
        <f t="shared" si="2"/>
        <v>0</v>
      </c>
      <c r="AQ124" s="321"/>
      <c r="AR124" s="260"/>
      <c r="AS124" s="260"/>
      <c r="AT124" s="261"/>
      <c r="AU124" s="258"/>
      <c r="AV124" s="121"/>
      <c r="AW124" s="121"/>
    </row>
    <row r="125" spans="1:49" ht="0.75" customHeight="1">
      <c r="A125" s="47"/>
      <c r="B125" s="47"/>
      <c r="C125" s="47"/>
      <c r="D125" s="47"/>
      <c r="E125" s="47"/>
      <c r="F125" s="47"/>
      <c r="G125" s="47"/>
      <c r="H125" s="47"/>
      <c r="I125" s="47"/>
      <c r="J125"/>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50"/>
      <c r="AM125" s="126"/>
      <c r="AN125" s="223"/>
      <c r="AO125" s="728"/>
      <c r="AP125" s="260"/>
      <c r="AQ125" s="258"/>
      <c r="AR125" s="260"/>
      <c r="AS125" s="260"/>
      <c r="AT125" s="260"/>
      <c r="AU125" s="258"/>
      <c r="AV125" s="127"/>
    </row>
    <row r="126" spans="1:49" ht="0.75" customHeight="1">
      <c r="A126" s="47"/>
      <c r="B126" s="47"/>
      <c r="C126" s="47"/>
      <c r="D126" s="47"/>
      <c r="E126" s="47"/>
      <c r="F126" s="47"/>
      <c r="G126" s="47"/>
      <c r="H126" s="47"/>
      <c r="I126" s="47"/>
      <c r="J126"/>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50"/>
      <c r="AM126" s="126"/>
      <c r="AN126" s="223"/>
      <c r="AO126" s="728"/>
      <c r="AP126" s="260"/>
      <c r="AQ126" s="258"/>
      <c r="AR126" s="260"/>
      <c r="AS126" s="260"/>
      <c r="AT126" s="260"/>
      <c r="AU126" s="258"/>
      <c r="AV126" s="127"/>
    </row>
    <row r="127" spans="1:49" ht="0.75" customHeight="1">
      <c r="A127" s="47"/>
      <c r="B127" s="47"/>
      <c r="C127" s="47"/>
      <c r="D127" s="47"/>
      <c r="E127" s="47"/>
      <c r="F127" s="47"/>
      <c r="G127" s="47"/>
      <c r="H127" s="47"/>
      <c r="I127" s="47"/>
      <c r="J12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50"/>
      <c r="AM127" s="126"/>
      <c r="AN127" s="223"/>
      <c r="AO127" s="728"/>
      <c r="AP127" s="260"/>
      <c r="AQ127" s="258"/>
      <c r="AR127" s="260"/>
      <c r="AS127" s="260"/>
      <c r="AT127" s="260"/>
      <c r="AU127" s="258"/>
      <c r="AV127" s="127"/>
    </row>
    <row r="128" spans="1:49" ht="0.75" customHeight="1">
      <c r="A128" s="47"/>
      <c r="B128" s="47"/>
      <c r="C128" s="47"/>
      <c r="D128" s="47"/>
      <c r="E128" s="47"/>
      <c r="F128" s="47"/>
      <c r="G128" s="47"/>
      <c r="H128" s="47"/>
      <c r="I128" s="47"/>
      <c r="J128"/>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50"/>
      <c r="AM128" s="126"/>
      <c r="AN128" s="223"/>
      <c r="AO128" s="728"/>
      <c r="AP128" s="260"/>
      <c r="AQ128" s="258"/>
      <c r="AR128" s="260"/>
      <c r="AS128" s="260"/>
      <c r="AT128" s="260"/>
      <c r="AU128" s="258"/>
      <c r="AV128" s="127"/>
    </row>
    <row r="129" spans="1:49" ht="0.75" customHeight="1">
      <c r="A129" s="47"/>
      <c r="B129" s="47"/>
      <c r="C129" s="47"/>
      <c r="D129" s="47"/>
      <c r="E129" s="47"/>
      <c r="F129" s="47"/>
      <c r="G129" s="47"/>
      <c r="H129" s="47"/>
      <c r="I129" s="47"/>
      <c r="J129"/>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50"/>
      <c r="AM129" s="126"/>
      <c r="AN129" s="223"/>
      <c r="AO129" s="728"/>
      <c r="AP129" s="260"/>
      <c r="AQ129" s="258"/>
      <c r="AR129" s="260"/>
      <c r="AS129" s="260"/>
      <c r="AT129" s="260"/>
      <c r="AU129" s="258"/>
      <c r="AV129" s="127"/>
    </row>
    <row r="130" spans="1:49" ht="0.75" customHeight="1">
      <c r="A130" s="47"/>
      <c r="B130" s="47"/>
      <c r="C130" s="47"/>
      <c r="D130" s="47"/>
      <c r="E130" s="47"/>
      <c r="F130" s="47"/>
      <c r="G130" s="47"/>
      <c r="H130" s="47"/>
      <c r="I130" s="47"/>
      <c r="J130"/>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50"/>
      <c r="AM130" s="126"/>
      <c r="AN130" s="223"/>
      <c r="AO130" s="728"/>
      <c r="AP130" s="260"/>
      <c r="AQ130" s="258"/>
      <c r="AR130" s="260"/>
      <c r="AS130" s="260"/>
      <c r="AT130" s="260"/>
      <c r="AU130" s="258"/>
      <c r="AV130" s="127"/>
    </row>
    <row r="131" spans="1:49">
      <c r="AL131" s="121"/>
      <c r="AM131" s="121"/>
      <c r="AN131" s="725" t="s">
        <v>3072</v>
      </c>
      <c r="AO131" s="724" t="s">
        <v>2727</v>
      </c>
      <c r="AP131" s="257">
        <f t="shared" si="2"/>
        <v>13.2</v>
      </c>
      <c r="AQ131" s="321"/>
      <c r="AR131" s="260"/>
      <c r="AS131" s="260"/>
      <c r="AT131" s="261">
        <v>13.2</v>
      </c>
      <c r="AU131" s="258"/>
      <c r="AV131" s="121"/>
      <c r="AW131" s="121"/>
    </row>
    <row r="132" spans="1:49" ht="22.5">
      <c r="AL132" s="121"/>
      <c r="AM132" s="121"/>
      <c r="AN132" s="504" t="s">
        <v>2427</v>
      </c>
      <c r="AO132" s="723" t="s">
        <v>2616</v>
      </c>
      <c r="AP132" s="257">
        <f t="shared" si="2"/>
        <v>0</v>
      </c>
      <c r="AQ132" s="321"/>
      <c r="AR132" s="260"/>
      <c r="AS132" s="260"/>
      <c r="AT132" s="257">
        <f>AT135*AT133/1000</f>
        <v>0</v>
      </c>
      <c r="AU132" s="258"/>
      <c r="AV132" s="121"/>
      <c r="AW132" s="121"/>
    </row>
    <row r="133" spans="1:49" ht="22.5">
      <c r="AL133" s="121"/>
      <c r="AM133" s="121"/>
      <c r="AN133" s="504" t="s">
        <v>2429</v>
      </c>
      <c r="AO133" s="727" t="s">
        <v>2619</v>
      </c>
      <c r="AP133" s="263"/>
      <c r="AQ133" s="321"/>
      <c r="AR133" s="260"/>
      <c r="AS133" s="260"/>
      <c r="AT133" s="261"/>
      <c r="AU133" s="258"/>
      <c r="AV133" s="121"/>
      <c r="AW133" s="121"/>
    </row>
    <row r="134" spans="1:49">
      <c r="AL134" s="121"/>
      <c r="AM134" s="121"/>
      <c r="AN134" s="504" t="s">
        <v>2617</v>
      </c>
      <c r="AO134" s="727" t="s">
        <v>2620</v>
      </c>
      <c r="AP134" s="263"/>
      <c r="AQ134" s="321"/>
      <c r="AR134" s="260"/>
      <c r="AS134" s="260"/>
      <c r="AT134" s="261"/>
      <c r="AU134" s="258"/>
      <c r="AV134" s="121"/>
      <c r="AW134" s="121"/>
    </row>
    <row r="135" spans="1:49">
      <c r="AL135" s="121"/>
      <c r="AM135" s="121"/>
      <c r="AN135" s="504" t="s">
        <v>2618</v>
      </c>
      <c r="AO135" s="727" t="s">
        <v>2621</v>
      </c>
      <c r="AP135" s="263"/>
      <c r="AQ135" s="321"/>
      <c r="AR135" s="260"/>
      <c r="AS135" s="260"/>
      <c r="AT135" s="257">
        <f>IF(AR$13="да",AT134*1.18,AT134)</f>
        <v>0</v>
      </c>
      <c r="AU135" s="258"/>
      <c r="AV135" s="121"/>
      <c r="AW135" s="121"/>
    </row>
    <row r="136" spans="1:49" ht="0.75" customHeight="1">
      <c r="AL136" s="121"/>
      <c r="AM136" s="121"/>
      <c r="AN136" s="504"/>
      <c r="AO136" s="526"/>
      <c r="AP136" s="526"/>
      <c r="AQ136" s="321"/>
      <c r="AR136" s="260"/>
      <c r="AS136" s="260"/>
      <c r="AT136" s="260"/>
      <c r="AU136" s="258"/>
      <c r="AV136" s="121"/>
      <c r="AW136" s="121"/>
    </row>
    <row r="137" spans="1:49" ht="0.75" customHeight="1">
      <c r="AL137" s="121"/>
      <c r="AM137" s="121"/>
      <c r="AN137" s="223"/>
      <c r="AO137" s="728"/>
      <c r="AP137" s="260"/>
      <c r="AQ137" s="258"/>
      <c r="AR137" s="260"/>
      <c r="AS137" s="260"/>
      <c r="AT137" s="260"/>
      <c r="AU137" s="258"/>
      <c r="AV137" s="127"/>
      <c r="AW137" s="121"/>
    </row>
    <row r="138" spans="1:49" ht="0.75" customHeight="1">
      <c r="AL138" s="121"/>
      <c r="AM138" s="121"/>
      <c r="AN138" s="223"/>
      <c r="AO138" s="728"/>
      <c r="AP138" s="260"/>
      <c r="AQ138" s="258"/>
      <c r="AR138" s="260"/>
      <c r="AS138" s="260"/>
      <c r="AT138" s="260"/>
      <c r="AU138" s="258"/>
      <c r="AV138" s="127"/>
      <c r="AW138" s="121"/>
    </row>
    <row r="139" spans="1:49" ht="0.75" customHeight="1">
      <c r="AL139" s="121"/>
      <c r="AM139" s="121"/>
      <c r="AN139" s="223"/>
      <c r="AO139" s="728"/>
      <c r="AP139" s="260"/>
      <c r="AQ139" s="258"/>
      <c r="AR139" s="260"/>
      <c r="AS139" s="260"/>
      <c r="AT139" s="260"/>
      <c r="AU139" s="258"/>
      <c r="AV139" s="127"/>
      <c r="AW139" s="121"/>
    </row>
    <row r="140" spans="1:49" ht="0.75" customHeight="1">
      <c r="AL140" s="121"/>
      <c r="AM140" s="121"/>
      <c r="AN140" s="223"/>
      <c r="AO140" s="728"/>
      <c r="AP140" s="260"/>
      <c r="AQ140" s="258"/>
      <c r="AR140" s="260"/>
      <c r="AS140" s="260"/>
      <c r="AT140" s="260"/>
      <c r="AU140" s="258"/>
      <c r="AV140" s="127"/>
      <c r="AW140" s="121"/>
    </row>
    <row r="141" spans="1:49" ht="57" customHeight="1">
      <c r="AL141" s="121"/>
      <c r="AM141" s="121"/>
      <c r="AN141" s="504" t="s">
        <v>855</v>
      </c>
      <c r="AO141" s="526" t="s">
        <v>370</v>
      </c>
      <c r="AP141" s="257">
        <f>SUMIF(AQ$8:AU$8,"NO_TRANSPORT",AQ141:AU141)</f>
        <v>2.9557999999999995</v>
      </c>
      <c r="AQ141" s="321"/>
      <c r="AR141" s="323"/>
      <c r="AS141" s="260"/>
      <c r="AT141" s="629">
        <f>SUMIF(БПр!$F$129:$F$158,AT$9,БПр!$J$129:$J$158)/1000</f>
        <v>2.9557999999999995</v>
      </c>
      <c r="AU141" s="258"/>
      <c r="AV141" s="121"/>
      <c r="AW141" s="121"/>
    </row>
    <row r="142" spans="1:49" ht="57" customHeight="1">
      <c r="AL142" s="121"/>
      <c r="AM142" s="121"/>
      <c r="AN142" s="504" t="s">
        <v>876</v>
      </c>
      <c r="AO142" s="526" t="s">
        <v>371</v>
      </c>
      <c r="AP142" s="257">
        <f>SUMIF(AQ$8:AU$8,"NO_TRANSPORT",AQ142:AU142)</f>
        <v>2.2696999999999998</v>
      </c>
      <c r="AQ142" s="321"/>
      <c r="AR142" s="260"/>
      <c r="AS142" s="260"/>
      <c r="AT142" s="629">
        <f>SUMIF(БПр!$F$129:$F$158,AT$9,БПр!$L$129:$L$158)/1000</f>
        <v>2.2696999999999998</v>
      </c>
      <c r="AU142" s="258"/>
      <c r="AV142" s="121"/>
      <c r="AW142" s="121"/>
    </row>
    <row r="143" spans="1:49">
      <c r="AL143" s="121"/>
      <c r="AM143" s="121"/>
      <c r="AN143" s="504" t="s">
        <v>881</v>
      </c>
      <c r="AO143" s="526" t="s">
        <v>2967</v>
      </c>
      <c r="AP143" s="254"/>
      <c r="AQ143" s="321"/>
      <c r="AR143" s="260"/>
      <c r="AS143" s="260"/>
      <c r="AT143" s="257">
        <f>IF(AT141=0,0,AT142/AT141)</f>
        <v>0.76788010014209362</v>
      </c>
      <c r="AU143" s="258"/>
      <c r="AV143" s="121"/>
      <c r="AW143" s="121"/>
    </row>
    <row r="144" spans="1:49" ht="57" customHeight="1">
      <c r="AL144" s="121"/>
      <c r="AM144" s="121"/>
      <c r="AN144" s="559" t="s">
        <v>362</v>
      </c>
      <c r="AO144" s="604" t="s">
        <v>2722</v>
      </c>
      <c r="AP144" s="257">
        <f>SUMIF(AQ$8:AU$8,"NO_TRANSPORT",AQ144:AU144)</f>
        <v>2.2696999999999998</v>
      </c>
      <c r="AQ144" s="321"/>
      <c r="AR144" s="260"/>
      <c r="AS144" s="260"/>
      <c r="AT144" s="629">
        <f>SUMIF(БПр!$F$129:$F$158,AT$9,БПр!$L$129:$L$158)/1000-SUMIF(БПр!$F$129:$F$158,AT$9,БПр!$P$129:$P$158)/1000</f>
        <v>2.2696999999999998</v>
      </c>
      <c r="AU144" s="258"/>
      <c r="AV144" s="121"/>
      <c r="AW144" s="121"/>
    </row>
    <row r="145" spans="38:49" s="121" customFormat="1" ht="0.75" customHeight="1">
      <c r="AN145" s="504"/>
      <c r="AO145" s="526"/>
      <c r="AP145" s="260"/>
      <c r="AQ145" s="321"/>
      <c r="AR145" s="260"/>
      <c r="AS145" s="260"/>
      <c r="AT145" s="260"/>
      <c r="AU145" s="258"/>
    </row>
    <row r="146" spans="38:49" s="121" customFormat="1" ht="22.5">
      <c r="AN146" s="222" t="s">
        <v>32</v>
      </c>
      <c r="AO146" s="721" t="str">
        <f>"Общий доход организации от реализации потребителям без учёта НДС, исходя из утверждённых тарифов на " &amp; AN10</f>
        <v>Общий доход организации от реализации потребителям без учёта НДС, исходя из утверждённых тарифов на 01.01 - 30.06</v>
      </c>
      <c r="AP146" s="257">
        <f>SUMIF(AQ$14:AU$14,AP$14,AQ146:AU146)</f>
        <v>53.563442999999992</v>
      </c>
      <c r="AQ146" s="321"/>
      <c r="AR146" s="260"/>
      <c r="AS146" s="260"/>
      <c r="AT146" s="257">
        <f>AT148+AT151+AT154+AT157+AT161</f>
        <v>53.563442999999992</v>
      </c>
      <c r="AU146" s="258"/>
    </row>
    <row r="147" spans="38:49" s="121" customFormat="1" ht="22.5">
      <c r="AN147" s="222" t="s">
        <v>33</v>
      </c>
      <c r="AO147" s="540" t="str">
        <f>"Полезный отпуск продукции на реализацию потребителям (тыс. куб.м) на " &amp; AN10</f>
        <v>Полезный отпуск продукции на реализацию потребителям (тыс. куб.м) на 01.01 - 30.06</v>
      </c>
      <c r="AP147" s="257">
        <f>SUMIF(AQ$14:AU$14,AP$14,AQ147:AU147)</f>
        <v>1.0867</v>
      </c>
      <c r="AQ147" s="321"/>
      <c r="AR147" s="260"/>
      <c r="AS147" s="260"/>
      <c r="AT147" s="257">
        <f>AT150+AT153+AT156+AT159</f>
        <v>1.0867</v>
      </c>
      <c r="AU147" s="258"/>
    </row>
    <row r="148" spans="38:49" s="121" customFormat="1">
      <c r="AN148" s="222" t="s">
        <v>2455</v>
      </c>
      <c r="AO148" s="541" t="str">
        <f>"Организации-перепродавцы на " &amp; AN10</f>
        <v>Организации-перепродавцы на 01.01 - 30.06</v>
      </c>
      <c r="AP148" s="257">
        <f>SUMIF(AQ$14:AU$14,AP$14,AQ148:AU148)</f>
        <v>0</v>
      </c>
      <c r="AQ148" s="321"/>
      <c r="AR148" s="260"/>
      <c r="AS148" s="546"/>
      <c r="AT148" s="545">
        <f>AT149*AT150</f>
        <v>0</v>
      </c>
      <c r="AU148" s="258"/>
    </row>
    <row r="149" spans="38:49" ht="12.75">
      <c r="AL149" s="121"/>
      <c r="AM149" s="121"/>
      <c r="AN149" s="222" t="s">
        <v>34</v>
      </c>
      <c r="AO149" s="502" t="s">
        <v>348</v>
      </c>
      <c r="AP149" s="254"/>
      <c r="AQ149" s="321"/>
      <c r="AR149" s="260"/>
      <c r="AS149" s="546"/>
      <c r="AT149" s="630">
        <f>IF($AP$8="I",SUMIF('ТМ2 01.01 - 30.06'!$C$21:$C$25,AT$9,'ТМ2 01.01 - 30.06'!$AM$21:$AM$25),IF($AP$8="II",SUMIF('ТМ2 01.07 - 31.08'!$C$21:$C$25,AT$9,'ТМ2 01.07 - 31.08'!$AM$21:$AM$25),IF($AP$8="III",SUMIF('ТМ2 01.09 - 31.12'!$C$21:$C$25,AT$9,'ТМ2 01.09 - 31.12'!$AM$21:$AM$25),0)))</f>
        <v>0</v>
      </c>
      <c r="AU149" s="258"/>
      <c r="AV149" s="121"/>
      <c r="AW149" s="121"/>
    </row>
    <row r="150" spans="38:49">
      <c r="AL150" s="121"/>
      <c r="AM150" s="121"/>
      <c r="AN150" s="222" t="s">
        <v>35</v>
      </c>
      <c r="AO150" s="502" t="s">
        <v>372</v>
      </c>
      <c r="AP150" s="257">
        <f>SUMIF(AQ$8:AU$8,"NO_TRANSPORT",AQ150:AU150)</f>
        <v>0</v>
      </c>
      <c r="AQ150" s="321"/>
      <c r="AR150" s="260"/>
      <c r="AS150" s="260"/>
      <c r="AT150" s="629">
        <f>SUMIF(БПр!$BF$129:$BF$158,AT$9&amp;"-"&amp;$AP$8,БПр!$P$129:$P$158)/1000</f>
        <v>0</v>
      </c>
      <c r="AU150" s="258"/>
      <c r="AV150" s="121"/>
      <c r="AW150" s="121"/>
    </row>
    <row r="151" spans="38:49" s="121" customFormat="1">
      <c r="AN151" s="222" t="s">
        <v>2456</v>
      </c>
      <c r="AO151" s="540" t="str">
        <f>"Бюджетные потребители на " &amp; AN10</f>
        <v>Бюджетные потребители на 01.01 - 30.06</v>
      </c>
      <c r="AP151" s="257">
        <f>SUMIF(AQ$14:AU$14,AP$14,AQ151:AU151)</f>
        <v>39.422141999999994</v>
      </c>
      <c r="AQ151" s="321"/>
      <c r="AR151" s="260"/>
      <c r="AS151" s="546"/>
      <c r="AT151" s="545">
        <f>AT152*AT153</f>
        <v>39.422141999999994</v>
      </c>
      <c r="AU151" s="258"/>
    </row>
    <row r="152" spans="38:49" s="121" customFormat="1" ht="12.75">
      <c r="AN152" s="222" t="s">
        <v>36</v>
      </c>
      <c r="AO152" s="502" t="s">
        <v>348</v>
      </c>
      <c r="AP152" s="254"/>
      <c r="AQ152" s="321"/>
      <c r="AR152" s="260"/>
      <c r="AS152" s="546"/>
      <c r="AT152" s="630">
        <f>IF($AP$8="I",SUMIF('ТМ2 01.01 - 30.06'!$C$21:$C$25,AT$9,'ТМ2 01.01 - 30.06'!$ET$21:$ET$25),IF($AP$8="II",SUMIF('ТМ2 01.07 - 31.08'!$C$21:$C$25,AT$9,'ТМ2 01.07 - 31.08'!$ET$21:$ET$25),IF($AP$8="III",SUMIF('ТМ2 01.09 - 31.12'!$C$21:$C$25,AT$9,'ТМ2 01.09 - 31.12'!$ET$21:$ET$25),0)))</f>
        <v>49.29</v>
      </c>
      <c r="AU152" s="258"/>
    </row>
    <row r="153" spans="38:49" s="121" customFormat="1">
      <c r="AN153" s="222" t="s">
        <v>37</v>
      </c>
      <c r="AO153" s="502" t="s">
        <v>372</v>
      </c>
      <c r="AP153" s="257">
        <f>SUMIF(AQ$8:AU$8,"NO_TRANSPORT",AQ153:AU153)</f>
        <v>0.79979999999999996</v>
      </c>
      <c r="AQ153" s="321"/>
      <c r="AR153" s="260"/>
      <c r="AS153" s="260"/>
      <c r="AT153" s="629">
        <f>SUMIF(БПр!$BF$129:$BF$158,AT$9&amp;"-"&amp;$AP$8,БПр!$M$129:$M$158)/1000</f>
        <v>0.79979999999999996</v>
      </c>
      <c r="AU153" s="258"/>
    </row>
    <row r="154" spans="38:49" s="121" customFormat="1">
      <c r="AN154" s="222" t="s">
        <v>2457</v>
      </c>
      <c r="AO154" s="540" t="str">
        <f>"Население на " &amp; AN10</f>
        <v>Население на 01.01 - 30.06</v>
      </c>
      <c r="AP154" s="257">
        <f>SUMIF(AQ$14:AU$14,AP$14,AQ154:AU154)</f>
        <v>2.4447839999999994</v>
      </c>
      <c r="AQ154" s="321"/>
      <c r="AR154" s="260"/>
      <c r="AS154" s="546"/>
      <c r="AT154" s="545">
        <f>AT155*AT156</f>
        <v>2.4447839999999994</v>
      </c>
      <c r="AU154" s="258"/>
    </row>
    <row r="155" spans="38:49" s="121" customFormat="1" ht="12.75">
      <c r="AN155" s="222" t="s">
        <v>38</v>
      </c>
      <c r="AO155" s="502" t="s">
        <v>348</v>
      </c>
      <c r="AP155" s="254"/>
      <c r="AQ155" s="321"/>
      <c r="AR155" s="260"/>
      <c r="AS155" s="546"/>
      <c r="AT155" s="630">
        <f>IF($AP$8="I",SUMIF('ТМ2 01.01 - 30.06'!$C$21:$C$25,AT$9,'ТМ2 01.01 - 30.06'!$EU$21:$EU$25),IF($AP$8="II",SUMIF('ТМ2 01.07 - 31.08'!$C$21:$C$25,AT$9,'ТМ2 01.07 - 31.08'!$EU$21:$EU$25),IF($AP$8="III",SUMIF('ТМ2 01.09 - 31.12'!$C$21:$C$25,AT$9,'ТМ2 01.09 - 31.12'!$EU$21:$EU$25),0)))</f>
        <v>49.29</v>
      </c>
      <c r="AU155" s="258"/>
    </row>
    <row r="156" spans="38:49" s="121" customFormat="1">
      <c r="AN156" s="222" t="s">
        <v>39</v>
      </c>
      <c r="AO156" s="502" t="s">
        <v>372</v>
      </c>
      <c r="AP156" s="257">
        <f>SUMIF(AQ$8:AU$8,"NO_TRANSPORT",AQ156:AU156)</f>
        <v>4.9599999999999991E-2</v>
      </c>
      <c r="AQ156" s="321"/>
      <c r="AR156" s="260"/>
      <c r="AS156" s="260"/>
      <c r="AT156" s="629">
        <f>SUMIF(БПр!$BF$129:$BF$158,AT$9&amp;"-"&amp;$AP$8,БПр!$N$129:$N$158)/1000</f>
        <v>4.9599999999999991E-2</v>
      </c>
      <c r="AU156" s="258"/>
    </row>
    <row r="157" spans="38:49">
      <c r="AL157" s="121"/>
      <c r="AM157" s="121"/>
      <c r="AN157" s="222" t="s">
        <v>2458</v>
      </c>
      <c r="AO157" s="540" t="str">
        <f>"Прочие на " &amp; AN10</f>
        <v>Прочие на 01.01 - 30.06</v>
      </c>
      <c r="AP157" s="257">
        <f>SUMIF(AQ$14:AU$14,AP$14,AQ157:AU157)</f>
        <v>11.696517000000002</v>
      </c>
      <c r="AQ157" s="321"/>
      <c r="AR157" s="260"/>
      <c r="AS157" s="546"/>
      <c r="AT157" s="545">
        <f>AT158*AT159</f>
        <v>11.696517000000002</v>
      </c>
      <c r="AU157" s="258"/>
      <c r="AV157" s="121"/>
      <c r="AW157" s="121"/>
    </row>
    <row r="158" spans="38:49" s="121" customFormat="1" ht="12.75">
      <c r="AN158" s="222" t="s">
        <v>40</v>
      </c>
      <c r="AO158" s="502" t="s">
        <v>348</v>
      </c>
      <c r="AP158" s="254"/>
      <c r="AQ158" s="321"/>
      <c r="AR158" s="260"/>
      <c r="AS158" s="546"/>
      <c r="AT158" s="630">
        <f>IF($AP$8="I",SUMIF('ТМ2 01.01 - 30.06'!$C$21:$C$25,AT$9,'ТМ2 01.01 - 30.06'!$EV$21:$EV$25),IF($AP$8="II",SUMIF('ТМ2 01.07 - 31.08'!$C$21:$C$25,AT$9,'ТМ2 01.07 - 31.08'!$EV$21:$EV$25),IF($AP$8="III",SUMIF('ТМ2 01.09 - 31.12'!$C$21:$C$25,AT$9,'ТМ2 01.09 - 31.12'!$EV$21:$EV$25),0)))</f>
        <v>49.29</v>
      </c>
      <c r="AU158" s="258"/>
    </row>
    <row r="159" spans="38:49" s="121" customFormat="1">
      <c r="AN159" s="222" t="s">
        <v>41</v>
      </c>
      <c r="AO159" s="502" t="s">
        <v>372</v>
      </c>
      <c r="AP159" s="257">
        <f>SUMIF(AQ$8:AU$8,"NO_TRANSPORT",AQ159:AU159)</f>
        <v>0.23730000000000004</v>
      </c>
      <c r="AQ159" s="321"/>
      <c r="AR159" s="260"/>
      <c r="AS159" s="260"/>
      <c r="AT159" s="629">
        <f>SUMIF(БПр!$BF$129:$BF$158,AT$9&amp;"-"&amp;$AP$8,БПр!$O$129:$O$158)/1000</f>
        <v>0.23730000000000004</v>
      </c>
      <c r="AU159" s="258"/>
    </row>
    <row r="160" spans="38:49" s="121" customFormat="1" ht="0.75" customHeight="1">
      <c r="AN160" s="222"/>
      <c r="AO160" s="502"/>
      <c r="AP160" s="323"/>
      <c r="AQ160" s="321"/>
      <c r="AR160" s="260"/>
      <c r="AS160" s="260"/>
      <c r="AT160" s="260"/>
      <c r="AU160" s="258"/>
    </row>
    <row r="161" spans="1:49" s="121" customFormat="1">
      <c r="AN161" s="722" t="s">
        <v>2664</v>
      </c>
      <c r="AO161" s="721" t="s">
        <v>2724</v>
      </c>
      <c r="AP161" s="257">
        <f>SUMIF(AQ$14:AU$14,AP$14,AQ161:AU161)</f>
        <v>0</v>
      </c>
      <c r="AQ161" s="321"/>
      <c r="AR161" s="260"/>
      <c r="AS161" s="260"/>
      <c r="AT161" s="261"/>
      <c r="AU161" s="258"/>
    </row>
    <row r="162" spans="1:49" s="121" customFormat="1" hidden="1">
      <c r="AN162" s="222"/>
      <c r="AO162" s="502"/>
      <c r="AP162" s="323"/>
      <c r="AQ162" s="321"/>
      <c r="AR162" s="260"/>
      <c r="AS162" s="260"/>
      <c r="AT162" s="260"/>
      <c r="AU162" s="258"/>
    </row>
    <row r="163" spans="1:49" s="121" customFormat="1" hidden="1">
      <c r="AN163" s="222"/>
      <c r="AO163" s="502"/>
      <c r="AP163" s="323"/>
      <c r="AQ163" s="321"/>
      <c r="AR163" s="260"/>
      <c r="AS163" s="260"/>
      <c r="AT163" s="260"/>
      <c r="AU163" s="258"/>
    </row>
    <row r="164" spans="1:49" ht="0.75" customHeight="1">
      <c r="AL164" s="121"/>
      <c r="AM164" s="121"/>
      <c r="AN164" s="223"/>
      <c r="AO164" s="216"/>
      <c r="AP164" s="543"/>
      <c r="AQ164" s="523"/>
      <c r="AR164" s="547"/>
      <c r="AS164" s="547"/>
      <c r="AT164" s="547"/>
      <c r="AU164" s="265"/>
      <c r="AV164" s="121"/>
      <c r="AW164" s="121"/>
    </row>
    <row r="165" spans="1:49" s="54" customFormat="1">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48"/>
      <c r="AV165" s="121"/>
      <c r="AW165" s="121"/>
    </row>
    <row r="166" spans="1:49" s="54" customFormat="1">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47"/>
      <c r="AR166" s="47"/>
      <c r="AS166" s="47"/>
      <c r="AT166" s="47"/>
      <c r="AU166" s="47"/>
      <c r="AV166" s="121"/>
      <c r="AW166" s="121"/>
    </row>
    <row r="167" spans="1:49">
      <c r="AL167" s="121"/>
      <c r="AM167" s="121"/>
    </row>
  </sheetData>
  <sheetProtection password="FA9C" sheet="1" objects="1" scenarios="1" formatColumns="0" formatRows="0"/>
  <mergeCells count="8">
    <mergeCell ref="AR13:AT13"/>
    <mergeCell ref="AN9:AP9"/>
    <mergeCell ref="AN11:AN12"/>
    <mergeCell ref="AO11:AO12"/>
    <mergeCell ref="AP11:AP12"/>
    <mergeCell ref="AR10:AT10"/>
    <mergeCell ref="AR11:AT11"/>
    <mergeCell ref="AR12:AT12"/>
  </mergeCells>
  <phoneticPr fontId="8"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sheetPr codeName="VOTV_ConR_PERIOD2">
    <tabColor rgb="FF7030A0"/>
    <outlinePr summaryBelow="0"/>
  </sheetPr>
  <dimension ref="A1:AW167"/>
  <sheetViews>
    <sheetView showGridLines="0" topLeftCell="AL8" workbookViewId="0">
      <selection activeCell="AO11" sqref="AO11:AO12"/>
    </sheetView>
  </sheetViews>
  <sheetFormatPr defaultColWidth="8.7109375" defaultRowHeight="11.25"/>
  <cols>
    <col min="1" max="37" width="2.7109375" style="121"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3" width="0.140625" style="47" customWidth="1"/>
    <col min="44" max="45" width="0.140625" style="47" hidden="1" customWidth="1"/>
    <col min="46" max="46" width="17.7109375" style="47" customWidth="1"/>
    <col min="47" max="47" width="0.140625" style="47" customWidth="1"/>
    <col min="48" max="49" width="2.7109375" style="47" customWidth="1"/>
    <col min="50" max="16384" width="8.7109375" style="47"/>
  </cols>
  <sheetData>
    <row r="1" spans="1:49" ht="12" hidden="1" customHeight="1">
      <c r="A1" s="47"/>
      <c r="B1" s="47"/>
      <c r="C1" s="47"/>
      <c r="D1" s="47"/>
      <c r="E1" s="47"/>
      <c r="F1" s="47"/>
      <c r="G1" s="47"/>
      <c r="H1" s="47"/>
      <c r="I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row>
    <row r="2" spans="1:49" ht="12" hidden="1" customHeight="1">
      <c r="A2" s="47"/>
      <c r="B2" s="47"/>
      <c r="C2" s="47"/>
      <c r="D2" s="47"/>
      <c r="E2" s="47"/>
      <c r="F2" s="47"/>
      <c r="G2" s="47"/>
      <c r="H2" s="47"/>
      <c r="I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row>
    <row r="3" spans="1:49" ht="12" hidden="1" customHeight="1">
      <c r="A3" s="47"/>
      <c r="B3" s="47"/>
      <c r="C3" s="47"/>
      <c r="D3" s="47"/>
      <c r="E3" s="47"/>
      <c r="F3" s="47"/>
      <c r="G3" s="47"/>
      <c r="H3" s="47"/>
      <c r="I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row>
    <row r="4" spans="1:49" ht="12" hidden="1" customHeight="1">
      <c r="A4" s="47"/>
      <c r="B4" s="47"/>
      <c r="C4" s="47"/>
      <c r="D4" s="47"/>
      <c r="E4" s="47"/>
      <c r="F4" s="47"/>
      <c r="G4" s="47"/>
      <c r="H4" s="47"/>
      <c r="I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row>
    <row r="5" spans="1:49" ht="12" hidden="1" customHeight="1">
      <c r="A5" s="47"/>
      <c r="B5" s="47"/>
      <c r="C5" s="47"/>
      <c r="D5" s="47"/>
      <c r="E5" s="47"/>
      <c r="F5" s="47"/>
      <c r="G5" s="47"/>
      <c r="H5" s="47"/>
      <c r="I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row>
    <row r="6" spans="1:49" ht="12" hidden="1" customHeight="1">
      <c r="A6" s="47"/>
      <c r="B6" s="47"/>
      <c r="C6" s="47"/>
      <c r="D6" s="47"/>
      <c r="E6" s="47"/>
      <c r="F6" s="47"/>
      <c r="G6" s="47"/>
      <c r="H6" s="47"/>
      <c r="I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row>
    <row r="7" spans="1:49" ht="12" hidden="1" customHeight="1">
      <c r="A7" s="47"/>
      <c r="B7" s="47"/>
      <c r="C7" s="47"/>
      <c r="D7" s="47"/>
      <c r="E7" s="47"/>
      <c r="F7" s="47"/>
      <c r="G7" s="47"/>
      <c r="H7" s="47"/>
      <c r="I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row>
    <row r="8" spans="1:49" s="520" customFormat="1" ht="11.25" customHeight="1">
      <c r="J8" s="521"/>
      <c r="AM8" s="522"/>
      <c r="AN8" s="637">
        <f>IF(TARIFF_SETUP_METHOD_CODE="BY_PSEUDO_YEARS",12,IF(TEMPLATE_CLAIM="P",6,2))</f>
        <v>2</v>
      </c>
      <c r="AO8" s="431" t="str">
        <f>"Необходимо указывать " &amp; IF(TARIFF_SETUP_METHOD_CODE="BY_PSEUDO_YEARS","общегодовые значения","значения по периодам")</f>
        <v>Необходимо указывать значения по периодам</v>
      </c>
      <c r="AP8" s="616" t="s">
        <v>2497</v>
      </c>
      <c r="AQ8" s="522"/>
      <c r="AR8" s="624"/>
      <c r="AS8" s="624"/>
      <c r="AT8" s="624" t="s">
        <v>3269</v>
      </c>
      <c r="AU8" s="522"/>
      <c r="AV8" s="522"/>
    </row>
    <row r="9" spans="1:49"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на реализацию " &amp; RESOURCE_IDENTIFIER &amp; " конечным потребителям по муниципальному образованию - " &amp; IF(mo="","Не определено",mo)</f>
        <v>Фактические расходы организаций водоотведения на реализацию стоков конечным потребителям по муниципальному образованию - Село Булава</v>
      </c>
      <c r="AO9" s="917"/>
      <c r="AP9" s="917"/>
      <c r="AQ9" s="201"/>
      <c r="AR9" s="625" t="str">
        <f>AR11 &amp; ".1"</f>
        <v>1.1</v>
      </c>
      <c r="AS9" s="625" t="str">
        <f>AR11 &amp; ".2"</f>
        <v>1.2</v>
      </c>
      <c r="AT9" s="625" t="str">
        <f>AR11 &amp; ".0"</f>
        <v>1.0</v>
      </c>
      <c r="AU9" s="122"/>
      <c r="AV9" s="200"/>
    </row>
    <row r="10" spans="1:49" ht="12" customHeight="1">
      <c r="A10" s="47"/>
      <c r="B10" s="47"/>
      <c r="C10" s="47"/>
      <c r="D10" s="47"/>
      <c r="E10" s="47"/>
      <c r="F10" s="47"/>
      <c r="G10" s="47"/>
      <c r="H10" s="47"/>
      <c r="I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M10" s="124"/>
      <c r="AN10" s="491" t="str">
        <f>IF(TEMPLATE_CLAIM="P","01.07 - 31.12","01.07 - 31.08")</f>
        <v>01.07 - 31.08</v>
      </c>
      <c r="AO10" s="221"/>
      <c r="AP10" s="122" t="s">
        <v>786</v>
      </c>
      <c r="AQ10" s="201"/>
      <c r="AR10" s="814" t="s">
        <v>719</v>
      </c>
      <c r="AS10" s="814"/>
      <c r="AT10" s="814"/>
      <c r="AU10" s="168" t="s">
        <v>720</v>
      </c>
      <c r="AV10" s="53"/>
    </row>
    <row r="11" spans="1:49" ht="12" customHeight="1">
      <c r="A11" s="47"/>
      <c r="B11" s="47"/>
      <c r="C11" s="47"/>
      <c r="D11" s="47"/>
      <c r="E11" s="47"/>
      <c r="F11" s="47"/>
      <c r="G11" s="47"/>
      <c r="H11" s="47"/>
      <c r="I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50"/>
      <c r="AM11" s="125"/>
      <c r="AN11" s="802" t="s">
        <v>641</v>
      </c>
      <c r="AO11" s="804" t="s">
        <v>787</v>
      </c>
      <c r="AP11" s="806" t="s">
        <v>778</v>
      </c>
      <c r="AQ11" s="206">
        <v>0</v>
      </c>
      <c r="AR11" s="808">
        <v>1</v>
      </c>
      <c r="AS11" s="809"/>
      <c r="AT11" s="810"/>
      <c r="AU11" s="206"/>
      <c r="AV11" s="220"/>
    </row>
    <row r="12" spans="1:49" ht="48" customHeight="1">
      <c r="A12" s="47"/>
      <c r="B12" s="47"/>
      <c r="C12" s="47"/>
      <c r="D12" s="47"/>
      <c r="E12" s="47"/>
      <c r="F12" s="47"/>
      <c r="G12" s="47"/>
      <c r="H12" s="47"/>
      <c r="I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50"/>
      <c r="AM12" s="125"/>
      <c r="AN12" s="803"/>
      <c r="AO12" s="805"/>
      <c r="AP12" s="807"/>
      <c r="AQ12" s="207"/>
      <c r="AR12" s="964" t="str">
        <f>IF('Список организаций'!$I$16="","Не определено",'Список организаций'!$I$16)</f>
        <v>МУП СП "Село Булава" Булавинское ТЭП"</v>
      </c>
      <c r="AS12" s="797"/>
      <c r="AT12" s="798"/>
      <c r="AU12" s="207"/>
      <c r="AV12" s="121"/>
      <c r="AW12" s="121"/>
    </row>
    <row r="13" spans="1:49" ht="11.25" customHeight="1">
      <c r="A13" s="47"/>
      <c r="B13" s="47"/>
      <c r="C13" s="47"/>
      <c r="D13" s="47"/>
      <c r="E13" s="47"/>
      <c r="F13" s="47"/>
      <c r="G13" s="47"/>
      <c r="H13" s="47"/>
      <c r="I13" s="47"/>
      <c r="AL13" s="121"/>
      <c r="AM13" s="121"/>
      <c r="AN13" s="222"/>
      <c r="AO13" s="501" t="s">
        <v>788</v>
      </c>
      <c r="AP13" s="542"/>
      <c r="AQ13" s="330"/>
      <c r="AR13" s="963" t="str">
        <f>IF('Список организаций'!$M$16="","Не определено",'Список организаций'!$M$16)</f>
        <v>нет</v>
      </c>
      <c r="AS13" s="800"/>
      <c r="AT13" s="801"/>
      <c r="AU13" s="207"/>
      <c r="AV13" s="121"/>
      <c r="AW13" s="121"/>
    </row>
    <row r="14" spans="1:49">
      <c r="A14" s="47"/>
      <c r="B14" s="47"/>
      <c r="C14" s="47"/>
      <c r="D14" s="47"/>
      <c r="E14" s="47"/>
      <c r="F14" s="47"/>
      <c r="G14" s="47"/>
      <c r="H14" s="47"/>
      <c r="I14" s="47"/>
      <c r="AL14" s="121"/>
      <c r="AM14" s="121"/>
      <c r="AN14" s="222"/>
      <c r="AO14" s="556" t="str">
        <f>IF(CALC_IDENTIFIER="","",CALC_IDENTIFIER)</f>
        <v/>
      </c>
      <c r="AP14" s="557" t="s">
        <v>745</v>
      </c>
      <c r="AQ14" s="330"/>
      <c r="AR14" s="568"/>
      <c r="AS14" s="568"/>
      <c r="AT14" s="568" t="s">
        <v>745</v>
      </c>
      <c r="AU14" s="207"/>
      <c r="AV14" s="121"/>
      <c r="AW14" s="121"/>
    </row>
    <row r="15" spans="1:49" ht="0.75" customHeight="1">
      <c r="AL15" s="121"/>
      <c r="AM15" s="121"/>
      <c r="AN15" s="504"/>
      <c r="AO15" s="566"/>
      <c r="AP15" s="323"/>
      <c r="AQ15" s="321"/>
      <c r="AR15" s="553"/>
      <c r="AS15" s="553"/>
      <c r="AT15" s="553"/>
      <c r="AU15" s="258"/>
      <c r="AV15" s="121"/>
      <c r="AW15" s="121"/>
    </row>
    <row r="16" spans="1:49" ht="0.75" customHeight="1">
      <c r="AL16" s="121"/>
      <c r="AM16" s="121"/>
      <c r="AN16" s="504"/>
      <c r="AO16" s="527"/>
      <c r="AP16" s="260"/>
      <c r="AQ16" s="321"/>
      <c r="AR16" s="553"/>
      <c r="AS16" s="553"/>
      <c r="AT16" s="553"/>
      <c r="AU16" s="258"/>
      <c r="AV16" s="121"/>
      <c r="AW16" s="121"/>
    </row>
    <row r="17" spans="38:49">
      <c r="AL17" s="121"/>
      <c r="AM17" s="121"/>
      <c r="AN17" s="504" t="s">
        <v>751</v>
      </c>
      <c r="AO17" s="526" t="s">
        <v>2814</v>
      </c>
      <c r="AP17" s="257">
        <f>SUMIF(AQ$14:AU$14,AP$14,AQ17:AU17)</f>
        <v>17.123726233168686</v>
      </c>
      <c r="AQ17" s="321"/>
      <c r="AR17" s="260"/>
      <c r="AS17" s="260"/>
      <c r="AT17" s="257">
        <f>AT18+AT47+AT48+AT49+AT53+AT54+AT55+AT80+AT86+AT90+AT91+AT92+AT93+AT96+AT97+AT98+AT99+AT109</f>
        <v>17.123726233168686</v>
      </c>
      <c r="AU17" s="258"/>
      <c r="AV17" s="121"/>
      <c r="AW17" s="121"/>
    </row>
    <row r="18" spans="38:49">
      <c r="AL18" s="121"/>
      <c r="AM18" s="121"/>
      <c r="AN18" s="504" t="s">
        <v>66</v>
      </c>
      <c r="AO18" s="527" t="s">
        <v>2815</v>
      </c>
      <c r="AP18" s="257">
        <f>SUMIF(AQ$14:AU$14,AP$14,AQ18:AU18)</f>
        <v>0</v>
      </c>
      <c r="AQ18" s="321"/>
      <c r="AR18" s="260"/>
      <c r="AS18" s="260"/>
      <c r="AT18" s="257">
        <f>AT19+AT46</f>
        <v>0</v>
      </c>
      <c r="AU18" s="258"/>
      <c r="AV18" s="121"/>
      <c r="AW18" s="121"/>
    </row>
    <row r="19" spans="38:49">
      <c r="AL19" s="121"/>
      <c r="AM19" s="121"/>
      <c r="AN19" s="504" t="s">
        <v>632</v>
      </c>
      <c r="AO19" s="528" t="s">
        <v>2816</v>
      </c>
      <c r="AP19" s="257">
        <f>SUMIF(AQ$14:AU$14,AP$14,AQ19:AU19)</f>
        <v>0</v>
      </c>
      <c r="AQ19" s="321"/>
      <c r="AR19" s="260"/>
      <c r="AS19" s="260"/>
      <c r="AT19" s="262">
        <f>IF($AP$8="I",'РО 01.01 - 30.06'!AT19,IF($AP$8="II",'РО 01.07 - 31.08'!AT19,IF($AP$8="III",'РО 01.09 - 31.12'!AT19,0)))*AT143</f>
        <v>0</v>
      </c>
      <c r="AU19" s="258"/>
      <c r="AV19" s="121"/>
      <c r="AW19" s="121"/>
    </row>
    <row r="20" spans="38:49">
      <c r="AL20" s="121"/>
      <c r="AM20" s="121"/>
      <c r="AN20" s="223" t="s">
        <v>2817</v>
      </c>
      <c r="AO20" s="529" t="s">
        <v>2972</v>
      </c>
      <c r="AP20" s="257">
        <f>SUMIF(AQ$14:AU$14,AP$14,AQ20:AU20)</f>
        <v>0</v>
      </c>
      <c r="AQ20" s="321"/>
      <c r="AR20" s="260"/>
      <c r="AS20" s="260"/>
      <c r="AT20" s="262">
        <f>IF($AP$8="I",'РО 01.01 - 30.06'!AT20,IF($AP$8="II",'РО 01.07 - 31.08'!AT20,IF($AP$8="III",'РО 01.09 - 31.12'!AT20,0)))*AT143</f>
        <v>0</v>
      </c>
      <c r="AU20" s="258"/>
      <c r="AV20" s="121"/>
      <c r="AW20" s="121"/>
    </row>
    <row r="21" spans="38:49">
      <c r="AL21" s="121"/>
      <c r="AM21" s="121"/>
      <c r="AN21" s="223" t="s">
        <v>2818</v>
      </c>
      <c r="AO21" s="529" t="s">
        <v>2988</v>
      </c>
      <c r="AP21" s="257">
        <f>SUMIF(AQ$14:AU$14,AP$14,AQ21:AU21)</f>
        <v>0</v>
      </c>
      <c r="AQ21" s="321"/>
      <c r="AR21" s="260"/>
      <c r="AS21" s="260"/>
      <c r="AT21" s="262">
        <f>IF($AP$8="I",'РО 01.01 - 30.06'!AT21,IF($AP$8="II",'РО 01.07 - 31.08'!AT21,IF($AP$8="III",'РО 01.09 - 31.12'!AT21,0)))*AT143</f>
        <v>0</v>
      </c>
      <c r="AU21" s="258"/>
      <c r="AV21" s="121"/>
      <c r="AW21" s="121"/>
    </row>
    <row r="22" spans="38:49" hidden="1">
      <c r="AL22" s="121"/>
      <c r="AM22" s="121"/>
      <c r="AN22" s="223"/>
      <c r="AO22" s="529"/>
      <c r="AP22" s="260"/>
      <c r="AQ22" s="321"/>
      <c r="AR22" s="553"/>
      <c r="AS22" s="553"/>
      <c r="AT22" s="553"/>
      <c r="AU22" s="258"/>
      <c r="AV22" s="121"/>
      <c r="AW22" s="121"/>
    </row>
    <row r="23" spans="38:49" hidden="1">
      <c r="AL23" s="121"/>
      <c r="AM23" s="121"/>
      <c r="AN23" s="223"/>
      <c r="AO23" s="529"/>
      <c r="AP23" s="260"/>
      <c r="AQ23" s="321"/>
      <c r="AR23" s="553"/>
      <c r="AS23" s="553"/>
      <c r="AT23" s="553"/>
      <c r="AU23" s="258"/>
      <c r="AV23" s="121"/>
      <c r="AW23" s="121"/>
    </row>
    <row r="24" spans="38:49" hidden="1">
      <c r="AL24" s="121"/>
      <c r="AM24" s="121"/>
      <c r="AN24" s="223"/>
      <c r="AO24" s="529"/>
      <c r="AP24" s="260"/>
      <c r="AQ24" s="321"/>
      <c r="AR24" s="553"/>
      <c r="AS24" s="553"/>
      <c r="AT24" s="553"/>
      <c r="AU24" s="258"/>
      <c r="AV24" s="121"/>
      <c r="AW24" s="121"/>
    </row>
    <row r="25" spans="38:49" hidden="1">
      <c r="AL25" s="121"/>
      <c r="AM25" s="121"/>
      <c r="AN25" s="223"/>
      <c r="AO25" s="529"/>
      <c r="AP25" s="260"/>
      <c r="AQ25" s="321"/>
      <c r="AR25" s="553"/>
      <c r="AS25" s="553"/>
      <c r="AT25" s="553"/>
      <c r="AU25" s="258"/>
      <c r="AV25" s="121"/>
      <c r="AW25" s="121"/>
    </row>
    <row r="26" spans="38:49" hidden="1">
      <c r="AL26" s="121"/>
      <c r="AM26" s="121"/>
      <c r="AN26" s="223"/>
      <c r="AO26" s="529"/>
      <c r="AP26" s="260"/>
      <c r="AQ26" s="321"/>
      <c r="AR26" s="553"/>
      <c r="AS26" s="553"/>
      <c r="AT26" s="553"/>
      <c r="AU26" s="258"/>
      <c r="AV26" s="121"/>
      <c r="AW26" s="121"/>
    </row>
    <row r="27" spans="38:49" hidden="1">
      <c r="AL27" s="121"/>
      <c r="AM27" s="121"/>
      <c r="AN27" s="223"/>
      <c r="AO27" s="529"/>
      <c r="AP27" s="260"/>
      <c r="AQ27" s="321"/>
      <c r="AR27" s="553"/>
      <c r="AS27" s="553"/>
      <c r="AT27" s="553"/>
      <c r="AU27" s="258"/>
      <c r="AV27" s="121"/>
      <c r="AW27" s="121"/>
    </row>
    <row r="28" spans="38:49" hidden="1">
      <c r="AL28" s="121"/>
      <c r="AM28" s="121"/>
      <c r="AN28" s="223"/>
      <c r="AO28" s="529"/>
      <c r="AP28" s="260"/>
      <c r="AQ28" s="321"/>
      <c r="AR28" s="553"/>
      <c r="AS28" s="553"/>
      <c r="AT28" s="553"/>
      <c r="AU28" s="258"/>
      <c r="AV28" s="121"/>
      <c r="AW28" s="121"/>
    </row>
    <row r="29" spans="38:49" hidden="1">
      <c r="AL29" s="121"/>
      <c r="AM29" s="121"/>
      <c r="AN29" s="223"/>
      <c r="AO29" s="529"/>
      <c r="AP29" s="260"/>
      <c r="AQ29" s="321"/>
      <c r="AR29" s="553"/>
      <c r="AS29" s="553"/>
      <c r="AT29" s="553"/>
      <c r="AU29" s="258"/>
      <c r="AV29" s="121"/>
      <c r="AW29" s="121"/>
    </row>
    <row r="30" spans="38:49" hidden="1">
      <c r="AL30" s="121"/>
      <c r="AM30" s="121"/>
      <c r="AN30" s="223"/>
      <c r="AO30" s="529"/>
      <c r="AP30" s="260"/>
      <c r="AQ30" s="321"/>
      <c r="AR30" s="553"/>
      <c r="AS30" s="553"/>
      <c r="AT30" s="553"/>
      <c r="AU30" s="258"/>
      <c r="AV30" s="121"/>
      <c r="AW30" s="121"/>
    </row>
    <row r="31" spans="38:49" hidden="1">
      <c r="AL31" s="121"/>
      <c r="AM31" s="121"/>
      <c r="AN31" s="223"/>
      <c r="AO31" s="529"/>
      <c r="AP31" s="260"/>
      <c r="AQ31" s="321"/>
      <c r="AR31" s="553"/>
      <c r="AS31" s="553"/>
      <c r="AT31" s="553"/>
      <c r="AU31" s="258"/>
      <c r="AV31" s="121"/>
      <c r="AW31" s="121"/>
    </row>
    <row r="32" spans="38:49" hidden="1">
      <c r="AL32" s="121"/>
      <c r="AM32" s="121"/>
      <c r="AN32" s="223"/>
      <c r="AO32" s="529"/>
      <c r="AP32" s="260"/>
      <c r="AQ32" s="321"/>
      <c r="AR32" s="553"/>
      <c r="AS32" s="553"/>
      <c r="AT32" s="553"/>
      <c r="AU32" s="258"/>
      <c r="AV32" s="121"/>
      <c r="AW32" s="121"/>
    </row>
    <row r="33" spans="38:49" hidden="1">
      <c r="AL33" s="121"/>
      <c r="AM33" s="121"/>
      <c r="AN33" s="223"/>
      <c r="AO33" s="529"/>
      <c r="AP33" s="260"/>
      <c r="AQ33" s="321"/>
      <c r="AR33" s="553"/>
      <c r="AS33" s="553"/>
      <c r="AT33" s="553"/>
      <c r="AU33" s="258"/>
      <c r="AV33" s="121"/>
      <c r="AW33" s="121"/>
    </row>
    <row r="34" spans="38:49" hidden="1">
      <c r="AL34" s="121"/>
      <c r="AM34" s="121"/>
      <c r="AN34" s="223"/>
      <c r="AO34" s="529"/>
      <c r="AP34" s="260"/>
      <c r="AQ34" s="321"/>
      <c r="AR34" s="553"/>
      <c r="AS34" s="553"/>
      <c r="AT34" s="553"/>
      <c r="AU34" s="258"/>
      <c r="AV34" s="121"/>
      <c r="AW34" s="121"/>
    </row>
    <row r="35" spans="38:49" hidden="1">
      <c r="AL35" s="121"/>
      <c r="AM35" s="121"/>
      <c r="AN35" s="223"/>
      <c r="AO35" s="529"/>
      <c r="AP35" s="260"/>
      <c r="AQ35" s="321"/>
      <c r="AR35" s="553"/>
      <c r="AS35" s="553"/>
      <c r="AT35" s="553"/>
      <c r="AU35" s="258"/>
      <c r="AV35" s="121"/>
      <c r="AW35" s="121"/>
    </row>
    <row r="36" spans="38:49" hidden="1">
      <c r="AL36" s="121"/>
      <c r="AM36" s="121"/>
      <c r="AN36" s="223"/>
      <c r="AO36" s="529"/>
      <c r="AP36" s="260"/>
      <c r="AQ36" s="321"/>
      <c r="AR36" s="553"/>
      <c r="AS36" s="553"/>
      <c r="AT36" s="553"/>
      <c r="AU36" s="258"/>
      <c r="AV36" s="121"/>
      <c r="AW36" s="121"/>
    </row>
    <row r="37" spans="38:49" hidden="1">
      <c r="AL37" s="121"/>
      <c r="AM37" s="121"/>
      <c r="AN37" s="223"/>
      <c r="AO37" s="529"/>
      <c r="AP37" s="260"/>
      <c r="AQ37" s="321"/>
      <c r="AR37" s="553"/>
      <c r="AS37" s="553"/>
      <c r="AT37" s="553"/>
      <c r="AU37" s="258"/>
      <c r="AV37" s="121"/>
      <c r="AW37" s="121"/>
    </row>
    <row r="38" spans="38:49" hidden="1">
      <c r="AL38" s="121"/>
      <c r="AM38" s="121"/>
      <c r="AN38" s="223"/>
      <c r="AO38" s="529"/>
      <c r="AP38" s="260"/>
      <c r="AQ38" s="321"/>
      <c r="AR38" s="553"/>
      <c r="AS38" s="553"/>
      <c r="AT38" s="553"/>
      <c r="AU38" s="258"/>
      <c r="AV38" s="121"/>
      <c r="AW38" s="121"/>
    </row>
    <row r="39" spans="38:49" hidden="1">
      <c r="AL39" s="121"/>
      <c r="AM39" s="121"/>
      <c r="AN39" s="223"/>
      <c r="AO39" s="529"/>
      <c r="AP39" s="260"/>
      <c r="AQ39" s="321"/>
      <c r="AR39" s="553"/>
      <c r="AS39" s="553"/>
      <c r="AT39" s="553"/>
      <c r="AU39" s="258"/>
      <c r="AV39" s="121"/>
      <c r="AW39" s="121"/>
    </row>
    <row r="40" spans="38:49" hidden="1">
      <c r="AL40" s="121"/>
      <c r="AM40" s="121"/>
      <c r="AN40" s="223"/>
      <c r="AO40" s="529"/>
      <c r="AP40" s="260"/>
      <c r="AQ40" s="321"/>
      <c r="AR40" s="553"/>
      <c r="AS40" s="553"/>
      <c r="AT40" s="553"/>
      <c r="AU40" s="258"/>
      <c r="AV40" s="121"/>
      <c r="AW40" s="121"/>
    </row>
    <row r="41" spans="38:49" hidden="1">
      <c r="AL41" s="121"/>
      <c r="AM41" s="121"/>
      <c r="AN41" s="223"/>
      <c r="AO41" s="529"/>
      <c r="AP41" s="260"/>
      <c r="AQ41" s="321"/>
      <c r="AR41" s="553"/>
      <c r="AS41" s="553"/>
      <c r="AT41" s="553"/>
      <c r="AU41" s="258"/>
      <c r="AV41" s="121"/>
      <c r="AW41" s="121"/>
    </row>
    <row r="42" spans="38:49" hidden="1">
      <c r="AL42" s="121"/>
      <c r="AM42" s="121"/>
      <c r="AN42" s="223"/>
      <c r="AO42" s="529"/>
      <c r="AP42" s="260"/>
      <c r="AQ42" s="321"/>
      <c r="AR42" s="553"/>
      <c r="AS42" s="553"/>
      <c r="AT42" s="553"/>
      <c r="AU42" s="258"/>
      <c r="AV42" s="121"/>
      <c r="AW42" s="121"/>
    </row>
    <row r="43" spans="38:49" hidden="1">
      <c r="AL43" s="121"/>
      <c r="AM43" s="121"/>
      <c r="AN43" s="223"/>
      <c r="AO43" s="529"/>
      <c r="AP43" s="260"/>
      <c r="AQ43" s="321"/>
      <c r="AR43" s="553"/>
      <c r="AS43" s="553"/>
      <c r="AT43" s="553"/>
      <c r="AU43" s="258"/>
      <c r="AV43" s="121"/>
      <c r="AW43" s="121"/>
    </row>
    <row r="44" spans="38:49" hidden="1">
      <c r="AL44" s="121"/>
      <c r="AM44" s="121"/>
      <c r="AN44" s="223"/>
      <c r="AO44" s="529"/>
      <c r="AP44" s="260"/>
      <c r="AQ44" s="321"/>
      <c r="AR44" s="553"/>
      <c r="AS44" s="553"/>
      <c r="AT44" s="553"/>
      <c r="AU44" s="258"/>
      <c r="AV44" s="121"/>
      <c r="AW44" s="121"/>
    </row>
    <row r="45" spans="38:49" hidden="1">
      <c r="AL45" s="121"/>
      <c r="AM45" s="121"/>
      <c r="AN45" s="223"/>
      <c r="AO45" s="529"/>
      <c r="AP45" s="260"/>
      <c r="AQ45" s="321"/>
      <c r="AR45" s="553"/>
      <c r="AS45" s="553"/>
      <c r="AT45" s="553"/>
      <c r="AU45" s="258"/>
      <c r="AV45" s="121"/>
      <c r="AW45" s="121"/>
    </row>
    <row r="46" spans="38:49">
      <c r="AL46" s="121"/>
      <c r="AM46" s="121"/>
      <c r="AN46" s="504" t="s">
        <v>633</v>
      </c>
      <c r="AO46" s="532" t="s">
        <v>2819</v>
      </c>
      <c r="AP46" s="257">
        <f t="shared" ref="AP46:AP55" si="0">SUMIF(AQ$14:AU$14,AP$14,AQ46:AU46)</f>
        <v>0</v>
      </c>
      <c r="AQ46" s="321"/>
      <c r="AR46" s="260"/>
      <c r="AS46" s="260"/>
      <c r="AT46" s="262">
        <f>IF($AP$8="I",'РО 01.01 - 30.06'!AT46,IF($AP$8="II",'РО 01.07 - 31.08'!AT46,IF($AP$8="III",'РО 01.09 - 31.12'!AT46,0)))*AT143</f>
        <v>0</v>
      </c>
      <c r="AU46" s="258"/>
      <c r="AV46" s="121"/>
      <c r="AW46" s="121"/>
    </row>
    <row r="47" spans="38:49">
      <c r="AL47" s="121"/>
      <c r="AM47" s="121"/>
      <c r="AN47" s="504" t="s">
        <v>69</v>
      </c>
      <c r="AO47" s="527" t="s">
        <v>2820</v>
      </c>
      <c r="AP47" s="257">
        <f t="shared" si="0"/>
        <v>0</v>
      </c>
      <c r="AQ47" s="321"/>
      <c r="AR47" s="260"/>
      <c r="AS47" s="260"/>
      <c r="AT47" s="262">
        <f>IF($AP$8="I",'РО 01.01 - 30.06'!AT47,IF($AP$8="II",'РО 01.07 - 31.08'!AT47,IF($AP$8="III",'РО 01.09 - 31.12'!AT47,0)))*AT143</f>
        <v>0</v>
      </c>
      <c r="AU47" s="258"/>
      <c r="AV47" s="121"/>
      <c r="AW47" s="121"/>
    </row>
    <row r="48" spans="38:49">
      <c r="AL48" s="121"/>
      <c r="AM48" s="121"/>
      <c r="AN48" s="504" t="s">
        <v>72</v>
      </c>
      <c r="AO48" s="527" t="s">
        <v>2471</v>
      </c>
      <c r="AP48" s="257">
        <f t="shared" si="0"/>
        <v>0</v>
      </c>
      <c r="AQ48" s="321"/>
      <c r="AR48" s="260"/>
      <c r="AS48" s="260"/>
      <c r="AT48" s="262">
        <f>IF($AP$8="I",'РО 01.01 - 30.06'!AT48,IF($AP$8="II",'РО 01.07 - 31.08'!AT48,IF($AP$8="III",'РО 01.09 - 31.12'!AT48,0)))*AT143</f>
        <v>0</v>
      </c>
      <c r="AU48" s="258"/>
      <c r="AV48" s="121"/>
      <c r="AW48" s="121"/>
    </row>
    <row r="49" spans="38:49">
      <c r="AL49" s="121"/>
      <c r="AM49" s="121"/>
      <c r="AN49" s="504" t="s">
        <v>2821</v>
      </c>
      <c r="AO49" s="527" t="s">
        <v>2822</v>
      </c>
      <c r="AP49" s="257">
        <f t="shared" si="0"/>
        <v>0</v>
      </c>
      <c r="AQ49" s="321"/>
      <c r="AR49" s="260"/>
      <c r="AS49" s="260"/>
      <c r="AT49" s="257">
        <f>SUM(AT50:AT52)</f>
        <v>0</v>
      </c>
      <c r="AU49" s="258"/>
      <c r="AV49" s="121"/>
      <c r="AW49" s="121"/>
    </row>
    <row r="50" spans="38:49">
      <c r="AL50" s="121"/>
      <c r="AM50" s="121"/>
      <c r="AN50" s="504" t="s">
        <v>888</v>
      </c>
      <c r="AO50" s="528" t="s">
        <v>2823</v>
      </c>
      <c r="AP50" s="257">
        <f t="shared" si="0"/>
        <v>0</v>
      </c>
      <c r="AQ50" s="321"/>
      <c r="AR50" s="260"/>
      <c r="AS50" s="260"/>
      <c r="AT50" s="262">
        <f>IF($AP$8="I",'РО 01.01 - 30.06'!AT50,IF($AP$8="II",'РО 01.07 - 31.08'!AT50,IF($AP$8="III",'РО 01.09 - 31.12'!AT50,0)))*AT143</f>
        <v>0</v>
      </c>
      <c r="AU50" s="258"/>
      <c r="AV50" s="121"/>
      <c r="AW50" s="121"/>
    </row>
    <row r="51" spans="38:49">
      <c r="AL51" s="121"/>
      <c r="AM51" s="121"/>
      <c r="AN51" s="504" t="s">
        <v>889</v>
      </c>
      <c r="AO51" s="528" t="s">
        <v>2824</v>
      </c>
      <c r="AP51" s="257">
        <f t="shared" si="0"/>
        <v>0</v>
      </c>
      <c r="AQ51" s="321"/>
      <c r="AR51" s="260"/>
      <c r="AS51" s="260"/>
      <c r="AT51" s="262">
        <f>IF($AP$8="I",'РО 01.01 - 30.06'!AT51,IF($AP$8="II",'РО 01.07 - 31.08'!AT51,IF($AP$8="III",'РО 01.09 - 31.12'!AT51,0)))*AT143</f>
        <v>0</v>
      </c>
      <c r="AU51" s="258"/>
      <c r="AV51" s="121"/>
      <c r="AW51" s="121"/>
    </row>
    <row r="52" spans="38:49">
      <c r="AL52" s="121"/>
      <c r="AM52" s="121"/>
      <c r="AN52" s="504" t="s">
        <v>890</v>
      </c>
      <c r="AO52" s="528" t="s">
        <v>2825</v>
      </c>
      <c r="AP52" s="257">
        <f t="shared" si="0"/>
        <v>0</v>
      </c>
      <c r="AQ52" s="321"/>
      <c r="AR52" s="260"/>
      <c r="AS52" s="260"/>
      <c r="AT52" s="262">
        <f>IF($AP$8="I",'РО 01.01 - 30.06'!AT52,IF($AP$8="II",'РО 01.07 - 31.08'!AT52,IF($AP$8="III",'РО 01.09 - 31.12'!AT52,0)))*AT143</f>
        <v>0</v>
      </c>
      <c r="AU52" s="258"/>
      <c r="AV52" s="121"/>
      <c r="AW52" s="121"/>
    </row>
    <row r="53" spans="38:49">
      <c r="AL53" s="121"/>
      <c r="AM53" s="121"/>
      <c r="AN53" s="504" t="s">
        <v>2826</v>
      </c>
      <c r="AO53" s="527" t="s">
        <v>2827</v>
      </c>
      <c r="AP53" s="257">
        <f t="shared" si="0"/>
        <v>0</v>
      </c>
      <c r="AQ53" s="321"/>
      <c r="AR53" s="260"/>
      <c r="AS53" s="260"/>
      <c r="AT53" s="262">
        <f>IF($AP$8="I",'РО 01.01 - 30.06'!AT53,IF($AP$8="II",'РО 01.07 - 31.08'!AT53,IF($AP$8="III",'РО 01.09 - 31.12'!AT53,0)))*AT143</f>
        <v>0</v>
      </c>
      <c r="AU53" s="258"/>
      <c r="AV53" s="121"/>
      <c r="AW53" s="121"/>
    </row>
    <row r="54" spans="38:49">
      <c r="AL54" s="121"/>
      <c r="AM54" s="121"/>
      <c r="AN54" s="504" t="s">
        <v>2828</v>
      </c>
      <c r="AO54" s="527" t="s">
        <v>2829</v>
      </c>
      <c r="AP54" s="257">
        <f t="shared" si="0"/>
        <v>0</v>
      </c>
      <c r="AQ54" s="321"/>
      <c r="AR54" s="260"/>
      <c r="AS54" s="260"/>
      <c r="AT54" s="262">
        <f>IF($AP$8="I",'РО 01.01 - 30.06'!AT54,IF($AP$8="II",'РО 01.07 - 31.08'!AT54,IF($AP$8="III",'РО 01.09 - 31.12'!AT54,0)))*AT143</f>
        <v>0</v>
      </c>
      <c r="AU54" s="258"/>
      <c r="AV54" s="121"/>
      <c r="AW54" s="121"/>
    </row>
    <row r="55" spans="38:49">
      <c r="AL55" s="121"/>
      <c r="AM55" s="121"/>
      <c r="AN55" s="504" t="s">
        <v>2830</v>
      </c>
      <c r="AO55" s="527" t="s">
        <v>2831</v>
      </c>
      <c r="AP55" s="257">
        <f t="shared" si="0"/>
        <v>11.134261452060358</v>
      </c>
      <c r="AQ55" s="321"/>
      <c r="AR55" s="260"/>
      <c r="AS55" s="260"/>
      <c r="AT55" s="257">
        <f>SUM(AT59,AT65,AT71,AT74,AT77)</f>
        <v>11.134261452060358</v>
      </c>
      <c r="AU55" s="258"/>
      <c r="AV55" s="121"/>
      <c r="AW55" s="121"/>
    </row>
    <row r="56" spans="38:49" hidden="1">
      <c r="AL56" s="121"/>
      <c r="AM56" s="121"/>
      <c r="AN56" s="279"/>
      <c r="AO56" s="558"/>
      <c r="AP56" s="222"/>
      <c r="AQ56" s="321"/>
      <c r="AR56" s="553"/>
      <c r="AS56" s="553"/>
      <c r="AT56" s="553"/>
      <c r="AU56" s="258"/>
      <c r="AV56" s="121"/>
      <c r="AW56" s="121"/>
    </row>
    <row r="57" spans="38:49" hidden="1">
      <c r="AL57" s="121"/>
      <c r="AM57" s="121"/>
      <c r="AN57" s="279"/>
      <c r="AO57" s="558"/>
      <c r="AP57" s="222"/>
      <c r="AQ57" s="321"/>
      <c r="AR57" s="553"/>
      <c r="AS57" s="553"/>
      <c r="AT57" s="553"/>
      <c r="AU57" s="258"/>
      <c r="AV57" s="121"/>
      <c r="AW57" s="121"/>
    </row>
    <row r="58" spans="38:49" hidden="1">
      <c r="AL58" s="121"/>
      <c r="AM58" s="121"/>
      <c r="AN58" s="279"/>
      <c r="AO58" s="558"/>
      <c r="AP58" s="222"/>
      <c r="AQ58" s="321"/>
      <c r="AR58" s="553"/>
      <c r="AS58" s="553"/>
      <c r="AT58" s="553"/>
      <c r="AU58" s="258"/>
      <c r="AV58" s="121"/>
      <c r="AW58" s="121"/>
    </row>
    <row r="59" spans="38:49">
      <c r="AL59" s="121"/>
      <c r="AM59" s="121"/>
      <c r="AN59" s="222" t="s">
        <v>2832</v>
      </c>
      <c r="AO59" s="533" t="s">
        <v>1832</v>
      </c>
      <c r="AP59" s="257">
        <f>SUMIF(AQ$14:AU$14,AP$14,AQ59:AU59)</f>
        <v>0</v>
      </c>
      <c r="AQ59" s="321"/>
      <c r="AR59" s="260"/>
      <c r="AS59" s="260"/>
      <c r="AT59" s="262">
        <f>IF($AP$8="I",'РО 01.01 - 30.06'!AT59,IF($AP$8="II",'РО 01.07 - 31.08'!AT59,IF($AP$8="III",'РО 01.09 - 31.12'!AT59,0)))*AT143</f>
        <v>0</v>
      </c>
      <c r="AU59" s="258"/>
      <c r="AV59" s="121"/>
      <c r="AW59" s="121"/>
    </row>
    <row r="60" spans="38:49" hidden="1">
      <c r="AL60" s="121"/>
      <c r="AM60" s="121"/>
      <c r="AN60" s="222"/>
      <c r="AO60" s="529"/>
      <c r="AP60" s="222"/>
      <c r="AQ60" s="321"/>
      <c r="AR60" s="553"/>
      <c r="AS60" s="553"/>
      <c r="AT60" s="553"/>
      <c r="AU60" s="258"/>
      <c r="AV60" s="121"/>
      <c r="AW60" s="121"/>
    </row>
    <row r="61" spans="38:49" hidden="1">
      <c r="AL61" s="121"/>
      <c r="AM61" s="121"/>
      <c r="AN61" s="222"/>
      <c r="AO61" s="529"/>
      <c r="AP61" s="222"/>
      <c r="AQ61" s="321"/>
      <c r="AR61" s="553"/>
      <c r="AS61" s="553"/>
      <c r="AT61" s="553"/>
      <c r="AU61" s="258"/>
      <c r="AV61" s="121"/>
      <c r="AW61" s="121"/>
    </row>
    <row r="62" spans="38:49" hidden="1">
      <c r="AL62" s="121"/>
      <c r="AM62" s="121"/>
      <c r="AN62" s="222"/>
      <c r="AO62" s="558"/>
      <c r="AP62" s="222"/>
      <c r="AQ62" s="321"/>
      <c r="AR62" s="553"/>
      <c r="AS62" s="553"/>
      <c r="AT62" s="553"/>
      <c r="AU62" s="258"/>
      <c r="AV62" s="121"/>
      <c r="AW62" s="121"/>
    </row>
    <row r="63" spans="38:49" hidden="1">
      <c r="AL63" s="121"/>
      <c r="AM63" s="121"/>
      <c r="AN63" s="222"/>
      <c r="AO63" s="558"/>
      <c r="AP63" s="222"/>
      <c r="AQ63" s="321"/>
      <c r="AR63" s="553"/>
      <c r="AS63" s="553"/>
      <c r="AT63" s="553"/>
      <c r="AU63" s="258"/>
      <c r="AV63" s="121"/>
      <c r="AW63" s="121"/>
    </row>
    <row r="64" spans="38:49" hidden="1">
      <c r="AL64" s="121"/>
      <c r="AM64" s="121"/>
      <c r="AN64" s="222"/>
      <c r="AO64" s="558"/>
      <c r="AP64" s="222"/>
      <c r="AQ64" s="321"/>
      <c r="AR64" s="553"/>
      <c r="AS64" s="553"/>
      <c r="AT64" s="553"/>
      <c r="AU64" s="258"/>
      <c r="AV64" s="121"/>
      <c r="AW64" s="121"/>
    </row>
    <row r="65" spans="38:49">
      <c r="AL65" s="121"/>
      <c r="AM65" s="121"/>
      <c r="AN65" s="222" t="s">
        <v>2835</v>
      </c>
      <c r="AO65" s="533" t="s">
        <v>1838</v>
      </c>
      <c r="AP65" s="257">
        <f>SUMIF(AQ$14:AU$14,AP$14,AQ65:AU65)</f>
        <v>8.8306211516340767</v>
      </c>
      <c r="AQ65" s="321"/>
      <c r="AR65" s="260"/>
      <c r="AS65" s="260"/>
      <c r="AT65" s="262">
        <f>IF($AP$8="I",'РО 01.01 - 30.06'!AT65,IF($AP$8="II",'РО 01.07 - 31.08'!AT65,IF($AP$8="III",'РО 01.09 - 31.12'!AT65,0)))*AT143</f>
        <v>8.8306211516340767</v>
      </c>
      <c r="AU65" s="258"/>
      <c r="AV65" s="121"/>
      <c r="AW65" s="121"/>
    </row>
    <row r="66" spans="38:49" hidden="1">
      <c r="AL66" s="121"/>
      <c r="AM66" s="121"/>
      <c r="AN66" s="222"/>
      <c r="AO66" s="534"/>
      <c r="AP66" s="222"/>
      <c r="AQ66" s="321"/>
      <c r="AR66" s="553"/>
      <c r="AS66" s="553"/>
      <c r="AT66" s="553"/>
      <c r="AU66" s="258"/>
      <c r="AV66" s="121"/>
      <c r="AW66" s="121"/>
    </row>
    <row r="67" spans="38:49" hidden="1">
      <c r="AL67" s="121"/>
      <c r="AM67" s="121"/>
      <c r="AN67" s="222"/>
      <c r="AO67" s="534"/>
      <c r="AP67" s="222"/>
      <c r="AQ67" s="321"/>
      <c r="AR67" s="553"/>
      <c r="AS67" s="553"/>
      <c r="AT67" s="553"/>
      <c r="AU67" s="258"/>
      <c r="AV67" s="121"/>
      <c r="AW67" s="121"/>
    </row>
    <row r="68" spans="38:49" hidden="1">
      <c r="AL68" s="121"/>
      <c r="AM68" s="121"/>
      <c r="AN68" s="222"/>
      <c r="AO68" s="558"/>
      <c r="AP68" s="222"/>
      <c r="AQ68" s="321"/>
      <c r="AR68" s="553"/>
      <c r="AS68" s="553"/>
      <c r="AT68" s="553"/>
      <c r="AU68" s="258"/>
      <c r="AV68" s="121"/>
      <c r="AW68" s="121"/>
    </row>
    <row r="69" spans="38:49" hidden="1">
      <c r="AL69" s="121"/>
      <c r="AM69" s="121"/>
      <c r="AN69" s="222"/>
      <c r="AO69" s="558"/>
      <c r="AP69" s="222"/>
      <c r="AQ69" s="321"/>
      <c r="AR69" s="553"/>
      <c r="AS69" s="553"/>
      <c r="AT69" s="553"/>
      <c r="AU69" s="258"/>
      <c r="AV69" s="121"/>
      <c r="AW69" s="121"/>
    </row>
    <row r="70" spans="38:49" hidden="1">
      <c r="AL70" s="121"/>
      <c r="AM70" s="121"/>
      <c r="AN70" s="222"/>
      <c r="AO70" s="558"/>
      <c r="AP70" s="222"/>
      <c r="AQ70" s="321"/>
      <c r="AR70" s="553"/>
      <c r="AS70" s="553"/>
      <c r="AT70" s="553"/>
      <c r="AU70" s="258"/>
      <c r="AV70" s="121"/>
      <c r="AW70" s="121"/>
    </row>
    <row r="71" spans="38:49">
      <c r="AL71" s="121"/>
      <c r="AM71" s="121"/>
      <c r="AN71" s="222" t="s">
        <v>2838</v>
      </c>
      <c r="AO71" s="533" t="s">
        <v>1843</v>
      </c>
      <c r="AP71" s="257">
        <f>SUMIF(AQ$14:AU$14,AP$14,AQ71:AU71)</f>
        <v>0</v>
      </c>
      <c r="AQ71" s="321"/>
      <c r="AR71" s="260"/>
      <c r="AS71" s="260"/>
      <c r="AT71" s="262">
        <f>IF($AP$8="I",'РО 01.01 - 30.06'!AT71,IF($AP$8="II",'РО 01.07 - 31.08'!AT71,IF($AP$8="III",'РО 01.09 - 31.12'!AT71,0)))*AT143</f>
        <v>0</v>
      </c>
      <c r="AU71" s="258"/>
      <c r="AV71" s="121"/>
      <c r="AW71" s="121"/>
    </row>
    <row r="72" spans="38:49" hidden="1">
      <c r="AL72" s="121"/>
      <c r="AM72" s="121"/>
      <c r="AN72" s="222"/>
      <c r="AO72" s="534"/>
      <c r="AP72" s="222"/>
      <c r="AQ72" s="321"/>
      <c r="AR72" s="553"/>
      <c r="AS72" s="553"/>
      <c r="AT72" s="553"/>
      <c r="AU72" s="258"/>
      <c r="AV72" s="121"/>
      <c r="AW72" s="121"/>
    </row>
    <row r="73" spans="38:49" hidden="1">
      <c r="AL73" s="121"/>
      <c r="AM73" s="121"/>
      <c r="AN73" s="222"/>
      <c r="AO73" s="534"/>
      <c r="AP73" s="222"/>
      <c r="AQ73" s="321"/>
      <c r="AR73" s="553"/>
      <c r="AS73" s="553"/>
      <c r="AT73" s="553"/>
      <c r="AU73" s="258"/>
      <c r="AV73" s="121"/>
      <c r="AW73" s="121"/>
    </row>
    <row r="74" spans="38:49">
      <c r="AL74" s="121"/>
      <c r="AM74" s="121"/>
      <c r="AN74" s="222" t="s">
        <v>2841</v>
      </c>
      <c r="AO74" s="533" t="s">
        <v>1849</v>
      </c>
      <c r="AP74" s="257">
        <f>SUMIF(AQ$14:AU$14,AP$14,AQ74:AU74)</f>
        <v>2.3036403004262809</v>
      </c>
      <c r="AQ74" s="321"/>
      <c r="AR74" s="260"/>
      <c r="AS74" s="260"/>
      <c r="AT74" s="262">
        <f>IF($AP$8="I",'РО 01.01 - 30.06'!AT74,IF($AP$8="II",'РО 01.07 - 31.08'!AT74,IF($AP$8="III",'РО 01.09 - 31.12'!AT74,0)))*AT143</f>
        <v>2.3036403004262809</v>
      </c>
      <c r="AU74" s="258"/>
      <c r="AV74" s="121"/>
      <c r="AW74" s="121"/>
    </row>
    <row r="75" spans="38:49" hidden="1">
      <c r="AL75" s="121"/>
      <c r="AM75" s="121"/>
      <c r="AN75" s="222"/>
      <c r="AO75" s="534"/>
      <c r="AP75" s="222"/>
      <c r="AQ75" s="321"/>
      <c r="AR75" s="553"/>
      <c r="AS75" s="553"/>
      <c r="AT75" s="553"/>
      <c r="AU75" s="258"/>
      <c r="AV75" s="121"/>
      <c r="AW75" s="121"/>
    </row>
    <row r="76" spans="38:49" hidden="1">
      <c r="AL76" s="121"/>
      <c r="AM76" s="121"/>
      <c r="AN76" s="222"/>
      <c r="AO76" s="529"/>
      <c r="AP76" s="222"/>
      <c r="AQ76" s="321"/>
      <c r="AR76" s="553"/>
      <c r="AS76" s="553"/>
      <c r="AT76" s="553"/>
      <c r="AU76" s="258"/>
      <c r="AV76" s="121"/>
      <c r="AW76" s="121"/>
    </row>
    <row r="77" spans="38:49" ht="22.5">
      <c r="AL77" s="121"/>
      <c r="AM77" s="121"/>
      <c r="AN77" s="222" t="s">
        <v>2844</v>
      </c>
      <c r="AO77" s="533" t="s">
        <v>1856</v>
      </c>
      <c r="AP77" s="257">
        <f>SUMIF(AQ$14:AU$14,AP$14,AQ77:AU77)</f>
        <v>0</v>
      </c>
      <c r="AQ77" s="321"/>
      <c r="AR77" s="260"/>
      <c r="AS77" s="260"/>
      <c r="AT77" s="262">
        <f>IF($AP$8="I",'РО 01.01 - 30.06'!AT77,IF($AP$8="II",'РО 01.07 - 31.08'!AT77,IF($AP$8="III",'РО 01.09 - 31.12'!AT77,0)))*AT143</f>
        <v>0</v>
      </c>
      <c r="AU77" s="258"/>
      <c r="AV77" s="121"/>
      <c r="AW77" s="121"/>
    </row>
    <row r="78" spans="38:49" hidden="1">
      <c r="AL78" s="121"/>
      <c r="AM78" s="121"/>
      <c r="AN78" s="222"/>
      <c r="AO78" s="534"/>
      <c r="AP78" s="222"/>
      <c r="AQ78" s="321"/>
      <c r="AR78" s="553"/>
      <c r="AS78" s="553"/>
      <c r="AT78" s="553"/>
      <c r="AU78" s="258"/>
      <c r="AV78" s="121"/>
      <c r="AW78" s="121"/>
    </row>
    <row r="79" spans="38:49" hidden="1">
      <c r="AL79" s="121"/>
      <c r="AM79" s="121"/>
      <c r="AN79" s="222"/>
      <c r="AO79" s="529"/>
      <c r="AP79" s="222"/>
      <c r="AQ79" s="321"/>
      <c r="AR79" s="553"/>
      <c r="AS79" s="553"/>
      <c r="AT79" s="553"/>
      <c r="AU79" s="258"/>
      <c r="AV79" s="121"/>
      <c r="AW79" s="121"/>
    </row>
    <row r="80" spans="38:49">
      <c r="AL80" s="121"/>
      <c r="AM80" s="121"/>
      <c r="AN80" s="504" t="s">
        <v>2847</v>
      </c>
      <c r="AO80" s="535" t="s">
        <v>2848</v>
      </c>
      <c r="AP80" s="257">
        <f t="shared" ref="AP80:AP85" si="1">SUMIF(AQ$14:AU$14,AP$14,AQ80:AU80)</f>
        <v>3.0715204005683749</v>
      </c>
      <c r="AQ80" s="321"/>
      <c r="AR80" s="260"/>
      <c r="AS80" s="260"/>
      <c r="AT80" s="257">
        <f>SUM(AT81:AT85)</f>
        <v>3.0715204005683749</v>
      </c>
      <c r="AU80" s="258"/>
      <c r="AV80" s="121"/>
      <c r="AW80" s="121"/>
    </row>
    <row r="81" spans="38:49" ht="22.5">
      <c r="AL81" s="121"/>
      <c r="AM81" s="121"/>
      <c r="AN81" s="504" t="s">
        <v>2849</v>
      </c>
      <c r="AO81" s="533" t="s">
        <v>2415</v>
      </c>
      <c r="AP81" s="257">
        <f t="shared" si="1"/>
        <v>0</v>
      </c>
      <c r="AQ81" s="321"/>
      <c r="AR81" s="260"/>
      <c r="AS81" s="260"/>
      <c r="AT81" s="262">
        <f>IF($AP$8="I",'РО 01.01 - 30.06'!AT81,IF($AP$8="II",'РО 01.07 - 31.08'!AT81,IF($AP$8="III",'РО 01.09 - 31.12'!AT81,0)))*AT143</f>
        <v>0</v>
      </c>
      <c r="AU81" s="258"/>
      <c r="AV81" s="121"/>
      <c r="AW81" s="121"/>
    </row>
    <row r="82" spans="38:49" ht="22.5">
      <c r="AL82" s="121"/>
      <c r="AM82" s="121"/>
      <c r="AN82" s="504" t="s">
        <v>2850</v>
      </c>
      <c r="AO82" s="533" t="s">
        <v>2417</v>
      </c>
      <c r="AP82" s="257">
        <f t="shared" si="1"/>
        <v>2.4572163204547</v>
      </c>
      <c r="AQ82" s="321"/>
      <c r="AR82" s="260"/>
      <c r="AS82" s="260"/>
      <c r="AT82" s="262">
        <f>IF($AP$8="I",'РО 01.01 - 30.06'!AT82,IF($AP$8="II",'РО 01.07 - 31.08'!AT82,IF($AP$8="III",'РО 01.09 - 31.12'!AT82,0)))*AT143</f>
        <v>2.4572163204547</v>
      </c>
      <c r="AU82" s="258"/>
      <c r="AV82" s="121"/>
      <c r="AW82" s="121"/>
    </row>
    <row r="83" spans="38:49" ht="22.5">
      <c r="AL83" s="121"/>
      <c r="AM83" s="121"/>
      <c r="AN83" s="504" t="s">
        <v>2316</v>
      </c>
      <c r="AO83" s="533" t="s">
        <v>2420</v>
      </c>
      <c r="AP83" s="257">
        <f t="shared" si="1"/>
        <v>0</v>
      </c>
      <c r="AQ83" s="321"/>
      <c r="AR83" s="260"/>
      <c r="AS83" s="260"/>
      <c r="AT83" s="262">
        <f>IF($AP$8="I",'РО 01.01 - 30.06'!AT83,IF($AP$8="II",'РО 01.07 - 31.08'!AT83,IF($AP$8="III",'РО 01.09 - 31.12'!AT83,0)))*AT143</f>
        <v>0</v>
      </c>
      <c r="AU83" s="258"/>
      <c r="AV83" s="121"/>
      <c r="AW83" s="121"/>
    </row>
    <row r="84" spans="38:49">
      <c r="AL84" s="121"/>
      <c r="AM84" s="121"/>
      <c r="AN84" s="504" t="s">
        <v>2317</v>
      </c>
      <c r="AO84" s="533" t="s">
        <v>2423</v>
      </c>
      <c r="AP84" s="257">
        <f t="shared" si="1"/>
        <v>0.61430408011367499</v>
      </c>
      <c r="AQ84" s="321"/>
      <c r="AR84" s="260"/>
      <c r="AS84" s="260"/>
      <c r="AT84" s="262">
        <f>IF($AP$8="I",'РО 01.01 - 30.06'!AT84,IF($AP$8="II",'РО 01.07 - 31.08'!AT84,IF($AP$8="III",'РО 01.09 - 31.12'!AT84,0)))*AT143</f>
        <v>0.61430408011367499</v>
      </c>
      <c r="AU84" s="258"/>
      <c r="AV84" s="121"/>
      <c r="AW84" s="121"/>
    </row>
    <row r="85" spans="38:49" ht="22.5">
      <c r="AL85" s="121"/>
      <c r="AM85" s="121"/>
      <c r="AN85" s="504" t="s">
        <v>2318</v>
      </c>
      <c r="AO85" s="533" t="s">
        <v>2426</v>
      </c>
      <c r="AP85" s="257">
        <f t="shared" si="1"/>
        <v>0</v>
      </c>
      <c r="AQ85" s="321"/>
      <c r="AR85" s="260"/>
      <c r="AS85" s="260"/>
      <c r="AT85" s="262">
        <f>IF($AP$8="I",'РО 01.01 - 30.06'!AT85,IF($AP$8="II",'РО 01.07 - 31.08'!AT85,IF($AP$8="III",'РО 01.09 - 31.12'!AT85,0)))*AT143</f>
        <v>0</v>
      </c>
      <c r="AU85" s="258"/>
      <c r="AV85" s="121"/>
      <c r="AW85" s="121"/>
    </row>
    <row r="86" spans="38:49" hidden="1">
      <c r="AL86" s="121"/>
      <c r="AM86" s="121"/>
      <c r="AN86" s="560" t="str">
        <f>IF(TEMPLATE_SPHERE="водоснабжения","2.9","")</f>
        <v/>
      </c>
      <c r="AO86" s="561" t="str">
        <f>IF(TEMPLATE_SPHERE="водоснабжения","Покупная вода","")</f>
        <v/>
      </c>
      <c r="AP86" s="257" t="str">
        <f>IF(TEMPLATE_SPHERE="водоснабжения",SUMIF(AQ$14:AU$14,AP$14,AQ86:AU86),"")</f>
        <v/>
      </c>
      <c r="AQ86" s="321"/>
      <c r="AR86" s="553"/>
      <c r="AS86" s="553"/>
      <c r="AT86" s="553"/>
      <c r="AU86" s="258"/>
      <c r="AV86" s="121"/>
      <c r="AW86" s="121"/>
    </row>
    <row r="87" spans="38:49" hidden="1">
      <c r="AL87" s="121"/>
      <c r="AM87" s="121"/>
      <c r="AN87" s="560" t="str">
        <f>IF(TEMPLATE_SPHERE="водоснабжения","2.9.1","")</f>
        <v/>
      </c>
      <c r="AO87" s="562" t="str">
        <f>IF(TEMPLATE_SPHERE="водоснабжения","тариф (руб./куб.м)","")</f>
        <v/>
      </c>
      <c r="AP87" s="257" t="str">
        <f>IF(TEMPLATE_SPHERE="водоснабжения",IF(AP88=0,0,(AP86-AP89)/AP88),"")</f>
        <v/>
      </c>
      <c r="AQ87" s="321"/>
      <c r="AR87" s="553"/>
      <c r="AS87" s="553"/>
      <c r="AT87" s="553"/>
      <c r="AU87" s="258"/>
      <c r="AV87" s="121"/>
      <c r="AW87" s="121"/>
    </row>
    <row r="88" spans="38:49" hidden="1">
      <c r="AL88" s="121"/>
      <c r="AM88" s="121"/>
      <c r="AN88" s="560" t="str">
        <f>IF(TEMPLATE_SPHERE="водоснабжения","2.9.2","")</f>
        <v/>
      </c>
      <c r="AO88" s="562" t="str">
        <f>IF(TEMPLATE_SPHERE="водоснабжения","объём (тыс. куб.м)","")</f>
        <v/>
      </c>
      <c r="AP88" s="257" t="str">
        <f>IF(TEMPLATE_SPHERE="водоснабжения",SUMIF(AQ$14:AU$14,AP$14,AQ88:AU88),"")</f>
        <v/>
      </c>
      <c r="AQ88" s="321"/>
      <c r="AR88" s="553"/>
      <c r="AS88" s="553"/>
      <c r="AT88" s="553"/>
      <c r="AU88" s="258"/>
      <c r="AV88" s="121"/>
      <c r="AW88" s="121"/>
    </row>
    <row r="89" spans="38:49" hidden="1">
      <c r="AL89" s="121"/>
      <c r="AM89" s="121"/>
      <c r="AN89" s="560" t="str">
        <f>IF(TEMPLATE_SPHERE="водоснабжения","2.9.3","")</f>
        <v/>
      </c>
      <c r="AO89" s="562" t="str">
        <f>IF(TEMPLATE_SPHERE="водоснабжения","покупка потерь","")</f>
        <v/>
      </c>
      <c r="AP89" s="257" t="str">
        <f>IF(TEMPLATE_SPHERE="водоснабжения",SUMIF(AQ$14:AU$14,AP$14,AQ89:AU89),"")</f>
        <v/>
      </c>
      <c r="AQ89" s="321"/>
      <c r="AR89" s="553"/>
      <c r="AS89" s="553"/>
      <c r="AT89" s="553"/>
      <c r="AU89" s="258"/>
      <c r="AV89" s="121"/>
      <c r="AW89" s="121"/>
    </row>
    <row r="90" spans="38:49" ht="22.5">
      <c r="AL90" s="121"/>
      <c r="AM90" s="121"/>
      <c r="AN90" s="504" t="s">
        <v>2323</v>
      </c>
      <c r="AO90"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AP90" s="257">
        <f t="shared" ref="AP90:AP132" si="2">SUMIF(AQ$14:AU$14,AP$14,AQ90:AU90)</f>
        <v>0</v>
      </c>
      <c r="AQ90" s="321"/>
      <c r="AR90" s="260"/>
      <c r="AS90" s="260"/>
      <c r="AT90" s="262">
        <f>IF($AP$8="I",'РО 01.01 - 30.06'!AT90,IF($AP$8="II",'РО 01.07 - 31.08'!AT90,IF($AP$8="III",'РО 01.09 - 31.12'!AT90,0)))*AT143</f>
        <v>0</v>
      </c>
      <c r="AU90" s="258"/>
      <c r="AV90" s="121"/>
      <c r="AW90" s="121"/>
    </row>
    <row r="91" spans="38:49" ht="22.5">
      <c r="AL91" s="121"/>
      <c r="AM91" s="121"/>
      <c r="AN91" s="504" t="s">
        <v>2324</v>
      </c>
      <c r="AO91"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AP91" s="257">
        <f t="shared" si="2"/>
        <v>0</v>
      </c>
      <c r="AQ91" s="321"/>
      <c r="AR91" s="260"/>
      <c r="AS91" s="260"/>
      <c r="AT91" s="262">
        <f>IF($AP$8="I",'РО 01.01 - 30.06'!AT91,IF($AP$8="II",'РО 01.07 - 31.08'!AT91,IF($AP$8="III",'РО 01.09 - 31.12'!AT91,0)))*AT143</f>
        <v>0</v>
      </c>
      <c r="AU91" s="258"/>
      <c r="AV91" s="121"/>
      <c r="AW91" s="121"/>
    </row>
    <row r="92" spans="38:49" ht="22.5">
      <c r="AL92" s="121"/>
      <c r="AM92" s="121"/>
      <c r="AN92" s="504" t="s">
        <v>2325</v>
      </c>
      <c r="AO92"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AP92" s="257">
        <f t="shared" si="2"/>
        <v>0</v>
      </c>
      <c r="AQ92" s="321"/>
      <c r="AR92" s="260"/>
      <c r="AS92" s="260"/>
      <c r="AT92" s="262">
        <f>IF($AP$8="I",'РО 01.01 - 30.06'!AT92,IF($AP$8="II",'РО 01.07 - 31.08'!AT92,IF($AP$8="III",'РО 01.09 - 31.12'!AT92,0)))*AT143</f>
        <v>0</v>
      </c>
      <c r="AU92" s="258"/>
      <c r="AV92" s="121"/>
      <c r="AW92" s="121"/>
    </row>
    <row r="93" spans="38:49">
      <c r="AL93" s="121"/>
      <c r="AM93" s="121"/>
      <c r="AN93" s="504" t="s">
        <v>2326</v>
      </c>
      <c r="AO93" s="527" t="s">
        <v>2327</v>
      </c>
      <c r="AP93" s="257">
        <f t="shared" si="2"/>
        <v>0</v>
      </c>
      <c r="AQ93" s="321"/>
      <c r="AR93" s="260"/>
      <c r="AS93" s="260"/>
      <c r="AT93" s="257">
        <f>SUM(AT94:AT95)</f>
        <v>0</v>
      </c>
      <c r="AU93" s="258"/>
      <c r="AV93" s="121"/>
      <c r="AW93" s="121"/>
    </row>
    <row r="94" spans="38:49">
      <c r="AL94" s="121"/>
      <c r="AM94" s="121"/>
      <c r="AN94" s="504" t="s">
        <v>2328</v>
      </c>
      <c r="AO94" s="528" t="s">
        <v>2329</v>
      </c>
      <c r="AP94" s="257">
        <f t="shared" si="2"/>
        <v>0</v>
      </c>
      <c r="AQ94" s="321"/>
      <c r="AR94" s="260"/>
      <c r="AS94" s="260"/>
      <c r="AT94" s="262">
        <f>IF($AP$8="I",'РО 01.01 - 30.06'!AT94,IF($AP$8="II",'РО 01.07 - 31.08'!AT94,IF($AP$8="III",'РО 01.09 - 31.12'!AT94,0)))*AT143</f>
        <v>0</v>
      </c>
      <c r="AU94" s="258"/>
      <c r="AV94" s="121"/>
      <c r="AW94" s="121"/>
    </row>
    <row r="95" spans="38:49">
      <c r="AL95" s="121"/>
      <c r="AM95" s="121"/>
      <c r="AN95" s="504" t="s">
        <v>2330</v>
      </c>
      <c r="AO95" s="528" t="s">
        <v>2331</v>
      </c>
      <c r="AP95" s="257">
        <f t="shared" si="2"/>
        <v>0</v>
      </c>
      <c r="AQ95" s="321"/>
      <c r="AR95" s="260"/>
      <c r="AS95" s="260"/>
      <c r="AT95" s="262">
        <f>IF($AP$8="I",'РО 01.01 - 30.06'!AT95,IF($AP$8="II",'РО 01.07 - 31.08'!AT95,IF($AP$8="III",'РО 01.09 - 31.12'!AT95,0)))*AT143</f>
        <v>0</v>
      </c>
      <c r="AU95" s="258"/>
      <c r="AV95" s="121"/>
      <c r="AW95" s="121"/>
    </row>
    <row r="96" spans="38:49">
      <c r="AL96" s="121"/>
      <c r="AM96" s="121"/>
      <c r="AN96" s="504" t="s">
        <v>2332</v>
      </c>
      <c r="AO96" s="527" t="s">
        <v>2333</v>
      </c>
      <c r="AP96" s="257">
        <f t="shared" si="2"/>
        <v>0</v>
      </c>
      <c r="AQ96" s="321"/>
      <c r="AR96" s="260"/>
      <c r="AS96" s="260"/>
      <c r="AT96" s="262">
        <f>IF($AP$8="I",'РО 01.01 - 30.06'!AT96,IF($AP$8="II",'РО 01.07 - 31.08'!AT96,IF($AP$8="III",'РО 01.09 - 31.12'!AT96,0)))*AT143</f>
        <v>0</v>
      </c>
      <c r="AU96" s="258"/>
      <c r="AV96" s="121"/>
      <c r="AW96" s="121"/>
    </row>
    <row r="97" spans="38:49">
      <c r="AL97" s="121"/>
      <c r="AM97" s="121"/>
      <c r="AN97" s="504" t="s">
        <v>2334</v>
      </c>
      <c r="AO97" s="527" t="s">
        <v>2335</v>
      </c>
      <c r="AP97" s="257">
        <f t="shared" si="2"/>
        <v>0</v>
      </c>
      <c r="AQ97" s="321"/>
      <c r="AR97" s="260"/>
      <c r="AS97" s="260"/>
      <c r="AT97" s="262">
        <f>IF($AP$8="I",'РО 01.01 - 30.06'!AT97,IF($AP$8="II",'РО 01.07 - 31.08'!AT97,IF($AP$8="III",'РО 01.09 - 31.12'!AT97,0)))*AT143</f>
        <v>0</v>
      </c>
      <c r="AU97" s="258"/>
      <c r="AV97" s="121"/>
      <c r="AW97" s="121"/>
    </row>
    <row r="98" spans="38:49" ht="22.5">
      <c r="AL98" s="121"/>
      <c r="AM98" s="121"/>
      <c r="AN98" s="504" t="s">
        <v>2336</v>
      </c>
      <c r="AO98" s="527" t="s">
        <v>2337</v>
      </c>
      <c r="AP98" s="257">
        <f t="shared" si="2"/>
        <v>2.7643683605115372</v>
      </c>
      <c r="AQ98" s="321"/>
      <c r="AR98" s="260"/>
      <c r="AS98" s="260"/>
      <c r="AT98" s="262">
        <f>IF($AP$8="I",'РО 01.01 - 30.06'!AT98,IF($AP$8="II",'РО 01.07 - 31.08'!AT98,IF($AP$8="III",'РО 01.09 - 31.12'!AT98,0)))*AT143</f>
        <v>2.7643683605115372</v>
      </c>
      <c r="AU98" s="258"/>
      <c r="AV98" s="121"/>
      <c r="AW98" s="121"/>
    </row>
    <row r="99" spans="38:49">
      <c r="AL99" s="121"/>
      <c r="AM99" s="121"/>
      <c r="AN99" s="504" t="s">
        <v>2338</v>
      </c>
      <c r="AO99" s="527" t="s">
        <v>2339</v>
      </c>
      <c r="AP99" s="257">
        <f t="shared" si="2"/>
        <v>0.15357602002841875</v>
      </c>
      <c r="AQ99" s="321"/>
      <c r="AR99" s="260"/>
      <c r="AS99" s="260"/>
      <c r="AT99" s="257">
        <f>SUM(AT100:AT108)</f>
        <v>0.15357602002841875</v>
      </c>
      <c r="AU99" s="258"/>
      <c r="AV99" s="121"/>
      <c r="AW99" s="121"/>
    </row>
    <row r="100" spans="38:49">
      <c r="AL100" s="121"/>
      <c r="AM100" s="121"/>
      <c r="AN100" s="504" t="s">
        <v>2340</v>
      </c>
      <c r="AO100" s="528" t="s">
        <v>2341</v>
      </c>
      <c r="AP100" s="257">
        <f t="shared" si="2"/>
        <v>0</v>
      </c>
      <c r="AQ100" s="321"/>
      <c r="AR100" s="260"/>
      <c r="AS100" s="260"/>
      <c r="AT100" s="262">
        <f>IF($AP$8="I",'РО 01.01 - 30.06'!AT100,IF($AP$8="II",'РО 01.07 - 31.08'!AT100,IF($AP$8="III",'РО 01.09 - 31.12'!AT100,0)))*AT143</f>
        <v>0</v>
      </c>
      <c r="AU100" s="258"/>
      <c r="AV100" s="121"/>
      <c r="AW100" s="121"/>
    </row>
    <row r="101" spans="38:49">
      <c r="AL101" s="121"/>
      <c r="AM101" s="121"/>
      <c r="AN101" s="504" t="s">
        <v>2342</v>
      </c>
      <c r="AO101" s="528" t="s">
        <v>2343</v>
      </c>
      <c r="AP101" s="257">
        <f t="shared" si="2"/>
        <v>0</v>
      </c>
      <c r="AQ101" s="321"/>
      <c r="AR101" s="260"/>
      <c r="AS101" s="260"/>
      <c r="AT101" s="262">
        <f>IF($AP$8="I",'РО 01.01 - 30.06'!AT101,IF($AP$8="II",'РО 01.07 - 31.08'!AT101,IF($AP$8="III",'РО 01.09 - 31.12'!AT101,0)))*AT143</f>
        <v>0</v>
      </c>
      <c r="AU101" s="258"/>
      <c r="AV101" s="121"/>
      <c r="AW101" s="121"/>
    </row>
    <row r="102" spans="38:49">
      <c r="AL102" s="121"/>
      <c r="AM102" s="121"/>
      <c r="AN102" s="504" t="s">
        <v>2344</v>
      </c>
      <c r="AO102" s="528" t="s">
        <v>2345</v>
      </c>
      <c r="AP102" s="257">
        <f t="shared" si="2"/>
        <v>0</v>
      </c>
      <c r="AQ102" s="321"/>
      <c r="AR102" s="260"/>
      <c r="AS102" s="260"/>
      <c r="AT102" s="262">
        <f>IF($AP$8="I",'РО 01.01 - 30.06'!AT102,IF($AP$8="II",'РО 01.07 - 31.08'!AT102,IF($AP$8="III",'РО 01.09 - 31.12'!AT102,0)))*AT143</f>
        <v>0</v>
      </c>
      <c r="AU102" s="258"/>
      <c r="AV102" s="121"/>
      <c r="AW102" s="121"/>
    </row>
    <row r="103" spans="38:49">
      <c r="AL103" s="121"/>
      <c r="AM103" s="121"/>
      <c r="AN103" s="504" t="s">
        <v>2346</v>
      </c>
      <c r="AO103" s="528" t="s">
        <v>2347</v>
      </c>
      <c r="AP103" s="257">
        <f t="shared" si="2"/>
        <v>0</v>
      </c>
      <c r="AQ103" s="321"/>
      <c r="AR103" s="260"/>
      <c r="AS103" s="260"/>
      <c r="AT103" s="262">
        <f>IF($AP$8="I",'РО 01.01 - 30.06'!AT103,IF($AP$8="II",'РО 01.07 - 31.08'!AT103,IF($AP$8="III",'РО 01.09 - 31.12'!AT103,0)))*AT143</f>
        <v>0</v>
      </c>
      <c r="AU103" s="258"/>
      <c r="AV103" s="121"/>
      <c r="AW103" s="121"/>
    </row>
    <row r="104" spans="38:49">
      <c r="AL104" s="121"/>
      <c r="AM104" s="121"/>
      <c r="AN104" s="504" t="s">
        <v>2348</v>
      </c>
      <c r="AO104" s="528" t="s">
        <v>2349</v>
      </c>
      <c r="AP104" s="257">
        <f t="shared" si="2"/>
        <v>0</v>
      </c>
      <c r="AQ104" s="321"/>
      <c r="AR104" s="260"/>
      <c r="AS104" s="260"/>
      <c r="AT104" s="262">
        <f>IF($AP$8="I",'РО 01.01 - 30.06'!AT104,IF($AP$8="II",'РО 01.07 - 31.08'!AT104,IF($AP$8="III",'РО 01.09 - 31.12'!AT104,0)))*AT143</f>
        <v>0</v>
      </c>
      <c r="AU104" s="258"/>
      <c r="AV104" s="121"/>
      <c r="AW104" s="121"/>
    </row>
    <row r="105" spans="38:49">
      <c r="AL105" s="121"/>
      <c r="AM105" s="121"/>
      <c r="AN105" s="504" t="s">
        <v>2350</v>
      </c>
      <c r="AO105" s="528" t="s">
        <v>2351</v>
      </c>
      <c r="AP105" s="257">
        <f t="shared" si="2"/>
        <v>0</v>
      </c>
      <c r="AQ105" s="321"/>
      <c r="AR105" s="260"/>
      <c r="AS105" s="260"/>
      <c r="AT105" s="262">
        <f>IF($AP$8="I",'РО 01.01 - 30.06'!AT105,IF($AP$8="II",'РО 01.07 - 31.08'!AT105,IF($AP$8="III",'РО 01.09 - 31.12'!AT105,0)))*AT143</f>
        <v>0</v>
      </c>
      <c r="AU105" s="258"/>
      <c r="AV105" s="121"/>
      <c r="AW105" s="121"/>
    </row>
    <row r="106" spans="38:49">
      <c r="AL106" s="121"/>
      <c r="AM106" s="121"/>
      <c r="AN106" s="504" t="s">
        <v>2352</v>
      </c>
      <c r="AO106" s="528" t="s">
        <v>2353</v>
      </c>
      <c r="AP106" s="257">
        <f t="shared" si="2"/>
        <v>0.15357602002841875</v>
      </c>
      <c r="AQ106" s="321"/>
      <c r="AR106" s="260"/>
      <c r="AS106" s="260"/>
      <c r="AT106" s="262">
        <f>IF($AP$8="I",'РО 01.01 - 30.06'!AT106,IF($AP$8="II",'РО 01.07 - 31.08'!AT106,IF($AP$8="III",'РО 01.09 - 31.12'!AT106,0)))*AT143</f>
        <v>0.15357602002841875</v>
      </c>
      <c r="AU106" s="258"/>
      <c r="AV106" s="121"/>
      <c r="AW106" s="121"/>
    </row>
    <row r="107" spans="38:49">
      <c r="AL107" s="121"/>
      <c r="AM107" s="121"/>
      <c r="AN107" s="504" t="s">
        <v>2354</v>
      </c>
      <c r="AO107" s="528" t="s">
        <v>2355</v>
      </c>
      <c r="AP107" s="257">
        <f t="shared" si="2"/>
        <v>0</v>
      </c>
      <c r="AQ107" s="321"/>
      <c r="AR107" s="260"/>
      <c r="AS107" s="260"/>
      <c r="AT107" s="262">
        <f>IF($AP$8="I",'РО 01.01 - 30.06'!AT107,IF($AP$8="II",'РО 01.07 - 31.08'!AT107,IF($AP$8="III",'РО 01.09 - 31.12'!AT107,0)))*AT143</f>
        <v>0</v>
      </c>
      <c r="AU107" s="258"/>
      <c r="AV107" s="121"/>
      <c r="AW107" s="121"/>
    </row>
    <row r="108" spans="38:49">
      <c r="AL108" s="121"/>
      <c r="AM108" s="121"/>
      <c r="AN108" s="504" t="s">
        <v>2356</v>
      </c>
      <c r="AO108" s="528" t="s">
        <v>2357</v>
      </c>
      <c r="AP108" s="257">
        <f t="shared" si="2"/>
        <v>0</v>
      </c>
      <c r="AQ108" s="321"/>
      <c r="AR108" s="260"/>
      <c r="AS108" s="260"/>
      <c r="AT108" s="262">
        <f>IF($AP$8="I",'РО 01.01 - 30.06'!AT108,IF($AP$8="II",'РО 01.07 - 31.08'!AT108,IF($AP$8="III",'РО 01.09 - 31.12'!AT108,0)))*AT143</f>
        <v>0</v>
      </c>
      <c r="AU108" s="258"/>
      <c r="AV108" s="121"/>
      <c r="AW108" s="121"/>
    </row>
    <row r="109" spans="38:49" ht="22.5">
      <c r="AL109" s="121"/>
      <c r="AM109" s="121"/>
      <c r="AN109" s="504" t="s">
        <v>2358</v>
      </c>
      <c r="AO109" s="536" t="s">
        <v>2359</v>
      </c>
      <c r="AP109" s="257">
        <f t="shared" si="2"/>
        <v>0</v>
      </c>
      <c r="AQ109" s="321"/>
      <c r="AR109" s="260"/>
      <c r="AS109" s="260"/>
      <c r="AT109" s="257">
        <f>SUM(AT110:AT114)</f>
        <v>0</v>
      </c>
      <c r="AU109" s="258"/>
      <c r="AV109" s="121"/>
      <c r="AW109" s="121"/>
    </row>
    <row r="110" spans="38:49">
      <c r="AL110" s="121"/>
      <c r="AM110" s="121"/>
      <c r="AN110" s="504" t="s">
        <v>2360</v>
      </c>
      <c r="AO110" s="537" t="s">
        <v>2444</v>
      </c>
      <c r="AP110" s="257">
        <f t="shared" si="2"/>
        <v>0</v>
      </c>
      <c r="AQ110" s="321"/>
      <c r="AR110" s="260"/>
      <c r="AS110" s="260"/>
      <c r="AT110" s="262">
        <f>IF($AP$8="I",'РО 01.01 - 30.06'!AT110,IF($AP$8="II",'РО 01.07 - 31.08'!AT110,IF($AP$8="III",'РО 01.09 - 31.12'!AT110,0)))*AT143</f>
        <v>0</v>
      </c>
      <c r="AU110" s="258"/>
      <c r="AV110" s="121"/>
      <c r="AW110" s="121"/>
    </row>
    <row r="111" spans="38:49">
      <c r="AL111" s="121"/>
      <c r="AM111" s="121"/>
      <c r="AN111" s="504" t="s">
        <v>2361</v>
      </c>
      <c r="AO111" s="537" t="s">
        <v>2362</v>
      </c>
      <c r="AP111" s="257">
        <f t="shared" si="2"/>
        <v>0</v>
      </c>
      <c r="AQ111" s="321"/>
      <c r="AR111" s="260"/>
      <c r="AS111" s="260"/>
      <c r="AT111" s="262">
        <f>IF($AP$8="I",'РО 01.01 - 30.06'!AT111,IF($AP$8="II",'РО 01.07 - 31.08'!AT111,IF($AP$8="III",'РО 01.09 - 31.12'!AT111,0)))*AT143</f>
        <v>0</v>
      </c>
      <c r="AU111" s="258"/>
      <c r="AV111" s="121"/>
      <c r="AW111" s="121"/>
    </row>
    <row r="112" spans="38:49">
      <c r="AL112" s="121"/>
      <c r="AM112" s="121"/>
      <c r="AN112" s="504" t="s">
        <v>2363</v>
      </c>
      <c r="AO112" s="528" t="s">
        <v>872</v>
      </c>
      <c r="AP112" s="257">
        <f t="shared" si="2"/>
        <v>0</v>
      </c>
      <c r="AQ112" s="321"/>
      <c r="AR112" s="260"/>
      <c r="AS112" s="260"/>
      <c r="AT112" s="262">
        <f>IF($AP$8="I",'РО 01.01 - 30.06'!AT112,IF($AP$8="II",'РО 01.07 - 31.08'!AT112,IF($AP$8="III",'РО 01.09 - 31.12'!AT112,0)))*AT143</f>
        <v>0</v>
      </c>
      <c r="AU112" s="258"/>
      <c r="AV112" s="121"/>
      <c r="AW112" s="121"/>
    </row>
    <row r="113" spans="1:49" ht="22.5">
      <c r="AL113" s="121"/>
      <c r="AM113" s="121"/>
      <c r="AN113" s="504" t="s">
        <v>2364</v>
      </c>
      <c r="AO113" s="528" t="s">
        <v>2365</v>
      </c>
      <c r="AP113" s="257">
        <f t="shared" si="2"/>
        <v>0</v>
      </c>
      <c r="AQ113" s="321"/>
      <c r="AR113" s="260"/>
      <c r="AS113" s="260"/>
      <c r="AT113" s="262">
        <f>IF($AP$8="I",'РО 01.01 - 30.06'!AT113,IF($AP$8="II",'РО 01.07 - 31.08'!AT113,IF($AP$8="III",'РО 01.09 - 31.12'!AT113,0)))*AT143</f>
        <v>0</v>
      </c>
      <c r="AU113" s="258"/>
      <c r="AV113" s="121"/>
      <c r="AW113" s="121"/>
    </row>
    <row r="114" spans="1:49">
      <c r="AL114" s="121"/>
      <c r="AM114" s="121"/>
      <c r="AN114" s="504" t="s">
        <v>2366</v>
      </c>
      <c r="AO114" s="528" t="s">
        <v>2367</v>
      </c>
      <c r="AP114" s="257">
        <f t="shared" si="2"/>
        <v>0</v>
      </c>
      <c r="AQ114" s="321"/>
      <c r="AR114" s="260"/>
      <c r="AS114" s="260"/>
      <c r="AT114" s="262">
        <f>IF($AP$8="I",'РО 01.01 - 30.06'!AT114,IF($AP$8="II",'РО 01.07 - 31.08'!AT114,IF($AP$8="III",'РО 01.09 - 31.12'!AT114,0)))*AT143</f>
        <v>0</v>
      </c>
      <c r="AU114" s="258"/>
      <c r="AV114" s="121"/>
      <c r="AW114" s="121"/>
    </row>
    <row r="115" spans="1:49">
      <c r="AL115" s="121"/>
      <c r="AM115" s="121"/>
      <c r="AN115" s="504" t="s">
        <v>752</v>
      </c>
      <c r="AO115" s="723" t="s">
        <v>2726</v>
      </c>
      <c r="AP115" s="257">
        <f t="shared" si="2"/>
        <v>0</v>
      </c>
      <c r="AQ115" s="321"/>
      <c r="AR115" s="260"/>
      <c r="AS115" s="260"/>
      <c r="AT115" s="257">
        <f>SUM(AT116,AT118:AT121)</f>
        <v>0</v>
      </c>
      <c r="AU115" s="258"/>
      <c r="AV115" s="121"/>
      <c r="AW115" s="121"/>
    </row>
    <row r="116" spans="1:49">
      <c r="AL116" s="121"/>
      <c r="AM116" s="121"/>
      <c r="AN116" s="504" t="s">
        <v>760</v>
      </c>
      <c r="AO116" s="527" t="s">
        <v>2368</v>
      </c>
      <c r="AP116" s="257">
        <f t="shared" si="2"/>
        <v>0</v>
      </c>
      <c r="AQ116" s="321"/>
      <c r="AR116" s="260"/>
      <c r="AS116" s="260"/>
      <c r="AT116" s="261"/>
      <c r="AU116" s="258"/>
      <c r="AV116" s="121"/>
      <c r="AW116" s="121"/>
    </row>
    <row r="117" spans="1:49">
      <c r="AL117" s="121"/>
      <c r="AM117" s="121"/>
      <c r="AN117" s="504" t="s">
        <v>917</v>
      </c>
      <c r="AO117" s="528" t="s">
        <v>2369</v>
      </c>
      <c r="AP117" s="257">
        <f t="shared" si="2"/>
        <v>0</v>
      </c>
      <c r="AQ117" s="321"/>
      <c r="AR117" s="260"/>
      <c r="AS117" s="260"/>
      <c r="AT117" s="261"/>
      <c r="AU117" s="258"/>
      <c r="AV117" s="121"/>
      <c r="AW117" s="121"/>
    </row>
    <row r="118" spans="1:49">
      <c r="AL118" s="121"/>
      <c r="AM118" s="121"/>
      <c r="AN118" s="504" t="s">
        <v>761</v>
      </c>
      <c r="AO118" s="527" t="s">
        <v>862</v>
      </c>
      <c r="AP118" s="257">
        <f t="shared" si="2"/>
        <v>0</v>
      </c>
      <c r="AQ118" s="321"/>
      <c r="AR118" s="260"/>
      <c r="AS118" s="260"/>
      <c r="AT118" s="261"/>
      <c r="AU118" s="258"/>
      <c r="AV118" s="121"/>
      <c r="AW118" s="121"/>
    </row>
    <row r="119" spans="1:49">
      <c r="AL119" s="121"/>
      <c r="AM119" s="121"/>
      <c r="AN119" s="504" t="s">
        <v>762</v>
      </c>
      <c r="AO119" s="527" t="s">
        <v>864</v>
      </c>
      <c r="AP119" s="257">
        <f t="shared" si="2"/>
        <v>0</v>
      </c>
      <c r="AQ119" s="321"/>
      <c r="AR119" s="260"/>
      <c r="AS119" s="260"/>
      <c r="AT119" s="261"/>
      <c r="AU119" s="258"/>
      <c r="AV119" s="121"/>
      <c r="AW119" s="121"/>
    </row>
    <row r="120" spans="1:49">
      <c r="AL120" s="121"/>
      <c r="AM120" s="121"/>
      <c r="AN120" s="504" t="s">
        <v>763</v>
      </c>
      <c r="AO120" s="527" t="s">
        <v>866</v>
      </c>
      <c r="AP120" s="257">
        <f t="shared" si="2"/>
        <v>0</v>
      </c>
      <c r="AQ120" s="321"/>
      <c r="AR120" s="260"/>
      <c r="AS120" s="260"/>
      <c r="AT120" s="261"/>
      <c r="AU120" s="258"/>
      <c r="AV120" s="121"/>
      <c r="AW120" s="121"/>
    </row>
    <row r="121" spans="1:49">
      <c r="AL121" s="121"/>
      <c r="AM121" s="121"/>
      <c r="AN121" s="504" t="s">
        <v>764</v>
      </c>
      <c r="AO121" s="527" t="s">
        <v>2370</v>
      </c>
      <c r="AP121" s="257">
        <f t="shared" si="2"/>
        <v>0</v>
      </c>
      <c r="AQ121" s="321"/>
      <c r="AR121" s="260"/>
      <c r="AS121" s="260"/>
      <c r="AT121" s="257">
        <f>SUM(AT122,AT124)</f>
        <v>0</v>
      </c>
      <c r="AU121" s="258"/>
      <c r="AV121" s="121"/>
      <c r="AW121" s="121"/>
    </row>
    <row r="122" spans="1:49">
      <c r="AL122" s="121"/>
      <c r="AM122" s="121"/>
      <c r="AN122" s="504" t="s">
        <v>2371</v>
      </c>
      <c r="AO122" s="528" t="s">
        <v>2372</v>
      </c>
      <c r="AP122" s="257">
        <f t="shared" si="2"/>
        <v>0</v>
      </c>
      <c r="AQ122" s="321"/>
      <c r="AR122" s="260"/>
      <c r="AS122" s="260"/>
      <c r="AT122" s="261"/>
      <c r="AU122" s="258"/>
      <c r="AV122" s="121"/>
      <c r="AW122" s="121"/>
    </row>
    <row r="123" spans="1:49">
      <c r="AL123" s="121"/>
      <c r="AM123" s="121"/>
      <c r="AN123" s="504" t="s">
        <v>2373</v>
      </c>
      <c r="AO123" s="538" t="s">
        <v>2374</v>
      </c>
      <c r="AP123" s="257">
        <f t="shared" si="2"/>
        <v>0</v>
      </c>
      <c r="AQ123" s="321"/>
      <c r="AR123" s="260"/>
      <c r="AS123" s="260"/>
      <c r="AT123" s="261"/>
      <c r="AU123" s="258"/>
      <c r="AV123" s="121"/>
      <c r="AW123" s="121"/>
    </row>
    <row r="124" spans="1:49">
      <c r="AL124" s="121"/>
      <c r="AM124" s="121"/>
      <c r="AN124" s="504" t="s">
        <v>2375</v>
      </c>
      <c r="AO124" s="528" t="s">
        <v>2376</v>
      </c>
      <c r="AP124" s="257">
        <f t="shared" si="2"/>
        <v>0</v>
      </c>
      <c r="AQ124" s="321"/>
      <c r="AR124" s="260"/>
      <c r="AS124" s="260"/>
      <c r="AT124" s="261"/>
      <c r="AU124" s="258"/>
      <c r="AV124" s="121"/>
      <c r="AW124" s="121"/>
    </row>
    <row r="125" spans="1:49" ht="0.75" customHeight="1">
      <c r="A125" s="47"/>
      <c r="B125" s="47"/>
      <c r="C125" s="47"/>
      <c r="D125" s="47"/>
      <c r="E125" s="47"/>
      <c r="F125" s="47"/>
      <c r="G125" s="47"/>
      <c r="H125" s="47"/>
      <c r="I125" s="47"/>
      <c r="J125"/>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50"/>
      <c r="AM125" s="126"/>
      <c r="AN125" s="223"/>
      <c r="AO125" s="728"/>
      <c r="AP125" s="260"/>
      <c r="AQ125" s="258"/>
      <c r="AR125" s="260"/>
      <c r="AS125" s="260"/>
      <c r="AT125" s="260"/>
      <c r="AU125" s="258"/>
      <c r="AV125" s="127"/>
    </row>
    <row r="126" spans="1:49" ht="0.75" customHeight="1">
      <c r="A126" s="47"/>
      <c r="B126" s="47"/>
      <c r="C126" s="47"/>
      <c r="D126" s="47"/>
      <c r="E126" s="47"/>
      <c r="F126" s="47"/>
      <c r="G126" s="47"/>
      <c r="H126" s="47"/>
      <c r="I126" s="47"/>
      <c r="J126"/>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50"/>
      <c r="AM126" s="126"/>
      <c r="AN126" s="223"/>
      <c r="AO126" s="728"/>
      <c r="AP126" s="260"/>
      <c r="AQ126" s="258"/>
      <c r="AR126" s="260"/>
      <c r="AS126" s="260"/>
      <c r="AT126" s="260"/>
      <c r="AU126" s="258"/>
      <c r="AV126" s="127"/>
    </row>
    <row r="127" spans="1:49" ht="0.75" customHeight="1">
      <c r="A127" s="47"/>
      <c r="B127" s="47"/>
      <c r="C127" s="47"/>
      <c r="D127" s="47"/>
      <c r="E127" s="47"/>
      <c r="F127" s="47"/>
      <c r="G127" s="47"/>
      <c r="H127" s="47"/>
      <c r="I127" s="47"/>
      <c r="J12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50"/>
      <c r="AM127" s="126"/>
      <c r="AN127" s="223"/>
      <c r="AO127" s="728"/>
      <c r="AP127" s="260"/>
      <c r="AQ127" s="258"/>
      <c r="AR127" s="260"/>
      <c r="AS127" s="260"/>
      <c r="AT127" s="260"/>
      <c r="AU127" s="258"/>
      <c r="AV127" s="127"/>
    </row>
    <row r="128" spans="1:49" ht="0.75" customHeight="1">
      <c r="A128" s="47"/>
      <c r="B128" s="47"/>
      <c r="C128" s="47"/>
      <c r="D128" s="47"/>
      <c r="E128" s="47"/>
      <c r="F128" s="47"/>
      <c r="G128" s="47"/>
      <c r="H128" s="47"/>
      <c r="I128" s="47"/>
      <c r="J128"/>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50"/>
      <c r="AM128" s="126"/>
      <c r="AN128" s="223"/>
      <c r="AO128" s="728"/>
      <c r="AP128" s="260"/>
      <c r="AQ128" s="258"/>
      <c r="AR128" s="260"/>
      <c r="AS128" s="260"/>
      <c r="AT128" s="260"/>
      <c r="AU128" s="258"/>
      <c r="AV128" s="127"/>
    </row>
    <row r="129" spans="1:49" ht="0.75" customHeight="1">
      <c r="A129" s="47"/>
      <c r="B129" s="47"/>
      <c r="C129" s="47"/>
      <c r="D129" s="47"/>
      <c r="E129" s="47"/>
      <c r="F129" s="47"/>
      <c r="G129" s="47"/>
      <c r="H129" s="47"/>
      <c r="I129" s="47"/>
      <c r="J129"/>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50"/>
      <c r="AM129" s="126"/>
      <c r="AN129" s="223"/>
      <c r="AO129" s="728"/>
      <c r="AP129" s="260"/>
      <c r="AQ129" s="258"/>
      <c r="AR129" s="260"/>
      <c r="AS129" s="260"/>
      <c r="AT129" s="260"/>
      <c r="AU129" s="258"/>
      <c r="AV129" s="127"/>
    </row>
    <row r="130" spans="1:49" ht="0.75" customHeight="1">
      <c r="A130" s="47"/>
      <c r="B130" s="47"/>
      <c r="C130" s="47"/>
      <c r="D130" s="47"/>
      <c r="E130" s="47"/>
      <c r="F130" s="47"/>
      <c r="G130" s="47"/>
      <c r="H130" s="47"/>
      <c r="I130" s="47"/>
      <c r="J130"/>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50"/>
      <c r="AM130" s="126"/>
      <c r="AN130" s="223"/>
      <c r="AO130" s="728"/>
      <c r="AP130" s="260"/>
      <c r="AQ130" s="258"/>
      <c r="AR130" s="260"/>
      <c r="AS130" s="260"/>
      <c r="AT130" s="260"/>
      <c r="AU130" s="258"/>
      <c r="AV130" s="127"/>
    </row>
    <row r="131" spans="1:49">
      <c r="AL131" s="121"/>
      <c r="AM131" s="121"/>
      <c r="AN131" s="725" t="s">
        <v>3072</v>
      </c>
      <c r="AO131" s="724" t="s">
        <v>2727</v>
      </c>
      <c r="AP131" s="257">
        <f t="shared" si="2"/>
        <v>0</v>
      </c>
      <c r="AQ131" s="321"/>
      <c r="AR131" s="260"/>
      <c r="AS131" s="260"/>
      <c r="AT131" s="261"/>
      <c r="AU131" s="258"/>
      <c r="AV131" s="121"/>
      <c r="AW131" s="121"/>
    </row>
    <row r="132" spans="1:49" ht="22.5">
      <c r="AL132" s="121"/>
      <c r="AM132" s="121"/>
      <c r="AN132" s="504" t="s">
        <v>2427</v>
      </c>
      <c r="AO132" s="723" t="s">
        <v>2616</v>
      </c>
      <c r="AP132" s="257">
        <f t="shared" si="2"/>
        <v>0</v>
      </c>
      <c r="AQ132" s="321"/>
      <c r="AR132" s="260"/>
      <c r="AS132" s="260"/>
      <c r="AT132" s="257">
        <f>AT135*AT133/1000</f>
        <v>0</v>
      </c>
      <c r="AU132" s="258"/>
      <c r="AV132" s="121"/>
      <c r="AW132" s="121"/>
    </row>
    <row r="133" spans="1:49" ht="22.5">
      <c r="AL133" s="121"/>
      <c r="AM133" s="121"/>
      <c r="AN133" s="504" t="s">
        <v>2429</v>
      </c>
      <c r="AO133" s="727" t="s">
        <v>2619</v>
      </c>
      <c r="AP133" s="263"/>
      <c r="AQ133" s="321"/>
      <c r="AR133" s="260"/>
      <c r="AS133" s="260"/>
      <c r="AT133" s="261"/>
      <c r="AU133" s="258"/>
      <c r="AV133" s="121"/>
      <c r="AW133" s="121"/>
    </row>
    <row r="134" spans="1:49">
      <c r="AL134" s="121"/>
      <c r="AM134" s="121"/>
      <c r="AN134" s="504" t="s">
        <v>2617</v>
      </c>
      <c r="AO134" s="727" t="s">
        <v>2620</v>
      </c>
      <c r="AP134" s="263"/>
      <c r="AQ134" s="321"/>
      <c r="AR134" s="260"/>
      <c r="AS134" s="260"/>
      <c r="AT134" s="261"/>
      <c r="AU134" s="258"/>
      <c r="AV134" s="121"/>
      <c r="AW134" s="121"/>
    </row>
    <row r="135" spans="1:49">
      <c r="AL135" s="121"/>
      <c r="AM135" s="121"/>
      <c r="AN135" s="504" t="s">
        <v>2618</v>
      </c>
      <c r="AO135" s="727" t="s">
        <v>2621</v>
      </c>
      <c r="AP135" s="263"/>
      <c r="AQ135" s="321"/>
      <c r="AR135" s="260"/>
      <c r="AS135" s="260"/>
      <c r="AT135" s="257">
        <f>IF(AR$13="да",AT134*1.18,AT134)</f>
        <v>0</v>
      </c>
      <c r="AU135" s="258"/>
      <c r="AV135" s="121"/>
      <c r="AW135" s="121"/>
    </row>
    <row r="136" spans="1:49" ht="0.75" customHeight="1">
      <c r="AL136" s="121"/>
      <c r="AM136" s="121"/>
      <c r="AN136" s="504"/>
      <c r="AO136" s="526"/>
      <c r="AP136" s="526"/>
      <c r="AQ136" s="321"/>
      <c r="AR136" s="260"/>
      <c r="AS136" s="260"/>
      <c r="AT136" s="260"/>
      <c r="AU136" s="258"/>
      <c r="AV136" s="121"/>
      <c r="AW136" s="121"/>
    </row>
    <row r="137" spans="1:49" ht="0.75" customHeight="1">
      <c r="AL137" s="121"/>
      <c r="AM137" s="121"/>
      <c r="AN137" s="223"/>
      <c r="AO137" s="728"/>
      <c r="AP137" s="260"/>
      <c r="AQ137" s="258"/>
      <c r="AR137" s="260"/>
      <c r="AS137" s="260"/>
      <c r="AT137" s="260"/>
      <c r="AU137" s="258"/>
      <c r="AV137" s="127"/>
      <c r="AW137" s="121"/>
    </row>
    <row r="138" spans="1:49" ht="0.75" customHeight="1">
      <c r="AL138" s="121"/>
      <c r="AM138" s="121"/>
      <c r="AN138" s="223"/>
      <c r="AO138" s="728"/>
      <c r="AP138" s="260"/>
      <c r="AQ138" s="258"/>
      <c r="AR138" s="260"/>
      <c r="AS138" s="260"/>
      <c r="AT138" s="260"/>
      <c r="AU138" s="258"/>
      <c r="AV138" s="127"/>
      <c r="AW138" s="121"/>
    </row>
    <row r="139" spans="1:49" ht="0.75" customHeight="1">
      <c r="AL139" s="121"/>
      <c r="AM139" s="121"/>
      <c r="AN139" s="223"/>
      <c r="AO139" s="728"/>
      <c r="AP139" s="260"/>
      <c r="AQ139" s="258"/>
      <c r="AR139" s="260"/>
      <c r="AS139" s="260"/>
      <c r="AT139" s="260"/>
      <c r="AU139" s="258"/>
      <c r="AV139" s="127"/>
      <c r="AW139" s="121"/>
    </row>
    <row r="140" spans="1:49" ht="0.75" customHeight="1">
      <c r="AL140" s="121"/>
      <c r="AM140" s="121"/>
      <c r="AN140" s="223"/>
      <c r="AO140" s="728"/>
      <c r="AP140" s="260"/>
      <c r="AQ140" s="258"/>
      <c r="AR140" s="260"/>
      <c r="AS140" s="260"/>
      <c r="AT140" s="260"/>
      <c r="AU140" s="258"/>
      <c r="AV140" s="127"/>
      <c r="AW140" s="121"/>
    </row>
    <row r="141" spans="1:49" ht="57" customHeight="1">
      <c r="AL141" s="121"/>
      <c r="AM141" s="121"/>
      <c r="AN141" s="504" t="s">
        <v>855</v>
      </c>
      <c r="AO141" s="526" t="s">
        <v>370</v>
      </c>
      <c r="AP141" s="257">
        <f>SUMIF(AQ$8:AU$8,"NO_TRANSPORT",AQ141:AU141)</f>
        <v>2.9557999999999995</v>
      </c>
      <c r="AQ141" s="321"/>
      <c r="AR141" s="323"/>
      <c r="AS141" s="260"/>
      <c r="AT141" s="629">
        <f>SUMIF(БПр!$F$129:$F$158,AT$9,БПр!$J$129:$J$158)/1000</f>
        <v>2.9557999999999995</v>
      </c>
      <c r="AU141" s="258"/>
      <c r="AV141" s="121"/>
      <c r="AW141" s="121"/>
    </row>
    <row r="142" spans="1:49" ht="57" customHeight="1">
      <c r="AL142" s="121"/>
      <c r="AM142" s="121"/>
      <c r="AN142" s="504" t="s">
        <v>876</v>
      </c>
      <c r="AO142" s="526" t="s">
        <v>371</v>
      </c>
      <c r="AP142" s="257">
        <f>SUMIF(AQ$8:AU$8,"NO_TRANSPORT",AQ142:AU142)</f>
        <v>2.2696999999999998</v>
      </c>
      <c r="AQ142" s="321"/>
      <c r="AR142" s="260"/>
      <c r="AS142" s="260"/>
      <c r="AT142" s="629">
        <f>SUMIF(БПр!$F$129:$F$158,AT$9,БПр!$L$129:$L$158)/1000</f>
        <v>2.2696999999999998</v>
      </c>
      <c r="AU142" s="258"/>
      <c r="AV142" s="121"/>
      <c r="AW142" s="121"/>
    </row>
    <row r="143" spans="1:49">
      <c r="AL143" s="121"/>
      <c r="AM143" s="121"/>
      <c r="AN143" s="504" t="s">
        <v>881</v>
      </c>
      <c r="AO143" s="526" t="s">
        <v>2967</v>
      </c>
      <c r="AP143" s="254"/>
      <c r="AQ143" s="321"/>
      <c r="AR143" s="260"/>
      <c r="AS143" s="260"/>
      <c r="AT143" s="257">
        <f>IF(AT141=0,0,AT142/AT141)</f>
        <v>0.76788010014209362</v>
      </c>
      <c r="AU143" s="258"/>
      <c r="AV143" s="121"/>
      <c r="AW143" s="121"/>
    </row>
    <row r="144" spans="1:49" ht="57" customHeight="1">
      <c r="AL144" s="121"/>
      <c r="AM144" s="121"/>
      <c r="AN144" s="559" t="s">
        <v>362</v>
      </c>
      <c r="AO144" s="604" t="s">
        <v>2722</v>
      </c>
      <c r="AP144" s="257">
        <f>SUMIF(AQ$8:AU$8,"NO_TRANSPORT",AQ144:AU144)</f>
        <v>2.2696999999999998</v>
      </c>
      <c r="AQ144" s="321"/>
      <c r="AR144" s="260"/>
      <c r="AS144" s="260"/>
      <c r="AT144" s="629">
        <f>SUMIF(БПр!$F$129:$F$158,AT$9,БПр!$L$129:$L$158)/1000-SUMIF(БПр!$F$129:$F$158,AT$9,БПр!$P$129:$P$158)/1000</f>
        <v>2.2696999999999998</v>
      </c>
      <c r="AU144" s="258"/>
      <c r="AV144" s="121"/>
      <c r="AW144" s="121"/>
    </row>
    <row r="145" spans="38:49" s="121" customFormat="1" ht="0.75" customHeight="1">
      <c r="AN145" s="504"/>
      <c r="AO145" s="526"/>
      <c r="AP145" s="260"/>
      <c r="AQ145" s="321"/>
      <c r="AR145" s="260"/>
      <c r="AS145" s="260"/>
      <c r="AT145" s="260"/>
      <c r="AU145" s="258"/>
    </row>
    <row r="146" spans="38:49" s="121" customFormat="1" ht="22.5">
      <c r="AN146" s="222" t="s">
        <v>32</v>
      </c>
      <c r="AO146" s="721" t="str">
        <f>"Общий доход организации от реализации потребителям без учёта НДС, исходя из утверждённых тарифов на " &amp; AN10</f>
        <v>Общий доход организации от реализации потребителям без учёта НДС, исходя из утверждённых тарифов на 01.07 - 31.08</v>
      </c>
      <c r="AP146" s="257">
        <f>SUMIF(AQ$14:AU$14,AP$14,AQ146:AU146)</f>
        <v>17.966204999999999</v>
      </c>
      <c r="AQ146" s="321"/>
      <c r="AR146" s="260"/>
      <c r="AS146" s="260"/>
      <c r="AT146" s="257">
        <f>AT148+AT151+AT154+AT157+AT161</f>
        <v>17.966204999999999</v>
      </c>
      <c r="AU146" s="258"/>
    </row>
    <row r="147" spans="38:49" s="121" customFormat="1" ht="22.5">
      <c r="AN147" s="222" t="s">
        <v>33</v>
      </c>
      <c r="AO147" s="540" t="str">
        <f>"Полезный отпуск продукции на реализацию потребителям (тыс. куб.м) на " &amp; AN10</f>
        <v>Полезный отпуск продукции на реализацию потребителям (тыс. куб.м) на 01.07 - 31.08</v>
      </c>
      <c r="AP147" s="257">
        <f>SUMIF(AQ$14:AU$14,AP$14,AQ147:AU147)</f>
        <v>0.36449999999999999</v>
      </c>
      <c r="AQ147" s="321"/>
      <c r="AR147" s="260"/>
      <c r="AS147" s="260"/>
      <c r="AT147" s="257">
        <f>AT150+AT153+AT156+AT159</f>
        <v>0.36449999999999999</v>
      </c>
      <c r="AU147" s="258"/>
    </row>
    <row r="148" spans="38:49" s="121" customFormat="1">
      <c r="AN148" s="222" t="s">
        <v>2455</v>
      </c>
      <c r="AO148" s="541" t="str">
        <f>"Организации-перепродавцы на " &amp; AN10</f>
        <v>Организации-перепродавцы на 01.07 - 31.08</v>
      </c>
      <c r="AP148" s="257">
        <f>SUMIF(AQ$14:AU$14,AP$14,AQ148:AU148)</f>
        <v>0</v>
      </c>
      <c r="AQ148" s="321"/>
      <c r="AR148" s="260"/>
      <c r="AS148" s="546"/>
      <c r="AT148" s="545">
        <f>AT149*AT150</f>
        <v>0</v>
      </c>
      <c r="AU148" s="258"/>
    </row>
    <row r="149" spans="38:49" ht="12.75">
      <c r="AL149" s="121"/>
      <c r="AM149" s="121"/>
      <c r="AN149" s="222" t="s">
        <v>34</v>
      </c>
      <c r="AO149" s="502" t="s">
        <v>348</v>
      </c>
      <c r="AP149" s="254"/>
      <c r="AQ149" s="321"/>
      <c r="AR149" s="260"/>
      <c r="AS149" s="546"/>
      <c r="AT149" s="630">
        <f>IF($AP$8="I",SUMIF('ТМ2 01.01 - 30.06'!$C$21:$C$25,AT$9,'ТМ2 01.01 - 30.06'!$AM$21:$AM$25),IF($AP$8="II",SUMIF('ТМ2 01.07 - 31.08'!$C$21:$C$25,AT$9,'ТМ2 01.07 - 31.08'!$AM$21:$AM$25),IF($AP$8="III",SUMIF('ТМ2 01.09 - 31.12'!$C$21:$C$25,AT$9,'ТМ2 01.09 - 31.12'!$AM$21:$AM$25),0)))</f>
        <v>0</v>
      </c>
      <c r="AU149" s="258"/>
      <c r="AV149" s="121"/>
      <c r="AW149" s="121"/>
    </row>
    <row r="150" spans="38:49">
      <c r="AL150" s="121"/>
      <c r="AM150" s="121"/>
      <c r="AN150" s="222" t="s">
        <v>35</v>
      </c>
      <c r="AO150" s="502" t="s">
        <v>372</v>
      </c>
      <c r="AP150" s="257">
        <f>SUMIF(AQ$8:AU$8,"NO_TRANSPORT",AQ150:AU150)</f>
        <v>0</v>
      </c>
      <c r="AQ150" s="321"/>
      <c r="AR150" s="260"/>
      <c r="AS150" s="260"/>
      <c r="AT150" s="629">
        <f>SUMIF(БПр!$BF$129:$BF$158,AT$9&amp;"-"&amp;$AP$8,БПр!$P$129:$P$158)/1000</f>
        <v>0</v>
      </c>
      <c r="AU150" s="258"/>
      <c r="AV150" s="121"/>
      <c r="AW150" s="121"/>
    </row>
    <row r="151" spans="38:49" s="121" customFormat="1">
      <c r="AN151" s="222" t="s">
        <v>2456</v>
      </c>
      <c r="AO151" s="540" t="str">
        <f>"Бюджетные потребители на " &amp; AN10</f>
        <v>Бюджетные потребители на 01.07 - 31.08</v>
      </c>
      <c r="AP151" s="257">
        <f>SUMIF(AQ$14:AU$14,AP$14,AQ151:AU151)</f>
        <v>11.031102000000001</v>
      </c>
      <c r="AQ151" s="321"/>
      <c r="AR151" s="260"/>
      <c r="AS151" s="546"/>
      <c r="AT151" s="545">
        <f>AT152*AT153</f>
        <v>11.031102000000001</v>
      </c>
      <c r="AU151" s="258"/>
    </row>
    <row r="152" spans="38:49" s="121" customFormat="1" ht="12.75">
      <c r="AN152" s="222" t="s">
        <v>36</v>
      </c>
      <c r="AO152" s="502" t="s">
        <v>348</v>
      </c>
      <c r="AP152" s="254"/>
      <c r="AQ152" s="321"/>
      <c r="AR152" s="260"/>
      <c r="AS152" s="546"/>
      <c r="AT152" s="630">
        <f>IF($AP$8="I",SUMIF('ТМ2 01.01 - 30.06'!$C$21:$C$25,AT$9,'ТМ2 01.01 - 30.06'!$ET$21:$ET$25),IF($AP$8="II",SUMIF('ТМ2 01.07 - 31.08'!$C$21:$C$25,AT$9,'ТМ2 01.07 - 31.08'!$ET$21:$ET$25),IF($AP$8="III",SUMIF('ТМ2 01.09 - 31.12'!$C$21:$C$25,AT$9,'ТМ2 01.09 - 31.12'!$ET$21:$ET$25),0)))</f>
        <v>49.29</v>
      </c>
      <c r="AU152" s="258"/>
    </row>
    <row r="153" spans="38:49" s="121" customFormat="1">
      <c r="AN153" s="222" t="s">
        <v>37</v>
      </c>
      <c r="AO153" s="502" t="s">
        <v>372</v>
      </c>
      <c r="AP153" s="257">
        <f>SUMIF(AQ$8:AU$8,"NO_TRANSPORT",AQ153:AU153)</f>
        <v>0.2238</v>
      </c>
      <c r="AQ153" s="321"/>
      <c r="AR153" s="260"/>
      <c r="AS153" s="260"/>
      <c r="AT153" s="629">
        <f>SUMIF(БПр!$BF$129:$BF$158,AT$9&amp;"-"&amp;$AP$8,БПр!$M$129:$M$158)/1000</f>
        <v>0.2238</v>
      </c>
      <c r="AU153" s="258"/>
    </row>
    <row r="154" spans="38:49" s="121" customFormat="1">
      <c r="AN154" s="222" t="s">
        <v>2457</v>
      </c>
      <c r="AO154" s="540" t="str">
        <f>"Население на " &amp; AN10</f>
        <v>Население на 01.07 - 31.08</v>
      </c>
      <c r="AP154" s="257">
        <f>SUMIF(AQ$14:AU$14,AP$14,AQ154:AU154)</f>
        <v>0.818214</v>
      </c>
      <c r="AQ154" s="321"/>
      <c r="AR154" s="260"/>
      <c r="AS154" s="546"/>
      <c r="AT154" s="545">
        <f>AT155*AT156</f>
        <v>0.818214</v>
      </c>
      <c r="AU154" s="258"/>
    </row>
    <row r="155" spans="38:49" s="121" customFormat="1" ht="12.75">
      <c r="AN155" s="222" t="s">
        <v>38</v>
      </c>
      <c r="AO155" s="502" t="s">
        <v>348</v>
      </c>
      <c r="AP155" s="254"/>
      <c r="AQ155" s="321"/>
      <c r="AR155" s="260"/>
      <c r="AS155" s="546"/>
      <c r="AT155" s="630">
        <f>IF($AP$8="I",SUMIF('ТМ2 01.01 - 30.06'!$C$21:$C$25,AT$9,'ТМ2 01.01 - 30.06'!$EU$21:$EU$25),IF($AP$8="II",SUMIF('ТМ2 01.07 - 31.08'!$C$21:$C$25,AT$9,'ТМ2 01.07 - 31.08'!$EU$21:$EU$25),IF($AP$8="III",SUMIF('ТМ2 01.09 - 31.12'!$C$21:$C$25,AT$9,'ТМ2 01.09 - 31.12'!$EU$21:$EU$25),0)))</f>
        <v>49.29</v>
      </c>
      <c r="AU155" s="258"/>
    </row>
    <row r="156" spans="38:49" s="121" customFormat="1">
      <c r="AN156" s="222" t="s">
        <v>39</v>
      </c>
      <c r="AO156" s="502" t="s">
        <v>372</v>
      </c>
      <c r="AP156" s="257">
        <f>SUMIF(AQ$8:AU$8,"NO_TRANSPORT",AQ156:AU156)</f>
        <v>1.66E-2</v>
      </c>
      <c r="AQ156" s="321"/>
      <c r="AR156" s="260"/>
      <c r="AS156" s="260"/>
      <c r="AT156" s="629">
        <f>SUMIF(БПр!$BF$129:$BF$158,AT$9&amp;"-"&amp;$AP$8,БПр!$N$129:$N$158)/1000</f>
        <v>1.66E-2</v>
      </c>
      <c r="AU156" s="258"/>
    </row>
    <row r="157" spans="38:49">
      <c r="AL157" s="121"/>
      <c r="AM157" s="121"/>
      <c r="AN157" s="222" t="s">
        <v>2458</v>
      </c>
      <c r="AO157" s="540" t="str">
        <f>"Прочие на " &amp; AN10</f>
        <v>Прочие на 01.07 - 31.08</v>
      </c>
      <c r="AP157" s="257">
        <f>SUMIF(AQ$14:AU$14,AP$14,AQ157:AU157)</f>
        <v>6.1168889999999996</v>
      </c>
      <c r="AQ157" s="321"/>
      <c r="AR157" s="260"/>
      <c r="AS157" s="546"/>
      <c r="AT157" s="545">
        <f>AT158*AT159</f>
        <v>6.1168889999999996</v>
      </c>
      <c r="AU157" s="258"/>
      <c r="AV157" s="121"/>
      <c r="AW157" s="121"/>
    </row>
    <row r="158" spans="38:49" s="121" customFormat="1" ht="12.75">
      <c r="AN158" s="222" t="s">
        <v>40</v>
      </c>
      <c r="AO158" s="502" t="s">
        <v>348</v>
      </c>
      <c r="AP158" s="254"/>
      <c r="AQ158" s="321"/>
      <c r="AR158" s="260"/>
      <c r="AS158" s="546"/>
      <c r="AT158" s="630">
        <f>IF($AP$8="I",SUMIF('ТМ2 01.01 - 30.06'!$C$21:$C$25,AT$9,'ТМ2 01.01 - 30.06'!$EV$21:$EV$25),IF($AP$8="II",SUMIF('ТМ2 01.07 - 31.08'!$C$21:$C$25,AT$9,'ТМ2 01.07 - 31.08'!$EV$21:$EV$25),IF($AP$8="III",SUMIF('ТМ2 01.09 - 31.12'!$C$21:$C$25,AT$9,'ТМ2 01.09 - 31.12'!$EV$21:$EV$25),0)))</f>
        <v>49.29</v>
      </c>
      <c r="AU158" s="258"/>
    </row>
    <row r="159" spans="38:49" s="121" customFormat="1">
      <c r="AN159" s="222" t="s">
        <v>41</v>
      </c>
      <c r="AO159" s="502" t="s">
        <v>372</v>
      </c>
      <c r="AP159" s="257">
        <f>SUMIF(AQ$8:AU$8,"NO_TRANSPORT",AQ159:AU159)</f>
        <v>0.12409999999999999</v>
      </c>
      <c r="AQ159" s="321"/>
      <c r="AR159" s="260"/>
      <c r="AS159" s="260"/>
      <c r="AT159" s="629">
        <f>SUMIF(БПр!$BF$129:$BF$158,AT$9&amp;"-"&amp;$AP$8,БПр!$O$129:$O$158)/1000</f>
        <v>0.12409999999999999</v>
      </c>
      <c r="AU159" s="258"/>
    </row>
    <row r="160" spans="38:49" s="121" customFormat="1" ht="0.75" customHeight="1">
      <c r="AN160" s="222"/>
      <c r="AO160" s="502"/>
      <c r="AP160" s="323"/>
      <c r="AQ160" s="321"/>
      <c r="AR160" s="260"/>
      <c r="AS160" s="260"/>
      <c r="AT160" s="260"/>
      <c r="AU160" s="258"/>
    </row>
    <row r="161" spans="1:49" s="121" customFormat="1">
      <c r="AN161" s="722" t="s">
        <v>2664</v>
      </c>
      <c r="AO161" s="721" t="s">
        <v>2724</v>
      </c>
      <c r="AP161" s="257">
        <f>SUMIF(AQ$14:AU$14,AP$14,AQ161:AU161)</f>
        <v>0</v>
      </c>
      <c r="AQ161" s="321"/>
      <c r="AR161" s="260"/>
      <c r="AS161" s="260"/>
      <c r="AT161" s="261"/>
      <c r="AU161" s="258"/>
    </row>
    <row r="162" spans="1:49" s="121" customFormat="1" hidden="1">
      <c r="AN162" s="222"/>
      <c r="AO162" s="502"/>
      <c r="AP162" s="323"/>
      <c r="AQ162" s="321"/>
      <c r="AR162" s="260"/>
      <c r="AS162" s="260"/>
      <c r="AT162" s="260"/>
      <c r="AU162" s="258"/>
    </row>
    <row r="163" spans="1:49" s="121" customFormat="1" hidden="1">
      <c r="AN163" s="222"/>
      <c r="AO163" s="502"/>
      <c r="AP163" s="323"/>
      <c r="AQ163" s="321"/>
      <c r="AR163" s="260"/>
      <c r="AS163" s="260"/>
      <c r="AT163" s="260"/>
      <c r="AU163" s="258"/>
    </row>
    <row r="164" spans="1:49" ht="0.75" customHeight="1">
      <c r="AL164" s="121"/>
      <c r="AM164" s="121"/>
      <c r="AN164" s="223"/>
      <c r="AO164" s="216"/>
      <c r="AP164" s="543"/>
      <c r="AQ164" s="523"/>
      <c r="AR164" s="547"/>
      <c r="AS164" s="547"/>
      <c r="AT164" s="547"/>
      <c r="AU164" s="265"/>
      <c r="AV164" s="121"/>
      <c r="AW164" s="121"/>
    </row>
    <row r="165" spans="1:49" s="54" customFormat="1">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48"/>
      <c r="AV165" s="121"/>
      <c r="AW165" s="121"/>
    </row>
    <row r="166" spans="1:49" s="54" customFormat="1">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47"/>
      <c r="AR166" s="47"/>
      <c r="AS166" s="47"/>
      <c r="AT166" s="47"/>
      <c r="AU166" s="47"/>
      <c r="AV166" s="121"/>
      <c r="AW166" s="121"/>
    </row>
    <row r="167" spans="1:49">
      <c r="AL167" s="121"/>
      <c r="AM167" s="121"/>
    </row>
  </sheetData>
  <sheetProtection password="FA9C" sheet="1" objects="1" scenarios="1" formatColumns="0" formatRows="0"/>
  <mergeCells count="8">
    <mergeCell ref="AR13:AT13"/>
    <mergeCell ref="AN9:AP9"/>
    <mergeCell ref="AN11:AN12"/>
    <mergeCell ref="AO11:AO12"/>
    <mergeCell ref="AP11:AP12"/>
    <mergeCell ref="AR10:AT10"/>
    <mergeCell ref="AR11:AT11"/>
    <mergeCell ref="AR12:AT12"/>
  </mergeCells>
  <phoneticPr fontId="8"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sheetPr codeName="VOTV_ConR_PERIOD3">
    <tabColor rgb="FF7030A0"/>
    <outlinePr summaryBelow="0"/>
  </sheetPr>
  <dimension ref="A1:AW167"/>
  <sheetViews>
    <sheetView showGridLines="0" topLeftCell="AL8" workbookViewId="0">
      <selection activeCell="AO18" sqref="AO18"/>
    </sheetView>
  </sheetViews>
  <sheetFormatPr defaultColWidth="8.7109375" defaultRowHeight="11.25"/>
  <cols>
    <col min="1" max="37" width="2.7109375" style="121" hidden="1" customWidth="1"/>
    <col min="38" max="38" width="2.7109375" style="47" customWidth="1"/>
    <col min="39" max="39" width="2.7109375" style="48" customWidth="1"/>
    <col min="40" max="40" width="13.7109375" style="49" customWidth="1"/>
    <col min="41" max="41" width="60.7109375" style="47" customWidth="1"/>
    <col min="42" max="42" width="17.7109375" style="47" customWidth="1"/>
    <col min="43" max="43" width="0.140625" style="47" customWidth="1"/>
    <col min="44" max="45" width="0.140625" style="47" hidden="1" customWidth="1"/>
    <col min="46" max="46" width="17.7109375" style="47" customWidth="1"/>
    <col min="47" max="47" width="0.140625" style="47" customWidth="1"/>
    <col min="48" max="49" width="2.7109375" style="47" customWidth="1"/>
    <col min="50" max="16384" width="8.7109375" style="47"/>
  </cols>
  <sheetData>
    <row r="1" spans="1:49" ht="12" hidden="1" customHeight="1">
      <c r="A1" s="47"/>
      <c r="B1" s="47"/>
      <c r="C1" s="47"/>
      <c r="D1" s="47"/>
      <c r="E1" s="47"/>
      <c r="F1" s="47"/>
      <c r="G1" s="47"/>
      <c r="H1" s="47"/>
      <c r="I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row>
    <row r="2" spans="1:49" ht="12" hidden="1" customHeight="1">
      <c r="A2" s="47"/>
      <c r="B2" s="47"/>
      <c r="C2" s="47"/>
      <c r="D2" s="47"/>
      <c r="E2" s="47"/>
      <c r="F2" s="47"/>
      <c r="G2" s="47"/>
      <c r="H2" s="47"/>
      <c r="I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row>
    <row r="3" spans="1:49" ht="12" hidden="1" customHeight="1">
      <c r="A3" s="47"/>
      <c r="B3" s="47"/>
      <c r="C3" s="47"/>
      <c r="D3" s="47"/>
      <c r="E3" s="47"/>
      <c r="F3" s="47"/>
      <c r="G3" s="47"/>
      <c r="H3" s="47"/>
      <c r="I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row>
    <row r="4" spans="1:49" ht="12" hidden="1" customHeight="1">
      <c r="A4" s="47"/>
      <c r="B4" s="47"/>
      <c r="C4" s="47"/>
      <c r="D4" s="47"/>
      <c r="E4" s="47"/>
      <c r="F4" s="47"/>
      <c r="G4" s="47"/>
      <c r="H4" s="47"/>
      <c r="I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row>
    <row r="5" spans="1:49" ht="12" hidden="1" customHeight="1">
      <c r="A5" s="47"/>
      <c r="B5" s="47"/>
      <c r="C5" s="47"/>
      <c r="D5" s="47"/>
      <c r="E5" s="47"/>
      <c r="F5" s="47"/>
      <c r="G5" s="47"/>
      <c r="H5" s="47"/>
      <c r="I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row>
    <row r="6" spans="1:49" ht="12" hidden="1" customHeight="1">
      <c r="A6" s="47"/>
      <c r="B6" s="47"/>
      <c r="C6" s="47"/>
      <c r="D6" s="47"/>
      <c r="E6" s="47"/>
      <c r="F6" s="47"/>
      <c r="G6" s="47"/>
      <c r="H6" s="47"/>
      <c r="I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row>
    <row r="7" spans="1:49" ht="12" hidden="1" customHeight="1">
      <c r="A7" s="47"/>
      <c r="B7" s="47"/>
      <c r="C7" s="47"/>
      <c r="D7" s="47"/>
      <c r="E7" s="47"/>
      <c r="F7" s="47"/>
      <c r="G7" s="47"/>
      <c r="H7" s="47"/>
      <c r="I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row>
    <row r="8" spans="1:49" s="520" customFormat="1" ht="11.25" customHeight="1">
      <c r="J8" s="521"/>
      <c r="AM8" s="522"/>
      <c r="AN8" s="637">
        <f>IF(TARIFF_SETUP_METHOD_CODE="BY_PSEUDO_YEARS",12,4)</f>
        <v>4</v>
      </c>
      <c r="AO8" s="431" t="str">
        <f>"Необходимо указывать " &amp; IF(TARIFF_SETUP_METHOD_CODE="BY_PSEUDO_YEARS","общегодовые значения","значения по периодам")</f>
        <v>Необходимо указывать значения по периодам</v>
      </c>
      <c r="AP8" s="616" t="s">
        <v>2498</v>
      </c>
      <c r="AQ8" s="522"/>
      <c r="AR8" s="624"/>
      <c r="AS8" s="624"/>
      <c r="AT8" s="624" t="s">
        <v>3269</v>
      </c>
      <c r="AU8" s="522"/>
      <c r="AV8" s="522"/>
    </row>
    <row r="9" spans="1:49" s="48" customFormat="1" ht="27.75" customHeight="1">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917" t="str">
        <f>"Фактические расходы организаций " &amp; TEMPLATE_SPHERE &amp; " на реализацию " &amp; RESOURCE_IDENTIFIER &amp; " конечным потребителям по муниципальному образованию - " &amp; IF(mo="","Не определено",mo)</f>
        <v>Фактические расходы организаций водоотведения на реализацию стоков конечным потребителям по муниципальному образованию - Село Булава</v>
      </c>
      <c r="AO9" s="917"/>
      <c r="AP9" s="917"/>
      <c r="AQ9" s="201"/>
      <c r="AR9" s="625" t="str">
        <f>AR11 &amp; ".1"</f>
        <v>1.1</v>
      </c>
      <c r="AS9" s="625" t="str">
        <f>AR11 &amp; ".2"</f>
        <v>1.2</v>
      </c>
      <c r="AT9" s="625" t="str">
        <f>AR11 &amp; ".0"</f>
        <v>1.0</v>
      </c>
      <c r="AU9" s="122"/>
      <c r="AV9" s="200"/>
    </row>
    <row r="10" spans="1:49" ht="12" customHeight="1">
      <c r="A10" s="47"/>
      <c r="B10" s="47"/>
      <c r="C10" s="47"/>
      <c r="D10" s="47"/>
      <c r="E10" s="47"/>
      <c r="F10" s="47"/>
      <c r="G10" s="47"/>
      <c r="H10" s="47"/>
      <c r="I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M10" s="124"/>
      <c r="AN10" s="430" t="s">
        <v>2499</v>
      </c>
      <c r="AO10" s="221"/>
      <c r="AP10" s="122" t="s">
        <v>786</v>
      </c>
      <c r="AQ10" s="201"/>
      <c r="AR10" s="814" t="s">
        <v>719</v>
      </c>
      <c r="AS10" s="814"/>
      <c r="AT10" s="814"/>
      <c r="AU10" s="168" t="s">
        <v>720</v>
      </c>
      <c r="AV10" s="53"/>
    </row>
    <row r="11" spans="1:49" ht="12" customHeight="1">
      <c r="A11" s="47"/>
      <c r="B11" s="47"/>
      <c r="C11" s="47"/>
      <c r="D11" s="47"/>
      <c r="E11" s="47"/>
      <c r="F11" s="47"/>
      <c r="G11" s="47"/>
      <c r="H11" s="47"/>
      <c r="I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50"/>
      <c r="AM11" s="125"/>
      <c r="AN11" s="802" t="s">
        <v>641</v>
      </c>
      <c r="AO11" s="804" t="s">
        <v>787</v>
      </c>
      <c r="AP11" s="806" t="s">
        <v>778</v>
      </c>
      <c r="AQ11" s="206">
        <v>0</v>
      </c>
      <c r="AR11" s="808">
        <v>1</v>
      </c>
      <c r="AS11" s="809"/>
      <c r="AT11" s="810"/>
      <c r="AU11" s="206"/>
      <c r="AV11" s="220"/>
    </row>
    <row r="12" spans="1:49" ht="48" customHeight="1">
      <c r="A12" s="47"/>
      <c r="B12" s="47"/>
      <c r="C12" s="47"/>
      <c r="D12" s="47"/>
      <c r="E12" s="47"/>
      <c r="F12" s="47"/>
      <c r="G12" s="47"/>
      <c r="H12" s="47"/>
      <c r="I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50"/>
      <c r="AM12" s="125"/>
      <c r="AN12" s="803"/>
      <c r="AO12" s="805"/>
      <c r="AP12" s="807"/>
      <c r="AQ12" s="207"/>
      <c r="AR12" s="964" t="str">
        <f>IF('Список организаций'!$I$16="","Не определено",'Список организаций'!$I$16)</f>
        <v>МУП СП "Село Булава" Булавинское ТЭП"</v>
      </c>
      <c r="AS12" s="797"/>
      <c r="AT12" s="798"/>
      <c r="AU12" s="207"/>
      <c r="AV12" s="121"/>
      <c r="AW12" s="121"/>
    </row>
    <row r="13" spans="1:49" ht="11.25" customHeight="1">
      <c r="A13" s="47"/>
      <c r="B13" s="47"/>
      <c r="C13" s="47"/>
      <c r="D13" s="47"/>
      <c r="E13" s="47"/>
      <c r="F13" s="47"/>
      <c r="G13" s="47"/>
      <c r="H13" s="47"/>
      <c r="I13" s="47"/>
      <c r="AL13" s="121"/>
      <c r="AM13" s="121"/>
      <c r="AN13" s="222"/>
      <c r="AO13" s="501" t="s">
        <v>788</v>
      </c>
      <c r="AP13" s="542"/>
      <c r="AQ13" s="330"/>
      <c r="AR13" s="963" t="str">
        <f>IF('Список организаций'!$M$16="","Не определено",'Список организаций'!$M$16)</f>
        <v>нет</v>
      </c>
      <c r="AS13" s="800"/>
      <c r="AT13" s="801"/>
      <c r="AU13" s="207"/>
      <c r="AV13" s="121"/>
      <c r="AW13" s="121"/>
    </row>
    <row r="14" spans="1:49">
      <c r="A14" s="47"/>
      <c r="B14" s="47"/>
      <c r="C14" s="47"/>
      <c r="D14" s="47"/>
      <c r="E14" s="47"/>
      <c r="F14" s="47"/>
      <c r="G14" s="47"/>
      <c r="H14" s="47"/>
      <c r="I14" s="47"/>
      <c r="AL14" s="121"/>
      <c r="AM14" s="121"/>
      <c r="AN14" s="222"/>
      <c r="AO14" s="556" t="str">
        <f>IF(CALC_IDENTIFIER="","",CALC_IDENTIFIER)</f>
        <v/>
      </c>
      <c r="AP14" s="557" t="s">
        <v>745</v>
      </c>
      <c r="AQ14" s="330"/>
      <c r="AR14" s="568"/>
      <c r="AS14" s="568"/>
      <c r="AT14" s="568" t="s">
        <v>745</v>
      </c>
      <c r="AU14" s="207"/>
      <c r="AV14" s="121"/>
      <c r="AW14" s="121"/>
    </row>
    <row r="15" spans="1:49" ht="0.75" customHeight="1">
      <c r="AL15" s="121"/>
      <c r="AM15" s="121"/>
      <c r="AN15" s="504"/>
      <c r="AO15" s="566"/>
      <c r="AP15" s="323"/>
      <c r="AQ15" s="321"/>
      <c r="AR15" s="553"/>
      <c r="AS15" s="553"/>
      <c r="AT15" s="553"/>
      <c r="AU15" s="258"/>
      <c r="AV15" s="121"/>
      <c r="AW15" s="121"/>
    </row>
    <row r="16" spans="1:49" ht="0.75" customHeight="1">
      <c r="AL16" s="121"/>
      <c r="AM16" s="121"/>
      <c r="AN16" s="504"/>
      <c r="AO16" s="527"/>
      <c r="AP16" s="260"/>
      <c r="AQ16" s="321"/>
      <c r="AR16" s="553"/>
      <c r="AS16" s="553"/>
      <c r="AT16" s="553"/>
      <c r="AU16" s="258"/>
      <c r="AV16" s="121"/>
      <c r="AW16" s="121"/>
    </row>
    <row r="17" spans="38:49">
      <c r="AL17" s="121"/>
      <c r="AM17" s="121"/>
      <c r="AN17" s="504" t="s">
        <v>751</v>
      </c>
      <c r="AO17" s="526" t="s">
        <v>2814</v>
      </c>
      <c r="AP17" s="257">
        <f>SUMIF(AQ$14:AU$14,AP$14,AQ17:AU17)</f>
        <v>34.554604506394213</v>
      </c>
      <c r="AQ17" s="321"/>
      <c r="AR17" s="260"/>
      <c r="AS17" s="260"/>
      <c r="AT17" s="257">
        <f>AT18+AT47+AT48+AT49+AT53+AT54+AT55+AT80+AT86+AT90+AT91+AT92+AT93+AT96+AT97+AT98+AT99+AT109</f>
        <v>34.554604506394213</v>
      </c>
      <c r="AU17" s="258"/>
      <c r="AV17" s="121"/>
      <c r="AW17" s="121"/>
    </row>
    <row r="18" spans="38:49">
      <c r="AL18" s="121"/>
      <c r="AM18" s="121"/>
      <c r="AN18" s="504" t="s">
        <v>66</v>
      </c>
      <c r="AO18" s="527" t="s">
        <v>2815</v>
      </c>
      <c r="AP18" s="257">
        <f>SUMIF(AQ$14:AU$14,AP$14,AQ18:AU18)</f>
        <v>0</v>
      </c>
      <c r="AQ18" s="321"/>
      <c r="AR18" s="260"/>
      <c r="AS18" s="260"/>
      <c r="AT18" s="257">
        <f>AT19+AT46</f>
        <v>0</v>
      </c>
      <c r="AU18" s="258"/>
      <c r="AV18" s="121"/>
      <c r="AW18" s="121"/>
    </row>
    <row r="19" spans="38:49">
      <c r="AL19" s="121"/>
      <c r="AM19" s="121"/>
      <c r="AN19" s="504" t="s">
        <v>632</v>
      </c>
      <c r="AO19" s="528" t="s">
        <v>2816</v>
      </c>
      <c r="AP19" s="257">
        <f>SUMIF(AQ$14:AU$14,AP$14,AQ19:AU19)</f>
        <v>0</v>
      </c>
      <c r="AQ19" s="321"/>
      <c r="AR19" s="260"/>
      <c r="AS19" s="260"/>
      <c r="AT19" s="262">
        <f>IF($AP$8="I",'РО 01.01 - 30.06'!AT19,IF($AP$8="II",'РО 01.07 - 31.08'!AT19,IF($AP$8="III",'РО 01.09 - 31.12'!AT19,0)))*AT143</f>
        <v>0</v>
      </c>
      <c r="AU19" s="258"/>
      <c r="AV19" s="121"/>
      <c r="AW19" s="121"/>
    </row>
    <row r="20" spans="38:49">
      <c r="AL20" s="121"/>
      <c r="AM20" s="121"/>
      <c r="AN20" s="223" t="s">
        <v>2817</v>
      </c>
      <c r="AO20" s="529" t="s">
        <v>2972</v>
      </c>
      <c r="AP20" s="257">
        <f>SUMIF(AQ$14:AU$14,AP$14,AQ20:AU20)</f>
        <v>0</v>
      </c>
      <c r="AQ20" s="321"/>
      <c r="AR20" s="260"/>
      <c r="AS20" s="260"/>
      <c r="AT20" s="262">
        <f>IF($AP$8="I",'РО 01.01 - 30.06'!AT20,IF($AP$8="II",'РО 01.07 - 31.08'!AT20,IF($AP$8="III",'РО 01.09 - 31.12'!AT20,0)))*AT143</f>
        <v>0</v>
      </c>
      <c r="AU20" s="258"/>
      <c r="AV20" s="121"/>
      <c r="AW20" s="121"/>
    </row>
    <row r="21" spans="38:49">
      <c r="AL21" s="121"/>
      <c r="AM21" s="121"/>
      <c r="AN21" s="223" t="s">
        <v>2818</v>
      </c>
      <c r="AO21" s="529" t="s">
        <v>2988</v>
      </c>
      <c r="AP21" s="257">
        <f>SUMIF(AQ$14:AU$14,AP$14,AQ21:AU21)</f>
        <v>0</v>
      </c>
      <c r="AQ21" s="321"/>
      <c r="AR21" s="260"/>
      <c r="AS21" s="260"/>
      <c r="AT21" s="262">
        <f>IF($AP$8="I",'РО 01.01 - 30.06'!AT21,IF($AP$8="II",'РО 01.07 - 31.08'!AT21,IF($AP$8="III",'РО 01.09 - 31.12'!AT21,0)))*AT143</f>
        <v>0</v>
      </c>
      <c r="AU21" s="258"/>
      <c r="AV21" s="121"/>
      <c r="AW21" s="121"/>
    </row>
    <row r="22" spans="38:49" hidden="1">
      <c r="AL22" s="121"/>
      <c r="AM22" s="121"/>
      <c r="AN22" s="223"/>
      <c r="AO22" s="529"/>
      <c r="AP22" s="260"/>
      <c r="AQ22" s="321"/>
      <c r="AR22" s="553"/>
      <c r="AS22" s="553"/>
      <c r="AT22" s="553"/>
      <c r="AU22" s="258"/>
      <c r="AV22" s="121"/>
      <c r="AW22" s="121"/>
    </row>
    <row r="23" spans="38:49" hidden="1">
      <c r="AL23" s="121"/>
      <c r="AM23" s="121"/>
      <c r="AN23" s="223"/>
      <c r="AO23" s="529"/>
      <c r="AP23" s="260"/>
      <c r="AQ23" s="321"/>
      <c r="AR23" s="553"/>
      <c r="AS23" s="553"/>
      <c r="AT23" s="553"/>
      <c r="AU23" s="258"/>
      <c r="AV23" s="121"/>
      <c r="AW23" s="121"/>
    </row>
    <row r="24" spans="38:49" hidden="1">
      <c r="AL24" s="121"/>
      <c r="AM24" s="121"/>
      <c r="AN24" s="223"/>
      <c r="AO24" s="529"/>
      <c r="AP24" s="260"/>
      <c r="AQ24" s="321"/>
      <c r="AR24" s="553"/>
      <c r="AS24" s="553"/>
      <c r="AT24" s="553"/>
      <c r="AU24" s="258"/>
      <c r="AV24" s="121"/>
      <c r="AW24" s="121"/>
    </row>
    <row r="25" spans="38:49" hidden="1">
      <c r="AL25" s="121"/>
      <c r="AM25" s="121"/>
      <c r="AN25" s="223"/>
      <c r="AO25" s="529"/>
      <c r="AP25" s="260"/>
      <c r="AQ25" s="321"/>
      <c r="AR25" s="553"/>
      <c r="AS25" s="553"/>
      <c r="AT25" s="553"/>
      <c r="AU25" s="258"/>
      <c r="AV25" s="121"/>
      <c r="AW25" s="121"/>
    </row>
    <row r="26" spans="38:49" hidden="1">
      <c r="AL26" s="121"/>
      <c r="AM26" s="121"/>
      <c r="AN26" s="223"/>
      <c r="AO26" s="529"/>
      <c r="AP26" s="260"/>
      <c r="AQ26" s="321"/>
      <c r="AR26" s="553"/>
      <c r="AS26" s="553"/>
      <c r="AT26" s="553"/>
      <c r="AU26" s="258"/>
      <c r="AV26" s="121"/>
      <c r="AW26" s="121"/>
    </row>
    <row r="27" spans="38:49" hidden="1">
      <c r="AL27" s="121"/>
      <c r="AM27" s="121"/>
      <c r="AN27" s="223"/>
      <c r="AO27" s="529"/>
      <c r="AP27" s="260"/>
      <c r="AQ27" s="321"/>
      <c r="AR27" s="553"/>
      <c r="AS27" s="553"/>
      <c r="AT27" s="553"/>
      <c r="AU27" s="258"/>
      <c r="AV27" s="121"/>
      <c r="AW27" s="121"/>
    </row>
    <row r="28" spans="38:49" hidden="1">
      <c r="AL28" s="121"/>
      <c r="AM28" s="121"/>
      <c r="AN28" s="223"/>
      <c r="AO28" s="529"/>
      <c r="AP28" s="260"/>
      <c r="AQ28" s="321"/>
      <c r="AR28" s="553"/>
      <c r="AS28" s="553"/>
      <c r="AT28" s="553"/>
      <c r="AU28" s="258"/>
      <c r="AV28" s="121"/>
      <c r="AW28" s="121"/>
    </row>
    <row r="29" spans="38:49" hidden="1">
      <c r="AL29" s="121"/>
      <c r="AM29" s="121"/>
      <c r="AN29" s="223"/>
      <c r="AO29" s="529"/>
      <c r="AP29" s="260"/>
      <c r="AQ29" s="321"/>
      <c r="AR29" s="553"/>
      <c r="AS29" s="553"/>
      <c r="AT29" s="553"/>
      <c r="AU29" s="258"/>
      <c r="AV29" s="121"/>
      <c r="AW29" s="121"/>
    </row>
    <row r="30" spans="38:49" hidden="1">
      <c r="AL30" s="121"/>
      <c r="AM30" s="121"/>
      <c r="AN30" s="223"/>
      <c r="AO30" s="529"/>
      <c r="AP30" s="260"/>
      <c r="AQ30" s="321"/>
      <c r="AR30" s="553"/>
      <c r="AS30" s="553"/>
      <c r="AT30" s="553"/>
      <c r="AU30" s="258"/>
      <c r="AV30" s="121"/>
      <c r="AW30" s="121"/>
    </row>
    <row r="31" spans="38:49" hidden="1">
      <c r="AL31" s="121"/>
      <c r="AM31" s="121"/>
      <c r="AN31" s="223"/>
      <c r="AO31" s="529"/>
      <c r="AP31" s="260"/>
      <c r="AQ31" s="321"/>
      <c r="AR31" s="553"/>
      <c r="AS31" s="553"/>
      <c r="AT31" s="553"/>
      <c r="AU31" s="258"/>
      <c r="AV31" s="121"/>
      <c r="AW31" s="121"/>
    </row>
    <row r="32" spans="38:49" hidden="1">
      <c r="AL32" s="121"/>
      <c r="AM32" s="121"/>
      <c r="AN32" s="223"/>
      <c r="AO32" s="529"/>
      <c r="AP32" s="260"/>
      <c r="AQ32" s="321"/>
      <c r="AR32" s="553"/>
      <c r="AS32" s="553"/>
      <c r="AT32" s="553"/>
      <c r="AU32" s="258"/>
      <c r="AV32" s="121"/>
      <c r="AW32" s="121"/>
    </row>
    <row r="33" spans="38:49" hidden="1">
      <c r="AL33" s="121"/>
      <c r="AM33" s="121"/>
      <c r="AN33" s="223"/>
      <c r="AO33" s="529"/>
      <c r="AP33" s="260"/>
      <c r="AQ33" s="321"/>
      <c r="AR33" s="553"/>
      <c r="AS33" s="553"/>
      <c r="AT33" s="553"/>
      <c r="AU33" s="258"/>
      <c r="AV33" s="121"/>
      <c r="AW33" s="121"/>
    </row>
    <row r="34" spans="38:49" hidden="1">
      <c r="AL34" s="121"/>
      <c r="AM34" s="121"/>
      <c r="AN34" s="223"/>
      <c r="AO34" s="529"/>
      <c r="AP34" s="260"/>
      <c r="AQ34" s="321"/>
      <c r="AR34" s="553"/>
      <c r="AS34" s="553"/>
      <c r="AT34" s="553"/>
      <c r="AU34" s="258"/>
      <c r="AV34" s="121"/>
      <c r="AW34" s="121"/>
    </row>
    <row r="35" spans="38:49" hidden="1">
      <c r="AL35" s="121"/>
      <c r="AM35" s="121"/>
      <c r="AN35" s="223"/>
      <c r="AO35" s="529"/>
      <c r="AP35" s="260"/>
      <c r="AQ35" s="321"/>
      <c r="AR35" s="553"/>
      <c r="AS35" s="553"/>
      <c r="AT35" s="553"/>
      <c r="AU35" s="258"/>
      <c r="AV35" s="121"/>
      <c r="AW35" s="121"/>
    </row>
    <row r="36" spans="38:49" hidden="1">
      <c r="AL36" s="121"/>
      <c r="AM36" s="121"/>
      <c r="AN36" s="223"/>
      <c r="AO36" s="529"/>
      <c r="AP36" s="260"/>
      <c r="AQ36" s="321"/>
      <c r="AR36" s="553"/>
      <c r="AS36" s="553"/>
      <c r="AT36" s="553"/>
      <c r="AU36" s="258"/>
      <c r="AV36" s="121"/>
      <c r="AW36" s="121"/>
    </row>
    <row r="37" spans="38:49" hidden="1">
      <c r="AL37" s="121"/>
      <c r="AM37" s="121"/>
      <c r="AN37" s="223"/>
      <c r="AO37" s="529"/>
      <c r="AP37" s="260"/>
      <c r="AQ37" s="321"/>
      <c r="AR37" s="553"/>
      <c r="AS37" s="553"/>
      <c r="AT37" s="553"/>
      <c r="AU37" s="258"/>
      <c r="AV37" s="121"/>
      <c r="AW37" s="121"/>
    </row>
    <row r="38" spans="38:49" hidden="1">
      <c r="AL38" s="121"/>
      <c r="AM38" s="121"/>
      <c r="AN38" s="223"/>
      <c r="AO38" s="529"/>
      <c r="AP38" s="260"/>
      <c r="AQ38" s="321"/>
      <c r="AR38" s="553"/>
      <c r="AS38" s="553"/>
      <c r="AT38" s="553"/>
      <c r="AU38" s="258"/>
      <c r="AV38" s="121"/>
      <c r="AW38" s="121"/>
    </row>
    <row r="39" spans="38:49" hidden="1">
      <c r="AL39" s="121"/>
      <c r="AM39" s="121"/>
      <c r="AN39" s="223"/>
      <c r="AO39" s="529"/>
      <c r="AP39" s="260"/>
      <c r="AQ39" s="321"/>
      <c r="AR39" s="553"/>
      <c r="AS39" s="553"/>
      <c r="AT39" s="553"/>
      <c r="AU39" s="258"/>
      <c r="AV39" s="121"/>
      <c r="AW39" s="121"/>
    </row>
    <row r="40" spans="38:49" hidden="1">
      <c r="AL40" s="121"/>
      <c r="AM40" s="121"/>
      <c r="AN40" s="223"/>
      <c r="AO40" s="529"/>
      <c r="AP40" s="260"/>
      <c r="AQ40" s="321"/>
      <c r="AR40" s="553"/>
      <c r="AS40" s="553"/>
      <c r="AT40" s="553"/>
      <c r="AU40" s="258"/>
      <c r="AV40" s="121"/>
      <c r="AW40" s="121"/>
    </row>
    <row r="41" spans="38:49" hidden="1">
      <c r="AL41" s="121"/>
      <c r="AM41" s="121"/>
      <c r="AN41" s="223"/>
      <c r="AO41" s="529"/>
      <c r="AP41" s="260"/>
      <c r="AQ41" s="321"/>
      <c r="AR41" s="553"/>
      <c r="AS41" s="553"/>
      <c r="AT41" s="553"/>
      <c r="AU41" s="258"/>
      <c r="AV41" s="121"/>
      <c r="AW41" s="121"/>
    </row>
    <row r="42" spans="38:49" hidden="1">
      <c r="AL42" s="121"/>
      <c r="AM42" s="121"/>
      <c r="AN42" s="223"/>
      <c r="AO42" s="529"/>
      <c r="AP42" s="260"/>
      <c r="AQ42" s="321"/>
      <c r="AR42" s="553"/>
      <c r="AS42" s="553"/>
      <c r="AT42" s="553"/>
      <c r="AU42" s="258"/>
      <c r="AV42" s="121"/>
      <c r="AW42" s="121"/>
    </row>
    <row r="43" spans="38:49" hidden="1">
      <c r="AL43" s="121"/>
      <c r="AM43" s="121"/>
      <c r="AN43" s="223"/>
      <c r="AO43" s="529"/>
      <c r="AP43" s="260"/>
      <c r="AQ43" s="321"/>
      <c r="AR43" s="553"/>
      <c r="AS43" s="553"/>
      <c r="AT43" s="553"/>
      <c r="AU43" s="258"/>
      <c r="AV43" s="121"/>
      <c r="AW43" s="121"/>
    </row>
    <row r="44" spans="38:49" hidden="1">
      <c r="AL44" s="121"/>
      <c r="AM44" s="121"/>
      <c r="AN44" s="223"/>
      <c r="AO44" s="529"/>
      <c r="AP44" s="260"/>
      <c r="AQ44" s="321"/>
      <c r="AR44" s="553"/>
      <c r="AS44" s="553"/>
      <c r="AT44" s="553"/>
      <c r="AU44" s="258"/>
      <c r="AV44" s="121"/>
      <c r="AW44" s="121"/>
    </row>
    <row r="45" spans="38:49" hidden="1">
      <c r="AL45" s="121"/>
      <c r="AM45" s="121"/>
      <c r="AN45" s="223"/>
      <c r="AO45" s="529"/>
      <c r="AP45" s="260"/>
      <c r="AQ45" s="321"/>
      <c r="AR45" s="553"/>
      <c r="AS45" s="553"/>
      <c r="AT45" s="553"/>
      <c r="AU45" s="258"/>
      <c r="AV45" s="121"/>
      <c r="AW45" s="121"/>
    </row>
    <row r="46" spans="38:49">
      <c r="AL46" s="121"/>
      <c r="AM46" s="121"/>
      <c r="AN46" s="504" t="s">
        <v>633</v>
      </c>
      <c r="AO46" s="532" t="s">
        <v>2819</v>
      </c>
      <c r="AP46" s="257">
        <f t="shared" ref="AP46:AP55" si="0">SUMIF(AQ$14:AU$14,AP$14,AQ46:AU46)</f>
        <v>0</v>
      </c>
      <c r="AQ46" s="321"/>
      <c r="AR46" s="260"/>
      <c r="AS46" s="260"/>
      <c r="AT46" s="262">
        <f>IF($AP$8="I",'РО 01.01 - 30.06'!AT46,IF($AP$8="II",'РО 01.07 - 31.08'!AT46,IF($AP$8="III",'РО 01.09 - 31.12'!AT46,0)))*AT143</f>
        <v>0</v>
      </c>
      <c r="AU46" s="258"/>
      <c r="AV46" s="121"/>
      <c r="AW46" s="121"/>
    </row>
    <row r="47" spans="38:49">
      <c r="AL47" s="121"/>
      <c r="AM47" s="121"/>
      <c r="AN47" s="504" t="s">
        <v>69</v>
      </c>
      <c r="AO47" s="527" t="s">
        <v>2820</v>
      </c>
      <c r="AP47" s="257">
        <f t="shared" si="0"/>
        <v>0</v>
      </c>
      <c r="AQ47" s="321"/>
      <c r="AR47" s="260"/>
      <c r="AS47" s="260"/>
      <c r="AT47" s="262">
        <f>IF($AP$8="I",'РО 01.01 - 30.06'!AT47,IF($AP$8="II",'РО 01.07 - 31.08'!AT47,IF($AP$8="III",'РО 01.09 - 31.12'!AT47,0)))*AT143</f>
        <v>0</v>
      </c>
      <c r="AU47" s="258"/>
      <c r="AV47" s="121"/>
      <c r="AW47" s="121"/>
    </row>
    <row r="48" spans="38:49">
      <c r="AL48" s="121"/>
      <c r="AM48" s="121"/>
      <c r="AN48" s="504" t="s">
        <v>72</v>
      </c>
      <c r="AO48" s="527" t="s">
        <v>2471</v>
      </c>
      <c r="AP48" s="257">
        <f t="shared" si="0"/>
        <v>0</v>
      </c>
      <c r="AQ48" s="321"/>
      <c r="AR48" s="260"/>
      <c r="AS48" s="260"/>
      <c r="AT48" s="262">
        <f>IF($AP$8="I",'РО 01.01 - 30.06'!AT48,IF($AP$8="II",'РО 01.07 - 31.08'!AT48,IF($AP$8="III",'РО 01.09 - 31.12'!AT48,0)))*AT143</f>
        <v>0</v>
      </c>
      <c r="AU48" s="258"/>
      <c r="AV48" s="121"/>
      <c r="AW48" s="121"/>
    </row>
    <row r="49" spans="38:49">
      <c r="AL49" s="121"/>
      <c r="AM49" s="121"/>
      <c r="AN49" s="504" t="s">
        <v>2821</v>
      </c>
      <c r="AO49" s="527" t="s">
        <v>2822</v>
      </c>
      <c r="AP49" s="257">
        <f t="shared" si="0"/>
        <v>0</v>
      </c>
      <c r="AQ49" s="321"/>
      <c r="AR49" s="260"/>
      <c r="AS49" s="260"/>
      <c r="AT49" s="257">
        <f>SUM(AT50:AT52)</f>
        <v>0</v>
      </c>
      <c r="AU49" s="258"/>
      <c r="AV49" s="121"/>
      <c r="AW49" s="121"/>
    </row>
    <row r="50" spans="38:49">
      <c r="AL50" s="121"/>
      <c r="AM50" s="121"/>
      <c r="AN50" s="504" t="s">
        <v>888</v>
      </c>
      <c r="AO50" s="528" t="s">
        <v>2823</v>
      </c>
      <c r="AP50" s="257">
        <f t="shared" si="0"/>
        <v>0</v>
      </c>
      <c r="AQ50" s="321"/>
      <c r="AR50" s="260"/>
      <c r="AS50" s="260"/>
      <c r="AT50" s="262">
        <f>IF($AP$8="I",'РО 01.01 - 30.06'!AT50,IF($AP$8="II",'РО 01.07 - 31.08'!AT50,IF($AP$8="III",'РО 01.09 - 31.12'!AT50,0)))*AT143</f>
        <v>0</v>
      </c>
      <c r="AU50" s="258"/>
      <c r="AV50" s="121"/>
      <c r="AW50" s="121"/>
    </row>
    <row r="51" spans="38:49">
      <c r="AL51" s="121"/>
      <c r="AM51" s="121"/>
      <c r="AN51" s="504" t="s">
        <v>889</v>
      </c>
      <c r="AO51" s="528" t="s">
        <v>2824</v>
      </c>
      <c r="AP51" s="257">
        <f t="shared" si="0"/>
        <v>0</v>
      </c>
      <c r="AQ51" s="321"/>
      <c r="AR51" s="260"/>
      <c r="AS51" s="260"/>
      <c r="AT51" s="262">
        <f>IF($AP$8="I",'РО 01.01 - 30.06'!AT51,IF($AP$8="II",'РО 01.07 - 31.08'!AT51,IF($AP$8="III",'РО 01.09 - 31.12'!AT51,0)))*AT143</f>
        <v>0</v>
      </c>
      <c r="AU51" s="258"/>
      <c r="AV51" s="121"/>
      <c r="AW51" s="121"/>
    </row>
    <row r="52" spans="38:49">
      <c r="AL52" s="121"/>
      <c r="AM52" s="121"/>
      <c r="AN52" s="504" t="s">
        <v>890</v>
      </c>
      <c r="AO52" s="528" t="s">
        <v>2825</v>
      </c>
      <c r="AP52" s="257">
        <f t="shared" si="0"/>
        <v>0</v>
      </c>
      <c r="AQ52" s="321"/>
      <c r="AR52" s="260"/>
      <c r="AS52" s="260"/>
      <c r="AT52" s="262">
        <f>IF($AP$8="I",'РО 01.01 - 30.06'!AT52,IF($AP$8="II",'РО 01.07 - 31.08'!AT52,IF($AP$8="III",'РО 01.09 - 31.12'!AT52,0)))*AT143</f>
        <v>0</v>
      </c>
      <c r="AU52" s="258"/>
      <c r="AV52" s="121"/>
      <c r="AW52" s="121"/>
    </row>
    <row r="53" spans="38:49">
      <c r="AL53" s="121"/>
      <c r="AM53" s="121"/>
      <c r="AN53" s="504" t="s">
        <v>2826</v>
      </c>
      <c r="AO53" s="527" t="s">
        <v>2827</v>
      </c>
      <c r="AP53" s="257">
        <f t="shared" si="0"/>
        <v>0</v>
      </c>
      <c r="AQ53" s="321"/>
      <c r="AR53" s="260"/>
      <c r="AS53" s="260"/>
      <c r="AT53" s="262">
        <f>IF($AP$8="I",'РО 01.01 - 30.06'!AT53,IF($AP$8="II",'РО 01.07 - 31.08'!AT53,IF($AP$8="III",'РО 01.09 - 31.12'!AT53,0)))*AT143</f>
        <v>0</v>
      </c>
      <c r="AU53" s="258"/>
      <c r="AV53" s="121"/>
      <c r="AW53" s="121"/>
    </row>
    <row r="54" spans="38:49">
      <c r="AL54" s="121"/>
      <c r="AM54" s="121"/>
      <c r="AN54" s="504" t="s">
        <v>2828</v>
      </c>
      <c r="AO54" s="527" t="s">
        <v>2829</v>
      </c>
      <c r="AP54" s="257">
        <f t="shared" si="0"/>
        <v>0</v>
      </c>
      <c r="AQ54" s="321"/>
      <c r="AR54" s="260"/>
      <c r="AS54" s="260"/>
      <c r="AT54" s="262">
        <f>IF($AP$8="I",'РО 01.01 - 30.06'!AT54,IF($AP$8="II",'РО 01.07 - 31.08'!AT54,IF($AP$8="III",'РО 01.09 - 31.12'!AT54,0)))*AT143</f>
        <v>0</v>
      </c>
      <c r="AU54" s="258"/>
      <c r="AV54" s="121"/>
      <c r="AW54" s="121"/>
    </row>
    <row r="55" spans="38:49">
      <c r="AL55" s="121"/>
      <c r="AM55" s="121"/>
      <c r="AN55" s="504" t="s">
        <v>2830</v>
      </c>
      <c r="AO55" s="527" t="s">
        <v>2831</v>
      </c>
      <c r="AP55" s="257">
        <f t="shared" si="0"/>
        <v>22.729250964205974</v>
      </c>
      <c r="AQ55" s="321"/>
      <c r="AR55" s="260"/>
      <c r="AS55" s="260"/>
      <c r="AT55" s="257">
        <f>SUM(AT59,AT65,AT71,AT74,AT77)</f>
        <v>22.729250964205974</v>
      </c>
      <c r="AU55" s="258"/>
      <c r="AV55" s="121"/>
      <c r="AW55" s="121"/>
    </row>
    <row r="56" spans="38:49" hidden="1">
      <c r="AL56" s="121"/>
      <c r="AM56" s="121"/>
      <c r="AN56" s="279"/>
      <c r="AO56" s="558"/>
      <c r="AP56" s="222"/>
      <c r="AQ56" s="321"/>
      <c r="AR56" s="553"/>
      <c r="AS56" s="553"/>
      <c r="AT56" s="553"/>
      <c r="AU56" s="258"/>
      <c r="AV56" s="121"/>
      <c r="AW56" s="121"/>
    </row>
    <row r="57" spans="38:49" hidden="1">
      <c r="AL57" s="121"/>
      <c r="AM57" s="121"/>
      <c r="AN57" s="279"/>
      <c r="AO57" s="558"/>
      <c r="AP57" s="222"/>
      <c r="AQ57" s="321"/>
      <c r="AR57" s="553"/>
      <c r="AS57" s="553"/>
      <c r="AT57" s="553"/>
      <c r="AU57" s="258"/>
      <c r="AV57" s="121"/>
      <c r="AW57" s="121"/>
    </row>
    <row r="58" spans="38:49" hidden="1">
      <c r="AL58" s="121"/>
      <c r="AM58" s="121"/>
      <c r="AN58" s="279"/>
      <c r="AO58" s="558"/>
      <c r="AP58" s="222"/>
      <c r="AQ58" s="321"/>
      <c r="AR58" s="553"/>
      <c r="AS58" s="553"/>
      <c r="AT58" s="553"/>
      <c r="AU58" s="258"/>
      <c r="AV58" s="121"/>
      <c r="AW58" s="121"/>
    </row>
    <row r="59" spans="38:49">
      <c r="AL59" s="121"/>
      <c r="AM59" s="121"/>
      <c r="AN59" s="222" t="s">
        <v>2832</v>
      </c>
      <c r="AO59" s="533" t="s">
        <v>1832</v>
      </c>
      <c r="AP59" s="257">
        <f>SUMIF(AQ$14:AU$14,AP$14,AQ59:AU59)</f>
        <v>0</v>
      </c>
      <c r="AQ59" s="321"/>
      <c r="AR59" s="260"/>
      <c r="AS59" s="260"/>
      <c r="AT59" s="262">
        <f>IF($AP$8="I",'РО 01.01 - 30.06'!AT59,IF($AP$8="II",'РО 01.07 - 31.08'!AT59,IF($AP$8="III",'РО 01.09 - 31.12'!AT59,0)))*AT143</f>
        <v>0</v>
      </c>
      <c r="AU59" s="258"/>
      <c r="AV59" s="121"/>
      <c r="AW59" s="121"/>
    </row>
    <row r="60" spans="38:49" hidden="1">
      <c r="AL60" s="121"/>
      <c r="AM60" s="121"/>
      <c r="AN60" s="222"/>
      <c r="AO60" s="529"/>
      <c r="AP60" s="222"/>
      <c r="AQ60" s="321"/>
      <c r="AR60" s="553"/>
      <c r="AS60" s="553"/>
      <c r="AT60" s="553"/>
      <c r="AU60" s="258"/>
      <c r="AV60" s="121"/>
      <c r="AW60" s="121"/>
    </row>
    <row r="61" spans="38:49" hidden="1">
      <c r="AL61" s="121"/>
      <c r="AM61" s="121"/>
      <c r="AN61" s="222"/>
      <c r="AO61" s="529"/>
      <c r="AP61" s="222"/>
      <c r="AQ61" s="321"/>
      <c r="AR61" s="553"/>
      <c r="AS61" s="553"/>
      <c r="AT61" s="553"/>
      <c r="AU61" s="258"/>
      <c r="AV61" s="121"/>
      <c r="AW61" s="121"/>
    </row>
    <row r="62" spans="38:49" hidden="1">
      <c r="AL62" s="121"/>
      <c r="AM62" s="121"/>
      <c r="AN62" s="222"/>
      <c r="AO62" s="558"/>
      <c r="AP62" s="222"/>
      <c r="AQ62" s="321"/>
      <c r="AR62" s="553"/>
      <c r="AS62" s="553"/>
      <c r="AT62" s="553"/>
      <c r="AU62" s="258"/>
      <c r="AV62" s="121"/>
      <c r="AW62" s="121"/>
    </row>
    <row r="63" spans="38:49" hidden="1">
      <c r="AL63" s="121"/>
      <c r="AM63" s="121"/>
      <c r="AN63" s="222"/>
      <c r="AO63" s="558"/>
      <c r="AP63" s="222"/>
      <c r="AQ63" s="321"/>
      <c r="AR63" s="553"/>
      <c r="AS63" s="553"/>
      <c r="AT63" s="553"/>
      <c r="AU63" s="258"/>
      <c r="AV63" s="121"/>
      <c r="AW63" s="121"/>
    </row>
    <row r="64" spans="38:49" hidden="1">
      <c r="AL64" s="121"/>
      <c r="AM64" s="121"/>
      <c r="AN64" s="222"/>
      <c r="AO64" s="558"/>
      <c r="AP64" s="222"/>
      <c r="AQ64" s="321"/>
      <c r="AR64" s="553"/>
      <c r="AS64" s="553"/>
      <c r="AT64" s="553"/>
      <c r="AU64" s="258"/>
      <c r="AV64" s="121"/>
      <c r="AW64" s="121"/>
    </row>
    <row r="65" spans="38:49">
      <c r="AL65" s="121"/>
      <c r="AM65" s="121"/>
      <c r="AN65" s="222" t="s">
        <v>2835</v>
      </c>
      <c r="AO65" s="533" t="s">
        <v>1838</v>
      </c>
      <c r="AP65" s="257">
        <f>SUMIF(AQ$14:AU$14,AP$14,AQ65:AU65)</f>
        <v>18.121970363353412</v>
      </c>
      <c r="AQ65" s="321"/>
      <c r="AR65" s="260"/>
      <c r="AS65" s="260"/>
      <c r="AT65" s="262">
        <f>IF($AP$8="I",'РО 01.01 - 30.06'!AT65,IF($AP$8="II",'РО 01.07 - 31.08'!AT65,IF($AP$8="III",'РО 01.09 - 31.12'!AT65,0)))*AT143</f>
        <v>18.121970363353412</v>
      </c>
      <c r="AU65" s="258"/>
      <c r="AV65" s="121"/>
      <c r="AW65" s="121"/>
    </row>
    <row r="66" spans="38:49" hidden="1">
      <c r="AL66" s="121"/>
      <c r="AM66" s="121"/>
      <c r="AN66" s="222"/>
      <c r="AO66" s="534"/>
      <c r="AP66" s="222"/>
      <c r="AQ66" s="321"/>
      <c r="AR66" s="553"/>
      <c r="AS66" s="553"/>
      <c r="AT66" s="553"/>
      <c r="AU66" s="258"/>
      <c r="AV66" s="121"/>
      <c r="AW66" s="121"/>
    </row>
    <row r="67" spans="38:49" hidden="1">
      <c r="AL67" s="121"/>
      <c r="AM67" s="121"/>
      <c r="AN67" s="222"/>
      <c r="AO67" s="534"/>
      <c r="AP67" s="222"/>
      <c r="AQ67" s="321"/>
      <c r="AR67" s="553"/>
      <c r="AS67" s="553"/>
      <c r="AT67" s="553"/>
      <c r="AU67" s="258"/>
      <c r="AV67" s="121"/>
      <c r="AW67" s="121"/>
    </row>
    <row r="68" spans="38:49" hidden="1">
      <c r="AL68" s="121"/>
      <c r="AM68" s="121"/>
      <c r="AN68" s="222"/>
      <c r="AO68" s="558"/>
      <c r="AP68" s="222"/>
      <c r="AQ68" s="321"/>
      <c r="AR68" s="553"/>
      <c r="AS68" s="553"/>
      <c r="AT68" s="553"/>
      <c r="AU68" s="258"/>
      <c r="AV68" s="121"/>
      <c r="AW68" s="121"/>
    </row>
    <row r="69" spans="38:49" hidden="1">
      <c r="AL69" s="121"/>
      <c r="AM69" s="121"/>
      <c r="AN69" s="222"/>
      <c r="AO69" s="558"/>
      <c r="AP69" s="222"/>
      <c r="AQ69" s="321"/>
      <c r="AR69" s="553"/>
      <c r="AS69" s="553"/>
      <c r="AT69" s="553"/>
      <c r="AU69" s="258"/>
      <c r="AV69" s="121"/>
      <c r="AW69" s="121"/>
    </row>
    <row r="70" spans="38:49" hidden="1">
      <c r="AL70" s="121"/>
      <c r="AM70" s="121"/>
      <c r="AN70" s="222"/>
      <c r="AO70" s="558"/>
      <c r="AP70" s="222"/>
      <c r="AQ70" s="321"/>
      <c r="AR70" s="553"/>
      <c r="AS70" s="553"/>
      <c r="AT70" s="553"/>
      <c r="AU70" s="258"/>
      <c r="AV70" s="121"/>
      <c r="AW70" s="121"/>
    </row>
    <row r="71" spans="38:49">
      <c r="AL71" s="121"/>
      <c r="AM71" s="121"/>
      <c r="AN71" s="222" t="s">
        <v>2838</v>
      </c>
      <c r="AO71" s="533" t="s">
        <v>1843</v>
      </c>
      <c r="AP71" s="257">
        <f>SUMIF(AQ$14:AU$14,AP$14,AQ71:AU71)</f>
        <v>0</v>
      </c>
      <c r="AQ71" s="321"/>
      <c r="AR71" s="260"/>
      <c r="AS71" s="260"/>
      <c r="AT71" s="262">
        <f>IF($AP$8="I",'РО 01.01 - 30.06'!AT71,IF($AP$8="II",'РО 01.07 - 31.08'!AT71,IF($AP$8="III",'РО 01.09 - 31.12'!AT71,0)))*AT143</f>
        <v>0</v>
      </c>
      <c r="AU71" s="258"/>
      <c r="AV71" s="121"/>
      <c r="AW71" s="121"/>
    </row>
    <row r="72" spans="38:49" hidden="1">
      <c r="AL72" s="121"/>
      <c r="AM72" s="121"/>
      <c r="AN72" s="222"/>
      <c r="AO72" s="534"/>
      <c r="AP72" s="222"/>
      <c r="AQ72" s="321"/>
      <c r="AR72" s="553"/>
      <c r="AS72" s="553"/>
      <c r="AT72" s="553"/>
      <c r="AU72" s="258"/>
      <c r="AV72" s="121"/>
      <c r="AW72" s="121"/>
    </row>
    <row r="73" spans="38:49" hidden="1">
      <c r="AL73" s="121"/>
      <c r="AM73" s="121"/>
      <c r="AN73" s="222"/>
      <c r="AO73" s="534"/>
      <c r="AP73" s="222"/>
      <c r="AQ73" s="321"/>
      <c r="AR73" s="553"/>
      <c r="AS73" s="553"/>
      <c r="AT73" s="553"/>
      <c r="AU73" s="258"/>
      <c r="AV73" s="121"/>
      <c r="AW73" s="121"/>
    </row>
    <row r="74" spans="38:49">
      <c r="AL74" s="121"/>
      <c r="AM74" s="121"/>
      <c r="AN74" s="222" t="s">
        <v>2841</v>
      </c>
      <c r="AO74" s="533" t="s">
        <v>1849</v>
      </c>
      <c r="AP74" s="257">
        <f>SUMIF(AQ$14:AU$14,AP$14,AQ74:AU74)</f>
        <v>4.6072806008525617</v>
      </c>
      <c r="AQ74" s="321"/>
      <c r="AR74" s="260"/>
      <c r="AS74" s="260"/>
      <c r="AT74" s="262">
        <f>IF($AP$8="I",'РО 01.01 - 30.06'!AT74,IF($AP$8="II",'РО 01.07 - 31.08'!AT74,IF($AP$8="III",'РО 01.09 - 31.12'!AT74,0)))*AT143</f>
        <v>4.6072806008525617</v>
      </c>
      <c r="AU74" s="258"/>
      <c r="AV74" s="121"/>
      <c r="AW74" s="121"/>
    </row>
    <row r="75" spans="38:49" hidden="1">
      <c r="AL75" s="121"/>
      <c r="AM75" s="121"/>
      <c r="AN75" s="222"/>
      <c r="AO75" s="534"/>
      <c r="AP75" s="222"/>
      <c r="AQ75" s="321"/>
      <c r="AR75" s="553"/>
      <c r="AS75" s="553"/>
      <c r="AT75" s="553"/>
      <c r="AU75" s="258"/>
      <c r="AV75" s="121"/>
      <c r="AW75" s="121"/>
    </row>
    <row r="76" spans="38:49" hidden="1">
      <c r="AL76" s="121"/>
      <c r="AM76" s="121"/>
      <c r="AN76" s="222"/>
      <c r="AO76" s="529"/>
      <c r="AP76" s="222"/>
      <c r="AQ76" s="321"/>
      <c r="AR76" s="553"/>
      <c r="AS76" s="553"/>
      <c r="AT76" s="553"/>
      <c r="AU76" s="258"/>
      <c r="AV76" s="121"/>
      <c r="AW76" s="121"/>
    </row>
    <row r="77" spans="38:49" ht="22.5">
      <c r="AL77" s="121"/>
      <c r="AM77" s="121"/>
      <c r="AN77" s="222" t="s">
        <v>2844</v>
      </c>
      <c r="AO77" s="533" t="s">
        <v>1856</v>
      </c>
      <c r="AP77" s="257">
        <f>SUMIF(AQ$14:AU$14,AP$14,AQ77:AU77)</f>
        <v>0</v>
      </c>
      <c r="AQ77" s="321"/>
      <c r="AR77" s="260"/>
      <c r="AS77" s="260"/>
      <c r="AT77" s="262">
        <f>IF($AP$8="I",'РО 01.01 - 30.06'!AT77,IF($AP$8="II",'РО 01.07 - 31.08'!AT77,IF($AP$8="III",'РО 01.09 - 31.12'!AT77,0)))*AT143</f>
        <v>0</v>
      </c>
      <c r="AU77" s="258"/>
      <c r="AV77" s="121"/>
      <c r="AW77" s="121"/>
    </row>
    <row r="78" spans="38:49" hidden="1">
      <c r="AL78" s="121"/>
      <c r="AM78" s="121"/>
      <c r="AN78" s="222"/>
      <c r="AO78" s="534"/>
      <c r="AP78" s="222"/>
      <c r="AQ78" s="321"/>
      <c r="AR78" s="553"/>
      <c r="AS78" s="553"/>
      <c r="AT78" s="553"/>
      <c r="AU78" s="258"/>
      <c r="AV78" s="121"/>
      <c r="AW78" s="121"/>
    </row>
    <row r="79" spans="38:49" hidden="1">
      <c r="AL79" s="121"/>
      <c r="AM79" s="121"/>
      <c r="AN79" s="222"/>
      <c r="AO79" s="529"/>
      <c r="AP79" s="222"/>
      <c r="AQ79" s="321"/>
      <c r="AR79" s="553"/>
      <c r="AS79" s="553"/>
      <c r="AT79" s="553"/>
      <c r="AU79" s="258"/>
      <c r="AV79" s="121"/>
      <c r="AW79" s="121"/>
    </row>
    <row r="80" spans="38:49">
      <c r="AL80" s="121"/>
      <c r="AM80" s="121"/>
      <c r="AN80" s="504" t="s">
        <v>2847</v>
      </c>
      <c r="AO80" s="535" t="s">
        <v>2848</v>
      </c>
      <c r="AP80" s="257">
        <f t="shared" ref="AP80:AP85" si="1">SUMIF(AQ$14:AU$14,AP$14,AQ80:AU80)</f>
        <v>5.8358887610799126</v>
      </c>
      <c r="AQ80" s="321"/>
      <c r="AR80" s="260"/>
      <c r="AS80" s="260"/>
      <c r="AT80" s="257">
        <f>SUM(AT81:AT85)</f>
        <v>5.8358887610799126</v>
      </c>
      <c r="AU80" s="258"/>
      <c r="AV80" s="121"/>
      <c r="AW80" s="121"/>
    </row>
    <row r="81" spans="38:49" ht="22.5">
      <c r="AL81" s="121"/>
      <c r="AM81" s="121"/>
      <c r="AN81" s="504" t="s">
        <v>2849</v>
      </c>
      <c r="AO81" s="533" t="s">
        <v>2415</v>
      </c>
      <c r="AP81" s="257">
        <f t="shared" si="1"/>
        <v>0</v>
      </c>
      <c r="AQ81" s="321"/>
      <c r="AR81" s="260"/>
      <c r="AS81" s="260"/>
      <c r="AT81" s="262">
        <f>IF($AP$8="I",'РО 01.01 - 30.06'!AT81,IF($AP$8="II",'РО 01.07 - 31.08'!AT81,IF($AP$8="III",'РО 01.09 - 31.12'!AT81,0)))*AT143</f>
        <v>0</v>
      </c>
      <c r="AU81" s="258"/>
      <c r="AV81" s="121"/>
      <c r="AW81" s="121"/>
    </row>
    <row r="82" spans="38:49" ht="22.5">
      <c r="AL82" s="121"/>
      <c r="AM82" s="121"/>
      <c r="AN82" s="504" t="s">
        <v>2850</v>
      </c>
      <c r="AO82" s="533" t="s">
        <v>2417</v>
      </c>
      <c r="AP82" s="257">
        <f t="shared" si="1"/>
        <v>4.5304925908383531</v>
      </c>
      <c r="AQ82" s="321"/>
      <c r="AR82" s="260"/>
      <c r="AS82" s="260"/>
      <c r="AT82" s="262">
        <f>IF($AP$8="I",'РО 01.01 - 30.06'!AT82,IF($AP$8="II",'РО 01.07 - 31.08'!AT82,IF($AP$8="III",'РО 01.09 - 31.12'!AT82,0)))*AT143</f>
        <v>4.5304925908383531</v>
      </c>
      <c r="AU82" s="258"/>
      <c r="AV82" s="121"/>
      <c r="AW82" s="121"/>
    </row>
    <row r="83" spans="38:49" ht="22.5">
      <c r="AL83" s="121"/>
      <c r="AM83" s="121"/>
      <c r="AN83" s="504" t="s">
        <v>2316</v>
      </c>
      <c r="AO83" s="533" t="s">
        <v>2420</v>
      </c>
      <c r="AP83" s="257">
        <f t="shared" si="1"/>
        <v>0</v>
      </c>
      <c r="AQ83" s="321"/>
      <c r="AR83" s="260"/>
      <c r="AS83" s="260"/>
      <c r="AT83" s="262">
        <f>IF($AP$8="I",'РО 01.01 - 30.06'!AT83,IF($AP$8="II",'РО 01.07 - 31.08'!AT83,IF($AP$8="III",'РО 01.09 - 31.12'!AT83,0)))*AT143</f>
        <v>0</v>
      </c>
      <c r="AU83" s="258"/>
      <c r="AV83" s="121"/>
      <c r="AW83" s="121"/>
    </row>
    <row r="84" spans="38:49">
      <c r="AL84" s="121"/>
      <c r="AM84" s="121"/>
      <c r="AN84" s="504" t="s">
        <v>2317</v>
      </c>
      <c r="AO84" s="533" t="s">
        <v>2423</v>
      </c>
      <c r="AP84" s="257">
        <f t="shared" si="1"/>
        <v>1.3053961702415591</v>
      </c>
      <c r="AQ84" s="321"/>
      <c r="AR84" s="260"/>
      <c r="AS84" s="260"/>
      <c r="AT84" s="262">
        <f>IF($AP$8="I",'РО 01.01 - 30.06'!AT84,IF($AP$8="II",'РО 01.07 - 31.08'!AT84,IF($AP$8="III",'РО 01.09 - 31.12'!AT84,0)))*AT143</f>
        <v>1.3053961702415591</v>
      </c>
      <c r="AU84" s="258"/>
      <c r="AV84" s="121"/>
      <c r="AW84" s="121"/>
    </row>
    <row r="85" spans="38:49" ht="22.5">
      <c r="AL85" s="121"/>
      <c r="AM85" s="121"/>
      <c r="AN85" s="504" t="s">
        <v>2318</v>
      </c>
      <c r="AO85" s="533" t="s">
        <v>2426</v>
      </c>
      <c r="AP85" s="257">
        <f t="shared" si="1"/>
        <v>0</v>
      </c>
      <c r="AQ85" s="321"/>
      <c r="AR85" s="260"/>
      <c r="AS85" s="260"/>
      <c r="AT85" s="262">
        <f>IF($AP$8="I",'РО 01.01 - 30.06'!AT85,IF($AP$8="II",'РО 01.07 - 31.08'!AT85,IF($AP$8="III",'РО 01.09 - 31.12'!AT85,0)))*AT143</f>
        <v>0</v>
      </c>
      <c r="AU85" s="258"/>
      <c r="AV85" s="121"/>
      <c r="AW85" s="121"/>
    </row>
    <row r="86" spans="38:49" hidden="1">
      <c r="AL86" s="121"/>
      <c r="AM86" s="121"/>
      <c r="AN86" s="560" t="str">
        <f>IF(TEMPLATE_SPHERE="водоснабжения","2.9","")</f>
        <v/>
      </c>
      <c r="AO86" s="561" t="str">
        <f>IF(TEMPLATE_SPHERE="водоснабжения","Покупная вода","")</f>
        <v/>
      </c>
      <c r="AP86" s="257" t="str">
        <f>IF(TEMPLATE_SPHERE="водоснабжения",SUMIF(AQ$14:AU$14,AP$14,AQ86:AU86),"")</f>
        <v/>
      </c>
      <c r="AQ86" s="321"/>
      <c r="AR86" s="553"/>
      <c r="AS86" s="553"/>
      <c r="AT86" s="553"/>
      <c r="AU86" s="258"/>
      <c r="AV86" s="121"/>
      <c r="AW86" s="121"/>
    </row>
    <row r="87" spans="38:49" hidden="1">
      <c r="AL87" s="121"/>
      <c r="AM87" s="121"/>
      <c r="AN87" s="560" t="str">
        <f>IF(TEMPLATE_SPHERE="водоснабжения","2.9.1","")</f>
        <v/>
      </c>
      <c r="AO87" s="562" t="str">
        <f>IF(TEMPLATE_SPHERE="водоснабжения","тариф (руб./куб.м)","")</f>
        <v/>
      </c>
      <c r="AP87" s="257" t="str">
        <f>IF(TEMPLATE_SPHERE="водоснабжения",IF(AP88=0,0,(AP86-AP89)/AP88),"")</f>
        <v/>
      </c>
      <c r="AQ87" s="321"/>
      <c r="AR87" s="553"/>
      <c r="AS87" s="553"/>
      <c r="AT87" s="553"/>
      <c r="AU87" s="258"/>
      <c r="AV87" s="121"/>
      <c r="AW87" s="121"/>
    </row>
    <row r="88" spans="38:49" hidden="1">
      <c r="AL88" s="121"/>
      <c r="AM88" s="121"/>
      <c r="AN88" s="560" t="str">
        <f>IF(TEMPLATE_SPHERE="водоснабжения","2.9.2","")</f>
        <v/>
      </c>
      <c r="AO88" s="562" t="str">
        <f>IF(TEMPLATE_SPHERE="водоснабжения","объём (тыс. куб.м)","")</f>
        <v/>
      </c>
      <c r="AP88" s="257" t="str">
        <f>IF(TEMPLATE_SPHERE="водоснабжения",SUMIF(AQ$14:AU$14,AP$14,AQ88:AU88),"")</f>
        <v/>
      </c>
      <c r="AQ88" s="321"/>
      <c r="AR88" s="553"/>
      <c r="AS88" s="553"/>
      <c r="AT88" s="553"/>
      <c r="AU88" s="258"/>
      <c r="AV88" s="121"/>
      <c r="AW88" s="121"/>
    </row>
    <row r="89" spans="38:49" hidden="1">
      <c r="AL89" s="121"/>
      <c r="AM89" s="121"/>
      <c r="AN89" s="560" t="str">
        <f>IF(TEMPLATE_SPHERE="водоснабжения","2.9.3","")</f>
        <v/>
      </c>
      <c r="AO89" s="562" t="str">
        <f>IF(TEMPLATE_SPHERE="водоснабжения","покупка потерь","")</f>
        <v/>
      </c>
      <c r="AP89" s="257" t="str">
        <f>IF(TEMPLATE_SPHERE="водоснабжения",SUMIF(AQ$14:AU$14,AP$14,AQ89:AU89),"")</f>
        <v/>
      </c>
      <c r="AQ89" s="321"/>
      <c r="AR89" s="553"/>
      <c r="AS89" s="553"/>
      <c r="AT89" s="553"/>
      <c r="AU89" s="258"/>
      <c r="AV89" s="121"/>
      <c r="AW89" s="121"/>
    </row>
    <row r="90" spans="38:49" ht="22.5">
      <c r="AL90" s="121"/>
      <c r="AM90" s="121"/>
      <c r="AN90" s="504" t="s">
        <v>2323</v>
      </c>
      <c r="AO90"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AP90" s="257">
        <f t="shared" ref="AP90:AP132" si="2">SUMIF(AQ$14:AU$14,AP$14,AQ90:AU90)</f>
        <v>0</v>
      </c>
      <c r="AQ90" s="321"/>
      <c r="AR90" s="260"/>
      <c r="AS90" s="260"/>
      <c r="AT90" s="262">
        <f>IF($AP$8="I",'РО 01.01 - 30.06'!AT90,IF($AP$8="II",'РО 01.07 - 31.08'!AT90,IF($AP$8="III",'РО 01.09 - 31.12'!AT90,0)))*AT143</f>
        <v>0</v>
      </c>
      <c r="AU90" s="258"/>
      <c r="AV90" s="121"/>
      <c r="AW90" s="121"/>
    </row>
    <row r="91" spans="38:49" ht="22.5">
      <c r="AL91" s="121"/>
      <c r="AM91" s="121"/>
      <c r="AN91" s="504" t="s">
        <v>2324</v>
      </c>
      <c r="AO91"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AP91" s="257">
        <f t="shared" si="2"/>
        <v>0</v>
      </c>
      <c r="AQ91" s="321"/>
      <c r="AR91" s="260"/>
      <c r="AS91" s="260"/>
      <c r="AT91" s="262">
        <f>IF($AP$8="I",'РО 01.01 - 30.06'!AT91,IF($AP$8="II",'РО 01.07 - 31.08'!AT91,IF($AP$8="III",'РО 01.09 - 31.12'!AT91,0)))*AT143</f>
        <v>0</v>
      </c>
      <c r="AU91" s="258"/>
      <c r="AV91" s="121"/>
      <c r="AW91" s="121"/>
    </row>
    <row r="92" spans="38:49" ht="22.5">
      <c r="AL92" s="121"/>
      <c r="AM92" s="121"/>
      <c r="AN92" s="504" t="s">
        <v>2325</v>
      </c>
      <c r="AO92"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AP92" s="257">
        <f t="shared" si="2"/>
        <v>0</v>
      </c>
      <c r="AQ92" s="321"/>
      <c r="AR92" s="260"/>
      <c r="AS92" s="260"/>
      <c r="AT92" s="262">
        <f>IF($AP$8="I",'РО 01.01 - 30.06'!AT92,IF($AP$8="II",'РО 01.07 - 31.08'!AT92,IF($AP$8="III",'РО 01.09 - 31.12'!AT92,0)))*AT143</f>
        <v>0</v>
      </c>
      <c r="AU92" s="258"/>
      <c r="AV92" s="121"/>
      <c r="AW92" s="121"/>
    </row>
    <row r="93" spans="38:49">
      <c r="AL93" s="121"/>
      <c r="AM93" s="121"/>
      <c r="AN93" s="504" t="s">
        <v>2326</v>
      </c>
      <c r="AO93" s="527" t="s">
        <v>2327</v>
      </c>
      <c r="AP93" s="257">
        <f t="shared" si="2"/>
        <v>0</v>
      </c>
      <c r="AQ93" s="321"/>
      <c r="AR93" s="260"/>
      <c r="AS93" s="260"/>
      <c r="AT93" s="257">
        <f>SUM(AT94:AT95)</f>
        <v>0</v>
      </c>
      <c r="AU93" s="258"/>
      <c r="AV93" s="121"/>
      <c r="AW93" s="121"/>
    </row>
    <row r="94" spans="38:49">
      <c r="AL94" s="121"/>
      <c r="AM94" s="121"/>
      <c r="AN94" s="504" t="s">
        <v>2328</v>
      </c>
      <c r="AO94" s="528" t="s">
        <v>2329</v>
      </c>
      <c r="AP94" s="257">
        <f t="shared" si="2"/>
        <v>0</v>
      </c>
      <c r="AQ94" s="321"/>
      <c r="AR94" s="260"/>
      <c r="AS94" s="260"/>
      <c r="AT94" s="262">
        <f>IF($AP$8="I",'РО 01.01 - 30.06'!AT94,IF($AP$8="II",'РО 01.07 - 31.08'!AT94,IF($AP$8="III",'РО 01.09 - 31.12'!AT94,0)))*AT143</f>
        <v>0</v>
      </c>
      <c r="AU94" s="258"/>
      <c r="AV94" s="121"/>
      <c r="AW94" s="121"/>
    </row>
    <row r="95" spans="38:49">
      <c r="AL95" s="121"/>
      <c r="AM95" s="121"/>
      <c r="AN95" s="504" t="s">
        <v>2330</v>
      </c>
      <c r="AO95" s="528" t="s">
        <v>2331</v>
      </c>
      <c r="AP95" s="257">
        <f t="shared" si="2"/>
        <v>0</v>
      </c>
      <c r="AQ95" s="321"/>
      <c r="AR95" s="260"/>
      <c r="AS95" s="260"/>
      <c r="AT95" s="262">
        <f>IF($AP$8="I",'РО 01.01 - 30.06'!AT95,IF($AP$8="II",'РО 01.07 - 31.08'!AT95,IF($AP$8="III",'РО 01.09 - 31.12'!AT95,0)))*AT143</f>
        <v>0</v>
      </c>
      <c r="AU95" s="258"/>
      <c r="AV95" s="121"/>
      <c r="AW95" s="121"/>
    </row>
    <row r="96" spans="38:49">
      <c r="AL96" s="121"/>
      <c r="AM96" s="121"/>
      <c r="AN96" s="504" t="s">
        <v>2332</v>
      </c>
      <c r="AO96" s="527" t="s">
        <v>2333</v>
      </c>
      <c r="AP96" s="257">
        <f t="shared" si="2"/>
        <v>0</v>
      </c>
      <c r="AQ96" s="321"/>
      <c r="AR96" s="260"/>
      <c r="AS96" s="260"/>
      <c r="AT96" s="262">
        <f>IF($AP$8="I",'РО 01.01 - 30.06'!AT96,IF($AP$8="II",'РО 01.07 - 31.08'!AT96,IF($AP$8="III",'РО 01.09 - 31.12'!AT96,0)))*AT143</f>
        <v>0</v>
      </c>
      <c r="AU96" s="258"/>
      <c r="AV96" s="121"/>
      <c r="AW96" s="121"/>
    </row>
    <row r="97" spans="38:49">
      <c r="AL97" s="121"/>
      <c r="AM97" s="121"/>
      <c r="AN97" s="504" t="s">
        <v>2334</v>
      </c>
      <c r="AO97" s="527" t="s">
        <v>2335</v>
      </c>
      <c r="AP97" s="257">
        <f t="shared" si="2"/>
        <v>0</v>
      </c>
      <c r="AQ97" s="321"/>
      <c r="AR97" s="260"/>
      <c r="AS97" s="260"/>
      <c r="AT97" s="262">
        <f>IF($AP$8="I",'РО 01.01 - 30.06'!AT97,IF($AP$8="II",'РО 01.07 - 31.08'!AT97,IF($AP$8="III",'РО 01.09 - 31.12'!AT97,0)))*AT143</f>
        <v>0</v>
      </c>
      <c r="AU97" s="258"/>
      <c r="AV97" s="121"/>
      <c r="AW97" s="121"/>
    </row>
    <row r="98" spans="38:49" ht="22.5">
      <c r="AL98" s="121"/>
      <c r="AM98" s="121"/>
      <c r="AN98" s="504" t="s">
        <v>2336</v>
      </c>
      <c r="AO98" s="527" t="s">
        <v>2337</v>
      </c>
      <c r="AP98" s="257">
        <f t="shared" si="2"/>
        <v>4.5304925908383531</v>
      </c>
      <c r="AQ98" s="321"/>
      <c r="AR98" s="260"/>
      <c r="AS98" s="260"/>
      <c r="AT98" s="262">
        <f>IF($AP$8="I",'РО 01.01 - 30.06'!AT98,IF($AP$8="II",'РО 01.07 - 31.08'!AT98,IF($AP$8="III",'РО 01.09 - 31.12'!AT98,0)))*AT143</f>
        <v>4.5304925908383531</v>
      </c>
      <c r="AU98" s="258"/>
      <c r="AV98" s="121"/>
      <c r="AW98" s="121"/>
    </row>
    <row r="99" spans="38:49">
      <c r="AL99" s="121"/>
      <c r="AM99" s="121"/>
      <c r="AN99" s="504" t="s">
        <v>2338</v>
      </c>
      <c r="AO99" s="527" t="s">
        <v>2339</v>
      </c>
      <c r="AP99" s="257">
        <f t="shared" si="2"/>
        <v>1.4589721902699777</v>
      </c>
      <c r="AQ99" s="321"/>
      <c r="AR99" s="260"/>
      <c r="AS99" s="260"/>
      <c r="AT99" s="257">
        <f>SUM(AT100:AT108)</f>
        <v>1.4589721902699777</v>
      </c>
      <c r="AU99" s="258"/>
      <c r="AV99" s="121"/>
      <c r="AW99" s="121"/>
    </row>
    <row r="100" spans="38:49">
      <c r="AL100" s="121"/>
      <c r="AM100" s="121"/>
      <c r="AN100" s="504" t="s">
        <v>2340</v>
      </c>
      <c r="AO100" s="528" t="s">
        <v>2341</v>
      </c>
      <c r="AP100" s="257">
        <f t="shared" si="2"/>
        <v>0</v>
      </c>
      <c r="AQ100" s="321"/>
      <c r="AR100" s="260"/>
      <c r="AS100" s="260"/>
      <c r="AT100" s="262">
        <f>IF($AP$8="I",'РО 01.01 - 30.06'!AT100,IF($AP$8="II",'РО 01.07 - 31.08'!AT100,IF($AP$8="III",'РО 01.09 - 31.12'!AT100,0)))*AT143</f>
        <v>0</v>
      </c>
      <c r="AU100" s="258"/>
      <c r="AV100" s="121"/>
      <c r="AW100" s="121"/>
    </row>
    <row r="101" spans="38:49">
      <c r="AL101" s="121"/>
      <c r="AM101" s="121"/>
      <c r="AN101" s="504" t="s">
        <v>2342</v>
      </c>
      <c r="AO101" s="528" t="s">
        <v>2343</v>
      </c>
      <c r="AP101" s="257">
        <f t="shared" si="2"/>
        <v>0</v>
      </c>
      <c r="AQ101" s="321"/>
      <c r="AR101" s="260"/>
      <c r="AS101" s="260"/>
      <c r="AT101" s="262">
        <f>IF($AP$8="I",'РО 01.01 - 30.06'!AT101,IF($AP$8="II",'РО 01.07 - 31.08'!AT101,IF($AP$8="III",'РО 01.09 - 31.12'!AT101,0)))*AT143</f>
        <v>0</v>
      </c>
      <c r="AU101" s="258"/>
      <c r="AV101" s="121"/>
      <c r="AW101" s="121"/>
    </row>
    <row r="102" spans="38:49">
      <c r="AL102" s="121"/>
      <c r="AM102" s="121"/>
      <c r="AN102" s="504" t="s">
        <v>2344</v>
      </c>
      <c r="AO102" s="528" t="s">
        <v>2345</v>
      </c>
      <c r="AP102" s="257">
        <f t="shared" si="2"/>
        <v>0</v>
      </c>
      <c r="AQ102" s="321"/>
      <c r="AR102" s="260"/>
      <c r="AS102" s="260"/>
      <c r="AT102" s="262">
        <f>IF($AP$8="I",'РО 01.01 - 30.06'!AT102,IF($AP$8="II",'РО 01.07 - 31.08'!AT102,IF($AP$8="III",'РО 01.09 - 31.12'!AT102,0)))*AT143</f>
        <v>0</v>
      </c>
      <c r="AU102" s="258"/>
      <c r="AV102" s="121"/>
      <c r="AW102" s="121"/>
    </row>
    <row r="103" spans="38:49">
      <c r="AL103" s="121"/>
      <c r="AM103" s="121"/>
      <c r="AN103" s="504" t="s">
        <v>2346</v>
      </c>
      <c r="AO103" s="528" t="s">
        <v>2347</v>
      </c>
      <c r="AP103" s="257">
        <f t="shared" si="2"/>
        <v>0</v>
      </c>
      <c r="AQ103" s="321"/>
      <c r="AR103" s="260"/>
      <c r="AS103" s="260"/>
      <c r="AT103" s="262">
        <f>IF($AP$8="I",'РО 01.01 - 30.06'!AT103,IF($AP$8="II",'РО 01.07 - 31.08'!AT103,IF($AP$8="III",'РО 01.09 - 31.12'!AT103,0)))*AT143</f>
        <v>0</v>
      </c>
      <c r="AU103" s="258"/>
      <c r="AV103" s="121"/>
      <c r="AW103" s="121"/>
    </row>
    <row r="104" spans="38:49">
      <c r="AL104" s="121"/>
      <c r="AM104" s="121"/>
      <c r="AN104" s="504" t="s">
        <v>2348</v>
      </c>
      <c r="AO104" s="528" t="s">
        <v>2349</v>
      </c>
      <c r="AP104" s="257">
        <f t="shared" si="2"/>
        <v>0</v>
      </c>
      <c r="AQ104" s="321"/>
      <c r="AR104" s="260"/>
      <c r="AS104" s="260"/>
      <c r="AT104" s="262">
        <f>IF($AP$8="I",'РО 01.01 - 30.06'!AT104,IF($AP$8="II",'РО 01.07 - 31.08'!AT104,IF($AP$8="III",'РО 01.09 - 31.12'!AT104,0)))*AT143</f>
        <v>0</v>
      </c>
      <c r="AU104" s="258"/>
      <c r="AV104" s="121"/>
      <c r="AW104" s="121"/>
    </row>
    <row r="105" spans="38:49">
      <c r="AL105" s="121"/>
      <c r="AM105" s="121"/>
      <c r="AN105" s="504" t="s">
        <v>2350</v>
      </c>
      <c r="AO105" s="528" t="s">
        <v>2351</v>
      </c>
      <c r="AP105" s="257">
        <f t="shared" si="2"/>
        <v>0</v>
      </c>
      <c r="AQ105" s="321"/>
      <c r="AR105" s="260"/>
      <c r="AS105" s="260"/>
      <c r="AT105" s="262">
        <f>IF($AP$8="I",'РО 01.01 - 30.06'!AT105,IF($AP$8="II",'РО 01.07 - 31.08'!AT105,IF($AP$8="III",'РО 01.09 - 31.12'!AT105,0)))*AT143</f>
        <v>0</v>
      </c>
      <c r="AU105" s="258"/>
      <c r="AV105" s="121"/>
      <c r="AW105" s="121"/>
    </row>
    <row r="106" spans="38:49">
      <c r="AL106" s="121"/>
      <c r="AM106" s="121"/>
      <c r="AN106" s="504" t="s">
        <v>2352</v>
      </c>
      <c r="AO106" s="528" t="s">
        <v>2353</v>
      </c>
      <c r="AP106" s="257">
        <f t="shared" si="2"/>
        <v>1.4589721902699777</v>
      </c>
      <c r="AQ106" s="321"/>
      <c r="AR106" s="260"/>
      <c r="AS106" s="260"/>
      <c r="AT106" s="262">
        <f>IF($AP$8="I",'РО 01.01 - 30.06'!AT106,IF($AP$8="II",'РО 01.07 - 31.08'!AT106,IF($AP$8="III",'РО 01.09 - 31.12'!AT106,0)))*AT143</f>
        <v>1.4589721902699777</v>
      </c>
      <c r="AU106" s="258"/>
      <c r="AV106" s="121"/>
      <c r="AW106" s="121"/>
    </row>
    <row r="107" spans="38:49">
      <c r="AL107" s="121"/>
      <c r="AM107" s="121"/>
      <c r="AN107" s="504" t="s">
        <v>2354</v>
      </c>
      <c r="AO107" s="528" t="s">
        <v>2355</v>
      </c>
      <c r="AP107" s="257">
        <f t="shared" si="2"/>
        <v>0</v>
      </c>
      <c r="AQ107" s="321"/>
      <c r="AR107" s="260"/>
      <c r="AS107" s="260"/>
      <c r="AT107" s="262">
        <f>IF($AP$8="I",'РО 01.01 - 30.06'!AT107,IF($AP$8="II",'РО 01.07 - 31.08'!AT107,IF($AP$8="III",'РО 01.09 - 31.12'!AT107,0)))*AT143</f>
        <v>0</v>
      </c>
      <c r="AU107" s="258"/>
      <c r="AV107" s="121"/>
      <c r="AW107" s="121"/>
    </row>
    <row r="108" spans="38:49">
      <c r="AL108" s="121"/>
      <c r="AM108" s="121"/>
      <c r="AN108" s="504" t="s">
        <v>2356</v>
      </c>
      <c r="AO108" s="528" t="s">
        <v>2357</v>
      </c>
      <c r="AP108" s="257">
        <f t="shared" si="2"/>
        <v>0</v>
      </c>
      <c r="AQ108" s="321"/>
      <c r="AR108" s="260"/>
      <c r="AS108" s="260"/>
      <c r="AT108" s="262">
        <f>IF($AP$8="I",'РО 01.01 - 30.06'!AT108,IF($AP$8="II",'РО 01.07 - 31.08'!AT108,IF($AP$8="III",'РО 01.09 - 31.12'!AT108,0)))*AT143</f>
        <v>0</v>
      </c>
      <c r="AU108" s="258"/>
      <c r="AV108" s="121"/>
      <c r="AW108" s="121"/>
    </row>
    <row r="109" spans="38:49" ht="22.5">
      <c r="AL109" s="121"/>
      <c r="AM109" s="121"/>
      <c r="AN109" s="504" t="s">
        <v>2358</v>
      </c>
      <c r="AO109" s="536" t="s">
        <v>2359</v>
      </c>
      <c r="AP109" s="257">
        <f t="shared" si="2"/>
        <v>0</v>
      </c>
      <c r="AQ109" s="321"/>
      <c r="AR109" s="260"/>
      <c r="AS109" s="260"/>
      <c r="AT109" s="257">
        <f>SUM(AT110:AT114)</f>
        <v>0</v>
      </c>
      <c r="AU109" s="258"/>
      <c r="AV109" s="121"/>
      <c r="AW109" s="121"/>
    </row>
    <row r="110" spans="38:49">
      <c r="AL110" s="121"/>
      <c r="AM110" s="121"/>
      <c r="AN110" s="504" t="s">
        <v>2360</v>
      </c>
      <c r="AO110" s="537" t="s">
        <v>2444</v>
      </c>
      <c r="AP110" s="257">
        <f t="shared" si="2"/>
        <v>0</v>
      </c>
      <c r="AQ110" s="321"/>
      <c r="AR110" s="260"/>
      <c r="AS110" s="260"/>
      <c r="AT110" s="262">
        <f>IF($AP$8="I",'РО 01.01 - 30.06'!AT110,IF($AP$8="II",'РО 01.07 - 31.08'!AT110,IF($AP$8="III",'РО 01.09 - 31.12'!AT110,0)))*AT143</f>
        <v>0</v>
      </c>
      <c r="AU110" s="258"/>
      <c r="AV110" s="121"/>
      <c r="AW110" s="121"/>
    </row>
    <row r="111" spans="38:49">
      <c r="AL111" s="121"/>
      <c r="AM111" s="121"/>
      <c r="AN111" s="504" t="s">
        <v>2361</v>
      </c>
      <c r="AO111" s="537" t="s">
        <v>2362</v>
      </c>
      <c r="AP111" s="257">
        <f t="shared" si="2"/>
        <v>0</v>
      </c>
      <c r="AQ111" s="321"/>
      <c r="AR111" s="260"/>
      <c r="AS111" s="260"/>
      <c r="AT111" s="262">
        <f>IF($AP$8="I",'РО 01.01 - 30.06'!AT111,IF($AP$8="II",'РО 01.07 - 31.08'!AT111,IF($AP$8="III",'РО 01.09 - 31.12'!AT111,0)))*AT143</f>
        <v>0</v>
      </c>
      <c r="AU111" s="258"/>
      <c r="AV111" s="121"/>
      <c r="AW111" s="121"/>
    </row>
    <row r="112" spans="38:49">
      <c r="AL112" s="121"/>
      <c r="AM112" s="121"/>
      <c r="AN112" s="504" t="s">
        <v>2363</v>
      </c>
      <c r="AO112" s="528" t="s">
        <v>872</v>
      </c>
      <c r="AP112" s="257">
        <f t="shared" si="2"/>
        <v>0</v>
      </c>
      <c r="AQ112" s="321"/>
      <c r="AR112" s="260"/>
      <c r="AS112" s="260"/>
      <c r="AT112" s="262">
        <f>IF($AP$8="I",'РО 01.01 - 30.06'!AT112,IF($AP$8="II",'РО 01.07 - 31.08'!AT112,IF($AP$8="III",'РО 01.09 - 31.12'!AT112,0)))*AT143</f>
        <v>0</v>
      </c>
      <c r="AU112" s="258"/>
      <c r="AV112" s="121"/>
      <c r="AW112" s="121"/>
    </row>
    <row r="113" spans="1:49" ht="22.5">
      <c r="AL113" s="121"/>
      <c r="AM113" s="121"/>
      <c r="AN113" s="504" t="s">
        <v>2364</v>
      </c>
      <c r="AO113" s="528" t="s">
        <v>2365</v>
      </c>
      <c r="AP113" s="257">
        <f t="shared" si="2"/>
        <v>0</v>
      </c>
      <c r="AQ113" s="321"/>
      <c r="AR113" s="260"/>
      <c r="AS113" s="260"/>
      <c r="AT113" s="262">
        <f>IF($AP$8="I",'РО 01.01 - 30.06'!AT113,IF($AP$8="II",'РО 01.07 - 31.08'!AT113,IF($AP$8="III",'РО 01.09 - 31.12'!AT113,0)))*AT143</f>
        <v>0</v>
      </c>
      <c r="AU113" s="258"/>
      <c r="AV113" s="121"/>
      <c r="AW113" s="121"/>
    </row>
    <row r="114" spans="1:49">
      <c r="AL114" s="121"/>
      <c r="AM114" s="121"/>
      <c r="AN114" s="504" t="s">
        <v>2366</v>
      </c>
      <c r="AO114" s="528" t="s">
        <v>2367</v>
      </c>
      <c r="AP114" s="257">
        <f t="shared" si="2"/>
        <v>0</v>
      </c>
      <c r="AQ114" s="321"/>
      <c r="AR114" s="260"/>
      <c r="AS114" s="260"/>
      <c r="AT114" s="262">
        <f>IF($AP$8="I",'РО 01.01 - 30.06'!AT114,IF($AP$8="II",'РО 01.07 - 31.08'!AT114,IF($AP$8="III",'РО 01.09 - 31.12'!AT114,0)))*AT143</f>
        <v>0</v>
      </c>
      <c r="AU114" s="258"/>
      <c r="AV114" s="121"/>
      <c r="AW114" s="121"/>
    </row>
    <row r="115" spans="1:49">
      <c r="AL115" s="121"/>
      <c r="AM115" s="121"/>
      <c r="AN115" s="504" t="s">
        <v>752</v>
      </c>
      <c r="AO115" s="723" t="s">
        <v>2726</v>
      </c>
      <c r="AP115" s="257">
        <f t="shared" si="2"/>
        <v>0</v>
      </c>
      <c r="AQ115" s="321"/>
      <c r="AR115" s="260"/>
      <c r="AS115" s="260"/>
      <c r="AT115" s="257">
        <f>SUM(AT116,AT118:AT121)</f>
        <v>0</v>
      </c>
      <c r="AU115" s="258"/>
      <c r="AV115" s="121"/>
      <c r="AW115" s="121"/>
    </row>
    <row r="116" spans="1:49">
      <c r="AL116" s="121"/>
      <c r="AM116" s="121"/>
      <c r="AN116" s="504" t="s">
        <v>760</v>
      </c>
      <c r="AO116" s="527" t="s">
        <v>2368</v>
      </c>
      <c r="AP116" s="257">
        <f t="shared" si="2"/>
        <v>0</v>
      </c>
      <c r="AQ116" s="321"/>
      <c r="AR116" s="260"/>
      <c r="AS116" s="260"/>
      <c r="AT116" s="261"/>
      <c r="AU116" s="258"/>
      <c r="AV116" s="121"/>
      <c r="AW116" s="121"/>
    </row>
    <row r="117" spans="1:49">
      <c r="AL117" s="121"/>
      <c r="AM117" s="121"/>
      <c r="AN117" s="504" t="s">
        <v>917</v>
      </c>
      <c r="AO117" s="528" t="s">
        <v>2369</v>
      </c>
      <c r="AP117" s="257">
        <f t="shared" si="2"/>
        <v>0</v>
      </c>
      <c r="AQ117" s="321"/>
      <c r="AR117" s="260"/>
      <c r="AS117" s="260"/>
      <c r="AT117" s="261"/>
      <c r="AU117" s="258"/>
      <c r="AV117" s="121"/>
      <c r="AW117" s="121"/>
    </row>
    <row r="118" spans="1:49">
      <c r="AL118" s="121"/>
      <c r="AM118" s="121"/>
      <c r="AN118" s="504" t="s">
        <v>761</v>
      </c>
      <c r="AO118" s="527" t="s">
        <v>862</v>
      </c>
      <c r="AP118" s="257">
        <f t="shared" si="2"/>
        <v>0</v>
      </c>
      <c r="AQ118" s="321"/>
      <c r="AR118" s="260"/>
      <c r="AS118" s="260"/>
      <c r="AT118" s="261"/>
      <c r="AU118" s="258"/>
      <c r="AV118" s="121"/>
      <c r="AW118" s="121"/>
    </row>
    <row r="119" spans="1:49">
      <c r="AL119" s="121"/>
      <c r="AM119" s="121"/>
      <c r="AN119" s="504" t="s">
        <v>762</v>
      </c>
      <c r="AO119" s="527" t="s">
        <v>864</v>
      </c>
      <c r="AP119" s="257">
        <f t="shared" si="2"/>
        <v>0</v>
      </c>
      <c r="AQ119" s="321"/>
      <c r="AR119" s="260"/>
      <c r="AS119" s="260"/>
      <c r="AT119" s="261"/>
      <c r="AU119" s="258"/>
      <c r="AV119" s="121"/>
      <c r="AW119" s="121"/>
    </row>
    <row r="120" spans="1:49">
      <c r="AL120" s="121"/>
      <c r="AM120" s="121"/>
      <c r="AN120" s="504" t="s">
        <v>763</v>
      </c>
      <c r="AO120" s="527" t="s">
        <v>866</v>
      </c>
      <c r="AP120" s="257">
        <f t="shared" si="2"/>
        <v>0</v>
      </c>
      <c r="AQ120" s="321"/>
      <c r="AR120" s="260"/>
      <c r="AS120" s="260"/>
      <c r="AT120" s="261"/>
      <c r="AU120" s="258"/>
      <c r="AV120" s="121"/>
      <c r="AW120" s="121"/>
    </row>
    <row r="121" spans="1:49">
      <c r="AL121" s="121"/>
      <c r="AM121" s="121"/>
      <c r="AN121" s="504" t="s">
        <v>764</v>
      </c>
      <c r="AO121" s="527" t="s">
        <v>2370</v>
      </c>
      <c r="AP121" s="257">
        <f t="shared" si="2"/>
        <v>0</v>
      </c>
      <c r="AQ121" s="321"/>
      <c r="AR121" s="260"/>
      <c r="AS121" s="260"/>
      <c r="AT121" s="257">
        <f>SUM(AT122,AT124)</f>
        <v>0</v>
      </c>
      <c r="AU121" s="258"/>
      <c r="AV121" s="121"/>
      <c r="AW121" s="121"/>
    </row>
    <row r="122" spans="1:49">
      <c r="AL122" s="121"/>
      <c r="AM122" s="121"/>
      <c r="AN122" s="504" t="s">
        <v>2371</v>
      </c>
      <c r="AO122" s="528" t="s">
        <v>2372</v>
      </c>
      <c r="AP122" s="257">
        <f t="shared" si="2"/>
        <v>0</v>
      </c>
      <c r="AQ122" s="321"/>
      <c r="AR122" s="260"/>
      <c r="AS122" s="260"/>
      <c r="AT122" s="261"/>
      <c r="AU122" s="258"/>
      <c r="AV122" s="121"/>
      <c r="AW122" s="121"/>
    </row>
    <row r="123" spans="1:49">
      <c r="AL123" s="121"/>
      <c r="AM123" s="121"/>
      <c r="AN123" s="504" t="s">
        <v>2373</v>
      </c>
      <c r="AO123" s="538" t="s">
        <v>2374</v>
      </c>
      <c r="AP123" s="257">
        <f t="shared" si="2"/>
        <v>0</v>
      </c>
      <c r="AQ123" s="321"/>
      <c r="AR123" s="260"/>
      <c r="AS123" s="260"/>
      <c r="AT123" s="261"/>
      <c r="AU123" s="258"/>
      <c r="AV123" s="121"/>
      <c r="AW123" s="121"/>
    </row>
    <row r="124" spans="1:49">
      <c r="AL124" s="121"/>
      <c r="AM124" s="121"/>
      <c r="AN124" s="504" t="s">
        <v>2375</v>
      </c>
      <c r="AO124" s="528" t="s">
        <v>2376</v>
      </c>
      <c r="AP124" s="257">
        <f t="shared" si="2"/>
        <v>0</v>
      </c>
      <c r="AQ124" s="321"/>
      <c r="AR124" s="260"/>
      <c r="AS124" s="260"/>
      <c r="AT124" s="261"/>
      <c r="AU124" s="258"/>
      <c r="AV124" s="121"/>
      <c r="AW124" s="121"/>
    </row>
    <row r="125" spans="1:49" ht="0.75" customHeight="1">
      <c r="A125" s="47"/>
      <c r="B125" s="47"/>
      <c r="C125" s="47"/>
      <c r="D125" s="47"/>
      <c r="E125" s="47"/>
      <c r="F125" s="47"/>
      <c r="G125" s="47"/>
      <c r="H125" s="47"/>
      <c r="I125" s="47"/>
      <c r="J125"/>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50"/>
      <c r="AM125" s="126"/>
      <c r="AN125" s="223"/>
      <c r="AO125" s="728"/>
      <c r="AP125" s="260"/>
      <c r="AQ125" s="258"/>
      <c r="AR125" s="260"/>
      <c r="AS125" s="260"/>
      <c r="AT125" s="260"/>
      <c r="AU125" s="258"/>
      <c r="AV125" s="127"/>
    </row>
    <row r="126" spans="1:49" ht="0.75" customHeight="1">
      <c r="A126" s="47"/>
      <c r="B126" s="47"/>
      <c r="C126" s="47"/>
      <c r="D126" s="47"/>
      <c r="E126" s="47"/>
      <c r="F126" s="47"/>
      <c r="G126" s="47"/>
      <c r="H126" s="47"/>
      <c r="I126" s="47"/>
      <c r="J126"/>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50"/>
      <c r="AM126" s="126"/>
      <c r="AN126" s="223"/>
      <c r="AO126" s="728"/>
      <c r="AP126" s="260"/>
      <c r="AQ126" s="258"/>
      <c r="AR126" s="260"/>
      <c r="AS126" s="260"/>
      <c r="AT126" s="260"/>
      <c r="AU126" s="258"/>
      <c r="AV126" s="127"/>
    </row>
    <row r="127" spans="1:49" ht="0.75" customHeight="1">
      <c r="A127" s="47"/>
      <c r="B127" s="47"/>
      <c r="C127" s="47"/>
      <c r="D127" s="47"/>
      <c r="E127" s="47"/>
      <c r="F127" s="47"/>
      <c r="G127" s="47"/>
      <c r="H127" s="47"/>
      <c r="I127" s="47"/>
      <c r="J12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50"/>
      <c r="AM127" s="126"/>
      <c r="AN127" s="223"/>
      <c r="AO127" s="728"/>
      <c r="AP127" s="260"/>
      <c r="AQ127" s="258"/>
      <c r="AR127" s="260"/>
      <c r="AS127" s="260"/>
      <c r="AT127" s="260"/>
      <c r="AU127" s="258"/>
      <c r="AV127" s="127"/>
    </row>
    <row r="128" spans="1:49" ht="0.75" customHeight="1">
      <c r="A128" s="47"/>
      <c r="B128" s="47"/>
      <c r="C128" s="47"/>
      <c r="D128" s="47"/>
      <c r="E128" s="47"/>
      <c r="F128" s="47"/>
      <c r="G128" s="47"/>
      <c r="H128" s="47"/>
      <c r="I128" s="47"/>
      <c r="J128"/>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50"/>
      <c r="AM128" s="126"/>
      <c r="AN128" s="223"/>
      <c r="AO128" s="728"/>
      <c r="AP128" s="260"/>
      <c r="AQ128" s="258"/>
      <c r="AR128" s="260"/>
      <c r="AS128" s="260"/>
      <c r="AT128" s="260"/>
      <c r="AU128" s="258"/>
      <c r="AV128" s="127"/>
    </row>
    <row r="129" spans="1:49" ht="0.75" customHeight="1">
      <c r="A129" s="47"/>
      <c r="B129" s="47"/>
      <c r="C129" s="47"/>
      <c r="D129" s="47"/>
      <c r="E129" s="47"/>
      <c r="F129" s="47"/>
      <c r="G129" s="47"/>
      <c r="H129" s="47"/>
      <c r="I129" s="47"/>
      <c r="J129"/>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50"/>
      <c r="AM129" s="126"/>
      <c r="AN129" s="223"/>
      <c r="AO129" s="728"/>
      <c r="AP129" s="260"/>
      <c r="AQ129" s="258"/>
      <c r="AR129" s="260"/>
      <c r="AS129" s="260"/>
      <c r="AT129" s="260"/>
      <c r="AU129" s="258"/>
      <c r="AV129" s="127"/>
    </row>
    <row r="130" spans="1:49" ht="0.75" customHeight="1">
      <c r="A130" s="47"/>
      <c r="B130" s="47"/>
      <c r="C130" s="47"/>
      <c r="D130" s="47"/>
      <c r="E130" s="47"/>
      <c r="F130" s="47"/>
      <c r="G130" s="47"/>
      <c r="H130" s="47"/>
      <c r="I130" s="47"/>
      <c r="J130"/>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50"/>
      <c r="AM130" s="126"/>
      <c r="AN130" s="223"/>
      <c r="AO130" s="728"/>
      <c r="AP130" s="260"/>
      <c r="AQ130" s="258"/>
      <c r="AR130" s="260"/>
      <c r="AS130" s="260"/>
      <c r="AT130" s="260"/>
      <c r="AU130" s="258"/>
      <c r="AV130" s="127"/>
    </row>
    <row r="131" spans="1:49">
      <c r="AL131" s="121"/>
      <c r="AM131" s="121"/>
      <c r="AN131" s="725" t="s">
        <v>3072</v>
      </c>
      <c r="AO131" s="724" t="s">
        <v>2727</v>
      </c>
      <c r="AP131" s="257">
        <f t="shared" si="2"/>
        <v>0</v>
      </c>
      <c r="AQ131" s="321"/>
      <c r="AR131" s="260"/>
      <c r="AS131" s="260"/>
      <c r="AT131" s="261"/>
      <c r="AU131" s="258"/>
      <c r="AV131" s="121"/>
      <c r="AW131" s="121"/>
    </row>
    <row r="132" spans="1:49" ht="22.5">
      <c r="AL132" s="121"/>
      <c r="AM132" s="121"/>
      <c r="AN132" s="504" t="s">
        <v>2427</v>
      </c>
      <c r="AO132" s="723" t="s">
        <v>2616</v>
      </c>
      <c r="AP132" s="257">
        <f t="shared" si="2"/>
        <v>0</v>
      </c>
      <c r="AQ132" s="321"/>
      <c r="AR132" s="260"/>
      <c r="AS132" s="260"/>
      <c r="AT132" s="257">
        <f>AT135*AT133/1000</f>
        <v>0</v>
      </c>
      <c r="AU132" s="258"/>
      <c r="AV132" s="121"/>
      <c r="AW132" s="121"/>
    </row>
    <row r="133" spans="1:49" ht="22.5">
      <c r="AL133" s="121"/>
      <c r="AM133" s="121"/>
      <c r="AN133" s="504" t="s">
        <v>2429</v>
      </c>
      <c r="AO133" s="727" t="s">
        <v>2619</v>
      </c>
      <c r="AP133" s="263"/>
      <c r="AQ133" s="321"/>
      <c r="AR133" s="260"/>
      <c r="AS133" s="260"/>
      <c r="AT133" s="261"/>
      <c r="AU133" s="258"/>
      <c r="AV133" s="121"/>
      <c r="AW133" s="121"/>
    </row>
    <row r="134" spans="1:49">
      <c r="AL134" s="121"/>
      <c r="AM134" s="121"/>
      <c r="AN134" s="504" t="s">
        <v>2617</v>
      </c>
      <c r="AO134" s="727" t="s">
        <v>2620</v>
      </c>
      <c r="AP134" s="263"/>
      <c r="AQ134" s="321"/>
      <c r="AR134" s="260"/>
      <c r="AS134" s="260"/>
      <c r="AT134" s="261"/>
      <c r="AU134" s="258"/>
      <c r="AV134" s="121"/>
      <c r="AW134" s="121"/>
    </row>
    <row r="135" spans="1:49">
      <c r="AL135" s="121"/>
      <c r="AM135" s="121"/>
      <c r="AN135" s="504" t="s">
        <v>2618</v>
      </c>
      <c r="AO135" s="727" t="s">
        <v>2621</v>
      </c>
      <c r="AP135" s="263"/>
      <c r="AQ135" s="321"/>
      <c r="AR135" s="260"/>
      <c r="AS135" s="260"/>
      <c r="AT135" s="257">
        <f>IF(AR$13="да",AT134*1.18,AT134)</f>
        <v>0</v>
      </c>
      <c r="AU135" s="258"/>
      <c r="AV135" s="121"/>
      <c r="AW135" s="121"/>
    </row>
    <row r="136" spans="1:49" ht="0.75" customHeight="1">
      <c r="AL136" s="121"/>
      <c r="AM136" s="121"/>
      <c r="AN136" s="504"/>
      <c r="AO136" s="526"/>
      <c r="AP136" s="526"/>
      <c r="AQ136" s="321"/>
      <c r="AR136" s="260"/>
      <c r="AS136" s="260"/>
      <c r="AT136" s="260"/>
      <c r="AU136" s="258"/>
      <c r="AV136" s="121"/>
      <c r="AW136" s="121"/>
    </row>
    <row r="137" spans="1:49" ht="0.75" customHeight="1">
      <c r="AL137" s="121"/>
      <c r="AM137" s="121"/>
      <c r="AN137" s="223"/>
      <c r="AO137" s="728"/>
      <c r="AP137" s="260"/>
      <c r="AQ137" s="258"/>
      <c r="AR137" s="260"/>
      <c r="AS137" s="260"/>
      <c r="AT137" s="260"/>
      <c r="AU137" s="258"/>
      <c r="AV137" s="127"/>
      <c r="AW137" s="121"/>
    </row>
    <row r="138" spans="1:49" ht="0.75" customHeight="1">
      <c r="AL138" s="121"/>
      <c r="AM138" s="121"/>
      <c r="AN138" s="223"/>
      <c r="AO138" s="728"/>
      <c r="AP138" s="260"/>
      <c r="AQ138" s="258"/>
      <c r="AR138" s="260"/>
      <c r="AS138" s="260"/>
      <c r="AT138" s="260"/>
      <c r="AU138" s="258"/>
      <c r="AV138" s="127"/>
      <c r="AW138" s="121"/>
    </row>
    <row r="139" spans="1:49" ht="0.75" customHeight="1">
      <c r="AL139" s="121"/>
      <c r="AM139" s="121"/>
      <c r="AN139" s="223"/>
      <c r="AO139" s="728"/>
      <c r="AP139" s="260"/>
      <c r="AQ139" s="258"/>
      <c r="AR139" s="260"/>
      <c r="AS139" s="260"/>
      <c r="AT139" s="260"/>
      <c r="AU139" s="258"/>
      <c r="AV139" s="127"/>
      <c r="AW139" s="121"/>
    </row>
    <row r="140" spans="1:49" ht="0.75" customHeight="1">
      <c r="AL140" s="121"/>
      <c r="AM140" s="121"/>
      <c r="AN140" s="223"/>
      <c r="AO140" s="728"/>
      <c r="AP140" s="260"/>
      <c r="AQ140" s="258"/>
      <c r="AR140" s="260"/>
      <c r="AS140" s="260"/>
      <c r="AT140" s="260"/>
      <c r="AU140" s="258"/>
      <c r="AV140" s="127"/>
      <c r="AW140" s="121"/>
    </row>
    <row r="141" spans="1:49" ht="57" customHeight="1">
      <c r="AL141" s="121"/>
      <c r="AM141" s="121"/>
      <c r="AN141" s="504" t="s">
        <v>855</v>
      </c>
      <c r="AO141" s="526" t="s">
        <v>370</v>
      </c>
      <c r="AP141" s="257">
        <f>SUMIF(AQ$8:AU$8,"NO_TRANSPORT",AQ141:AU141)</f>
        <v>2.9557999999999995</v>
      </c>
      <c r="AQ141" s="321"/>
      <c r="AR141" s="323"/>
      <c r="AS141" s="260"/>
      <c r="AT141" s="629">
        <f>SUMIF(БПр!$F$129:$F$158,AT$9,БПр!$J$129:$J$158)/1000</f>
        <v>2.9557999999999995</v>
      </c>
      <c r="AU141" s="258"/>
      <c r="AV141" s="121"/>
      <c r="AW141" s="121"/>
    </row>
    <row r="142" spans="1:49" ht="57" customHeight="1">
      <c r="AL142" s="121"/>
      <c r="AM142" s="121"/>
      <c r="AN142" s="504" t="s">
        <v>876</v>
      </c>
      <c r="AO142" s="526" t="s">
        <v>371</v>
      </c>
      <c r="AP142" s="257">
        <f>SUMIF(AQ$8:AU$8,"NO_TRANSPORT",AQ142:AU142)</f>
        <v>2.2696999999999998</v>
      </c>
      <c r="AQ142" s="321"/>
      <c r="AR142" s="260"/>
      <c r="AS142" s="260"/>
      <c r="AT142" s="629">
        <f>SUMIF(БПр!$F$129:$F$158,AT$9,БПр!$L$129:$L$158)/1000</f>
        <v>2.2696999999999998</v>
      </c>
      <c r="AU142" s="258"/>
      <c r="AV142" s="121"/>
      <c r="AW142" s="121"/>
    </row>
    <row r="143" spans="1:49">
      <c r="AL143" s="121"/>
      <c r="AM143" s="121"/>
      <c r="AN143" s="504" t="s">
        <v>881</v>
      </c>
      <c r="AO143" s="526" t="s">
        <v>2967</v>
      </c>
      <c r="AP143" s="254"/>
      <c r="AQ143" s="321"/>
      <c r="AR143" s="260"/>
      <c r="AS143" s="260"/>
      <c r="AT143" s="257">
        <f>IF(AT141=0,0,AT142/AT141)</f>
        <v>0.76788010014209362</v>
      </c>
      <c r="AU143" s="258"/>
      <c r="AV143" s="121"/>
      <c r="AW143" s="121"/>
    </row>
    <row r="144" spans="1:49" ht="57" customHeight="1">
      <c r="AL144" s="121"/>
      <c r="AM144" s="121"/>
      <c r="AN144" s="559" t="s">
        <v>362</v>
      </c>
      <c r="AO144" s="604" t="s">
        <v>2722</v>
      </c>
      <c r="AP144" s="257">
        <f>SUMIF(AQ$8:AU$8,"NO_TRANSPORT",AQ144:AU144)</f>
        <v>2.2696999999999998</v>
      </c>
      <c r="AQ144" s="321"/>
      <c r="AR144" s="260"/>
      <c r="AS144" s="260"/>
      <c r="AT144" s="629">
        <f>SUMIF(БПр!$F$129:$F$158,AT$9,БПр!$L$129:$L$158)/1000-SUMIF(БПр!$F$129:$F$158,AT$9,БПр!$P$129:$P$158)/1000</f>
        <v>2.2696999999999998</v>
      </c>
      <c r="AU144" s="258"/>
      <c r="AV144" s="121"/>
      <c r="AW144" s="121"/>
    </row>
    <row r="145" spans="38:49" s="121" customFormat="1" ht="0.75" customHeight="1">
      <c r="AN145" s="504"/>
      <c r="AO145" s="526"/>
      <c r="AP145" s="260"/>
      <c r="AQ145" s="321"/>
      <c r="AR145" s="260"/>
      <c r="AS145" s="260"/>
      <c r="AT145" s="260"/>
      <c r="AU145" s="258"/>
    </row>
    <row r="146" spans="38:49" s="121" customFormat="1" ht="22.5">
      <c r="AN146" s="222" t="s">
        <v>32</v>
      </c>
      <c r="AO146" s="721" t="str">
        <f>"Общий доход организации от реализации потребителям без учёта НДС, исходя из утверждённых тарифов на " &amp; AN10</f>
        <v>Общий доход организации от реализации потребителям без учёта НДС, исходя из утверждённых тарифов на 01.09 - 31.12</v>
      </c>
      <c r="AP146" s="257">
        <f>SUMIF(AQ$14:AU$14,AP$14,AQ146:AU146)</f>
        <v>40.343864999999994</v>
      </c>
      <c r="AQ146" s="321"/>
      <c r="AR146" s="260"/>
      <c r="AS146" s="260"/>
      <c r="AT146" s="257">
        <f>AT148+AT151+AT154+AT157+AT161</f>
        <v>40.343864999999994</v>
      </c>
      <c r="AU146" s="258"/>
    </row>
    <row r="147" spans="38:49" s="121" customFormat="1" ht="22.5">
      <c r="AN147" s="222" t="s">
        <v>33</v>
      </c>
      <c r="AO147" s="540" t="str">
        <f>"Полезный отпуск продукции на реализацию потребителям (тыс. куб.м) на " &amp; AN10</f>
        <v>Полезный отпуск продукции на реализацию потребителям (тыс. куб.м) на 01.09 - 31.12</v>
      </c>
      <c r="AP147" s="257">
        <f>SUMIF(AQ$14:AU$14,AP$14,AQ147:AU147)</f>
        <v>0.81850000000000001</v>
      </c>
      <c r="AQ147" s="321"/>
      <c r="AR147" s="260"/>
      <c r="AS147" s="260"/>
      <c r="AT147" s="257">
        <f>AT150+AT153+AT156+AT159</f>
        <v>0.81850000000000001</v>
      </c>
      <c r="AU147" s="258"/>
    </row>
    <row r="148" spans="38:49" s="121" customFormat="1">
      <c r="AN148" s="222" t="s">
        <v>2455</v>
      </c>
      <c r="AO148" s="541" t="str">
        <f>"Организации-перепродавцы на " &amp; AN10</f>
        <v>Организации-перепродавцы на 01.09 - 31.12</v>
      </c>
      <c r="AP148" s="257">
        <f>SUMIF(AQ$14:AU$14,AP$14,AQ148:AU148)</f>
        <v>0</v>
      </c>
      <c r="AQ148" s="321"/>
      <c r="AR148" s="260"/>
      <c r="AS148" s="546"/>
      <c r="AT148" s="545">
        <f>AT149*AT150</f>
        <v>0</v>
      </c>
      <c r="AU148" s="258"/>
    </row>
    <row r="149" spans="38:49" ht="12.75">
      <c r="AL149" s="121"/>
      <c r="AM149" s="121"/>
      <c r="AN149" s="222" t="s">
        <v>34</v>
      </c>
      <c r="AO149" s="502" t="s">
        <v>348</v>
      </c>
      <c r="AP149" s="254"/>
      <c r="AQ149" s="321"/>
      <c r="AR149" s="260"/>
      <c r="AS149" s="546"/>
      <c r="AT149" s="630">
        <f>IF($AP$8="I",SUMIF('ТМ2 01.01 - 30.06'!$C$21:$C$25,AT$9,'ТМ2 01.01 - 30.06'!$AM$21:$AM$25),IF($AP$8="II",SUMIF('ТМ2 01.07 - 31.08'!$C$21:$C$25,AT$9,'ТМ2 01.07 - 31.08'!$AM$21:$AM$25),IF($AP$8="III",SUMIF('ТМ2 01.09 - 31.12'!$C$21:$C$25,AT$9,'ТМ2 01.09 - 31.12'!$AM$21:$AM$25),0)))</f>
        <v>0</v>
      </c>
      <c r="AU149" s="258"/>
      <c r="AV149" s="121"/>
      <c r="AW149" s="121"/>
    </row>
    <row r="150" spans="38:49">
      <c r="AL150" s="121"/>
      <c r="AM150" s="121"/>
      <c r="AN150" s="222" t="s">
        <v>35</v>
      </c>
      <c r="AO150" s="502" t="s">
        <v>372</v>
      </c>
      <c r="AP150" s="257">
        <f>SUMIF(AQ$8:AU$8,"NO_TRANSPORT",AQ150:AU150)</f>
        <v>0</v>
      </c>
      <c r="AQ150" s="321"/>
      <c r="AR150" s="260"/>
      <c r="AS150" s="260"/>
      <c r="AT150" s="629">
        <f>SUMIF(БПр!$BF$129:$BF$158,AT$9&amp;"-"&amp;$AP$8,БПр!$P$129:$P$158)/1000</f>
        <v>0</v>
      </c>
      <c r="AU150" s="258"/>
      <c r="AV150" s="121"/>
      <c r="AW150" s="121"/>
    </row>
    <row r="151" spans="38:49" s="121" customFormat="1">
      <c r="AN151" s="222" t="s">
        <v>2456</v>
      </c>
      <c r="AO151" s="540" t="str">
        <f>"Бюджетные потребители на " &amp; AN10</f>
        <v>Бюджетные потребители на 01.09 - 31.12</v>
      </c>
      <c r="AP151" s="257">
        <f>SUMIF(AQ$14:AU$14,AP$14,AQ151:AU151)</f>
        <v>28.992377999999995</v>
      </c>
      <c r="AQ151" s="321"/>
      <c r="AR151" s="260"/>
      <c r="AS151" s="546"/>
      <c r="AT151" s="545">
        <f>AT152*AT153</f>
        <v>28.992377999999995</v>
      </c>
      <c r="AU151" s="258"/>
    </row>
    <row r="152" spans="38:49" s="121" customFormat="1" ht="12.75">
      <c r="AN152" s="222" t="s">
        <v>36</v>
      </c>
      <c r="AO152" s="502" t="s">
        <v>348</v>
      </c>
      <c r="AP152" s="254"/>
      <c r="AQ152" s="321"/>
      <c r="AR152" s="260"/>
      <c r="AS152" s="546"/>
      <c r="AT152" s="630">
        <f>IF($AP$8="I",SUMIF('ТМ2 01.01 - 30.06'!$C$21:$C$25,AT$9,'ТМ2 01.01 - 30.06'!$ET$21:$ET$25),IF($AP$8="II",SUMIF('ТМ2 01.07 - 31.08'!$C$21:$C$25,AT$9,'ТМ2 01.07 - 31.08'!$ET$21:$ET$25),IF($AP$8="III",SUMIF('ТМ2 01.09 - 31.12'!$C$21:$C$25,AT$9,'ТМ2 01.09 - 31.12'!$ET$21:$ET$25),0)))</f>
        <v>49.29</v>
      </c>
      <c r="AU152" s="258"/>
    </row>
    <row r="153" spans="38:49" s="121" customFormat="1">
      <c r="AN153" s="222" t="s">
        <v>37</v>
      </c>
      <c r="AO153" s="502" t="s">
        <v>372</v>
      </c>
      <c r="AP153" s="257">
        <f>SUMIF(AQ$8:AU$8,"NO_TRANSPORT",AQ153:AU153)</f>
        <v>0.58819999999999995</v>
      </c>
      <c r="AQ153" s="321"/>
      <c r="AR153" s="260"/>
      <c r="AS153" s="260"/>
      <c r="AT153" s="629">
        <f>SUMIF(БПр!$BF$129:$BF$158,AT$9&amp;"-"&amp;$AP$8,БПр!$M$129:$M$158)/1000</f>
        <v>0.58819999999999995</v>
      </c>
      <c r="AU153" s="258"/>
    </row>
    <row r="154" spans="38:49" s="121" customFormat="1">
      <c r="AN154" s="222" t="s">
        <v>2457</v>
      </c>
      <c r="AO154" s="540" t="str">
        <f>"Население на " &amp; AN10</f>
        <v>Население на 01.09 - 31.12</v>
      </c>
      <c r="AP154" s="257">
        <f>SUMIF(AQ$14:AU$14,AP$14,AQ154:AU154)</f>
        <v>1.6807889999999999</v>
      </c>
      <c r="AQ154" s="321"/>
      <c r="AR154" s="260"/>
      <c r="AS154" s="546"/>
      <c r="AT154" s="545">
        <f>AT155*AT156</f>
        <v>1.6807889999999999</v>
      </c>
      <c r="AU154" s="258"/>
    </row>
    <row r="155" spans="38:49" s="121" customFormat="1" ht="12.75">
      <c r="AN155" s="222" t="s">
        <v>38</v>
      </c>
      <c r="AO155" s="502" t="s">
        <v>348</v>
      </c>
      <c r="AP155" s="254"/>
      <c r="AQ155" s="321"/>
      <c r="AR155" s="260"/>
      <c r="AS155" s="546"/>
      <c r="AT155" s="630">
        <f>IF($AP$8="I",SUMIF('ТМ2 01.01 - 30.06'!$C$21:$C$25,AT$9,'ТМ2 01.01 - 30.06'!$EU$21:$EU$25),IF($AP$8="II",SUMIF('ТМ2 01.07 - 31.08'!$C$21:$C$25,AT$9,'ТМ2 01.07 - 31.08'!$EU$21:$EU$25),IF($AP$8="III",SUMIF('ТМ2 01.09 - 31.12'!$C$21:$C$25,AT$9,'ТМ2 01.09 - 31.12'!$EU$21:$EU$25),0)))</f>
        <v>49.29</v>
      </c>
      <c r="AU155" s="258"/>
    </row>
    <row r="156" spans="38:49" s="121" customFormat="1">
      <c r="AN156" s="222" t="s">
        <v>39</v>
      </c>
      <c r="AO156" s="502" t="s">
        <v>372</v>
      </c>
      <c r="AP156" s="257">
        <f>SUMIF(AQ$8:AU$8,"NO_TRANSPORT",AQ156:AU156)</f>
        <v>3.4099999999999998E-2</v>
      </c>
      <c r="AQ156" s="321"/>
      <c r="AR156" s="260"/>
      <c r="AS156" s="260"/>
      <c r="AT156" s="629">
        <f>SUMIF(БПр!$BF$129:$BF$158,AT$9&amp;"-"&amp;$AP$8,БПр!$N$129:$N$158)/1000</f>
        <v>3.4099999999999998E-2</v>
      </c>
      <c r="AU156" s="258"/>
    </row>
    <row r="157" spans="38:49">
      <c r="AL157" s="121"/>
      <c r="AM157" s="121"/>
      <c r="AN157" s="222" t="s">
        <v>2458</v>
      </c>
      <c r="AO157" s="540" t="str">
        <f>"Прочие на " &amp; AN10</f>
        <v>Прочие на 01.09 - 31.12</v>
      </c>
      <c r="AP157" s="257">
        <f>SUMIF(AQ$14:AU$14,AP$14,AQ157:AU157)</f>
        <v>9.670697999999998</v>
      </c>
      <c r="AQ157" s="321"/>
      <c r="AR157" s="260"/>
      <c r="AS157" s="546"/>
      <c r="AT157" s="545">
        <f>AT158*AT159</f>
        <v>9.670697999999998</v>
      </c>
      <c r="AU157" s="258"/>
      <c r="AV157" s="121"/>
      <c r="AW157" s="121"/>
    </row>
    <row r="158" spans="38:49" s="121" customFormat="1" ht="12.75">
      <c r="AN158" s="222" t="s">
        <v>40</v>
      </c>
      <c r="AO158" s="502" t="s">
        <v>348</v>
      </c>
      <c r="AP158" s="254"/>
      <c r="AQ158" s="321"/>
      <c r="AR158" s="260"/>
      <c r="AS158" s="546"/>
      <c r="AT158" s="630">
        <f>IF($AP$8="I",SUMIF('ТМ2 01.01 - 30.06'!$C$21:$C$25,AT$9,'ТМ2 01.01 - 30.06'!$EV$21:$EV$25),IF($AP$8="II",SUMIF('ТМ2 01.07 - 31.08'!$C$21:$C$25,AT$9,'ТМ2 01.07 - 31.08'!$EV$21:$EV$25),IF($AP$8="III",SUMIF('ТМ2 01.09 - 31.12'!$C$21:$C$25,AT$9,'ТМ2 01.09 - 31.12'!$EV$21:$EV$25),0)))</f>
        <v>49.289999999999992</v>
      </c>
      <c r="AU158" s="258"/>
    </row>
    <row r="159" spans="38:49" s="121" customFormat="1">
      <c r="AN159" s="222" t="s">
        <v>41</v>
      </c>
      <c r="AO159" s="502" t="s">
        <v>372</v>
      </c>
      <c r="AP159" s="257">
        <f>SUMIF(AQ$8:AU$8,"NO_TRANSPORT",AQ159:AU159)</f>
        <v>0.19619999999999999</v>
      </c>
      <c r="AQ159" s="321"/>
      <c r="AR159" s="260"/>
      <c r="AS159" s="260"/>
      <c r="AT159" s="629">
        <f>SUMIF(БПр!$BF$129:$BF$158,AT$9&amp;"-"&amp;$AP$8,БПр!$O$129:$O$158)/1000</f>
        <v>0.19619999999999999</v>
      </c>
      <c r="AU159" s="258"/>
    </row>
    <row r="160" spans="38:49" s="121" customFormat="1" ht="0.75" customHeight="1">
      <c r="AN160" s="222"/>
      <c r="AO160" s="502"/>
      <c r="AP160" s="323"/>
      <c r="AQ160" s="321"/>
      <c r="AR160" s="260"/>
      <c r="AS160" s="260"/>
      <c r="AT160" s="260"/>
      <c r="AU160" s="258"/>
    </row>
    <row r="161" spans="1:49" s="121" customFormat="1">
      <c r="AN161" s="722" t="s">
        <v>2664</v>
      </c>
      <c r="AO161" s="721" t="s">
        <v>2724</v>
      </c>
      <c r="AP161" s="257">
        <f>SUMIF(AQ$14:AU$14,AP$14,AQ161:AU161)</f>
        <v>0</v>
      </c>
      <c r="AQ161" s="321"/>
      <c r="AR161" s="260"/>
      <c r="AS161" s="260"/>
      <c r="AT161" s="261"/>
      <c r="AU161" s="258"/>
    </row>
    <row r="162" spans="1:49" s="121" customFormat="1" hidden="1">
      <c r="AN162" s="222"/>
      <c r="AO162" s="502"/>
      <c r="AP162" s="323"/>
      <c r="AQ162" s="321"/>
      <c r="AR162" s="260"/>
      <c r="AS162" s="260"/>
      <c r="AT162" s="260"/>
      <c r="AU162" s="258"/>
    </row>
    <row r="163" spans="1:49" s="121" customFormat="1" hidden="1">
      <c r="AN163" s="222"/>
      <c r="AO163" s="502"/>
      <c r="AP163" s="323"/>
      <c r="AQ163" s="321"/>
      <c r="AR163" s="260"/>
      <c r="AS163" s="260"/>
      <c r="AT163" s="260"/>
      <c r="AU163" s="258"/>
    </row>
    <row r="164" spans="1:49" ht="0.75" customHeight="1">
      <c r="AL164" s="121"/>
      <c r="AM164" s="121"/>
      <c r="AN164" s="223"/>
      <c r="AO164" s="216"/>
      <c r="AP164" s="543"/>
      <c r="AQ164" s="523"/>
      <c r="AR164" s="547"/>
      <c r="AS164" s="547"/>
      <c r="AT164" s="547"/>
      <c r="AU164" s="265"/>
      <c r="AV164" s="121"/>
      <c r="AW164" s="121"/>
    </row>
    <row r="165" spans="1:49" s="54" customFormat="1">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48"/>
      <c r="AV165" s="121"/>
      <c r="AW165" s="121"/>
    </row>
    <row r="166" spans="1:49" s="54" customFormat="1">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47"/>
      <c r="AR166" s="47"/>
      <c r="AS166" s="47"/>
      <c r="AT166" s="47"/>
      <c r="AU166" s="47"/>
      <c r="AV166" s="121"/>
      <c r="AW166" s="121"/>
    </row>
    <row r="167" spans="1:49">
      <c r="AL167" s="121"/>
      <c r="AM167" s="121"/>
    </row>
  </sheetData>
  <sheetProtection password="FA9C" sheet="1" objects="1" scenarios="1" formatColumns="0" formatRows="0"/>
  <mergeCells count="8">
    <mergeCell ref="AR13:AT13"/>
    <mergeCell ref="AN9:AP9"/>
    <mergeCell ref="AN11:AN12"/>
    <mergeCell ref="AO11:AO12"/>
    <mergeCell ref="AP11:AP12"/>
    <mergeCell ref="AR10:AT10"/>
    <mergeCell ref="AR11:AT11"/>
    <mergeCell ref="AR12:AT12"/>
  </mergeCells>
  <phoneticPr fontId="8" type="noConversion"/>
  <pageMargins left="0.74803149606299213" right="0.74803149606299213" top="0.15748031496062992" bottom="0.23622047244094491" header="0.19685039370078741" footer="0.23622047244094491"/>
  <pageSetup paperSize="9" scale="60"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sheetPr codeName="VOTV_TM1_PERIOD1">
    <tabColor rgb="FF92D050"/>
    <pageSetUpPr fitToPage="1"/>
  </sheetPr>
  <dimension ref="A1:EV34"/>
  <sheetViews>
    <sheetView showGridLines="0" topLeftCell="E3" workbookViewId="0">
      <pane xSplit="5" ySplit="19" topLeftCell="J22" activePane="bottomRight" state="frozen"/>
      <selection pane="topRight"/>
      <selection pane="bottomLeft"/>
      <selection pane="bottomRight" activeCell="Z40" sqref="Z40"/>
    </sheetView>
  </sheetViews>
  <sheetFormatPr defaultRowHeight="11.25"/>
  <cols>
    <col min="1" max="3" width="5.7109375" style="162" hidden="1" customWidth="1"/>
    <col min="4" max="4" width="3.7109375" style="159" hidden="1" customWidth="1"/>
    <col min="5" max="5" width="5.7109375" style="179" customWidth="1"/>
    <col min="6" max="6" width="4.7109375" style="39" customWidth="1"/>
    <col min="7" max="7" width="40.7109375" style="39" customWidth="1"/>
    <col min="8" max="8" width="27.7109375" style="39" hidden="1" customWidth="1"/>
    <col min="9" max="9" width="0.140625" style="39" hidden="1" customWidth="1"/>
    <col min="10" max="10" width="20.7109375" style="39" customWidth="1"/>
    <col min="11" max="12" width="10.7109375" style="39" hidden="1" customWidth="1"/>
    <col min="13" max="14" width="12.7109375" style="39" hidden="1" customWidth="1"/>
    <col min="15" max="15" width="0.140625" style="39" hidden="1" customWidth="1"/>
    <col min="16" max="19" width="12.7109375" style="39" hidden="1" customWidth="1"/>
    <col min="20" max="21" width="0.140625" style="39" hidden="1" customWidth="1"/>
    <col min="22" max="23" width="12.7109375" style="39" hidden="1" customWidth="1"/>
    <col min="24" max="24" width="10.7109375" style="39" hidden="1" customWidth="1"/>
    <col min="25" max="28" width="9.7109375" style="39" customWidth="1"/>
    <col min="29" max="30" width="0.140625" style="39" customWidth="1"/>
    <col min="31" max="31" width="17.7109375" style="39" customWidth="1"/>
    <col min="32" max="33" width="0.140625" style="39" customWidth="1"/>
    <col min="34" max="38" width="9.7109375" style="39" customWidth="1"/>
    <col min="39" max="39" width="15.7109375" style="39" customWidth="1"/>
    <col min="40" max="41" width="9.7109375" style="39" customWidth="1"/>
    <col min="42" max="42" width="15.7109375" style="39" customWidth="1"/>
    <col min="43" max="44" width="9.7109375" style="39" customWidth="1"/>
    <col min="45" max="45" width="15.7109375" style="39" customWidth="1"/>
    <col min="46" max="47" width="9.7109375" style="39" customWidth="1"/>
    <col min="48" max="48" width="15.7109375" style="39" customWidth="1"/>
    <col min="49" max="50" width="9.7109375" style="39" customWidth="1"/>
    <col min="51" max="51" width="15.7109375" style="39" customWidth="1"/>
    <col min="52" max="108" width="1.7109375" style="162" customWidth="1"/>
    <col min="109" max="109" width="8.7109375" style="162" hidden="1" customWidth="1"/>
    <col min="110" max="123" width="6.7109375" style="162" hidden="1" customWidth="1"/>
    <col min="124" max="126" width="6.7109375" style="162" customWidth="1"/>
    <col min="127" max="127" width="2.7109375" style="162" customWidth="1"/>
    <col min="128" max="152" width="9.140625" style="162"/>
    <col min="153" max="16384" width="9.140625" style="39"/>
  </cols>
  <sheetData>
    <row r="1" spans="1:126" ht="12" hidden="1" customHeight="1">
      <c r="A1" s="178"/>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row>
    <row r="2" spans="1:126" ht="12" hidden="1" customHeight="1">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row>
    <row r="3" spans="1:126" ht="12" customHeight="1">
      <c r="F3" s="637"/>
      <c r="G3" s="123" t="str">
        <f>"Необходимо указывать " &amp; IF(TARIFF_SETUP_METHOD_CODE="BY_PSEUDO_YEARS","общегодовые значения","значения по периодам")</f>
        <v>Необходимо указывать значения по периодам</v>
      </c>
      <c r="H3" s="616" t="s">
        <v>785</v>
      </c>
      <c r="I3" s="637">
        <f>IF(TARIFF_SETUP_METHOD_CODE="BY_PSEUDO_YEARS",12,6)</f>
        <v>6</v>
      </c>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row>
    <row r="4" spans="1:126" ht="3" customHeight="1">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row>
    <row r="5" spans="1:126" s="419" customFormat="1" ht="18" customHeight="1">
      <c r="D5" s="420"/>
      <c r="E5" s="421"/>
      <c r="F5" s="422" t="str">
        <f>"Тарифы организаций " &amp; TEMPLATE_SPHERE &amp; " на услуги по передаче (транспортировке) по муниципальному образованию - " &amp; IF(mo="","Не определено",mo)</f>
        <v>Тарифы организаций водоотведения на услуги по передаче (транспортировке) по муниципальному образованию - Село Булава</v>
      </c>
      <c r="G5" s="416"/>
      <c r="H5" s="416"/>
      <c r="I5" s="416"/>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21"/>
      <c r="BA5" s="421"/>
      <c r="BB5" s="421"/>
      <c r="BC5" s="421"/>
      <c r="BD5" s="421"/>
      <c r="BE5" s="421"/>
      <c r="BF5" s="421"/>
      <c r="BG5" s="421"/>
      <c r="BH5" s="421"/>
      <c r="BI5" s="421"/>
      <c r="BJ5" s="421"/>
      <c r="BK5" s="421"/>
      <c r="BL5" s="421"/>
      <c r="BM5" s="421"/>
      <c r="BN5" s="421"/>
      <c r="BO5" s="421"/>
      <c r="BP5" s="421"/>
      <c r="BQ5" s="421"/>
      <c r="BR5" s="421"/>
      <c r="BS5" s="421"/>
      <c r="BT5" s="421"/>
      <c r="BU5" s="421"/>
      <c r="BV5" s="421"/>
      <c r="BW5" s="421"/>
      <c r="BX5" s="421"/>
      <c r="BY5" s="421"/>
      <c r="BZ5" s="421"/>
      <c r="CA5" s="421"/>
      <c r="CB5" s="421"/>
      <c r="CC5" s="421"/>
      <c r="CD5" s="421"/>
      <c r="CE5" s="421"/>
      <c r="CF5" s="421"/>
      <c r="CG5" s="421"/>
      <c r="CH5" s="421"/>
      <c r="CI5" s="421"/>
      <c r="CJ5" s="421"/>
      <c r="CK5" s="421"/>
      <c r="CL5" s="421"/>
      <c r="CM5" s="421"/>
      <c r="CN5" s="421"/>
      <c r="CO5" s="421"/>
      <c r="CP5" s="421"/>
      <c r="CQ5" s="421"/>
      <c r="CR5" s="421"/>
      <c r="CS5" s="421"/>
      <c r="CT5" s="421"/>
      <c r="CU5" s="421"/>
      <c r="CV5" s="421"/>
      <c r="CW5" s="421"/>
      <c r="CX5" s="421"/>
      <c r="CY5" s="421"/>
      <c r="CZ5" s="421"/>
      <c r="DA5" s="421"/>
      <c r="DB5" s="421"/>
      <c r="DC5" s="421"/>
      <c r="DD5" s="421"/>
      <c r="DE5" s="421"/>
      <c r="DF5" s="421"/>
      <c r="DG5" s="421"/>
    </row>
    <row r="6" spans="1:126" ht="2.25" customHeight="1">
      <c r="E6" s="184"/>
      <c r="F6" s="185"/>
      <c r="G6" s="162"/>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B6" s="185"/>
      <c r="DC6" s="185"/>
      <c r="DD6" s="185"/>
      <c r="DE6" s="185"/>
      <c r="DF6" s="185"/>
      <c r="DG6" s="185"/>
    </row>
    <row r="7" spans="1:126" ht="12" customHeight="1">
      <c r="E7" s="184"/>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row>
    <row r="8" spans="1:126" s="164" customFormat="1" ht="12" customHeight="1">
      <c r="D8" s="165"/>
      <c r="E8" s="166"/>
      <c r="F8" s="158"/>
      <c r="G8" s="188" t="s">
        <v>2781</v>
      </c>
      <c r="H8" s="180"/>
      <c r="I8" s="195"/>
      <c r="J8" s="180"/>
      <c r="K8" s="921"/>
      <c r="L8" s="921"/>
      <c r="M8" s="921"/>
      <c r="N8" s="921"/>
      <c r="O8" s="921"/>
      <c r="P8" s="921"/>
      <c r="Q8" s="921"/>
      <c r="R8" s="921"/>
      <c r="S8" s="921"/>
      <c r="T8" s="921"/>
      <c r="U8" s="921"/>
      <c r="V8" s="921"/>
      <c r="W8" s="921"/>
      <c r="X8" s="921"/>
      <c r="Y8" s="921"/>
      <c r="Z8" s="921"/>
      <c r="AA8" s="921"/>
      <c r="AB8" s="921"/>
      <c r="AC8" s="921"/>
      <c r="AD8" s="921"/>
      <c r="AE8" s="921"/>
      <c r="AF8" s="158"/>
      <c r="AG8" s="158"/>
      <c r="AH8" s="158"/>
      <c r="AI8" s="158"/>
      <c r="AJ8" s="158"/>
      <c r="AK8" s="921"/>
      <c r="AL8" s="921"/>
      <c r="AM8" s="921"/>
      <c r="AN8" s="921"/>
      <c r="AO8" s="921"/>
      <c r="AP8" s="921"/>
      <c r="AQ8" s="921"/>
      <c r="AR8" s="921"/>
      <c r="AS8" s="921"/>
      <c r="AT8" s="921"/>
      <c r="AU8" s="921"/>
      <c r="AV8" s="921"/>
      <c r="AW8" s="921"/>
      <c r="AX8" s="921"/>
      <c r="AY8" s="921"/>
      <c r="AZ8" s="921"/>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row>
    <row r="9" spans="1:126" customFormat="1" ht="12" hidden="1" customHeight="1"/>
    <row r="10" spans="1:126" customFormat="1" ht="12" hidden="1" customHeight="1"/>
    <row r="11" spans="1:126" customFormat="1" ht="12" customHeight="1">
      <c r="K11" s="444" t="s">
        <v>652</v>
      </c>
    </row>
    <row r="12" spans="1:126" customFormat="1" ht="12" hidden="1" customHeight="1"/>
    <row r="13" spans="1:126" s="164" customFormat="1" ht="12" customHeight="1">
      <c r="D13" s="165"/>
      <c r="E13" s="166"/>
      <c r="F13" s="158"/>
      <c r="G13" s="167"/>
      <c r="H13" s="180"/>
      <c r="J13" s="120"/>
      <c r="K13" s="880" t="s">
        <v>2863</v>
      </c>
      <c r="L13" s="881"/>
      <c r="M13" s="881"/>
      <c r="N13" s="881"/>
      <c r="O13" s="881"/>
      <c r="P13" s="881"/>
      <c r="Q13" s="881"/>
      <c r="R13" s="881"/>
      <c r="S13" s="881"/>
      <c r="T13" s="881"/>
      <c r="U13" s="881"/>
      <c r="V13" s="881"/>
      <c r="W13" s="881"/>
      <c r="X13" s="882"/>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row>
    <row r="14" spans="1:126" ht="27" customHeight="1">
      <c r="E14" s="184"/>
      <c r="F14" s="914" t="s">
        <v>641</v>
      </c>
      <c r="G14" s="914" t="s">
        <v>735</v>
      </c>
      <c r="H14" s="854" t="str">
        <f>IF(CALC_IDENTIFIER="","",CALC_IDENTIFIER)</f>
        <v/>
      </c>
      <c r="I14" s="855"/>
      <c r="J14" s="914" t="s">
        <v>626</v>
      </c>
      <c r="K14" s="944" t="s">
        <v>2584</v>
      </c>
      <c r="L14" s="950"/>
      <c r="M14" s="945"/>
      <c r="N14" s="803" t="s">
        <v>2569</v>
      </c>
      <c r="O14" s="803"/>
      <c r="P14" s="944" t="s">
        <v>2570</v>
      </c>
      <c r="Q14" s="945"/>
      <c r="R14" s="944" t="s">
        <v>2862</v>
      </c>
      <c r="S14" s="945"/>
      <c r="T14" s="944"/>
      <c r="U14" s="945"/>
      <c r="V14" s="944" t="s">
        <v>2571</v>
      </c>
      <c r="W14" s="945"/>
      <c r="X14" s="803" t="s">
        <v>2572</v>
      </c>
      <c r="Y14" s="828" t="str">
        <f>"Средневзвешенный тариф на услуги по передаче (транспортировке) " &amp; RESOURCE_IDENTIFIER &amp; " с учётом надбавки, " &amp; IF(TRANSMISSION_TARIFF="","?",TRANSMISSION_TARIFF)</f>
        <v>Средневзвешенный тариф на услуги по передаче (транспортировке) стоков с учётом надбавки, руб/куб.м</v>
      </c>
      <c r="Z14" s="828"/>
      <c r="AA14" s="828" t="str">
        <f>"Средневзвешенный тариф на услуги по передаче (транспортировке) " &amp; RESOURCE_IDENTIFIER &amp; ", " &amp; IF(TRANSMISSION_TARIFF="","?",TRANSMISSION_TARIFF)</f>
        <v>Средневзвешенный тариф на услуги по передаче (транспортировке) стоков, руб/куб.м</v>
      </c>
      <c r="AB14" s="828"/>
      <c r="AC14" s="828"/>
      <c r="AD14" s="828"/>
      <c r="AE14" s="879" t="str">
        <f>"Объём " &amp; IF(RESOURCE_IDENTIFIER="стоков","перекачиваемых " &amp; RESOURCE_IDENTIFIER,"передаваемой " &amp; RESOURCE_IDENTIFIER) &amp; " при транспортировке, "&amp; IF(TRANSMISSION_TARIFF="руб/Гкал","Гкал",IF(TRANSMISSION_TARIFF="руб/Гкал*час в мес","Гкал*час в мес",IF(TRANSMISSION_TARIFF="руб/куб.м","куб.м","(размерность не указана)")))</f>
        <v>Объём перекачиваемых стоков при транспортировке, куб.м</v>
      </c>
      <c r="AF14" s="828"/>
      <c r="AG14" s="828"/>
      <c r="AH14" s="828" t="str">
        <f>"Надбавка к тарифу, " &amp; IF(TRANSMISSION_TARIFF="","?",TRANSMISSION_TARIFF)</f>
        <v>Надбавка к тарифу, руб/куб.м</v>
      </c>
      <c r="AI14" s="828"/>
      <c r="AJ14" s="828" t="str">
        <f>"Объём, на который расчитана надбавка, " &amp; IF(TRANSMISSION_TARIFF="руб/Гкал","Гкал",IF(TRANSMISSION_TARIFF="руб/Гкал*час в мес","Гкал*час в мес",IF(TRANSMISSION_TARIFF="руб/куб.м","куб.м","(размерность не указана)")))</f>
        <v>Объём, на который расчитана надбавка, куб.м</v>
      </c>
      <c r="AK14" s="828" t="s">
        <v>3154</v>
      </c>
      <c r="AL14" s="828"/>
      <c r="AM14" s="828"/>
      <c r="AN14" s="828" t="s">
        <v>424</v>
      </c>
      <c r="AO14" s="828"/>
      <c r="AP14" s="828"/>
      <c r="AQ14" s="828" t="s">
        <v>3155</v>
      </c>
      <c r="AR14" s="828"/>
      <c r="AS14" s="828"/>
      <c r="AT14" s="828" t="s">
        <v>3156</v>
      </c>
      <c r="AU14" s="828"/>
      <c r="AV14" s="878"/>
      <c r="AW14" s="828" t="s">
        <v>3157</v>
      </c>
      <c r="AX14" s="828"/>
      <c r="AY14" s="828"/>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row>
    <row r="15" spans="1:126" ht="69" customHeight="1">
      <c r="E15" s="184"/>
      <c r="F15" s="951"/>
      <c r="G15" s="951"/>
      <c r="H15" s="856"/>
      <c r="I15" s="857"/>
      <c r="J15" s="951"/>
      <c r="K15" s="803" t="s">
        <v>2581</v>
      </c>
      <c r="L15" s="803" t="s">
        <v>2582</v>
      </c>
      <c r="M15" s="802" t="s">
        <v>2583</v>
      </c>
      <c r="N15" s="860"/>
      <c r="O15" s="860"/>
      <c r="P15" s="803" t="s">
        <v>2573</v>
      </c>
      <c r="Q15" s="803" t="s">
        <v>2574</v>
      </c>
      <c r="R15" s="803" t="s">
        <v>2573</v>
      </c>
      <c r="S15" s="803" t="s">
        <v>2574</v>
      </c>
      <c r="T15" s="803"/>
      <c r="U15" s="803"/>
      <c r="V15" s="803" t="s">
        <v>2575</v>
      </c>
      <c r="W15" s="803" t="s">
        <v>2576</v>
      </c>
      <c r="X15" s="860"/>
      <c r="Y15" s="828"/>
      <c r="Z15" s="828"/>
      <c r="AA15" s="828"/>
      <c r="AB15" s="828"/>
      <c r="AC15" s="828"/>
      <c r="AD15" s="828"/>
      <c r="AE15" s="879"/>
      <c r="AF15" s="828"/>
      <c r="AG15" s="828"/>
      <c r="AH15" s="828"/>
      <c r="AI15" s="828"/>
      <c r="AJ15" s="828"/>
      <c r="AK15" s="828" t="str">
        <f>"Тариф, " &amp; IF(TRANSMISSION_TARIFF="","?",TRANSMISSION_TARIFF)</f>
        <v>Тариф, руб/куб.м</v>
      </c>
      <c r="AL15" s="828"/>
      <c r="AM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N15" s="828" t="str">
        <f>"Тариф, " &amp; IF(TRANSMISSION_TARIFF="","?",TRANSMISSION_TARIFF)</f>
        <v>Тариф, руб/куб.м</v>
      </c>
      <c r="AO15" s="828"/>
      <c r="AP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Q15" s="828" t="str">
        <f>"Тариф, " &amp; IF(TRANSMISSION_TARIFF="","?",TRANSMISSION_TARIFF)</f>
        <v>Тариф, руб/куб.м</v>
      </c>
      <c r="AR15" s="828"/>
      <c r="AS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T15" s="828" t="str">
        <f>"Тариф, " &amp; IF(TRANSMISSION_TARIFF="","?",TRANSMISSION_TARIFF)</f>
        <v>Тариф, руб/куб.м</v>
      </c>
      <c r="AU15" s="828"/>
      <c r="AV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W15" s="828" t="str">
        <f>"Тариф, " &amp; IF(TRANSMISSION_TARIFF="","?",TRANSMISSION_TARIFF)</f>
        <v>Тариф, руб/куб.м</v>
      </c>
      <c r="AX15" s="828"/>
      <c r="AY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R15"/>
      <c r="DS15"/>
      <c r="DT15"/>
      <c r="DU15"/>
      <c r="DV15"/>
    </row>
    <row r="16" spans="1:126" ht="18" customHeight="1">
      <c r="E16" s="184"/>
      <c r="F16" s="952"/>
      <c r="G16" s="952"/>
      <c r="H16" s="858"/>
      <c r="I16" s="859"/>
      <c r="J16" s="952"/>
      <c r="K16" s="826"/>
      <c r="L16" s="826"/>
      <c r="M16" s="802"/>
      <c r="N16" s="826"/>
      <c r="O16" s="826"/>
      <c r="P16" s="826"/>
      <c r="Q16" s="826"/>
      <c r="R16" s="826"/>
      <c r="S16" s="826"/>
      <c r="T16" s="826"/>
      <c r="U16" s="826"/>
      <c r="V16" s="826"/>
      <c r="W16" s="826"/>
      <c r="X16" s="826"/>
      <c r="Y16" s="193" t="s">
        <v>627</v>
      </c>
      <c r="Z16" s="193" t="s">
        <v>628</v>
      </c>
      <c r="AA16" s="128" t="s">
        <v>627</v>
      </c>
      <c r="AB16" s="128" t="s">
        <v>628</v>
      </c>
      <c r="AC16" s="128"/>
      <c r="AD16" s="128"/>
      <c r="AE16" s="879"/>
      <c r="AF16" s="128"/>
      <c r="AG16" s="128"/>
      <c r="AH16" s="193" t="s">
        <v>627</v>
      </c>
      <c r="AI16" s="193" t="s">
        <v>628</v>
      </c>
      <c r="AJ16" s="828"/>
      <c r="AK16" s="128" t="s">
        <v>627</v>
      </c>
      <c r="AL16" s="128" t="s">
        <v>628</v>
      </c>
      <c r="AM16" s="831"/>
      <c r="AN16" s="128" t="s">
        <v>627</v>
      </c>
      <c r="AO16" s="128" t="s">
        <v>628</v>
      </c>
      <c r="AP16" s="831"/>
      <c r="AQ16" s="128" t="s">
        <v>627</v>
      </c>
      <c r="AR16" s="128" t="s">
        <v>628</v>
      </c>
      <c r="AS16" s="831"/>
      <c r="AT16" s="128" t="s">
        <v>627</v>
      </c>
      <c r="AU16" s="128" t="s">
        <v>628</v>
      </c>
      <c r="AV16" s="831"/>
      <c r="AW16" s="128" t="s">
        <v>627</v>
      </c>
      <c r="AX16" s="128" t="s">
        <v>628</v>
      </c>
      <c r="AY16" s="831"/>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c r="DG16"/>
      <c r="DH16"/>
      <c r="DI16"/>
      <c r="DJ16"/>
      <c r="DK16"/>
      <c r="DL16"/>
      <c r="DM16"/>
      <c r="DN16"/>
      <c r="DO16"/>
      <c r="DP16"/>
      <c r="DQ16"/>
      <c r="DR16"/>
      <c r="DS16"/>
      <c r="DT16"/>
      <c r="DU16"/>
      <c r="DV16"/>
    </row>
    <row r="17" spans="1:133" ht="12" customHeight="1">
      <c r="E17" s="184"/>
      <c r="F17" s="182"/>
      <c r="G17" s="182" t="s">
        <v>759</v>
      </c>
      <c r="H17" s="183" t="s">
        <v>629</v>
      </c>
      <c r="I17" s="183"/>
      <c r="J17" s="183" t="s">
        <v>631</v>
      </c>
      <c r="K17" s="183" t="s">
        <v>2851</v>
      </c>
      <c r="L17" s="183" t="s">
        <v>2852</v>
      </c>
      <c r="M17" s="183" t="s">
        <v>2853</v>
      </c>
      <c r="N17" s="183" t="s">
        <v>2854</v>
      </c>
      <c r="O17" s="183"/>
      <c r="P17" s="183" t="s">
        <v>2855</v>
      </c>
      <c r="Q17" s="183" t="s">
        <v>2856</v>
      </c>
      <c r="R17" s="183" t="s">
        <v>2857</v>
      </c>
      <c r="S17" s="183" t="s">
        <v>2858</v>
      </c>
      <c r="T17" s="183"/>
      <c r="U17" s="183"/>
      <c r="V17" s="183" t="s">
        <v>2859</v>
      </c>
      <c r="W17" s="183" t="s">
        <v>2860</v>
      </c>
      <c r="X17" s="183" t="s">
        <v>2861</v>
      </c>
      <c r="Y17" s="598" t="s">
        <v>289</v>
      </c>
      <c r="Z17" s="598" t="s">
        <v>290</v>
      </c>
      <c r="AA17" s="598" t="s">
        <v>2501</v>
      </c>
      <c r="AB17" s="598" t="s">
        <v>2502</v>
      </c>
      <c r="AC17" s="598"/>
      <c r="AD17" s="598"/>
      <c r="AE17" s="599" t="s">
        <v>63</v>
      </c>
      <c r="AF17" s="598"/>
      <c r="AG17" s="598"/>
      <c r="AH17" s="598" t="s">
        <v>2705</v>
      </c>
      <c r="AI17" s="598" t="s">
        <v>2706</v>
      </c>
      <c r="AJ17" s="598" t="s">
        <v>2707</v>
      </c>
      <c r="AK17" s="183" t="s">
        <v>632</v>
      </c>
      <c r="AL17" s="183" t="s">
        <v>633</v>
      </c>
      <c r="AM17" s="183" t="s">
        <v>634</v>
      </c>
      <c r="AN17" s="183" t="s">
        <v>635</v>
      </c>
      <c r="AO17" s="183" t="s">
        <v>883</v>
      </c>
      <c r="AP17" s="183" t="s">
        <v>884</v>
      </c>
      <c r="AQ17" s="183" t="s">
        <v>885</v>
      </c>
      <c r="AR17" s="183" t="s">
        <v>886</v>
      </c>
      <c r="AS17" s="183" t="s">
        <v>887</v>
      </c>
      <c r="AT17" s="183" t="s">
        <v>888</v>
      </c>
      <c r="AU17" s="183" t="s">
        <v>889</v>
      </c>
      <c r="AV17" s="477" t="s">
        <v>890</v>
      </c>
      <c r="AW17" s="183" t="s">
        <v>891</v>
      </c>
      <c r="AX17" s="183" t="s">
        <v>892</v>
      </c>
      <c r="AY17" s="183" t="s">
        <v>893</v>
      </c>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472" t="s">
        <v>96</v>
      </c>
      <c r="DF17" s="472" t="s">
        <v>289</v>
      </c>
      <c r="DG17" s="472" t="s">
        <v>290</v>
      </c>
      <c r="DH17" s="472" t="s">
        <v>632</v>
      </c>
      <c r="DI17" s="472" t="s">
        <v>633</v>
      </c>
      <c r="DJ17" s="472" t="s">
        <v>635</v>
      </c>
      <c r="DK17" s="472" t="s">
        <v>883</v>
      </c>
      <c r="DL17" s="472" t="s">
        <v>885</v>
      </c>
      <c r="DM17" s="472" t="s">
        <v>886</v>
      </c>
      <c r="DN17" s="472" t="s">
        <v>888</v>
      </c>
      <c r="DO17" s="472" t="s">
        <v>889</v>
      </c>
      <c r="DP17" s="472" t="s">
        <v>891</v>
      </c>
      <c r="DQ17" s="600" t="s">
        <v>892</v>
      </c>
      <c r="DR17" s="829" t="s">
        <v>444</v>
      </c>
      <c r="DS17" s="829"/>
      <c r="DT17"/>
      <c r="DU17"/>
      <c r="DV17"/>
    </row>
    <row r="18" spans="1:133" ht="24" customHeight="1">
      <c r="A18" s="181"/>
      <c r="B18" s="181"/>
      <c r="C18" s="181"/>
      <c r="E18" s="184"/>
      <c r="F18" s="953" t="s">
        <v>3141</v>
      </c>
      <c r="G18" s="956" t="s">
        <v>778</v>
      </c>
      <c r="H18" s="107" t="str">
        <f>IF(TEMPLATE_SPHERE="водоснабжения","",IF(TEMPLATE_SPHERE="водоотведения","Всего",""))</f>
        <v>Всего</v>
      </c>
      <c r="I18" s="580"/>
      <c r="J18" s="177"/>
      <c r="K18" s="129"/>
      <c r="L18" s="129"/>
      <c r="M18" s="129"/>
      <c r="N18" s="129"/>
      <c r="O18" s="129"/>
      <c r="P18" s="129"/>
      <c r="Q18" s="129"/>
      <c r="R18" s="129"/>
      <c r="S18" s="129"/>
      <c r="T18" s="129"/>
      <c r="U18" s="129"/>
      <c r="V18" s="129"/>
      <c r="W18" s="129"/>
      <c r="X18" s="129"/>
      <c r="Y18" s="398">
        <f>IF((AS18+AV18+AY18)=0,0,(AA18*(AS18+AV18+AY18)+AH18*IF(AJ18&gt;AS18+AV18+AY18,AS18+AV18+AY18,AJ18))/(AS18+AV18+AY18))</f>
        <v>0</v>
      </c>
      <c r="Z18" s="398">
        <f>IF((AS18+AV18+AY18)=0,0,(AB18*(AS18+AV18+AY18)+AI18*IF(AJ18&gt;AS18+AV18+AY18,AS18+AV18+AY18,AJ18))/(AS18+AV18+AY18))</f>
        <v>0</v>
      </c>
      <c r="AA18" s="398">
        <f>IF((AS18+AV18+AY18)=0,0,(AQ18*AS18+AT18*AV18+AW18*AY18)/(AS18+AV18+AY18))</f>
        <v>0</v>
      </c>
      <c r="AB18" s="398">
        <f>IF((AS18+AV18+AY18)=0,0,(AR18*AS18+AU18*AV18+AX18*AY18)/(AS18+AV18+AY18))</f>
        <v>0</v>
      </c>
      <c r="AC18" s="398"/>
      <c r="AD18" s="398"/>
      <c r="AE18" s="271">
        <f>AM18+AP18+AS18+AV18+AY18</f>
        <v>0</v>
      </c>
      <c r="AF18" s="400"/>
      <c r="AG18" s="400"/>
      <c r="AH18" s="271">
        <f>IF(AJ18&gt;0,SUMIF($H$21:$H$25,$H18,DR$21:DR$25)/AJ18,0)</f>
        <v>0</v>
      </c>
      <c r="AI18" s="271">
        <f>IF(AJ18&gt;0,SUMIF($H$21:$H$25,$H18,DS$21:DS$25)/AJ18,0)</f>
        <v>0</v>
      </c>
      <c r="AJ18" s="271">
        <f>SUMIF($H$21:$H$25,$H18,AJ$21:AJ$25)</f>
        <v>0</v>
      </c>
      <c r="AK18" s="400">
        <f>IF(AM18&gt;0,INDEX($DF$18:$DQ$18,MATCH(AK$17,$DF$17:$DQ$17))/AM18,0)</f>
        <v>0</v>
      </c>
      <c r="AL18" s="400">
        <f>IF(AM18&gt;0,INDEX($DF$18:$DQ$18,MATCH(AL$17,$DF$17:$DQ$17))/AM18,0)</f>
        <v>0</v>
      </c>
      <c r="AM18" s="271">
        <f>SUMIF($H$21:$H$25,$H18,AM$21:AM$25)</f>
        <v>0</v>
      </c>
      <c r="AN18" s="400">
        <f>IF(AP18&gt;0,INDEX($DF$18:$DQ$18,MATCH(AN$17,$DF$17:$DQ$17))/AP18,0)</f>
        <v>0</v>
      </c>
      <c r="AO18" s="400">
        <f>IF(AP18&gt;0,INDEX($DF$18:$DQ$18,MATCH(AO$17,$DF$17:$DQ$17))/AP18,0)</f>
        <v>0</v>
      </c>
      <c r="AP18" s="271">
        <f>SUMIF($H$21:$H$25,$H18,AP$21:AP$25)</f>
        <v>0</v>
      </c>
      <c r="AQ18" s="400">
        <f>IF(AS18&gt;0,INDEX($DF$18:$DQ$18,MATCH(AQ$17,$DF$17:$DQ$17))/AS18,0)</f>
        <v>0</v>
      </c>
      <c r="AR18" s="400">
        <f>IF(AS18&gt;0,INDEX($DF$18:$DQ$18,MATCH(AR$17,$DF$17:$DQ$17))/AS18,0)</f>
        <v>0</v>
      </c>
      <c r="AS18" s="271">
        <f>SUMIF($H$21:$H$25,$H18,AS$21:AS$25)</f>
        <v>0</v>
      </c>
      <c r="AT18" s="400">
        <f>IF(AV18&gt;0,INDEX($DF$18:$DQ$18,MATCH(AT$17,$DF$17:$DQ$17))/AV18,0)</f>
        <v>0</v>
      </c>
      <c r="AU18" s="400">
        <f>IF(AV18&gt;0,INDEX($DF$18:$DQ$18,MATCH(AU$17,$DF$17:$DQ$17))/AV18,0)</f>
        <v>0</v>
      </c>
      <c r="AV18" s="271">
        <f>SUMIF($H$21:$H$25,$H18,AV$21:AV$25)</f>
        <v>0</v>
      </c>
      <c r="AW18" s="400">
        <f>IF(AY18&gt;0,INDEX($DF$18:$DQ$18,MATCH(AW$17,$DF$17:$DQ$17))/AY18,0)</f>
        <v>0</v>
      </c>
      <c r="AX18" s="400">
        <f>IF(AY18&gt;0,INDEX($DF$18:$DQ$18,MATCH(AX$17,$DF$17:$DQ$17))/AY18,0)</f>
        <v>0</v>
      </c>
      <c r="AY18" s="271">
        <f>SUMIF($H$21:$H$25,$H18,AY$21:AY$25)</f>
        <v>0</v>
      </c>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98">
        <f>AS18+AV18+AY18</f>
        <v>0</v>
      </c>
      <c r="DF18" s="480">
        <f t="shared" ref="DF18:DS18" si="0">SUMIF($H21:$H26,$H18,DF21:DF26)</f>
        <v>0</v>
      </c>
      <c r="DG18" s="480">
        <f t="shared" si="0"/>
        <v>0</v>
      </c>
      <c r="DH18" s="480">
        <f t="shared" si="0"/>
        <v>0</v>
      </c>
      <c r="DI18" s="480">
        <f t="shared" si="0"/>
        <v>0</v>
      </c>
      <c r="DJ18" s="480">
        <f t="shared" si="0"/>
        <v>0</v>
      </c>
      <c r="DK18" s="480">
        <f t="shared" si="0"/>
        <v>0</v>
      </c>
      <c r="DL18" s="480">
        <f t="shared" si="0"/>
        <v>0</v>
      </c>
      <c r="DM18" s="480">
        <f t="shared" si="0"/>
        <v>0</v>
      </c>
      <c r="DN18" s="480">
        <f t="shared" si="0"/>
        <v>0</v>
      </c>
      <c r="DO18" s="480">
        <f t="shared" si="0"/>
        <v>0</v>
      </c>
      <c r="DP18" s="480">
        <f t="shared" si="0"/>
        <v>0</v>
      </c>
      <c r="DQ18" s="480">
        <f t="shared" si="0"/>
        <v>0</v>
      </c>
      <c r="DR18" s="480">
        <f t="shared" si="0"/>
        <v>0</v>
      </c>
      <c r="DS18" s="480">
        <f t="shared" si="0"/>
        <v>0</v>
      </c>
      <c r="DT18"/>
      <c r="DU18"/>
      <c r="DV18"/>
    </row>
    <row r="19" spans="1:133" ht="0.75" customHeight="1">
      <c r="A19" s="181"/>
      <c r="B19" s="181"/>
      <c r="C19" s="181"/>
      <c r="E19" s="184"/>
      <c r="F19" s="954"/>
      <c r="G19" s="957"/>
      <c r="H19" s="107" t="str">
        <f>IF(TEMPLATE_SPHERE="водоснабжения","Вода питьевого качества","")</f>
        <v/>
      </c>
      <c r="I19" s="580"/>
      <c r="J19" s="177"/>
      <c r="K19" s="129"/>
      <c r="L19" s="129"/>
      <c r="M19" s="129"/>
      <c r="N19" s="129"/>
      <c r="O19" s="129"/>
      <c r="P19" s="129"/>
      <c r="Q19" s="129"/>
      <c r="R19" s="129"/>
      <c r="S19" s="129"/>
      <c r="T19" s="129"/>
      <c r="U19" s="129"/>
      <c r="V19" s="129"/>
      <c r="W19" s="129"/>
      <c r="X19" s="129"/>
      <c r="Y19" s="398"/>
      <c r="Z19" s="398"/>
      <c r="AA19" s="398"/>
      <c r="AB19" s="398"/>
      <c r="AC19" s="398"/>
      <c r="AD19" s="398"/>
      <c r="AE19" s="271"/>
      <c r="AF19" s="400"/>
      <c r="AG19" s="400"/>
      <c r="AH19" s="271"/>
      <c r="AI19" s="271"/>
      <c r="AJ19" s="271"/>
      <c r="AK19" s="400"/>
      <c r="AL19" s="400"/>
      <c r="AM19" s="271"/>
      <c r="AN19" s="400"/>
      <c r="AO19" s="400"/>
      <c r="AP19" s="271"/>
      <c r="AQ19" s="400"/>
      <c r="AR19" s="400"/>
      <c r="AS19" s="271"/>
      <c r="AT19" s="400"/>
      <c r="AU19" s="400"/>
      <c r="AV19" s="478"/>
      <c r="AW19" s="400"/>
      <c r="AX19" s="400"/>
      <c r="AY19" s="271"/>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98"/>
      <c r="DF19" s="480"/>
      <c r="DG19" s="480"/>
      <c r="DH19" s="480"/>
      <c r="DI19" s="480"/>
      <c r="DJ19" s="480"/>
      <c r="DK19" s="480"/>
      <c r="DL19" s="480"/>
      <c r="DM19" s="480"/>
      <c r="DN19" s="480"/>
      <c r="DO19" s="480"/>
      <c r="DP19" s="480"/>
      <c r="DQ19" s="480"/>
      <c r="DR19"/>
      <c r="DS19"/>
      <c r="DT19"/>
      <c r="DU19"/>
      <c r="DV19"/>
    </row>
    <row r="20" spans="1:133" ht="0.75" customHeight="1">
      <c r="A20" s="181"/>
      <c r="B20" s="181"/>
      <c r="C20" s="181"/>
      <c r="E20" s="184"/>
      <c r="F20" s="955"/>
      <c r="G20" s="958"/>
      <c r="H20" s="107" t="str">
        <f>IF(TEMPLATE_SPHERE="водоснабжения","Вода технического качества","")</f>
        <v/>
      </c>
      <c r="I20" s="580"/>
      <c r="J20" s="177"/>
      <c r="K20" s="129"/>
      <c r="L20" s="129"/>
      <c r="M20" s="129"/>
      <c r="N20" s="129"/>
      <c r="O20" s="129"/>
      <c r="P20" s="129"/>
      <c r="Q20" s="129"/>
      <c r="R20" s="129"/>
      <c r="S20" s="129"/>
      <c r="T20" s="129"/>
      <c r="U20" s="129"/>
      <c r="V20" s="129"/>
      <c r="W20" s="129"/>
      <c r="X20" s="129"/>
      <c r="Y20" s="398"/>
      <c r="Z20" s="398"/>
      <c r="AA20" s="398"/>
      <c r="AB20" s="398"/>
      <c r="AC20" s="398"/>
      <c r="AD20" s="398"/>
      <c r="AE20" s="271"/>
      <c r="AF20" s="400"/>
      <c r="AG20" s="400"/>
      <c r="AH20" s="271"/>
      <c r="AI20" s="271"/>
      <c r="AJ20" s="271"/>
      <c r="AK20" s="400"/>
      <c r="AL20" s="400"/>
      <c r="AM20" s="271"/>
      <c r="AN20" s="400"/>
      <c r="AO20" s="400"/>
      <c r="AP20" s="271"/>
      <c r="AQ20" s="400"/>
      <c r="AR20" s="400"/>
      <c r="AS20" s="271"/>
      <c r="AT20" s="400"/>
      <c r="AU20" s="400"/>
      <c r="AV20" s="478"/>
      <c r="AW20" s="400"/>
      <c r="AX20" s="400"/>
      <c r="AY20" s="271"/>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98"/>
      <c r="DF20" s="480"/>
      <c r="DG20" s="480"/>
      <c r="DH20" s="480"/>
      <c r="DI20" s="480"/>
      <c r="DJ20" s="480"/>
      <c r="DK20" s="480"/>
      <c r="DL20" s="480"/>
      <c r="DM20" s="480"/>
      <c r="DN20" s="480"/>
      <c r="DO20" s="480"/>
      <c r="DP20" s="480"/>
      <c r="DQ20" s="480"/>
      <c r="DR20"/>
      <c r="DS20"/>
      <c r="DT20"/>
      <c r="DU20"/>
      <c r="DV20"/>
    </row>
    <row r="21" spans="1:133" ht="12" hidden="1" customHeight="1">
      <c r="A21" s="181"/>
      <c r="B21" s="181"/>
      <c r="C21" s="181"/>
      <c r="E21" s="184"/>
      <c r="F21" s="186">
        <v>0</v>
      </c>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479"/>
      <c r="AX21" s="479"/>
      <c r="AY21" s="574"/>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R21"/>
      <c r="DS21"/>
      <c r="DT21"/>
      <c r="DU21"/>
      <c r="DV21"/>
    </row>
    <row r="22" spans="1:133" s="60" customFormat="1" hidden="1">
      <c r="A22" s="57"/>
      <c r="B22" s="57"/>
      <c r="C22" s="497" t="str">
        <f>F22 &amp; ".0"</f>
        <v>1.0</v>
      </c>
      <c r="D22" s="471" t="str">
        <f>IF('Список организаций'!$M$16="","Не определено",'Список организаций'!$M$16)</f>
        <v>нет</v>
      </c>
      <c r="E22" s="470" t="s">
        <v>719</v>
      </c>
      <c r="F22" s="833">
        <v>1</v>
      </c>
      <c r="G22" s="853" t="str">
        <f>IF('Список организаций'!$I$16="","Не определено",'Список организаций'!$I$16)</f>
        <v>МУП СП "Село Булава" Булавинское ТЭП"</v>
      </c>
      <c r="H22" s="584"/>
      <c r="I22" s="393"/>
      <c r="J22" s="824"/>
      <c r="K22" s="824"/>
      <c r="L22" s="824"/>
      <c r="M22" s="824"/>
      <c r="N22" s="824"/>
      <c r="O22" s="824"/>
      <c r="P22" s="824"/>
      <c r="Q22" s="824"/>
      <c r="R22" s="824"/>
      <c r="S22" s="824"/>
      <c r="T22" s="824"/>
      <c r="U22" s="824"/>
      <c r="V22" s="824"/>
      <c r="W22" s="824"/>
      <c r="X22" s="824"/>
      <c r="Y22" s="337"/>
      <c r="Z22" s="392"/>
      <c r="AA22" s="392"/>
      <c r="AB22" s="392"/>
      <c r="AC22" s="337"/>
      <c r="AD22" s="392"/>
      <c r="AE22" s="392"/>
      <c r="AF22" s="337"/>
      <c r="AG22" s="392"/>
      <c r="AH22" s="392"/>
      <c r="AI22" s="392"/>
      <c r="AJ22" s="392"/>
      <c r="AK22" s="392"/>
      <c r="AL22" s="392"/>
      <c r="AM22" s="392"/>
      <c r="AN22" s="392"/>
      <c r="AO22" s="392"/>
      <c r="AP22" s="392"/>
      <c r="AQ22" s="392"/>
      <c r="AR22" s="392"/>
      <c r="AS22" s="392"/>
      <c r="AT22" s="392"/>
      <c r="AU22" s="392"/>
      <c r="AV22" s="392"/>
      <c r="AW22" s="392"/>
      <c r="AX22" s="392"/>
      <c r="AY22" s="39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s="293"/>
      <c r="DG22" s="293"/>
      <c r="DH22" s="293"/>
      <c r="DI22" s="293"/>
      <c r="DJ22" s="293"/>
      <c r="DK22" s="293"/>
      <c r="DL22" s="293"/>
      <c r="DM22" s="293"/>
      <c r="DN22" s="293"/>
      <c r="DO22" s="293"/>
      <c r="DP22" s="293"/>
      <c r="DQ22" s="293"/>
      <c r="DR22"/>
      <c r="DS22"/>
      <c r="DT22"/>
      <c r="DU22"/>
      <c r="DV22"/>
      <c r="DW22" s="379"/>
      <c r="DX22" s="379"/>
      <c r="DY22" s="379"/>
      <c r="DZ22" s="379"/>
      <c r="EA22" s="379"/>
      <c r="EB22" s="379"/>
      <c r="EC22" s="379"/>
    </row>
    <row r="23" spans="1:133" s="60" customFormat="1" hidden="1">
      <c r="A23" s="57"/>
      <c r="B23" s="57"/>
      <c r="C23" s="497" t="str">
        <f>F22 &amp; ".1"</f>
        <v>1.1</v>
      </c>
      <c r="D23" s="471"/>
      <c r="E23" s="470"/>
      <c r="F23" s="833"/>
      <c r="G23" s="853"/>
      <c r="H23" s="584"/>
      <c r="I23" s="393"/>
      <c r="J23" s="824"/>
      <c r="K23" s="824"/>
      <c r="L23" s="824"/>
      <c r="M23" s="824"/>
      <c r="N23" s="824"/>
      <c r="O23" s="824"/>
      <c r="P23" s="824"/>
      <c r="Q23" s="824"/>
      <c r="R23" s="824"/>
      <c r="S23" s="824"/>
      <c r="T23" s="824"/>
      <c r="U23" s="824"/>
      <c r="V23" s="824"/>
      <c r="W23" s="824"/>
      <c r="X23" s="824"/>
      <c r="Y23" s="337"/>
      <c r="Z23" s="392"/>
      <c r="AA23" s="392"/>
      <c r="AB23" s="392"/>
      <c r="AC23" s="337"/>
      <c r="AD23" s="392"/>
      <c r="AE23" s="392"/>
      <c r="AF23" s="337"/>
      <c r="AG23" s="392"/>
      <c r="AH23" s="392"/>
      <c r="AI23" s="392"/>
      <c r="AJ23" s="392"/>
      <c r="AK23" s="392"/>
      <c r="AL23" s="392"/>
      <c r="AM23" s="392"/>
      <c r="AN23" s="392"/>
      <c r="AO23" s="392"/>
      <c r="AP23" s="392"/>
      <c r="AQ23" s="392"/>
      <c r="AR23" s="392"/>
      <c r="AS23" s="392"/>
      <c r="AT23" s="392"/>
      <c r="AU23" s="392"/>
      <c r="AV23" s="392"/>
      <c r="AW23" s="392"/>
      <c r="AX23" s="392"/>
      <c r="AY23" s="392"/>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s="293"/>
      <c r="DG23" s="293"/>
      <c r="DH23" s="293"/>
      <c r="DI23" s="293"/>
      <c r="DJ23" s="293"/>
      <c r="DK23" s="293"/>
      <c r="DL23" s="293"/>
      <c r="DM23" s="293"/>
      <c r="DN23" s="293"/>
      <c r="DO23" s="293"/>
      <c r="DP23" s="293"/>
      <c r="DQ23" s="293"/>
      <c r="DR23"/>
      <c r="DS23"/>
      <c r="DT23"/>
      <c r="DU23"/>
      <c r="DV23"/>
      <c r="DW23" s="379"/>
      <c r="DX23" s="379"/>
      <c r="DY23" s="379"/>
      <c r="DZ23" s="379"/>
      <c r="EA23" s="379"/>
      <c r="EB23" s="379"/>
      <c r="EC23" s="379"/>
    </row>
    <row r="24" spans="1:133" s="60" customFormat="1" hidden="1">
      <c r="A24" s="57"/>
      <c r="B24" s="57"/>
      <c r="C24" s="497" t="str">
        <f>F22 &amp; ".2"</f>
        <v>1.2</v>
      </c>
      <c r="D24"/>
      <c r="E24"/>
      <c r="F24" s="833"/>
      <c r="G24" s="835"/>
      <c r="H24" s="584"/>
      <c r="I24" s="393"/>
      <c r="J24" s="824"/>
      <c r="K24" s="824"/>
      <c r="L24" s="824"/>
      <c r="M24" s="824"/>
      <c r="N24" s="824"/>
      <c r="O24" s="824"/>
      <c r="P24" s="824"/>
      <c r="Q24" s="824"/>
      <c r="R24" s="824"/>
      <c r="S24" s="824"/>
      <c r="T24" s="824"/>
      <c r="U24" s="824"/>
      <c r="V24" s="824"/>
      <c r="W24" s="824"/>
      <c r="X24" s="824"/>
      <c r="Y24" s="337"/>
      <c r="Z24" s="392"/>
      <c r="AA24" s="392"/>
      <c r="AB24" s="392"/>
      <c r="AC24" s="337"/>
      <c r="AD24" s="392"/>
      <c r="AE24" s="392"/>
      <c r="AF24" s="337"/>
      <c r="AG24" s="392"/>
      <c r="AH24" s="392"/>
      <c r="AI24" s="392"/>
      <c r="AJ24" s="392"/>
      <c r="AK24" s="392"/>
      <c r="AL24" s="392"/>
      <c r="AM24" s="392"/>
      <c r="AN24" s="392"/>
      <c r="AO24" s="392"/>
      <c r="AP24" s="392"/>
      <c r="AQ24" s="392"/>
      <c r="AR24" s="392"/>
      <c r="AS24" s="392"/>
      <c r="AT24" s="392"/>
      <c r="AU24" s="392"/>
      <c r="AV24" s="392"/>
      <c r="AW24" s="392"/>
      <c r="AX24" s="392"/>
      <c r="AY24" s="392"/>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s="293"/>
      <c r="DG24" s="293"/>
      <c r="DH24" s="293"/>
      <c r="DI24" s="293"/>
      <c r="DJ24" s="293"/>
      <c r="DK24" s="293"/>
      <c r="DL24" s="293"/>
      <c r="DM24" s="293"/>
      <c r="DN24" s="293"/>
      <c r="DO24" s="293"/>
      <c r="DP24" s="293"/>
      <c r="DQ24" s="293"/>
      <c r="DR24"/>
      <c r="DS24"/>
      <c r="DT24"/>
      <c r="DU24"/>
      <c r="DV24"/>
      <c r="DW24" s="379"/>
      <c r="DX24" s="379"/>
      <c r="DY24" s="379"/>
      <c r="DZ24" s="379"/>
      <c r="EA24" s="379"/>
      <c r="EB24" s="379"/>
      <c r="EC24" s="379"/>
    </row>
    <row r="25" spans="1:133" ht="0.75" customHeight="1">
      <c r="A25" s="181"/>
      <c r="B25" s="181"/>
      <c r="C25" s="181"/>
      <c r="E25" s="184"/>
      <c r="F25" s="110"/>
      <c r="G25" s="111" t="s">
        <v>720</v>
      </c>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3"/>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R25"/>
      <c r="DS25"/>
      <c r="DT25"/>
      <c r="DU25"/>
      <c r="DV25"/>
    </row>
    <row r="26" spans="1:133" ht="12" customHeight="1">
      <c r="A26" s="181"/>
      <c r="B26" s="181"/>
      <c r="C26" s="181"/>
      <c r="E26" s="184"/>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R26"/>
      <c r="DS26"/>
      <c r="DT26"/>
      <c r="DU26"/>
      <c r="DV26"/>
    </row>
    <row r="27" spans="1:133" ht="12" customHeight="1">
      <c r="F27" s="162"/>
      <c r="G27" s="162"/>
      <c r="H27" s="162"/>
      <c r="I27"/>
      <c r="J27"/>
      <c r="K27"/>
      <c r="L27"/>
      <c r="M27"/>
      <c r="N27"/>
      <c r="O27"/>
      <c r="P27"/>
      <c r="Q27"/>
      <c r="R27"/>
      <c r="S27"/>
      <c r="T27"/>
      <c r="U27"/>
      <c r="V27"/>
      <c r="W27"/>
      <c r="X27"/>
      <c r="Y27"/>
      <c r="Z27"/>
      <c r="AA27"/>
      <c r="AB27" s="162"/>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DR27"/>
      <c r="DS27"/>
      <c r="DT27"/>
      <c r="DU27"/>
      <c r="DV27"/>
    </row>
    <row r="28" spans="1:133">
      <c r="F28" s="162"/>
      <c r="G28" s="162"/>
      <c r="H28" s="162"/>
      <c r="I28"/>
      <c r="J28"/>
      <c r="K28"/>
      <c r="L28"/>
      <c r="M28"/>
      <c r="N28"/>
      <c r="O28"/>
      <c r="P28"/>
      <c r="Q28"/>
      <c r="R28"/>
      <c r="S28"/>
      <c r="T28"/>
      <c r="U28"/>
      <c r="V28"/>
      <c r="W28"/>
      <c r="X28"/>
      <c r="Y28"/>
      <c r="Z28"/>
      <c r="AA28"/>
      <c r="AB28" s="162"/>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DR28"/>
      <c r="DS28"/>
      <c r="DT28"/>
      <c r="DU28"/>
      <c r="DV28"/>
    </row>
    <row r="29" spans="1:133" ht="11.25" customHeight="1">
      <c r="F29" s="162"/>
      <c r="G29" s="162"/>
      <c r="H29" s="162"/>
      <c r="I29"/>
      <c r="J29"/>
      <c r="K29"/>
      <c r="L29"/>
      <c r="M29"/>
      <c r="N29"/>
      <c r="O29"/>
      <c r="P29"/>
      <c r="Q29"/>
      <c r="R29"/>
      <c r="S29"/>
      <c r="T29"/>
      <c r="U29"/>
      <c r="V29"/>
      <c r="W29"/>
      <c r="X29"/>
      <c r="Y29"/>
      <c r="Z29"/>
      <c r="AA29"/>
      <c r="AB29" s="162"/>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DR29"/>
      <c r="DS29"/>
      <c r="DT29"/>
      <c r="DU29"/>
      <c r="DV29"/>
    </row>
    <row r="30" spans="1:133" ht="11.25" customHeight="1">
      <c r="F30" s="162"/>
      <c r="G30" s="162"/>
      <c r="H30" s="162"/>
      <c r="I30"/>
      <c r="J30"/>
      <c r="K30"/>
      <c r="L30"/>
      <c r="M30"/>
      <c r="N30"/>
      <c r="O30"/>
      <c r="P30"/>
      <c r="Q30"/>
      <c r="R30"/>
      <c r="S30"/>
      <c r="T30"/>
      <c r="U30"/>
      <c r="V30"/>
      <c r="W30"/>
      <c r="X30"/>
      <c r="Y30"/>
      <c r="Z30"/>
      <c r="AA30"/>
      <c r="AB30" s="162"/>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DR30"/>
      <c r="DS30"/>
      <c r="DT30"/>
      <c r="DU30"/>
      <c r="DV30"/>
    </row>
    <row r="31" spans="1:133" ht="11.25" customHeight="1">
      <c r="F31" s="162"/>
      <c r="G31" s="162"/>
      <c r="H31" s="162"/>
      <c r="I31"/>
      <c r="J31"/>
      <c r="K31"/>
      <c r="L31"/>
      <c r="M31"/>
      <c r="N31"/>
      <c r="O31"/>
      <c r="P31"/>
      <c r="Q31"/>
      <c r="R31"/>
      <c r="S31"/>
      <c r="T31"/>
      <c r="U31"/>
      <c r="V31"/>
      <c r="W31"/>
      <c r="X31"/>
      <c r="Y31"/>
      <c r="Z31"/>
      <c r="AA31"/>
      <c r="AB31" s="162"/>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row>
    <row r="32" spans="1:133" ht="11.25" customHeight="1">
      <c r="F32" s="162"/>
      <c r="G32" s="162"/>
      <c r="H32" s="162"/>
      <c r="I32"/>
      <c r="J32"/>
      <c r="K32"/>
      <c r="L32"/>
      <c r="M32"/>
      <c r="N32"/>
      <c r="O32"/>
      <c r="P32"/>
      <c r="Q32"/>
      <c r="R32"/>
      <c r="S32"/>
      <c r="T32"/>
      <c r="U32"/>
      <c r="V32"/>
      <c r="W32"/>
      <c r="X32"/>
      <c r="Y32"/>
      <c r="Z32"/>
      <c r="AA32"/>
      <c r="AB32" s="16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row>
    <row r="33" spans="9:65">
      <c r="I33"/>
      <c r="J33"/>
      <c r="K33"/>
      <c r="L33"/>
      <c r="M33"/>
      <c r="N33"/>
      <c r="O33"/>
      <c r="P33"/>
      <c r="Q33"/>
      <c r="R33"/>
      <c r="S33"/>
      <c r="T33"/>
      <c r="U33"/>
      <c r="V33"/>
      <c r="W33"/>
      <c r="X33"/>
      <c r="Y33"/>
      <c r="Z33"/>
      <c r="AA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row>
    <row r="34" spans="9:65">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row>
  </sheetData>
  <sheetProtection password="FA9C" sheet="1" objects="1" scenarios="1" formatColumns="0" formatRows="0"/>
  <mergeCells count="75">
    <mergeCell ref="T22:T24"/>
    <mergeCell ref="U22:U24"/>
    <mergeCell ref="V22:V24"/>
    <mergeCell ref="W22:W24"/>
    <mergeCell ref="X22:X24"/>
    <mergeCell ref="S22:S24"/>
    <mergeCell ref="F22:F24"/>
    <mergeCell ref="G22:G24"/>
    <mergeCell ref="J22:J24"/>
    <mergeCell ref="K22:K24"/>
    <mergeCell ref="L22:L24"/>
    <mergeCell ref="M22:M24"/>
    <mergeCell ref="N22:N24"/>
    <mergeCell ref="O22:O24"/>
    <mergeCell ref="P22:P24"/>
    <mergeCell ref="Q22:Q24"/>
    <mergeCell ref="R22:R24"/>
    <mergeCell ref="DR17:DS17"/>
    <mergeCell ref="AW15:AX15"/>
    <mergeCell ref="AJ14:AJ16"/>
    <mergeCell ref="AY15:AY16"/>
    <mergeCell ref="AK15:AL15"/>
    <mergeCell ref="AM15:AM16"/>
    <mergeCell ref="AQ14:AS14"/>
    <mergeCell ref="AV15:AV16"/>
    <mergeCell ref="AT14:AV14"/>
    <mergeCell ref="AW14:AY14"/>
    <mergeCell ref="AK14:AM14"/>
    <mergeCell ref="AT15:AU15"/>
    <mergeCell ref="AN14:AP14"/>
    <mergeCell ref="J14:J16"/>
    <mergeCell ref="K14:M14"/>
    <mergeCell ref="W15:W16"/>
    <mergeCell ref="AF14:AG15"/>
    <mergeCell ref="Y14:Z15"/>
    <mergeCell ref="AA14:AB15"/>
    <mergeCell ref="M15:M16"/>
    <mergeCell ref="O14:O16"/>
    <mergeCell ref="U15:U16"/>
    <mergeCell ref="N14:N16"/>
    <mergeCell ref="X14:X16"/>
    <mergeCell ref="P15:P16"/>
    <mergeCell ref="V14:W14"/>
    <mergeCell ref="T15:T16"/>
    <mergeCell ref="P14:Q14"/>
    <mergeCell ref="V15:V16"/>
    <mergeCell ref="F18:F20"/>
    <mergeCell ref="G18:G20"/>
    <mergeCell ref="AQ15:AR15"/>
    <mergeCell ref="AS15:AS16"/>
    <mergeCell ref="R15:R16"/>
    <mergeCell ref="S15:S16"/>
    <mergeCell ref="AN15:AO15"/>
    <mergeCell ref="AP15:AP16"/>
    <mergeCell ref="AE14:AE16"/>
    <mergeCell ref="AH14:AI15"/>
    <mergeCell ref="K15:K16"/>
    <mergeCell ref="L15:L16"/>
    <mergeCell ref="F14:F16"/>
    <mergeCell ref="G14:G16"/>
    <mergeCell ref="H14:I16"/>
    <mergeCell ref="AC14:AD15"/>
    <mergeCell ref="T14:U14"/>
    <mergeCell ref="Q15:Q16"/>
    <mergeCell ref="R14:S14"/>
    <mergeCell ref="AY8:AZ8"/>
    <mergeCell ref="K13:X13"/>
    <mergeCell ref="K8:AE8"/>
    <mergeCell ref="AK8:AL8"/>
    <mergeCell ref="AM8:AN8"/>
    <mergeCell ref="AW8:AX8"/>
    <mergeCell ref="AU8:AV8"/>
    <mergeCell ref="AO8:AP8"/>
    <mergeCell ref="AQ8:AR8"/>
    <mergeCell ref="AS8:AT8"/>
  </mergeCells>
  <phoneticPr fontId="8" type="noConversion"/>
  <hyperlinks>
    <hyperlink ref="G8" location="'ТМ1 01.01 - 30.06'!A1" tooltip="Скопировать данные на листы других периодов" display="Скопировать данные на листы других периодов"/>
    <hyperlink ref="K11" location="'ТМ1 01.01 - 30.06'!A1" tooltip="Отобразить / Скрыть блок" display="-"/>
  </hyperlinks>
  <pageMargins left="0.37" right="0.35" top="1" bottom="1" header="0.5" footer="0.5"/>
  <pageSetup paperSize="9" scale="37" orientation="landscape" horizontalDpi="4294967292" verticalDpi="4294967292"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sheetPr codeName="VOTV_TM1_PERIOD2">
    <tabColor rgb="FF92D050"/>
    <pageSetUpPr fitToPage="1"/>
  </sheetPr>
  <dimension ref="A1:EV34"/>
  <sheetViews>
    <sheetView showGridLines="0" topLeftCell="E3" workbookViewId="0">
      <pane xSplit="5" ySplit="19" topLeftCell="J22" activePane="bottomRight" state="frozen"/>
      <selection pane="topRight"/>
      <selection pane="bottomLeft"/>
      <selection pane="bottomRight"/>
    </sheetView>
  </sheetViews>
  <sheetFormatPr defaultRowHeight="11.25"/>
  <cols>
    <col min="1" max="3" width="5.7109375" style="162" hidden="1" customWidth="1"/>
    <col min="4" max="4" width="3.7109375" style="159" hidden="1" customWidth="1"/>
    <col min="5" max="5" width="5.7109375" style="179" customWidth="1"/>
    <col min="6" max="6" width="4.7109375" style="39" customWidth="1"/>
    <col min="7" max="7" width="40.7109375" style="39" customWidth="1"/>
    <col min="8" max="8" width="27.7109375" style="39" hidden="1" customWidth="1"/>
    <col min="9" max="9" width="0.140625" style="39" hidden="1" customWidth="1"/>
    <col min="10" max="10" width="20.7109375" style="39" customWidth="1"/>
    <col min="11" max="12" width="10.7109375" style="39" hidden="1" customWidth="1"/>
    <col min="13" max="14" width="12.7109375" style="39" hidden="1" customWidth="1"/>
    <col min="15" max="15" width="0.140625" style="39" hidden="1" customWidth="1"/>
    <col min="16" max="19" width="12.7109375" style="39" hidden="1" customWidth="1"/>
    <col min="20" max="21" width="0.140625" style="39" hidden="1" customWidth="1"/>
    <col min="22" max="23" width="12.7109375" style="39" hidden="1" customWidth="1"/>
    <col min="24" max="24" width="10.7109375" style="39" hidden="1" customWidth="1"/>
    <col min="25" max="28" width="9.7109375" style="39" customWidth="1"/>
    <col min="29" max="30" width="0.140625" style="39" customWidth="1"/>
    <col min="31" max="31" width="17.7109375" style="39" customWidth="1"/>
    <col min="32" max="33" width="0.140625" style="39" customWidth="1"/>
    <col min="34" max="38" width="9.7109375" style="39" customWidth="1"/>
    <col min="39" max="39" width="15.7109375" style="39" customWidth="1"/>
    <col min="40" max="41" width="9.7109375" style="39" customWidth="1"/>
    <col min="42" max="42" width="15.7109375" style="39" customWidth="1"/>
    <col min="43" max="44" width="9.7109375" style="39" customWidth="1"/>
    <col min="45" max="45" width="15.7109375" style="39" customWidth="1"/>
    <col min="46" max="47" width="9.7109375" style="39" customWidth="1"/>
    <col min="48" max="48" width="15.7109375" style="39" customWidth="1"/>
    <col min="49" max="50" width="9.7109375" style="39" customWidth="1"/>
    <col min="51" max="51" width="15.7109375" style="39" customWidth="1"/>
    <col min="52" max="108" width="1.7109375" style="162" customWidth="1"/>
    <col min="109" max="109" width="8.7109375" style="162" hidden="1" customWidth="1"/>
    <col min="110" max="123" width="6.7109375" style="162" hidden="1" customWidth="1"/>
    <col min="124" max="126" width="6.7109375" style="162" customWidth="1"/>
    <col min="127" max="127" width="2.7109375" style="162" customWidth="1"/>
    <col min="128" max="152" width="9.140625" style="162"/>
    <col min="153" max="16384" width="9.140625" style="39"/>
  </cols>
  <sheetData>
    <row r="1" spans="1:126" ht="12" hidden="1" customHeight="1">
      <c r="A1" s="178"/>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row>
    <row r="2" spans="1:126" ht="12" hidden="1" customHeight="1">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row>
    <row r="3" spans="1:126" ht="12" customHeight="1">
      <c r="F3" s="637"/>
      <c r="G3" s="123" t="str">
        <f>"Необходимо указывать " &amp; IF(TARIFF_SETUP_METHOD_CODE="BY_PSEUDO_YEARS","общегодовые значения","значения по периодам")</f>
        <v>Необходимо указывать значения по периодам</v>
      </c>
      <c r="H3" s="616" t="s">
        <v>2497</v>
      </c>
      <c r="I3" s="637">
        <f>IF(TARIFF_SETUP_METHOD_CODE="BY_PSEUDO_YEARS",12,IF(TEMPLATE_CLAIM="P",6,2))</f>
        <v>2</v>
      </c>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row>
    <row r="4" spans="1:126" ht="3" customHeight="1">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row>
    <row r="5" spans="1:126" s="419" customFormat="1" ht="18" customHeight="1">
      <c r="D5" s="420"/>
      <c r="E5" s="421"/>
      <c r="F5" s="422" t="str">
        <f>"Тарифы организаций " &amp; TEMPLATE_SPHERE &amp; " на услуги по передаче (транспортировке) по муниципальному образованию - " &amp; IF(mo="","Не определено",mo)</f>
        <v>Тарифы организаций водоотведения на услуги по передаче (транспортировке) по муниципальному образованию - Село Булава</v>
      </c>
      <c r="G5" s="416"/>
      <c r="H5" s="416"/>
      <c r="I5" s="416"/>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21"/>
      <c r="BA5" s="421"/>
      <c r="BB5" s="421"/>
      <c r="BC5" s="421"/>
      <c r="BD5" s="421"/>
      <c r="BE5" s="421"/>
      <c r="BF5" s="421"/>
      <c r="BG5" s="421"/>
      <c r="BH5" s="421"/>
      <c r="BI5" s="421"/>
      <c r="BJ5" s="421"/>
      <c r="BK5" s="421"/>
      <c r="BL5" s="421"/>
      <c r="BM5" s="421"/>
      <c r="BN5" s="421"/>
      <c r="BO5" s="421"/>
      <c r="BP5" s="421"/>
      <c r="BQ5" s="421"/>
      <c r="BR5" s="421"/>
      <c r="BS5" s="421"/>
      <c r="BT5" s="421"/>
      <c r="BU5" s="421"/>
      <c r="BV5" s="421"/>
      <c r="BW5" s="421"/>
      <c r="BX5" s="421"/>
      <c r="BY5" s="421"/>
      <c r="BZ5" s="421"/>
      <c r="CA5" s="421"/>
      <c r="CB5" s="421"/>
      <c r="CC5" s="421"/>
      <c r="CD5" s="421"/>
      <c r="CE5" s="421"/>
      <c r="CF5" s="421"/>
      <c r="CG5" s="421"/>
      <c r="CH5" s="421"/>
      <c r="CI5" s="421"/>
      <c r="CJ5" s="421"/>
      <c r="CK5" s="421"/>
      <c r="CL5" s="421"/>
      <c r="CM5" s="421"/>
      <c r="CN5" s="421"/>
      <c r="CO5" s="421"/>
      <c r="CP5" s="421"/>
      <c r="CQ5" s="421"/>
      <c r="CR5" s="421"/>
      <c r="CS5" s="421"/>
      <c r="CT5" s="421"/>
      <c r="CU5" s="421"/>
      <c r="CV5" s="421"/>
      <c r="CW5" s="421"/>
      <c r="CX5" s="421"/>
      <c r="CY5" s="421"/>
      <c r="CZ5" s="421"/>
      <c r="DA5" s="421"/>
      <c r="DB5" s="421"/>
      <c r="DC5" s="421"/>
      <c r="DD5" s="421"/>
      <c r="DE5" s="421"/>
      <c r="DF5" s="421"/>
      <c r="DG5" s="421"/>
    </row>
    <row r="6" spans="1:126" ht="2.25" customHeight="1">
      <c r="E6" s="184"/>
      <c r="F6" s="185"/>
      <c r="G6" s="162"/>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B6" s="185"/>
      <c r="DC6" s="185"/>
      <c r="DD6" s="185"/>
      <c r="DE6" s="185"/>
      <c r="DF6" s="185"/>
      <c r="DG6" s="185"/>
    </row>
    <row r="7" spans="1:126" ht="12" customHeight="1">
      <c r="E7" s="184"/>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row>
    <row r="8" spans="1:126" s="164" customFormat="1" ht="12" customHeight="1">
      <c r="D8" s="165"/>
      <c r="E8" s="166"/>
      <c r="F8" s="158"/>
      <c r="G8" s="188"/>
      <c r="H8" s="180"/>
      <c r="I8" s="195"/>
      <c r="J8" s="180"/>
      <c r="K8" s="921"/>
      <c r="L8" s="921"/>
      <c r="M8" s="921"/>
      <c r="N8" s="921"/>
      <c r="O8" s="921"/>
      <c r="P8" s="921"/>
      <c r="Q8" s="921"/>
      <c r="R8" s="921"/>
      <c r="S8" s="921"/>
      <c r="T8" s="921"/>
      <c r="U8" s="921"/>
      <c r="V8" s="921"/>
      <c r="W8" s="921"/>
      <c r="X8" s="921"/>
      <c r="Y8" s="921"/>
      <c r="Z8" s="921"/>
      <c r="AA8" s="921"/>
      <c r="AB8" s="921"/>
      <c r="AC8" s="921"/>
      <c r="AD8" s="921"/>
      <c r="AE8" s="921"/>
      <c r="AF8" s="158"/>
      <c r="AG8" s="158"/>
      <c r="AH8" s="158"/>
      <c r="AI8" s="158"/>
      <c r="AJ8" s="158"/>
      <c r="AK8" s="921"/>
      <c r="AL8" s="921"/>
      <c r="AM8" s="921"/>
      <c r="AN8" s="921"/>
      <c r="AO8" s="921"/>
      <c r="AP8" s="921"/>
      <c r="AQ8" s="921"/>
      <c r="AR8" s="921"/>
      <c r="AS8" s="921"/>
      <c r="AT8" s="921"/>
      <c r="AU8" s="921"/>
      <c r="AV8" s="921"/>
      <c r="AW8" s="921"/>
      <c r="AX8" s="921"/>
      <c r="AY8" s="921"/>
      <c r="AZ8" s="921"/>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row>
    <row r="9" spans="1:126" customFormat="1" ht="12" hidden="1" customHeight="1"/>
    <row r="10" spans="1:126" customFormat="1" ht="12" hidden="1" customHeight="1"/>
    <row r="11" spans="1:126" customFormat="1" ht="12" customHeight="1">
      <c r="K11" s="444" t="s">
        <v>652</v>
      </c>
    </row>
    <row r="12" spans="1:126" customFormat="1" ht="12" hidden="1" customHeight="1"/>
    <row r="13" spans="1:126" s="164" customFormat="1" ht="12" customHeight="1">
      <c r="D13" s="165"/>
      <c r="E13" s="166"/>
      <c r="F13" s="158"/>
      <c r="G13" s="167"/>
      <c r="H13" s="180"/>
      <c r="J13" s="120"/>
      <c r="K13" s="880" t="s">
        <v>2863</v>
      </c>
      <c r="L13" s="881"/>
      <c r="M13" s="881"/>
      <c r="N13" s="881"/>
      <c r="O13" s="881"/>
      <c r="P13" s="881"/>
      <c r="Q13" s="881"/>
      <c r="R13" s="881"/>
      <c r="S13" s="881"/>
      <c r="T13" s="881"/>
      <c r="U13" s="881"/>
      <c r="V13" s="881"/>
      <c r="W13" s="881"/>
      <c r="X13" s="882"/>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row>
    <row r="14" spans="1:126" ht="27" customHeight="1">
      <c r="E14" s="184"/>
      <c r="F14" s="914" t="s">
        <v>641</v>
      </c>
      <c r="G14" s="914" t="s">
        <v>735</v>
      </c>
      <c r="H14" s="854" t="str">
        <f>IF(CALC_IDENTIFIER="","",CALC_IDENTIFIER)</f>
        <v/>
      </c>
      <c r="I14" s="855"/>
      <c r="J14" s="914" t="s">
        <v>626</v>
      </c>
      <c r="K14" s="944" t="s">
        <v>2584</v>
      </c>
      <c r="L14" s="950"/>
      <c r="M14" s="945"/>
      <c r="N14" s="803" t="s">
        <v>2569</v>
      </c>
      <c r="O14" s="803"/>
      <c r="P14" s="944" t="s">
        <v>2570</v>
      </c>
      <c r="Q14" s="945"/>
      <c r="R14" s="944" t="s">
        <v>2862</v>
      </c>
      <c r="S14" s="945"/>
      <c r="T14" s="944"/>
      <c r="U14" s="945"/>
      <c r="V14" s="944" t="s">
        <v>2571</v>
      </c>
      <c r="W14" s="945"/>
      <c r="X14" s="803" t="s">
        <v>2572</v>
      </c>
      <c r="Y14" s="828" t="str">
        <f>"Средневзвешенный тариф на услуги по передаче (транспортировке) " &amp; RESOURCE_IDENTIFIER &amp; " с учётом надбавки, " &amp; IF(TRANSMISSION_TARIFF="","?",TRANSMISSION_TARIFF)</f>
        <v>Средневзвешенный тариф на услуги по передаче (транспортировке) стоков с учётом надбавки, руб/куб.м</v>
      </c>
      <c r="Z14" s="828"/>
      <c r="AA14" s="828" t="str">
        <f>"Средневзвешенный тариф на услуги по передаче (транспортировке) " &amp; RESOURCE_IDENTIFIER &amp; ", " &amp; IF(TRANSMISSION_TARIFF="","?",TRANSMISSION_TARIFF)</f>
        <v>Средневзвешенный тариф на услуги по передаче (транспортировке) стоков, руб/куб.м</v>
      </c>
      <c r="AB14" s="828"/>
      <c r="AC14" s="828"/>
      <c r="AD14" s="828"/>
      <c r="AE14" s="879" t="str">
        <f>"Объём " &amp; IF(RESOURCE_IDENTIFIER="стоков","перекачиваемых " &amp; RESOURCE_IDENTIFIER,"передаваемой " &amp; RESOURCE_IDENTIFIER) &amp; " при транспортировке, "&amp; IF(TRANSMISSION_TARIFF="руб/Гкал","Гкал",IF(TRANSMISSION_TARIFF="руб/Гкал*час в мес","Гкал*час в мес",IF(TRANSMISSION_TARIFF="руб/куб.м","куб.м","(размерность не указана)")))</f>
        <v>Объём перекачиваемых стоков при транспортировке, куб.м</v>
      </c>
      <c r="AF14" s="828"/>
      <c r="AG14" s="828"/>
      <c r="AH14" s="828" t="str">
        <f>"Надбавка к тарифу, " &amp; IF(TRANSMISSION_TARIFF="","?",TRANSMISSION_TARIFF)</f>
        <v>Надбавка к тарифу, руб/куб.м</v>
      </c>
      <c r="AI14" s="828"/>
      <c r="AJ14" s="828" t="str">
        <f>"Объём, на который расчитана надбавка, " &amp; IF(TRANSMISSION_TARIFF="руб/Гкал","Гкал",IF(TRANSMISSION_TARIFF="руб/Гкал*час в мес","Гкал*час в мес",IF(TRANSMISSION_TARIFF="руб/куб.м","куб.м","(размерность не указана)")))</f>
        <v>Объём, на который расчитана надбавка, куб.м</v>
      </c>
      <c r="AK14" s="828" t="s">
        <v>3154</v>
      </c>
      <c r="AL14" s="828"/>
      <c r="AM14" s="828"/>
      <c r="AN14" s="828" t="s">
        <v>424</v>
      </c>
      <c r="AO14" s="828"/>
      <c r="AP14" s="828"/>
      <c r="AQ14" s="828" t="s">
        <v>3155</v>
      </c>
      <c r="AR14" s="828"/>
      <c r="AS14" s="828"/>
      <c r="AT14" s="828" t="s">
        <v>3156</v>
      </c>
      <c r="AU14" s="828"/>
      <c r="AV14" s="878"/>
      <c r="AW14" s="828" t="s">
        <v>3157</v>
      </c>
      <c r="AX14" s="828"/>
      <c r="AY14" s="828"/>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row>
    <row r="15" spans="1:126" ht="69" customHeight="1">
      <c r="E15" s="184"/>
      <c r="F15" s="951"/>
      <c r="G15" s="951"/>
      <c r="H15" s="856"/>
      <c r="I15" s="857"/>
      <c r="J15" s="951"/>
      <c r="K15" s="803" t="s">
        <v>2581</v>
      </c>
      <c r="L15" s="803" t="s">
        <v>2582</v>
      </c>
      <c r="M15" s="802" t="s">
        <v>2583</v>
      </c>
      <c r="N15" s="860"/>
      <c r="O15" s="860"/>
      <c r="P15" s="803" t="s">
        <v>2573</v>
      </c>
      <c r="Q15" s="803" t="s">
        <v>2574</v>
      </c>
      <c r="R15" s="803" t="s">
        <v>2573</v>
      </c>
      <c r="S15" s="803" t="s">
        <v>2574</v>
      </c>
      <c r="T15" s="803"/>
      <c r="U15" s="803"/>
      <c r="V15" s="803" t="s">
        <v>2575</v>
      </c>
      <c r="W15" s="803" t="s">
        <v>2576</v>
      </c>
      <c r="X15" s="860"/>
      <c r="Y15" s="828"/>
      <c r="Z15" s="828"/>
      <c r="AA15" s="828"/>
      <c r="AB15" s="828"/>
      <c r="AC15" s="828"/>
      <c r="AD15" s="828"/>
      <c r="AE15" s="879"/>
      <c r="AF15" s="828"/>
      <c r="AG15" s="828"/>
      <c r="AH15" s="828"/>
      <c r="AI15" s="828"/>
      <c r="AJ15" s="828"/>
      <c r="AK15" s="828" t="str">
        <f>"Тариф, " &amp; IF(TRANSMISSION_TARIFF="","?",TRANSMISSION_TARIFF)</f>
        <v>Тариф, руб/куб.м</v>
      </c>
      <c r="AL15" s="828"/>
      <c r="AM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N15" s="828" t="str">
        <f>"Тариф, " &amp; IF(TRANSMISSION_TARIFF="","?",TRANSMISSION_TARIFF)</f>
        <v>Тариф, руб/куб.м</v>
      </c>
      <c r="AO15" s="828"/>
      <c r="AP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Q15" s="828" t="str">
        <f>"Тариф, " &amp; IF(TRANSMISSION_TARIFF="","?",TRANSMISSION_TARIFF)</f>
        <v>Тариф, руб/куб.м</v>
      </c>
      <c r="AR15" s="828"/>
      <c r="AS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T15" s="828" t="str">
        <f>"Тариф, " &amp; IF(TRANSMISSION_TARIFF="","?",TRANSMISSION_TARIFF)</f>
        <v>Тариф, руб/куб.м</v>
      </c>
      <c r="AU15" s="828"/>
      <c r="AV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W15" s="828" t="str">
        <f>"Тариф, " &amp; IF(TRANSMISSION_TARIFF="","?",TRANSMISSION_TARIFF)</f>
        <v>Тариф, руб/куб.м</v>
      </c>
      <c r="AX15" s="828"/>
      <c r="AY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R15"/>
      <c r="DS15"/>
      <c r="DT15"/>
      <c r="DU15"/>
      <c r="DV15"/>
    </row>
    <row r="16" spans="1:126" ht="18" customHeight="1">
      <c r="E16" s="184"/>
      <c r="F16" s="952"/>
      <c r="G16" s="952"/>
      <c r="H16" s="858"/>
      <c r="I16" s="859"/>
      <c r="J16" s="952"/>
      <c r="K16" s="826"/>
      <c r="L16" s="826"/>
      <c r="M16" s="802"/>
      <c r="N16" s="826"/>
      <c r="O16" s="826"/>
      <c r="P16" s="826"/>
      <c r="Q16" s="826"/>
      <c r="R16" s="826"/>
      <c r="S16" s="826"/>
      <c r="T16" s="826"/>
      <c r="U16" s="826"/>
      <c r="V16" s="826"/>
      <c r="W16" s="826"/>
      <c r="X16" s="826"/>
      <c r="Y16" s="193" t="s">
        <v>627</v>
      </c>
      <c r="Z16" s="193" t="s">
        <v>628</v>
      </c>
      <c r="AA16" s="128" t="s">
        <v>627</v>
      </c>
      <c r="AB16" s="128" t="s">
        <v>628</v>
      </c>
      <c r="AC16" s="128"/>
      <c r="AD16" s="128"/>
      <c r="AE16" s="879"/>
      <c r="AF16" s="128"/>
      <c r="AG16" s="128"/>
      <c r="AH16" s="193" t="s">
        <v>627</v>
      </c>
      <c r="AI16" s="193" t="s">
        <v>628</v>
      </c>
      <c r="AJ16" s="828"/>
      <c r="AK16" s="128" t="s">
        <v>627</v>
      </c>
      <c r="AL16" s="128" t="s">
        <v>628</v>
      </c>
      <c r="AM16" s="831"/>
      <c r="AN16" s="128" t="s">
        <v>627</v>
      </c>
      <c r="AO16" s="128" t="s">
        <v>628</v>
      </c>
      <c r="AP16" s="831"/>
      <c r="AQ16" s="128" t="s">
        <v>627</v>
      </c>
      <c r="AR16" s="128" t="s">
        <v>628</v>
      </c>
      <c r="AS16" s="831"/>
      <c r="AT16" s="128" t="s">
        <v>627</v>
      </c>
      <c r="AU16" s="128" t="s">
        <v>628</v>
      </c>
      <c r="AV16" s="831"/>
      <c r="AW16" s="128" t="s">
        <v>627</v>
      </c>
      <c r="AX16" s="128" t="s">
        <v>628</v>
      </c>
      <c r="AY16" s="831"/>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c r="DG16"/>
      <c r="DH16"/>
      <c r="DI16"/>
      <c r="DJ16"/>
      <c r="DK16"/>
      <c r="DL16"/>
      <c r="DM16"/>
      <c r="DN16"/>
      <c r="DO16"/>
      <c r="DP16"/>
      <c r="DQ16"/>
      <c r="DR16"/>
      <c r="DS16"/>
      <c r="DT16"/>
      <c r="DU16"/>
      <c r="DV16"/>
    </row>
    <row r="17" spans="1:133" ht="12" customHeight="1">
      <c r="E17" s="184"/>
      <c r="F17" s="182"/>
      <c r="G17" s="182" t="s">
        <v>759</v>
      </c>
      <c r="H17" s="183" t="s">
        <v>629</v>
      </c>
      <c r="I17" s="183"/>
      <c r="J17" s="183" t="s">
        <v>631</v>
      </c>
      <c r="K17" s="183" t="s">
        <v>2851</v>
      </c>
      <c r="L17" s="183" t="s">
        <v>2852</v>
      </c>
      <c r="M17" s="183" t="s">
        <v>2853</v>
      </c>
      <c r="N17" s="183" t="s">
        <v>2854</v>
      </c>
      <c r="O17" s="183"/>
      <c r="P17" s="183" t="s">
        <v>2855</v>
      </c>
      <c r="Q17" s="183" t="s">
        <v>2856</v>
      </c>
      <c r="R17" s="183" t="s">
        <v>2857</v>
      </c>
      <c r="S17" s="183" t="s">
        <v>2858</v>
      </c>
      <c r="T17" s="183"/>
      <c r="U17" s="183"/>
      <c r="V17" s="183" t="s">
        <v>2859</v>
      </c>
      <c r="W17" s="183" t="s">
        <v>2860</v>
      </c>
      <c r="X17" s="183" t="s">
        <v>2861</v>
      </c>
      <c r="Y17" s="598" t="s">
        <v>289</v>
      </c>
      <c r="Z17" s="598" t="s">
        <v>290</v>
      </c>
      <c r="AA17" s="598" t="s">
        <v>2501</v>
      </c>
      <c r="AB17" s="598" t="s">
        <v>2502</v>
      </c>
      <c r="AC17" s="598"/>
      <c r="AD17" s="598"/>
      <c r="AE17" s="599" t="s">
        <v>63</v>
      </c>
      <c r="AF17" s="598"/>
      <c r="AG17" s="598"/>
      <c r="AH17" s="598" t="s">
        <v>2705</v>
      </c>
      <c r="AI17" s="598" t="s">
        <v>2706</v>
      </c>
      <c r="AJ17" s="598" t="s">
        <v>2707</v>
      </c>
      <c r="AK17" s="183" t="s">
        <v>632</v>
      </c>
      <c r="AL17" s="183" t="s">
        <v>633</v>
      </c>
      <c r="AM17" s="183" t="s">
        <v>634</v>
      </c>
      <c r="AN17" s="183" t="s">
        <v>635</v>
      </c>
      <c r="AO17" s="183" t="s">
        <v>883</v>
      </c>
      <c r="AP17" s="183" t="s">
        <v>884</v>
      </c>
      <c r="AQ17" s="183" t="s">
        <v>885</v>
      </c>
      <c r="AR17" s="183" t="s">
        <v>886</v>
      </c>
      <c r="AS17" s="183" t="s">
        <v>887</v>
      </c>
      <c r="AT17" s="183" t="s">
        <v>888</v>
      </c>
      <c r="AU17" s="183" t="s">
        <v>889</v>
      </c>
      <c r="AV17" s="477" t="s">
        <v>890</v>
      </c>
      <c r="AW17" s="183" t="s">
        <v>891</v>
      </c>
      <c r="AX17" s="183" t="s">
        <v>892</v>
      </c>
      <c r="AY17" s="183" t="s">
        <v>893</v>
      </c>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472" t="s">
        <v>96</v>
      </c>
      <c r="DF17" s="472" t="s">
        <v>289</v>
      </c>
      <c r="DG17" s="472" t="s">
        <v>290</v>
      </c>
      <c r="DH17" s="472" t="s">
        <v>632</v>
      </c>
      <c r="DI17" s="472" t="s">
        <v>633</v>
      </c>
      <c r="DJ17" s="472" t="s">
        <v>635</v>
      </c>
      <c r="DK17" s="472" t="s">
        <v>883</v>
      </c>
      <c r="DL17" s="472" t="s">
        <v>885</v>
      </c>
      <c r="DM17" s="472" t="s">
        <v>886</v>
      </c>
      <c r="DN17" s="472" t="s">
        <v>888</v>
      </c>
      <c r="DO17" s="472" t="s">
        <v>889</v>
      </c>
      <c r="DP17" s="472" t="s">
        <v>891</v>
      </c>
      <c r="DQ17" s="600" t="s">
        <v>892</v>
      </c>
      <c r="DR17" s="829" t="s">
        <v>444</v>
      </c>
      <c r="DS17" s="829"/>
      <c r="DT17"/>
      <c r="DU17"/>
      <c r="DV17"/>
    </row>
    <row r="18" spans="1:133" ht="24" customHeight="1">
      <c r="A18" s="181"/>
      <c r="B18" s="181"/>
      <c r="C18" s="181"/>
      <c r="E18" s="184"/>
      <c r="F18" s="953" t="s">
        <v>3141</v>
      </c>
      <c r="G18" s="956" t="s">
        <v>778</v>
      </c>
      <c r="H18" s="107" t="str">
        <f>IF(TEMPLATE_SPHERE="водоснабжения","",IF(TEMPLATE_SPHERE="водоотведения","Всего",""))</f>
        <v>Всего</v>
      </c>
      <c r="I18" s="580"/>
      <c r="J18" s="177"/>
      <c r="K18" s="129"/>
      <c r="L18" s="129"/>
      <c r="M18" s="129"/>
      <c r="N18" s="129"/>
      <c r="O18" s="129"/>
      <c r="P18" s="129"/>
      <c r="Q18" s="129"/>
      <c r="R18" s="129"/>
      <c r="S18" s="129"/>
      <c r="T18" s="129"/>
      <c r="U18" s="129"/>
      <c r="V18" s="129"/>
      <c r="W18" s="129"/>
      <c r="X18" s="129"/>
      <c r="Y18" s="398">
        <f>IF((AS18+AV18+AY18)=0,0,(AA18*(AS18+AV18+AY18)+AH18*IF(AJ18&gt;AS18+AV18+AY18,AS18+AV18+AY18,AJ18))/(AS18+AV18+AY18))</f>
        <v>0</v>
      </c>
      <c r="Z18" s="398">
        <f>IF((AS18+AV18+AY18)=0,0,(AB18*(AS18+AV18+AY18)+AI18*IF(AJ18&gt;AS18+AV18+AY18,AS18+AV18+AY18,AJ18))/(AS18+AV18+AY18))</f>
        <v>0</v>
      </c>
      <c r="AA18" s="398">
        <f>IF((AS18+AV18+AY18)=0,0,(AQ18*AS18+AT18*AV18+AW18*AY18)/(AS18+AV18+AY18))</f>
        <v>0</v>
      </c>
      <c r="AB18" s="398">
        <f>IF((AS18+AV18+AY18)=0,0,(AR18*AS18+AU18*AV18+AX18*AY18)/(AS18+AV18+AY18))</f>
        <v>0</v>
      </c>
      <c r="AC18" s="398"/>
      <c r="AD18" s="398"/>
      <c r="AE18" s="271">
        <f>AM18+AP18+AS18+AV18+AY18</f>
        <v>0</v>
      </c>
      <c r="AF18" s="400"/>
      <c r="AG18" s="400"/>
      <c r="AH18" s="271">
        <f>IF(AJ18&gt;0,SUMIF($H$21:$H$25,$H18,DR$21:DR$25)/AJ18,0)</f>
        <v>0</v>
      </c>
      <c r="AI18" s="271">
        <f>IF(AJ18&gt;0,SUMIF($H$21:$H$25,$H18,DS$21:DS$25)/AJ18,0)</f>
        <v>0</v>
      </c>
      <c r="AJ18" s="271">
        <f>SUMIF($H$21:$H$25,$H18,AJ$21:AJ$25)</f>
        <v>0</v>
      </c>
      <c r="AK18" s="400">
        <f>IF(AM18&gt;0,INDEX($DF$18:$DQ$18,MATCH(AK$17,$DF$17:$DQ$17))/AM18,0)</f>
        <v>0</v>
      </c>
      <c r="AL18" s="400">
        <f>IF(AM18&gt;0,INDEX($DF$18:$DQ$18,MATCH(AL$17,$DF$17:$DQ$17))/AM18,0)</f>
        <v>0</v>
      </c>
      <c r="AM18" s="271">
        <f>SUMIF($H$21:$H$25,$H18,AM$21:AM$25)</f>
        <v>0</v>
      </c>
      <c r="AN18" s="400">
        <f>IF(AP18&gt;0,INDEX($DF$18:$DQ$18,MATCH(AN$17,$DF$17:$DQ$17))/AP18,0)</f>
        <v>0</v>
      </c>
      <c r="AO18" s="400">
        <f>IF(AP18&gt;0,INDEX($DF$18:$DQ$18,MATCH(AO$17,$DF$17:$DQ$17))/AP18,0)</f>
        <v>0</v>
      </c>
      <c r="AP18" s="271">
        <f>SUMIF($H$21:$H$25,$H18,AP$21:AP$25)</f>
        <v>0</v>
      </c>
      <c r="AQ18" s="400">
        <f>IF(AS18&gt;0,INDEX($DF$18:$DQ$18,MATCH(AQ$17,$DF$17:$DQ$17))/AS18,0)</f>
        <v>0</v>
      </c>
      <c r="AR18" s="400">
        <f>IF(AS18&gt;0,INDEX($DF$18:$DQ$18,MATCH(AR$17,$DF$17:$DQ$17))/AS18,0)</f>
        <v>0</v>
      </c>
      <c r="AS18" s="271">
        <f>SUMIF($H$21:$H$25,$H18,AS$21:AS$25)</f>
        <v>0</v>
      </c>
      <c r="AT18" s="400">
        <f>IF(AV18&gt;0,INDEX($DF$18:$DQ$18,MATCH(AT$17,$DF$17:$DQ$17))/AV18,0)</f>
        <v>0</v>
      </c>
      <c r="AU18" s="400">
        <f>IF(AV18&gt;0,INDEX($DF$18:$DQ$18,MATCH(AU$17,$DF$17:$DQ$17))/AV18,0)</f>
        <v>0</v>
      </c>
      <c r="AV18" s="271">
        <f>SUMIF($H$21:$H$25,$H18,AV$21:AV$25)</f>
        <v>0</v>
      </c>
      <c r="AW18" s="400">
        <f>IF(AY18&gt;0,INDEX($DF$18:$DQ$18,MATCH(AW$17,$DF$17:$DQ$17))/AY18,0)</f>
        <v>0</v>
      </c>
      <c r="AX18" s="400">
        <f>IF(AY18&gt;0,INDEX($DF$18:$DQ$18,MATCH(AX$17,$DF$17:$DQ$17))/AY18,0)</f>
        <v>0</v>
      </c>
      <c r="AY18" s="271">
        <f>SUMIF($H$21:$H$25,$H18,AY$21:AY$25)</f>
        <v>0</v>
      </c>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98">
        <f>AS18+AV18+AY18</f>
        <v>0</v>
      </c>
      <c r="DF18" s="480">
        <f t="shared" ref="DF18:DS18" si="0">SUMIF($H21:$H26,$H18,DF21:DF26)</f>
        <v>0</v>
      </c>
      <c r="DG18" s="480">
        <f t="shared" si="0"/>
        <v>0</v>
      </c>
      <c r="DH18" s="480">
        <f t="shared" si="0"/>
        <v>0</v>
      </c>
      <c r="DI18" s="480">
        <f t="shared" si="0"/>
        <v>0</v>
      </c>
      <c r="DJ18" s="480">
        <f t="shared" si="0"/>
        <v>0</v>
      </c>
      <c r="DK18" s="480">
        <f t="shared" si="0"/>
        <v>0</v>
      </c>
      <c r="DL18" s="480">
        <f t="shared" si="0"/>
        <v>0</v>
      </c>
      <c r="DM18" s="480">
        <f t="shared" si="0"/>
        <v>0</v>
      </c>
      <c r="DN18" s="480">
        <f t="shared" si="0"/>
        <v>0</v>
      </c>
      <c r="DO18" s="480">
        <f t="shared" si="0"/>
        <v>0</v>
      </c>
      <c r="DP18" s="480">
        <f t="shared" si="0"/>
        <v>0</v>
      </c>
      <c r="DQ18" s="480">
        <f t="shared" si="0"/>
        <v>0</v>
      </c>
      <c r="DR18" s="480">
        <f t="shared" si="0"/>
        <v>0</v>
      </c>
      <c r="DS18" s="480">
        <f t="shared" si="0"/>
        <v>0</v>
      </c>
      <c r="DT18"/>
      <c r="DU18"/>
      <c r="DV18"/>
    </row>
    <row r="19" spans="1:133" ht="0.75" customHeight="1">
      <c r="A19" s="181"/>
      <c r="B19" s="181"/>
      <c r="C19" s="181"/>
      <c r="E19" s="184"/>
      <c r="F19" s="954"/>
      <c r="G19" s="957"/>
      <c r="H19" s="107" t="str">
        <f>IF(TEMPLATE_SPHERE="водоснабжения","Вода питьевого качества","")</f>
        <v/>
      </c>
      <c r="I19" s="580"/>
      <c r="J19" s="177"/>
      <c r="K19" s="129"/>
      <c r="L19" s="129"/>
      <c r="M19" s="129"/>
      <c r="N19" s="129"/>
      <c r="O19" s="129"/>
      <c r="P19" s="129"/>
      <c r="Q19" s="129"/>
      <c r="R19" s="129"/>
      <c r="S19" s="129"/>
      <c r="T19" s="129"/>
      <c r="U19" s="129"/>
      <c r="V19" s="129"/>
      <c r="W19" s="129"/>
      <c r="X19" s="129"/>
      <c r="Y19" s="398"/>
      <c r="Z19" s="398"/>
      <c r="AA19" s="398"/>
      <c r="AB19" s="398"/>
      <c r="AC19" s="398"/>
      <c r="AD19" s="398"/>
      <c r="AE19" s="271"/>
      <c r="AF19" s="400"/>
      <c r="AG19" s="400"/>
      <c r="AH19" s="271"/>
      <c r="AI19" s="271"/>
      <c r="AJ19" s="271"/>
      <c r="AK19" s="400"/>
      <c r="AL19" s="400"/>
      <c r="AM19" s="271"/>
      <c r="AN19" s="400"/>
      <c r="AO19" s="400"/>
      <c r="AP19" s="271"/>
      <c r="AQ19" s="400"/>
      <c r="AR19" s="400"/>
      <c r="AS19" s="271"/>
      <c r="AT19" s="400"/>
      <c r="AU19" s="400"/>
      <c r="AV19" s="478"/>
      <c r="AW19" s="400"/>
      <c r="AX19" s="400"/>
      <c r="AY19" s="271"/>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98"/>
      <c r="DF19" s="480"/>
      <c r="DG19" s="480"/>
      <c r="DH19" s="480"/>
      <c r="DI19" s="480"/>
      <c r="DJ19" s="480"/>
      <c r="DK19" s="480"/>
      <c r="DL19" s="480"/>
      <c r="DM19" s="480"/>
      <c r="DN19" s="480"/>
      <c r="DO19" s="480"/>
      <c r="DP19" s="480"/>
      <c r="DQ19" s="480"/>
      <c r="DR19"/>
      <c r="DS19"/>
      <c r="DT19"/>
      <c r="DU19"/>
      <c r="DV19"/>
    </row>
    <row r="20" spans="1:133" ht="0.75" customHeight="1">
      <c r="A20" s="181"/>
      <c r="B20" s="181"/>
      <c r="C20" s="181"/>
      <c r="E20" s="184"/>
      <c r="F20" s="955"/>
      <c r="G20" s="958"/>
      <c r="H20" s="107" t="str">
        <f>IF(TEMPLATE_SPHERE="водоснабжения","Вода технического качества","")</f>
        <v/>
      </c>
      <c r="I20" s="580"/>
      <c r="J20" s="177"/>
      <c r="K20" s="129"/>
      <c r="L20" s="129"/>
      <c r="M20" s="129"/>
      <c r="N20" s="129"/>
      <c r="O20" s="129"/>
      <c r="P20" s="129"/>
      <c r="Q20" s="129"/>
      <c r="R20" s="129"/>
      <c r="S20" s="129"/>
      <c r="T20" s="129"/>
      <c r="U20" s="129"/>
      <c r="V20" s="129"/>
      <c r="W20" s="129"/>
      <c r="X20" s="129"/>
      <c r="Y20" s="398"/>
      <c r="Z20" s="398"/>
      <c r="AA20" s="398"/>
      <c r="AB20" s="398"/>
      <c r="AC20" s="398"/>
      <c r="AD20" s="398"/>
      <c r="AE20" s="271"/>
      <c r="AF20" s="400"/>
      <c r="AG20" s="400"/>
      <c r="AH20" s="271"/>
      <c r="AI20" s="271"/>
      <c r="AJ20" s="271"/>
      <c r="AK20" s="400"/>
      <c r="AL20" s="400"/>
      <c r="AM20" s="271"/>
      <c r="AN20" s="400"/>
      <c r="AO20" s="400"/>
      <c r="AP20" s="271"/>
      <c r="AQ20" s="400"/>
      <c r="AR20" s="400"/>
      <c r="AS20" s="271"/>
      <c r="AT20" s="400"/>
      <c r="AU20" s="400"/>
      <c r="AV20" s="478"/>
      <c r="AW20" s="400"/>
      <c r="AX20" s="400"/>
      <c r="AY20" s="271"/>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98"/>
      <c r="DF20" s="480"/>
      <c r="DG20" s="480"/>
      <c r="DH20" s="480"/>
      <c r="DI20" s="480"/>
      <c r="DJ20" s="480"/>
      <c r="DK20" s="480"/>
      <c r="DL20" s="480"/>
      <c r="DM20" s="480"/>
      <c r="DN20" s="480"/>
      <c r="DO20" s="480"/>
      <c r="DP20" s="480"/>
      <c r="DQ20" s="480"/>
      <c r="DR20"/>
      <c r="DS20"/>
      <c r="DT20"/>
      <c r="DU20"/>
      <c r="DV20"/>
    </row>
    <row r="21" spans="1:133" ht="12" hidden="1" customHeight="1">
      <c r="A21" s="181"/>
      <c r="B21" s="181"/>
      <c r="C21" s="181"/>
      <c r="E21" s="184"/>
      <c r="F21" s="186">
        <v>0</v>
      </c>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479"/>
      <c r="AX21" s="479"/>
      <c r="AY21" s="574"/>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R21"/>
      <c r="DS21"/>
      <c r="DT21"/>
      <c r="DU21"/>
      <c r="DV21"/>
    </row>
    <row r="22" spans="1:133" s="60" customFormat="1" hidden="1">
      <c r="A22" s="57"/>
      <c r="B22" s="57"/>
      <c r="C22" s="497" t="str">
        <f>F22 &amp; ".0"</f>
        <v>1.0</v>
      </c>
      <c r="D22" s="471" t="str">
        <f>IF('Список организаций'!$M$16="","Не определено",'Список организаций'!$M$16)</f>
        <v>нет</v>
      </c>
      <c r="E22" s="470" t="s">
        <v>719</v>
      </c>
      <c r="F22" s="833">
        <v>1</v>
      </c>
      <c r="G22" s="853" t="str">
        <f>IF('Список организаций'!$I$16="","Не определено",'Список организаций'!$I$16)</f>
        <v>МУП СП "Село Булава" Булавинское ТЭП"</v>
      </c>
      <c r="H22" s="584"/>
      <c r="I22" s="393"/>
      <c r="J22" s="824"/>
      <c r="K22" s="824"/>
      <c r="L22" s="824"/>
      <c r="M22" s="824"/>
      <c r="N22" s="824"/>
      <c r="O22" s="824"/>
      <c r="P22" s="824"/>
      <c r="Q22" s="824"/>
      <c r="R22" s="824"/>
      <c r="S22" s="824"/>
      <c r="T22" s="824"/>
      <c r="U22" s="824"/>
      <c r="V22" s="824"/>
      <c r="W22" s="824"/>
      <c r="X22" s="824"/>
      <c r="Y22" s="337"/>
      <c r="Z22" s="392"/>
      <c r="AA22" s="392"/>
      <c r="AB22" s="392"/>
      <c r="AC22" s="337"/>
      <c r="AD22" s="392"/>
      <c r="AE22" s="392"/>
      <c r="AF22" s="337"/>
      <c r="AG22" s="392"/>
      <c r="AH22" s="392"/>
      <c r="AI22" s="392"/>
      <c r="AJ22" s="392"/>
      <c r="AK22" s="392"/>
      <c r="AL22" s="392"/>
      <c r="AM22" s="392"/>
      <c r="AN22" s="392"/>
      <c r="AO22" s="392"/>
      <c r="AP22" s="392"/>
      <c r="AQ22" s="392"/>
      <c r="AR22" s="392"/>
      <c r="AS22" s="392"/>
      <c r="AT22" s="392"/>
      <c r="AU22" s="392"/>
      <c r="AV22" s="392"/>
      <c r="AW22" s="392"/>
      <c r="AX22" s="392"/>
      <c r="AY22" s="39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s="293"/>
      <c r="DG22" s="293"/>
      <c r="DH22" s="293"/>
      <c r="DI22" s="293"/>
      <c r="DJ22" s="293"/>
      <c r="DK22" s="293"/>
      <c r="DL22" s="293"/>
      <c r="DM22" s="293"/>
      <c r="DN22" s="293"/>
      <c r="DO22" s="293"/>
      <c r="DP22" s="293"/>
      <c r="DQ22" s="293"/>
      <c r="DR22"/>
      <c r="DS22"/>
      <c r="DT22"/>
      <c r="DU22"/>
      <c r="DV22"/>
      <c r="DW22" s="379"/>
      <c r="DX22" s="379"/>
      <c r="DY22" s="379"/>
      <c r="DZ22" s="379"/>
      <c r="EA22" s="379"/>
      <c r="EB22" s="379"/>
      <c r="EC22" s="379"/>
    </row>
    <row r="23" spans="1:133" s="60" customFormat="1" hidden="1">
      <c r="A23" s="57"/>
      <c r="B23" s="57"/>
      <c r="C23" s="497" t="str">
        <f>F22 &amp; ".1"</f>
        <v>1.1</v>
      </c>
      <c r="D23" s="471"/>
      <c r="E23" s="470"/>
      <c r="F23" s="833"/>
      <c r="G23" s="853"/>
      <c r="H23" s="584"/>
      <c r="I23" s="393"/>
      <c r="J23" s="824"/>
      <c r="K23" s="824"/>
      <c r="L23" s="824"/>
      <c r="M23" s="824"/>
      <c r="N23" s="824"/>
      <c r="O23" s="824"/>
      <c r="P23" s="824"/>
      <c r="Q23" s="824"/>
      <c r="R23" s="824"/>
      <c r="S23" s="824"/>
      <c r="T23" s="824"/>
      <c r="U23" s="824"/>
      <c r="V23" s="824"/>
      <c r="W23" s="824"/>
      <c r="X23" s="824"/>
      <c r="Y23" s="337"/>
      <c r="Z23" s="392"/>
      <c r="AA23" s="392"/>
      <c r="AB23" s="392"/>
      <c r="AC23" s="337"/>
      <c r="AD23" s="392"/>
      <c r="AE23" s="392"/>
      <c r="AF23" s="337"/>
      <c r="AG23" s="392"/>
      <c r="AH23" s="392"/>
      <c r="AI23" s="392"/>
      <c r="AJ23" s="392"/>
      <c r="AK23" s="392"/>
      <c r="AL23" s="392"/>
      <c r="AM23" s="392"/>
      <c r="AN23" s="392"/>
      <c r="AO23" s="392"/>
      <c r="AP23" s="392"/>
      <c r="AQ23" s="392"/>
      <c r="AR23" s="392"/>
      <c r="AS23" s="392"/>
      <c r="AT23" s="392"/>
      <c r="AU23" s="392"/>
      <c r="AV23" s="392"/>
      <c r="AW23" s="392"/>
      <c r="AX23" s="392"/>
      <c r="AY23" s="392"/>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s="293"/>
      <c r="DG23" s="293"/>
      <c r="DH23" s="293"/>
      <c r="DI23" s="293"/>
      <c r="DJ23" s="293"/>
      <c r="DK23" s="293"/>
      <c r="DL23" s="293"/>
      <c r="DM23" s="293"/>
      <c r="DN23" s="293"/>
      <c r="DO23" s="293"/>
      <c r="DP23" s="293"/>
      <c r="DQ23" s="293"/>
      <c r="DR23"/>
      <c r="DS23"/>
      <c r="DT23"/>
      <c r="DU23"/>
      <c r="DV23"/>
      <c r="DW23" s="379"/>
      <c r="DX23" s="379"/>
      <c r="DY23" s="379"/>
      <c r="DZ23" s="379"/>
      <c r="EA23" s="379"/>
      <c r="EB23" s="379"/>
      <c r="EC23" s="379"/>
    </row>
    <row r="24" spans="1:133" s="60" customFormat="1" hidden="1">
      <c r="A24" s="57"/>
      <c r="B24" s="57"/>
      <c r="C24" s="497" t="str">
        <f>F22 &amp; ".2"</f>
        <v>1.2</v>
      </c>
      <c r="D24"/>
      <c r="E24"/>
      <c r="F24" s="833"/>
      <c r="G24" s="835"/>
      <c r="H24" s="584"/>
      <c r="I24" s="393"/>
      <c r="J24" s="824"/>
      <c r="K24" s="824"/>
      <c r="L24" s="824"/>
      <c r="M24" s="824"/>
      <c r="N24" s="824"/>
      <c r="O24" s="824"/>
      <c r="P24" s="824"/>
      <c r="Q24" s="824"/>
      <c r="R24" s="824"/>
      <c r="S24" s="824"/>
      <c r="T24" s="824"/>
      <c r="U24" s="824"/>
      <c r="V24" s="824"/>
      <c r="W24" s="824"/>
      <c r="X24" s="824"/>
      <c r="Y24" s="337"/>
      <c r="Z24" s="392"/>
      <c r="AA24" s="392"/>
      <c r="AB24" s="392"/>
      <c r="AC24" s="337"/>
      <c r="AD24" s="392"/>
      <c r="AE24" s="392"/>
      <c r="AF24" s="337"/>
      <c r="AG24" s="392"/>
      <c r="AH24" s="392"/>
      <c r="AI24" s="392"/>
      <c r="AJ24" s="392"/>
      <c r="AK24" s="392"/>
      <c r="AL24" s="392"/>
      <c r="AM24" s="392"/>
      <c r="AN24" s="392"/>
      <c r="AO24" s="392"/>
      <c r="AP24" s="392"/>
      <c r="AQ24" s="392"/>
      <c r="AR24" s="392"/>
      <c r="AS24" s="392"/>
      <c r="AT24" s="392"/>
      <c r="AU24" s="392"/>
      <c r="AV24" s="392"/>
      <c r="AW24" s="392"/>
      <c r="AX24" s="392"/>
      <c r="AY24" s="392"/>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s="293"/>
      <c r="DG24" s="293"/>
      <c r="DH24" s="293"/>
      <c r="DI24" s="293"/>
      <c r="DJ24" s="293"/>
      <c r="DK24" s="293"/>
      <c r="DL24" s="293"/>
      <c r="DM24" s="293"/>
      <c r="DN24" s="293"/>
      <c r="DO24" s="293"/>
      <c r="DP24" s="293"/>
      <c r="DQ24" s="293"/>
      <c r="DR24"/>
      <c r="DS24"/>
      <c r="DT24"/>
      <c r="DU24"/>
      <c r="DV24"/>
      <c r="DW24" s="379"/>
      <c r="DX24" s="379"/>
      <c r="DY24" s="379"/>
      <c r="DZ24" s="379"/>
      <c r="EA24" s="379"/>
      <c r="EB24" s="379"/>
      <c r="EC24" s="379"/>
    </row>
    <row r="25" spans="1:133" ht="0.75" customHeight="1">
      <c r="A25" s="181"/>
      <c r="B25" s="181"/>
      <c r="C25" s="181"/>
      <c r="E25" s="184"/>
      <c r="F25" s="110"/>
      <c r="G25" s="111" t="s">
        <v>720</v>
      </c>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3"/>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R25"/>
      <c r="DS25"/>
      <c r="DT25"/>
      <c r="DU25"/>
      <c r="DV25"/>
    </row>
    <row r="26" spans="1:133" ht="12" customHeight="1">
      <c r="A26" s="181"/>
      <c r="B26" s="181"/>
      <c r="C26" s="181"/>
      <c r="E26" s="184"/>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R26"/>
      <c r="DS26"/>
      <c r="DT26"/>
      <c r="DU26"/>
      <c r="DV26"/>
    </row>
    <row r="27" spans="1:133" ht="12" customHeight="1">
      <c r="F27" s="162"/>
      <c r="G27" s="162"/>
      <c r="H27" s="162"/>
      <c r="I27"/>
      <c r="J27"/>
      <c r="K27"/>
      <c r="L27"/>
      <c r="M27"/>
      <c r="N27"/>
      <c r="O27"/>
      <c r="P27"/>
      <c r="Q27"/>
      <c r="R27"/>
      <c r="S27"/>
      <c r="T27"/>
      <c r="U27"/>
      <c r="V27"/>
      <c r="W27"/>
      <c r="X27"/>
      <c r="Y27"/>
      <c r="Z27"/>
      <c r="AA27"/>
      <c r="AB27" s="162"/>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DR27"/>
      <c r="DS27"/>
      <c r="DT27"/>
      <c r="DU27"/>
      <c r="DV27"/>
    </row>
    <row r="28" spans="1:133">
      <c r="F28" s="162"/>
      <c r="G28" s="162"/>
      <c r="H28" s="162"/>
      <c r="I28"/>
      <c r="J28"/>
      <c r="K28"/>
      <c r="L28"/>
      <c r="M28"/>
      <c r="N28"/>
      <c r="O28"/>
      <c r="P28"/>
      <c r="Q28"/>
      <c r="R28"/>
      <c r="S28"/>
      <c r="T28"/>
      <c r="U28"/>
      <c r="V28"/>
      <c r="W28"/>
      <c r="X28"/>
      <c r="Y28"/>
      <c r="Z28"/>
      <c r="AA28"/>
      <c r="AB28" s="162"/>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DR28"/>
      <c r="DS28"/>
      <c r="DT28"/>
      <c r="DU28"/>
      <c r="DV28"/>
    </row>
    <row r="29" spans="1:133" ht="11.25" customHeight="1">
      <c r="F29" s="162"/>
      <c r="G29" s="162"/>
      <c r="H29" s="162"/>
      <c r="I29"/>
      <c r="J29"/>
      <c r="K29"/>
      <c r="L29"/>
      <c r="M29"/>
      <c r="N29"/>
      <c r="O29"/>
      <c r="P29"/>
      <c r="Q29"/>
      <c r="R29"/>
      <c r="S29"/>
      <c r="T29"/>
      <c r="U29"/>
      <c r="V29"/>
      <c r="W29"/>
      <c r="X29"/>
      <c r="Y29"/>
      <c r="Z29"/>
      <c r="AA29"/>
      <c r="AB29" s="162"/>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DR29"/>
      <c r="DS29"/>
      <c r="DT29"/>
      <c r="DU29"/>
      <c r="DV29"/>
    </row>
    <row r="30" spans="1:133" ht="11.25" customHeight="1">
      <c r="F30" s="162"/>
      <c r="G30" s="162"/>
      <c r="H30" s="162"/>
      <c r="I30"/>
      <c r="J30"/>
      <c r="K30"/>
      <c r="L30"/>
      <c r="M30"/>
      <c r="N30"/>
      <c r="O30"/>
      <c r="P30"/>
      <c r="Q30"/>
      <c r="R30"/>
      <c r="S30"/>
      <c r="T30"/>
      <c r="U30"/>
      <c r="V30"/>
      <c r="W30"/>
      <c r="X30"/>
      <c r="Y30"/>
      <c r="Z30"/>
      <c r="AA30"/>
      <c r="AB30" s="162"/>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DR30"/>
      <c r="DS30"/>
      <c r="DT30"/>
      <c r="DU30"/>
      <c r="DV30"/>
    </row>
    <row r="31" spans="1:133" ht="11.25" customHeight="1">
      <c r="F31" s="162"/>
      <c r="G31" s="162"/>
      <c r="H31" s="162"/>
      <c r="I31"/>
      <c r="J31"/>
      <c r="K31"/>
      <c r="L31"/>
      <c r="M31"/>
      <c r="N31"/>
      <c r="O31"/>
      <c r="P31"/>
      <c r="Q31"/>
      <c r="R31"/>
      <c r="S31"/>
      <c r="T31"/>
      <c r="U31"/>
      <c r="V31"/>
      <c r="W31"/>
      <c r="X31"/>
      <c r="Y31"/>
      <c r="Z31"/>
      <c r="AA31"/>
      <c r="AB31" s="162"/>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row>
    <row r="32" spans="1:133" ht="11.25" customHeight="1">
      <c r="F32" s="162"/>
      <c r="G32" s="162"/>
      <c r="H32" s="162"/>
      <c r="I32"/>
      <c r="J32"/>
      <c r="K32"/>
      <c r="L32"/>
      <c r="M32"/>
      <c r="N32"/>
      <c r="O32"/>
      <c r="P32"/>
      <c r="Q32"/>
      <c r="R32"/>
      <c r="S32"/>
      <c r="T32"/>
      <c r="U32"/>
      <c r="V32"/>
      <c r="W32"/>
      <c r="X32"/>
      <c r="Y32"/>
      <c r="Z32"/>
      <c r="AA32"/>
      <c r="AB32" s="16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row>
    <row r="33" spans="9:65">
      <c r="I33"/>
      <c r="J33"/>
      <c r="K33"/>
      <c r="L33"/>
      <c r="M33"/>
      <c r="N33"/>
      <c r="O33"/>
      <c r="P33"/>
      <c r="Q33"/>
      <c r="R33"/>
      <c r="S33"/>
      <c r="T33"/>
      <c r="U33"/>
      <c r="V33"/>
      <c r="W33"/>
      <c r="X33"/>
      <c r="Y33"/>
      <c r="Z33"/>
      <c r="AA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row>
    <row r="34" spans="9:65">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row>
  </sheetData>
  <sheetProtection password="FA9C" sheet="1" objects="1" scenarios="1" formatColumns="0" formatRows="0"/>
  <mergeCells count="75">
    <mergeCell ref="T22:T24"/>
    <mergeCell ref="U22:U24"/>
    <mergeCell ref="V22:V24"/>
    <mergeCell ref="W22:W24"/>
    <mergeCell ref="X22:X24"/>
    <mergeCell ref="S22:S24"/>
    <mergeCell ref="F22:F24"/>
    <mergeCell ref="G22:G24"/>
    <mergeCell ref="J22:J24"/>
    <mergeCell ref="K22:K24"/>
    <mergeCell ref="L22:L24"/>
    <mergeCell ref="M22:M24"/>
    <mergeCell ref="N22:N24"/>
    <mergeCell ref="O22:O24"/>
    <mergeCell ref="P22:P24"/>
    <mergeCell ref="Q22:Q24"/>
    <mergeCell ref="R22:R24"/>
    <mergeCell ref="DR17:DS17"/>
    <mergeCell ref="AW15:AX15"/>
    <mergeCell ref="AJ14:AJ16"/>
    <mergeCell ref="AY15:AY16"/>
    <mergeCell ref="AK15:AL15"/>
    <mergeCell ref="AM15:AM16"/>
    <mergeCell ref="AQ14:AS14"/>
    <mergeCell ref="AV15:AV16"/>
    <mergeCell ref="AT14:AV14"/>
    <mergeCell ref="AW14:AY14"/>
    <mergeCell ref="AK14:AM14"/>
    <mergeCell ref="AT15:AU15"/>
    <mergeCell ref="AN14:AP14"/>
    <mergeCell ref="J14:J16"/>
    <mergeCell ref="K14:M14"/>
    <mergeCell ref="W15:W16"/>
    <mergeCell ref="AF14:AG15"/>
    <mergeCell ref="Y14:Z15"/>
    <mergeCell ref="AA14:AB15"/>
    <mergeCell ref="M15:M16"/>
    <mergeCell ref="O14:O16"/>
    <mergeCell ref="U15:U16"/>
    <mergeCell ref="N14:N16"/>
    <mergeCell ref="X14:X16"/>
    <mergeCell ref="P15:P16"/>
    <mergeCell ref="V14:W14"/>
    <mergeCell ref="T15:T16"/>
    <mergeCell ref="P14:Q14"/>
    <mergeCell ref="V15:V16"/>
    <mergeCell ref="F18:F20"/>
    <mergeCell ref="G18:G20"/>
    <mergeCell ref="AQ15:AR15"/>
    <mergeCell ref="AS15:AS16"/>
    <mergeCell ref="R15:R16"/>
    <mergeCell ref="S15:S16"/>
    <mergeCell ref="AN15:AO15"/>
    <mergeCell ref="AP15:AP16"/>
    <mergeCell ref="AE14:AE16"/>
    <mergeCell ref="AH14:AI15"/>
    <mergeCell ref="K15:K16"/>
    <mergeCell ref="L15:L16"/>
    <mergeCell ref="F14:F16"/>
    <mergeCell ref="G14:G16"/>
    <mergeCell ref="H14:I16"/>
    <mergeCell ref="AC14:AD15"/>
    <mergeCell ref="T14:U14"/>
    <mergeCell ref="Q15:Q16"/>
    <mergeCell ref="R14:S14"/>
    <mergeCell ref="AY8:AZ8"/>
    <mergeCell ref="K13:X13"/>
    <mergeCell ref="K8:AE8"/>
    <mergeCell ref="AK8:AL8"/>
    <mergeCell ref="AM8:AN8"/>
    <mergeCell ref="AW8:AX8"/>
    <mergeCell ref="AU8:AV8"/>
    <mergeCell ref="AO8:AP8"/>
    <mergeCell ref="AQ8:AR8"/>
    <mergeCell ref="AS8:AT8"/>
  </mergeCells>
  <phoneticPr fontId="8" type="noConversion"/>
  <hyperlinks>
    <hyperlink ref="K11" location="'ТМ1 01.07 - 31.08'!A1" tooltip="Отобразить / Скрыть блок" display="-"/>
  </hyperlinks>
  <pageMargins left="0.37" right="0.35" top="1" bottom="1" header="0.5" footer="0.5"/>
  <pageSetup paperSize="9" scale="37" orientation="landscape" horizontalDpi="4294967292" verticalDpi="4294967292"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sheetPr codeName="TECH_VERTICAL">
    <tabColor indexed="47"/>
  </sheetPr>
  <dimension ref="A1:BF11430"/>
  <sheetViews>
    <sheetView zoomScale="70" zoomScaleNormal="70" workbookViewId="0"/>
  </sheetViews>
  <sheetFormatPr defaultRowHeight="11.25"/>
  <cols>
    <col min="1" max="12" width="1.7109375" customWidth="1"/>
    <col min="13" max="13" width="2.7109375" style="1" customWidth="1"/>
    <col min="14" max="14" width="12.7109375" style="1" customWidth="1"/>
    <col min="15" max="15" width="64.7109375" style="1" customWidth="1"/>
    <col min="16" max="16" width="12.7109375" style="1" customWidth="1"/>
    <col min="17" max="17" width="3.5703125" style="1" customWidth="1"/>
    <col min="18" max="19" width="5.7109375" style="1" customWidth="1"/>
    <col min="20" max="20" width="17.7109375" style="1" customWidth="1"/>
    <col min="21" max="22" width="5.7109375" style="1" customWidth="1"/>
    <col min="23" max="23" width="17.7109375" style="1" customWidth="1"/>
    <col min="24" max="25" width="5.7109375" style="1" customWidth="1"/>
    <col min="26" max="26" width="17.7109375" style="1" customWidth="1"/>
    <col min="27" max="28" width="5.7109375" style="1" customWidth="1"/>
    <col min="29" max="29" width="17.7109375" style="1" customWidth="1"/>
    <col min="30" max="31" width="5.7109375" style="1" customWidth="1"/>
    <col min="32" max="32" width="17.7109375" style="1" customWidth="1"/>
    <col min="33" max="34" width="5.7109375" style="1" customWidth="1"/>
    <col min="35" max="35" width="17.7109375" style="1" customWidth="1"/>
    <col min="36" max="37" width="5.7109375" style="1" customWidth="1"/>
    <col min="38" max="38" width="17.7109375" style="1" customWidth="1"/>
    <col min="39" max="40" width="9.140625" style="1"/>
    <col min="41" max="41" width="17.7109375" style="1" customWidth="1"/>
    <col min="42" max="43" width="9.140625" style="1"/>
    <col min="44" max="44" width="17.7109375" style="1" customWidth="1"/>
    <col min="45" max="16384" width="9.140625" style="1"/>
  </cols>
  <sheetData>
    <row r="1" spans="1:33">
      <c r="N1"/>
      <c r="O1"/>
      <c r="P1"/>
    </row>
    <row r="2" spans="1:33">
      <c r="N2"/>
      <c r="O2"/>
      <c r="P2"/>
    </row>
    <row r="3" spans="1:33" s="6" customFormat="1" ht="14.25" customHeight="1">
      <c r="A3"/>
      <c r="B3"/>
      <c r="C3"/>
      <c r="D3"/>
      <c r="E3"/>
      <c r="F3"/>
      <c r="G3"/>
      <c r="H3"/>
      <c r="I3"/>
      <c r="J3"/>
      <c r="K3"/>
      <c r="L3"/>
      <c r="R3" s="822" t="s">
        <v>484</v>
      </c>
      <c r="S3" s="822"/>
      <c r="T3" s="822"/>
      <c r="U3" s="822"/>
      <c r="V3" s="822"/>
      <c r="W3" s="822"/>
      <c r="X3" s="822"/>
      <c r="Y3" s="822"/>
      <c r="Z3" s="822"/>
      <c r="AA3" s="822"/>
      <c r="AB3" s="822"/>
      <c r="AC3" s="822"/>
      <c r="AD3" s="822"/>
      <c r="AE3" s="822"/>
      <c r="AF3" s="822"/>
    </row>
    <row r="4" spans="1:33">
      <c r="R4" s="815" t="s">
        <v>3073</v>
      </c>
      <c r="S4" s="815"/>
      <c r="T4" s="815"/>
      <c r="U4" s="60"/>
      <c r="V4" s="61"/>
    </row>
    <row r="5" spans="1:33" customFormat="1">
      <c r="R5" s="621"/>
      <c r="S5" s="621"/>
      <c r="T5" s="621"/>
      <c r="U5" s="621"/>
      <c r="V5" s="621"/>
      <c r="W5" s="621"/>
      <c r="X5" s="621"/>
      <c r="Y5" s="621"/>
      <c r="Z5" s="621"/>
      <c r="AA5" s="621"/>
      <c r="AB5" s="621"/>
      <c r="AC5" s="621"/>
      <c r="AD5" s="621"/>
      <c r="AE5" s="621"/>
      <c r="AF5" s="621"/>
    </row>
    <row r="6" spans="1:33">
      <c r="R6" s="622"/>
      <c r="S6" s="622"/>
      <c r="T6" s="622"/>
      <c r="U6" s="622"/>
      <c r="V6" s="622"/>
      <c r="W6" s="622"/>
      <c r="X6" s="622"/>
      <c r="Y6" s="622"/>
      <c r="Z6" s="622"/>
      <c r="AA6" s="622"/>
      <c r="AB6" s="622"/>
      <c r="AC6" s="622"/>
      <c r="AD6" s="622"/>
      <c r="AE6" s="622"/>
      <c r="AF6" s="622"/>
    </row>
    <row r="7" spans="1:33">
      <c r="Q7" s="316"/>
      <c r="R7" s="623"/>
      <c r="S7" s="623"/>
      <c r="T7" s="623"/>
      <c r="U7" s="623"/>
      <c r="V7" s="623"/>
      <c r="W7" s="623"/>
      <c r="X7" s="623"/>
      <c r="Y7" s="623"/>
      <c r="Z7" s="623"/>
      <c r="AA7" s="623"/>
      <c r="AB7" s="623"/>
      <c r="AC7" s="623"/>
      <c r="AD7" s="623"/>
      <c r="AE7" s="623"/>
      <c r="AF7" s="623"/>
      <c r="AG7" s="316"/>
    </row>
    <row r="8" spans="1:33" ht="11.25" customHeight="1">
      <c r="N8" s="430" t="s">
        <v>1742</v>
      </c>
      <c r="O8" s="315"/>
      <c r="P8" s="309"/>
      <c r="Q8" s="311"/>
      <c r="R8" s="624"/>
      <c r="S8" s="624"/>
      <c r="T8" s="624"/>
      <c r="U8" s="624"/>
      <c r="V8" s="624"/>
      <c r="W8" s="624"/>
      <c r="X8" s="624"/>
      <c r="Y8" s="624"/>
      <c r="Z8" s="624"/>
      <c r="AA8" s="624"/>
      <c r="AB8" s="624"/>
      <c r="AC8" s="624"/>
      <c r="AD8" s="624"/>
      <c r="AE8" s="624"/>
      <c r="AF8" s="624"/>
      <c r="AG8" s="311"/>
    </row>
    <row r="9" spans="1:33" ht="11.25" customHeight="1">
      <c r="N9" s="811"/>
      <c r="O9" s="812"/>
      <c r="P9" s="813"/>
      <c r="Q9" s="317"/>
      <c r="R9" s="625" t="str">
        <f>R11 &amp; ".1"</f>
        <v>.1</v>
      </c>
      <c r="S9" s="625" t="str">
        <f>R11 &amp; ".2"</f>
        <v>.2</v>
      </c>
      <c r="T9" s="625" t="str">
        <f>R11 &amp; ".0"</f>
        <v>.0</v>
      </c>
      <c r="U9" s="625" t="str">
        <f>U11 &amp; ".1"</f>
        <v>.1</v>
      </c>
      <c r="V9" s="625" t="str">
        <f>U11 &amp; ".2"</f>
        <v>.2</v>
      </c>
      <c r="W9" s="625" t="str">
        <f>U11 &amp; ".0"</f>
        <v>.0</v>
      </c>
      <c r="X9" s="625" t="str">
        <f>X11 &amp; ".1"</f>
        <v>.1</v>
      </c>
      <c r="Y9" s="625" t="str">
        <f>X11 &amp; ".2"</f>
        <v>.2</v>
      </c>
      <c r="Z9" s="625" t="str">
        <f>X11 &amp; ".0"</f>
        <v>.0</v>
      </c>
      <c r="AA9" s="625" t="str">
        <f>AA11 &amp; ".1"</f>
        <v>.1</v>
      </c>
      <c r="AB9" s="625" t="str">
        <f>AA11 &amp; ".2"</f>
        <v>.2</v>
      </c>
      <c r="AC9" s="625" t="str">
        <f>AA11 &amp; ".0"</f>
        <v>.0</v>
      </c>
      <c r="AD9" s="625" t="str">
        <f>AD11 &amp; ".1"</f>
        <v>.1</v>
      </c>
      <c r="AE9" s="625" t="str">
        <f>AD11 &amp; ".2"</f>
        <v>.2</v>
      </c>
      <c r="AF9" s="625" t="str">
        <f>AD11 &amp; ".0"</f>
        <v>.0</v>
      </c>
      <c r="AG9" s="214"/>
    </row>
    <row r="10" spans="1:33" ht="11.25" customHeight="1">
      <c r="N10" s="430" t="s">
        <v>1742</v>
      </c>
      <c r="O10" s="221"/>
      <c r="P10" s="122" t="s">
        <v>786</v>
      </c>
      <c r="Q10" s="201"/>
      <c r="R10" s="814" t="s">
        <v>719</v>
      </c>
      <c r="S10" s="814"/>
      <c r="T10" s="814"/>
      <c r="U10" s="814" t="s">
        <v>719</v>
      </c>
      <c r="V10" s="814"/>
      <c r="W10" s="814"/>
      <c r="X10" s="814" t="s">
        <v>719</v>
      </c>
      <c r="Y10" s="814"/>
      <c r="Z10" s="814"/>
      <c r="AA10" s="814" t="s">
        <v>719</v>
      </c>
      <c r="AB10" s="814"/>
      <c r="AC10" s="814"/>
      <c r="AD10" s="814" t="s">
        <v>719</v>
      </c>
      <c r="AE10" s="814"/>
      <c r="AF10" s="814"/>
      <c r="AG10" s="168" t="s">
        <v>720</v>
      </c>
    </row>
    <row r="11" spans="1:33" ht="11.25" customHeight="1">
      <c r="N11" s="802" t="s">
        <v>641</v>
      </c>
      <c r="O11" s="804" t="s">
        <v>787</v>
      </c>
      <c r="P11" s="806" t="s">
        <v>778</v>
      </c>
      <c r="Q11" s="206">
        <v>0</v>
      </c>
      <c r="R11" s="808"/>
      <c r="S11" s="809"/>
      <c r="T11" s="810"/>
      <c r="U11" s="808"/>
      <c r="V11" s="809"/>
      <c r="W11" s="810"/>
      <c r="X11" s="808"/>
      <c r="Y11" s="809"/>
      <c r="Z11" s="810"/>
      <c r="AA11" s="808"/>
      <c r="AB11" s="809"/>
      <c r="AC11" s="810"/>
      <c r="AD11" s="808"/>
      <c r="AE11" s="809"/>
      <c r="AF11" s="810"/>
      <c r="AG11" s="206"/>
    </row>
    <row r="12" spans="1:33" ht="12" customHeight="1">
      <c r="N12" s="802"/>
      <c r="O12" s="804"/>
      <c r="P12" s="806"/>
      <c r="Q12" s="207"/>
      <c r="R12" s="796"/>
      <c r="S12" s="797"/>
      <c r="T12" s="798"/>
      <c r="U12" s="796"/>
      <c r="V12" s="797"/>
      <c r="W12" s="798"/>
      <c r="X12" s="796"/>
      <c r="Y12" s="797"/>
      <c r="Z12" s="798"/>
      <c r="AA12" s="796"/>
      <c r="AB12" s="797"/>
      <c r="AC12" s="798"/>
      <c r="AD12" s="796"/>
      <c r="AE12" s="797"/>
      <c r="AF12" s="798"/>
      <c r="AG12" s="207"/>
    </row>
    <row r="13" spans="1:33" ht="12" customHeight="1">
      <c r="N13" s="232"/>
      <c r="O13" s="233" t="s">
        <v>788</v>
      </c>
      <c r="P13" s="251"/>
      <c r="Q13" s="207"/>
      <c r="R13" s="796"/>
      <c r="S13" s="797"/>
      <c r="T13" s="798"/>
      <c r="U13" s="796"/>
      <c r="V13" s="797"/>
      <c r="W13" s="798"/>
      <c r="X13" s="796"/>
      <c r="Y13" s="797"/>
      <c r="Z13" s="798"/>
      <c r="AA13" s="796"/>
      <c r="AB13" s="797"/>
      <c r="AC13" s="798"/>
      <c r="AD13" s="796"/>
      <c r="AE13" s="797"/>
      <c r="AF13" s="798"/>
      <c r="AG13" s="207"/>
    </row>
    <row r="14" spans="1:33" ht="12" customHeight="1">
      <c r="N14" s="232"/>
      <c r="O14" s="490" t="str">
        <f>IF(CALC_IDENTIFIER="","",CALC_IDENTIFIER)</f>
        <v/>
      </c>
      <c r="P14" s="251"/>
      <c r="Q14" s="207"/>
      <c r="R14" s="796"/>
      <c r="S14" s="797"/>
      <c r="T14" s="798"/>
      <c r="U14" s="796"/>
      <c r="V14" s="797"/>
      <c r="W14" s="798"/>
      <c r="X14" s="796"/>
      <c r="Y14" s="797"/>
      <c r="Z14" s="798"/>
      <c r="AA14" s="796"/>
      <c r="AB14" s="797"/>
      <c r="AC14" s="798"/>
      <c r="AD14" s="796"/>
      <c r="AE14" s="797"/>
      <c r="AF14" s="798"/>
      <c r="AG14" s="207"/>
    </row>
    <row r="15" spans="1:33" ht="12" customHeight="1">
      <c r="N15" s="234" t="s">
        <v>642</v>
      </c>
      <c r="O15" s="489" t="s">
        <v>789</v>
      </c>
      <c r="P15" s="257"/>
      <c r="Q15" s="258"/>
      <c r="R15" s="260"/>
      <c r="S15" s="260"/>
      <c r="T15" s="257">
        <f>SUM(T16,T17,T20)</f>
        <v>0</v>
      </c>
      <c r="U15" s="260"/>
      <c r="V15" s="260"/>
      <c r="W15" s="257">
        <f>SUM(W16,W17,W20)</f>
        <v>0</v>
      </c>
      <c r="X15" s="260"/>
      <c r="Y15" s="260"/>
      <c r="Z15" s="257">
        <f>SUM(Z16,Z17,Z20)</f>
        <v>0</v>
      </c>
      <c r="AA15" s="260"/>
      <c r="AB15" s="260"/>
      <c r="AC15" s="257">
        <f>SUM(AC16,AC17,AC20)</f>
        <v>0</v>
      </c>
      <c r="AD15" s="260"/>
      <c r="AE15" s="260"/>
      <c r="AF15" s="257">
        <f>SUM(AF16,AF17,AF20)</f>
        <v>0</v>
      </c>
      <c r="AG15" s="258"/>
    </row>
    <row r="16" spans="1:33" ht="12" hidden="1" customHeight="1">
      <c r="N16" s="234" t="s">
        <v>790</v>
      </c>
      <c r="O16" s="224" t="s">
        <v>791</v>
      </c>
      <c r="P16" s="257"/>
      <c r="Q16" s="258"/>
      <c r="R16" s="260"/>
      <c r="S16" s="260"/>
      <c r="T16" s="261"/>
      <c r="U16" s="260"/>
      <c r="V16" s="260"/>
      <c r="W16" s="261"/>
      <c r="X16" s="260"/>
      <c r="Y16" s="260"/>
      <c r="Z16" s="261"/>
      <c r="AA16" s="260"/>
      <c r="AB16" s="260"/>
      <c r="AC16" s="261"/>
      <c r="AD16" s="260"/>
      <c r="AE16" s="260"/>
      <c r="AF16" s="261"/>
      <c r="AG16" s="258"/>
    </row>
    <row r="17" spans="13:58" ht="12" hidden="1" customHeight="1">
      <c r="N17" s="236" t="s">
        <v>792</v>
      </c>
      <c r="O17" s="237" t="s">
        <v>793</v>
      </c>
      <c r="P17" s="257"/>
      <c r="Q17" s="258"/>
      <c r="R17" s="260"/>
      <c r="S17" s="260"/>
      <c r="T17" s="257">
        <f>T18*T19/1000</f>
        <v>0</v>
      </c>
      <c r="U17" s="260"/>
      <c r="V17" s="260"/>
      <c r="W17" s="257">
        <f>W18*W19/1000</f>
        <v>0</v>
      </c>
      <c r="X17" s="260"/>
      <c r="Y17" s="260"/>
      <c r="Z17" s="257">
        <f>Z18*Z19/1000</f>
        <v>0</v>
      </c>
      <c r="AA17" s="260"/>
      <c r="AB17" s="260"/>
      <c r="AC17" s="257">
        <f>AC18*AC19/1000</f>
        <v>0</v>
      </c>
      <c r="AD17" s="260"/>
      <c r="AE17" s="260"/>
      <c r="AF17" s="257">
        <f>AF18*AF19/1000</f>
        <v>0</v>
      </c>
      <c r="AG17" s="258"/>
    </row>
    <row r="18" spans="13:58" ht="12" hidden="1" customHeight="1">
      <c r="N18" s="234" t="s">
        <v>794</v>
      </c>
      <c r="O18" s="238" t="s">
        <v>2567</v>
      </c>
      <c r="P18" s="257"/>
      <c r="Q18" s="258"/>
      <c r="R18" s="260"/>
      <c r="S18" s="260"/>
      <c r="T18" s="261"/>
      <c r="U18" s="260"/>
      <c r="V18" s="260"/>
      <c r="W18" s="261"/>
      <c r="X18" s="260"/>
      <c r="Y18" s="260"/>
      <c r="Z18" s="261"/>
      <c r="AA18" s="260"/>
      <c r="AB18" s="260"/>
      <c r="AC18" s="261"/>
      <c r="AD18" s="260"/>
      <c r="AE18" s="260"/>
      <c r="AF18" s="261"/>
      <c r="AG18" s="258"/>
    </row>
    <row r="19" spans="13:58" ht="12" hidden="1" customHeight="1">
      <c r="N19" s="234" t="s">
        <v>61</v>
      </c>
      <c r="O19" s="238" t="s">
        <v>2568</v>
      </c>
      <c r="P19" s="257"/>
      <c r="Q19" s="258"/>
      <c r="R19" s="260"/>
      <c r="S19" s="260"/>
      <c r="T19" s="261"/>
      <c r="U19" s="260"/>
      <c r="V19" s="260"/>
      <c r="W19" s="261"/>
      <c r="X19" s="260"/>
      <c r="Y19" s="260"/>
      <c r="Z19" s="261"/>
      <c r="AA19" s="260"/>
      <c r="AB19" s="260"/>
      <c r="AC19" s="261"/>
      <c r="AD19" s="260"/>
      <c r="AE19" s="260"/>
      <c r="AF19" s="261"/>
      <c r="AG19" s="258"/>
    </row>
    <row r="20" spans="13:58" ht="12" hidden="1" customHeight="1">
      <c r="N20" s="236" t="s">
        <v>63</v>
      </c>
      <c r="O20" s="237" t="s">
        <v>64</v>
      </c>
      <c r="P20" s="257"/>
      <c r="Q20" s="258"/>
      <c r="R20" s="260"/>
      <c r="S20" s="260"/>
      <c r="T20" s="261"/>
      <c r="U20" s="260"/>
      <c r="V20" s="260"/>
      <c r="W20" s="261"/>
      <c r="X20" s="260"/>
      <c r="Y20" s="260"/>
      <c r="Z20" s="261"/>
      <c r="AA20" s="260"/>
      <c r="AB20" s="260"/>
      <c r="AC20" s="261"/>
      <c r="AD20" s="260"/>
      <c r="AE20" s="260"/>
      <c r="AF20" s="261"/>
      <c r="AG20" s="258"/>
    </row>
    <row r="21" spans="13:58" ht="12" hidden="1" customHeight="1">
      <c r="N21" s="234" t="s">
        <v>751</v>
      </c>
      <c r="O21" s="235" t="s">
        <v>65</v>
      </c>
      <c r="P21" s="257"/>
      <c r="Q21" s="258"/>
      <c r="R21" s="260"/>
      <c r="S21" s="260"/>
      <c r="T21" s="257">
        <f>SUM(T22,T23,T24)</f>
        <v>0</v>
      </c>
      <c r="U21" s="260"/>
      <c r="V21" s="260"/>
      <c r="W21" s="257">
        <f>SUM(W22,W23,W24)</f>
        <v>0</v>
      </c>
      <c r="X21" s="260"/>
      <c r="Y21" s="260"/>
      <c r="Z21" s="257">
        <f>SUM(Z22,Z23,Z24)</f>
        <v>0</v>
      </c>
      <c r="AA21" s="260"/>
      <c r="AB21" s="260"/>
      <c r="AC21" s="257">
        <f>SUM(AC22,AC23,AC24)</f>
        <v>0</v>
      </c>
      <c r="AD21" s="260"/>
      <c r="AE21" s="260"/>
      <c r="AF21" s="257">
        <f>SUM(AF22,AF23,AF24)</f>
        <v>0</v>
      </c>
      <c r="AG21" s="258"/>
    </row>
    <row r="22" spans="13:58" ht="12" hidden="1" customHeight="1">
      <c r="N22" s="234" t="s">
        <v>66</v>
      </c>
      <c r="O22" s="237" t="s">
        <v>67</v>
      </c>
      <c r="P22" s="257"/>
      <c r="Q22" s="258"/>
      <c r="R22" s="260"/>
      <c r="S22" s="260"/>
      <c r="T22" s="261"/>
      <c r="U22" s="260"/>
      <c r="V22" s="260"/>
      <c r="W22" s="261"/>
      <c r="X22" s="260"/>
      <c r="Y22" s="260"/>
      <c r="Z22" s="261"/>
      <c r="AA22" s="260"/>
      <c r="AB22" s="260"/>
      <c r="AC22" s="261"/>
      <c r="AD22" s="260"/>
      <c r="AE22" s="260"/>
      <c r="AF22" s="261"/>
      <c r="AG22" s="258"/>
    </row>
    <row r="23" spans="13:58" ht="12" hidden="1" customHeight="1">
      <c r="N23" s="234" t="s">
        <v>69</v>
      </c>
      <c r="O23" s="237" t="s">
        <v>70</v>
      </c>
      <c r="P23" s="257"/>
      <c r="Q23" s="258"/>
      <c r="R23" s="260"/>
      <c r="S23" s="260"/>
      <c r="T23" s="261"/>
      <c r="U23" s="260"/>
      <c r="V23" s="260"/>
      <c r="W23" s="261"/>
      <c r="X23" s="260"/>
      <c r="Y23" s="260"/>
      <c r="Z23" s="261"/>
      <c r="AA23" s="260"/>
      <c r="AB23" s="260"/>
      <c r="AC23" s="261"/>
      <c r="AD23" s="260"/>
      <c r="AE23" s="260"/>
      <c r="AF23" s="261"/>
      <c r="AG23" s="258"/>
    </row>
    <row r="24" spans="13:58" ht="12" hidden="1" customHeight="1">
      <c r="N24" s="234" t="s">
        <v>72</v>
      </c>
      <c r="O24" s="237" t="s">
        <v>73</v>
      </c>
      <c r="P24" s="257"/>
      <c r="Q24" s="258"/>
      <c r="R24" s="260"/>
      <c r="S24" s="260"/>
      <c r="T24" s="261"/>
      <c r="U24" s="260"/>
      <c r="V24" s="260"/>
      <c r="W24" s="261"/>
      <c r="X24" s="260"/>
      <c r="Y24" s="260"/>
      <c r="Z24" s="261"/>
      <c r="AA24" s="260"/>
      <c r="AB24" s="260"/>
      <c r="AC24" s="261"/>
      <c r="AD24" s="260"/>
      <c r="AE24" s="260"/>
      <c r="AF24" s="261"/>
      <c r="AG24" s="258"/>
    </row>
    <row r="25" spans="13:58" ht="12" hidden="1" customHeight="1">
      <c r="N25" s="234" t="s">
        <v>752</v>
      </c>
      <c r="O25" s="235" t="s">
        <v>74</v>
      </c>
      <c r="P25" s="257"/>
      <c r="Q25" s="258"/>
      <c r="R25" s="260"/>
      <c r="S25" s="260"/>
      <c r="T25" s="261"/>
      <c r="U25" s="260"/>
      <c r="V25" s="260"/>
      <c r="W25" s="261"/>
      <c r="X25" s="260"/>
      <c r="Y25" s="260"/>
      <c r="Z25" s="261"/>
      <c r="AA25" s="260"/>
      <c r="AB25" s="260"/>
      <c r="AC25" s="261"/>
      <c r="AD25" s="260"/>
      <c r="AE25" s="260"/>
      <c r="AF25" s="261"/>
      <c r="AG25" s="258"/>
    </row>
    <row r="26" spans="13:58" ht="12" customHeight="1">
      <c r="N26" s="236" t="s">
        <v>760</v>
      </c>
      <c r="O26" s="237" t="s">
        <v>76</v>
      </c>
      <c r="P26" s="257"/>
      <c r="Q26" s="258"/>
      <c r="R26" s="260"/>
      <c r="S26" s="260"/>
      <c r="T26" s="261"/>
      <c r="U26" s="260"/>
      <c r="V26" s="260"/>
      <c r="W26" s="261"/>
      <c r="X26" s="260"/>
      <c r="Y26" s="260"/>
      <c r="Z26" s="261"/>
      <c r="AA26" s="260"/>
      <c r="AB26" s="260"/>
      <c r="AC26" s="261"/>
      <c r="AD26" s="260"/>
      <c r="AE26" s="260"/>
      <c r="AF26" s="261"/>
      <c r="AG26" s="258"/>
    </row>
    <row r="27" spans="13:58" ht="12" customHeight="1">
      <c r="M27" s="820"/>
      <c r="N27" s="234" t="s">
        <v>753</v>
      </c>
      <c r="O27" s="233" t="s">
        <v>211</v>
      </c>
      <c r="P27" s="257"/>
      <c r="Q27" s="258"/>
      <c r="R27" s="260"/>
      <c r="S27" s="260"/>
      <c r="T27" s="260"/>
      <c r="U27" s="260"/>
      <c r="V27" s="260"/>
      <c r="W27" s="260"/>
      <c r="X27" s="260"/>
      <c r="Y27" s="260"/>
      <c r="Z27" s="260"/>
      <c r="AA27" s="260"/>
      <c r="AB27" s="260"/>
      <c r="AC27" s="260"/>
      <c r="AD27" s="260"/>
      <c r="AE27" s="260"/>
      <c r="AF27" s="260"/>
      <c r="AG27" s="258"/>
      <c r="AO27"/>
      <c r="AP27"/>
      <c r="AQ27"/>
      <c r="AR27"/>
      <c r="AS27"/>
      <c r="AT27"/>
      <c r="AU27"/>
      <c r="AV27"/>
      <c r="AW27"/>
      <c r="AX27"/>
      <c r="AY27"/>
      <c r="AZ27"/>
      <c r="BA27"/>
      <c r="BB27"/>
      <c r="BC27"/>
      <c r="BD27"/>
      <c r="BE27"/>
      <c r="BF27"/>
    </row>
    <row r="28" spans="13:58" ht="12" customHeight="1">
      <c r="M28" s="820"/>
      <c r="N28" s="451" t="s">
        <v>766</v>
      </c>
      <c r="O28" s="453" t="s">
        <v>78</v>
      </c>
      <c r="P28" s="260"/>
      <c r="Q28" s="258"/>
      <c r="R28" s="260"/>
      <c r="S28" s="260"/>
      <c r="T28" s="260"/>
      <c r="U28" s="260"/>
      <c r="V28" s="260"/>
      <c r="W28" s="260"/>
      <c r="X28" s="260"/>
      <c r="Y28" s="260"/>
      <c r="Z28" s="260"/>
      <c r="AA28" s="260"/>
      <c r="AB28" s="260"/>
      <c r="AC28" s="260"/>
      <c r="AD28" s="260"/>
      <c r="AE28" s="260"/>
      <c r="AF28" s="260"/>
      <c r="AG28" s="258"/>
      <c r="AO28"/>
      <c r="AP28"/>
      <c r="AQ28"/>
      <c r="AR28"/>
      <c r="AS28"/>
      <c r="AT28"/>
      <c r="AU28"/>
      <c r="AV28"/>
      <c r="AW28"/>
      <c r="AX28"/>
      <c r="AY28"/>
      <c r="AZ28"/>
      <c r="BA28"/>
      <c r="BB28"/>
      <c r="BC28"/>
      <c r="BD28"/>
      <c r="BE28"/>
      <c r="BF28"/>
    </row>
    <row r="29" spans="13:58" ht="12" hidden="1" customHeight="1">
      <c r="M29" s="820"/>
      <c r="N29" s="451" t="s">
        <v>768</v>
      </c>
      <c r="O29" s="454" t="s">
        <v>212</v>
      </c>
      <c r="P29" s="260"/>
      <c r="Q29" s="258"/>
      <c r="R29" s="260"/>
      <c r="S29" s="260"/>
      <c r="T29" s="260"/>
      <c r="U29" s="260"/>
      <c r="V29" s="260"/>
      <c r="W29" s="260"/>
      <c r="X29" s="260"/>
      <c r="Y29" s="260"/>
      <c r="Z29" s="260"/>
      <c r="AA29" s="260"/>
      <c r="AB29" s="260"/>
      <c r="AC29" s="260"/>
      <c r="AD29" s="260"/>
      <c r="AE29" s="260"/>
      <c r="AF29" s="260"/>
      <c r="AG29" s="258"/>
      <c r="AO29"/>
      <c r="AP29"/>
      <c r="AQ29"/>
      <c r="AR29"/>
      <c r="AS29"/>
      <c r="AT29"/>
      <c r="AU29"/>
      <c r="AV29"/>
      <c r="AW29"/>
      <c r="AX29"/>
      <c r="AY29"/>
      <c r="AZ29"/>
      <c r="BA29"/>
      <c r="BB29"/>
      <c r="BC29"/>
      <c r="BD29"/>
      <c r="BE29"/>
      <c r="BF29"/>
    </row>
    <row r="30" spans="13:58" ht="12" hidden="1" customHeight="1">
      <c r="M30" s="820"/>
      <c r="N30" s="451" t="s">
        <v>132</v>
      </c>
      <c r="O30" s="455" t="s">
        <v>79</v>
      </c>
      <c r="P30" s="260"/>
      <c r="Q30" s="258"/>
      <c r="R30" s="260"/>
      <c r="S30" s="260"/>
      <c r="T30" s="260"/>
      <c r="U30" s="260"/>
      <c r="V30" s="260"/>
      <c r="W30" s="260"/>
      <c r="X30" s="260"/>
      <c r="Y30" s="260"/>
      <c r="Z30" s="260"/>
      <c r="AA30" s="260"/>
      <c r="AB30" s="260"/>
      <c r="AC30" s="260"/>
      <c r="AD30" s="260"/>
      <c r="AE30" s="260"/>
      <c r="AF30" s="260"/>
      <c r="AG30" s="258"/>
      <c r="AO30"/>
      <c r="AP30"/>
      <c r="AQ30"/>
      <c r="AR30"/>
      <c r="AS30"/>
      <c r="AT30"/>
      <c r="AU30"/>
      <c r="AV30"/>
      <c r="AW30"/>
      <c r="AX30"/>
      <c r="AY30"/>
      <c r="AZ30"/>
      <c r="BA30"/>
      <c r="BB30"/>
      <c r="BC30"/>
      <c r="BD30"/>
      <c r="BE30"/>
      <c r="BF30"/>
    </row>
    <row r="31" spans="13:58" ht="12" hidden="1" customHeight="1">
      <c r="M31" s="820"/>
      <c r="N31" s="451"/>
      <c r="O31" s="455"/>
      <c r="P31" s="260"/>
      <c r="Q31" s="258"/>
      <c r="R31" s="260"/>
      <c r="S31" s="260"/>
      <c r="T31" s="260"/>
      <c r="U31" s="260"/>
      <c r="V31" s="260"/>
      <c r="W31" s="260"/>
      <c r="X31" s="260"/>
      <c r="Y31" s="260"/>
      <c r="Z31" s="260"/>
      <c r="AA31" s="260"/>
      <c r="AB31" s="260"/>
      <c r="AC31" s="260"/>
      <c r="AD31" s="260"/>
      <c r="AE31" s="260"/>
      <c r="AF31" s="260"/>
      <c r="AG31" s="258"/>
      <c r="AO31"/>
      <c r="AP31"/>
      <c r="AQ31"/>
      <c r="AR31"/>
      <c r="AS31"/>
      <c r="AT31"/>
      <c r="AU31"/>
      <c r="AV31"/>
      <c r="AW31"/>
      <c r="AX31"/>
      <c r="AY31"/>
      <c r="AZ31"/>
      <c r="BA31"/>
      <c r="BB31"/>
      <c r="BC31"/>
      <c r="BD31"/>
      <c r="BE31"/>
      <c r="BF31"/>
    </row>
    <row r="32" spans="13:58" ht="12" hidden="1" customHeight="1">
      <c r="M32" s="820"/>
      <c r="N32" s="451"/>
      <c r="O32" s="455"/>
      <c r="P32" s="260"/>
      <c r="Q32" s="258"/>
      <c r="R32" s="260"/>
      <c r="S32" s="260"/>
      <c r="T32" s="260"/>
      <c r="U32" s="260"/>
      <c r="V32" s="260"/>
      <c r="W32" s="260"/>
      <c r="X32" s="260"/>
      <c r="Y32" s="260"/>
      <c r="Z32" s="260"/>
      <c r="AA32" s="260"/>
      <c r="AB32" s="260"/>
      <c r="AC32" s="260"/>
      <c r="AD32" s="260"/>
      <c r="AE32" s="260"/>
      <c r="AF32" s="260"/>
      <c r="AG32" s="258"/>
      <c r="AO32"/>
      <c r="AP32"/>
      <c r="AQ32"/>
      <c r="AR32"/>
      <c r="AS32"/>
      <c r="AT32"/>
      <c r="AU32"/>
      <c r="AV32"/>
      <c r="AW32"/>
      <c r="AX32"/>
      <c r="AY32"/>
      <c r="AZ32"/>
      <c r="BA32"/>
      <c r="BB32"/>
      <c r="BC32"/>
      <c r="BD32"/>
      <c r="BE32"/>
      <c r="BF32"/>
    </row>
    <row r="33" spans="13:58" ht="12" hidden="1" customHeight="1">
      <c r="M33" s="820"/>
      <c r="N33" s="451"/>
      <c r="O33" s="455"/>
      <c r="P33" s="260"/>
      <c r="Q33" s="258"/>
      <c r="R33" s="260"/>
      <c r="S33" s="260"/>
      <c r="T33" s="260"/>
      <c r="U33" s="260"/>
      <c r="V33" s="260"/>
      <c r="W33" s="260"/>
      <c r="X33" s="260"/>
      <c r="Y33" s="260"/>
      <c r="Z33" s="260"/>
      <c r="AA33" s="260"/>
      <c r="AB33" s="260"/>
      <c r="AC33" s="260"/>
      <c r="AD33" s="260"/>
      <c r="AE33" s="260"/>
      <c r="AF33" s="260"/>
      <c r="AG33" s="258"/>
      <c r="AO33"/>
      <c r="AP33"/>
      <c r="AQ33"/>
      <c r="AR33"/>
      <c r="AS33"/>
      <c r="AT33"/>
      <c r="AU33"/>
      <c r="AV33"/>
      <c r="AW33"/>
      <c r="AX33"/>
      <c r="AY33"/>
      <c r="AZ33"/>
      <c r="BA33"/>
      <c r="BB33"/>
      <c r="BC33"/>
      <c r="BD33"/>
      <c r="BE33"/>
      <c r="BF33"/>
    </row>
    <row r="34" spans="13:58" ht="12" hidden="1" customHeight="1">
      <c r="M34" s="820"/>
      <c r="N34" s="451"/>
      <c r="O34" s="455"/>
      <c r="P34" s="260"/>
      <c r="Q34" s="258"/>
      <c r="R34" s="260"/>
      <c r="S34" s="260"/>
      <c r="T34" s="260"/>
      <c r="U34" s="260"/>
      <c r="V34" s="260"/>
      <c r="W34" s="260"/>
      <c r="X34" s="260"/>
      <c r="Y34" s="260"/>
      <c r="Z34" s="260"/>
      <c r="AA34" s="260"/>
      <c r="AB34" s="260"/>
      <c r="AC34" s="260"/>
      <c r="AD34" s="260"/>
      <c r="AE34" s="260"/>
      <c r="AF34" s="260"/>
      <c r="AG34" s="258"/>
      <c r="AO34"/>
      <c r="AP34"/>
      <c r="AQ34"/>
      <c r="AR34"/>
      <c r="AS34"/>
      <c r="AT34"/>
      <c r="AU34"/>
      <c r="AV34"/>
      <c r="AW34"/>
      <c r="AX34"/>
      <c r="AY34"/>
      <c r="AZ34"/>
      <c r="BA34"/>
      <c r="BB34"/>
      <c r="BC34"/>
      <c r="BD34"/>
      <c r="BE34"/>
      <c r="BF34"/>
    </row>
    <row r="35" spans="13:58" ht="12" hidden="1" customHeight="1">
      <c r="M35" s="820"/>
      <c r="N35" s="451"/>
      <c r="O35" s="455"/>
      <c r="P35" s="260"/>
      <c r="Q35" s="258"/>
      <c r="R35" s="260"/>
      <c r="S35" s="260"/>
      <c r="T35" s="260"/>
      <c r="U35" s="260"/>
      <c r="V35" s="260"/>
      <c r="W35" s="260"/>
      <c r="X35" s="260"/>
      <c r="Y35" s="260"/>
      <c r="Z35" s="260"/>
      <c r="AA35" s="260"/>
      <c r="AB35" s="260"/>
      <c r="AC35" s="260"/>
      <c r="AD35" s="260"/>
      <c r="AE35" s="260"/>
      <c r="AF35" s="260"/>
      <c r="AG35" s="258"/>
      <c r="AO35"/>
      <c r="AP35"/>
      <c r="AQ35"/>
      <c r="AR35"/>
      <c r="AS35"/>
      <c r="AT35"/>
      <c r="AU35"/>
      <c r="AV35"/>
      <c r="AW35"/>
      <c r="AX35"/>
      <c r="AY35"/>
      <c r="AZ35"/>
      <c r="BA35"/>
      <c r="BB35"/>
      <c r="BC35"/>
      <c r="BD35"/>
      <c r="BE35"/>
      <c r="BF35"/>
    </row>
    <row r="36" spans="13:58" ht="12" hidden="1" customHeight="1">
      <c r="M36" s="820"/>
      <c r="N36" s="451"/>
      <c r="O36" s="455"/>
      <c r="P36" s="260"/>
      <c r="Q36" s="258"/>
      <c r="R36" s="260"/>
      <c r="S36" s="260"/>
      <c r="T36" s="260"/>
      <c r="U36" s="260"/>
      <c r="V36" s="260"/>
      <c r="W36" s="260"/>
      <c r="X36" s="260"/>
      <c r="Y36" s="260"/>
      <c r="Z36" s="260"/>
      <c r="AA36" s="260"/>
      <c r="AB36" s="260"/>
      <c r="AC36" s="260"/>
      <c r="AD36" s="260"/>
      <c r="AE36" s="260"/>
      <c r="AF36" s="260"/>
      <c r="AG36" s="258"/>
      <c r="AO36"/>
      <c r="AP36"/>
      <c r="AQ36"/>
      <c r="AR36"/>
      <c r="AS36"/>
      <c r="AT36"/>
      <c r="AU36"/>
      <c r="AV36"/>
      <c r="AW36"/>
      <c r="AX36"/>
      <c r="AY36"/>
      <c r="AZ36"/>
      <c r="BA36"/>
      <c r="BB36"/>
      <c r="BC36"/>
      <c r="BD36"/>
      <c r="BE36"/>
      <c r="BF36"/>
    </row>
    <row r="37" spans="13:58" ht="12" hidden="1" customHeight="1">
      <c r="M37" s="820"/>
      <c r="N37" s="451"/>
      <c r="O37" s="455"/>
      <c r="P37" s="260"/>
      <c r="Q37" s="258"/>
      <c r="R37" s="260"/>
      <c r="S37" s="260"/>
      <c r="T37" s="260"/>
      <c r="U37" s="260"/>
      <c r="V37" s="260"/>
      <c r="W37" s="260"/>
      <c r="X37" s="260"/>
      <c r="Y37" s="260"/>
      <c r="Z37" s="260"/>
      <c r="AA37" s="260"/>
      <c r="AB37" s="260"/>
      <c r="AC37" s="260"/>
      <c r="AD37" s="260"/>
      <c r="AE37" s="260"/>
      <c r="AF37" s="260"/>
      <c r="AG37" s="258"/>
      <c r="AO37"/>
      <c r="AP37"/>
      <c r="AQ37"/>
      <c r="AR37"/>
      <c r="AS37"/>
      <c r="AT37"/>
      <c r="AU37"/>
      <c r="AV37"/>
      <c r="AW37"/>
      <c r="AX37"/>
      <c r="AY37"/>
      <c r="AZ37"/>
      <c r="BA37"/>
      <c r="BB37"/>
      <c r="BC37"/>
      <c r="BD37"/>
      <c r="BE37"/>
      <c r="BF37"/>
    </row>
    <row r="38" spans="13:58" ht="12" hidden="1" customHeight="1">
      <c r="M38" s="820"/>
      <c r="N38" s="451" t="s">
        <v>80</v>
      </c>
      <c r="O38" s="455" t="s">
        <v>81</v>
      </c>
      <c r="P38" s="260"/>
      <c r="Q38" s="258"/>
      <c r="R38" s="260"/>
      <c r="S38" s="260"/>
      <c r="T38" s="260"/>
      <c r="U38" s="260"/>
      <c r="V38" s="260"/>
      <c r="W38" s="260"/>
      <c r="X38" s="260"/>
      <c r="Y38" s="260"/>
      <c r="Z38" s="260"/>
      <c r="AA38" s="260"/>
      <c r="AB38" s="260"/>
      <c r="AC38" s="260"/>
      <c r="AD38" s="260"/>
      <c r="AE38" s="260"/>
      <c r="AF38" s="260"/>
      <c r="AG38" s="258"/>
      <c r="AO38"/>
      <c r="AP38"/>
      <c r="AQ38"/>
      <c r="AR38"/>
      <c r="AS38"/>
      <c r="AT38"/>
      <c r="AU38"/>
      <c r="AV38"/>
      <c r="AW38"/>
      <c r="AX38"/>
      <c r="AY38"/>
      <c r="AZ38"/>
      <c r="BA38"/>
      <c r="BB38"/>
      <c r="BC38"/>
      <c r="BD38"/>
      <c r="BE38"/>
      <c r="BF38"/>
    </row>
    <row r="39" spans="13:58" ht="12" hidden="1" customHeight="1">
      <c r="M39" s="820"/>
      <c r="N39" s="451"/>
      <c r="O39" s="455"/>
      <c r="P39" s="260"/>
      <c r="Q39" s="258"/>
      <c r="R39" s="260"/>
      <c r="S39" s="260"/>
      <c r="T39" s="260"/>
      <c r="U39" s="260"/>
      <c r="V39" s="260"/>
      <c r="W39" s="260"/>
      <c r="X39" s="260"/>
      <c r="Y39" s="260"/>
      <c r="Z39" s="260"/>
      <c r="AA39" s="260"/>
      <c r="AB39" s="260"/>
      <c r="AC39" s="260"/>
      <c r="AD39" s="260"/>
      <c r="AE39" s="260"/>
      <c r="AF39" s="260"/>
      <c r="AG39" s="258"/>
      <c r="AO39"/>
      <c r="AP39"/>
      <c r="AQ39"/>
      <c r="AR39"/>
      <c r="AS39"/>
      <c r="AT39"/>
      <c r="AU39"/>
      <c r="AV39"/>
      <c r="AW39"/>
      <c r="AX39"/>
      <c r="AY39"/>
      <c r="AZ39"/>
      <c r="BA39"/>
      <c r="BB39"/>
      <c r="BC39"/>
      <c r="BD39"/>
      <c r="BE39"/>
      <c r="BF39"/>
    </row>
    <row r="40" spans="13:58" ht="12" hidden="1" customHeight="1">
      <c r="M40" s="820"/>
      <c r="N40" s="451"/>
      <c r="O40" s="455"/>
      <c r="P40" s="260"/>
      <c r="Q40" s="258"/>
      <c r="R40" s="260"/>
      <c r="S40" s="260"/>
      <c r="T40" s="260"/>
      <c r="U40" s="260"/>
      <c r="V40" s="260"/>
      <c r="W40" s="260"/>
      <c r="X40" s="260"/>
      <c r="Y40" s="260"/>
      <c r="Z40" s="260"/>
      <c r="AA40" s="260"/>
      <c r="AB40" s="260"/>
      <c r="AC40" s="260"/>
      <c r="AD40" s="260"/>
      <c r="AE40" s="260"/>
      <c r="AF40" s="260"/>
      <c r="AG40" s="258"/>
      <c r="AO40"/>
      <c r="AP40"/>
      <c r="AQ40"/>
      <c r="AR40"/>
      <c r="AS40"/>
      <c r="AT40"/>
      <c r="AU40"/>
      <c r="AV40"/>
      <c r="AW40"/>
      <c r="AX40"/>
      <c r="AY40"/>
      <c r="AZ40"/>
      <c r="BA40"/>
      <c r="BB40"/>
      <c r="BC40"/>
      <c r="BD40"/>
      <c r="BE40"/>
      <c r="BF40"/>
    </row>
    <row r="41" spans="13:58" ht="12" hidden="1" customHeight="1">
      <c r="M41" s="820"/>
      <c r="N41" s="451"/>
      <c r="O41" s="455"/>
      <c r="P41" s="260"/>
      <c r="Q41" s="258"/>
      <c r="R41" s="260"/>
      <c r="S41" s="260"/>
      <c r="T41" s="260"/>
      <c r="U41" s="260"/>
      <c r="V41" s="260"/>
      <c r="W41" s="260"/>
      <c r="X41" s="260"/>
      <c r="Y41" s="260"/>
      <c r="Z41" s="260"/>
      <c r="AA41" s="260"/>
      <c r="AB41" s="260"/>
      <c r="AC41" s="260"/>
      <c r="AD41" s="260"/>
      <c r="AE41" s="260"/>
      <c r="AF41" s="260"/>
      <c r="AG41" s="258"/>
      <c r="AO41"/>
      <c r="AP41"/>
      <c r="AQ41"/>
      <c r="AR41"/>
      <c r="AS41"/>
      <c r="AT41"/>
      <c r="AU41"/>
      <c r="AV41"/>
      <c r="AW41"/>
      <c r="AX41"/>
      <c r="AY41"/>
      <c r="AZ41"/>
      <c r="BA41"/>
      <c r="BB41"/>
      <c r="BC41"/>
      <c r="BD41"/>
      <c r="BE41"/>
      <c r="BF41"/>
    </row>
    <row r="42" spans="13:58" ht="12" hidden="1" customHeight="1">
      <c r="M42" s="820"/>
      <c r="N42" s="451"/>
      <c r="O42" s="455"/>
      <c r="P42" s="260"/>
      <c r="Q42" s="258"/>
      <c r="R42" s="260"/>
      <c r="S42" s="260"/>
      <c r="T42" s="260"/>
      <c r="U42" s="260"/>
      <c r="V42" s="260"/>
      <c r="W42" s="260"/>
      <c r="X42" s="260"/>
      <c r="Y42" s="260"/>
      <c r="Z42" s="260"/>
      <c r="AA42" s="260"/>
      <c r="AB42" s="260"/>
      <c r="AC42" s="260"/>
      <c r="AD42" s="260"/>
      <c r="AE42" s="260"/>
      <c r="AF42" s="260"/>
      <c r="AG42" s="258"/>
      <c r="AO42"/>
      <c r="AP42"/>
      <c r="AQ42"/>
      <c r="AR42"/>
      <c r="AS42"/>
      <c r="AT42"/>
      <c r="AU42"/>
      <c r="AV42"/>
      <c r="AW42"/>
      <c r="AX42"/>
      <c r="AY42"/>
      <c r="AZ42"/>
      <c r="BA42"/>
      <c r="BB42"/>
      <c r="BC42"/>
      <c r="BD42"/>
      <c r="BE42"/>
      <c r="BF42"/>
    </row>
    <row r="43" spans="13:58" ht="12" hidden="1" customHeight="1">
      <c r="M43" s="820"/>
      <c r="N43" s="451"/>
      <c r="O43" s="455"/>
      <c r="P43" s="260"/>
      <c r="Q43" s="258"/>
      <c r="R43" s="260"/>
      <c r="S43" s="260"/>
      <c r="T43" s="260"/>
      <c r="U43" s="260"/>
      <c r="V43" s="260"/>
      <c r="W43" s="260"/>
      <c r="X43" s="260"/>
      <c r="Y43" s="260"/>
      <c r="Z43" s="260"/>
      <c r="AA43" s="260"/>
      <c r="AB43" s="260"/>
      <c r="AC43" s="260"/>
      <c r="AD43" s="260"/>
      <c r="AE43" s="260"/>
      <c r="AF43" s="260"/>
      <c r="AG43" s="258"/>
      <c r="AO43"/>
      <c r="AP43"/>
      <c r="AQ43"/>
      <c r="AR43"/>
      <c r="AS43"/>
      <c r="AT43"/>
      <c r="AU43"/>
      <c r="AV43"/>
      <c r="AW43"/>
      <c r="AX43"/>
      <c r="AY43"/>
      <c r="AZ43"/>
      <c r="BA43"/>
      <c r="BB43"/>
      <c r="BC43"/>
      <c r="BD43"/>
      <c r="BE43"/>
      <c r="BF43"/>
    </row>
    <row r="44" spans="13:58" ht="12" hidden="1" customHeight="1">
      <c r="M44" s="820"/>
      <c r="N44" s="451"/>
      <c r="O44" s="455"/>
      <c r="P44" s="260"/>
      <c r="Q44" s="258"/>
      <c r="R44" s="260"/>
      <c r="S44" s="260"/>
      <c r="T44" s="260"/>
      <c r="U44" s="260"/>
      <c r="V44" s="260"/>
      <c r="W44" s="260"/>
      <c r="X44" s="260"/>
      <c r="Y44" s="260"/>
      <c r="Z44" s="260"/>
      <c r="AA44" s="260"/>
      <c r="AB44" s="260"/>
      <c r="AC44" s="260"/>
      <c r="AD44" s="260"/>
      <c r="AE44" s="260"/>
      <c r="AF44" s="260"/>
      <c r="AG44" s="258"/>
      <c r="AO44"/>
      <c r="AP44"/>
      <c r="AQ44"/>
      <c r="AR44"/>
      <c r="AS44"/>
      <c r="AT44"/>
      <c r="AU44"/>
      <c r="AV44"/>
      <c r="AW44"/>
      <c r="AX44"/>
      <c r="AY44"/>
      <c r="AZ44"/>
      <c r="BA44"/>
      <c r="BB44"/>
      <c r="BC44"/>
      <c r="BD44"/>
      <c r="BE44"/>
      <c r="BF44"/>
    </row>
    <row r="45" spans="13:58" ht="12" hidden="1" customHeight="1">
      <c r="M45" s="820"/>
      <c r="N45" s="451"/>
      <c r="O45" s="455"/>
      <c r="P45" s="260"/>
      <c r="Q45" s="258"/>
      <c r="R45" s="260"/>
      <c r="S45" s="260"/>
      <c r="T45" s="260"/>
      <c r="U45" s="260"/>
      <c r="V45" s="260"/>
      <c r="W45" s="260"/>
      <c r="X45" s="260"/>
      <c r="Y45" s="260"/>
      <c r="Z45" s="260"/>
      <c r="AA45" s="260"/>
      <c r="AB45" s="260"/>
      <c r="AC45" s="260"/>
      <c r="AD45" s="260"/>
      <c r="AE45" s="260"/>
      <c r="AF45" s="260"/>
      <c r="AG45" s="258"/>
      <c r="AO45"/>
      <c r="AP45"/>
      <c r="AQ45"/>
      <c r="AR45"/>
      <c r="AS45"/>
      <c r="AT45"/>
      <c r="AU45"/>
      <c r="AV45"/>
      <c r="AW45"/>
      <c r="AX45"/>
      <c r="AY45"/>
      <c r="AZ45"/>
      <c r="BA45"/>
      <c r="BB45"/>
      <c r="BC45"/>
      <c r="BD45"/>
      <c r="BE45"/>
      <c r="BF45"/>
    </row>
    <row r="46" spans="13:58" ht="12" hidden="1" customHeight="1">
      <c r="M46" s="820"/>
      <c r="N46" s="451" t="s">
        <v>82</v>
      </c>
      <c r="O46" s="455" t="s">
        <v>83</v>
      </c>
      <c r="P46" s="260"/>
      <c r="Q46" s="258"/>
      <c r="R46" s="260"/>
      <c r="S46" s="260"/>
      <c r="T46" s="260"/>
      <c r="U46" s="260"/>
      <c r="V46" s="260"/>
      <c r="W46" s="260"/>
      <c r="X46" s="260"/>
      <c r="Y46" s="260"/>
      <c r="Z46" s="260"/>
      <c r="AA46" s="260"/>
      <c r="AB46" s="260"/>
      <c r="AC46" s="260"/>
      <c r="AD46" s="260"/>
      <c r="AE46" s="260"/>
      <c r="AF46" s="260"/>
      <c r="AG46" s="258"/>
      <c r="AO46"/>
      <c r="AP46"/>
      <c r="AQ46"/>
      <c r="AR46"/>
      <c r="AS46"/>
      <c r="AT46"/>
      <c r="AU46"/>
      <c r="AV46"/>
      <c r="AW46"/>
      <c r="AX46"/>
      <c r="AY46"/>
      <c r="AZ46"/>
      <c r="BA46"/>
      <c r="BB46"/>
      <c r="BC46"/>
      <c r="BD46"/>
      <c r="BE46"/>
      <c r="BF46"/>
    </row>
    <row r="47" spans="13:58" ht="12" hidden="1" customHeight="1">
      <c r="M47" s="820"/>
      <c r="N47" s="451" t="s">
        <v>84</v>
      </c>
      <c r="O47" s="457" t="s">
        <v>85</v>
      </c>
      <c r="P47" s="260"/>
      <c r="Q47" s="258"/>
      <c r="R47" s="260"/>
      <c r="S47" s="260"/>
      <c r="T47" s="260"/>
      <c r="U47" s="260"/>
      <c r="V47" s="260"/>
      <c r="W47" s="260"/>
      <c r="X47" s="260"/>
      <c r="Y47" s="260"/>
      <c r="Z47" s="260"/>
      <c r="AA47" s="260"/>
      <c r="AB47" s="260"/>
      <c r="AC47" s="260"/>
      <c r="AD47" s="260"/>
      <c r="AE47" s="260"/>
      <c r="AF47" s="260"/>
      <c r="AG47" s="258"/>
      <c r="AO47"/>
      <c r="AP47"/>
      <c r="AQ47"/>
      <c r="AR47"/>
      <c r="AS47"/>
      <c r="AT47"/>
      <c r="AU47"/>
      <c r="AV47"/>
      <c r="AW47"/>
      <c r="AX47"/>
      <c r="AY47"/>
      <c r="AZ47"/>
      <c r="BA47"/>
      <c r="BB47"/>
      <c r="BC47"/>
      <c r="BD47"/>
      <c r="BE47"/>
      <c r="BF47"/>
    </row>
    <row r="48" spans="13:58" ht="12" hidden="1" customHeight="1">
      <c r="M48" s="820"/>
      <c r="N48" s="451" t="s">
        <v>86</v>
      </c>
      <c r="O48" s="457" t="s">
        <v>87</v>
      </c>
      <c r="P48" s="260"/>
      <c r="Q48" s="258"/>
      <c r="R48" s="260"/>
      <c r="S48" s="260"/>
      <c r="T48" s="260"/>
      <c r="U48" s="260"/>
      <c r="V48" s="260"/>
      <c r="W48" s="260"/>
      <c r="X48" s="260"/>
      <c r="Y48" s="260"/>
      <c r="Z48" s="260"/>
      <c r="AA48" s="260"/>
      <c r="AB48" s="260"/>
      <c r="AC48" s="260"/>
      <c r="AD48" s="260"/>
      <c r="AE48" s="260"/>
      <c r="AF48" s="260"/>
      <c r="AG48" s="258"/>
      <c r="AO48"/>
      <c r="AP48"/>
      <c r="AQ48"/>
      <c r="AR48"/>
      <c r="AS48"/>
      <c r="AT48"/>
      <c r="AU48"/>
      <c r="AV48"/>
      <c r="AW48"/>
      <c r="AX48"/>
      <c r="AY48"/>
      <c r="AZ48"/>
      <c r="BA48"/>
      <c r="BB48"/>
      <c r="BC48"/>
      <c r="BD48"/>
      <c r="BE48"/>
      <c r="BF48"/>
    </row>
    <row r="49" spans="13:58" ht="12" hidden="1" customHeight="1">
      <c r="M49" s="820"/>
      <c r="N49" s="451" t="s">
        <v>88</v>
      </c>
      <c r="O49" s="457" t="s">
        <v>89</v>
      </c>
      <c r="P49" s="260"/>
      <c r="Q49" s="258"/>
      <c r="R49" s="260"/>
      <c r="S49" s="260"/>
      <c r="T49" s="260"/>
      <c r="U49" s="260"/>
      <c r="V49" s="260"/>
      <c r="W49" s="260"/>
      <c r="X49" s="260"/>
      <c r="Y49" s="260"/>
      <c r="Z49" s="260"/>
      <c r="AA49" s="260"/>
      <c r="AB49" s="260"/>
      <c r="AC49" s="260"/>
      <c r="AD49" s="260"/>
      <c r="AE49" s="260"/>
      <c r="AF49" s="260"/>
      <c r="AG49" s="258"/>
      <c r="AO49"/>
      <c r="AP49"/>
      <c r="AQ49"/>
      <c r="AR49"/>
      <c r="AS49"/>
      <c r="AT49"/>
      <c r="AU49"/>
      <c r="AV49"/>
      <c r="AW49"/>
      <c r="AX49"/>
      <c r="AY49"/>
      <c r="AZ49"/>
      <c r="BA49"/>
      <c r="BB49"/>
      <c r="BC49"/>
      <c r="BD49"/>
      <c r="BE49"/>
      <c r="BF49"/>
    </row>
    <row r="50" spans="13:58" ht="12" hidden="1" customHeight="1">
      <c r="M50" s="820"/>
      <c r="N50" s="451" t="s">
        <v>90</v>
      </c>
      <c r="O50" s="457" t="s">
        <v>91</v>
      </c>
      <c r="P50" s="260"/>
      <c r="Q50" s="258"/>
      <c r="R50" s="260"/>
      <c r="S50" s="260"/>
      <c r="T50" s="260"/>
      <c r="U50" s="260"/>
      <c r="V50" s="260"/>
      <c r="W50" s="260"/>
      <c r="X50" s="260"/>
      <c r="Y50" s="260"/>
      <c r="Z50" s="260"/>
      <c r="AA50" s="260"/>
      <c r="AB50" s="260"/>
      <c r="AC50" s="260"/>
      <c r="AD50" s="260"/>
      <c r="AE50" s="260"/>
      <c r="AF50" s="260"/>
      <c r="AG50" s="258"/>
      <c r="AO50"/>
      <c r="AP50"/>
      <c r="AQ50"/>
      <c r="AR50"/>
      <c r="AS50"/>
      <c r="AT50"/>
      <c r="AU50"/>
      <c r="AV50"/>
      <c r="AW50"/>
      <c r="AX50"/>
      <c r="AY50"/>
      <c r="AZ50"/>
      <c r="BA50"/>
      <c r="BB50"/>
      <c r="BC50"/>
      <c r="BD50"/>
      <c r="BE50"/>
      <c r="BF50"/>
    </row>
    <row r="51" spans="13:58" ht="12" hidden="1" customHeight="1">
      <c r="M51" s="820"/>
      <c r="N51" s="451" t="s">
        <v>92</v>
      </c>
      <c r="O51" s="457" t="s">
        <v>93</v>
      </c>
      <c r="P51" s="260"/>
      <c r="Q51" s="258"/>
      <c r="R51" s="260"/>
      <c r="S51" s="260"/>
      <c r="T51" s="260"/>
      <c r="U51" s="260"/>
      <c r="V51" s="260"/>
      <c r="W51" s="260"/>
      <c r="X51" s="260"/>
      <c r="Y51" s="260"/>
      <c r="Z51" s="260"/>
      <c r="AA51" s="260"/>
      <c r="AB51" s="260"/>
      <c r="AC51" s="260"/>
      <c r="AD51" s="260"/>
      <c r="AE51" s="260"/>
      <c r="AF51" s="260"/>
      <c r="AG51" s="258"/>
      <c r="AO51"/>
      <c r="AP51"/>
      <c r="AQ51"/>
      <c r="AR51"/>
      <c r="AS51"/>
      <c r="AT51"/>
      <c r="AU51"/>
      <c r="AV51"/>
      <c r="AW51"/>
      <c r="AX51"/>
      <c r="AY51"/>
      <c r="AZ51"/>
      <c r="BA51"/>
      <c r="BB51"/>
      <c r="BC51"/>
      <c r="BD51"/>
      <c r="BE51"/>
      <c r="BF51"/>
    </row>
    <row r="52" spans="13:58" ht="12" hidden="1" customHeight="1">
      <c r="M52" s="820"/>
      <c r="N52" s="451" t="s">
        <v>94</v>
      </c>
      <c r="O52" s="457" t="s">
        <v>95</v>
      </c>
      <c r="P52" s="260"/>
      <c r="Q52" s="258"/>
      <c r="R52" s="260"/>
      <c r="S52" s="260"/>
      <c r="T52" s="260"/>
      <c r="U52" s="260"/>
      <c r="V52" s="260"/>
      <c r="W52" s="260"/>
      <c r="X52" s="260"/>
      <c r="Y52" s="260"/>
      <c r="Z52" s="260"/>
      <c r="AA52" s="260"/>
      <c r="AB52" s="260"/>
      <c r="AC52" s="260"/>
      <c r="AD52" s="260"/>
      <c r="AE52" s="260"/>
      <c r="AF52" s="260"/>
      <c r="AG52" s="258"/>
      <c r="AO52"/>
      <c r="AP52"/>
      <c r="AQ52"/>
      <c r="AR52"/>
      <c r="AS52"/>
      <c r="AT52"/>
      <c r="AU52"/>
      <c r="AV52"/>
      <c r="AW52"/>
      <c r="AX52"/>
      <c r="AY52"/>
      <c r="AZ52"/>
      <c r="BA52"/>
      <c r="BB52"/>
      <c r="BC52"/>
      <c r="BD52"/>
      <c r="BE52"/>
      <c r="BF52"/>
    </row>
    <row r="53" spans="13:58" ht="12" hidden="1" customHeight="1">
      <c r="M53" s="820"/>
      <c r="N53" s="451" t="s">
        <v>2975</v>
      </c>
      <c r="O53" s="457" t="s">
        <v>2976</v>
      </c>
      <c r="P53" s="260"/>
      <c r="Q53" s="258"/>
      <c r="R53" s="260"/>
      <c r="S53" s="260"/>
      <c r="T53" s="260"/>
      <c r="U53" s="260"/>
      <c r="V53" s="260"/>
      <c r="W53" s="260"/>
      <c r="X53" s="260"/>
      <c r="Y53" s="260"/>
      <c r="Z53" s="260"/>
      <c r="AA53" s="260"/>
      <c r="AB53" s="260"/>
      <c r="AC53" s="260"/>
      <c r="AD53" s="260"/>
      <c r="AE53" s="260"/>
      <c r="AF53" s="260"/>
      <c r="AG53" s="258"/>
      <c r="AO53"/>
      <c r="AP53"/>
      <c r="AQ53"/>
      <c r="AR53"/>
      <c r="AS53"/>
      <c r="AT53"/>
      <c r="AU53"/>
      <c r="AV53"/>
      <c r="AW53"/>
      <c r="AX53"/>
      <c r="AY53"/>
      <c r="AZ53"/>
      <c r="BA53"/>
      <c r="BB53"/>
      <c r="BC53"/>
      <c r="BD53"/>
      <c r="BE53"/>
      <c r="BF53"/>
    </row>
    <row r="54" spans="13:58" ht="12" hidden="1" customHeight="1">
      <c r="M54" s="820"/>
      <c r="N54" s="451" t="s">
        <v>2977</v>
      </c>
      <c r="O54" s="457" t="s">
        <v>2978</v>
      </c>
      <c r="P54" s="260"/>
      <c r="Q54" s="258"/>
      <c r="R54" s="260"/>
      <c r="S54" s="260"/>
      <c r="T54" s="260"/>
      <c r="U54" s="260"/>
      <c r="V54" s="260"/>
      <c r="W54" s="260"/>
      <c r="X54" s="260"/>
      <c r="Y54" s="260"/>
      <c r="Z54" s="260"/>
      <c r="AA54" s="260"/>
      <c r="AB54" s="260"/>
      <c r="AC54" s="260"/>
      <c r="AD54" s="260"/>
      <c r="AE54" s="260"/>
      <c r="AF54" s="260"/>
      <c r="AG54" s="258"/>
      <c r="AO54"/>
      <c r="AP54"/>
      <c r="AQ54"/>
      <c r="AR54"/>
      <c r="AS54"/>
      <c r="AT54"/>
      <c r="AU54"/>
      <c r="AV54"/>
      <c r="AW54"/>
      <c r="AX54"/>
      <c r="AY54"/>
      <c r="AZ54"/>
      <c r="BA54"/>
      <c r="BB54"/>
      <c r="BC54"/>
      <c r="BD54"/>
      <c r="BE54"/>
      <c r="BF54"/>
    </row>
    <row r="55" spans="13:58" ht="12" hidden="1" customHeight="1">
      <c r="M55" s="820"/>
      <c r="N55" s="451" t="s">
        <v>2979</v>
      </c>
      <c r="O55" s="457" t="s">
        <v>2980</v>
      </c>
      <c r="P55" s="260"/>
      <c r="Q55" s="258"/>
      <c r="R55" s="260"/>
      <c r="S55" s="260"/>
      <c r="T55" s="260"/>
      <c r="U55" s="260"/>
      <c r="V55" s="260"/>
      <c r="W55" s="260"/>
      <c r="X55" s="260"/>
      <c r="Y55" s="260"/>
      <c r="Z55" s="260"/>
      <c r="AA55" s="260"/>
      <c r="AB55" s="260"/>
      <c r="AC55" s="260"/>
      <c r="AD55" s="260"/>
      <c r="AE55" s="260"/>
      <c r="AF55" s="260"/>
      <c r="AG55" s="258"/>
      <c r="AO55"/>
      <c r="AP55"/>
      <c r="AQ55"/>
      <c r="AR55"/>
      <c r="AS55"/>
      <c r="AT55"/>
      <c r="AU55"/>
      <c r="AV55"/>
      <c r="AW55"/>
      <c r="AX55"/>
      <c r="AY55"/>
      <c r="AZ55"/>
      <c r="BA55"/>
      <c r="BB55"/>
      <c r="BC55"/>
      <c r="BD55"/>
      <c r="BE55"/>
      <c r="BF55"/>
    </row>
    <row r="56" spans="13:58" ht="12" hidden="1" customHeight="1">
      <c r="M56" s="820"/>
      <c r="N56" s="451" t="s">
        <v>2981</v>
      </c>
      <c r="O56" s="457" t="s">
        <v>2982</v>
      </c>
      <c r="P56" s="260"/>
      <c r="Q56" s="258"/>
      <c r="R56" s="260"/>
      <c r="S56" s="260"/>
      <c r="T56" s="260"/>
      <c r="U56" s="260"/>
      <c r="V56" s="260"/>
      <c r="W56" s="260"/>
      <c r="X56" s="260"/>
      <c r="Y56" s="260"/>
      <c r="Z56" s="260"/>
      <c r="AA56" s="260"/>
      <c r="AB56" s="260"/>
      <c r="AC56" s="260"/>
      <c r="AD56" s="260"/>
      <c r="AE56" s="260"/>
      <c r="AF56" s="260"/>
      <c r="AG56" s="258"/>
      <c r="AO56"/>
      <c r="AP56"/>
      <c r="AQ56"/>
      <c r="AR56"/>
      <c r="AS56"/>
      <c r="AT56"/>
      <c r="AU56"/>
      <c r="AV56"/>
      <c r="AW56"/>
      <c r="AX56"/>
      <c r="AY56"/>
      <c r="AZ56"/>
      <c r="BA56"/>
      <c r="BB56"/>
      <c r="BC56"/>
      <c r="BD56"/>
      <c r="BE56"/>
      <c r="BF56"/>
    </row>
    <row r="57" spans="13:58" ht="12" hidden="1" customHeight="1">
      <c r="M57" s="820"/>
      <c r="N57" s="451" t="s">
        <v>2983</v>
      </c>
      <c r="O57" s="224" t="s">
        <v>2984</v>
      </c>
      <c r="P57" s="260"/>
      <c r="Q57" s="258"/>
      <c r="R57" s="260"/>
      <c r="S57" s="260"/>
      <c r="T57" s="260"/>
      <c r="U57" s="260"/>
      <c r="V57" s="260"/>
      <c r="W57" s="260"/>
      <c r="X57" s="260"/>
      <c r="Y57" s="260"/>
      <c r="Z57" s="260"/>
      <c r="AA57" s="260"/>
      <c r="AB57" s="260"/>
      <c r="AC57" s="260"/>
      <c r="AD57" s="260"/>
      <c r="AE57" s="260"/>
      <c r="AF57" s="260"/>
      <c r="AG57" s="258"/>
      <c r="AO57"/>
      <c r="AP57"/>
      <c r="AQ57"/>
      <c r="AR57"/>
      <c r="AS57"/>
      <c r="AT57"/>
      <c r="AU57"/>
      <c r="AV57"/>
      <c r="AW57"/>
      <c r="AX57"/>
      <c r="AY57"/>
      <c r="AZ57"/>
      <c r="BA57"/>
      <c r="BB57"/>
      <c r="BC57"/>
      <c r="BD57"/>
      <c r="BE57"/>
      <c r="BF57"/>
    </row>
    <row r="58" spans="13:58" ht="12" hidden="1" customHeight="1">
      <c r="M58" s="820"/>
      <c r="N58" s="451" t="s">
        <v>2989</v>
      </c>
      <c r="O58" s="224" t="s">
        <v>2990</v>
      </c>
      <c r="P58" s="260"/>
      <c r="Q58" s="258"/>
      <c r="R58" s="260"/>
      <c r="S58" s="260"/>
      <c r="T58" s="260"/>
      <c r="U58" s="260"/>
      <c r="V58" s="260"/>
      <c r="W58" s="260"/>
      <c r="X58" s="260"/>
      <c r="Y58" s="260"/>
      <c r="Z58" s="260"/>
      <c r="AA58" s="260"/>
      <c r="AB58" s="260"/>
      <c r="AC58" s="260"/>
      <c r="AD58" s="260"/>
      <c r="AE58" s="260"/>
      <c r="AF58" s="260"/>
      <c r="AG58" s="258"/>
      <c r="AO58"/>
      <c r="AP58"/>
      <c r="AQ58"/>
      <c r="AR58"/>
      <c r="AS58"/>
      <c r="AT58"/>
      <c r="AU58"/>
      <c r="AV58"/>
      <c r="AW58"/>
      <c r="AX58"/>
      <c r="AY58"/>
      <c r="AZ58"/>
      <c r="BA58"/>
      <c r="BB58"/>
      <c r="BC58"/>
      <c r="BD58"/>
      <c r="BE58"/>
      <c r="BF58"/>
    </row>
    <row r="59" spans="13:58" ht="12" hidden="1" customHeight="1">
      <c r="M59" s="820"/>
      <c r="N59" s="451" t="s">
        <v>292</v>
      </c>
      <c r="O59" s="442" t="s">
        <v>291</v>
      </c>
      <c r="P59" s="260"/>
      <c r="Q59" s="258"/>
      <c r="R59" s="260"/>
      <c r="S59" s="260"/>
      <c r="T59" s="260"/>
      <c r="U59" s="260"/>
      <c r="V59" s="260"/>
      <c r="W59" s="260"/>
      <c r="X59" s="260"/>
      <c r="Y59" s="260"/>
      <c r="Z59" s="260"/>
      <c r="AA59" s="260"/>
      <c r="AB59" s="260"/>
      <c r="AC59" s="260"/>
      <c r="AD59" s="260"/>
      <c r="AE59" s="260"/>
      <c r="AF59" s="260"/>
      <c r="AG59" s="258"/>
      <c r="AO59"/>
      <c r="AP59"/>
      <c r="AQ59"/>
      <c r="AR59"/>
      <c r="AS59"/>
      <c r="AT59"/>
      <c r="AU59"/>
      <c r="AV59"/>
      <c r="AW59"/>
      <c r="AX59"/>
      <c r="AY59"/>
      <c r="AZ59"/>
      <c r="BA59"/>
      <c r="BB59"/>
      <c r="BC59"/>
      <c r="BD59"/>
      <c r="BE59"/>
      <c r="BF59"/>
    </row>
    <row r="60" spans="13:58" ht="12" hidden="1" customHeight="1">
      <c r="M60" s="820"/>
      <c r="N60" s="239"/>
      <c r="O60" s="225"/>
      <c r="P60" s="260"/>
      <c r="Q60" s="258"/>
      <c r="R60" s="260"/>
      <c r="S60" s="260"/>
      <c r="T60" s="260"/>
      <c r="U60" s="260"/>
      <c r="V60" s="260"/>
      <c r="W60" s="260"/>
      <c r="X60" s="260"/>
      <c r="Y60" s="260"/>
      <c r="Z60" s="260"/>
      <c r="AA60" s="260"/>
      <c r="AB60" s="260"/>
      <c r="AC60" s="260"/>
      <c r="AD60" s="260"/>
      <c r="AE60" s="260"/>
      <c r="AF60" s="260"/>
      <c r="AG60" s="258"/>
      <c r="AO60"/>
      <c r="AP60"/>
      <c r="AQ60"/>
      <c r="AR60"/>
      <c r="AS60"/>
      <c r="AT60"/>
      <c r="AU60"/>
      <c r="AV60"/>
      <c r="AW60"/>
      <c r="AX60"/>
      <c r="AY60"/>
      <c r="AZ60"/>
      <c r="BA60"/>
      <c r="BB60"/>
      <c r="BC60"/>
      <c r="BD60"/>
      <c r="BE60"/>
      <c r="BF60"/>
    </row>
    <row r="61" spans="13:58" ht="12" hidden="1" customHeight="1">
      <c r="M61" s="820"/>
      <c r="N61" s="239"/>
      <c r="O61" s="225"/>
      <c r="P61" s="260"/>
      <c r="Q61" s="258"/>
      <c r="R61" s="260"/>
      <c r="S61" s="260"/>
      <c r="T61" s="260"/>
      <c r="U61" s="260"/>
      <c r="V61" s="260"/>
      <c r="W61" s="260"/>
      <c r="X61" s="260"/>
      <c r="Y61" s="260"/>
      <c r="Z61" s="260"/>
      <c r="AA61" s="260"/>
      <c r="AB61" s="260"/>
      <c r="AC61" s="260"/>
      <c r="AD61" s="260"/>
      <c r="AE61" s="260"/>
      <c r="AF61" s="260"/>
      <c r="AG61" s="258"/>
      <c r="AO61"/>
      <c r="AP61"/>
      <c r="AQ61"/>
      <c r="AR61"/>
      <c r="AS61"/>
      <c r="AT61"/>
      <c r="AU61"/>
      <c r="AV61"/>
      <c r="AW61"/>
      <c r="AX61"/>
      <c r="AY61"/>
      <c r="AZ61"/>
      <c r="BA61"/>
      <c r="BB61"/>
      <c r="BC61"/>
      <c r="BD61"/>
      <c r="BE61"/>
      <c r="BF61"/>
    </row>
    <row r="62" spans="13:58" ht="12" hidden="1" customHeight="1">
      <c r="M62" s="820"/>
      <c r="N62" s="239"/>
      <c r="O62" s="225"/>
      <c r="P62" s="260"/>
      <c r="Q62" s="258"/>
      <c r="R62" s="260"/>
      <c r="S62" s="260"/>
      <c r="T62" s="260"/>
      <c r="U62" s="260"/>
      <c r="V62" s="260"/>
      <c r="W62" s="260"/>
      <c r="X62" s="260"/>
      <c r="Y62" s="260"/>
      <c r="Z62" s="260"/>
      <c r="AA62" s="260"/>
      <c r="AB62" s="260"/>
      <c r="AC62" s="260"/>
      <c r="AD62" s="260"/>
      <c r="AE62" s="260"/>
      <c r="AF62" s="260"/>
      <c r="AG62" s="258"/>
      <c r="AO62"/>
      <c r="AP62"/>
      <c r="AQ62"/>
      <c r="AR62"/>
      <c r="AS62"/>
      <c r="AT62"/>
      <c r="AU62"/>
      <c r="AV62"/>
      <c r="AW62"/>
      <c r="AX62"/>
      <c r="AY62"/>
      <c r="AZ62"/>
      <c r="BA62"/>
      <c r="BB62"/>
      <c r="BC62"/>
      <c r="BD62"/>
      <c r="BE62"/>
      <c r="BF62"/>
    </row>
    <row r="63" spans="13:58" ht="12" hidden="1" customHeight="1">
      <c r="M63" s="820"/>
      <c r="N63" s="239"/>
      <c r="O63" s="225"/>
      <c r="P63" s="260"/>
      <c r="Q63" s="258"/>
      <c r="R63" s="260"/>
      <c r="S63" s="260"/>
      <c r="T63" s="260"/>
      <c r="U63" s="260"/>
      <c r="V63" s="260"/>
      <c r="W63" s="260"/>
      <c r="X63" s="260"/>
      <c r="Y63" s="260"/>
      <c r="Z63" s="260"/>
      <c r="AA63" s="260"/>
      <c r="AB63" s="260"/>
      <c r="AC63" s="260"/>
      <c r="AD63" s="260"/>
      <c r="AE63" s="260"/>
      <c r="AF63" s="260"/>
      <c r="AG63" s="258"/>
      <c r="AO63"/>
      <c r="AP63"/>
      <c r="AQ63"/>
      <c r="AR63"/>
      <c r="AS63"/>
      <c r="AT63"/>
      <c r="AU63"/>
      <c r="AV63"/>
      <c r="AW63"/>
      <c r="AX63"/>
      <c r="AY63"/>
      <c r="AZ63"/>
      <c r="BA63"/>
      <c r="BB63"/>
      <c r="BC63"/>
      <c r="BD63"/>
      <c r="BE63"/>
      <c r="BF63"/>
    </row>
    <row r="64" spans="13:58" ht="12" hidden="1" customHeight="1">
      <c r="M64" s="820"/>
      <c r="N64" s="239"/>
      <c r="O64" s="225"/>
      <c r="P64" s="260"/>
      <c r="Q64" s="258"/>
      <c r="R64" s="260"/>
      <c r="S64" s="260"/>
      <c r="T64" s="260"/>
      <c r="U64" s="260"/>
      <c r="V64" s="260"/>
      <c r="W64" s="260"/>
      <c r="X64" s="260"/>
      <c r="Y64" s="260"/>
      <c r="Z64" s="260"/>
      <c r="AA64" s="260"/>
      <c r="AB64" s="260"/>
      <c r="AC64" s="260"/>
      <c r="AD64" s="260"/>
      <c r="AE64" s="260"/>
      <c r="AF64" s="260"/>
      <c r="AG64" s="258"/>
      <c r="AO64"/>
      <c r="AP64"/>
      <c r="AQ64"/>
      <c r="AR64"/>
      <c r="AS64"/>
      <c r="AT64"/>
      <c r="AU64"/>
      <c r="AV64"/>
      <c r="AW64"/>
      <c r="AX64"/>
      <c r="AY64"/>
      <c r="AZ64"/>
      <c r="BA64"/>
      <c r="BB64"/>
      <c r="BC64"/>
      <c r="BD64"/>
      <c r="BE64"/>
      <c r="BF64"/>
    </row>
    <row r="65" spans="13:58" ht="12" hidden="1" customHeight="1">
      <c r="M65" s="820"/>
      <c r="N65" s="239"/>
      <c r="O65" s="225"/>
      <c r="P65" s="260"/>
      <c r="Q65" s="258"/>
      <c r="R65" s="260"/>
      <c r="S65" s="260"/>
      <c r="T65" s="260"/>
      <c r="U65" s="260"/>
      <c r="V65" s="260"/>
      <c r="W65" s="260"/>
      <c r="X65" s="260"/>
      <c r="Y65" s="260"/>
      <c r="Z65" s="260"/>
      <c r="AA65" s="260"/>
      <c r="AB65" s="260"/>
      <c r="AC65" s="260"/>
      <c r="AD65" s="260"/>
      <c r="AE65" s="260"/>
      <c r="AF65" s="260"/>
      <c r="AG65" s="258"/>
      <c r="AO65"/>
      <c r="AP65"/>
      <c r="AQ65"/>
      <c r="AR65"/>
      <c r="AS65"/>
      <c r="AT65"/>
      <c r="AU65"/>
      <c r="AV65"/>
      <c r="AW65"/>
      <c r="AX65"/>
      <c r="AY65"/>
      <c r="AZ65"/>
      <c r="BA65"/>
      <c r="BB65"/>
      <c r="BC65"/>
      <c r="BD65"/>
      <c r="BE65"/>
      <c r="BF65"/>
    </row>
    <row r="66" spans="13:58" ht="12" hidden="1" customHeight="1">
      <c r="M66" s="820"/>
      <c r="N66" s="239"/>
      <c r="O66" s="225"/>
      <c r="P66" s="260"/>
      <c r="Q66" s="258"/>
      <c r="R66" s="260"/>
      <c r="S66" s="260"/>
      <c r="T66" s="260"/>
      <c r="U66" s="260"/>
      <c r="V66" s="260"/>
      <c r="W66" s="260"/>
      <c r="X66" s="260"/>
      <c r="Y66" s="260"/>
      <c r="Z66" s="260"/>
      <c r="AA66" s="260"/>
      <c r="AB66" s="260"/>
      <c r="AC66" s="260"/>
      <c r="AD66" s="260"/>
      <c r="AE66" s="260"/>
      <c r="AF66" s="260"/>
      <c r="AG66" s="258"/>
      <c r="AO66"/>
      <c r="AP66"/>
      <c r="AQ66"/>
      <c r="AR66"/>
      <c r="AS66"/>
      <c r="AT66"/>
      <c r="AU66"/>
      <c r="AV66"/>
      <c r="AW66"/>
      <c r="AX66"/>
      <c r="AY66"/>
      <c r="AZ66"/>
      <c r="BA66"/>
      <c r="BB66"/>
      <c r="BC66"/>
      <c r="BD66"/>
      <c r="BE66"/>
      <c r="BF66"/>
    </row>
    <row r="67" spans="13:58" ht="12" hidden="1" customHeight="1">
      <c r="M67" s="820"/>
      <c r="N67" s="239"/>
      <c r="O67" s="225"/>
      <c r="P67" s="260"/>
      <c r="Q67" s="258"/>
      <c r="R67" s="260"/>
      <c r="S67" s="260"/>
      <c r="T67" s="260"/>
      <c r="U67" s="260"/>
      <c r="V67" s="260"/>
      <c r="W67" s="260"/>
      <c r="X67" s="260"/>
      <c r="Y67" s="260"/>
      <c r="Z67" s="260"/>
      <c r="AA67" s="260"/>
      <c r="AB67" s="260"/>
      <c r="AC67" s="260"/>
      <c r="AD67" s="260"/>
      <c r="AE67" s="260"/>
      <c r="AF67" s="260"/>
      <c r="AG67" s="258"/>
      <c r="AO67"/>
      <c r="AP67"/>
      <c r="AQ67"/>
      <c r="AR67"/>
      <c r="AS67"/>
      <c r="AT67"/>
      <c r="AU67"/>
      <c r="AV67"/>
      <c r="AW67"/>
      <c r="AX67"/>
      <c r="AY67"/>
      <c r="AZ67"/>
      <c r="BA67"/>
      <c r="BB67"/>
      <c r="BC67"/>
      <c r="BD67"/>
      <c r="BE67"/>
      <c r="BF67"/>
    </row>
    <row r="68" spans="13:58" ht="12" hidden="1" customHeight="1">
      <c r="M68" s="820"/>
      <c r="N68" s="239"/>
      <c r="O68" s="225"/>
      <c r="P68" s="260"/>
      <c r="Q68" s="258"/>
      <c r="R68" s="260"/>
      <c r="S68" s="260"/>
      <c r="T68" s="260"/>
      <c r="U68" s="260"/>
      <c r="V68" s="260"/>
      <c r="W68" s="260"/>
      <c r="X68" s="260"/>
      <c r="Y68" s="260"/>
      <c r="Z68" s="260"/>
      <c r="AA68" s="260"/>
      <c r="AB68" s="260"/>
      <c r="AC68" s="260"/>
      <c r="AD68" s="260"/>
      <c r="AE68" s="260"/>
      <c r="AF68" s="260"/>
      <c r="AG68" s="258"/>
      <c r="AO68"/>
      <c r="AP68"/>
      <c r="AQ68"/>
      <c r="AR68"/>
      <c r="AS68"/>
      <c r="AT68"/>
      <c r="AU68"/>
      <c r="AV68"/>
      <c r="AW68"/>
      <c r="AX68"/>
      <c r="AY68"/>
      <c r="AZ68"/>
      <c r="BA68"/>
      <c r="BB68"/>
      <c r="BC68"/>
      <c r="BD68"/>
      <c r="BE68"/>
      <c r="BF68"/>
    </row>
    <row r="69" spans="13:58" ht="12" hidden="1" customHeight="1">
      <c r="M69" s="820"/>
      <c r="N69" s="239"/>
      <c r="O69" s="225"/>
      <c r="P69" s="260"/>
      <c r="Q69" s="258"/>
      <c r="R69" s="260"/>
      <c r="S69" s="260"/>
      <c r="T69" s="260"/>
      <c r="U69" s="260"/>
      <c r="V69" s="260"/>
      <c r="W69" s="260"/>
      <c r="X69" s="260"/>
      <c r="Y69" s="260"/>
      <c r="Z69" s="260"/>
      <c r="AA69" s="260"/>
      <c r="AB69" s="260"/>
      <c r="AC69" s="260"/>
      <c r="AD69" s="260"/>
      <c r="AE69" s="260"/>
      <c r="AF69" s="260"/>
      <c r="AG69" s="258"/>
      <c r="AO69"/>
      <c r="AP69"/>
      <c r="AQ69"/>
      <c r="AR69"/>
      <c r="AS69"/>
      <c r="AT69"/>
      <c r="AU69"/>
      <c r="AV69"/>
      <c r="AW69"/>
      <c r="AX69"/>
      <c r="AY69"/>
      <c r="AZ69"/>
      <c r="BA69"/>
      <c r="BB69"/>
      <c r="BC69"/>
      <c r="BD69"/>
      <c r="BE69"/>
      <c r="BF69"/>
    </row>
    <row r="70" spans="13:58" ht="12" hidden="1" customHeight="1">
      <c r="M70" s="820"/>
      <c r="N70" s="239"/>
      <c r="O70" s="225"/>
      <c r="P70" s="260"/>
      <c r="Q70" s="258"/>
      <c r="R70" s="260"/>
      <c r="S70" s="260"/>
      <c r="T70" s="260"/>
      <c r="U70" s="260"/>
      <c r="V70" s="260"/>
      <c r="W70" s="260"/>
      <c r="X70" s="260"/>
      <c r="Y70" s="260"/>
      <c r="Z70" s="260"/>
      <c r="AA70" s="260"/>
      <c r="AB70" s="260"/>
      <c r="AC70" s="260"/>
      <c r="AD70" s="260"/>
      <c r="AE70" s="260"/>
      <c r="AF70" s="260"/>
      <c r="AG70" s="258"/>
      <c r="AO70"/>
      <c r="AP70"/>
      <c r="AQ70"/>
      <c r="AR70"/>
      <c r="AS70"/>
      <c r="AT70"/>
      <c r="AU70"/>
      <c r="AV70"/>
      <c r="AW70"/>
      <c r="AX70"/>
      <c r="AY70"/>
      <c r="AZ70"/>
      <c r="BA70"/>
      <c r="BB70"/>
      <c r="BC70"/>
      <c r="BD70"/>
      <c r="BE70"/>
      <c r="BF70"/>
    </row>
    <row r="71" spans="13:58" ht="12" hidden="1" customHeight="1">
      <c r="M71" s="820"/>
      <c r="N71" s="239"/>
      <c r="O71" s="225"/>
      <c r="P71" s="260"/>
      <c r="Q71" s="258"/>
      <c r="R71" s="260"/>
      <c r="S71" s="260"/>
      <c r="T71" s="260"/>
      <c r="U71" s="260"/>
      <c r="V71" s="260"/>
      <c r="W71" s="260"/>
      <c r="X71" s="260"/>
      <c r="Y71" s="260"/>
      <c r="Z71" s="260"/>
      <c r="AA71" s="260"/>
      <c r="AB71" s="260"/>
      <c r="AC71" s="260"/>
      <c r="AD71" s="260"/>
      <c r="AE71" s="260"/>
      <c r="AF71" s="260"/>
      <c r="AG71" s="258"/>
      <c r="AO71"/>
      <c r="AP71"/>
      <c r="AQ71"/>
      <c r="AR71"/>
      <c r="AS71"/>
      <c r="AT71"/>
      <c r="AU71"/>
      <c r="AV71"/>
      <c r="AW71"/>
      <c r="AX71"/>
      <c r="AY71"/>
      <c r="AZ71"/>
      <c r="BA71"/>
      <c r="BB71"/>
      <c r="BC71"/>
      <c r="BD71"/>
      <c r="BE71"/>
      <c r="BF71"/>
    </row>
    <row r="72" spans="13:58" ht="12" hidden="1" customHeight="1">
      <c r="M72" s="820"/>
      <c r="N72" s="239"/>
      <c r="O72" s="225"/>
      <c r="P72" s="260"/>
      <c r="Q72" s="258"/>
      <c r="R72" s="260"/>
      <c r="S72" s="260"/>
      <c r="T72" s="260"/>
      <c r="U72" s="260"/>
      <c r="V72" s="260"/>
      <c r="W72" s="260"/>
      <c r="X72" s="260"/>
      <c r="Y72" s="260"/>
      <c r="Z72" s="260"/>
      <c r="AA72" s="260"/>
      <c r="AB72" s="260"/>
      <c r="AC72" s="260"/>
      <c r="AD72" s="260"/>
      <c r="AE72" s="260"/>
      <c r="AF72" s="260"/>
      <c r="AG72" s="258"/>
      <c r="AO72"/>
      <c r="AP72"/>
      <c r="AQ72"/>
      <c r="AR72"/>
      <c r="AS72"/>
      <c r="AT72"/>
      <c r="AU72"/>
      <c r="AV72"/>
      <c r="AW72"/>
      <c r="AX72"/>
      <c r="AY72"/>
      <c r="AZ72"/>
      <c r="BA72"/>
      <c r="BB72"/>
      <c r="BC72"/>
      <c r="BD72"/>
      <c r="BE72"/>
      <c r="BF72"/>
    </row>
    <row r="73" spans="13:58" ht="12" hidden="1" customHeight="1">
      <c r="M73" s="820"/>
      <c r="N73" s="239"/>
      <c r="O73" s="225"/>
      <c r="P73" s="260"/>
      <c r="Q73" s="258"/>
      <c r="R73" s="260"/>
      <c r="S73" s="260"/>
      <c r="T73" s="260"/>
      <c r="U73" s="260"/>
      <c r="V73" s="260"/>
      <c r="W73" s="260"/>
      <c r="X73" s="260"/>
      <c r="Y73" s="260"/>
      <c r="Z73" s="260"/>
      <c r="AA73" s="260"/>
      <c r="AB73" s="260"/>
      <c r="AC73" s="260"/>
      <c r="AD73" s="260"/>
      <c r="AE73" s="260"/>
      <c r="AF73" s="260"/>
      <c r="AG73" s="258"/>
      <c r="AO73"/>
      <c r="AP73"/>
      <c r="AQ73"/>
      <c r="AR73"/>
      <c r="AS73"/>
      <c r="AT73"/>
      <c r="AU73"/>
      <c r="AV73"/>
      <c r="AW73"/>
      <c r="AX73"/>
      <c r="AY73"/>
      <c r="AZ73"/>
      <c r="BA73"/>
      <c r="BB73"/>
      <c r="BC73"/>
      <c r="BD73"/>
      <c r="BE73"/>
      <c r="BF73"/>
    </row>
    <row r="74" spans="13:58" ht="12" hidden="1" customHeight="1">
      <c r="M74" s="820"/>
      <c r="N74" s="239"/>
      <c r="O74" s="225"/>
      <c r="P74" s="260"/>
      <c r="Q74" s="258"/>
      <c r="R74" s="260"/>
      <c r="S74" s="260"/>
      <c r="T74" s="260"/>
      <c r="U74" s="260"/>
      <c r="V74" s="260"/>
      <c r="W74" s="260"/>
      <c r="X74" s="260"/>
      <c r="Y74" s="260"/>
      <c r="Z74" s="260"/>
      <c r="AA74" s="260"/>
      <c r="AB74" s="260"/>
      <c r="AC74" s="260"/>
      <c r="AD74" s="260"/>
      <c r="AE74" s="260"/>
      <c r="AF74" s="260"/>
      <c r="AG74" s="258"/>
      <c r="AO74"/>
      <c r="AP74"/>
      <c r="AQ74"/>
      <c r="AR74"/>
      <c r="AS74"/>
      <c r="AT74"/>
      <c r="AU74"/>
      <c r="AV74"/>
      <c r="AW74"/>
      <c r="AX74"/>
      <c r="AY74"/>
      <c r="AZ74"/>
      <c r="BA74"/>
      <c r="BB74"/>
      <c r="BC74"/>
      <c r="BD74"/>
      <c r="BE74"/>
      <c r="BF74"/>
    </row>
    <row r="75" spans="13:58" ht="12" hidden="1" customHeight="1">
      <c r="M75" s="820"/>
      <c r="N75" s="239"/>
      <c r="O75" s="225"/>
      <c r="P75" s="260"/>
      <c r="Q75" s="258"/>
      <c r="R75" s="260"/>
      <c r="S75" s="260"/>
      <c r="T75" s="260"/>
      <c r="U75" s="260"/>
      <c r="V75" s="260"/>
      <c r="W75" s="260"/>
      <c r="X75" s="260"/>
      <c r="Y75" s="260"/>
      <c r="Z75" s="260"/>
      <c r="AA75" s="260"/>
      <c r="AB75" s="260"/>
      <c r="AC75" s="260"/>
      <c r="AD75" s="260"/>
      <c r="AE75" s="260"/>
      <c r="AF75" s="260"/>
      <c r="AG75" s="258"/>
      <c r="AO75"/>
      <c r="AP75"/>
      <c r="AQ75"/>
      <c r="AR75"/>
      <c r="AS75"/>
      <c r="AT75"/>
      <c r="AU75"/>
      <c r="AV75"/>
      <c r="AW75"/>
      <c r="AX75"/>
      <c r="AY75"/>
      <c r="AZ75"/>
      <c r="BA75"/>
      <c r="BB75"/>
      <c r="BC75"/>
      <c r="BD75"/>
      <c r="BE75"/>
      <c r="BF75"/>
    </row>
    <row r="76" spans="13:58" ht="12" hidden="1" customHeight="1">
      <c r="M76" s="820"/>
      <c r="N76" s="239"/>
      <c r="O76" s="225"/>
      <c r="P76" s="260"/>
      <c r="Q76" s="258"/>
      <c r="R76" s="260"/>
      <c r="S76" s="260"/>
      <c r="T76" s="260"/>
      <c r="U76" s="260"/>
      <c r="V76" s="260"/>
      <c r="W76" s="260"/>
      <c r="X76" s="260"/>
      <c r="Y76" s="260"/>
      <c r="Z76" s="260"/>
      <c r="AA76" s="260"/>
      <c r="AB76" s="260"/>
      <c r="AC76" s="260"/>
      <c r="AD76" s="260"/>
      <c r="AE76" s="260"/>
      <c r="AF76" s="260"/>
      <c r="AG76" s="258"/>
      <c r="AO76"/>
      <c r="AP76"/>
      <c r="AQ76"/>
      <c r="AR76"/>
      <c r="AS76"/>
      <c r="AT76"/>
      <c r="AU76"/>
      <c r="AV76"/>
      <c r="AW76"/>
      <c r="AX76"/>
      <c r="AY76"/>
      <c r="AZ76"/>
      <c r="BA76"/>
      <c r="BB76"/>
      <c r="BC76"/>
      <c r="BD76"/>
      <c r="BE76"/>
      <c r="BF76"/>
    </row>
    <row r="77" spans="13:58" ht="12" hidden="1" customHeight="1">
      <c r="M77" s="820"/>
      <c r="N77" s="239"/>
      <c r="O77" s="225"/>
      <c r="P77" s="260"/>
      <c r="Q77" s="258"/>
      <c r="R77" s="260"/>
      <c r="S77" s="260"/>
      <c r="T77" s="260"/>
      <c r="U77" s="260"/>
      <c r="V77" s="260"/>
      <c r="W77" s="260"/>
      <c r="X77" s="260"/>
      <c r="Y77" s="260"/>
      <c r="Z77" s="260"/>
      <c r="AA77" s="260"/>
      <c r="AB77" s="260"/>
      <c r="AC77" s="260"/>
      <c r="AD77" s="260"/>
      <c r="AE77" s="260"/>
      <c r="AF77" s="260"/>
      <c r="AG77" s="258"/>
      <c r="AO77"/>
      <c r="AP77"/>
      <c r="AQ77"/>
      <c r="AR77"/>
      <c r="AS77"/>
      <c r="AT77"/>
      <c r="AU77"/>
      <c r="AV77"/>
      <c r="AW77"/>
      <c r="AX77"/>
      <c r="AY77"/>
      <c r="AZ77"/>
      <c r="BA77"/>
      <c r="BB77"/>
      <c r="BC77"/>
      <c r="BD77"/>
      <c r="BE77"/>
      <c r="BF77"/>
    </row>
    <row r="78" spans="13:58" ht="12" hidden="1" customHeight="1">
      <c r="M78" s="820"/>
      <c r="N78" s="239"/>
      <c r="O78" s="225"/>
      <c r="P78" s="260"/>
      <c r="Q78" s="258"/>
      <c r="R78" s="260"/>
      <c r="S78" s="260"/>
      <c r="T78" s="260"/>
      <c r="U78" s="260"/>
      <c r="V78" s="260"/>
      <c r="W78" s="260"/>
      <c r="X78" s="260"/>
      <c r="Y78" s="260"/>
      <c r="Z78" s="260"/>
      <c r="AA78" s="260"/>
      <c r="AB78" s="260"/>
      <c r="AC78" s="260"/>
      <c r="AD78" s="260"/>
      <c r="AE78" s="260"/>
      <c r="AF78" s="260"/>
      <c r="AG78" s="258"/>
      <c r="AO78"/>
      <c r="AP78"/>
      <c r="AQ78"/>
      <c r="AR78"/>
      <c r="AS78"/>
      <c r="AT78"/>
      <c r="AU78"/>
      <c r="AV78"/>
      <c r="AW78"/>
      <c r="AX78"/>
      <c r="AY78"/>
      <c r="AZ78"/>
      <c r="BA78"/>
      <c r="BB78"/>
      <c r="BC78"/>
      <c r="BD78"/>
      <c r="BE78"/>
      <c r="BF78"/>
    </row>
    <row r="79" spans="13:58" ht="12" hidden="1" customHeight="1">
      <c r="M79" s="820"/>
      <c r="N79" s="239"/>
      <c r="O79" s="225"/>
      <c r="P79" s="260"/>
      <c r="Q79" s="258"/>
      <c r="R79" s="260"/>
      <c r="S79" s="260"/>
      <c r="T79" s="260"/>
      <c r="U79" s="260"/>
      <c r="V79" s="260"/>
      <c r="W79" s="260"/>
      <c r="X79" s="260"/>
      <c r="Y79" s="260"/>
      <c r="Z79" s="260"/>
      <c r="AA79" s="260"/>
      <c r="AB79" s="260"/>
      <c r="AC79" s="260"/>
      <c r="AD79" s="260"/>
      <c r="AE79" s="260"/>
      <c r="AF79" s="260"/>
      <c r="AG79" s="258"/>
      <c r="AO79"/>
      <c r="AP79"/>
      <c r="AQ79"/>
      <c r="AR79"/>
      <c r="AS79"/>
      <c r="AT79"/>
      <c r="AU79"/>
      <c r="AV79"/>
      <c r="AW79"/>
      <c r="AX79"/>
      <c r="AY79"/>
      <c r="AZ79"/>
      <c r="BA79"/>
      <c r="BB79"/>
      <c r="BC79"/>
      <c r="BD79"/>
      <c r="BE79"/>
      <c r="BF79"/>
    </row>
    <row r="80" spans="13:58" ht="12" hidden="1" customHeight="1">
      <c r="M80" s="820"/>
      <c r="N80" s="239"/>
      <c r="O80" s="225"/>
      <c r="P80" s="260"/>
      <c r="Q80" s="258"/>
      <c r="R80" s="260"/>
      <c r="S80" s="260"/>
      <c r="T80" s="260"/>
      <c r="U80" s="260"/>
      <c r="V80" s="260"/>
      <c r="W80" s="260"/>
      <c r="X80" s="260"/>
      <c r="Y80" s="260"/>
      <c r="Z80" s="260"/>
      <c r="AA80" s="260"/>
      <c r="AB80" s="260"/>
      <c r="AC80" s="260"/>
      <c r="AD80" s="260"/>
      <c r="AE80" s="260"/>
      <c r="AF80" s="260"/>
      <c r="AG80" s="258"/>
      <c r="AO80"/>
      <c r="AP80"/>
      <c r="AQ80"/>
      <c r="AR80"/>
      <c r="AS80"/>
      <c r="AT80"/>
      <c r="AU80"/>
      <c r="AV80"/>
      <c r="AW80"/>
      <c r="AX80"/>
      <c r="AY80"/>
      <c r="AZ80"/>
      <c r="BA80"/>
      <c r="BB80"/>
      <c r="BC80"/>
      <c r="BD80"/>
      <c r="BE80"/>
      <c r="BF80"/>
    </row>
    <row r="81" spans="13:58" ht="12" hidden="1" customHeight="1">
      <c r="M81" s="820"/>
      <c r="N81" s="239"/>
      <c r="O81" s="225"/>
      <c r="P81" s="260"/>
      <c r="Q81" s="258"/>
      <c r="R81" s="260"/>
      <c r="S81" s="260"/>
      <c r="T81" s="260"/>
      <c r="U81" s="260"/>
      <c r="V81" s="260"/>
      <c r="W81" s="260"/>
      <c r="X81" s="260"/>
      <c r="Y81" s="260"/>
      <c r="Z81" s="260"/>
      <c r="AA81" s="260"/>
      <c r="AB81" s="260"/>
      <c r="AC81" s="260"/>
      <c r="AD81" s="260"/>
      <c r="AE81" s="260"/>
      <c r="AF81" s="260"/>
      <c r="AG81" s="258"/>
      <c r="AO81"/>
      <c r="AP81"/>
      <c r="AQ81"/>
      <c r="AR81"/>
      <c r="AS81"/>
      <c r="AT81"/>
      <c r="AU81"/>
      <c r="AV81"/>
      <c r="AW81"/>
      <c r="AX81"/>
      <c r="AY81"/>
      <c r="AZ81"/>
      <c r="BA81"/>
      <c r="BB81"/>
      <c r="BC81"/>
      <c r="BD81"/>
      <c r="BE81"/>
      <c r="BF81"/>
    </row>
    <row r="82" spans="13:58" ht="12" hidden="1" customHeight="1">
      <c r="M82" s="820"/>
      <c r="N82" s="239"/>
      <c r="O82" s="225"/>
      <c r="P82" s="260"/>
      <c r="Q82" s="258"/>
      <c r="R82" s="260"/>
      <c r="S82" s="260"/>
      <c r="T82" s="260"/>
      <c r="U82" s="260"/>
      <c r="V82" s="260"/>
      <c r="W82" s="260"/>
      <c r="X82" s="260"/>
      <c r="Y82" s="260"/>
      <c r="Z82" s="260"/>
      <c r="AA82" s="260"/>
      <c r="AB82" s="260"/>
      <c r="AC82" s="260"/>
      <c r="AD82" s="260"/>
      <c r="AE82" s="260"/>
      <c r="AF82" s="260"/>
      <c r="AG82" s="258"/>
      <c r="AO82"/>
      <c r="AP82"/>
      <c r="AQ82"/>
      <c r="AR82"/>
      <c r="AS82"/>
      <c r="AT82"/>
      <c r="AU82"/>
      <c r="AV82"/>
      <c r="AW82"/>
      <c r="AX82"/>
      <c r="AY82"/>
      <c r="AZ82"/>
      <c r="BA82"/>
      <c r="BB82"/>
      <c r="BC82"/>
      <c r="BD82"/>
      <c r="BE82"/>
      <c r="BF82"/>
    </row>
    <row r="83" spans="13:58" ht="12" hidden="1" customHeight="1">
      <c r="M83" s="820"/>
      <c r="N83" s="239"/>
      <c r="O83" s="225"/>
      <c r="P83" s="260"/>
      <c r="Q83" s="258"/>
      <c r="R83" s="260"/>
      <c r="S83" s="260"/>
      <c r="T83" s="260"/>
      <c r="U83" s="260"/>
      <c r="V83" s="260"/>
      <c r="W83" s="260"/>
      <c r="X83" s="260"/>
      <c r="Y83" s="260"/>
      <c r="Z83" s="260"/>
      <c r="AA83" s="260"/>
      <c r="AB83" s="260"/>
      <c r="AC83" s="260"/>
      <c r="AD83" s="260"/>
      <c r="AE83" s="260"/>
      <c r="AF83" s="260"/>
      <c r="AG83" s="258"/>
      <c r="AO83"/>
      <c r="AP83"/>
      <c r="AQ83"/>
      <c r="AR83"/>
      <c r="AS83"/>
      <c r="AT83"/>
      <c r="AU83"/>
      <c r="AV83"/>
      <c r="AW83"/>
      <c r="AX83"/>
      <c r="AY83"/>
      <c r="AZ83"/>
      <c r="BA83"/>
      <c r="BB83"/>
      <c r="BC83"/>
      <c r="BD83"/>
      <c r="BE83"/>
      <c r="BF83"/>
    </row>
    <row r="84" spans="13:58" ht="12" hidden="1" customHeight="1">
      <c r="M84" s="820"/>
      <c r="N84" s="239"/>
      <c r="O84" s="225"/>
      <c r="P84" s="260"/>
      <c r="Q84" s="258"/>
      <c r="R84" s="260"/>
      <c r="S84" s="260"/>
      <c r="T84" s="260"/>
      <c r="U84" s="260"/>
      <c r="V84" s="260"/>
      <c r="W84" s="260"/>
      <c r="X84" s="260"/>
      <c r="Y84" s="260"/>
      <c r="Z84" s="260"/>
      <c r="AA84" s="260"/>
      <c r="AB84" s="260"/>
      <c r="AC84" s="260"/>
      <c r="AD84" s="260"/>
      <c r="AE84" s="260"/>
      <c r="AF84" s="260"/>
      <c r="AG84" s="258"/>
      <c r="AO84"/>
      <c r="AP84"/>
      <c r="AQ84"/>
      <c r="AR84"/>
      <c r="AS84"/>
      <c r="AT84"/>
      <c r="AU84"/>
      <c r="AV84"/>
      <c r="AW84"/>
      <c r="AX84"/>
      <c r="AY84"/>
      <c r="AZ84"/>
      <c r="BA84"/>
      <c r="BB84"/>
      <c r="BC84"/>
      <c r="BD84"/>
      <c r="BE84"/>
      <c r="BF84"/>
    </row>
    <row r="85" spans="13:58" ht="12" hidden="1" customHeight="1">
      <c r="M85" s="820"/>
      <c r="N85" s="239"/>
      <c r="O85" s="225"/>
      <c r="P85" s="260"/>
      <c r="Q85" s="258"/>
      <c r="R85" s="260"/>
      <c r="S85" s="260"/>
      <c r="T85" s="260"/>
      <c r="U85" s="260"/>
      <c r="V85" s="260"/>
      <c r="W85" s="260"/>
      <c r="X85" s="260"/>
      <c r="Y85" s="260"/>
      <c r="Z85" s="260"/>
      <c r="AA85" s="260"/>
      <c r="AB85" s="260"/>
      <c r="AC85" s="260"/>
      <c r="AD85" s="260"/>
      <c r="AE85" s="260"/>
      <c r="AF85" s="260"/>
      <c r="AG85" s="258"/>
      <c r="AO85"/>
      <c r="AP85"/>
      <c r="AQ85"/>
      <c r="AR85"/>
      <c r="AS85"/>
      <c r="AT85"/>
      <c r="AU85"/>
      <c r="AV85"/>
      <c r="AW85"/>
      <c r="AX85"/>
      <c r="AY85"/>
      <c r="AZ85"/>
      <c r="BA85"/>
      <c r="BB85"/>
      <c r="BC85"/>
      <c r="BD85"/>
      <c r="BE85"/>
      <c r="BF85"/>
    </row>
    <row r="86" spans="13:58" ht="12" hidden="1" customHeight="1">
      <c r="M86" s="820"/>
      <c r="N86" s="239"/>
      <c r="O86" s="225"/>
      <c r="P86" s="260"/>
      <c r="Q86" s="258"/>
      <c r="R86" s="260"/>
      <c r="S86" s="260"/>
      <c r="T86" s="260"/>
      <c r="U86" s="260"/>
      <c r="V86" s="260"/>
      <c r="W86" s="260"/>
      <c r="X86" s="260"/>
      <c r="Y86" s="260"/>
      <c r="Z86" s="260"/>
      <c r="AA86" s="260"/>
      <c r="AB86" s="260"/>
      <c r="AC86" s="260"/>
      <c r="AD86" s="260"/>
      <c r="AE86" s="260"/>
      <c r="AF86" s="260"/>
      <c r="AG86" s="258"/>
      <c r="AO86"/>
      <c r="AP86"/>
      <c r="AQ86"/>
      <c r="AR86"/>
      <c r="AS86"/>
      <c r="AT86"/>
      <c r="AU86"/>
      <c r="AV86"/>
      <c r="AW86"/>
      <c r="AX86"/>
      <c r="AY86"/>
      <c r="AZ86"/>
      <c r="BA86"/>
      <c r="BB86"/>
      <c r="BC86"/>
      <c r="BD86"/>
      <c r="BE86"/>
      <c r="BF86"/>
    </row>
    <row r="87" spans="13:58" ht="12" hidden="1" customHeight="1">
      <c r="M87" s="820"/>
      <c r="N87" s="239"/>
      <c r="O87" s="225"/>
      <c r="P87" s="260"/>
      <c r="Q87" s="258"/>
      <c r="R87" s="260"/>
      <c r="S87" s="260"/>
      <c r="T87" s="260"/>
      <c r="U87" s="260"/>
      <c r="V87" s="260"/>
      <c r="W87" s="260"/>
      <c r="X87" s="260"/>
      <c r="Y87" s="260"/>
      <c r="Z87" s="260"/>
      <c r="AA87" s="260"/>
      <c r="AB87" s="260"/>
      <c r="AC87" s="260"/>
      <c r="AD87" s="260"/>
      <c r="AE87" s="260"/>
      <c r="AF87" s="260"/>
      <c r="AG87" s="258"/>
      <c r="AO87"/>
      <c r="AP87"/>
      <c r="AQ87"/>
      <c r="AR87"/>
      <c r="AS87"/>
      <c r="AT87"/>
      <c r="AU87"/>
      <c r="AV87"/>
      <c r="AW87"/>
      <c r="AX87"/>
      <c r="AY87"/>
      <c r="AZ87"/>
      <c r="BA87"/>
      <c r="BB87"/>
      <c r="BC87"/>
      <c r="BD87"/>
      <c r="BE87"/>
      <c r="BF87"/>
    </row>
    <row r="88" spans="13:58" ht="12" hidden="1" customHeight="1">
      <c r="M88" s="820"/>
      <c r="N88" s="239"/>
      <c r="O88" s="225"/>
      <c r="P88" s="260"/>
      <c r="Q88" s="258"/>
      <c r="R88" s="260"/>
      <c r="S88" s="260"/>
      <c r="T88" s="260"/>
      <c r="U88" s="260"/>
      <c r="V88" s="260"/>
      <c r="W88" s="260"/>
      <c r="X88" s="260"/>
      <c r="Y88" s="260"/>
      <c r="Z88" s="260"/>
      <c r="AA88" s="260"/>
      <c r="AB88" s="260"/>
      <c r="AC88" s="260"/>
      <c r="AD88" s="260"/>
      <c r="AE88" s="260"/>
      <c r="AF88" s="260"/>
      <c r="AG88" s="258"/>
      <c r="AO88"/>
      <c r="AP88"/>
      <c r="AQ88"/>
      <c r="AR88"/>
      <c r="AS88"/>
      <c r="AT88"/>
      <c r="AU88"/>
      <c r="AV88"/>
      <c r="AW88"/>
      <c r="AX88"/>
      <c r="AY88"/>
      <c r="AZ88"/>
      <c r="BA88"/>
      <c r="BB88"/>
      <c r="BC88"/>
      <c r="BD88"/>
      <c r="BE88"/>
      <c r="BF88"/>
    </row>
    <row r="89" spans="13:58" ht="12" hidden="1" customHeight="1">
      <c r="M89" s="820"/>
      <c r="N89" s="239"/>
      <c r="O89" s="225"/>
      <c r="P89" s="260"/>
      <c r="Q89" s="258"/>
      <c r="R89" s="260"/>
      <c r="S89" s="260"/>
      <c r="T89" s="260"/>
      <c r="U89" s="260"/>
      <c r="V89" s="260"/>
      <c r="W89" s="260"/>
      <c r="X89" s="260"/>
      <c r="Y89" s="260"/>
      <c r="Z89" s="260"/>
      <c r="AA89" s="260"/>
      <c r="AB89" s="260"/>
      <c r="AC89" s="260"/>
      <c r="AD89" s="260"/>
      <c r="AE89" s="260"/>
      <c r="AF89" s="260"/>
      <c r="AG89" s="258"/>
      <c r="AO89"/>
      <c r="AP89"/>
      <c r="AQ89"/>
      <c r="AR89"/>
      <c r="AS89"/>
      <c r="AT89"/>
      <c r="AU89"/>
      <c r="AV89"/>
      <c r="AW89"/>
      <c r="AX89"/>
      <c r="AY89"/>
      <c r="AZ89"/>
      <c r="BA89"/>
      <c r="BB89"/>
      <c r="BC89"/>
      <c r="BD89"/>
      <c r="BE89"/>
      <c r="BF89"/>
    </row>
    <row r="90" spans="13:58" ht="12" hidden="1" customHeight="1">
      <c r="M90" s="820"/>
      <c r="N90" s="239"/>
      <c r="O90" s="225"/>
      <c r="P90" s="260"/>
      <c r="Q90" s="258"/>
      <c r="R90" s="260"/>
      <c r="S90" s="260"/>
      <c r="T90" s="260"/>
      <c r="U90" s="260"/>
      <c r="V90" s="260"/>
      <c r="W90" s="260"/>
      <c r="X90" s="260"/>
      <c r="Y90" s="260"/>
      <c r="Z90" s="260"/>
      <c r="AA90" s="260"/>
      <c r="AB90" s="260"/>
      <c r="AC90" s="260"/>
      <c r="AD90" s="260"/>
      <c r="AE90" s="260"/>
      <c r="AF90" s="260"/>
      <c r="AG90" s="258"/>
      <c r="AO90"/>
      <c r="AP90"/>
      <c r="AQ90"/>
      <c r="AR90"/>
      <c r="AS90"/>
      <c r="AT90"/>
      <c r="AU90"/>
      <c r="AV90"/>
      <c r="AW90"/>
      <c r="AX90"/>
      <c r="AY90"/>
      <c r="AZ90"/>
      <c r="BA90"/>
      <c r="BB90"/>
      <c r="BC90"/>
      <c r="BD90"/>
      <c r="BE90"/>
      <c r="BF90"/>
    </row>
    <row r="91" spans="13:58" ht="12" hidden="1" customHeight="1">
      <c r="M91" s="820"/>
      <c r="N91" s="239"/>
      <c r="O91" s="225"/>
      <c r="P91" s="260"/>
      <c r="Q91" s="258"/>
      <c r="R91" s="260"/>
      <c r="S91" s="260"/>
      <c r="T91" s="260"/>
      <c r="U91" s="260"/>
      <c r="V91" s="260"/>
      <c r="W91" s="260"/>
      <c r="X91" s="260"/>
      <c r="Y91" s="260"/>
      <c r="Z91" s="260"/>
      <c r="AA91" s="260"/>
      <c r="AB91" s="260"/>
      <c r="AC91" s="260"/>
      <c r="AD91" s="260"/>
      <c r="AE91" s="260"/>
      <c r="AF91" s="260"/>
      <c r="AG91" s="258"/>
      <c r="AO91"/>
      <c r="AP91"/>
      <c r="AQ91"/>
      <c r="AR91"/>
      <c r="AS91"/>
      <c r="AT91"/>
      <c r="AU91"/>
      <c r="AV91"/>
      <c r="AW91"/>
      <c r="AX91"/>
      <c r="AY91"/>
      <c r="AZ91"/>
      <c r="BA91"/>
      <c r="BB91"/>
      <c r="BC91"/>
      <c r="BD91"/>
      <c r="BE91"/>
      <c r="BF91"/>
    </row>
    <row r="92" spans="13:58" ht="12" hidden="1" customHeight="1">
      <c r="M92" s="820"/>
      <c r="N92" s="239"/>
      <c r="O92" s="225"/>
      <c r="P92" s="260"/>
      <c r="Q92" s="258"/>
      <c r="R92" s="260"/>
      <c r="S92" s="260"/>
      <c r="T92" s="260"/>
      <c r="U92" s="260"/>
      <c r="V92" s="260"/>
      <c r="W92" s="260"/>
      <c r="X92" s="260"/>
      <c r="Y92" s="260"/>
      <c r="Z92" s="260"/>
      <c r="AA92" s="260"/>
      <c r="AB92" s="260"/>
      <c r="AC92" s="260"/>
      <c r="AD92" s="260"/>
      <c r="AE92" s="260"/>
      <c r="AF92" s="260"/>
      <c r="AG92" s="258"/>
      <c r="AO92"/>
      <c r="AP92"/>
      <c r="AQ92"/>
      <c r="AR92"/>
      <c r="AS92"/>
      <c r="AT92"/>
      <c r="AU92"/>
      <c r="AV92"/>
      <c r="AW92"/>
      <c r="AX92"/>
      <c r="AY92"/>
      <c r="AZ92"/>
      <c r="BA92"/>
      <c r="BB92"/>
      <c r="BC92"/>
      <c r="BD92"/>
      <c r="BE92"/>
      <c r="BF92"/>
    </row>
    <row r="93" spans="13:58" ht="12" hidden="1" customHeight="1">
      <c r="M93" s="820"/>
      <c r="N93" s="239"/>
      <c r="O93" s="225"/>
      <c r="P93" s="260"/>
      <c r="Q93" s="258"/>
      <c r="R93" s="260"/>
      <c r="S93" s="260"/>
      <c r="T93" s="260"/>
      <c r="U93" s="260"/>
      <c r="V93" s="260"/>
      <c r="W93" s="260"/>
      <c r="X93" s="260"/>
      <c r="Y93" s="260"/>
      <c r="Z93" s="260"/>
      <c r="AA93" s="260"/>
      <c r="AB93" s="260"/>
      <c r="AC93" s="260"/>
      <c r="AD93" s="260"/>
      <c r="AE93" s="260"/>
      <c r="AF93" s="260"/>
      <c r="AG93" s="258"/>
      <c r="AO93"/>
      <c r="AP93"/>
      <c r="AQ93"/>
      <c r="AR93"/>
      <c r="AS93"/>
      <c r="AT93"/>
      <c r="AU93"/>
      <c r="AV93"/>
      <c r="AW93"/>
      <c r="AX93"/>
      <c r="AY93"/>
      <c r="AZ93"/>
      <c r="BA93"/>
      <c r="BB93"/>
      <c r="BC93"/>
      <c r="BD93"/>
      <c r="BE93"/>
      <c r="BF93"/>
    </row>
    <row r="94" spans="13:58" ht="12" hidden="1" customHeight="1">
      <c r="M94" s="820"/>
      <c r="N94" s="239"/>
      <c r="O94" s="225"/>
      <c r="P94" s="260"/>
      <c r="Q94" s="258"/>
      <c r="R94" s="260"/>
      <c r="S94" s="260"/>
      <c r="T94" s="260"/>
      <c r="U94" s="260"/>
      <c r="V94" s="260"/>
      <c r="W94" s="260"/>
      <c r="X94" s="260"/>
      <c r="Y94" s="260"/>
      <c r="Z94" s="260"/>
      <c r="AA94" s="260"/>
      <c r="AB94" s="260"/>
      <c r="AC94" s="260"/>
      <c r="AD94" s="260"/>
      <c r="AE94" s="260"/>
      <c r="AF94" s="260"/>
      <c r="AG94" s="258"/>
      <c r="AO94"/>
      <c r="AP94"/>
      <c r="AQ94"/>
      <c r="AR94"/>
      <c r="AS94"/>
      <c r="AT94"/>
      <c r="AU94"/>
      <c r="AV94"/>
      <c r="AW94"/>
      <c r="AX94"/>
      <c r="AY94"/>
      <c r="AZ94"/>
      <c r="BA94"/>
      <c r="BB94"/>
      <c r="BC94"/>
      <c r="BD94"/>
      <c r="BE94"/>
      <c r="BF94"/>
    </row>
    <row r="95" spans="13:58" ht="12" hidden="1" customHeight="1">
      <c r="M95" s="820"/>
      <c r="N95" s="239"/>
      <c r="O95" s="225"/>
      <c r="P95" s="260"/>
      <c r="Q95" s="258"/>
      <c r="R95" s="260"/>
      <c r="S95" s="260"/>
      <c r="T95" s="260"/>
      <c r="U95" s="260"/>
      <c r="V95" s="260"/>
      <c r="W95" s="260"/>
      <c r="X95" s="260"/>
      <c r="Y95" s="260"/>
      <c r="Z95" s="260"/>
      <c r="AA95" s="260"/>
      <c r="AB95" s="260"/>
      <c r="AC95" s="260"/>
      <c r="AD95" s="260"/>
      <c r="AE95" s="260"/>
      <c r="AF95" s="260"/>
      <c r="AG95" s="258"/>
      <c r="AO95"/>
      <c r="AP95"/>
      <c r="AQ95"/>
      <c r="AR95"/>
      <c r="AS95"/>
      <c r="AT95"/>
      <c r="AU95"/>
      <c r="AV95"/>
      <c r="AW95"/>
      <c r="AX95"/>
      <c r="AY95"/>
      <c r="AZ95"/>
      <c r="BA95"/>
      <c r="BB95"/>
      <c r="BC95"/>
      <c r="BD95"/>
      <c r="BE95"/>
      <c r="BF95"/>
    </row>
    <row r="96" spans="13:58" ht="12" hidden="1" customHeight="1">
      <c r="M96" s="820"/>
      <c r="N96" s="239"/>
      <c r="O96" s="225"/>
      <c r="P96" s="260"/>
      <c r="Q96" s="258"/>
      <c r="R96" s="260"/>
      <c r="S96" s="260"/>
      <c r="T96" s="260"/>
      <c r="U96" s="260"/>
      <c r="V96" s="260"/>
      <c r="W96" s="260"/>
      <c r="X96" s="260"/>
      <c r="Y96" s="260"/>
      <c r="Z96" s="260"/>
      <c r="AA96" s="260"/>
      <c r="AB96" s="260"/>
      <c r="AC96" s="260"/>
      <c r="AD96" s="260"/>
      <c r="AE96" s="260"/>
      <c r="AF96" s="260"/>
      <c r="AG96" s="258"/>
      <c r="AO96"/>
      <c r="AP96"/>
      <c r="AQ96"/>
      <c r="AR96"/>
      <c r="AS96"/>
      <c r="AT96"/>
      <c r="AU96"/>
      <c r="AV96"/>
      <c r="AW96"/>
      <c r="AX96"/>
      <c r="AY96"/>
      <c r="AZ96"/>
      <c r="BA96"/>
      <c r="BB96"/>
      <c r="BC96"/>
      <c r="BD96"/>
      <c r="BE96"/>
      <c r="BF96"/>
    </row>
    <row r="97" spans="13:58" ht="12" hidden="1" customHeight="1">
      <c r="M97" s="820"/>
      <c r="N97" s="239"/>
      <c r="O97" s="225"/>
      <c r="P97" s="260"/>
      <c r="Q97" s="258"/>
      <c r="R97" s="260"/>
      <c r="S97" s="260"/>
      <c r="T97" s="260"/>
      <c r="U97" s="260"/>
      <c r="V97" s="260"/>
      <c r="W97" s="260"/>
      <c r="X97" s="260"/>
      <c r="Y97" s="260"/>
      <c r="Z97" s="260"/>
      <c r="AA97" s="260"/>
      <c r="AB97" s="260"/>
      <c r="AC97" s="260"/>
      <c r="AD97" s="260"/>
      <c r="AE97" s="260"/>
      <c r="AF97" s="260"/>
      <c r="AG97" s="258"/>
      <c r="AO97"/>
      <c r="AP97"/>
      <c r="AQ97"/>
      <c r="AR97"/>
      <c r="AS97"/>
      <c r="AT97"/>
      <c r="AU97"/>
      <c r="AV97"/>
      <c r="AW97"/>
      <c r="AX97"/>
      <c r="AY97"/>
      <c r="AZ97"/>
      <c r="BA97"/>
      <c r="BB97"/>
      <c r="BC97"/>
      <c r="BD97"/>
      <c r="BE97"/>
      <c r="BF97"/>
    </row>
    <row r="98" spans="13:58" ht="12" hidden="1" customHeight="1">
      <c r="M98" s="820"/>
      <c r="N98" s="239"/>
      <c r="O98" s="225"/>
      <c r="P98" s="260"/>
      <c r="Q98" s="258"/>
      <c r="R98" s="260"/>
      <c r="S98" s="260"/>
      <c r="T98" s="260"/>
      <c r="U98" s="260"/>
      <c r="V98" s="260"/>
      <c r="W98" s="260"/>
      <c r="X98" s="260"/>
      <c r="Y98" s="260"/>
      <c r="Z98" s="260"/>
      <c r="AA98" s="260"/>
      <c r="AB98" s="260"/>
      <c r="AC98" s="260"/>
      <c r="AD98" s="260"/>
      <c r="AE98" s="260"/>
      <c r="AF98" s="260"/>
      <c r="AG98" s="258"/>
      <c r="AO98"/>
      <c r="AP98"/>
      <c r="AQ98"/>
      <c r="AR98"/>
      <c r="AS98"/>
      <c r="AT98"/>
      <c r="AU98"/>
      <c r="AV98"/>
      <c r="AW98"/>
      <c r="AX98"/>
      <c r="AY98"/>
      <c r="AZ98"/>
      <c r="BA98"/>
      <c r="BB98"/>
      <c r="BC98"/>
      <c r="BD98"/>
      <c r="BE98"/>
      <c r="BF98"/>
    </row>
    <row r="99" spans="13:58" ht="12" hidden="1" customHeight="1">
      <c r="M99" s="820"/>
      <c r="N99" s="239"/>
      <c r="O99" s="225"/>
      <c r="P99" s="260"/>
      <c r="Q99" s="258"/>
      <c r="R99" s="260"/>
      <c r="S99" s="260"/>
      <c r="T99" s="260"/>
      <c r="U99" s="260"/>
      <c r="V99" s="260"/>
      <c r="W99" s="260"/>
      <c r="X99" s="260"/>
      <c r="Y99" s="260"/>
      <c r="Z99" s="260"/>
      <c r="AA99" s="260"/>
      <c r="AB99" s="260"/>
      <c r="AC99" s="260"/>
      <c r="AD99" s="260"/>
      <c r="AE99" s="260"/>
      <c r="AF99" s="260"/>
      <c r="AG99" s="258"/>
      <c r="AO99"/>
      <c r="AP99"/>
      <c r="AQ99"/>
      <c r="AR99"/>
      <c r="AS99"/>
      <c r="AT99"/>
      <c r="AU99"/>
      <c r="AV99"/>
      <c r="AW99"/>
      <c r="AX99"/>
      <c r="AY99"/>
      <c r="AZ99"/>
      <c r="BA99"/>
      <c r="BB99"/>
      <c r="BC99"/>
      <c r="BD99"/>
      <c r="BE99"/>
      <c r="BF99"/>
    </row>
    <row r="100" spans="13:58" ht="12" hidden="1" customHeight="1">
      <c r="M100" s="820"/>
      <c r="N100" s="239"/>
      <c r="O100" s="225"/>
      <c r="P100" s="260"/>
      <c r="Q100" s="258"/>
      <c r="R100" s="260"/>
      <c r="S100" s="260"/>
      <c r="T100" s="260"/>
      <c r="U100" s="260"/>
      <c r="V100" s="260"/>
      <c r="W100" s="260"/>
      <c r="X100" s="260"/>
      <c r="Y100" s="260"/>
      <c r="Z100" s="260"/>
      <c r="AA100" s="260"/>
      <c r="AB100" s="260"/>
      <c r="AC100" s="260"/>
      <c r="AD100" s="260"/>
      <c r="AE100" s="260"/>
      <c r="AF100" s="260"/>
      <c r="AG100" s="258"/>
      <c r="AO100"/>
      <c r="AP100"/>
      <c r="AQ100"/>
      <c r="AR100"/>
      <c r="AS100"/>
      <c r="AT100"/>
      <c r="AU100"/>
      <c r="AV100"/>
      <c r="AW100"/>
      <c r="AX100"/>
      <c r="AY100"/>
      <c r="AZ100"/>
      <c r="BA100"/>
      <c r="BB100"/>
      <c r="BC100"/>
      <c r="BD100"/>
      <c r="BE100"/>
      <c r="BF100"/>
    </row>
    <row r="101" spans="13:58" ht="12" hidden="1" customHeight="1">
      <c r="M101" s="820"/>
      <c r="N101" s="239"/>
      <c r="O101" s="225"/>
      <c r="P101" s="260"/>
      <c r="Q101" s="258"/>
      <c r="R101" s="260"/>
      <c r="S101" s="260"/>
      <c r="T101" s="260"/>
      <c r="U101" s="260"/>
      <c r="V101" s="260"/>
      <c r="W101" s="260"/>
      <c r="X101" s="260"/>
      <c r="Y101" s="260"/>
      <c r="Z101" s="260"/>
      <c r="AA101" s="260"/>
      <c r="AB101" s="260"/>
      <c r="AC101" s="260"/>
      <c r="AD101" s="260"/>
      <c r="AE101" s="260"/>
      <c r="AF101" s="260"/>
      <c r="AG101" s="258"/>
      <c r="AO101"/>
      <c r="AP101"/>
      <c r="AQ101"/>
      <c r="AR101"/>
      <c r="AS101"/>
      <c r="AT101"/>
      <c r="AU101"/>
      <c r="AV101"/>
      <c r="AW101"/>
      <c r="AX101"/>
      <c r="AY101"/>
      <c r="AZ101"/>
      <c r="BA101"/>
      <c r="BB101"/>
      <c r="BC101"/>
      <c r="BD101"/>
      <c r="BE101"/>
      <c r="BF101"/>
    </row>
    <row r="102" spans="13:58" ht="12" hidden="1" customHeight="1">
      <c r="M102" s="820"/>
      <c r="N102" s="239"/>
      <c r="O102" s="225"/>
      <c r="P102" s="260"/>
      <c r="Q102" s="258"/>
      <c r="R102" s="260"/>
      <c r="S102" s="260"/>
      <c r="T102" s="260"/>
      <c r="U102" s="260"/>
      <c r="V102" s="260"/>
      <c r="W102" s="260"/>
      <c r="X102" s="260"/>
      <c r="Y102" s="260"/>
      <c r="Z102" s="260"/>
      <c r="AA102" s="260"/>
      <c r="AB102" s="260"/>
      <c r="AC102" s="260"/>
      <c r="AD102" s="260"/>
      <c r="AE102" s="260"/>
      <c r="AF102" s="260"/>
      <c r="AG102" s="258"/>
      <c r="AO102"/>
      <c r="AP102"/>
      <c r="AQ102"/>
      <c r="AR102"/>
      <c r="AS102"/>
      <c r="AT102"/>
      <c r="AU102"/>
      <c r="AV102"/>
      <c r="AW102"/>
      <c r="AX102"/>
      <c r="AY102"/>
      <c r="AZ102"/>
      <c r="BA102"/>
      <c r="BB102"/>
      <c r="BC102"/>
      <c r="BD102"/>
      <c r="BE102"/>
      <c r="BF102"/>
    </row>
    <row r="103" spans="13:58" ht="12" hidden="1" customHeight="1">
      <c r="M103" s="820"/>
      <c r="N103" s="239"/>
      <c r="O103" s="225"/>
      <c r="P103" s="260"/>
      <c r="Q103" s="258"/>
      <c r="R103" s="260"/>
      <c r="S103" s="260"/>
      <c r="T103" s="260"/>
      <c r="U103" s="260"/>
      <c r="V103" s="260"/>
      <c r="W103" s="260"/>
      <c r="X103" s="260"/>
      <c r="Y103" s="260"/>
      <c r="Z103" s="260"/>
      <c r="AA103" s="260"/>
      <c r="AB103" s="260"/>
      <c r="AC103" s="260"/>
      <c r="AD103" s="260"/>
      <c r="AE103" s="260"/>
      <c r="AF103" s="260"/>
      <c r="AG103" s="258"/>
      <c r="AO103"/>
      <c r="AP103"/>
      <c r="AQ103"/>
      <c r="AR103"/>
      <c r="AS103"/>
      <c r="AT103"/>
      <c r="AU103"/>
      <c r="AV103"/>
      <c r="AW103"/>
      <c r="AX103"/>
      <c r="AY103"/>
      <c r="AZ103"/>
      <c r="BA103"/>
      <c r="BB103"/>
      <c r="BC103"/>
      <c r="BD103"/>
      <c r="BE103"/>
      <c r="BF103"/>
    </row>
    <row r="104" spans="13:58" ht="12" hidden="1" customHeight="1">
      <c r="M104" s="820"/>
      <c r="N104" s="239"/>
      <c r="O104" s="225"/>
      <c r="P104" s="260"/>
      <c r="Q104" s="258"/>
      <c r="R104" s="260"/>
      <c r="S104" s="260"/>
      <c r="T104" s="260"/>
      <c r="U104" s="260"/>
      <c r="V104" s="260"/>
      <c r="W104" s="260"/>
      <c r="X104" s="260"/>
      <c r="Y104" s="260"/>
      <c r="Z104" s="260"/>
      <c r="AA104" s="260"/>
      <c r="AB104" s="260"/>
      <c r="AC104" s="260"/>
      <c r="AD104" s="260"/>
      <c r="AE104" s="260"/>
      <c r="AF104" s="260"/>
      <c r="AG104" s="258"/>
      <c r="AO104"/>
      <c r="AP104"/>
      <c r="AQ104"/>
      <c r="AR104"/>
      <c r="AS104"/>
      <c r="AT104"/>
      <c r="AU104"/>
      <c r="AV104"/>
      <c r="AW104"/>
      <c r="AX104"/>
      <c r="AY104"/>
      <c r="AZ104"/>
      <c r="BA104"/>
      <c r="BB104"/>
      <c r="BC104"/>
      <c r="BD104"/>
      <c r="BE104"/>
      <c r="BF104"/>
    </row>
    <row r="105" spans="13:58" ht="12" hidden="1" customHeight="1">
      <c r="M105" s="820"/>
      <c r="N105" s="239"/>
      <c r="O105" s="225"/>
      <c r="P105" s="260"/>
      <c r="Q105" s="258"/>
      <c r="R105" s="260"/>
      <c r="S105" s="260"/>
      <c r="T105" s="260"/>
      <c r="U105" s="260"/>
      <c r="V105" s="260"/>
      <c r="W105" s="260"/>
      <c r="X105" s="260"/>
      <c r="Y105" s="260"/>
      <c r="Z105" s="260"/>
      <c r="AA105" s="260"/>
      <c r="AB105" s="260"/>
      <c r="AC105" s="260"/>
      <c r="AD105" s="260"/>
      <c r="AE105" s="260"/>
      <c r="AF105" s="260"/>
      <c r="AG105" s="258"/>
      <c r="AO105"/>
      <c r="AP105"/>
      <c r="AQ105"/>
      <c r="AR105"/>
      <c r="AS105"/>
      <c r="AT105"/>
      <c r="AU105"/>
      <c r="AV105"/>
      <c r="AW105"/>
      <c r="AX105"/>
      <c r="AY105"/>
      <c r="AZ105"/>
      <c r="BA105"/>
      <c r="BB105"/>
      <c r="BC105"/>
      <c r="BD105"/>
      <c r="BE105"/>
      <c r="BF105"/>
    </row>
    <row r="106" spans="13:58" ht="12" hidden="1" customHeight="1">
      <c r="M106" s="820"/>
      <c r="N106" s="239"/>
      <c r="O106" s="225"/>
      <c r="P106" s="260"/>
      <c r="Q106" s="258"/>
      <c r="R106" s="260"/>
      <c r="S106" s="260"/>
      <c r="T106" s="260"/>
      <c r="U106" s="260"/>
      <c r="V106" s="260"/>
      <c r="W106" s="260"/>
      <c r="X106" s="260"/>
      <c r="Y106" s="260"/>
      <c r="Z106" s="260"/>
      <c r="AA106" s="260"/>
      <c r="AB106" s="260"/>
      <c r="AC106" s="260"/>
      <c r="AD106" s="260"/>
      <c r="AE106" s="260"/>
      <c r="AF106" s="260"/>
      <c r="AG106" s="258"/>
      <c r="AO106"/>
      <c r="AP106"/>
      <c r="AQ106"/>
      <c r="AR106"/>
      <c r="AS106"/>
      <c r="AT106"/>
      <c r="AU106"/>
      <c r="AV106"/>
      <c r="AW106"/>
      <c r="AX106"/>
      <c r="AY106"/>
      <c r="AZ106"/>
      <c r="BA106"/>
      <c r="BB106"/>
      <c r="BC106"/>
      <c r="BD106"/>
      <c r="BE106"/>
      <c r="BF106"/>
    </row>
    <row r="107" spans="13:58" ht="12" hidden="1" customHeight="1">
      <c r="M107" s="820"/>
      <c r="N107" s="239"/>
      <c r="O107" s="225"/>
      <c r="P107" s="260"/>
      <c r="Q107" s="258"/>
      <c r="R107" s="260"/>
      <c r="S107" s="260"/>
      <c r="T107" s="260"/>
      <c r="U107" s="260"/>
      <c r="V107" s="260"/>
      <c r="W107" s="260"/>
      <c r="X107" s="260"/>
      <c r="Y107" s="260"/>
      <c r="Z107" s="260"/>
      <c r="AA107" s="260"/>
      <c r="AB107" s="260"/>
      <c r="AC107" s="260"/>
      <c r="AD107" s="260"/>
      <c r="AE107" s="260"/>
      <c r="AF107" s="260"/>
      <c r="AG107" s="258"/>
      <c r="AO107"/>
      <c r="AP107"/>
      <c r="AQ107"/>
      <c r="AR107"/>
      <c r="AS107"/>
      <c r="AT107"/>
      <c r="AU107"/>
      <c r="AV107"/>
      <c r="AW107"/>
      <c r="AX107"/>
      <c r="AY107"/>
      <c r="AZ107"/>
      <c r="BA107"/>
      <c r="BB107"/>
      <c r="BC107"/>
      <c r="BD107"/>
      <c r="BE107"/>
      <c r="BF107"/>
    </row>
    <row r="108" spans="13:58" ht="12" hidden="1" customHeight="1">
      <c r="M108" s="820"/>
      <c r="N108" s="239"/>
      <c r="O108" s="225"/>
      <c r="P108" s="260"/>
      <c r="Q108" s="258"/>
      <c r="R108" s="260"/>
      <c r="S108" s="260"/>
      <c r="T108" s="260"/>
      <c r="U108" s="260"/>
      <c r="V108" s="260"/>
      <c r="W108" s="260"/>
      <c r="X108" s="260"/>
      <c r="Y108" s="260"/>
      <c r="Z108" s="260"/>
      <c r="AA108" s="260"/>
      <c r="AB108" s="260"/>
      <c r="AC108" s="260"/>
      <c r="AD108" s="260"/>
      <c r="AE108" s="260"/>
      <c r="AF108" s="260"/>
      <c r="AG108" s="258"/>
      <c r="AO108"/>
      <c r="AP108"/>
      <c r="AQ108"/>
      <c r="AR108"/>
      <c r="AS108"/>
      <c r="AT108"/>
      <c r="AU108"/>
      <c r="AV108"/>
      <c r="AW108"/>
      <c r="AX108"/>
      <c r="AY108"/>
      <c r="AZ108"/>
      <c r="BA108"/>
      <c r="BB108"/>
      <c r="BC108"/>
      <c r="BD108"/>
      <c r="BE108"/>
      <c r="BF108"/>
    </row>
    <row r="109" spans="13:58" ht="12" hidden="1" customHeight="1">
      <c r="M109" s="820"/>
      <c r="N109" s="239"/>
      <c r="O109" s="225"/>
      <c r="P109" s="260"/>
      <c r="Q109" s="258"/>
      <c r="R109" s="260"/>
      <c r="S109" s="260"/>
      <c r="T109" s="260"/>
      <c r="U109" s="260"/>
      <c r="V109" s="260"/>
      <c r="W109" s="260"/>
      <c r="X109" s="260"/>
      <c r="Y109" s="260"/>
      <c r="Z109" s="260"/>
      <c r="AA109" s="260"/>
      <c r="AB109" s="260"/>
      <c r="AC109" s="260"/>
      <c r="AD109" s="260"/>
      <c r="AE109" s="260"/>
      <c r="AF109" s="260"/>
      <c r="AG109" s="258"/>
      <c r="AO109"/>
      <c r="AP109"/>
      <c r="AQ109"/>
      <c r="AR109"/>
      <c r="AS109"/>
      <c r="AT109"/>
      <c r="AU109"/>
      <c r="AV109"/>
      <c r="AW109"/>
      <c r="AX109"/>
      <c r="AY109"/>
      <c r="AZ109"/>
      <c r="BA109"/>
      <c r="BB109"/>
      <c r="BC109"/>
      <c r="BD109"/>
      <c r="BE109"/>
      <c r="BF109"/>
    </row>
    <row r="110" spans="13:58" ht="12" hidden="1" customHeight="1">
      <c r="M110" s="820"/>
      <c r="N110" s="239"/>
      <c r="O110" s="225"/>
      <c r="P110" s="260"/>
      <c r="Q110" s="258"/>
      <c r="R110" s="260"/>
      <c r="S110" s="260"/>
      <c r="T110" s="260"/>
      <c r="U110" s="260"/>
      <c r="V110" s="260"/>
      <c r="W110" s="260"/>
      <c r="X110" s="260"/>
      <c r="Y110" s="260"/>
      <c r="Z110" s="260"/>
      <c r="AA110" s="260"/>
      <c r="AB110" s="260"/>
      <c r="AC110" s="260"/>
      <c r="AD110" s="260"/>
      <c r="AE110" s="260"/>
      <c r="AF110" s="260"/>
      <c r="AG110" s="258"/>
      <c r="AO110"/>
      <c r="AP110"/>
      <c r="AQ110"/>
      <c r="AR110"/>
      <c r="AS110"/>
      <c r="AT110"/>
      <c r="AU110"/>
      <c r="AV110"/>
      <c r="AW110"/>
      <c r="AX110"/>
      <c r="AY110"/>
      <c r="AZ110"/>
      <c r="BA110"/>
      <c r="BB110"/>
      <c r="BC110"/>
      <c r="BD110"/>
      <c r="BE110"/>
      <c r="BF110"/>
    </row>
    <row r="111" spans="13:58" ht="12" hidden="1" customHeight="1">
      <c r="M111" s="820"/>
      <c r="N111" s="239"/>
      <c r="O111" s="225"/>
      <c r="P111" s="260"/>
      <c r="Q111" s="258"/>
      <c r="R111" s="260"/>
      <c r="S111" s="260"/>
      <c r="T111" s="260"/>
      <c r="U111" s="260"/>
      <c r="V111" s="260"/>
      <c r="W111" s="260"/>
      <c r="X111" s="260"/>
      <c r="Y111" s="260"/>
      <c r="Z111" s="260"/>
      <c r="AA111" s="260"/>
      <c r="AB111" s="260"/>
      <c r="AC111" s="260"/>
      <c r="AD111" s="260"/>
      <c r="AE111" s="260"/>
      <c r="AF111" s="260"/>
      <c r="AG111" s="258"/>
      <c r="AO111"/>
      <c r="AP111"/>
      <c r="AQ111"/>
      <c r="AR111"/>
      <c r="AS111"/>
      <c r="AT111"/>
      <c r="AU111"/>
      <c r="AV111"/>
      <c r="AW111"/>
      <c r="AX111"/>
      <c r="AY111"/>
      <c r="AZ111"/>
      <c r="BA111"/>
      <c r="BB111"/>
      <c r="BC111"/>
      <c r="BD111"/>
      <c r="BE111"/>
      <c r="BF111"/>
    </row>
    <row r="112" spans="13:58" ht="12" hidden="1" customHeight="1">
      <c r="M112" s="820"/>
      <c r="N112" s="239"/>
      <c r="O112" s="225"/>
      <c r="P112" s="260"/>
      <c r="Q112" s="258"/>
      <c r="R112" s="260"/>
      <c r="S112" s="260"/>
      <c r="T112" s="260"/>
      <c r="U112" s="260"/>
      <c r="V112" s="260"/>
      <c r="W112" s="260"/>
      <c r="X112" s="260"/>
      <c r="Y112" s="260"/>
      <c r="Z112" s="260"/>
      <c r="AA112" s="260"/>
      <c r="AB112" s="260"/>
      <c r="AC112" s="260"/>
      <c r="AD112" s="260"/>
      <c r="AE112" s="260"/>
      <c r="AF112" s="260"/>
      <c r="AG112" s="258"/>
      <c r="AO112"/>
      <c r="AP112"/>
      <c r="AQ112"/>
      <c r="AR112"/>
      <c r="AS112"/>
      <c r="AT112"/>
      <c r="AU112"/>
      <c r="AV112"/>
      <c r="AW112"/>
      <c r="AX112"/>
      <c r="AY112"/>
      <c r="AZ112"/>
      <c r="BA112"/>
      <c r="BB112"/>
      <c r="BC112"/>
      <c r="BD112"/>
      <c r="BE112"/>
      <c r="BF112"/>
    </row>
    <row r="113" spans="13:58" ht="12" hidden="1" customHeight="1">
      <c r="M113" s="820"/>
      <c r="N113" s="239"/>
      <c r="O113" s="225"/>
      <c r="P113" s="260"/>
      <c r="Q113" s="258"/>
      <c r="R113" s="260"/>
      <c r="S113" s="260"/>
      <c r="T113" s="260"/>
      <c r="U113" s="260"/>
      <c r="V113" s="260"/>
      <c r="W113" s="260"/>
      <c r="X113" s="260"/>
      <c r="Y113" s="260"/>
      <c r="Z113" s="260"/>
      <c r="AA113" s="260"/>
      <c r="AB113" s="260"/>
      <c r="AC113" s="260"/>
      <c r="AD113" s="260"/>
      <c r="AE113" s="260"/>
      <c r="AF113" s="260"/>
      <c r="AG113" s="258"/>
      <c r="AO113"/>
      <c r="AP113"/>
      <c r="AQ113"/>
      <c r="AR113"/>
      <c r="AS113"/>
      <c r="AT113"/>
      <c r="AU113"/>
      <c r="AV113"/>
      <c r="AW113"/>
      <c r="AX113"/>
      <c r="AY113"/>
      <c r="AZ113"/>
      <c r="BA113"/>
      <c r="BB113"/>
      <c r="BC113"/>
      <c r="BD113"/>
      <c r="BE113"/>
      <c r="BF113"/>
    </row>
    <row r="114" spans="13:58" ht="12" hidden="1" customHeight="1">
      <c r="M114" s="820"/>
      <c r="N114" s="239"/>
      <c r="O114" s="225"/>
      <c r="P114" s="260"/>
      <c r="Q114" s="258"/>
      <c r="R114" s="260"/>
      <c r="S114" s="260"/>
      <c r="T114" s="260"/>
      <c r="U114" s="260"/>
      <c r="V114" s="260"/>
      <c r="W114" s="260"/>
      <c r="X114" s="260"/>
      <c r="Y114" s="260"/>
      <c r="Z114" s="260"/>
      <c r="AA114" s="260"/>
      <c r="AB114" s="260"/>
      <c r="AC114" s="260"/>
      <c r="AD114" s="260"/>
      <c r="AE114" s="260"/>
      <c r="AF114" s="260"/>
      <c r="AG114" s="258"/>
      <c r="AO114"/>
      <c r="AP114"/>
      <c r="AQ114"/>
      <c r="AR114"/>
      <c r="AS114"/>
      <c r="AT114"/>
      <c r="AU114"/>
      <c r="AV114"/>
      <c r="AW114"/>
      <c r="AX114"/>
      <c r="AY114"/>
      <c r="AZ114"/>
      <c r="BA114"/>
      <c r="BB114"/>
      <c r="BC114"/>
      <c r="BD114"/>
      <c r="BE114"/>
      <c r="BF114"/>
    </row>
    <row r="115" spans="13:58" ht="12" hidden="1" customHeight="1">
      <c r="M115" s="820"/>
      <c r="N115" s="239"/>
      <c r="O115" s="225"/>
      <c r="P115" s="260"/>
      <c r="Q115" s="258"/>
      <c r="R115" s="260"/>
      <c r="S115" s="260"/>
      <c r="T115" s="260"/>
      <c r="U115" s="260"/>
      <c r="V115" s="260"/>
      <c r="W115" s="260"/>
      <c r="X115" s="260"/>
      <c r="Y115" s="260"/>
      <c r="Z115" s="260"/>
      <c r="AA115" s="260"/>
      <c r="AB115" s="260"/>
      <c r="AC115" s="260"/>
      <c r="AD115" s="260"/>
      <c r="AE115" s="260"/>
      <c r="AF115" s="260"/>
      <c r="AG115" s="258"/>
      <c r="AO115"/>
      <c r="AP115"/>
      <c r="AQ115"/>
      <c r="AR115"/>
      <c r="AS115"/>
      <c r="AT115"/>
      <c r="AU115"/>
      <c r="AV115"/>
      <c r="AW115"/>
      <c r="AX115"/>
      <c r="AY115"/>
      <c r="AZ115"/>
      <c r="BA115"/>
      <c r="BB115"/>
      <c r="BC115"/>
      <c r="BD115"/>
      <c r="BE115"/>
      <c r="BF115"/>
    </row>
    <row r="116" spans="13:58" ht="12" hidden="1" customHeight="1">
      <c r="M116" s="820"/>
      <c r="N116" s="239"/>
      <c r="O116" s="225"/>
      <c r="P116" s="260"/>
      <c r="Q116" s="258"/>
      <c r="R116" s="260"/>
      <c r="S116" s="260"/>
      <c r="T116" s="260"/>
      <c r="U116" s="260"/>
      <c r="V116" s="260"/>
      <c r="W116" s="260"/>
      <c r="X116" s="260"/>
      <c r="Y116" s="260"/>
      <c r="Z116" s="260"/>
      <c r="AA116" s="260"/>
      <c r="AB116" s="260"/>
      <c r="AC116" s="260"/>
      <c r="AD116" s="260"/>
      <c r="AE116" s="260"/>
      <c r="AF116" s="260"/>
      <c r="AG116" s="258"/>
      <c r="AO116"/>
      <c r="AP116"/>
      <c r="AQ116"/>
      <c r="AR116"/>
      <c r="AS116"/>
      <c r="AT116"/>
      <c r="AU116"/>
      <c r="AV116"/>
      <c r="AW116"/>
      <c r="AX116"/>
      <c r="AY116"/>
      <c r="AZ116"/>
      <c r="BA116"/>
      <c r="BB116"/>
      <c r="BC116"/>
      <c r="BD116"/>
      <c r="BE116"/>
      <c r="BF116"/>
    </row>
    <row r="117" spans="13:58" ht="12" hidden="1" customHeight="1">
      <c r="M117" s="820"/>
      <c r="N117" s="239"/>
      <c r="O117" s="225"/>
      <c r="P117" s="260"/>
      <c r="Q117" s="258"/>
      <c r="R117" s="260"/>
      <c r="S117" s="260"/>
      <c r="T117" s="260"/>
      <c r="U117" s="260"/>
      <c r="V117" s="260"/>
      <c r="W117" s="260"/>
      <c r="X117" s="260"/>
      <c r="Y117" s="260"/>
      <c r="Z117" s="260"/>
      <c r="AA117" s="260"/>
      <c r="AB117" s="260"/>
      <c r="AC117" s="260"/>
      <c r="AD117" s="260"/>
      <c r="AE117" s="260"/>
      <c r="AF117" s="260"/>
      <c r="AG117" s="258"/>
      <c r="AO117"/>
      <c r="AP117"/>
      <c r="AQ117"/>
      <c r="AR117"/>
      <c r="AS117"/>
      <c r="AT117"/>
      <c r="AU117"/>
      <c r="AV117"/>
      <c r="AW117"/>
      <c r="AX117"/>
      <c r="AY117"/>
      <c r="AZ117"/>
      <c r="BA117"/>
      <c r="BB117"/>
      <c r="BC117"/>
      <c r="BD117"/>
      <c r="BE117"/>
      <c r="BF117"/>
    </row>
    <row r="118" spans="13:58" ht="12" hidden="1" customHeight="1">
      <c r="M118" s="820"/>
      <c r="N118" s="239"/>
      <c r="O118" s="225"/>
      <c r="P118" s="260"/>
      <c r="Q118" s="258"/>
      <c r="R118" s="260"/>
      <c r="S118" s="260"/>
      <c r="T118" s="260"/>
      <c r="U118" s="260"/>
      <c r="V118" s="260"/>
      <c r="W118" s="260"/>
      <c r="X118" s="260"/>
      <c r="Y118" s="260"/>
      <c r="Z118" s="260"/>
      <c r="AA118" s="260"/>
      <c r="AB118" s="260"/>
      <c r="AC118" s="260"/>
      <c r="AD118" s="260"/>
      <c r="AE118" s="260"/>
      <c r="AF118" s="260"/>
      <c r="AG118" s="258"/>
      <c r="AO118"/>
      <c r="AP118"/>
      <c r="AQ118"/>
      <c r="AR118"/>
      <c r="AS118"/>
      <c r="AT118"/>
      <c r="AU118"/>
      <c r="AV118"/>
      <c r="AW118"/>
      <c r="AX118"/>
      <c r="AY118"/>
      <c r="AZ118"/>
      <c r="BA118"/>
      <c r="BB118"/>
      <c r="BC118"/>
      <c r="BD118"/>
      <c r="BE118"/>
      <c r="BF118"/>
    </row>
    <row r="119" spans="13:58" ht="12" hidden="1" customHeight="1">
      <c r="M119" s="820"/>
      <c r="N119" s="239"/>
      <c r="O119" s="225"/>
      <c r="P119" s="260"/>
      <c r="Q119" s="258"/>
      <c r="R119" s="260"/>
      <c r="S119" s="260"/>
      <c r="T119" s="260"/>
      <c r="U119" s="260"/>
      <c r="V119" s="260"/>
      <c r="W119" s="260"/>
      <c r="X119" s="260"/>
      <c r="Y119" s="260"/>
      <c r="Z119" s="260"/>
      <c r="AA119" s="260"/>
      <c r="AB119" s="260"/>
      <c r="AC119" s="260"/>
      <c r="AD119" s="260"/>
      <c r="AE119" s="260"/>
      <c r="AF119" s="260"/>
      <c r="AG119" s="258"/>
      <c r="AO119"/>
      <c r="AP119"/>
      <c r="AQ119"/>
      <c r="AR119"/>
      <c r="AS119"/>
      <c r="AT119"/>
      <c r="AU119"/>
      <c r="AV119"/>
      <c r="AW119"/>
      <c r="AX119"/>
      <c r="AY119"/>
      <c r="AZ119"/>
      <c r="BA119"/>
      <c r="BB119"/>
      <c r="BC119"/>
      <c r="BD119"/>
      <c r="BE119"/>
      <c r="BF119"/>
    </row>
    <row r="120" spans="13:58" ht="12" hidden="1" customHeight="1">
      <c r="M120" s="820"/>
      <c r="N120" s="239"/>
      <c r="O120" s="225"/>
      <c r="P120" s="260"/>
      <c r="Q120" s="258"/>
      <c r="R120" s="260"/>
      <c r="S120" s="260"/>
      <c r="T120" s="260"/>
      <c r="U120" s="260"/>
      <c r="V120" s="260"/>
      <c r="W120" s="260"/>
      <c r="X120" s="260"/>
      <c r="Y120" s="260"/>
      <c r="Z120" s="260"/>
      <c r="AA120" s="260"/>
      <c r="AB120" s="260"/>
      <c r="AC120" s="260"/>
      <c r="AD120" s="260"/>
      <c r="AE120" s="260"/>
      <c r="AF120" s="260"/>
      <c r="AG120" s="258"/>
      <c r="AO120"/>
      <c r="AP120"/>
      <c r="AQ120"/>
      <c r="AR120"/>
      <c r="AS120"/>
      <c r="AT120"/>
      <c r="AU120"/>
      <c r="AV120"/>
      <c r="AW120"/>
      <c r="AX120"/>
      <c r="AY120"/>
      <c r="AZ120"/>
      <c r="BA120"/>
      <c r="BB120"/>
      <c r="BC120"/>
      <c r="BD120"/>
      <c r="BE120"/>
      <c r="BF120"/>
    </row>
    <row r="121" spans="13:58" ht="12" hidden="1" customHeight="1">
      <c r="M121" s="820"/>
      <c r="N121" s="239"/>
      <c r="O121" s="225"/>
      <c r="P121" s="260"/>
      <c r="Q121" s="258"/>
      <c r="R121" s="260"/>
      <c r="S121" s="260"/>
      <c r="T121" s="260"/>
      <c r="U121" s="260"/>
      <c r="V121" s="260"/>
      <c r="W121" s="260"/>
      <c r="X121" s="260"/>
      <c r="Y121" s="260"/>
      <c r="Z121" s="260"/>
      <c r="AA121" s="260"/>
      <c r="AB121" s="260"/>
      <c r="AC121" s="260"/>
      <c r="AD121" s="260"/>
      <c r="AE121" s="260"/>
      <c r="AF121" s="260"/>
      <c r="AG121" s="258"/>
      <c r="AO121"/>
      <c r="AP121"/>
      <c r="AQ121"/>
      <c r="AR121"/>
      <c r="AS121"/>
      <c r="AT121"/>
      <c r="AU121"/>
      <c r="AV121"/>
      <c r="AW121"/>
      <c r="AX121"/>
      <c r="AY121"/>
      <c r="AZ121"/>
      <c r="BA121"/>
      <c r="BB121"/>
      <c r="BC121"/>
      <c r="BD121"/>
      <c r="BE121"/>
      <c r="BF121"/>
    </row>
    <row r="122" spans="13:58" ht="12" hidden="1" customHeight="1">
      <c r="M122" s="820"/>
      <c r="N122" s="239"/>
      <c r="O122" s="225"/>
      <c r="P122" s="260"/>
      <c r="Q122" s="258"/>
      <c r="R122" s="260"/>
      <c r="S122" s="260"/>
      <c r="T122" s="260"/>
      <c r="U122" s="260"/>
      <c r="V122" s="260"/>
      <c r="W122" s="260"/>
      <c r="X122" s="260"/>
      <c r="Y122" s="260"/>
      <c r="Z122" s="260"/>
      <c r="AA122" s="260"/>
      <c r="AB122" s="260"/>
      <c r="AC122" s="260"/>
      <c r="AD122" s="260"/>
      <c r="AE122" s="260"/>
      <c r="AF122" s="260"/>
      <c r="AG122" s="258"/>
      <c r="AO122"/>
      <c r="AP122"/>
      <c r="AQ122"/>
      <c r="AR122"/>
      <c r="AS122"/>
      <c r="AT122"/>
      <c r="AU122"/>
      <c r="AV122"/>
      <c r="AW122"/>
      <c r="AX122"/>
      <c r="AY122"/>
      <c r="AZ122"/>
      <c r="BA122"/>
      <c r="BB122"/>
      <c r="BC122"/>
      <c r="BD122"/>
      <c r="BE122"/>
      <c r="BF122"/>
    </row>
    <row r="123" spans="13:58" ht="12" hidden="1" customHeight="1">
      <c r="M123" s="820"/>
      <c r="N123" s="239"/>
      <c r="O123" s="225"/>
      <c r="P123" s="260"/>
      <c r="Q123" s="258"/>
      <c r="R123" s="260"/>
      <c r="S123" s="260"/>
      <c r="T123" s="260"/>
      <c r="U123" s="260"/>
      <c r="V123" s="260"/>
      <c r="W123" s="260"/>
      <c r="X123" s="260"/>
      <c r="Y123" s="260"/>
      <c r="Z123" s="260"/>
      <c r="AA123" s="260"/>
      <c r="AB123" s="260"/>
      <c r="AC123" s="260"/>
      <c r="AD123" s="260"/>
      <c r="AE123" s="260"/>
      <c r="AF123" s="260"/>
      <c r="AG123" s="258"/>
      <c r="AO123"/>
      <c r="AP123"/>
      <c r="AQ123"/>
      <c r="AR123"/>
      <c r="AS123"/>
      <c r="AT123"/>
      <c r="AU123"/>
      <c r="AV123"/>
      <c r="AW123"/>
      <c r="AX123"/>
      <c r="AY123"/>
      <c r="AZ123"/>
      <c r="BA123"/>
      <c r="BB123"/>
      <c r="BC123"/>
      <c r="BD123"/>
      <c r="BE123"/>
      <c r="BF123"/>
    </row>
    <row r="124" spans="13:58" ht="12" hidden="1" customHeight="1">
      <c r="M124" s="820"/>
      <c r="N124" s="239"/>
      <c r="O124" s="225"/>
      <c r="P124" s="260"/>
      <c r="Q124" s="258"/>
      <c r="R124" s="260"/>
      <c r="S124" s="260"/>
      <c r="T124" s="260"/>
      <c r="U124" s="260"/>
      <c r="V124" s="260"/>
      <c r="W124" s="260"/>
      <c r="X124" s="260"/>
      <c r="Y124" s="260"/>
      <c r="Z124" s="260"/>
      <c r="AA124" s="260"/>
      <c r="AB124" s="260"/>
      <c r="AC124" s="260"/>
      <c r="AD124" s="260"/>
      <c r="AE124" s="260"/>
      <c r="AF124" s="260"/>
      <c r="AG124" s="258"/>
      <c r="AO124"/>
      <c r="AP124"/>
      <c r="AQ124"/>
      <c r="AR124"/>
      <c r="AS124"/>
      <c r="AT124"/>
      <c r="AU124"/>
      <c r="AV124"/>
      <c r="AW124"/>
      <c r="AX124"/>
      <c r="AY124"/>
      <c r="AZ124"/>
      <c r="BA124"/>
      <c r="BB124"/>
      <c r="BC124"/>
      <c r="BD124"/>
      <c r="BE124"/>
      <c r="BF124"/>
    </row>
    <row r="125" spans="13:58" ht="12" hidden="1" customHeight="1">
      <c r="M125" s="820"/>
      <c r="N125" s="239"/>
      <c r="O125" s="225"/>
      <c r="P125" s="260"/>
      <c r="Q125" s="258"/>
      <c r="R125" s="260"/>
      <c r="S125" s="260"/>
      <c r="T125" s="260"/>
      <c r="U125" s="260"/>
      <c r="V125" s="260"/>
      <c r="W125" s="260"/>
      <c r="X125" s="260"/>
      <c r="Y125" s="260"/>
      <c r="Z125" s="260"/>
      <c r="AA125" s="260"/>
      <c r="AB125" s="260"/>
      <c r="AC125" s="260"/>
      <c r="AD125" s="260"/>
      <c r="AE125" s="260"/>
      <c r="AF125" s="260"/>
      <c r="AG125" s="258"/>
      <c r="AO125"/>
      <c r="AP125"/>
      <c r="AQ125"/>
      <c r="AR125"/>
      <c r="AS125"/>
      <c r="AT125"/>
      <c r="AU125"/>
      <c r="AV125"/>
      <c r="AW125"/>
      <c r="AX125"/>
      <c r="AY125"/>
      <c r="AZ125"/>
      <c r="BA125"/>
      <c r="BB125"/>
      <c r="BC125"/>
      <c r="BD125"/>
      <c r="BE125"/>
      <c r="BF125"/>
    </row>
    <row r="126" spans="13:58" ht="12" hidden="1" customHeight="1">
      <c r="M126" s="820"/>
      <c r="N126" s="239"/>
      <c r="O126" s="225"/>
      <c r="P126" s="260"/>
      <c r="Q126" s="258"/>
      <c r="R126" s="260"/>
      <c r="S126" s="260"/>
      <c r="T126" s="260"/>
      <c r="U126" s="260"/>
      <c r="V126" s="260"/>
      <c r="W126" s="260"/>
      <c r="X126" s="260"/>
      <c r="Y126" s="260"/>
      <c r="Z126" s="260"/>
      <c r="AA126" s="260"/>
      <c r="AB126" s="260"/>
      <c r="AC126" s="260"/>
      <c r="AD126" s="260"/>
      <c r="AE126" s="260"/>
      <c r="AF126" s="260"/>
      <c r="AG126" s="258"/>
      <c r="AO126"/>
      <c r="AP126"/>
      <c r="AQ126"/>
      <c r="AR126"/>
      <c r="AS126"/>
      <c r="AT126"/>
      <c r="AU126"/>
      <c r="AV126"/>
      <c r="AW126"/>
      <c r="AX126"/>
      <c r="AY126"/>
      <c r="AZ126"/>
      <c r="BA126"/>
      <c r="BB126"/>
      <c r="BC126"/>
      <c r="BD126"/>
      <c r="BE126"/>
      <c r="BF126"/>
    </row>
    <row r="127" spans="13:58" ht="12" hidden="1" customHeight="1">
      <c r="M127" s="820"/>
      <c r="N127" s="239"/>
      <c r="O127" s="225"/>
      <c r="P127" s="260"/>
      <c r="Q127" s="258"/>
      <c r="R127" s="260"/>
      <c r="S127" s="260"/>
      <c r="T127" s="260"/>
      <c r="U127" s="260"/>
      <c r="V127" s="260"/>
      <c r="W127" s="260"/>
      <c r="X127" s="260"/>
      <c r="Y127" s="260"/>
      <c r="Z127" s="260"/>
      <c r="AA127" s="260"/>
      <c r="AB127" s="260"/>
      <c r="AC127" s="260"/>
      <c r="AD127" s="260"/>
      <c r="AE127" s="260"/>
      <c r="AF127" s="260"/>
      <c r="AG127" s="258"/>
      <c r="AO127"/>
      <c r="AP127"/>
      <c r="AQ127"/>
      <c r="AR127"/>
      <c r="AS127"/>
      <c r="AT127"/>
      <c r="AU127"/>
      <c r="AV127"/>
      <c r="AW127"/>
      <c r="AX127"/>
      <c r="AY127"/>
      <c r="AZ127"/>
      <c r="BA127"/>
      <c r="BB127"/>
      <c r="BC127"/>
      <c r="BD127"/>
      <c r="BE127"/>
      <c r="BF127"/>
    </row>
    <row r="128" spans="13:58" ht="12" hidden="1" customHeight="1">
      <c r="M128" s="820"/>
      <c r="N128" s="239"/>
      <c r="O128" s="225"/>
      <c r="P128" s="260"/>
      <c r="Q128" s="258"/>
      <c r="R128" s="260"/>
      <c r="S128" s="260"/>
      <c r="T128" s="260"/>
      <c r="U128" s="260"/>
      <c r="V128" s="260"/>
      <c r="W128" s="260"/>
      <c r="X128" s="260"/>
      <c r="Y128" s="260"/>
      <c r="Z128" s="260"/>
      <c r="AA128" s="260"/>
      <c r="AB128" s="260"/>
      <c r="AC128" s="260"/>
      <c r="AD128" s="260"/>
      <c r="AE128" s="260"/>
      <c r="AF128" s="260"/>
      <c r="AG128" s="258"/>
      <c r="AO128"/>
      <c r="AP128"/>
      <c r="AQ128"/>
      <c r="AR128"/>
      <c r="AS128"/>
      <c r="AT128"/>
      <c r="AU128"/>
      <c r="AV128"/>
      <c r="AW128"/>
      <c r="AX128"/>
      <c r="AY128"/>
      <c r="AZ128"/>
      <c r="BA128"/>
      <c r="BB128"/>
      <c r="BC128"/>
      <c r="BD128"/>
      <c r="BE128"/>
      <c r="BF128"/>
    </row>
    <row r="129" spans="13:58" ht="12" hidden="1" customHeight="1">
      <c r="M129" s="820"/>
      <c r="N129" s="239"/>
      <c r="O129" s="225"/>
      <c r="P129" s="260"/>
      <c r="Q129" s="258"/>
      <c r="R129" s="260"/>
      <c r="S129" s="260"/>
      <c r="T129" s="260"/>
      <c r="U129" s="260"/>
      <c r="V129" s="260"/>
      <c r="W129" s="260"/>
      <c r="X129" s="260"/>
      <c r="Y129" s="260"/>
      <c r="Z129" s="260"/>
      <c r="AA129" s="260"/>
      <c r="AB129" s="260"/>
      <c r="AC129" s="260"/>
      <c r="AD129" s="260"/>
      <c r="AE129" s="260"/>
      <c r="AF129" s="260"/>
      <c r="AG129" s="258"/>
      <c r="AO129"/>
      <c r="AP129"/>
      <c r="AQ129"/>
      <c r="AR129"/>
      <c r="AS129"/>
      <c r="AT129"/>
      <c r="AU129"/>
      <c r="AV129"/>
      <c r="AW129"/>
      <c r="AX129"/>
      <c r="AY129"/>
      <c r="AZ129"/>
      <c r="BA129"/>
      <c r="BB129"/>
      <c r="BC129"/>
      <c r="BD129"/>
      <c r="BE129"/>
      <c r="BF129"/>
    </row>
    <row r="130" spans="13:58" ht="12" hidden="1" customHeight="1">
      <c r="M130" s="820"/>
      <c r="N130" s="239"/>
      <c r="O130" s="225"/>
      <c r="P130" s="260"/>
      <c r="Q130" s="258"/>
      <c r="R130" s="260"/>
      <c r="S130" s="260"/>
      <c r="T130" s="260"/>
      <c r="U130" s="260"/>
      <c r="V130" s="260"/>
      <c r="W130" s="260"/>
      <c r="X130" s="260"/>
      <c r="Y130" s="260"/>
      <c r="Z130" s="260"/>
      <c r="AA130" s="260"/>
      <c r="AB130" s="260"/>
      <c r="AC130" s="260"/>
      <c r="AD130" s="260"/>
      <c r="AE130" s="260"/>
      <c r="AF130" s="260"/>
      <c r="AG130" s="258"/>
      <c r="AO130"/>
      <c r="AP130"/>
      <c r="AQ130"/>
      <c r="AR130"/>
      <c r="AS130"/>
      <c r="AT130"/>
      <c r="AU130"/>
      <c r="AV130"/>
      <c r="AW130"/>
      <c r="AX130"/>
      <c r="AY130"/>
      <c r="AZ130"/>
      <c r="BA130"/>
      <c r="BB130"/>
      <c r="BC130"/>
      <c r="BD130"/>
      <c r="BE130"/>
      <c r="BF130"/>
    </row>
    <row r="131" spans="13:58" ht="12" hidden="1" customHeight="1">
      <c r="M131" s="820"/>
      <c r="N131" s="239"/>
      <c r="O131" s="225"/>
      <c r="P131" s="260"/>
      <c r="Q131" s="258"/>
      <c r="R131" s="260"/>
      <c r="S131" s="260"/>
      <c r="T131" s="260"/>
      <c r="U131" s="260"/>
      <c r="V131" s="260"/>
      <c r="W131" s="260"/>
      <c r="X131" s="260"/>
      <c r="Y131" s="260"/>
      <c r="Z131" s="260"/>
      <c r="AA131" s="260"/>
      <c r="AB131" s="260"/>
      <c r="AC131" s="260"/>
      <c r="AD131" s="260"/>
      <c r="AE131" s="260"/>
      <c r="AF131" s="260"/>
      <c r="AG131" s="258"/>
      <c r="AO131"/>
      <c r="AP131"/>
      <c r="AQ131"/>
      <c r="AR131"/>
      <c r="AS131"/>
      <c r="AT131"/>
      <c r="AU131"/>
      <c r="AV131"/>
      <c r="AW131"/>
      <c r="AX131"/>
      <c r="AY131"/>
      <c r="AZ131"/>
      <c r="BA131"/>
      <c r="BB131"/>
      <c r="BC131"/>
      <c r="BD131"/>
      <c r="BE131"/>
      <c r="BF131"/>
    </row>
    <row r="132" spans="13:58" ht="12" hidden="1" customHeight="1">
      <c r="M132" s="820"/>
      <c r="N132" s="239"/>
      <c r="O132" s="225"/>
      <c r="P132" s="260"/>
      <c r="Q132" s="258"/>
      <c r="R132" s="260"/>
      <c r="S132" s="260"/>
      <c r="T132" s="260"/>
      <c r="U132" s="260"/>
      <c r="V132" s="260"/>
      <c r="W132" s="260"/>
      <c r="X132" s="260"/>
      <c r="Y132" s="260"/>
      <c r="Z132" s="260"/>
      <c r="AA132" s="260"/>
      <c r="AB132" s="260"/>
      <c r="AC132" s="260"/>
      <c r="AD132" s="260"/>
      <c r="AE132" s="260"/>
      <c r="AF132" s="260"/>
      <c r="AG132" s="258"/>
      <c r="AO132"/>
      <c r="AP132"/>
      <c r="AQ132"/>
      <c r="AR132"/>
      <c r="AS132"/>
      <c r="AT132"/>
      <c r="AU132"/>
      <c r="AV132"/>
      <c r="AW132"/>
      <c r="AX132"/>
      <c r="AY132"/>
      <c r="AZ132"/>
      <c r="BA132"/>
      <c r="BB132"/>
      <c r="BC132"/>
      <c r="BD132"/>
      <c r="BE132"/>
      <c r="BF132"/>
    </row>
    <row r="133" spans="13:58" ht="12" hidden="1" customHeight="1">
      <c r="M133" s="820"/>
      <c r="N133" s="239"/>
      <c r="O133" s="225"/>
      <c r="P133" s="260"/>
      <c r="Q133" s="258"/>
      <c r="R133" s="260"/>
      <c r="S133" s="260"/>
      <c r="T133" s="260"/>
      <c r="U133" s="260"/>
      <c r="V133" s="260"/>
      <c r="W133" s="260"/>
      <c r="X133" s="260"/>
      <c r="Y133" s="260"/>
      <c r="Z133" s="260"/>
      <c r="AA133" s="260"/>
      <c r="AB133" s="260"/>
      <c r="AC133" s="260"/>
      <c r="AD133" s="260"/>
      <c r="AE133" s="260"/>
      <c r="AF133" s="260"/>
      <c r="AG133" s="258"/>
      <c r="AO133"/>
      <c r="AP133"/>
      <c r="AQ133"/>
      <c r="AR133"/>
      <c r="AS133"/>
      <c r="AT133"/>
      <c r="AU133"/>
      <c r="AV133"/>
      <c r="AW133"/>
      <c r="AX133"/>
      <c r="AY133"/>
      <c r="AZ133"/>
      <c r="BA133"/>
      <c r="BB133"/>
      <c r="BC133"/>
      <c r="BD133"/>
      <c r="BE133"/>
      <c r="BF133"/>
    </row>
    <row r="134" spans="13:58" ht="12" hidden="1" customHeight="1">
      <c r="M134" s="820"/>
      <c r="N134" s="239"/>
      <c r="O134" s="225"/>
      <c r="P134" s="260"/>
      <c r="Q134" s="258"/>
      <c r="R134" s="260"/>
      <c r="S134" s="260"/>
      <c r="T134" s="260"/>
      <c r="U134" s="260"/>
      <c r="V134" s="260"/>
      <c r="W134" s="260"/>
      <c r="X134" s="260"/>
      <c r="Y134" s="260"/>
      <c r="Z134" s="260"/>
      <c r="AA134" s="260"/>
      <c r="AB134" s="260"/>
      <c r="AC134" s="260"/>
      <c r="AD134" s="260"/>
      <c r="AE134" s="260"/>
      <c r="AF134" s="260"/>
      <c r="AG134" s="258"/>
      <c r="AO134"/>
      <c r="AP134"/>
      <c r="AQ134"/>
      <c r="AR134"/>
      <c r="AS134"/>
      <c r="AT134"/>
      <c r="AU134"/>
      <c r="AV134"/>
      <c r="AW134"/>
      <c r="AX134"/>
      <c r="AY134"/>
      <c r="AZ134"/>
      <c r="BA134"/>
      <c r="BB134"/>
      <c r="BC134"/>
      <c r="BD134"/>
      <c r="BE134"/>
      <c r="BF134"/>
    </row>
    <row r="135" spans="13:58" ht="12" hidden="1" customHeight="1">
      <c r="M135" s="820"/>
      <c r="N135" s="239"/>
      <c r="O135" s="225"/>
      <c r="P135" s="260"/>
      <c r="Q135" s="258"/>
      <c r="R135" s="260"/>
      <c r="S135" s="260"/>
      <c r="T135" s="260"/>
      <c r="U135" s="260"/>
      <c r="V135" s="260"/>
      <c r="W135" s="260"/>
      <c r="X135" s="260"/>
      <c r="Y135" s="260"/>
      <c r="Z135" s="260"/>
      <c r="AA135" s="260"/>
      <c r="AB135" s="260"/>
      <c r="AC135" s="260"/>
      <c r="AD135" s="260"/>
      <c r="AE135" s="260"/>
      <c r="AF135" s="260"/>
      <c r="AG135" s="258"/>
      <c r="AO135"/>
      <c r="AP135"/>
      <c r="AQ135"/>
      <c r="AR135"/>
      <c r="AS135"/>
      <c r="AT135"/>
      <c r="AU135"/>
      <c r="AV135"/>
      <c r="AW135"/>
      <c r="AX135"/>
      <c r="AY135"/>
      <c r="AZ135"/>
      <c r="BA135"/>
      <c r="BB135"/>
      <c r="BC135"/>
      <c r="BD135"/>
      <c r="BE135"/>
      <c r="BF135"/>
    </row>
    <row r="136" spans="13:58" ht="12" hidden="1" customHeight="1">
      <c r="M136" s="820"/>
      <c r="N136" s="239"/>
      <c r="O136" s="225"/>
      <c r="P136" s="260"/>
      <c r="Q136" s="258"/>
      <c r="R136" s="260"/>
      <c r="S136" s="260"/>
      <c r="T136" s="260"/>
      <c r="U136" s="260"/>
      <c r="V136" s="260"/>
      <c r="W136" s="260"/>
      <c r="X136" s="260"/>
      <c r="Y136" s="260"/>
      <c r="Z136" s="260"/>
      <c r="AA136" s="260"/>
      <c r="AB136" s="260"/>
      <c r="AC136" s="260"/>
      <c r="AD136" s="260"/>
      <c r="AE136" s="260"/>
      <c r="AF136" s="260"/>
      <c r="AG136" s="258"/>
      <c r="AO136"/>
      <c r="AP136"/>
      <c r="AQ136"/>
      <c r="AR136"/>
      <c r="AS136"/>
      <c r="AT136"/>
      <c r="AU136"/>
      <c r="AV136"/>
      <c r="AW136"/>
      <c r="AX136"/>
      <c r="AY136"/>
      <c r="AZ136"/>
      <c r="BA136"/>
      <c r="BB136"/>
      <c r="BC136"/>
      <c r="BD136"/>
      <c r="BE136"/>
      <c r="BF136"/>
    </row>
    <row r="137" spans="13:58" ht="12" hidden="1" customHeight="1">
      <c r="M137" s="820"/>
      <c r="N137" s="239"/>
      <c r="O137" s="225"/>
      <c r="P137" s="260"/>
      <c r="Q137" s="258"/>
      <c r="R137" s="260"/>
      <c r="S137" s="260"/>
      <c r="T137" s="260"/>
      <c r="U137" s="260"/>
      <c r="V137" s="260"/>
      <c r="W137" s="260"/>
      <c r="X137" s="260"/>
      <c r="Y137" s="260"/>
      <c r="Z137" s="260"/>
      <c r="AA137" s="260"/>
      <c r="AB137" s="260"/>
      <c r="AC137" s="260"/>
      <c r="AD137" s="260"/>
      <c r="AE137" s="260"/>
      <c r="AF137" s="260"/>
      <c r="AG137" s="258"/>
      <c r="AO137"/>
      <c r="AP137"/>
      <c r="AQ137"/>
      <c r="AR137"/>
      <c r="AS137"/>
      <c r="AT137"/>
      <c r="AU137"/>
      <c r="AV137"/>
      <c r="AW137"/>
      <c r="AX137"/>
      <c r="AY137"/>
      <c r="AZ137"/>
      <c r="BA137"/>
      <c r="BB137"/>
      <c r="BC137"/>
      <c r="BD137"/>
      <c r="BE137"/>
      <c r="BF137"/>
    </row>
    <row r="138" spans="13:58" ht="12" hidden="1" customHeight="1">
      <c r="M138" s="820"/>
      <c r="N138" s="239"/>
      <c r="O138" s="225"/>
      <c r="P138" s="260"/>
      <c r="Q138" s="258"/>
      <c r="R138" s="260"/>
      <c r="S138" s="260"/>
      <c r="T138" s="260"/>
      <c r="U138" s="260"/>
      <c r="V138" s="260"/>
      <c r="W138" s="260"/>
      <c r="X138" s="260"/>
      <c r="Y138" s="260"/>
      <c r="Z138" s="260"/>
      <c r="AA138" s="260"/>
      <c r="AB138" s="260"/>
      <c r="AC138" s="260"/>
      <c r="AD138" s="260"/>
      <c r="AE138" s="260"/>
      <c r="AF138" s="260"/>
      <c r="AG138" s="258"/>
      <c r="AO138"/>
      <c r="AP138"/>
      <c r="AQ138"/>
      <c r="AR138"/>
      <c r="AS138"/>
      <c r="AT138"/>
      <c r="AU138"/>
      <c r="AV138"/>
      <c r="AW138"/>
      <c r="AX138"/>
      <c r="AY138"/>
      <c r="AZ138"/>
      <c r="BA138"/>
      <c r="BB138"/>
      <c r="BC138"/>
      <c r="BD138"/>
      <c r="BE138"/>
      <c r="BF138"/>
    </row>
    <row r="139" spans="13:58" ht="12" hidden="1" customHeight="1">
      <c r="M139" s="820"/>
      <c r="N139" s="239"/>
      <c r="O139" s="225"/>
      <c r="P139" s="260"/>
      <c r="Q139" s="258"/>
      <c r="R139" s="260"/>
      <c r="S139" s="260"/>
      <c r="T139" s="260"/>
      <c r="U139" s="260"/>
      <c r="V139" s="260"/>
      <c r="W139" s="260"/>
      <c r="X139" s="260"/>
      <c r="Y139" s="260"/>
      <c r="Z139" s="260"/>
      <c r="AA139" s="260"/>
      <c r="AB139" s="260"/>
      <c r="AC139" s="260"/>
      <c r="AD139" s="260"/>
      <c r="AE139" s="260"/>
      <c r="AF139" s="260"/>
      <c r="AG139" s="258"/>
      <c r="AO139"/>
      <c r="AP139"/>
      <c r="AQ139"/>
      <c r="AR139"/>
      <c r="AS139"/>
      <c r="AT139"/>
      <c r="AU139"/>
      <c r="AV139"/>
      <c r="AW139"/>
      <c r="AX139"/>
      <c r="AY139"/>
      <c r="AZ139"/>
      <c r="BA139"/>
      <c r="BB139"/>
      <c r="BC139"/>
      <c r="BD139"/>
      <c r="BE139"/>
      <c r="BF139"/>
    </row>
    <row r="140" spans="13:58" ht="12" hidden="1" customHeight="1">
      <c r="M140" s="820"/>
      <c r="N140" s="239"/>
      <c r="O140" s="225"/>
      <c r="P140" s="260"/>
      <c r="Q140" s="258"/>
      <c r="R140" s="260"/>
      <c r="S140" s="260"/>
      <c r="T140" s="260"/>
      <c r="U140" s="260"/>
      <c r="V140" s="260"/>
      <c r="W140" s="260"/>
      <c r="X140" s="260"/>
      <c r="Y140" s="260"/>
      <c r="Z140" s="260"/>
      <c r="AA140" s="260"/>
      <c r="AB140" s="260"/>
      <c r="AC140" s="260"/>
      <c r="AD140" s="260"/>
      <c r="AE140" s="260"/>
      <c r="AF140" s="260"/>
      <c r="AG140" s="258"/>
      <c r="AO140"/>
      <c r="AP140"/>
      <c r="AQ140"/>
      <c r="AR140"/>
      <c r="AS140"/>
      <c r="AT140"/>
      <c r="AU140"/>
      <c r="AV140"/>
      <c r="AW140"/>
      <c r="AX140"/>
      <c r="AY140"/>
      <c r="AZ140"/>
      <c r="BA140"/>
      <c r="BB140"/>
      <c r="BC140"/>
      <c r="BD140"/>
      <c r="BE140"/>
      <c r="BF140"/>
    </row>
    <row r="141" spans="13:58" ht="12" hidden="1" customHeight="1">
      <c r="M141" s="820"/>
      <c r="N141" s="239"/>
      <c r="O141" s="225"/>
      <c r="P141" s="260"/>
      <c r="Q141" s="258"/>
      <c r="R141" s="260"/>
      <c r="S141" s="260"/>
      <c r="T141" s="260"/>
      <c r="U141" s="260"/>
      <c r="V141" s="260"/>
      <c r="W141" s="260"/>
      <c r="X141" s="260"/>
      <c r="Y141" s="260"/>
      <c r="Z141" s="260"/>
      <c r="AA141" s="260"/>
      <c r="AB141" s="260"/>
      <c r="AC141" s="260"/>
      <c r="AD141" s="260"/>
      <c r="AE141" s="260"/>
      <c r="AF141" s="260"/>
      <c r="AG141" s="258"/>
      <c r="AO141"/>
      <c r="AP141"/>
      <c r="AQ141"/>
      <c r="AR141"/>
      <c r="AS141"/>
      <c r="AT141"/>
      <c r="AU141"/>
      <c r="AV141"/>
      <c r="AW141"/>
      <c r="AX141"/>
      <c r="AY141"/>
      <c r="AZ141"/>
      <c r="BA141"/>
      <c r="BB141"/>
      <c r="BC141"/>
      <c r="BD141"/>
      <c r="BE141"/>
      <c r="BF141"/>
    </row>
    <row r="142" spans="13:58" ht="12" hidden="1" customHeight="1">
      <c r="M142" s="820"/>
      <c r="N142" s="239"/>
      <c r="O142" s="225"/>
      <c r="P142" s="260"/>
      <c r="Q142" s="258"/>
      <c r="R142" s="260"/>
      <c r="S142" s="260"/>
      <c r="T142" s="260"/>
      <c r="U142" s="260"/>
      <c r="V142" s="260"/>
      <c r="W142" s="260"/>
      <c r="X142" s="260"/>
      <c r="Y142" s="260"/>
      <c r="Z142" s="260"/>
      <c r="AA142" s="260"/>
      <c r="AB142" s="260"/>
      <c r="AC142" s="260"/>
      <c r="AD142" s="260"/>
      <c r="AE142" s="260"/>
      <c r="AF142" s="260"/>
      <c r="AG142" s="258"/>
      <c r="AO142"/>
      <c r="AP142"/>
      <c r="AQ142"/>
      <c r="AR142"/>
      <c r="AS142"/>
      <c r="AT142"/>
      <c r="AU142"/>
      <c r="AV142"/>
      <c r="AW142"/>
      <c r="AX142"/>
      <c r="AY142"/>
      <c r="AZ142"/>
      <c r="BA142"/>
      <c r="BB142"/>
      <c r="BC142"/>
      <c r="BD142"/>
      <c r="BE142"/>
      <c r="BF142"/>
    </row>
    <row r="143" spans="13:58" ht="12" hidden="1" customHeight="1">
      <c r="M143" s="820"/>
      <c r="N143" s="239"/>
      <c r="O143" s="225"/>
      <c r="P143" s="260"/>
      <c r="Q143" s="258"/>
      <c r="R143" s="260"/>
      <c r="S143" s="260"/>
      <c r="T143" s="260"/>
      <c r="U143" s="260"/>
      <c r="V143" s="260"/>
      <c r="W143" s="260"/>
      <c r="X143" s="260"/>
      <c r="Y143" s="260"/>
      <c r="Z143" s="260"/>
      <c r="AA143" s="260"/>
      <c r="AB143" s="260"/>
      <c r="AC143" s="260"/>
      <c r="AD143" s="260"/>
      <c r="AE143" s="260"/>
      <c r="AF143" s="260"/>
      <c r="AG143" s="258"/>
      <c r="AO143"/>
      <c r="AP143"/>
      <c r="AQ143"/>
      <c r="AR143"/>
      <c r="AS143"/>
      <c r="AT143"/>
      <c r="AU143"/>
      <c r="AV143"/>
      <c r="AW143"/>
      <c r="AX143"/>
      <c r="AY143"/>
      <c r="AZ143"/>
      <c r="BA143"/>
      <c r="BB143"/>
      <c r="BC143"/>
      <c r="BD143"/>
      <c r="BE143"/>
      <c r="BF143"/>
    </row>
    <row r="144" spans="13:58" ht="12" hidden="1" customHeight="1">
      <c r="M144" s="820"/>
      <c r="N144" s="239"/>
      <c r="O144" s="225"/>
      <c r="P144" s="260"/>
      <c r="Q144" s="258"/>
      <c r="R144" s="260"/>
      <c r="S144" s="260"/>
      <c r="T144" s="260"/>
      <c r="U144" s="260"/>
      <c r="V144" s="260"/>
      <c r="W144" s="260"/>
      <c r="X144" s="260"/>
      <c r="Y144" s="260"/>
      <c r="Z144" s="260"/>
      <c r="AA144" s="260"/>
      <c r="AB144" s="260"/>
      <c r="AC144" s="260"/>
      <c r="AD144" s="260"/>
      <c r="AE144" s="260"/>
      <c r="AF144" s="260"/>
      <c r="AG144" s="258"/>
      <c r="AO144"/>
      <c r="AP144"/>
      <c r="AQ144"/>
      <c r="AR144"/>
      <c r="AS144"/>
      <c r="AT144"/>
      <c r="AU144"/>
      <c r="AV144"/>
      <c r="AW144"/>
      <c r="AX144"/>
      <c r="AY144"/>
      <c r="AZ144"/>
      <c r="BA144"/>
      <c r="BB144"/>
      <c r="BC144"/>
      <c r="BD144"/>
      <c r="BE144"/>
      <c r="BF144"/>
    </row>
    <row r="145" spans="13:58" ht="12" hidden="1" customHeight="1">
      <c r="M145" s="820"/>
      <c r="N145" s="239"/>
      <c r="O145" s="225"/>
      <c r="P145" s="260"/>
      <c r="Q145" s="258"/>
      <c r="R145" s="260"/>
      <c r="S145" s="260"/>
      <c r="T145" s="260"/>
      <c r="U145" s="260"/>
      <c r="V145" s="260"/>
      <c r="W145" s="260"/>
      <c r="X145" s="260"/>
      <c r="Y145" s="260"/>
      <c r="Z145" s="260"/>
      <c r="AA145" s="260"/>
      <c r="AB145" s="260"/>
      <c r="AC145" s="260"/>
      <c r="AD145" s="260"/>
      <c r="AE145" s="260"/>
      <c r="AF145" s="260"/>
      <c r="AG145" s="258"/>
      <c r="AO145"/>
      <c r="AP145"/>
      <c r="AQ145"/>
      <c r="AR145"/>
      <c r="AS145"/>
      <c r="AT145"/>
      <c r="AU145"/>
      <c r="AV145"/>
      <c r="AW145"/>
      <c r="AX145"/>
      <c r="AY145"/>
      <c r="AZ145"/>
      <c r="BA145"/>
      <c r="BB145"/>
      <c r="BC145"/>
      <c r="BD145"/>
      <c r="BE145"/>
      <c r="BF145"/>
    </row>
    <row r="146" spans="13:58" ht="12" hidden="1" customHeight="1">
      <c r="M146" s="820"/>
      <c r="N146" s="239"/>
      <c r="O146" s="225"/>
      <c r="P146" s="260"/>
      <c r="Q146" s="258"/>
      <c r="R146" s="260"/>
      <c r="S146" s="260"/>
      <c r="T146" s="260"/>
      <c r="U146" s="260"/>
      <c r="V146" s="260"/>
      <c r="W146" s="260"/>
      <c r="X146" s="260"/>
      <c r="Y146" s="260"/>
      <c r="Z146" s="260"/>
      <c r="AA146" s="260"/>
      <c r="AB146" s="260"/>
      <c r="AC146" s="260"/>
      <c r="AD146" s="260"/>
      <c r="AE146" s="260"/>
      <c r="AF146" s="260"/>
      <c r="AG146" s="258"/>
      <c r="AO146"/>
      <c r="AP146"/>
      <c r="AQ146"/>
      <c r="AR146"/>
      <c r="AS146"/>
      <c r="AT146"/>
      <c r="AU146"/>
      <c r="AV146"/>
      <c r="AW146"/>
      <c r="AX146"/>
      <c r="AY146"/>
      <c r="AZ146"/>
      <c r="BA146"/>
      <c r="BB146"/>
      <c r="BC146"/>
      <c r="BD146"/>
      <c r="BE146"/>
      <c r="BF146"/>
    </row>
    <row r="147" spans="13:58" ht="12" hidden="1" customHeight="1">
      <c r="M147" s="820"/>
      <c r="N147" s="239"/>
      <c r="O147" s="225"/>
      <c r="P147" s="260"/>
      <c r="Q147" s="258"/>
      <c r="R147" s="260"/>
      <c r="S147" s="260"/>
      <c r="T147" s="260"/>
      <c r="U147" s="260"/>
      <c r="V147" s="260"/>
      <c r="W147" s="260"/>
      <c r="X147" s="260"/>
      <c r="Y147" s="260"/>
      <c r="Z147" s="260"/>
      <c r="AA147" s="260"/>
      <c r="AB147" s="260"/>
      <c r="AC147" s="260"/>
      <c r="AD147" s="260"/>
      <c r="AE147" s="260"/>
      <c r="AF147" s="260"/>
      <c r="AG147" s="258"/>
      <c r="AO147"/>
      <c r="AP147"/>
      <c r="AQ147"/>
      <c r="AR147"/>
      <c r="AS147"/>
      <c r="AT147"/>
      <c r="AU147"/>
      <c r="AV147"/>
      <c r="AW147"/>
      <c r="AX147"/>
      <c r="AY147"/>
      <c r="AZ147"/>
      <c r="BA147"/>
      <c r="BB147"/>
      <c r="BC147"/>
      <c r="BD147"/>
      <c r="BE147"/>
      <c r="BF147"/>
    </row>
    <row r="148" spans="13:58" ht="12" hidden="1" customHeight="1">
      <c r="M148" s="820"/>
      <c r="N148" s="239"/>
      <c r="O148" s="225"/>
      <c r="P148" s="260"/>
      <c r="Q148" s="258"/>
      <c r="R148" s="260"/>
      <c r="S148" s="260"/>
      <c r="T148" s="260"/>
      <c r="U148" s="260"/>
      <c r="V148" s="260"/>
      <c r="W148" s="260"/>
      <c r="X148" s="260"/>
      <c r="Y148" s="260"/>
      <c r="Z148" s="260"/>
      <c r="AA148" s="260"/>
      <c r="AB148" s="260"/>
      <c r="AC148" s="260"/>
      <c r="AD148" s="260"/>
      <c r="AE148" s="260"/>
      <c r="AF148" s="260"/>
      <c r="AG148" s="258"/>
      <c r="AO148"/>
      <c r="AP148"/>
      <c r="AQ148"/>
      <c r="AR148"/>
      <c r="AS148"/>
      <c r="AT148"/>
      <c r="AU148"/>
      <c r="AV148"/>
      <c r="AW148"/>
      <c r="AX148"/>
      <c r="AY148"/>
      <c r="AZ148"/>
      <c r="BA148"/>
      <c r="BB148"/>
      <c r="BC148"/>
      <c r="BD148"/>
      <c r="BE148"/>
      <c r="BF148"/>
    </row>
    <row r="149" spans="13:58" ht="12" hidden="1" customHeight="1">
      <c r="M149" s="820"/>
      <c r="N149" s="239"/>
      <c r="O149" s="225"/>
      <c r="P149" s="260"/>
      <c r="Q149" s="258"/>
      <c r="R149" s="260"/>
      <c r="S149" s="260"/>
      <c r="T149" s="260"/>
      <c r="U149" s="260"/>
      <c r="V149" s="260"/>
      <c r="W149" s="260"/>
      <c r="X149" s="260"/>
      <c r="Y149" s="260"/>
      <c r="Z149" s="260"/>
      <c r="AA149" s="260"/>
      <c r="AB149" s="260"/>
      <c r="AC149" s="260"/>
      <c r="AD149" s="260"/>
      <c r="AE149" s="260"/>
      <c r="AF149" s="260"/>
      <c r="AG149" s="258"/>
      <c r="AO149"/>
      <c r="AP149"/>
      <c r="AQ149"/>
      <c r="AR149"/>
      <c r="AS149"/>
      <c r="AT149"/>
      <c r="AU149"/>
      <c r="AV149"/>
      <c r="AW149"/>
      <c r="AX149"/>
      <c r="AY149"/>
      <c r="AZ149"/>
      <c r="BA149"/>
      <c r="BB149"/>
      <c r="BC149"/>
      <c r="BD149"/>
      <c r="BE149"/>
      <c r="BF149"/>
    </row>
    <row r="150" spans="13:58" ht="12" hidden="1" customHeight="1">
      <c r="M150" s="820"/>
      <c r="N150" s="239"/>
      <c r="O150" s="225"/>
      <c r="P150" s="260"/>
      <c r="Q150" s="258"/>
      <c r="R150" s="260"/>
      <c r="S150" s="260"/>
      <c r="T150" s="260"/>
      <c r="U150" s="260"/>
      <c r="V150" s="260"/>
      <c r="W150" s="260"/>
      <c r="X150" s="260"/>
      <c r="Y150" s="260"/>
      <c r="Z150" s="260"/>
      <c r="AA150" s="260"/>
      <c r="AB150" s="260"/>
      <c r="AC150" s="260"/>
      <c r="AD150" s="260"/>
      <c r="AE150" s="260"/>
      <c r="AF150" s="260"/>
      <c r="AG150" s="258"/>
      <c r="AO150"/>
      <c r="AP150"/>
      <c r="AQ150"/>
      <c r="AR150"/>
      <c r="AS150"/>
      <c r="AT150"/>
      <c r="AU150"/>
      <c r="AV150"/>
      <c r="AW150"/>
      <c r="AX150"/>
      <c r="AY150"/>
      <c r="AZ150"/>
      <c r="BA150"/>
      <c r="BB150"/>
      <c r="BC150"/>
      <c r="BD150"/>
      <c r="BE150"/>
      <c r="BF150"/>
    </row>
    <row r="151" spans="13:58" ht="12" hidden="1" customHeight="1">
      <c r="M151" s="820"/>
      <c r="N151" s="239"/>
      <c r="O151" s="225"/>
      <c r="P151" s="260"/>
      <c r="Q151" s="258"/>
      <c r="R151" s="260"/>
      <c r="S151" s="260"/>
      <c r="T151" s="260"/>
      <c r="U151" s="260"/>
      <c r="V151" s="260"/>
      <c r="W151" s="260"/>
      <c r="X151" s="260"/>
      <c r="Y151" s="260"/>
      <c r="Z151" s="260"/>
      <c r="AA151" s="260"/>
      <c r="AB151" s="260"/>
      <c r="AC151" s="260"/>
      <c r="AD151" s="260"/>
      <c r="AE151" s="260"/>
      <c r="AF151" s="260"/>
      <c r="AG151" s="258"/>
      <c r="AO151"/>
      <c r="AP151"/>
      <c r="AQ151"/>
      <c r="AR151"/>
      <c r="AS151"/>
      <c r="AT151"/>
      <c r="AU151"/>
      <c r="AV151"/>
      <c r="AW151"/>
      <c r="AX151"/>
      <c r="AY151"/>
      <c r="AZ151"/>
      <c r="BA151"/>
      <c r="BB151"/>
      <c r="BC151"/>
      <c r="BD151"/>
      <c r="BE151"/>
      <c r="BF151"/>
    </row>
    <row r="152" spans="13:58" ht="12" hidden="1" customHeight="1">
      <c r="M152" s="820"/>
      <c r="N152" s="239"/>
      <c r="O152" s="225"/>
      <c r="P152" s="260"/>
      <c r="Q152" s="258"/>
      <c r="R152" s="260"/>
      <c r="S152" s="260"/>
      <c r="T152" s="260"/>
      <c r="U152" s="260"/>
      <c r="V152" s="260"/>
      <c r="W152" s="260"/>
      <c r="X152" s="260"/>
      <c r="Y152" s="260"/>
      <c r="Z152" s="260"/>
      <c r="AA152" s="260"/>
      <c r="AB152" s="260"/>
      <c r="AC152" s="260"/>
      <c r="AD152" s="260"/>
      <c r="AE152" s="260"/>
      <c r="AF152" s="260"/>
      <c r="AG152" s="258"/>
      <c r="AO152"/>
      <c r="AP152"/>
      <c r="AQ152"/>
      <c r="AR152"/>
      <c r="AS152"/>
      <c r="AT152"/>
      <c r="AU152"/>
      <c r="AV152"/>
      <c r="AW152"/>
      <c r="AX152"/>
      <c r="AY152"/>
      <c r="AZ152"/>
      <c r="BA152"/>
      <c r="BB152"/>
      <c r="BC152"/>
      <c r="BD152"/>
      <c r="BE152"/>
      <c r="BF152"/>
    </row>
    <row r="153" spans="13:58" ht="12" hidden="1" customHeight="1">
      <c r="M153" s="820"/>
      <c r="N153" s="239"/>
      <c r="O153" s="225"/>
      <c r="P153" s="260"/>
      <c r="Q153" s="258"/>
      <c r="R153" s="260"/>
      <c r="S153" s="260"/>
      <c r="T153" s="260"/>
      <c r="U153" s="260"/>
      <c r="V153" s="260"/>
      <c r="W153" s="260"/>
      <c r="X153" s="260"/>
      <c r="Y153" s="260"/>
      <c r="Z153" s="260"/>
      <c r="AA153" s="260"/>
      <c r="AB153" s="260"/>
      <c r="AC153" s="260"/>
      <c r="AD153" s="260"/>
      <c r="AE153" s="260"/>
      <c r="AF153" s="260"/>
      <c r="AG153" s="258"/>
      <c r="AO153"/>
      <c r="AP153"/>
      <c r="AQ153"/>
      <c r="AR153"/>
      <c r="AS153"/>
      <c r="AT153"/>
      <c r="AU153"/>
      <c r="AV153"/>
      <c r="AW153"/>
      <c r="AX153"/>
      <c r="AY153"/>
      <c r="AZ153"/>
      <c r="BA153"/>
      <c r="BB153"/>
      <c r="BC153"/>
      <c r="BD153"/>
      <c r="BE153"/>
      <c r="BF153"/>
    </row>
    <row r="154" spans="13:58" ht="12" hidden="1" customHeight="1">
      <c r="M154" s="820"/>
      <c r="N154" s="239"/>
      <c r="O154" s="225"/>
      <c r="P154" s="260"/>
      <c r="Q154" s="258"/>
      <c r="R154" s="260"/>
      <c r="S154" s="260"/>
      <c r="T154" s="260"/>
      <c r="U154" s="260"/>
      <c r="V154" s="260"/>
      <c r="W154" s="260"/>
      <c r="X154" s="260"/>
      <c r="Y154" s="260"/>
      <c r="Z154" s="260"/>
      <c r="AA154" s="260"/>
      <c r="AB154" s="260"/>
      <c r="AC154" s="260"/>
      <c r="AD154" s="260"/>
      <c r="AE154" s="260"/>
      <c r="AF154" s="260"/>
      <c r="AG154" s="258"/>
      <c r="AO154"/>
      <c r="AP154"/>
      <c r="AQ154"/>
      <c r="AR154"/>
      <c r="AS154"/>
      <c r="AT154"/>
      <c r="AU154"/>
      <c r="AV154"/>
      <c r="AW154"/>
      <c r="AX154"/>
      <c r="AY154"/>
      <c r="AZ154"/>
      <c r="BA154"/>
      <c r="BB154"/>
      <c r="BC154"/>
      <c r="BD154"/>
      <c r="BE154"/>
      <c r="BF154"/>
    </row>
    <row r="155" spans="13:58" ht="12" hidden="1" customHeight="1">
      <c r="M155" s="820"/>
      <c r="N155" s="239"/>
      <c r="O155" s="225"/>
      <c r="P155" s="260"/>
      <c r="Q155" s="258"/>
      <c r="R155" s="260"/>
      <c r="S155" s="260"/>
      <c r="T155" s="260"/>
      <c r="U155" s="260"/>
      <c r="V155" s="260"/>
      <c r="W155" s="260"/>
      <c r="X155" s="260"/>
      <c r="Y155" s="260"/>
      <c r="Z155" s="260"/>
      <c r="AA155" s="260"/>
      <c r="AB155" s="260"/>
      <c r="AC155" s="260"/>
      <c r="AD155" s="260"/>
      <c r="AE155" s="260"/>
      <c r="AF155" s="260"/>
      <c r="AG155" s="258"/>
      <c r="AO155"/>
      <c r="AP155"/>
      <c r="AQ155"/>
      <c r="AR155"/>
      <c r="AS155"/>
      <c r="AT155"/>
      <c r="AU155"/>
      <c r="AV155"/>
      <c r="AW155"/>
      <c r="AX155"/>
      <c r="AY155"/>
      <c r="AZ155"/>
      <c r="BA155"/>
      <c r="BB155"/>
      <c r="BC155"/>
      <c r="BD155"/>
      <c r="BE155"/>
      <c r="BF155"/>
    </row>
    <row r="156" spans="13:58" ht="12" hidden="1" customHeight="1">
      <c r="M156" s="820"/>
      <c r="N156" s="239"/>
      <c r="O156" s="225"/>
      <c r="P156" s="260"/>
      <c r="Q156" s="258"/>
      <c r="R156" s="260"/>
      <c r="S156" s="260"/>
      <c r="T156" s="260"/>
      <c r="U156" s="260"/>
      <c r="V156" s="260"/>
      <c r="W156" s="260"/>
      <c r="X156" s="260"/>
      <c r="Y156" s="260"/>
      <c r="Z156" s="260"/>
      <c r="AA156" s="260"/>
      <c r="AB156" s="260"/>
      <c r="AC156" s="260"/>
      <c r="AD156" s="260"/>
      <c r="AE156" s="260"/>
      <c r="AF156" s="260"/>
      <c r="AG156" s="258"/>
      <c r="AO156"/>
      <c r="AP156"/>
      <c r="AQ156"/>
      <c r="AR156"/>
      <c r="AS156"/>
      <c r="AT156"/>
      <c r="AU156"/>
      <c r="AV156"/>
      <c r="AW156"/>
      <c r="AX156"/>
      <c r="AY156"/>
      <c r="AZ156"/>
      <c r="BA156"/>
      <c r="BB156"/>
      <c r="BC156"/>
      <c r="BD156"/>
      <c r="BE156"/>
      <c r="BF156"/>
    </row>
    <row r="157" spans="13:58" ht="12" hidden="1" customHeight="1">
      <c r="M157" s="820"/>
      <c r="N157" s="239"/>
      <c r="O157" s="225"/>
      <c r="P157" s="260"/>
      <c r="Q157" s="258"/>
      <c r="R157" s="260"/>
      <c r="S157" s="260"/>
      <c r="T157" s="260"/>
      <c r="U157" s="260"/>
      <c r="V157" s="260"/>
      <c r="W157" s="260"/>
      <c r="X157" s="260"/>
      <c r="Y157" s="260"/>
      <c r="Z157" s="260"/>
      <c r="AA157" s="260"/>
      <c r="AB157" s="260"/>
      <c r="AC157" s="260"/>
      <c r="AD157" s="260"/>
      <c r="AE157" s="260"/>
      <c r="AF157" s="260"/>
      <c r="AG157" s="258"/>
      <c r="AO157"/>
      <c r="AP157"/>
      <c r="AQ157"/>
      <c r="AR157"/>
      <c r="AS157"/>
      <c r="AT157"/>
      <c r="AU157"/>
      <c r="AV157"/>
      <c r="AW157"/>
      <c r="AX157"/>
      <c r="AY157"/>
      <c r="AZ157"/>
      <c r="BA157"/>
      <c r="BB157"/>
      <c r="BC157"/>
      <c r="BD157"/>
      <c r="BE157"/>
      <c r="BF157"/>
    </row>
    <row r="158" spans="13:58" ht="12" hidden="1" customHeight="1">
      <c r="M158" s="820"/>
      <c r="N158" s="239"/>
      <c r="O158" s="225"/>
      <c r="P158" s="260"/>
      <c r="Q158" s="258"/>
      <c r="R158" s="260"/>
      <c r="S158" s="260"/>
      <c r="T158" s="260"/>
      <c r="U158" s="260"/>
      <c r="V158" s="260"/>
      <c r="W158" s="260"/>
      <c r="X158" s="260"/>
      <c r="Y158" s="260"/>
      <c r="Z158" s="260"/>
      <c r="AA158" s="260"/>
      <c r="AB158" s="260"/>
      <c r="AC158" s="260"/>
      <c r="AD158" s="260"/>
      <c r="AE158" s="260"/>
      <c r="AF158" s="260"/>
      <c r="AG158" s="258"/>
      <c r="AO158"/>
      <c r="AP158"/>
      <c r="AQ158"/>
      <c r="AR158"/>
      <c r="AS158"/>
      <c r="AT158"/>
      <c r="AU158"/>
      <c r="AV158"/>
      <c r="AW158"/>
      <c r="AX158"/>
      <c r="AY158"/>
      <c r="AZ158"/>
      <c r="BA158"/>
      <c r="BB158"/>
      <c r="BC158"/>
      <c r="BD158"/>
      <c r="BE158"/>
      <c r="BF158"/>
    </row>
    <row r="159" spans="13:58" ht="12" hidden="1" customHeight="1">
      <c r="M159" s="820"/>
      <c r="N159" s="239"/>
      <c r="O159" s="225"/>
      <c r="P159" s="260"/>
      <c r="Q159" s="258"/>
      <c r="R159" s="260"/>
      <c r="S159" s="260"/>
      <c r="T159" s="260"/>
      <c r="U159" s="260"/>
      <c r="V159" s="260"/>
      <c r="W159" s="260"/>
      <c r="X159" s="260"/>
      <c r="Y159" s="260"/>
      <c r="Z159" s="260"/>
      <c r="AA159" s="260"/>
      <c r="AB159" s="260"/>
      <c r="AC159" s="260"/>
      <c r="AD159" s="260"/>
      <c r="AE159" s="260"/>
      <c r="AF159" s="260"/>
      <c r="AG159" s="258"/>
      <c r="AO159"/>
      <c r="AP159"/>
      <c r="AQ159"/>
      <c r="AR159"/>
      <c r="AS159"/>
      <c r="AT159"/>
      <c r="AU159"/>
      <c r="AV159"/>
      <c r="AW159"/>
      <c r="AX159"/>
      <c r="AY159"/>
      <c r="AZ159"/>
      <c r="BA159"/>
      <c r="BB159"/>
      <c r="BC159"/>
      <c r="BD159"/>
      <c r="BE159"/>
      <c r="BF159"/>
    </row>
    <row r="160" spans="13:58" ht="12" hidden="1" customHeight="1">
      <c r="M160" s="820"/>
      <c r="N160" s="239"/>
      <c r="O160" s="225"/>
      <c r="P160" s="260"/>
      <c r="Q160" s="258"/>
      <c r="R160" s="260"/>
      <c r="S160" s="260"/>
      <c r="T160" s="260"/>
      <c r="U160" s="260"/>
      <c r="V160" s="260"/>
      <c r="W160" s="260"/>
      <c r="X160" s="260"/>
      <c r="Y160" s="260"/>
      <c r="Z160" s="260"/>
      <c r="AA160" s="260"/>
      <c r="AB160" s="260"/>
      <c r="AC160" s="260"/>
      <c r="AD160" s="260"/>
      <c r="AE160" s="260"/>
      <c r="AF160" s="260"/>
      <c r="AG160" s="258"/>
      <c r="AO160"/>
      <c r="AP160"/>
      <c r="AQ160"/>
      <c r="AR160"/>
      <c r="AS160"/>
      <c r="AT160"/>
      <c r="AU160"/>
      <c r="AV160"/>
      <c r="AW160"/>
      <c r="AX160"/>
      <c r="AY160"/>
      <c r="AZ160"/>
      <c r="BA160"/>
      <c r="BB160"/>
      <c r="BC160"/>
      <c r="BD160"/>
      <c r="BE160"/>
      <c r="BF160"/>
    </row>
    <row r="161" spans="13:58" ht="12" hidden="1" customHeight="1">
      <c r="M161" s="820"/>
      <c r="N161" s="239"/>
      <c r="O161" s="225"/>
      <c r="P161" s="260"/>
      <c r="Q161" s="258"/>
      <c r="R161" s="260"/>
      <c r="S161" s="260"/>
      <c r="T161" s="260"/>
      <c r="U161" s="260"/>
      <c r="V161" s="260"/>
      <c r="W161" s="260"/>
      <c r="X161" s="260"/>
      <c r="Y161" s="260"/>
      <c r="Z161" s="260"/>
      <c r="AA161" s="260"/>
      <c r="AB161" s="260"/>
      <c r="AC161" s="260"/>
      <c r="AD161" s="260"/>
      <c r="AE161" s="260"/>
      <c r="AF161" s="260"/>
      <c r="AG161" s="258"/>
      <c r="AO161"/>
      <c r="AP161"/>
      <c r="AQ161"/>
      <c r="AR161"/>
      <c r="AS161"/>
      <c r="AT161"/>
      <c r="AU161"/>
      <c r="AV161"/>
      <c r="AW161"/>
      <c r="AX161"/>
      <c r="AY161"/>
      <c r="AZ161"/>
      <c r="BA161"/>
      <c r="BB161"/>
      <c r="BC161"/>
      <c r="BD161"/>
      <c r="BE161"/>
      <c r="BF161"/>
    </row>
    <row r="162" spans="13:58" ht="12" hidden="1" customHeight="1">
      <c r="M162" s="820"/>
      <c r="N162" s="239"/>
      <c r="O162" s="225"/>
      <c r="P162" s="260"/>
      <c r="Q162" s="258"/>
      <c r="R162" s="260"/>
      <c r="S162" s="260"/>
      <c r="T162" s="260"/>
      <c r="U162" s="260"/>
      <c r="V162" s="260"/>
      <c r="W162" s="260"/>
      <c r="X162" s="260"/>
      <c r="Y162" s="260"/>
      <c r="Z162" s="260"/>
      <c r="AA162" s="260"/>
      <c r="AB162" s="260"/>
      <c r="AC162" s="260"/>
      <c r="AD162" s="260"/>
      <c r="AE162" s="260"/>
      <c r="AF162" s="260"/>
      <c r="AG162" s="258"/>
      <c r="AO162"/>
      <c r="AP162"/>
      <c r="AQ162"/>
      <c r="AR162"/>
      <c r="AS162"/>
      <c r="AT162"/>
      <c r="AU162"/>
      <c r="AV162"/>
      <c r="AW162"/>
      <c r="AX162"/>
      <c r="AY162"/>
      <c r="AZ162"/>
      <c r="BA162"/>
      <c r="BB162"/>
      <c r="BC162"/>
      <c r="BD162"/>
      <c r="BE162"/>
      <c r="BF162"/>
    </row>
    <row r="163" spans="13:58" ht="12" hidden="1" customHeight="1">
      <c r="M163" s="820"/>
      <c r="N163" s="239"/>
      <c r="O163" s="225"/>
      <c r="P163" s="260"/>
      <c r="Q163" s="258"/>
      <c r="R163" s="260"/>
      <c r="S163" s="260"/>
      <c r="T163" s="260"/>
      <c r="U163" s="260"/>
      <c r="V163" s="260"/>
      <c r="W163" s="260"/>
      <c r="X163" s="260"/>
      <c r="Y163" s="260"/>
      <c r="Z163" s="260"/>
      <c r="AA163" s="260"/>
      <c r="AB163" s="260"/>
      <c r="AC163" s="260"/>
      <c r="AD163" s="260"/>
      <c r="AE163" s="260"/>
      <c r="AF163" s="260"/>
      <c r="AG163" s="258"/>
      <c r="AO163"/>
      <c r="AP163"/>
      <c r="AQ163"/>
      <c r="AR163"/>
      <c r="AS163"/>
      <c r="AT163"/>
      <c r="AU163"/>
      <c r="AV163"/>
      <c r="AW163"/>
      <c r="AX163"/>
      <c r="AY163"/>
      <c r="AZ163"/>
      <c r="BA163"/>
      <c r="BB163"/>
      <c r="BC163"/>
      <c r="BD163"/>
      <c r="BE163"/>
      <c r="BF163"/>
    </row>
    <row r="164" spans="13:58" ht="12" hidden="1" customHeight="1">
      <c r="M164" s="820"/>
      <c r="N164" s="239"/>
      <c r="O164" s="225"/>
      <c r="P164" s="260"/>
      <c r="Q164" s="258"/>
      <c r="R164" s="260"/>
      <c r="S164" s="260"/>
      <c r="T164" s="260"/>
      <c r="U164" s="260"/>
      <c r="V164" s="260"/>
      <c r="W164" s="260"/>
      <c r="X164" s="260"/>
      <c r="Y164" s="260"/>
      <c r="Z164" s="260"/>
      <c r="AA164" s="260"/>
      <c r="AB164" s="260"/>
      <c r="AC164" s="260"/>
      <c r="AD164" s="260"/>
      <c r="AE164" s="260"/>
      <c r="AF164" s="260"/>
      <c r="AG164" s="258"/>
      <c r="AO164"/>
      <c r="AP164"/>
      <c r="AQ164"/>
      <c r="AR164"/>
      <c r="AS164"/>
      <c r="AT164"/>
      <c r="AU164"/>
      <c r="AV164"/>
      <c r="AW164"/>
      <c r="AX164"/>
      <c r="AY164"/>
      <c r="AZ164"/>
      <c r="BA164"/>
      <c r="BB164"/>
      <c r="BC164"/>
      <c r="BD164"/>
      <c r="BE164"/>
      <c r="BF164"/>
    </row>
    <row r="165" spans="13:58" ht="12" hidden="1" customHeight="1">
      <c r="M165" s="820"/>
      <c r="N165" s="239"/>
      <c r="O165" s="225"/>
      <c r="P165" s="260"/>
      <c r="Q165" s="258"/>
      <c r="R165" s="260"/>
      <c r="S165" s="260"/>
      <c r="T165" s="260"/>
      <c r="U165" s="260"/>
      <c r="V165" s="260"/>
      <c r="W165" s="260"/>
      <c r="X165" s="260"/>
      <c r="Y165" s="260"/>
      <c r="Z165" s="260"/>
      <c r="AA165" s="260"/>
      <c r="AB165" s="260"/>
      <c r="AC165" s="260"/>
      <c r="AD165" s="260"/>
      <c r="AE165" s="260"/>
      <c r="AF165" s="260"/>
      <c r="AG165" s="258"/>
      <c r="AO165"/>
      <c r="AP165"/>
      <c r="AQ165"/>
      <c r="AR165"/>
      <c r="AS165"/>
      <c r="AT165"/>
      <c r="AU165"/>
      <c r="AV165"/>
      <c r="AW165"/>
      <c r="AX165"/>
      <c r="AY165"/>
      <c r="AZ165"/>
      <c r="BA165"/>
      <c r="BB165"/>
      <c r="BC165"/>
      <c r="BD165"/>
      <c r="BE165"/>
      <c r="BF165"/>
    </row>
    <row r="166" spans="13:58" ht="12" hidden="1" customHeight="1">
      <c r="M166" s="820"/>
      <c r="N166" s="239"/>
      <c r="O166" s="225"/>
      <c r="P166" s="260"/>
      <c r="Q166" s="258"/>
      <c r="R166" s="260"/>
      <c r="S166" s="260"/>
      <c r="T166" s="260"/>
      <c r="U166" s="260"/>
      <c r="V166" s="260"/>
      <c r="W166" s="260"/>
      <c r="X166" s="260"/>
      <c r="Y166" s="260"/>
      <c r="Z166" s="260"/>
      <c r="AA166" s="260"/>
      <c r="AB166" s="260"/>
      <c r="AC166" s="260"/>
      <c r="AD166" s="260"/>
      <c r="AE166" s="260"/>
      <c r="AF166" s="260"/>
      <c r="AG166" s="258"/>
      <c r="AO166"/>
      <c r="AP166"/>
      <c r="AQ166"/>
      <c r="AR166"/>
      <c r="AS166"/>
      <c r="AT166"/>
      <c r="AU166"/>
      <c r="AV166"/>
      <c r="AW166"/>
      <c r="AX166"/>
      <c r="AY166"/>
      <c r="AZ166"/>
      <c r="BA166"/>
      <c r="BB166"/>
      <c r="BC166"/>
      <c r="BD166"/>
      <c r="BE166"/>
      <c r="BF166"/>
    </row>
    <row r="167" spans="13:58" ht="12" hidden="1" customHeight="1">
      <c r="M167" s="820"/>
      <c r="N167" s="239"/>
      <c r="O167" s="225"/>
      <c r="P167" s="260"/>
      <c r="Q167" s="258"/>
      <c r="R167" s="260"/>
      <c r="S167" s="260"/>
      <c r="T167" s="260"/>
      <c r="U167" s="260"/>
      <c r="V167" s="260"/>
      <c r="W167" s="260"/>
      <c r="X167" s="260"/>
      <c r="Y167" s="260"/>
      <c r="Z167" s="260"/>
      <c r="AA167" s="260"/>
      <c r="AB167" s="260"/>
      <c r="AC167" s="260"/>
      <c r="AD167" s="260"/>
      <c r="AE167" s="260"/>
      <c r="AF167" s="260"/>
      <c r="AG167" s="258"/>
      <c r="AO167"/>
      <c r="AP167"/>
      <c r="AQ167"/>
      <c r="AR167"/>
      <c r="AS167"/>
      <c r="AT167"/>
      <c r="AU167"/>
      <c r="AV167"/>
      <c r="AW167"/>
      <c r="AX167"/>
      <c r="AY167"/>
      <c r="AZ167"/>
      <c r="BA167"/>
      <c r="BB167"/>
      <c r="BC167"/>
      <c r="BD167"/>
      <c r="BE167"/>
      <c r="BF167"/>
    </row>
    <row r="168" spans="13:58" ht="12" hidden="1" customHeight="1">
      <c r="M168" s="820"/>
      <c r="N168" s="239"/>
      <c r="O168" s="225"/>
      <c r="P168" s="260"/>
      <c r="Q168" s="258"/>
      <c r="R168" s="260"/>
      <c r="S168" s="260"/>
      <c r="T168" s="260"/>
      <c r="U168" s="260"/>
      <c r="V168" s="260"/>
      <c r="W168" s="260"/>
      <c r="X168" s="260"/>
      <c r="Y168" s="260"/>
      <c r="Z168" s="260"/>
      <c r="AA168" s="260"/>
      <c r="AB168" s="260"/>
      <c r="AC168" s="260"/>
      <c r="AD168" s="260"/>
      <c r="AE168" s="260"/>
      <c r="AF168" s="260"/>
      <c r="AG168" s="258"/>
      <c r="AO168"/>
      <c r="AP168"/>
      <c r="AQ168"/>
      <c r="AR168"/>
      <c r="AS168"/>
      <c r="AT168"/>
      <c r="AU168"/>
      <c r="AV168"/>
      <c r="AW168"/>
      <c r="AX168"/>
      <c r="AY168"/>
      <c r="AZ168"/>
      <c r="BA168"/>
      <c r="BB168"/>
      <c r="BC168"/>
      <c r="BD168"/>
      <c r="BE168"/>
      <c r="BF168"/>
    </row>
    <row r="169" spans="13:58" ht="12" hidden="1" customHeight="1">
      <c r="M169" s="820"/>
      <c r="N169" s="239"/>
      <c r="O169" s="225"/>
      <c r="P169" s="260"/>
      <c r="Q169" s="258"/>
      <c r="R169" s="260"/>
      <c r="S169" s="260"/>
      <c r="T169" s="260"/>
      <c r="U169" s="260"/>
      <c r="V169" s="260"/>
      <c r="W169" s="260"/>
      <c r="X169" s="260"/>
      <c r="Y169" s="260"/>
      <c r="Z169" s="260"/>
      <c r="AA169" s="260"/>
      <c r="AB169" s="260"/>
      <c r="AC169" s="260"/>
      <c r="AD169" s="260"/>
      <c r="AE169" s="260"/>
      <c r="AF169" s="260"/>
      <c r="AG169" s="258"/>
      <c r="AO169"/>
      <c r="AP169"/>
      <c r="AQ169"/>
      <c r="AR169"/>
      <c r="AS169"/>
      <c r="AT169"/>
      <c r="AU169"/>
      <c r="AV169"/>
      <c r="AW169"/>
      <c r="AX169"/>
      <c r="AY169"/>
      <c r="AZ169"/>
      <c r="BA169"/>
      <c r="BB169"/>
      <c r="BC169"/>
      <c r="BD169"/>
      <c r="BE169"/>
      <c r="BF169"/>
    </row>
    <row r="170" spans="13:58" ht="12" hidden="1" customHeight="1">
      <c r="M170" s="820"/>
      <c r="N170" s="239"/>
      <c r="O170" s="225"/>
      <c r="P170" s="260"/>
      <c r="Q170" s="258"/>
      <c r="R170" s="260"/>
      <c r="S170" s="260"/>
      <c r="T170" s="260"/>
      <c r="U170" s="260"/>
      <c r="V170" s="260"/>
      <c r="W170" s="260"/>
      <c r="X170" s="260"/>
      <c r="Y170" s="260"/>
      <c r="Z170" s="260"/>
      <c r="AA170" s="260"/>
      <c r="AB170" s="260"/>
      <c r="AC170" s="260"/>
      <c r="AD170" s="260"/>
      <c r="AE170" s="260"/>
      <c r="AF170" s="260"/>
      <c r="AG170" s="258"/>
      <c r="AO170"/>
      <c r="AP170"/>
      <c r="AQ170"/>
      <c r="AR170"/>
      <c r="AS170"/>
      <c r="AT170"/>
      <c r="AU170"/>
      <c r="AV170"/>
      <c r="AW170"/>
      <c r="AX170"/>
      <c r="AY170"/>
      <c r="AZ170"/>
      <c r="BA170"/>
      <c r="BB170"/>
      <c r="BC170"/>
      <c r="BD170"/>
      <c r="BE170"/>
      <c r="BF170"/>
    </row>
    <row r="171" spans="13:58" ht="12" hidden="1" customHeight="1">
      <c r="M171" s="820"/>
      <c r="N171" s="239"/>
      <c r="O171" s="225"/>
      <c r="P171" s="260"/>
      <c r="Q171" s="258"/>
      <c r="R171" s="260"/>
      <c r="S171" s="260"/>
      <c r="T171" s="260"/>
      <c r="U171" s="260"/>
      <c r="V171" s="260"/>
      <c r="W171" s="260"/>
      <c r="X171" s="260"/>
      <c r="Y171" s="260"/>
      <c r="Z171" s="260"/>
      <c r="AA171" s="260"/>
      <c r="AB171" s="260"/>
      <c r="AC171" s="260"/>
      <c r="AD171" s="260"/>
      <c r="AE171" s="260"/>
      <c r="AF171" s="260"/>
      <c r="AG171" s="258"/>
      <c r="AO171"/>
      <c r="AP171"/>
      <c r="AQ171"/>
      <c r="AR171"/>
      <c r="AS171"/>
      <c r="AT171"/>
      <c r="AU171"/>
      <c r="AV171"/>
      <c r="AW171"/>
      <c r="AX171"/>
      <c r="AY171"/>
      <c r="AZ171"/>
      <c r="BA171"/>
      <c r="BB171"/>
      <c r="BC171"/>
      <c r="BD171"/>
      <c r="BE171"/>
      <c r="BF171"/>
    </row>
    <row r="172" spans="13:58" ht="12" hidden="1" customHeight="1">
      <c r="M172" s="820"/>
      <c r="N172" s="239"/>
      <c r="O172" s="225"/>
      <c r="P172" s="260"/>
      <c r="Q172" s="258"/>
      <c r="R172" s="260"/>
      <c r="S172" s="260"/>
      <c r="T172" s="260"/>
      <c r="U172" s="260"/>
      <c r="V172" s="260"/>
      <c r="W172" s="260"/>
      <c r="X172" s="260"/>
      <c r="Y172" s="260"/>
      <c r="Z172" s="260"/>
      <c r="AA172" s="260"/>
      <c r="AB172" s="260"/>
      <c r="AC172" s="260"/>
      <c r="AD172" s="260"/>
      <c r="AE172" s="260"/>
      <c r="AF172" s="260"/>
      <c r="AG172" s="258"/>
      <c r="AO172"/>
      <c r="AP172"/>
      <c r="AQ172"/>
      <c r="AR172"/>
      <c r="AS172"/>
      <c r="AT172"/>
      <c r="AU172"/>
      <c r="AV172"/>
      <c r="AW172"/>
      <c r="AX172"/>
      <c r="AY172"/>
      <c r="AZ172"/>
      <c r="BA172"/>
      <c r="BB172"/>
      <c r="BC172"/>
      <c r="BD172"/>
      <c r="BE172"/>
      <c r="BF172"/>
    </row>
    <row r="173" spans="13:58" ht="12" hidden="1" customHeight="1">
      <c r="M173" s="820"/>
      <c r="N173" s="239"/>
      <c r="O173" s="225"/>
      <c r="P173" s="260"/>
      <c r="Q173" s="258"/>
      <c r="R173" s="260"/>
      <c r="S173" s="260"/>
      <c r="T173" s="260"/>
      <c r="U173" s="260"/>
      <c r="V173" s="260"/>
      <c r="W173" s="260"/>
      <c r="X173" s="260"/>
      <c r="Y173" s="260"/>
      <c r="Z173" s="260"/>
      <c r="AA173" s="260"/>
      <c r="AB173" s="260"/>
      <c r="AC173" s="260"/>
      <c r="AD173" s="260"/>
      <c r="AE173" s="260"/>
      <c r="AF173" s="260"/>
      <c r="AG173" s="258"/>
      <c r="AO173"/>
      <c r="AP173"/>
      <c r="AQ173"/>
      <c r="AR173"/>
      <c r="AS173"/>
      <c r="AT173"/>
      <c r="AU173"/>
      <c r="AV173"/>
      <c r="AW173"/>
      <c r="AX173"/>
      <c r="AY173"/>
      <c r="AZ173"/>
      <c r="BA173"/>
      <c r="BB173"/>
      <c r="BC173"/>
      <c r="BD173"/>
      <c r="BE173"/>
      <c r="BF173"/>
    </row>
    <row r="174" spans="13:58" ht="12" hidden="1" customHeight="1">
      <c r="M174" s="820"/>
      <c r="N174" s="239"/>
      <c r="O174" s="225"/>
      <c r="P174" s="260"/>
      <c r="Q174" s="258"/>
      <c r="R174" s="260"/>
      <c r="S174" s="260"/>
      <c r="T174" s="260"/>
      <c r="U174" s="260"/>
      <c r="V174" s="260"/>
      <c r="W174" s="260"/>
      <c r="X174" s="260"/>
      <c r="Y174" s="260"/>
      <c r="Z174" s="260"/>
      <c r="AA174" s="260"/>
      <c r="AB174" s="260"/>
      <c r="AC174" s="260"/>
      <c r="AD174" s="260"/>
      <c r="AE174" s="260"/>
      <c r="AF174" s="260"/>
      <c r="AG174" s="258"/>
      <c r="AO174"/>
      <c r="AP174"/>
      <c r="AQ174"/>
      <c r="AR174"/>
      <c r="AS174"/>
      <c r="AT174"/>
      <c r="AU174"/>
      <c r="AV174"/>
      <c r="AW174"/>
      <c r="AX174"/>
      <c r="AY174"/>
      <c r="AZ174"/>
      <c r="BA174"/>
      <c r="BB174"/>
      <c r="BC174"/>
      <c r="BD174"/>
      <c r="BE174"/>
      <c r="BF174"/>
    </row>
    <row r="175" spans="13:58" ht="12" hidden="1" customHeight="1">
      <c r="M175" s="820"/>
      <c r="N175" s="239"/>
      <c r="O175" s="225"/>
      <c r="P175" s="260"/>
      <c r="Q175" s="258"/>
      <c r="R175" s="260"/>
      <c r="S175" s="260"/>
      <c r="T175" s="260"/>
      <c r="U175" s="260"/>
      <c r="V175" s="260"/>
      <c r="W175" s="260"/>
      <c r="X175" s="260"/>
      <c r="Y175" s="260"/>
      <c r="Z175" s="260"/>
      <c r="AA175" s="260"/>
      <c r="AB175" s="260"/>
      <c r="AC175" s="260"/>
      <c r="AD175" s="260"/>
      <c r="AE175" s="260"/>
      <c r="AF175" s="260"/>
      <c r="AG175" s="258"/>
      <c r="AO175"/>
      <c r="AP175"/>
      <c r="AQ175"/>
      <c r="AR175"/>
      <c r="AS175"/>
      <c r="AT175"/>
      <c r="AU175"/>
      <c r="AV175"/>
      <c r="AW175"/>
      <c r="AX175"/>
      <c r="AY175"/>
      <c r="AZ175"/>
      <c r="BA175"/>
      <c r="BB175"/>
      <c r="BC175"/>
      <c r="BD175"/>
      <c r="BE175"/>
      <c r="BF175"/>
    </row>
    <row r="176" spans="13:58" ht="12" hidden="1" customHeight="1">
      <c r="M176" s="820"/>
      <c r="N176" s="239"/>
      <c r="O176" s="225"/>
      <c r="P176" s="260"/>
      <c r="Q176" s="258"/>
      <c r="R176" s="260"/>
      <c r="S176" s="260"/>
      <c r="T176" s="260"/>
      <c r="U176" s="260"/>
      <c r="V176" s="260"/>
      <c r="W176" s="260"/>
      <c r="X176" s="260"/>
      <c r="Y176" s="260"/>
      <c r="Z176" s="260"/>
      <c r="AA176" s="260"/>
      <c r="AB176" s="260"/>
      <c r="AC176" s="260"/>
      <c r="AD176" s="260"/>
      <c r="AE176" s="260"/>
      <c r="AF176" s="260"/>
      <c r="AG176" s="258"/>
      <c r="AO176"/>
      <c r="AP176"/>
      <c r="AQ176"/>
      <c r="AR176"/>
      <c r="AS176"/>
      <c r="AT176"/>
      <c r="AU176"/>
      <c r="AV176"/>
      <c r="AW176"/>
      <c r="AX176"/>
      <c r="AY176"/>
      <c r="AZ176"/>
      <c r="BA176"/>
      <c r="BB176"/>
      <c r="BC176"/>
      <c r="BD176"/>
      <c r="BE176"/>
      <c r="BF176"/>
    </row>
    <row r="177" spans="13:58" ht="12" hidden="1" customHeight="1">
      <c r="M177" s="820"/>
      <c r="N177" s="239"/>
      <c r="O177" s="225"/>
      <c r="P177" s="260"/>
      <c r="Q177" s="258"/>
      <c r="R177" s="260"/>
      <c r="S177" s="260"/>
      <c r="T177" s="260"/>
      <c r="U177" s="260"/>
      <c r="V177" s="260"/>
      <c r="W177" s="260"/>
      <c r="X177" s="260"/>
      <c r="Y177" s="260"/>
      <c r="Z177" s="260"/>
      <c r="AA177" s="260"/>
      <c r="AB177" s="260"/>
      <c r="AC177" s="260"/>
      <c r="AD177" s="260"/>
      <c r="AE177" s="260"/>
      <c r="AF177" s="260"/>
      <c r="AG177" s="258"/>
      <c r="AO177"/>
      <c r="AP177"/>
      <c r="AQ177"/>
      <c r="AR177"/>
      <c r="AS177"/>
      <c r="AT177"/>
      <c r="AU177"/>
      <c r="AV177"/>
      <c r="AW177"/>
      <c r="AX177"/>
      <c r="AY177"/>
      <c r="AZ177"/>
      <c r="BA177"/>
      <c r="BB177"/>
      <c r="BC177"/>
      <c r="BD177"/>
      <c r="BE177"/>
      <c r="BF177"/>
    </row>
    <row r="178" spans="13:58" ht="12" hidden="1" customHeight="1">
      <c r="M178" s="820"/>
      <c r="N178" s="239"/>
      <c r="O178" s="225"/>
      <c r="P178" s="260"/>
      <c r="Q178" s="258"/>
      <c r="R178" s="260"/>
      <c r="S178" s="260"/>
      <c r="T178" s="260"/>
      <c r="U178" s="260"/>
      <c r="V178" s="260"/>
      <c r="W178" s="260"/>
      <c r="X178" s="260"/>
      <c r="Y178" s="260"/>
      <c r="Z178" s="260"/>
      <c r="AA178" s="260"/>
      <c r="AB178" s="260"/>
      <c r="AC178" s="260"/>
      <c r="AD178" s="260"/>
      <c r="AE178" s="260"/>
      <c r="AF178" s="260"/>
      <c r="AG178" s="258"/>
      <c r="AO178"/>
      <c r="AP178"/>
      <c r="AQ178"/>
      <c r="AR178"/>
      <c r="AS178"/>
      <c r="AT178"/>
      <c r="AU178"/>
      <c r="AV178"/>
      <c r="AW178"/>
      <c r="AX178"/>
      <c r="AY178"/>
      <c r="AZ178"/>
      <c r="BA178"/>
      <c r="BB178"/>
      <c r="BC178"/>
      <c r="BD178"/>
      <c r="BE178"/>
      <c r="BF178"/>
    </row>
    <row r="179" spans="13:58" ht="12" hidden="1" customHeight="1">
      <c r="M179" s="820"/>
      <c r="N179" s="239"/>
      <c r="O179" s="225"/>
      <c r="P179" s="260"/>
      <c r="Q179" s="258"/>
      <c r="R179" s="260"/>
      <c r="S179" s="260"/>
      <c r="T179" s="260"/>
      <c r="U179" s="260"/>
      <c r="V179" s="260"/>
      <c r="W179" s="260"/>
      <c r="X179" s="260"/>
      <c r="Y179" s="260"/>
      <c r="Z179" s="260"/>
      <c r="AA179" s="260"/>
      <c r="AB179" s="260"/>
      <c r="AC179" s="260"/>
      <c r="AD179" s="260"/>
      <c r="AE179" s="260"/>
      <c r="AF179" s="260"/>
      <c r="AG179" s="258"/>
      <c r="AO179"/>
      <c r="AP179"/>
      <c r="AQ179"/>
      <c r="AR179"/>
      <c r="AS179"/>
      <c r="AT179"/>
      <c r="AU179"/>
      <c r="AV179"/>
      <c r="AW179"/>
      <c r="AX179"/>
      <c r="AY179"/>
      <c r="AZ179"/>
      <c r="BA179"/>
      <c r="BB179"/>
      <c r="BC179"/>
      <c r="BD179"/>
      <c r="BE179"/>
      <c r="BF179"/>
    </row>
    <row r="180" spans="13:58" ht="12" hidden="1" customHeight="1">
      <c r="M180" s="820"/>
      <c r="N180" s="239"/>
      <c r="O180" s="225"/>
      <c r="P180" s="260"/>
      <c r="Q180" s="258"/>
      <c r="R180" s="260"/>
      <c r="S180" s="260"/>
      <c r="T180" s="260"/>
      <c r="U180" s="260"/>
      <c r="V180" s="260"/>
      <c r="W180" s="260"/>
      <c r="X180" s="260"/>
      <c r="Y180" s="260"/>
      <c r="Z180" s="260"/>
      <c r="AA180" s="260"/>
      <c r="AB180" s="260"/>
      <c r="AC180" s="260"/>
      <c r="AD180" s="260"/>
      <c r="AE180" s="260"/>
      <c r="AF180" s="260"/>
      <c r="AG180" s="258"/>
      <c r="AO180"/>
      <c r="AP180"/>
      <c r="AQ180"/>
      <c r="AR180"/>
      <c r="AS180"/>
      <c r="AT180"/>
      <c r="AU180"/>
      <c r="AV180"/>
      <c r="AW180"/>
      <c r="AX180"/>
      <c r="AY180"/>
      <c r="AZ180"/>
      <c r="BA180"/>
      <c r="BB180"/>
      <c r="BC180"/>
      <c r="BD180"/>
      <c r="BE180"/>
      <c r="BF180"/>
    </row>
    <row r="181" spans="13:58" ht="12" hidden="1" customHeight="1">
      <c r="M181" s="820"/>
      <c r="N181" s="239"/>
      <c r="O181" s="225"/>
      <c r="P181" s="260"/>
      <c r="Q181" s="258"/>
      <c r="R181" s="260"/>
      <c r="S181" s="260"/>
      <c r="T181" s="260"/>
      <c r="U181" s="260"/>
      <c r="V181" s="260"/>
      <c r="W181" s="260"/>
      <c r="X181" s="260"/>
      <c r="Y181" s="260"/>
      <c r="Z181" s="260"/>
      <c r="AA181" s="260"/>
      <c r="AB181" s="260"/>
      <c r="AC181" s="260"/>
      <c r="AD181" s="260"/>
      <c r="AE181" s="260"/>
      <c r="AF181" s="260"/>
      <c r="AG181" s="258"/>
      <c r="AO181"/>
      <c r="AP181"/>
      <c r="AQ181"/>
      <c r="AR181"/>
      <c r="AS181"/>
      <c r="AT181"/>
      <c r="AU181"/>
      <c r="AV181"/>
      <c r="AW181"/>
      <c r="AX181"/>
      <c r="AY181"/>
      <c r="AZ181"/>
      <c r="BA181"/>
      <c r="BB181"/>
      <c r="BC181"/>
      <c r="BD181"/>
      <c r="BE181"/>
      <c r="BF181"/>
    </row>
    <row r="182" spans="13:58" ht="12" hidden="1" customHeight="1">
      <c r="M182" s="820"/>
      <c r="N182" s="239"/>
      <c r="O182" s="225"/>
      <c r="P182" s="260"/>
      <c r="Q182" s="258"/>
      <c r="R182" s="260"/>
      <c r="S182" s="260"/>
      <c r="T182" s="260"/>
      <c r="U182" s="260"/>
      <c r="V182" s="260"/>
      <c r="W182" s="260"/>
      <c r="X182" s="260"/>
      <c r="Y182" s="260"/>
      <c r="Z182" s="260"/>
      <c r="AA182" s="260"/>
      <c r="AB182" s="260"/>
      <c r="AC182" s="260"/>
      <c r="AD182" s="260"/>
      <c r="AE182" s="260"/>
      <c r="AF182" s="260"/>
      <c r="AG182" s="258"/>
      <c r="AO182"/>
      <c r="AP182"/>
      <c r="AQ182"/>
      <c r="AR182"/>
      <c r="AS182"/>
      <c r="AT182"/>
      <c r="AU182"/>
      <c r="AV182"/>
      <c r="AW182"/>
      <c r="AX182"/>
      <c r="AY182"/>
      <c r="AZ182"/>
      <c r="BA182"/>
      <c r="BB182"/>
      <c r="BC182"/>
      <c r="BD182"/>
      <c r="BE182"/>
      <c r="BF182"/>
    </row>
    <row r="183" spans="13:58" ht="12" hidden="1" customHeight="1">
      <c r="M183" s="820"/>
      <c r="N183" s="239"/>
      <c r="O183" s="225"/>
      <c r="P183" s="260"/>
      <c r="Q183" s="258"/>
      <c r="R183" s="260"/>
      <c r="S183" s="260"/>
      <c r="T183" s="260"/>
      <c r="U183" s="260"/>
      <c r="V183" s="260"/>
      <c r="W183" s="260"/>
      <c r="X183" s="260"/>
      <c r="Y183" s="260"/>
      <c r="Z183" s="260"/>
      <c r="AA183" s="260"/>
      <c r="AB183" s="260"/>
      <c r="AC183" s="260"/>
      <c r="AD183" s="260"/>
      <c r="AE183" s="260"/>
      <c r="AF183" s="260"/>
      <c r="AG183" s="258"/>
      <c r="AO183"/>
      <c r="AP183"/>
      <c r="AQ183"/>
      <c r="AR183"/>
      <c r="AS183"/>
      <c r="AT183"/>
      <c r="AU183"/>
      <c r="AV183"/>
      <c r="AW183"/>
      <c r="AX183"/>
      <c r="AY183"/>
      <c r="AZ183"/>
      <c r="BA183"/>
      <c r="BB183"/>
      <c r="BC183"/>
      <c r="BD183"/>
      <c r="BE183"/>
      <c r="BF183"/>
    </row>
    <row r="184" spans="13:58" ht="12" hidden="1" customHeight="1">
      <c r="M184" s="820"/>
      <c r="N184" s="239"/>
      <c r="O184" s="225"/>
      <c r="P184" s="260"/>
      <c r="Q184" s="258"/>
      <c r="R184" s="260"/>
      <c r="S184" s="260"/>
      <c r="T184" s="260"/>
      <c r="U184" s="260"/>
      <c r="V184" s="260"/>
      <c r="W184" s="260"/>
      <c r="X184" s="260"/>
      <c r="Y184" s="260"/>
      <c r="Z184" s="260"/>
      <c r="AA184" s="260"/>
      <c r="AB184" s="260"/>
      <c r="AC184" s="260"/>
      <c r="AD184" s="260"/>
      <c r="AE184" s="260"/>
      <c r="AF184" s="260"/>
      <c r="AG184" s="258"/>
      <c r="AO184"/>
      <c r="AP184"/>
      <c r="AQ184"/>
      <c r="AR184"/>
      <c r="AS184"/>
      <c r="AT184"/>
      <c r="AU184"/>
      <c r="AV184"/>
      <c r="AW184"/>
      <c r="AX184"/>
      <c r="AY184"/>
      <c r="AZ184"/>
      <c r="BA184"/>
      <c r="BB184"/>
      <c r="BC184"/>
      <c r="BD184"/>
      <c r="BE184"/>
      <c r="BF184"/>
    </row>
    <row r="185" spans="13:58" ht="12" hidden="1" customHeight="1">
      <c r="M185" s="820"/>
      <c r="N185" s="239"/>
      <c r="O185" s="225"/>
      <c r="P185" s="260"/>
      <c r="Q185" s="258"/>
      <c r="R185" s="260"/>
      <c r="S185" s="260"/>
      <c r="T185" s="260"/>
      <c r="U185" s="260"/>
      <c r="V185" s="260"/>
      <c r="W185" s="260"/>
      <c r="X185" s="260"/>
      <c r="Y185" s="260"/>
      <c r="Z185" s="260"/>
      <c r="AA185" s="260"/>
      <c r="AB185" s="260"/>
      <c r="AC185" s="260"/>
      <c r="AD185" s="260"/>
      <c r="AE185" s="260"/>
      <c r="AF185" s="260"/>
      <c r="AG185" s="258"/>
      <c r="AO185"/>
      <c r="AP185"/>
      <c r="AQ185"/>
      <c r="AR185"/>
      <c r="AS185"/>
      <c r="AT185"/>
      <c r="AU185"/>
      <c r="AV185"/>
      <c r="AW185"/>
      <c r="AX185"/>
      <c r="AY185"/>
      <c r="AZ185"/>
      <c r="BA185"/>
      <c r="BB185"/>
      <c r="BC185"/>
      <c r="BD185"/>
      <c r="BE185"/>
      <c r="BF185"/>
    </row>
    <row r="186" spans="13:58" ht="12" hidden="1" customHeight="1">
      <c r="M186" s="820"/>
      <c r="N186" s="239"/>
      <c r="O186" s="225"/>
      <c r="P186" s="260"/>
      <c r="Q186" s="258"/>
      <c r="R186" s="260"/>
      <c r="S186" s="260"/>
      <c r="T186" s="260"/>
      <c r="U186" s="260"/>
      <c r="V186" s="260"/>
      <c r="W186" s="260"/>
      <c r="X186" s="260"/>
      <c r="Y186" s="260"/>
      <c r="Z186" s="260"/>
      <c r="AA186" s="260"/>
      <c r="AB186" s="260"/>
      <c r="AC186" s="260"/>
      <c r="AD186" s="260"/>
      <c r="AE186" s="260"/>
      <c r="AF186" s="260"/>
      <c r="AG186" s="258"/>
      <c r="AO186"/>
      <c r="AP186"/>
      <c r="AQ186"/>
      <c r="AR186"/>
      <c r="AS186"/>
      <c r="AT186"/>
      <c r="AU186"/>
      <c r="AV186"/>
      <c r="AW186"/>
      <c r="AX186"/>
      <c r="AY186"/>
      <c r="AZ186"/>
      <c r="BA186"/>
      <c r="BB186"/>
      <c r="BC186"/>
      <c r="BD186"/>
      <c r="BE186"/>
      <c r="BF186"/>
    </row>
    <row r="187" spans="13:58" ht="12" hidden="1" customHeight="1">
      <c r="M187" s="820"/>
      <c r="N187" s="239"/>
      <c r="O187" s="225"/>
      <c r="P187" s="260"/>
      <c r="Q187" s="258"/>
      <c r="R187" s="260"/>
      <c r="S187" s="260"/>
      <c r="T187" s="260"/>
      <c r="U187" s="260"/>
      <c r="V187" s="260"/>
      <c r="W187" s="260"/>
      <c r="X187" s="260"/>
      <c r="Y187" s="260"/>
      <c r="Z187" s="260"/>
      <c r="AA187" s="260"/>
      <c r="AB187" s="260"/>
      <c r="AC187" s="260"/>
      <c r="AD187" s="260"/>
      <c r="AE187" s="260"/>
      <c r="AF187" s="260"/>
      <c r="AG187" s="258"/>
      <c r="AO187"/>
      <c r="AP187"/>
      <c r="AQ187"/>
      <c r="AR187"/>
      <c r="AS187"/>
      <c r="AT187"/>
      <c r="AU187"/>
      <c r="AV187"/>
      <c r="AW187"/>
      <c r="AX187"/>
      <c r="AY187"/>
      <c r="AZ187"/>
      <c r="BA187"/>
      <c r="BB187"/>
      <c r="BC187"/>
      <c r="BD187"/>
      <c r="BE187"/>
      <c r="BF187"/>
    </row>
    <row r="188" spans="13:58" ht="12" hidden="1" customHeight="1">
      <c r="M188" s="820"/>
      <c r="N188" s="239"/>
      <c r="O188" s="225"/>
      <c r="P188" s="260"/>
      <c r="Q188" s="258"/>
      <c r="R188" s="260"/>
      <c r="S188" s="260"/>
      <c r="T188" s="260"/>
      <c r="U188" s="260"/>
      <c r="V188" s="260"/>
      <c r="W188" s="260"/>
      <c r="X188" s="260"/>
      <c r="Y188" s="260"/>
      <c r="Z188" s="260"/>
      <c r="AA188" s="260"/>
      <c r="AB188" s="260"/>
      <c r="AC188" s="260"/>
      <c r="AD188" s="260"/>
      <c r="AE188" s="260"/>
      <c r="AF188" s="260"/>
      <c r="AG188" s="258"/>
      <c r="AO188"/>
      <c r="AP188"/>
      <c r="AQ188"/>
      <c r="AR188"/>
      <c r="AS188"/>
      <c r="AT188"/>
      <c r="AU188"/>
      <c r="AV188"/>
      <c r="AW188"/>
      <c r="AX188"/>
      <c r="AY188"/>
      <c r="AZ188"/>
      <c r="BA188"/>
      <c r="BB188"/>
      <c r="BC188"/>
      <c r="BD188"/>
      <c r="BE188"/>
      <c r="BF188"/>
    </row>
    <row r="189" spans="13:58" ht="12" hidden="1" customHeight="1">
      <c r="M189" s="820"/>
      <c r="N189" s="239"/>
      <c r="O189" s="225"/>
      <c r="P189" s="260"/>
      <c r="Q189" s="258"/>
      <c r="R189" s="260"/>
      <c r="S189" s="260"/>
      <c r="T189" s="260"/>
      <c r="U189" s="260"/>
      <c r="V189" s="260"/>
      <c r="W189" s="260"/>
      <c r="X189" s="260"/>
      <c r="Y189" s="260"/>
      <c r="Z189" s="260"/>
      <c r="AA189" s="260"/>
      <c r="AB189" s="260"/>
      <c r="AC189" s="260"/>
      <c r="AD189" s="260"/>
      <c r="AE189" s="260"/>
      <c r="AF189" s="260"/>
      <c r="AG189" s="258"/>
      <c r="AO189"/>
      <c r="AP189"/>
      <c r="AQ189"/>
      <c r="AR189"/>
      <c r="AS189"/>
      <c r="AT189"/>
      <c r="AU189"/>
      <c r="AV189"/>
      <c r="AW189"/>
      <c r="AX189"/>
      <c r="AY189"/>
      <c r="AZ189"/>
      <c r="BA189"/>
      <c r="BB189"/>
      <c r="BC189"/>
      <c r="BD189"/>
      <c r="BE189"/>
      <c r="BF189"/>
    </row>
    <row r="190" spans="13:58" ht="12" hidden="1" customHeight="1">
      <c r="M190" s="820"/>
      <c r="N190" s="239"/>
      <c r="O190" s="225"/>
      <c r="P190" s="260"/>
      <c r="Q190" s="258"/>
      <c r="R190" s="260"/>
      <c r="S190" s="260"/>
      <c r="T190" s="260"/>
      <c r="U190" s="260"/>
      <c r="V190" s="260"/>
      <c r="W190" s="260"/>
      <c r="X190" s="260"/>
      <c r="Y190" s="260"/>
      <c r="Z190" s="260"/>
      <c r="AA190" s="260"/>
      <c r="AB190" s="260"/>
      <c r="AC190" s="260"/>
      <c r="AD190" s="260"/>
      <c r="AE190" s="260"/>
      <c r="AF190" s="260"/>
      <c r="AG190" s="258"/>
      <c r="AO190"/>
      <c r="AP190"/>
      <c r="AQ190"/>
      <c r="AR190"/>
      <c r="AS190"/>
      <c r="AT190"/>
      <c r="AU190"/>
      <c r="AV190"/>
      <c r="AW190"/>
      <c r="AX190"/>
      <c r="AY190"/>
      <c r="AZ190"/>
      <c r="BA190"/>
      <c r="BB190"/>
      <c r="BC190"/>
      <c r="BD190"/>
      <c r="BE190"/>
      <c r="BF190"/>
    </row>
    <row r="191" spans="13:58" ht="12" hidden="1" customHeight="1">
      <c r="M191" s="820"/>
      <c r="N191" s="239"/>
      <c r="O191" s="225"/>
      <c r="P191" s="260"/>
      <c r="Q191" s="258"/>
      <c r="R191" s="260"/>
      <c r="S191" s="260"/>
      <c r="T191" s="260"/>
      <c r="U191" s="260"/>
      <c r="V191" s="260"/>
      <c r="W191" s="260"/>
      <c r="X191" s="260"/>
      <c r="Y191" s="260"/>
      <c r="Z191" s="260"/>
      <c r="AA191" s="260"/>
      <c r="AB191" s="260"/>
      <c r="AC191" s="260"/>
      <c r="AD191" s="260"/>
      <c r="AE191" s="260"/>
      <c r="AF191" s="260"/>
      <c r="AG191" s="258"/>
      <c r="AO191"/>
      <c r="AP191"/>
      <c r="AQ191"/>
      <c r="AR191"/>
      <c r="AS191"/>
      <c r="AT191"/>
      <c r="AU191"/>
      <c r="AV191"/>
      <c r="AW191"/>
      <c r="AX191"/>
      <c r="AY191"/>
      <c r="AZ191"/>
      <c r="BA191"/>
      <c r="BB191"/>
      <c r="BC191"/>
      <c r="BD191"/>
      <c r="BE191"/>
      <c r="BF191"/>
    </row>
    <row r="192" spans="13:58" ht="12" hidden="1" customHeight="1">
      <c r="M192" s="820"/>
      <c r="N192" s="239"/>
      <c r="O192" s="225"/>
      <c r="P192" s="260"/>
      <c r="Q192" s="258"/>
      <c r="R192" s="260"/>
      <c r="S192" s="260"/>
      <c r="T192" s="260"/>
      <c r="U192" s="260"/>
      <c r="V192" s="260"/>
      <c r="W192" s="260"/>
      <c r="X192" s="260"/>
      <c r="Y192" s="260"/>
      <c r="Z192" s="260"/>
      <c r="AA192" s="260"/>
      <c r="AB192" s="260"/>
      <c r="AC192" s="260"/>
      <c r="AD192" s="260"/>
      <c r="AE192" s="260"/>
      <c r="AF192" s="260"/>
      <c r="AG192" s="258"/>
      <c r="AO192"/>
      <c r="AP192"/>
      <c r="AQ192"/>
      <c r="AR192"/>
      <c r="AS192"/>
      <c r="AT192"/>
      <c r="AU192"/>
      <c r="AV192"/>
      <c r="AW192"/>
      <c r="AX192"/>
      <c r="AY192"/>
      <c r="AZ192"/>
      <c r="BA192"/>
      <c r="BB192"/>
      <c r="BC192"/>
      <c r="BD192"/>
      <c r="BE192"/>
      <c r="BF192"/>
    </row>
    <row r="193" spans="13:58" ht="12" hidden="1" customHeight="1">
      <c r="M193" s="820"/>
      <c r="N193" s="239"/>
      <c r="O193" s="225"/>
      <c r="P193" s="260"/>
      <c r="Q193" s="258"/>
      <c r="R193" s="260"/>
      <c r="S193" s="260"/>
      <c r="T193" s="260"/>
      <c r="U193" s="260"/>
      <c r="V193" s="260"/>
      <c r="W193" s="260"/>
      <c r="X193" s="260"/>
      <c r="Y193" s="260"/>
      <c r="Z193" s="260"/>
      <c r="AA193" s="260"/>
      <c r="AB193" s="260"/>
      <c r="AC193" s="260"/>
      <c r="AD193" s="260"/>
      <c r="AE193" s="260"/>
      <c r="AF193" s="260"/>
      <c r="AG193" s="258"/>
      <c r="AO193"/>
      <c r="AP193"/>
      <c r="AQ193"/>
      <c r="AR193"/>
      <c r="AS193"/>
      <c r="AT193"/>
      <c r="AU193"/>
      <c r="AV193"/>
      <c r="AW193"/>
      <c r="AX193"/>
      <c r="AY193"/>
      <c r="AZ193"/>
      <c r="BA193"/>
      <c r="BB193"/>
      <c r="BC193"/>
      <c r="BD193"/>
      <c r="BE193"/>
      <c r="BF193"/>
    </row>
    <row r="194" spans="13:58" ht="12" hidden="1" customHeight="1">
      <c r="M194" s="820"/>
      <c r="N194" s="239"/>
      <c r="O194" s="225"/>
      <c r="P194" s="260"/>
      <c r="Q194" s="258"/>
      <c r="R194" s="260"/>
      <c r="S194" s="260"/>
      <c r="T194" s="260"/>
      <c r="U194" s="260"/>
      <c r="V194" s="260"/>
      <c r="W194" s="260"/>
      <c r="X194" s="260"/>
      <c r="Y194" s="260"/>
      <c r="Z194" s="260"/>
      <c r="AA194" s="260"/>
      <c r="AB194" s="260"/>
      <c r="AC194" s="260"/>
      <c r="AD194" s="260"/>
      <c r="AE194" s="260"/>
      <c r="AF194" s="260"/>
      <c r="AG194" s="258"/>
      <c r="AO194"/>
      <c r="AP194"/>
      <c r="AQ194"/>
      <c r="AR194"/>
      <c r="AS194"/>
      <c r="AT194"/>
      <c r="AU194"/>
      <c r="AV194"/>
      <c r="AW194"/>
      <c r="AX194"/>
      <c r="AY194"/>
      <c r="AZ194"/>
      <c r="BA194"/>
      <c r="BB194"/>
      <c r="BC194"/>
      <c r="BD194"/>
      <c r="BE194"/>
      <c r="BF194"/>
    </row>
    <row r="195" spans="13:58" ht="12" hidden="1" customHeight="1">
      <c r="M195" s="820"/>
      <c r="N195" s="239"/>
      <c r="O195" s="225"/>
      <c r="P195" s="260"/>
      <c r="Q195" s="258"/>
      <c r="R195" s="260"/>
      <c r="S195" s="260"/>
      <c r="T195" s="260"/>
      <c r="U195" s="260"/>
      <c r="V195" s="260"/>
      <c r="W195" s="260"/>
      <c r="X195" s="260"/>
      <c r="Y195" s="260"/>
      <c r="Z195" s="260"/>
      <c r="AA195" s="260"/>
      <c r="AB195" s="260"/>
      <c r="AC195" s="260"/>
      <c r="AD195" s="260"/>
      <c r="AE195" s="260"/>
      <c r="AF195" s="260"/>
      <c r="AG195" s="258"/>
      <c r="AO195"/>
      <c r="AP195"/>
      <c r="AQ195"/>
      <c r="AR195"/>
      <c r="AS195"/>
      <c r="AT195"/>
      <c r="AU195"/>
      <c r="AV195"/>
      <c r="AW195"/>
      <c r="AX195"/>
      <c r="AY195"/>
      <c r="AZ195"/>
      <c r="BA195"/>
      <c r="BB195"/>
      <c r="BC195"/>
      <c r="BD195"/>
      <c r="BE195"/>
      <c r="BF195"/>
    </row>
    <row r="196" spans="13:58" ht="12" hidden="1" customHeight="1">
      <c r="M196" s="820"/>
      <c r="N196" s="239"/>
      <c r="O196" s="225"/>
      <c r="P196" s="260"/>
      <c r="Q196" s="258"/>
      <c r="R196" s="260"/>
      <c r="S196" s="260"/>
      <c r="T196" s="260"/>
      <c r="U196" s="260"/>
      <c r="V196" s="260"/>
      <c r="W196" s="260"/>
      <c r="X196" s="260"/>
      <c r="Y196" s="260"/>
      <c r="Z196" s="260"/>
      <c r="AA196" s="260"/>
      <c r="AB196" s="260"/>
      <c r="AC196" s="260"/>
      <c r="AD196" s="260"/>
      <c r="AE196" s="260"/>
      <c r="AF196" s="260"/>
      <c r="AG196" s="258"/>
      <c r="AO196"/>
      <c r="AP196"/>
      <c r="AQ196"/>
      <c r="AR196"/>
      <c r="AS196"/>
      <c r="AT196"/>
      <c r="AU196"/>
      <c r="AV196"/>
      <c r="AW196"/>
      <c r="AX196"/>
      <c r="AY196"/>
      <c r="AZ196"/>
      <c r="BA196"/>
      <c r="BB196"/>
      <c r="BC196"/>
      <c r="BD196"/>
      <c r="BE196"/>
      <c r="BF196"/>
    </row>
    <row r="197" spans="13:58" ht="12" hidden="1" customHeight="1">
      <c r="M197" s="820"/>
      <c r="N197" s="239"/>
      <c r="O197" s="225"/>
      <c r="P197" s="260"/>
      <c r="Q197" s="258"/>
      <c r="R197" s="260"/>
      <c r="S197" s="260"/>
      <c r="T197" s="260"/>
      <c r="U197" s="260"/>
      <c r="V197" s="260"/>
      <c r="W197" s="260"/>
      <c r="X197" s="260"/>
      <c r="Y197" s="260"/>
      <c r="Z197" s="260"/>
      <c r="AA197" s="260"/>
      <c r="AB197" s="260"/>
      <c r="AC197" s="260"/>
      <c r="AD197" s="260"/>
      <c r="AE197" s="260"/>
      <c r="AF197" s="260"/>
      <c r="AG197" s="258"/>
      <c r="AO197"/>
      <c r="AP197"/>
      <c r="AQ197"/>
      <c r="AR197"/>
      <c r="AS197"/>
      <c r="AT197"/>
      <c r="AU197"/>
      <c r="AV197"/>
      <c r="AW197"/>
      <c r="AX197"/>
      <c r="AY197"/>
      <c r="AZ197"/>
      <c r="BA197"/>
      <c r="BB197"/>
      <c r="BC197"/>
      <c r="BD197"/>
      <c r="BE197"/>
      <c r="BF197"/>
    </row>
    <row r="198" spans="13:58" ht="12" hidden="1" customHeight="1">
      <c r="M198" s="820"/>
      <c r="N198" s="239"/>
      <c r="O198" s="225"/>
      <c r="P198" s="260"/>
      <c r="Q198" s="258"/>
      <c r="R198" s="260"/>
      <c r="S198" s="260"/>
      <c r="T198" s="260"/>
      <c r="U198" s="260"/>
      <c r="V198" s="260"/>
      <c r="W198" s="260"/>
      <c r="X198" s="260"/>
      <c r="Y198" s="260"/>
      <c r="Z198" s="260"/>
      <c r="AA198" s="260"/>
      <c r="AB198" s="260"/>
      <c r="AC198" s="260"/>
      <c r="AD198" s="260"/>
      <c r="AE198" s="260"/>
      <c r="AF198" s="260"/>
      <c r="AG198" s="258"/>
      <c r="AO198"/>
      <c r="AP198"/>
      <c r="AQ198"/>
      <c r="AR198"/>
      <c r="AS198"/>
      <c r="AT198"/>
      <c r="AU198"/>
      <c r="AV198"/>
      <c r="AW198"/>
      <c r="AX198"/>
      <c r="AY198"/>
      <c r="AZ198"/>
      <c r="BA198"/>
      <c r="BB198"/>
      <c r="BC198"/>
      <c r="BD198"/>
      <c r="BE198"/>
      <c r="BF198"/>
    </row>
    <row r="199" spans="13:58" ht="12" hidden="1" customHeight="1">
      <c r="M199" s="820"/>
      <c r="N199" s="239"/>
      <c r="O199" s="225"/>
      <c r="P199" s="260"/>
      <c r="Q199" s="258"/>
      <c r="R199" s="260"/>
      <c r="S199" s="260"/>
      <c r="T199" s="260"/>
      <c r="U199" s="260"/>
      <c r="V199" s="260"/>
      <c r="W199" s="260"/>
      <c r="X199" s="260"/>
      <c r="Y199" s="260"/>
      <c r="Z199" s="260"/>
      <c r="AA199" s="260"/>
      <c r="AB199" s="260"/>
      <c r="AC199" s="260"/>
      <c r="AD199" s="260"/>
      <c r="AE199" s="260"/>
      <c r="AF199" s="260"/>
      <c r="AG199" s="258"/>
      <c r="AO199"/>
      <c r="AP199"/>
      <c r="AQ199"/>
      <c r="AR199"/>
      <c r="AS199"/>
      <c r="AT199"/>
      <c r="AU199"/>
      <c r="AV199"/>
      <c r="AW199"/>
      <c r="AX199"/>
      <c r="AY199"/>
      <c r="AZ199"/>
      <c r="BA199"/>
      <c r="BB199"/>
      <c r="BC199"/>
      <c r="BD199"/>
      <c r="BE199"/>
      <c r="BF199"/>
    </row>
    <row r="200" spans="13:58" ht="12" hidden="1" customHeight="1">
      <c r="M200" s="820"/>
      <c r="N200" s="239"/>
      <c r="O200" s="225"/>
      <c r="P200" s="260"/>
      <c r="Q200" s="258"/>
      <c r="R200" s="260"/>
      <c r="S200" s="260"/>
      <c r="T200" s="260"/>
      <c r="U200" s="260"/>
      <c r="V200" s="260"/>
      <c r="W200" s="260"/>
      <c r="X200" s="260"/>
      <c r="Y200" s="260"/>
      <c r="Z200" s="260"/>
      <c r="AA200" s="260"/>
      <c r="AB200" s="260"/>
      <c r="AC200" s="260"/>
      <c r="AD200" s="260"/>
      <c r="AE200" s="260"/>
      <c r="AF200" s="260"/>
      <c r="AG200" s="258"/>
      <c r="AO200"/>
      <c r="AP200"/>
      <c r="AQ200"/>
      <c r="AR200"/>
      <c r="AS200"/>
      <c r="AT200"/>
      <c r="AU200"/>
      <c r="AV200"/>
      <c r="AW200"/>
      <c r="AX200"/>
      <c r="AY200"/>
      <c r="AZ200"/>
      <c r="BA200"/>
      <c r="BB200"/>
      <c r="BC200"/>
      <c r="BD200"/>
      <c r="BE200"/>
      <c r="BF200"/>
    </row>
    <row r="201" spans="13:58" ht="12" hidden="1" customHeight="1">
      <c r="M201" s="820"/>
      <c r="N201" s="239"/>
      <c r="O201" s="225"/>
      <c r="P201" s="260"/>
      <c r="Q201" s="258"/>
      <c r="R201" s="260"/>
      <c r="S201" s="260"/>
      <c r="T201" s="260"/>
      <c r="U201" s="260"/>
      <c r="V201" s="260"/>
      <c r="W201" s="260"/>
      <c r="X201" s="260"/>
      <c r="Y201" s="260"/>
      <c r="Z201" s="260"/>
      <c r="AA201" s="260"/>
      <c r="AB201" s="260"/>
      <c r="AC201" s="260"/>
      <c r="AD201" s="260"/>
      <c r="AE201" s="260"/>
      <c r="AF201" s="260"/>
      <c r="AG201" s="258"/>
      <c r="AO201"/>
      <c r="AP201"/>
      <c r="AQ201"/>
      <c r="AR201"/>
      <c r="AS201"/>
      <c r="AT201"/>
      <c r="AU201"/>
      <c r="AV201"/>
      <c r="AW201"/>
      <c r="AX201"/>
      <c r="AY201"/>
      <c r="AZ201"/>
      <c r="BA201"/>
      <c r="BB201"/>
      <c r="BC201"/>
      <c r="BD201"/>
      <c r="BE201"/>
      <c r="BF201"/>
    </row>
    <row r="202" spans="13:58" ht="12" hidden="1" customHeight="1">
      <c r="M202" s="820"/>
      <c r="N202" s="239"/>
      <c r="O202" s="225"/>
      <c r="P202" s="260"/>
      <c r="Q202" s="258"/>
      <c r="R202" s="260"/>
      <c r="S202" s="260"/>
      <c r="T202" s="260"/>
      <c r="U202" s="260"/>
      <c r="V202" s="260"/>
      <c r="W202" s="260"/>
      <c r="X202" s="260"/>
      <c r="Y202" s="260"/>
      <c r="Z202" s="260"/>
      <c r="AA202" s="260"/>
      <c r="AB202" s="260"/>
      <c r="AC202" s="260"/>
      <c r="AD202" s="260"/>
      <c r="AE202" s="260"/>
      <c r="AF202" s="260"/>
      <c r="AG202" s="258"/>
      <c r="AO202"/>
      <c r="AP202"/>
      <c r="AQ202"/>
      <c r="AR202"/>
      <c r="AS202"/>
      <c r="AT202"/>
      <c r="AU202"/>
      <c r="AV202"/>
      <c r="AW202"/>
      <c r="AX202"/>
      <c r="AY202"/>
      <c r="AZ202"/>
      <c r="BA202"/>
      <c r="BB202"/>
      <c r="BC202"/>
      <c r="BD202"/>
      <c r="BE202"/>
      <c r="BF202"/>
    </row>
    <row r="203" spans="13:58" ht="12" hidden="1" customHeight="1">
      <c r="M203" s="820"/>
      <c r="N203" s="239"/>
      <c r="O203" s="225"/>
      <c r="P203" s="260"/>
      <c r="Q203" s="258"/>
      <c r="R203" s="260"/>
      <c r="S203" s="260"/>
      <c r="T203" s="260"/>
      <c r="U203" s="260"/>
      <c r="V203" s="260"/>
      <c r="W203" s="260"/>
      <c r="X203" s="260"/>
      <c r="Y203" s="260"/>
      <c r="Z203" s="260"/>
      <c r="AA203" s="260"/>
      <c r="AB203" s="260"/>
      <c r="AC203" s="260"/>
      <c r="AD203" s="260"/>
      <c r="AE203" s="260"/>
      <c r="AF203" s="260"/>
      <c r="AG203" s="258"/>
      <c r="AO203"/>
      <c r="AP203"/>
      <c r="AQ203"/>
      <c r="AR203"/>
      <c r="AS203"/>
      <c r="AT203"/>
      <c r="AU203"/>
      <c r="AV203"/>
      <c r="AW203"/>
      <c r="AX203"/>
      <c r="AY203"/>
      <c r="AZ203"/>
      <c r="BA203"/>
      <c r="BB203"/>
      <c r="BC203"/>
      <c r="BD203"/>
      <c r="BE203"/>
      <c r="BF203"/>
    </row>
    <row r="204" spans="13:58" ht="12" hidden="1" customHeight="1">
      <c r="M204" s="820"/>
      <c r="N204" s="239"/>
      <c r="O204" s="225"/>
      <c r="P204" s="260"/>
      <c r="Q204" s="258"/>
      <c r="R204" s="260"/>
      <c r="S204" s="260"/>
      <c r="T204" s="260"/>
      <c r="U204" s="260"/>
      <c r="V204" s="260"/>
      <c r="W204" s="260"/>
      <c r="X204" s="260"/>
      <c r="Y204" s="260"/>
      <c r="Z204" s="260"/>
      <c r="AA204" s="260"/>
      <c r="AB204" s="260"/>
      <c r="AC204" s="260"/>
      <c r="AD204" s="260"/>
      <c r="AE204" s="260"/>
      <c r="AF204" s="260"/>
      <c r="AG204" s="258"/>
      <c r="AO204"/>
      <c r="AP204"/>
      <c r="AQ204"/>
      <c r="AR204"/>
      <c r="AS204"/>
      <c r="AT204"/>
      <c r="AU204"/>
      <c r="AV204"/>
      <c r="AW204"/>
      <c r="AX204"/>
      <c r="AY204"/>
      <c r="AZ204"/>
      <c r="BA204"/>
      <c r="BB204"/>
      <c r="BC204"/>
      <c r="BD204"/>
      <c r="BE204"/>
      <c r="BF204"/>
    </row>
    <row r="205" spans="13:58" ht="12" hidden="1" customHeight="1">
      <c r="M205" s="820"/>
      <c r="N205" s="239"/>
      <c r="O205" s="225"/>
      <c r="P205" s="260"/>
      <c r="Q205" s="258"/>
      <c r="R205" s="260"/>
      <c r="S205" s="260"/>
      <c r="T205" s="260"/>
      <c r="U205" s="260"/>
      <c r="V205" s="260"/>
      <c r="W205" s="260"/>
      <c r="X205" s="260"/>
      <c r="Y205" s="260"/>
      <c r="Z205" s="260"/>
      <c r="AA205" s="260"/>
      <c r="AB205" s="260"/>
      <c r="AC205" s="260"/>
      <c r="AD205" s="260"/>
      <c r="AE205" s="260"/>
      <c r="AF205" s="260"/>
      <c r="AG205" s="258"/>
      <c r="AO205"/>
      <c r="AP205"/>
      <c r="AQ205"/>
      <c r="AR205"/>
      <c r="AS205"/>
      <c r="AT205"/>
      <c r="AU205"/>
      <c r="AV205"/>
      <c r="AW205"/>
      <c r="AX205"/>
      <c r="AY205"/>
      <c r="AZ205"/>
      <c r="BA205"/>
      <c r="BB205"/>
      <c r="BC205"/>
      <c r="BD205"/>
      <c r="BE205"/>
      <c r="BF205"/>
    </row>
    <row r="206" spans="13:58" ht="12" hidden="1" customHeight="1">
      <c r="M206" s="820"/>
      <c r="N206" s="239"/>
      <c r="O206" s="225"/>
      <c r="P206" s="260"/>
      <c r="Q206" s="258"/>
      <c r="R206" s="260"/>
      <c r="S206" s="260"/>
      <c r="T206" s="260"/>
      <c r="U206" s="260"/>
      <c r="V206" s="260"/>
      <c r="W206" s="260"/>
      <c r="X206" s="260"/>
      <c r="Y206" s="260"/>
      <c r="Z206" s="260"/>
      <c r="AA206" s="260"/>
      <c r="AB206" s="260"/>
      <c r="AC206" s="260"/>
      <c r="AD206" s="260"/>
      <c r="AE206" s="260"/>
      <c r="AF206" s="260"/>
      <c r="AG206" s="258"/>
      <c r="AO206"/>
      <c r="AP206"/>
      <c r="AQ206"/>
      <c r="AR206"/>
      <c r="AS206"/>
      <c r="AT206"/>
      <c r="AU206"/>
      <c r="AV206"/>
      <c r="AW206"/>
      <c r="AX206"/>
      <c r="AY206"/>
      <c r="AZ206"/>
      <c r="BA206"/>
      <c r="BB206"/>
      <c r="BC206"/>
      <c r="BD206"/>
      <c r="BE206"/>
      <c r="BF206"/>
    </row>
    <row r="207" spans="13:58" ht="12" hidden="1" customHeight="1">
      <c r="M207" s="820"/>
      <c r="N207" s="239"/>
      <c r="O207" s="225"/>
      <c r="P207" s="260"/>
      <c r="Q207" s="258"/>
      <c r="R207" s="260"/>
      <c r="S207" s="260"/>
      <c r="T207" s="260"/>
      <c r="U207" s="260"/>
      <c r="V207" s="260"/>
      <c r="W207" s="260"/>
      <c r="X207" s="260"/>
      <c r="Y207" s="260"/>
      <c r="Z207" s="260"/>
      <c r="AA207" s="260"/>
      <c r="AB207" s="260"/>
      <c r="AC207" s="260"/>
      <c r="AD207" s="260"/>
      <c r="AE207" s="260"/>
      <c r="AF207" s="260"/>
      <c r="AG207" s="258"/>
      <c r="AO207"/>
      <c r="AP207"/>
      <c r="AQ207"/>
      <c r="AR207"/>
      <c r="AS207"/>
      <c r="AT207"/>
      <c r="AU207"/>
      <c r="AV207"/>
      <c r="AW207"/>
      <c r="AX207"/>
      <c r="AY207"/>
      <c r="AZ207"/>
      <c r="BA207"/>
      <c r="BB207"/>
      <c r="BC207"/>
      <c r="BD207"/>
      <c r="BE207"/>
      <c r="BF207"/>
    </row>
    <row r="208" spans="13:58" ht="12" hidden="1" customHeight="1">
      <c r="M208" s="820"/>
      <c r="N208" s="239"/>
      <c r="O208" s="225"/>
      <c r="P208" s="260"/>
      <c r="Q208" s="258"/>
      <c r="R208" s="260"/>
      <c r="S208" s="260"/>
      <c r="T208" s="260"/>
      <c r="U208" s="260"/>
      <c r="V208" s="260"/>
      <c r="W208" s="260"/>
      <c r="X208" s="260"/>
      <c r="Y208" s="260"/>
      <c r="Z208" s="260"/>
      <c r="AA208" s="260"/>
      <c r="AB208" s="260"/>
      <c r="AC208" s="260"/>
      <c r="AD208" s="260"/>
      <c r="AE208" s="260"/>
      <c r="AF208" s="260"/>
      <c r="AG208" s="258"/>
      <c r="AO208"/>
      <c r="AP208"/>
      <c r="AQ208"/>
      <c r="AR208"/>
      <c r="AS208"/>
      <c r="AT208"/>
      <c r="AU208"/>
      <c r="AV208"/>
      <c r="AW208"/>
      <c r="AX208"/>
      <c r="AY208"/>
      <c r="AZ208"/>
      <c r="BA208"/>
      <c r="BB208"/>
      <c r="BC208"/>
      <c r="BD208"/>
      <c r="BE208"/>
      <c r="BF208"/>
    </row>
    <row r="209" spans="13:58" ht="12" hidden="1" customHeight="1">
      <c r="M209" s="820"/>
      <c r="N209" s="239"/>
      <c r="O209" s="225"/>
      <c r="P209" s="260"/>
      <c r="Q209" s="258"/>
      <c r="R209" s="260"/>
      <c r="S209" s="260"/>
      <c r="T209" s="260"/>
      <c r="U209" s="260"/>
      <c r="V209" s="260"/>
      <c r="W209" s="260"/>
      <c r="X209" s="260"/>
      <c r="Y209" s="260"/>
      <c r="Z209" s="260"/>
      <c r="AA209" s="260"/>
      <c r="AB209" s="260"/>
      <c r="AC209" s="260"/>
      <c r="AD209" s="260"/>
      <c r="AE209" s="260"/>
      <c r="AF209" s="260"/>
      <c r="AG209" s="258"/>
      <c r="AO209"/>
      <c r="AP209"/>
      <c r="AQ209"/>
      <c r="AR209"/>
      <c r="AS209"/>
      <c r="AT209"/>
      <c r="AU209"/>
      <c r="AV209"/>
      <c r="AW209"/>
      <c r="AX209"/>
      <c r="AY209"/>
      <c r="AZ209"/>
      <c r="BA209"/>
      <c r="BB209"/>
      <c r="BC209"/>
      <c r="BD209"/>
      <c r="BE209"/>
      <c r="BF209"/>
    </row>
    <row r="210" spans="13:58" ht="12" hidden="1" customHeight="1">
      <c r="M210" s="820"/>
      <c r="N210" s="239"/>
      <c r="O210" s="225"/>
      <c r="P210" s="260"/>
      <c r="Q210" s="258"/>
      <c r="R210" s="260"/>
      <c r="S210" s="260"/>
      <c r="T210" s="260"/>
      <c r="U210" s="260"/>
      <c r="V210" s="260"/>
      <c r="W210" s="260"/>
      <c r="X210" s="260"/>
      <c r="Y210" s="260"/>
      <c r="Z210" s="260"/>
      <c r="AA210" s="260"/>
      <c r="AB210" s="260"/>
      <c r="AC210" s="260"/>
      <c r="AD210" s="260"/>
      <c r="AE210" s="260"/>
      <c r="AF210" s="260"/>
      <c r="AG210" s="258"/>
      <c r="AO210"/>
      <c r="AP210"/>
      <c r="AQ210"/>
      <c r="AR210"/>
      <c r="AS210"/>
      <c r="AT210"/>
      <c r="AU210"/>
      <c r="AV210"/>
      <c r="AW210"/>
      <c r="AX210"/>
      <c r="AY210"/>
      <c r="AZ210"/>
      <c r="BA210"/>
      <c r="BB210"/>
      <c r="BC210"/>
      <c r="BD210"/>
      <c r="BE210"/>
      <c r="BF210"/>
    </row>
    <row r="211" spans="13:58" ht="12" hidden="1" customHeight="1">
      <c r="M211" s="820"/>
      <c r="N211" s="239"/>
      <c r="O211" s="225"/>
      <c r="P211" s="260"/>
      <c r="Q211" s="258"/>
      <c r="R211" s="260"/>
      <c r="S211" s="260"/>
      <c r="T211" s="260"/>
      <c r="U211" s="260"/>
      <c r="V211" s="260"/>
      <c r="W211" s="260"/>
      <c r="X211" s="260"/>
      <c r="Y211" s="260"/>
      <c r="Z211" s="260"/>
      <c r="AA211" s="260"/>
      <c r="AB211" s="260"/>
      <c r="AC211" s="260"/>
      <c r="AD211" s="260"/>
      <c r="AE211" s="260"/>
      <c r="AF211" s="260"/>
      <c r="AG211" s="258"/>
      <c r="AO211"/>
      <c r="AP211"/>
      <c r="AQ211"/>
      <c r="AR211"/>
      <c r="AS211"/>
      <c r="AT211"/>
      <c r="AU211"/>
      <c r="AV211"/>
      <c r="AW211"/>
      <c r="AX211"/>
      <c r="AY211"/>
      <c r="AZ211"/>
      <c r="BA211"/>
      <c r="BB211"/>
      <c r="BC211"/>
      <c r="BD211"/>
      <c r="BE211"/>
      <c r="BF211"/>
    </row>
    <row r="212" spans="13:58" ht="12" hidden="1" customHeight="1">
      <c r="M212" s="820"/>
      <c r="N212" s="239"/>
      <c r="O212" s="225"/>
      <c r="P212" s="260"/>
      <c r="Q212" s="258"/>
      <c r="R212" s="260"/>
      <c r="S212" s="260"/>
      <c r="T212" s="260"/>
      <c r="U212" s="260"/>
      <c r="V212" s="260"/>
      <c r="W212" s="260"/>
      <c r="X212" s="260"/>
      <c r="Y212" s="260"/>
      <c r="Z212" s="260"/>
      <c r="AA212" s="260"/>
      <c r="AB212" s="260"/>
      <c r="AC212" s="260"/>
      <c r="AD212" s="260"/>
      <c r="AE212" s="260"/>
      <c r="AF212" s="260"/>
      <c r="AG212" s="258"/>
      <c r="AO212"/>
      <c r="AP212"/>
      <c r="AQ212"/>
      <c r="AR212"/>
      <c r="AS212"/>
      <c r="AT212"/>
      <c r="AU212"/>
      <c r="AV212"/>
      <c r="AW212"/>
      <c r="AX212"/>
      <c r="AY212"/>
      <c r="AZ212"/>
      <c r="BA212"/>
      <c r="BB212"/>
      <c r="BC212"/>
      <c r="BD212"/>
      <c r="BE212"/>
      <c r="BF212"/>
    </row>
    <row r="213" spans="13:58" ht="12" hidden="1" customHeight="1">
      <c r="M213" s="820"/>
      <c r="N213" s="239"/>
      <c r="O213" s="225"/>
      <c r="P213" s="260"/>
      <c r="Q213" s="258"/>
      <c r="R213" s="260"/>
      <c r="S213" s="260"/>
      <c r="T213" s="260"/>
      <c r="U213" s="260"/>
      <c r="V213" s="260"/>
      <c r="W213" s="260"/>
      <c r="X213" s="260"/>
      <c r="Y213" s="260"/>
      <c r="Z213" s="260"/>
      <c r="AA213" s="260"/>
      <c r="AB213" s="260"/>
      <c r="AC213" s="260"/>
      <c r="AD213" s="260"/>
      <c r="AE213" s="260"/>
      <c r="AF213" s="260"/>
      <c r="AG213" s="258"/>
      <c r="AO213"/>
      <c r="AP213"/>
      <c r="AQ213"/>
      <c r="AR213"/>
      <c r="AS213"/>
      <c r="AT213"/>
      <c r="AU213"/>
      <c r="AV213"/>
      <c r="AW213"/>
      <c r="AX213"/>
      <c r="AY213"/>
      <c r="AZ213"/>
      <c r="BA213"/>
      <c r="BB213"/>
      <c r="BC213"/>
      <c r="BD213"/>
      <c r="BE213"/>
      <c r="BF213"/>
    </row>
    <row r="214" spans="13:58" ht="12" hidden="1" customHeight="1">
      <c r="M214" s="820"/>
      <c r="N214" s="239"/>
      <c r="O214" s="225"/>
      <c r="P214" s="260"/>
      <c r="Q214" s="258"/>
      <c r="R214" s="260"/>
      <c r="S214" s="260"/>
      <c r="T214" s="260"/>
      <c r="U214" s="260"/>
      <c r="V214" s="260"/>
      <c r="W214" s="260"/>
      <c r="X214" s="260"/>
      <c r="Y214" s="260"/>
      <c r="Z214" s="260"/>
      <c r="AA214" s="260"/>
      <c r="AB214" s="260"/>
      <c r="AC214" s="260"/>
      <c r="AD214" s="260"/>
      <c r="AE214" s="260"/>
      <c r="AF214" s="260"/>
      <c r="AG214" s="258"/>
      <c r="AO214"/>
      <c r="AP214"/>
      <c r="AQ214"/>
      <c r="AR214"/>
      <c r="AS214"/>
      <c r="AT214"/>
      <c r="AU214"/>
      <c r="AV214"/>
      <c r="AW214"/>
      <c r="AX214"/>
      <c r="AY214"/>
      <c r="AZ214"/>
      <c r="BA214"/>
      <c r="BB214"/>
      <c r="BC214"/>
      <c r="BD214"/>
      <c r="BE214"/>
      <c r="BF214"/>
    </row>
    <row r="215" spans="13:58" ht="12" hidden="1" customHeight="1">
      <c r="M215" s="820"/>
      <c r="N215" s="239"/>
      <c r="O215" s="225"/>
      <c r="P215" s="260"/>
      <c r="Q215" s="258"/>
      <c r="R215" s="260"/>
      <c r="S215" s="260"/>
      <c r="T215" s="260"/>
      <c r="U215" s="260"/>
      <c r="V215" s="260"/>
      <c r="W215" s="260"/>
      <c r="X215" s="260"/>
      <c r="Y215" s="260"/>
      <c r="Z215" s="260"/>
      <c r="AA215" s="260"/>
      <c r="AB215" s="260"/>
      <c r="AC215" s="260"/>
      <c r="AD215" s="260"/>
      <c r="AE215" s="260"/>
      <c r="AF215" s="260"/>
      <c r="AG215" s="258"/>
      <c r="AO215"/>
      <c r="AP215"/>
      <c r="AQ215"/>
      <c r="AR215"/>
      <c r="AS215"/>
      <c r="AT215"/>
      <c r="AU215"/>
      <c r="AV215"/>
      <c r="AW215"/>
      <c r="AX215"/>
      <c r="AY215"/>
      <c r="AZ215"/>
      <c r="BA215"/>
      <c r="BB215"/>
      <c r="BC215"/>
      <c r="BD215"/>
      <c r="BE215"/>
      <c r="BF215"/>
    </row>
    <row r="216" spans="13:58" ht="12" hidden="1" customHeight="1">
      <c r="M216" s="820"/>
      <c r="N216" s="239"/>
      <c r="O216" s="225"/>
      <c r="P216" s="260"/>
      <c r="Q216" s="258"/>
      <c r="R216" s="260"/>
      <c r="S216" s="260"/>
      <c r="T216" s="260"/>
      <c r="U216" s="260"/>
      <c r="V216" s="260"/>
      <c r="W216" s="260"/>
      <c r="X216" s="260"/>
      <c r="Y216" s="260"/>
      <c r="Z216" s="260"/>
      <c r="AA216" s="260"/>
      <c r="AB216" s="260"/>
      <c r="AC216" s="260"/>
      <c r="AD216" s="260"/>
      <c r="AE216" s="260"/>
      <c r="AF216" s="260"/>
      <c r="AG216" s="258"/>
      <c r="AO216"/>
      <c r="AP216"/>
      <c r="AQ216"/>
      <c r="AR216"/>
      <c r="AS216"/>
      <c r="AT216"/>
      <c r="AU216"/>
      <c r="AV216"/>
      <c r="AW216"/>
      <c r="AX216"/>
      <c r="AY216"/>
      <c r="AZ216"/>
      <c r="BA216"/>
      <c r="BB216"/>
      <c r="BC216"/>
      <c r="BD216"/>
      <c r="BE216"/>
      <c r="BF216"/>
    </row>
    <row r="217" spans="13:58" ht="12" hidden="1" customHeight="1">
      <c r="M217" s="820"/>
      <c r="N217" s="239"/>
      <c r="O217" s="225"/>
      <c r="P217" s="260"/>
      <c r="Q217" s="258"/>
      <c r="R217" s="260"/>
      <c r="S217" s="260"/>
      <c r="T217" s="260"/>
      <c r="U217" s="260"/>
      <c r="V217" s="260"/>
      <c r="W217" s="260"/>
      <c r="X217" s="260"/>
      <c r="Y217" s="260"/>
      <c r="Z217" s="260"/>
      <c r="AA217" s="260"/>
      <c r="AB217" s="260"/>
      <c r="AC217" s="260"/>
      <c r="AD217" s="260"/>
      <c r="AE217" s="260"/>
      <c r="AF217" s="260"/>
      <c r="AG217" s="258"/>
      <c r="AO217"/>
      <c r="AP217"/>
      <c r="AQ217"/>
      <c r="AR217"/>
      <c r="AS217"/>
      <c r="AT217"/>
      <c r="AU217"/>
      <c r="AV217"/>
      <c r="AW217"/>
      <c r="AX217"/>
      <c r="AY217"/>
      <c r="AZ217"/>
      <c r="BA217"/>
      <c r="BB217"/>
      <c r="BC217"/>
      <c r="BD217"/>
      <c r="BE217"/>
      <c r="BF217"/>
    </row>
    <row r="218" spans="13:58" ht="12" hidden="1" customHeight="1">
      <c r="M218" s="820"/>
      <c r="N218" s="239"/>
      <c r="O218" s="225"/>
      <c r="P218" s="260"/>
      <c r="Q218" s="258"/>
      <c r="R218" s="260"/>
      <c r="S218" s="260"/>
      <c r="T218" s="260"/>
      <c r="U218" s="260"/>
      <c r="V218" s="260"/>
      <c r="W218" s="260"/>
      <c r="X218" s="260"/>
      <c r="Y218" s="260"/>
      <c r="Z218" s="260"/>
      <c r="AA218" s="260"/>
      <c r="AB218" s="260"/>
      <c r="AC218" s="260"/>
      <c r="AD218" s="260"/>
      <c r="AE218" s="260"/>
      <c r="AF218" s="260"/>
      <c r="AG218" s="258"/>
      <c r="AO218"/>
      <c r="AP218"/>
      <c r="AQ218"/>
      <c r="AR218"/>
      <c r="AS218"/>
      <c r="AT218"/>
      <c r="AU218"/>
      <c r="AV218"/>
      <c r="AW218"/>
      <c r="AX218"/>
      <c r="AY218"/>
      <c r="AZ218"/>
      <c r="BA218"/>
      <c r="BB218"/>
      <c r="BC218"/>
      <c r="BD218"/>
      <c r="BE218"/>
      <c r="BF218"/>
    </row>
    <row r="219" spans="13:58" ht="12" hidden="1" customHeight="1">
      <c r="M219" s="820"/>
      <c r="N219" s="239"/>
      <c r="O219" s="225"/>
      <c r="P219" s="260"/>
      <c r="Q219" s="258"/>
      <c r="R219" s="260"/>
      <c r="S219" s="260"/>
      <c r="T219" s="260"/>
      <c r="U219" s="260"/>
      <c r="V219" s="260"/>
      <c r="W219" s="260"/>
      <c r="X219" s="260"/>
      <c r="Y219" s="260"/>
      <c r="Z219" s="260"/>
      <c r="AA219" s="260"/>
      <c r="AB219" s="260"/>
      <c r="AC219" s="260"/>
      <c r="AD219" s="260"/>
      <c r="AE219" s="260"/>
      <c r="AF219" s="260"/>
      <c r="AG219" s="258"/>
      <c r="AO219"/>
      <c r="AP219"/>
      <c r="AQ219"/>
      <c r="AR219"/>
      <c r="AS219"/>
      <c r="AT219"/>
      <c r="AU219"/>
      <c r="AV219"/>
      <c r="AW219"/>
      <c r="AX219"/>
      <c r="AY219"/>
      <c r="AZ219"/>
      <c r="BA219"/>
      <c r="BB219"/>
      <c r="BC219"/>
      <c r="BD219"/>
      <c r="BE219"/>
      <c r="BF219"/>
    </row>
    <row r="220" spans="13:58" ht="12" hidden="1" customHeight="1">
      <c r="M220" s="820"/>
      <c r="N220" s="239"/>
      <c r="O220" s="225"/>
      <c r="P220" s="260"/>
      <c r="Q220" s="258"/>
      <c r="R220" s="260"/>
      <c r="S220" s="260"/>
      <c r="T220" s="260"/>
      <c r="U220" s="260"/>
      <c r="V220" s="260"/>
      <c r="W220" s="260"/>
      <c r="X220" s="260"/>
      <c r="Y220" s="260"/>
      <c r="Z220" s="260"/>
      <c r="AA220" s="260"/>
      <c r="AB220" s="260"/>
      <c r="AC220" s="260"/>
      <c r="AD220" s="260"/>
      <c r="AE220" s="260"/>
      <c r="AF220" s="260"/>
      <c r="AG220" s="258"/>
      <c r="AO220"/>
      <c r="AP220"/>
      <c r="AQ220"/>
      <c r="AR220"/>
      <c r="AS220"/>
      <c r="AT220"/>
      <c r="AU220"/>
      <c r="AV220"/>
      <c r="AW220"/>
      <c r="AX220"/>
      <c r="AY220"/>
      <c r="AZ220"/>
      <c r="BA220"/>
      <c r="BB220"/>
      <c r="BC220"/>
      <c r="BD220"/>
      <c r="BE220"/>
      <c r="BF220"/>
    </row>
    <row r="221" spans="13:58" ht="12" hidden="1" customHeight="1">
      <c r="M221" s="820"/>
      <c r="N221" s="239"/>
      <c r="O221" s="225"/>
      <c r="P221" s="260"/>
      <c r="Q221" s="258"/>
      <c r="R221" s="260"/>
      <c r="S221" s="260"/>
      <c r="T221" s="260"/>
      <c r="U221" s="260"/>
      <c r="V221" s="260"/>
      <c r="W221" s="260"/>
      <c r="X221" s="260"/>
      <c r="Y221" s="260"/>
      <c r="Z221" s="260"/>
      <c r="AA221" s="260"/>
      <c r="AB221" s="260"/>
      <c r="AC221" s="260"/>
      <c r="AD221" s="260"/>
      <c r="AE221" s="260"/>
      <c r="AF221" s="260"/>
      <c r="AG221" s="258"/>
      <c r="AO221"/>
      <c r="AP221"/>
      <c r="AQ221"/>
      <c r="AR221"/>
      <c r="AS221"/>
      <c r="AT221"/>
      <c r="AU221"/>
      <c r="AV221"/>
      <c r="AW221"/>
      <c r="AX221"/>
      <c r="AY221"/>
      <c r="AZ221"/>
      <c r="BA221"/>
      <c r="BB221"/>
      <c r="BC221"/>
      <c r="BD221"/>
      <c r="BE221"/>
      <c r="BF221"/>
    </row>
    <row r="222" spans="13:58" ht="12" hidden="1" customHeight="1">
      <c r="M222" s="820"/>
      <c r="N222" s="239"/>
      <c r="O222" s="225"/>
      <c r="P222" s="260"/>
      <c r="Q222" s="258"/>
      <c r="R222" s="260"/>
      <c r="S222" s="260"/>
      <c r="T222" s="260"/>
      <c r="U222" s="260"/>
      <c r="V222" s="260"/>
      <c r="W222" s="260"/>
      <c r="X222" s="260"/>
      <c r="Y222" s="260"/>
      <c r="Z222" s="260"/>
      <c r="AA222" s="260"/>
      <c r="AB222" s="260"/>
      <c r="AC222" s="260"/>
      <c r="AD222" s="260"/>
      <c r="AE222" s="260"/>
      <c r="AF222" s="260"/>
      <c r="AG222" s="258"/>
      <c r="AO222"/>
      <c r="AP222"/>
      <c r="AQ222"/>
      <c r="AR222"/>
      <c r="AS222"/>
      <c r="AT222"/>
      <c r="AU222"/>
      <c r="AV222"/>
      <c r="AW222"/>
      <c r="AX222"/>
      <c r="AY222"/>
      <c r="AZ222"/>
      <c r="BA222"/>
      <c r="BB222"/>
      <c r="BC222"/>
      <c r="BD222"/>
      <c r="BE222"/>
      <c r="BF222"/>
    </row>
    <row r="223" spans="13:58" ht="12" hidden="1" customHeight="1">
      <c r="M223" s="820"/>
      <c r="N223" s="239"/>
      <c r="O223" s="225"/>
      <c r="P223" s="260"/>
      <c r="Q223" s="258"/>
      <c r="R223" s="260"/>
      <c r="S223" s="260"/>
      <c r="T223" s="260"/>
      <c r="U223" s="260"/>
      <c r="V223" s="260"/>
      <c r="W223" s="260"/>
      <c r="X223" s="260"/>
      <c r="Y223" s="260"/>
      <c r="Z223" s="260"/>
      <c r="AA223" s="260"/>
      <c r="AB223" s="260"/>
      <c r="AC223" s="260"/>
      <c r="AD223" s="260"/>
      <c r="AE223" s="260"/>
      <c r="AF223" s="260"/>
      <c r="AG223" s="258"/>
      <c r="AO223"/>
      <c r="AP223"/>
      <c r="AQ223"/>
      <c r="AR223"/>
      <c r="AS223"/>
      <c r="AT223"/>
      <c r="AU223"/>
      <c r="AV223"/>
      <c r="AW223"/>
      <c r="AX223"/>
      <c r="AY223"/>
      <c r="AZ223"/>
      <c r="BA223"/>
      <c r="BB223"/>
      <c r="BC223"/>
      <c r="BD223"/>
      <c r="BE223"/>
      <c r="BF223"/>
    </row>
    <row r="224" spans="13:58" ht="12" hidden="1" customHeight="1">
      <c r="M224" s="820"/>
      <c r="N224" s="239"/>
      <c r="O224" s="225"/>
      <c r="P224" s="260"/>
      <c r="Q224" s="258"/>
      <c r="R224" s="260"/>
      <c r="S224" s="260"/>
      <c r="T224" s="260"/>
      <c r="U224" s="260"/>
      <c r="V224" s="260"/>
      <c r="W224" s="260"/>
      <c r="X224" s="260"/>
      <c r="Y224" s="260"/>
      <c r="Z224" s="260"/>
      <c r="AA224" s="260"/>
      <c r="AB224" s="260"/>
      <c r="AC224" s="260"/>
      <c r="AD224" s="260"/>
      <c r="AE224" s="260"/>
      <c r="AF224" s="260"/>
      <c r="AG224" s="258"/>
      <c r="AO224"/>
      <c r="AP224"/>
      <c r="AQ224"/>
      <c r="AR224"/>
      <c r="AS224"/>
      <c r="AT224"/>
      <c r="AU224"/>
      <c r="AV224"/>
      <c r="AW224"/>
      <c r="AX224"/>
      <c r="AY224"/>
      <c r="AZ224"/>
      <c r="BA224"/>
      <c r="BB224"/>
      <c r="BC224"/>
      <c r="BD224"/>
      <c r="BE224"/>
      <c r="BF224"/>
    </row>
    <row r="225" spans="13:58" ht="12" hidden="1" customHeight="1">
      <c r="M225" s="820"/>
      <c r="N225" s="239"/>
      <c r="O225" s="225"/>
      <c r="P225" s="260"/>
      <c r="Q225" s="258"/>
      <c r="R225" s="260"/>
      <c r="S225" s="260"/>
      <c r="T225" s="260"/>
      <c r="U225" s="260"/>
      <c r="V225" s="260"/>
      <c r="W225" s="260"/>
      <c r="X225" s="260"/>
      <c r="Y225" s="260"/>
      <c r="Z225" s="260"/>
      <c r="AA225" s="260"/>
      <c r="AB225" s="260"/>
      <c r="AC225" s="260"/>
      <c r="AD225" s="260"/>
      <c r="AE225" s="260"/>
      <c r="AF225" s="260"/>
      <c r="AG225" s="258"/>
      <c r="AO225"/>
      <c r="AP225"/>
      <c r="AQ225"/>
      <c r="AR225"/>
      <c r="AS225"/>
      <c r="AT225"/>
      <c r="AU225"/>
      <c r="AV225"/>
      <c r="AW225"/>
      <c r="AX225"/>
      <c r="AY225"/>
      <c r="AZ225"/>
      <c r="BA225"/>
      <c r="BB225"/>
      <c r="BC225"/>
      <c r="BD225"/>
      <c r="BE225"/>
      <c r="BF225"/>
    </row>
    <row r="226" spans="13:58" ht="12" hidden="1" customHeight="1">
      <c r="M226" s="820"/>
      <c r="N226" s="239"/>
      <c r="O226" s="225"/>
      <c r="P226" s="260"/>
      <c r="Q226" s="258"/>
      <c r="R226" s="260"/>
      <c r="S226" s="260"/>
      <c r="T226" s="260"/>
      <c r="U226" s="260"/>
      <c r="V226" s="260"/>
      <c r="W226" s="260"/>
      <c r="X226" s="260"/>
      <c r="Y226" s="260"/>
      <c r="Z226" s="260"/>
      <c r="AA226" s="260"/>
      <c r="AB226" s="260"/>
      <c r="AC226" s="260"/>
      <c r="AD226" s="260"/>
      <c r="AE226" s="260"/>
      <c r="AF226" s="260"/>
      <c r="AG226" s="258"/>
      <c r="AO226"/>
      <c r="AP226"/>
      <c r="AQ226"/>
      <c r="AR226"/>
      <c r="AS226"/>
      <c r="AT226"/>
      <c r="AU226"/>
      <c r="AV226"/>
      <c r="AW226"/>
      <c r="AX226"/>
      <c r="AY226"/>
      <c r="AZ226"/>
      <c r="BA226"/>
      <c r="BB226"/>
      <c r="BC226"/>
      <c r="BD226"/>
      <c r="BE226"/>
      <c r="BF226"/>
    </row>
    <row r="227" spans="13:58" ht="12" hidden="1" customHeight="1">
      <c r="M227" s="820"/>
      <c r="N227" s="239"/>
      <c r="O227" s="225"/>
      <c r="P227" s="260"/>
      <c r="Q227" s="258"/>
      <c r="R227" s="260"/>
      <c r="S227" s="260"/>
      <c r="T227" s="260"/>
      <c r="U227" s="260"/>
      <c r="V227" s="260"/>
      <c r="W227" s="260"/>
      <c r="X227" s="260"/>
      <c r="Y227" s="260"/>
      <c r="Z227" s="260"/>
      <c r="AA227" s="260"/>
      <c r="AB227" s="260"/>
      <c r="AC227" s="260"/>
      <c r="AD227" s="260"/>
      <c r="AE227" s="260"/>
      <c r="AF227" s="260"/>
      <c r="AG227" s="258"/>
      <c r="AO227"/>
      <c r="AP227"/>
      <c r="AQ227"/>
      <c r="AR227"/>
      <c r="AS227"/>
      <c r="AT227"/>
      <c r="AU227"/>
      <c r="AV227"/>
      <c r="AW227"/>
      <c r="AX227"/>
      <c r="AY227"/>
      <c r="AZ227"/>
      <c r="BA227"/>
      <c r="BB227"/>
      <c r="BC227"/>
      <c r="BD227"/>
      <c r="BE227"/>
      <c r="BF227"/>
    </row>
    <row r="228" spans="13:58" ht="12" hidden="1" customHeight="1">
      <c r="M228" s="820"/>
      <c r="N228" s="239"/>
      <c r="O228" s="225"/>
      <c r="P228" s="260"/>
      <c r="Q228" s="258"/>
      <c r="R228" s="260"/>
      <c r="S228" s="260"/>
      <c r="T228" s="260"/>
      <c r="U228" s="260"/>
      <c r="V228" s="260"/>
      <c r="W228" s="260"/>
      <c r="X228" s="260"/>
      <c r="Y228" s="260"/>
      <c r="Z228" s="260"/>
      <c r="AA228" s="260"/>
      <c r="AB228" s="260"/>
      <c r="AC228" s="260"/>
      <c r="AD228" s="260"/>
      <c r="AE228" s="260"/>
      <c r="AF228" s="260"/>
      <c r="AG228" s="258"/>
      <c r="AO228"/>
      <c r="AP228"/>
      <c r="AQ228"/>
      <c r="AR228"/>
      <c r="AS228"/>
      <c r="AT228"/>
      <c r="AU228"/>
      <c r="AV228"/>
      <c r="AW228"/>
      <c r="AX228"/>
      <c r="AY228"/>
      <c r="AZ228"/>
      <c r="BA228"/>
      <c r="BB228"/>
      <c r="BC228"/>
      <c r="BD228"/>
      <c r="BE228"/>
      <c r="BF228"/>
    </row>
    <row r="229" spans="13:58" ht="12" hidden="1" customHeight="1">
      <c r="M229" s="820"/>
      <c r="N229" s="239"/>
      <c r="O229" s="225"/>
      <c r="P229" s="260"/>
      <c r="Q229" s="258"/>
      <c r="R229" s="260"/>
      <c r="S229" s="260"/>
      <c r="T229" s="260"/>
      <c r="U229" s="260"/>
      <c r="V229" s="260"/>
      <c r="W229" s="260"/>
      <c r="X229" s="260"/>
      <c r="Y229" s="260"/>
      <c r="Z229" s="260"/>
      <c r="AA229" s="260"/>
      <c r="AB229" s="260"/>
      <c r="AC229" s="260"/>
      <c r="AD229" s="260"/>
      <c r="AE229" s="260"/>
      <c r="AF229" s="260"/>
      <c r="AG229" s="258"/>
      <c r="AO229"/>
      <c r="AP229"/>
      <c r="AQ229"/>
      <c r="AR229"/>
      <c r="AS229"/>
      <c r="AT229"/>
      <c r="AU229"/>
      <c r="AV229"/>
      <c r="AW229"/>
      <c r="AX229"/>
      <c r="AY229"/>
      <c r="AZ229"/>
      <c r="BA229"/>
      <c r="BB229"/>
      <c r="BC229"/>
      <c r="BD229"/>
      <c r="BE229"/>
      <c r="BF229"/>
    </row>
    <row r="230" spans="13:58" ht="12" hidden="1" customHeight="1">
      <c r="M230" s="820"/>
      <c r="N230" s="239"/>
      <c r="O230" s="225"/>
      <c r="P230" s="260"/>
      <c r="Q230" s="258"/>
      <c r="R230" s="260"/>
      <c r="S230" s="260"/>
      <c r="T230" s="260"/>
      <c r="U230" s="260"/>
      <c r="V230" s="260"/>
      <c r="W230" s="260"/>
      <c r="X230" s="260"/>
      <c r="Y230" s="260"/>
      <c r="Z230" s="260"/>
      <c r="AA230" s="260"/>
      <c r="AB230" s="260"/>
      <c r="AC230" s="260"/>
      <c r="AD230" s="260"/>
      <c r="AE230" s="260"/>
      <c r="AF230" s="260"/>
      <c r="AG230" s="258"/>
      <c r="AO230"/>
      <c r="AP230"/>
      <c r="AQ230"/>
      <c r="AR230"/>
      <c r="AS230"/>
      <c r="AT230"/>
      <c r="AU230"/>
      <c r="AV230"/>
      <c r="AW230"/>
      <c r="AX230"/>
      <c r="AY230"/>
      <c r="AZ230"/>
      <c r="BA230"/>
      <c r="BB230"/>
      <c r="BC230"/>
      <c r="BD230"/>
      <c r="BE230"/>
      <c r="BF230"/>
    </row>
    <row r="231" spans="13:58" ht="12" hidden="1" customHeight="1">
      <c r="M231" s="820"/>
      <c r="N231" s="239"/>
      <c r="O231" s="225"/>
      <c r="P231" s="260"/>
      <c r="Q231" s="258"/>
      <c r="R231" s="260"/>
      <c r="S231" s="260"/>
      <c r="T231" s="260"/>
      <c r="U231" s="260"/>
      <c r="V231" s="260"/>
      <c r="W231" s="260"/>
      <c r="X231" s="260"/>
      <c r="Y231" s="260"/>
      <c r="Z231" s="260"/>
      <c r="AA231" s="260"/>
      <c r="AB231" s="260"/>
      <c r="AC231" s="260"/>
      <c r="AD231" s="260"/>
      <c r="AE231" s="260"/>
      <c r="AF231" s="260"/>
      <c r="AG231" s="258"/>
      <c r="AO231"/>
      <c r="AP231"/>
      <c r="AQ231"/>
      <c r="AR231"/>
      <c r="AS231"/>
      <c r="AT231"/>
      <c r="AU231"/>
      <c r="AV231"/>
      <c r="AW231"/>
      <c r="AX231"/>
      <c r="AY231"/>
      <c r="AZ231"/>
      <c r="BA231"/>
      <c r="BB231"/>
      <c r="BC231"/>
      <c r="BD231"/>
      <c r="BE231"/>
      <c r="BF231"/>
    </row>
    <row r="232" spans="13:58" ht="12" hidden="1" customHeight="1">
      <c r="M232" s="820"/>
      <c r="N232" s="239"/>
      <c r="O232" s="225"/>
      <c r="P232" s="260"/>
      <c r="Q232" s="258"/>
      <c r="R232" s="260"/>
      <c r="S232" s="260"/>
      <c r="T232" s="260"/>
      <c r="U232" s="260"/>
      <c r="V232" s="260"/>
      <c r="W232" s="260"/>
      <c r="X232" s="260"/>
      <c r="Y232" s="260"/>
      <c r="Z232" s="260"/>
      <c r="AA232" s="260"/>
      <c r="AB232" s="260"/>
      <c r="AC232" s="260"/>
      <c r="AD232" s="260"/>
      <c r="AE232" s="260"/>
      <c r="AF232" s="260"/>
      <c r="AG232" s="258"/>
      <c r="AO232"/>
      <c r="AP232"/>
      <c r="AQ232"/>
      <c r="AR232"/>
      <c r="AS232"/>
      <c r="AT232"/>
      <c r="AU232"/>
      <c r="AV232"/>
      <c r="AW232"/>
      <c r="AX232"/>
      <c r="AY232"/>
      <c r="AZ232"/>
      <c r="BA232"/>
      <c r="BB232"/>
      <c r="BC232"/>
      <c r="BD232"/>
      <c r="BE232"/>
      <c r="BF232"/>
    </row>
    <row r="233" spans="13:58" ht="12" hidden="1" customHeight="1">
      <c r="M233" s="820"/>
      <c r="N233" s="239"/>
      <c r="O233" s="225"/>
      <c r="P233" s="260"/>
      <c r="Q233" s="258"/>
      <c r="R233" s="260"/>
      <c r="S233" s="260"/>
      <c r="T233" s="260"/>
      <c r="U233" s="260"/>
      <c r="V233" s="260"/>
      <c r="W233" s="260"/>
      <c r="X233" s="260"/>
      <c r="Y233" s="260"/>
      <c r="Z233" s="260"/>
      <c r="AA233" s="260"/>
      <c r="AB233" s="260"/>
      <c r="AC233" s="260"/>
      <c r="AD233" s="260"/>
      <c r="AE233" s="260"/>
      <c r="AF233" s="260"/>
      <c r="AG233" s="258"/>
      <c r="AO233"/>
      <c r="AP233"/>
      <c r="AQ233"/>
      <c r="AR233"/>
      <c r="AS233"/>
      <c r="AT233"/>
      <c r="AU233"/>
      <c r="AV233"/>
      <c r="AW233"/>
      <c r="AX233"/>
      <c r="AY233"/>
      <c r="AZ233"/>
      <c r="BA233"/>
      <c r="BB233"/>
      <c r="BC233"/>
      <c r="BD233"/>
      <c r="BE233"/>
      <c r="BF233"/>
    </row>
    <row r="234" spans="13:58" ht="12" hidden="1" customHeight="1">
      <c r="M234" s="820"/>
      <c r="N234" s="239"/>
      <c r="O234" s="225"/>
      <c r="P234" s="260"/>
      <c r="Q234" s="258"/>
      <c r="R234" s="260"/>
      <c r="S234" s="260"/>
      <c r="T234" s="260"/>
      <c r="U234" s="260"/>
      <c r="V234" s="260"/>
      <c r="W234" s="260"/>
      <c r="X234" s="260"/>
      <c r="Y234" s="260"/>
      <c r="Z234" s="260"/>
      <c r="AA234" s="260"/>
      <c r="AB234" s="260"/>
      <c r="AC234" s="260"/>
      <c r="AD234" s="260"/>
      <c r="AE234" s="260"/>
      <c r="AF234" s="260"/>
      <c r="AG234" s="258"/>
      <c r="AO234"/>
      <c r="AP234"/>
      <c r="AQ234"/>
      <c r="AR234"/>
      <c r="AS234"/>
      <c r="AT234"/>
      <c r="AU234"/>
      <c r="AV234"/>
      <c r="AW234"/>
      <c r="AX234"/>
      <c r="AY234"/>
      <c r="AZ234"/>
      <c r="BA234"/>
      <c r="BB234"/>
      <c r="BC234"/>
      <c r="BD234"/>
      <c r="BE234"/>
      <c r="BF234"/>
    </row>
    <row r="235" spans="13:58" ht="12" hidden="1" customHeight="1">
      <c r="M235" s="820"/>
      <c r="N235" s="239"/>
      <c r="O235" s="225"/>
      <c r="P235" s="260"/>
      <c r="Q235" s="258"/>
      <c r="R235" s="260"/>
      <c r="S235" s="260"/>
      <c r="T235" s="260"/>
      <c r="U235" s="260"/>
      <c r="V235" s="260"/>
      <c r="W235" s="260"/>
      <c r="X235" s="260"/>
      <c r="Y235" s="260"/>
      <c r="Z235" s="260"/>
      <c r="AA235" s="260"/>
      <c r="AB235" s="260"/>
      <c r="AC235" s="260"/>
      <c r="AD235" s="260"/>
      <c r="AE235" s="260"/>
      <c r="AF235" s="260"/>
      <c r="AG235" s="258"/>
      <c r="AO235"/>
      <c r="AP235"/>
      <c r="AQ235"/>
      <c r="AR235"/>
      <c r="AS235"/>
      <c r="AT235"/>
      <c r="AU235"/>
      <c r="AV235"/>
      <c r="AW235"/>
      <c r="AX235"/>
      <c r="AY235"/>
      <c r="AZ235"/>
      <c r="BA235"/>
      <c r="BB235"/>
      <c r="BC235"/>
      <c r="BD235"/>
      <c r="BE235"/>
      <c r="BF235"/>
    </row>
    <row r="236" spans="13:58" ht="12" hidden="1" customHeight="1">
      <c r="M236" s="820"/>
      <c r="N236" s="239"/>
      <c r="O236" s="225"/>
      <c r="P236" s="260"/>
      <c r="Q236" s="258"/>
      <c r="R236" s="260"/>
      <c r="S236" s="260"/>
      <c r="T236" s="260"/>
      <c r="U236" s="260"/>
      <c r="V236" s="260"/>
      <c r="W236" s="260"/>
      <c r="X236" s="260"/>
      <c r="Y236" s="260"/>
      <c r="Z236" s="260"/>
      <c r="AA236" s="260"/>
      <c r="AB236" s="260"/>
      <c r="AC236" s="260"/>
      <c r="AD236" s="260"/>
      <c r="AE236" s="260"/>
      <c r="AF236" s="260"/>
      <c r="AG236" s="258"/>
      <c r="AO236"/>
      <c r="AP236"/>
      <c r="AQ236"/>
      <c r="AR236"/>
      <c r="AS236"/>
      <c r="AT236"/>
      <c r="AU236"/>
      <c r="AV236"/>
      <c r="AW236"/>
      <c r="AX236"/>
      <c r="AY236"/>
      <c r="AZ236"/>
      <c r="BA236"/>
      <c r="BB236"/>
      <c r="BC236"/>
      <c r="BD236"/>
      <c r="BE236"/>
      <c r="BF236"/>
    </row>
    <row r="237" spans="13:58" ht="12" hidden="1" customHeight="1">
      <c r="M237" s="820"/>
      <c r="N237" s="239"/>
      <c r="O237" s="225"/>
      <c r="P237" s="260"/>
      <c r="Q237" s="258"/>
      <c r="R237" s="260"/>
      <c r="S237" s="260"/>
      <c r="T237" s="260"/>
      <c r="U237" s="260"/>
      <c r="V237" s="260"/>
      <c r="W237" s="260"/>
      <c r="X237" s="260"/>
      <c r="Y237" s="260"/>
      <c r="Z237" s="260"/>
      <c r="AA237" s="260"/>
      <c r="AB237" s="260"/>
      <c r="AC237" s="260"/>
      <c r="AD237" s="260"/>
      <c r="AE237" s="260"/>
      <c r="AF237" s="260"/>
      <c r="AG237" s="258"/>
      <c r="AO237"/>
      <c r="AP237"/>
      <c r="AQ237"/>
      <c r="AR237"/>
      <c r="AS237"/>
      <c r="AT237"/>
      <c r="AU237"/>
      <c r="AV237"/>
      <c r="AW237"/>
      <c r="AX237"/>
      <c r="AY237"/>
      <c r="AZ237"/>
      <c r="BA237"/>
      <c r="BB237"/>
      <c r="BC237"/>
      <c r="BD237"/>
      <c r="BE237"/>
      <c r="BF237"/>
    </row>
    <row r="238" spans="13:58" ht="12" hidden="1" customHeight="1">
      <c r="M238" s="820"/>
      <c r="N238" s="239"/>
      <c r="O238" s="225"/>
      <c r="P238" s="260"/>
      <c r="Q238" s="258"/>
      <c r="R238" s="260"/>
      <c r="S238" s="260"/>
      <c r="T238" s="260"/>
      <c r="U238" s="260"/>
      <c r="V238" s="260"/>
      <c r="W238" s="260"/>
      <c r="X238" s="260"/>
      <c r="Y238" s="260"/>
      <c r="Z238" s="260"/>
      <c r="AA238" s="260"/>
      <c r="AB238" s="260"/>
      <c r="AC238" s="260"/>
      <c r="AD238" s="260"/>
      <c r="AE238" s="260"/>
      <c r="AF238" s="260"/>
      <c r="AG238" s="258"/>
      <c r="AO238"/>
      <c r="AP238"/>
      <c r="AQ238"/>
      <c r="AR238"/>
      <c r="AS238"/>
      <c r="AT238"/>
      <c r="AU238"/>
      <c r="AV238"/>
      <c r="AW238"/>
      <c r="AX238"/>
      <c r="AY238"/>
      <c r="AZ238"/>
      <c r="BA238"/>
      <c r="BB238"/>
      <c r="BC238"/>
      <c r="BD238"/>
      <c r="BE238"/>
      <c r="BF238"/>
    </row>
    <row r="239" spans="13:58" ht="12" hidden="1" customHeight="1">
      <c r="M239" s="820"/>
      <c r="N239" s="239"/>
      <c r="O239" s="225"/>
      <c r="P239" s="260"/>
      <c r="Q239" s="258"/>
      <c r="R239" s="260"/>
      <c r="S239" s="260"/>
      <c r="T239" s="260"/>
      <c r="U239" s="260"/>
      <c r="V239" s="260"/>
      <c r="W239" s="260"/>
      <c r="X239" s="260"/>
      <c r="Y239" s="260"/>
      <c r="Z239" s="260"/>
      <c r="AA239" s="260"/>
      <c r="AB239" s="260"/>
      <c r="AC239" s="260"/>
      <c r="AD239" s="260"/>
      <c r="AE239" s="260"/>
      <c r="AF239" s="260"/>
      <c r="AG239" s="258"/>
      <c r="AO239"/>
      <c r="AP239"/>
      <c r="AQ239"/>
      <c r="AR239"/>
      <c r="AS239"/>
      <c r="AT239"/>
      <c r="AU239"/>
      <c r="AV239"/>
      <c r="AW239"/>
      <c r="AX239"/>
      <c r="AY239"/>
      <c r="AZ239"/>
      <c r="BA239"/>
      <c r="BB239"/>
      <c r="BC239"/>
      <c r="BD239"/>
      <c r="BE239"/>
      <c r="BF239"/>
    </row>
    <row r="240" spans="13:58" ht="12" hidden="1" customHeight="1">
      <c r="M240" s="820"/>
      <c r="N240" s="239"/>
      <c r="O240" s="225"/>
      <c r="P240" s="260"/>
      <c r="Q240" s="258"/>
      <c r="R240" s="260"/>
      <c r="S240" s="260"/>
      <c r="T240" s="260"/>
      <c r="U240" s="260"/>
      <c r="V240" s="260"/>
      <c r="W240" s="260"/>
      <c r="X240" s="260"/>
      <c r="Y240" s="260"/>
      <c r="Z240" s="260"/>
      <c r="AA240" s="260"/>
      <c r="AB240" s="260"/>
      <c r="AC240" s="260"/>
      <c r="AD240" s="260"/>
      <c r="AE240" s="260"/>
      <c r="AF240" s="260"/>
      <c r="AG240" s="258"/>
      <c r="AO240"/>
      <c r="AP240"/>
      <c r="AQ240"/>
      <c r="AR240"/>
      <c r="AS240"/>
      <c r="AT240"/>
      <c r="AU240"/>
      <c r="AV240"/>
      <c r="AW240"/>
      <c r="AX240"/>
      <c r="AY240"/>
      <c r="AZ240"/>
      <c r="BA240"/>
      <c r="BB240"/>
      <c r="BC240"/>
      <c r="BD240"/>
      <c r="BE240"/>
      <c r="BF240"/>
    </row>
    <row r="241" spans="13:58" ht="12" hidden="1" customHeight="1">
      <c r="M241" s="820"/>
      <c r="N241" s="239"/>
      <c r="O241" s="225"/>
      <c r="P241" s="260"/>
      <c r="Q241" s="258"/>
      <c r="R241" s="260"/>
      <c r="S241" s="260"/>
      <c r="T241" s="260"/>
      <c r="U241" s="260"/>
      <c r="V241" s="260"/>
      <c r="W241" s="260"/>
      <c r="X241" s="260"/>
      <c r="Y241" s="260"/>
      <c r="Z241" s="260"/>
      <c r="AA241" s="260"/>
      <c r="AB241" s="260"/>
      <c r="AC241" s="260"/>
      <c r="AD241" s="260"/>
      <c r="AE241" s="260"/>
      <c r="AF241" s="260"/>
      <c r="AG241" s="258"/>
      <c r="AO241"/>
      <c r="AP241"/>
      <c r="AQ241"/>
      <c r="AR241"/>
      <c r="AS241"/>
      <c r="AT241"/>
      <c r="AU241"/>
      <c r="AV241"/>
      <c r="AW241"/>
      <c r="AX241"/>
      <c r="AY241"/>
      <c r="AZ241"/>
      <c r="BA241"/>
      <c r="BB241"/>
      <c r="BC241"/>
      <c r="BD241"/>
      <c r="BE241"/>
      <c r="BF241"/>
    </row>
    <row r="242" spans="13:58" ht="12" hidden="1" customHeight="1">
      <c r="M242" s="820"/>
      <c r="N242" s="239"/>
      <c r="O242" s="225"/>
      <c r="P242" s="260"/>
      <c r="Q242" s="258"/>
      <c r="R242" s="260"/>
      <c r="S242" s="260"/>
      <c r="T242" s="260"/>
      <c r="U242" s="260"/>
      <c r="V242" s="260"/>
      <c r="W242" s="260"/>
      <c r="X242" s="260"/>
      <c r="Y242" s="260"/>
      <c r="Z242" s="260"/>
      <c r="AA242" s="260"/>
      <c r="AB242" s="260"/>
      <c r="AC242" s="260"/>
      <c r="AD242" s="260"/>
      <c r="AE242" s="260"/>
      <c r="AF242" s="260"/>
      <c r="AG242" s="258"/>
      <c r="AO242"/>
      <c r="AP242"/>
      <c r="AQ242"/>
      <c r="AR242"/>
      <c r="AS242"/>
      <c r="AT242"/>
      <c r="AU242"/>
      <c r="AV242"/>
      <c r="AW242"/>
      <c r="AX242"/>
      <c r="AY242"/>
      <c r="AZ242"/>
      <c r="BA242"/>
      <c r="BB242"/>
      <c r="BC242"/>
      <c r="BD242"/>
      <c r="BE242"/>
      <c r="BF242"/>
    </row>
    <row r="243" spans="13:58" ht="12" hidden="1" customHeight="1">
      <c r="M243" s="820"/>
      <c r="N243" s="239"/>
      <c r="O243" s="225"/>
      <c r="P243" s="260"/>
      <c r="Q243" s="258"/>
      <c r="R243" s="260"/>
      <c r="S243" s="260"/>
      <c r="T243" s="260"/>
      <c r="U243" s="260"/>
      <c r="V243" s="260"/>
      <c r="W243" s="260"/>
      <c r="X243" s="260"/>
      <c r="Y243" s="260"/>
      <c r="Z243" s="260"/>
      <c r="AA243" s="260"/>
      <c r="AB243" s="260"/>
      <c r="AC243" s="260"/>
      <c r="AD243" s="260"/>
      <c r="AE243" s="260"/>
      <c r="AF243" s="260"/>
      <c r="AG243" s="258"/>
      <c r="AO243"/>
      <c r="AP243"/>
      <c r="AQ243"/>
      <c r="AR243"/>
      <c r="AS243"/>
      <c r="AT243"/>
      <c r="AU243"/>
      <c r="AV243"/>
      <c r="AW243"/>
      <c r="AX243"/>
      <c r="AY243"/>
      <c r="AZ243"/>
      <c r="BA243"/>
      <c r="BB243"/>
      <c r="BC243"/>
      <c r="BD243"/>
      <c r="BE243"/>
      <c r="BF243"/>
    </row>
    <row r="244" spans="13:58" ht="12" hidden="1" customHeight="1">
      <c r="M244" s="820"/>
      <c r="N244" s="239"/>
      <c r="O244" s="225"/>
      <c r="P244" s="260"/>
      <c r="Q244" s="258"/>
      <c r="R244" s="260"/>
      <c r="S244" s="260"/>
      <c r="T244" s="260"/>
      <c r="U244" s="260"/>
      <c r="V244" s="260"/>
      <c r="W244" s="260"/>
      <c r="X244" s="260"/>
      <c r="Y244" s="260"/>
      <c r="Z244" s="260"/>
      <c r="AA244" s="260"/>
      <c r="AB244" s="260"/>
      <c r="AC244" s="260"/>
      <c r="AD244" s="260"/>
      <c r="AE244" s="260"/>
      <c r="AF244" s="260"/>
      <c r="AG244" s="258"/>
      <c r="AO244"/>
      <c r="AP244"/>
      <c r="AQ244"/>
      <c r="AR244"/>
      <c r="AS244"/>
      <c r="AT244"/>
      <c r="AU244"/>
      <c r="AV244"/>
      <c r="AW244"/>
      <c r="AX244"/>
      <c r="AY244"/>
      <c r="AZ244"/>
      <c r="BA244"/>
      <c r="BB244"/>
      <c r="BC244"/>
      <c r="BD244"/>
      <c r="BE244"/>
      <c r="BF244"/>
    </row>
    <row r="245" spans="13:58" ht="12" hidden="1" customHeight="1">
      <c r="M245" s="820"/>
      <c r="N245" s="239"/>
      <c r="O245" s="225"/>
      <c r="P245" s="260"/>
      <c r="Q245" s="258"/>
      <c r="R245" s="260"/>
      <c r="S245" s="260"/>
      <c r="T245" s="260"/>
      <c r="U245" s="260"/>
      <c r="V245" s="260"/>
      <c r="W245" s="260"/>
      <c r="X245" s="260"/>
      <c r="Y245" s="260"/>
      <c r="Z245" s="260"/>
      <c r="AA245" s="260"/>
      <c r="AB245" s="260"/>
      <c r="AC245" s="260"/>
      <c r="AD245" s="260"/>
      <c r="AE245" s="260"/>
      <c r="AF245" s="260"/>
      <c r="AG245" s="258"/>
      <c r="AO245"/>
      <c r="AP245"/>
      <c r="AQ245"/>
      <c r="AR245"/>
      <c r="AS245"/>
      <c r="AT245"/>
      <c r="AU245"/>
      <c r="AV245"/>
      <c r="AW245"/>
      <c r="AX245"/>
      <c r="AY245"/>
      <c r="AZ245"/>
      <c r="BA245"/>
      <c r="BB245"/>
      <c r="BC245"/>
      <c r="BD245"/>
      <c r="BE245"/>
      <c r="BF245"/>
    </row>
    <row r="246" spans="13:58" ht="12" hidden="1" customHeight="1">
      <c r="M246" s="820"/>
      <c r="N246" s="239"/>
      <c r="O246" s="225"/>
      <c r="P246" s="260"/>
      <c r="Q246" s="258"/>
      <c r="R246" s="260"/>
      <c r="S246" s="260"/>
      <c r="T246" s="260"/>
      <c r="U246" s="260"/>
      <c r="V246" s="260"/>
      <c r="W246" s="260"/>
      <c r="X246" s="260"/>
      <c r="Y246" s="260"/>
      <c r="Z246" s="260"/>
      <c r="AA246" s="260"/>
      <c r="AB246" s="260"/>
      <c r="AC246" s="260"/>
      <c r="AD246" s="260"/>
      <c r="AE246" s="260"/>
      <c r="AF246" s="260"/>
      <c r="AG246" s="258"/>
      <c r="AO246"/>
      <c r="AP246"/>
      <c r="AQ246"/>
      <c r="AR246"/>
      <c r="AS246"/>
      <c r="AT246"/>
      <c r="AU246"/>
      <c r="AV246"/>
      <c r="AW246"/>
      <c r="AX246"/>
      <c r="AY246"/>
      <c r="AZ246"/>
      <c r="BA246"/>
      <c r="BB246"/>
      <c r="BC246"/>
      <c r="BD246"/>
      <c r="BE246"/>
      <c r="BF246"/>
    </row>
    <row r="247" spans="13:58" ht="12" hidden="1" customHeight="1">
      <c r="M247" s="820"/>
      <c r="N247" s="239"/>
      <c r="O247" s="225"/>
      <c r="P247" s="260"/>
      <c r="Q247" s="258"/>
      <c r="R247" s="260"/>
      <c r="S247" s="260"/>
      <c r="T247" s="260"/>
      <c r="U247" s="260"/>
      <c r="V247" s="260"/>
      <c r="W247" s="260"/>
      <c r="X247" s="260"/>
      <c r="Y247" s="260"/>
      <c r="Z247" s="260"/>
      <c r="AA247" s="260"/>
      <c r="AB247" s="260"/>
      <c r="AC247" s="260"/>
      <c r="AD247" s="260"/>
      <c r="AE247" s="260"/>
      <c r="AF247" s="260"/>
      <c r="AG247" s="258"/>
      <c r="AO247"/>
      <c r="AP247"/>
      <c r="AQ247"/>
      <c r="AR247"/>
      <c r="AS247"/>
      <c r="AT247"/>
      <c r="AU247"/>
      <c r="AV247"/>
      <c r="AW247"/>
      <c r="AX247"/>
      <c r="AY247"/>
      <c r="AZ247"/>
      <c r="BA247"/>
      <c r="BB247"/>
      <c r="BC247"/>
      <c r="BD247"/>
      <c r="BE247"/>
      <c r="BF247"/>
    </row>
    <row r="248" spans="13:58" ht="12" hidden="1" customHeight="1">
      <c r="M248" s="820"/>
      <c r="N248" s="239"/>
      <c r="O248" s="225"/>
      <c r="P248" s="260"/>
      <c r="Q248" s="258"/>
      <c r="R248" s="260"/>
      <c r="S248" s="260"/>
      <c r="T248" s="260"/>
      <c r="U248" s="260"/>
      <c r="V248" s="260"/>
      <c r="W248" s="260"/>
      <c r="X248" s="260"/>
      <c r="Y248" s="260"/>
      <c r="Z248" s="260"/>
      <c r="AA248" s="260"/>
      <c r="AB248" s="260"/>
      <c r="AC248" s="260"/>
      <c r="AD248" s="260"/>
      <c r="AE248" s="260"/>
      <c r="AF248" s="260"/>
      <c r="AG248" s="258"/>
      <c r="AO248"/>
      <c r="AP248"/>
      <c r="AQ248"/>
      <c r="AR248"/>
      <c r="AS248"/>
      <c r="AT248"/>
      <c r="AU248"/>
      <c r="AV248"/>
      <c r="AW248"/>
      <c r="AX248"/>
      <c r="AY248"/>
      <c r="AZ248"/>
      <c r="BA248"/>
      <c r="BB248"/>
      <c r="BC248"/>
      <c r="BD248"/>
      <c r="BE248"/>
      <c r="BF248"/>
    </row>
    <row r="249" spans="13:58" ht="12" hidden="1" customHeight="1">
      <c r="M249" s="820"/>
      <c r="N249" s="239"/>
      <c r="O249" s="225"/>
      <c r="P249" s="260"/>
      <c r="Q249" s="258"/>
      <c r="R249" s="260"/>
      <c r="S249" s="260"/>
      <c r="T249" s="260"/>
      <c r="U249" s="260"/>
      <c r="V249" s="260"/>
      <c r="W249" s="260"/>
      <c r="X249" s="260"/>
      <c r="Y249" s="260"/>
      <c r="Z249" s="260"/>
      <c r="AA249" s="260"/>
      <c r="AB249" s="260"/>
      <c r="AC249" s="260"/>
      <c r="AD249" s="260"/>
      <c r="AE249" s="260"/>
      <c r="AF249" s="260"/>
      <c r="AG249" s="258"/>
      <c r="AO249"/>
      <c r="AP249"/>
      <c r="AQ249"/>
      <c r="AR249"/>
      <c r="AS249"/>
      <c r="AT249"/>
      <c r="AU249"/>
      <c r="AV249"/>
      <c r="AW249"/>
      <c r="AX249"/>
      <c r="AY249"/>
      <c r="AZ249"/>
      <c r="BA249"/>
      <c r="BB249"/>
      <c r="BC249"/>
      <c r="BD249"/>
      <c r="BE249"/>
      <c r="BF249"/>
    </row>
    <row r="250" spans="13:58" ht="12" hidden="1" customHeight="1">
      <c r="M250" s="820"/>
      <c r="N250" s="239"/>
      <c r="O250" s="225"/>
      <c r="P250" s="260"/>
      <c r="Q250" s="258"/>
      <c r="R250" s="260"/>
      <c r="S250" s="260"/>
      <c r="T250" s="260"/>
      <c r="U250" s="260"/>
      <c r="V250" s="260"/>
      <c r="W250" s="260"/>
      <c r="X250" s="260"/>
      <c r="Y250" s="260"/>
      <c r="Z250" s="260"/>
      <c r="AA250" s="260"/>
      <c r="AB250" s="260"/>
      <c r="AC250" s="260"/>
      <c r="AD250" s="260"/>
      <c r="AE250" s="260"/>
      <c r="AF250" s="260"/>
      <c r="AG250" s="258"/>
      <c r="AO250"/>
      <c r="AP250"/>
      <c r="AQ250"/>
      <c r="AR250"/>
      <c r="AS250"/>
      <c r="AT250"/>
      <c r="AU250"/>
      <c r="AV250"/>
      <c r="AW250"/>
      <c r="AX250"/>
      <c r="AY250"/>
      <c r="AZ250"/>
      <c r="BA250"/>
      <c r="BB250"/>
      <c r="BC250"/>
      <c r="BD250"/>
      <c r="BE250"/>
      <c r="BF250"/>
    </row>
    <row r="251" spans="13:58" ht="12" hidden="1" customHeight="1">
      <c r="M251" s="820"/>
      <c r="N251" s="239"/>
      <c r="O251" s="225"/>
      <c r="P251" s="260"/>
      <c r="Q251" s="258"/>
      <c r="R251" s="260"/>
      <c r="S251" s="260"/>
      <c r="T251" s="260"/>
      <c r="U251" s="260"/>
      <c r="V251" s="260"/>
      <c r="W251" s="260"/>
      <c r="X251" s="260"/>
      <c r="Y251" s="260"/>
      <c r="Z251" s="260"/>
      <c r="AA251" s="260"/>
      <c r="AB251" s="260"/>
      <c r="AC251" s="260"/>
      <c r="AD251" s="260"/>
      <c r="AE251" s="260"/>
      <c r="AF251" s="260"/>
      <c r="AG251" s="258"/>
      <c r="AO251"/>
      <c r="AP251"/>
      <c r="AQ251"/>
      <c r="AR251"/>
      <c r="AS251"/>
      <c r="AT251"/>
      <c r="AU251"/>
      <c r="AV251"/>
      <c r="AW251"/>
      <c r="AX251"/>
      <c r="AY251"/>
      <c r="AZ251"/>
      <c r="BA251"/>
      <c r="BB251"/>
      <c r="BC251"/>
      <c r="BD251"/>
      <c r="BE251"/>
      <c r="BF251"/>
    </row>
    <row r="252" spans="13:58" ht="12" hidden="1" customHeight="1">
      <c r="M252" s="820"/>
      <c r="N252" s="239"/>
      <c r="O252" s="225"/>
      <c r="P252" s="260"/>
      <c r="Q252" s="258"/>
      <c r="R252" s="260"/>
      <c r="S252" s="260"/>
      <c r="T252" s="260"/>
      <c r="U252" s="260"/>
      <c r="V252" s="260"/>
      <c r="W252" s="260"/>
      <c r="X252" s="260"/>
      <c r="Y252" s="260"/>
      <c r="Z252" s="260"/>
      <c r="AA252" s="260"/>
      <c r="AB252" s="260"/>
      <c r="AC252" s="260"/>
      <c r="AD252" s="260"/>
      <c r="AE252" s="260"/>
      <c r="AF252" s="260"/>
      <c r="AG252" s="258"/>
      <c r="AO252"/>
      <c r="AP252"/>
      <c r="AQ252"/>
      <c r="AR252"/>
      <c r="AS252"/>
      <c r="AT252"/>
      <c r="AU252"/>
      <c r="AV252"/>
      <c r="AW252"/>
      <c r="AX252"/>
      <c r="AY252"/>
      <c r="AZ252"/>
      <c r="BA252"/>
      <c r="BB252"/>
      <c r="BC252"/>
      <c r="BD252"/>
      <c r="BE252"/>
      <c r="BF252"/>
    </row>
    <row r="253" spans="13:58" ht="12" hidden="1" customHeight="1">
      <c r="M253" s="820"/>
      <c r="N253" s="239"/>
      <c r="O253" s="225"/>
      <c r="P253" s="260"/>
      <c r="Q253" s="258"/>
      <c r="R253" s="260"/>
      <c r="S253" s="260"/>
      <c r="T253" s="260"/>
      <c r="U253" s="260"/>
      <c r="V253" s="260"/>
      <c r="W253" s="260"/>
      <c r="X253" s="260"/>
      <c r="Y253" s="260"/>
      <c r="Z253" s="260"/>
      <c r="AA253" s="260"/>
      <c r="AB253" s="260"/>
      <c r="AC253" s="260"/>
      <c r="AD253" s="260"/>
      <c r="AE253" s="260"/>
      <c r="AF253" s="260"/>
      <c r="AG253" s="258"/>
      <c r="AO253"/>
      <c r="AP253"/>
      <c r="AQ253"/>
      <c r="AR253"/>
      <c r="AS253"/>
      <c r="AT253"/>
      <c r="AU253"/>
      <c r="AV253"/>
      <c r="AW253"/>
      <c r="AX253"/>
      <c r="AY253"/>
      <c r="AZ253"/>
      <c r="BA253"/>
      <c r="BB253"/>
      <c r="BC253"/>
      <c r="BD253"/>
      <c r="BE253"/>
      <c r="BF253"/>
    </row>
    <row r="254" spans="13:58" ht="12" hidden="1" customHeight="1">
      <c r="M254" s="820"/>
      <c r="N254" s="239"/>
      <c r="O254" s="225"/>
      <c r="P254" s="260"/>
      <c r="Q254" s="258"/>
      <c r="R254" s="260"/>
      <c r="S254" s="260"/>
      <c r="T254" s="260"/>
      <c r="U254" s="260"/>
      <c r="V254" s="260"/>
      <c r="W254" s="260"/>
      <c r="X254" s="260"/>
      <c r="Y254" s="260"/>
      <c r="Z254" s="260"/>
      <c r="AA254" s="260"/>
      <c r="AB254" s="260"/>
      <c r="AC254" s="260"/>
      <c r="AD254" s="260"/>
      <c r="AE254" s="260"/>
      <c r="AF254" s="260"/>
      <c r="AG254" s="258"/>
      <c r="AO254"/>
      <c r="AP254"/>
      <c r="AQ254"/>
      <c r="AR254"/>
      <c r="AS254"/>
      <c r="AT254"/>
      <c r="AU254"/>
      <c r="AV254"/>
      <c r="AW254"/>
      <c r="AX254"/>
      <c r="AY254"/>
      <c r="AZ254"/>
      <c r="BA254"/>
      <c r="BB254"/>
      <c r="BC254"/>
      <c r="BD254"/>
      <c r="BE254"/>
      <c r="BF254"/>
    </row>
    <row r="255" spans="13:58" ht="12" hidden="1" customHeight="1">
      <c r="M255" s="820"/>
      <c r="N255" s="239"/>
      <c r="O255" s="225"/>
      <c r="P255" s="260"/>
      <c r="Q255" s="258"/>
      <c r="R255" s="260"/>
      <c r="S255" s="260"/>
      <c r="T255" s="260"/>
      <c r="U255" s="260"/>
      <c r="V255" s="260"/>
      <c r="W255" s="260"/>
      <c r="X255" s="260"/>
      <c r="Y255" s="260"/>
      <c r="Z255" s="260"/>
      <c r="AA255" s="260"/>
      <c r="AB255" s="260"/>
      <c r="AC255" s="260"/>
      <c r="AD255" s="260"/>
      <c r="AE255" s="260"/>
      <c r="AF255" s="260"/>
      <c r="AG255" s="258"/>
      <c r="AO255"/>
      <c r="AP255"/>
      <c r="AQ255"/>
      <c r="AR255"/>
      <c r="AS255"/>
      <c r="AT255"/>
      <c r="AU255"/>
      <c r="AV255"/>
      <c r="AW255"/>
      <c r="AX255"/>
      <c r="AY255"/>
      <c r="AZ255"/>
      <c r="BA255"/>
      <c r="BB255"/>
      <c r="BC255"/>
      <c r="BD255"/>
      <c r="BE255"/>
      <c r="BF255"/>
    </row>
    <row r="256" spans="13:58" ht="12" hidden="1" customHeight="1">
      <c r="M256" s="820"/>
      <c r="N256" s="239"/>
      <c r="O256" s="225"/>
      <c r="P256" s="260"/>
      <c r="Q256" s="258"/>
      <c r="R256" s="260"/>
      <c r="S256" s="260"/>
      <c r="T256" s="260"/>
      <c r="U256" s="260"/>
      <c r="V256" s="260"/>
      <c r="W256" s="260"/>
      <c r="X256" s="260"/>
      <c r="Y256" s="260"/>
      <c r="Z256" s="260"/>
      <c r="AA256" s="260"/>
      <c r="AB256" s="260"/>
      <c r="AC256" s="260"/>
      <c r="AD256" s="260"/>
      <c r="AE256" s="260"/>
      <c r="AF256" s="260"/>
      <c r="AG256" s="258"/>
      <c r="AO256"/>
      <c r="AP256"/>
      <c r="AQ256"/>
      <c r="AR256"/>
      <c r="AS256"/>
      <c r="AT256"/>
      <c r="AU256"/>
      <c r="AV256"/>
      <c r="AW256"/>
      <c r="AX256"/>
      <c r="AY256"/>
      <c r="AZ256"/>
      <c r="BA256"/>
      <c r="BB256"/>
      <c r="BC256"/>
      <c r="BD256"/>
      <c r="BE256"/>
      <c r="BF256"/>
    </row>
    <row r="257" spans="13:58" ht="12" hidden="1" customHeight="1">
      <c r="M257" s="820"/>
      <c r="N257" s="239"/>
      <c r="O257" s="225"/>
      <c r="P257" s="260"/>
      <c r="Q257" s="258"/>
      <c r="R257" s="260"/>
      <c r="S257" s="260"/>
      <c r="T257" s="260"/>
      <c r="U257" s="260"/>
      <c r="V257" s="260"/>
      <c r="W257" s="260"/>
      <c r="X257" s="260"/>
      <c r="Y257" s="260"/>
      <c r="Z257" s="260"/>
      <c r="AA257" s="260"/>
      <c r="AB257" s="260"/>
      <c r="AC257" s="260"/>
      <c r="AD257" s="260"/>
      <c r="AE257" s="260"/>
      <c r="AF257" s="260"/>
      <c r="AG257" s="258"/>
      <c r="AO257"/>
      <c r="AP257"/>
      <c r="AQ257"/>
      <c r="AR257"/>
      <c r="AS257"/>
      <c r="AT257"/>
      <c r="AU257"/>
      <c r="AV257"/>
      <c r="AW257"/>
      <c r="AX257"/>
      <c r="AY257"/>
      <c r="AZ257"/>
      <c r="BA257"/>
      <c r="BB257"/>
      <c r="BC257"/>
      <c r="BD257"/>
      <c r="BE257"/>
      <c r="BF257"/>
    </row>
    <row r="258" spans="13:58" ht="12" hidden="1" customHeight="1">
      <c r="M258" s="820"/>
      <c r="N258" s="239"/>
      <c r="O258" s="225"/>
      <c r="P258" s="260"/>
      <c r="Q258" s="258"/>
      <c r="R258" s="260"/>
      <c r="S258" s="260"/>
      <c r="T258" s="260"/>
      <c r="U258" s="260"/>
      <c r="V258" s="260"/>
      <c r="W258" s="260"/>
      <c r="X258" s="260"/>
      <c r="Y258" s="260"/>
      <c r="Z258" s="260"/>
      <c r="AA258" s="260"/>
      <c r="AB258" s="260"/>
      <c r="AC258" s="260"/>
      <c r="AD258" s="260"/>
      <c r="AE258" s="260"/>
      <c r="AF258" s="260"/>
      <c r="AG258" s="258"/>
      <c r="AO258"/>
      <c r="AP258"/>
      <c r="AQ258"/>
      <c r="AR258"/>
      <c r="AS258"/>
      <c r="AT258"/>
      <c r="AU258"/>
      <c r="AV258"/>
      <c r="AW258"/>
      <c r="AX258"/>
      <c r="AY258"/>
      <c r="AZ258"/>
      <c r="BA258"/>
      <c r="BB258"/>
      <c r="BC258"/>
      <c r="BD258"/>
      <c r="BE258"/>
      <c r="BF258"/>
    </row>
    <row r="259" spans="13:58" ht="12" hidden="1" customHeight="1">
      <c r="M259" s="820"/>
      <c r="N259" s="239"/>
      <c r="O259" s="225"/>
      <c r="P259" s="260"/>
      <c r="Q259" s="258"/>
      <c r="R259" s="260"/>
      <c r="S259" s="260"/>
      <c r="T259" s="260"/>
      <c r="U259" s="260"/>
      <c r="V259" s="260"/>
      <c r="W259" s="260"/>
      <c r="X259" s="260"/>
      <c r="Y259" s="260"/>
      <c r="Z259" s="260"/>
      <c r="AA259" s="260"/>
      <c r="AB259" s="260"/>
      <c r="AC259" s="260"/>
      <c r="AD259" s="260"/>
      <c r="AE259" s="260"/>
      <c r="AF259" s="260"/>
      <c r="AG259" s="258"/>
      <c r="AO259"/>
      <c r="AP259"/>
      <c r="AQ259"/>
      <c r="AR259"/>
      <c r="AS259"/>
      <c r="AT259"/>
      <c r="AU259"/>
      <c r="AV259"/>
      <c r="AW259"/>
      <c r="AX259"/>
      <c r="AY259"/>
      <c r="AZ259"/>
      <c r="BA259"/>
      <c r="BB259"/>
      <c r="BC259"/>
      <c r="BD259"/>
      <c r="BE259"/>
      <c r="BF259"/>
    </row>
    <row r="260" spans="13:58" ht="12" hidden="1" customHeight="1">
      <c r="M260" s="820"/>
      <c r="N260" s="239"/>
      <c r="O260" s="225"/>
      <c r="P260" s="260"/>
      <c r="Q260" s="258"/>
      <c r="R260" s="260"/>
      <c r="S260" s="260"/>
      <c r="T260" s="260"/>
      <c r="U260" s="260"/>
      <c r="V260" s="260"/>
      <c r="W260" s="260"/>
      <c r="X260" s="260"/>
      <c r="Y260" s="260"/>
      <c r="Z260" s="260"/>
      <c r="AA260" s="260"/>
      <c r="AB260" s="260"/>
      <c r="AC260" s="260"/>
      <c r="AD260" s="260"/>
      <c r="AE260" s="260"/>
      <c r="AF260" s="260"/>
      <c r="AG260" s="258"/>
      <c r="AO260"/>
      <c r="AP260"/>
      <c r="AQ260"/>
      <c r="AR260"/>
      <c r="AS260"/>
      <c r="AT260"/>
      <c r="AU260"/>
      <c r="AV260"/>
      <c r="AW260"/>
      <c r="AX260"/>
      <c r="AY260"/>
      <c r="AZ260"/>
      <c r="BA260"/>
      <c r="BB260"/>
      <c r="BC260"/>
      <c r="BD260"/>
      <c r="BE260"/>
      <c r="BF260"/>
    </row>
    <row r="261" spans="13:58" ht="12" hidden="1" customHeight="1">
      <c r="M261" s="820"/>
      <c r="N261" s="239"/>
      <c r="O261" s="225"/>
      <c r="P261" s="260"/>
      <c r="Q261" s="258"/>
      <c r="R261" s="260"/>
      <c r="S261" s="260"/>
      <c r="T261" s="260"/>
      <c r="U261" s="260"/>
      <c r="V261" s="260"/>
      <c r="W261" s="260"/>
      <c r="X261" s="260"/>
      <c r="Y261" s="260"/>
      <c r="Z261" s="260"/>
      <c r="AA261" s="260"/>
      <c r="AB261" s="260"/>
      <c r="AC261" s="260"/>
      <c r="AD261" s="260"/>
      <c r="AE261" s="260"/>
      <c r="AF261" s="260"/>
      <c r="AG261" s="258"/>
      <c r="AO261"/>
      <c r="AP261"/>
      <c r="AQ261"/>
      <c r="AR261"/>
      <c r="AS261"/>
      <c r="AT261"/>
      <c r="AU261"/>
      <c r="AV261"/>
      <c r="AW261"/>
      <c r="AX261"/>
      <c r="AY261"/>
      <c r="AZ261"/>
      <c r="BA261"/>
      <c r="BB261"/>
      <c r="BC261"/>
      <c r="BD261"/>
      <c r="BE261"/>
      <c r="BF261"/>
    </row>
    <row r="262" spans="13:58" ht="12" hidden="1" customHeight="1">
      <c r="M262" s="820"/>
      <c r="N262" s="239"/>
      <c r="O262" s="225"/>
      <c r="P262" s="260"/>
      <c r="Q262" s="258"/>
      <c r="R262" s="260"/>
      <c r="S262" s="260"/>
      <c r="T262" s="260"/>
      <c r="U262" s="260"/>
      <c r="V262" s="260"/>
      <c r="W262" s="260"/>
      <c r="X262" s="260"/>
      <c r="Y262" s="260"/>
      <c r="Z262" s="260"/>
      <c r="AA262" s="260"/>
      <c r="AB262" s="260"/>
      <c r="AC262" s="260"/>
      <c r="AD262" s="260"/>
      <c r="AE262" s="260"/>
      <c r="AF262" s="260"/>
      <c r="AG262" s="258"/>
      <c r="AO262"/>
      <c r="AP262"/>
      <c r="AQ262"/>
      <c r="AR262"/>
      <c r="AS262"/>
      <c r="AT262"/>
      <c r="AU262"/>
      <c r="AV262"/>
      <c r="AW262"/>
      <c r="AX262"/>
      <c r="AY262"/>
      <c r="AZ262"/>
      <c r="BA262"/>
      <c r="BB262"/>
      <c r="BC262"/>
      <c r="BD262"/>
      <c r="BE262"/>
      <c r="BF262"/>
    </row>
    <row r="263" spans="13:58" ht="12" hidden="1" customHeight="1">
      <c r="M263" s="820"/>
      <c r="N263" s="239"/>
      <c r="O263" s="225"/>
      <c r="P263" s="260"/>
      <c r="Q263" s="258"/>
      <c r="R263" s="260"/>
      <c r="S263" s="260"/>
      <c r="T263" s="260"/>
      <c r="U263" s="260"/>
      <c r="V263" s="260"/>
      <c r="W263" s="260"/>
      <c r="X263" s="260"/>
      <c r="Y263" s="260"/>
      <c r="Z263" s="260"/>
      <c r="AA263" s="260"/>
      <c r="AB263" s="260"/>
      <c r="AC263" s="260"/>
      <c r="AD263" s="260"/>
      <c r="AE263" s="260"/>
      <c r="AF263" s="260"/>
      <c r="AG263" s="258"/>
      <c r="AO263"/>
      <c r="AP263"/>
      <c r="AQ263"/>
      <c r="AR263"/>
      <c r="AS263"/>
      <c r="AT263"/>
      <c r="AU263"/>
      <c r="AV263"/>
      <c r="AW263"/>
      <c r="AX263"/>
      <c r="AY263"/>
      <c r="AZ263"/>
      <c r="BA263"/>
      <c r="BB263"/>
      <c r="BC263"/>
      <c r="BD263"/>
      <c r="BE263"/>
      <c r="BF263"/>
    </row>
    <row r="264" spans="13:58" ht="12" hidden="1" customHeight="1">
      <c r="M264" s="820"/>
      <c r="N264" s="239"/>
      <c r="O264" s="225"/>
      <c r="P264" s="260"/>
      <c r="Q264" s="258"/>
      <c r="R264" s="260"/>
      <c r="S264" s="260"/>
      <c r="T264" s="260"/>
      <c r="U264" s="260"/>
      <c r="V264" s="260"/>
      <c r="W264" s="260"/>
      <c r="X264" s="260"/>
      <c r="Y264" s="260"/>
      <c r="Z264" s="260"/>
      <c r="AA264" s="260"/>
      <c r="AB264" s="260"/>
      <c r="AC264" s="260"/>
      <c r="AD264" s="260"/>
      <c r="AE264" s="260"/>
      <c r="AF264" s="260"/>
      <c r="AG264" s="258"/>
      <c r="AO264"/>
      <c r="AP264"/>
      <c r="AQ264"/>
      <c r="AR264"/>
      <c r="AS264"/>
      <c r="AT264"/>
      <c r="AU264"/>
      <c r="AV264"/>
      <c r="AW264"/>
      <c r="AX264"/>
      <c r="AY264"/>
      <c r="AZ264"/>
      <c r="BA264"/>
      <c r="BB264"/>
      <c r="BC264"/>
      <c r="BD264"/>
      <c r="BE264"/>
      <c r="BF264"/>
    </row>
    <row r="265" spans="13:58" ht="12" hidden="1" customHeight="1">
      <c r="M265" s="820"/>
      <c r="N265" s="239"/>
      <c r="O265" s="225"/>
      <c r="P265" s="260"/>
      <c r="Q265" s="258"/>
      <c r="R265" s="260"/>
      <c r="S265" s="260"/>
      <c r="T265" s="260"/>
      <c r="U265" s="260"/>
      <c r="V265" s="260"/>
      <c r="W265" s="260"/>
      <c r="X265" s="260"/>
      <c r="Y265" s="260"/>
      <c r="Z265" s="260"/>
      <c r="AA265" s="260"/>
      <c r="AB265" s="260"/>
      <c r="AC265" s="260"/>
      <c r="AD265" s="260"/>
      <c r="AE265" s="260"/>
      <c r="AF265" s="260"/>
      <c r="AG265" s="258"/>
      <c r="AO265"/>
      <c r="AP265"/>
      <c r="AQ265"/>
      <c r="AR265"/>
      <c r="AS265"/>
      <c r="AT265"/>
      <c r="AU265"/>
      <c r="AV265"/>
      <c r="AW265"/>
      <c r="AX265"/>
      <c r="AY265"/>
      <c r="AZ265"/>
      <c r="BA265"/>
      <c r="BB265"/>
      <c r="BC265"/>
      <c r="BD265"/>
      <c r="BE265"/>
      <c r="BF265"/>
    </row>
    <row r="266" spans="13:58" ht="12" hidden="1" customHeight="1">
      <c r="M266" s="820"/>
      <c r="N266" s="239"/>
      <c r="O266" s="225"/>
      <c r="P266" s="260"/>
      <c r="Q266" s="258"/>
      <c r="R266" s="260"/>
      <c r="S266" s="260"/>
      <c r="T266" s="260"/>
      <c r="U266" s="260"/>
      <c r="V266" s="260"/>
      <c r="W266" s="260"/>
      <c r="X266" s="260"/>
      <c r="Y266" s="260"/>
      <c r="Z266" s="260"/>
      <c r="AA266" s="260"/>
      <c r="AB266" s="260"/>
      <c r="AC266" s="260"/>
      <c r="AD266" s="260"/>
      <c r="AE266" s="260"/>
      <c r="AF266" s="260"/>
      <c r="AG266" s="258"/>
      <c r="AO266"/>
      <c r="AP266"/>
      <c r="AQ266"/>
      <c r="AR266"/>
      <c r="AS266"/>
      <c r="AT266"/>
      <c r="AU266"/>
      <c r="AV266"/>
      <c r="AW266"/>
      <c r="AX266"/>
      <c r="AY266"/>
      <c r="AZ266"/>
      <c r="BA266"/>
      <c r="BB266"/>
      <c r="BC266"/>
      <c r="BD266"/>
      <c r="BE266"/>
      <c r="BF266"/>
    </row>
    <row r="267" spans="13:58" ht="12" hidden="1" customHeight="1">
      <c r="M267" s="820"/>
      <c r="N267" s="239"/>
      <c r="O267" s="225"/>
      <c r="P267" s="260"/>
      <c r="Q267" s="258"/>
      <c r="R267" s="260"/>
      <c r="S267" s="260"/>
      <c r="T267" s="260"/>
      <c r="U267" s="260"/>
      <c r="V267" s="260"/>
      <c r="W267" s="260"/>
      <c r="X267" s="260"/>
      <c r="Y267" s="260"/>
      <c r="Z267" s="260"/>
      <c r="AA267" s="260"/>
      <c r="AB267" s="260"/>
      <c r="AC267" s="260"/>
      <c r="AD267" s="260"/>
      <c r="AE267" s="260"/>
      <c r="AF267" s="260"/>
      <c r="AG267" s="258"/>
      <c r="AO267"/>
      <c r="AP267"/>
      <c r="AQ267"/>
      <c r="AR267"/>
      <c r="AS267"/>
      <c r="AT267"/>
      <c r="AU267"/>
      <c r="AV267"/>
      <c r="AW267"/>
      <c r="AX267"/>
      <c r="AY267"/>
      <c r="AZ267"/>
      <c r="BA267"/>
      <c r="BB267"/>
      <c r="BC267"/>
      <c r="BD267"/>
      <c r="BE267"/>
      <c r="BF267"/>
    </row>
    <row r="268" spans="13:58" ht="12" hidden="1" customHeight="1">
      <c r="M268" s="820"/>
      <c r="N268" s="239"/>
      <c r="O268" s="225"/>
      <c r="P268" s="260"/>
      <c r="Q268" s="258"/>
      <c r="R268" s="260"/>
      <c r="S268" s="260"/>
      <c r="T268" s="260"/>
      <c r="U268" s="260"/>
      <c r="V268" s="260"/>
      <c r="W268" s="260"/>
      <c r="X268" s="260"/>
      <c r="Y268" s="260"/>
      <c r="Z268" s="260"/>
      <c r="AA268" s="260"/>
      <c r="AB268" s="260"/>
      <c r="AC268" s="260"/>
      <c r="AD268" s="260"/>
      <c r="AE268" s="260"/>
      <c r="AF268" s="260"/>
      <c r="AG268" s="258"/>
      <c r="AO268"/>
      <c r="AP268"/>
      <c r="AQ268"/>
      <c r="AR268"/>
      <c r="AS268"/>
      <c r="AT268"/>
      <c r="AU268"/>
      <c r="AV268"/>
      <c r="AW268"/>
      <c r="AX268"/>
      <c r="AY268"/>
      <c r="AZ268"/>
      <c r="BA268"/>
      <c r="BB268"/>
      <c r="BC268"/>
      <c r="BD268"/>
      <c r="BE268"/>
      <c r="BF268"/>
    </row>
    <row r="269" spans="13:58" ht="12" hidden="1" customHeight="1">
      <c r="M269" s="820"/>
      <c r="N269" s="239"/>
      <c r="O269" s="225"/>
      <c r="P269" s="260"/>
      <c r="Q269" s="258"/>
      <c r="R269" s="260"/>
      <c r="S269" s="260"/>
      <c r="T269" s="260"/>
      <c r="U269" s="260"/>
      <c r="V269" s="260"/>
      <c r="W269" s="260"/>
      <c r="X269" s="260"/>
      <c r="Y269" s="260"/>
      <c r="Z269" s="260"/>
      <c r="AA269" s="260"/>
      <c r="AB269" s="260"/>
      <c r="AC269" s="260"/>
      <c r="AD269" s="260"/>
      <c r="AE269" s="260"/>
      <c r="AF269" s="260"/>
      <c r="AG269" s="258"/>
      <c r="AO269"/>
      <c r="AP269"/>
      <c r="AQ269"/>
      <c r="AR269"/>
      <c r="AS269"/>
      <c r="AT269"/>
      <c r="AU269"/>
      <c r="AV269"/>
      <c r="AW269"/>
      <c r="AX269"/>
      <c r="AY269"/>
      <c r="AZ269"/>
      <c r="BA269"/>
      <c r="BB269"/>
      <c r="BC269"/>
      <c r="BD269"/>
      <c r="BE269"/>
      <c r="BF269"/>
    </row>
    <row r="270" spans="13:58" ht="12" hidden="1" customHeight="1">
      <c r="M270" s="820"/>
      <c r="N270" s="239"/>
      <c r="O270" s="225"/>
      <c r="P270" s="260"/>
      <c r="Q270" s="258"/>
      <c r="R270" s="260"/>
      <c r="S270" s="260"/>
      <c r="T270" s="260"/>
      <c r="U270" s="260"/>
      <c r="V270" s="260"/>
      <c r="W270" s="260"/>
      <c r="X270" s="260"/>
      <c r="Y270" s="260"/>
      <c r="Z270" s="260"/>
      <c r="AA270" s="260"/>
      <c r="AB270" s="260"/>
      <c r="AC270" s="260"/>
      <c r="AD270" s="260"/>
      <c r="AE270" s="260"/>
      <c r="AF270" s="260"/>
      <c r="AG270" s="258"/>
      <c r="AO270"/>
      <c r="AP270"/>
      <c r="AQ270"/>
      <c r="AR270"/>
      <c r="AS270"/>
      <c r="AT270"/>
      <c r="AU270"/>
      <c r="AV270"/>
      <c r="AW270"/>
      <c r="AX270"/>
      <c r="AY270"/>
      <c r="AZ270"/>
      <c r="BA270"/>
      <c r="BB270"/>
      <c r="BC270"/>
      <c r="BD270"/>
      <c r="BE270"/>
      <c r="BF270"/>
    </row>
    <row r="271" spans="13:58" ht="12" hidden="1" customHeight="1">
      <c r="M271" s="820"/>
      <c r="N271" s="239"/>
      <c r="O271" s="225"/>
      <c r="P271" s="260"/>
      <c r="Q271" s="258"/>
      <c r="R271" s="260"/>
      <c r="S271" s="260"/>
      <c r="T271" s="260"/>
      <c r="U271" s="260"/>
      <c r="V271" s="260"/>
      <c r="W271" s="260"/>
      <c r="X271" s="260"/>
      <c r="Y271" s="260"/>
      <c r="Z271" s="260"/>
      <c r="AA271" s="260"/>
      <c r="AB271" s="260"/>
      <c r="AC271" s="260"/>
      <c r="AD271" s="260"/>
      <c r="AE271" s="260"/>
      <c r="AF271" s="260"/>
      <c r="AG271" s="258"/>
      <c r="AO271"/>
      <c r="AP271"/>
      <c r="AQ271"/>
      <c r="AR271"/>
      <c r="AS271"/>
      <c r="AT271"/>
      <c r="AU271"/>
      <c r="AV271"/>
      <c r="AW271"/>
      <c r="AX271"/>
      <c r="AY271"/>
      <c r="AZ271"/>
      <c r="BA271"/>
      <c r="BB271"/>
      <c r="BC271"/>
      <c r="BD271"/>
      <c r="BE271"/>
      <c r="BF271"/>
    </row>
    <row r="272" spans="13:58" ht="12" hidden="1" customHeight="1">
      <c r="M272" s="820"/>
      <c r="N272" s="239"/>
      <c r="O272" s="225"/>
      <c r="P272" s="260"/>
      <c r="Q272" s="258"/>
      <c r="R272" s="260"/>
      <c r="S272" s="260"/>
      <c r="T272" s="260"/>
      <c r="U272" s="260"/>
      <c r="V272" s="260"/>
      <c r="W272" s="260"/>
      <c r="X272" s="260"/>
      <c r="Y272" s="260"/>
      <c r="Z272" s="260"/>
      <c r="AA272" s="260"/>
      <c r="AB272" s="260"/>
      <c r="AC272" s="260"/>
      <c r="AD272" s="260"/>
      <c r="AE272" s="260"/>
      <c r="AF272" s="260"/>
      <c r="AG272" s="258"/>
      <c r="AO272"/>
      <c r="AP272"/>
      <c r="AQ272"/>
      <c r="AR272"/>
      <c r="AS272"/>
      <c r="AT272"/>
      <c r="AU272"/>
      <c r="AV272"/>
      <c r="AW272"/>
      <c r="AX272"/>
      <c r="AY272"/>
      <c r="AZ272"/>
      <c r="BA272"/>
      <c r="BB272"/>
      <c r="BC272"/>
      <c r="BD272"/>
      <c r="BE272"/>
      <c r="BF272"/>
    </row>
    <row r="273" spans="13:58" ht="12" hidden="1" customHeight="1">
      <c r="M273" s="820"/>
      <c r="N273" s="239"/>
      <c r="O273" s="225"/>
      <c r="P273" s="260"/>
      <c r="Q273" s="258"/>
      <c r="R273" s="260"/>
      <c r="S273" s="260"/>
      <c r="T273" s="260"/>
      <c r="U273" s="260"/>
      <c r="V273" s="260"/>
      <c r="W273" s="260"/>
      <c r="X273" s="260"/>
      <c r="Y273" s="260"/>
      <c r="Z273" s="260"/>
      <c r="AA273" s="260"/>
      <c r="AB273" s="260"/>
      <c r="AC273" s="260"/>
      <c r="AD273" s="260"/>
      <c r="AE273" s="260"/>
      <c r="AF273" s="260"/>
      <c r="AG273" s="258"/>
      <c r="AO273"/>
      <c r="AP273"/>
      <c r="AQ273"/>
      <c r="AR273"/>
      <c r="AS273"/>
      <c r="AT273"/>
      <c r="AU273"/>
      <c r="AV273"/>
      <c r="AW273"/>
      <c r="AX273"/>
      <c r="AY273"/>
      <c r="AZ273"/>
      <c r="BA273"/>
      <c r="BB273"/>
      <c r="BC273"/>
      <c r="BD273"/>
      <c r="BE273"/>
      <c r="BF273"/>
    </row>
    <row r="274" spans="13:58" ht="12" hidden="1" customHeight="1">
      <c r="M274" s="820"/>
      <c r="N274" s="239"/>
      <c r="O274" s="225"/>
      <c r="P274" s="260"/>
      <c r="Q274" s="258"/>
      <c r="R274" s="260"/>
      <c r="S274" s="260"/>
      <c r="T274" s="260"/>
      <c r="U274" s="260"/>
      <c r="V274" s="260"/>
      <c r="W274" s="260"/>
      <c r="X274" s="260"/>
      <c r="Y274" s="260"/>
      <c r="Z274" s="260"/>
      <c r="AA274" s="260"/>
      <c r="AB274" s="260"/>
      <c r="AC274" s="260"/>
      <c r="AD274" s="260"/>
      <c r="AE274" s="260"/>
      <c r="AF274" s="260"/>
      <c r="AG274" s="258"/>
      <c r="AO274"/>
      <c r="AP274"/>
      <c r="AQ274"/>
      <c r="AR274"/>
      <c r="AS274"/>
      <c r="AT274"/>
      <c r="AU274"/>
      <c r="AV274"/>
      <c r="AW274"/>
      <c r="AX274"/>
      <c r="AY274"/>
      <c r="AZ274"/>
      <c r="BA274"/>
      <c r="BB274"/>
      <c r="BC274"/>
      <c r="BD274"/>
      <c r="BE274"/>
      <c r="BF274"/>
    </row>
    <row r="275" spans="13:58" ht="12" hidden="1" customHeight="1">
      <c r="M275" s="820"/>
      <c r="N275" s="239"/>
      <c r="O275" s="225"/>
      <c r="P275" s="260"/>
      <c r="Q275" s="258"/>
      <c r="R275" s="260"/>
      <c r="S275" s="260"/>
      <c r="T275" s="260"/>
      <c r="U275" s="260"/>
      <c r="V275" s="260"/>
      <c r="W275" s="260"/>
      <c r="X275" s="260"/>
      <c r="Y275" s="260"/>
      <c r="Z275" s="260"/>
      <c r="AA275" s="260"/>
      <c r="AB275" s="260"/>
      <c r="AC275" s="260"/>
      <c r="AD275" s="260"/>
      <c r="AE275" s="260"/>
      <c r="AF275" s="260"/>
      <c r="AG275" s="258"/>
      <c r="AO275"/>
      <c r="AP275"/>
      <c r="AQ275"/>
      <c r="AR275"/>
      <c r="AS275"/>
      <c r="AT275"/>
      <c r="AU275"/>
      <c r="AV275"/>
      <c r="AW275"/>
      <c r="AX275"/>
      <c r="AY275"/>
      <c r="AZ275"/>
      <c r="BA275"/>
      <c r="BB275"/>
      <c r="BC275"/>
      <c r="BD275"/>
      <c r="BE275"/>
      <c r="BF275"/>
    </row>
    <row r="276" spans="13:58" ht="12" hidden="1" customHeight="1">
      <c r="M276" s="820"/>
      <c r="N276" s="239"/>
      <c r="O276" s="225"/>
      <c r="P276" s="260"/>
      <c r="Q276" s="258"/>
      <c r="R276" s="260"/>
      <c r="S276" s="260"/>
      <c r="T276" s="260"/>
      <c r="U276" s="260"/>
      <c r="V276" s="260"/>
      <c r="W276" s="260"/>
      <c r="X276" s="260"/>
      <c r="Y276" s="260"/>
      <c r="Z276" s="260"/>
      <c r="AA276" s="260"/>
      <c r="AB276" s="260"/>
      <c r="AC276" s="260"/>
      <c r="AD276" s="260"/>
      <c r="AE276" s="260"/>
      <c r="AF276" s="260"/>
      <c r="AG276" s="258"/>
      <c r="AO276"/>
      <c r="AP276"/>
      <c r="AQ276"/>
      <c r="AR276"/>
      <c r="AS276"/>
      <c r="AT276"/>
      <c r="AU276"/>
      <c r="AV276"/>
      <c r="AW276"/>
      <c r="AX276"/>
      <c r="AY276"/>
      <c r="AZ276"/>
      <c r="BA276"/>
      <c r="BB276"/>
      <c r="BC276"/>
      <c r="BD276"/>
      <c r="BE276"/>
      <c r="BF276"/>
    </row>
    <row r="277" spans="13:58" ht="12" hidden="1" customHeight="1">
      <c r="M277" s="820"/>
      <c r="N277" s="239"/>
      <c r="O277" s="225"/>
      <c r="P277" s="260"/>
      <c r="Q277" s="258"/>
      <c r="R277" s="260"/>
      <c r="S277" s="260"/>
      <c r="T277" s="260"/>
      <c r="U277" s="260"/>
      <c r="V277" s="260"/>
      <c r="W277" s="260"/>
      <c r="X277" s="260"/>
      <c r="Y277" s="260"/>
      <c r="Z277" s="260"/>
      <c r="AA277" s="260"/>
      <c r="AB277" s="260"/>
      <c r="AC277" s="260"/>
      <c r="AD277" s="260"/>
      <c r="AE277" s="260"/>
      <c r="AF277" s="260"/>
      <c r="AG277" s="258"/>
      <c r="AO277"/>
      <c r="AP277"/>
      <c r="AQ277"/>
      <c r="AR277"/>
      <c r="AS277"/>
      <c r="AT277"/>
      <c r="AU277"/>
      <c r="AV277"/>
      <c r="AW277"/>
      <c r="AX277"/>
      <c r="AY277"/>
      <c r="AZ277"/>
      <c r="BA277"/>
      <c r="BB277"/>
      <c r="BC277"/>
      <c r="BD277"/>
      <c r="BE277"/>
      <c r="BF277"/>
    </row>
    <row r="278" spans="13:58" ht="12" hidden="1" customHeight="1">
      <c r="M278" s="820"/>
      <c r="N278" s="239"/>
      <c r="O278" s="225"/>
      <c r="P278" s="260"/>
      <c r="Q278" s="258"/>
      <c r="R278" s="260"/>
      <c r="S278" s="260"/>
      <c r="T278" s="260"/>
      <c r="U278" s="260"/>
      <c r="V278" s="260"/>
      <c r="W278" s="260"/>
      <c r="X278" s="260"/>
      <c r="Y278" s="260"/>
      <c r="Z278" s="260"/>
      <c r="AA278" s="260"/>
      <c r="AB278" s="260"/>
      <c r="AC278" s="260"/>
      <c r="AD278" s="260"/>
      <c r="AE278" s="260"/>
      <c r="AF278" s="260"/>
      <c r="AG278" s="258"/>
      <c r="AO278"/>
      <c r="AP278"/>
      <c r="AQ278"/>
      <c r="AR278"/>
      <c r="AS278"/>
      <c r="AT278"/>
      <c r="AU278"/>
      <c r="AV278"/>
      <c r="AW278"/>
      <c r="AX278"/>
      <c r="AY278"/>
      <c r="AZ278"/>
      <c r="BA278"/>
      <c r="BB278"/>
      <c r="BC278"/>
      <c r="BD278"/>
      <c r="BE278"/>
      <c r="BF278"/>
    </row>
    <row r="279" spans="13:58" ht="12" hidden="1" customHeight="1">
      <c r="M279" s="820"/>
      <c r="N279" s="239"/>
      <c r="O279" s="225"/>
      <c r="P279" s="260"/>
      <c r="Q279" s="258"/>
      <c r="R279" s="260"/>
      <c r="S279" s="260"/>
      <c r="T279" s="260"/>
      <c r="U279" s="260"/>
      <c r="V279" s="260"/>
      <c r="W279" s="260"/>
      <c r="X279" s="260"/>
      <c r="Y279" s="260"/>
      <c r="Z279" s="260"/>
      <c r="AA279" s="260"/>
      <c r="AB279" s="260"/>
      <c r="AC279" s="260"/>
      <c r="AD279" s="260"/>
      <c r="AE279" s="260"/>
      <c r="AF279" s="260"/>
      <c r="AG279" s="258"/>
      <c r="AO279"/>
      <c r="AP279"/>
      <c r="AQ279"/>
      <c r="AR279"/>
      <c r="AS279"/>
      <c r="AT279"/>
      <c r="AU279"/>
      <c r="AV279"/>
      <c r="AW279"/>
      <c r="AX279"/>
      <c r="AY279"/>
      <c r="AZ279"/>
      <c r="BA279"/>
      <c r="BB279"/>
      <c r="BC279"/>
      <c r="BD279"/>
      <c r="BE279"/>
      <c r="BF279"/>
    </row>
    <row r="280" spans="13:58" ht="12" hidden="1" customHeight="1">
      <c r="M280" s="820"/>
      <c r="N280" s="239"/>
      <c r="O280" s="225"/>
      <c r="P280" s="260"/>
      <c r="Q280" s="258"/>
      <c r="R280" s="260"/>
      <c r="S280" s="260"/>
      <c r="T280" s="260"/>
      <c r="U280" s="260"/>
      <c r="V280" s="260"/>
      <c r="W280" s="260"/>
      <c r="X280" s="260"/>
      <c r="Y280" s="260"/>
      <c r="Z280" s="260"/>
      <c r="AA280" s="260"/>
      <c r="AB280" s="260"/>
      <c r="AC280" s="260"/>
      <c r="AD280" s="260"/>
      <c r="AE280" s="260"/>
      <c r="AF280" s="260"/>
      <c r="AG280" s="258"/>
      <c r="AO280"/>
      <c r="AP280"/>
      <c r="AQ280"/>
      <c r="AR280"/>
      <c r="AS280"/>
      <c r="AT280"/>
      <c r="AU280"/>
      <c r="AV280"/>
      <c r="AW280"/>
      <c r="AX280"/>
      <c r="AY280"/>
      <c r="AZ280"/>
      <c r="BA280"/>
      <c r="BB280"/>
      <c r="BC280"/>
      <c r="BD280"/>
      <c r="BE280"/>
      <c r="BF280"/>
    </row>
    <row r="281" spans="13:58" ht="12" hidden="1" customHeight="1">
      <c r="M281" s="820"/>
      <c r="N281" s="239"/>
      <c r="O281" s="225"/>
      <c r="P281" s="260"/>
      <c r="Q281" s="258"/>
      <c r="R281" s="260"/>
      <c r="S281" s="260"/>
      <c r="T281" s="260"/>
      <c r="U281" s="260"/>
      <c r="V281" s="260"/>
      <c r="W281" s="260"/>
      <c r="X281" s="260"/>
      <c r="Y281" s="260"/>
      <c r="Z281" s="260"/>
      <c r="AA281" s="260"/>
      <c r="AB281" s="260"/>
      <c r="AC281" s="260"/>
      <c r="AD281" s="260"/>
      <c r="AE281" s="260"/>
      <c r="AF281" s="260"/>
      <c r="AG281" s="258"/>
      <c r="AO281"/>
      <c r="AP281"/>
      <c r="AQ281"/>
      <c r="AR281"/>
      <c r="AS281"/>
      <c r="AT281"/>
      <c r="AU281"/>
      <c r="AV281"/>
      <c r="AW281"/>
      <c r="AX281"/>
      <c r="AY281"/>
      <c r="AZ281"/>
      <c r="BA281"/>
      <c r="BB281"/>
      <c r="BC281"/>
      <c r="BD281"/>
      <c r="BE281"/>
      <c r="BF281"/>
    </row>
    <row r="282" spans="13:58" ht="12" hidden="1" customHeight="1">
      <c r="M282" s="820"/>
      <c r="N282" s="239"/>
      <c r="O282" s="225"/>
      <c r="P282" s="260"/>
      <c r="Q282" s="258"/>
      <c r="R282" s="260"/>
      <c r="S282" s="260"/>
      <c r="T282" s="260"/>
      <c r="U282" s="260"/>
      <c r="V282" s="260"/>
      <c r="W282" s="260"/>
      <c r="X282" s="260"/>
      <c r="Y282" s="260"/>
      <c r="Z282" s="260"/>
      <c r="AA282" s="260"/>
      <c r="AB282" s="260"/>
      <c r="AC282" s="260"/>
      <c r="AD282" s="260"/>
      <c r="AE282" s="260"/>
      <c r="AF282" s="260"/>
      <c r="AG282" s="258"/>
      <c r="AO282"/>
      <c r="AP282"/>
      <c r="AQ282"/>
      <c r="AR282"/>
      <c r="AS282"/>
      <c r="AT282"/>
      <c r="AU282"/>
      <c r="AV282"/>
      <c r="AW282"/>
      <c r="AX282"/>
      <c r="AY282"/>
      <c r="AZ282"/>
      <c r="BA282"/>
      <c r="BB282"/>
      <c r="BC282"/>
      <c r="BD282"/>
      <c r="BE282"/>
      <c r="BF282"/>
    </row>
    <row r="283" spans="13:58" ht="12" hidden="1" customHeight="1">
      <c r="M283" s="820"/>
      <c r="N283" s="239"/>
      <c r="O283" s="225"/>
      <c r="P283" s="260"/>
      <c r="Q283" s="258"/>
      <c r="R283" s="260"/>
      <c r="S283" s="260"/>
      <c r="T283" s="260"/>
      <c r="U283" s="260"/>
      <c r="V283" s="260"/>
      <c r="W283" s="260"/>
      <c r="X283" s="260"/>
      <c r="Y283" s="260"/>
      <c r="Z283" s="260"/>
      <c r="AA283" s="260"/>
      <c r="AB283" s="260"/>
      <c r="AC283" s="260"/>
      <c r="AD283" s="260"/>
      <c r="AE283" s="260"/>
      <c r="AF283" s="260"/>
      <c r="AG283" s="258"/>
      <c r="AO283"/>
      <c r="AP283"/>
      <c r="AQ283"/>
      <c r="AR283"/>
      <c r="AS283"/>
      <c r="AT283"/>
      <c r="AU283"/>
      <c r="AV283"/>
      <c r="AW283"/>
      <c r="AX283"/>
      <c r="AY283"/>
      <c r="AZ283"/>
      <c r="BA283"/>
      <c r="BB283"/>
      <c r="BC283"/>
      <c r="BD283"/>
      <c r="BE283"/>
      <c r="BF283"/>
    </row>
    <row r="284" spans="13:58" ht="12" hidden="1" customHeight="1">
      <c r="M284" s="820"/>
      <c r="N284" s="239"/>
      <c r="O284" s="225"/>
      <c r="P284" s="260"/>
      <c r="Q284" s="258"/>
      <c r="R284" s="260"/>
      <c r="S284" s="260"/>
      <c r="T284" s="260"/>
      <c r="U284" s="260"/>
      <c r="V284" s="260"/>
      <c r="W284" s="260"/>
      <c r="X284" s="260"/>
      <c r="Y284" s="260"/>
      <c r="Z284" s="260"/>
      <c r="AA284" s="260"/>
      <c r="AB284" s="260"/>
      <c r="AC284" s="260"/>
      <c r="AD284" s="260"/>
      <c r="AE284" s="260"/>
      <c r="AF284" s="260"/>
      <c r="AG284" s="258"/>
      <c r="AO284"/>
      <c r="AP284"/>
      <c r="AQ284"/>
      <c r="AR284"/>
      <c r="AS284"/>
      <c r="AT284"/>
      <c r="AU284"/>
      <c r="AV284"/>
      <c r="AW284"/>
      <c r="AX284"/>
      <c r="AY284"/>
      <c r="AZ284"/>
      <c r="BA284"/>
      <c r="BB284"/>
      <c r="BC284"/>
      <c r="BD284"/>
      <c r="BE284"/>
      <c r="BF284"/>
    </row>
    <row r="285" spans="13:58" ht="12" hidden="1" customHeight="1">
      <c r="M285" s="820"/>
      <c r="N285" s="239"/>
      <c r="O285" s="225"/>
      <c r="P285" s="260"/>
      <c r="Q285" s="258"/>
      <c r="R285" s="260"/>
      <c r="S285" s="260"/>
      <c r="T285" s="260"/>
      <c r="U285" s="260"/>
      <c r="V285" s="260"/>
      <c r="W285" s="260"/>
      <c r="X285" s="260"/>
      <c r="Y285" s="260"/>
      <c r="Z285" s="260"/>
      <c r="AA285" s="260"/>
      <c r="AB285" s="260"/>
      <c r="AC285" s="260"/>
      <c r="AD285" s="260"/>
      <c r="AE285" s="260"/>
      <c r="AF285" s="260"/>
      <c r="AG285" s="258"/>
      <c r="AO285"/>
      <c r="AP285"/>
      <c r="AQ285"/>
      <c r="AR285"/>
      <c r="AS285"/>
      <c r="AT285"/>
      <c r="AU285"/>
      <c r="AV285"/>
      <c r="AW285"/>
      <c r="AX285"/>
      <c r="AY285"/>
      <c r="AZ285"/>
      <c r="BA285"/>
      <c r="BB285"/>
      <c r="BC285"/>
      <c r="BD285"/>
      <c r="BE285"/>
      <c r="BF285"/>
    </row>
    <row r="286" spans="13:58" ht="12" hidden="1" customHeight="1">
      <c r="M286" s="820"/>
      <c r="N286" s="239"/>
      <c r="O286" s="225"/>
      <c r="P286" s="260"/>
      <c r="Q286" s="258"/>
      <c r="R286" s="260"/>
      <c r="S286" s="260"/>
      <c r="T286" s="260"/>
      <c r="U286" s="260"/>
      <c r="V286" s="260"/>
      <c r="W286" s="260"/>
      <c r="X286" s="260"/>
      <c r="Y286" s="260"/>
      <c r="Z286" s="260"/>
      <c r="AA286" s="260"/>
      <c r="AB286" s="260"/>
      <c r="AC286" s="260"/>
      <c r="AD286" s="260"/>
      <c r="AE286" s="260"/>
      <c r="AF286" s="260"/>
      <c r="AG286" s="258"/>
      <c r="AO286"/>
      <c r="AP286"/>
      <c r="AQ286"/>
      <c r="AR286"/>
      <c r="AS286"/>
      <c r="AT286"/>
      <c r="AU286"/>
      <c r="AV286"/>
      <c r="AW286"/>
      <c r="AX286"/>
      <c r="AY286"/>
      <c r="AZ286"/>
      <c r="BA286"/>
      <c r="BB286"/>
      <c r="BC286"/>
      <c r="BD286"/>
      <c r="BE286"/>
      <c r="BF286"/>
    </row>
    <row r="287" spans="13:58" ht="12" hidden="1" customHeight="1">
      <c r="M287" s="820"/>
      <c r="N287" s="239"/>
      <c r="O287" s="225"/>
      <c r="P287" s="260"/>
      <c r="Q287" s="258"/>
      <c r="R287" s="260"/>
      <c r="S287" s="260"/>
      <c r="T287" s="260"/>
      <c r="U287" s="260"/>
      <c r="V287" s="260"/>
      <c r="W287" s="260"/>
      <c r="X287" s="260"/>
      <c r="Y287" s="260"/>
      <c r="Z287" s="260"/>
      <c r="AA287" s="260"/>
      <c r="AB287" s="260"/>
      <c r="AC287" s="260"/>
      <c r="AD287" s="260"/>
      <c r="AE287" s="260"/>
      <c r="AF287" s="260"/>
      <c r="AG287" s="258"/>
      <c r="AO287"/>
      <c r="AP287"/>
      <c r="AQ287"/>
      <c r="AR287"/>
      <c r="AS287"/>
      <c r="AT287"/>
      <c r="AU287"/>
      <c r="AV287"/>
      <c r="AW287"/>
      <c r="AX287"/>
      <c r="AY287"/>
      <c r="AZ287"/>
      <c r="BA287"/>
      <c r="BB287"/>
      <c r="BC287"/>
      <c r="BD287"/>
      <c r="BE287"/>
      <c r="BF287"/>
    </row>
    <row r="288" spans="13:58" ht="12" hidden="1" customHeight="1">
      <c r="M288" s="820"/>
      <c r="N288" s="239"/>
      <c r="O288" s="225"/>
      <c r="P288" s="260"/>
      <c r="Q288" s="258"/>
      <c r="R288" s="260"/>
      <c r="S288" s="260"/>
      <c r="T288" s="260"/>
      <c r="U288" s="260"/>
      <c r="V288" s="260"/>
      <c r="W288" s="260"/>
      <c r="X288" s="260"/>
      <c r="Y288" s="260"/>
      <c r="Z288" s="260"/>
      <c r="AA288" s="260"/>
      <c r="AB288" s="260"/>
      <c r="AC288" s="260"/>
      <c r="AD288" s="260"/>
      <c r="AE288" s="260"/>
      <c r="AF288" s="260"/>
      <c r="AG288" s="258"/>
      <c r="AO288"/>
      <c r="AP288"/>
      <c r="AQ288"/>
      <c r="AR288"/>
      <c r="AS288"/>
      <c r="AT288"/>
      <c r="AU288"/>
      <c r="AV288"/>
      <c r="AW288"/>
      <c r="AX288"/>
      <c r="AY288"/>
      <c r="AZ288"/>
      <c r="BA288"/>
      <c r="BB288"/>
      <c r="BC288"/>
      <c r="BD288"/>
      <c r="BE288"/>
      <c r="BF288"/>
    </row>
    <row r="289" spans="13:58" ht="12" hidden="1" customHeight="1">
      <c r="M289" s="820"/>
      <c r="N289" s="239"/>
      <c r="O289" s="225"/>
      <c r="P289" s="260"/>
      <c r="Q289" s="258"/>
      <c r="R289" s="260"/>
      <c r="S289" s="260"/>
      <c r="T289" s="260"/>
      <c r="U289" s="260"/>
      <c r="V289" s="260"/>
      <c r="W289" s="260"/>
      <c r="X289" s="260"/>
      <c r="Y289" s="260"/>
      <c r="Z289" s="260"/>
      <c r="AA289" s="260"/>
      <c r="AB289" s="260"/>
      <c r="AC289" s="260"/>
      <c r="AD289" s="260"/>
      <c r="AE289" s="260"/>
      <c r="AF289" s="260"/>
      <c r="AG289" s="258"/>
      <c r="AO289"/>
      <c r="AP289"/>
      <c r="AQ289"/>
      <c r="AR289"/>
      <c r="AS289"/>
      <c r="AT289"/>
      <c r="AU289"/>
      <c r="AV289"/>
      <c r="AW289"/>
      <c r="AX289"/>
      <c r="AY289"/>
      <c r="AZ289"/>
      <c r="BA289"/>
      <c r="BB289"/>
      <c r="BC289"/>
      <c r="BD289"/>
      <c r="BE289"/>
      <c r="BF289"/>
    </row>
    <row r="290" spans="13:58" ht="12" hidden="1" customHeight="1">
      <c r="M290" s="820"/>
      <c r="N290" s="239"/>
      <c r="O290" s="225"/>
      <c r="P290" s="260"/>
      <c r="Q290" s="258"/>
      <c r="R290" s="260"/>
      <c r="S290" s="260"/>
      <c r="T290" s="260"/>
      <c r="U290" s="260"/>
      <c r="V290" s="260"/>
      <c r="W290" s="260"/>
      <c r="X290" s="260"/>
      <c r="Y290" s="260"/>
      <c r="Z290" s="260"/>
      <c r="AA290" s="260"/>
      <c r="AB290" s="260"/>
      <c r="AC290" s="260"/>
      <c r="AD290" s="260"/>
      <c r="AE290" s="260"/>
      <c r="AF290" s="260"/>
      <c r="AG290" s="258"/>
      <c r="AO290"/>
      <c r="AP290"/>
      <c r="AQ290"/>
      <c r="AR290"/>
      <c r="AS290"/>
      <c r="AT290"/>
      <c r="AU290"/>
      <c r="AV290"/>
      <c r="AW290"/>
      <c r="AX290"/>
      <c r="AY290"/>
      <c r="AZ290"/>
      <c r="BA290"/>
      <c r="BB290"/>
      <c r="BC290"/>
      <c r="BD290"/>
      <c r="BE290"/>
      <c r="BF290"/>
    </row>
    <row r="291" spans="13:58" ht="12" hidden="1" customHeight="1">
      <c r="M291" s="820"/>
      <c r="N291" s="239"/>
      <c r="O291" s="225"/>
      <c r="P291" s="260"/>
      <c r="Q291" s="258"/>
      <c r="R291" s="260"/>
      <c r="S291" s="260"/>
      <c r="T291" s="260"/>
      <c r="U291" s="260"/>
      <c r="V291" s="260"/>
      <c r="W291" s="260"/>
      <c r="X291" s="260"/>
      <c r="Y291" s="260"/>
      <c r="Z291" s="260"/>
      <c r="AA291" s="260"/>
      <c r="AB291" s="260"/>
      <c r="AC291" s="260"/>
      <c r="AD291" s="260"/>
      <c r="AE291" s="260"/>
      <c r="AF291" s="260"/>
      <c r="AG291" s="258"/>
      <c r="AO291"/>
      <c r="AP291"/>
      <c r="AQ291"/>
      <c r="AR291"/>
      <c r="AS291"/>
      <c r="AT291"/>
      <c r="AU291"/>
      <c r="AV291"/>
      <c r="AW291"/>
      <c r="AX291"/>
      <c r="AY291"/>
      <c r="AZ291"/>
      <c r="BA291"/>
      <c r="BB291"/>
      <c r="BC291"/>
      <c r="BD291"/>
      <c r="BE291"/>
      <c r="BF291"/>
    </row>
    <row r="292" spans="13:58" ht="12" hidden="1" customHeight="1">
      <c r="M292" s="820"/>
      <c r="N292" s="239"/>
      <c r="O292" s="225"/>
      <c r="P292" s="260"/>
      <c r="Q292" s="258"/>
      <c r="R292" s="260"/>
      <c r="S292" s="260"/>
      <c r="T292" s="260"/>
      <c r="U292" s="260"/>
      <c r="V292" s="260"/>
      <c r="W292" s="260"/>
      <c r="X292" s="260"/>
      <c r="Y292" s="260"/>
      <c r="Z292" s="260"/>
      <c r="AA292" s="260"/>
      <c r="AB292" s="260"/>
      <c r="AC292" s="260"/>
      <c r="AD292" s="260"/>
      <c r="AE292" s="260"/>
      <c r="AF292" s="260"/>
      <c r="AG292" s="258"/>
      <c r="AO292"/>
      <c r="AP292"/>
      <c r="AQ292"/>
      <c r="AR292"/>
      <c r="AS292"/>
      <c r="AT292"/>
      <c r="AU292"/>
      <c r="AV292"/>
      <c r="AW292"/>
      <c r="AX292"/>
      <c r="AY292"/>
      <c r="AZ292"/>
      <c r="BA292"/>
      <c r="BB292"/>
      <c r="BC292"/>
      <c r="BD292"/>
      <c r="BE292"/>
      <c r="BF292"/>
    </row>
    <row r="293" spans="13:58" ht="12" hidden="1" customHeight="1">
      <c r="M293" s="820"/>
      <c r="N293" s="239"/>
      <c r="O293" s="225"/>
      <c r="P293" s="260"/>
      <c r="Q293" s="258"/>
      <c r="R293" s="260"/>
      <c r="S293" s="260"/>
      <c r="T293" s="260"/>
      <c r="U293" s="260"/>
      <c r="V293" s="260"/>
      <c r="W293" s="260"/>
      <c r="X293" s="260"/>
      <c r="Y293" s="260"/>
      <c r="Z293" s="260"/>
      <c r="AA293" s="260"/>
      <c r="AB293" s="260"/>
      <c r="AC293" s="260"/>
      <c r="AD293" s="260"/>
      <c r="AE293" s="260"/>
      <c r="AF293" s="260"/>
      <c r="AG293" s="258"/>
      <c r="AO293"/>
      <c r="AP293"/>
      <c r="AQ293"/>
      <c r="AR293"/>
      <c r="AS293"/>
      <c r="AT293"/>
      <c r="AU293"/>
      <c r="AV293"/>
      <c r="AW293"/>
      <c r="AX293"/>
      <c r="AY293"/>
      <c r="AZ293"/>
      <c r="BA293"/>
      <c r="BB293"/>
      <c r="BC293"/>
      <c r="BD293"/>
      <c r="BE293"/>
      <c r="BF293"/>
    </row>
    <row r="294" spans="13:58" ht="12" hidden="1" customHeight="1">
      <c r="M294" s="820"/>
      <c r="N294" s="239"/>
      <c r="O294" s="225"/>
      <c r="P294" s="260"/>
      <c r="Q294" s="258"/>
      <c r="R294" s="260"/>
      <c r="S294" s="260"/>
      <c r="T294" s="260"/>
      <c r="U294" s="260"/>
      <c r="V294" s="260"/>
      <c r="W294" s="260"/>
      <c r="X294" s="260"/>
      <c r="Y294" s="260"/>
      <c r="Z294" s="260"/>
      <c r="AA294" s="260"/>
      <c r="AB294" s="260"/>
      <c r="AC294" s="260"/>
      <c r="AD294" s="260"/>
      <c r="AE294" s="260"/>
      <c r="AF294" s="260"/>
      <c r="AG294" s="258"/>
      <c r="AO294"/>
      <c r="AP294"/>
      <c r="AQ294"/>
      <c r="AR294"/>
      <c r="AS294"/>
      <c r="AT294"/>
      <c r="AU294"/>
      <c r="AV294"/>
      <c r="AW294"/>
      <c r="AX294"/>
      <c r="AY294"/>
      <c r="AZ294"/>
      <c r="BA294"/>
      <c r="BB294"/>
      <c r="BC294"/>
      <c r="BD294"/>
      <c r="BE294"/>
      <c r="BF294"/>
    </row>
    <row r="295" spans="13:58" ht="12" hidden="1" customHeight="1">
      <c r="M295" s="820"/>
      <c r="N295" s="239"/>
      <c r="O295" s="225"/>
      <c r="P295" s="260"/>
      <c r="Q295" s="258"/>
      <c r="R295" s="260"/>
      <c r="S295" s="260"/>
      <c r="T295" s="260"/>
      <c r="U295" s="260"/>
      <c r="V295" s="260"/>
      <c r="W295" s="260"/>
      <c r="X295" s="260"/>
      <c r="Y295" s="260"/>
      <c r="Z295" s="260"/>
      <c r="AA295" s="260"/>
      <c r="AB295" s="260"/>
      <c r="AC295" s="260"/>
      <c r="AD295" s="260"/>
      <c r="AE295" s="260"/>
      <c r="AF295" s="260"/>
      <c r="AG295" s="258"/>
      <c r="AO295"/>
      <c r="AP295"/>
      <c r="AQ295"/>
      <c r="AR295"/>
      <c r="AS295"/>
      <c r="AT295"/>
      <c r="AU295"/>
      <c r="AV295"/>
      <c r="AW295"/>
      <c r="AX295"/>
      <c r="AY295"/>
      <c r="AZ295"/>
      <c r="BA295"/>
      <c r="BB295"/>
      <c r="BC295"/>
      <c r="BD295"/>
      <c r="BE295"/>
      <c r="BF295"/>
    </row>
    <row r="296" spans="13:58" ht="12" hidden="1" customHeight="1">
      <c r="M296" s="820"/>
      <c r="N296" s="239"/>
      <c r="O296" s="225"/>
      <c r="P296" s="260"/>
      <c r="Q296" s="258"/>
      <c r="R296" s="260"/>
      <c r="S296" s="260"/>
      <c r="T296" s="260"/>
      <c r="U296" s="260"/>
      <c r="V296" s="260"/>
      <c r="W296" s="260"/>
      <c r="X296" s="260"/>
      <c r="Y296" s="260"/>
      <c r="Z296" s="260"/>
      <c r="AA296" s="260"/>
      <c r="AB296" s="260"/>
      <c r="AC296" s="260"/>
      <c r="AD296" s="260"/>
      <c r="AE296" s="260"/>
      <c r="AF296" s="260"/>
      <c r="AG296" s="258"/>
      <c r="AO296"/>
      <c r="AP296"/>
      <c r="AQ296"/>
      <c r="AR296"/>
      <c r="AS296"/>
      <c r="AT296"/>
      <c r="AU296"/>
      <c r="AV296"/>
      <c r="AW296"/>
      <c r="AX296"/>
      <c r="AY296"/>
      <c r="AZ296"/>
      <c r="BA296"/>
      <c r="BB296"/>
      <c r="BC296"/>
      <c r="BD296"/>
      <c r="BE296"/>
      <c r="BF296"/>
    </row>
    <row r="297" spans="13:58" ht="12" hidden="1" customHeight="1">
      <c r="M297" s="820"/>
      <c r="N297" s="239"/>
      <c r="O297" s="225"/>
      <c r="P297" s="260"/>
      <c r="Q297" s="258"/>
      <c r="R297" s="260"/>
      <c r="S297" s="260"/>
      <c r="T297" s="260"/>
      <c r="U297" s="260"/>
      <c r="V297" s="260"/>
      <c r="W297" s="260"/>
      <c r="X297" s="260"/>
      <c r="Y297" s="260"/>
      <c r="Z297" s="260"/>
      <c r="AA297" s="260"/>
      <c r="AB297" s="260"/>
      <c r="AC297" s="260"/>
      <c r="AD297" s="260"/>
      <c r="AE297" s="260"/>
      <c r="AF297" s="260"/>
      <c r="AG297" s="258"/>
      <c r="AO297"/>
      <c r="AP297"/>
      <c r="AQ297"/>
      <c r="AR297"/>
      <c r="AS297"/>
      <c r="AT297"/>
      <c r="AU297"/>
      <c r="AV297"/>
      <c r="AW297"/>
      <c r="AX297"/>
      <c r="AY297"/>
      <c r="AZ297"/>
      <c r="BA297"/>
      <c r="BB297"/>
      <c r="BC297"/>
      <c r="BD297"/>
      <c r="BE297"/>
      <c r="BF297"/>
    </row>
    <row r="298" spans="13:58" ht="12" hidden="1" customHeight="1">
      <c r="M298" s="820"/>
      <c r="N298" s="239"/>
      <c r="O298" s="225"/>
      <c r="P298" s="260"/>
      <c r="Q298" s="258"/>
      <c r="R298" s="260"/>
      <c r="S298" s="260"/>
      <c r="T298" s="260"/>
      <c r="U298" s="260"/>
      <c r="V298" s="260"/>
      <c r="W298" s="260"/>
      <c r="X298" s="260"/>
      <c r="Y298" s="260"/>
      <c r="Z298" s="260"/>
      <c r="AA298" s="260"/>
      <c r="AB298" s="260"/>
      <c r="AC298" s="260"/>
      <c r="AD298" s="260"/>
      <c r="AE298" s="260"/>
      <c r="AF298" s="260"/>
      <c r="AG298" s="258"/>
      <c r="AO298"/>
      <c r="AP298"/>
      <c r="AQ298"/>
      <c r="AR298"/>
      <c r="AS298"/>
      <c r="AT298"/>
      <c r="AU298"/>
      <c r="AV298"/>
      <c r="AW298"/>
      <c r="AX298"/>
      <c r="AY298"/>
      <c r="AZ298"/>
      <c r="BA298"/>
      <c r="BB298"/>
      <c r="BC298"/>
      <c r="BD298"/>
      <c r="BE298"/>
      <c r="BF298"/>
    </row>
    <row r="299" spans="13:58" ht="12" hidden="1" customHeight="1">
      <c r="M299" s="820"/>
      <c r="N299" s="239"/>
      <c r="O299" s="225"/>
      <c r="P299" s="260"/>
      <c r="Q299" s="258"/>
      <c r="R299" s="260"/>
      <c r="S299" s="260"/>
      <c r="T299" s="260"/>
      <c r="U299" s="260"/>
      <c r="V299" s="260"/>
      <c r="W299" s="260"/>
      <c r="X299" s="260"/>
      <c r="Y299" s="260"/>
      <c r="Z299" s="260"/>
      <c r="AA299" s="260"/>
      <c r="AB299" s="260"/>
      <c r="AC299" s="260"/>
      <c r="AD299" s="260"/>
      <c r="AE299" s="260"/>
      <c r="AF299" s="260"/>
      <c r="AG299" s="258"/>
      <c r="AO299"/>
      <c r="AP299"/>
      <c r="AQ299"/>
      <c r="AR299"/>
      <c r="AS299"/>
      <c r="AT299"/>
      <c r="AU299"/>
      <c r="AV299"/>
      <c r="AW299"/>
      <c r="AX299"/>
      <c r="AY299"/>
      <c r="AZ299"/>
      <c r="BA299"/>
      <c r="BB299"/>
      <c r="BC299"/>
      <c r="BD299"/>
      <c r="BE299"/>
      <c r="BF299"/>
    </row>
    <row r="300" spans="13:58" ht="12" hidden="1" customHeight="1">
      <c r="M300" s="820"/>
      <c r="N300" s="239"/>
      <c r="O300" s="225"/>
      <c r="P300" s="260"/>
      <c r="Q300" s="258"/>
      <c r="R300" s="260"/>
      <c r="S300" s="260"/>
      <c r="T300" s="260"/>
      <c r="U300" s="260"/>
      <c r="V300" s="260"/>
      <c r="W300" s="260"/>
      <c r="X300" s="260"/>
      <c r="Y300" s="260"/>
      <c r="Z300" s="260"/>
      <c r="AA300" s="260"/>
      <c r="AB300" s="260"/>
      <c r="AC300" s="260"/>
      <c r="AD300" s="260"/>
      <c r="AE300" s="260"/>
      <c r="AF300" s="260"/>
      <c r="AG300" s="258"/>
      <c r="AO300"/>
      <c r="AP300"/>
      <c r="AQ300"/>
      <c r="AR300"/>
      <c r="AS300"/>
      <c r="AT300"/>
      <c r="AU300"/>
      <c r="AV300"/>
      <c r="AW300"/>
      <c r="AX300"/>
      <c r="AY300"/>
      <c r="AZ300"/>
      <c r="BA300"/>
      <c r="BB300"/>
      <c r="BC300"/>
      <c r="BD300"/>
      <c r="BE300"/>
      <c r="BF300"/>
    </row>
    <row r="301" spans="13:58" ht="12" hidden="1" customHeight="1">
      <c r="M301" s="820"/>
      <c r="N301" s="239"/>
      <c r="O301" s="225"/>
      <c r="P301" s="260"/>
      <c r="Q301" s="258"/>
      <c r="R301" s="260"/>
      <c r="S301" s="260"/>
      <c r="T301" s="260"/>
      <c r="U301" s="260"/>
      <c r="V301" s="260"/>
      <c r="W301" s="260"/>
      <c r="X301" s="260"/>
      <c r="Y301" s="260"/>
      <c r="Z301" s="260"/>
      <c r="AA301" s="260"/>
      <c r="AB301" s="260"/>
      <c r="AC301" s="260"/>
      <c r="AD301" s="260"/>
      <c r="AE301" s="260"/>
      <c r="AF301" s="260"/>
      <c r="AG301" s="258"/>
      <c r="AO301"/>
      <c r="AP301"/>
      <c r="AQ301"/>
      <c r="AR301"/>
      <c r="AS301"/>
      <c r="AT301"/>
      <c r="AU301"/>
      <c r="AV301"/>
      <c r="AW301"/>
      <c r="AX301"/>
      <c r="AY301"/>
      <c r="AZ301"/>
      <c r="BA301"/>
      <c r="BB301"/>
      <c r="BC301"/>
      <c r="BD301"/>
      <c r="BE301"/>
      <c r="BF301"/>
    </row>
    <row r="302" spans="13:58" ht="12" hidden="1" customHeight="1">
      <c r="M302" s="820"/>
      <c r="N302" s="239"/>
      <c r="O302" s="225"/>
      <c r="P302" s="260"/>
      <c r="Q302" s="258"/>
      <c r="R302" s="260"/>
      <c r="S302" s="260"/>
      <c r="T302" s="260"/>
      <c r="U302" s="260"/>
      <c r="V302" s="260"/>
      <c r="W302" s="260"/>
      <c r="X302" s="260"/>
      <c r="Y302" s="260"/>
      <c r="Z302" s="260"/>
      <c r="AA302" s="260"/>
      <c r="AB302" s="260"/>
      <c r="AC302" s="260"/>
      <c r="AD302" s="260"/>
      <c r="AE302" s="260"/>
      <c r="AF302" s="260"/>
      <c r="AG302" s="258"/>
      <c r="AO302"/>
      <c r="AP302"/>
      <c r="AQ302"/>
      <c r="AR302"/>
      <c r="AS302"/>
      <c r="AT302"/>
      <c r="AU302"/>
      <c r="AV302"/>
      <c r="AW302"/>
      <c r="AX302"/>
      <c r="AY302"/>
      <c r="AZ302"/>
      <c r="BA302"/>
      <c r="BB302"/>
      <c r="BC302"/>
      <c r="BD302"/>
      <c r="BE302"/>
      <c r="BF302"/>
    </row>
    <row r="303" spans="13:58" ht="12" hidden="1" customHeight="1">
      <c r="M303" s="820"/>
      <c r="N303" s="239"/>
      <c r="O303" s="225"/>
      <c r="P303" s="260"/>
      <c r="Q303" s="258"/>
      <c r="R303" s="260"/>
      <c r="S303" s="260"/>
      <c r="T303" s="260"/>
      <c r="U303" s="260"/>
      <c r="V303" s="260"/>
      <c r="W303" s="260"/>
      <c r="X303" s="260"/>
      <c r="Y303" s="260"/>
      <c r="Z303" s="260"/>
      <c r="AA303" s="260"/>
      <c r="AB303" s="260"/>
      <c r="AC303" s="260"/>
      <c r="AD303" s="260"/>
      <c r="AE303" s="260"/>
      <c r="AF303" s="260"/>
      <c r="AG303" s="258"/>
      <c r="AO303"/>
      <c r="AP303"/>
      <c r="AQ303"/>
      <c r="AR303"/>
      <c r="AS303"/>
      <c r="AT303"/>
      <c r="AU303"/>
      <c r="AV303"/>
      <c r="AW303"/>
      <c r="AX303"/>
      <c r="AY303"/>
      <c r="AZ303"/>
      <c r="BA303"/>
      <c r="BB303"/>
      <c r="BC303"/>
      <c r="BD303"/>
      <c r="BE303"/>
      <c r="BF303"/>
    </row>
    <row r="304" spans="13:58" ht="12" hidden="1" customHeight="1">
      <c r="M304" s="820"/>
      <c r="N304" s="239"/>
      <c r="O304" s="225"/>
      <c r="P304" s="260"/>
      <c r="Q304" s="258"/>
      <c r="R304" s="260"/>
      <c r="S304" s="260"/>
      <c r="T304" s="260"/>
      <c r="U304" s="260"/>
      <c r="V304" s="260"/>
      <c r="W304" s="260"/>
      <c r="X304" s="260"/>
      <c r="Y304" s="260"/>
      <c r="Z304" s="260"/>
      <c r="AA304" s="260"/>
      <c r="AB304" s="260"/>
      <c r="AC304" s="260"/>
      <c r="AD304" s="260"/>
      <c r="AE304" s="260"/>
      <c r="AF304" s="260"/>
      <c r="AG304" s="258"/>
      <c r="AO304"/>
      <c r="AP304"/>
      <c r="AQ304"/>
      <c r="AR304"/>
      <c r="AS304"/>
      <c r="AT304"/>
      <c r="AU304"/>
      <c r="AV304"/>
      <c r="AW304"/>
      <c r="AX304"/>
      <c r="AY304"/>
      <c r="AZ304"/>
      <c r="BA304"/>
      <c r="BB304"/>
      <c r="BC304"/>
      <c r="BD304"/>
      <c r="BE304"/>
      <c r="BF304"/>
    </row>
    <row r="305" spans="13:58" ht="12" hidden="1" customHeight="1">
      <c r="M305" s="820"/>
      <c r="N305" s="239"/>
      <c r="O305" s="225"/>
      <c r="P305" s="260"/>
      <c r="Q305" s="258"/>
      <c r="R305" s="260"/>
      <c r="S305" s="260"/>
      <c r="T305" s="260"/>
      <c r="U305" s="260"/>
      <c r="V305" s="260"/>
      <c r="W305" s="260"/>
      <c r="X305" s="260"/>
      <c r="Y305" s="260"/>
      <c r="Z305" s="260"/>
      <c r="AA305" s="260"/>
      <c r="AB305" s="260"/>
      <c r="AC305" s="260"/>
      <c r="AD305" s="260"/>
      <c r="AE305" s="260"/>
      <c r="AF305" s="260"/>
      <c r="AG305" s="258"/>
      <c r="AO305"/>
      <c r="AP305"/>
      <c r="AQ305"/>
      <c r="AR305"/>
      <c r="AS305"/>
      <c r="AT305"/>
      <c r="AU305"/>
      <c r="AV305"/>
      <c r="AW305"/>
      <c r="AX305"/>
      <c r="AY305"/>
      <c r="AZ305"/>
      <c r="BA305"/>
      <c r="BB305"/>
      <c r="BC305"/>
      <c r="BD305"/>
      <c r="BE305"/>
      <c r="BF305"/>
    </row>
    <row r="306" spans="13:58" ht="12" hidden="1" customHeight="1">
      <c r="M306" s="820"/>
      <c r="N306" s="239"/>
      <c r="O306" s="225"/>
      <c r="P306" s="260"/>
      <c r="Q306" s="258"/>
      <c r="R306" s="260"/>
      <c r="S306" s="260"/>
      <c r="T306" s="260"/>
      <c r="U306" s="260"/>
      <c r="V306" s="260"/>
      <c r="W306" s="260"/>
      <c r="X306" s="260"/>
      <c r="Y306" s="260"/>
      <c r="Z306" s="260"/>
      <c r="AA306" s="260"/>
      <c r="AB306" s="260"/>
      <c r="AC306" s="260"/>
      <c r="AD306" s="260"/>
      <c r="AE306" s="260"/>
      <c r="AF306" s="260"/>
      <c r="AG306" s="258"/>
      <c r="AO306"/>
      <c r="AP306"/>
      <c r="AQ306"/>
      <c r="AR306"/>
      <c r="AS306"/>
      <c r="AT306"/>
      <c r="AU306"/>
      <c r="AV306"/>
      <c r="AW306"/>
      <c r="AX306"/>
      <c r="AY306"/>
      <c r="AZ306"/>
      <c r="BA306"/>
      <c r="BB306"/>
      <c r="BC306"/>
      <c r="BD306"/>
      <c r="BE306"/>
      <c r="BF306"/>
    </row>
    <row r="307" spans="13:58" ht="12" hidden="1" customHeight="1">
      <c r="M307" s="820"/>
      <c r="N307" s="239"/>
      <c r="O307" s="225"/>
      <c r="P307" s="260"/>
      <c r="Q307" s="258"/>
      <c r="R307" s="260"/>
      <c r="S307" s="260"/>
      <c r="T307" s="260"/>
      <c r="U307" s="260"/>
      <c r="V307" s="260"/>
      <c r="W307" s="260"/>
      <c r="X307" s="260"/>
      <c r="Y307" s="260"/>
      <c r="Z307" s="260"/>
      <c r="AA307" s="260"/>
      <c r="AB307" s="260"/>
      <c r="AC307" s="260"/>
      <c r="AD307" s="260"/>
      <c r="AE307" s="260"/>
      <c r="AF307" s="260"/>
      <c r="AG307" s="258"/>
      <c r="AO307"/>
      <c r="AP307"/>
      <c r="AQ307"/>
      <c r="AR307"/>
      <c r="AS307"/>
      <c r="AT307"/>
      <c r="AU307"/>
      <c r="AV307"/>
      <c r="AW307"/>
      <c r="AX307"/>
      <c r="AY307"/>
      <c r="AZ307"/>
      <c r="BA307"/>
      <c r="BB307"/>
      <c r="BC307"/>
      <c r="BD307"/>
      <c r="BE307"/>
      <c r="BF307"/>
    </row>
    <row r="308" spans="13:58" ht="12" hidden="1" customHeight="1">
      <c r="M308" s="820"/>
      <c r="N308" s="239"/>
      <c r="O308" s="225"/>
      <c r="P308" s="260"/>
      <c r="Q308" s="258"/>
      <c r="R308" s="260"/>
      <c r="S308" s="260"/>
      <c r="T308" s="260"/>
      <c r="U308" s="260"/>
      <c r="V308" s="260"/>
      <c r="W308" s="260"/>
      <c r="X308" s="260"/>
      <c r="Y308" s="260"/>
      <c r="Z308" s="260"/>
      <c r="AA308" s="260"/>
      <c r="AB308" s="260"/>
      <c r="AC308" s="260"/>
      <c r="AD308" s="260"/>
      <c r="AE308" s="260"/>
      <c r="AF308" s="260"/>
      <c r="AG308" s="258"/>
      <c r="AO308"/>
      <c r="AP308"/>
      <c r="AQ308"/>
      <c r="AR308"/>
      <c r="AS308"/>
      <c r="AT308"/>
      <c r="AU308"/>
      <c r="AV308"/>
      <c r="AW308"/>
      <c r="AX308"/>
      <c r="AY308"/>
      <c r="AZ308"/>
      <c r="BA308"/>
      <c r="BB308"/>
      <c r="BC308"/>
      <c r="BD308"/>
      <c r="BE308"/>
      <c r="BF308"/>
    </row>
    <row r="309" spans="13:58" ht="12" hidden="1" customHeight="1">
      <c r="M309" s="820"/>
      <c r="N309" s="239"/>
      <c r="O309" s="225"/>
      <c r="P309" s="260"/>
      <c r="Q309" s="258"/>
      <c r="R309" s="260"/>
      <c r="S309" s="260"/>
      <c r="T309" s="260"/>
      <c r="U309" s="260"/>
      <c r="V309" s="260"/>
      <c r="W309" s="260"/>
      <c r="X309" s="260"/>
      <c r="Y309" s="260"/>
      <c r="Z309" s="260"/>
      <c r="AA309" s="260"/>
      <c r="AB309" s="260"/>
      <c r="AC309" s="260"/>
      <c r="AD309" s="260"/>
      <c r="AE309" s="260"/>
      <c r="AF309" s="260"/>
      <c r="AG309" s="258"/>
      <c r="AO309"/>
      <c r="AP309"/>
      <c r="AQ309"/>
      <c r="AR309"/>
      <c r="AS309"/>
      <c r="AT309"/>
      <c r="AU309"/>
      <c r="AV309"/>
      <c r="AW309"/>
      <c r="AX309"/>
      <c r="AY309"/>
      <c r="AZ309"/>
      <c r="BA309"/>
      <c r="BB309"/>
      <c r="BC309"/>
      <c r="BD309"/>
      <c r="BE309"/>
      <c r="BF309"/>
    </row>
    <row r="310" spans="13:58" ht="12" hidden="1" customHeight="1">
      <c r="M310" s="820"/>
      <c r="N310" s="239"/>
      <c r="O310" s="225"/>
      <c r="P310" s="260"/>
      <c r="Q310" s="258"/>
      <c r="R310" s="260"/>
      <c r="S310" s="260"/>
      <c r="T310" s="260"/>
      <c r="U310" s="260"/>
      <c r="V310" s="260"/>
      <c r="W310" s="260"/>
      <c r="X310" s="260"/>
      <c r="Y310" s="260"/>
      <c r="Z310" s="260"/>
      <c r="AA310" s="260"/>
      <c r="AB310" s="260"/>
      <c r="AC310" s="260"/>
      <c r="AD310" s="260"/>
      <c r="AE310" s="260"/>
      <c r="AF310" s="260"/>
      <c r="AG310" s="258"/>
      <c r="AO310"/>
      <c r="AP310"/>
      <c r="AQ310"/>
      <c r="AR310"/>
      <c r="AS310"/>
      <c r="AT310"/>
      <c r="AU310"/>
      <c r="AV310"/>
      <c r="AW310"/>
      <c r="AX310"/>
      <c r="AY310"/>
      <c r="AZ310"/>
      <c r="BA310"/>
      <c r="BB310"/>
      <c r="BC310"/>
      <c r="BD310"/>
      <c r="BE310"/>
      <c r="BF310"/>
    </row>
    <row r="311" spans="13:58" ht="12" hidden="1" customHeight="1">
      <c r="M311" s="820"/>
      <c r="N311" s="239"/>
      <c r="O311" s="225"/>
      <c r="P311" s="260"/>
      <c r="Q311" s="258"/>
      <c r="R311" s="260"/>
      <c r="S311" s="260"/>
      <c r="T311" s="260"/>
      <c r="U311" s="260"/>
      <c r="V311" s="260"/>
      <c r="W311" s="260"/>
      <c r="X311" s="260"/>
      <c r="Y311" s="260"/>
      <c r="Z311" s="260"/>
      <c r="AA311" s="260"/>
      <c r="AB311" s="260"/>
      <c r="AC311" s="260"/>
      <c r="AD311" s="260"/>
      <c r="AE311" s="260"/>
      <c r="AF311" s="260"/>
      <c r="AG311" s="258"/>
      <c r="AO311"/>
      <c r="AP311"/>
      <c r="AQ311"/>
      <c r="AR311"/>
      <c r="AS311"/>
      <c r="AT311"/>
      <c r="AU311"/>
      <c r="AV311"/>
      <c r="AW311"/>
      <c r="AX311"/>
      <c r="AY311"/>
      <c r="AZ311"/>
      <c r="BA311"/>
      <c r="BB311"/>
      <c r="BC311"/>
      <c r="BD311"/>
      <c r="BE311"/>
      <c r="BF311"/>
    </row>
    <row r="312" spans="13:58" ht="12" hidden="1" customHeight="1">
      <c r="M312" s="820"/>
      <c r="N312" s="239"/>
      <c r="O312" s="225"/>
      <c r="P312" s="260"/>
      <c r="Q312" s="258"/>
      <c r="R312" s="260"/>
      <c r="S312" s="260"/>
      <c r="T312" s="260"/>
      <c r="U312" s="260"/>
      <c r="V312" s="260"/>
      <c r="W312" s="260"/>
      <c r="X312" s="260"/>
      <c r="Y312" s="260"/>
      <c r="Z312" s="260"/>
      <c r="AA312" s="260"/>
      <c r="AB312" s="260"/>
      <c r="AC312" s="260"/>
      <c r="AD312" s="260"/>
      <c r="AE312" s="260"/>
      <c r="AF312" s="260"/>
      <c r="AG312" s="258"/>
      <c r="AO312"/>
      <c r="AP312"/>
      <c r="AQ312"/>
      <c r="AR312"/>
      <c r="AS312"/>
      <c r="AT312"/>
      <c r="AU312"/>
      <c r="AV312"/>
      <c r="AW312"/>
      <c r="AX312"/>
      <c r="AY312"/>
      <c r="AZ312"/>
      <c r="BA312"/>
      <c r="BB312"/>
      <c r="BC312"/>
      <c r="BD312"/>
      <c r="BE312"/>
      <c r="BF312"/>
    </row>
    <row r="313" spans="13:58" ht="12" hidden="1" customHeight="1">
      <c r="M313" s="820"/>
      <c r="N313" s="239"/>
      <c r="O313" s="225"/>
      <c r="P313" s="260"/>
      <c r="Q313" s="258"/>
      <c r="R313" s="260"/>
      <c r="S313" s="260"/>
      <c r="T313" s="260"/>
      <c r="U313" s="260"/>
      <c r="V313" s="260"/>
      <c r="W313" s="260"/>
      <c r="X313" s="260"/>
      <c r="Y313" s="260"/>
      <c r="Z313" s="260"/>
      <c r="AA313" s="260"/>
      <c r="AB313" s="260"/>
      <c r="AC313" s="260"/>
      <c r="AD313" s="260"/>
      <c r="AE313" s="260"/>
      <c r="AF313" s="260"/>
      <c r="AG313" s="258"/>
      <c r="AO313"/>
      <c r="AP313"/>
      <c r="AQ313"/>
      <c r="AR313"/>
      <c r="AS313"/>
      <c r="AT313"/>
      <c r="AU313"/>
      <c r="AV313"/>
      <c r="AW313"/>
      <c r="AX313"/>
      <c r="AY313"/>
      <c r="AZ313"/>
      <c r="BA313"/>
      <c r="BB313"/>
      <c r="BC313"/>
      <c r="BD313"/>
      <c r="BE313"/>
      <c r="BF313"/>
    </row>
    <row r="314" spans="13:58" ht="12" hidden="1" customHeight="1">
      <c r="M314" s="820"/>
      <c r="N314" s="239"/>
      <c r="O314" s="225"/>
      <c r="P314" s="260"/>
      <c r="Q314" s="258"/>
      <c r="R314" s="260"/>
      <c r="S314" s="260"/>
      <c r="T314" s="260"/>
      <c r="U314" s="260"/>
      <c r="V314" s="260"/>
      <c r="W314" s="260"/>
      <c r="X314" s="260"/>
      <c r="Y314" s="260"/>
      <c r="Z314" s="260"/>
      <c r="AA314" s="260"/>
      <c r="AB314" s="260"/>
      <c r="AC314" s="260"/>
      <c r="AD314" s="260"/>
      <c r="AE314" s="260"/>
      <c r="AF314" s="260"/>
      <c r="AG314" s="258"/>
      <c r="AO314"/>
      <c r="AP314"/>
      <c r="AQ314"/>
      <c r="AR314"/>
      <c r="AS314"/>
      <c r="AT314"/>
      <c r="AU314"/>
      <c r="AV314"/>
      <c r="AW314"/>
      <c r="AX314"/>
      <c r="AY314"/>
      <c r="AZ314"/>
      <c r="BA314"/>
      <c r="BB314"/>
      <c r="BC314"/>
      <c r="BD314"/>
      <c r="BE314"/>
      <c r="BF314"/>
    </row>
    <row r="315" spans="13:58" ht="12" hidden="1" customHeight="1">
      <c r="M315" s="820"/>
      <c r="N315" s="239"/>
      <c r="O315" s="225"/>
      <c r="P315" s="260"/>
      <c r="Q315" s="258"/>
      <c r="R315" s="260"/>
      <c r="S315" s="260"/>
      <c r="T315" s="260"/>
      <c r="U315" s="260"/>
      <c r="V315" s="260"/>
      <c r="W315" s="260"/>
      <c r="X315" s="260"/>
      <c r="Y315" s="260"/>
      <c r="Z315" s="260"/>
      <c r="AA315" s="260"/>
      <c r="AB315" s="260"/>
      <c r="AC315" s="260"/>
      <c r="AD315" s="260"/>
      <c r="AE315" s="260"/>
      <c r="AF315" s="260"/>
      <c r="AG315" s="258"/>
      <c r="AO315"/>
      <c r="AP315"/>
      <c r="AQ315"/>
      <c r="AR315"/>
      <c r="AS315"/>
      <c r="AT315"/>
      <c r="AU315"/>
      <c r="AV315"/>
      <c r="AW315"/>
      <c r="AX315"/>
      <c r="AY315"/>
      <c r="AZ315"/>
      <c r="BA315"/>
      <c r="BB315"/>
      <c r="BC315"/>
      <c r="BD315"/>
      <c r="BE315"/>
      <c r="BF315"/>
    </row>
    <row r="316" spans="13:58" ht="12" hidden="1" customHeight="1">
      <c r="M316" s="820"/>
      <c r="N316" s="239"/>
      <c r="O316" s="225"/>
      <c r="P316" s="260"/>
      <c r="Q316" s="258"/>
      <c r="R316" s="260"/>
      <c r="S316" s="260"/>
      <c r="T316" s="260"/>
      <c r="U316" s="260"/>
      <c r="V316" s="260"/>
      <c r="W316" s="260"/>
      <c r="X316" s="260"/>
      <c r="Y316" s="260"/>
      <c r="Z316" s="260"/>
      <c r="AA316" s="260"/>
      <c r="AB316" s="260"/>
      <c r="AC316" s="260"/>
      <c r="AD316" s="260"/>
      <c r="AE316" s="260"/>
      <c r="AF316" s="260"/>
      <c r="AG316" s="258"/>
      <c r="AO316"/>
      <c r="AP316"/>
      <c r="AQ316"/>
      <c r="AR316"/>
      <c r="AS316"/>
      <c r="AT316"/>
      <c r="AU316"/>
      <c r="AV316"/>
      <c r="AW316"/>
      <c r="AX316"/>
      <c r="AY316"/>
      <c r="AZ316"/>
      <c r="BA316"/>
      <c r="BB316"/>
      <c r="BC316"/>
      <c r="BD316"/>
      <c r="BE316"/>
      <c r="BF316"/>
    </row>
    <row r="317" spans="13:58" ht="12" hidden="1" customHeight="1">
      <c r="M317" s="820"/>
      <c r="N317" s="239"/>
      <c r="O317" s="225"/>
      <c r="P317" s="260"/>
      <c r="Q317" s="258"/>
      <c r="R317" s="260"/>
      <c r="S317" s="260"/>
      <c r="T317" s="260"/>
      <c r="U317" s="260"/>
      <c r="V317" s="260"/>
      <c r="W317" s="260"/>
      <c r="X317" s="260"/>
      <c r="Y317" s="260"/>
      <c r="Z317" s="260"/>
      <c r="AA317" s="260"/>
      <c r="AB317" s="260"/>
      <c r="AC317" s="260"/>
      <c r="AD317" s="260"/>
      <c r="AE317" s="260"/>
      <c r="AF317" s="260"/>
      <c r="AG317" s="258"/>
      <c r="AO317"/>
      <c r="AP317"/>
      <c r="AQ317"/>
      <c r="AR317"/>
      <c r="AS317"/>
      <c r="AT317"/>
      <c r="AU317"/>
      <c r="AV317"/>
      <c r="AW317"/>
      <c r="AX317"/>
      <c r="AY317"/>
      <c r="AZ317"/>
      <c r="BA317"/>
      <c r="BB317"/>
      <c r="BC317"/>
      <c r="BD317"/>
      <c r="BE317"/>
      <c r="BF317"/>
    </row>
    <row r="318" spans="13:58" ht="12" hidden="1" customHeight="1">
      <c r="M318" s="820"/>
      <c r="N318" s="239"/>
      <c r="O318" s="225"/>
      <c r="P318" s="260"/>
      <c r="Q318" s="258"/>
      <c r="R318" s="260"/>
      <c r="S318" s="260"/>
      <c r="T318" s="260"/>
      <c r="U318" s="260"/>
      <c r="V318" s="260"/>
      <c r="W318" s="260"/>
      <c r="X318" s="260"/>
      <c r="Y318" s="260"/>
      <c r="Z318" s="260"/>
      <c r="AA318" s="260"/>
      <c r="AB318" s="260"/>
      <c r="AC318" s="260"/>
      <c r="AD318" s="260"/>
      <c r="AE318" s="260"/>
      <c r="AF318" s="260"/>
      <c r="AG318" s="258"/>
      <c r="AO318"/>
      <c r="AP318"/>
      <c r="AQ318"/>
      <c r="AR318"/>
      <c r="AS318"/>
      <c r="AT318"/>
      <c r="AU318"/>
      <c r="AV318"/>
      <c r="AW318"/>
      <c r="AX318"/>
      <c r="AY318"/>
      <c r="AZ318"/>
      <c r="BA318"/>
      <c r="BB318"/>
      <c r="BC318"/>
      <c r="BD318"/>
      <c r="BE318"/>
      <c r="BF318"/>
    </row>
    <row r="319" spans="13:58" ht="12" hidden="1" customHeight="1">
      <c r="M319" s="820"/>
      <c r="N319" s="239"/>
      <c r="O319" s="225"/>
      <c r="P319" s="260"/>
      <c r="Q319" s="258"/>
      <c r="R319" s="260"/>
      <c r="S319" s="260"/>
      <c r="T319" s="260"/>
      <c r="U319" s="260"/>
      <c r="V319" s="260"/>
      <c r="W319" s="260"/>
      <c r="X319" s="260"/>
      <c r="Y319" s="260"/>
      <c r="Z319" s="260"/>
      <c r="AA319" s="260"/>
      <c r="AB319" s="260"/>
      <c r="AC319" s="260"/>
      <c r="AD319" s="260"/>
      <c r="AE319" s="260"/>
      <c r="AF319" s="260"/>
      <c r="AG319" s="258"/>
      <c r="AO319"/>
      <c r="AP319"/>
      <c r="AQ319"/>
      <c r="AR319"/>
      <c r="AS319"/>
      <c r="AT319"/>
      <c r="AU319"/>
      <c r="AV319"/>
      <c r="AW319"/>
      <c r="AX319"/>
      <c r="AY319"/>
      <c r="AZ319"/>
      <c r="BA319"/>
      <c r="BB319"/>
      <c r="BC319"/>
      <c r="BD319"/>
      <c r="BE319"/>
      <c r="BF319"/>
    </row>
    <row r="320" spans="13:58" ht="12" hidden="1" customHeight="1">
      <c r="M320" s="820"/>
      <c r="N320" s="239"/>
      <c r="O320" s="225"/>
      <c r="P320" s="260"/>
      <c r="Q320" s="258"/>
      <c r="R320" s="260"/>
      <c r="S320" s="260"/>
      <c r="T320" s="260"/>
      <c r="U320" s="260"/>
      <c r="V320" s="260"/>
      <c r="W320" s="260"/>
      <c r="X320" s="260"/>
      <c r="Y320" s="260"/>
      <c r="Z320" s="260"/>
      <c r="AA320" s="260"/>
      <c r="AB320" s="260"/>
      <c r="AC320" s="260"/>
      <c r="AD320" s="260"/>
      <c r="AE320" s="260"/>
      <c r="AF320" s="260"/>
      <c r="AG320" s="258"/>
      <c r="AO320"/>
      <c r="AP320"/>
      <c r="AQ320"/>
      <c r="AR320"/>
      <c r="AS320"/>
      <c r="AT320"/>
      <c r="AU320"/>
      <c r="AV320"/>
      <c r="AW320"/>
      <c r="AX320"/>
      <c r="AY320"/>
      <c r="AZ320"/>
      <c r="BA320"/>
      <c r="BB320"/>
      <c r="BC320"/>
      <c r="BD320"/>
      <c r="BE320"/>
      <c r="BF320"/>
    </row>
    <row r="321" spans="13:58" ht="12" hidden="1" customHeight="1">
      <c r="M321" s="820"/>
      <c r="N321" s="239"/>
      <c r="O321" s="225"/>
      <c r="P321" s="260"/>
      <c r="Q321" s="258"/>
      <c r="R321" s="260"/>
      <c r="S321" s="260"/>
      <c r="T321" s="260"/>
      <c r="U321" s="260"/>
      <c r="V321" s="260"/>
      <c r="W321" s="260"/>
      <c r="X321" s="260"/>
      <c r="Y321" s="260"/>
      <c r="Z321" s="260"/>
      <c r="AA321" s="260"/>
      <c r="AB321" s="260"/>
      <c r="AC321" s="260"/>
      <c r="AD321" s="260"/>
      <c r="AE321" s="260"/>
      <c r="AF321" s="260"/>
      <c r="AG321" s="258"/>
      <c r="AO321"/>
      <c r="AP321"/>
      <c r="AQ321"/>
      <c r="AR321"/>
      <c r="AS321"/>
      <c r="AT321"/>
      <c r="AU321"/>
      <c r="AV321"/>
      <c r="AW321"/>
      <c r="AX321"/>
      <c r="AY321"/>
      <c r="AZ321"/>
      <c r="BA321"/>
      <c r="BB321"/>
      <c r="BC321"/>
      <c r="BD321"/>
      <c r="BE321"/>
      <c r="BF321"/>
    </row>
    <row r="322" spans="13:58" ht="12" hidden="1" customHeight="1">
      <c r="M322" s="820"/>
      <c r="N322" s="239"/>
      <c r="O322" s="225"/>
      <c r="P322" s="260"/>
      <c r="Q322" s="258"/>
      <c r="R322" s="260"/>
      <c r="S322" s="260"/>
      <c r="T322" s="260"/>
      <c r="U322" s="260"/>
      <c r="V322" s="260"/>
      <c r="W322" s="260"/>
      <c r="X322" s="260"/>
      <c r="Y322" s="260"/>
      <c r="Z322" s="260"/>
      <c r="AA322" s="260"/>
      <c r="AB322" s="260"/>
      <c r="AC322" s="260"/>
      <c r="AD322" s="260"/>
      <c r="AE322" s="260"/>
      <c r="AF322" s="260"/>
      <c r="AG322" s="258"/>
      <c r="AO322"/>
      <c r="AP322"/>
      <c r="AQ322"/>
      <c r="AR322"/>
      <c r="AS322"/>
      <c r="AT322"/>
      <c r="AU322"/>
      <c r="AV322"/>
      <c r="AW322"/>
      <c r="AX322"/>
      <c r="AY322"/>
      <c r="AZ322"/>
      <c r="BA322"/>
      <c r="BB322"/>
      <c r="BC322"/>
      <c r="BD322"/>
      <c r="BE322"/>
      <c r="BF322"/>
    </row>
    <row r="323" spans="13:58" ht="12" hidden="1" customHeight="1">
      <c r="M323" s="820"/>
      <c r="N323" s="239"/>
      <c r="O323" s="225"/>
      <c r="P323" s="260"/>
      <c r="Q323" s="258"/>
      <c r="R323" s="260"/>
      <c r="S323" s="260"/>
      <c r="T323" s="260"/>
      <c r="U323" s="260"/>
      <c r="V323" s="260"/>
      <c r="W323" s="260"/>
      <c r="X323" s="260"/>
      <c r="Y323" s="260"/>
      <c r="Z323" s="260"/>
      <c r="AA323" s="260"/>
      <c r="AB323" s="260"/>
      <c r="AC323" s="260"/>
      <c r="AD323" s="260"/>
      <c r="AE323" s="260"/>
      <c r="AF323" s="260"/>
      <c r="AG323" s="258"/>
      <c r="AO323"/>
      <c r="AP323"/>
      <c r="AQ323"/>
      <c r="AR323"/>
      <c r="AS323"/>
      <c r="AT323"/>
      <c r="AU323"/>
      <c r="AV323"/>
      <c r="AW323"/>
      <c r="AX323"/>
      <c r="AY323"/>
      <c r="AZ323"/>
      <c r="BA323"/>
      <c r="BB323"/>
      <c r="BC323"/>
      <c r="BD323"/>
      <c r="BE323"/>
      <c r="BF323"/>
    </row>
    <row r="324" spans="13:58" ht="12" hidden="1" customHeight="1">
      <c r="M324" s="820"/>
      <c r="N324" s="239"/>
      <c r="O324" s="225"/>
      <c r="P324" s="260"/>
      <c r="Q324" s="258"/>
      <c r="R324" s="260"/>
      <c r="S324" s="260"/>
      <c r="T324" s="260"/>
      <c r="U324" s="260"/>
      <c r="V324" s="260"/>
      <c r="W324" s="260"/>
      <c r="X324" s="260"/>
      <c r="Y324" s="260"/>
      <c r="Z324" s="260"/>
      <c r="AA324" s="260"/>
      <c r="AB324" s="260"/>
      <c r="AC324" s="260"/>
      <c r="AD324" s="260"/>
      <c r="AE324" s="260"/>
      <c r="AF324" s="260"/>
      <c r="AG324" s="258"/>
      <c r="AO324"/>
      <c r="AP324"/>
      <c r="AQ324"/>
      <c r="AR324"/>
      <c r="AS324"/>
      <c r="AT324"/>
      <c r="AU324"/>
      <c r="AV324"/>
      <c r="AW324"/>
      <c r="AX324"/>
      <c r="AY324"/>
      <c r="AZ324"/>
      <c r="BA324"/>
      <c r="BB324"/>
      <c r="BC324"/>
      <c r="BD324"/>
      <c r="BE324"/>
      <c r="BF324"/>
    </row>
    <row r="325" spans="13:58" ht="12" hidden="1" customHeight="1">
      <c r="M325" s="820"/>
      <c r="N325" s="239"/>
      <c r="O325" s="225"/>
      <c r="P325" s="260"/>
      <c r="Q325" s="258"/>
      <c r="R325" s="260"/>
      <c r="S325" s="260"/>
      <c r="T325" s="260"/>
      <c r="U325" s="260"/>
      <c r="V325" s="260"/>
      <c r="W325" s="260"/>
      <c r="X325" s="260"/>
      <c r="Y325" s="260"/>
      <c r="Z325" s="260"/>
      <c r="AA325" s="260"/>
      <c r="AB325" s="260"/>
      <c r="AC325" s="260"/>
      <c r="AD325" s="260"/>
      <c r="AE325" s="260"/>
      <c r="AF325" s="260"/>
      <c r="AG325" s="258"/>
      <c r="AO325"/>
      <c r="AP325"/>
      <c r="AQ325"/>
      <c r="AR325"/>
      <c r="AS325"/>
      <c r="AT325"/>
      <c r="AU325"/>
      <c r="AV325"/>
      <c r="AW325"/>
      <c r="AX325"/>
      <c r="AY325"/>
      <c r="AZ325"/>
      <c r="BA325"/>
      <c r="BB325"/>
      <c r="BC325"/>
      <c r="BD325"/>
      <c r="BE325"/>
      <c r="BF325"/>
    </row>
    <row r="326" spans="13:58" ht="12" hidden="1" customHeight="1">
      <c r="M326" s="820"/>
      <c r="N326" s="239"/>
      <c r="O326" s="225"/>
      <c r="P326" s="260"/>
      <c r="Q326" s="258"/>
      <c r="R326" s="260"/>
      <c r="S326" s="260"/>
      <c r="T326" s="260"/>
      <c r="U326" s="260"/>
      <c r="V326" s="260"/>
      <c r="W326" s="260"/>
      <c r="X326" s="260"/>
      <c r="Y326" s="260"/>
      <c r="Z326" s="260"/>
      <c r="AA326" s="260"/>
      <c r="AB326" s="260"/>
      <c r="AC326" s="260"/>
      <c r="AD326" s="260"/>
      <c r="AE326" s="260"/>
      <c r="AF326" s="260"/>
      <c r="AG326" s="258"/>
      <c r="AO326"/>
      <c r="AP326"/>
      <c r="AQ326"/>
      <c r="AR326"/>
      <c r="AS326"/>
      <c r="AT326"/>
      <c r="AU326"/>
      <c r="AV326"/>
      <c r="AW326"/>
      <c r="AX326"/>
      <c r="AY326"/>
      <c r="AZ326"/>
      <c r="BA326"/>
      <c r="BB326"/>
      <c r="BC326"/>
      <c r="BD326"/>
      <c r="BE326"/>
      <c r="BF326"/>
    </row>
    <row r="327" spans="13:58" ht="12" hidden="1" customHeight="1">
      <c r="M327" s="820"/>
      <c r="N327" s="239"/>
      <c r="O327" s="225"/>
      <c r="P327" s="260"/>
      <c r="Q327" s="258"/>
      <c r="R327" s="260"/>
      <c r="S327" s="260"/>
      <c r="T327" s="260"/>
      <c r="U327" s="260"/>
      <c r="V327" s="260"/>
      <c r="W327" s="260"/>
      <c r="X327" s="260"/>
      <c r="Y327" s="260"/>
      <c r="Z327" s="260"/>
      <c r="AA327" s="260"/>
      <c r="AB327" s="260"/>
      <c r="AC327" s="260"/>
      <c r="AD327" s="260"/>
      <c r="AE327" s="260"/>
      <c r="AF327" s="260"/>
      <c r="AG327" s="258"/>
      <c r="AO327"/>
      <c r="AP327"/>
      <c r="AQ327"/>
      <c r="AR327"/>
      <c r="AS327"/>
      <c r="AT327"/>
      <c r="AU327"/>
      <c r="AV327"/>
      <c r="AW327"/>
      <c r="AX327"/>
      <c r="AY327"/>
      <c r="AZ327"/>
      <c r="BA327"/>
      <c r="BB327"/>
      <c r="BC327"/>
      <c r="BD327"/>
      <c r="BE327"/>
      <c r="BF327"/>
    </row>
    <row r="328" spans="13:58" ht="12" hidden="1" customHeight="1">
      <c r="M328" s="820"/>
      <c r="N328" s="239"/>
      <c r="O328" s="225"/>
      <c r="P328" s="260"/>
      <c r="Q328" s="258"/>
      <c r="R328" s="260"/>
      <c r="S328" s="260"/>
      <c r="T328" s="260"/>
      <c r="U328" s="260"/>
      <c r="V328" s="260"/>
      <c r="W328" s="260"/>
      <c r="X328" s="260"/>
      <c r="Y328" s="260"/>
      <c r="Z328" s="260"/>
      <c r="AA328" s="260"/>
      <c r="AB328" s="260"/>
      <c r="AC328" s="260"/>
      <c r="AD328" s="260"/>
      <c r="AE328" s="260"/>
      <c r="AF328" s="260"/>
      <c r="AG328" s="258"/>
      <c r="AO328"/>
      <c r="AP328"/>
      <c r="AQ328"/>
      <c r="AR328"/>
      <c r="AS328"/>
      <c r="AT328"/>
      <c r="AU328"/>
      <c r="AV328"/>
      <c r="AW328"/>
      <c r="AX328"/>
      <c r="AY328"/>
      <c r="AZ328"/>
      <c r="BA328"/>
      <c r="BB328"/>
      <c r="BC328"/>
      <c r="BD328"/>
      <c r="BE328"/>
      <c r="BF328"/>
    </row>
    <row r="329" spans="13:58" ht="12" hidden="1" customHeight="1">
      <c r="M329" s="820"/>
      <c r="N329" s="239"/>
      <c r="O329" s="225"/>
      <c r="P329" s="260"/>
      <c r="Q329" s="258"/>
      <c r="R329" s="260"/>
      <c r="S329" s="260"/>
      <c r="T329" s="260"/>
      <c r="U329" s="260"/>
      <c r="V329" s="260"/>
      <c r="W329" s="260"/>
      <c r="X329" s="260"/>
      <c r="Y329" s="260"/>
      <c r="Z329" s="260"/>
      <c r="AA329" s="260"/>
      <c r="AB329" s="260"/>
      <c r="AC329" s="260"/>
      <c r="AD329" s="260"/>
      <c r="AE329" s="260"/>
      <c r="AF329" s="260"/>
      <c r="AG329" s="258"/>
      <c r="AO329"/>
      <c r="AP329"/>
      <c r="AQ329"/>
      <c r="AR329"/>
      <c r="AS329"/>
      <c r="AT329"/>
      <c r="AU329"/>
      <c r="AV329"/>
      <c r="AW329"/>
      <c r="AX329"/>
      <c r="AY329"/>
      <c r="AZ329"/>
      <c r="BA329"/>
      <c r="BB329"/>
      <c r="BC329"/>
      <c r="BD329"/>
      <c r="BE329"/>
      <c r="BF329"/>
    </row>
    <row r="330" spans="13:58" ht="12" hidden="1" customHeight="1">
      <c r="M330" s="820"/>
      <c r="N330" s="239"/>
      <c r="O330" s="225"/>
      <c r="P330" s="260"/>
      <c r="Q330" s="258"/>
      <c r="R330" s="260"/>
      <c r="S330" s="260"/>
      <c r="T330" s="260"/>
      <c r="U330" s="260"/>
      <c r="V330" s="260"/>
      <c r="W330" s="260"/>
      <c r="X330" s="260"/>
      <c r="Y330" s="260"/>
      <c r="Z330" s="260"/>
      <c r="AA330" s="260"/>
      <c r="AB330" s="260"/>
      <c r="AC330" s="260"/>
      <c r="AD330" s="260"/>
      <c r="AE330" s="260"/>
      <c r="AF330" s="260"/>
      <c r="AG330" s="258"/>
      <c r="AO330"/>
      <c r="AP330"/>
      <c r="AQ330"/>
      <c r="AR330"/>
      <c r="AS330"/>
      <c r="AT330"/>
      <c r="AU330"/>
      <c r="AV330"/>
      <c r="AW330"/>
      <c r="AX330"/>
      <c r="AY330"/>
      <c r="AZ330"/>
      <c r="BA330"/>
      <c r="BB330"/>
      <c r="BC330"/>
      <c r="BD330"/>
      <c r="BE330"/>
      <c r="BF330"/>
    </row>
    <row r="331" spans="13:58" ht="12" hidden="1" customHeight="1">
      <c r="M331" s="820"/>
      <c r="N331" s="239"/>
      <c r="O331" s="225"/>
      <c r="P331" s="260"/>
      <c r="Q331" s="258"/>
      <c r="R331" s="260"/>
      <c r="S331" s="260"/>
      <c r="T331" s="260"/>
      <c r="U331" s="260"/>
      <c r="V331" s="260"/>
      <c r="W331" s="260"/>
      <c r="X331" s="260"/>
      <c r="Y331" s="260"/>
      <c r="Z331" s="260"/>
      <c r="AA331" s="260"/>
      <c r="AB331" s="260"/>
      <c r="AC331" s="260"/>
      <c r="AD331" s="260"/>
      <c r="AE331" s="260"/>
      <c r="AF331" s="260"/>
      <c r="AG331" s="258"/>
      <c r="AO331"/>
      <c r="AP331"/>
      <c r="AQ331"/>
      <c r="AR331"/>
      <c r="AS331"/>
      <c r="AT331"/>
      <c r="AU331"/>
      <c r="AV331"/>
      <c r="AW331"/>
      <c r="AX331"/>
      <c r="AY331"/>
      <c r="AZ331"/>
      <c r="BA331"/>
      <c r="BB331"/>
      <c r="BC331"/>
      <c r="BD331"/>
      <c r="BE331"/>
      <c r="BF331"/>
    </row>
    <row r="332" spans="13:58" ht="12" hidden="1" customHeight="1">
      <c r="M332" s="820"/>
      <c r="N332" s="239"/>
      <c r="O332" s="225"/>
      <c r="P332" s="260"/>
      <c r="Q332" s="258"/>
      <c r="R332" s="260"/>
      <c r="S332" s="260"/>
      <c r="T332" s="260"/>
      <c r="U332" s="260"/>
      <c r="V332" s="260"/>
      <c r="W332" s="260"/>
      <c r="X332" s="260"/>
      <c r="Y332" s="260"/>
      <c r="Z332" s="260"/>
      <c r="AA332" s="260"/>
      <c r="AB332" s="260"/>
      <c r="AC332" s="260"/>
      <c r="AD332" s="260"/>
      <c r="AE332" s="260"/>
      <c r="AF332" s="260"/>
      <c r="AG332" s="258"/>
      <c r="AO332"/>
      <c r="AP332"/>
      <c r="AQ332"/>
      <c r="AR332"/>
      <c r="AS332"/>
      <c r="AT332"/>
      <c r="AU332"/>
      <c r="AV332"/>
      <c r="AW332"/>
      <c r="AX332"/>
      <c r="AY332"/>
      <c r="AZ332"/>
      <c r="BA332"/>
      <c r="BB332"/>
      <c r="BC332"/>
      <c r="BD332"/>
      <c r="BE332"/>
      <c r="BF332"/>
    </row>
    <row r="333" spans="13:58" ht="12" hidden="1" customHeight="1">
      <c r="M333" s="820"/>
      <c r="N333" s="239"/>
      <c r="O333" s="225"/>
      <c r="P333" s="260"/>
      <c r="Q333" s="258"/>
      <c r="R333" s="260"/>
      <c r="S333" s="260"/>
      <c r="T333" s="260"/>
      <c r="U333" s="260"/>
      <c r="V333" s="260"/>
      <c r="W333" s="260"/>
      <c r="X333" s="260"/>
      <c r="Y333" s="260"/>
      <c r="Z333" s="260"/>
      <c r="AA333" s="260"/>
      <c r="AB333" s="260"/>
      <c r="AC333" s="260"/>
      <c r="AD333" s="260"/>
      <c r="AE333" s="260"/>
      <c r="AF333" s="260"/>
      <c r="AG333" s="258"/>
      <c r="AO333"/>
      <c r="AP333"/>
      <c r="AQ333"/>
      <c r="AR333"/>
      <c r="AS333"/>
      <c r="AT333"/>
      <c r="AU333"/>
      <c r="AV333"/>
      <c r="AW333"/>
      <c r="AX333"/>
      <c r="AY333"/>
      <c r="AZ333"/>
      <c r="BA333"/>
      <c r="BB333"/>
      <c r="BC333"/>
      <c r="BD333"/>
      <c r="BE333"/>
      <c r="BF333"/>
    </row>
    <row r="334" spans="13:58" ht="12" hidden="1" customHeight="1">
      <c r="M334" s="820"/>
      <c r="N334" s="239"/>
      <c r="O334" s="225"/>
      <c r="P334" s="260"/>
      <c r="Q334" s="258"/>
      <c r="R334" s="260"/>
      <c r="S334" s="260"/>
      <c r="T334" s="260"/>
      <c r="U334" s="260"/>
      <c r="V334" s="260"/>
      <c r="W334" s="260"/>
      <c r="X334" s="260"/>
      <c r="Y334" s="260"/>
      <c r="Z334" s="260"/>
      <c r="AA334" s="260"/>
      <c r="AB334" s="260"/>
      <c r="AC334" s="260"/>
      <c r="AD334" s="260"/>
      <c r="AE334" s="260"/>
      <c r="AF334" s="260"/>
      <c r="AG334" s="258"/>
      <c r="AO334"/>
      <c r="AP334"/>
      <c r="AQ334"/>
      <c r="AR334"/>
      <c r="AS334"/>
      <c r="AT334"/>
      <c r="AU334"/>
      <c r="AV334"/>
      <c r="AW334"/>
      <c r="AX334"/>
      <c r="AY334"/>
      <c r="AZ334"/>
      <c r="BA334"/>
      <c r="BB334"/>
      <c r="BC334"/>
      <c r="BD334"/>
      <c r="BE334"/>
      <c r="BF334"/>
    </row>
    <row r="335" spans="13:58" ht="12" hidden="1" customHeight="1">
      <c r="M335" s="820"/>
      <c r="N335" s="239"/>
      <c r="O335" s="225"/>
      <c r="P335" s="260"/>
      <c r="Q335" s="258"/>
      <c r="R335" s="260"/>
      <c r="S335" s="260"/>
      <c r="T335" s="260"/>
      <c r="U335" s="260"/>
      <c r="V335" s="260"/>
      <c r="W335" s="260"/>
      <c r="X335" s="260"/>
      <c r="Y335" s="260"/>
      <c r="Z335" s="260"/>
      <c r="AA335" s="260"/>
      <c r="AB335" s="260"/>
      <c r="AC335" s="260"/>
      <c r="AD335" s="260"/>
      <c r="AE335" s="260"/>
      <c r="AF335" s="260"/>
      <c r="AG335" s="258"/>
      <c r="AO335"/>
      <c r="AP335"/>
      <c r="AQ335"/>
      <c r="AR335"/>
      <c r="AS335"/>
      <c r="AT335"/>
      <c r="AU335"/>
      <c r="AV335"/>
      <c r="AW335"/>
      <c r="AX335"/>
      <c r="AY335"/>
      <c r="AZ335"/>
      <c r="BA335"/>
      <c r="BB335"/>
      <c r="BC335"/>
      <c r="BD335"/>
      <c r="BE335"/>
      <c r="BF335"/>
    </row>
    <row r="336" spans="13:58" ht="12" hidden="1" customHeight="1">
      <c r="M336" s="820"/>
      <c r="N336" s="239"/>
      <c r="O336" s="225"/>
      <c r="P336" s="260"/>
      <c r="Q336" s="258"/>
      <c r="R336" s="260"/>
      <c r="S336" s="260"/>
      <c r="T336" s="260"/>
      <c r="U336" s="260"/>
      <c r="V336" s="260"/>
      <c r="W336" s="260"/>
      <c r="X336" s="260"/>
      <c r="Y336" s="260"/>
      <c r="Z336" s="260"/>
      <c r="AA336" s="260"/>
      <c r="AB336" s="260"/>
      <c r="AC336" s="260"/>
      <c r="AD336" s="260"/>
      <c r="AE336" s="260"/>
      <c r="AF336" s="260"/>
      <c r="AG336" s="258"/>
      <c r="AO336"/>
      <c r="AP336"/>
      <c r="AQ336"/>
      <c r="AR336"/>
      <c r="AS336"/>
      <c r="AT336"/>
      <c r="AU336"/>
      <c r="AV336"/>
      <c r="AW336"/>
      <c r="AX336"/>
      <c r="AY336"/>
      <c r="AZ336"/>
      <c r="BA336"/>
      <c r="BB336"/>
      <c r="BC336"/>
      <c r="BD336"/>
      <c r="BE336"/>
      <c r="BF336"/>
    </row>
    <row r="337" spans="13:58" ht="12" hidden="1" customHeight="1">
      <c r="M337" s="820"/>
      <c r="N337" s="239"/>
      <c r="O337" s="225"/>
      <c r="P337" s="260"/>
      <c r="Q337" s="258"/>
      <c r="R337" s="260"/>
      <c r="S337" s="260"/>
      <c r="T337" s="260"/>
      <c r="U337" s="260"/>
      <c r="V337" s="260"/>
      <c r="W337" s="260"/>
      <c r="X337" s="260"/>
      <c r="Y337" s="260"/>
      <c r="Z337" s="260"/>
      <c r="AA337" s="260"/>
      <c r="AB337" s="260"/>
      <c r="AC337" s="260"/>
      <c r="AD337" s="260"/>
      <c r="AE337" s="260"/>
      <c r="AF337" s="260"/>
      <c r="AG337" s="258"/>
      <c r="AO337"/>
      <c r="AP337"/>
      <c r="AQ337"/>
      <c r="AR337"/>
      <c r="AS337"/>
      <c r="AT337"/>
      <c r="AU337"/>
      <c r="AV337"/>
      <c r="AW337"/>
      <c r="AX337"/>
      <c r="AY337"/>
      <c r="AZ337"/>
      <c r="BA337"/>
      <c r="BB337"/>
      <c r="BC337"/>
      <c r="BD337"/>
      <c r="BE337"/>
      <c r="BF337"/>
    </row>
    <row r="338" spans="13:58" ht="12" hidden="1" customHeight="1">
      <c r="M338" s="820"/>
      <c r="N338" s="239"/>
      <c r="O338" s="225"/>
      <c r="P338" s="260"/>
      <c r="Q338" s="258"/>
      <c r="R338" s="260"/>
      <c r="S338" s="260"/>
      <c r="T338" s="260"/>
      <c r="U338" s="260"/>
      <c r="V338" s="260"/>
      <c r="W338" s="260"/>
      <c r="X338" s="260"/>
      <c r="Y338" s="260"/>
      <c r="Z338" s="260"/>
      <c r="AA338" s="260"/>
      <c r="AB338" s="260"/>
      <c r="AC338" s="260"/>
      <c r="AD338" s="260"/>
      <c r="AE338" s="260"/>
      <c r="AF338" s="260"/>
      <c r="AG338" s="258"/>
      <c r="AO338"/>
      <c r="AP338"/>
      <c r="AQ338"/>
      <c r="AR338"/>
      <c r="AS338"/>
      <c r="AT338"/>
      <c r="AU338"/>
      <c r="AV338"/>
      <c r="AW338"/>
      <c r="AX338"/>
      <c r="AY338"/>
      <c r="AZ338"/>
      <c r="BA338"/>
      <c r="BB338"/>
      <c r="BC338"/>
      <c r="BD338"/>
      <c r="BE338"/>
      <c r="BF338"/>
    </row>
    <row r="339" spans="13:58" ht="12" hidden="1" customHeight="1">
      <c r="M339" s="820"/>
      <c r="N339" s="239"/>
      <c r="O339" s="225"/>
      <c r="P339" s="260"/>
      <c r="Q339" s="258"/>
      <c r="R339" s="260"/>
      <c r="S339" s="260"/>
      <c r="T339" s="260"/>
      <c r="U339" s="260"/>
      <c r="V339" s="260"/>
      <c r="W339" s="260"/>
      <c r="X339" s="260"/>
      <c r="Y339" s="260"/>
      <c r="Z339" s="260"/>
      <c r="AA339" s="260"/>
      <c r="AB339" s="260"/>
      <c r="AC339" s="260"/>
      <c r="AD339" s="260"/>
      <c r="AE339" s="260"/>
      <c r="AF339" s="260"/>
      <c r="AG339" s="258"/>
      <c r="AO339"/>
      <c r="AP339"/>
      <c r="AQ339"/>
      <c r="AR339"/>
      <c r="AS339"/>
      <c r="AT339"/>
      <c r="AU339"/>
      <c r="AV339"/>
      <c r="AW339"/>
      <c r="AX339"/>
      <c r="AY339"/>
      <c r="AZ339"/>
      <c r="BA339"/>
      <c r="BB339"/>
      <c r="BC339"/>
      <c r="BD339"/>
      <c r="BE339"/>
      <c r="BF339"/>
    </row>
    <row r="340" spans="13:58" ht="12" hidden="1" customHeight="1">
      <c r="M340" s="820"/>
      <c r="N340" s="239"/>
      <c r="O340" s="225"/>
      <c r="P340" s="260"/>
      <c r="Q340" s="258"/>
      <c r="R340" s="260"/>
      <c r="S340" s="260"/>
      <c r="T340" s="260"/>
      <c r="U340" s="260"/>
      <c r="V340" s="260"/>
      <c r="W340" s="260"/>
      <c r="X340" s="260"/>
      <c r="Y340" s="260"/>
      <c r="Z340" s="260"/>
      <c r="AA340" s="260"/>
      <c r="AB340" s="260"/>
      <c r="AC340" s="260"/>
      <c r="AD340" s="260"/>
      <c r="AE340" s="260"/>
      <c r="AF340" s="260"/>
      <c r="AG340" s="258"/>
      <c r="AO340"/>
      <c r="AP340"/>
      <c r="AQ340"/>
      <c r="AR340"/>
      <c r="AS340"/>
      <c r="AT340"/>
      <c r="AU340"/>
      <c r="AV340"/>
      <c r="AW340"/>
      <c r="AX340"/>
      <c r="AY340"/>
      <c r="AZ340"/>
      <c r="BA340"/>
      <c r="BB340"/>
      <c r="BC340"/>
      <c r="BD340"/>
      <c r="BE340"/>
      <c r="BF340"/>
    </row>
    <row r="341" spans="13:58" ht="12" hidden="1" customHeight="1">
      <c r="M341" s="820"/>
      <c r="N341" s="239"/>
      <c r="O341" s="225"/>
      <c r="P341" s="260"/>
      <c r="Q341" s="258"/>
      <c r="R341" s="260"/>
      <c r="S341" s="260"/>
      <c r="T341" s="260"/>
      <c r="U341" s="260"/>
      <c r="V341" s="260"/>
      <c r="W341" s="260"/>
      <c r="X341" s="260"/>
      <c r="Y341" s="260"/>
      <c r="Z341" s="260"/>
      <c r="AA341" s="260"/>
      <c r="AB341" s="260"/>
      <c r="AC341" s="260"/>
      <c r="AD341" s="260"/>
      <c r="AE341" s="260"/>
      <c r="AF341" s="260"/>
      <c r="AG341" s="258"/>
      <c r="AO341"/>
      <c r="AP341"/>
      <c r="AQ341"/>
      <c r="AR341"/>
      <c r="AS341"/>
      <c r="AT341"/>
      <c r="AU341"/>
      <c r="AV341"/>
      <c r="AW341"/>
      <c r="AX341"/>
      <c r="AY341"/>
      <c r="AZ341"/>
      <c r="BA341"/>
      <c r="BB341"/>
      <c r="BC341"/>
      <c r="BD341"/>
      <c r="BE341"/>
      <c r="BF341"/>
    </row>
    <row r="342" spans="13:58" ht="12" hidden="1" customHeight="1">
      <c r="M342" s="820"/>
      <c r="N342" s="239"/>
      <c r="O342" s="225"/>
      <c r="P342" s="260"/>
      <c r="Q342" s="258"/>
      <c r="R342" s="260"/>
      <c r="S342" s="260"/>
      <c r="T342" s="260"/>
      <c r="U342" s="260"/>
      <c r="V342" s="260"/>
      <c r="W342" s="260"/>
      <c r="X342" s="260"/>
      <c r="Y342" s="260"/>
      <c r="Z342" s="260"/>
      <c r="AA342" s="260"/>
      <c r="AB342" s="260"/>
      <c r="AC342" s="260"/>
      <c r="AD342" s="260"/>
      <c r="AE342" s="260"/>
      <c r="AF342" s="260"/>
      <c r="AG342" s="258"/>
      <c r="AO342"/>
      <c r="AP342"/>
      <c r="AQ342"/>
      <c r="AR342"/>
      <c r="AS342"/>
      <c r="AT342"/>
      <c r="AU342"/>
      <c r="AV342"/>
      <c r="AW342"/>
      <c r="AX342"/>
      <c r="AY342"/>
      <c r="AZ342"/>
      <c r="BA342"/>
      <c r="BB342"/>
      <c r="BC342"/>
      <c r="BD342"/>
      <c r="BE342"/>
      <c r="BF342"/>
    </row>
    <row r="343" spans="13:58" ht="12" hidden="1" customHeight="1">
      <c r="M343" s="820"/>
      <c r="N343" s="239"/>
      <c r="O343" s="225"/>
      <c r="P343" s="260"/>
      <c r="Q343" s="258"/>
      <c r="R343" s="260"/>
      <c r="S343" s="260"/>
      <c r="T343" s="260"/>
      <c r="U343" s="260"/>
      <c r="V343" s="260"/>
      <c r="W343" s="260"/>
      <c r="X343" s="260"/>
      <c r="Y343" s="260"/>
      <c r="Z343" s="260"/>
      <c r="AA343" s="260"/>
      <c r="AB343" s="260"/>
      <c r="AC343" s="260"/>
      <c r="AD343" s="260"/>
      <c r="AE343" s="260"/>
      <c r="AF343" s="260"/>
      <c r="AG343" s="258"/>
      <c r="AO343"/>
      <c r="AP343"/>
      <c r="AQ343"/>
      <c r="AR343"/>
      <c r="AS343"/>
      <c r="AT343"/>
      <c r="AU343"/>
      <c r="AV343"/>
      <c r="AW343"/>
      <c r="AX343"/>
      <c r="AY343"/>
      <c r="AZ343"/>
      <c r="BA343"/>
      <c r="BB343"/>
      <c r="BC343"/>
      <c r="BD343"/>
      <c r="BE343"/>
      <c r="BF343"/>
    </row>
    <row r="344" spans="13:58" ht="12" hidden="1" customHeight="1">
      <c r="M344" s="820"/>
      <c r="N344" s="239"/>
      <c r="O344" s="225"/>
      <c r="P344" s="260"/>
      <c r="Q344" s="258"/>
      <c r="R344" s="260"/>
      <c r="S344" s="260"/>
      <c r="T344" s="260"/>
      <c r="U344" s="260"/>
      <c r="V344" s="260"/>
      <c r="W344" s="260"/>
      <c r="X344" s="260"/>
      <c r="Y344" s="260"/>
      <c r="Z344" s="260"/>
      <c r="AA344" s="260"/>
      <c r="AB344" s="260"/>
      <c r="AC344" s="260"/>
      <c r="AD344" s="260"/>
      <c r="AE344" s="260"/>
      <c r="AF344" s="260"/>
      <c r="AG344" s="258"/>
      <c r="AO344"/>
      <c r="AP344"/>
      <c r="AQ344"/>
      <c r="AR344"/>
      <c r="AS344"/>
      <c r="AT344"/>
      <c r="AU344"/>
      <c r="AV344"/>
      <c r="AW344"/>
      <c r="AX344"/>
      <c r="AY344"/>
      <c r="AZ344"/>
      <c r="BA344"/>
      <c r="BB344"/>
      <c r="BC344"/>
      <c r="BD344"/>
      <c r="BE344"/>
      <c r="BF344"/>
    </row>
    <row r="345" spans="13:58" ht="12" hidden="1" customHeight="1">
      <c r="M345" s="820"/>
      <c r="N345" s="239"/>
      <c r="O345" s="225"/>
      <c r="P345" s="260"/>
      <c r="Q345" s="258"/>
      <c r="R345" s="260"/>
      <c r="S345" s="260"/>
      <c r="T345" s="260"/>
      <c r="U345" s="260"/>
      <c r="V345" s="260"/>
      <c r="W345" s="260"/>
      <c r="X345" s="260"/>
      <c r="Y345" s="260"/>
      <c r="Z345" s="260"/>
      <c r="AA345" s="260"/>
      <c r="AB345" s="260"/>
      <c r="AC345" s="260"/>
      <c r="AD345" s="260"/>
      <c r="AE345" s="260"/>
      <c r="AF345" s="260"/>
      <c r="AG345" s="258"/>
      <c r="AO345"/>
      <c r="AP345"/>
      <c r="AQ345"/>
      <c r="AR345"/>
      <c r="AS345"/>
      <c r="AT345"/>
      <c r="AU345"/>
      <c r="AV345"/>
      <c r="AW345"/>
      <c r="AX345"/>
      <c r="AY345"/>
      <c r="AZ345"/>
      <c r="BA345"/>
      <c r="BB345"/>
      <c r="BC345"/>
      <c r="BD345"/>
      <c r="BE345"/>
      <c r="BF345"/>
    </row>
    <row r="346" spans="13:58" ht="12" hidden="1" customHeight="1">
      <c r="M346" s="820"/>
      <c r="N346" s="239"/>
      <c r="O346" s="225"/>
      <c r="P346" s="260"/>
      <c r="Q346" s="258"/>
      <c r="R346" s="260"/>
      <c r="S346" s="260"/>
      <c r="T346" s="260"/>
      <c r="U346" s="260"/>
      <c r="V346" s="260"/>
      <c r="W346" s="260"/>
      <c r="X346" s="260"/>
      <c r="Y346" s="260"/>
      <c r="Z346" s="260"/>
      <c r="AA346" s="260"/>
      <c r="AB346" s="260"/>
      <c r="AC346" s="260"/>
      <c r="AD346" s="260"/>
      <c r="AE346" s="260"/>
      <c r="AF346" s="260"/>
      <c r="AG346" s="258"/>
      <c r="AO346"/>
      <c r="AP346"/>
      <c r="AQ346"/>
      <c r="AR346"/>
      <c r="AS346"/>
      <c r="AT346"/>
      <c r="AU346"/>
      <c r="AV346"/>
      <c r="AW346"/>
      <c r="AX346"/>
      <c r="AY346"/>
      <c r="AZ346"/>
      <c r="BA346"/>
      <c r="BB346"/>
      <c r="BC346"/>
      <c r="BD346"/>
      <c r="BE346"/>
      <c r="BF346"/>
    </row>
    <row r="347" spans="13:58" ht="12" hidden="1" customHeight="1">
      <c r="M347" s="820"/>
      <c r="N347" s="239"/>
      <c r="O347" s="225"/>
      <c r="P347" s="260"/>
      <c r="Q347" s="258"/>
      <c r="R347" s="260"/>
      <c r="S347" s="260"/>
      <c r="T347" s="260"/>
      <c r="U347" s="260"/>
      <c r="V347" s="260"/>
      <c r="W347" s="260"/>
      <c r="X347" s="260"/>
      <c r="Y347" s="260"/>
      <c r="Z347" s="260"/>
      <c r="AA347" s="260"/>
      <c r="AB347" s="260"/>
      <c r="AC347" s="260"/>
      <c r="AD347" s="260"/>
      <c r="AE347" s="260"/>
      <c r="AF347" s="260"/>
      <c r="AG347" s="258"/>
      <c r="AO347"/>
      <c r="AP347"/>
      <c r="AQ347"/>
      <c r="AR347"/>
      <c r="AS347"/>
      <c r="AT347"/>
      <c r="AU347"/>
      <c r="AV347"/>
      <c r="AW347"/>
      <c r="AX347"/>
      <c r="AY347"/>
      <c r="AZ347"/>
      <c r="BA347"/>
      <c r="BB347"/>
      <c r="BC347"/>
      <c r="BD347"/>
      <c r="BE347"/>
      <c r="BF347"/>
    </row>
    <row r="348" spans="13:58" ht="12" hidden="1" customHeight="1">
      <c r="M348" s="820"/>
      <c r="N348" s="239"/>
      <c r="O348" s="225"/>
      <c r="P348" s="260"/>
      <c r="Q348" s="258"/>
      <c r="R348" s="260"/>
      <c r="S348" s="260"/>
      <c r="T348" s="260"/>
      <c r="U348" s="260"/>
      <c r="V348" s="260"/>
      <c r="W348" s="260"/>
      <c r="X348" s="260"/>
      <c r="Y348" s="260"/>
      <c r="Z348" s="260"/>
      <c r="AA348" s="260"/>
      <c r="AB348" s="260"/>
      <c r="AC348" s="260"/>
      <c r="AD348" s="260"/>
      <c r="AE348" s="260"/>
      <c r="AF348" s="260"/>
      <c r="AG348" s="258"/>
      <c r="AO348"/>
      <c r="AP348"/>
      <c r="AQ348"/>
      <c r="AR348"/>
      <c r="AS348"/>
      <c r="AT348"/>
      <c r="AU348"/>
      <c r="AV348"/>
      <c r="AW348"/>
      <c r="AX348"/>
      <c r="AY348"/>
      <c r="AZ348"/>
      <c r="BA348"/>
      <c r="BB348"/>
      <c r="BC348"/>
      <c r="BD348"/>
      <c r="BE348"/>
      <c r="BF348"/>
    </row>
    <row r="349" spans="13:58" ht="12" hidden="1" customHeight="1">
      <c r="M349" s="820"/>
      <c r="N349" s="239"/>
      <c r="O349" s="225"/>
      <c r="P349" s="260"/>
      <c r="Q349" s="258"/>
      <c r="R349" s="260"/>
      <c r="S349" s="260"/>
      <c r="T349" s="260"/>
      <c r="U349" s="260"/>
      <c r="V349" s="260"/>
      <c r="W349" s="260"/>
      <c r="X349" s="260"/>
      <c r="Y349" s="260"/>
      <c r="Z349" s="260"/>
      <c r="AA349" s="260"/>
      <c r="AB349" s="260"/>
      <c r="AC349" s="260"/>
      <c r="AD349" s="260"/>
      <c r="AE349" s="260"/>
      <c r="AF349" s="260"/>
      <c r="AG349" s="258"/>
      <c r="AO349"/>
      <c r="AP349"/>
      <c r="AQ349"/>
      <c r="AR349"/>
      <c r="AS349"/>
      <c r="AT349"/>
      <c r="AU349"/>
      <c r="AV349"/>
      <c r="AW349"/>
      <c r="AX349"/>
      <c r="AY349"/>
      <c r="AZ349"/>
      <c r="BA349"/>
      <c r="BB349"/>
      <c r="BC349"/>
      <c r="BD349"/>
      <c r="BE349"/>
      <c r="BF349"/>
    </row>
    <row r="350" spans="13:58" ht="12" hidden="1" customHeight="1">
      <c r="M350" s="820"/>
      <c r="N350" s="239"/>
      <c r="O350" s="225"/>
      <c r="P350" s="260"/>
      <c r="Q350" s="258"/>
      <c r="R350" s="260"/>
      <c r="S350" s="260"/>
      <c r="T350" s="260"/>
      <c r="U350" s="260"/>
      <c r="V350" s="260"/>
      <c r="W350" s="260"/>
      <c r="X350" s="260"/>
      <c r="Y350" s="260"/>
      <c r="Z350" s="260"/>
      <c r="AA350" s="260"/>
      <c r="AB350" s="260"/>
      <c r="AC350" s="260"/>
      <c r="AD350" s="260"/>
      <c r="AE350" s="260"/>
      <c r="AF350" s="260"/>
      <c r="AG350" s="258"/>
      <c r="AO350"/>
      <c r="AP350"/>
      <c r="AQ350"/>
      <c r="AR350"/>
      <c r="AS350"/>
      <c r="AT350"/>
      <c r="AU350"/>
      <c r="AV350"/>
      <c r="AW350"/>
      <c r="AX350"/>
      <c r="AY350"/>
      <c r="AZ350"/>
      <c r="BA350"/>
      <c r="BB350"/>
      <c r="BC350"/>
      <c r="BD350"/>
      <c r="BE350"/>
      <c r="BF350"/>
    </row>
    <row r="351" spans="13:58" ht="12" hidden="1" customHeight="1">
      <c r="M351" s="820"/>
      <c r="N351" s="239"/>
      <c r="O351" s="225"/>
      <c r="P351" s="260"/>
      <c r="Q351" s="258"/>
      <c r="R351" s="260"/>
      <c r="S351" s="260"/>
      <c r="T351" s="260"/>
      <c r="U351" s="260"/>
      <c r="V351" s="260"/>
      <c r="W351" s="260"/>
      <c r="X351" s="260"/>
      <c r="Y351" s="260"/>
      <c r="Z351" s="260"/>
      <c r="AA351" s="260"/>
      <c r="AB351" s="260"/>
      <c r="AC351" s="260"/>
      <c r="AD351" s="260"/>
      <c r="AE351" s="260"/>
      <c r="AF351" s="260"/>
      <c r="AG351" s="258"/>
      <c r="AO351"/>
      <c r="AP351"/>
      <c r="AQ351"/>
      <c r="AR351"/>
      <c r="AS351"/>
      <c r="AT351"/>
      <c r="AU351"/>
      <c r="AV351"/>
      <c r="AW351"/>
      <c r="AX351"/>
      <c r="AY351"/>
      <c r="AZ351"/>
      <c r="BA351"/>
      <c r="BB351"/>
      <c r="BC351"/>
      <c r="BD351"/>
      <c r="BE351"/>
      <c r="BF351"/>
    </row>
    <row r="352" spans="13:58" ht="12" hidden="1" customHeight="1">
      <c r="M352" s="820"/>
      <c r="N352" s="239"/>
      <c r="O352" s="225"/>
      <c r="P352" s="260"/>
      <c r="Q352" s="258"/>
      <c r="R352" s="260"/>
      <c r="S352" s="260"/>
      <c r="T352" s="260"/>
      <c r="U352" s="260"/>
      <c r="V352" s="260"/>
      <c r="W352" s="260"/>
      <c r="X352" s="260"/>
      <c r="Y352" s="260"/>
      <c r="Z352" s="260"/>
      <c r="AA352" s="260"/>
      <c r="AB352" s="260"/>
      <c r="AC352" s="260"/>
      <c r="AD352" s="260"/>
      <c r="AE352" s="260"/>
      <c r="AF352" s="260"/>
      <c r="AG352" s="258"/>
      <c r="AO352"/>
      <c r="AP352"/>
      <c r="AQ352"/>
      <c r="AR352"/>
      <c r="AS352"/>
      <c r="AT352"/>
      <c r="AU352"/>
      <c r="AV352"/>
      <c r="AW352"/>
      <c r="AX352"/>
      <c r="AY352"/>
      <c r="AZ352"/>
      <c r="BA352"/>
      <c r="BB352"/>
      <c r="BC352"/>
      <c r="BD352"/>
      <c r="BE352"/>
      <c r="BF352"/>
    </row>
    <row r="353" spans="13:58" ht="12" hidden="1" customHeight="1">
      <c r="M353" s="820"/>
      <c r="N353" s="239"/>
      <c r="O353" s="225"/>
      <c r="P353" s="260"/>
      <c r="Q353" s="258"/>
      <c r="R353" s="260"/>
      <c r="S353" s="260"/>
      <c r="T353" s="260"/>
      <c r="U353" s="260"/>
      <c r="V353" s="260"/>
      <c r="W353" s="260"/>
      <c r="X353" s="260"/>
      <c r="Y353" s="260"/>
      <c r="Z353" s="260"/>
      <c r="AA353" s="260"/>
      <c r="AB353" s="260"/>
      <c r="AC353" s="260"/>
      <c r="AD353" s="260"/>
      <c r="AE353" s="260"/>
      <c r="AF353" s="260"/>
      <c r="AG353" s="258"/>
      <c r="AO353"/>
      <c r="AP353"/>
      <c r="AQ353"/>
      <c r="AR353"/>
      <c r="AS353"/>
      <c r="AT353"/>
      <c r="AU353"/>
      <c r="AV353"/>
      <c r="AW353"/>
      <c r="AX353"/>
      <c r="AY353"/>
      <c r="AZ353"/>
      <c r="BA353"/>
      <c r="BB353"/>
      <c r="BC353"/>
      <c r="BD353"/>
      <c r="BE353"/>
      <c r="BF353"/>
    </row>
    <row r="354" spans="13:58" ht="12" hidden="1" customHeight="1">
      <c r="M354" s="820"/>
      <c r="N354" s="239"/>
      <c r="O354" s="225"/>
      <c r="P354" s="260"/>
      <c r="Q354" s="258"/>
      <c r="R354" s="260"/>
      <c r="S354" s="260"/>
      <c r="T354" s="260"/>
      <c r="U354" s="260"/>
      <c r="V354" s="260"/>
      <c r="W354" s="260"/>
      <c r="X354" s="260"/>
      <c r="Y354" s="260"/>
      <c r="Z354" s="260"/>
      <c r="AA354" s="260"/>
      <c r="AB354" s="260"/>
      <c r="AC354" s="260"/>
      <c r="AD354" s="260"/>
      <c r="AE354" s="260"/>
      <c r="AF354" s="260"/>
      <c r="AG354" s="258"/>
      <c r="AO354"/>
      <c r="AP354"/>
      <c r="AQ354"/>
      <c r="AR354"/>
      <c r="AS354"/>
      <c r="AT354"/>
      <c r="AU354"/>
      <c r="AV354"/>
      <c r="AW354"/>
      <c r="AX354"/>
      <c r="AY354"/>
      <c r="AZ354"/>
      <c r="BA354"/>
      <c r="BB354"/>
      <c r="BC354"/>
      <c r="BD354"/>
      <c r="BE354"/>
      <c r="BF354"/>
    </row>
    <row r="355" spans="13:58" ht="12" hidden="1" customHeight="1">
      <c r="M355" s="820"/>
      <c r="N355" s="239"/>
      <c r="O355" s="225"/>
      <c r="P355" s="260"/>
      <c r="Q355" s="258"/>
      <c r="R355" s="260"/>
      <c r="S355" s="260"/>
      <c r="T355" s="260"/>
      <c r="U355" s="260"/>
      <c r="V355" s="260"/>
      <c r="W355" s="260"/>
      <c r="X355" s="260"/>
      <c r="Y355" s="260"/>
      <c r="Z355" s="260"/>
      <c r="AA355" s="260"/>
      <c r="AB355" s="260"/>
      <c r="AC355" s="260"/>
      <c r="AD355" s="260"/>
      <c r="AE355" s="260"/>
      <c r="AF355" s="260"/>
      <c r="AG355" s="258"/>
      <c r="AO355"/>
      <c r="AP355"/>
      <c r="AQ355"/>
      <c r="AR355"/>
      <c r="AS355"/>
      <c r="AT355"/>
      <c r="AU355"/>
      <c r="AV355"/>
      <c r="AW355"/>
      <c r="AX355"/>
      <c r="AY355"/>
      <c r="AZ355"/>
      <c r="BA355"/>
      <c r="BB355"/>
      <c r="BC355"/>
      <c r="BD355"/>
      <c r="BE355"/>
      <c r="BF355"/>
    </row>
    <row r="356" spans="13:58" ht="12" hidden="1" customHeight="1">
      <c r="M356" s="820"/>
      <c r="N356" s="239"/>
      <c r="O356" s="225"/>
      <c r="P356" s="260"/>
      <c r="Q356" s="258"/>
      <c r="R356" s="260"/>
      <c r="S356" s="260"/>
      <c r="T356" s="260"/>
      <c r="U356" s="260"/>
      <c r="V356" s="260"/>
      <c r="W356" s="260"/>
      <c r="X356" s="260"/>
      <c r="Y356" s="260"/>
      <c r="Z356" s="260"/>
      <c r="AA356" s="260"/>
      <c r="AB356" s="260"/>
      <c r="AC356" s="260"/>
      <c r="AD356" s="260"/>
      <c r="AE356" s="260"/>
      <c r="AF356" s="260"/>
      <c r="AG356" s="258"/>
      <c r="AO356"/>
      <c r="AP356"/>
      <c r="AQ356"/>
      <c r="AR356"/>
      <c r="AS356"/>
      <c r="AT356"/>
      <c r="AU356"/>
      <c r="AV356"/>
      <c r="AW356"/>
      <c r="AX356"/>
      <c r="AY356"/>
      <c r="AZ356"/>
      <c r="BA356"/>
      <c r="BB356"/>
      <c r="BC356"/>
      <c r="BD356"/>
      <c r="BE356"/>
      <c r="BF356"/>
    </row>
    <row r="357" spans="13:58" ht="12" hidden="1" customHeight="1">
      <c r="M357" s="820"/>
      <c r="N357" s="239"/>
      <c r="O357" s="225"/>
      <c r="P357" s="260"/>
      <c r="Q357" s="258"/>
      <c r="R357" s="260"/>
      <c r="S357" s="260"/>
      <c r="T357" s="260"/>
      <c r="U357" s="260"/>
      <c r="V357" s="260"/>
      <c r="W357" s="260"/>
      <c r="X357" s="260"/>
      <c r="Y357" s="260"/>
      <c r="Z357" s="260"/>
      <c r="AA357" s="260"/>
      <c r="AB357" s="260"/>
      <c r="AC357" s="260"/>
      <c r="AD357" s="260"/>
      <c r="AE357" s="260"/>
      <c r="AF357" s="260"/>
      <c r="AG357" s="258"/>
      <c r="AO357"/>
      <c r="AP357"/>
      <c r="AQ357"/>
      <c r="AR357"/>
      <c r="AS357"/>
      <c r="AT357"/>
      <c r="AU357"/>
      <c r="AV357"/>
      <c r="AW357"/>
      <c r="AX357"/>
      <c r="AY357"/>
      <c r="AZ357"/>
      <c r="BA357"/>
      <c r="BB357"/>
      <c r="BC357"/>
      <c r="BD357"/>
      <c r="BE357"/>
      <c r="BF357"/>
    </row>
    <row r="358" spans="13:58" ht="12" hidden="1" customHeight="1">
      <c r="M358" s="820"/>
      <c r="N358" s="239"/>
      <c r="O358" s="225"/>
      <c r="P358" s="260"/>
      <c r="Q358" s="258"/>
      <c r="R358" s="260"/>
      <c r="S358" s="260"/>
      <c r="T358" s="260"/>
      <c r="U358" s="260"/>
      <c r="V358" s="260"/>
      <c r="W358" s="260"/>
      <c r="X358" s="260"/>
      <c r="Y358" s="260"/>
      <c r="Z358" s="260"/>
      <c r="AA358" s="260"/>
      <c r="AB358" s="260"/>
      <c r="AC358" s="260"/>
      <c r="AD358" s="260"/>
      <c r="AE358" s="260"/>
      <c r="AF358" s="260"/>
      <c r="AG358" s="258"/>
      <c r="AO358"/>
      <c r="AP358"/>
      <c r="AQ358"/>
      <c r="AR358"/>
      <c r="AS358"/>
      <c r="AT358"/>
      <c r="AU358"/>
      <c r="AV358"/>
      <c r="AW358"/>
      <c r="AX358"/>
      <c r="AY358"/>
      <c r="AZ358"/>
      <c r="BA358"/>
      <c r="BB358"/>
      <c r="BC358"/>
      <c r="BD358"/>
      <c r="BE358"/>
      <c r="BF358"/>
    </row>
    <row r="359" spans="13:58" ht="12" hidden="1" customHeight="1">
      <c r="M359" s="820"/>
      <c r="N359" s="239"/>
      <c r="O359" s="225"/>
      <c r="P359" s="260"/>
      <c r="Q359" s="258"/>
      <c r="R359" s="260"/>
      <c r="S359" s="260"/>
      <c r="T359" s="260"/>
      <c r="U359" s="260"/>
      <c r="V359" s="260"/>
      <c r="W359" s="260"/>
      <c r="X359" s="260"/>
      <c r="Y359" s="260"/>
      <c r="Z359" s="260"/>
      <c r="AA359" s="260"/>
      <c r="AB359" s="260"/>
      <c r="AC359" s="260"/>
      <c r="AD359" s="260"/>
      <c r="AE359" s="260"/>
      <c r="AF359" s="260"/>
      <c r="AG359" s="258"/>
      <c r="AO359"/>
      <c r="AP359"/>
      <c r="AQ359"/>
      <c r="AR359"/>
      <c r="AS359"/>
      <c r="AT359"/>
      <c r="AU359"/>
      <c r="AV359"/>
      <c r="AW359"/>
      <c r="AX359"/>
      <c r="AY359"/>
      <c r="AZ359"/>
      <c r="BA359"/>
      <c r="BB359"/>
      <c r="BC359"/>
      <c r="BD359"/>
      <c r="BE359"/>
      <c r="BF359"/>
    </row>
    <row r="360" spans="13:58" ht="12" hidden="1" customHeight="1">
      <c r="M360" s="820"/>
      <c r="N360" s="239"/>
      <c r="O360" s="225"/>
      <c r="P360" s="260"/>
      <c r="Q360" s="258"/>
      <c r="R360" s="260"/>
      <c r="S360" s="260"/>
      <c r="T360" s="260"/>
      <c r="U360" s="260"/>
      <c r="V360" s="260"/>
      <c r="W360" s="260"/>
      <c r="X360" s="260"/>
      <c r="Y360" s="260"/>
      <c r="Z360" s="260"/>
      <c r="AA360" s="260"/>
      <c r="AB360" s="260"/>
      <c r="AC360" s="260"/>
      <c r="AD360" s="260"/>
      <c r="AE360" s="260"/>
      <c r="AF360" s="260"/>
      <c r="AG360" s="258"/>
      <c r="AO360"/>
      <c r="AP360"/>
      <c r="AQ360"/>
      <c r="AR360"/>
      <c r="AS360"/>
      <c r="AT360"/>
      <c r="AU360"/>
      <c r="AV360"/>
      <c r="AW360"/>
      <c r="AX360"/>
      <c r="AY360"/>
      <c r="AZ360"/>
      <c r="BA360"/>
      <c r="BB360"/>
      <c r="BC360"/>
      <c r="BD360"/>
      <c r="BE360"/>
      <c r="BF360"/>
    </row>
    <row r="361" spans="13:58" ht="12" hidden="1" customHeight="1">
      <c r="M361" s="820"/>
      <c r="N361" s="239"/>
      <c r="O361" s="225"/>
      <c r="P361" s="260"/>
      <c r="Q361" s="258"/>
      <c r="R361" s="260"/>
      <c r="S361" s="260"/>
      <c r="T361" s="260"/>
      <c r="U361" s="260"/>
      <c r="V361" s="260"/>
      <c r="W361" s="260"/>
      <c r="X361" s="260"/>
      <c r="Y361" s="260"/>
      <c r="Z361" s="260"/>
      <c r="AA361" s="260"/>
      <c r="AB361" s="260"/>
      <c r="AC361" s="260"/>
      <c r="AD361" s="260"/>
      <c r="AE361" s="260"/>
      <c r="AF361" s="260"/>
      <c r="AG361" s="258"/>
      <c r="AO361"/>
      <c r="AP361"/>
      <c r="AQ361"/>
      <c r="AR361"/>
      <c r="AS361"/>
      <c r="AT361"/>
      <c r="AU361"/>
      <c r="AV361"/>
      <c r="AW361"/>
      <c r="AX361"/>
      <c r="AY361"/>
      <c r="AZ361"/>
      <c r="BA361"/>
      <c r="BB361"/>
      <c r="BC361"/>
      <c r="BD361"/>
      <c r="BE361"/>
      <c r="BF361"/>
    </row>
    <row r="362" spans="13:58" ht="12" hidden="1" customHeight="1">
      <c r="M362" s="820"/>
      <c r="N362" s="239"/>
      <c r="O362" s="225"/>
      <c r="P362" s="260"/>
      <c r="Q362" s="258"/>
      <c r="R362" s="260"/>
      <c r="S362" s="260"/>
      <c r="T362" s="260"/>
      <c r="U362" s="260"/>
      <c r="V362" s="260"/>
      <c r="W362" s="260"/>
      <c r="X362" s="260"/>
      <c r="Y362" s="260"/>
      <c r="Z362" s="260"/>
      <c r="AA362" s="260"/>
      <c r="AB362" s="260"/>
      <c r="AC362" s="260"/>
      <c r="AD362" s="260"/>
      <c r="AE362" s="260"/>
      <c r="AF362" s="260"/>
      <c r="AG362" s="258"/>
      <c r="AO362"/>
      <c r="AP362"/>
      <c r="AQ362"/>
      <c r="AR362"/>
      <c r="AS362"/>
      <c r="AT362"/>
      <c r="AU362"/>
      <c r="AV362"/>
      <c r="AW362"/>
      <c r="AX362"/>
      <c r="AY362"/>
      <c r="AZ362"/>
      <c r="BA362"/>
      <c r="BB362"/>
      <c r="BC362"/>
      <c r="BD362"/>
      <c r="BE362"/>
      <c r="BF362"/>
    </row>
    <row r="363" spans="13:58" ht="12" hidden="1" customHeight="1">
      <c r="M363" s="820"/>
      <c r="N363" s="239"/>
      <c r="O363" s="225"/>
      <c r="P363" s="260"/>
      <c r="Q363" s="258"/>
      <c r="R363" s="260"/>
      <c r="S363" s="260"/>
      <c r="T363" s="260"/>
      <c r="U363" s="260"/>
      <c r="V363" s="260"/>
      <c r="W363" s="260"/>
      <c r="X363" s="260"/>
      <c r="Y363" s="260"/>
      <c r="Z363" s="260"/>
      <c r="AA363" s="260"/>
      <c r="AB363" s="260"/>
      <c r="AC363" s="260"/>
      <c r="AD363" s="260"/>
      <c r="AE363" s="260"/>
      <c r="AF363" s="260"/>
      <c r="AG363" s="258"/>
      <c r="AO363"/>
      <c r="AP363"/>
      <c r="AQ363"/>
      <c r="AR363"/>
      <c r="AS363"/>
      <c r="AT363"/>
      <c r="AU363"/>
      <c r="AV363"/>
      <c r="AW363"/>
      <c r="AX363"/>
      <c r="AY363"/>
      <c r="AZ363"/>
      <c r="BA363"/>
      <c r="BB363"/>
      <c r="BC363"/>
      <c r="BD363"/>
      <c r="BE363"/>
      <c r="BF363"/>
    </row>
    <row r="364" spans="13:58" ht="12" hidden="1" customHeight="1">
      <c r="M364" s="820"/>
      <c r="N364" s="239"/>
      <c r="O364" s="225"/>
      <c r="P364" s="260"/>
      <c r="Q364" s="258"/>
      <c r="R364" s="260"/>
      <c r="S364" s="260"/>
      <c r="T364" s="260"/>
      <c r="U364" s="260"/>
      <c r="V364" s="260"/>
      <c r="W364" s="260"/>
      <c r="X364" s="260"/>
      <c r="Y364" s="260"/>
      <c r="Z364" s="260"/>
      <c r="AA364" s="260"/>
      <c r="AB364" s="260"/>
      <c r="AC364" s="260"/>
      <c r="AD364" s="260"/>
      <c r="AE364" s="260"/>
      <c r="AF364" s="260"/>
      <c r="AG364" s="258"/>
      <c r="AO364"/>
      <c r="AP364"/>
      <c r="AQ364"/>
      <c r="AR364"/>
      <c r="AS364"/>
      <c r="AT364"/>
      <c r="AU364"/>
      <c r="AV364"/>
      <c r="AW364"/>
      <c r="AX364"/>
      <c r="AY364"/>
      <c r="AZ364"/>
      <c r="BA364"/>
      <c r="BB364"/>
      <c r="BC364"/>
      <c r="BD364"/>
      <c r="BE364"/>
      <c r="BF364"/>
    </row>
    <row r="365" spans="13:58" ht="12" hidden="1" customHeight="1">
      <c r="M365" s="820"/>
      <c r="N365" s="239"/>
      <c r="O365" s="225"/>
      <c r="P365" s="260"/>
      <c r="Q365" s="258"/>
      <c r="R365" s="260"/>
      <c r="S365" s="260"/>
      <c r="T365" s="260"/>
      <c r="U365" s="260"/>
      <c r="V365" s="260"/>
      <c r="W365" s="260"/>
      <c r="X365" s="260"/>
      <c r="Y365" s="260"/>
      <c r="Z365" s="260"/>
      <c r="AA365" s="260"/>
      <c r="AB365" s="260"/>
      <c r="AC365" s="260"/>
      <c r="AD365" s="260"/>
      <c r="AE365" s="260"/>
      <c r="AF365" s="260"/>
      <c r="AG365" s="258"/>
      <c r="AO365"/>
      <c r="AP365"/>
      <c r="AQ365"/>
      <c r="AR365"/>
      <c r="AS365"/>
      <c r="AT365"/>
      <c r="AU365"/>
      <c r="AV365"/>
      <c r="AW365"/>
      <c r="AX365"/>
      <c r="AY365"/>
      <c r="AZ365"/>
      <c r="BA365"/>
      <c r="BB365"/>
      <c r="BC365"/>
      <c r="BD365"/>
      <c r="BE365"/>
      <c r="BF365"/>
    </row>
    <row r="366" spans="13:58" ht="12" hidden="1" customHeight="1">
      <c r="M366" s="820"/>
      <c r="N366" s="239"/>
      <c r="O366" s="225"/>
      <c r="P366" s="260"/>
      <c r="Q366" s="258"/>
      <c r="R366" s="260"/>
      <c r="S366" s="260"/>
      <c r="T366" s="260"/>
      <c r="U366" s="260"/>
      <c r="V366" s="260"/>
      <c r="W366" s="260"/>
      <c r="X366" s="260"/>
      <c r="Y366" s="260"/>
      <c r="Z366" s="260"/>
      <c r="AA366" s="260"/>
      <c r="AB366" s="260"/>
      <c r="AC366" s="260"/>
      <c r="AD366" s="260"/>
      <c r="AE366" s="260"/>
      <c r="AF366" s="260"/>
      <c r="AG366" s="258"/>
      <c r="AO366"/>
      <c r="AP366"/>
      <c r="AQ366"/>
      <c r="AR366"/>
      <c r="AS366"/>
      <c r="AT366"/>
      <c r="AU366"/>
      <c r="AV366"/>
      <c r="AW366"/>
      <c r="AX366"/>
      <c r="AY366"/>
      <c r="AZ366"/>
      <c r="BA366"/>
      <c r="BB366"/>
      <c r="BC366"/>
      <c r="BD366"/>
      <c r="BE366"/>
      <c r="BF366"/>
    </row>
    <row r="367" spans="13:58" ht="12" hidden="1" customHeight="1">
      <c r="M367" s="820"/>
      <c r="N367" s="239"/>
      <c r="O367" s="225"/>
      <c r="P367" s="260"/>
      <c r="Q367" s="258"/>
      <c r="R367" s="260"/>
      <c r="S367" s="260"/>
      <c r="T367" s="260"/>
      <c r="U367" s="260"/>
      <c r="V367" s="260"/>
      <c r="W367" s="260"/>
      <c r="X367" s="260"/>
      <c r="Y367" s="260"/>
      <c r="Z367" s="260"/>
      <c r="AA367" s="260"/>
      <c r="AB367" s="260"/>
      <c r="AC367" s="260"/>
      <c r="AD367" s="260"/>
      <c r="AE367" s="260"/>
      <c r="AF367" s="260"/>
      <c r="AG367" s="258"/>
      <c r="AO367"/>
      <c r="AP367"/>
      <c r="AQ367"/>
      <c r="AR367"/>
      <c r="AS367"/>
      <c r="AT367"/>
      <c r="AU367"/>
      <c r="AV367"/>
      <c r="AW367"/>
      <c r="AX367"/>
      <c r="AY367"/>
      <c r="AZ367"/>
      <c r="BA367"/>
      <c r="BB367"/>
      <c r="BC367"/>
      <c r="BD367"/>
      <c r="BE367"/>
      <c r="BF367"/>
    </row>
    <row r="368" spans="13:58" ht="12" hidden="1" customHeight="1">
      <c r="M368" s="820"/>
      <c r="N368" s="239"/>
      <c r="O368" s="225"/>
      <c r="P368" s="260"/>
      <c r="Q368" s="258"/>
      <c r="R368" s="260"/>
      <c r="S368" s="260"/>
      <c r="T368" s="260"/>
      <c r="U368" s="260"/>
      <c r="V368" s="260"/>
      <c r="W368" s="260"/>
      <c r="X368" s="260"/>
      <c r="Y368" s="260"/>
      <c r="Z368" s="260"/>
      <c r="AA368" s="260"/>
      <c r="AB368" s="260"/>
      <c r="AC368" s="260"/>
      <c r="AD368" s="260"/>
      <c r="AE368" s="260"/>
      <c r="AF368" s="260"/>
      <c r="AG368" s="258"/>
      <c r="AO368"/>
      <c r="AP368"/>
      <c r="AQ368"/>
      <c r="AR368"/>
      <c r="AS368"/>
      <c r="AT368"/>
      <c r="AU368"/>
      <c r="AV368"/>
      <c r="AW368"/>
      <c r="AX368"/>
      <c r="AY368"/>
      <c r="AZ368"/>
      <c r="BA368"/>
      <c r="BB368"/>
      <c r="BC368"/>
      <c r="BD368"/>
      <c r="BE368"/>
      <c r="BF368"/>
    </row>
    <row r="369" spans="13:58" ht="12" hidden="1" customHeight="1">
      <c r="M369" s="820"/>
      <c r="N369" s="239"/>
      <c r="O369" s="225"/>
      <c r="P369" s="260"/>
      <c r="Q369" s="258"/>
      <c r="R369" s="260"/>
      <c r="S369" s="260"/>
      <c r="T369" s="260"/>
      <c r="U369" s="260"/>
      <c r="V369" s="260"/>
      <c r="W369" s="260"/>
      <c r="X369" s="260"/>
      <c r="Y369" s="260"/>
      <c r="Z369" s="260"/>
      <c r="AA369" s="260"/>
      <c r="AB369" s="260"/>
      <c r="AC369" s="260"/>
      <c r="AD369" s="260"/>
      <c r="AE369" s="260"/>
      <c r="AF369" s="260"/>
      <c r="AG369" s="258"/>
      <c r="AO369"/>
      <c r="AP369"/>
      <c r="AQ369"/>
      <c r="AR369"/>
      <c r="AS369"/>
      <c r="AT369"/>
      <c r="AU369"/>
      <c r="AV369"/>
      <c r="AW369"/>
      <c r="AX369"/>
      <c r="AY369"/>
      <c r="AZ369"/>
      <c r="BA369"/>
      <c r="BB369"/>
      <c r="BC369"/>
      <c r="BD369"/>
      <c r="BE369"/>
      <c r="BF369"/>
    </row>
    <row r="370" spans="13:58" ht="12" hidden="1" customHeight="1">
      <c r="M370" s="820"/>
      <c r="N370" s="239"/>
      <c r="O370" s="225"/>
      <c r="P370" s="260"/>
      <c r="Q370" s="258"/>
      <c r="R370" s="260"/>
      <c r="S370" s="260"/>
      <c r="T370" s="260"/>
      <c r="U370" s="260"/>
      <c r="V370" s="260"/>
      <c r="W370" s="260"/>
      <c r="X370" s="260"/>
      <c r="Y370" s="260"/>
      <c r="Z370" s="260"/>
      <c r="AA370" s="260"/>
      <c r="AB370" s="260"/>
      <c r="AC370" s="260"/>
      <c r="AD370" s="260"/>
      <c r="AE370" s="260"/>
      <c r="AF370" s="260"/>
      <c r="AG370" s="258"/>
      <c r="AO370"/>
      <c r="AP370"/>
      <c r="AQ370"/>
      <c r="AR370"/>
      <c r="AS370"/>
      <c r="AT370"/>
      <c r="AU370"/>
      <c r="AV370"/>
      <c r="AW370"/>
      <c r="AX370"/>
      <c r="AY370"/>
      <c r="AZ370"/>
      <c r="BA370"/>
      <c r="BB370"/>
      <c r="BC370"/>
      <c r="BD370"/>
      <c r="BE370"/>
      <c r="BF370"/>
    </row>
    <row r="371" spans="13:58" ht="12" hidden="1" customHeight="1">
      <c r="M371" s="820"/>
      <c r="N371" s="239"/>
      <c r="O371" s="225"/>
      <c r="P371" s="260"/>
      <c r="Q371" s="258"/>
      <c r="R371" s="260"/>
      <c r="S371" s="260"/>
      <c r="T371" s="260"/>
      <c r="U371" s="260"/>
      <c r="V371" s="260"/>
      <c r="W371" s="260"/>
      <c r="X371" s="260"/>
      <c r="Y371" s="260"/>
      <c r="Z371" s="260"/>
      <c r="AA371" s="260"/>
      <c r="AB371" s="260"/>
      <c r="AC371" s="260"/>
      <c r="AD371" s="260"/>
      <c r="AE371" s="260"/>
      <c r="AF371" s="260"/>
      <c r="AG371" s="258"/>
      <c r="AO371"/>
      <c r="AP371"/>
      <c r="AQ371"/>
      <c r="AR371"/>
      <c r="AS371"/>
      <c r="AT371"/>
      <c r="AU371"/>
      <c r="AV371"/>
      <c r="AW371"/>
      <c r="AX371"/>
      <c r="AY371"/>
      <c r="AZ371"/>
      <c r="BA371"/>
      <c r="BB371"/>
      <c r="BC371"/>
      <c r="BD371"/>
      <c r="BE371"/>
      <c r="BF371"/>
    </row>
    <row r="372" spans="13:58" ht="12" hidden="1" customHeight="1">
      <c r="M372" s="820"/>
      <c r="N372" s="239"/>
      <c r="O372" s="225"/>
      <c r="P372" s="260"/>
      <c r="Q372" s="258"/>
      <c r="R372" s="260"/>
      <c r="S372" s="260"/>
      <c r="T372" s="260"/>
      <c r="U372" s="260"/>
      <c r="V372" s="260"/>
      <c r="W372" s="260"/>
      <c r="X372" s="260"/>
      <c r="Y372" s="260"/>
      <c r="Z372" s="260"/>
      <c r="AA372" s="260"/>
      <c r="AB372" s="260"/>
      <c r="AC372" s="260"/>
      <c r="AD372" s="260"/>
      <c r="AE372" s="260"/>
      <c r="AF372" s="260"/>
      <c r="AG372" s="258"/>
      <c r="AO372"/>
      <c r="AP372"/>
      <c r="AQ372"/>
      <c r="AR372"/>
      <c r="AS372"/>
      <c r="AT372"/>
      <c r="AU372"/>
      <c r="AV372"/>
      <c r="AW372"/>
      <c r="AX372"/>
      <c r="AY372"/>
      <c r="AZ372"/>
      <c r="BA372"/>
      <c r="BB372"/>
      <c r="BC372"/>
      <c r="BD372"/>
      <c r="BE372"/>
      <c r="BF372"/>
    </row>
    <row r="373" spans="13:58" ht="12" hidden="1" customHeight="1">
      <c r="M373" s="820"/>
      <c r="N373" s="239"/>
      <c r="O373" s="225"/>
      <c r="P373" s="260"/>
      <c r="Q373" s="258"/>
      <c r="R373" s="260"/>
      <c r="S373" s="260"/>
      <c r="T373" s="260"/>
      <c r="U373" s="260"/>
      <c r="V373" s="260"/>
      <c r="W373" s="260"/>
      <c r="X373" s="260"/>
      <c r="Y373" s="260"/>
      <c r="Z373" s="260"/>
      <c r="AA373" s="260"/>
      <c r="AB373" s="260"/>
      <c r="AC373" s="260"/>
      <c r="AD373" s="260"/>
      <c r="AE373" s="260"/>
      <c r="AF373" s="260"/>
      <c r="AG373" s="258"/>
      <c r="AO373"/>
      <c r="AP373"/>
      <c r="AQ373"/>
      <c r="AR373"/>
      <c r="AS373"/>
      <c r="AT373"/>
      <c r="AU373"/>
      <c r="AV373"/>
      <c r="AW373"/>
      <c r="AX373"/>
      <c r="AY373"/>
      <c r="AZ373"/>
      <c r="BA373"/>
      <c r="BB373"/>
      <c r="BC373"/>
      <c r="BD373"/>
      <c r="BE373"/>
      <c r="BF373"/>
    </row>
    <row r="374" spans="13:58" ht="12" hidden="1" customHeight="1">
      <c r="M374" s="820"/>
      <c r="N374" s="239"/>
      <c r="O374" s="225"/>
      <c r="P374" s="260"/>
      <c r="Q374" s="258"/>
      <c r="R374" s="260"/>
      <c r="S374" s="260"/>
      <c r="T374" s="260"/>
      <c r="U374" s="260"/>
      <c r="V374" s="260"/>
      <c r="W374" s="260"/>
      <c r="X374" s="260"/>
      <c r="Y374" s="260"/>
      <c r="Z374" s="260"/>
      <c r="AA374" s="260"/>
      <c r="AB374" s="260"/>
      <c r="AC374" s="260"/>
      <c r="AD374" s="260"/>
      <c r="AE374" s="260"/>
      <c r="AF374" s="260"/>
      <c r="AG374" s="258"/>
      <c r="AO374"/>
      <c r="AP374"/>
      <c r="AQ374"/>
      <c r="AR374"/>
      <c r="AS374"/>
      <c r="AT374"/>
      <c r="AU374"/>
      <c r="AV374"/>
      <c r="AW374"/>
      <c r="AX374"/>
      <c r="AY374"/>
      <c r="AZ374"/>
      <c r="BA374"/>
      <c r="BB374"/>
      <c r="BC374"/>
      <c r="BD374"/>
      <c r="BE374"/>
      <c r="BF374"/>
    </row>
    <row r="375" spans="13:58" ht="12" hidden="1" customHeight="1">
      <c r="M375" s="820"/>
      <c r="N375" s="239"/>
      <c r="O375" s="225"/>
      <c r="P375" s="260"/>
      <c r="Q375" s="258"/>
      <c r="R375" s="260"/>
      <c r="S375" s="260"/>
      <c r="T375" s="260"/>
      <c r="U375" s="260"/>
      <c r="V375" s="260"/>
      <c r="W375" s="260"/>
      <c r="X375" s="260"/>
      <c r="Y375" s="260"/>
      <c r="Z375" s="260"/>
      <c r="AA375" s="260"/>
      <c r="AB375" s="260"/>
      <c r="AC375" s="260"/>
      <c r="AD375" s="260"/>
      <c r="AE375" s="260"/>
      <c r="AF375" s="260"/>
      <c r="AG375" s="258"/>
      <c r="AO375"/>
      <c r="AP375"/>
      <c r="AQ375"/>
      <c r="AR375"/>
      <c r="AS375"/>
      <c r="AT375"/>
      <c r="AU375"/>
      <c r="AV375"/>
      <c r="AW375"/>
      <c r="AX375"/>
      <c r="AY375"/>
      <c r="AZ375"/>
      <c r="BA375"/>
      <c r="BB375"/>
      <c r="BC375"/>
      <c r="BD375"/>
      <c r="BE375"/>
      <c r="BF375"/>
    </row>
    <row r="376" spans="13:58" ht="12" hidden="1" customHeight="1">
      <c r="M376" s="820"/>
      <c r="N376" s="239"/>
      <c r="O376" s="225"/>
      <c r="P376" s="260"/>
      <c r="Q376" s="258"/>
      <c r="R376" s="260"/>
      <c r="S376" s="260"/>
      <c r="T376" s="260"/>
      <c r="U376" s="260"/>
      <c r="V376" s="260"/>
      <c r="W376" s="260"/>
      <c r="X376" s="260"/>
      <c r="Y376" s="260"/>
      <c r="Z376" s="260"/>
      <c r="AA376" s="260"/>
      <c r="AB376" s="260"/>
      <c r="AC376" s="260"/>
      <c r="AD376" s="260"/>
      <c r="AE376" s="260"/>
      <c r="AF376" s="260"/>
      <c r="AG376" s="258"/>
      <c r="AO376"/>
      <c r="AP376"/>
      <c r="AQ376"/>
      <c r="AR376"/>
      <c r="AS376"/>
      <c r="AT376"/>
      <c r="AU376"/>
      <c r="AV376"/>
      <c r="AW376"/>
      <c r="AX376"/>
      <c r="AY376"/>
      <c r="AZ376"/>
      <c r="BA376"/>
      <c r="BB376"/>
      <c r="BC376"/>
      <c r="BD376"/>
      <c r="BE376"/>
      <c r="BF376"/>
    </row>
    <row r="377" spans="13:58" ht="12" hidden="1" customHeight="1">
      <c r="M377" s="820"/>
      <c r="N377" s="239"/>
      <c r="O377" s="225"/>
      <c r="P377" s="260"/>
      <c r="Q377" s="258"/>
      <c r="R377" s="260"/>
      <c r="S377" s="260"/>
      <c r="T377" s="260"/>
      <c r="U377" s="260"/>
      <c r="V377" s="260"/>
      <c r="W377" s="260"/>
      <c r="X377" s="260"/>
      <c r="Y377" s="260"/>
      <c r="Z377" s="260"/>
      <c r="AA377" s="260"/>
      <c r="AB377" s="260"/>
      <c r="AC377" s="260"/>
      <c r="AD377" s="260"/>
      <c r="AE377" s="260"/>
      <c r="AF377" s="260"/>
      <c r="AG377" s="258"/>
      <c r="AO377"/>
      <c r="AP377"/>
      <c r="AQ377"/>
      <c r="AR377"/>
      <c r="AS377"/>
      <c r="AT377"/>
      <c r="AU377"/>
      <c r="AV377"/>
      <c r="AW377"/>
      <c r="AX377"/>
      <c r="AY377"/>
      <c r="AZ377"/>
      <c r="BA377"/>
      <c r="BB377"/>
      <c r="BC377"/>
      <c r="BD377"/>
      <c r="BE377"/>
      <c r="BF377"/>
    </row>
    <row r="378" spans="13:58" ht="12" hidden="1" customHeight="1">
      <c r="M378" s="820"/>
      <c r="N378" s="239"/>
      <c r="O378" s="225"/>
      <c r="P378" s="260"/>
      <c r="Q378" s="258"/>
      <c r="R378" s="260"/>
      <c r="S378" s="260"/>
      <c r="T378" s="260"/>
      <c r="U378" s="260"/>
      <c r="V378" s="260"/>
      <c r="W378" s="260"/>
      <c r="X378" s="260"/>
      <c r="Y378" s="260"/>
      <c r="Z378" s="260"/>
      <c r="AA378" s="260"/>
      <c r="AB378" s="260"/>
      <c r="AC378" s="260"/>
      <c r="AD378" s="260"/>
      <c r="AE378" s="260"/>
      <c r="AF378" s="260"/>
      <c r="AG378" s="258"/>
      <c r="AO378"/>
      <c r="AP378"/>
      <c r="AQ378"/>
      <c r="AR378"/>
      <c r="AS378"/>
      <c r="AT378"/>
      <c r="AU378"/>
      <c r="AV378"/>
      <c r="AW378"/>
      <c r="AX378"/>
      <c r="AY378"/>
      <c r="AZ378"/>
      <c r="BA378"/>
      <c r="BB378"/>
      <c r="BC378"/>
      <c r="BD378"/>
      <c r="BE378"/>
      <c r="BF378"/>
    </row>
    <row r="379" spans="13:58" ht="12" hidden="1" customHeight="1">
      <c r="M379" s="820"/>
      <c r="N379" s="239"/>
      <c r="O379" s="225"/>
      <c r="P379" s="260"/>
      <c r="Q379" s="258"/>
      <c r="R379" s="260"/>
      <c r="S379" s="260"/>
      <c r="T379" s="260"/>
      <c r="U379" s="260"/>
      <c r="V379" s="260"/>
      <c r="W379" s="260"/>
      <c r="X379" s="260"/>
      <c r="Y379" s="260"/>
      <c r="Z379" s="260"/>
      <c r="AA379" s="260"/>
      <c r="AB379" s="260"/>
      <c r="AC379" s="260"/>
      <c r="AD379" s="260"/>
      <c r="AE379" s="260"/>
      <c r="AF379" s="260"/>
      <c r="AG379" s="258"/>
      <c r="AO379"/>
      <c r="AP379"/>
      <c r="AQ379"/>
      <c r="AR379"/>
      <c r="AS379"/>
      <c r="AT379"/>
      <c r="AU379"/>
      <c r="AV379"/>
      <c r="AW379"/>
      <c r="AX379"/>
      <c r="AY379"/>
      <c r="AZ379"/>
      <c r="BA379"/>
      <c r="BB379"/>
      <c r="BC379"/>
      <c r="BD379"/>
      <c r="BE379"/>
      <c r="BF379"/>
    </row>
    <row r="380" spans="13:58" ht="12" hidden="1" customHeight="1">
      <c r="M380" s="820"/>
      <c r="N380" s="239"/>
      <c r="O380" s="225"/>
      <c r="P380" s="260"/>
      <c r="Q380" s="258"/>
      <c r="R380" s="260"/>
      <c r="S380" s="260"/>
      <c r="T380" s="260"/>
      <c r="U380" s="260"/>
      <c r="V380" s="260"/>
      <c r="W380" s="260"/>
      <c r="X380" s="260"/>
      <c r="Y380" s="260"/>
      <c r="Z380" s="260"/>
      <c r="AA380" s="260"/>
      <c r="AB380" s="260"/>
      <c r="AC380" s="260"/>
      <c r="AD380" s="260"/>
      <c r="AE380" s="260"/>
      <c r="AF380" s="260"/>
      <c r="AG380" s="258"/>
      <c r="AO380"/>
      <c r="AP380"/>
      <c r="AQ380"/>
      <c r="AR380"/>
      <c r="AS380"/>
      <c r="AT380"/>
      <c r="AU380"/>
      <c r="AV380"/>
      <c r="AW380"/>
      <c r="AX380"/>
      <c r="AY380"/>
      <c r="AZ380"/>
      <c r="BA380"/>
      <c r="BB380"/>
      <c r="BC380"/>
      <c r="BD380"/>
      <c r="BE380"/>
      <c r="BF380"/>
    </row>
    <row r="381" spans="13:58" ht="12" hidden="1" customHeight="1">
      <c r="M381" s="820"/>
      <c r="N381" s="239"/>
      <c r="O381" s="225"/>
      <c r="P381" s="260"/>
      <c r="Q381" s="258"/>
      <c r="R381" s="260"/>
      <c r="S381" s="260"/>
      <c r="T381" s="260"/>
      <c r="U381" s="260"/>
      <c r="V381" s="260"/>
      <c r="W381" s="260"/>
      <c r="X381" s="260"/>
      <c r="Y381" s="260"/>
      <c r="Z381" s="260"/>
      <c r="AA381" s="260"/>
      <c r="AB381" s="260"/>
      <c r="AC381" s="260"/>
      <c r="AD381" s="260"/>
      <c r="AE381" s="260"/>
      <c r="AF381" s="260"/>
      <c r="AG381" s="258"/>
      <c r="AO381"/>
      <c r="AP381"/>
      <c r="AQ381"/>
      <c r="AR381"/>
      <c r="AS381"/>
      <c r="AT381"/>
      <c r="AU381"/>
      <c r="AV381"/>
      <c r="AW381"/>
      <c r="AX381"/>
      <c r="AY381"/>
      <c r="AZ381"/>
      <c r="BA381"/>
      <c r="BB381"/>
      <c r="BC381"/>
      <c r="BD381"/>
      <c r="BE381"/>
      <c r="BF381"/>
    </row>
    <row r="382" spans="13:58" ht="12" hidden="1" customHeight="1">
      <c r="M382" s="820"/>
      <c r="N382" s="239"/>
      <c r="O382" s="225"/>
      <c r="P382" s="260"/>
      <c r="Q382" s="258"/>
      <c r="R382" s="260"/>
      <c r="S382" s="260"/>
      <c r="T382" s="260"/>
      <c r="U382" s="260"/>
      <c r="V382" s="260"/>
      <c r="W382" s="260"/>
      <c r="X382" s="260"/>
      <c r="Y382" s="260"/>
      <c r="Z382" s="260"/>
      <c r="AA382" s="260"/>
      <c r="AB382" s="260"/>
      <c r="AC382" s="260"/>
      <c r="AD382" s="260"/>
      <c r="AE382" s="260"/>
      <c r="AF382" s="260"/>
      <c r="AG382" s="258"/>
      <c r="AO382"/>
      <c r="AP382"/>
      <c r="AQ382"/>
      <c r="AR382"/>
      <c r="AS382"/>
      <c r="AT382"/>
      <c r="AU382"/>
      <c r="AV382"/>
      <c r="AW382"/>
      <c r="AX382"/>
      <c r="AY382"/>
      <c r="AZ382"/>
      <c r="BA382"/>
      <c r="BB382"/>
      <c r="BC382"/>
      <c r="BD382"/>
      <c r="BE382"/>
      <c r="BF382"/>
    </row>
    <row r="383" spans="13:58" ht="12" hidden="1" customHeight="1">
      <c r="M383" s="820"/>
      <c r="N383" s="239"/>
      <c r="O383" s="225"/>
      <c r="P383" s="260"/>
      <c r="Q383" s="258"/>
      <c r="R383" s="260"/>
      <c r="S383" s="260"/>
      <c r="T383" s="260"/>
      <c r="U383" s="260"/>
      <c r="V383" s="260"/>
      <c r="W383" s="260"/>
      <c r="X383" s="260"/>
      <c r="Y383" s="260"/>
      <c r="Z383" s="260"/>
      <c r="AA383" s="260"/>
      <c r="AB383" s="260"/>
      <c r="AC383" s="260"/>
      <c r="AD383" s="260"/>
      <c r="AE383" s="260"/>
      <c r="AF383" s="260"/>
      <c r="AG383" s="258"/>
      <c r="AO383"/>
      <c r="AP383"/>
      <c r="AQ383"/>
      <c r="AR383"/>
      <c r="AS383"/>
      <c r="AT383"/>
      <c r="AU383"/>
      <c r="AV383"/>
      <c r="AW383"/>
      <c r="AX383"/>
      <c r="AY383"/>
      <c r="AZ383"/>
      <c r="BA383"/>
      <c r="BB383"/>
      <c r="BC383"/>
      <c r="BD383"/>
      <c r="BE383"/>
      <c r="BF383"/>
    </row>
    <row r="384" spans="13:58" ht="12" hidden="1" customHeight="1">
      <c r="M384" s="820"/>
      <c r="N384" s="239"/>
      <c r="O384" s="225"/>
      <c r="P384" s="260"/>
      <c r="Q384" s="258"/>
      <c r="R384" s="260"/>
      <c r="S384" s="260"/>
      <c r="T384" s="260"/>
      <c r="U384" s="260"/>
      <c r="V384" s="260"/>
      <c r="W384" s="260"/>
      <c r="X384" s="260"/>
      <c r="Y384" s="260"/>
      <c r="Z384" s="260"/>
      <c r="AA384" s="260"/>
      <c r="AB384" s="260"/>
      <c r="AC384" s="260"/>
      <c r="AD384" s="260"/>
      <c r="AE384" s="260"/>
      <c r="AF384" s="260"/>
      <c r="AG384" s="258"/>
      <c r="AO384"/>
      <c r="AP384"/>
      <c r="AQ384"/>
      <c r="AR384"/>
      <c r="AS384"/>
      <c r="AT384"/>
      <c r="AU384"/>
      <c r="AV384"/>
      <c r="AW384"/>
      <c r="AX384"/>
      <c r="AY384"/>
      <c r="AZ384"/>
      <c r="BA384"/>
      <c r="BB384"/>
      <c r="BC384"/>
      <c r="BD384"/>
      <c r="BE384"/>
      <c r="BF384"/>
    </row>
    <row r="385" spans="13:58" ht="12" hidden="1" customHeight="1">
      <c r="M385" s="820"/>
      <c r="N385" s="239"/>
      <c r="O385" s="225"/>
      <c r="P385" s="260"/>
      <c r="Q385" s="258"/>
      <c r="R385" s="260"/>
      <c r="S385" s="260"/>
      <c r="T385" s="260"/>
      <c r="U385" s="260"/>
      <c r="V385" s="260"/>
      <c r="W385" s="260"/>
      <c r="X385" s="260"/>
      <c r="Y385" s="260"/>
      <c r="Z385" s="260"/>
      <c r="AA385" s="260"/>
      <c r="AB385" s="260"/>
      <c r="AC385" s="260"/>
      <c r="AD385" s="260"/>
      <c r="AE385" s="260"/>
      <c r="AF385" s="260"/>
      <c r="AG385" s="258"/>
      <c r="AO385"/>
      <c r="AP385"/>
      <c r="AQ385"/>
      <c r="AR385"/>
      <c r="AS385"/>
      <c r="AT385"/>
      <c r="AU385"/>
      <c r="AV385"/>
      <c r="AW385"/>
      <c r="AX385"/>
      <c r="AY385"/>
      <c r="AZ385"/>
      <c r="BA385"/>
      <c r="BB385"/>
      <c r="BC385"/>
      <c r="BD385"/>
      <c r="BE385"/>
      <c r="BF385"/>
    </row>
    <row r="386" spans="13:58" ht="12" hidden="1" customHeight="1">
      <c r="M386" s="820"/>
      <c r="N386" s="239"/>
      <c r="O386" s="225"/>
      <c r="P386" s="260"/>
      <c r="Q386" s="258"/>
      <c r="R386" s="260"/>
      <c r="S386" s="260"/>
      <c r="T386" s="260"/>
      <c r="U386" s="260"/>
      <c r="V386" s="260"/>
      <c r="W386" s="260"/>
      <c r="X386" s="260"/>
      <c r="Y386" s="260"/>
      <c r="Z386" s="260"/>
      <c r="AA386" s="260"/>
      <c r="AB386" s="260"/>
      <c r="AC386" s="260"/>
      <c r="AD386" s="260"/>
      <c r="AE386" s="260"/>
      <c r="AF386" s="260"/>
      <c r="AG386" s="258"/>
      <c r="AO386"/>
      <c r="AP386"/>
      <c r="AQ386"/>
      <c r="AR386"/>
      <c r="AS386"/>
      <c r="AT386"/>
      <c r="AU386"/>
      <c r="AV386"/>
      <c r="AW386"/>
      <c r="AX386"/>
      <c r="AY386"/>
      <c r="AZ386"/>
      <c r="BA386"/>
      <c r="BB386"/>
      <c r="BC386"/>
      <c r="BD386"/>
      <c r="BE386"/>
      <c r="BF386"/>
    </row>
    <row r="387" spans="13:58" ht="12" hidden="1" customHeight="1">
      <c r="M387" s="820"/>
      <c r="N387" s="239"/>
      <c r="O387" s="225"/>
      <c r="P387" s="260"/>
      <c r="Q387" s="258"/>
      <c r="R387" s="260"/>
      <c r="S387" s="260"/>
      <c r="T387" s="260"/>
      <c r="U387" s="260"/>
      <c r="V387" s="260"/>
      <c r="W387" s="260"/>
      <c r="X387" s="260"/>
      <c r="Y387" s="260"/>
      <c r="Z387" s="260"/>
      <c r="AA387" s="260"/>
      <c r="AB387" s="260"/>
      <c r="AC387" s="260"/>
      <c r="AD387" s="260"/>
      <c r="AE387" s="260"/>
      <c r="AF387" s="260"/>
      <c r="AG387" s="258"/>
      <c r="AO387"/>
      <c r="AP387"/>
      <c r="AQ387"/>
      <c r="AR387"/>
      <c r="AS387"/>
      <c r="AT387"/>
      <c r="AU387"/>
      <c r="AV387"/>
      <c r="AW387"/>
      <c r="AX387"/>
      <c r="AY387"/>
      <c r="AZ387"/>
      <c r="BA387"/>
      <c r="BB387"/>
      <c r="BC387"/>
      <c r="BD387"/>
      <c r="BE387"/>
      <c r="BF387"/>
    </row>
    <row r="388" spans="13:58" ht="12" hidden="1" customHeight="1">
      <c r="M388" s="820"/>
      <c r="N388" s="239"/>
      <c r="O388" s="225"/>
      <c r="P388" s="260"/>
      <c r="Q388" s="258"/>
      <c r="R388" s="260"/>
      <c r="S388" s="260"/>
      <c r="T388" s="260"/>
      <c r="U388" s="260"/>
      <c r="V388" s="260"/>
      <c r="W388" s="260"/>
      <c r="X388" s="260"/>
      <c r="Y388" s="260"/>
      <c r="Z388" s="260"/>
      <c r="AA388" s="260"/>
      <c r="AB388" s="260"/>
      <c r="AC388" s="260"/>
      <c r="AD388" s="260"/>
      <c r="AE388" s="260"/>
      <c r="AF388" s="260"/>
      <c r="AG388" s="258"/>
      <c r="AO388"/>
      <c r="AP388"/>
      <c r="AQ388"/>
      <c r="AR388"/>
      <c r="AS388"/>
      <c r="AT388"/>
      <c r="AU388"/>
      <c r="AV388"/>
      <c r="AW388"/>
      <c r="AX388"/>
      <c r="AY388"/>
      <c r="AZ388"/>
      <c r="BA388"/>
      <c r="BB388"/>
      <c r="BC388"/>
      <c r="BD388"/>
      <c r="BE388"/>
      <c r="BF388"/>
    </row>
    <row r="389" spans="13:58" ht="12" hidden="1" customHeight="1">
      <c r="M389" s="820"/>
      <c r="N389" s="239"/>
      <c r="O389" s="225"/>
      <c r="P389" s="260"/>
      <c r="Q389" s="258"/>
      <c r="R389" s="260"/>
      <c r="S389" s="260"/>
      <c r="T389" s="260"/>
      <c r="U389" s="260"/>
      <c r="V389" s="260"/>
      <c r="W389" s="260"/>
      <c r="X389" s="260"/>
      <c r="Y389" s="260"/>
      <c r="Z389" s="260"/>
      <c r="AA389" s="260"/>
      <c r="AB389" s="260"/>
      <c r="AC389" s="260"/>
      <c r="AD389" s="260"/>
      <c r="AE389" s="260"/>
      <c r="AF389" s="260"/>
      <c r="AG389" s="258"/>
      <c r="AO389"/>
      <c r="AP389"/>
      <c r="AQ389"/>
      <c r="AR389"/>
      <c r="AS389"/>
      <c r="AT389"/>
      <c r="AU389"/>
      <c r="AV389"/>
      <c r="AW389"/>
      <c r="AX389"/>
      <c r="AY389"/>
      <c r="AZ389"/>
      <c r="BA389"/>
      <c r="BB389"/>
      <c r="BC389"/>
      <c r="BD389"/>
      <c r="BE389"/>
      <c r="BF389"/>
    </row>
    <row r="390" spans="13:58" ht="12" hidden="1" customHeight="1">
      <c r="M390" s="820"/>
      <c r="N390" s="239"/>
      <c r="O390" s="225"/>
      <c r="P390" s="260"/>
      <c r="Q390" s="258"/>
      <c r="R390" s="260"/>
      <c r="S390" s="260"/>
      <c r="T390" s="260"/>
      <c r="U390" s="260"/>
      <c r="V390" s="260"/>
      <c r="W390" s="260"/>
      <c r="X390" s="260"/>
      <c r="Y390" s="260"/>
      <c r="Z390" s="260"/>
      <c r="AA390" s="260"/>
      <c r="AB390" s="260"/>
      <c r="AC390" s="260"/>
      <c r="AD390" s="260"/>
      <c r="AE390" s="260"/>
      <c r="AF390" s="260"/>
      <c r="AG390" s="258"/>
      <c r="AO390"/>
      <c r="AP390"/>
      <c r="AQ390"/>
      <c r="AR390"/>
      <c r="AS390"/>
      <c r="AT390"/>
      <c r="AU390"/>
      <c r="AV390"/>
      <c r="AW390"/>
      <c r="AX390"/>
      <c r="AY390"/>
      <c r="AZ390"/>
      <c r="BA390"/>
      <c r="BB390"/>
      <c r="BC390"/>
      <c r="BD390"/>
      <c r="BE390"/>
      <c r="BF390"/>
    </row>
    <row r="391" spans="13:58" ht="12" hidden="1" customHeight="1">
      <c r="M391" s="820"/>
      <c r="N391" s="239"/>
      <c r="O391" s="225"/>
      <c r="P391" s="260"/>
      <c r="Q391" s="258"/>
      <c r="R391" s="260"/>
      <c r="S391" s="260"/>
      <c r="T391" s="260"/>
      <c r="U391" s="260"/>
      <c r="V391" s="260"/>
      <c r="W391" s="260"/>
      <c r="X391" s="260"/>
      <c r="Y391" s="260"/>
      <c r="Z391" s="260"/>
      <c r="AA391" s="260"/>
      <c r="AB391" s="260"/>
      <c r="AC391" s="260"/>
      <c r="AD391" s="260"/>
      <c r="AE391" s="260"/>
      <c r="AF391" s="260"/>
      <c r="AG391" s="258"/>
      <c r="AO391"/>
      <c r="AP391"/>
      <c r="AQ391"/>
      <c r="AR391"/>
      <c r="AS391"/>
      <c r="AT391"/>
      <c r="AU391"/>
      <c r="AV391"/>
      <c r="AW391"/>
      <c r="AX391"/>
      <c r="AY391"/>
      <c r="AZ391"/>
      <c r="BA391"/>
      <c r="BB391"/>
      <c r="BC391"/>
      <c r="BD391"/>
      <c r="BE391"/>
      <c r="BF391"/>
    </row>
    <row r="392" spans="13:58" ht="12" hidden="1" customHeight="1">
      <c r="M392" s="820"/>
      <c r="N392" s="239"/>
      <c r="O392" s="225"/>
      <c r="P392" s="260"/>
      <c r="Q392" s="258"/>
      <c r="R392" s="260"/>
      <c r="S392" s="260"/>
      <c r="T392" s="260"/>
      <c r="U392" s="260"/>
      <c r="V392" s="260"/>
      <c r="W392" s="260"/>
      <c r="X392" s="260"/>
      <c r="Y392" s="260"/>
      <c r="Z392" s="260"/>
      <c r="AA392" s="260"/>
      <c r="AB392" s="260"/>
      <c r="AC392" s="260"/>
      <c r="AD392" s="260"/>
      <c r="AE392" s="260"/>
      <c r="AF392" s="260"/>
      <c r="AG392" s="258"/>
      <c r="AO392"/>
      <c r="AP392"/>
      <c r="AQ392"/>
      <c r="AR392"/>
      <c r="AS392"/>
      <c r="AT392"/>
      <c r="AU392"/>
      <c r="AV392"/>
      <c r="AW392"/>
      <c r="AX392"/>
      <c r="AY392"/>
      <c r="AZ392"/>
      <c r="BA392"/>
      <c r="BB392"/>
      <c r="BC392"/>
      <c r="BD392"/>
      <c r="BE392"/>
      <c r="BF392"/>
    </row>
    <row r="393" spans="13:58" ht="12" hidden="1" customHeight="1">
      <c r="M393" s="820"/>
      <c r="N393" s="239"/>
      <c r="O393" s="225"/>
      <c r="P393" s="260"/>
      <c r="Q393" s="258"/>
      <c r="R393" s="260"/>
      <c r="S393" s="260"/>
      <c r="T393" s="260"/>
      <c r="U393" s="260"/>
      <c r="V393" s="260"/>
      <c r="W393" s="260"/>
      <c r="X393" s="260"/>
      <c r="Y393" s="260"/>
      <c r="Z393" s="260"/>
      <c r="AA393" s="260"/>
      <c r="AB393" s="260"/>
      <c r="AC393" s="260"/>
      <c r="AD393" s="260"/>
      <c r="AE393" s="260"/>
      <c r="AF393" s="260"/>
      <c r="AG393" s="258"/>
      <c r="AO393"/>
      <c r="AP393"/>
      <c r="AQ393"/>
      <c r="AR393"/>
      <c r="AS393"/>
      <c r="AT393"/>
      <c r="AU393"/>
      <c r="AV393"/>
      <c r="AW393"/>
      <c r="AX393"/>
      <c r="AY393"/>
      <c r="AZ393"/>
      <c r="BA393"/>
      <c r="BB393"/>
      <c r="BC393"/>
      <c r="BD393"/>
      <c r="BE393"/>
      <c r="BF393"/>
    </row>
    <row r="394" spans="13:58" ht="12" hidden="1" customHeight="1">
      <c r="M394" s="820"/>
      <c r="N394" s="239"/>
      <c r="O394" s="225"/>
      <c r="P394" s="260"/>
      <c r="Q394" s="258"/>
      <c r="R394" s="260"/>
      <c r="S394" s="260"/>
      <c r="T394" s="260"/>
      <c r="U394" s="260"/>
      <c r="V394" s="260"/>
      <c r="W394" s="260"/>
      <c r="X394" s="260"/>
      <c r="Y394" s="260"/>
      <c r="Z394" s="260"/>
      <c r="AA394" s="260"/>
      <c r="AB394" s="260"/>
      <c r="AC394" s="260"/>
      <c r="AD394" s="260"/>
      <c r="AE394" s="260"/>
      <c r="AF394" s="260"/>
      <c r="AG394" s="258"/>
      <c r="AO394"/>
      <c r="AP394"/>
      <c r="AQ394"/>
      <c r="AR394"/>
      <c r="AS394"/>
      <c r="AT394"/>
      <c r="AU394"/>
      <c r="AV394"/>
      <c r="AW394"/>
      <c r="AX394"/>
      <c r="AY394"/>
      <c r="AZ394"/>
      <c r="BA394"/>
      <c r="BB394"/>
      <c r="BC394"/>
      <c r="BD394"/>
      <c r="BE394"/>
      <c r="BF394"/>
    </row>
    <row r="395" spans="13:58" ht="12" hidden="1" customHeight="1">
      <c r="M395" s="820"/>
      <c r="N395" s="239"/>
      <c r="O395" s="225"/>
      <c r="P395" s="260"/>
      <c r="Q395" s="258"/>
      <c r="R395" s="260"/>
      <c r="S395" s="260"/>
      <c r="T395" s="260"/>
      <c r="U395" s="260"/>
      <c r="V395" s="260"/>
      <c r="W395" s="260"/>
      <c r="X395" s="260"/>
      <c r="Y395" s="260"/>
      <c r="Z395" s="260"/>
      <c r="AA395" s="260"/>
      <c r="AB395" s="260"/>
      <c r="AC395" s="260"/>
      <c r="AD395" s="260"/>
      <c r="AE395" s="260"/>
      <c r="AF395" s="260"/>
      <c r="AG395" s="258"/>
      <c r="AO395"/>
      <c r="AP395"/>
      <c r="AQ395"/>
      <c r="AR395"/>
      <c r="AS395"/>
      <c r="AT395"/>
      <c r="AU395"/>
      <c r="AV395"/>
      <c r="AW395"/>
      <c r="AX395"/>
      <c r="AY395"/>
      <c r="AZ395"/>
      <c r="BA395"/>
      <c r="BB395"/>
      <c r="BC395"/>
      <c r="BD395"/>
      <c r="BE395"/>
      <c r="BF395"/>
    </row>
    <row r="396" spans="13:58" ht="12" hidden="1" customHeight="1">
      <c r="M396" s="820"/>
      <c r="N396" s="239"/>
      <c r="O396" s="225"/>
      <c r="P396" s="260"/>
      <c r="Q396" s="258"/>
      <c r="R396" s="260"/>
      <c r="S396" s="260"/>
      <c r="T396" s="260"/>
      <c r="U396" s="260"/>
      <c r="V396" s="260"/>
      <c r="W396" s="260"/>
      <c r="X396" s="260"/>
      <c r="Y396" s="260"/>
      <c r="Z396" s="260"/>
      <c r="AA396" s="260"/>
      <c r="AB396" s="260"/>
      <c r="AC396" s="260"/>
      <c r="AD396" s="260"/>
      <c r="AE396" s="260"/>
      <c r="AF396" s="260"/>
      <c r="AG396" s="258"/>
      <c r="AO396"/>
      <c r="AP396"/>
      <c r="AQ396"/>
      <c r="AR396"/>
      <c r="AS396"/>
      <c r="AT396"/>
      <c r="AU396"/>
      <c r="AV396"/>
      <c r="AW396"/>
      <c r="AX396"/>
      <c r="AY396"/>
      <c r="AZ396"/>
      <c r="BA396"/>
      <c r="BB396"/>
      <c r="BC396"/>
      <c r="BD396"/>
      <c r="BE396"/>
      <c r="BF396"/>
    </row>
    <row r="397" spans="13:58" ht="12" hidden="1" customHeight="1">
      <c r="M397" s="820"/>
      <c r="N397" s="239"/>
      <c r="O397" s="225"/>
      <c r="P397" s="260"/>
      <c r="Q397" s="258"/>
      <c r="R397" s="260"/>
      <c r="S397" s="260"/>
      <c r="T397" s="260"/>
      <c r="U397" s="260"/>
      <c r="V397" s="260"/>
      <c r="W397" s="260"/>
      <c r="X397" s="260"/>
      <c r="Y397" s="260"/>
      <c r="Z397" s="260"/>
      <c r="AA397" s="260"/>
      <c r="AB397" s="260"/>
      <c r="AC397" s="260"/>
      <c r="AD397" s="260"/>
      <c r="AE397" s="260"/>
      <c r="AF397" s="260"/>
      <c r="AG397" s="258"/>
      <c r="AO397"/>
      <c r="AP397"/>
      <c r="AQ397"/>
      <c r="AR397"/>
      <c r="AS397"/>
      <c r="AT397"/>
      <c r="AU397"/>
      <c r="AV397"/>
      <c r="AW397"/>
      <c r="AX397"/>
      <c r="AY397"/>
      <c r="AZ397"/>
      <c r="BA397"/>
      <c r="BB397"/>
      <c r="BC397"/>
      <c r="BD397"/>
      <c r="BE397"/>
      <c r="BF397"/>
    </row>
    <row r="398" spans="13:58" ht="12" hidden="1" customHeight="1">
      <c r="M398" s="820"/>
      <c r="N398" s="239"/>
      <c r="O398" s="225"/>
      <c r="P398" s="260"/>
      <c r="Q398" s="258"/>
      <c r="R398" s="260"/>
      <c r="S398" s="260"/>
      <c r="T398" s="260"/>
      <c r="U398" s="260"/>
      <c r="V398" s="260"/>
      <c r="W398" s="260"/>
      <c r="X398" s="260"/>
      <c r="Y398" s="260"/>
      <c r="Z398" s="260"/>
      <c r="AA398" s="260"/>
      <c r="AB398" s="260"/>
      <c r="AC398" s="260"/>
      <c r="AD398" s="260"/>
      <c r="AE398" s="260"/>
      <c r="AF398" s="260"/>
      <c r="AG398" s="258"/>
      <c r="AO398"/>
      <c r="AP398"/>
      <c r="AQ398"/>
      <c r="AR398"/>
      <c r="AS398"/>
      <c r="AT398"/>
      <c r="AU398"/>
      <c r="AV398"/>
      <c r="AW398"/>
      <c r="AX398"/>
      <c r="AY398"/>
      <c r="AZ398"/>
      <c r="BA398"/>
      <c r="BB398"/>
      <c r="BC398"/>
      <c r="BD398"/>
      <c r="BE398"/>
      <c r="BF398"/>
    </row>
    <row r="399" spans="13:58" ht="12" hidden="1" customHeight="1">
      <c r="M399" s="820"/>
      <c r="N399" s="239"/>
      <c r="O399" s="225"/>
      <c r="P399" s="260"/>
      <c r="Q399" s="258"/>
      <c r="R399" s="260"/>
      <c r="S399" s="260"/>
      <c r="T399" s="260"/>
      <c r="U399" s="260"/>
      <c r="V399" s="260"/>
      <c r="W399" s="260"/>
      <c r="X399" s="260"/>
      <c r="Y399" s="260"/>
      <c r="Z399" s="260"/>
      <c r="AA399" s="260"/>
      <c r="AB399" s="260"/>
      <c r="AC399" s="260"/>
      <c r="AD399" s="260"/>
      <c r="AE399" s="260"/>
      <c r="AF399" s="260"/>
      <c r="AG399" s="258"/>
      <c r="AO399"/>
      <c r="AP399"/>
      <c r="AQ399"/>
      <c r="AR399"/>
      <c r="AS399"/>
      <c r="AT399"/>
      <c r="AU399"/>
      <c r="AV399"/>
      <c r="AW399"/>
      <c r="AX399"/>
      <c r="AY399"/>
      <c r="AZ399"/>
      <c r="BA399"/>
      <c r="BB399"/>
      <c r="BC399"/>
      <c r="BD399"/>
      <c r="BE399"/>
      <c r="BF399"/>
    </row>
    <row r="400" spans="13:58" ht="12" hidden="1" customHeight="1">
      <c r="M400" s="820"/>
      <c r="N400" s="239"/>
      <c r="O400" s="225"/>
      <c r="P400" s="260"/>
      <c r="Q400" s="258"/>
      <c r="R400" s="260"/>
      <c r="S400" s="260"/>
      <c r="T400" s="260"/>
      <c r="U400" s="260"/>
      <c r="V400" s="260"/>
      <c r="W400" s="260"/>
      <c r="X400" s="260"/>
      <c r="Y400" s="260"/>
      <c r="Z400" s="260"/>
      <c r="AA400" s="260"/>
      <c r="AB400" s="260"/>
      <c r="AC400" s="260"/>
      <c r="AD400" s="260"/>
      <c r="AE400" s="260"/>
      <c r="AF400" s="260"/>
      <c r="AG400" s="258"/>
      <c r="AO400"/>
      <c r="AP400"/>
      <c r="AQ400"/>
      <c r="AR400"/>
      <c r="AS400"/>
      <c r="AT400"/>
      <c r="AU400"/>
      <c r="AV400"/>
      <c r="AW400"/>
      <c r="AX400"/>
      <c r="AY400"/>
      <c r="AZ400"/>
      <c r="BA400"/>
      <c r="BB400"/>
      <c r="BC400"/>
      <c r="BD400"/>
      <c r="BE400"/>
      <c r="BF400"/>
    </row>
    <row r="401" spans="13:58" ht="12" hidden="1" customHeight="1">
      <c r="M401" s="820"/>
      <c r="N401" s="239"/>
      <c r="O401" s="225"/>
      <c r="P401" s="260"/>
      <c r="Q401" s="258"/>
      <c r="R401" s="260"/>
      <c r="S401" s="260"/>
      <c r="T401" s="260"/>
      <c r="U401" s="260"/>
      <c r="V401" s="260"/>
      <c r="W401" s="260"/>
      <c r="X401" s="260"/>
      <c r="Y401" s="260"/>
      <c r="Z401" s="260"/>
      <c r="AA401" s="260"/>
      <c r="AB401" s="260"/>
      <c r="AC401" s="260"/>
      <c r="AD401" s="260"/>
      <c r="AE401" s="260"/>
      <c r="AF401" s="260"/>
      <c r="AG401" s="258"/>
      <c r="AO401"/>
      <c r="AP401"/>
      <c r="AQ401"/>
      <c r="AR401"/>
      <c r="AS401"/>
      <c r="AT401"/>
      <c r="AU401"/>
      <c r="AV401"/>
      <c r="AW401"/>
      <c r="AX401"/>
      <c r="AY401"/>
      <c r="AZ401"/>
      <c r="BA401"/>
      <c r="BB401"/>
      <c r="BC401"/>
      <c r="BD401"/>
      <c r="BE401"/>
      <c r="BF401"/>
    </row>
    <row r="402" spans="13:58" ht="12" hidden="1" customHeight="1">
      <c r="M402" s="820"/>
      <c r="N402" s="239"/>
      <c r="O402" s="225"/>
      <c r="P402" s="260"/>
      <c r="Q402" s="258"/>
      <c r="R402" s="260"/>
      <c r="S402" s="260"/>
      <c r="T402" s="260"/>
      <c r="U402" s="260"/>
      <c r="V402" s="260"/>
      <c r="W402" s="260"/>
      <c r="X402" s="260"/>
      <c r="Y402" s="260"/>
      <c r="Z402" s="260"/>
      <c r="AA402" s="260"/>
      <c r="AB402" s="260"/>
      <c r="AC402" s="260"/>
      <c r="AD402" s="260"/>
      <c r="AE402" s="260"/>
      <c r="AF402" s="260"/>
      <c r="AG402" s="258"/>
      <c r="AO402"/>
      <c r="AP402"/>
      <c r="AQ402"/>
      <c r="AR402"/>
      <c r="AS402"/>
      <c r="AT402"/>
      <c r="AU402"/>
      <c r="AV402"/>
      <c r="AW402"/>
      <c r="AX402"/>
      <c r="AY402"/>
      <c r="AZ402"/>
      <c r="BA402"/>
      <c r="BB402"/>
      <c r="BC402"/>
      <c r="BD402"/>
      <c r="BE402"/>
      <c r="BF402"/>
    </row>
    <row r="403" spans="13:58" ht="12" hidden="1" customHeight="1">
      <c r="M403" s="820"/>
      <c r="N403" s="239"/>
      <c r="O403" s="225"/>
      <c r="P403" s="260"/>
      <c r="Q403" s="258"/>
      <c r="R403" s="260"/>
      <c r="S403" s="260"/>
      <c r="T403" s="260"/>
      <c r="U403" s="260"/>
      <c r="V403" s="260"/>
      <c r="W403" s="260"/>
      <c r="X403" s="260"/>
      <c r="Y403" s="260"/>
      <c r="Z403" s="260"/>
      <c r="AA403" s="260"/>
      <c r="AB403" s="260"/>
      <c r="AC403" s="260"/>
      <c r="AD403" s="260"/>
      <c r="AE403" s="260"/>
      <c r="AF403" s="260"/>
      <c r="AG403" s="258"/>
      <c r="AO403"/>
      <c r="AP403"/>
      <c r="AQ403"/>
      <c r="AR403"/>
      <c r="AS403"/>
      <c r="AT403"/>
      <c r="AU403"/>
      <c r="AV403"/>
      <c r="AW403"/>
      <c r="AX403"/>
      <c r="AY403"/>
      <c r="AZ403"/>
      <c r="BA403"/>
      <c r="BB403"/>
      <c r="BC403"/>
      <c r="BD403"/>
      <c r="BE403"/>
      <c r="BF403"/>
    </row>
    <row r="404" spans="13:58" ht="12" hidden="1" customHeight="1">
      <c r="M404" s="820"/>
      <c r="N404" s="239"/>
      <c r="O404" s="225"/>
      <c r="P404" s="260"/>
      <c r="Q404" s="258"/>
      <c r="R404" s="260"/>
      <c r="S404" s="260"/>
      <c r="T404" s="260"/>
      <c r="U404" s="260"/>
      <c r="V404" s="260"/>
      <c r="W404" s="260"/>
      <c r="X404" s="260"/>
      <c r="Y404" s="260"/>
      <c r="Z404" s="260"/>
      <c r="AA404" s="260"/>
      <c r="AB404" s="260"/>
      <c r="AC404" s="260"/>
      <c r="AD404" s="260"/>
      <c r="AE404" s="260"/>
      <c r="AF404" s="260"/>
      <c r="AG404" s="258"/>
      <c r="AO404"/>
      <c r="AP404"/>
      <c r="AQ404"/>
      <c r="AR404"/>
      <c r="AS404"/>
      <c r="AT404"/>
      <c r="AU404"/>
      <c r="AV404"/>
      <c r="AW404"/>
      <c r="AX404"/>
      <c r="AY404"/>
      <c r="AZ404"/>
      <c r="BA404"/>
      <c r="BB404"/>
      <c r="BC404"/>
      <c r="BD404"/>
      <c r="BE404"/>
      <c r="BF404"/>
    </row>
    <row r="405" spans="13:58" ht="12" hidden="1" customHeight="1">
      <c r="M405" s="820"/>
      <c r="N405" s="239"/>
      <c r="O405" s="225"/>
      <c r="P405" s="260"/>
      <c r="Q405" s="258"/>
      <c r="R405" s="260"/>
      <c r="S405" s="260"/>
      <c r="T405" s="260"/>
      <c r="U405" s="260"/>
      <c r="V405" s="260"/>
      <c r="W405" s="260"/>
      <c r="X405" s="260"/>
      <c r="Y405" s="260"/>
      <c r="Z405" s="260"/>
      <c r="AA405" s="260"/>
      <c r="AB405" s="260"/>
      <c r="AC405" s="260"/>
      <c r="AD405" s="260"/>
      <c r="AE405" s="260"/>
      <c r="AF405" s="260"/>
      <c r="AG405" s="258"/>
      <c r="AO405"/>
      <c r="AP405"/>
      <c r="AQ405"/>
      <c r="AR405"/>
      <c r="AS405"/>
      <c r="AT405"/>
      <c r="AU405"/>
      <c r="AV405"/>
      <c r="AW405"/>
      <c r="AX405"/>
      <c r="AY405"/>
      <c r="AZ405"/>
      <c r="BA405"/>
      <c r="BB405"/>
      <c r="BC405"/>
      <c r="BD405"/>
      <c r="BE405"/>
      <c r="BF405"/>
    </row>
    <row r="406" spans="13:58" ht="12" hidden="1" customHeight="1">
      <c r="M406" s="820"/>
      <c r="N406" s="239"/>
      <c r="O406" s="225"/>
      <c r="P406" s="260"/>
      <c r="Q406" s="258"/>
      <c r="R406" s="260"/>
      <c r="S406" s="260"/>
      <c r="T406" s="260"/>
      <c r="U406" s="260"/>
      <c r="V406" s="260"/>
      <c r="W406" s="260"/>
      <c r="X406" s="260"/>
      <c r="Y406" s="260"/>
      <c r="Z406" s="260"/>
      <c r="AA406" s="260"/>
      <c r="AB406" s="260"/>
      <c r="AC406" s="260"/>
      <c r="AD406" s="260"/>
      <c r="AE406" s="260"/>
      <c r="AF406" s="260"/>
      <c r="AG406" s="258"/>
      <c r="AO406"/>
      <c r="AP406"/>
      <c r="AQ406"/>
      <c r="AR406"/>
      <c r="AS406"/>
      <c r="AT406"/>
      <c r="AU406"/>
      <c r="AV406"/>
      <c r="AW406"/>
      <c r="AX406"/>
      <c r="AY406"/>
      <c r="AZ406"/>
      <c r="BA406"/>
      <c r="BB406"/>
      <c r="BC406"/>
      <c r="BD406"/>
      <c r="BE406"/>
      <c r="BF406"/>
    </row>
    <row r="407" spans="13:58" ht="12" hidden="1" customHeight="1">
      <c r="M407" s="820"/>
      <c r="N407" s="239"/>
      <c r="O407" s="225"/>
      <c r="P407" s="260"/>
      <c r="Q407" s="258"/>
      <c r="R407" s="260"/>
      <c r="S407" s="260"/>
      <c r="T407" s="260"/>
      <c r="U407" s="260"/>
      <c r="V407" s="260"/>
      <c r="W407" s="260"/>
      <c r="X407" s="260"/>
      <c r="Y407" s="260"/>
      <c r="Z407" s="260"/>
      <c r="AA407" s="260"/>
      <c r="AB407" s="260"/>
      <c r="AC407" s="260"/>
      <c r="AD407" s="260"/>
      <c r="AE407" s="260"/>
      <c r="AF407" s="260"/>
      <c r="AG407" s="258"/>
      <c r="AO407"/>
      <c r="AP407"/>
      <c r="AQ407"/>
      <c r="AR407"/>
      <c r="AS407"/>
      <c r="AT407"/>
      <c r="AU407"/>
      <c r="AV407"/>
      <c r="AW407"/>
      <c r="AX407"/>
      <c r="AY407"/>
      <c r="AZ407"/>
      <c r="BA407"/>
      <c r="BB407"/>
      <c r="BC407"/>
      <c r="BD407"/>
      <c r="BE407"/>
      <c r="BF407"/>
    </row>
    <row r="408" spans="13:58" ht="12" hidden="1" customHeight="1">
      <c r="M408" s="820"/>
      <c r="N408" s="239"/>
      <c r="O408" s="225"/>
      <c r="P408" s="260"/>
      <c r="Q408" s="258"/>
      <c r="R408" s="260"/>
      <c r="S408" s="260"/>
      <c r="T408" s="260"/>
      <c r="U408" s="260"/>
      <c r="V408" s="260"/>
      <c r="W408" s="260"/>
      <c r="X408" s="260"/>
      <c r="Y408" s="260"/>
      <c r="Z408" s="260"/>
      <c r="AA408" s="260"/>
      <c r="AB408" s="260"/>
      <c r="AC408" s="260"/>
      <c r="AD408" s="260"/>
      <c r="AE408" s="260"/>
      <c r="AF408" s="260"/>
      <c r="AG408" s="258"/>
      <c r="AO408"/>
      <c r="AP408"/>
      <c r="AQ408"/>
      <c r="AR408"/>
      <c r="AS408"/>
      <c r="AT408"/>
      <c r="AU408"/>
      <c r="AV408"/>
      <c r="AW408"/>
      <c r="AX408"/>
      <c r="AY408"/>
      <c r="AZ408"/>
      <c r="BA408"/>
      <c r="BB408"/>
      <c r="BC408"/>
      <c r="BD408"/>
      <c r="BE408"/>
      <c r="BF408"/>
    </row>
    <row r="409" spans="13:58" ht="12" hidden="1" customHeight="1">
      <c r="M409" s="820"/>
      <c r="N409" s="239"/>
      <c r="O409" s="225"/>
      <c r="P409" s="260"/>
      <c r="Q409" s="258"/>
      <c r="R409" s="260"/>
      <c r="S409" s="260"/>
      <c r="T409" s="260"/>
      <c r="U409" s="260"/>
      <c r="V409" s="260"/>
      <c r="W409" s="260"/>
      <c r="X409" s="260"/>
      <c r="Y409" s="260"/>
      <c r="Z409" s="260"/>
      <c r="AA409" s="260"/>
      <c r="AB409" s="260"/>
      <c r="AC409" s="260"/>
      <c r="AD409" s="260"/>
      <c r="AE409" s="260"/>
      <c r="AF409" s="260"/>
      <c r="AG409" s="258"/>
      <c r="AO409"/>
      <c r="AP409"/>
      <c r="AQ409"/>
      <c r="AR409"/>
      <c r="AS409"/>
      <c r="AT409"/>
      <c r="AU409"/>
      <c r="AV409"/>
      <c r="AW409"/>
      <c r="AX409"/>
      <c r="AY409"/>
      <c r="AZ409"/>
      <c r="BA409"/>
      <c r="BB409"/>
      <c r="BC409"/>
      <c r="BD409"/>
      <c r="BE409"/>
      <c r="BF409"/>
    </row>
    <row r="410" spans="13:58" ht="12" hidden="1" customHeight="1">
      <c r="M410" s="820"/>
      <c r="N410" s="239"/>
      <c r="O410" s="225"/>
      <c r="P410" s="260"/>
      <c r="Q410" s="258"/>
      <c r="R410" s="260"/>
      <c r="S410" s="260"/>
      <c r="T410" s="260"/>
      <c r="U410" s="260"/>
      <c r="V410" s="260"/>
      <c r="W410" s="260"/>
      <c r="X410" s="260"/>
      <c r="Y410" s="260"/>
      <c r="Z410" s="260"/>
      <c r="AA410" s="260"/>
      <c r="AB410" s="260"/>
      <c r="AC410" s="260"/>
      <c r="AD410" s="260"/>
      <c r="AE410" s="260"/>
      <c r="AF410" s="260"/>
      <c r="AG410" s="258"/>
      <c r="AO410"/>
      <c r="AP410"/>
      <c r="AQ410"/>
      <c r="AR410"/>
      <c r="AS410"/>
      <c r="AT410"/>
      <c r="AU410"/>
      <c r="AV410"/>
      <c r="AW410"/>
      <c r="AX410"/>
      <c r="AY410"/>
      <c r="AZ410"/>
      <c r="BA410"/>
      <c r="BB410"/>
      <c r="BC410"/>
      <c r="BD410"/>
      <c r="BE410"/>
      <c r="BF410"/>
    </row>
    <row r="411" spans="13:58" ht="12" hidden="1" customHeight="1">
      <c r="M411" s="820"/>
      <c r="N411" s="239"/>
      <c r="O411" s="225"/>
      <c r="P411" s="260"/>
      <c r="Q411" s="258"/>
      <c r="R411" s="260"/>
      <c r="S411" s="260"/>
      <c r="T411" s="260"/>
      <c r="U411" s="260"/>
      <c r="V411" s="260"/>
      <c r="W411" s="260"/>
      <c r="X411" s="260"/>
      <c r="Y411" s="260"/>
      <c r="Z411" s="260"/>
      <c r="AA411" s="260"/>
      <c r="AB411" s="260"/>
      <c r="AC411" s="260"/>
      <c r="AD411" s="260"/>
      <c r="AE411" s="260"/>
      <c r="AF411" s="260"/>
      <c r="AG411" s="258"/>
      <c r="AO411"/>
      <c r="AP411"/>
      <c r="AQ411"/>
      <c r="AR411"/>
      <c r="AS411"/>
      <c r="AT411"/>
      <c r="AU411"/>
      <c r="AV411"/>
      <c r="AW411"/>
      <c r="AX411"/>
      <c r="AY411"/>
      <c r="AZ411"/>
      <c r="BA411"/>
      <c r="BB411"/>
      <c r="BC411"/>
      <c r="BD411"/>
      <c r="BE411"/>
      <c r="BF411"/>
    </row>
    <row r="412" spans="13:58" ht="12" hidden="1" customHeight="1">
      <c r="M412" s="820"/>
      <c r="N412" s="239"/>
      <c r="O412" s="225"/>
      <c r="P412" s="260"/>
      <c r="Q412" s="258"/>
      <c r="R412" s="260"/>
      <c r="S412" s="260"/>
      <c r="T412" s="260"/>
      <c r="U412" s="260"/>
      <c r="V412" s="260"/>
      <c r="W412" s="260"/>
      <c r="X412" s="260"/>
      <c r="Y412" s="260"/>
      <c r="Z412" s="260"/>
      <c r="AA412" s="260"/>
      <c r="AB412" s="260"/>
      <c r="AC412" s="260"/>
      <c r="AD412" s="260"/>
      <c r="AE412" s="260"/>
      <c r="AF412" s="260"/>
      <c r="AG412" s="258"/>
      <c r="AO412"/>
      <c r="AP412"/>
      <c r="AQ412"/>
      <c r="AR412"/>
      <c r="AS412"/>
      <c r="AT412"/>
      <c r="AU412"/>
      <c r="AV412"/>
      <c r="AW412"/>
      <c r="AX412"/>
      <c r="AY412"/>
      <c r="AZ412"/>
      <c r="BA412"/>
      <c r="BB412"/>
      <c r="BC412"/>
      <c r="BD412"/>
      <c r="BE412"/>
      <c r="BF412"/>
    </row>
    <row r="413" spans="13:58" ht="12" hidden="1" customHeight="1">
      <c r="M413" s="820"/>
      <c r="N413" s="239"/>
      <c r="O413" s="225"/>
      <c r="P413" s="260"/>
      <c r="Q413" s="258"/>
      <c r="R413" s="260"/>
      <c r="S413" s="260"/>
      <c r="T413" s="260"/>
      <c r="U413" s="260"/>
      <c r="V413" s="260"/>
      <c r="W413" s="260"/>
      <c r="X413" s="260"/>
      <c r="Y413" s="260"/>
      <c r="Z413" s="260"/>
      <c r="AA413" s="260"/>
      <c r="AB413" s="260"/>
      <c r="AC413" s="260"/>
      <c r="AD413" s="260"/>
      <c r="AE413" s="260"/>
      <c r="AF413" s="260"/>
      <c r="AG413" s="258"/>
      <c r="AO413"/>
      <c r="AP413"/>
      <c r="AQ413"/>
      <c r="AR413"/>
      <c r="AS413"/>
      <c r="AT413"/>
      <c r="AU413"/>
      <c r="AV413"/>
      <c r="AW413"/>
      <c r="AX413"/>
      <c r="AY413"/>
      <c r="AZ413"/>
      <c r="BA413"/>
      <c r="BB413"/>
      <c r="BC413"/>
      <c r="BD413"/>
      <c r="BE413"/>
      <c r="BF413"/>
    </row>
    <row r="414" spans="13:58" ht="12" hidden="1" customHeight="1">
      <c r="M414" s="820"/>
      <c r="N414" s="239"/>
      <c r="O414" s="225"/>
      <c r="P414" s="260"/>
      <c r="Q414" s="258"/>
      <c r="R414" s="260"/>
      <c r="S414" s="260"/>
      <c r="T414" s="260"/>
      <c r="U414" s="260"/>
      <c r="V414" s="260"/>
      <c r="W414" s="260"/>
      <c r="X414" s="260"/>
      <c r="Y414" s="260"/>
      <c r="Z414" s="260"/>
      <c r="AA414" s="260"/>
      <c r="AB414" s="260"/>
      <c r="AC414" s="260"/>
      <c r="AD414" s="260"/>
      <c r="AE414" s="260"/>
      <c r="AF414" s="260"/>
      <c r="AG414" s="258"/>
      <c r="AO414"/>
      <c r="AP414"/>
      <c r="AQ414"/>
      <c r="AR414"/>
      <c r="AS414"/>
      <c r="AT414"/>
      <c r="AU414"/>
      <c r="AV414"/>
      <c r="AW414"/>
      <c r="AX414"/>
      <c r="AY414"/>
      <c r="AZ414"/>
      <c r="BA414"/>
      <c r="BB414"/>
      <c r="BC414"/>
      <c r="BD414"/>
      <c r="BE414"/>
      <c r="BF414"/>
    </row>
    <row r="415" spans="13:58" ht="12" hidden="1" customHeight="1">
      <c r="M415" s="820"/>
      <c r="N415" s="239"/>
      <c r="O415" s="225"/>
      <c r="P415" s="260"/>
      <c r="Q415" s="258"/>
      <c r="R415" s="260"/>
      <c r="S415" s="260"/>
      <c r="T415" s="260"/>
      <c r="U415" s="260"/>
      <c r="V415" s="260"/>
      <c r="W415" s="260"/>
      <c r="X415" s="260"/>
      <c r="Y415" s="260"/>
      <c r="Z415" s="260"/>
      <c r="AA415" s="260"/>
      <c r="AB415" s="260"/>
      <c r="AC415" s="260"/>
      <c r="AD415" s="260"/>
      <c r="AE415" s="260"/>
      <c r="AF415" s="260"/>
      <c r="AG415" s="258"/>
      <c r="AO415"/>
      <c r="AP415"/>
      <c r="AQ415"/>
      <c r="AR415"/>
      <c r="AS415"/>
      <c r="AT415"/>
      <c r="AU415"/>
      <c r="AV415"/>
      <c r="AW415"/>
      <c r="AX415"/>
      <c r="AY415"/>
      <c r="AZ415"/>
      <c r="BA415"/>
      <c r="BB415"/>
      <c r="BC415"/>
      <c r="BD415"/>
      <c r="BE415"/>
      <c r="BF415"/>
    </row>
    <row r="416" spans="13:58" ht="12" hidden="1" customHeight="1">
      <c r="M416" s="820"/>
      <c r="N416" s="239"/>
      <c r="O416" s="225"/>
      <c r="P416" s="260"/>
      <c r="Q416" s="258"/>
      <c r="R416" s="260"/>
      <c r="S416" s="260"/>
      <c r="T416" s="260"/>
      <c r="U416" s="260"/>
      <c r="V416" s="260"/>
      <c r="W416" s="260"/>
      <c r="X416" s="260"/>
      <c r="Y416" s="260"/>
      <c r="Z416" s="260"/>
      <c r="AA416" s="260"/>
      <c r="AB416" s="260"/>
      <c r="AC416" s="260"/>
      <c r="AD416" s="260"/>
      <c r="AE416" s="260"/>
      <c r="AF416" s="260"/>
      <c r="AG416" s="258"/>
      <c r="AO416"/>
      <c r="AP416"/>
      <c r="AQ416"/>
      <c r="AR416"/>
      <c r="AS416"/>
      <c r="AT416"/>
      <c r="AU416"/>
      <c r="AV416"/>
      <c r="AW416"/>
      <c r="AX416"/>
      <c r="AY416"/>
      <c r="AZ416"/>
      <c r="BA416"/>
      <c r="BB416"/>
      <c r="BC416"/>
      <c r="BD416"/>
      <c r="BE416"/>
      <c r="BF416"/>
    </row>
    <row r="417" spans="13:58" ht="12" hidden="1" customHeight="1">
      <c r="M417" s="820"/>
      <c r="N417" s="239"/>
      <c r="O417" s="225"/>
      <c r="P417" s="260"/>
      <c r="Q417" s="258"/>
      <c r="R417" s="260"/>
      <c r="S417" s="260"/>
      <c r="T417" s="260"/>
      <c r="U417" s="260"/>
      <c r="V417" s="260"/>
      <c r="W417" s="260"/>
      <c r="X417" s="260"/>
      <c r="Y417" s="260"/>
      <c r="Z417" s="260"/>
      <c r="AA417" s="260"/>
      <c r="AB417" s="260"/>
      <c r="AC417" s="260"/>
      <c r="AD417" s="260"/>
      <c r="AE417" s="260"/>
      <c r="AF417" s="260"/>
      <c r="AG417" s="258"/>
      <c r="AO417"/>
      <c r="AP417"/>
      <c r="AQ417"/>
      <c r="AR417"/>
      <c r="AS417"/>
      <c r="AT417"/>
      <c r="AU417"/>
      <c r="AV417"/>
      <c r="AW417"/>
      <c r="AX417"/>
      <c r="AY417"/>
      <c r="AZ417"/>
      <c r="BA417"/>
      <c r="BB417"/>
      <c r="BC417"/>
      <c r="BD417"/>
      <c r="BE417"/>
      <c r="BF417"/>
    </row>
    <row r="418" spans="13:58" ht="12" hidden="1" customHeight="1">
      <c r="M418" s="820"/>
      <c r="N418" s="239"/>
      <c r="O418" s="225"/>
      <c r="P418" s="260"/>
      <c r="Q418" s="258"/>
      <c r="R418" s="260"/>
      <c r="S418" s="260"/>
      <c r="T418" s="260"/>
      <c r="U418" s="260"/>
      <c r="V418" s="260"/>
      <c r="W418" s="260"/>
      <c r="X418" s="260"/>
      <c r="Y418" s="260"/>
      <c r="Z418" s="260"/>
      <c r="AA418" s="260"/>
      <c r="AB418" s="260"/>
      <c r="AC418" s="260"/>
      <c r="AD418" s="260"/>
      <c r="AE418" s="260"/>
      <c r="AF418" s="260"/>
      <c r="AG418" s="258"/>
      <c r="AO418"/>
      <c r="AP418"/>
      <c r="AQ418"/>
      <c r="AR418"/>
      <c r="AS418"/>
      <c r="AT418"/>
      <c r="AU418"/>
      <c r="AV418"/>
      <c r="AW418"/>
      <c r="AX418"/>
      <c r="AY418"/>
      <c r="AZ418"/>
      <c r="BA418"/>
      <c r="BB418"/>
      <c r="BC418"/>
      <c r="BD418"/>
      <c r="BE418"/>
      <c r="BF418"/>
    </row>
    <row r="419" spans="13:58" ht="12" hidden="1" customHeight="1">
      <c r="M419" s="820"/>
      <c r="N419" s="239"/>
      <c r="O419" s="225"/>
      <c r="P419" s="260"/>
      <c r="Q419" s="258"/>
      <c r="R419" s="260"/>
      <c r="S419" s="260"/>
      <c r="T419" s="260"/>
      <c r="U419" s="260"/>
      <c r="V419" s="260"/>
      <c r="W419" s="260"/>
      <c r="X419" s="260"/>
      <c r="Y419" s="260"/>
      <c r="Z419" s="260"/>
      <c r="AA419" s="260"/>
      <c r="AB419" s="260"/>
      <c r="AC419" s="260"/>
      <c r="AD419" s="260"/>
      <c r="AE419" s="260"/>
      <c r="AF419" s="260"/>
      <c r="AG419" s="258"/>
      <c r="AO419"/>
      <c r="AP419"/>
      <c r="AQ419"/>
      <c r="AR419"/>
      <c r="AS419"/>
      <c r="AT419"/>
      <c r="AU419"/>
      <c r="AV419"/>
      <c r="AW419"/>
      <c r="AX419"/>
      <c r="AY419"/>
      <c r="AZ419"/>
      <c r="BA419"/>
      <c r="BB419"/>
      <c r="BC419"/>
      <c r="BD419"/>
      <c r="BE419"/>
      <c r="BF419"/>
    </row>
    <row r="420" spans="13:58" ht="12" hidden="1" customHeight="1">
      <c r="M420" s="820"/>
      <c r="N420" s="239"/>
      <c r="O420" s="225"/>
      <c r="P420" s="260"/>
      <c r="Q420" s="258"/>
      <c r="R420" s="260"/>
      <c r="S420" s="260"/>
      <c r="T420" s="260"/>
      <c r="U420" s="260"/>
      <c r="V420" s="260"/>
      <c r="W420" s="260"/>
      <c r="X420" s="260"/>
      <c r="Y420" s="260"/>
      <c r="Z420" s="260"/>
      <c r="AA420" s="260"/>
      <c r="AB420" s="260"/>
      <c r="AC420" s="260"/>
      <c r="AD420" s="260"/>
      <c r="AE420" s="260"/>
      <c r="AF420" s="260"/>
      <c r="AG420" s="258"/>
      <c r="AO420"/>
      <c r="AP420"/>
      <c r="AQ420"/>
      <c r="AR420"/>
      <c r="AS420"/>
      <c r="AT420"/>
      <c r="AU420"/>
      <c r="AV420"/>
      <c r="AW420"/>
      <c r="AX420"/>
      <c r="AY420"/>
      <c r="AZ420"/>
      <c r="BA420"/>
      <c r="BB420"/>
      <c r="BC420"/>
      <c r="BD420"/>
      <c r="BE420"/>
      <c r="BF420"/>
    </row>
    <row r="421" spans="13:58" ht="12" hidden="1" customHeight="1">
      <c r="M421" s="820"/>
      <c r="N421" s="239"/>
      <c r="O421" s="225"/>
      <c r="P421" s="260"/>
      <c r="Q421" s="258"/>
      <c r="R421" s="260"/>
      <c r="S421" s="260"/>
      <c r="T421" s="260"/>
      <c r="U421" s="260"/>
      <c r="V421" s="260"/>
      <c r="W421" s="260"/>
      <c r="X421" s="260"/>
      <c r="Y421" s="260"/>
      <c r="Z421" s="260"/>
      <c r="AA421" s="260"/>
      <c r="AB421" s="260"/>
      <c r="AC421" s="260"/>
      <c r="AD421" s="260"/>
      <c r="AE421" s="260"/>
      <c r="AF421" s="260"/>
      <c r="AG421" s="258"/>
      <c r="AO421"/>
      <c r="AP421"/>
      <c r="AQ421"/>
      <c r="AR421"/>
      <c r="AS421"/>
      <c r="AT421"/>
      <c r="AU421"/>
      <c r="AV421"/>
      <c r="AW421"/>
      <c r="AX421"/>
      <c r="AY421"/>
      <c r="AZ421"/>
      <c r="BA421"/>
      <c r="BB421"/>
      <c r="BC421"/>
      <c r="BD421"/>
      <c r="BE421"/>
      <c r="BF421"/>
    </row>
    <row r="422" spans="13:58" ht="12" hidden="1" customHeight="1">
      <c r="M422" s="820"/>
      <c r="N422" s="239"/>
      <c r="O422" s="225"/>
      <c r="P422" s="260"/>
      <c r="Q422" s="258"/>
      <c r="R422" s="260"/>
      <c r="S422" s="260"/>
      <c r="T422" s="260"/>
      <c r="U422" s="260"/>
      <c r="V422" s="260"/>
      <c r="W422" s="260"/>
      <c r="X422" s="260"/>
      <c r="Y422" s="260"/>
      <c r="Z422" s="260"/>
      <c r="AA422" s="260"/>
      <c r="AB422" s="260"/>
      <c r="AC422" s="260"/>
      <c r="AD422" s="260"/>
      <c r="AE422" s="260"/>
      <c r="AF422" s="260"/>
      <c r="AG422" s="258"/>
      <c r="AO422"/>
      <c r="AP422"/>
      <c r="AQ422"/>
      <c r="AR422"/>
      <c r="AS422"/>
      <c r="AT422"/>
      <c r="AU422"/>
      <c r="AV422"/>
      <c r="AW422"/>
      <c r="AX422"/>
      <c r="AY422"/>
      <c r="AZ422"/>
      <c r="BA422"/>
      <c r="BB422"/>
      <c r="BC422"/>
      <c r="BD422"/>
      <c r="BE422"/>
      <c r="BF422"/>
    </row>
    <row r="423" spans="13:58" ht="12" hidden="1" customHeight="1">
      <c r="M423" s="820"/>
      <c r="N423" s="239"/>
      <c r="O423" s="225"/>
      <c r="P423" s="260"/>
      <c r="Q423" s="258"/>
      <c r="R423" s="260"/>
      <c r="S423" s="260"/>
      <c r="T423" s="260"/>
      <c r="U423" s="260"/>
      <c r="V423" s="260"/>
      <c r="W423" s="260"/>
      <c r="X423" s="260"/>
      <c r="Y423" s="260"/>
      <c r="Z423" s="260"/>
      <c r="AA423" s="260"/>
      <c r="AB423" s="260"/>
      <c r="AC423" s="260"/>
      <c r="AD423" s="260"/>
      <c r="AE423" s="260"/>
      <c r="AF423" s="260"/>
      <c r="AG423" s="258"/>
      <c r="AO423"/>
      <c r="AP423"/>
      <c r="AQ423"/>
      <c r="AR423"/>
      <c r="AS423"/>
      <c r="AT423"/>
      <c r="AU423"/>
      <c r="AV423"/>
      <c r="AW423"/>
      <c r="AX423"/>
      <c r="AY423"/>
      <c r="AZ423"/>
      <c r="BA423"/>
      <c r="BB423"/>
      <c r="BC423"/>
      <c r="BD423"/>
      <c r="BE423"/>
      <c r="BF423"/>
    </row>
    <row r="424" spans="13:58" ht="12" hidden="1" customHeight="1">
      <c r="M424" s="820"/>
      <c r="N424" s="239"/>
      <c r="O424" s="225"/>
      <c r="P424" s="260"/>
      <c r="Q424" s="258"/>
      <c r="R424" s="260"/>
      <c r="S424" s="260"/>
      <c r="T424" s="260"/>
      <c r="U424" s="260"/>
      <c r="V424" s="260"/>
      <c r="W424" s="260"/>
      <c r="X424" s="260"/>
      <c r="Y424" s="260"/>
      <c r="Z424" s="260"/>
      <c r="AA424" s="260"/>
      <c r="AB424" s="260"/>
      <c r="AC424" s="260"/>
      <c r="AD424" s="260"/>
      <c r="AE424" s="260"/>
      <c r="AF424" s="260"/>
      <c r="AG424" s="258"/>
      <c r="AO424"/>
      <c r="AP424"/>
      <c r="AQ424"/>
      <c r="AR424"/>
      <c r="AS424"/>
      <c r="AT424"/>
      <c r="AU424"/>
      <c r="AV424"/>
      <c r="AW424"/>
      <c r="AX424"/>
      <c r="AY424"/>
      <c r="AZ424"/>
      <c r="BA424"/>
      <c r="BB424"/>
      <c r="BC424"/>
      <c r="BD424"/>
      <c r="BE424"/>
      <c r="BF424"/>
    </row>
    <row r="425" spans="13:58" ht="12" hidden="1" customHeight="1">
      <c r="M425" s="820"/>
      <c r="N425" s="239"/>
      <c r="O425" s="225"/>
      <c r="P425" s="260"/>
      <c r="Q425" s="258"/>
      <c r="R425" s="260"/>
      <c r="S425" s="260"/>
      <c r="T425" s="260"/>
      <c r="U425" s="260"/>
      <c r="V425" s="260"/>
      <c r="W425" s="260"/>
      <c r="X425" s="260"/>
      <c r="Y425" s="260"/>
      <c r="Z425" s="260"/>
      <c r="AA425" s="260"/>
      <c r="AB425" s="260"/>
      <c r="AC425" s="260"/>
      <c r="AD425" s="260"/>
      <c r="AE425" s="260"/>
      <c r="AF425" s="260"/>
      <c r="AG425" s="258"/>
      <c r="AO425"/>
      <c r="AP425"/>
      <c r="AQ425"/>
      <c r="AR425"/>
      <c r="AS425"/>
      <c r="AT425"/>
      <c r="AU425"/>
      <c r="AV425"/>
      <c r="AW425"/>
      <c r="AX425"/>
      <c r="AY425"/>
      <c r="AZ425"/>
      <c r="BA425"/>
      <c r="BB425"/>
      <c r="BC425"/>
      <c r="BD425"/>
      <c r="BE425"/>
      <c r="BF425"/>
    </row>
    <row r="426" spans="13:58" ht="12" hidden="1" customHeight="1">
      <c r="M426" s="820"/>
      <c r="N426" s="239"/>
      <c r="O426" s="225"/>
      <c r="P426" s="260"/>
      <c r="Q426" s="258"/>
      <c r="R426" s="260"/>
      <c r="S426" s="260"/>
      <c r="T426" s="260"/>
      <c r="U426" s="260"/>
      <c r="V426" s="260"/>
      <c r="W426" s="260"/>
      <c r="X426" s="260"/>
      <c r="Y426" s="260"/>
      <c r="Z426" s="260"/>
      <c r="AA426" s="260"/>
      <c r="AB426" s="260"/>
      <c r="AC426" s="260"/>
      <c r="AD426" s="260"/>
      <c r="AE426" s="260"/>
      <c r="AF426" s="260"/>
      <c r="AG426" s="258"/>
      <c r="AO426"/>
      <c r="AP426"/>
      <c r="AQ426"/>
      <c r="AR426"/>
      <c r="AS426"/>
      <c r="AT426"/>
      <c r="AU426"/>
      <c r="AV426"/>
      <c r="AW426"/>
      <c r="AX426"/>
      <c r="AY426"/>
      <c r="AZ426"/>
      <c r="BA426"/>
      <c r="BB426"/>
      <c r="BC426"/>
      <c r="BD426"/>
      <c r="BE426"/>
      <c r="BF426"/>
    </row>
    <row r="427" spans="13:58" ht="12" hidden="1" customHeight="1">
      <c r="M427" s="820"/>
      <c r="N427" s="239"/>
      <c r="O427" s="225"/>
      <c r="P427" s="260"/>
      <c r="Q427" s="258"/>
      <c r="R427" s="260"/>
      <c r="S427" s="260"/>
      <c r="T427" s="260"/>
      <c r="U427" s="260"/>
      <c r="V427" s="260"/>
      <c r="W427" s="260"/>
      <c r="X427" s="260"/>
      <c r="Y427" s="260"/>
      <c r="Z427" s="260"/>
      <c r="AA427" s="260"/>
      <c r="AB427" s="260"/>
      <c r="AC427" s="260"/>
      <c r="AD427" s="260"/>
      <c r="AE427" s="260"/>
      <c r="AF427" s="260"/>
      <c r="AG427" s="258"/>
      <c r="AO427"/>
      <c r="AP427"/>
      <c r="AQ427"/>
      <c r="AR427"/>
      <c r="AS427"/>
      <c r="AT427"/>
      <c r="AU427"/>
      <c r="AV427"/>
      <c r="AW427"/>
      <c r="AX427"/>
      <c r="AY427"/>
      <c r="AZ427"/>
      <c r="BA427"/>
      <c r="BB427"/>
      <c r="BC427"/>
      <c r="BD427"/>
      <c r="BE427"/>
      <c r="BF427"/>
    </row>
    <row r="428" spans="13:58" ht="12" hidden="1" customHeight="1">
      <c r="M428" s="820"/>
      <c r="N428" s="239"/>
      <c r="O428" s="225"/>
      <c r="P428" s="260"/>
      <c r="Q428" s="258"/>
      <c r="R428" s="260"/>
      <c r="S428" s="260"/>
      <c r="T428" s="260"/>
      <c r="U428" s="260"/>
      <c r="V428" s="260"/>
      <c r="W428" s="260"/>
      <c r="X428" s="260"/>
      <c r="Y428" s="260"/>
      <c r="Z428" s="260"/>
      <c r="AA428" s="260"/>
      <c r="AB428" s="260"/>
      <c r="AC428" s="260"/>
      <c r="AD428" s="260"/>
      <c r="AE428" s="260"/>
      <c r="AF428" s="260"/>
      <c r="AG428" s="258"/>
      <c r="AO428"/>
      <c r="AP428"/>
      <c r="AQ428"/>
      <c r="AR428"/>
      <c r="AS428"/>
      <c r="AT428"/>
      <c r="AU428"/>
      <c r="AV428"/>
      <c r="AW428"/>
      <c r="AX428"/>
      <c r="AY428"/>
      <c r="AZ428"/>
      <c r="BA428"/>
      <c r="BB428"/>
      <c r="BC428"/>
      <c r="BD428"/>
      <c r="BE428"/>
      <c r="BF428"/>
    </row>
    <row r="429" spans="13:58" ht="12" hidden="1" customHeight="1">
      <c r="M429" s="820"/>
      <c r="N429" s="239"/>
      <c r="O429" s="225"/>
      <c r="P429" s="260"/>
      <c r="Q429" s="258"/>
      <c r="R429" s="260"/>
      <c r="S429" s="260"/>
      <c r="T429" s="260"/>
      <c r="U429" s="260"/>
      <c r="V429" s="260"/>
      <c r="W429" s="260"/>
      <c r="X429" s="260"/>
      <c r="Y429" s="260"/>
      <c r="Z429" s="260"/>
      <c r="AA429" s="260"/>
      <c r="AB429" s="260"/>
      <c r="AC429" s="260"/>
      <c r="AD429" s="260"/>
      <c r="AE429" s="260"/>
      <c r="AF429" s="260"/>
      <c r="AG429" s="258"/>
      <c r="AO429"/>
      <c r="AP429"/>
      <c r="AQ429"/>
      <c r="AR429"/>
      <c r="AS429"/>
      <c r="AT429"/>
      <c r="AU429"/>
      <c r="AV429"/>
      <c r="AW429"/>
      <c r="AX429"/>
      <c r="AY429"/>
      <c r="AZ429"/>
      <c r="BA429"/>
      <c r="BB429"/>
      <c r="BC429"/>
      <c r="BD429"/>
      <c r="BE429"/>
      <c r="BF429"/>
    </row>
    <row r="430" spans="13:58" ht="12" hidden="1" customHeight="1">
      <c r="M430" s="820"/>
      <c r="N430" s="239"/>
      <c r="O430" s="225"/>
      <c r="P430" s="260"/>
      <c r="Q430" s="258"/>
      <c r="R430" s="260"/>
      <c r="S430" s="260"/>
      <c r="T430" s="260"/>
      <c r="U430" s="260"/>
      <c r="V430" s="260"/>
      <c r="W430" s="260"/>
      <c r="X430" s="260"/>
      <c r="Y430" s="260"/>
      <c r="Z430" s="260"/>
      <c r="AA430" s="260"/>
      <c r="AB430" s="260"/>
      <c r="AC430" s="260"/>
      <c r="AD430" s="260"/>
      <c r="AE430" s="260"/>
      <c r="AF430" s="260"/>
      <c r="AG430" s="258"/>
      <c r="AO430"/>
      <c r="AP430"/>
      <c r="AQ430"/>
      <c r="AR430"/>
      <c r="AS430"/>
      <c r="AT430"/>
      <c r="AU430"/>
      <c r="AV430"/>
      <c r="AW430"/>
      <c r="AX430"/>
      <c r="AY430"/>
      <c r="AZ430"/>
      <c r="BA430"/>
      <c r="BB430"/>
      <c r="BC430"/>
      <c r="BD430"/>
      <c r="BE430"/>
      <c r="BF430"/>
    </row>
    <row r="431" spans="13:58" ht="12" hidden="1" customHeight="1">
      <c r="M431" s="820"/>
      <c r="N431" s="239"/>
      <c r="O431" s="225"/>
      <c r="P431" s="260"/>
      <c r="Q431" s="258"/>
      <c r="R431" s="260"/>
      <c r="S431" s="260"/>
      <c r="T431" s="260"/>
      <c r="U431" s="260"/>
      <c r="V431" s="260"/>
      <c r="W431" s="260"/>
      <c r="X431" s="260"/>
      <c r="Y431" s="260"/>
      <c r="Z431" s="260"/>
      <c r="AA431" s="260"/>
      <c r="AB431" s="260"/>
      <c r="AC431" s="260"/>
      <c r="AD431" s="260"/>
      <c r="AE431" s="260"/>
      <c r="AF431" s="260"/>
      <c r="AG431" s="258"/>
      <c r="AO431"/>
      <c r="AP431"/>
      <c r="AQ431"/>
      <c r="AR431"/>
      <c r="AS431"/>
      <c r="AT431"/>
      <c r="AU431"/>
      <c r="AV431"/>
      <c r="AW431"/>
      <c r="AX431"/>
      <c r="AY431"/>
      <c r="AZ431"/>
      <c r="BA431"/>
      <c r="BB431"/>
      <c r="BC431"/>
      <c r="BD431"/>
      <c r="BE431"/>
      <c r="BF431"/>
    </row>
    <row r="432" spans="13:58" ht="12" hidden="1" customHeight="1">
      <c r="M432" s="820"/>
      <c r="N432" s="239"/>
      <c r="O432" s="225"/>
      <c r="P432" s="260"/>
      <c r="Q432" s="258"/>
      <c r="R432" s="260"/>
      <c r="S432" s="260"/>
      <c r="T432" s="260"/>
      <c r="U432" s="260"/>
      <c r="V432" s="260"/>
      <c r="W432" s="260"/>
      <c r="X432" s="260"/>
      <c r="Y432" s="260"/>
      <c r="Z432" s="260"/>
      <c r="AA432" s="260"/>
      <c r="AB432" s="260"/>
      <c r="AC432" s="260"/>
      <c r="AD432" s="260"/>
      <c r="AE432" s="260"/>
      <c r="AF432" s="260"/>
      <c r="AG432" s="258"/>
      <c r="AO432"/>
      <c r="AP432"/>
      <c r="AQ432"/>
      <c r="AR432"/>
      <c r="AS432"/>
      <c r="AT432"/>
      <c r="AU432"/>
      <c r="AV432"/>
      <c r="AW432"/>
      <c r="AX432"/>
      <c r="AY432"/>
      <c r="AZ432"/>
      <c r="BA432"/>
      <c r="BB432"/>
      <c r="BC432"/>
      <c r="BD432"/>
      <c r="BE432"/>
      <c r="BF432"/>
    </row>
    <row r="433" spans="13:58" ht="12" hidden="1" customHeight="1">
      <c r="M433" s="820"/>
      <c r="N433" s="239"/>
      <c r="O433" s="225"/>
      <c r="P433" s="260"/>
      <c r="Q433" s="258"/>
      <c r="R433" s="260"/>
      <c r="S433" s="260"/>
      <c r="T433" s="260"/>
      <c r="U433" s="260"/>
      <c r="V433" s="260"/>
      <c r="W433" s="260"/>
      <c r="X433" s="260"/>
      <c r="Y433" s="260"/>
      <c r="Z433" s="260"/>
      <c r="AA433" s="260"/>
      <c r="AB433" s="260"/>
      <c r="AC433" s="260"/>
      <c r="AD433" s="260"/>
      <c r="AE433" s="260"/>
      <c r="AF433" s="260"/>
      <c r="AG433" s="258"/>
      <c r="AO433"/>
      <c r="AP433"/>
      <c r="AQ433"/>
      <c r="AR433"/>
      <c r="AS433"/>
      <c r="AT433"/>
      <c r="AU433"/>
      <c r="AV433"/>
      <c r="AW433"/>
      <c r="AX433"/>
      <c r="AY433"/>
      <c r="AZ433"/>
      <c r="BA433"/>
      <c r="BB433"/>
      <c r="BC433"/>
      <c r="BD433"/>
      <c r="BE433"/>
      <c r="BF433"/>
    </row>
    <row r="434" spans="13:58" ht="12" hidden="1" customHeight="1">
      <c r="M434" s="820"/>
      <c r="N434" s="239"/>
      <c r="O434" s="225"/>
      <c r="P434" s="260"/>
      <c r="Q434" s="258"/>
      <c r="R434" s="260"/>
      <c r="S434" s="260"/>
      <c r="T434" s="260"/>
      <c r="U434" s="260"/>
      <c r="V434" s="260"/>
      <c r="W434" s="260"/>
      <c r="X434" s="260"/>
      <c r="Y434" s="260"/>
      <c r="Z434" s="260"/>
      <c r="AA434" s="260"/>
      <c r="AB434" s="260"/>
      <c r="AC434" s="260"/>
      <c r="AD434" s="260"/>
      <c r="AE434" s="260"/>
      <c r="AF434" s="260"/>
      <c r="AG434" s="258"/>
      <c r="AO434"/>
      <c r="AP434"/>
      <c r="AQ434"/>
      <c r="AR434"/>
      <c r="AS434"/>
      <c r="AT434"/>
      <c r="AU434"/>
      <c r="AV434"/>
      <c r="AW434"/>
      <c r="AX434"/>
      <c r="AY434"/>
      <c r="AZ434"/>
      <c r="BA434"/>
      <c r="BB434"/>
      <c r="BC434"/>
      <c r="BD434"/>
      <c r="BE434"/>
      <c r="BF434"/>
    </row>
    <row r="435" spans="13:58" ht="12" hidden="1" customHeight="1">
      <c r="M435" s="820"/>
      <c r="N435" s="239"/>
      <c r="O435" s="225"/>
      <c r="P435" s="260"/>
      <c r="Q435" s="258"/>
      <c r="R435" s="260"/>
      <c r="S435" s="260"/>
      <c r="T435" s="260"/>
      <c r="U435" s="260"/>
      <c r="V435" s="260"/>
      <c r="W435" s="260"/>
      <c r="X435" s="260"/>
      <c r="Y435" s="260"/>
      <c r="Z435" s="260"/>
      <c r="AA435" s="260"/>
      <c r="AB435" s="260"/>
      <c r="AC435" s="260"/>
      <c r="AD435" s="260"/>
      <c r="AE435" s="260"/>
      <c r="AF435" s="260"/>
      <c r="AG435" s="258"/>
      <c r="AO435"/>
      <c r="AP435"/>
      <c r="AQ435"/>
      <c r="AR435"/>
      <c r="AS435"/>
      <c r="AT435"/>
      <c r="AU435"/>
      <c r="AV435"/>
      <c r="AW435"/>
      <c r="AX435"/>
      <c r="AY435"/>
      <c r="AZ435"/>
      <c r="BA435"/>
      <c r="BB435"/>
      <c r="BC435"/>
      <c r="BD435"/>
      <c r="BE435"/>
      <c r="BF435"/>
    </row>
    <row r="436" spans="13:58" ht="12" hidden="1" customHeight="1">
      <c r="M436" s="820"/>
      <c r="N436" s="239"/>
      <c r="O436" s="225"/>
      <c r="P436" s="260"/>
      <c r="Q436" s="258"/>
      <c r="R436" s="260"/>
      <c r="S436" s="260"/>
      <c r="T436" s="260"/>
      <c r="U436" s="260"/>
      <c r="V436" s="260"/>
      <c r="W436" s="260"/>
      <c r="X436" s="260"/>
      <c r="Y436" s="260"/>
      <c r="Z436" s="260"/>
      <c r="AA436" s="260"/>
      <c r="AB436" s="260"/>
      <c r="AC436" s="260"/>
      <c r="AD436" s="260"/>
      <c r="AE436" s="260"/>
      <c r="AF436" s="260"/>
      <c r="AG436" s="258"/>
      <c r="AO436"/>
      <c r="AP436"/>
      <c r="AQ436"/>
      <c r="AR436"/>
      <c r="AS436"/>
      <c r="AT436"/>
      <c r="AU436"/>
      <c r="AV436"/>
      <c r="AW436"/>
      <c r="AX436"/>
      <c r="AY436"/>
      <c r="AZ436"/>
      <c r="BA436"/>
      <c r="BB436"/>
      <c r="BC436"/>
      <c r="BD436"/>
      <c r="BE436"/>
      <c r="BF436"/>
    </row>
    <row r="437" spans="13:58" ht="12" hidden="1" customHeight="1">
      <c r="M437" s="820"/>
      <c r="N437" s="239"/>
      <c r="O437" s="225"/>
      <c r="P437" s="260"/>
      <c r="Q437" s="258"/>
      <c r="R437" s="260"/>
      <c r="S437" s="260"/>
      <c r="T437" s="260"/>
      <c r="U437" s="260"/>
      <c r="V437" s="260"/>
      <c r="W437" s="260"/>
      <c r="X437" s="260"/>
      <c r="Y437" s="260"/>
      <c r="Z437" s="260"/>
      <c r="AA437" s="260"/>
      <c r="AB437" s="260"/>
      <c r="AC437" s="260"/>
      <c r="AD437" s="260"/>
      <c r="AE437" s="260"/>
      <c r="AF437" s="260"/>
      <c r="AG437" s="258"/>
      <c r="AO437"/>
      <c r="AP437"/>
      <c r="AQ437"/>
      <c r="AR437"/>
      <c r="AS437"/>
      <c r="AT437"/>
      <c r="AU437"/>
      <c r="AV437"/>
      <c r="AW437"/>
      <c r="AX437"/>
      <c r="AY437"/>
      <c r="AZ437"/>
      <c r="BA437"/>
      <c r="BB437"/>
      <c r="BC437"/>
      <c r="BD437"/>
      <c r="BE437"/>
      <c r="BF437"/>
    </row>
    <row r="438" spans="13:58" ht="12" hidden="1" customHeight="1">
      <c r="M438" s="820"/>
      <c r="N438" s="239"/>
      <c r="O438" s="225"/>
      <c r="P438" s="260"/>
      <c r="Q438" s="258"/>
      <c r="R438" s="260"/>
      <c r="S438" s="260"/>
      <c r="T438" s="260"/>
      <c r="U438" s="260"/>
      <c r="V438" s="260"/>
      <c r="W438" s="260"/>
      <c r="X438" s="260"/>
      <c r="Y438" s="260"/>
      <c r="Z438" s="260"/>
      <c r="AA438" s="260"/>
      <c r="AB438" s="260"/>
      <c r="AC438" s="260"/>
      <c r="AD438" s="260"/>
      <c r="AE438" s="260"/>
      <c r="AF438" s="260"/>
      <c r="AG438" s="258"/>
      <c r="AO438"/>
      <c r="AP438"/>
      <c r="AQ438"/>
      <c r="AR438"/>
      <c r="AS438"/>
      <c r="AT438"/>
      <c r="AU438"/>
      <c r="AV438"/>
      <c r="AW438"/>
      <c r="AX438"/>
      <c r="AY438"/>
      <c r="AZ438"/>
      <c r="BA438"/>
      <c r="BB438"/>
      <c r="BC438"/>
      <c r="BD438"/>
      <c r="BE438"/>
      <c r="BF438"/>
    </row>
    <row r="439" spans="13:58" ht="12" hidden="1" customHeight="1">
      <c r="M439" s="820"/>
      <c r="N439" s="239"/>
      <c r="O439" s="225"/>
      <c r="P439" s="260"/>
      <c r="Q439" s="258"/>
      <c r="R439" s="260"/>
      <c r="S439" s="260"/>
      <c r="T439" s="260"/>
      <c r="U439" s="260"/>
      <c r="V439" s="260"/>
      <c r="W439" s="260"/>
      <c r="X439" s="260"/>
      <c r="Y439" s="260"/>
      <c r="Z439" s="260"/>
      <c r="AA439" s="260"/>
      <c r="AB439" s="260"/>
      <c r="AC439" s="260"/>
      <c r="AD439" s="260"/>
      <c r="AE439" s="260"/>
      <c r="AF439" s="260"/>
      <c r="AG439" s="258"/>
      <c r="AO439"/>
      <c r="AP439"/>
      <c r="AQ439"/>
      <c r="AR439"/>
      <c r="AS439"/>
      <c r="AT439"/>
      <c r="AU439"/>
      <c r="AV439"/>
      <c r="AW439"/>
      <c r="AX439"/>
      <c r="AY439"/>
      <c r="AZ439"/>
      <c r="BA439"/>
      <c r="BB439"/>
      <c r="BC439"/>
      <c r="BD439"/>
      <c r="BE439"/>
      <c r="BF439"/>
    </row>
    <row r="440" spans="13:58" ht="12" hidden="1" customHeight="1">
      <c r="M440" s="820"/>
      <c r="N440" s="239"/>
      <c r="O440" s="225"/>
      <c r="P440" s="260"/>
      <c r="Q440" s="258"/>
      <c r="R440" s="260"/>
      <c r="S440" s="260"/>
      <c r="T440" s="260"/>
      <c r="U440" s="260"/>
      <c r="V440" s="260"/>
      <c r="W440" s="260"/>
      <c r="X440" s="260"/>
      <c r="Y440" s="260"/>
      <c r="Z440" s="260"/>
      <c r="AA440" s="260"/>
      <c r="AB440" s="260"/>
      <c r="AC440" s="260"/>
      <c r="AD440" s="260"/>
      <c r="AE440" s="260"/>
      <c r="AF440" s="260"/>
      <c r="AG440" s="258"/>
      <c r="AO440"/>
      <c r="AP440"/>
      <c r="AQ440"/>
      <c r="AR440"/>
      <c r="AS440"/>
      <c r="AT440"/>
      <c r="AU440"/>
      <c r="AV440"/>
      <c r="AW440"/>
      <c r="AX440"/>
      <c r="AY440"/>
      <c r="AZ440"/>
      <c r="BA440"/>
      <c r="BB440"/>
      <c r="BC440"/>
      <c r="BD440"/>
      <c r="BE440"/>
      <c r="BF440"/>
    </row>
    <row r="441" spans="13:58" ht="12" hidden="1" customHeight="1">
      <c r="M441" s="820"/>
      <c r="N441" s="239"/>
      <c r="O441" s="225"/>
      <c r="P441" s="260"/>
      <c r="Q441" s="258"/>
      <c r="R441" s="260"/>
      <c r="S441" s="260"/>
      <c r="T441" s="260"/>
      <c r="U441" s="260"/>
      <c r="V441" s="260"/>
      <c r="W441" s="260"/>
      <c r="X441" s="260"/>
      <c r="Y441" s="260"/>
      <c r="Z441" s="260"/>
      <c r="AA441" s="260"/>
      <c r="AB441" s="260"/>
      <c r="AC441" s="260"/>
      <c r="AD441" s="260"/>
      <c r="AE441" s="260"/>
      <c r="AF441" s="260"/>
      <c r="AG441" s="258"/>
      <c r="AO441"/>
      <c r="AP441"/>
      <c r="AQ441"/>
      <c r="AR441"/>
      <c r="AS441"/>
      <c r="AT441"/>
      <c r="AU441"/>
      <c r="AV441"/>
      <c r="AW441"/>
      <c r="AX441"/>
      <c r="AY441"/>
      <c r="AZ441"/>
      <c r="BA441"/>
      <c r="BB441"/>
      <c r="BC441"/>
      <c r="BD441"/>
      <c r="BE441"/>
      <c r="BF441"/>
    </row>
    <row r="442" spans="13:58" ht="12" hidden="1" customHeight="1">
      <c r="M442" s="820"/>
      <c r="N442" s="239"/>
      <c r="O442" s="225"/>
      <c r="P442" s="260"/>
      <c r="Q442" s="258"/>
      <c r="R442" s="260"/>
      <c r="S442" s="260"/>
      <c r="T442" s="260"/>
      <c r="U442" s="260"/>
      <c r="V442" s="260"/>
      <c r="W442" s="260"/>
      <c r="X442" s="260"/>
      <c r="Y442" s="260"/>
      <c r="Z442" s="260"/>
      <c r="AA442" s="260"/>
      <c r="AB442" s="260"/>
      <c r="AC442" s="260"/>
      <c r="AD442" s="260"/>
      <c r="AE442" s="260"/>
      <c r="AF442" s="260"/>
      <c r="AG442" s="258"/>
      <c r="AO442"/>
      <c r="AP442"/>
      <c r="AQ442"/>
      <c r="AR442"/>
      <c r="AS442"/>
      <c r="AT442"/>
      <c r="AU442"/>
      <c r="AV442"/>
      <c r="AW442"/>
      <c r="AX442"/>
      <c r="AY442"/>
      <c r="AZ442"/>
      <c r="BA442"/>
      <c r="BB442"/>
      <c r="BC442"/>
      <c r="BD442"/>
      <c r="BE442"/>
      <c r="BF442"/>
    </row>
    <row r="443" spans="13:58" ht="12" hidden="1" customHeight="1">
      <c r="M443" s="820"/>
      <c r="N443" s="239"/>
      <c r="O443" s="225"/>
      <c r="P443" s="260"/>
      <c r="Q443" s="258"/>
      <c r="R443" s="260"/>
      <c r="S443" s="260"/>
      <c r="T443" s="260"/>
      <c r="U443" s="260"/>
      <c r="V443" s="260"/>
      <c r="W443" s="260"/>
      <c r="X443" s="260"/>
      <c r="Y443" s="260"/>
      <c r="Z443" s="260"/>
      <c r="AA443" s="260"/>
      <c r="AB443" s="260"/>
      <c r="AC443" s="260"/>
      <c r="AD443" s="260"/>
      <c r="AE443" s="260"/>
      <c r="AF443" s="260"/>
      <c r="AG443" s="258"/>
      <c r="AO443"/>
      <c r="AP443"/>
      <c r="AQ443"/>
      <c r="AR443"/>
      <c r="AS443"/>
      <c r="AT443"/>
      <c r="AU443"/>
      <c r="AV443"/>
      <c r="AW443"/>
      <c r="AX443"/>
      <c r="AY443"/>
      <c r="AZ443"/>
      <c r="BA443"/>
      <c r="BB443"/>
      <c r="BC443"/>
      <c r="BD443"/>
      <c r="BE443"/>
      <c r="BF443"/>
    </row>
    <row r="444" spans="13:58" ht="12" hidden="1" customHeight="1">
      <c r="M444" s="820"/>
      <c r="N444" s="239"/>
      <c r="O444" s="225"/>
      <c r="P444" s="260"/>
      <c r="Q444" s="258"/>
      <c r="R444" s="260"/>
      <c r="S444" s="260"/>
      <c r="T444" s="260"/>
      <c r="U444" s="260"/>
      <c r="V444" s="260"/>
      <c r="W444" s="260"/>
      <c r="X444" s="260"/>
      <c r="Y444" s="260"/>
      <c r="Z444" s="260"/>
      <c r="AA444" s="260"/>
      <c r="AB444" s="260"/>
      <c r="AC444" s="260"/>
      <c r="AD444" s="260"/>
      <c r="AE444" s="260"/>
      <c r="AF444" s="260"/>
      <c r="AG444" s="258"/>
      <c r="AO444"/>
      <c r="AP444"/>
      <c r="AQ444"/>
      <c r="AR444"/>
      <c r="AS444"/>
      <c r="AT444"/>
      <c r="AU444"/>
      <c r="AV444"/>
      <c r="AW444"/>
      <c r="AX444"/>
      <c r="AY444"/>
      <c r="AZ444"/>
      <c r="BA444"/>
      <c r="BB444"/>
      <c r="BC444"/>
      <c r="BD444"/>
      <c r="BE444"/>
      <c r="BF444"/>
    </row>
    <row r="445" spans="13:58" ht="12" hidden="1" customHeight="1">
      <c r="M445" s="820"/>
      <c r="N445" s="239"/>
      <c r="O445" s="225"/>
      <c r="P445" s="260"/>
      <c r="Q445" s="258"/>
      <c r="R445" s="260"/>
      <c r="S445" s="260"/>
      <c r="T445" s="260"/>
      <c r="U445" s="260"/>
      <c r="V445" s="260"/>
      <c r="W445" s="260"/>
      <c r="X445" s="260"/>
      <c r="Y445" s="260"/>
      <c r="Z445" s="260"/>
      <c r="AA445" s="260"/>
      <c r="AB445" s="260"/>
      <c r="AC445" s="260"/>
      <c r="AD445" s="260"/>
      <c r="AE445" s="260"/>
      <c r="AF445" s="260"/>
      <c r="AG445" s="258"/>
      <c r="AO445"/>
      <c r="AP445"/>
      <c r="AQ445"/>
      <c r="AR445"/>
      <c r="AS445"/>
      <c r="AT445"/>
      <c r="AU445"/>
      <c r="AV445"/>
      <c r="AW445"/>
      <c r="AX445"/>
      <c r="AY445"/>
      <c r="AZ445"/>
      <c r="BA445"/>
      <c r="BB445"/>
      <c r="BC445"/>
      <c r="BD445"/>
      <c r="BE445"/>
      <c r="BF445"/>
    </row>
    <row r="446" spans="13:58" ht="12" hidden="1" customHeight="1">
      <c r="M446" s="820"/>
      <c r="N446" s="239"/>
      <c r="O446" s="225"/>
      <c r="P446" s="260"/>
      <c r="Q446" s="258"/>
      <c r="R446" s="260"/>
      <c r="S446" s="260"/>
      <c r="T446" s="260"/>
      <c r="U446" s="260"/>
      <c r="V446" s="260"/>
      <c r="W446" s="260"/>
      <c r="X446" s="260"/>
      <c r="Y446" s="260"/>
      <c r="Z446" s="260"/>
      <c r="AA446" s="260"/>
      <c r="AB446" s="260"/>
      <c r="AC446" s="260"/>
      <c r="AD446" s="260"/>
      <c r="AE446" s="260"/>
      <c r="AF446" s="260"/>
      <c r="AG446" s="258"/>
      <c r="AO446"/>
      <c r="AP446"/>
      <c r="AQ446"/>
      <c r="AR446"/>
      <c r="AS446"/>
      <c r="AT446"/>
      <c r="AU446"/>
      <c r="AV446"/>
      <c r="AW446"/>
      <c r="AX446"/>
      <c r="AY446"/>
      <c r="AZ446"/>
      <c r="BA446"/>
      <c r="BB446"/>
      <c r="BC446"/>
      <c r="BD446"/>
      <c r="BE446"/>
      <c r="BF446"/>
    </row>
    <row r="447" spans="13:58" ht="12" hidden="1" customHeight="1">
      <c r="M447" s="820"/>
      <c r="N447" s="239"/>
      <c r="O447" s="225"/>
      <c r="P447" s="260"/>
      <c r="Q447" s="258"/>
      <c r="R447" s="260"/>
      <c r="S447" s="260"/>
      <c r="T447" s="260"/>
      <c r="U447" s="260"/>
      <c r="V447" s="260"/>
      <c r="W447" s="260"/>
      <c r="X447" s="260"/>
      <c r="Y447" s="260"/>
      <c r="Z447" s="260"/>
      <c r="AA447" s="260"/>
      <c r="AB447" s="260"/>
      <c r="AC447" s="260"/>
      <c r="AD447" s="260"/>
      <c r="AE447" s="260"/>
      <c r="AF447" s="260"/>
      <c r="AG447" s="258"/>
      <c r="AO447"/>
      <c r="AP447"/>
      <c r="AQ447"/>
      <c r="AR447"/>
      <c r="AS447"/>
      <c r="AT447"/>
      <c r="AU447"/>
      <c r="AV447"/>
      <c r="AW447"/>
      <c r="AX447"/>
      <c r="AY447"/>
      <c r="AZ447"/>
      <c r="BA447"/>
      <c r="BB447"/>
      <c r="BC447"/>
      <c r="BD447"/>
      <c r="BE447"/>
      <c r="BF447"/>
    </row>
    <row r="448" spans="13:58" ht="12" hidden="1" customHeight="1">
      <c r="M448" s="820"/>
      <c r="N448" s="239"/>
      <c r="O448" s="225"/>
      <c r="P448" s="260"/>
      <c r="Q448" s="258"/>
      <c r="R448" s="260"/>
      <c r="S448" s="260"/>
      <c r="T448" s="260"/>
      <c r="U448" s="260"/>
      <c r="V448" s="260"/>
      <c r="W448" s="260"/>
      <c r="X448" s="260"/>
      <c r="Y448" s="260"/>
      <c r="Z448" s="260"/>
      <c r="AA448" s="260"/>
      <c r="AB448" s="260"/>
      <c r="AC448" s="260"/>
      <c r="AD448" s="260"/>
      <c r="AE448" s="260"/>
      <c r="AF448" s="260"/>
      <c r="AG448" s="258"/>
      <c r="AO448"/>
      <c r="AP448"/>
      <c r="AQ448"/>
      <c r="AR448"/>
      <c r="AS448"/>
      <c r="AT448"/>
      <c r="AU448"/>
      <c r="AV448"/>
      <c r="AW448"/>
      <c r="AX448"/>
      <c r="AY448"/>
      <c r="AZ448"/>
      <c r="BA448"/>
      <c r="BB448"/>
      <c r="BC448"/>
      <c r="BD448"/>
      <c r="BE448"/>
      <c r="BF448"/>
    </row>
    <row r="449" spans="13:58" ht="12" hidden="1" customHeight="1">
      <c r="M449" s="820"/>
      <c r="N449" s="239"/>
      <c r="O449" s="225"/>
      <c r="P449" s="260"/>
      <c r="Q449" s="258"/>
      <c r="R449" s="260"/>
      <c r="S449" s="260"/>
      <c r="T449" s="260"/>
      <c r="U449" s="260"/>
      <c r="V449" s="260"/>
      <c r="W449" s="260"/>
      <c r="X449" s="260"/>
      <c r="Y449" s="260"/>
      <c r="Z449" s="260"/>
      <c r="AA449" s="260"/>
      <c r="AB449" s="260"/>
      <c r="AC449" s="260"/>
      <c r="AD449" s="260"/>
      <c r="AE449" s="260"/>
      <c r="AF449" s="260"/>
      <c r="AG449" s="258"/>
      <c r="AO449"/>
      <c r="AP449"/>
      <c r="AQ449"/>
      <c r="AR449"/>
      <c r="AS449"/>
      <c r="AT449"/>
      <c r="AU449"/>
      <c r="AV449"/>
      <c r="AW449"/>
      <c r="AX449"/>
      <c r="AY449"/>
      <c r="AZ449"/>
      <c r="BA449"/>
      <c r="BB449"/>
      <c r="BC449"/>
      <c r="BD449"/>
      <c r="BE449"/>
      <c r="BF449"/>
    </row>
    <row r="450" spans="13:58" ht="12" hidden="1" customHeight="1">
      <c r="M450" s="820"/>
      <c r="N450" s="239"/>
      <c r="O450" s="225"/>
      <c r="P450" s="260"/>
      <c r="Q450" s="258"/>
      <c r="R450" s="260"/>
      <c r="S450" s="260"/>
      <c r="T450" s="260"/>
      <c r="U450" s="260"/>
      <c r="V450" s="260"/>
      <c r="W450" s="260"/>
      <c r="X450" s="260"/>
      <c r="Y450" s="260"/>
      <c r="Z450" s="260"/>
      <c r="AA450" s="260"/>
      <c r="AB450" s="260"/>
      <c r="AC450" s="260"/>
      <c r="AD450" s="260"/>
      <c r="AE450" s="260"/>
      <c r="AF450" s="260"/>
      <c r="AG450" s="258"/>
      <c r="AO450"/>
      <c r="AP450"/>
      <c r="AQ450"/>
      <c r="AR450"/>
      <c r="AS450"/>
      <c r="AT450"/>
      <c r="AU450"/>
      <c r="AV450"/>
      <c r="AW450"/>
      <c r="AX450"/>
      <c r="AY450"/>
      <c r="AZ450"/>
      <c r="BA450"/>
      <c r="BB450"/>
      <c r="BC450"/>
      <c r="BD450"/>
      <c r="BE450"/>
      <c r="BF450"/>
    </row>
    <row r="451" spans="13:58" ht="12" hidden="1" customHeight="1">
      <c r="M451" s="820"/>
      <c r="N451" s="239"/>
      <c r="O451" s="225"/>
      <c r="P451" s="260"/>
      <c r="Q451" s="258"/>
      <c r="R451" s="260"/>
      <c r="S451" s="260"/>
      <c r="T451" s="260"/>
      <c r="U451" s="260"/>
      <c r="V451" s="260"/>
      <c r="W451" s="260"/>
      <c r="X451" s="260"/>
      <c r="Y451" s="260"/>
      <c r="Z451" s="260"/>
      <c r="AA451" s="260"/>
      <c r="AB451" s="260"/>
      <c r="AC451" s="260"/>
      <c r="AD451" s="260"/>
      <c r="AE451" s="260"/>
      <c r="AF451" s="260"/>
      <c r="AG451" s="258"/>
      <c r="AO451"/>
      <c r="AP451"/>
      <c r="AQ451"/>
      <c r="AR451"/>
      <c r="AS451"/>
      <c r="AT451"/>
      <c r="AU451"/>
      <c r="AV451"/>
      <c r="AW451"/>
      <c r="AX451"/>
      <c r="AY451"/>
      <c r="AZ451"/>
      <c r="BA451"/>
      <c r="BB451"/>
      <c r="BC451"/>
      <c r="BD451"/>
      <c r="BE451"/>
      <c r="BF451"/>
    </row>
    <row r="452" spans="13:58" ht="12" hidden="1" customHeight="1">
      <c r="M452" s="820"/>
      <c r="N452" s="239"/>
      <c r="O452" s="225"/>
      <c r="P452" s="260"/>
      <c r="Q452" s="258"/>
      <c r="R452" s="260"/>
      <c r="S452" s="260"/>
      <c r="T452" s="260"/>
      <c r="U452" s="260"/>
      <c r="V452" s="260"/>
      <c r="W452" s="260"/>
      <c r="X452" s="260"/>
      <c r="Y452" s="260"/>
      <c r="Z452" s="260"/>
      <c r="AA452" s="260"/>
      <c r="AB452" s="260"/>
      <c r="AC452" s="260"/>
      <c r="AD452" s="260"/>
      <c r="AE452" s="260"/>
      <c r="AF452" s="260"/>
      <c r="AG452" s="258"/>
      <c r="AO452"/>
      <c r="AP452"/>
      <c r="AQ452"/>
      <c r="AR452"/>
      <c r="AS452"/>
      <c r="AT452"/>
      <c r="AU452"/>
      <c r="AV452"/>
      <c r="AW452"/>
      <c r="AX452"/>
      <c r="AY452"/>
      <c r="AZ452"/>
      <c r="BA452"/>
      <c r="BB452"/>
      <c r="BC452"/>
      <c r="BD452"/>
      <c r="BE452"/>
      <c r="BF452"/>
    </row>
    <row r="453" spans="13:58" ht="12" hidden="1" customHeight="1">
      <c r="M453" s="820"/>
      <c r="N453" s="239"/>
      <c r="O453" s="225"/>
      <c r="P453" s="260"/>
      <c r="Q453" s="258"/>
      <c r="R453" s="260"/>
      <c r="S453" s="260"/>
      <c r="T453" s="260"/>
      <c r="U453" s="260"/>
      <c r="V453" s="260"/>
      <c r="W453" s="260"/>
      <c r="X453" s="260"/>
      <c r="Y453" s="260"/>
      <c r="Z453" s="260"/>
      <c r="AA453" s="260"/>
      <c r="AB453" s="260"/>
      <c r="AC453" s="260"/>
      <c r="AD453" s="260"/>
      <c r="AE453" s="260"/>
      <c r="AF453" s="260"/>
      <c r="AG453" s="258"/>
      <c r="AO453"/>
      <c r="AP453"/>
      <c r="AQ453"/>
      <c r="AR453"/>
      <c r="AS453"/>
      <c r="AT453"/>
      <c r="AU453"/>
      <c r="AV453"/>
      <c r="AW453"/>
      <c r="AX453"/>
      <c r="AY453"/>
      <c r="AZ453"/>
      <c r="BA453"/>
      <c r="BB453"/>
      <c r="BC453"/>
      <c r="BD453"/>
      <c r="BE453"/>
      <c r="BF453"/>
    </row>
    <row r="454" spans="13:58" ht="12" hidden="1" customHeight="1">
      <c r="M454" s="820"/>
      <c r="N454" s="239"/>
      <c r="O454" s="225"/>
      <c r="P454" s="260"/>
      <c r="Q454" s="258"/>
      <c r="R454" s="260"/>
      <c r="S454" s="260"/>
      <c r="T454" s="260"/>
      <c r="U454" s="260"/>
      <c r="V454" s="260"/>
      <c r="W454" s="260"/>
      <c r="X454" s="260"/>
      <c r="Y454" s="260"/>
      <c r="Z454" s="260"/>
      <c r="AA454" s="260"/>
      <c r="AB454" s="260"/>
      <c r="AC454" s="260"/>
      <c r="AD454" s="260"/>
      <c r="AE454" s="260"/>
      <c r="AF454" s="260"/>
      <c r="AG454" s="258"/>
      <c r="AO454"/>
      <c r="AP454"/>
      <c r="AQ454"/>
      <c r="AR454"/>
      <c r="AS454"/>
      <c r="AT454"/>
      <c r="AU454"/>
      <c r="AV454"/>
      <c r="AW454"/>
      <c r="AX454"/>
      <c r="AY454"/>
      <c r="AZ454"/>
      <c r="BA454"/>
      <c r="BB454"/>
      <c r="BC454"/>
      <c r="BD454"/>
      <c r="BE454"/>
      <c r="BF454"/>
    </row>
    <row r="455" spans="13:58" ht="12" hidden="1" customHeight="1">
      <c r="M455" s="820"/>
      <c r="N455" s="239"/>
      <c r="O455" s="225"/>
      <c r="P455" s="260"/>
      <c r="Q455" s="258"/>
      <c r="R455" s="260"/>
      <c r="S455" s="260"/>
      <c r="T455" s="260"/>
      <c r="U455" s="260"/>
      <c r="V455" s="260"/>
      <c r="W455" s="260"/>
      <c r="X455" s="260"/>
      <c r="Y455" s="260"/>
      <c r="Z455" s="260"/>
      <c r="AA455" s="260"/>
      <c r="AB455" s="260"/>
      <c r="AC455" s="260"/>
      <c r="AD455" s="260"/>
      <c r="AE455" s="260"/>
      <c r="AF455" s="260"/>
      <c r="AG455" s="258"/>
      <c r="AO455"/>
      <c r="AP455"/>
      <c r="AQ455"/>
      <c r="AR455"/>
      <c r="AS455"/>
      <c r="AT455"/>
      <c r="AU455"/>
      <c r="AV455"/>
      <c r="AW455"/>
      <c r="AX455"/>
      <c r="AY455"/>
      <c r="AZ455"/>
      <c r="BA455"/>
      <c r="BB455"/>
      <c r="BC455"/>
      <c r="BD455"/>
      <c r="BE455"/>
      <c r="BF455"/>
    </row>
    <row r="456" spans="13:58" ht="12" hidden="1" customHeight="1">
      <c r="M456" s="820"/>
      <c r="N456" s="239"/>
      <c r="O456" s="225"/>
      <c r="P456" s="260"/>
      <c r="Q456" s="258"/>
      <c r="R456" s="260"/>
      <c r="S456" s="260"/>
      <c r="T456" s="260"/>
      <c r="U456" s="260"/>
      <c r="V456" s="260"/>
      <c r="W456" s="260"/>
      <c r="X456" s="260"/>
      <c r="Y456" s="260"/>
      <c r="Z456" s="260"/>
      <c r="AA456" s="260"/>
      <c r="AB456" s="260"/>
      <c r="AC456" s="260"/>
      <c r="AD456" s="260"/>
      <c r="AE456" s="260"/>
      <c r="AF456" s="260"/>
      <c r="AG456" s="258"/>
      <c r="AO456"/>
      <c r="AP456"/>
      <c r="AQ456"/>
      <c r="AR456"/>
      <c r="AS456"/>
      <c r="AT456"/>
      <c r="AU456"/>
      <c r="AV456"/>
      <c r="AW456"/>
      <c r="AX456"/>
      <c r="AY456"/>
      <c r="AZ456"/>
      <c r="BA456"/>
      <c r="BB456"/>
      <c r="BC456"/>
      <c r="BD456"/>
      <c r="BE456"/>
      <c r="BF456"/>
    </row>
    <row r="457" spans="13:58" ht="12" hidden="1" customHeight="1">
      <c r="M457" s="820"/>
      <c r="N457" s="239"/>
      <c r="O457" s="225"/>
      <c r="P457" s="260"/>
      <c r="Q457" s="258"/>
      <c r="R457" s="260"/>
      <c r="S457" s="260"/>
      <c r="T457" s="260"/>
      <c r="U457" s="260"/>
      <c r="V457" s="260"/>
      <c r="W457" s="260"/>
      <c r="X457" s="260"/>
      <c r="Y457" s="260"/>
      <c r="Z457" s="260"/>
      <c r="AA457" s="260"/>
      <c r="AB457" s="260"/>
      <c r="AC457" s="260"/>
      <c r="AD457" s="260"/>
      <c r="AE457" s="260"/>
      <c r="AF457" s="260"/>
      <c r="AG457" s="258"/>
      <c r="AO457"/>
      <c r="AP457"/>
      <c r="AQ457"/>
      <c r="AR457"/>
      <c r="AS457"/>
      <c r="AT457"/>
      <c r="AU457"/>
      <c r="AV457"/>
      <c r="AW457"/>
      <c r="AX457"/>
      <c r="AY457"/>
      <c r="AZ457"/>
      <c r="BA457"/>
      <c r="BB457"/>
      <c r="BC457"/>
      <c r="BD457"/>
      <c r="BE457"/>
      <c r="BF457"/>
    </row>
    <row r="458" spans="13:58" ht="12" hidden="1" customHeight="1">
      <c r="M458" s="820"/>
      <c r="N458" s="239"/>
      <c r="O458" s="225"/>
      <c r="P458" s="260"/>
      <c r="Q458" s="258"/>
      <c r="R458" s="260"/>
      <c r="S458" s="260"/>
      <c r="T458" s="260"/>
      <c r="U458" s="260"/>
      <c r="V458" s="260"/>
      <c r="W458" s="260"/>
      <c r="X458" s="260"/>
      <c r="Y458" s="260"/>
      <c r="Z458" s="260"/>
      <c r="AA458" s="260"/>
      <c r="AB458" s="260"/>
      <c r="AC458" s="260"/>
      <c r="AD458" s="260"/>
      <c r="AE458" s="260"/>
      <c r="AF458" s="260"/>
      <c r="AG458" s="258"/>
      <c r="AO458"/>
      <c r="AP458"/>
      <c r="AQ458"/>
      <c r="AR458"/>
      <c r="AS458"/>
      <c r="AT458"/>
      <c r="AU458"/>
      <c r="AV458"/>
      <c r="AW458"/>
      <c r="AX458"/>
      <c r="AY458"/>
      <c r="AZ458"/>
      <c r="BA458"/>
      <c r="BB458"/>
      <c r="BC458"/>
      <c r="BD458"/>
      <c r="BE458"/>
      <c r="BF458"/>
    </row>
    <row r="459" spans="13:58" ht="12" hidden="1" customHeight="1">
      <c r="M459" s="820"/>
      <c r="N459" s="239"/>
      <c r="O459" s="225"/>
      <c r="P459" s="260"/>
      <c r="Q459" s="258"/>
      <c r="R459" s="260"/>
      <c r="S459" s="260"/>
      <c r="T459" s="260"/>
      <c r="U459" s="260"/>
      <c r="V459" s="260"/>
      <c r="W459" s="260"/>
      <c r="X459" s="260"/>
      <c r="Y459" s="260"/>
      <c r="Z459" s="260"/>
      <c r="AA459" s="260"/>
      <c r="AB459" s="260"/>
      <c r="AC459" s="260"/>
      <c r="AD459" s="260"/>
      <c r="AE459" s="260"/>
      <c r="AF459" s="260"/>
      <c r="AG459" s="258"/>
      <c r="AO459"/>
      <c r="AP459"/>
      <c r="AQ459"/>
      <c r="AR459"/>
      <c r="AS459"/>
      <c r="AT459"/>
      <c r="AU459"/>
      <c r="AV459"/>
      <c r="AW459"/>
      <c r="AX459"/>
      <c r="AY459"/>
      <c r="AZ459"/>
      <c r="BA459"/>
      <c r="BB459"/>
      <c r="BC459"/>
      <c r="BD459"/>
      <c r="BE459"/>
      <c r="BF459"/>
    </row>
    <row r="460" spans="13:58" ht="12" hidden="1" customHeight="1">
      <c r="M460" s="820"/>
      <c r="N460" s="239"/>
      <c r="O460" s="225"/>
      <c r="P460" s="260"/>
      <c r="Q460" s="258"/>
      <c r="R460" s="260"/>
      <c r="S460" s="260"/>
      <c r="T460" s="260"/>
      <c r="U460" s="260"/>
      <c r="V460" s="260"/>
      <c r="W460" s="260"/>
      <c r="X460" s="260"/>
      <c r="Y460" s="260"/>
      <c r="Z460" s="260"/>
      <c r="AA460" s="260"/>
      <c r="AB460" s="260"/>
      <c r="AC460" s="260"/>
      <c r="AD460" s="260"/>
      <c r="AE460" s="260"/>
      <c r="AF460" s="260"/>
      <c r="AG460" s="258"/>
      <c r="AO460"/>
      <c r="AP460"/>
      <c r="AQ460"/>
      <c r="AR460"/>
      <c r="AS460"/>
      <c r="AT460"/>
      <c r="AU460"/>
      <c r="AV460"/>
      <c r="AW460"/>
      <c r="AX460"/>
      <c r="AY460"/>
      <c r="AZ460"/>
      <c r="BA460"/>
      <c r="BB460"/>
      <c r="BC460"/>
      <c r="BD460"/>
      <c r="BE460"/>
      <c r="BF460"/>
    </row>
    <row r="461" spans="13:58" ht="12" hidden="1" customHeight="1">
      <c r="M461" s="820"/>
      <c r="N461" s="239"/>
      <c r="O461" s="225"/>
      <c r="P461" s="260"/>
      <c r="Q461" s="258"/>
      <c r="R461" s="260"/>
      <c r="S461" s="260"/>
      <c r="T461" s="260"/>
      <c r="U461" s="260"/>
      <c r="V461" s="260"/>
      <c r="W461" s="260"/>
      <c r="X461" s="260"/>
      <c r="Y461" s="260"/>
      <c r="Z461" s="260"/>
      <c r="AA461" s="260"/>
      <c r="AB461" s="260"/>
      <c r="AC461" s="260"/>
      <c r="AD461" s="260"/>
      <c r="AE461" s="260"/>
      <c r="AF461" s="260"/>
      <c r="AG461" s="258"/>
      <c r="AO461"/>
      <c r="AP461"/>
      <c r="AQ461"/>
      <c r="AR461"/>
      <c r="AS461"/>
      <c r="AT461"/>
      <c r="AU461"/>
      <c r="AV461"/>
      <c r="AW461"/>
      <c r="AX461"/>
      <c r="AY461"/>
      <c r="AZ461"/>
      <c r="BA461"/>
      <c r="BB461"/>
      <c r="BC461"/>
      <c r="BD461"/>
      <c r="BE461"/>
      <c r="BF461"/>
    </row>
    <row r="462" spans="13:58" ht="12" hidden="1" customHeight="1">
      <c r="M462" s="820"/>
      <c r="N462" s="239"/>
      <c r="O462" s="225"/>
      <c r="P462" s="260"/>
      <c r="Q462" s="258"/>
      <c r="R462" s="260"/>
      <c r="S462" s="260"/>
      <c r="T462" s="260"/>
      <c r="U462" s="260"/>
      <c r="V462" s="260"/>
      <c r="W462" s="260"/>
      <c r="X462" s="260"/>
      <c r="Y462" s="260"/>
      <c r="Z462" s="260"/>
      <c r="AA462" s="260"/>
      <c r="AB462" s="260"/>
      <c r="AC462" s="260"/>
      <c r="AD462" s="260"/>
      <c r="AE462" s="260"/>
      <c r="AF462" s="260"/>
      <c r="AG462" s="258"/>
      <c r="AO462"/>
      <c r="AP462"/>
      <c r="AQ462"/>
      <c r="AR462"/>
      <c r="AS462"/>
      <c r="AT462"/>
      <c r="AU462"/>
      <c r="AV462"/>
      <c r="AW462"/>
      <c r="AX462"/>
      <c r="AY462"/>
      <c r="AZ462"/>
      <c r="BA462"/>
      <c r="BB462"/>
      <c r="BC462"/>
      <c r="BD462"/>
      <c r="BE462"/>
      <c r="BF462"/>
    </row>
    <row r="463" spans="13:58" ht="12" hidden="1" customHeight="1">
      <c r="M463" s="820"/>
      <c r="N463" s="239"/>
      <c r="O463" s="225"/>
      <c r="P463" s="260"/>
      <c r="Q463" s="258"/>
      <c r="R463" s="260"/>
      <c r="S463" s="260"/>
      <c r="T463" s="260"/>
      <c r="U463" s="260"/>
      <c r="V463" s="260"/>
      <c r="W463" s="260"/>
      <c r="X463" s="260"/>
      <c r="Y463" s="260"/>
      <c r="Z463" s="260"/>
      <c r="AA463" s="260"/>
      <c r="AB463" s="260"/>
      <c r="AC463" s="260"/>
      <c r="AD463" s="260"/>
      <c r="AE463" s="260"/>
      <c r="AF463" s="260"/>
      <c r="AG463" s="258"/>
      <c r="AO463"/>
      <c r="AP463"/>
      <c r="AQ463"/>
      <c r="AR463"/>
      <c r="AS463"/>
      <c r="AT463"/>
      <c r="AU463"/>
      <c r="AV463"/>
      <c r="AW463"/>
      <c r="AX463"/>
      <c r="AY463"/>
      <c r="AZ463"/>
      <c r="BA463"/>
      <c r="BB463"/>
      <c r="BC463"/>
      <c r="BD463"/>
      <c r="BE463"/>
      <c r="BF463"/>
    </row>
    <row r="464" spans="13:58" ht="12" hidden="1" customHeight="1">
      <c r="M464" s="820"/>
      <c r="N464" s="239"/>
      <c r="O464" s="225"/>
      <c r="P464" s="260"/>
      <c r="Q464" s="258"/>
      <c r="R464" s="260"/>
      <c r="S464" s="260"/>
      <c r="T464" s="260"/>
      <c r="U464" s="260"/>
      <c r="V464" s="260"/>
      <c r="W464" s="260"/>
      <c r="X464" s="260"/>
      <c r="Y464" s="260"/>
      <c r="Z464" s="260"/>
      <c r="AA464" s="260"/>
      <c r="AB464" s="260"/>
      <c r="AC464" s="260"/>
      <c r="AD464" s="260"/>
      <c r="AE464" s="260"/>
      <c r="AF464" s="260"/>
      <c r="AG464" s="258"/>
      <c r="AO464"/>
      <c r="AP464"/>
      <c r="AQ464"/>
      <c r="AR464"/>
      <c r="AS464"/>
      <c r="AT464"/>
      <c r="AU464"/>
      <c r="AV464"/>
      <c r="AW464"/>
      <c r="AX464"/>
      <c r="AY464"/>
      <c r="AZ464"/>
      <c r="BA464"/>
      <c r="BB464"/>
      <c r="BC464"/>
      <c r="BD464"/>
      <c r="BE464"/>
      <c r="BF464"/>
    </row>
    <row r="465" spans="13:58" ht="12" hidden="1" customHeight="1">
      <c r="M465" s="820"/>
      <c r="N465" s="239"/>
      <c r="O465" s="225"/>
      <c r="P465" s="260"/>
      <c r="Q465" s="258"/>
      <c r="R465" s="260"/>
      <c r="S465" s="260"/>
      <c r="T465" s="260"/>
      <c r="U465" s="260"/>
      <c r="V465" s="260"/>
      <c r="W465" s="260"/>
      <c r="X465" s="260"/>
      <c r="Y465" s="260"/>
      <c r="Z465" s="260"/>
      <c r="AA465" s="260"/>
      <c r="AB465" s="260"/>
      <c r="AC465" s="260"/>
      <c r="AD465" s="260"/>
      <c r="AE465" s="260"/>
      <c r="AF465" s="260"/>
      <c r="AG465" s="258"/>
      <c r="AO465"/>
      <c r="AP465"/>
      <c r="AQ465"/>
      <c r="AR465"/>
      <c r="AS465"/>
      <c r="AT465"/>
      <c r="AU465"/>
      <c r="AV465"/>
      <c r="AW465"/>
      <c r="AX465"/>
      <c r="AY465"/>
      <c r="AZ465"/>
      <c r="BA465"/>
      <c r="BB465"/>
      <c r="BC465"/>
      <c r="BD465"/>
      <c r="BE465"/>
      <c r="BF465"/>
    </row>
    <row r="466" spans="13:58" ht="12" hidden="1" customHeight="1">
      <c r="M466" s="820"/>
      <c r="N466" s="239"/>
      <c r="O466" s="225"/>
      <c r="P466" s="260"/>
      <c r="Q466" s="258"/>
      <c r="R466" s="260"/>
      <c r="S466" s="260"/>
      <c r="T466" s="260"/>
      <c r="U466" s="260"/>
      <c r="V466" s="260"/>
      <c r="W466" s="260"/>
      <c r="X466" s="260"/>
      <c r="Y466" s="260"/>
      <c r="Z466" s="260"/>
      <c r="AA466" s="260"/>
      <c r="AB466" s="260"/>
      <c r="AC466" s="260"/>
      <c r="AD466" s="260"/>
      <c r="AE466" s="260"/>
      <c r="AF466" s="260"/>
      <c r="AG466" s="258"/>
      <c r="AO466"/>
      <c r="AP466"/>
      <c r="AQ466"/>
      <c r="AR466"/>
      <c r="AS466"/>
      <c r="AT466"/>
      <c r="AU466"/>
      <c r="AV466"/>
      <c r="AW466"/>
      <c r="AX466"/>
      <c r="AY466"/>
      <c r="AZ466"/>
      <c r="BA466"/>
      <c r="BB466"/>
      <c r="BC466"/>
      <c r="BD466"/>
      <c r="BE466"/>
      <c r="BF466"/>
    </row>
    <row r="467" spans="13:58" ht="12" hidden="1" customHeight="1">
      <c r="M467" s="820"/>
      <c r="N467" s="239"/>
      <c r="O467" s="225"/>
      <c r="P467" s="260"/>
      <c r="Q467" s="258"/>
      <c r="R467" s="260"/>
      <c r="S467" s="260"/>
      <c r="T467" s="260"/>
      <c r="U467" s="260"/>
      <c r="V467" s="260"/>
      <c r="W467" s="260"/>
      <c r="X467" s="260"/>
      <c r="Y467" s="260"/>
      <c r="Z467" s="260"/>
      <c r="AA467" s="260"/>
      <c r="AB467" s="260"/>
      <c r="AC467" s="260"/>
      <c r="AD467" s="260"/>
      <c r="AE467" s="260"/>
      <c r="AF467" s="260"/>
      <c r="AG467" s="258"/>
      <c r="AO467"/>
      <c r="AP467"/>
      <c r="AQ467"/>
      <c r="AR467"/>
      <c r="AS467"/>
      <c r="AT467"/>
      <c r="AU467"/>
      <c r="AV467"/>
      <c r="AW467"/>
      <c r="AX467"/>
      <c r="AY467"/>
      <c r="AZ467"/>
      <c r="BA467"/>
      <c r="BB467"/>
      <c r="BC467"/>
      <c r="BD467"/>
      <c r="BE467"/>
      <c r="BF467"/>
    </row>
    <row r="468" spans="13:58" ht="12" hidden="1" customHeight="1">
      <c r="M468" s="820"/>
      <c r="N468" s="239"/>
      <c r="O468" s="225"/>
      <c r="P468" s="260"/>
      <c r="Q468" s="258"/>
      <c r="R468" s="260"/>
      <c r="S468" s="260"/>
      <c r="T468" s="260"/>
      <c r="U468" s="260"/>
      <c r="V468" s="260"/>
      <c r="W468" s="260"/>
      <c r="X468" s="260"/>
      <c r="Y468" s="260"/>
      <c r="Z468" s="260"/>
      <c r="AA468" s="260"/>
      <c r="AB468" s="260"/>
      <c r="AC468" s="260"/>
      <c r="AD468" s="260"/>
      <c r="AE468" s="260"/>
      <c r="AF468" s="260"/>
      <c r="AG468" s="258"/>
      <c r="AO468"/>
      <c r="AP468"/>
      <c r="AQ468"/>
      <c r="AR468"/>
      <c r="AS468"/>
      <c r="AT468"/>
      <c r="AU468"/>
      <c r="AV468"/>
      <c r="AW468"/>
      <c r="AX468"/>
      <c r="AY468"/>
      <c r="AZ468"/>
      <c r="BA468"/>
      <c r="BB468"/>
      <c r="BC468"/>
      <c r="BD468"/>
      <c r="BE468"/>
      <c r="BF468"/>
    </row>
    <row r="469" spans="13:58" ht="12" hidden="1" customHeight="1">
      <c r="M469" s="820"/>
      <c r="N469" s="239"/>
      <c r="O469" s="225"/>
      <c r="P469" s="260"/>
      <c r="Q469" s="258"/>
      <c r="R469" s="260"/>
      <c r="S469" s="260"/>
      <c r="T469" s="260"/>
      <c r="U469" s="260"/>
      <c r="V469" s="260"/>
      <c r="W469" s="260"/>
      <c r="X469" s="260"/>
      <c r="Y469" s="260"/>
      <c r="Z469" s="260"/>
      <c r="AA469" s="260"/>
      <c r="AB469" s="260"/>
      <c r="AC469" s="260"/>
      <c r="AD469" s="260"/>
      <c r="AE469" s="260"/>
      <c r="AF469" s="260"/>
      <c r="AG469" s="258"/>
      <c r="AO469"/>
      <c r="AP469"/>
      <c r="AQ469"/>
      <c r="AR469"/>
      <c r="AS469"/>
      <c r="AT469"/>
      <c r="AU469"/>
      <c r="AV469"/>
      <c r="AW469"/>
      <c r="AX469"/>
      <c r="AY469"/>
      <c r="AZ469"/>
      <c r="BA469"/>
      <c r="BB469"/>
      <c r="BC469"/>
      <c r="BD469"/>
      <c r="BE469"/>
      <c r="BF469"/>
    </row>
    <row r="470" spans="13:58" ht="12" hidden="1" customHeight="1">
      <c r="M470" s="820"/>
      <c r="N470" s="239"/>
      <c r="O470" s="225"/>
      <c r="P470" s="260"/>
      <c r="Q470" s="258"/>
      <c r="R470" s="260"/>
      <c r="S470" s="260"/>
      <c r="T470" s="260"/>
      <c r="U470" s="260"/>
      <c r="V470" s="260"/>
      <c r="W470" s="260"/>
      <c r="X470" s="260"/>
      <c r="Y470" s="260"/>
      <c r="Z470" s="260"/>
      <c r="AA470" s="260"/>
      <c r="AB470" s="260"/>
      <c r="AC470" s="260"/>
      <c r="AD470" s="260"/>
      <c r="AE470" s="260"/>
      <c r="AF470" s="260"/>
      <c r="AG470" s="258"/>
      <c r="AO470"/>
      <c r="AP470"/>
      <c r="AQ470"/>
      <c r="AR470"/>
      <c r="AS470"/>
      <c r="AT470"/>
      <c r="AU470"/>
      <c r="AV470"/>
      <c r="AW470"/>
      <c r="AX470"/>
      <c r="AY470"/>
      <c r="AZ470"/>
      <c r="BA470"/>
      <c r="BB470"/>
      <c r="BC470"/>
      <c r="BD470"/>
      <c r="BE470"/>
      <c r="BF470"/>
    </row>
    <row r="471" spans="13:58" ht="12" hidden="1" customHeight="1">
      <c r="M471" s="820"/>
      <c r="N471" s="239"/>
      <c r="O471" s="225"/>
      <c r="P471" s="260"/>
      <c r="Q471" s="258"/>
      <c r="R471" s="260"/>
      <c r="S471" s="260"/>
      <c r="T471" s="260"/>
      <c r="U471" s="260"/>
      <c r="V471" s="260"/>
      <c r="W471" s="260"/>
      <c r="X471" s="260"/>
      <c r="Y471" s="260"/>
      <c r="Z471" s="260"/>
      <c r="AA471" s="260"/>
      <c r="AB471" s="260"/>
      <c r="AC471" s="260"/>
      <c r="AD471" s="260"/>
      <c r="AE471" s="260"/>
      <c r="AF471" s="260"/>
      <c r="AG471" s="258"/>
      <c r="AO471"/>
      <c r="AP471"/>
      <c r="AQ471"/>
      <c r="AR471"/>
      <c r="AS471"/>
      <c r="AT471"/>
      <c r="AU471"/>
      <c r="AV471"/>
      <c r="AW471"/>
      <c r="AX471"/>
      <c r="AY471"/>
      <c r="AZ471"/>
      <c r="BA471"/>
      <c r="BB471"/>
      <c r="BC471"/>
      <c r="BD471"/>
      <c r="BE471"/>
      <c r="BF471"/>
    </row>
    <row r="472" spans="13:58" ht="12" hidden="1" customHeight="1">
      <c r="M472" s="820"/>
      <c r="N472" s="239"/>
      <c r="O472" s="225"/>
      <c r="P472" s="260"/>
      <c r="Q472" s="258"/>
      <c r="R472" s="260"/>
      <c r="S472" s="260"/>
      <c r="T472" s="260"/>
      <c r="U472" s="260"/>
      <c r="V472" s="260"/>
      <c r="W472" s="260"/>
      <c r="X472" s="260"/>
      <c r="Y472" s="260"/>
      <c r="Z472" s="260"/>
      <c r="AA472" s="260"/>
      <c r="AB472" s="260"/>
      <c r="AC472" s="260"/>
      <c r="AD472" s="260"/>
      <c r="AE472" s="260"/>
      <c r="AF472" s="260"/>
      <c r="AG472" s="258"/>
      <c r="AO472"/>
      <c r="AP472"/>
      <c r="AQ472"/>
      <c r="AR472"/>
      <c r="AS472"/>
      <c r="AT472"/>
      <c r="AU472"/>
      <c r="AV472"/>
      <c r="AW472"/>
      <c r="AX472"/>
      <c r="AY472"/>
      <c r="AZ472"/>
      <c r="BA472"/>
      <c r="BB472"/>
      <c r="BC472"/>
      <c r="BD472"/>
      <c r="BE472"/>
      <c r="BF472"/>
    </row>
    <row r="473" spans="13:58" ht="12" hidden="1" customHeight="1">
      <c r="M473" s="820"/>
      <c r="N473" s="239"/>
      <c r="O473" s="225"/>
      <c r="P473" s="260"/>
      <c r="Q473" s="258"/>
      <c r="R473" s="260"/>
      <c r="S473" s="260"/>
      <c r="T473" s="260"/>
      <c r="U473" s="260"/>
      <c r="V473" s="260"/>
      <c r="W473" s="260"/>
      <c r="X473" s="260"/>
      <c r="Y473" s="260"/>
      <c r="Z473" s="260"/>
      <c r="AA473" s="260"/>
      <c r="AB473" s="260"/>
      <c r="AC473" s="260"/>
      <c r="AD473" s="260"/>
      <c r="AE473" s="260"/>
      <c r="AF473" s="260"/>
      <c r="AG473" s="258"/>
      <c r="AO473"/>
      <c r="AP473"/>
      <c r="AQ473"/>
      <c r="AR473"/>
      <c r="AS473"/>
      <c r="AT473"/>
      <c r="AU473"/>
      <c r="AV473"/>
      <c r="AW473"/>
      <c r="AX473"/>
      <c r="AY473"/>
      <c r="AZ473"/>
      <c r="BA473"/>
      <c r="BB473"/>
      <c r="BC473"/>
      <c r="BD473"/>
      <c r="BE473"/>
      <c r="BF473"/>
    </row>
    <row r="474" spans="13:58" ht="12" hidden="1" customHeight="1">
      <c r="M474" s="820"/>
      <c r="N474" s="239"/>
      <c r="O474" s="225"/>
      <c r="P474" s="260"/>
      <c r="Q474" s="258"/>
      <c r="R474" s="260"/>
      <c r="S474" s="260"/>
      <c r="T474" s="260"/>
      <c r="U474" s="260"/>
      <c r="V474" s="260"/>
      <c r="W474" s="260"/>
      <c r="X474" s="260"/>
      <c r="Y474" s="260"/>
      <c r="Z474" s="260"/>
      <c r="AA474" s="260"/>
      <c r="AB474" s="260"/>
      <c r="AC474" s="260"/>
      <c r="AD474" s="260"/>
      <c r="AE474" s="260"/>
      <c r="AF474" s="260"/>
      <c r="AG474" s="258"/>
      <c r="AO474"/>
      <c r="AP474"/>
      <c r="AQ474"/>
      <c r="AR474"/>
      <c r="AS474"/>
      <c r="AT474"/>
      <c r="AU474"/>
      <c r="AV474"/>
      <c r="AW474"/>
      <c r="AX474"/>
      <c r="AY474"/>
      <c r="AZ474"/>
      <c r="BA474"/>
      <c r="BB474"/>
      <c r="BC474"/>
      <c r="BD474"/>
      <c r="BE474"/>
      <c r="BF474"/>
    </row>
    <row r="475" spans="13:58" ht="12" hidden="1" customHeight="1">
      <c r="M475" s="820"/>
      <c r="N475" s="239"/>
      <c r="O475" s="225"/>
      <c r="P475" s="260"/>
      <c r="Q475" s="258"/>
      <c r="R475" s="260"/>
      <c r="S475" s="260"/>
      <c r="T475" s="260"/>
      <c r="U475" s="260"/>
      <c r="V475" s="260"/>
      <c r="W475" s="260"/>
      <c r="X475" s="260"/>
      <c r="Y475" s="260"/>
      <c r="Z475" s="260"/>
      <c r="AA475" s="260"/>
      <c r="AB475" s="260"/>
      <c r="AC475" s="260"/>
      <c r="AD475" s="260"/>
      <c r="AE475" s="260"/>
      <c r="AF475" s="260"/>
      <c r="AG475" s="258"/>
      <c r="AO475"/>
      <c r="AP475"/>
      <c r="AQ475"/>
      <c r="AR475"/>
      <c r="AS475"/>
      <c r="AT475"/>
      <c r="AU475"/>
      <c r="AV475"/>
      <c r="AW475"/>
      <c r="AX475"/>
      <c r="AY475"/>
      <c r="AZ475"/>
      <c r="BA475"/>
      <c r="BB475"/>
      <c r="BC475"/>
      <c r="BD475"/>
      <c r="BE475"/>
      <c r="BF475"/>
    </row>
    <row r="476" spans="13:58" ht="12" hidden="1" customHeight="1">
      <c r="M476" s="820"/>
      <c r="N476" s="239"/>
      <c r="O476" s="225"/>
      <c r="P476" s="260"/>
      <c r="Q476" s="258"/>
      <c r="R476" s="260"/>
      <c r="S476" s="260"/>
      <c r="T476" s="260"/>
      <c r="U476" s="260"/>
      <c r="V476" s="260"/>
      <c r="W476" s="260"/>
      <c r="X476" s="260"/>
      <c r="Y476" s="260"/>
      <c r="Z476" s="260"/>
      <c r="AA476" s="260"/>
      <c r="AB476" s="260"/>
      <c r="AC476" s="260"/>
      <c r="AD476" s="260"/>
      <c r="AE476" s="260"/>
      <c r="AF476" s="260"/>
      <c r="AG476" s="258"/>
      <c r="AO476"/>
      <c r="AP476"/>
      <c r="AQ476"/>
      <c r="AR476"/>
      <c r="AS476"/>
      <c r="AT476"/>
      <c r="AU476"/>
      <c r="AV476"/>
      <c r="AW476"/>
      <c r="AX476"/>
      <c r="AY476"/>
      <c r="AZ476"/>
      <c r="BA476"/>
      <c r="BB476"/>
      <c r="BC476"/>
      <c r="BD476"/>
      <c r="BE476"/>
      <c r="BF476"/>
    </row>
    <row r="477" spans="13:58" ht="12" hidden="1" customHeight="1">
      <c r="M477" s="820"/>
      <c r="N477" s="239"/>
      <c r="O477" s="225"/>
      <c r="P477" s="260"/>
      <c r="Q477" s="258"/>
      <c r="R477" s="260"/>
      <c r="S477" s="260"/>
      <c r="T477" s="260"/>
      <c r="U477" s="260"/>
      <c r="V477" s="260"/>
      <c r="W477" s="260"/>
      <c r="X477" s="260"/>
      <c r="Y477" s="260"/>
      <c r="Z477" s="260"/>
      <c r="AA477" s="260"/>
      <c r="AB477" s="260"/>
      <c r="AC477" s="260"/>
      <c r="AD477" s="260"/>
      <c r="AE477" s="260"/>
      <c r="AF477" s="260"/>
      <c r="AG477" s="258"/>
      <c r="AO477"/>
      <c r="AP477"/>
      <c r="AQ477"/>
      <c r="AR477"/>
      <c r="AS477"/>
      <c r="AT477"/>
      <c r="AU477"/>
      <c r="AV477"/>
      <c r="AW477"/>
      <c r="AX477"/>
      <c r="AY477"/>
      <c r="AZ477"/>
      <c r="BA477"/>
      <c r="BB477"/>
      <c r="BC477"/>
      <c r="BD477"/>
      <c r="BE477"/>
      <c r="BF477"/>
    </row>
    <row r="478" spans="13:58" ht="12" hidden="1" customHeight="1">
      <c r="M478" s="820"/>
      <c r="N478" s="239"/>
      <c r="O478" s="225"/>
      <c r="P478" s="260"/>
      <c r="Q478" s="258"/>
      <c r="R478" s="260"/>
      <c r="S478" s="260"/>
      <c r="T478" s="260"/>
      <c r="U478" s="260"/>
      <c r="V478" s="260"/>
      <c r="W478" s="260"/>
      <c r="X478" s="260"/>
      <c r="Y478" s="260"/>
      <c r="Z478" s="260"/>
      <c r="AA478" s="260"/>
      <c r="AB478" s="260"/>
      <c r="AC478" s="260"/>
      <c r="AD478" s="260"/>
      <c r="AE478" s="260"/>
      <c r="AF478" s="260"/>
      <c r="AG478" s="258"/>
      <c r="AO478"/>
      <c r="AP478"/>
      <c r="AQ478"/>
      <c r="AR478"/>
      <c r="AS478"/>
      <c r="AT478"/>
      <c r="AU478"/>
      <c r="AV478"/>
      <c r="AW478"/>
      <c r="AX478"/>
      <c r="AY478"/>
      <c r="AZ478"/>
      <c r="BA478"/>
      <c r="BB478"/>
      <c r="BC478"/>
      <c r="BD478"/>
      <c r="BE478"/>
      <c r="BF478"/>
    </row>
    <row r="479" spans="13:58" ht="12" hidden="1" customHeight="1">
      <c r="M479" s="820"/>
      <c r="N479" s="239"/>
      <c r="O479" s="225"/>
      <c r="P479" s="260"/>
      <c r="Q479" s="258"/>
      <c r="R479" s="260"/>
      <c r="S479" s="260"/>
      <c r="T479" s="260"/>
      <c r="U479" s="260"/>
      <c r="V479" s="260"/>
      <c r="W479" s="260"/>
      <c r="X479" s="260"/>
      <c r="Y479" s="260"/>
      <c r="Z479" s="260"/>
      <c r="AA479" s="260"/>
      <c r="AB479" s="260"/>
      <c r="AC479" s="260"/>
      <c r="AD479" s="260"/>
      <c r="AE479" s="260"/>
      <c r="AF479" s="260"/>
      <c r="AG479" s="258"/>
      <c r="AO479"/>
      <c r="AP479"/>
      <c r="AQ479"/>
      <c r="AR479"/>
      <c r="AS479"/>
      <c r="AT479"/>
      <c r="AU479"/>
      <c r="AV479"/>
      <c r="AW479"/>
      <c r="AX479"/>
      <c r="AY479"/>
      <c r="AZ479"/>
      <c r="BA479"/>
      <c r="BB479"/>
      <c r="BC479"/>
      <c r="BD479"/>
      <c r="BE479"/>
      <c r="BF479"/>
    </row>
    <row r="480" spans="13:58" ht="12" hidden="1" customHeight="1">
      <c r="M480" s="820"/>
      <c r="N480" s="239"/>
      <c r="O480" s="225"/>
      <c r="P480" s="260"/>
      <c r="Q480" s="258"/>
      <c r="R480" s="260"/>
      <c r="S480" s="260"/>
      <c r="T480" s="260"/>
      <c r="U480" s="260"/>
      <c r="V480" s="260"/>
      <c r="W480" s="260"/>
      <c r="X480" s="260"/>
      <c r="Y480" s="260"/>
      <c r="Z480" s="260"/>
      <c r="AA480" s="260"/>
      <c r="AB480" s="260"/>
      <c r="AC480" s="260"/>
      <c r="AD480" s="260"/>
      <c r="AE480" s="260"/>
      <c r="AF480" s="260"/>
      <c r="AG480" s="258"/>
      <c r="AO480"/>
      <c r="AP480"/>
      <c r="AQ480"/>
      <c r="AR480"/>
      <c r="AS480"/>
      <c r="AT480"/>
      <c r="AU480"/>
      <c r="AV480"/>
      <c r="AW480"/>
      <c r="AX480"/>
      <c r="AY480"/>
      <c r="AZ480"/>
      <c r="BA480"/>
      <c r="BB480"/>
      <c r="BC480"/>
      <c r="BD480"/>
      <c r="BE480"/>
      <c r="BF480"/>
    </row>
    <row r="481" spans="13:58" ht="12" hidden="1" customHeight="1">
      <c r="M481" s="820"/>
      <c r="N481" s="239"/>
      <c r="O481" s="225"/>
      <c r="P481" s="260"/>
      <c r="Q481" s="258"/>
      <c r="R481" s="260"/>
      <c r="S481" s="260"/>
      <c r="T481" s="260"/>
      <c r="U481" s="260"/>
      <c r="V481" s="260"/>
      <c r="W481" s="260"/>
      <c r="X481" s="260"/>
      <c r="Y481" s="260"/>
      <c r="Z481" s="260"/>
      <c r="AA481" s="260"/>
      <c r="AB481" s="260"/>
      <c r="AC481" s="260"/>
      <c r="AD481" s="260"/>
      <c r="AE481" s="260"/>
      <c r="AF481" s="260"/>
      <c r="AG481" s="258"/>
      <c r="AO481"/>
      <c r="AP481"/>
      <c r="AQ481"/>
      <c r="AR481"/>
      <c r="AS481"/>
      <c r="AT481"/>
      <c r="AU481"/>
      <c r="AV481"/>
      <c r="AW481"/>
      <c r="AX481"/>
      <c r="AY481"/>
      <c r="AZ481"/>
      <c r="BA481"/>
      <c r="BB481"/>
      <c r="BC481"/>
      <c r="BD481"/>
      <c r="BE481"/>
      <c r="BF481"/>
    </row>
    <row r="482" spans="13:58" ht="12" hidden="1" customHeight="1">
      <c r="M482" s="820"/>
      <c r="N482" s="239"/>
      <c r="O482" s="225"/>
      <c r="P482" s="260"/>
      <c r="Q482" s="258"/>
      <c r="R482" s="260"/>
      <c r="S482" s="260"/>
      <c r="T482" s="260"/>
      <c r="U482" s="260"/>
      <c r="V482" s="260"/>
      <c r="W482" s="260"/>
      <c r="X482" s="260"/>
      <c r="Y482" s="260"/>
      <c r="Z482" s="260"/>
      <c r="AA482" s="260"/>
      <c r="AB482" s="260"/>
      <c r="AC482" s="260"/>
      <c r="AD482" s="260"/>
      <c r="AE482" s="260"/>
      <c r="AF482" s="260"/>
      <c r="AG482" s="258"/>
      <c r="AO482"/>
      <c r="AP482"/>
      <c r="AQ482"/>
      <c r="AR482"/>
      <c r="AS482"/>
      <c r="AT482"/>
      <c r="AU482"/>
      <c r="AV482"/>
      <c r="AW482"/>
      <c r="AX482"/>
      <c r="AY482"/>
      <c r="AZ482"/>
      <c r="BA482"/>
      <c r="BB482"/>
      <c r="BC482"/>
      <c r="BD482"/>
      <c r="BE482"/>
      <c r="BF482"/>
    </row>
    <row r="483" spans="13:58" ht="12" hidden="1" customHeight="1">
      <c r="M483" s="820"/>
      <c r="N483" s="239"/>
      <c r="O483" s="225"/>
      <c r="P483" s="260"/>
      <c r="Q483" s="258"/>
      <c r="R483" s="260"/>
      <c r="S483" s="260"/>
      <c r="T483" s="260"/>
      <c r="U483" s="260"/>
      <c r="V483" s="260"/>
      <c r="W483" s="260"/>
      <c r="X483" s="260"/>
      <c r="Y483" s="260"/>
      <c r="Z483" s="260"/>
      <c r="AA483" s="260"/>
      <c r="AB483" s="260"/>
      <c r="AC483" s="260"/>
      <c r="AD483" s="260"/>
      <c r="AE483" s="260"/>
      <c r="AF483" s="260"/>
      <c r="AG483" s="258"/>
      <c r="AO483"/>
      <c r="AP483"/>
      <c r="AQ483"/>
      <c r="AR483"/>
      <c r="AS483"/>
      <c r="AT483"/>
      <c r="AU483"/>
      <c r="AV483"/>
      <c r="AW483"/>
      <c r="AX483"/>
      <c r="AY483"/>
      <c r="AZ483"/>
      <c r="BA483"/>
      <c r="BB483"/>
      <c r="BC483"/>
      <c r="BD483"/>
      <c r="BE483"/>
      <c r="BF483"/>
    </row>
    <row r="484" spans="13:58" ht="12" hidden="1" customHeight="1">
      <c r="M484" s="820"/>
      <c r="N484" s="239"/>
      <c r="O484" s="225"/>
      <c r="P484" s="260"/>
      <c r="Q484" s="258"/>
      <c r="R484" s="260"/>
      <c r="S484" s="260"/>
      <c r="T484" s="260"/>
      <c r="U484" s="260"/>
      <c r="V484" s="260"/>
      <c r="W484" s="260"/>
      <c r="X484" s="260"/>
      <c r="Y484" s="260"/>
      <c r="Z484" s="260"/>
      <c r="AA484" s="260"/>
      <c r="AB484" s="260"/>
      <c r="AC484" s="260"/>
      <c r="AD484" s="260"/>
      <c r="AE484" s="260"/>
      <c r="AF484" s="260"/>
      <c r="AG484" s="258"/>
      <c r="AO484"/>
      <c r="AP484"/>
      <c r="AQ484"/>
      <c r="AR484"/>
      <c r="AS484"/>
      <c r="AT484"/>
      <c r="AU484"/>
      <c r="AV484"/>
      <c r="AW484"/>
      <c r="AX484"/>
      <c r="AY484"/>
      <c r="AZ484"/>
      <c r="BA484"/>
      <c r="BB484"/>
      <c r="BC484"/>
      <c r="BD484"/>
      <c r="BE484"/>
      <c r="BF484"/>
    </row>
    <row r="485" spans="13:58" ht="12" hidden="1" customHeight="1">
      <c r="M485" s="820"/>
      <c r="N485" s="239"/>
      <c r="O485" s="225"/>
      <c r="P485" s="260"/>
      <c r="Q485" s="258"/>
      <c r="R485" s="260"/>
      <c r="S485" s="260"/>
      <c r="T485" s="260"/>
      <c r="U485" s="260"/>
      <c r="V485" s="260"/>
      <c r="W485" s="260"/>
      <c r="X485" s="260"/>
      <c r="Y485" s="260"/>
      <c r="Z485" s="260"/>
      <c r="AA485" s="260"/>
      <c r="AB485" s="260"/>
      <c r="AC485" s="260"/>
      <c r="AD485" s="260"/>
      <c r="AE485" s="260"/>
      <c r="AF485" s="260"/>
      <c r="AG485" s="258"/>
      <c r="AO485"/>
      <c r="AP485"/>
      <c r="AQ485"/>
      <c r="AR485"/>
      <c r="AS485"/>
      <c r="AT485"/>
      <c r="AU485"/>
      <c r="AV485"/>
      <c r="AW485"/>
      <c r="AX485"/>
      <c r="AY485"/>
      <c r="AZ485"/>
      <c r="BA485"/>
      <c r="BB485"/>
      <c r="BC485"/>
      <c r="BD485"/>
      <c r="BE485"/>
      <c r="BF485"/>
    </row>
    <row r="486" spans="13:58" ht="12" hidden="1" customHeight="1">
      <c r="M486" s="820"/>
      <c r="N486" s="239"/>
      <c r="O486" s="225"/>
      <c r="P486" s="260"/>
      <c r="Q486" s="258"/>
      <c r="R486" s="260"/>
      <c r="S486" s="260"/>
      <c r="T486" s="260"/>
      <c r="U486" s="260"/>
      <c r="V486" s="260"/>
      <c r="W486" s="260"/>
      <c r="X486" s="260"/>
      <c r="Y486" s="260"/>
      <c r="Z486" s="260"/>
      <c r="AA486" s="260"/>
      <c r="AB486" s="260"/>
      <c r="AC486" s="260"/>
      <c r="AD486" s="260"/>
      <c r="AE486" s="260"/>
      <c r="AF486" s="260"/>
      <c r="AG486" s="258"/>
      <c r="AO486"/>
      <c r="AP486"/>
      <c r="AQ486"/>
      <c r="AR486"/>
      <c r="AS486"/>
      <c r="AT486"/>
      <c r="AU486"/>
      <c r="AV486"/>
      <c r="AW486"/>
      <c r="AX486"/>
      <c r="AY486"/>
      <c r="AZ486"/>
      <c r="BA486"/>
      <c r="BB486"/>
      <c r="BC486"/>
      <c r="BD486"/>
      <c r="BE486"/>
      <c r="BF486"/>
    </row>
    <row r="487" spans="13:58" ht="12" hidden="1" customHeight="1">
      <c r="M487" s="820"/>
      <c r="N487" s="239"/>
      <c r="O487" s="225"/>
      <c r="P487" s="260"/>
      <c r="Q487" s="258"/>
      <c r="R487" s="260"/>
      <c r="S487" s="260"/>
      <c r="T487" s="260"/>
      <c r="U487" s="260"/>
      <c r="V487" s="260"/>
      <c r="W487" s="260"/>
      <c r="X487" s="260"/>
      <c r="Y487" s="260"/>
      <c r="Z487" s="260"/>
      <c r="AA487" s="260"/>
      <c r="AB487" s="260"/>
      <c r="AC487" s="260"/>
      <c r="AD487" s="260"/>
      <c r="AE487" s="260"/>
      <c r="AF487" s="260"/>
      <c r="AG487" s="258"/>
      <c r="AO487"/>
      <c r="AP487"/>
      <c r="AQ487"/>
      <c r="AR487"/>
      <c r="AS487"/>
      <c r="AT487"/>
      <c r="AU487"/>
      <c r="AV487"/>
      <c r="AW487"/>
      <c r="AX487"/>
      <c r="AY487"/>
      <c r="AZ487"/>
      <c r="BA487"/>
      <c r="BB487"/>
      <c r="BC487"/>
      <c r="BD487"/>
      <c r="BE487"/>
      <c r="BF487"/>
    </row>
    <row r="488" spans="13:58" ht="12" hidden="1" customHeight="1">
      <c r="M488" s="820"/>
      <c r="N488" s="239"/>
      <c r="O488" s="225"/>
      <c r="P488" s="260"/>
      <c r="Q488" s="258"/>
      <c r="R488" s="260"/>
      <c r="S488" s="260"/>
      <c r="T488" s="260"/>
      <c r="U488" s="260"/>
      <c r="V488" s="260"/>
      <c r="W488" s="260"/>
      <c r="X488" s="260"/>
      <c r="Y488" s="260"/>
      <c r="Z488" s="260"/>
      <c r="AA488" s="260"/>
      <c r="AB488" s="260"/>
      <c r="AC488" s="260"/>
      <c r="AD488" s="260"/>
      <c r="AE488" s="260"/>
      <c r="AF488" s="260"/>
      <c r="AG488" s="258"/>
      <c r="AO488"/>
      <c r="AP488"/>
      <c r="AQ488"/>
      <c r="AR488"/>
      <c r="AS488"/>
      <c r="AT488"/>
      <c r="AU488"/>
      <c r="AV488"/>
      <c r="AW488"/>
      <c r="AX488"/>
      <c r="AY488"/>
      <c r="AZ488"/>
      <c r="BA488"/>
      <c r="BB488"/>
      <c r="BC488"/>
      <c r="BD488"/>
      <c r="BE488"/>
      <c r="BF488"/>
    </row>
    <row r="489" spans="13:58" ht="12" hidden="1" customHeight="1">
      <c r="M489" s="820"/>
      <c r="N489" s="239"/>
      <c r="O489" s="225"/>
      <c r="P489" s="260"/>
      <c r="Q489" s="258"/>
      <c r="R489" s="260"/>
      <c r="S489" s="260"/>
      <c r="T489" s="260"/>
      <c r="U489" s="260"/>
      <c r="V489" s="260"/>
      <c r="W489" s="260"/>
      <c r="X489" s="260"/>
      <c r="Y489" s="260"/>
      <c r="Z489" s="260"/>
      <c r="AA489" s="260"/>
      <c r="AB489" s="260"/>
      <c r="AC489" s="260"/>
      <c r="AD489" s="260"/>
      <c r="AE489" s="260"/>
      <c r="AF489" s="260"/>
      <c r="AG489" s="258"/>
      <c r="AO489"/>
      <c r="AP489"/>
      <c r="AQ489"/>
      <c r="AR489"/>
      <c r="AS489"/>
      <c r="AT489"/>
      <c r="AU489"/>
      <c r="AV489"/>
      <c r="AW489"/>
      <c r="AX489"/>
      <c r="AY489"/>
      <c r="AZ489"/>
      <c r="BA489"/>
      <c r="BB489"/>
      <c r="BC489"/>
      <c r="BD489"/>
      <c r="BE489"/>
      <c r="BF489"/>
    </row>
    <row r="490" spans="13:58" ht="12" hidden="1" customHeight="1">
      <c r="M490" s="820"/>
      <c r="N490" s="239"/>
      <c r="O490" s="225"/>
      <c r="P490" s="260"/>
      <c r="Q490" s="258"/>
      <c r="R490" s="260"/>
      <c r="S490" s="260"/>
      <c r="T490" s="260"/>
      <c r="U490" s="260"/>
      <c r="V490" s="260"/>
      <c r="W490" s="260"/>
      <c r="X490" s="260"/>
      <c r="Y490" s="260"/>
      <c r="Z490" s="260"/>
      <c r="AA490" s="260"/>
      <c r="AB490" s="260"/>
      <c r="AC490" s="260"/>
      <c r="AD490" s="260"/>
      <c r="AE490" s="260"/>
      <c r="AF490" s="260"/>
      <c r="AG490" s="258"/>
      <c r="AO490"/>
      <c r="AP490"/>
      <c r="AQ490"/>
      <c r="AR490"/>
      <c r="AS490"/>
      <c r="AT490"/>
      <c r="AU490"/>
      <c r="AV490"/>
      <c r="AW490"/>
      <c r="AX490"/>
      <c r="AY490"/>
      <c r="AZ490"/>
      <c r="BA490"/>
      <c r="BB490"/>
      <c r="BC490"/>
      <c r="BD490"/>
      <c r="BE490"/>
      <c r="BF490"/>
    </row>
    <row r="491" spans="13:58" ht="12" hidden="1" customHeight="1">
      <c r="M491" s="820"/>
      <c r="N491" s="239"/>
      <c r="O491" s="225"/>
      <c r="P491" s="260"/>
      <c r="Q491" s="258"/>
      <c r="R491" s="260"/>
      <c r="S491" s="260"/>
      <c r="T491" s="260"/>
      <c r="U491" s="260"/>
      <c r="V491" s="260"/>
      <c r="W491" s="260"/>
      <c r="X491" s="260"/>
      <c r="Y491" s="260"/>
      <c r="Z491" s="260"/>
      <c r="AA491" s="260"/>
      <c r="AB491" s="260"/>
      <c r="AC491" s="260"/>
      <c r="AD491" s="260"/>
      <c r="AE491" s="260"/>
      <c r="AF491" s="260"/>
      <c r="AG491" s="258"/>
      <c r="AO491"/>
      <c r="AP491"/>
      <c r="AQ491"/>
      <c r="AR491"/>
      <c r="AS491"/>
      <c r="AT491"/>
      <c r="AU491"/>
      <c r="AV491"/>
      <c r="AW491"/>
      <c r="AX491"/>
      <c r="AY491"/>
      <c r="AZ491"/>
      <c r="BA491"/>
      <c r="BB491"/>
      <c r="BC491"/>
      <c r="BD491"/>
      <c r="BE491"/>
      <c r="BF491"/>
    </row>
    <row r="492" spans="13:58" ht="12" hidden="1" customHeight="1">
      <c r="M492" s="820"/>
      <c r="N492" s="239"/>
      <c r="O492" s="225"/>
      <c r="P492" s="260"/>
      <c r="Q492" s="258"/>
      <c r="R492" s="260"/>
      <c r="S492" s="260"/>
      <c r="T492" s="260"/>
      <c r="U492" s="260"/>
      <c r="V492" s="260"/>
      <c r="W492" s="260"/>
      <c r="X492" s="260"/>
      <c r="Y492" s="260"/>
      <c r="Z492" s="260"/>
      <c r="AA492" s="260"/>
      <c r="AB492" s="260"/>
      <c r="AC492" s="260"/>
      <c r="AD492" s="260"/>
      <c r="AE492" s="260"/>
      <c r="AF492" s="260"/>
      <c r="AG492" s="258"/>
      <c r="AO492"/>
      <c r="AP492"/>
      <c r="AQ492"/>
      <c r="AR492"/>
      <c r="AS492"/>
      <c r="AT492"/>
      <c r="AU492"/>
      <c r="AV492"/>
      <c r="AW492"/>
      <c r="AX492"/>
      <c r="AY492"/>
      <c r="AZ492"/>
      <c r="BA492"/>
      <c r="BB492"/>
      <c r="BC492"/>
      <c r="BD492"/>
      <c r="BE492"/>
      <c r="BF492"/>
    </row>
    <row r="493" spans="13:58" ht="12" hidden="1" customHeight="1">
      <c r="M493" s="820"/>
      <c r="N493" s="239"/>
      <c r="O493" s="225"/>
      <c r="P493" s="260"/>
      <c r="Q493" s="258"/>
      <c r="R493" s="260"/>
      <c r="S493" s="260"/>
      <c r="T493" s="260"/>
      <c r="U493" s="260"/>
      <c r="V493" s="260"/>
      <c r="W493" s="260"/>
      <c r="X493" s="260"/>
      <c r="Y493" s="260"/>
      <c r="Z493" s="260"/>
      <c r="AA493" s="260"/>
      <c r="AB493" s="260"/>
      <c r="AC493" s="260"/>
      <c r="AD493" s="260"/>
      <c r="AE493" s="260"/>
      <c r="AF493" s="260"/>
      <c r="AG493" s="258"/>
      <c r="AO493"/>
      <c r="AP493"/>
      <c r="AQ493"/>
      <c r="AR493"/>
      <c r="AS493"/>
      <c r="AT493"/>
      <c r="AU493"/>
      <c r="AV493"/>
      <c r="AW493"/>
      <c r="AX493"/>
      <c r="AY493"/>
      <c r="AZ493"/>
      <c r="BA493"/>
      <c r="BB493"/>
      <c r="BC493"/>
      <c r="BD493"/>
      <c r="BE493"/>
      <c r="BF493"/>
    </row>
    <row r="494" spans="13:58" ht="12" hidden="1" customHeight="1">
      <c r="M494" s="820"/>
      <c r="N494" s="239"/>
      <c r="O494" s="225"/>
      <c r="P494" s="260"/>
      <c r="Q494" s="258"/>
      <c r="R494" s="260"/>
      <c r="S494" s="260"/>
      <c r="T494" s="260"/>
      <c r="U494" s="260"/>
      <c r="V494" s="260"/>
      <c r="W494" s="260"/>
      <c r="X494" s="260"/>
      <c r="Y494" s="260"/>
      <c r="Z494" s="260"/>
      <c r="AA494" s="260"/>
      <c r="AB494" s="260"/>
      <c r="AC494" s="260"/>
      <c r="AD494" s="260"/>
      <c r="AE494" s="260"/>
      <c r="AF494" s="260"/>
      <c r="AG494" s="258"/>
      <c r="AO494"/>
      <c r="AP494"/>
      <c r="AQ494"/>
      <c r="AR494"/>
      <c r="AS494"/>
      <c r="AT494"/>
      <c r="AU494"/>
      <c r="AV494"/>
      <c r="AW494"/>
      <c r="AX494"/>
      <c r="AY494"/>
      <c r="AZ494"/>
      <c r="BA494"/>
      <c r="BB494"/>
      <c r="BC494"/>
      <c r="BD494"/>
      <c r="BE494"/>
      <c r="BF494"/>
    </row>
    <row r="495" spans="13:58" ht="12" hidden="1" customHeight="1">
      <c r="M495" s="820"/>
      <c r="N495" s="239"/>
      <c r="O495" s="225"/>
      <c r="P495" s="260"/>
      <c r="Q495" s="258"/>
      <c r="R495" s="260"/>
      <c r="S495" s="260"/>
      <c r="T495" s="260"/>
      <c r="U495" s="260"/>
      <c r="V495" s="260"/>
      <c r="W495" s="260"/>
      <c r="X495" s="260"/>
      <c r="Y495" s="260"/>
      <c r="Z495" s="260"/>
      <c r="AA495" s="260"/>
      <c r="AB495" s="260"/>
      <c r="AC495" s="260"/>
      <c r="AD495" s="260"/>
      <c r="AE495" s="260"/>
      <c r="AF495" s="260"/>
      <c r="AG495" s="258"/>
      <c r="AO495"/>
      <c r="AP495"/>
      <c r="AQ495"/>
      <c r="AR495"/>
      <c r="AS495"/>
      <c r="AT495"/>
      <c r="AU495"/>
      <c r="AV495"/>
      <c r="AW495"/>
      <c r="AX495"/>
      <c r="AY495"/>
      <c r="AZ495"/>
      <c r="BA495"/>
      <c r="BB495"/>
      <c r="BC495"/>
      <c r="BD495"/>
      <c r="BE495"/>
      <c r="BF495"/>
    </row>
    <row r="496" spans="13:58" ht="12" hidden="1" customHeight="1">
      <c r="M496" s="820"/>
      <c r="N496" s="239"/>
      <c r="O496" s="225"/>
      <c r="P496" s="260"/>
      <c r="Q496" s="258"/>
      <c r="R496" s="260"/>
      <c r="S496" s="260"/>
      <c r="T496" s="260"/>
      <c r="U496" s="260"/>
      <c r="V496" s="260"/>
      <c r="W496" s="260"/>
      <c r="X496" s="260"/>
      <c r="Y496" s="260"/>
      <c r="Z496" s="260"/>
      <c r="AA496" s="260"/>
      <c r="AB496" s="260"/>
      <c r="AC496" s="260"/>
      <c r="AD496" s="260"/>
      <c r="AE496" s="260"/>
      <c r="AF496" s="260"/>
      <c r="AG496" s="258"/>
      <c r="AO496"/>
      <c r="AP496"/>
      <c r="AQ496"/>
      <c r="AR496"/>
      <c r="AS496"/>
      <c r="AT496"/>
      <c r="AU496"/>
      <c r="AV496"/>
      <c r="AW496"/>
      <c r="AX496"/>
      <c r="AY496"/>
      <c r="AZ496"/>
      <c r="BA496"/>
      <c r="BB496"/>
      <c r="BC496"/>
      <c r="BD496"/>
      <c r="BE496"/>
      <c r="BF496"/>
    </row>
    <row r="497" spans="13:58" ht="12" hidden="1" customHeight="1">
      <c r="M497" s="820"/>
      <c r="N497" s="239"/>
      <c r="O497" s="225"/>
      <c r="P497" s="260"/>
      <c r="Q497" s="258"/>
      <c r="R497" s="260"/>
      <c r="S497" s="260"/>
      <c r="T497" s="260"/>
      <c r="U497" s="260"/>
      <c r="V497" s="260"/>
      <c r="W497" s="260"/>
      <c r="X497" s="260"/>
      <c r="Y497" s="260"/>
      <c r="Z497" s="260"/>
      <c r="AA497" s="260"/>
      <c r="AB497" s="260"/>
      <c r="AC497" s="260"/>
      <c r="AD497" s="260"/>
      <c r="AE497" s="260"/>
      <c r="AF497" s="260"/>
      <c r="AG497" s="258"/>
      <c r="AO497"/>
      <c r="AP497"/>
      <c r="AQ497"/>
      <c r="AR497"/>
      <c r="AS497"/>
      <c r="AT497"/>
      <c r="AU497"/>
      <c r="AV497"/>
      <c r="AW497"/>
      <c r="AX497"/>
      <c r="AY497"/>
      <c r="AZ497"/>
      <c r="BA497"/>
      <c r="BB497"/>
      <c r="BC497"/>
      <c r="BD497"/>
      <c r="BE497"/>
      <c r="BF497"/>
    </row>
    <row r="498" spans="13:58" ht="12" hidden="1" customHeight="1">
      <c r="M498" s="820"/>
      <c r="N498" s="239"/>
      <c r="O498" s="225"/>
      <c r="P498" s="260"/>
      <c r="Q498" s="258"/>
      <c r="R498" s="260"/>
      <c r="S498" s="260"/>
      <c r="T498" s="260"/>
      <c r="U498" s="260"/>
      <c r="V498" s="260"/>
      <c r="W498" s="260"/>
      <c r="X498" s="260"/>
      <c r="Y498" s="260"/>
      <c r="Z498" s="260"/>
      <c r="AA498" s="260"/>
      <c r="AB498" s="260"/>
      <c r="AC498" s="260"/>
      <c r="AD498" s="260"/>
      <c r="AE498" s="260"/>
      <c r="AF498" s="260"/>
      <c r="AG498" s="258"/>
      <c r="AO498"/>
      <c r="AP498"/>
      <c r="AQ498"/>
      <c r="AR498"/>
      <c r="AS498"/>
      <c r="AT498"/>
      <c r="AU498"/>
      <c r="AV498"/>
      <c r="AW498"/>
      <c r="AX498"/>
      <c r="AY498"/>
      <c r="AZ498"/>
      <c r="BA498"/>
      <c r="BB498"/>
      <c r="BC498"/>
      <c r="BD498"/>
      <c r="BE498"/>
      <c r="BF498"/>
    </row>
    <row r="499" spans="13:58" ht="12" hidden="1" customHeight="1">
      <c r="M499" s="820"/>
      <c r="N499" s="239"/>
      <c r="O499" s="225"/>
      <c r="P499" s="260"/>
      <c r="Q499" s="258"/>
      <c r="R499" s="260"/>
      <c r="S499" s="260"/>
      <c r="T499" s="260"/>
      <c r="U499" s="260"/>
      <c r="V499" s="260"/>
      <c r="W499" s="260"/>
      <c r="X499" s="260"/>
      <c r="Y499" s="260"/>
      <c r="Z499" s="260"/>
      <c r="AA499" s="260"/>
      <c r="AB499" s="260"/>
      <c r="AC499" s="260"/>
      <c r="AD499" s="260"/>
      <c r="AE499" s="260"/>
      <c r="AF499" s="260"/>
      <c r="AG499" s="258"/>
      <c r="AO499"/>
      <c r="AP499"/>
      <c r="AQ499"/>
      <c r="AR499"/>
      <c r="AS499"/>
      <c r="AT499"/>
      <c r="AU499"/>
      <c r="AV499"/>
      <c r="AW499"/>
      <c r="AX499"/>
      <c r="AY499"/>
      <c r="AZ499"/>
      <c r="BA499"/>
      <c r="BB499"/>
      <c r="BC499"/>
      <c r="BD499"/>
      <c r="BE499"/>
      <c r="BF499"/>
    </row>
    <row r="500" spans="13:58" ht="12" hidden="1" customHeight="1">
      <c r="M500" s="820"/>
      <c r="N500" s="239"/>
      <c r="O500" s="225"/>
      <c r="P500" s="260"/>
      <c r="Q500" s="258"/>
      <c r="R500" s="260"/>
      <c r="S500" s="260"/>
      <c r="T500" s="260"/>
      <c r="U500" s="260"/>
      <c r="V500" s="260"/>
      <c r="W500" s="260"/>
      <c r="X500" s="260"/>
      <c r="Y500" s="260"/>
      <c r="Z500" s="260"/>
      <c r="AA500" s="260"/>
      <c r="AB500" s="260"/>
      <c r="AC500" s="260"/>
      <c r="AD500" s="260"/>
      <c r="AE500" s="260"/>
      <c r="AF500" s="260"/>
      <c r="AG500" s="258"/>
      <c r="AO500"/>
      <c r="AP500"/>
      <c r="AQ500"/>
      <c r="AR500"/>
      <c r="AS500"/>
      <c r="AT500"/>
      <c r="AU500"/>
      <c r="AV500"/>
      <c r="AW500"/>
      <c r="AX500"/>
      <c r="AY500"/>
      <c r="AZ500"/>
      <c r="BA500"/>
      <c r="BB500"/>
      <c r="BC500"/>
      <c r="BD500"/>
      <c r="BE500"/>
      <c r="BF500"/>
    </row>
    <row r="501" spans="13:58" ht="12" hidden="1" customHeight="1">
      <c r="M501" s="820"/>
      <c r="N501" s="239"/>
      <c r="O501" s="225"/>
      <c r="P501" s="260"/>
      <c r="Q501" s="258"/>
      <c r="R501" s="260"/>
      <c r="S501" s="260"/>
      <c r="T501" s="260"/>
      <c r="U501" s="260"/>
      <c r="V501" s="260"/>
      <c r="W501" s="260"/>
      <c r="X501" s="260"/>
      <c r="Y501" s="260"/>
      <c r="Z501" s="260"/>
      <c r="AA501" s="260"/>
      <c r="AB501" s="260"/>
      <c r="AC501" s="260"/>
      <c r="AD501" s="260"/>
      <c r="AE501" s="260"/>
      <c r="AF501" s="260"/>
      <c r="AG501" s="258"/>
      <c r="AO501"/>
      <c r="AP501"/>
      <c r="AQ501"/>
      <c r="AR501"/>
      <c r="AS501"/>
      <c r="AT501"/>
      <c r="AU501"/>
      <c r="AV501"/>
      <c r="AW501"/>
      <c r="AX501"/>
      <c r="AY501"/>
      <c r="AZ501"/>
      <c r="BA501"/>
      <c r="BB501"/>
      <c r="BC501"/>
      <c r="BD501"/>
      <c r="BE501"/>
      <c r="BF501"/>
    </row>
    <row r="502" spans="13:58" ht="12" hidden="1" customHeight="1">
      <c r="M502" s="820"/>
      <c r="N502" s="239"/>
      <c r="O502" s="225"/>
      <c r="P502" s="260"/>
      <c r="Q502" s="258"/>
      <c r="R502" s="260"/>
      <c r="S502" s="260"/>
      <c r="T502" s="260"/>
      <c r="U502" s="260"/>
      <c r="V502" s="260"/>
      <c r="W502" s="260"/>
      <c r="X502" s="260"/>
      <c r="Y502" s="260"/>
      <c r="Z502" s="260"/>
      <c r="AA502" s="260"/>
      <c r="AB502" s="260"/>
      <c r="AC502" s="260"/>
      <c r="AD502" s="260"/>
      <c r="AE502" s="260"/>
      <c r="AF502" s="260"/>
      <c r="AG502" s="258"/>
      <c r="AO502"/>
      <c r="AP502"/>
      <c r="AQ502"/>
      <c r="AR502"/>
      <c r="AS502"/>
      <c r="AT502"/>
      <c r="AU502"/>
      <c r="AV502"/>
      <c r="AW502"/>
      <c r="AX502"/>
      <c r="AY502"/>
      <c r="AZ502"/>
      <c r="BA502"/>
      <c r="BB502"/>
      <c r="BC502"/>
      <c r="BD502"/>
      <c r="BE502"/>
      <c r="BF502"/>
    </row>
    <row r="503" spans="13:58" ht="12" hidden="1" customHeight="1">
      <c r="M503" s="820"/>
      <c r="N503" s="239"/>
      <c r="O503" s="225"/>
      <c r="P503" s="260"/>
      <c r="Q503" s="258"/>
      <c r="R503" s="260"/>
      <c r="S503" s="260"/>
      <c r="T503" s="260"/>
      <c r="U503" s="260"/>
      <c r="V503" s="260"/>
      <c r="W503" s="260"/>
      <c r="X503" s="260"/>
      <c r="Y503" s="260"/>
      <c r="Z503" s="260"/>
      <c r="AA503" s="260"/>
      <c r="AB503" s="260"/>
      <c r="AC503" s="260"/>
      <c r="AD503" s="260"/>
      <c r="AE503" s="260"/>
      <c r="AF503" s="260"/>
      <c r="AG503" s="258"/>
      <c r="AO503"/>
      <c r="AP503"/>
      <c r="AQ503"/>
      <c r="AR503"/>
      <c r="AS503"/>
      <c r="AT503"/>
      <c r="AU503"/>
      <c r="AV503"/>
      <c r="AW503"/>
      <c r="AX503"/>
      <c r="AY503"/>
      <c r="AZ503"/>
      <c r="BA503"/>
      <c r="BB503"/>
      <c r="BC503"/>
      <c r="BD503"/>
      <c r="BE503"/>
      <c r="BF503"/>
    </row>
    <row r="504" spans="13:58" ht="12" hidden="1" customHeight="1">
      <c r="M504" s="820"/>
      <c r="N504" s="239"/>
      <c r="O504" s="225"/>
      <c r="P504" s="260"/>
      <c r="Q504" s="258"/>
      <c r="R504" s="260"/>
      <c r="S504" s="260"/>
      <c r="T504" s="260"/>
      <c r="U504" s="260"/>
      <c r="V504" s="260"/>
      <c r="W504" s="260"/>
      <c r="X504" s="260"/>
      <c r="Y504" s="260"/>
      <c r="Z504" s="260"/>
      <c r="AA504" s="260"/>
      <c r="AB504" s="260"/>
      <c r="AC504" s="260"/>
      <c r="AD504" s="260"/>
      <c r="AE504" s="260"/>
      <c r="AF504" s="260"/>
      <c r="AG504" s="258"/>
      <c r="AO504"/>
      <c r="AP504"/>
      <c r="AQ504"/>
      <c r="AR504"/>
      <c r="AS504"/>
      <c r="AT504"/>
      <c r="AU504"/>
      <c r="AV504"/>
      <c r="AW504"/>
      <c r="AX504"/>
      <c r="AY504"/>
      <c r="AZ504"/>
      <c r="BA504"/>
      <c r="BB504"/>
      <c r="BC504"/>
      <c r="BD504"/>
      <c r="BE504"/>
      <c r="BF504"/>
    </row>
    <row r="505" spans="13:58" ht="12" hidden="1" customHeight="1">
      <c r="M505" s="820"/>
      <c r="N505" s="239"/>
      <c r="O505" s="225"/>
      <c r="P505" s="260"/>
      <c r="Q505" s="258"/>
      <c r="R505" s="260"/>
      <c r="S505" s="260"/>
      <c r="T505" s="260"/>
      <c r="U505" s="260"/>
      <c r="V505" s="260"/>
      <c r="W505" s="260"/>
      <c r="X505" s="260"/>
      <c r="Y505" s="260"/>
      <c r="Z505" s="260"/>
      <c r="AA505" s="260"/>
      <c r="AB505" s="260"/>
      <c r="AC505" s="260"/>
      <c r="AD505" s="260"/>
      <c r="AE505" s="260"/>
      <c r="AF505" s="260"/>
      <c r="AG505" s="258"/>
      <c r="AO505"/>
      <c r="AP505"/>
      <c r="AQ505"/>
      <c r="AR505"/>
      <c r="AS505"/>
      <c r="AT505"/>
      <c r="AU505"/>
      <c r="AV505"/>
      <c r="AW505"/>
      <c r="AX505"/>
      <c r="AY505"/>
      <c r="AZ505"/>
      <c r="BA505"/>
      <c r="BB505"/>
      <c r="BC505"/>
      <c r="BD505"/>
      <c r="BE505"/>
      <c r="BF505"/>
    </row>
    <row r="506" spans="13:58" ht="12" hidden="1" customHeight="1">
      <c r="M506" s="820"/>
      <c r="N506" s="239"/>
      <c r="O506" s="225"/>
      <c r="P506" s="260"/>
      <c r="Q506" s="258"/>
      <c r="R506" s="260"/>
      <c r="S506" s="260"/>
      <c r="T506" s="260"/>
      <c r="U506" s="260"/>
      <c r="V506" s="260"/>
      <c r="W506" s="260"/>
      <c r="X506" s="260"/>
      <c r="Y506" s="260"/>
      <c r="Z506" s="260"/>
      <c r="AA506" s="260"/>
      <c r="AB506" s="260"/>
      <c r="AC506" s="260"/>
      <c r="AD506" s="260"/>
      <c r="AE506" s="260"/>
      <c r="AF506" s="260"/>
      <c r="AG506" s="258"/>
      <c r="AO506"/>
      <c r="AP506"/>
      <c r="AQ506"/>
      <c r="AR506"/>
      <c r="AS506"/>
      <c r="AT506"/>
      <c r="AU506"/>
      <c r="AV506"/>
      <c r="AW506"/>
      <c r="AX506"/>
      <c r="AY506"/>
      <c r="AZ506"/>
      <c r="BA506"/>
      <c r="BB506"/>
      <c r="BC506"/>
      <c r="BD506"/>
      <c r="BE506"/>
      <c r="BF506"/>
    </row>
    <row r="507" spans="13:58" ht="12" hidden="1" customHeight="1">
      <c r="M507" s="820"/>
      <c r="N507" s="239"/>
      <c r="O507" s="225"/>
      <c r="P507" s="260"/>
      <c r="Q507" s="258"/>
      <c r="R507" s="260"/>
      <c r="S507" s="260"/>
      <c r="T507" s="260"/>
      <c r="U507" s="260"/>
      <c r="V507" s="260"/>
      <c r="W507" s="260"/>
      <c r="X507" s="260"/>
      <c r="Y507" s="260"/>
      <c r="Z507" s="260"/>
      <c r="AA507" s="260"/>
      <c r="AB507" s="260"/>
      <c r="AC507" s="260"/>
      <c r="AD507" s="260"/>
      <c r="AE507" s="260"/>
      <c r="AF507" s="260"/>
      <c r="AG507" s="258"/>
      <c r="AO507"/>
      <c r="AP507"/>
      <c r="AQ507"/>
      <c r="AR507"/>
      <c r="AS507"/>
      <c r="AT507"/>
      <c r="AU507"/>
      <c r="AV507"/>
      <c r="AW507"/>
      <c r="AX507"/>
      <c r="AY507"/>
      <c r="AZ507"/>
      <c r="BA507"/>
      <c r="BB507"/>
      <c r="BC507"/>
      <c r="BD507"/>
      <c r="BE507"/>
      <c r="BF507"/>
    </row>
    <row r="508" spans="13:58" ht="12" hidden="1" customHeight="1">
      <c r="M508" s="820"/>
      <c r="N508" s="239"/>
      <c r="O508" s="225"/>
      <c r="P508" s="260"/>
      <c r="Q508" s="258"/>
      <c r="R508" s="260"/>
      <c r="S508" s="260"/>
      <c r="T508" s="260"/>
      <c r="U508" s="260"/>
      <c r="V508" s="260"/>
      <c r="W508" s="260"/>
      <c r="X508" s="260"/>
      <c r="Y508" s="260"/>
      <c r="Z508" s="260"/>
      <c r="AA508" s="260"/>
      <c r="AB508" s="260"/>
      <c r="AC508" s="260"/>
      <c r="AD508" s="260"/>
      <c r="AE508" s="260"/>
      <c r="AF508" s="260"/>
      <c r="AG508" s="258"/>
      <c r="AO508"/>
      <c r="AP508"/>
      <c r="AQ508"/>
      <c r="AR508"/>
      <c r="AS508"/>
      <c r="AT508"/>
      <c r="AU508"/>
      <c r="AV508"/>
      <c r="AW508"/>
      <c r="AX508"/>
      <c r="AY508"/>
      <c r="AZ508"/>
      <c r="BA508"/>
      <c r="BB508"/>
      <c r="BC508"/>
      <c r="BD508"/>
      <c r="BE508"/>
      <c r="BF508"/>
    </row>
    <row r="509" spans="13:58" ht="12" hidden="1" customHeight="1">
      <c r="M509" s="820"/>
      <c r="N509" s="239"/>
      <c r="O509" s="225"/>
      <c r="P509" s="260"/>
      <c r="Q509" s="258"/>
      <c r="R509" s="260"/>
      <c r="S509" s="260"/>
      <c r="T509" s="260"/>
      <c r="U509" s="260"/>
      <c r="V509" s="260"/>
      <c r="W509" s="260"/>
      <c r="X509" s="260"/>
      <c r="Y509" s="260"/>
      <c r="Z509" s="260"/>
      <c r="AA509" s="260"/>
      <c r="AB509" s="260"/>
      <c r="AC509" s="260"/>
      <c r="AD509" s="260"/>
      <c r="AE509" s="260"/>
      <c r="AF509" s="260"/>
      <c r="AG509" s="258"/>
      <c r="AO509"/>
      <c r="AP509"/>
      <c r="AQ509"/>
      <c r="AR509"/>
      <c r="AS509"/>
      <c r="AT509"/>
      <c r="AU509"/>
      <c r="AV509"/>
      <c r="AW509"/>
      <c r="AX509"/>
      <c r="AY509"/>
      <c r="AZ509"/>
      <c r="BA509"/>
      <c r="BB509"/>
      <c r="BC509"/>
      <c r="BD509"/>
      <c r="BE509"/>
      <c r="BF509"/>
    </row>
    <row r="510" spans="13:58" ht="12" hidden="1" customHeight="1">
      <c r="M510" s="820"/>
      <c r="N510" s="239"/>
      <c r="O510" s="225"/>
      <c r="P510" s="260"/>
      <c r="Q510" s="258"/>
      <c r="R510" s="260"/>
      <c r="S510" s="260"/>
      <c r="T510" s="260"/>
      <c r="U510" s="260"/>
      <c r="V510" s="260"/>
      <c r="W510" s="260"/>
      <c r="X510" s="260"/>
      <c r="Y510" s="260"/>
      <c r="Z510" s="260"/>
      <c r="AA510" s="260"/>
      <c r="AB510" s="260"/>
      <c r="AC510" s="260"/>
      <c r="AD510" s="260"/>
      <c r="AE510" s="260"/>
      <c r="AF510" s="260"/>
      <c r="AG510" s="258"/>
      <c r="AO510"/>
      <c r="AP510"/>
      <c r="AQ510"/>
      <c r="AR510"/>
      <c r="AS510"/>
      <c r="AT510"/>
      <c r="AU510"/>
      <c r="AV510"/>
      <c r="AW510"/>
      <c r="AX510"/>
      <c r="AY510"/>
      <c r="AZ510"/>
      <c r="BA510"/>
      <c r="BB510"/>
      <c r="BC510"/>
      <c r="BD510"/>
      <c r="BE510"/>
      <c r="BF510"/>
    </row>
    <row r="511" spans="13:58" ht="12" hidden="1" customHeight="1">
      <c r="M511" s="820"/>
      <c r="N511" s="239"/>
      <c r="O511" s="225"/>
      <c r="P511" s="260"/>
      <c r="Q511" s="258"/>
      <c r="R511" s="260"/>
      <c r="S511" s="260"/>
      <c r="T511" s="260"/>
      <c r="U511" s="260"/>
      <c r="V511" s="260"/>
      <c r="W511" s="260"/>
      <c r="X511" s="260"/>
      <c r="Y511" s="260"/>
      <c r="Z511" s="260"/>
      <c r="AA511" s="260"/>
      <c r="AB511" s="260"/>
      <c r="AC511" s="260"/>
      <c r="AD511" s="260"/>
      <c r="AE511" s="260"/>
      <c r="AF511" s="260"/>
      <c r="AG511" s="258"/>
      <c r="AO511"/>
      <c r="AP511"/>
      <c r="AQ511"/>
      <c r="AR511"/>
      <c r="AS511"/>
      <c r="AT511"/>
      <c r="AU511"/>
      <c r="AV511"/>
      <c r="AW511"/>
      <c r="AX511"/>
      <c r="AY511"/>
      <c r="AZ511"/>
      <c r="BA511"/>
      <c r="BB511"/>
      <c r="BC511"/>
      <c r="BD511"/>
      <c r="BE511"/>
      <c r="BF511"/>
    </row>
    <row r="512" spans="13:58" ht="12" hidden="1" customHeight="1">
      <c r="M512" s="820"/>
      <c r="N512" s="239"/>
      <c r="O512" s="225"/>
      <c r="P512" s="260"/>
      <c r="Q512" s="258"/>
      <c r="R512" s="260"/>
      <c r="S512" s="260"/>
      <c r="T512" s="260"/>
      <c r="U512" s="260"/>
      <c r="V512" s="260"/>
      <c r="W512" s="260"/>
      <c r="X512" s="260"/>
      <c r="Y512" s="260"/>
      <c r="Z512" s="260"/>
      <c r="AA512" s="260"/>
      <c r="AB512" s="260"/>
      <c r="AC512" s="260"/>
      <c r="AD512" s="260"/>
      <c r="AE512" s="260"/>
      <c r="AF512" s="260"/>
      <c r="AG512" s="258"/>
      <c r="AO512"/>
      <c r="AP512"/>
      <c r="AQ512"/>
      <c r="AR512"/>
      <c r="AS512"/>
      <c r="AT512"/>
      <c r="AU512"/>
      <c r="AV512"/>
      <c r="AW512"/>
      <c r="AX512"/>
      <c r="AY512"/>
      <c r="AZ512"/>
      <c r="BA512"/>
      <c r="BB512"/>
      <c r="BC512"/>
      <c r="BD512"/>
      <c r="BE512"/>
      <c r="BF512"/>
    </row>
    <row r="513" spans="13:58" ht="12" hidden="1" customHeight="1">
      <c r="M513" s="820"/>
      <c r="N513" s="239"/>
      <c r="O513" s="225"/>
      <c r="P513" s="260"/>
      <c r="Q513" s="258"/>
      <c r="R513" s="260"/>
      <c r="S513" s="260"/>
      <c r="T513" s="260"/>
      <c r="U513" s="260"/>
      <c r="V513" s="260"/>
      <c r="W513" s="260"/>
      <c r="X513" s="260"/>
      <c r="Y513" s="260"/>
      <c r="Z513" s="260"/>
      <c r="AA513" s="260"/>
      <c r="AB513" s="260"/>
      <c r="AC513" s="260"/>
      <c r="AD513" s="260"/>
      <c r="AE513" s="260"/>
      <c r="AF513" s="260"/>
      <c r="AG513" s="258"/>
      <c r="AO513"/>
      <c r="AP513"/>
      <c r="AQ513"/>
      <c r="AR513"/>
      <c r="AS513"/>
      <c r="AT513"/>
      <c r="AU513"/>
      <c r="AV513"/>
      <c r="AW513"/>
      <c r="AX513"/>
      <c r="AY513"/>
      <c r="AZ513"/>
      <c r="BA513"/>
      <c r="BB513"/>
      <c r="BC513"/>
      <c r="BD513"/>
      <c r="BE513"/>
      <c r="BF513"/>
    </row>
    <row r="514" spans="13:58" ht="12" hidden="1" customHeight="1">
      <c r="M514" s="820"/>
      <c r="N514" s="239"/>
      <c r="O514" s="225"/>
      <c r="P514" s="260"/>
      <c r="Q514" s="258"/>
      <c r="R514" s="260"/>
      <c r="S514" s="260"/>
      <c r="T514" s="260"/>
      <c r="U514" s="260"/>
      <c r="V514" s="260"/>
      <c r="W514" s="260"/>
      <c r="X514" s="260"/>
      <c r="Y514" s="260"/>
      <c r="Z514" s="260"/>
      <c r="AA514" s="260"/>
      <c r="AB514" s="260"/>
      <c r="AC514" s="260"/>
      <c r="AD514" s="260"/>
      <c r="AE514" s="260"/>
      <c r="AF514" s="260"/>
      <c r="AG514" s="258"/>
      <c r="AO514"/>
      <c r="AP514"/>
      <c r="AQ514"/>
      <c r="AR514"/>
      <c r="AS514"/>
      <c r="AT514"/>
      <c r="AU514"/>
      <c r="AV514"/>
      <c r="AW514"/>
      <c r="AX514"/>
      <c r="AY514"/>
      <c r="AZ514"/>
      <c r="BA514"/>
      <c r="BB514"/>
      <c r="BC514"/>
      <c r="BD514"/>
      <c r="BE514"/>
      <c r="BF514"/>
    </row>
    <row r="515" spans="13:58" ht="12" hidden="1" customHeight="1">
      <c r="M515" s="820"/>
      <c r="N515" s="239"/>
      <c r="O515" s="225"/>
      <c r="P515" s="260"/>
      <c r="Q515" s="258"/>
      <c r="R515" s="260"/>
      <c r="S515" s="260"/>
      <c r="T515" s="260"/>
      <c r="U515" s="260"/>
      <c r="V515" s="260"/>
      <c r="W515" s="260"/>
      <c r="X515" s="260"/>
      <c r="Y515" s="260"/>
      <c r="Z515" s="260"/>
      <c r="AA515" s="260"/>
      <c r="AB515" s="260"/>
      <c r="AC515" s="260"/>
      <c r="AD515" s="260"/>
      <c r="AE515" s="260"/>
      <c r="AF515" s="260"/>
      <c r="AG515" s="258"/>
      <c r="AO515"/>
      <c r="AP515"/>
      <c r="AQ515"/>
      <c r="AR515"/>
      <c r="AS515"/>
      <c r="AT515"/>
      <c r="AU515"/>
      <c r="AV515"/>
      <c r="AW515"/>
      <c r="AX515"/>
      <c r="AY515"/>
      <c r="AZ515"/>
      <c r="BA515"/>
      <c r="BB515"/>
      <c r="BC515"/>
      <c r="BD515"/>
      <c r="BE515"/>
      <c r="BF515"/>
    </row>
    <row r="516" spans="13:58" ht="12" hidden="1" customHeight="1">
      <c r="M516" s="820"/>
      <c r="N516" s="239"/>
      <c r="O516" s="225"/>
      <c r="P516" s="260"/>
      <c r="Q516" s="258"/>
      <c r="R516" s="260"/>
      <c r="S516" s="260"/>
      <c r="T516" s="260"/>
      <c r="U516" s="260"/>
      <c r="V516" s="260"/>
      <c r="W516" s="260"/>
      <c r="X516" s="260"/>
      <c r="Y516" s="260"/>
      <c r="Z516" s="260"/>
      <c r="AA516" s="260"/>
      <c r="AB516" s="260"/>
      <c r="AC516" s="260"/>
      <c r="AD516" s="260"/>
      <c r="AE516" s="260"/>
      <c r="AF516" s="260"/>
      <c r="AG516" s="258"/>
      <c r="AO516"/>
      <c r="AP516"/>
      <c r="AQ516"/>
      <c r="AR516"/>
      <c r="AS516"/>
      <c r="AT516"/>
      <c r="AU516"/>
      <c r="AV516"/>
      <c r="AW516"/>
      <c r="AX516"/>
      <c r="AY516"/>
      <c r="AZ516"/>
      <c r="BA516"/>
      <c r="BB516"/>
      <c r="BC516"/>
      <c r="BD516"/>
      <c r="BE516"/>
      <c r="BF516"/>
    </row>
    <row r="517" spans="13:58" ht="12" hidden="1" customHeight="1">
      <c r="M517" s="820"/>
      <c r="N517" s="239"/>
      <c r="O517" s="225"/>
      <c r="P517" s="260"/>
      <c r="Q517" s="258"/>
      <c r="R517" s="260"/>
      <c r="S517" s="260"/>
      <c r="T517" s="260"/>
      <c r="U517" s="260"/>
      <c r="V517" s="260"/>
      <c r="W517" s="260"/>
      <c r="X517" s="260"/>
      <c r="Y517" s="260"/>
      <c r="Z517" s="260"/>
      <c r="AA517" s="260"/>
      <c r="AB517" s="260"/>
      <c r="AC517" s="260"/>
      <c r="AD517" s="260"/>
      <c r="AE517" s="260"/>
      <c r="AF517" s="260"/>
      <c r="AG517" s="258"/>
      <c r="AO517"/>
      <c r="AP517"/>
      <c r="AQ517"/>
      <c r="AR517"/>
      <c r="AS517"/>
      <c r="AT517"/>
      <c r="AU517"/>
      <c r="AV517"/>
      <c r="AW517"/>
      <c r="AX517"/>
      <c r="AY517"/>
      <c r="AZ517"/>
      <c r="BA517"/>
      <c r="BB517"/>
      <c r="BC517"/>
      <c r="BD517"/>
      <c r="BE517"/>
      <c r="BF517"/>
    </row>
    <row r="518" spans="13:58" ht="12" hidden="1" customHeight="1">
      <c r="M518" s="820"/>
      <c r="N518" s="239"/>
      <c r="O518" s="225"/>
      <c r="P518" s="260"/>
      <c r="Q518" s="258"/>
      <c r="R518" s="260"/>
      <c r="S518" s="260"/>
      <c r="T518" s="260"/>
      <c r="U518" s="260"/>
      <c r="V518" s="260"/>
      <c r="W518" s="260"/>
      <c r="X518" s="260"/>
      <c r="Y518" s="260"/>
      <c r="Z518" s="260"/>
      <c r="AA518" s="260"/>
      <c r="AB518" s="260"/>
      <c r="AC518" s="260"/>
      <c r="AD518" s="260"/>
      <c r="AE518" s="260"/>
      <c r="AF518" s="260"/>
      <c r="AG518" s="258"/>
      <c r="AO518"/>
      <c r="AP518"/>
      <c r="AQ518"/>
      <c r="AR518"/>
      <c r="AS518"/>
      <c r="AT518"/>
      <c r="AU518"/>
      <c r="AV518"/>
      <c r="AW518"/>
      <c r="AX518"/>
      <c r="AY518"/>
      <c r="AZ518"/>
      <c r="BA518"/>
      <c r="BB518"/>
      <c r="BC518"/>
      <c r="BD518"/>
      <c r="BE518"/>
      <c r="BF518"/>
    </row>
    <row r="519" spans="13:58" ht="12" hidden="1" customHeight="1">
      <c r="M519" s="820"/>
      <c r="N519" s="239"/>
      <c r="O519" s="225"/>
      <c r="P519" s="260"/>
      <c r="Q519" s="258"/>
      <c r="R519" s="260"/>
      <c r="S519" s="260"/>
      <c r="T519" s="260"/>
      <c r="U519" s="260"/>
      <c r="V519" s="260"/>
      <c r="W519" s="260"/>
      <c r="X519" s="260"/>
      <c r="Y519" s="260"/>
      <c r="Z519" s="260"/>
      <c r="AA519" s="260"/>
      <c r="AB519" s="260"/>
      <c r="AC519" s="260"/>
      <c r="AD519" s="260"/>
      <c r="AE519" s="260"/>
      <c r="AF519" s="260"/>
      <c r="AG519" s="258"/>
      <c r="AO519"/>
      <c r="AP519"/>
      <c r="AQ519"/>
      <c r="AR519"/>
      <c r="AS519"/>
      <c r="AT519"/>
      <c r="AU519"/>
      <c r="AV519"/>
      <c r="AW519"/>
      <c r="AX519"/>
      <c r="AY519"/>
      <c r="AZ519"/>
      <c r="BA519"/>
      <c r="BB519"/>
      <c r="BC519"/>
      <c r="BD519"/>
      <c r="BE519"/>
      <c r="BF519"/>
    </row>
    <row r="520" spans="13:58" ht="12" hidden="1" customHeight="1">
      <c r="M520" s="820"/>
      <c r="N520" s="239"/>
      <c r="O520" s="225"/>
      <c r="P520" s="260"/>
      <c r="Q520" s="258"/>
      <c r="R520" s="260"/>
      <c r="S520" s="260"/>
      <c r="T520" s="260"/>
      <c r="U520" s="260"/>
      <c r="V520" s="260"/>
      <c r="W520" s="260"/>
      <c r="X520" s="260"/>
      <c r="Y520" s="260"/>
      <c r="Z520" s="260"/>
      <c r="AA520" s="260"/>
      <c r="AB520" s="260"/>
      <c r="AC520" s="260"/>
      <c r="AD520" s="260"/>
      <c r="AE520" s="260"/>
      <c r="AF520" s="260"/>
      <c r="AG520" s="258"/>
      <c r="AO520"/>
      <c r="AP520"/>
      <c r="AQ520"/>
      <c r="AR520"/>
      <c r="AS520"/>
      <c r="AT520"/>
      <c r="AU520"/>
      <c r="AV520"/>
      <c r="AW520"/>
      <c r="AX520"/>
      <c r="AY520"/>
      <c r="AZ520"/>
      <c r="BA520"/>
      <c r="BB520"/>
      <c r="BC520"/>
      <c r="BD520"/>
      <c r="BE520"/>
      <c r="BF520"/>
    </row>
    <row r="521" spans="13:58" ht="12" hidden="1" customHeight="1">
      <c r="M521" s="820"/>
      <c r="N521" s="239"/>
      <c r="O521" s="225"/>
      <c r="P521" s="260"/>
      <c r="Q521" s="258"/>
      <c r="R521" s="260"/>
      <c r="S521" s="260"/>
      <c r="T521" s="260"/>
      <c r="U521" s="260"/>
      <c r="V521" s="260"/>
      <c r="W521" s="260"/>
      <c r="X521" s="260"/>
      <c r="Y521" s="260"/>
      <c r="Z521" s="260"/>
      <c r="AA521" s="260"/>
      <c r="AB521" s="260"/>
      <c r="AC521" s="260"/>
      <c r="AD521" s="260"/>
      <c r="AE521" s="260"/>
      <c r="AF521" s="260"/>
      <c r="AG521" s="258"/>
      <c r="AO521"/>
      <c r="AP521"/>
      <c r="AQ521"/>
      <c r="AR521"/>
      <c r="AS521"/>
      <c r="AT521"/>
      <c r="AU521"/>
      <c r="AV521"/>
      <c r="AW521"/>
      <c r="AX521"/>
      <c r="AY521"/>
      <c r="AZ521"/>
      <c r="BA521"/>
      <c r="BB521"/>
      <c r="BC521"/>
      <c r="BD521"/>
      <c r="BE521"/>
      <c r="BF521"/>
    </row>
    <row r="522" spans="13:58" ht="12" hidden="1" customHeight="1">
      <c r="M522" s="820"/>
      <c r="N522" s="239"/>
      <c r="O522" s="225"/>
      <c r="P522" s="260"/>
      <c r="Q522" s="258"/>
      <c r="R522" s="260"/>
      <c r="S522" s="260"/>
      <c r="T522" s="260"/>
      <c r="U522" s="260"/>
      <c r="V522" s="260"/>
      <c r="W522" s="260"/>
      <c r="X522" s="260"/>
      <c r="Y522" s="260"/>
      <c r="Z522" s="260"/>
      <c r="AA522" s="260"/>
      <c r="AB522" s="260"/>
      <c r="AC522" s="260"/>
      <c r="AD522" s="260"/>
      <c r="AE522" s="260"/>
      <c r="AF522" s="260"/>
      <c r="AG522" s="258"/>
      <c r="AO522"/>
      <c r="AP522"/>
      <c r="AQ522"/>
      <c r="AR522"/>
      <c r="AS522"/>
      <c r="AT522"/>
      <c r="AU522"/>
      <c r="AV522"/>
      <c r="AW522"/>
      <c r="AX522"/>
      <c r="AY522"/>
      <c r="AZ522"/>
      <c r="BA522"/>
      <c r="BB522"/>
      <c r="BC522"/>
      <c r="BD522"/>
      <c r="BE522"/>
      <c r="BF522"/>
    </row>
    <row r="523" spans="13:58" ht="12" hidden="1" customHeight="1">
      <c r="M523" s="820"/>
      <c r="N523" s="239"/>
      <c r="O523" s="225"/>
      <c r="P523" s="260"/>
      <c r="Q523" s="258"/>
      <c r="R523" s="260"/>
      <c r="S523" s="260"/>
      <c r="T523" s="260"/>
      <c r="U523" s="260"/>
      <c r="V523" s="260"/>
      <c r="W523" s="260"/>
      <c r="X523" s="260"/>
      <c r="Y523" s="260"/>
      <c r="Z523" s="260"/>
      <c r="AA523" s="260"/>
      <c r="AB523" s="260"/>
      <c r="AC523" s="260"/>
      <c r="AD523" s="260"/>
      <c r="AE523" s="260"/>
      <c r="AF523" s="260"/>
      <c r="AG523" s="258"/>
      <c r="AO523"/>
      <c r="AP523"/>
      <c r="AQ523"/>
      <c r="AR523"/>
      <c r="AS523"/>
      <c r="AT523"/>
      <c r="AU523"/>
      <c r="AV523"/>
      <c r="AW523"/>
      <c r="AX523"/>
      <c r="AY523"/>
      <c r="AZ523"/>
      <c r="BA523"/>
      <c r="BB523"/>
      <c r="BC523"/>
      <c r="BD523"/>
      <c r="BE523"/>
      <c r="BF523"/>
    </row>
    <row r="524" spans="13:58" ht="12" hidden="1" customHeight="1">
      <c r="M524" s="820"/>
      <c r="N524" s="239"/>
      <c r="O524" s="225"/>
      <c r="P524" s="260"/>
      <c r="Q524" s="258"/>
      <c r="R524" s="260"/>
      <c r="S524" s="260"/>
      <c r="T524" s="260"/>
      <c r="U524" s="260"/>
      <c r="V524" s="260"/>
      <c r="W524" s="260"/>
      <c r="X524" s="260"/>
      <c r="Y524" s="260"/>
      <c r="Z524" s="260"/>
      <c r="AA524" s="260"/>
      <c r="AB524" s="260"/>
      <c r="AC524" s="260"/>
      <c r="AD524" s="260"/>
      <c r="AE524" s="260"/>
      <c r="AF524" s="260"/>
      <c r="AG524" s="258"/>
      <c r="AO524"/>
      <c r="AP524"/>
      <c r="AQ524"/>
      <c r="AR524"/>
      <c r="AS524"/>
      <c r="AT524"/>
      <c r="AU524"/>
      <c r="AV524"/>
      <c r="AW524"/>
      <c r="AX524"/>
      <c r="AY524"/>
      <c r="AZ524"/>
      <c r="BA524"/>
      <c r="BB524"/>
      <c r="BC524"/>
      <c r="BD524"/>
      <c r="BE524"/>
      <c r="BF524"/>
    </row>
    <row r="525" spans="13:58" ht="12" hidden="1" customHeight="1">
      <c r="M525" s="820"/>
      <c r="N525" s="239"/>
      <c r="O525" s="225"/>
      <c r="P525" s="260"/>
      <c r="Q525" s="258"/>
      <c r="R525" s="260"/>
      <c r="S525" s="260"/>
      <c r="T525" s="260"/>
      <c r="U525" s="260"/>
      <c r="V525" s="260"/>
      <c r="W525" s="260"/>
      <c r="X525" s="260"/>
      <c r="Y525" s="260"/>
      <c r="Z525" s="260"/>
      <c r="AA525" s="260"/>
      <c r="AB525" s="260"/>
      <c r="AC525" s="260"/>
      <c r="AD525" s="260"/>
      <c r="AE525" s="260"/>
      <c r="AF525" s="260"/>
      <c r="AG525" s="258"/>
      <c r="AO525"/>
      <c r="AP525"/>
      <c r="AQ525"/>
      <c r="AR525"/>
      <c r="AS525"/>
      <c r="AT525"/>
      <c r="AU525"/>
      <c r="AV525"/>
      <c r="AW525"/>
      <c r="AX525"/>
      <c r="AY525"/>
      <c r="AZ525"/>
      <c r="BA525"/>
      <c r="BB525"/>
      <c r="BC525"/>
      <c r="BD525"/>
      <c r="BE525"/>
      <c r="BF525"/>
    </row>
    <row r="526" spans="13:58" ht="12" hidden="1" customHeight="1">
      <c r="M526" s="820"/>
      <c r="N526" s="239"/>
      <c r="O526" s="225"/>
      <c r="P526" s="260"/>
      <c r="Q526" s="258"/>
      <c r="R526" s="260"/>
      <c r="S526" s="260"/>
      <c r="T526" s="260"/>
      <c r="U526" s="260"/>
      <c r="V526" s="260"/>
      <c r="W526" s="260"/>
      <c r="X526" s="260"/>
      <c r="Y526" s="260"/>
      <c r="Z526" s="260"/>
      <c r="AA526" s="260"/>
      <c r="AB526" s="260"/>
      <c r="AC526" s="260"/>
      <c r="AD526" s="260"/>
      <c r="AE526" s="260"/>
      <c r="AF526" s="260"/>
      <c r="AG526" s="258"/>
      <c r="AO526"/>
      <c r="AP526"/>
      <c r="AQ526"/>
      <c r="AR526"/>
      <c r="AS526"/>
      <c r="AT526"/>
      <c r="AU526"/>
      <c r="AV526"/>
      <c r="AW526"/>
      <c r="AX526"/>
      <c r="AY526"/>
      <c r="AZ526"/>
      <c r="BA526"/>
      <c r="BB526"/>
      <c r="BC526"/>
      <c r="BD526"/>
      <c r="BE526"/>
      <c r="BF526"/>
    </row>
    <row r="527" spans="13:58" ht="12" hidden="1" customHeight="1">
      <c r="M527" s="820"/>
      <c r="N527" s="239"/>
      <c r="O527" s="225"/>
      <c r="P527" s="260"/>
      <c r="Q527" s="258"/>
      <c r="R527" s="260"/>
      <c r="S527" s="260"/>
      <c r="T527" s="260"/>
      <c r="U527" s="260"/>
      <c r="V527" s="260"/>
      <c r="W527" s="260"/>
      <c r="X527" s="260"/>
      <c r="Y527" s="260"/>
      <c r="Z527" s="260"/>
      <c r="AA527" s="260"/>
      <c r="AB527" s="260"/>
      <c r="AC527" s="260"/>
      <c r="AD527" s="260"/>
      <c r="AE527" s="260"/>
      <c r="AF527" s="260"/>
      <c r="AG527" s="258"/>
      <c r="AO527"/>
      <c r="AP527"/>
      <c r="AQ527"/>
      <c r="AR527"/>
      <c r="AS527"/>
      <c r="AT527"/>
      <c r="AU527"/>
      <c r="AV527"/>
      <c r="AW527"/>
      <c r="AX527"/>
      <c r="AY527"/>
      <c r="AZ527"/>
      <c r="BA527"/>
      <c r="BB527"/>
      <c r="BC527"/>
      <c r="BD527"/>
      <c r="BE527"/>
      <c r="BF527"/>
    </row>
    <row r="528" spans="13:58" ht="12" hidden="1" customHeight="1">
      <c r="M528" s="820"/>
      <c r="N528" s="239"/>
      <c r="O528" s="225"/>
      <c r="P528" s="260"/>
      <c r="Q528" s="258"/>
      <c r="R528" s="260"/>
      <c r="S528" s="260"/>
      <c r="T528" s="260"/>
      <c r="U528" s="260"/>
      <c r="V528" s="260"/>
      <c r="W528" s="260"/>
      <c r="X528" s="260"/>
      <c r="Y528" s="260"/>
      <c r="Z528" s="260"/>
      <c r="AA528" s="260"/>
      <c r="AB528" s="260"/>
      <c r="AC528" s="260"/>
      <c r="AD528" s="260"/>
      <c r="AE528" s="260"/>
      <c r="AF528" s="260"/>
      <c r="AG528" s="258"/>
      <c r="AO528"/>
      <c r="AP528"/>
      <c r="AQ528"/>
      <c r="AR528"/>
      <c r="AS528"/>
      <c r="AT528"/>
      <c r="AU528"/>
      <c r="AV528"/>
      <c r="AW528"/>
      <c r="AX528"/>
      <c r="AY528"/>
      <c r="AZ528"/>
      <c r="BA528"/>
      <c r="BB528"/>
      <c r="BC528"/>
      <c r="BD528"/>
      <c r="BE528"/>
      <c r="BF528"/>
    </row>
    <row r="529" spans="13:58" ht="12" hidden="1" customHeight="1">
      <c r="M529" s="820"/>
      <c r="N529" s="239"/>
      <c r="O529" s="225"/>
      <c r="P529" s="260"/>
      <c r="Q529" s="258"/>
      <c r="R529" s="260"/>
      <c r="S529" s="260"/>
      <c r="T529" s="260"/>
      <c r="U529" s="260"/>
      <c r="V529" s="260"/>
      <c r="W529" s="260"/>
      <c r="X529" s="260"/>
      <c r="Y529" s="260"/>
      <c r="Z529" s="260"/>
      <c r="AA529" s="260"/>
      <c r="AB529" s="260"/>
      <c r="AC529" s="260"/>
      <c r="AD529" s="260"/>
      <c r="AE529" s="260"/>
      <c r="AF529" s="260"/>
      <c r="AG529" s="258"/>
      <c r="AO529"/>
      <c r="AP529"/>
      <c r="AQ529"/>
      <c r="AR529"/>
      <c r="AS529"/>
      <c r="AT529"/>
      <c r="AU529"/>
      <c r="AV529"/>
      <c r="AW529"/>
      <c r="AX529"/>
      <c r="AY529"/>
      <c r="AZ529"/>
      <c r="BA529"/>
      <c r="BB529"/>
      <c r="BC529"/>
      <c r="BD529"/>
      <c r="BE529"/>
      <c r="BF529"/>
    </row>
    <row r="530" spans="13:58" ht="12" hidden="1" customHeight="1">
      <c r="M530" s="820"/>
      <c r="N530" s="239"/>
      <c r="O530" s="225"/>
      <c r="P530" s="260"/>
      <c r="Q530" s="258"/>
      <c r="R530" s="260"/>
      <c r="S530" s="260"/>
      <c r="T530" s="260"/>
      <c r="U530" s="260"/>
      <c r="V530" s="260"/>
      <c r="W530" s="260"/>
      <c r="X530" s="260"/>
      <c r="Y530" s="260"/>
      <c r="Z530" s="260"/>
      <c r="AA530" s="260"/>
      <c r="AB530" s="260"/>
      <c r="AC530" s="260"/>
      <c r="AD530" s="260"/>
      <c r="AE530" s="260"/>
      <c r="AF530" s="260"/>
      <c r="AG530" s="258"/>
      <c r="AO530"/>
      <c r="AP530"/>
      <c r="AQ530"/>
      <c r="AR530"/>
      <c r="AS530"/>
      <c r="AT530"/>
      <c r="AU530"/>
      <c r="AV530"/>
      <c r="AW530"/>
      <c r="AX530"/>
      <c r="AY530"/>
      <c r="AZ530"/>
      <c r="BA530"/>
      <c r="BB530"/>
      <c r="BC530"/>
      <c r="BD530"/>
      <c r="BE530"/>
      <c r="BF530"/>
    </row>
    <row r="531" spans="13:58" ht="12" hidden="1" customHeight="1">
      <c r="M531" s="820"/>
      <c r="N531" s="239"/>
      <c r="O531" s="225"/>
      <c r="P531" s="260"/>
      <c r="Q531" s="258"/>
      <c r="R531" s="260"/>
      <c r="S531" s="260"/>
      <c r="T531" s="260"/>
      <c r="U531" s="260"/>
      <c r="V531" s="260"/>
      <c r="W531" s="260"/>
      <c r="X531" s="260"/>
      <c r="Y531" s="260"/>
      <c r="Z531" s="260"/>
      <c r="AA531" s="260"/>
      <c r="AB531" s="260"/>
      <c r="AC531" s="260"/>
      <c r="AD531" s="260"/>
      <c r="AE531" s="260"/>
      <c r="AF531" s="260"/>
      <c r="AG531" s="258"/>
      <c r="AO531"/>
      <c r="AP531"/>
      <c r="AQ531"/>
      <c r="AR531"/>
      <c r="AS531"/>
      <c r="AT531"/>
      <c r="AU531"/>
      <c r="AV531"/>
      <c r="AW531"/>
      <c r="AX531"/>
      <c r="AY531"/>
      <c r="AZ531"/>
      <c r="BA531"/>
      <c r="BB531"/>
      <c r="BC531"/>
      <c r="BD531"/>
      <c r="BE531"/>
      <c r="BF531"/>
    </row>
    <row r="532" spans="13:58" ht="12" hidden="1" customHeight="1">
      <c r="M532" s="820"/>
      <c r="N532" s="239"/>
      <c r="O532" s="225"/>
      <c r="P532" s="260"/>
      <c r="Q532" s="258"/>
      <c r="R532" s="260"/>
      <c r="S532" s="260"/>
      <c r="T532" s="260"/>
      <c r="U532" s="260"/>
      <c r="V532" s="260"/>
      <c r="W532" s="260"/>
      <c r="X532" s="260"/>
      <c r="Y532" s="260"/>
      <c r="Z532" s="260"/>
      <c r="AA532" s="260"/>
      <c r="AB532" s="260"/>
      <c r="AC532" s="260"/>
      <c r="AD532" s="260"/>
      <c r="AE532" s="260"/>
      <c r="AF532" s="260"/>
      <c r="AG532" s="258"/>
      <c r="AO532"/>
      <c r="AP532"/>
      <c r="AQ532"/>
      <c r="AR532"/>
      <c r="AS532"/>
      <c r="AT532"/>
      <c r="AU532"/>
      <c r="AV532"/>
      <c r="AW532"/>
      <c r="AX532"/>
      <c r="AY532"/>
      <c r="AZ532"/>
      <c r="BA532"/>
      <c r="BB532"/>
      <c r="BC532"/>
      <c r="BD532"/>
      <c r="BE532"/>
      <c r="BF532"/>
    </row>
    <row r="533" spans="13:58" ht="12" hidden="1" customHeight="1">
      <c r="M533" s="820"/>
      <c r="N533" s="239"/>
      <c r="O533" s="225"/>
      <c r="P533" s="260"/>
      <c r="Q533" s="258"/>
      <c r="R533" s="260"/>
      <c r="S533" s="260"/>
      <c r="T533" s="260"/>
      <c r="U533" s="260"/>
      <c r="V533" s="260"/>
      <c r="W533" s="260"/>
      <c r="X533" s="260"/>
      <c r="Y533" s="260"/>
      <c r="Z533" s="260"/>
      <c r="AA533" s="260"/>
      <c r="AB533" s="260"/>
      <c r="AC533" s="260"/>
      <c r="AD533" s="260"/>
      <c r="AE533" s="260"/>
      <c r="AF533" s="260"/>
      <c r="AG533" s="258"/>
      <c r="AO533"/>
      <c r="AP533"/>
      <c r="AQ533"/>
      <c r="AR533"/>
      <c r="AS533"/>
      <c r="AT533"/>
      <c r="AU533"/>
      <c r="AV533"/>
      <c r="AW533"/>
      <c r="AX533"/>
      <c r="AY533"/>
      <c r="AZ533"/>
      <c r="BA533"/>
      <c r="BB533"/>
      <c r="BC533"/>
      <c r="BD533"/>
      <c r="BE533"/>
      <c r="BF533"/>
    </row>
    <row r="534" spans="13:58" ht="12" hidden="1" customHeight="1">
      <c r="M534" s="820"/>
      <c r="N534" s="239"/>
      <c r="O534" s="225"/>
      <c r="P534" s="260"/>
      <c r="Q534" s="258"/>
      <c r="R534" s="260"/>
      <c r="S534" s="260"/>
      <c r="T534" s="260"/>
      <c r="U534" s="260"/>
      <c r="V534" s="260"/>
      <c r="W534" s="260"/>
      <c r="X534" s="260"/>
      <c r="Y534" s="260"/>
      <c r="Z534" s="260"/>
      <c r="AA534" s="260"/>
      <c r="AB534" s="260"/>
      <c r="AC534" s="260"/>
      <c r="AD534" s="260"/>
      <c r="AE534" s="260"/>
      <c r="AF534" s="260"/>
      <c r="AG534" s="258"/>
      <c r="AO534"/>
      <c r="AP534"/>
      <c r="AQ534"/>
      <c r="AR534"/>
      <c r="AS534"/>
      <c r="AT534"/>
      <c r="AU534"/>
      <c r="AV534"/>
      <c r="AW534"/>
      <c r="AX534"/>
      <c r="AY534"/>
      <c r="AZ534"/>
      <c r="BA534"/>
      <c r="BB534"/>
      <c r="BC534"/>
      <c r="BD534"/>
      <c r="BE534"/>
      <c r="BF534"/>
    </row>
    <row r="535" spans="13:58" ht="12" hidden="1" customHeight="1">
      <c r="M535" s="820"/>
      <c r="N535" s="239"/>
      <c r="O535" s="225"/>
      <c r="P535" s="260"/>
      <c r="Q535" s="258"/>
      <c r="R535" s="260"/>
      <c r="S535" s="260"/>
      <c r="T535" s="260"/>
      <c r="U535" s="260"/>
      <c r="V535" s="260"/>
      <c r="W535" s="260"/>
      <c r="X535" s="260"/>
      <c r="Y535" s="260"/>
      <c r="Z535" s="260"/>
      <c r="AA535" s="260"/>
      <c r="AB535" s="260"/>
      <c r="AC535" s="260"/>
      <c r="AD535" s="260"/>
      <c r="AE535" s="260"/>
      <c r="AF535" s="260"/>
      <c r="AG535" s="258"/>
      <c r="AO535"/>
      <c r="AP535"/>
      <c r="AQ535"/>
      <c r="AR535"/>
      <c r="AS535"/>
      <c r="AT535"/>
      <c r="AU535"/>
      <c r="AV535"/>
      <c r="AW535"/>
      <c r="AX535"/>
      <c r="AY535"/>
      <c r="AZ535"/>
      <c r="BA535"/>
      <c r="BB535"/>
      <c r="BC535"/>
      <c r="BD535"/>
      <c r="BE535"/>
      <c r="BF535"/>
    </row>
    <row r="536" spans="13:58" ht="12" hidden="1" customHeight="1">
      <c r="M536" s="820"/>
      <c r="N536" s="239"/>
      <c r="O536" s="225"/>
      <c r="P536" s="260"/>
      <c r="Q536" s="258"/>
      <c r="R536" s="260"/>
      <c r="S536" s="260"/>
      <c r="T536" s="260"/>
      <c r="U536" s="260"/>
      <c r="V536" s="260"/>
      <c r="W536" s="260"/>
      <c r="X536" s="260"/>
      <c r="Y536" s="260"/>
      <c r="Z536" s="260"/>
      <c r="AA536" s="260"/>
      <c r="AB536" s="260"/>
      <c r="AC536" s="260"/>
      <c r="AD536" s="260"/>
      <c r="AE536" s="260"/>
      <c r="AF536" s="260"/>
      <c r="AG536" s="258"/>
      <c r="AO536"/>
      <c r="AP536"/>
      <c r="AQ536"/>
      <c r="AR536"/>
      <c r="AS536"/>
      <c r="AT536"/>
      <c r="AU536"/>
      <c r="AV536"/>
      <c r="AW536"/>
      <c r="AX536"/>
      <c r="AY536"/>
      <c r="AZ536"/>
      <c r="BA536"/>
      <c r="BB536"/>
      <c r="BC536"/>
      <c r="BD536"/>
      <c r="BE536"/>
      <c r="BF536"/>
    </row>
    <row r="537" spans="13:58" ht="12" hidden="1" customHeight="1">
      <c r="M537" s="820"/>
      <c r="N537" s="239"/>
      <c r="O537" s="225"/>
      <c r="P537" s="260"/>
      <c r="Q537" s="258"/>
      <c r="R537" s="260"/>
      <c r="S537" s="260"/>
      <c r="T537" s="260"/>
      <c r="U537" s="260"/>
      <c r="V537" s="260"/>
      <c r="W537" s="260"/>
      <c r="X537" s="260"/>
      <c r="Y537" s="260"/>
      <c r="Z537" s="260"/>
      <c r="AA537" s="260"/>
      <c r="AB537" s="260"/>
      <c r="AC537" s="260"/>
      <c r="AD537" s="260"/>
      <c r="AE537" s="260"/>
      <c r="AF537" s="260"/>
      <c r="AG537" s="258"/>
      <c r="AO537"/>
      <c r="AP537"/>
      <c r="AQ537"/>
      <c r="AR537"/>
      <c r="AS537"/>
      <c r="AT537"/>
      <c r="AU537"/>
      <c r="AV537"/>
      <c r="AW537"/>
      <c r="AX537"/>
      <c r="AY537"/>
      <c r="AZ537"/>
      <c r="BA537"/>
      <c r="BB537"/>
      <c r="BC537"/>
      <c r="BD537"/>
      <c r="BE537"/>
      <c r="BF537"/>
    </row>
    <row r="538" spans="13:58" ht="12" hidden="1" customHeight="1">
      <c r="M538" s="820"/>
      <c r="N538" s="239"/>
      <c r="O538" s="225"/>
      <c r="P538" s="260"/>
      <c r="Q538" s="258"/>
      <c r="R538" s="260"/>
      <c r="S538" s="260"/>
      <c r="T538" s="260"/>
      <c r="U538" s="260"/>
      <c r="V538" s="260"/>
      <c r="W538" s="260"/>
      <c r="X538" s="260"/>
      <c r="Y538" s="260"/>
      <c r="Z538" s="260"/>
      <c r="AA538" s="260"/>
      <c r="AB538" s="260"/>
      <c r="AC538" s="260"/>
      <c r="AD538" s="260"/>
      <c r="AE538" s="260"/>
      <c r="AF538" s="260"/>
      <c r="AG538" s="258"/>
      <c r="AO538"/>
      <c r="AP538"/>
      <c r="AQ538"/>
      <c r="AR538"/>
      <c r="AS538"/>
      <c r="AT538"/>
      <c r="AU538"/>
      <c r="AV538"/>
      <c r="AW538"/>
      <c r="AX538"/>
      <c r="AY538"/>
      <c r="AZ538"/>
      <c r="BA538"/>
      <c r="BB538"/>
      <c r="BC538"/>
      <c r="BD538"/>
      <c r="BE538"/>
      <c r="BF538"/>
    </row>
    <row r="539" spans="13:58" ht="12" hidden="1" customHeight="1">
      <c r="M539" s="820"/>
      <c r="N539" s="239"/>
      <c r="O539" s="225"/>
      <c r="P539" s="260"/>
      <c r="Q539" s="258"/>
      <c r="R539" s="260"/>
      <c r="S539" s="260"/>
      <c r="T539" s="260"/>
      <c r="U539" s="260"/>
      <c r="V539" s="260"/>
      <c r="W539" s="260"/>
      <c r="X539" s="260"/>
      <c r="Y539" s="260"/>
      <c r="Z539" s="260"/>
      <c r="AA539" s="260"/>
      <c r="AB539" s="260"/>
      <c r="AC539" s="260"/>
      <c r="AD539" s="260"/>
      <c r="AE539" s="260"/>
      <c r="AF539" s="260"/>
      <c r="AG539" s="258"/>
      <c r="AO539"/>
      <c r="AP539"/>
      <c r="AQ539"/>
      <c r="AR539"/>
      <c r="AS539"/>
      <c r="AT539"/>
      <c r="AU539"/>
      <c r="AV539"/>
      <c r="AW539"/>
      <c r="AX539"/>
      <c r="AY539"/>
      <c r="AZ539"/>
      <c r="BA539"/>
      <c r="BB539"/>
      <c r="BC539"/>
      <c r="BD539"/>
      <c r="BE539"/>
      <c r="BF539"/>
    </row>
    <row r="540" spans="13:58" ht="12" hidden="1" customHeight="1">
      <c r="M540" s="820"/>
      <c r="N540" s="239"/>
      <c r="O540" s="225"/>
      <c r="P540" s="260"/>
      <c r="Q540" s="258"/>
      <c r="R540" s="260"/>
      <c r="S540" s="260"/>
      <c r="T540" s="260"/>
      <c r="U540" s="260"/>
      <c r="V540" s="260"/>
      <c r="W540" s="260"/>
      <c r="X540" s="260"/>
      <c r="Y540" s="260"/>
      <c r="Z540" s="260"/>
      <c r="AA540" s="260"/>
      <c r="AB540" s="260"/>
      <c r="AC540" s="260"/>
      <c r="AD540" s="260"/>
      <c r="AE540" s="260"/>
      <c r="AF540" s="260"/>
      <c r="AG540" s="258"/>
      <c r="AO540"/>
      <c r="AP540"/>
      <c r="AQ540"/>
      <c r="AR540"/>
      <c r="AS540"/>
      <c r="AT540"/>
      <c r="AU540"/>
      <c r="AV540"/>
      <c r="AW540"/>
      <c r="AX540"/>
      <c r="AY540"/>
      <c r="AZ540"/>
      <c r="BA540"/>
      <c r="BB540"/>
      <c r="BC540"/>
      <c r="BD540"/>
      <c r="BE540"/>
      <c r="BF540"/>
    </row>
    <row r="541" spans="13:58" ht="12" hidden="1" customHeight="1">
      <c r="M541" s="820"/>
      <c r="N541" s="239"/>
      <c r="O541" s="225"/>
      <c r="P541" s="260"/>
      <c r="Q541" s="258"/>
      <c r="R541" s="260"/>
      <c r="S541" s="260"/>
      <c r="T541" s="260"/>
      <c r="U541" s="260"/>
      <c r="V541" s="260"/>
      <c r="W541" s="260"/>
      <c r="X541" s="260"/>
      <c r="Y541" s="260"/>
      <c r="Z541" s="260"/>
      <c r="AA541" s="260"/>
      <c r="AB541" s="260"/>
      <c r="AC541" s="260"/>
      <c r="AD541" s="260"/>
      <c r="AE541" s="260"/>
      <c r="AF541" s="260"/>
      <c r="AG541" s="258"/>
      <c r="AO541"/>
      <c r="AP541"/>
      <c r="AQ541"/>
      <c r="AR541"/>
      <c r="AS541"/>
      <c r="AT541"/>
      <c r="AU541"/>
      <c r="AV541"/>
      <c r="AW541"/>
      <c r="AX541"/>
      <c r="AY541"/>
      <c r="AZ541"/>
      <c r="BA541"/>
      <c r="BB541"/>
      <c r="BC541"/>
      <c r="BD541"/>
      <c r="BE541"/>
      <c r="BF541"/>
    </row>
    <row r="542" spans="13:58" ht="12" hidden="1" customHeight="1">
      <c r="M542" s="820"/>
      <c r="N542" s="239"/>
      <c r="O542" s="225"/>
      <c r="P542" s="260"/>
      <c r="Q542" s="258"/>
      <c r="R542" s="260"/>
      <c r="S542" s="260"/>
      <c r="T542" s="260"/>
      <c r="U542" s="260"/>
      <c r="V542" s="260"/>
      <c r="W542" s="260"/>
      <c r="X542" s="260"/>
      <c r="Y542" s="260"/>
      <c r="Z542" s="260"/>
      <c r="AA542" s="260"/>
      <c r="AB542" s="260"/>
      <c r="AC542" s="260"/>
      <c r="AD542" s="260"/>
      <c r="AE542" s="260"/>
      <c r="AF542" s="260"/>
      <c r="AG542" s="258"/>
      <c r="AO542"/>
      <c r="AP542"/>
      <c r="AQ542"/>
      <c r="AR542"/>
      <c r="AS542"/>
      <c r="AT542"/>
      <c r="AU542"/>
      <c r="AV542"/>
      <c r="AW542"/>
      <c r="AX542"/>
      <c r="AY542"/>
      <c r="AZ542"/>
      <c r="BA542"/>
      <c r="BB542"/>
      <c r="BC542"/>
      <c r="BD542"/>
      <c r="BE542"/>
      <c r="BF542"/>
    </row>
    <row r="543" spans="13:58" ht="12" hidden="1" customHeight="1">
      <c r="M543" s="820"/>
      <c r="N543" s="239"/>
      <c r="O543" s="225"/>
      <c r="P543" s="260"/>
      <c r="Q543" s="258"/>
      <c r="R543" s="260"/>
      <c r="S543" s="260"/>
      <c r="T543" s="260"/>
      <c r="U543" s="260"/>
      <c r="V543" s="260"/>
      <c r="W543" s="260"/>
      <c r="X543" s="260"/>
      <c r="Y543" s="260"/>
      <c r="Z543" s="260"/>
      <c r="AA543" s="260"/>
      <c r="AB543" s="260"/>
      <c r="AC543" s="260"/>
      <c r="AD543" s="260"/>
      <c r="AE543" s="260"/>
      <c r="AF543" s="260"/>
      <c r="AG543" s="258"/>
      <c r="AO543"/>
      <c r="AP543"/>
      <c r="AQ543"/>
      <c r="AR543"/>
      <c r="AS543"/>
      <c r="AT543"/>
      <c r="AU543"/>
      <c r="AV543"/>
      <c r="AW543"/>
      <c r="AX543"/>
      <c r="AY543"/>
      <c r="AZ543"/>
      <c r="BA543"/>
      <c r="BB543"/>
      <c r="BC543"/>
      <c r="BD543"/>
      <c r="BE543"/>
      <c r="BF543"/>
    </row>
    <row r="544" spans="13:58" ht="12" hidden="1" customHeight="1">
      <c r="M544" s="820"/>
      <c r="N544" s="239"/>
      <c r="O544" s="225"/>
      <c r="P544" s="260"/>
      <c r="Q544" s="258"/>
      <c r="R544" s="260"/>
      <c r="S544" s="260"/>
      <c r="T544" s="260"/>
      <c r="U544" s="260"/>
      <c r="V544" s="260"/>
      <c r="W544" s="260"/>
      <c r="X544" s="260"/>
      <c r="Y544" s="260"/>
      <c r="Z544" s="260"/>
      <c r="AA544" s="260"/>
      <c r="AB544" s="260"/>
      <c r="AC544" s="260"/>
      <c r="AD544" s="260"/>
      <c r="AE544" s="260"/>
      <c r="AF544" s="260"/>
      <c r="AG544" s="258"/>
      <c r="AO544"/>
      <c r="AP544"/>
      <c r="AQ544"/>
      <c r="AR544"/>
      <c r="AS544"/>
      <c r="AT544"/>
      <c r="AU544"/>
      <c r="AV544"/>
      <c r="AW544"/>
      <c r="AX544"/>
      <c r="AY544"/>
      <c r="AZ544"/>
      <c r="BA544"/>
      <c r="BB544"/>
      <c r="BC544"/>
      <c r="BD544"/>
      <c r="BE544"/>
      <c r="BF544"/>
    </row>
    <row r="545" spans="13:58" ht="12" hidden="1" customHeight="1">
      <c r="M545" s="820"/>
      <c r="N545" s="239"/>
      <c r="O545" s="225"/>
      <c r="P545" s="260"/>
      <c r="Q545" s="258"/>
      <c r="R545" s="260"/>
      <c r="S545" s="260"/>
      <c r="T545" s="260"/>
      <c r="U545" s="260"/>
      <c r="V545" s="260"/>
      <c r="W545" s="260"/>
      <c r="X545" s="260"/>
      <c r="Y545" s="260"/>
      <c r="Z545" s="260"/>
      <c r="AA545" s="260"/>
      <c r="AB545" s="260"/>
      <c r="AC545" s="260"/>
      <c r="AD545" s="260"/>
      <c r="AE545" s="260"/>
      <c r="AF545" s="260"/>
      <c r="AG545" s="258"/>
      <c r="AO545"/>
      <c r="AP545"/>
      <c r="AQ545"/>
      <c r="AR545"/>
      <c r="AS545"/>
      <c r="AT545"/>
      <c r="AU545"/>
      <c r="AV545"/>
      <c r="AW545"/>
      <c r="AX545"/>
      <c r="AY545"/>
      <c r="AZ545"/>
      <c r="BA545"/>
      <c r="BB545"/>
      <c r="BC545"/>
      <c r="BD545"/>
      <c r="BE545"/>
      <c r="BF545"/>
    </row>
    <row r="546" spans="13:58" ht="12" hidden="1" customHeight="1">
      <c r="M546" s="820"/>
      <c r="N546" s="239"/>
      <c r="O546" s="225"/>
      <c r="P546" s="260"/>
      <c r="Q546" s="258"/>
      <c r="R546" s="260"/>
      <c r="S546" s="260"/>
      <c r="T546" s="260"/>
      <c r="U546" s="260"/>
      <c r="V546" s="260"/>
      <c r="W546" s="260"/>
      <c r="X546" s="260"/>
      <c r="Y546" s="260"/>
      <c r="Z546" s="260"/>
      <c r="AA546" s="260"/>
      <c r="AB546" s="260"/>
      <c r="AC546" s="260"/>
      <c r="AD546" s="260"/>
      <c r="AE546" s="260"/>
      <c r="AF546" s="260"/>
      <c r="AG546" s="258"/>
      <c r="AO546"/>
      <c r="AP546"/>
      <c r="AQ546"/>
      <c r="AR546"/>
      <c r="AS546"/>
      <c r="AT546"/>
      <c r="AU546"/>
      <c r="AV546"/>
      <c r="AW546"/>
      <c r="AX546"/>
      <c r="AY546"/>
      <c r="AZ546"/>
      <c r="BA546"/>
      <c r="BB546"/>
      <c r="BC546"/>
      <c r="BD546"/>
      <c r="BE546"/>
      <c r="BF546"/>
    </row>
    <row r="547" spans="13:58" ht="12" hidden="1" customHeight="1">
      <c r="M547" s="820"/>
      <c r="N547" s="239"/>
      <c r="O547" s="225"/>
      <c r="P547" s="260"/>
      <c r="Q547" s="258"/>
      <c r="R547" s="260"/>
      <c r="S547" s="260"/>
      <c r="T547" s="260"/>
      <c r="U547" s="260"/>
      <c r="V547" s="260"/>
      <c r="W547" s="260"/>
      <c r="X547" s="260"/>
      <c r="Y547" s="260"/>
      <c r="Z547" s="260"/>
      <c r="AA547" s="260"/>
      <c r="AB547" s="260"/>
      <c r="AC547" s="260"/>
      <c r="AD547" s="260"/>
      <c r="AE547" s="260"/>
      <c r="AF547" s="260"/>
      <c r="AG547" s="258"/>
      <c r="AO547"/>
      <c r="AP547"/>
      <c r="AQ547"/>
      <c r="AR547"/>
      <c r="AS547"/>
      <c r="AT547"/>
      <c r="AU547"/>
      <c r="AV547"/>
      <c r="AW547"/>
      <c r="AX547"/>
      <c r="AY547"/>
      <c r="AZ547"/>
      <c r="BA547"/>
      <c r="BB547"/>
      <c r="BC547"/>
      <c r="BD547"/>
      <c r="BE547"/>
      <c r="BF547"/>
    </row>
    <row r="548" spans="13:58" ht="12" hidden="1" customHeight="1">
      <c r="M548" s="820"/>
      <c r="N548" s="239"/>
      <c r="O548" s="225"/>
      <c r="P548" s="260"/>
      <c r="Q548" s="258"/>
      <c r="R548" s="260"/>
      <c r="S548" s="260"/>
      <c r="T548" s="260"/>
      <c r="U548" s="260"/>
      <c r="V548" s="260"/>
      <c r="W548" s="260"/>
      <c r="X548" s="260"/>
      <c r="Y548" s="260"/>
      <c r="Z548" s="260"/>
      <c r="AA548" s="260"/>
      <c r="AB548" s="260"/>
      <c r="AC548" s="260"/>
      <c r="AD548" s="260"/>
      <c r="AE548" s="260"/>
      <c r="AF548" s="260"/>
      <c r="AG548" s="258"/>
      <c r="AO548"/>
      <c r="AP548"/>
      <c r="AQ548"/>
      <c r="AR548"/>
      <c r="AS548"/>
      <c r="AT548"/>
      <c r="AU548"/>
      <c r="AV548"/>
      <c r="AW548"/>
      <c r="AX548"/>
      <c r="AY548"/>
      <c r="AZ548"/>
      <c r="BA548"/>
      <c r="BB548"/>
      <c r="BC548"/>
      <c r="BD548"/>
      <c r="BE548"/>
      <c r="BF548"/>
    </row>
    <row r="549" spans="13:58" ht="12" hidden="1" customHeight="1">
      <c r="M549" s="820"/>
      <c r="N549" s="239"/>
      <c r="O549" s="225"/>
      <c r="P549" s="260"/>
      <c r="Q549" s="258"/>
      <c r="R549" s="260"/>
      <c r="S549" s="260"/>
      <c r="T549" s="260"/>
      <c r="U549" s="260"/>
      <c r="V549" s="260"/>
      <c r="W549" s="260"/>
      <c r="X549" s="260"/>
      <c r="Y549" s="260"/>
      <c r="Z549" s="260"/>
      <c r="AA549" s="260"/>
      <c r="AB549" s="260"/>
      <c r="AC549" s="260"/>
      <c r="AD549" s="260"/>
      <c r="AE549" s="260"/>
      <c r="AF549" s="260"/>
      <c r="AG549" s="258"/>
      <c r="AO549"/>
      <c r="AP549"/>
      <c r="AQ549"/>
      <c r="AR549"/>
      <c r="AS549"/>
      <c r="AT549"/>
      <c r="AU549"/>
      <c r="AV549"/>
      <c r="AW549"/>
      <c r="AX549"/>
      <c r="AY549"/>
      <c r="AZ549"/>
      <c r="BA549"/>
      <c r="BB549"/>
      <c r="BC549"/>
      <c r="BD549"/>
      <c r="BE549"/>
      <c r="BF549"/>
    </row>
    <row r="550" spans="13:58" ht="12" hidden="1" customHeight="1">
      <c r="M550" s="820"/>
      <c r="N550" s="239"/>
      <c r="O550" s="225"/>
      <c r="P550" s="260"/>
      <c r="Q550" s="258"/>
      <c r="R550" s="260"/>
      <c r="S550" s="260"/>
      <c r="T550" s="260"/>
      <c r="U550" s="260"/>
      <c r="V550" s="260"/>
      <c r="W550" s="260"/>
      <c r="X550" s="260"/>
      <c r="Y550" s="260"/>
      <c r="Z550" s="260"/>
      <c r="AA550" s="260"/>
      <c r="AB550" s="260"/>
      <c r="AC550" s="260"/>
      <c r="AD550" s="260"/>
      <c r="AE550" s="260"/>
      <c r="AF550" s="260"/>
      <c r="AG550" s="258"/>
      <c r="AO550"/>
      <c r="AP550"/>
      <c r="AQ550"/>
      <c r="AR550"/>
      <c r="AS550"/>
      <c r="AT550"/>
      <c r="AU550"/>
      <c r="AV550"/>
      <c r="AW550"/>
      <c r="AX550"/>
      <c r="AY550"/>
      <c r="AZ550"/>
      <c r="BA550"/>
      <c r="BB550"/>
      <c r="BC550"/>
      <c r="BD550"/>
      <c r="BE550"/>
      <c r="BF550"/>
    </row>
    <row r="551" spans="13:58" ht="12" hidden="1" customHeight="1">
      <c r="M551" s="820"/>
      <c r="N551" s="239"/>
      <c r="O551" s="225"/>
      <c r="P551" s="260"/>
      <c r="Q551" s="258"/>
      <c r="R551" s="260"/>
      <c r="S551" s="260"/>
      <c r="T551" s="260"/>
      <c r="U551" s="260"/>
      <c r="V551" s="260"/>
      <c r="W551" s="260"/>
      <c r="X551" s="260"/>
      <c r="Y551" s="260"/>
      <c r="Z551" s="260"/>
      <c r="AA551" s="260"/>
      <c r="AB551" s="260"/>
      <c r="AC551" s="260"/>
      <c r="AD551" s="260"/>
      <c r="AE551" s="260"/>
      <c r="AF551" s="260"/>
      <c r="AG551" s="258"/>
      <c r="AO551"/>
      <c r="AP551"/>
      <c r="AQ551"/>
      <c r="AR551"/>
      <c r="AS551"/>
      <c r="AT551"/>
      <c r="AU551"/>
      <c r="AV551"/>
      <c r="AW551"/>
      <c r="AX551"/>
      <c r="AY551"/>
      <c r="AZ551"/>
      <c r="BA551"/>
      <c r="BB551"/>
      <c r="BC551"/>
      <c r="BD551"/>
      <c r="BE551"/>
      <c r="BF551"/>
    </row>
    <row r="552" spans="13:58" ht="12" hidden="1" customHeight="1">
      <c r="M552" s="820"/>
      <c r="N552" s="239"/>
      <c r="O552" s="225"/>
      <c r="P552" s="260"/>
      <c r="Q552" s="258"/>
      <c r="R552" s="260"/>
      <c r="S552" s="260"/>
      <c r="T552" s="260"/>
      <c r="U552" s="260"/>
      <c r="V552" s="260"/>
      <c r="W552" s="260"/>
      <c r="X552" s="260"/>
      <c r="Y552" s="260"/>
      <c r="Z552" s="260"/>
      <c r="AA552" s="260"/>
      <c r="AB552" s="260"/>
      <c r="AC552" s="260"/>
      <c r="AD552" s="260"/>
      <c r="AE552" s="260"/>
      <c r="AF552" s="260"/>
      <c r="AG552" s="258"/>
      <c r="AO552"/>
      <c r="AP552"/>
      <c r="AQ552"/>
      <c r="AR552"/>
      <c r="AS552"/>
      <c r="AT552"/>
      <c r="AU552"/>
      <c r="AV552"/>
      <c r="AW552"/>
      <c r="AX552"/>
      <c r="AY552"/>
      <c r="AZ552"/>
      <c r="BA552"/>
      <c r="BB552"/>
      <c r="BC552"/>
      <c r="BD552"/>
      <c r="BE552"/>
      <c r="BF552"/>
    </row>
    <row r="553" spans="13:58" ht="12" hidden="1" customHeight="1">
      <c r="M553" s="820"/>
      <c r="N553" s="239"/>
      <c r="O553" s="225"/>
      <c r="P553" s="260"/>
      <c r="Q553" s="258"/>
      <c r="R553" s="260"/>
      <c r="S553" s="260"/>
      <c r="T553" s="260"/>
      <c r="U553" s="260"/>
      <c r="V553" s="260"/>
      <c r="W553" s="260"/>
      <c r="X553" s="260"/>
      <c r="Y553" s="260"/>
      <c r="Z553" s="260"/>
      <c r="AA553" s="260"/>
      <c r="AB553" s="260"/>
      <c r="AC553" s="260"/>
      <c r="AD553" s="260"/>
      <c r="AE553" s="260"/>
      <c r="AF553" s="260"/>
      <c r="AG553" s="258"/>
      <c r="AO553"/>
      <c r="AP553"/>
      <c r="AQ553"/>
      <c r="AR553"/>
      <c r="AS553"/>
      <c r="AT553"/>
      <c r="AU553"/>
      <c r="AV553"/>
      <c r="AW553"/>
      <c r="AX553"/>
      <c r="AY553"/>
      <c r="AZ553"/>
      <c r="BA553"/>
      <c r="BB553"/>
      <c r="BC553"/>
      <c r="BD553"/>
      <c r="BE553"/>
      <c r="BF553"/>
    </row>
    <row r="554" spans="13:58" ht="12" hidden="1" customHeight="1">
      <c r="M554" s="820"/>
      <c r="N554" s="239"/>
      <c r="O554" s="225"/>
      <c r="P554" s="260"/>
      <c r="Q554" s="258"/>
      <c r="R554" s="260"/>
      <c r="S554" s="260"/>
      <c r="T554" s="260"/>
      <c r="U554" s="260"/>
      <c r="V554" s="260"/>
      <c r="W554" s="260"/>
      <c r="X554" s="260"/>
      <c r="Y554" s="260"/>
      <c r="Z554" s="260"/>
      <c r="AA554" s="260"/>
      <c r="AB554" s="260"/>
      <c r="AC554" s="260"/>
      <c r="AD554" s="260"/>
      <c r="AE554" s="260"/>
      <c r="AF554" s="260"/>
      <c r="AG554" s="258"/>
      <c r="AO554"/>
      <c r="AP554"/>
      <c r="AQ554"/>
      <c r="AR554"/>
      <c r="AS554"/>
      <c r="AT554"/>
      <c r="AU554"/>
      <c r="AV554"/>
      <c r="AW554"/>
      <c r="AX554"/>
      <c r="AY554"/>
      <c r="AZ554"/>
      <c r="BA554"/>
      <c r="BB554"/>
      <c r="BC554"/>
      <c r="BD554"/>
      <c r="BE554"/>
      <c r="BF554"/>
    </row>
    <row r="555" spans="13:58" ht="12" hidden="1" customHeight="1">
      <c r="M555" s="820"/>
      <c r="N555" s="239"/>
      <c r="O555" s="225"/>
      <c r="P555" s="260"/>
      <c r="Q555" s="258"/>
      <c r="R555" s="260"/>
      <c r="S555" s="260"/>
      <c r="T555" s="260"/>
      <c r="U555" s="260"/>
      <c r="V555" s="260"/>
      <c r="W555" s="260"/>
      <c r="X555" s="260"/>
      <c r="Y555" s="260"/>
      <c r="Z555" s="260"/>
      <c r="AA555" s="260"/>
      <c r="AB555" s="260"/>
      <c r="AC555" s="260"/>
      <c r="AD555" s="260"/>
      <c r="AE555" s="260"/>
      <c r="AF555" s="260"/>
      <c r="AG555" s="258"/>
      <c r="AO555"/>
      <c r="AP555"/>
      <c r="AQ555"/>
      <c r="AR555"/>
      <c r="AS555"/>
      <c r="AT555"/>
      <c r="AU555"/>
      <c r="AV555"/>
      <c r="AW555"/>
      <c r="AX555"/>
      <c r="AY555"/>
      <c r="AZ555"/>
      <c r="BA555"/>
      <c r="BB555"/>
      <c r="BC555"/>
      <c r="BD555"/>
      <c r="BE555"/>
      <c r="BF555"/>
    </row>
    <row r="556" spans="13:58" ht="12" hidden="1" customHeight="1">
      <c r="M556" s="820"/>
      <c r="N556" s="239"/>
      <c r="O556" s="225"/>
      <c r="P556" s="260"/>
      <c r="Q556" s="258"/>
      <c r="R556" s="260"/>
      <c r="S556" s="260"/>
      <c r="T556" s="260"/>
      <c r="U556" s="260"/>
      <c r="V556" s="260"/>
      <c r="W556" s="260"/>
      <c r="X556" s="260"/>
      <c r="Y556" s="260"/>
      <c r="Z556" s="260"/>
      <c r="AA556" s="260"/>
      <c r="AB556" s="260"/>
      <c r="AC556" s="260"/>
      <c r="AD556" s="260"/>
      <c r="AE556" s="260"/>
      <c r="AF556" s="260"/>
      <c r="AG556" s="258"/>
      <c r="AO556"/>
      <c r="AP556"/>
      <c r="AQ556"/>
      <c r="AR556"/>
      <c r="AS556"/>
      <c r="AT556"/>
      <c r="AU556"/>
      <c r="AV556"/>
      <c r="AW556"/>
      <c r="AX556"/>
      <c r="AY556"/>
      <c r="AZ556"/>
      <c r="BA556"/>
      <c r="BB556"/>
      <c r="BC556"/>
      <c r="BD556"/>
      <c r="BE556"/>
      <c r="BF556"/>
    </row>
    <row r="557" spans="13:58" ht="12" hidden="1" customHeight="1">
      <c r="M557" s="820"/>
      <c r="N557" s="239"/>
      <c r="O557" s="225"/>
      <c r="P557" s="260"/>
      <c r="Q557" s="258"/>
      <c r="R557" s="260"/>
      <c r="S557" s="260"/>
      <c r="T557" s="260"/>
      <c r="U557" s="260"/>
      <c r="V557" s="260"/>
      <c r="W557" s="260"/>
      <c r="X557" s="260"/>
      <c r="Y557" s="260"/>
      <c r="Z557" s="260"/>
      <c r="AA557" s="260"/>
      <c r="AB557" s="260"/>
      <c r="AC557" s="260"/>
      <c r="AD557" s="260"/>
      <c r="AE557" s="260"/>
      <c r="AF557" s="260"/>
      <c r="AG557" s="258"/>
      <c r="AO557"/>
      <c r="AP557"/>
      <c r="AQ557"/>
      <c r="AR557"/>
      <c r="AS557"/>
      <c r="AT557"/>
      <c r="AU557"/>
      <c r="AV557"/>
      <c r="AW557"/>
      <c r="AX557"/>
      <c r="AY557"/>
      <c r="AZ557"/>
      <c r="BA557"/>
      <c r="BB557"/>
      <c r="BC557"/>
      <c r="BD557"/>
      <c r="BE557"/>
      <c r="BF557"/>
    </row>
    <row r="558" spans="13:58" ht="12" hidden="1" customHeight="1">
      <c r="M558" s="820"/>
      <c r="N558" s="239"/>
      <c r="O558" s="225"/>
      <c r="P558" s="260"/>
      <c r="Q558" s="258"/>
      <c r="R558" s="260"/>
      <c r="S558" s="260"/>
      <c r="T558" s="260"/>
      <c r="U558" s="260"/>
      <c r="V558" s="260"/>
      <c r="W558" s="260"/>
      <c r="X558" s="260"/>
      <c r="Y558" s="260"/>
      <c r="Z558" s="260"/>
      <c r="AA558" s="260"/>
      <c r="AB558" s="260"/>
      <c r="AC558" s="260"/>
      <c r="AD558" s="260"/>
      <c r="AE558" s="260"/>
      <c r="AF558" s="260"/>
      <c r="AG558" s="258"/>
      <c r="AO558"/>
      <c r="AP558"/>
      <c r="AQ558"/>
      <c r="AR558"/>
      <c r="AS558"/>
      <c r="AT558"/>
      <c r="AU558"/>
      <c r="AV558"/>
      <c r="AW558"/>
      <c r="AX558"/>
      <c r="AY558"/>
      <c r="AZ558"/>
      <c r="BA558"/>
      <c r="BB558"/>
      <c r="BC558"/>
      <c r="BD558"/>
      <c r="BE558"/>
      <c r="BF558"/>
    </row>
    <row r="559" spans="13:58" ht="12" hidden="1" customHeight="1">
      <c r="M559" s="820"/>
      <c r="N559" s="239"/>
      <c r="O559" s="225"/>
      <c r="P559" s="260"/>
      <c r="Q559" s="258"/>
      <c r="R559" s="260"/>
      <c r="S559" s="260"/>
      <c r="T559" s="260"/>
      <c r="U559" s="260"/>
      <c r="V559" s="260"/>
      <c r="W559" s="260"/>
      <c r="X559" s="260"/>
      <c r="Y559" s="260"/>
      <c r="Z559" s="260"/>
      <c r="AA559" s="260"/>
      <c r="AB559" s="260"/>
      <c r="AC559" s="260"/>
      <c r="AD559" s="260"/>
      <c r="AE559" s="260"/>
      <c r="AF559" s="260"/>
      <c r="AG559" s="258"/>
      <c r="AO559"/>
      <c r="AP559"/>
      <c r="AQ559"/>
      <c r="AR559"/>
      <c r="AS559"/>
      <c r="AT559"/>
      <c r="AU559"/>
      <c r="AV559"/>
      <c r="AW559"/>
      <c r="AX559"/>
      <c r="AY559"/>
      <c r="AZ559"/>
      <c r="BA559"/>
      <c r="BB559"/>
      <c r="BC559"/>
      <c r="BD559"/>
      <c r="BE559"/>
      <c r="BF559"/>
    </row>
    <row r="560" spans="13:58" ht="12" hidden="1" customHeight="1">
      <c r="M560" s="820"/>
      <c r="N560" s="239"/>
      <c r="O560" s="225"/>
      <c r="P560" s="260"/>
      <c r="Q560" s="258"/>
      <c r="R560" s="260"/>
      <c r="S560" s="260"/>
      <c r="T560" s="260"/>
      <c r="U560" s="260"/>
      <c r="V560" s="260"/>
      <c r="W560" s="260"/>
      <c r="X560" s="260"/>
      <c r="Y560" s="260"/>
      <c r="Z560" s="260"/>
      <c r="AA560" s="260"/>
      <c r="AB560" s="260"/>
      <c r="AC560" s="260"/>
      <c r="AD560" s="260"/>
      <c r="AE560" s="260"/>
      <c r="AF560" s="260"/>
      <c r="AG560" s="258"/>
      <c r="AO560"/>
      <c r="AP560"/>
      <c r="AQ560"/>
      <c r="AR560"/>
      <c r="AS560"/>
      <c r="AT560"/>
      <c r="AU560"/>
      <c r="AV560"/>
      <c r="AW560"/>
      <c r="AX560"/>
      <c r="AY560"/>
      <c r="AZ560"/>
      <c r="BA560"/>
      <c r="BB560"/>
      <c r="BC560"/>
      <c r="BD560"/>
      <c r="BE560"/>
      <c r="BF560"/>
    </row>
    <row r="561" spans="13:58" ht="12" hidden="1" customHeight="1">
      <c r="M561" s="820"/>
      <c r="N561" s="239"/>
      <c r="O561" s="225"/>
      <c r="P561" s="260"/>
      <c r="Q561" s="258"/>
      <c r="R561" s="260"/>
      <c r="S561" s="260"/>
      <c r="T561" s="260"/>
      <c r="U561" s="260"/>
      <c r="V561" s="260"/>
      <c r="W561" s="260"/>
      <c r="X561" s="260"/>
      <c r="Y561" s="260"/>
      <c r="Z561" s="260"/>
      <c r="AA561" s="260"/>
      <c r="AB561" s="260"/>
      <c r="AC561" s="260"/>
      <c r="AD561" s="260"/>
      <c r="AE561" s="260"/>
      <c r="AF561" s="260"/>
      <c r="AG561" s="258"/>
      <c r="AO561"/>
      <c r="AP561"/>
      <c r="AQ561"/>
      <c r="AR561"/>
      <c r="AS561"/>
      <c r="AT561"/>
      <c r="AU561"/>
      <c r="AV561"/>
      <c r="AW561"/>
      <c r="AX561"/>
      <c r="AY561"/>
      <c r="AZ561"/>
      <c r="BA561"/>
      <c r="BB561"/>
      <c r="BC561"/>
      <c r="BD561"/>
      <c r="BE561"/>
      <c r="BF561"/>
    </row>
    <row r="562" spans="13:58" ht="12" hidden="1" customHeight="1">
      <c r="M562" s="820"/>
      <c r="N562" s="239"/>
      <c r="O562" s="225"/>
      <c r="P562" s="260"/>
      <c r="Q562" s="258"/>
      <c r="R562" s="260"/>
      <c r="S562" s="260"/>
      <c r="T562" s="260"/>
      <c r="U562" s="260"/>
      <c r="V562" s="260"/>
      <c r="W562" s="260"/>
      <c r="X562" s="260"/>
      <c r="Y562" s="260"/>
      <c r="Z562" s="260"/>
      <c r="AA562" s="260"/>
      <c r="AB562" s="260"/>
      <c r="AC562" s="260"/>
      <c r="AD562" s="260"/>
      <c r="AE562" s="260"/>
      <c r="AF562" s="260"/>
      <c r="AG562" s="258"/>
      <c r="AO562"/>
      <c r="AP562"/>
      <c r="AQ562"/>
      <c r="AR562"/>
      <c r="AS562"/>
      <c r="AT562"/>
      <c r="AU562"/>
      <c r="AV562"/>
      <c r="AW562"/>
      <c r="AX562"/>
      <c r="AY562"/>
      <c r="AZ562"/>
      <c r="BA562"/>
      <c r="BB562"/>
      <c r="BC562"/>
      <c r="BD562"/>
      <c r="BE562"/>
      <c r="BF562"/>
    </row>
    <row r="563" spans="13:58" ht="12" hidden="1" customHeight="1">
      <c r="M563" s="820"/>
      <c r="N563" s="239"/>
      <c r="O563" s="225"/>
      <c r="P563" s="260"/>
      <c r="Q563" s="258"/>
      <c r="R563" s="260"/>
      <c r="S563" s="260"/>
      <c r="T563" s="260"/>
      <c r="U563" s="260"/>
      <c r="V563" s="260"/>
      <c r="W563" s="260"/>
      <c r="X563" s="260"/>
      <c r="Y563" s="260"/>
      <c r="Z563" s="260"/>
      <c r="AA563" s="260"/>
      <c r="AB563" s="260"/>
      <c r="AC563" s="260"/>
      <c r="AD563" s="260"/>
      <c r="AE563" s="260"/>
      <c r="AF563" s="260"/>
      <c r="AG563" s="258"/>
      <c r="AO563"/>
      <c r="AP563"/>
      <c r="AQ563"/>
      <c r="AR563"/>
      <c r="AS563"/>
      <c r="AT563"/>
      <c r="AU563"/>
      <c r="AV563"/>
      <c r="AW563"/>
      <c r="AX563"/>
      <c r="AY563"/>
      <c r="AZ563"/>
      <c r="BA563"/>
      <c r="BB563"/>
      <c r="BC563"/>
      <c r="BD563"/>
      <c r="BE563"/>
      <c r="BF563"/>
    </row>
    <row r="564" spans="13:58" ht="12" hidden="1" customHeight="1">
      <c r="M564" s="820"/>
      <c r="N564" s="239"/>
      <c r="O564" s="225"/>
      <c r="P564" s="260"/>
      <c r="Q564" s="258"/>
      <c r="R564" s="260"/>
      <c r="S564" s="260"/>
      <c r="T564" s="260"/>
      <c r="U564" s="260"/>
      <c r="V564" s="260"/>
      <c r="W564" s="260"/>
      <c r="X564" s="260"/>
      <c r="Y564" s="260"/>
      <c r="Z564" s="260"/>
      <c r="AA564" s="260"/>
      <c r="AB564" s="260"/>
      <c r="AC564" s="260"/>
      <c r="AD564" s="260"/>
      <c r="AE564" s="260"/>
      <c r="AF564" s="260"/>
      <c r="AG564" s="258"/>
      <c r="AO564"/>
      <c r="AP564"/>
      <c r="AQ564"/>
      <c r="AR564"/>
      <c r="AS564"/>
      <c r="AT564"/>
      <c r="AU564"/>
      <c r="AV564"/>
      <c r="AW564"/>
      <c r="AX564"/>
      <c r="AY564"/>
      <c r="AZ564"/>
      <c r="BA564"/>
      <c r="BB564"/>
      <c r="BC564"/>
      <c r="BD564"/>
      <c r="BE564"/>
      <c r="BF564"/>
    </row>
    <row r="565" spans="13:58" ht="12" hidden="1" customHeight="1">
      <c r="M565" s="820"/>
      <c r="N565" s="239"/>
      <c r="O565" s="225"/>
      <c r="P565" s="260"/>
      <c r="Q565" s="258"/>
      <c r="R565" s="260"/>
      <c r="S565" s="260"/>
      <c r="T565" s="260"/>
      <c r="U565" s="260"/>
      <c r="V565" s="260"/>
      <c r="W565" s="260"/>
      <c r="X565" s="260"/>
      <c r="Y565" s="260"/>
      <c r="Z565" s="260"/>
      <c r="AA565" s="260"/>
      <c r="AB565" s="260"/>
      <c r="AC565" s="260"/>
      <c r="AD565" s="260"/>
      <c r="AE565" s="260"/>
      <c r="AF565" s="260"/>
      <c r="AG565" s="258"/>
      <c r="AO565"/>
      <c r="AP565"/>
      <c r="AQ565"/>
      <c r="AR565"/>
      <c r="AS565"/>
      <c r="AT565"/>
      <c r="AU565"/>
      <c r="AV565"/>
      <c r="AW565"/>
      <c r="AX565"/>
      <c r="AY565"/>
      <c r="AZ565"/>
      <c r="BA565"/>
      <c r="BB565"/>
      <c r="BC565"/>
      <c r="BD565"/>
      <c r="BE565"/>
      <c r="BF565"/>
    </row>
    <row r="566" spans="13:58" ht="12" hidden="1" customHeight="1">
      <c r="M566" s="820"/>
      <c r="N566" s="239"/>
      <c r="O566" s="225"/>
      <c r="P566" s="260"/>
      <c r="Q566" s="258"/>
      <c r="R566" s="260"/>
      <c r="S566" s="260"/>
      <c r="T566" s="260"/>
      <c r="U566" s="260"/>
      <c r="V566" s="260"/>
      <c r="W566" s="260"/>
      <c r="X566" s="260"/>
      <c r="Y566" s="260"/>
      <c r="Z566" s="260"/>
      <c r="AA566" s="260"/>
      <c r="AB566" s="260"/>
      <c r="AC566" s="260"/>
      <c r="AD566" s="260"/>
      <c r="AE566" s="260"/>
      <c r="AF566" s="260"/>
      <c r="AG566" s="258"/>
      <c r="AO566"/>
      <c r="AP566"/>
      <c r="AQ566"/>
      <c r="AR566"/>
      <c r="AS566"/>
      <c r="AT566"/>
      <c r="AU566"/>
      <c r="AV566"/>
      <c r="AW566"/>
      <c r="AX566"/>
      <c r="AY566"/>
      <c r="AZ566"/>
      <c r="BA566"/>
      <c r="BB566"/>
      <c r="BC566"/>
      <c r="BD566"/>
      <c r="BE566"/>
      <c r="BF566"/>
    </row>
    <row r="567" spans="13:58" ht="12" hidden="1" customHeight="1">
      <c r="M567" s="820"/>
      <c r="N567" s="239"/>
      <c r="O567" s="225"/>
      <c r="P567" s="260"/>
      <c r="Q567" s="258"/>
      <c r="R567" s="260"/>
      <c r="S567" s="260"/>
      <c r="T567" s="260"/>
      <c r="U567" s="260"/>
      <c r="V567" s="260"/>
      <c r="W567" s="260"/>
      <c r="X567" s="260"/>
      <c r="Y567" s="260"/>
      <c r="Z567" s="260"/>
      <c r="AA567" s="260"/>
      <c r="AB567" s="260"/>
      <c r="AC567" s="260"/>
      <c r="AD567" s="260"/>
      <c r="AE567" s="260"/>
      <c r="AF567" s="260"/>
      <c r="AG567" s="258"/>
      <c r="AO567"/>
      <c r="AP567"/>
      <c r="AQ567"/>
      <c r="AR567"/>
      <c r="AS567"/>
      <c r="AT567"/>
      <c r="AU567"/>
      <c r="AV567"/>
      <c r="AW567"/>
      <c r="AX567"/>
      <c r="AY567"/>
      <c r="AZ567"/>
      <c r="BA567"/>
      <c r="BB567"/>
      <c r="BC567"/>
      <c r="BD567"/>
      <c r="BE567"/>
      <c r="BF567"/>
    </row>
    <row r="568" spans="13:58" ht="12" hidden="1" customHeight="1">
      <c r="M568" s="820"/>
      <c r="N568" s="239"/>
      <c r="O568" s="225"/>
      <c r="P568" s="260"/>
      <c r="Q568" s="258"/>
      <c r="R568" s="260"/>
      <c r="S568" s="260"/>
      <c r="T568" s="260"/>
      <c r="U568" s="260"/>
      <c r="V568" s="260"/>
      <c r="W568" s="260"/>
      <c r="X568" s="260"/>
      <c r="Y568" s="260"/>
      <c r="Z568" s="260"/>
      <c r="AA568" s="260"/>
      <c r="AB568" s="260"/>
      <c r="AC568" s="260"/>
      <c r="AD568" s="260"/>
      <c r="AE568" s="260"/>
      <c r="AF568" s="260"/>
      <c r="AG568" s="258"/>
      <c r="AO568"/>
      <c r="AP568"/>
      <c r="AQ568"/>
      <c r="AR568"/>
      <c r="AS568"/>
      <c r="AT568"/>
      <c r="AU568"/>
      <c r="AV568"/>
      <c r="AW568"/>
      <c r="AX568"/>
      <c r="AY568"/>
      <c r="AZ568"/>
      <c r="BA568"/>
      <c r="BB568"/>
      <c r="BC568"/>
      <c r="BD568"/>
      <c r="BE568"/>
      <c r="BF568"/>
    </row>
    <row r="569" spans="13:58" ht="12" hidden="1" customHeight="1">
      <c r="M569" s="820"/>
      <c r="N569" s="239"/>
      <c r="O569" s="225"/>
      <c r="P569" s="260"/>
      <c r="Q569" s="258"/>
      <c r="R569" s="260"/>
      <c r="S569" s="260"/>
      <c r="T569" s="260"/>
      <c r="U569" s="260"/>
      <c r="V569" s="260"/>
      <c r="W569" s="260"/>
      <c r="X569" s="260"/>
      <c r="Y569" s="260"/>
      <c r="Z569" s="260"/>
      <c r="AA569" s="260"/>
      <c r="AB569" s="260"/>
      <c r="AC569" s="260"/>
      <c r="AD569" s="260"/>
      <c r="AE569" s="260"/>
      <c r="AF569" s="260"/>
      <c r="AG569" s="258"/>
      <c r="AO569"/>
      <c r="AP569"/>
      <c r="AQ569"/>
      <c r="AR569"/>
      <c r="AS569"/>
      <c r="AT569"/>
      <c r="AU569"/>
      <c r="AV569"/>
      <c r="AW569"/>
      <c r="AX569"/>
      <c r="AY569"/>
      <c r="AZ569"/>
      <c r="BA569"/>
      <c r="BB569"/>
      <c r="BC569"/>
      <c r="BD569"/>
      <c r="BE569"/>
      <c r="BF569"/>
    </row>
    <row r="570" spans="13:58" ht="12" hidden="1" customHeight="1">
      <c r="M570" s="820"/>
      <c r="N570" s="239"/>
      <c r="O570" s="225"/>
      <c r="P570" s="260"/>
      <c r="Q570" s="258"/>
      <c r="R570" s="260"/>
      <c r="S570" s="260"/>
      <c r="T570" s="260"/>
      <c r="U570" s="260"/>
      <c r="V570" s="260"/>
      <c r="W570" s="260"/>
      <c r="X570" s="260"/>
      <c r="Y570" s="260"/>
      <c r="Z570" s="260"/>
      <c r="AA570" s="260"/>
      <c r="AB570" s="260"/>
      <c r="AC570" s="260"/>
      <c r="AD570" s="260"/>
      <c r="AE570" s="260"/>
      <c r="AF570" s="260"/>
      <c r="AG570" s="258"/>
      <c r="AO570"/>
      <c r="AP570"/>
      <c r="AQ570"/>
      <c r="AR570"/>
      <c r="AS570"/>
      <c r="AT570"/>
      <c r="AU570"/>
      <c r="AV570"/>
      <c r="AW570"/>
      <c r="AX570"/>
      <c r="AY570"/>
      <c r="AZ570"/>
      <c r="BA570"/>
      <c r="BB570"/>
      <c r="BC570"/>
      <c r="BD570"/>
      <c r="BE570"/>
      <c r="BF570"/>
    </row>
    <row r="571" spans="13:58" ht="12" hidden="1" customHeight="1">
      <c r="M571" s="820"/>
      <c r="N571" s="239"/>
      <c r="O571" s="225"/>
      <c r="P571" s="260"/>
      <c r="Q571" s="258"/>
      <c r="R571" s="260"/>
      <c r="S571" s="260"/>
      <c r="T571" s="260"/>
      <c r="U571" s="260"/>
      <c r="V571" s="260"/>
      <c r="W571" s="260"/>
      <c r="X571" s="260"/>
      <c r="Y571" s="260"/>
      <c r="Z571" s="260"/>
      <c r="AA571" s="260"/>
      <c r="AB571" s="260"/>
      <c r="AC571" s="260"/>
      <c r="AD571" s="260"/>
      <c r="AE571" s="260"/>
      <c r="AF571" s="260"/>
      <c r="AG571" s="258"/>
      <c r="AO571"/>
      <c r="AP571"/>
      <c r="AQ571"/>
      <c r="AR571"/>
      <c r="AS571"/>
      <c r="AT571"/>
      <c r="AU571"/>
      <c r="AV571"/>
      <c r="AW571"/>
      <c r="AX571"/>
      <c r="AY571"/>
      <c r="AZ571"/>
      <c r="BA571"/>
      <c r="BB571"/>
      <c r="BC571"/>
      <c r="BD571"/>
      <c r="BE571"/>
      <c r="BF571"/>
    </row>
    <row r="572" spans="13:58" ht="12" hidden="1" customHeight="1">
      <c r="M572" s="820"/>
      <c r="N572" s="239"/>
      <c r="O572" s="225"/>
      <c r="P572" s="260"/>
      <c r="Q572" s="258"/>
      <c r="R572" s="260"/>
      <c r="S572" s="260"/>
      <c r="T572" s="260"/>
      <c r="U572" s="260"/>
      <c r="V572" s="260"/>
      <c r="W572" s="260"/>
      <c r="X572" s="260"/>
      <c r="Y572" s="260"/>
      <c r="Z572" s="260"/>
      <c r="AA572" s="260"/>
      <c r="AB572" s="260"/>
      <c r="AC572" s="260"/>
      <c r="AD572" s="260"/>
      <c r="AE572" s="260"/>
      <c r="AF572" s="260"/>
      <c r="AG572" s="258"/>
      <c r="AO572"/>
      <c r="AP572"/>
      <c r="AQ572"/>
      <c r="AR572"/>
      <c r="AS572"/>
      <c r="AT572"/>
      <c r="AU572"/>
      <c r="AV572"/>
      <c r="AW572"/>
      <c r="AX572"/>
      <c r="AY572"/>
      <c r="AZ572"/>
      <c r="BA572"/>
      <c r="BB572"/>
      <c r="BC572"/>
      <c r="BD572"/>
      <c r="BE572"/>
      <c r="BF572"/>
    </row>
    <row r="573" spans="13:58" ht="12" hidden="1" customHeight="1">
      <c r="M573" s="820"/>
      <c r="N573" s="239"/>
      <c r="O573" s="225"/>
      <c r="P573" s="260"/>
      <c r="Q573" s="258"/>
      <c r="R573" s="260"/>
      <c r="S573" s="260"/>
      <c r="T573" s="260"/>
      <c r="U573" s="260"/>
      <c r="V573" s="260"/>
      <c r="W573" s="260"/>
      <c r="X573" s="260"/>
      <c r="Y573" s="260"/>
      <c r="Z573" s="260"/>
      <c r="AA573" s="260"/>
      <c r="AB573" s="260"/>
      <c r="AC573" s="260"/>
      <c r="AD573" s="260"/>
      <c r="AE573" s="260"/>
      <c r="AF573" s="260"/>
      <c r="AG573" s="258"/>
      <c r="AO573"/>
      <c r="AP573"/>
      <c r="AQ573"/>
      <c r="AR573"/>
      <c r="AS573"/>
      <c r="AT573"/>
      <c r="AU573"/>
      <c r="AV573"/>
      <c r="AW573"/>
      <c r="AX573"/>
      <c r="AY573"/>
      <c r="AZ573"/>
      <c r="BA573"/>
      <c r="BB573"/>
      <c r="BC573"/>
      <c r="BD573"/>
      <c r="BE573"/>
      <c r="BF573"/>
    </row>
    <row r="574" spans="13:58" ht="12" hidden="1" customHeight="1">
      <c r="M574" s="820"/>
      <c r="N574" s="239"/>
      <c r="O574" s="225"/>
      <c r="P574" s="260"/>
      <c r="Q574" s="258"/>
      <c r="R574" s="260"/>
      <c r="S574" s="260"/>
      <c r="T574" s="260"/>
      <c r="U574" s="260"/>
      <c r="V574" s="260"/>
      <c r="W574" s="260"/>
      <c r="X574" s="260"/>
      <c r="Y574" s="260"/>
      <c r="Z574" s="260"/>
      <c r="AA574" s="260"/>
      <c r="AB574" s="260"/>
      <c r="AC574" s="260"/>
      <c r="AD574" s="260"/>
      <c r="AE574" s="260"/>
      <c r="AF574" s="260"/>
      <c r="AG574" s="258"/>
      <c r="AO574"/>
      <c r="AP574"/>
      <c r="AQ574"/>
      <c r="AR574"/>
      <c r="AS574"/>
      <c r="AT574"/>
      <c r="AU574"/>
      <c r="AV574"/>
      <c r="AW574"/>
      <c r="AX574"/>
      <c r="AY574"/>
      <c r="AZ574"/>
      <c r="BA574"/>
      <c r="BB574"/>
      <c r="BC574"/>
      <c r="BD574"/>
      <c r="BE574"/>
      <c r="BF574"/>
    </row>
    <row r="575" spans="13:58" ht="12" hidden="1" customHeight="1">
      <c r="M575" s="820"/>
      <c r="N575" s="239"/>
      <c r="O575" s="225"/>
      <c r="P575" s="260"/>
      <c r="Q575" s="258"/>
      <c r="R575" s="260"/>
      <c r="S575" s="260"/>
      <c r="T575" s="260"/>
      <c r="U575" s="260"/>
      <c r="V575" s="260"/>
      <c r="W575" s="260"/>
      <c r="X575" s="260"/>
      <c r="Y575" s="260"/>
      <c r="Z575" s="260"/>
      <c r="AA575" s="260"/>
      <c r="AB575" s="260"/>
      <c r="AC575" s="260"/>
      <c r="AD575" s="260"/>
      <c r="AE575" s="260"/>
      <c r="AF575" s="260"/>
      <c r="AG575" s="258"/>
      <c r="AO575"/>
      <c r="AP575"/>
      <c r="AQ575"/>
      <c r="AR575"/>
      <c r="AS575"/>
      <c r="AT575"/>
      <c r="AU575"/>
      <c r="AV575"/>
      <c r="AW575"/>
      <c r="AX575"/>
      <c r="AY575"/>
      <c r="AZ575"/>
      <c r="BA575"/>
      <c r="BB575"/>
      <c r="BC575"/>
      <c r="BD575"/>
      <c r="BE575"/>
      <c r="BF575"/>
    </row>
    <row r="576" spans="13:58" ht="12" hidden="1" customHeight="1">
      <c r="M576" s="820"/>
      <c r="N576" s="239"/>
      <c r="O576" s="225"/>
      <c r="P576" s="260"/>
      <c r="Q576" s="258"/>
      <c r="R576" s="260"/>
      <c r="S576" s="260"/>
      <c r="T576" s="260"/>
      <c r="U576" s="260"/>
      <c r="V576" s="260"/>
      <c r="W576" s="260"/>
      <c r="X576" s="260"/>
      <c r="Y576" s="260"/>
      <c r="Z576" s="260"/>
      <c r="AA576" s="260"/>
      <c r="AB576" s="260"/>
      <c r="AC576" s="260"/>
      <c r="AD576" s="260"/>
      <c r="AE576" s="260"/>
      <c r="AF576" s="260"/>
      <c r="AG576" s="258"/>
      <c r="AO576"/>
      <c r="AP576"/>
      <c r="AQ576"/>
      <c r="AR576"/>
      <c r="AS576"/>
      <c r="AT576"/>
      <c r="AU576"/>
      <c r="AV576"/>
      <c r="AW576"/>
      <c r="AX576"/>
      <c r="AY576"/>
      <c r="AZ576"/>
      <c r="BA576"/>
      <c r="BB576"/>
      <c r="BC576"/>
      <c r="BD576"/>
      <c r="BE576"/>
      <c r="BF576"/>
    </row>
    <row r="577" spans="13:58" ht="12" hidden="1" customHeight="1">
      <c r="M577" s="820"/>
      <c r="N577" s="239"/>
      <c r="O577" s="225"/>
      <c r="P577" s="260"/>
      <c r="Q577" s="258"/>
      <c r="R577" s="260"/>
      <c r="S577" s="260"/>
      <c r="T577" s="260"/>
      <c r="U577" s="260"/>
      <c r="V577" s="260"/>
      <c r="W577" s="260"/>
      <c r="X577" s="260"/>
      <c r="Y577" s="260"/>
      <c r="Z577" s="260"/>
      <c r="AA577" s="260"/>
      <c r="AB577" s="260"/>
      <c r="AC577" s="260"/>
      <c r="AD577" s="260"/>
      <c r="AE577" s="260"/>
      <c r="AF577" s="260"/>
      <c r="AG577" s="258"/>
      <c r="AO577"/>
      <c r="AP577"/>
      <c r="AQ577"/>
      <c r="AR577"/>
      <c r="AS577"/>
      <c r="AT577"/>
      <c r="AU577"/>
      <c r="AV577"/>
      <c r="AW577"/>
      <c r="AX577"/>
      <c r="AY577"/>
      <c r="AZ577"/>
      <c r="BA577"/>
      <c r="BB577"/>
      <c r="BC577"/>
      <c r="BD577"/>
      <c r="BE577"/>
      <c r="BF577"/>
    </row>
    <row r="578" spans="13:58" ht="12" hidden="1" customHeight="1">
      <c r="M578" s="820"/>
      <c r="N578" s="239"/>
      <c r="O578" s="225"/>
      <c r="P578" s="260"/>
      <c r="Q578" s="258"/>
      <c r="R578" s="260"/>
      <c r="S578" s="260"/>
      <c r="T578" s="260"/>
      <c r="U578" s="260"/>
      <c r="V578" s="260"/>
      <c r="W578" s="260"/>
      <c r="X578" s="260"/>
      <c r="Y578" s="260"/>
      <c r="Z578" s="260"/>
      <c r="AA578" s="260"/>
      <c r="AB578" s="260"/>
      <c r="AC578" s="260"/>
      <c r="AD578" s="260"/>
      <c r="AE578" s="260"/>
      <c r="AF578" s="260"/>
      <c r="AG578" s="258"/>
      <c r="AO578"/>
      <c r="AP578"/>
      <c r="AQ578"/>
      <c r="AR578"/>
      <c r="AS578"/>
      <c r="AT578"/>
      <c r="AU578"/>
      <c r="AV578"/>
      <c r="AW578"/>
      <c r="AX578"/>
      <c r="AY578"/>
      <c r="AZ578"/>
      <c r="BA578"/>
      <c r="BB578"/>
      <c r="BC578"/>
      <c r="BD578"/>
      <c r="BE578"/>
      <c r="BF578"/>
    </row>
    <row r="579" spans="13:58" ht="12" hidden="1" customHeight="1">
      <c r="M579" s="820"/>
      <c r="N579" s="239"/>
      <c r="O579" s="225"/>
      <c r="P579" s="260"/>
      <c r="Q579" s="258"/>
      <c r="R579" s="260"/>
      <c r="S579" s="260"/>
      <c r="T579" s="260"/>
      <c r="U579" s="260"/>
      <c r="V579" s="260"/>
      <c r="W579" s="260"/>
      <c r="X579" s="260"/>
      <c r="Y579" s="260"/>
      <c r="Z579" s="260"/>
      <c r="AA579" s="260"/>
      <c r="AB579" s="260"/>
      <c r="AC579" s="260"/>
      <c r="AD579" s="260"/>
      <c r="AE579" s="260"/>
      <c r="AF579" s="260"/>
      <c r="AG579" s="258"/>
      <c r="AO579"/>
      <c r="AP579"/>
      <c r="AQ579"/>
      <c r="AR579"/>
      <c r="AS579"/>
      <c r="AT579"/>
      <c r="AU579"/>
      <c r="AV579"/>
      <c r="AW579"/>
      <c r="AX579"/>
      <c r="AY579"/>
      <c r="AZ579"/>
      <c r="BA579"/>
      <c r="BB579"/>
      <c r="BC579"/>
      <c r="BD579"/>
      <c r="BE579"/>
      <c r="BF579"/>
    </row>
    <row r="580" spans="13:58" ht="12" hidden="1" customHeight="1">
      <c r="M580" s="820"/>
      <c r="N580" s="239"/>
      <c r="O580" s="225"/>
      <c r="P580" s="260"/>
      <c r="Q580" s="258"/>
      <c r="R580" s="260"/>
      <c r="S580" s="260"/>
      <c r="T580" s="260"/>
      <c r="U580" s="260"/>
      <c r="V580" s="260"/>
      <c r="W580" s="260"/>
      <c r="X580" s="260"/>
      <c r="Y580" s="260"/>
      <c r="Z580" s="260"/>
      <c r="AA580" s="260"/>
      <c r="AB580" s="260"/>
      <c r="AC580" s="260"/>
      <c r="AD580" s="260"/>
      <c r="AE580" s="260"/>
      <c r="AF580" s="260"/>
      <c r="AG580" s="258"/>
      <c r="AO580"/>
      <c r="AP580"/>
      <c r="AQ580"/>
      <c r="AR580"/>
      <c r="AS580"/>
      <c r="AT580"/>
      <c r="AU580"/>
      <c r="AV580"/>
      <c r="AW580"/>
      <c r="AX580"/>
      <c r="AY580"/>
      <c r="AZ580"/>
      <c r="BA580"/>
      <c r="BB580"/>
      <c r="BC580"/>
      <c r="BD580"/>
      <c r="BE580"/>
      <c r="BF580"/>
    </row>
    <row r="581" spans="13:58" ht="12" hidden="1" customHeight="1">
      <c r="M581" s="820"/>
      <c r="N581" s="239"/>
      <c r="O581" s="225"/>
      <c r="P581" s="260"/>
      <c r="Q581" s="258"/>
      <c r="R581" s="260"/>
      <c r="S581" s="260"/>
      <c r="T581" s="260"/>
      <c r="U581" s="260"/>
      <c r="V581" s="260"/>
      <c r="W581" s="260"/>
      <c r="X581" s="260"/>
      <c r="Y581" s="260"/>
      <c r="Z581" s="260"/>
      <c r="AA581" s="260"/>
      <c r="AB581" s="260"/>
      <c r="AC581" s="260"/>
      <c r="AD581" s="260"/>
      <c r="AE581" s="260"/>
      <c r="AF581" s="260"/>
      <c r="AG581" s="258"/>
      <c r="AO581"/>
      <c r="AP581"/>
      <c r="AQ581"/>
      <c r="AR581"/>
      <c r="AS581"/>
      <c r="AT581"/>
      <c r="AU581"/>
      <c r="AV581"/>
      <c r="AW581"/>
      <c r="AX581"/>
      <c r="AY581"/>
      <c r="AZ581"/>
      <c r="BA581"/>
      <c r="BB581"/>
      <c r="BC581"/>
      <c r="BD581"/>
      <c r="BE581"/>
      <c r="BF581"/>
    </row>
    <row r="582" spans="13:58" ht="12" hidden="1" customHeight="1">
      <c r="M582" s="820"/>
      <c r="N582" s="239"/>
      <c r="O582" s="225"/>
      <c r="P582" s="260"/>
      <c r="Q582" s="258"/>
      <c r="R582" s="260"/>
      <c r="S582" s="260"/>
      <c r="T582" s="260"/>
      <c r="U582" s="260"/>
      <c r="V582" s="260"/>
      <c r="W582" s="260"/>
      <c r="X582" s="260"/>
      <c r="Y582" s="260"/>
      <c r="Z582" s="260"/>
      <c r="AA582" s="260"/>
      <c r="AB582" s="260"/>
      <c r="AC582" s="260"/>
      <c r="AD582" s="260"/>
      <c r="AE582" s="260"/>
      <c r="AF582" s="260"/>
      <c r="AG582" s="258"/>
      <c r="AO582"/>
      <c r="AP582"/>
      <c r="AQ582"/>
      <c r="AR582"/>
      <c r="AS582"/>
      <c r="AT582"/>
      <c r="AU582"/>
      <c r="AV582"/>
      <c r="AW582"/>
      <c r="AX582"/>
      <c r="AY582"/>
      <c r="AZ582"/>
      <c r="BA582"/>
      <c r="BB582"/>
      <c r="BC582"/>
      <c r="BD582"/>
      <c r="BE582"/>
      <c r="BF582"/>
    </row>
    <row r="583" spans="13:58" ht="12" hidden="1" customHeight="1">
      <c r="M583" s="820"/>
      <c r="N583" s="239"/>
      <c r="O583" s="225"/>
      <c r="P583" s="260"/>
      <c r="Q583" s="258"/>
      <c r="R583" s="260"/>
      <c r="S583" s="260"/>
      <c r="T583" s="260"/>
      <c r="U583" s="260"/>
      <c r="V583" s="260"/>
      <c r="W583" s="260"/>
      <c r="X583" s="260"/>
      <c r="Y583" s="260"/>
      <c r="Z583" s="260"/>
      <c r="AA583" s="260"/>
      <c r="AB583" s="260"/>
      <c r="AC583" s="260"/>
      <c r="AD583" s="260"/>
      <c r="AE583" s="260"/>
      <c r="AF583" s="260"/>
      <c r="AG583" s="258"/>
      <c r="AO583"/>
      <c r="AP583"/>
      <c r="AQ583"/>
      <c r="AR583"/>
      <c r="AS583"/>
      <c r="AT583"/>
      <c r="AU583"/>
      <c r="AV583"/>
      <c r="AW583"/>
      <c r="AX583"/>
      <c r="AY583"/>
      <c r="AZ583"/>
      <c r="BA583"/>
      <c r="BB583"/>
      <c r="BC583"/>
      <c r="BD583"/>
      <c r="BE583"/>
      <c r="BF583"/>
    </row>
    <row r="584" spans="13:58" ht="12" hidden="1" customHeight="1">
      <c r="M584" s="820"/>
      <c r="N584" s="239"/>
      <c r="O584" s="225"/>
      <c r="P584" s="260"/>
      <c r="Q584" s="258"/>
      <c r="R584" s="260"/>
      <c r="S584" s="260"/>
      <c r="T584" s="260"/>
      <c r="U584" s="260"/>
      <c r="V584" s="260"/>
      <c r="W584" s="260"/>
      <c r="X584" s="260"/>
      <c r="Y584" s="260"/>
      <c r="Z584" s="260"/>
      <c r="AA584" s="260"/>
      <c r="AB584" s="260"/>
      <c r="AC584" s="260"/>
      <c r="AD584" s="260"/>
      <c r="AE584" s="260"/>
      <c r="AF584" s="260"/>
      <c r="AG584" s="258"/>
      <c r="AO584"/>
      <c r="AP584"/>
      <c r="AQ584"/>
      <c r="AR584"/>
      <c r="AS584"/>
      <c r="AT584"/>
      <c r="AU584"/>
      <c r="AV584"/>
      <c r="AW584"/>
      <c r="AX584"/>
      <c r="AY584"/>
      <c r="AZ584"/>
      <c r="BA584"/>
      <c r="BB584"/>
      <c r="BC584"/>
      <c r="BD584"/>
      <c r="BE584"/>
      <c r="BF584"/>
    </row>
    <row r="585" spans="13:58" ht="12" hidden="1" customHeight="1">
      <c r="M585" s="820"/>
      <c r="N585" s="239"/>
      <c r="O585" s="225"/>
      <c r="P585" s="260"/>
      <c r="Q585" s="258"/>
      <c r="R585" s="260"/>
      <c r="S585" s="260"/>
      <c r="T585" s="260"/>
      <c r="U585" s="260"/>
      <c r="V585" s="260"/>
      <c r="W585" s="260"/>
      <c r="X585" s="260"/>
      <c r="Y585" s="260"/>
      <c r="Z585" s="260"/>
      <c r="AA585" s="260"/>
      <c r="AB585" s="260"/>
      <c r="AC585" s="260"/>
      <c r="AD585" s="260"/>
      <c r="AE585" s="260"/>
      <c r="AF585" s="260"/>
      <c r="AG585" s="258"/>
      <c r="AO585"/>
      <c r="AP585"/>
      <c r="AQ585"/>
      <c r="AR585"/>
      <c r="AS585"/>
      <c r="AT585"/>
      <c r="AU585"/>
      <c r="AV585"/>
      <c r="AW585"/>
      <c r="AX585"/>
      <c r="AY585"/>
      <c r="AZ585"/>
      <c r="BA585"/>
      <c r="BB585"/>
      <c r="BC585"/>
      <c r="BD585"/>
      <c r="BE585"/>
      <c r="BF585"/>
    </row>
    <row r="586" spans="13:58" ht="12" hidden="1" customHeight="1">
      <c r="M586" s="820"/>
      <c r="N586" s="239"/>
      <c r="O586" s="225"/>
      <c r="P586" s="260"/>
      <c r="Q586" s="258"/>
      <c r="R586" s="260"/>
      <c r="S586" s="260"/>
      <c r="T586" s="260"/>
      <c r="U586" s="260"/>
      <c r="V586" s="260"/>
      <c r="W586" s="260"/>
      <c r="X586" s="260"/>
      <c r="Y586" s="260"/>
      <c r="Z586" s="260"/>
      <c r="AA586" s="260"/>
      <c r="AB586" s="260"/>
      <c r="AC586" s="260"/>
      <c r="AD586" s="260"/>
      <c r="AE586" s="260"/>
      <c r="AF586" s="260"/>
      <c r="AG586" s="258"/>
      <c r="AO586"/>
      <c r="AP586"/>
      <c r="AQ586"/>
      <c r="AR586"/>
      <c r="AS586"/>
      <c r="AT586"/>
      <c r="AU586"/>
      <c r="AV586"/>
      <c r="AW586"/>
      <c r="AX586"/>
      <c r="AY586"/>
      <c r="AZ586"/>
      <c r="BA586"/>
      <c r="BB586"/>
      <c r="BC586"/>
      <c r="BD586"/>
      <c r="BE586"/>
      <c r="BF586"/>
    </row>
    <row r="587" spans="13:58" ht="12" hidden="1" customHeight="1">
      <c r="M587" s="820"/>
      <c r="N587" s="239"/>
      <c r="O587" s="225"/>
      <c r="P587" s="260"/>
      <c r="Q587" s="258"/>
      <c r="R587" s="260"/>
      <c r="S587" s="260"/>
      <c r="T587" s="260"/>
      <c r="U587" s="260"/>
      <c r="V587" s="260"/>
      <c r="W587" s="260"/>
      <c r="X587" s="260"/>
      <c r="Y587" s="260"/>
      <c r="Z587" s="260"/>
      <c r="AA587" s="260"/>
      <c r="AB587" s="260"/>
      <c r="AC587" s="260"/>
      <c r="AD587" s="260"/>
      <c r="AE587" s="260"/>
      <c r="AF587" s="260"/>
      <c r="AG587" s="258"/>
      <c r="AO587"/>
      <c r="AP587"/>
      <c r="AQ587"/>
      <c r="AR587"/>
      <c r="AS587"/>
      <c r="AT587"/>
      <c r="AU587"/>
      <c r="AV587"/>
      <c r="AW587"/>
      <c r="AX587"/>
      <c r="AY587"/>
      <c r="AZ587"/>
      <c r="BA587"/>
      <c r="BB587"/>
      <c r="BC587"/>
      <c r="BD587"/>
      <c r="BE587"/>
      <c r="BF587"/>
    </row>
    <row r="588" spans="13:58" ht="12" hidden="1" customHeight="1">
      <c r="M588" s="820"/>
      <c r="N588" s="239"/>
      <c r="O588" s="225"/>
      <c r="P588" s="260"/>
      <c r="Q588" s="258"/>
      <c r="R588" s="260"/>
      <c r="S588" s="260"/>
      <c r="T588" s="260"/>
      <c r="U588" s="260"/>
      <c r="V588" s="260"/>
      <c r="W588" s="260"/>
      <c r="X588" s="260"/>
      <c r="Y588" s="260"/>
      <c r="Z588" s="260"/>
      <c r="AA588" s="260"/>
      <c r="AB588" s="260"/>
      <c r="AC588" s="260"/>
      <c r="AD588" s="260"/>
      <c r="AE588" s="260"/>
      <c r="AF588" s="260"/>
      <c r="AG588" s="258"/>
      <c r="AO588"/>
      <c r="AP588"/>
      <c r="AQ588"/>
      <c r="AR588"/>
      <c r="AS588"/>
      <c r="AT588"/>
      <c r="AU588"/>
      <c r="AV588"/>
      <c r="AW588"/>
      <c r="AX588"/>
      <c r="AY588"/>
      <c r="AZ588"/>
      <c r="BA588"/>
      <c r="BB588"/>
      <c r="BC588"/>
      <c r="BD588"/>
      <c r="BE588"/>
      <c r="BF588"/>
    </row>
    <row r="589" spans="13:58" ht="12" hidden="1" customHeight="1">
      <c r="M589" s="820"/>
      <c r="N589" s="239"/>
      <c r="O589" s="225"/>
      <c r="P589" s="260"/>
      <c r="Q589" s="258"/>
      <c r="R589" s="260"/>
      <c r="S589" s="260"/>
      <c r="T589" s="260"/>
      <c r="U589" s="260"/>
      <c r="V589" s="260"/>
      <c r="W589" s="260"/>
      <c r="X589" s="260"/>
      <c r="Y589" s="260"/>
      <c r="Z589" s="260"/>
      <c r="AA589" s="260"/>
      <c r="AB589" s="260"/>
      <c r="AC589" s="260"/>
      <c r="AD589" s="260"/>
      <c r="AE589" s="260"/>
      <c r="AF589" s="260"/>
      <c r="AG589" s="258"/>
      <c r="AO589"/>
      <c r="AP589"/>
      <c r="AQ589"/>
      <c r="AR589"/>
      <c r="AS589"/>
      <c r="AT589"/>
      <c r="AU589"/>
      <c r="AV589"/>
      <c r="AW589"/>
      <c r="AX589"/>
      <c r="AY589"/>
      <c r="AZ589"/>
      <c r="BA589"/>
      <c r="BB589"/>
      <c r="BC589"/>
      <c r="BD589"/>
      <c r="BE589"/>
      <c r="BF589"/>
    </row>
    <row r="590" spans="13:58" ht="12" hidden="1" customHeight="1">
      <c r="M590" s="820"/>
      <c r="N590" s="239"/>
      <c r="O590" s="225"/>
      <c r="P590" s="260"/>
      <c r="Q590" s="258"/>
      <c r="R590" s="260"/>
      <c r="S590" s="260"/>
      <c r="T590" s="260"/>
      <c r="U590" s="260"/>
      <c r="V590" s="260"/>
      <c r="W590" s="260"/>
      <c r="X590" s="260"/>
      <c r="Y590" s="260"/>
      <c r="Z590" s="260"/>
      <c r="AA590" s="260"/>
      <c r="AB590" s="260"/>
      <c r="AC590" s="260"/>
      <c r="AD590" s="260"/>
      <c r="AE590" s="260"/>
      <c r="AF590" s="260"/>
      <c r="AG590" s="258"/>
      <c r="AO590"/>
      <c r="AP590"/>
      <c r="AQ590"/>
      <c r="AR590"/>
      <c r="AS590"/>
      <c r="AT590"/>
      <c r="AU590"/>
      <c r="AV590"/>
      <c r="AW590"/>
      <c r="AX590"/>
      <c r="AY590"/>
      <c r="AZ590"/>
      <c r="BA590"/>
      <c r="BB590"/>
      <c r="BC590"/>
      <c r="BD590"/>
      <c r="BE590"/>
      <c r="BF590"/>
    </row>
    <row r="591" spans="13:58" ht="12" hidden="1" customHeight="1">
      <c r="M591" s="820"/>
      <c r="N591" s="239"/>
      <c r="O591" s="225"/>
      <c r="P591" s="260"/>
      <c r="Q591" s="258"/>
      <c r="R591" s="260"/>
      <c r="S591" s="260"/>
      <c r="T591" s="260"/>
      <c r="U591" s="260"/>
      <c r="V591" s="260"/>
      <c r="W591" s="260"/>
      <c r="X591" s="260"/>
      <c r="Y591" s="260"/>
      <c r="Z591" s="260"/>
      <c r="AA591" s="260"/>
      <c r="AB591" s="260"/>
      <c r="AC591" s="260"/>
      <c r="AD591" s="260"/>
      <c r="AE591" s="260"/>
      <c r="AF591" s="260"/>
      <c r="AG591" s="258"/>
      <c r="AO591"/>
      <c r="AP591"/>
      <c r="AQ591"/>
      <c r="AR591"/>
      <c r="AS591"/>
      <c r="AT591"/>
      <c r="AU591"/>
      <c r="AV591"/>
      <c r="AW591"/>
      <c r="AX591"/>
      <c r="AY591"/>
      <c r="AZ591"/>
      <c r="BA591"/>
      <c r="BB591"/>
      <c r="BC591"/>
      <c r="BD591"/>
      <c r="BE591"/>
      <c r="BF591"/>
    </row>
    <row r="592" spans="13:58" ht="12" hidden="1" customHeight="1">
      <c r="M592" s="820"/>
      <c r="N592" s="239"/>
      <c r="O592" s="225"/>
      <c r="P592" s="260"/>
      <c r="Q592" s="258"/>
      <c r="R592" s="260"/>
      <c r="S592" s="260"/>
      <c r="T592" s="260"/>
      <c r="U592" s="260"/>
      <c r="V592" s="260"/>
      <c r="W592" s="260"/>
      <c r="X592" s="260"/>
      <c r="Y592" s="260"/>
      <c r="Z592" s="260"/>
      <c r="AA592" s="260"/>
      <c r="AB592" s="260"/>
      <c r="AC592" s="260"/>
      <c r="AD592" s="260"/>
      <c r="AE592" s="260"/>
      <c r="AF592" s="260"/>
      <c r="AG592" s="258"/>
      <c r="AO592"/>
      <c r="AP592"/>
      <c r="AQ592"/>
      <c r="AR592"/>
      <c r="AS592"/>
      <c r="AT592"/>
      <c r="AU592"/>
      <c r="AV592"/>
      <c r="AW592"/>
      <c r="AX592"/>
      <c r="AY592"/>
      <c r="AZ592"/>
      <c r="BA592"/>
      <c r="BB592"/>
      <c r="BC592"/>
      <c r="BD592"/>
      <c r="BE592"/>
      <c r="BF592"/>
    </row>
    <row r="593" spans="13:58" ht="12" hidden="1" customHeight="1">
      <c r="M593" s="820"/>
      <c r="N593" s="239"/>
      <c r="O593" s="225"/>
      <c r="P593" s="260"/>
      <c r="Q593" s="258"/>
      <c r="R593" s="260"/>
      <c r="S593" s="260"/>
      <c r="T593" s="260"/>
      <c r="U593" s="260"/>
      <c r="V593" s="260"/>
      <c r="W593" s="260"/>
      <c r="X593" s="260"/>
      <c r="Y593" s="260"/>
      <c r="Z593" s="260"/>
      <c r="AA593" s="260"/>
      <c r="AB593" s="260"/>
      <c r="AC593" s="260"/>
      <c r="AD593" s="260"/>
      <c r="AE593" s="260"/>
      <c r="AF593" s="260"/>
      <c r="AG593" s="258"/>
      <c r="AO593"/>
      <c r="AP593"/>
      <c r="AQ593"/>
      <c r="AR593"/>
      <c r="AS593"/>
      <c r="AT593"/>
      <c r="AU593"/>
      <c r="AV593"/>
      <c r="AW593"/>
      <c r="AX593"/>
      <c r="AY593"/>
      <c r="AZ593"/>
      <c r="BA593"/>
      <c r="BB593"/>
      <c r="BC593"/>
      <c r="BD593"/>
      <c r="BE593"/>
      <c r="BF593"/>
    </row>
    <row r="594" spans="13:58" ht="12" hidden="1" customHeight="1">
      <c r="M594" s="820"/>
      <c r="N594" s="239"/>
      <c r="O594" s="225"/>
      <c r="P594" s="260"/>
      <c r="Q594" s="258"/>
      <c r="R594" s="260"/>
      <c r="S594" s="260"/>
      <c r="T594" s="260"/>
      <c r="U594" s="260"/>
      <c r="V594" s="260"/>
      <c r="W594" s="260"/>
      <c r="X594" s="260"/>
      <c r="Y594" s="260"/>
      <c r="Z594" s="260"/>
      <c r="AA594" s="260"/>
      <c r="AB594" s="260"/>
      <c r="AC594" s="260"/>
      <c r="AD594" s="260"/>
      <c r="AE594" s="260"/>
      <c r="AF594" s="260"/>
      <c r="AG594" s="258"/>
      <c r="AO594"/>
      <c r="AP594"/>
      <c r="AQ594"/>
      <c r="AR594"/>
      <c r="AS594"/>
      <c r="AT594"/>
      <c r="AU594"/>
      <c r="AV594"/>
      <c r="AW594"/>
      <c r="AX594"/>
      <c r="AY594"/>
      <c r="AZ594"/>
      <c r="BA594"/>
      <c r="BB594"/>
      <c r="BC594"/>
      <c r="BD594"/>
      <c r="BE594"/>
      <c r="BF594"/>
    </row>
    <row r="595" spans="13:58" ht="12" hidden="1" customHeight="1">
      <c r="M595" s="820"/>
      <c r="N595" s="239"/>
      <c r="O595" s="225"/>
      <c r="P595" s="260"/>
      <c r="Q595" s="258"/>
      <c r="R595" s="260"/>
      <c r="S595" s="260"/>
      <c r="T595" s="260"/>
      <c r="U595" s="260"/>
      <c r="V595" s="260"/>
      <c r="W595" s="260"/>
      <c r="X595" s="260"/>
      <c r="Y595" s="260"/>
      <c r="Z595" s="260"/>
      <c r="AA595" s="260"/>
      <c r="AB595" s="260"/>
      <c r="AC595" s="260"/>
      <c r="AD595" s="260"/>
      <c r="AE595" s="260"/>
      <c r="AF595" s="260"/>
      <c r="AG595" s="258"/>
      <c r="AO595"/>
      <c r="AP595"/>
      <c r="AQ595"/>
      <c r="AR595"/>
      <c r="AS595"/>
      <c r="AT595"/>
      <c r="AU595"/>
      <c r="AV595"/>
      <c r="AW595"/>
      <c r="AX595"/>
      <c r="AY595"/>
      <c r="AZ595"/>
      <c r="BA595"/>
      <c r="BB595"/>
      <c r="BC595"/>
      <c r="BD595"/>
      <c r="BE595"/>
      <c r="BF595"/>
    </row>
    <row r="596" spans="13:58" ht="12" hidden="1" customHeight="1">
      <c r="M596" s="820"/>
      <c r="N596" s="239"/>
      <c r="O596" s="225"/>
      <c r="P596" s="260"/>
      <c r="Q596" s="258"/>
      <c r="R596" s="260"/>
      <c r="S596" s="260"/>
      <c r="T596" s="260"/>
      <c r="U596" s="260"/>
      <c r="V596" s="260"/>
      <c r="W596" s="260"/>
      <c r="X596" s="260"/>
      <c r="Y596" s="260"/>
      <c r="Z596" s="260"/>
      <c r="AA596" s="260"/>
      <c r="AB596" s="260"/>
      <c r="AC596" s="260"/>
      <c r="AD596" s="260"/>
      <c r="AE596" s="260"/>
      <c r="AF596" s="260"/>
      <c r="AG596" s="258"/>
      <c r="AO596"/>
      <c r="AP596"/>
      <c r="AQ596"/>
      <c r="AR596"/>
      <c r="AS596"/>
      <c r="AT596"/>
      <c r="AU596"/>
      <c r="AV596"/>
      <c r="AW596"/>
      <c r="AX596"/>
      <c r="AY596"/>
      <c r="AZ596"/>
      <c r="BA596"/>
      <c r="BB596"/>
      <c r="BC596"/>
      <c r="BD596"/>
      <c r="BE596"/>
      <c r="BF596"/>
    </row>
    <row r="597" spans="13:58" ht="12" hidden="1" customHeight="1">
      <c r="M597" s="820"/>
      <c r="N597" s="239"/>
      <c r="O597" s="225"/>
      <c r="P597" s="260"/>
      <c r="Q597" s="258"/>
      <c r="R597" s="260"/>
      <c r="S597" s="260"/>
      <c r="T597" s="260"/>
      <c r="U597" s="260"/>
      <c r="V597" s="260"/>
      <c r="W597" s="260"/>
      <c r="X597" s="260"/>
      <c r="Y597" s="260"/>
      <c r="Z597" s="260"/>
      <c r="AA597" s="260"/>
      <c r="AB597" s="260"/>
      <c r="AC597" s="260"/>
      <c r="AD597" s="260"/>
      <c r="AE597" s="260"/>
      <c r="AF597" s="260"/>
      <c r="AG597" s="258"/>
      <c r="AO597"/>
      <c r="AP597"/>
      <c r="AQ597"/>
      <c r="AR597"/>
      <c r="AS597"/>
      <c r="AT597"/>
      <c r="AU597"/>
      <c r="AV597"/>
      <c r="AW597"/>
      <c r="AX597"/>
      <c r="AY597"/>
      <c r="AZ597"/>
      <c r="BA597"/>
      <c r="BB597"/>
      <c r="BC597"/>
      <c r="BD597"/>
      <c r="BE597"/>
      <c r="BF597"/>
    </row>
    <row r="598" spans="13:58" ht="12" hidden="1" customHeight="1">
      <c r="M598" s="820"/>
      <c r="N598" s="239"/>
      <c r="O598" s="225"/>
      <c r="P598" s="260"/>
      <c r="Q598" s="258"/>
      <c r="R598" s="260"/>
      <c r="S598" s="260"/>
      <c r="T598" s="260"/>
      <c r="U598" s="260"/>
      <c r="V598" s="260"/>
      <c r="W598" s="260"/>
      <c r="X598" s="260"/>
      <c r="Y598" s="260"/>
      <c r="Z598" s="260"/>
      <c r="AA598" s="260"/>
      <c r="AB598" s="260"/>
      <c r="AC598" s="260"/>
      <c r="AD598" s="260"/>
      <c r="AE598" s="260"/>
      <c r="AF598" s="260"/>
      <c r="AG598" s="258"/>
      <c r="AO598"/>
      <c r="AP598"/>
      <c r="AQ598"/>
      <c r="AR598"/>
      <c r="AS598"/>
      <c r="AT598"/>
      <c r="AU598"/>
      <c r="AV598"/>
      <c r="AW598"/>
      <c r="AX598"/>
      <c r="AY598"/>
      <c r="AZ598"/>
      <c r="BA598"/>
      <c r="BB598"/>
      <c r="BC598"/>
      <c r="BD598"/>
      <c r="BE598"/>
      <c r="BF598"/>
    </row>
    <row r="599" spans="13:58" ht="12" hidden="1" customHeight="1">
      <c r="M599" s="820"/>
      <c r="N599" s="239"/>
      <c r="O599" s="225"/>
      <c r="P599" s="260"/>
      <c r="Q599" s="258"/>
      <c r="R599" s="260"/>
      <c r="S599" s="260"/>
      <c r="T599" s="260"/>
      <c r="U599" s="260"/>
      <c r="V599" s="260"/>
      <c r="W599" s="260"/>
      <c r="X599" s="260"/>
      <c r="Y599" s="260"/>
      <c r="Z599" s="260"/>
      <c r="AA599" s="260"/>
      <c r="AB599" s="260"/>
      <c r="AC599" s="260"/>
      <c r="AD599" s="260"/>
      <c r="AE599" s="260"/>
      <c r="AF599" s="260"/>
      <c r="AG599" s="258"/>
      <c r="AO599"/>
      <c r="AP599"/>
      <c r="AQ599"/>
      <c r="AR599"/>
      <c r="AS599"/>
      <c r="AT599"/>
      <c r="AU599"/>
      <c r="AV599"/>
      <c r="AW599"/>
      <c r="AX599"/>
      <c r="AY599"/>
      <c r="AZ599"/>
      <c r="BA599"/>
      <c r="BB599"/>
      <c r="BC599"/>
      <c r="BD599"/>
      <c r="BE599"/>
      <c r="BF599"/>
    </row>
    <row r="600" spans="13:58" ht="12" hidden="1" customHeight="1">
      <c r="M600" s="820"/>
      <c r="N600" s="239"/>
      <c r="O600" s="225"/>
      <c r="P600" s="260"/>
      <c r="Q600" s="258"/>
      <c r="R600" s="260"/>
      <c r="S600" s="260"/>
      <c r="T600" s="260"/>
      <c r="U600" s="260"/>
      <c r="V600" s="260"/>
      <c r="W600" s="260"/>
      <c r="X600" s="260"/>
      <c r="Y600" s="260"/>
      <c r="Z600" s="260"/>
      <c r="AA600" s="260"/>
      <c r="AB600" s="260"/>
      <c r="AC600" s="260"/>
      <c r="AD600" s="260"/>
      <c r="AE600" s="260"/>
      <c r="AF600" s="260"/>
      <c r="AG600" s="258"/>
      <c r="AO600"/>
      <c r="AP600"/>
      <c r="AQ600"/>
      <c r="AR600"/>
      <c r="AS600"/>
      <c r="AT600"/>
      <c r="AU600"/>
      <c r="AV600"/>
      <c r="AW600"/>
      <c r="AX600"/>
      <c r="AY600"/>
      <c r="AZ600"/>
      <c r="BA600"/>
      <c r="BB600"/>
      <c r="BC600"/>
      <c r="BD600"/>
      <c r="BE600"/>
      <c r="BF600"/>
    </row>
    <row r="601" spans="13:58" ht="12" hidden="1" customHeight="1">
      <c r="M601" s="820"/>
      <c r="N601" s="239"/>
      <c r="O601" s="225"/>
      <c r="P601" s="260"/>
      <c r="Q601" s="258"/>
      <c r="R601" s="260"/>
      <c r="S601" s="260"/>
      <c r="T601" s="260"/>
      <c r="U601" s="260"/>
      <c r="V601" s="260"/>
      <c r="W601" s="260"/>
      <c r="X601" s="260"/>
      <c r="Y601" s="260"/>
      <c r="Z601" s="260"/>
      <c r="AA601" s="260"/>
      <c r="AB601" s="260"/>
      <c r="AC601" s="260"/>
      <c r="AD601" s="260"/>
      <c r="AE601" s="260"/>
      <c r="AF601" s="260"/>
      <c r="AG601" s="258"/>
      <c r="AO601"/>
      <c r="AP601"/>
      <c r="AQ601"/>
      <c r="AR601"/>
      <c r="AS601"/>
      <c r="AT601"/>
      <c r="AU601"/>
      <c r="AV601"/>
      <c r="AW601"/>
      <c r="AX601"/>
      <c r="AY601"/>
      <c r="AZ601"/>
      <c r="BA601"/>
      <c r="BB601"/>
      <c r="BC601"/>
      <c r="BD601"/>
      <c r="BE601"/>
      <c r="BF601"/>
    </row>
    <row r="602" spans="13:58" ht="12" hidden="1" customHeight="1">
      <c r="M602" s="820"/>
      <c r="N602" s="239"/>
      <c r="O602" s="225"/>
      <c r="P602" s="260"/>
      <c r="Q602" s="258"/>
      <c r="R602" s="260"/>
      <c r="S602" s="260"/>
      <c r="T602" s="260"/>
      <c r="U602" s="260"/>
      <c r="V602" s="260"/>
      <c r="W602" s="260"/>
      <c r="X602" s="260"/>
      <c r="Y602" s="260"/>
      <c r="Z602" s="260"/>
      <c r="AA602" s="260"/>
      <c r="AB602" s="260"/>
      <c r="AC602" s="260"/>
      <c r="AD602" s="260"/>
      <c r="AE602" s="260"/>
      <c r="AF602" s="260"/>
      <c r="AG602" s="258"/>
      <c r="AO602"/>
      <c r="AP602"/>
      <c r="AQ602"/>
      <c r="AR602"/>
      <c r="AS602"/>
      <c r="AT602"/>
      <c r="AU602"/>
      <c r="AV602"/>
      <c r="AW602"/>
      <c r="AX602"/>
      <c r="AY602"/>
      <c r="AZ602"/>
      <c r="BA602"/>
      <c r="BB602"/>
      <c r="BC602"/>
      <c r="BD602"/>
      <c r="BE602"/>
      <c r="BF602"/>
    </row>
    <row r="603" spans="13:58" ht="12" hidden="1" customHeight="1">
      <c r="M603" s="820"/>
      <c r="N603" s="239"/>
      <c r="O603" s="225"/>
      <c r="P603" s="260"/>
      <c r="Q603" s="258"/>
      <c r="R603" s="260"/>
      <c r="S603" s="260"/>
      <c r="T603" s="260"/>
      <c r="U603" s="260"/>
      <c r="V603" s="260"/>
      <c r="W603" s="260"/>
      <c r="X603" s="260"/>
      <c r="Y603" s="260"/>
      <c r="Z603" s="260"/>
      <c r="AA603" s="260"/>
      <c r="AB603" s="260"/>
      <c r="AC603" s="260"/>
      <c r="AD603" s="260"/>
      <c r="AE603" s="260"/>
      <c r="AF603" s="260"/>
      <c r="AG603" s="258"/>
      <c r="AO603"/>
      <c r="AP603"/>
      <c r="AQ603"/>
      <c r="AR603"/>
      <c r="AS603"/>
      <c r="AT603"/>
      <c r="AU603"/>
      <c r="AV603"/>
      <c r="AW603"/>
      <c r="AX603"/>
      <c r="AY603"/>
      <c r="AZ603"/>
      <c r="BA603"/>
      <c r="BB603"/>
      <c r="BC603"/>
      <c r="BD603"/>
      <c r="BE603"/>
      <c r="BF603"/>
    </row>
    <row r="604" spans="13:58" ht="12" hidden="1" customHeight="1">
      <c r="M604" s="820"/>
      <c r="N604" s="239"/>
      <c r="O604" s="225"/>
      <c r="P604" s="260"/>
      <c r="Q604" s="258"/>
      <c r="R604" s="260"/>
      <c r="S604" s="260"/>
      <c r="T604" s="260"/>
      <c r="U604" s="260"/>
      <c r="V604" s="260"/>
      <c r="W604" s="260"/>
      <c r="X604" s="260"/>
      <c r="Y604" s="260"/>
      <c r="Z604" s="260"/>
      <c r="AA604" s="260"/>
      <c r="AB604" s="260"/>
      <c r="AC604" s="260"/>
      <c r="AD604" s="260"/>
      <c r="AE604" s="260"/>
      <c r="AF604" s="260"/>
      <c r="AG604" s="258"/>
      <c r="AO604"/>
      <c r="AP604"/>
      <c r="AQ604"/>
      <c r="AR604"/>
      <c r="AS604"/>
      <c r="AT604"/>
      <c r="AU604"/>
      <c r="AV604"/>
      <c r="AW604"/>
      <c r="AX604"/>
      <c r="AY604"/>
      <c r="AZ604"/>
      <c r="BA604"/>
      <c r="BB604"/>
      <c r="BC604"/>
      <c r="BD604"/>
      <c r="BE604"/>
      <c r="BF604"/>
    </row>
    <row r="605" spans="13:58" ht="12" hidden="1" customHeight="1">
      <c r="M605" s="820"/>
      <c r="N605" s="239"/>
      <c r="O605" s="225"/>
      <c r="P605" s="260"/>
      <c r="Q605" s="258"/>
      <c r="R605" s="260"/>
      <c r="S605" s="260"/>
      <c r="T605" s="260"/>
      <c r="U605" s="260"/>
      <c r="V605" s="260"/>
      <c r="W605" s="260"/>
      <c r="X605" s="260"/>
      <c r="Y605" s="260"/>
      <c r="Z605" s="260"/>
      <c r="AA605" s="260"/>
      <c r="AB605" s="260"/>
      <c r="AC605" s="260"/>
      <c r="AD605" s="260"/>
      <c r="AE605" s="260"/>
      <c r="AF605" s="260"/>
      <c r="AG605" s="258"/>
      <c r="AO605"/>
      <c r="AP605"/>
      <c r="AQ605"/>
      <c r="AR605"/>
      <c r="AS605"/>
      <c r="AT605"/>
      <c r="AU605"/>
      <c r="AV605"/>
      <c r="AW605"/>
      <c r="AX605"/>
      <c r="AY605"/>
      <c r="AZ605"/>
      <c r="BA605"/>
      <c r="BB605"/>
      <c r="BC605"/>
      <c r="BD605"/>
      <c r="BE605"/>
      <c r="BF605"/>
    </row>
    <row r="606" spans="13:58" ht="12" hidden="1" customHeight="1">
      <c r="M606" s="820"/>
      <c r="N606" s="239"/>
      <c r="O606" s="225"/>
      <c r="P606" s="260"/>
      <c r="Q606" s="258"/>
      <c r="R606" s="260"/>
      <c r="S606" s="260"/>
      <c r="T606" s="260"/>
      <c r="U606" s="260"/>
      <c r="V606" s="260"/>
      <c r="W606" s="260"/>
      <c r="X606" s="260"/>
      <c r="Y606" s="260"/>
      <c r="Z606" s="260"/>
      <c r="AA606" s="260"/>
      <c r="AB606" s="260"/>
      <c r="AC606" s="260"/>
      <c r="AD606" s="260"/>
      <c r="AE606" s="260"/>
      <c r="AF606" s="260"/>
      <c r="AG606" s="258"/>
      <c r="AO606"/>
      <c r="AP606"/>
      <c r="AQ606"/>
      <c r="AR606"/>
      <c r="AS606"/>
      <c r="AT606"/>
      <c r="AU606"/>
      <c r="AV606"/>
      <c r="AW606"/>
      <c r="AX606"/>
      <c r="AY606"/>
      <c r="AZ606"/>
      <c r="BA606"/>
      <c r="BB606"/>
      <c r="BC606"/>
      <c r="BD606"/>
      <c r="BE606"/>
      <c r="BF606"/>
    </row>
    <row r="607" spans="13:58" ht="12" hidden="1" customHeight="1">
      <c r="M607" s="820"/>
      <c r="N607" s="239"/>
      <c r="O607" s="225"/>
      <c r="P607" s="260"/>
      <c r="Q607" s="258"/>
      <c r="R607" s="260"/>
      <c r="S607" s="260"/>
      <c r="T607" s="260"/>
      <c r="U607" s="260"/>
      <c r="V607" s="260"/>
      <c r="W607" s="260"/>
      <c r="X607" s="260"/>
      <c r="Y607" s="260"/>
      <c r="Z607" s="260"/>
      <c r="AA607" s="260"/>
      <c r="AB607" s="260"/>
      <c r="AC607" s="260"/>
      <c r="AD607" s="260"/>
      <c r="AE607" s="260"/>
      <c r="AF607" s="260"/>
      <c r="AG607" s="258"/>
      <c r="AO607"/>
      <c r="AP607"/>
      <c r="AQ607"/>
      <c r="AR607"/>
      <c r="AS607"/>
      <c r="AT607"/>
      <c r="AU607"/>
      <c r="AV607"/>
      <c r="AW607"/>
      <c r="AX607"/>
      <c r="AY607"/>
      <c r="AZ607"/>
      <c r="BA607"/>
      <c r="BB607"/>
      <c r="BC607"/>
      <c r="BD607"/>
      <c r="BE607"/>
      <c r="BF607"/>
    </row>
    <row r="608" spans="13:58" ht="12" hidden="1" customHeight="1">
      <c r="M608" s="820"/>
      <c r="N608" s="239"/>
      <c r="O608" s="225"/>
      <c r="P608" s="260"/>
      <c r="Q608" s="258"/>
      <c r="R608" s="260"/>
      <c r="S608" s="260"/>
      <c r="T608" s="260"/>
      <c r="U608" s="260"/>
      <c r="V608" s="260"/>
      <c r="W608" s="260"/>
      <c r="X608" s="260"/>
      <c r="Y608" s="260"/>
      <c r="Z608" s="260"/>
      <c r="AA608" s="260"/>
      <c r="AB608" s="260"/>
      <c r="AC608" s="260"/>
      <c r="AD608" s="260"/>
      <c r="AE608" s="260"/>
      <c r="AF608" s="260"/>
      <c r="AG608" s="258"/>
      <c r="AO608"/>
      <c r="AP608"/>
      <c r="AQ608"/>
      <c r="AR608"/>
      <c r="AS608"/>
      <c r="AT608"/>
      <c r="AU608"/>
      <c r="AV608"/>
      <c r="AW608"/>
      <c r="AX608"/>
      <c r="AY608"/>
      <c r="AZ608"/>
      <c r="BA608"/>
      <c r="BB608"/>
      <c r="BC608"/>
      <c r="BD608"/>
      <c r="BE608"/>
      <c r="BF608"/>
    </row>
    <row r="609" spans="13:58" ht="12" hidden="1" customHeight="1">
      <c r="M609" s="820"/>
      <c r="N609" s="239"/>
      <c r="O609" s="225"/>
      <c r="P609" s="260"/>
      <c r="Q609" s="258"/>
      <c r="R609" s="260"/>
      <c r="S609" s="260"/>
      <c r="T609" s="260"/>
      <c r="U609" s="260"/>
      <c r="V609" s="260"/>
      <c r="W609" s="260"/>
      <c r="X609" s="260"/>
      <c r="Y609" s="260"/>
      <c r="Z609" s="260"/>
      <c r="AA609" s="260"/>
      <c r="AB609" s="260"/>
      <c r="AC609" s="260"/>
      <c r="AD609" s="260"/>
      <c r="AE609" s="260"/>
      <c r="AF609" s="260"/>
      <c r="AG609" s="258"/>
      <c r="AO609"/>
      <c r="AP609"/>
      <c r="AQ609"/>
      <c r="AR609"/>
      <c r="AS609"/>
      <c r="AT609"/>
      <c r="AU609"/>
      <c r="AV609"/>
      <c r="AW609"/>
      <c r="AX609"/>
      <c r="AY609"/>
      <c r="AZ609"/>
      <c r="BA609"/>
      <c r="BB609"/>
      <c r="BC609"/>
      <c r="BD609"/>
      <c r="BE609"/>
      <c r="BF609"/>
    </row>
    <row r="610" spans="13:58" ht="12" hidden="1" customHeight="1">
      <c r="M610" s="820"/>
      <c r="N610" s="239"/>
      <c r="O610" s="225"/>
      <c r="P610" s="260"/>
      <c r="Q610" s="258"/>
      <c r="R610" s="260"/>
      <c r="S610" s="260"/>
      <c r="T610" s="260"/>
      <c r="U610" s="260"/>
      <c r="V610" s="260"/>
      <c r="W610" s="260"/>
      <c r="X610" s="260"/>
      <c r="Y610" s="260"/>
      <c r="Z610" s="260"/>
      <c r="AA610" s="260"/>
      <c r="AB610" s="260"/>
      <c r="AC610" s="260"/>
      <c r="AD610" s="260"/>
      <c r="AE610" s="260"/>
      <c r="AF610" s="260"/>
      <c r="AG610" s="258"/>
      <c r="AO610"/>
      <c r="AP610"/>
      <c r="AQ610"/>
      <c r="AR610"/>
      <c r="AS610"/>
      <c r="AT610"/>
      <c r="AU610"/>
      <c r="AV610"/>
      <c r="AW610"/>
      <c r="AX610"/>
      <c r="AY610"/>
      <c r="AZ610"/>
      <c r="BA610"/>
      <c r="BB610"/>
      <c r="BC610"/>
      <c r="BD610"/>
      <c r="BE610"/>
      <c r="BF610"/>
    </row>
    <row r="611" spans="13:58" ht="12" hidden="1" customHeight="1">
      <c r="M611" s="820"/>
      <c r="N611" s="239"/>
      <c r="O611" s="225"/>
      <c r="P611" s="260"/>
      <c r="Q611" s="258"/>
      <c r="R611" s="260"/>
      <c r="S611" s="260"/>
      <c r="T611" s="260"/>
      <c r="U611" s="260"/>
      <c r="V611" s="260"/>
      <c r="W611" s="260"/>
      <c r="X611" s="260"/>
      <c r="Y611" s="260"/>
      <c r="Z611" s="260"/>
      <c r="AA611" s="260"/>
      <c r="AB611" s="260"/>
      <c r="AC611" s="260"/>
      <c r="AD611" s="260"/>
      <c r="AE611" s="260"/>
      <c r="AF611" s="260"/>
      <c r="AG611" s="258"/>
      <c r="AO611"/>
      <c r="AP611"/>
      <c r="AQ611"/>
      <c r="AR611"/>
      <c r="AS611"/>
      <c r="AT611"/>
      <c r="AU611"/>
      <c r="AV611"/>
      <c r="AW611"/>
      <c r="AX611"/>
      <c r="AY611"/>
      <c r="AZ611"/>
      <c r="BA611"/>
      <c r="BB611"/>
      <c r="BC611"/>
      <c r="BD611"/>
      <c r="BE611"/>
      <c r="BF611"/>
    </row>
    <row r="612" spans="13:58" ht="12" hidden="1" customHeight="1">
      <c r="M612" s="820"/>
      <c r="N612" s="239"/>
      <c r="O612" s="225"/>
      <c r="P612" s="260"/>
      <c r="Q612" s="258"/>
      <c r="R612" s="260"/>
      <c r="S612" s="260"/>
      <c r="T612" s="260"/>
      <c r="U612" s="260"/>
      <c r="V612" s="260"/>
      <c r="W612" s="260"/>
      <c r="X612" s="260"/>
      <c r="Y612" s="260"/>
      <c r="Z612" s="260"/>
      <c r="AA612" s="260"/>
      <c r="AB612" s="260"/>
      <c r="AC612" s="260"/>
      <c r="AD612" s="260"/>
      <c r="AE612" s="260"/>
      <c r="AF612" s="260"/>
      <c r="AG612" s="258"/>
      <c r="AO612"/>
      <c r="AP612"/>
      <c r="AQ612"/>
      <c r="AR612"/>
      <c r="AS612"/>
      <c r="AT612"/>
      <c r="AU612"/>
      <c r="AV612"/>
      <c r="AW612"/>
      <c r="AX612"/>
      <c r="AY612"/>
      <c r="AZ612"/>
      <c r="BA612"/>
      <c r="BB612"/>
      <c r="BC612"/>
      <c r="BD612"/>
      <c r="BE612"/>
      <c r="BF612"/>
    </row>
    <row r="613" spans="13:58" ht="12" hidden="1" customHeight="1">
      <c r="M613" s="820"/>
      <c r="N613" s="239"/>
      <c r="O613" s="225"/>
      <c r="P613" s="260"/>
      <c r="Q613" s="258"/>
      <c r="R613" s="260"/>
      <c r="S613" s="260"/>
      <c r="T613" s="260"/>
      <c r="U613" s="260"/>
      <c r="V613" s="260"/>
      <c r="W613" s="260"/>
      <c r="X613" s="260"/>
      <c r="Y613" s="260"/>
      <c r="Z613" s="260"/>
      <c r="AA613" s="260"/>
      <c r="AB613" s="260"/>
      <c r="AC613" s="260"/>
      <c r="AD613" s="260"/>
      <c r="AE613" s="260"/>
      <c r="AF613" s="260"/>
      <c r="AG613" s="258"/>
      <c r="AO613"/>
      <c r="AP613"/>
      <c r="AQ613"/>
      <c r="AR613"/>
      <c r="AS613"/>
      <c r="AT613"/>
      <c r="AU613"/>
      <c r="AV613"/>
      <c r="AW613"/>
      <c r="AX613"/>
      <c r="AY613"/>
      <c r="AZ613"/>
      <c r="BA613"/>
      <c r="BB613"/>
      <c r="BC613"/>
      <c r="BD613"/>
      <c r="BE613"/>
      <c r="BF613"/>
    </row>
    <row r="614" spans="13:58" ht="12" hidden="1" customHeight="1">
      <c r="M614" s="820"/>
      <c r="N614" s="239"/>
      <c r="O614" s="225"/>
      <c r="P614" s="260"/>
      <c r="Q614" s="258"/>
      <c r="R614" s="260"/>
      <c r="S614" s="260"/>
      <c r="T614" s="260"/>
      <c r="U614" s="260"/>
      <c r="V614" s="260"/>
      <c r="W614" s="260"/>
      <c r="X614" s="260"/>
      <c r="Y614" s="260"/>
      <c r="Z614" s="260"/>
      <c r="AA614" s="260"/>
      <c r="AB614" s="260"/>
      <c r="AC614" s="260"/>
      <c r="AD614" s="260"/>
      <c r="AE614" s="260"/>
      <c r="AF614" s="260"/>
      <c r="AG614" s="258"/>
      <c r="AO614"/>
      <c r="AP614"/>
      <c r="AQ614"/>
      <c r="AR614"/>
      <c r="AS614"/>
      <c r="AT614"/>
      <c r="AU614"/>
      <c r="AV614"/>
      <c r="AW614"/>
      <c r="AX614"/>
      <c r="AY614"/>
      <c r="AZ614"/>
      <c r="BA614"/>
      <c r="BB614"/>
      <c r="BC614"/>
      <c r="BD614"/>
      <c r="BE614"/>
      <c r="BF614"/>
    </row>
    <row r="615" spans="13:58" ht="12" hidden="1" customHeight="1">
      <c r="M615" s="820"/>
      <c r="N615" s="239"/>
      <c r="O615" s="225"/>
      <c r="P615" s="260"/>
      <c r="Q615" s="258"/>
      <c r="R615" s="260"/>
      <c r="S615" s="260"/>
      <c r="T615" s="260"/>
      <c r="U615" s="260"/>
      <c r="V615" s="260"/>
      <c r="W615" s="260"/>
      <c r="X615" s="260"/>
      <c r="Y615" s="260"/>
      <c r="Z615" s="260"/>
      <c r="AA615" s="260"/>
      <c r="AB615" s="260"/>
      <c r="AC615" s="260"/>
      <c r="AD615" s="260"/>
      <c r="AE615" s="260"/>
      <c r="AF615" s="260"/>
      <c r="AG615" s="258"/>
      <c r="AO615"/>
      <c r="AP615"/>
      <c r="AQ615"/>
      <c r="AR615"/>
      <c r="AS615"/>
      <c r="AT615"/>
      <c r="AU615"/>
      <c r="AV615"/>
      <c r="AW615"/>
      <c r="AX615"/>
      <c r="AY615"/>
      <c r="AZ615"/>
      <c r="BA615"/>
      <c r="BB615"/>
      <c r="BC615"/>
      <c r="BD615"/>
      <c r="BE615"/>
      <c r="BF615"/>
    </row>
    <row r="616" spans="13:58" ht="12" hidden="1" customHeight="1">
      <c r="M616" s="820"/>
      <c r="N616" s="239"/>
      <c r="O616" s="225"/>
      <c r="P616" s="260"/>
      <c r="Q616" s="258"/>
      <c r="R616" s="260"/>
      <c r="S616" s="260"/>
      <c r="T616" s="260"/>
      <c r="U616" s="260"/>
      <c r="V616" s="260"/>
      <c r="W616" s="260"/>
      <c r="X616" s="260"/>
      <c r="Y616" s="260"/>
      <c r="Z616" s="260"/>
      <c r="AA616" s="260"/>
      <c r="AB616" s="260"/>
      <c r="AC616" s="260"/>
      <c r="AD616" s="260"/>
      <c r="AE616" s="260"/>
      <c r="AF616" s="260"/>
      <c r="AG616" s="258"/>
      <c r="AO616"/>
      <c r="AP616"/>
      <c r="AQ616"/>
      <c r="AR616"/>
      <c r="AS616"/>
      <c r="AT616"/>
      <c r="AU616"/>
      <c r="AV616"/>
      <c r="AW616"/>
      <c r="AX616"/>
      <c r="AY616"/>
      <c r="AZ616"/>
      <c r="BA616"/>
      <c r="BB616"/>
      <c r="BC616"/>
      <c r="BD616"/>
      <c r="BE616"/>
      <c r="BF616"/>
    </row>
    <row r="617" spans="13:58" ht="12" hidden="1" customHeight="1">
      <c r="M617" s="820"/>
      <c r="N617" s="239"/>
      <c r="O617" s="225"/>
      <c r="P617" s="260"/>
      <c r="Q617" s="258"/>
      <c r="R617" s="260"/>
      <c r="S617" s="260"/>
      <c r="T617" s="260"/>
      <c r="U617" s="260"/>
      <c r="V617" s="260"/>
      <c r="W617" s="260"/>
      <c r="X617" s="260"/>
      <c r="Y617" s="260"/>
      <c r="Z617" s="260"/>
      <c r="AA617" s="260"/>
      <c r="AB617" s="260"/>
      <c r="AC617" s="260"/>
      <c r="AD617" s="260"/>
      <c r="AE617" s="260"/>
      <c r="AF617" s="260"/>
      <c r="AG617" s="258"/>
      <c r="AO617"/>
      <c r="AP617"/>
      <c r="AQ617"/>
      <c r="AR617"/>
      <c r="AS617"/>
      <c r="AT617"/>
      <c r="AU617"/>
      <c r="AV617"/>
      <c r="AW617"/>
      <c r="AX617"/>
      <c r="AY617"/>
      <c r="AZ617"/>
      <c r="BA617"/>
      <c r="BB617"/>
      <c r="BC617"/>
      <c r="BD617"/>
      <c r="BE617"/>
      <c r="BF617"/>
    </row>
    <row r="618" spans="13:58" ht="12" hidden="1" customHeight="1">
      <c r="M618" s="820"/>
      <c r="N618" s="239"/>
      <c r="O618" s="225"/>
      <c r="P618" s="260"/>
      <c r="Q618" s="258"/>
      <c r="R618" s="260"/>
      <c r="S618" s="260"/>
      <c r="T618" s="260"/>
      <c r="U618" s="260"/>
      <c r="V618" s="260"/>
      <c r="W618" s="260"/>
      <c r="X618" s="260"/>
      <c r="Y618" s="260"/>
      <c r="Z618" s="260"/>
      <c r="AA618" s="260"/>
      <c r="AB618" s="260"/>
      <c r="AC618" s="260"/>
      <c r="AD618" s="260"/>
      <c r="AE618" s="260"/>
      <c r="AF618" s="260"/>
      <c r="AG618" s="258"/>
      <c r="AO618"/>
      <c r="AP618"/>
      <c r="AQ618"/>
      <c r="AR618"/>
      <c r="AS618"/>
      <c r="AT618"/>
      <c r="AU618"/>
      <c r="AV618"/>
      <c r="AW618"/>
      <c r="AX618"/>
      <c r="AY618"/>
      <c r="AZ618"/>
      <c r="BA618"/>
      <c r="BB618"/>
      <c r="BC618"/>
      <c r="BD618"/>
      <c r="BE618"/>
      <c r="BF618"/>
    </row>
    <row r="619" spans="13:58" ht="12" hidden="1" customHeight="1">
      <c r="M619" s="820"/>
      <c r="N619" s="239"/>
      <c r="O619" s="225"/>
      <c r="P619" s="260"/>
      <c r="Q619" s="258"/>
      <c r="R619" s="260"/>
      <c r="S619" s="260"/>
      <c r="T619" s="260"/>
      <c r="U619" s="260"/>
      <c r="V619" s="260"/>
      <c r="W619" s="260"/>
      <c r="X619" s="260"/>
      <c r="Y619" s="260"/>
      <c r="Z619" s="260"/>
      <c r="AA619" s="260"/>
      <c r="AB619" s="260"/>
      <c r="AC619" s="260"/>
      <c r="AD619" s="260"/>
      <c r="AE619" s="260"/>
      <c r="AF619" s="260"/>
      <c r="AG619" s="258"/>
      <c r="AO619"/>
      <c r="AP619"/>
      <c r="AQ619"/>
      <c r="AR619"/>
      <c r="AS619"/>
      <c r="AT619"/>
      <c r="AU619"/>
      <c r="AV619"/>
      <c r="AW619"/>
      <c r="AX619"/>
      <c r="AY619"/>
      <c r="AZ619"/>
      <c r="BA619"/>
      <c r="BB619"/>
      <c r="BC619"/>
      <c r="BD619"/>
      <c r="BE619"/>
      <c r="BF619"/>
    </row>
    <row r="620" spans="13:58" ht="12" hidden="1" customHeight="1">
      <c r="M620" s="820"/>
      <c r="N620" s="239"/>
      <c r="O620" s="225"/>
      <c r="P620" s="260"/>
      <c r="Q620" s="258"/>
      <c r="R620" s="260"/>
      <c r="S620" s="260"/>
      <c r="T620" s="260"/>
      <c r="U620" s="260"/>
      <c r="V620" s="260"/>
      <c r="W620" s="260"/>
      <c r="X620" s="260"/>
      <c r="Y620" s="260"/>
      <c r="Z620" s="260"/>
      <c r="AA620" s="260"/>
      <c r="AB620" s="260"/>
      <c r="AC620" s="260"/>
      <c r="AD620" s="260"/>
      <c r="AE620" s="260"/>
      <c r="AF620" s="260"/>
      <c r="AG620" s="258"/>
      <c r="AO620"/>
      <c r="AP620"/>
      <c r="AQ620"/>
      <c r="AR620"/>
      <c r="AS620"/>
      <c r="AT620"/>
      <c r="AU620"/>
      <c r="AV620"/>
      <c r="AW620"/>
      <c r="AX620"/>
      <c r="AY620"/>
      <c r="AZ620"/>
      <c r="BA620"/>
      <c r="BB620"/>
      <c r="BC620"/>
      <c r="BD620"/>
      <c r="BE620"/>
      <c r="BF620"/>
    </row>
    <row r="621" spans="13:58" ht="12" hidden="1" customHeight="1">
      <c r="M621" s="820"/>
      <c r="N621" s="239"/>
      <c r="O621" s="225"/>
      <c r="P621" s="260"/>
      <c r="Q621" s="258"/>
      <c r="R621" s="260"/>
      <c r="S621" s="260"/>
      <c r="T621" s="260"/>
      <c r="U621" s="260"/>
      <c r="V621" s="260"/>
      <c r="W621" s="260"/>
      <c r="X621" s="260"/>
      <c r="Y621" s="260"/>
      <c r="Z621" s="260"/>
      <c r="AA621" s="260"/>
      <c r="AB621" s="260"/>
      <c r="AC621" s="260"/>
      <c r="AD621" s="260"/>
      <c r="AE621" s="260"/>
      <c r="AF621" s="260"/>
      <c r="AG621" s="258"/>
      <c r="AO621"/>
      <c r="AP621"/>
      <c r="AQ621"/>
      <c r="AR621"/>
      <c r="AS621"/>
      <c r="AT621"/>
      <c r="AU621"/>
      <c r="AV621"/>
      <c r="AW621"/>
      <c r="AX621"/>
      <c r="AY621"/>
      <c r="AZ621"/>
      <c r="BA621"/>
      <c r="BB621"/>
      <c r="BC621"/>
      <c r="BD621"/>
      <c r="BE621"/>
      <c r="BF621"/>
    </row>
    <row r="622" spans="13:58" ht="12" hidden="1" customHeight="1">
      <c r="M622" s="820"/>
      <c r="N622" s="239"/>
      <c r="O622" s="225"/>
      <c r="P622" s="260"/>
      <c r="Q622" s="258"/>
      <c r="R622" s="260"/>
      <c r="S622" s="260"/>
      <c r="T622" s="260"/>
      <c r="U622" s="260"/>
      <c r="V622" s="260"/>
      <c r="W622" s="260"/>
      <c r="X622" s="260"/>
      <c r="Y622" s="260"/>
      <c r="Z622" s="260"/>
      <c r="AA622" s="260"/>
      <c r="AB622" s="260"/>
      <c r="AC622" s="260"/>
      <c r="AD622" s="260"/>
      <c r="AE622" s="260"/>
      <c r="AF622" s="260"/>
      <c r="AG622" s="258"/>
      <c r="AO622"/>
      <c r="AP622"/>
      <c r="AQ622"/>
      <c r="AR622"/>
      <c r="AS622"/>
      <c r="AT622"/>
      <c r="AU622"/>
      <c r="AV622"/>
      <c r="AW622"/>
      <c r="AX622"/>
      <c r="AY622"/>
      <c r="AZ622"/>
      <c r="BA622"/>
      <c r="BB622"/>
      <c r="BC622"/>
      <c r="BD622"/>
      <c r="BE622"/>
      <c r="BF622"/>
    </row>
    <row r="623" spans="13:58" ht="12" hidden="1" customHeight="1">
      <c r="M623" s="820"/>
      <c r="N623" s="239"/>
      <c r="O623" s="225"/>
      <c r="P623" s="260"/>
      <c r="Q623" s="258"/>
      <c r="R623" s="260"/>
      <c r="S623" s="260"/>
      <c r="T623" s="260"/>
      <c r="U623" s="260"/>
      <c r="V623" s="260"/>
      <c r="W623" s="260"/>
      <c r="X623" s="260"/>
      <c r="Y623" s="260"/>
      <c r="Z623" s="260"/>
      <c r="AA623" s="260"/>
      <c r="AB623" s="260"/>
      <c r="AC623" s="260"/>
      <c r="AD623" s="260"/>
      <c r="AE623" s="260"/>
      <c r="AF623" s="260"/>
      <c r="AG623" s="258"/>
      <c r="AO623"/>
      <c r="AP623"/>
      <c r="AQ623"/>
      <c r="AR623"/>
      <c r="AS623"/>
      <c r="AT623"/>
      <c r="AU623"/>
      <c r="AV623"/>
      <c r="AW623"/>
      <c r="AX623"/>
      <c r="AY623"/>
      <c r="AZ623"/>
      <c r="BA623"/>
      <c r="BB623"/>
      <c r="BC623"/>
      <c r="BD623"/>
      <c r="BE623"/>
      <c r="BF623"/>
    </row>
    <row r="624" spans="13:58" ht="12" hidden="1" customHeight="1">
      <c r="M624" s="820"/>
      <c r="N624" s="239"/>
      <c r="O624" s="225"/>
      <c r="P624" s="260"/>
      <c r="Q624" s="258"/>
      <c r="R624" s="260"/>
      <c r="S624" s="260"/>
      <c r="T624" s="260"/>
      <c r="U624" s="260"/>
      <c r="V624" s="260"/>
      <c r="W624" s="260"/>
      <c r="X624" s="260"/>
      <c r="Y624" s="260"/>
      <c r="Z624" s="260"/>
      <c r="AA624" s="260"/>
      <c r="AB624" s="260"/>
      <c r="AC624" s="260"/>
      <c r="AD624" s="260"/>
      <c r="AE624" s="260"/>
      <c r="AF624" s="260"/>
      <c r="AG624" s="258"/>
      <c r="AO624"/>
      <c r="AP624"/>
      <c r="AQ624"/>
      <c r="AR624"/>
      <c r="AS624"/>
      <c r="AT624"/>
      <c r="AU624"/>
      <c r="AV624"/>
      <c r="AW624"/>
      <c r="AX624"/>
      <c r="AY624"/>
      <c r="AZ624"/>
      <c r="BA624"/>
      <c r="BB624"/>
      <c r="BC624"/>
      <c r="BD624"/>
      <c r="BE624"/>
      <c r="BF624"/>
    </row>
    <row r="625" spans="13:58" ht="12" hidden="1" customHeight="1">
      <c r="M625" s="820"/>
      <c r="N625" s="239"/>
      <c r="O625" s="225"/>
      <c r="P625" s="260"/>
      <c r="Q625" s="258"/>
      <c r="R625" s="260"/>
      <c r="S625" s="260"/>
      <c r="T625" s="260"/>
      <c r="U625" s="260"/>
      <c r="V625" s="260"/>
      <c r="W625" s="260"/>
      <c r="X625" s="260"/>
      <c r="Y625" s="260"/>
      <c r="Z625" s="260"/>
      <c r="AA625" s="260"/>
      <c r="AB625" s="260"/>
      <c r="AC625" s="260"/>
      <c r="AD625" s="260"/>
      <c r="AE625" s="260"/>
      <c r="AF625" s="260"/>
      <c r="AG625" s="258"/>
      <c r="AO625"/>
      <c r="AP625"/>
      <c r="AQ625"/>
      <c r="AR625"/>
      <c r="AS625"/>
      <c r="AT625"/>
      <c r="AU625"/>
      <c r="AV625"/>
      <c r="AW625"/>
      <c r="AX625"/>
      <c r="AY625"/>
      <c r="AZ625"/>
      <c r="BA625"/>
      <c r="BB625"/>
      <c r="BC625"/>
      <c r="BD625"/>
      <c r="BE625"/>
      <c r="BF625"/>
    </row>
    <row r="626" spans="13:58" ht="12" hidden="1" customHeight="1">
      <c r="M626" s="820"/>
      <c r="N626" s="239"/>
      <c r="O626" s="225"/>
      <c r="P626" s="260"/>
      <c r="Q626" s="258"/>
      <c r="R626" s="260"/>
      <c r="S626" s="260"/>
      <c r="T626" s="260"/>
      <c r="U626" s="260"/>
      <c r="V626" s="260"/>
      <c r="W626" s="260"/>
      <c r="X626" s="260"/>
      <c r="Y626" s="260"/>
      <c r="Z626" s="260"/>
      <c r="AA626" s="260"/>
      <c r="AB626" s="260"/>
      <c r="AC626" s="260"/>
      <c r="AD626" s="260"/>
      <c r="AE626" s="260"/>
      <c r="AF626" s="260"/>
      <c r="AG626" s="258"/>
      <c r="AO626"/>
      <c r="AP626"/>
      <c r="AQ626"/>
      <c r="AR626"/>
      <c r="AS626"/>
      <c r="AT626"/>
      <c r="AU626"/>
      <c r="AV626"/>
      <c r="AW626"/>
      <c r="AX626"/>
      <c r="AY626"/>
      <c r="AZ626"/>
      <c r="BA626"/>
      <c r="BB626"/>
      <c r="BC626"/>
      <c r="BD626"/>
      <c r="BE626"/>
      <c r="BF626"/>
    </row>
    <row r="627" spans="13:58" ht="12" hidden="1" customHeight="1">
      <c r="M627" s="820"/>
      <c r="N627" s="239"/>
      <c r="O627" s="225"/>
      <c r="P627" s="260"/>
      <c r="Q627" s="258"/>
      <c r="R627" s="260"/>
      <c r="S627" s="260"/>
      <c r="T627" s="260"/>
      <c r="U627" s="260"/>
      <c r="V627" s="260"/>
      <c r="W627" s="260"/>
      <c r="X627" s="260"/>
      <c r="Y627" s="260"/>
      <c r="Z627" s="260"/>
      <c r="AA627" s="260"/>
      <c r="AB627" s="260"/>
      <c r="AC627" s="260"/>
      <c r="AD627" s="260"/>
      <c r="AE627" s="260"/>
      <c r="AF627" s="260"/>
      <c r="AG627" s="258"/>
      <c r="AO627"/>
      <c r="AP627"/>
      <c r="AQ627"/>
      <c r="AR627"/>
      <c r="AS627"/>
      <c r="AT627"/>
      <c r="AU627"/>
      <c r="AV627"/>
      <c r="AW627"/>
      <c r="AX627"/>
      <c r="AY627"/>
      <c r="AZ627"/>
      <c r="BA627"/>
      <c r="BB627"/>
      <c r="BC627"/>
      <c r="BD627"/>
      <c r="BE627"/>
      <c r="BF627"/>
    </row>
    <row r="628" spans="13:58" ht="12" hidden="1" customHeight="1">
      <c r="M628" s="820"/>
      <c r="N628" s="239"/>
      <c r="O628" s="225"/>
      <c r="P628" s="260"/>
      <c r="Q628" s="258"/>
      <c r="R628" s="260"/>
      <c r="S628" s="260"/>
      <c r="T628" s="260"/>
      <c r="U628" s="260"/>
      <c r="V628" s="260"/>
      <c r="W628" s="260"/>
      <c r="X628" s="260"/>
      <c r="Y628" s="260"/>
      <c r="Z628" s="260"/>
      <c r="AA628" s="260"/>
      <c r="AB628" s="260"/>
      <c r="AC628" s="260"/>
      <c r="AD628" s="260"/>
      <c r="AE628" s="260"/>
      <c r="AF628" s="260"/>
      <c r="AG628" s="258"/>
      <c r="AO628"/>
      <c r="AP628"/>
      <c r="AQ628"/>
      <c r="AR628"/>
      <c r="AS628"/>
      <c r="AT628"/>
      <c r="AU628"/>
      <c r="AV628"/>
      <c r="AW628"/>
      <c r="AX628"/>
      <c r="AY628"/>
      <c r="AZ628"/>
      <c r="BA628"/>
      <c r="BB628"/>
      <c r="BC628"/>
      <c r="BD628"/>
      <c r="BE628"/>
      <c r="BF628"/>
    </row>
    <row r="629" spans="13:58" ht="12" hidden="1" customHeight="1">
      <c r="M629" s="820"/>
      <c r="N629" s="239"/>
      <c r="O629" s="225"/>
      <c r="P629" s="260"/>
      <c r="Q629" s="258"/>
      <c r="R629" s="260"/>
      <c r="S629" s="260"/>
      <c r="T629" s="260"/>
      <c r="U629" s="260"/>
      <c r="V629" s="260"/>
      <c r="W629" s="260"/>
      <c r="X629" s="260"/>
      <c r="Y629" s="260"/>
      <c r="Z629" s="260"/>
      <c r="AA629" s="260"/>
      <c r="AB629" s="260"/>
      <c r="AC629" s="260"/>
      <c r="AD629" s="260"/>
      <c r="AE629" s="260"/>
      <c r="AF629" s="260"/>
      <c r="AG629" s="258"/>
      <c r="AO629"/>
      <c r="AP629"/>
      <c r="AQ629"/>
      <c r="AR629"/>
      <c r="AS629"/>
      <c r="AT629"/>
      <c r="AU629"/>
      <c r="AV629"/>
      <c r="AW629"/>
      <c r="AX629"/>
      <c r="AY629"/>
      <c r="AZ629"/>
      <c r="BA629"/>
      <c r="BB629"/>
      <c r="BC629"/>
      <c r="BD629"/>
      <c r="BE629"/>
      <c r="BF629"/>
    </row>
    <row r="630" spans="13:58" ht="12" hidden="1" customHeight="1">
      <c r="M630" s="820"/>
      <c r="N630" s="239"/>
      <c r="O630" s="225"/>
      <c r="P630" s="260"/>
      <c r="Q630" s="258"/>
      <c r="R630" s="260"/>
      <c r="S630" s="260"/>
      <c r="T630" s="260"/>
      <c r="U630" s="260"/>
      <c r="V630" s="260"/>
      <c r="W630" s="260"/>
      <c r="X630" s="260"/>
      <c r="Y630" s="260"/>
      <c r="Z630" s="260"/>
      <c r="AA630" s="260"/>
      <c r="AB630" s="260"/>
      <c r="AC630" s="260"/>
      <c r="AD630" s="260"/>
      <c r="AE630" s="260"/>
      <c r="AF630" s="260"/>
      <c r="AG630" s="258"/>
      <c r="AO630"/>
      <c r="AP630"/>
      <c r="AQ630"/>
      <c r="AR630"/>
      <c r="AS630"/>
      <c r="AT630"/>
      <c r="AU630"/>
      <c r="AV630"/>
      <c r="AW630"/>
      <c r="AX630"/>
      <c r="AY630"/>
      <c r="AZ630"/>
      <c r="BA630"/>
      <c r="BB630"/>
      <c r="BC630"/>
      <c r="BD630"/>
      <c r="BE630"/>
      <c r="BF630"/>
    </row>
    <row r="631" spans="13:58" ht="12" hidden="1" customHeight="1">
      <c r="M631" s="820"/>
      <c r="N631" s="239"/>
      <c r="O631" s="225"/>
      <c r="P631" s="260"/>
      <c r="Q631" s="258"/>
      <c r="R631" s="260"/>
      <c r="S631" s="260"/>
      <c r="T631" s="260"/>
      <c r="U631" s="260"/>
      <c r="V631" s="260"/>
      <c r="W631" s="260"/>
      <c r="X631" s="260"/>
      <c r="Y631" s="260"/>
      <c r="Z631" s="260"/>
      <c r="AA631" s="260"/>
      <c r="AB631" s="260"/>
      <c r="AC631" s="260"/>
      <c r="AD631" s="260"/>
      <c r="AE631" s="260"/>
      <c r="AF631" s="260"/>
      <c r="AG631" s="258"/>
      <c r="AO631"/>
      <c r="AP631"/>
      <c r="AQ631"/>
      <c r="AR631"/>
      <c r="AS631"/>
      <c r="AT631"/>
      <c r="AU631"/>
      <c r="AV631"/>
      <c r="AW631"/>
      <c r="AX631"/>
      <c r="AY631"/>
      <c r="AZ631"/>
      <c r="BA631"/>
      <c r="BB631"/>
      <c r="BC631"/>
      <c r="BD631"/>
      <c r="BE631"/>
      <c r="BF631"/>
    </row>
    <row r="632" spans="13:58" ht="12" hidden="1" customHeight="1">
      <c r="M632" s="820"/>
      <c r="N632" s="239"/>
      <c r="O632" s="225"/>
      <c r="P632" s="260"/>
      <c r="Q632" s="258"/>
      <c r="R632" s="260"/>
      <c r="S632" s="260"/>
      <c r="T632" s="260"/>
      <c r="U632" s="260"/>
      <c r="V632" s="260"/>
      <c r="W632" s="260"/>
      <c r="X632" s="260"/>
      <c r="Y632" s="260"/>
      <c r="Z632" s="260"/>
      <c r="AA632" s="260"/>
      <c r="AB632" s="260"/>
      <c r="AC632" s="260"/>
      <c r="AD632" s="260"/>
      <c r="AE632" s="260"/>
      <c r="AF632" s="260"/>
      <c r="AG632" s="258"/>
      <c r="AO632"/>
      <c r="AP632"/>
      <c r="AQ632"/>
      <c r="AR632"/>
      <c r="AS632"/>
      <c r="AT632"/>
      <c r="AU632"/>
      <c r="AV632"/>
      <c r="AW632"/>
      <c r="AX632"/>
      <c r="AY632"/>
      <c r="AZ632"/>
      <c r="BA632"/>
      <c r="BB632"/>
      <c r="BC632"/>
      <c r="BD632"/>
      <c r="BE632"/>
      <c r="BF632"/>
    </row>
    <row r="633" spans="13:58" ht="12" hidden="1" customHeight="1">
      <c r="M633" s="820"/>
      <c r="N633" s="239"/>
      <c r="O633" s="225"/>
      <c r="P633" s="260"/>
      <c r="Q633" s="258"/>
      <c r="R633" s="260"/>
      <c r="S633" s="260"/>
      <c r="T633" s="260"/>
      <c r="U633" s="260"/>
      <c r="V633" s="260"/>
      <c r="W633" s="260"/>
      <c r="X633" s="260"/>
      <c r="Y633" s="260"/>
      <c r="Z633" s="260"/>
      <c r="AA633" s="260"/>
      <c r="AB633" s="260"/>
      <c r="AC633" s="260"/>
      <c r="AD633" s="260"/>
      <c r="AE633" s="260"/>
      <c r="AF633" s="260"/>
      <c r="AG633" s="258"/>
      <c r="AO633"/>
      <c r="AP633"/>
      <c r="AQ633"/>
      <c r="AR633"/>
      <c r="AS633"/>
      <c r="AT633"/>
      <c r="AU633"/>
      <c r="AV633"/>
      <c r="AW633"/>
      <c r="AX633"/>
      <c r="AY633"/>
      <c r="AZ633"/>
      <c r="BA633"/>
      <c r="BB633"/>
      <c r="BC633"/>
      <c r="BD633"/>
      <c r="BE633"/>
      <c r="BF633"/>
    </row>
    <row r="634" spans="13:58" ht="12" hidden="1" customHeight="1">
      <c r="M634" s="820"/>
      <c r="N634" s="239"/>
      <c r="O634" s="225"/>
      <c r="P634" s="260"/>
      <c r="Q634" s="258"/>
      <c r="R634" s="260"/>
      <c r="S634" s="260"/>
      <c r="T634" s="260"/>
      <c r="U634" s="260"/>
      <c r="V634" s="260"/>
      <c r="W634" s="260"/>
      <c r="X634" s="260"/>
      <c r="Y634" s="260"/>
      <c r="Z634" s="260"/>
      <c r="AA634" s="260"/>
      <c r="AB634" s="260"/>
      <c r="AC634" s="260"/>
      <c r="AD634" s="260"/>
      <c r="AE634" s="260"/>
      <c r="AF634" s="260"/>
      <c r="AG634" s="258"/>
      <c r="AO634"/>
      <c r="AP634"/>
      <c r="AQ634"/>
      <c r="AR634"/>
      <c r="AS634"/>
      <c r="AT634"/>
      <c r="AU634"/>
      <c r="AV634"/>
      <c r="AW634"/>
      <c r="AX634"/>
      <c r="AY634"/>
      <c r="AZ634"/>
      <c r="BA634"/>
      <c r="BB634"/>
      <c r="BC634"/>
      <c r="BD634"/>
      <c r="BE634"/>
      <c r="BF634"/>
    </row>
    <row r="635" spans="13:58" ht="12" hidden="1" customHeight="1">
      <c r="M635" s="820"/>
      <c r="N635" s="239"/>
      <c r="O635" s="225"/>
      <c r="P635" s="260"/>
      <c r="Q635" s="258"/>
      <c r="R635" s="260"/>
      <c r="S635" s="260"/>
      <c r="T635" s="260"/>
      <c r="U635" s="260"/>
      <c r="V635" s="260"/>
      <c r="W635" s="260"/>
      <c r="X635" s="260"/>
      <c r="Y635" s="260"/>
      <c r="Z635" s="260"/>
      <c r="AA635" s="260"/>
      <c r="AB635" s="260"/>
      <c r="AC635" s="260"/>
      <c r="AD635" s="260"/>
      <c r="AE635" s="260"/>
      <c r="AF635" s="260"/>
      <c r="AG635" s="258"/>
      <c r="AO635"/>
      <c r="AP635"/>
      <c r="AQ635"/>
      <c r="AR635"/>
      <c r="AS635"/>
      <c r="AT635"/>
      <c r="AU635"/>
      <c r="AV635"/>
      <c r="AW635"/>
      <c r="AX635"/>
      <c r="AY635"/>
      <c r="AZ635"/>
      <c r="BA635"/>
      <c r="BB635"/>
      <c r="BC635"/>
      <c r="BD635"/>
      <c r="BE635"/>
      <c r="BF635"/>
    </row>
    <row r="636" spans="13:58" ht="12" hidden="1" customHeight="1">
      <c r="M636" s="820"/>
      <c r="N636" s="239"/>
      <c r="O636" s="225"/>
      <c r="P636" s="260"/>
      <c r="Q636" s="258"/>
      <c r="R636" s="260"/>
      <c r="S636" s="260"/>
      <c r="T636" s="260"/>
      <c r="U636" s="260"/>
      <c r="V636" s="260"/>
      <c r="W636" s="260"/>
      <c r="X636" s="260"/>
      <c r="Y636" s="260"/>
      <c r="Z636" s="260"/>
      <c r="AA636" s="260"/>
      <c r="AB636" s="260"/>
      <c r="AC636" s="260"/>
      <c r="AD636" s="260"/>
      <c r="AE636" s="260"/>
      <c r="AF636" s="260"/>
      <c r="AG636" s="258"/>
      <c r="AO636"/>
      <c r="AP636"/>
      <c r="AQ636"/>
      <c r="AR636"/>
      <c r="AS636"/>
      <c r="AT636"/>
      <c r="AU636"/>
      <c r="AV636"/>
      <c r="AW636"/>
      <c r="AX636"/>
      <c r="AY636"/>
      <c r="AZ636"/>
      <c r="BA636"/>
      <c r="BB636"/>
      <c r="BC636"/>
      <c r="BD636"/>
      <c r="BE636"/>
      <c r="BF636"/>
    </row>
    <row r="637" spans="13:58" ht="12" hidden="1" customHeight="1">
      <c r="M637" s="820"/>
      <c r="N637" s="239"/>
      <c r="O637" s="225"/>
      <c r="P637" s="260"/>
      <c r="Q637" s="258"/>
      <c r="R637" s="260"/>
      <c r="S637" s="260"/>
      <c r="T637" s="260"/>
      <c r="U637" s="260"/>
      <c r="V637" s="260"/>
      <c r="W637" s="260"/>
      <c r="X637" s="260"/>
      <c r="Y637" s="260"/>
      <c r="Z637" s="260"/>
      <c r="AA637" s="260"/>
      <c r="AB637" s="260"/>
      <c r="AC637" s="260"/>
      <c r="AD637" s="260"/>
      <c r="AE637" s="260"/>
      <c r="AF637" s="260"/>
      <c r="AG637" s="258"/>
      <c r="AO637"/>
      <c r="AP637"/>
      <c r="AQ637"/>
      <c r="AR637"/>
      <c r="AS637"/>
      <c r="AT637"/>
      <c r="AU637"/>
      <c r="AV637"/>
      <c r="AW637"/>
      <c r="AX637"/>
      <c r="AY637"/>
      <c r="AZ637"/>
      <c r="BA637"/>
      <c r="BB637"/>
      <c r="BC637"/>
      <c r="BD637"/>
      <c r="BE637"/>
      <c r="BF637"/>
    </row>
    <row r="638" spans="13:58" ht="12" hidden="1" customHeight="1">
      <c r="M638" s="820"/>
      <c r="N638" s="239"/>
      <c r="O638" s="225"/>
      <c r="P638" s="260"/>
      <c r="Q638" s="258"/>
      <c r="R638" s="260"/>
      <c r="S638" s="260"/>
      <c r="T638" s="260"/>
      <c r="U638" s="260"/>
      <c r="V638" s="260"/>
      <c r="W638" s="260"/>
      <c r="X638" s="260"/>
      <c r="Y638" s="260"/>
      <c r="Z638" s="260"/>
      <c r="AA638" s="260"/>
      <c r="AB638" s="260"/>
      <c r="AC638" s="260"/>
      <c r="AD638" s="260"/>
      <c r="AE638" s="260"/>
      <c r="AF638" s="260"/>
      <c r="AG638" s="258"/>
      <c r="AO638"/>
      <c r="AP638"/>
      <c r="AQ638"/>
      <c r="AR638"/>
      <c r="AS638"/>
      <c r="AT638"/>
      <c r="AU638"/>
      <c r="AV638"/>
      <c r="AW638"/>
      <c r="AX638"/>
      <c r="AY638"/>
      <c r="AZ638"/>
      <c r="BA638"/>
      <c r="BB638"/>
      <c r="BC638"/>
      <c r="BD638"/>
      <c r="BE638"/>
      <c r="BF638"/>
    </row>
    <row r="639" spans="13:58" ht="12" hidden="1" customHeight="1">
      <c r="M639" s="820"/>
      <c r="N639" s="239"/>
      <c r="O639" s="225"/>
      <c r="P639" s="260"/>
      <c r="Q639" s="258"/>
      <c r="R639" s="260"/>
      <c r="S639" s="260"/>
      <c r="T639" s="260"/>
      <c r="U639" s="260"/>
      <c r="V639" s="260"/>
      <c r="W639" s="260"/>
      <c r="X639" s="260"/>
      <c r="Y639" s="260"/>
      <c r="Z639" s="260"/>
      <c r="AA639" s="260"/>
      <c r="AB639" s="260"/>
      <c r="AC639" s="260"/>
      <c r="AD639" s="260"/>
      <c r="AE639" s="260"/>
      <c r="AF639" s="260"/>
      <c r="AG639" s="258"/>
      <c r="AO639"/>
      <c r="AP639"/>
      <c r="AQ639"/>
      <c r="AR639"/>
      <c r="AS639"/>
      <c r="AT639"/>
      <c r="AU639"/>
      <c r="AV639"/>
      <c r="AW639"/>
      <c r="AX639"/>
      <c r="AY639"/>
      <c r="AZ639"/>
      <c r="BA639"/>
      <c r="BB639"/>
      <c r="BC639"/>
      <c r="BD639"/>
      <c r="BE639"/>
      <c r="BF639"/>
    </row>
    <row r="640" spans="13:58" ht="12" hidden="1" customHeight="1">
      <c r="M640" s="820"/>
      <c r="N640" s="239"/>
      <c r="O640" s="225"/>
      <c r="P640" s="260"/>
      <c r="Q640" s="258"/>
      <c r="R640" s="260"/>
      <c r="S640" s="260"/>
      <c r="T640" s="260"/>
      <c r="U640" s="260"/>
      <c r="V640" s="260"/>
      <c r="W640" s="260"/>
      <c r="X640" s="260"/>
      <c r="Y640" s="260"/>
      <c r="Z640" s="260"/>
      <c r="AA640" s="260"/>
      <c r="AB640" s="260"/>
      <c r="AC640" s="260"/>
      <c r="AD640" s="260"/>
      <c r="AE640" s="260"/>
      <c r="AF640" s="260"/>
      <c r="AG640" s="258"/>
      <c r="AO640"/>
      <c r="AP640"/>
      <c r="AQ640"/>
      <c r="AR640"/>
      <c r="AS640"/>
      <c r="AT640"/>
      <c r="AU640"/>
      <c r="AV640"/>
      <c r="AW640"/>
      <c r="AX640"/>
      <c r="AY640"/>
      <c r="AZ640"/>
      <c r="BA640"/>
      <c r="BB640"/>
      <c r="BC640"/>
      <c r="BD640"/>
      <c r="BE640"/>
      <c r="BF640"/>
    </row>
    <row r="641" spans="13:58" ht="12" hidden="1" customHeight="1">
      <c r="M641" s="820"/>
      <c r="N641" s="239"/>
      <c r="O641" s="225"/>
      <c r="P641" s="260"/>
      <c r="Q641" s="258"/>
      <c r="R641" s="260"/>
      <c r="S641" s="260"/>
      <c r="T641" s="260"/>
      <c r="U641" s="260"/>
      <c r="V641" s="260"/>
      <c r="W641" s="260"/>
      <c r="X641" s="260"/>
      <c r="Y641" s="260"/>
      <c r="Z641" s="260"/>
      <c r="AA641" s="260"/>
      <c r="AB641" s="260"/>
      <c r="AC641" s="260"/>
      <c r="AD641" s="260"/>
      <c r="AE641" s="260"/>
      <c r="AF641" s="260"/>
      <c r="AG641" s="258"/>
      <c r="AO641"/>
      <c r="AP641"/>
      <c r="AQ641"/>
      <c r="AR641"/>
      <c r="AS641"/>
      <c r="AT641"/>
      <c r="AU641"/>
      <c r="AV641"/>
      <c r="AW641"/>
      <c r="AX641"/>
      <c r="AY641"/>
      <c r="AZ641"/>
      <c r="BA641"/>
      <c r="BB641"/>
      <c r="BC641"/>
      <c r="BD641"/>
      <c r="BE641"/>
      <c r="BF641"/>
    </row>
    <row r="642" spans="13:58" ht="12" hidden="1" customHeight="1">
      <c r="M642" s="820"/>
      <c r="N642" s="239"/>
      <c r="O642" s="225"/>
      <c r="P642" s="260"/>
      <c r="Q642" s="258"/>
      <c r="R642" s="260"/>
      <c r="S642" s="260"/>
      <c r="T642" s="260"/>
      <c r="U642" s="260"/>
      <c r="V642" s="260"/>
      <c r="W642" s="260"/>
      <c r="X642" s="260"/>
      <c r="Y642" s="260"/>
      <c r="Z642" s="260"/>
      <c r="AA642" s="260"/>
      <c r="AB642" s="260"/>
      <c r="AC642" s="260"/>
      <c r="AD642" s="260"/>
      <c r="AE642" s="260"/>
      <c r="AF642" s="260"/>
      <c r="AG642" s="258"/>
      <c r="AO642"/>
      <c r="AP642"/>
      <c r="AQ642"/>
      <c r="AR642"/>
      <c r="AS642"/>
      <c r="AT642"/>
      <c r="AU642"/>
      <c r="AV642"/>
      <c r="AW642"/>
      <c r="AX642"/>
      <c r="AY642"/>
      <c r="AZ642"/>
      <c r="BA642"/>
      <c r="BB642"/>
      <c r="BC642"/>
      <c r="BD642"/>
      <c r="BE642"/>
      <c r="BF642"/>
    </row>
    <row r="643" spans="13:58" ht="12" hidden="1" customHeight="1">
      <c r="M643" s="820"/>
      <c r="N643" s="239"/>
      <c r="O643" s="225"/>
      <c r="P643" s="260"/>
      <c r="Q643" s="258"/>
      <c r="R643" s="260"/>
      <c r="S643" s="260"/>
      <c r="T643" s="260"/>
      <c r="U643" s="260"/>
      <c r="V643" s="260"/>
      <c r="W643" s="260"/>
      <c r="X643" s="260"/>
      <c r="Y643" s="260"/>
      <c r="Z643" s="260"/>
      <c r="AA643" s="260"/>
      <c r="AB643" s="260"/>
      <c r="AC643" s="260"/>
      <c r="AD643" s="260"/>
      <c r="AE643" s="260"/>
      <c r="AF643" s="260"/>
      <c r="AG643" s="258"/>
      <c r="AO643"/>
      <c r="AP643"/>
      <c r="AQ643"/>
      <c r="AR643"/>
      <c r="AS643"/>
      <c r="AT643"/>
      <c r="AU643"/>
      <c r="AV643"/>
      <c r="AW643"/>
      <c r="AX643"/>
      <c r="AY643"/>
      <c r="AZ643"/>
      <c r="BA643"/>
      <c r="BB643"/>
      <c r="BC643"/>
      <c r="BD643"/>
      <c r="BE643"/>
      <c r="BF643"/>
    </row>
    <row r="644" spans="13:58" ht="12" hidden="1" customHeight="1">
      <c r="M644" s="820"/>
      <c r="N644" s="239"/>
      <c r="O644" s="225"/>
      <c r="P644" s="260"/>
      <c r="Q644" s="258"/>
      <c r="R644" s="260"/>
      <c r="S644" s="260"/>
      <c r="T644" s="260"/>
      <c r="U644" s="260"/>
      <c r="V644" s="260"/>
      <c r="W644" s="260"/>
      <c r="X644" s="260"/>
      <c r="Y644" s="260"/>
      <c r="Z644" s="260"/>
      <c r="AA644" s="260"/>
      <c r="AB644" s="260"/>
      <c r="AC644" s="260"/>
      <c r="AD644" s="260"/>
      <c r="AE644" s="260"/>
      <c r="AF644" s="260"/>
      <c r="AG644" s="258"/>
      <c r="AO644"/>
      <c r="AP644"/>
      <c r="AQ644"/>
      <c r="AR644"/>
      <c r="AS644"/>
      <c r="AT644"/>
      <c r="AU644"/>
      <c r="AV644"/>
      <c r="AW644"/>
      <c r="AX644"/>
      <c r="AY644"/>
      <c r="AZ644"/>
      <c r="BA644"/>
      <c r="BB644"/>
      <c r="BC644"/>
      <c r="BD644"/>
      <c r="BE644"/>
      <c r="BF644"/>
    </row>
    <row r="645" spans="13:58" ht="12" hidden="1" customHeight="1">
      <c r="M645" s="820"/>
      <c r="N645" s="239"/>
      <c r="O645" s="225"/>
      <c r="P645" s="260"/>
      <c r="Q645" s="258"/>
      <c r="R645" s="260"/>
      <c r="S645" s="260"/>
      <c r="T645" s="260"/>
      <c r="U645" s="260"/>
      <c r="V645" s="260"/>
      <c r="W645" s="260"/>
      <c r="X645" s="260"/>
      <c r="Y645" s="260"/>
      <c r="Z645" s="260"/>
      <c r="AA645" s="260"/>
      <c r="AB645" s="260"/>
      <c r="AC645" s="260"/>
      <c r="AD645" s="260"/>
      <c r="AE645" s="260"/>
      <c r="AF645" s="260"/>
      <c r="AG645" s="258"/>
      <c r="AO645"/>
      <c r="AP645"/>
      <c r="AQ645"/>
      <c r="AR645"/>
      <c r="AS645"/>
      <c r="AT645"/>
      <c r="AU645"/>
      <c r="AV645"/>
      <c r="AW645"/>
      <c r="AX645"/>
      <c r="AY645"/>
      <c r="AZ645"/>
      <c r="BA645"/>
      <c r="BB645"/>
      <c r="BC645"/>
      <c r="BD645"/>
      <c r="BE645"/>
      <c r="BF645"/>
    </row>
    <row r="646" spans="13:58" ht="12" hidden="1" customHeight="1">
      <c r="M646" s="820"/>
      <c r="N646" s="239"/>
      <c r="O646" s="225"/>
      <c r="P646" s="260"/>
      <c r="Q646" s="258"/>
      <c r="R646" s="260"/>
      <c r="S646" s="260"/>
      <c r="T646" s="260"/>
      <c r="U646" s="260"/>
      <c r="V646" s="260"/>
      <c r="W646" s="260"/>
      <c r="X646" s="260"/>
      <c r="Y646" s="260"/>
      <c r="Z646" s="260"/>
      <c r="AA646" s="260"/>
      <c r="AB646" s="260"/>
      <c r="AC646" s="260"/>
      <c r="AD646" s="260"/>
      <c r="AE646" s="260"/>
      <c r="AF646" s="260"/>
      <c r="AG646" s="258"/>
      <c r="AO646"/>
      <c r="AP646"/>
      <c r="AQ646"/>
      <c r="AR646"/>
      <c r="AS646"/>
      <c r="AT646"/>
      <c r="AU646"/>
      <c r="AV646"/>
      <c r="AW646"/>
      <c r="AX646"/>
      <c r="AY646"/>
      <c r="AZ646"/>
      <c r="BA646"/>
      <c r="BB646"/>
      <c r="BC646"/>
      <c r="BD646"/>
      <c r="BE646"/>
      <c r="BF646"/>
    </row>
    <row r="647" spans="13:58" ht="12" hidden="1" customHeight="1">
      <c r="M647" s="820"/>
      <c r="N647" s="239"/>
      <c r="O647" s="225"/>
      <c r="P647" s="260"/>
      <c r="Q647" s="258"/>
      <c r="R647" s="260"/>
      <c r="S647" s="260"/>
      <c r="T647" s="260"/>
      <c r="U647" s="260"/>
      <c r="V647" s="260"/>
      <c r="W647" s="260"/>
      <c r="X647" s="260"/>
      <c r="Y647" s="260"/>
      <c r="Z647" s="260"/>
      <c r="AA647" s="260"/>
      <c r="AB647" s="260"/>
      <c r="AC647" s="260"/>
      <c r="AD647" s="260"/>
      <c r="AE647" s="260"/>
      <c r="AF647" s="260"/>
      <c r="AG647" s="258"/>
      <c r="AO647"/>
      <c r="AP647"/>
      <c r="AQ647"/>
      <c r="AR647"/>
      <c r="AS647"/>
      <c r="AT647"/>
      <c r="AU647"/>
      <c r="AV647"/>
      <c r="AW647"/>
      <c r="AX647"/>
      <c r="AY647"/>
      <c r="AZ647"/>
      <c r="BA647"/>
      <c r="BB647"/>
      <c r="BC647"/>
      <c r="BD647"/>
      <c r="BE647"/>
      <c r="BF647"/>
    </row>
    <row r="648" spans="13:58" ht="12" hidden="1" customHeight="1">
      <c r="M648" s="820"/>
      <c r="N648" s="239"/>
      <c r="O648" s="225"/>
      <c r="P648" s="260"/>
      <c r="Q648" s="258"/>
      <c r="R648" s="260"/>
      <c r="S648" s="260"/>
      <c r="T648" s="260"/>
      <c r="U648" s="260"/>
      <c r="V648" s="260"/>
      <c r="W648" s="260"/>
      <c r="X648" s="260"/>
      <c r="Y648" s="260"/>
      <c r="Z648" s="260"/>
      <c r="AA648" s="260"/>
      <c r="AB648" s="260"/>
      <c r="AC648" s="260"/>
      <c r="AD648" s="260"/>
      <c r="AE648" s="260"/>
      <c r="AF648" s="260"/>
      <c r="AG648" s="258"/>
      <c r="AO648"/>
      <c r="AP648"/>
      <c r="AQ648"/>
      <c r="AR648"/>
      <c r="AS648"/>
      <c r="AT648"/>
      <c r="AU648"/>
      <c r="AV648"/>
      <c r="AW648"/>
      <c r="AX648"/>
      <c r="AY648"/>
      <c r="AZ648"/>
      <c r="BA648"/>
      <c r="BB648"/>
      <c r="BC648"/>
      <c r="BD648"/>
      <c r="BE648"/>
      <c r="BF648"/>
    </row>
    <row r="649" spans="13:58" ht="12" hidden="1" customHeight="1">
      <c r="M649" s="820"/>
      <c r="N649" s="239"/>
      <c r="O649" s="225"/>
      <c r="P649" s="260"/>
      <c r="Q649" s="258"/>
      <c r="R649" s="260"/>
      <c r="S649" s="260"/>
      <c r="T649" s="260"/>
      <c r="U649" s="260"/>
      <c r="V649" s="260"/>
      <c r="W649" s="260"/>
      <c r="X649" s="260"/>
      <c r="Y649" s="260"/>
      <c r="Z649" s="260"/>
      <c r="AA649" s="260"/>
      <c r="AB649" s="260"/>
      <c r="AC649" s="260"/>
      <c r="AD649" s="260"/>
      <c r="AE649" s="260"/>
      <c r="AF649" s="260"/>
      <c r="AG649" s="258"/>
      <c r="AO649"/>
      <c r="AP649"/>
      <c r="AQ649"/>
      <c r="AR649"/>
      <c r="AS649"/>
      <c r="AT649"/>
      <c r="AU649"/>
      <c r="AV649"/>
      <c r="AW649"/>
      <c r="AX649"/>
      <c r="AY649"/>
      <c r="AZ649"/>
      <c r="BA649"/>
      <c r="BB649"/>
      <c r="BC649"/>
      <c r="BD649"/>
      <c r="BE649"/>
      <c r="BF649"/>
    </row>
    <row r="650" spans="13:58" ht="12" hidden="1" customHeight="1">
      <c r="M650" s="820"/>
      <c r="N650" s="239"/>
      <c r="O650" s="225"/>
      <c r="P650" s="260"/>
      <c r="Q650" s="258"/>
      <c r="R650" s="260"/>
      <c r="S650" s="260"/>
      <c r="T650" s="260"/>
      <c r="U650" s="260"/>
      <c r="V650" s="260"/>
      <c r="W650" s="260"/>
      <c r="X650" s="260"/>
      <c r="Y650" s="260"/>
      <c r="Z650" s="260"/>
      <c r="AA650" s="260"/>
      <c r="AB650" s="260"/>
      <c r="AC650" s="260"/>
      <c r="AD650" s="260"/>
      <c r="AE650" s="260"/>
      <c r="AF650" s="260"/>
      <c r="AG650" s="258"/>
      <c r="AO650"/>
      <c r="AP650"/>
      <c r="AQ650"/>
      <c r="AR650"/>
      <c r="AS650"/>
      <c r="AT650"/>
      <c r="AU650"/>
      <c r="AV650"/>
      <c r="AW650"/>
      <c r="AX650"/>
      <c r="AY650"/>
      <c r="AZ650"/>
      <c r="BA650"/>
      <c r="BB650"/>
      <c r="BC650"/>
      <c r="BD650"/>
      <c r="BE650"/>
      <c r="BF650"/>
    </row>
    <row r="651" spans="13:58" ht="12" hidden="1" customHeight="1">
      <c r="M651" s="820"/>
      <c r="N651" s="239"/>
      <c r="O651" s="225"/>
      <c r="P651" s="260"/>
      <c r="Q651" s="258"/>
      <c r="R651" s="260"/>
      <c r="S651" s="260"/>
      <c r="T651" s="260"/>
      <c r="U651" s="260"/>
      <c r="V651" s="260"/>
      <c r="W651" s="260"/>
      <c r="X651" s="260"/>
      <c r="Y651" s="260"/>
      <c r="Z651" s="260"/>
      <c r="AA651" s="260"/>
      <c r="AB651" s="260"/>
      <c r="AC651" s="260"/>
      <c r="AD651" s="260"/>
      <c r="AE651" s="260"/>
      <c r="AF651" s="260"/>
      <c r="AG651" s="258"/>
      <c r="AO651"/>
      <c r="AP651"/>
      <c r="AQ651"/>
      <c r="AR651"/>
      <c r="AS651"/>
      <c r="AT651"/>
      <c r="AU651"/>
      <c r="AV651"/>
      <c r="AW651"/>
      <c r="AX651"/>
      <c r="AY651"/>
      <c r="AZ651"/>
      <c r="BA651"/>
      <c r="BB651"/>
      <c r="BC651"/>
      <c r="BD651"/>
      <c r="BE651"/>
      <c r="BF651"/>
    </row>
    <row r="652" spans="13:58" ht="12" hidden="1" customHeight="1">
      <c r="M652" s="820"/>
      <c r="N652" s="239"/>
      <c r="O652" s="225"/>
      <c r="P652" s="260"/>
      <c r="Q652" s="258"/>
      <c r="R652" s="260"/>
      <c r="S652" s="260"/>
      <c r="T652" s="260"/>
      <c r="U652" s="260"/>
      <c r="V652" s="260"/>
      <c r="W652" s="260"/>
      <c r="X652" s="260"/>
      <c r="Y652" s="260"/>
      <c r="Z652" s="260"/>
      <c r="AA652" s="260"/>
      <c r="AB652" s="260"/>
      <c r="AC652" s="260"/>
      <c r="AD652" s="260"/>
      <c r="AE652" s="260"/>
      <c r="AF652" s="260"/>
      <c r="AG652" s="258"/>
      <c r="AO652"/>
      <c r="AP652"/>
      <c r="AQ652"/>
      <c r="AR652"/>
      <c r="AS652"/>
      <c r="AT652"/>
      <c r="AU652"/>
      <c r="AV652"/>
      <c r="AW652"/>
      <c r="AX652"/>
      <c r="AY652"/>
      <c r="AZ652"/>
      <c r="BA652"/>
      <c r="BB652"/>
      <c r="BC652"/>
      <c r="BD652"/>
      <c r="BE652"/>
      <c r="BF652"/>
    </row>
    <row r="653" spans="13:58" ht="12" hidden="1" customHeight="1">
      <c r="M653" s="820"/>
      <c r="N653" s="239"/>
      <c r="O653" s="225"/>
      <c r="P653" s="260"/>
      <c r="Q653" s="258"/>
      <c r="R653" s="260"/>
      <c r="S653" s="260"/>
      <c r="T653" s="260"/>
      <c r="U653" s="260"/>
      <c r="V653" s="260"/>
      <c r="W653" s="260"/>
      <c r="X653" s="260"/>
      <c r="Y653" s="260"/>
      <c r="Z653" s="260"/>
      <c r="AA653" s="260"/>
      <c r="AB653" s="260"/>
      <c r="AC653" s="260"/>
      <c r="AD653" s="260"/>
      <c r="AE653" s="260"/>
      <c r="AF653" s="260"/>
      <c r="AG653" s="258"/>
      <c r="AO653"/>
      <c r="AP653"/>
      <c r="AQ653"/>
      <c r="AR653"/>
      <c r="AS653"/>
      <c r="AT653"/>
      <c r="AU653"/>
      <c r="AV653"/>
      <c r="AW653"/>
      <c r="AX653"/>
      <c r="AY653"/>
      <c r="AZ653"/>
      <c r="BA653"/>
      <c r="BB653"/>
      <c r="BC653"/>
      <c r="BD653"/>
      <c r="BE653"/>
      <c r="BF653"/>
    </row>
    <row r="654" spans="13:58" ht="12" hidden="1" customHeight="1">
      <c r="M654" s="820"/>
      <c r="N654" s="239"/>
      <c r="O654" s="225"/>
      <c r="P654" s="260"/>
      <c r="Q654" s="258"/>
      <c r="R654" s="260"/>
      <c r="S654" s="260"/>
      <c r="T654" s="260"/>
      <c r="U654" s="260"/>
      <c r="V654" s="260"/>
      <c r="W654" s="260"/>
      <c r="X654" s="260"/>
      <c r="Y654" s="260"/>
      <c r="Z654" s="260"/>
      <c r="AA654" s="260"/>
      <c r="AB654" s="260"/>
      <c r="AC654" s="260"/>
      <c r="AD654" s="260"/>
      <c r="AE654" s="260"/>
      <c r="AF654" s="260"/>
      <c r="AG654" s="258"/>
      <c r="AO654"/>
      <c r="AP654"/>
      <c r="AQ654"/>
      <c r="AR654"/>
      <c r="AS654"/>
      <c r="AT654"/>
      <c r="AU654"/>
      <c r="AV654"/>
      <c r="AW654"/>
      <c r="AX654"/>
      <c r="AY654"/>
      <c r="AZ654"/>
      <c r="BA654"/>
      <c r="BB654"/>
      <c r="BC654"/>
      <c r="BD654"/>
      <c r="BE654"/>
      <c r="BF654"/>
    </row>
    <row r="655" spans="13:58" ht="12" hidden="1" customHeight="1">
      <c r="M655" s="820"/>
      <c r="N655" s="239"/>
      <c r="O655" s="225"/>
      <c r="P655" s="260"/>
      <c r="Q655" s="258"/>
      <c r="R655" s="260"/>
      <c r="S655" s="260"/>
      <c r="T655" s="260"/>
      <c r="U655" s="260"/>
      <c r="V655" s="260"/>
      <c r="W655" s="260"/>
      <c r="X655" s="260"/>
      <c r="Y655" s="260"/>
      <c r="Z655" s="260"/>
      <c r="AA655" s="260"/>
      <c r="AB655" s="260"/>
      <c r="AC655" s="260"/>
      <c r="AD655" s="260"/>
      <c r="AE655" s="260"/>
      <c r="AF655" s="260"/>
      <c r="AG655" s="258"/>
      <c r="AO655"/>
      <c r="AP655"/>
      <c r="AQ655"/>
      <c r="AR655"/>
      <c r="AS655"/>
      <c r="AT655"/>
      <c r="AU655"/>
      <c r="AV655"/>
      <c r="AW655"/>
      <c r="AX655"/>
      <c r="AY655"/>
      <c r="AZ655"/>
      <c r="BA655"/>
      <c r="BB655"/>
      <c r="BC655"/>
      <c r="BD655"/>
      <c r="BE655"/>
      <c r="BF655"/>
    </row>
    <row r="656" spans="13:58" ht="12" hidden="1" customHeight="1">
      <c r="M656" s="820"/>
      <c r="N656" s="239"/>
      <c r="O656" s="225"/>
      <c r="P656" s="260"/>
      <c r="Q656" s="258"/>
      <c r="R656" s="260"/>
      <c r="S656" s="260"/>
      <c r="T656" s="260"/>
      <c r="U656" s="260"/>
      <c r="V656" s="260"/>
      <c r="W656" s="260"/>
      <c r="X656" s="260"/>
      <c r="Y656" s="260"/>
      <c r="Z656" s="260"/>
      <c r="AA656" s="260"/>
      <c r="AB656" s="260"/>
      <c r="AC656" s="260"/>
      <c r="AD656" s="260"/>
      <c r="AE656" s="260"/>
      <c r="AF656" s="260"/>
      <c r="AG656" s="258"/>
      <c r="AO656"/>
      <c r="AP656"/>
      <c r="AQ656"/>
      <c r="AR656"/>
      <c r="AS656"/>
      <c r="AT656"/>
      <c r="AU656"/>
      <c r="AV656"/>
      <c r="AW656"/>
      <c r="AX656"/>
      <c r="AY656"/>
      <c r="AZ656"/>
      <c r="BA656"/>
      <c r="BB656"/>
      <c r="BC656"/>
      <c r="BD656"/>
      <c r="BE656"/>
      <c r="BF656"/>
    </row>
    <row r="657" spans="13:58" ht="12" hidden="1" customHeight="1">
      <c r="M657" s="820"/>
      <c r="N657" s="239"/>
      <c r="O657" s="225"/>
      <c r="P657" s="260"/>
      <c r="Q657" s="258"/>
      <c r="R657" s="260"/>
      <c r="S657" s="260"/>
      <c r="T657" s="260"/>
      <c r="U657" s="260"/>
      <c r="V657" s="260"/>
      <c r="W657" s="260"/>
      <c r="X657" s="260"/>
      <c r="Y657" s="260"/>
      <c r="Z657" s="260"/>
      <c r="AA657" s="260"/>
      <c r="AB657" s="260"/>
      <c r="AC657" s="260"/>
      <c r="AD657" s="260"/>
      <c r="AE657" s="260"/>
      <c r="AF657" s="260"/>
      <c r="AG657" s="258"/>
      <c r="AO657"/>
      <c r="AP657"/>
      <c r="AQ657"/>
      <c r="AR657"/>
      <c r="AS657"/>
      <c r="AT657"/>
      <c r="AU657"/>
      <c r="AV657"/>
      <c r="AW657"/>
      <c r="AX657"/>
      <c r="AY657"/>
      <c r="AZ657"/>
      <c r="BA657"/>
      <c r="BB657"/>
      <c r="BC657"/>
      <c r="BD657"/>
      <c r="BE657"/>
      <c r="BF657"/>
    </row>
    <row r="658" spans="13:58" ht="12" hidden="1" customHeight="1">
      <c r="M658" s="820"/>
      <c r="N658" s="239"/>
      <c r="O658" s="225"/>
      <c r="P658" s="260"/>
      <c r="Q658" s="258"/>
      <c r="R658" s="260"/>
      <c r="S658" s="260"/>
      <c r="T658" s="260"/>
      <c r="U658" s="260"/>
      <c r="V658" s="260"/>
      <c r="W658" s="260"/>
      <c r="X658" s="260"/>
      <c r="Y658" s="260"/>
      <c r="Z658" s="260"/>
      <c r="AA658" s="260"/>
      <c r="AB658" s="260"/>
      <c r="AC658" s="260"/>
      <c r="AD658" s="260"/>
      <c r="AE658" s="260"/>
      <c r="AF658" s="260"/>
      <c r="AG658" s="258"/>
      <c r="AO658"/>
      <c r="AP658"/>
      <c r="AQ658"/>
      <c r="AR658"/>
      <c r="AS658"/>
      <c r="AT658"/>
      <c r="AU658"/>
      <c r="AV658"/>
      <c r="AW658"/>
      <c r="AX658"/>
      <c r="AY658"/>
      <c r="AZ658"/>
      <c r="BA658"/>
      <c r="BB658"/>
      <c r="BC658"/>
      <c r="BD658"/>
      <c r="BE658"/>
      <c r="BF658"/>
    </row>
    <row r="659" spans="13:58" ht="12" hidden="1" customHeight="1">
      <c r="M659" s="820"/>
      <c r="N659" s="239"/>
      <c r="O659" s="225"/>
      <c r="P659" s="260"/>
      <c r="Q659" s="258"/>
      <c r="R659" s="260"/>
      <c r="S659" s="260"/>
      <c r="T659" s="260"/>
      <c r="U659" s="260"/>
      <c r="V659" s="260"/>
      <c r="W659" s="260"/>
      <c r="X659" s="260"/>
      <c r="Y659" s="260"/>
      <c r="Z659" s="260"/>
      <c r="AA659" s="260"/>
      <c r="AB659" s="260"/>
      <c r="AC659" s="260"/>
      <c r="AD659" s="260"/>
      <c r="AE659" s="260"/>
      <c r="AF659" s="260"/>
      <c r="AG659" s="258"/>
      <c r="AO659"/>
      <c r="AP659"/>
      <c r="AQ659"/>
      <c r="AR659"/>
      <c r="AS659"/>
      <c r="AT659"/>
      <c r="AU659"/>
      <c r="AV659"/>
      <c r="AW659"/>
      <c r="AX659"/>
      <c r="AY659"/>
      <c r="AZ659"/>
      <c r="BA659"/>
      <c r="BB659"/>
      <c r="BC659"/>
      <c r="BD659"/>
      <c r="BE659"/>
      <c r="BF659"/>
    </row>
    <row r="660" spans="13:58" ht="12" hidden="1" customHeight="1">
      <c r="M660" s="820"/>
      <c r="N660" s="239"/>
      <c r="O660" s="225"/>
      <c r="P660" s="260"/>
      <c r="Q660" s="258"/>
      <c r="R660" s="260"/>
      <c r="S660" s="260"/>
      <c r="T660" s="260"/>
      <c r="U660" s="260"/>
      <c r="V660" s="260"/>
      <c r="W660" s="260"/>
      <c r="X660" s="260"/>
      <c r="Y660" s="260"/>
      <c r="Z660" s="260"/>
      <c r="AA660" s="260"/>
      <c r="AB660" s="260"/>
      <c r="AC660" s="260"/>
      <c r="AD660" s="260"/>
      <c r="AE660" s="260"/>
      <c r="AF660" s="260"/>
      <c r="AG660" s="258"/>
      <c r="AO660"/>
      <c r="AP660"/>
      <c r="AQ660"/>
      <c r="AR660"/>
      <c r="AS660"/>
      <c r="AT660"/>
      <c r="AU660"/>
      <c r="AV660"/>
      <c r="AW660"/>
      <c r="AX660"/>
      <c r="AY660"/>
      <c r="AZ660"/>
      <c r="BA660"/>
      <c r="BB660"/>
      <c r="BC660"/>
      <c r="BD660"/>
      <c r="BE660"/>
      <c r="BF660"/>
    </row>
    <row r="661" spans="13:58" ht="12" hidden="1" customHeight="1">
      <c r="M661" s="820"/>
      <c r="N661" s="239"/>
      <c r="O661" s="225"/>
      <c r="P661" s="260"/>
      <c r="Q661" s="258"/>
      <c r="R661" s="260"/>
      <c r="S661" s="260"/>
      <c r="T661" s="260"/>
      <c r="U661" s="260"/>
      <c r="V661" s="260"/>
      <c r="W661" s="260"/>
      <c r="X661" s="260"/>
      <c r="Y661" s="260"/>
      <c r="Z661" s="260"/>
      <c r="AA661" s="260"/>
      <c r="AB661" s="260"/>
      <c r="AC661" s="260"/>
      <c r="AD661" s="260"/>
      <c r="AE661" s="260"/>
      <c r="AF661" s="260"/>
      <c r="AG661" s="258"/>
      <c r="AO661"/>
      <c r="AP661"/>
      <c r="AQ661"/>
      <c r="AR661"/>
      <c r="AS661"/>
      <c r="AT661"/>
      <c r="AU661"/>
      <c r="AV661"/>
      <c r="AW661"/>
      <c r="AX661"/>
      <c r="AY661"/>
      <c r="AZ661"/>
      <c r="BA661"/>
      <c r="BB661"/>
      <c r="BC661"/>
      <c r="BD661"/>
      <c r="BE661"/>
      <c r="BF661"/>
    </row>
    <row r="662" spans="13:58" ht="12" hidden="1" customHeight="1">
      <c r="M662" s="820"/>
      <c r="N662" s="239"/>
      <c r="O662" s="225"/>
      <c r="P662" s="260"/>
      <c r="Q662" s="258"/>
      <c r="R662" s="260"/>
      <c r="S662" s="260"/>
      <c r="T662" s="260"/>
      <c r="U662" s="260"/>
      <c r="V662" s="260"/>
      <c r="W662" s="260"/>
      <c r="X662" s="260"/>
      <c r="Y662" s="260"/>
      <c r="Z662" s="260"/>
      <c r="AA662" s="260"/>
      <c r="AB662" s="260"/>
      <c r="AC662" s="260"/>
      <c r="AD662" s="260"/>
      <c r="AE662" s="260"/>
      <c r="AF662" s="260"/>
      <c r="AG662" s="258"/>
      <c r="AO662"/>
      <c r="AP662"/>
      <c r="AQ662"/>
      <c r="AR662"/>
      <c r="AS662"/>
      <c r="AT662"/>
      <c r="AU662"/>
      <c r="AV662"/>
      <c r="AW662"/>
      <c r="AX662"/>
      <c r="AY662"/>
      <c r="AZ662"/>
      <c r="BA662"/>
      <c r="BB662"/>
      <c r="BC662"/>
      <c r="BD662"/>
      <c r="BE662"/>
      <c r="BF662"/>
    </row>
    <row r="663" spans="13:58" ht="12" hidden="1" customHeight="1">
      <c r="M663" s="820"/>
      <c r="N663" s="239"/>
      <c r="O663" s="225"/>
      <c r="P663" s="260"/>
      <c r="Q663" s="258"/>
      <c r="R663" s="260"/>
      <c r="S663" s="260"/>
      <c r="T663" s="260"/>
      <c r="U663" s="260"/>
      <c r="V663" s="260"/>
      <c r="W663" s="260"/>
      <c r="X663" s="260"/>
      <c r="Y663" s="260"/>
      <c r="Z663" s="260"/>
      <c r="AA663" s="260"/>
      <c r="AB663" s="260"/>
      <c r="AC663" s="260"/>
      <c r="AD663" s="260"/>
      <c r="AE663" s="260"/>
      <c r="AF663" s="260"/>
      <c r="AG663" s="258"/>
      <c r="AO663"/>
      <c r="AP663"/>
      <c r="AQ663"/>
      <c r="AR663"/>
      <c r="AS663"/>
      <c r="AT663"/>
      <c r="AU663"/>
      <c r="AV663"/>
      <c r="AW663"/>
      <c r="AX663"/>
      <c r="AY663"/>
      <c r="AZ663"/>
      <c r="BA663"/>
      <c r="BB663"/>
      <c r="BC663"/>
      <c r="BD663"/>
      <c r="BE663"/>
      <c r="BF663"/>
    </row>
    <row r="664" spans="13:58" ht="12" hidden="1" customHeight="1">
      <c r="M664" s="820"/>
      <c r="N664" s="239"/>
      <c r="O664" s="225"/>
      <c r="P664" s="260"/>
      <c r="Q664" s="258"/>
      <c r="R664" s="260"/>
      <c r="S664" s="260"/>
      <c r="T664" s="260"/>
      <c r="U664" s="260"/>
      <c r="V664" s="260"/>
      <c r="W664" s="260"/>
      <c r="X664" s="260"/>
      <c r="Y664" s="260"/>
      <c r="Z664" s="260"/>
      <c r="AA664" s="260"/>
      <c r="AB664" s="260"/>
      <c r="AC664" s="260"/>
      <c r="AD664" s="260"/>
      <c r="AE664" s="260"/>
      <c r="AF664" s="260"/>
      <c r="AG664" s="258"/>
      <c r="AO664"/>
      <c r="AP664"/>
      <c r="AQ664"/>
      <c r="AR664"/>
      <c r="AS664"/>
      <c r="AT664"/>
      <c r="AU664"/>
      <c r="AV664"/>
      <c r="AW664"/>
      <c r="AX664"/>
      <c r="AY664"/>
      <c r="AZ664"/>
      <c r="BA664"/>
      <c r="BB664"/>
      <c r="BC664"/>
      <c r="BD664"/>
      <c r="BE664"/>
      <c r="BF664"/>
    </row>
    <row r="665" spans="13:58" ht="12" hidden="1" customHeight="1">
      <c r="M665" s="820"/>
      <c r="N665" s="239"/>
      <c r="O665" s="225"/>
      <c r="P665" s="260"/>
      <c r="Q665" s="258"/>
      <c r="R665" s="260"/>
      <c r="S665" s="260"/>
      <c r="T665" s="260"/>
      <c r="U665" s="260"/>
      <c r="V665" s="260"/>
      <c r="W665" s="260"/>
      <c r="X665" s="260"/>
      <c r="Y665" s="260"/>
      <c r="Z665" s="260"/>
      <c r="AA665" s="260"/>
      <c r="AB665" s="260"/>
      <c r="AC665" s="260"/>
      <c r="AD665" s="260"/>
      <c r="AE665" s="260"/>
      <c r="AF665" s="260"/>
      <c r="AG665" s="258"/>
      <c r="AO665"/>
      <c r="AP665"/>
      <c r="AQ665"/>
      <c r="AR665"/>
      <c r="AS665"/>
      <c r="AT665"/>
      <c r="AU665"/>
      <c r="AV665"/>
      <c r="AW665"/>
      <c r="AX665"/>
      <c r="AY665"/>
      <c r="AZ665"/>
      <c r="BA665"/>
      <c r="BB665"/>
      <c r="BC665"/>
      <c r="BD665"/>
      <c r="BE665"/>
      <c r="BF665"/>
    </row>
    <row r="666" spans="13:58" ht="12" hidden="1" customHeight="1">
      <c r="M666" s="820"/>
      <c r="N666" s="239"/>
      <c r="O666" s="225"/>
      <c r="P666" s="260"/>
      <c r="Q666" s="258"/>
      <c r="R666" s="260"/>
      <c r="S666" s="260"/>
      <c r="T666" s="260"/>
      <c r="U666" s="260"/>
      <c r="V666" s="260"/>
      <c r="W666" s="260"/>
      <c r="X666" s="260"/>
      <c r="Y666" s="260"/>
      <c r="Z666" s="260"/>
      <c r="AA666" s="260"/>
      <c r="AB666" s="260"/>
      <c r="AC666" s="260"/>
      <c r="AD666" s="260"/>
      <c r="AE666" s="260"/>
      <c r="AF666" s="260"/>
      <c r="AG666" s="258"/>
      <c r="AO666"/>
      <c r="AP666"/>
      <c r="AQ666"/>
      <c r="AR666"/>
      <c r="AS666"/>
      <c r="AT666"/>
      <c r="AU666"/>
      <c r="AV666"/>
      <c r="AW666"/>
      <c r="AX666"/>
      <c r="AY666"/>
      <c r="AZ666"/>
      <c r="BA666"/>
      <c r="BB666"/>
      <c r="BC666"/>
      <c r="BD666"/>
      <c r="BE666"/>
      <c r="BF666"/>
    </row>
    <row r="667" spans="13:58" ht="12" hidden="1" customHeight="1">
      <c r="M667" s="820"/>
      <c r="N667" s="239"/>
      <c r="O667" s="225"/>
      <c r="P667" s="260"/>
      <c r="Q667" s="258"/>
      <c r="R667" s="260"/>
      <c r="S667" s="260"/>
      <c r="T667" s="260"/>
      <c r="U667" s="260"/>
      <c r="V667" s="260"/>
      <c r="W667" s="260"/>
      <c r="X667" s="260"/>
      <c r="Y667" s="260"/>
      <c r="Z667" s="260"/>
      <c r="AA667" s="260"/>
      <c r="AB667" s="260"/>
      <c r="AC667" s="260"/>
      <c r="AD667" s="260"/>
      <c r="AE667" s="260"/>
      <c r="AF667" s="260"/>
      <c r="AG667" s="258"/>
      <c r="AO667"/>
      <c r="AP667"/>
      <c r="AQ667"/>
      <c r="AR667"/>
      <c r="AS667"/>
      <c r="AT667"/>
      <c r="AU667"/>
      <c r="AV667"/>
      <c r="AW667"/>
      <c r="AX667"/>
      <c r="AY667"/>
      <c r="AZ667"/>
      <c r="BA667"/>
      <c r="BB667"/>
      <c r="BC667"/>
      <c r="BD667"/>
      <c r="BE667"/>
      <c r="BF667"/>
    </row>
    <row r="668" spans="13:58" ht="12" hidden="1" customHeight="1">
      <c r="M668" s="820"/>
      <c r="N668" s="239"/>
      <c r="O668" s="225"/>
      <c r="P668" s="260"/>
      <c r="Q668" s="258"/>
      <c r="R668" s="260"/>
      <c r="S668" s="260"/>
      <c r="T668" s="260"/>
      <c r="U668" s="260"/>
      <c r="V668" s="260"/>
      <c r="W668" s="260"/>
      <c r="X668" s="260"/>
      <c r="Y668" s="260"/>
      <c r="Z668" s="260"/>
      <c r="AA668" s="260"/>
      <c r="AB668" s="260"/>
      <c r="AC668" s="260"/>
      <c r="AD668" s="260"/>
      <c r="AE668" s="260"/>
      <c r="AF668" s="260"/>
      <c r="AG668" s="258"/>
      <c r="AO668"/>
      <c r="AP668"/>
      <c r="AQ668"/>
      <c r="AR668"/>
      <c r="AS668"/>
      <c r="AT668"/>
      <c r="AU668"/>
      <c r="AV668"/>
      <c r="AW668"/>
      <c r="AX668"/>
      <c r="AY668"/>
      <c r="AZ668"/>
      <c r="BA668"/>
      <c r="BB668"/>
      <c r="BC668"/>
      <c r="BD668"/>
      <c r="BE668"/>
      <c r="BF668"/>
    </row>
    <row r="669" spans="13:58" ht="12" hidden="1" customHeight="1">
      <c r="M669" s="820"/>
      <c r="N669" s="239"/>
      <c r="O669" s="225"/>
      <c r="P669" s="260"/>
      <c r="Q669" s="258"/>
      <c r="R669" s="260"/>
      <c r="S669" s="260"/>
      <c r="T669" s="260"/>
      <c r="U669" s="260"/>
      <c r="V669" s="260"/>
      <c r="W669" s="260"/>
      <c r="X669" s="260"/>
      <c r="Y669" s="260"/>
      <c r="Z669" s="260"/>
      <c r="AA669" s="260"/>
      <c r="AB669" s="260"/>
      <c r="AC669" s="260"/>
      <c r="AD669" s="260"/>
      <c r="AE669" s="260"/>
      <c r="AF669" s="260"/>
      <c r="AG669" s="258"/>
      <c r="AO669"/>
      <c r="AP669"/>
      <c r="AQ669"/>
      <c r="AR669"/>
      <c r="AS669"/>
      <c r="AT669"/>
      <c r="AU669"/>
      <c r="AV669"/>
      <c r="AW669"/>
      <c r="AX669"/>
      <c r="AY669"/>
      <c r="AZ669"/>
      <c r="BA669"/>
      <c r="BB669"/>
      <c r="BC669"/>
      <c r="BD669"/>
      <c r="BE669"/>
      <c r="BF669"/>
    </row>
    <row r="670" spans="13:58" ht="12" hidden="1" customHeight="1">
      <c r="M670" s="820"/>
      <c r="N670" s="239"/>
      <c r="O670" s="225"/>
      <c r="P670" s="260"/>
      <c r="Q670" s="258"/>
      <c r="R670" s="260"/>
      <c r="S670" s="260"/>
      <c r="T670" s="260"/>
      <c r="U670" s="260"/>
      <c r="V670" s="260"/>
      <c r="W670" s="260"/>
      <c r="X670" s="260"/>
      <c r="Y670" s="260"/>
      <c r="Z670" s="260"/>
      <c r="AA670" s="260"/>
      <c r="AB670" s="260"/>
      <c r="AC670" s="260"/>
      <c r="AD670" s="260"/>
      <c r="AE670" s="260"/>
      <c r="AF670" s="260"/>
      <c r="AG670" s="258"/>
      <c r="AO670"/>
      <c r="AP670"/>
      <c r="AQ670"/>
      <c r="AR670"/>
      <c r="AS670"/>
      <c r="AT670"/>
      <c r="AU670"/>
      <c r="AV670"/>
      <c r="AW670"/>
      <c r="AX670"/>
      <c r="AY670"/>
      <c r="AZ670"/>
      <c r="BA670"/>
      <c r="BB670"/>
      <c r="BC670"/>
      <c r="BD670"/>
      <c r="BE670"/>
      <c r="BF670"/>
    </row>
    <row r="671" spans="13:58" ht="12" hidden="1" customHeight="1">
      <c r="M671" s="820"/>
      <c r="N671" s="239"/>
      <c r="O671" s="225"/>
      <c r="P671" s="260"/>
      <c r="Q671" s="258"/>
      <c r="R671" s="260"/>
      <c r="S671" s="260"/>
      <c r="T671" s="260"/>
      <c r="U671" s="260"/>
      <c r="V671" s="260"/>
      <c r="W671" s="260"/>
      <c r="X671" s="260"/>
      <c r="Y671" s="260"/>
      <c r="Z671" s="260"/>
      <c r="AA671" s="260"/>
      <c r="AB671" s="260"/>
      <c r="AC671" s="260"/>
      <c r="AD671" s="260"/>
      <c r="AE671" s="260"/>
      <c r="AF671" s="260"/>
      <c r="AG671" s="258"/>
      <c r="AO671"/>
      <c r="AP671"/>
      <c r="AQ671"/>
      <c r="AR671"/>
      <c r="AS671"/>
      <c r="AT671"/>
      <c r="AU671"/>
      <c r="AV671"/>
      <c r="AW671"/>
      <c r="AX671"/>
      <c r="AY671"/>
      <c r="AZ671"/>
      <c r="BA671"/>
      <c r="BB671"/>
      <c r="BC671"/>
      <c r="BD671"/>
      <c r="BE671"/>
      <c r="BF671"/>
    </row>
    <row r="672" spans="13:58" ht="12" hidden="1" customHeight="1">
      <c r="M672" s="820"/>
      <c r="N672" s="239"/>
      <c r="O672" s="225"/>
      <c r="P672" s="260"/>
      <c r="Q672" s="258"/>
      <c r="R672" s="260"/>
      <c r="S672" s="260"/>
      <c r="T672" s="260"/>
      <c r="U672" s="260"/>
      <c r="V672" s="260"/>
      <c r="W672" s="260"/>
      <c r="X672" s="260"/>
      <c r="Y672" s="260"/>
      <c r="Z672" s="260"/>
      <c r="AA672" s="260"/>
      <c r="AB672" s="260"/>
      <c r="AC672" s="260"/>
      <c r="AD672" s="260"/>
      <c r="AE672" s="260"/>
      <c r="AF672" s="260"/>
      <c r="AG672" s="258"/>
      <c r="AO672"/>
      <c r="AP672"/>
      <c r="AQ672"/>
      <c r="AR672"/>
      <c r="AS672"/>
      <c r="AT672"/>
      <c r="AU672"/>
      <c r="AV672"/>
      <c r="AW672"/>
      <c r="AX672"/>
      <c r="AY672"/>
      <c r="AZ672"/>
      <c r="BA672"/>
      <c r="BB672"/>
      <c r="BC672"/>
      <c r="BD672"/>
      <c r="BE672"/>
      <c r="BF672"/>
    </row>
    <row r="673" spans="13:58" ht="12" hidden="1" customHeight="1">
      <c r="M673" s="820"/>
      <c r="N673" s="239"/>
      <c r="O673" s="225"/>
      <c r="P673" s="260"/>
      <c r="Q673" s="258"/>
      <c r="R673" s="260"/>
      <c r="S673" s="260"/>
      <c r="T673" s="260"/>
      <c r="U673" s="260"/>
      <c r="V673" s="260"/>
      <c r="W673" s="260"/>
      <c r="X673" s="260"/>
      <c r="Y673" s="260"/>
      <c r="Z673" s="260"/>
      <c r="AA673" s="260"/>
      <c r="AB673" s="260"/>
      <c r="AC673" s="260"/>
      <c r="AD673" s="260"/>
      <c r="AE673" s="260"/>
      <c r="AF673" s="260"/>
      <c r="AG673" s="258"/>
      <c r="AO673"/>
      <c r="AP673"/>
      <c r="AQ673"/>
      <c r="AR673"/>
      <c r="AS673"/>
      <c r="AT673"/>
      <c r="AU673"/>
      <c r="AV673"/>
      <c r="AW673"/>
      <c r="AX673"/>
      <c r="AY673"/>
      <c r="AZ673"/>
      <c r="BA673"/>
      <c r="BB673"/>
      <c r="BC673"/>
      <c r="BD673"/>
      <c r="BE673"/>
      <c r="BF673"/>
    </row>
    <row r="674" spans="13:58" ht="12" hidden="1" customHeight="1">
      <c r="M674" s="820"/>
      <c r="N674" s="239"/>
      <c r="O674" s="225"/>
      <c r="P674" s="260"/>
      <c r="Q674" s="258"/>
      <c r="R674" s="260"/>
      <c r="S674" s="260"/>
      <c r="T674" s="260"/>
      <c r="U674" s="260"/>
      <c r="V674" s="260"/>
      <c r="W674" s="260"/>
      <c r="X674" s="260"/>
      <c r="Y674" s="260"/>
      <c r="Z674" s="260"/>
      <c r="AA674" s="260"/>
      <c r="AB674" s="260"/>
      <c r="AC674" s="260"/>
      <c r="AD674" s="260"/>
      <c r="AE674" s="260"/>
      <c r="AF674" s="260"/>
      <c r="AG674" s="258"/>
      <c r="AO674"/>
      <c r="AP674"/>
      <c r="AQ674"/>
      <c r="AR674"/>
      <c r="AS674"/>
      <c r="AT674"/>
      <c r="AU674"/>
      <c r="AV674"/>
      <c r="AW674"/>
      <c r="AX674"/>
      <c r="AY674"/>
      <c r="AZ674"/>
      <c r="BA674"/>
      <c r="BB674"/>
      <c r="BC674"/>
      <c r="BD674"/>
      <c r="BE674"/>
      <c r="BF674"/>
    </row>
    <row r="675" spans="13:58" ht="12" hidden="1" customHeight="1">
      <c r="M675" s="820"/>
      <c r="N675" s="239"/>
      <c r="O675" s="225"/>
      <c r="P675" s="260"/>
      <c r="Q675" s="258"/>
      <c r="R675" s="260"/>
      <c r="S675" s="260"/>
      <c r="T675" s="260"/>
      <c r="U675" s="260"/>
      <c r="V675" s="260"/>
      <c r="W675" s="260"/>
      <c r="X675" s="260"/>
      <c r="Y675" s="260"/>
      <c r="Z675" s="260"/>
      <c r="AA675" s="260"/>
      <c r="AB675" s="260"/>
      <c r="AC675" s="260"/>
      <c r="AD675" s="260"/>
      <c r="AE675" s="260"/>
      <c r="AF675" s="260"/>
      <c r="AG675" s="258"/>
      <c r="AO675"/>
      <c r="AP675"/>
      <c r="AQ675"/>
      <c r="AR675"/>
      <c r="AS675"/>
      <c r="AT675"/>
      <c r="AU675"/>
      <c r="AV675"/>
      <c r="AW675"/>
      <c r="AX675"/>
      <c r="AY675"/>
      <c r="AZ675"/>
      <c r="BA675"/>
      <c r="BB675"/>
      <c r="BC675"/>
      <c r="BD675"/>
      <c r="BE675"/>
      <c r="BF675"/>
    </row>
    <row r="676" spans="13:58" ht="12" hidden="1" customHeight="1">
      <c r="M676" s="820"/>
      <c r="N676" s="239"/>
      <c r="O676" s="225"/>
      <c r="P676" s="260"/>
      <c r="Q676" s="258"/>
      <c r="R676" s="260"/>
      <c r="S676" s="260"/>
      <c r="T676" s="260"/>
      <c r="U676" s="260"/>
      <c r="V676" s="260"/>
      <c r="W676" s="260"/>
      <c r="X676" s="260"/>
      <c r="Y676" s="260"/>
      <c r="Z676" s="260"/>
      <c r="AA676" s="260"/>
      <c r="AB676" s="260"/>
      <c r="AC676" s="260"/>
      <c r="AD676" s="260"/>
      <c r="AE676" s="260"/>
      <c r="AF676" s="260"/>
      <c r="AG676" s="258"/>
      <c r="AO676"/>
      <c r="AP676"/>
      <c r="AQ676"/>
      <c r="AR676"/>
      <c r="AS676"/>
      <c r="AT676"/>
      <c r="AU676"/>
      <c r="AV676"/>
      <c r="AW676"/>
      <c r="AX676"/>
      <c r="AY676"/>
      <c r="AZ676"/>
      <c r="BA676"/>
      <c r="BB676"/>
      <c r="BC676"/>
      <c r="BD676"/>
      <c r="BE676"/>
      <c r="BF676"/>
    </row>
    <row r="677" spans="13:58" ht="12" hidden="1" customHeight="1">
      <c r="M677" s="820"/>
      <c r="N677" s="239"/>
      <c r="O677" s="225"/>
      <c r="P677" s="260"/>
      <c r="Q677" s="258"/>
      <c r="R677" s="260"/>
      <c r="S677" s="260"/>
      <c r="T677" s="260"/>
      <c r="U677" s="260"/>
      <c r="V677" s="260"/>
      <c r="W677" s="260"/>
      <c r="X677" s="260"/>
      <c r="Y677" s="260"/>
      <c r="Z677" s="260"/>
      <c r="AA677" s="260"/>
      <c r="AB677" s="260"/>
      <c r="AC677" s="260"/>
      <c r="AD677" s="260"/>
      <c r="AE677" s="260"/>
      <c r="AF677" s="260"/>
      <c r="AG677" s="258"/>
      <c r="AO677"/>
      <c r="AP677"/>
      <c r="AQ677"/>
      <c r="AR677"/>
      <c r="AS677"/>
      <c r="AT677"/>
      <c r="AU677"/>
      <c r="AV677"/>
      <c r="AW677"/>
      <c r="AX677"/>
      <c r="AY677"/>
      <c r="AZ677"/>
      <c r="BA677"/>
      <c r="BB677"/>
      <c r="BC677"/>
      <c r="BD677"/>
      <c r="BE677"/>
      <c r="BF677"/>
    </row>
    <row r="678" spans="13:58" ht="12" hidden="1" customHeight="1">
      <c r="M678" s="820"/>
      <c r="N678" s="239"/>
      <c r="O678" s="225"/>
      <c r="P678" s="260"/>
      <c r="Q678" s="258"/>
      <c r="R678" s="260"/>
      <c r="S678" s="260"/>
      <c r="T678" s="260"/>
      <c r="U678" s="260"/>
      <c r="V678" s="260"/>
      <c r="W678" s="260"/>
      <c r="X678" s="260"/>
      <c r="Y678" s="260"/>
      <c r="Z678" s="260"/>
      <c r="AA678" s="260"/>
      <c r="AB678" s="260"/>
      <c r="AC678" s="260"/>
      <c r="AD678" s="260"/>
      <c r="AE678" s="260"/>
      <c r="AF678" s="260"/>
      <c r="AG678" s="258"/>
      <c r="AO678"/>
      <c r="AP678"/>
      <c r="AQ678"/>
      <c r="AR678"/>
      <c r="AS678"/>
      <c r="AT678"/>
      <c r="AU678"/>
      <c r="AV678"/>
      <c r="AW678"/>
      <c r="AX678"/>
      <c r="AY678"/>
      <c r="AZ678"/>
      <c r="BA678"/>
      <c r="BB678"/>
      <c r="BC678"/>
      <c r="BD678"/>
      <c r="BE678"/>
      <c r="BF678"/>
    </row>
    <row r="679" spans="13:58" ht="12" hidden="1" customHeight="1">
      <c r="M679" s="820"/>
      <c r="N679" s="239"/>
      <c r="O679" s="225"/>
      <c r="P679" s="260"/>
      <c r="Q679" s="258"/>
      <c r="R679" s="260"/>
      <c r="S679" s="260"/>
      <c r="T679" s="260"/>
      <c r="U679" s="260"/>
      <c r="V679" s="260"/>
      <c r="W679" s="260"/>
      <c r="X679" s="260"/>
      <c r="Y679" s="260"/>
      <c r="Z679" s="260"/>
      <c r="AA679" s="260"/>
      <c r="AB679" s="260"/>
      <c r="AC679" s="260"/>
      <c r="AD679" s="260"/>
      <c r="AE679" s="260"/>
      <c r="AF679" s="260"/>
      <c r="AG679" s="258"/>
      <c r="AO679"/>
      <c r="AP679"/>
      <c r="AQ679"/>
      <c r="AR679"/>
      <c r="AS679"/>
      <c r="AT679"/>
      <c r="AU679"/>
      <c r="AV679"/>
      <c r="AW679"/>
      <c r="AX679"/>
      <c r="AY679"/>
      <c r="AZ679"/>
      <c r="BA679"/>
      <c r="BB679"/>
      <c r="BC679"/>
      <c r="BD679"/>
      <c r="BE679"/>
      <c r="BF679"/>
    </row>
    <row r="680" spans="13:58" ht="12" hidden="1" customHeight="1">
      <c r="M680" s="820"/>
      <c r="N680" s="239"/>
      <c r="O680" s="225"/>
      <c r="P680" s="260"/>
      <c r="Q680" s="258"/>
      <c r="R680" s="260"/>
      <c r="S680" s="260"/>
      <c r="T680" s="260"/>
      <c r="U680" s="260"/>
      <c r="V680" s="260"/>
      <c r="W680" s="260"/>
      <c r="X680" s="260"/>
      <c r="Y680" s="260"/>
      <c r="Z680" s="260"/>
      <c r="AA680" s="260"/>
      <c r="AB680" s="260"/>
      <c r="AC680" s="260"/>
      <c r="AD680" s="260"/>
      <c r="AE680" s="260"/>
      <c r="AF680" s="260"/>
      <c r="AG680" s="258"/>
      <c r="AO680"/>
      <c r="AP680"/>
      <c r="AQ680"/>
      <c r="AR680"/>
      <c r="AS680"/>
      <c r="AT680"/>
      <c r="AU680"/>
      <c r="AV680"/>
      <c r="AW680"/>
      <c r="AX680"/>
      <c r="AY680"/>
      <c r="AZ680"/>
      <c r="BA680"/>
      <c r="BB680"/>
      <c r="BC680"/>
      <c r="BD680"/>
      <c r="BE680"/>
      <c r="BF680"/>
    </row>
    <row r="681" spans="13:58" ht="12" hidden="1" customHeight="1">
      <c r="M681" s="820"/>
      <c r="N681" s="239"/>
      <c r="O681" s="225"/>
      <c r="P681" s="260"/>
      <c r="Q681" s="258"/>
      <c r="R681" s="260"/>
      <c r="S681" s="260"/>
      <c r="T681" s="260"/>
      <c r="U681" s="260"/>
      <c r="V681" s="260"/>
      <c r="W681" s="260"/>
      <c r="X681" s="260"/>
      <c r="Y681" s="260"/>
      <c r="Z681" s="260"/>
      <c r="AA681" s="260"/>
      <c r="AB681" s="260"/>
      <c r="AC681" s="260"/>
      <c r="AD681" s="260"/>
      <c r="AE681" s="260"/>
      <c r="AF681" s="260"/>
      <c r="AG681" s="258"/>
      <c r="AO681"/>
      <c r="AP681"/>
      <c r="AQ681"/>
      <c r="AR681"/>
      <c r="AS681"/>
      <c r="AT681"/>
      <c r="AU681"/>
      <c r="AV681"/>
      <c r="AW681"/>
      <c r="AX681"/>
      <c r="AY681"/>
      <c r="AZ681"/>
      <c r="BA681"/>
      <c r="BB681"/>
      <c r="BC681"/>
      <c r="BD681"/>
      <c r="BE681"/>
      <c r="BF681"/>
    </row>
    <row r="682" spans="13:58" ht="12" hidden="1" customHeight="1">
      <c r="M682" s="820"/>
      <c r="N682" s="239"/>
      <c r="O682" s="225"/>
      <c r="P682" s="260"/>
      <c r="Q682" s="258"/>
      <c r="R682" s="260"/>
      <c r="S682" s="260"/>
      <c r="T682" s="260"/>
      <c r="U682" s="260"/>
      <c r="V682" s="260"/>
      <c r="W682" s="260"/>
      <c r="X682" s="260"/>
      <c r="Y682" s="260"/>
      <c r="Z682" s="260"/>
      <c r="AA682" s="260"/>
      <c r="AB682" s="260"/>
      <c r="AC682" s="260"/>
      <c r="AD682" s="260"/>
      <c r="AE682" s="260"/>
      <c r="AF682" s="260"/>
      <c r="AG682" s="258"/>
      <c r="AO682"/>
      <c r="AP682"/>
      <c r="AQ682"/>
      <c r="AR682"/>
      <c r="AS682"/>
      <c r="AT682"/>
      <c r="AU682"/>
      <c r="AV682"/>
      <c r="AW682"/>
      <c r="AX682"/>
      <c r="AY682"/>
      <c r="AZ682"/>
      <c r="BA682"/>
      <c r="BB682"/>
      <c r="BC682"/>
      <c r="BD682"/>
      <c r="BE682"/>
      <c r="BF682"/>
    </row>
    <row r="683" spans="13:58" ht="12" hidden="1" customHeight="1">
      <c r="M683" s="820"/>
      <c r="N683" s="239"/>
      <c r="O683" s="225"/>
      <c r="P683" s="260"/>
      <c r="Q683" s="258"/>
      <c r="R683" s="260"/>
      <c r="S683" s="260"/>
      <c r="T683" s="260"/>
      <c r="U683" s="260"/>
      <c r="V683" s="260"/>
      <c r="W683" s="260"/>
      <c r="X683" s="260"/>
      <c r="Y683" s="260"/>
      <c r="Z683" s="260"/>
      <c r="AA683" s="260"/>
      <c r="AB683" s="260"/>
      <c r="AC683" s="260"/>
      <c r="AD683" s="260"/>
      <c r="AE683" s="260"/>
      <c r="AF683" s="260"/>
      <c r="AG683" s="258"/>
      <c r="AO683"/>
      <c r="AP683"/>
      <c r="AQ683"/>
      <c r="AR683"/>
      <c r="AS683"/>
      <c r="AT683"/>
      <c r="AU683"/>
      <c r="AV683"/>
      <c r="AW683"/>
      <c r="AX683"/>
      <c r="AY683"/>
      <c r="AZ683"/>
      <c r="BA683"/>
      <c r="BB683"/>
      <c r="BC683"/>
      <c r="BD683"/>
      <c r="BE683"/>
      <c r="BF683"/>
    </row>
    <row r="684" spans="13:58" ht="12" hidden="1" customHeight="1">
      <c r="M684" s="820"/>
      <c r="N684" s="239"/>
      <c r="O684" s="225"/>
      <c r="P684" s="260"/>
      <c r="Q684" s="258"/>
      <c r="R684" s="260"/>
      <c r="S684" s="260"/>
      <c r="T684" s="260"/>
      <c r="U684" s="260"/>
      <c r="V684" s="260"/>
      <c r="W684" s="260"/>
      <c r="X684" s="260"/>
      <c r="Y684" s="260"/>
      <c r="Z684" s="260"/>
      <c r="AA684" s="260"/>
      <c r="AB684" s="260"/>
      <c r="AC684" s="260"/>
      <c r="AD684" s="260"/>
      <c r="AE684" s="260"/>
      <c r="AF684" s="260"/>
      <c r="AG684" s="258"/>
      <c r="AO684"/>
      <c r="AP684"/>
      <c r="AQ684"/>
      <c r="AR684"/>
      <c r="AS684"/>
      <c r="AT684"/>
      <c r="AU684"/>
      <c r="AV684"/>
      <c r="AW684"/>
      <c r="AX684"/>
      <c r="AY684"/>
      <c r="AZ684"/>
      <c r="BA684"/>
      <c r="BB684"/>
      <c r="BC684"/>
      <c r="BD684"/>
      <c r="BE684"/>
      <c r="BF684"/>
    </row>
    <row r="685" spans="13:58" ht="12" hidden="1" customHeight="1">
      <c r="M685" s="820"/>
      <c r="N685" s="239"/>
      <c r="O685" s="225"/>
      <c r="P685" s="260"/>
      <c r="Q685" s="258"/>
      <c r="R685" s="260"/>
      <c r="S685" s="260"/>
      <c r="T685" s="260"/>
      <c r="U685" s="260"/>
      <c r="V685" s="260"/>
      <c r="W685" s="260"/>
      <c r="X685" s="260"/>
      <c r="Y685" s="260"/>
      <c r="Z685" s="260"/>
      <c r="AA685" s="260"/>
      <c r="AB685" s="260"/>
      <c r="AC685" s="260"/>
      <c r="AD685" s="260"/>
      <c r="AE685" s="260"/>
      <c r="AF685" s="260"/>
      <c r="AG685" s="258"/>
      <c r="AO685"/>
      <c r="AP685"/>
      <c r="AQ685"/>
      <c r="AR685"/>
      <c r="AS685"/>
      <c r="AT685"/>
      <c r="AU685"/>
      <c r="AV685"/>
      <c r="AW685"/>
      <c r="AX685"/>
      <c r="AY685"/>
      <c r="AZ685"/>
      <c r="BA685"/>
      <c r="BB685"/>
      <c r="BC685"/>
      <c r="BD685"/>
      <c r="BE685"/>
      <c r="BF685"/>
    </row>
    <row r="686" spans="13:58" ht="12" hidden="1" customHeight="1">
      <c r="M686" s="820"/>
      <c r="N686" s="239"/>
      <c r="O686" s="225"/>
      <c r="P686" s="260"/>
      <c r="Q686" s="258"/>
      <c r="R686" s="260"/>
      <c r="S686" s="260"/>
      <c r="T686" s="260"/>
      <c r="U686" s="260"/>
      <c r="V686" s="260"/>
      <c r="W686" s="260"/>
      <c r="X686" s="260"/>
      <c r="Y686" s="260"/>
      <c r="Z686" s="260"/>
      <c r="AA686" s="260"/>
      <c r="AB686" s="260"/>
      <c r="AC686" s="260"/>
      <c r="AD686" s="260"/>
      <c r="AE686" s="260"/>
      <c r="AF686" s="260"/>
      <c r="AG686" s="258"/>
      <c r="AO686"/>
      <c r="AP686"/>
      <c r="AQ686"/>
      <c r="AR686"/>
      <c r="AS686"/>
      <c r="AT686"/>
      <c r="AU686"/>
      <c r="AV686"/>
      <c r="AW686"/>
      <c r="AX686"/>
      <c r="AY686"/>
      <c r="AZ686"/>
      <c r="BA686"/>
      <c r="BB686"/>
      <c r="BC686"/>
      <c r="BD686"/>
      <c r="BE686"/>
      <c r="BF686"/>
    </row>
    <row r="687" spans="13:58" ht="12" hidden="1" customHeight="1">
      <c r="M687" s="820"/>
      <c r="N687" s="239"/>
      <c r="O687" s="225"/>
      <c r="P687" s="260"/>
      <c r="Q687" s="258"/>
      <c r="R687" s="260"/>
      <c r="S687" s="260"/>
      <c r="T687" s="260"/>
      <c r="U687" s="260"/>
      <c r="V687" s="260"/>
      <c r="W687" s="260"/>
      <c r="X687" s="260"/>
      <c r="Y687" s="260"/>
      <c r="Z687" s="260"/>
      <c r="AA687" s="260"/>
      <c r="AB687" s="260"/>
      <c r="AC687" s="260"/>
      <c r="AD687" s="260"/>
      <c r="AE687" s="260"/>
      <c r="AF687" s="260"/>
      <c r="AG687" s="258"/>
      <c r="AO687"/>
      <c r="AP687"/>
      <c r="AQ687"/>
      <c r="AR687"/>
      <c r="AS687"/>
      <c r="AT687"/>
      <c r="AU687"/>
      <c r="AV687"/>
      <c r="AW687"/>
      <c r="AX687"/>
      <c r="AY687"/>
      <c r="AZ687"/>
      <c r="BA687"/>
      <c r="BB687"/>
      <c r="BC687"/>
      <c r="BD687"/>
      <c r="BE687"/>
      <c r="BF687"/>
    </row>
    <row r="688" spans="13:58" ht="12" hidden="1" customHeight="1">
      <c r="M688" s="820"/>
      <c r="N688" s="239"/>
      <c r="O688" s="225"/>
      <c r="P688" s="260"/>
      <c r="Q688" s="258"/>
      <c r="R688" s="260"/>
      <c r="S688" s="260"/>
      <c r="T688" s="260"/>
      <c r="U688" s="260"/>
      <c r="V688" s="260"/>
      <c r="W688" s="260"/>
      <c r="X688" s="260"/>
      <c r="Y688" s="260"/>
      <c r="Z688" s="260"/>
      <c r="AA688" s="260"/>
      <c r="AB688" s="260"/>
      <c r="AC688" s="260"/>
      <c r="AD688" s="260"/>
      <c r="AE688" s="260"/>
      <c r="AF688" s="260"/>
      <c r="AG688" s="258"/>
      <c r="AO688"/>
      <c r="AP688"/>
      <c r="AQ688"/>
      <c r="AR688"/>
      <c r="AS688"/>
      <c r="AT688"/>
      <c r="AU688"/>
      <c r="AV688"/>
      <c r="AW688"/>
      <c r="AX688"/>
      <c r="AY688"/>
      <c r="AZ688"/>
      <c r="BA688"/>
      <c r="BB688"/>
      <c r="BC688"/>
      <c r="BD688"/>
      <c r="BE688"/>
      <c r="BF688"/>
    </row>
    <row r="689" spans="13:58" ht="12" hidden="1" customHeight="1">
      <c r="M689" s="820"/>
      <c r="N689" s="239"/>
      <c r="O689" s="225"/>
      <c r="P689" s="260"/>
      <c r="Q689" s="258"/>
      <c r="R689" s="260"/>
      <c r="S689" s="260"/>
      <c r="T689" s="260"/>
      <c r="U689" s="260"/>
      <c r="V689" s="260"/>
      <c r="W689" s="260"/>
      <c r="X689" s="260"/>
      <c r="Y689" s="260"/>
      <c r="Z689" s="260"/>
      <c r="AA689" s="260"/>
      <c r="AB689" s="260"/>
      <c r="AC689" s="260"/>
      <c r="AD689" s="260"/>
      <c r="AE689" s="260"/>
      <c r="AF689" s="260"/>
      <c r="AG689" s="258"/>
      <c r="AO689"/>
      <c r="AP689"/>
      <c r="AQ689"/>
      <c r="AR689"/>
      <c r="AS689"/>
      <c r="AT689"/>
      <c r="AU689"/>
      <c r="AV689"/>
      <c r="AW689"/>
      <c r="AX689"/>
      <c r="AY689"/>
      <c r="AZ689"/>
      <c r="BA689"/>
      <c r="BB689"/>
      <c r="BC689"/>
      <c r="BD689"/>
      <c r="BE689"/>
      <c r="BF689"/>
    </row>
    <row r="690" spans="13:58" ht="12" hidden="1" customHeight="1">
      <c r="M690" s="820"/>
      <c r="N690" s="239"/>
      <c r="O690" s="225"/>
      <c r="P690" s="260"/>
      <c r="Q690" s="258"/>
      <c r="R690" s="260"/>
      <c r="S690" s="260"/>
      <c r="T690" s="260"/>
      <c r="U690" s="260"/>
      <c r="V690" s="260"/>
      <c r="W690" s="260"/>
      <c r="X690" s="260"/>
      <c r="Y690" s="260"/>
      <c r="Z690" s="260"/>
      <c r="AA690" s="260"/>
      <c r="AB690" s="260"/>
      <c r="AC690" s="260"/>
      <c r="AD690" s="260"/>
      <c r="AE690" s="260"/>
      <c r="AF690" s="260"/>
      <c r="AG690" s="258"/>
      <c r="AO690"/>
      <c r="AP690"/>
      <c r="AQ690"/>
      <c r="AR690"/>
      <c r="AS690"/>
      <c r="AT690"/>
      <c r="AU690"/>
      <c r="AV690"/>
      <c r="AW690"/>
      <c r="AX690"/>
      <c r="AY690"/>
      <c r="AZ690"/>
      <c r="BA690"/>
      <c r="BB690"/>
      <c r="BC690"/>
      <c r="BD690"/>
      <c r="BE690"/>
      <c r="BF690"/>
    </row>
    <row r="691" spans="13:58" ht="12" hidden="1" customHeight="1">
      <c r="M691" s="820"/>
      <c r="N691" s="239"/>
      <c r="O691" s="225"/>
      <c r="P691" s="260"/>
      <c r="Q691" s="258"/>
      <c r="R691" s="260"/>
      <c r="S691" s="260"/>
      <c r="T691" s="260"/>
      <c r="U691" s="260"/>
      <c r="V691" s="260"/>
      <c r="W691" s="260"/>
      <c r="X691" s="260"/>
      <c r="Y691" s="260"/>
      <c r="Z691" s="260"/>
      <c r="AA691" s="260"/>
      <c r="AB691" s="260"/>
      <c r="AC691" s="260"/>
      <c r="AD691" s="260"/>
      <c r="AE691" s="260"/>
      <c r="AF691" s="260"/>
      <c r="AG691" s="258"/>
      <c r="AO691"/>
      <c r="AP691"/>
      <c r="AQ691"/>
      <c r="AR691"/>
      <c r="AS691"/>
      <c r="AT691"/>
      <c r="AU691"/>
      <c r="AV691"/>
      <c r="AW691"/>
      <c r="AX691"/>
      <c r="AY691"/>
      <c r="AZ691"/>
      <c r="BA691"/>
      <c r="BB691"/>
      <c r="BC691"/>
      <c r="BD691"/>
      <c r="BE691"/>
      <c r="BF691"/>
    </row>
    <row r="692" spans="13:58" ht="12" hidden="1" customHeight="1">
      <c r="M692" s="820"/>
      <c r="N692" s="239"/>
      <c r="O692" s="225"/>
      <c r="P692" s="260"/>
      <c r="Q692" s="258"/>
      <c r="R692" s="260"/>
      <c r="S692" s="260"/>
      <c r="T692" s="260"/>
      <c r="U692" s="260"/>
      <c r="V692" s="260"/>
      <c r="W692" s="260"/>
      <c r="X692" s="260"/>
      <c r="Y692" s="260"/>
      <c r="Z692" s="260"/>
      <c r="AA692" s="260"/>
      <c r="AB692" s="260"/>
      <c r="AC692" s="260"/>
      <c r="AD692" s="260"/>
      <c r="AE692" s="260"/>
      <c r="AF692" s="260"/>
      <c r="AG692" s="258"/>
      <c r="AO692"/>
      <c r="AP692"/>
      <c r="AQ692"/>
      <c r="AR692"/>
      <c r="AS692"/>
      <c r="AT692"/>
      <c r="AU692"/>
      <c r="AV692"/>
      <c r="AW692"/>
      <c r="AX692"/>
      <c r="AY692"/>
      <c r="AZ692"/>
      <c r="BA692"/>
      <c r="BB692"/>
      <c r="BC692"/>
      <c r="BD692"/>
      <c r="BE692"/>
      <c r="BF692"/>
    </row>
    <row r="693" spans="13:58" ht="12" hidden="1" customHeight="1">
      <c r="M693" s="820"/>
      <c r="N693" s="239"/>
      <c r="O693" s="225"/>
      <c r="P693" s="260"/>
      <c r="Q693" s="258"/>
      <c r="R693" s="260"/>
      <c r="S693" s="260"/>
      <c r="T693" s="260"/>
      <c r="U693" s="260"/>
      <c r="V693" s="260"/>
      <c r="W693" s="260"/>
      <c r="X693" s="260"/>
      <c r="Y693" s="260"/>
      <c r="Z693" s="260"/>
      <c r="AA693" s="260"/>
      <c r="AB693" s="260"/>
      <c r="AC693" s="260"/>
      <c r="AD693" s="260"/>
      <c r="AE693" s="260"/>
      <c r="AF693" s="260"/>
      <c r="AG693" s="258"/>
      <c r="AO693"/>
      <c r="AP693"/>
      <c r="AQ693"/>
      <c r="AR693"/>
      <c r="AS693"/>
      <c r="AT693"/>
      <c r="AU693"/>
      <c r="AV693"/>
      <c r="AW693"/>
      <c r="AX693"/>
      <c r="AY693"/>
      <c r="AZ693"/>
      <c r="BA693"/>
      <c r="BB693"/>
      <c r="BC693"/>
      <c r="BD693"/>
      <c r="BE693"/>
      <c r="BF693"/>
    </row>
    <row r="694" spans="13:58" ht="12" hidden="1" customHeight="1">
      <c r="M694" s="820"/>
      <c r="N694" s="239"/>
      <c r="O694" s="225"/>
      <c r="P694" s="260"/>
      <c r="Q694" s="258"/>
      <c r="R694" s="260"/>
      <c r="S694" s="260"/>
      <c r="T694" s="260"/>
      <c r="U694" s="260"/>
      <c r="V694" s="260"/>
      <c r="W694" s="260"/>
      <c r="X694" s="260"/>
      <c r="Y694" s="260"/>
      <c r="Z694" s="260"/>
      <c r="AA694" s="260"/>
      <c r="AB694" s="260"/>
      <c r="AC694" s="260"/>
      <c r="AD694" s="260"/>
      <c r="AE694" s="260"/>
      <c r="AF694" s="260"/>
      <c r="AG694" s="258"/>
      <c r="AO694"/>
      <c r="AP694"/>
      <c r="AQ694"/>
      <c r="AR694"/>
      <c r="AS694"/>
      <c r="AT694"/>
      <c r="AU694"/>
      <c r="AV694"/>
      <c r="AW694"/>
      <c r="AX694"/>
      <c r="AY694"/>
      <c r="AZ694"/>
      <c r="BA694"/>
      <c r="BB694"/>
      <c r="BC694"/>
      <c r="BD694"/>
      <c r="BE694"/>
      <c r="BF694"/>
    </row>
    <row r="695" spans="13:58" ht="12" hidden="1" customHeight="1">
      <c r="M695" s="820"/>
      <c r="N695" s="239"/>
      <c r="O695" s="225"/>
      <c r="P695" s="260"/>
      <c r="Q695" s="258"/>
      <c r="R695" s="260"/>
      <c r="S695" s="260"/>
      <c r="T695" s="260"/>
      <c r="U695" s="260"/>
      <c r="V695" s="260"/>
      <c r="W695" s="260"/>
      <c r="X695" s="260"/>
      <c r="Y695" s="260"/>
      <c r="Z695" s="260"/>
      <c r="AA695" s="260"/>
      <c r="AB695" s="260"/>
      <c r="AC695" s="260"/>
      <c r="AD695" s="260"/>
      <c r="AE695" s="260"/>
      <c r="AF695" s="260"/>
      <c r="AG695" s="258"/>
      <c r="AO695"/>
      <c r="AP695"/>
      <c r="AQ695"/>
      <c r="AR695"/>
      <c r="AS695"/>
      <c r="AT695"/>
      <c r="AU695"/>
      <c r="AV695"/>
      <c r="AW695"/>
      <c r="AX695"/>
      <c r="AY695"/>
      <c r="AZ695"/>
      <c r="BA695"/>
      <c r="BB695"/>
      <c r="BC695"/>
      <c r="BD695"/>
      <c r="BE695"/>
      <c r="BF695"/>
    </row>
    <row r="696" spans="13:58" ht="12" hidden="1" customHeight="1">
      <c r="M696" s="820"/>
      <c r="N696" s="239"/>
      <c r="O696" s="225"/>
      <c r="P696" s="260"/>
      <c r="Q696" s="258"/>
      <c r="R696" s="260"/>
      <c r="S696" s="260"/>
      <c r="T696" s="260"/>
      <c r="U696" s="260"/>
      <c r="V696" s="260"/>
      <c r="W696" s="260"/>
      <c r="X696" s="260"/>
      <c r="Y696" s="260"/>
      <c r="Z696" s="260"/>
      <c r="AA696" s="260"/>
      <c r="AB696" s="260"/>
      <c r="AC696" s="260"/>
      <c r="AD696" s="260"/>
      <c r="AE696" s="260"/>
      <c r="AF696" s="260"/>
      <c r="AG696" s="258"/>
      <c r="AO696"/>
      <c r="AP696"/>
      <c r="AQ696"/>
      <c r="AR696"/>
      <c r="AS696"/>
      <c r="AT696"/>
      <c r="AU696"/>
      <c r="AV696"/>
      <c r="AW696"/>
      <c r="AX696"/>
      <c r="AY696"/>
      <c r="AZ696"/>
      <c r="BA696"/>
      <c r="BB696"/>
      <c r="BC696"/>
      <c r="BD696"/>
      <c r="BE696"/>
      <c r="BF696"/>
    </row>
    <row r="697" spans="13:58" ht="12" hidden="1" customHeight="1">
      <c r="M697" s="820"/>
      <c r="N697" s="239"/>
      <c r="O697" s="225"/>
      <c r="P697" s="260"/>
      <c r="Q697" s="258"/>
      <c r="R697" s="260"/>
      <c r="S697" s="260"/>
      <c r="T697" s="260"/>
      <c r="U697" s="260"/>
      <c r="V697" s="260"/>
      <c r="W697" s="260"/>
      <c r="X697" s="260"/>
      <c r="Y697" s="260"/>
      <c r="Z697" s="260"/>
      <c r="AA697" s="260"/>
      <c r="AB697" s="260"/>
      <c r="AC697" s="260"/>
      <c r="AD697" s="260"/>
      <c r="AE697" s="260"/>
      <c r="AF697" s="260"/>
      <c r="AG697" s="258"/>
      <c r="AO697"/>
      <c r="AP697"/>
      <c r="AQ697"/>
      <c r="AR697"/>
      <c r="AS697"/>
      <c r="AT697"/>
      <c r="AU697"/>
      <c r="AV697"/>
      <c r="AW697"/>
      <c r="AX697"/>
      <c r="AY697"/>
      <c r="AZ697"/>
      <c r="BA697"/>
      <c r="BB697"/>
      <c r="BC697"/>
      <c r="BD697"/>
      <c r="BE697"/>
      <c r="BF697"/>
    </row>
    <row r="698" spans="13:58" ht="12" hidden="1" customHeight="1">
      <c r="M698" s="820"/>
      <c r="N698" s="239"/>
      <c r="O698" s="225"/>
      <c r="P698" s="260"/>
      <c r="Q698" s="258"/>
      <c r="R698" s="260"/>
      <c r="S698" s="260"/>
      <c r="T698" s="260"/>
      <c r="U698" s="260"/>
      <c r="V698" s="260"/>
      <c r="W698" s="260"/>
      <c r="X698" s="260"/>
      <c r="Y698" s="260"/>
      <c r="Z698" s="260"/>
      <c r="AA698" s="260"/>
      <c r="AB698" s="260"/>
      <c r="AC698" s="260"/>
      <c r="AD698" s="260"/>
      <c r="AE698" s="260"/>
      <c r="AF698" s="260"/>
      <c r="AG698" s="258"/>
      <c r="AO698"/>
      <c r="AP698"/>
      <c r="AQ698"/>
      <c r="AR698"/>
      <c r="AS698"/>
      <c r="AT698"/>
      <c r="AU698"/>
      <c r="AV698"/>
      <c r="AW698"/>
      <c r="AX698"/>
      <c r="AY698"/>
      <c r="AZ698"/>
      <c r="BA698"/>
      <c r="BB698"/>
      <c r="BC698"/>
      <c r="BD698"/>
      <c r="BE698"/>
      <c r="BF698"/>
    </row>
    <row r="699" spans="13:58" ht="12" hidden="1" customHeight="1">
      <c r="M699" s="820"/>
      <c r="N699" s="239"/>
      <c r="O699" s="225"/>
      <c r="P699" s="260"/>
      <c r="Q699" s="258"/>
      <c r="R699" s="260"/>
      <c r="S699" s="260"/>
      <c r="T699" s="260"/>
      <c r="U699" s="260"/>
      <c r="V699" s="260"/>
      <c r="W699" s="260"/>
      <c r="X699" s="260"/>
      <c r="Y699" s="260"/>
      <c r="Z699" s="260"/>
      <c r="AA699" s="260"/>
      <c r="AB699" s="260"/>
      <c r="AC699" s="260"/>
      <c r="AD699" s="260"/>
      <c r="AE699" s="260"/>
      <c r="AF699" s="260"/>
      <c r="AG699" s="258"/>
      <c r="AO699"/>
      <c r="AP699"/>
      <c r="AQ699"/>
      <c r="AR699"/>
      <c r="AS699"/>
      <c r="AT699"/>
      <c r="AU699"/>
      <c r="AV699"/>
      <c r="AW699"/>
      <c r="AX699"/>
      <c r="AY699"/>
      <c r="AZ699"/>
      <c r="BA699"/>
      <c r="BB699"/>
      <c r="BC699"/>
      <c r="BD699"/>
      <c r="BE699"/>
      <c r="BF699"/>
    </row>
    <row r="700" spans="13:58" ht="12" hidden="1" customHeight="1">
      <c r="M700" s="820"/>
      <c r="N700" s="236" t="s">
        <v>2985</v>
      </c>
      <c r="O700" s="225" t="s">
        <v>2972</v>
      </c>
      <c r="P700" s="260"/>
      <c r="Q700" s="258"/>
      <c r="R700" s="260"/>
      <c r="S700" s="260"/>
      <c r="T700" s="260"/>
      <c r="U700" s="260"/>
      <c r="V700" s="260"/>
      <c r="W700" s="260"/>
      <c r="X700" s="260"/>
      <c r="Y700" s="260"/>
      <c r="Z700" s="260"/>
      <c r="AA700" s="260"/>
      <c r="AB700" s="260"/>
      <c r="AC700" s="260"/>
      <c r="AD700" s="260"/>
      <c r="AE700" s="260"/>
      <c r="AF700" s="260"/>
      <c r="AG700" s="258"/>
      <c r="AO700"/>
      <c r="AP700"/>
      <c r="AQ700"/>
      <c r="AR700"/>
      <c r="AS700"/>
      <c r="AT700"/>
      <c r="AU700"/>
      <c r="AV700"/>
      <c r="AW700"/>
      <c r="AX700"/>
      <c r="AY700"/>
      <c r="AZ700"/>
      <c r="BA700"/>
      <c r="BB700"/>
      <c r="BC700"/>
      <c r="BD700"/>
      <c r="BE700"/>
      <c r="BF700"/>
    </row>
    <row r="701" spans="13:58" ht="12" hidden="1" customHeight="1">
      <c r="M701" s="820"/>
      <c r="N701" s="236" t="s">
        <v>2987</v>
      </c>
      <c r="O701" s="225" t="s">
        <v>2988</v>
      </c>
      <c r="P701" s="260"/>
      <c r="Q701" s="258"/>
      <c r="R701" s="260"/>
      <c r="S701" s="260"/>
      <c r="T701" s="260"/>
      <c r="U701" s="260"/>
      <c r="V701" s="260"/>
      <c r="W701" s="260"/>
      <c r="X701" s="260"/>
      <c r="Y701" s="260"/>
      <c r="Z701" s="260"/>
      <c r="AA701" s="260"/>
      <c r="AB701" s="260"/>
      <c r="AC701" s="260"/>
      <c r="AD701" s="260"/>
      <c r="AE701" s="260"/>
      <c r="AF701" s="260"/>
      <c r="AG701" s="258"/>
      <c r="AO701"/>
      <c r="AP701"/>
      <c r="AQ701"/>
      <c r="AR701"/>
      <c r="AS701"/>
      <c r="AT701"/>
      <c r="AU701"/>
      <c r="AV701"/>
      <c r="AW701"/>
      <c r="AX701"/>
      <c r="AY701"/>
      <c r="AZ701"/>
      <c r="BA701"/>
      <c r="BB701"/>
      <c r="BC701"/>
      <c r="BD701"/>
      <c r="BE701"/>
      <c r="BF701"/>
    </row>
    <row r="702" spans="13:58" ht="12" hidden="1" customHeight="1">
      <c r="M702" s="820"/>
      <c r="N702" s="239"/>
      <c r="O702" s="226"/>
      <c r="P702" s="260"/>
      <c r="Q702" s="258"/>
      <c r="R702" s="260"/>
      <c r="S702" s="260"/>
      <c r="T702" s="260"/>
      <c r="U702" s="260"/>
      <c r="V702" s="260"/>
      <c r="W702" s="260"/>
      <c r="X702" s="260"/>
      <c r="Y702" s="260"/>
      <c r="Z702" s="260"/>
      <c r="AA702" s="260"/>
      <c r="AB702" s="260"/>
      <c r="AC702" s="260"/>
      <c r="AD702" s="260"/>
      <c r="AE702" s="260"/>
      <c r="AF702" s="260"/>
      <c r="AG702" s="258"/>
      <c r="AO702"/>
      <c r="AP702"/>
      <c r="AQ702"/>
      <c r="AR702"/>
      <c r="AS702"/>
      <c r="AT702"/>
      <c r="AU702"/>
      <c r="AV702"/>
      <c r="AW702"/>
      <c r="AX702"/>
      <c r="AY702"/>
      <c r="AZ702"/>
      <c r="BA702"/>
      <c r="BB702"/>
      <c r="BC702"/>
      <c r="BD702"/>
      <c r="BE702"/>
      <c r="BF702"/>
    </row>
    <row r="703" spans="13:58" ht="12" hidden="1" customHeight="1">
      <c r="M703" s="820"/>
      <c r="N703" s="239"/>
      <c r="O703" s="227"/>
      <c r="P703" s="260"/>
      <c r="Q703" s="258"/>
      <c r="R703" s="260"/>
      <c r="S703" s="260"/>
      <c r="T703" s="260"/>
      <c r="U703" s="260"/>
      <c r="V703" s="260"/>
      <c r="W703" s="260"/>
      <c r="X703" s="260"/>
      <c r="Y703" s="260"/>
      <c r="Z703" s="260"/>
      <c r="AA703" s="260"/>
      <c r="AB703" s="260"/>
      <c r="AC703" s="260"/>
      <c r="AD703" s="260"/>
      <c r="AE703" s="260"/>
      <c r="AF703" s="260"/>
      <c r="AG703" s="258"/>
      <c r="AO703"/>
      <c r="AP703"/>
      <c r="AQ703"/>
      <c r="AR703"/>
      <c r="AS703"/>
      <c r="AT703"/>
      <c r="AU703"/>
      <c r="AV703"/>
      <c r="AW703"/>
      <c r="AX703"/>
      <c r="AY703"/>
      <c r="AZ703"/>
      <c r="BA703"/>
      <c r="BB703"/>
      <c r="BC703"/>
      <c r="BD703"/>
      <c r="BE703"/>
      <c r="BF703"/>
    </row>
    <row r="704" spans="13:58" ht="12" hidden="1" customHeight="1">
      <c r="M704" s="820"/>
      <c r="N704" s="239"/>
      <c r="O704" s="227"/>
      <c r="P704" s="260"/>
      <c r="Q704" s="258"/>
      <c r="R704" s="260"/>
      <c r="S704" s="260"/>
      <c r="T704" s="260"/>
      <c r="U704" s="260"/>
      <c r="V704" s="260"/>
      <c r="W704" s="260"/>
      <c r="X704" s="260"/>
      <c r="Y704" s="260"/>
      <c r="Z704" s="260"/>
      <c r="AA704" s="260"/>
      <c r="AB704" s="260"/>
      <c r="AC704" s="260"/>
      <c r="AD704" s="260"/>
      <c r="AE704" s="260"/>
      <c r="AF704" s="260"/>
      <c r="AG704" s="258"/>
      <c r="AO704"/>
      <c r="AP704"/>
      <c r="AQ704"/>
      <c r="AR704"/>
      <c r="AS704"/>
      <c r="AT704"/>
      <c r="AU704"/>
      <c r="AV704"/>
      <c r="AW704"/>
      <c r="AX704"/>
      <c r="AY704"/>
      <c r="AZ704"/>
      <c r="BA704"/>
      <c r="BB704"/>
      <c r="BC704"/>
      <c r="BD704"/>
      <c r="BE704"/>
      <c r="BF704"/>
    </row>
    <row r="705" spans="13:58" ht="12" hidden="1" customHeight="1">
      <c r="M705" s="820"/>
      <c r="N705" s="239"/>
      <c r="O705" s="226"/>
      <c r="P705" s="260"/>
      <c r="Q705" s="258"/>
      <c r="R705" s="260"/>
      <c r="S705" s="260"/>
      <c r="T705" s="260"/>
      <c r="U705" s="260"/>
      <c r="V705" s="260"/>
      <c r="W705" s="260"/>
      <c r="X705" s="260"/>
      <c r="Y705" s="260"/>
      <c r="Z705" s="260"/>
      <c r="AA705" s="260"/>
      <c r="AB705" s="260"/>
      <c r="AC705" s="260"/>
      <c r="AD705" s="260"/>
      <c r="AE705" s="260"/>
      <c r="AF705" s="260"/>
      <c r="AG705" s="258"/>
      <c r="AO705"/>
      <c r="AP705"/>
      <c r="AQ705"/>
      <c r="AR705"/>
      <c r="AS705"/>
      <c r="AT705"/>
      <c r="AU705"/>
      <c r="AV705"/>
      <c r="AW705"/>
      <c r="AX705"/>
      <c r="AY705"/>
      <c r="AZ705"/>
      <c r="BA705"/>
      <c r="BB705"/>
      <c r="BC705"/>
      <c r="BD705"/>
      <c r="BE705"/>
      <c r="BF705"/>
    </row>
    <row r="706" spans="13:58" ht="12" hidden="1" customHeight="1">
      <c r="M706" s="820"/>
      <c r="N706" s="239"/>
      <c r="O706" s="227"/>
      <c r="P706" s="260"/>
      <c r="Q706" s="258"/>
      <c r="R706" s="260"/>
      <c r="S706" s="260"/>
      <c r="T706" s="260"/>
      <c r="U706" s="260"/>
      <c r="V706" s="260"/>
      <c r="W706" s="260"/>
      <c r="X706" s="260"/>
      <c r="Y706" s="260"/>
      <c r="Z706" s="260"/>
      <c r="AA706" s="260"/>
      <c r="AB706" s="260"/>
      <c r="AC706" s="260"/>
      <c r="AD706" s="260"/>
      <c r="AE706" s="260"/>
      <c r="AF706" s="260"/>
      <c r="AG706" s="258"/>
      <c r="AO706"/>
      <c r="AP706"/>
      <c r="AQ706"/>
      <c r="AR706"/>
      <c r="AS706"/>
      <c r="AT706"/>
      <c r="AU706"/>
      <c r="AV706"/>
      <c r="AW706"/>
      <c r="AX706"/>
      <c r="AY706"/>
      <c r="AZ706"/>
      <c r="BA706"/>
      <c r="BB706"/>
      <c r="BC706"/>
      <c r="BD706"/>
      <c r="BE706"/>
      <c r="BF706"/>
    </row>
    <row r="707" spans="13:58" ht="12" hidden="1" customHeight="1">
      <c r="M707" s="820"/>
      <c r="N707" s="239"/>
      <c r="O707" s="227"/>
      <c r="P707" s="260"/>
      <c r="Q707" s="258"/>
      <c r="R707" s="260"/>
      <c r="S707" s="260"/>
      <c r="T707" s="260"/>
      <c r="U707" s="260"/>
      <c r="V707" s="260"/>
      <c r="W707" s="260"/>
      <c r="X707" s="260"/>
      <c r="Y707" s="260"/>
      <c r="Z707" s="260"/>
      <c r="AA707" s="260"/>
      <c r="AB707" s="260"/>
      <c r="AC707" s="260"/>
      <c r="AD707" s="260"/>
      <c r="AE707" s="260"/>
      <c r="AF707" s="260"/>
      <c r="AG707" s="258"/>
      <c r="AO707"/>
      <c r="AP707"/>
      <c r="AQ707"/>
      <c r="AR707"/>
      <c r="AS707"/>
      <c r="AT707"/>
      <c r="AU707"/>
      <c r="AV707"/>
      <c r="AW707"/>
      <c r="AX707"/>
      <c r="AY707"/>
      <c r="AZ707"/>
      <c r="BA707"/>
      <c r="BB707"/>
      <c r="BC707"/>
      <c r="BD707"/>
      <c r="BE707"/>
      <c r="BF707"/>
    </row>
    <row r="708" spans="13:58" ht="12" hidden="1" customHeight="1">
      <c r="M708" s="820"/>
      <c r="N708" s="239"/>
      <c r="O708" s="226"/>
      <c r="P708" s="260"/>
      <c r="Q708" s="258"/>
      <c r="R708" s="260"/>
      <c r="S708" s="260"/>
      <c r="T708" s="260"/>
      <c r="U708" s="260"/>
      <c r="V708" s="260"/>
      <c r="W708" s="260"/>
      <c r="X708" s="260"/>
      <c r="Y708" s="260"/>
      <c r="Z708" s="260"/>
      <c r="AA708" s="260"/>
      <c r="AB708" s="260"/>
      <c r="AC708" s="260"/>
      <c r="AD708" s="260"/>
      <c r="AE708" s="260"/>
      <c r="AF708" s="260"/>
      <c r="AG708" s="258"/>
      <c r="AO708"/>
      <c r="AP708"/>
      <c r="AQ708"/>
      <c r="AR708"/>
      <c r="AS708"/>
      <c r="AT708"/>
      <c r="AU708"/>
      <c r="AV708"/>
      <c r="AW708"/>
      <c r="AX708"/>
      <c r="AY708"/>
      <c r="AZ708"/>
      <c r="BA708"/>
      <c r="BB708"/>
      <c r="BC708"/>
      <c r="BD708"/>
      <c r="BE708"/>
      <c r="BF708"/>
    </row>
    <row r="709" spans="13:58" ht="12" hidden="1" customHeight="1">
      <c r="M709" s="820"/>
      <c r="N709" s="239"/>
      <c r="O709" s="225"/>
      <c r="P709" s="260"/>
      <c r="Q709" s="258"/>
      <c r="R709" s="260"/>
      <c r="S709" s="260"/>
      <c r="T709" s="260"/>
      <c r="U709" s="260"/>
      <c r="V709" s="260"/>
      <c r="W709" s="260"/>
      <c r="X709" s="260"/>
      <c r="Y709" s="260"/>
      <c r="Z709" s="260"/>
      <c r="AA709" s="260"/>
      <c r="AB709" s="260"/>
      <c r="AC709" s="260"/>
      <c r="AD709" s="260"/>
      <c r="AE709" s="260"/>
      <c r="AF709" s="260"/>
      <c r="AG709" s="258"/>
      <c r="AO709"/>
      <c r="AP709"/>
      <c r="AQ709"/>
      <c r="AR709"/>
      <c r="AS709"/>
      <c r="AT709"/>
      <c r="AU709"/>
      <c r="AV709"/>
      <c r="AW709"/>
      <c r="AX709"/>
      <c r="AY709"/>
      <c r="AZ709"/>
      <c r="BA709"/>
      <c r="BB709"/>
      <c r="BC709"/>
      <c r="BD709"/>
      <c r="BE709"/>
      <c r="BF709"/>
    </row>
    <row r="710" spans="13:58" ht="12" hidden="1" customHeight="1">
      <c r="M710" s="820"/>
      <c r="N710" s="239"/>
      <c r="O710" s="225"/>
      <c r="P710" s="260"/>
      <c r="Q710" s="258"/>
      <c r="R710" s="260"/>
      <c r="S710" s="260"/>
      <c r="T710" s="260"/>
      <c r="U710" s="260"/>
      <c r="V710" s="260"/>
      <c r="W710" s="260"/>
      <c r="X710" s="260"/>
      <c r="Y710" s="260"/>
      <c r="Z710" s="260"/>
      <c r="AA710" s="260"/>
      <c r="AB710" s="260"/>
      <c r="AC710" s="260"/>
      <c r="AD710" s="260"/>
      <c r="AE710" s="260"/>
      <c r="AF710" s="260"/>
      <c r="AG710" s="258"/>
      <c r="AO710"/>
      <c r="AP710"/>
      <c r="AQ710"/>
      <c r="AR710"/>
      <c r="AS710"/>
      <c r="AT710"/>
      <c r="AU710"/>
      <c r="AV710"/>
      <c r="AW710"/>
      <c r="AX710"/>
      <c r="AY710"/>
      <c r="AZ710"/>
      <c r="BA710"/>
      <c r="BB710"/>
      <c r="BC710"/>
      <c r="BD710"/>
      <c r="BE710"/>
      <c r="BF710"/>
    </row>
    <row r="711" spans="13:58" ht="12" hidden="1" customHeight="1">
      <c r="M711" s="820"/>
      <c r="N711" s="239"/>
      <c r="O711" s="225"/>
      <c r="P711" s="260"/>
      <c r="Q711" s="258"/>
      <c r="R711" s="260"/>
      <c r="S711" s="260"/>
      <c r="T711" s="260"/>
      <c r="U711" s="260"/>
      <c r="V711" s="260"/>
      <c r="W711" s="260"/>
      <c r="X711" s="260"/>
      <c r="Y711" s="260"/>
      <c r="Z711" s="260"/>
      <c r="AA711" s="260"/>
      <c r="AB711" s="260"/>
      <c r="AC711" s="260"/>
      <c r="AD711" s="260"/>
      <c r="AE711" s="260"/>
      <c r="AF711" s="260"/>
      <c r="AG711" s="258"/>
      <c r="AO711"/>
      <c r="AP711"/>
      <c r="AQ711"/>
      <c r="AR711"/>
      <c r="AS711"/>
      <c r="AT711"/>
      <c r="AU711"/>
      <c r="AV711"/>
      <c r="AW711"/>
      <c r="AX711"/>
      <c r="AY711"/>
      <c r="AZ711"/>
      <c r="BA711"/>
      <c r="BB711"/>
      <c r="BC711"/>
      <c r="BD711"/>
      <c r="BE711"/>
      <c r="BF711"/>
    </row>
    <row r="712" spans="13:58" ht="12" hidden="1" customHeight="1">
      <c r="M712" s="820"/>
      <c r="N712" s="239"/>
      <c r="O712" s="225"/>
      <c r="P712" s="260"/>
      <c r="Q712" s="258"/>
      <c r="R712" s="260"/>
      <c r="S712" s="260"/>
      <c r="T712" s="260"/>
      <c r="U712" s="260"/>
      <c r="V712" s="260"/>
      <c r="W712" s="260"/>
      <c r="X712" s="260"/>
      <c r="Y712" s="260"/>
      <c r="Z712" s="260"/>
      <c r="AA712" s="260"/>
      <c r="AB712" s="260"/>
      <c r="AC712" s="260"/>
      <c r="AD712" s="260"/>
      <c r="AE712" s="260"/>
      <c r="AF712" s="260"/>
      <c r="AG712" s="258"/>
      <c r="AO712"/>
      <c r="AP712"/>
      <c r="AQ712"/>
      <c r="AR712"/>
      <c r="AS712"/>
      <c r="AT712"/>
      <c r="AU712"/>
      <c r="AV712"/>
      <c r="AW712"/>
      <c r="AX712"/>
      <c r="AY712"/>
      <c r="AZ712"/>
      <c r="BA712"/>
      <c r="BB712"/>
      <c r="BC712"/>
      <c r="BD712"/>
      <c r="BE712"/>
      <c r="BF712"/>
    </row>
    <row r="713" spans="13:58" ht="12" hidden="1" customHeight="1">
      <c r="M713" s="820"/>
      <c r="N713" s="239"/>
      <c r="O713" s="225"/>
      <c r="P713" s="260"/>
      <c r="Q713" s="258"/>
      <c r="R713" s="260"/>
      <c r="S713" s="260"/>
      <c r="T713" s="260"/>
      <c r="U713" s="260"/>
      <c r="V713" s="260"/>
      <c r="W713" s="260"/>
      <c r="X713" s="260"/>
      <c r="Y713" s="260"/>
      <c r="Z713" s="260"/>
      <c r="AA713" s="260"/>
      <c r="AB713" s="260"/>
      <c r="AC713" s="260"/>
      <c r="AD713" s="260"/>
      <c r="AE713" s="260"/>
      <c r="AF713" s="260"/>
      <c r="AG713" s="258"/>
      <c r="AO713"/>
      <c r="AP713"/>
      <c r="AQ713"/>
      <c r="AR713"/>
      <c r="AS713"/>
      <c r="AT713"/>
      <c r="AU713"/>
      <c r="AV713"/>
      <c r="AW713"/>
      <c r="AX713"/>
      <c r="AY713"/>
      <c r="AZ713"/>
      <c r="BA713"/>
      <c r="BB713"/>
      <c r="BC713"/>
      <c r="BD713"/>
      <c r="BE713"/>
      <c r="BF713"/>
    </row>
    <row r="714" spans="13:58" ht="12" hidden="1" customHeight="1">
      <c r="M714" s="820"/>
      <c r="N714" s="239"/>
      <c r="O714" s="225"/>
      <c r="P714" s="260"/>
      <c r="Q714" s="258"/>
      <c r="R714" s="260"/>
      <c r="S714" s="260"/>
      <c r="T714" s="260"/>
      <c r="U714" s="260"/>
      <c r="V714" s="260"/>
      <c r="W714" s="260"/>
      <c r="X714" s="260"/>
      <c r="Y714" s="260"/>
      <c r="Z714" s="260"/>
      <c r="AA714" s="260"/>
      <c r="AB714" s="260"/>
      <c r="AC714" s="260"/>
      <c r="AD714" s="260"/>
      <c r="AE714" s="260"/>
      <c r="AF714" s="260"/>
      <c r="AG714" s="258"/>
      <c r="AO714"/>
      <c r="AP714"/>
      <c r="AQ714"/>
      <c r="AR714"/>
      <c r="AS714"/>
      <c r="AT714"/>
      <c r="AU714"/>
      <c r="AV714"/>
      <c r="AW714"/>
      <c r="AX714"/>
      <c r="AY714"/>
      <c r="AZ714"/>
      <c r="BA714"/>
      <c r="BB714"/>
      <c r="BC714"/>
      <c r="BD714"/>
      <c r="BE714"/>
      <c r="BF714"/>
    </row>
    <row r="715" spans="13:58" ht="12" hidden="1" customHeight="1">
      <c r="M715" s="820"/>
      <c r="N715" s="239"/>
      <c r="O715" s="225"/>
      <c r="P715" s="260"/>
      <c r="Q715" s="258"/>
      <c r="R715" s="260"/>
      <c r="S715" s="260"/>
      <c r="T715" s="260"/>
      <c r="U715" s="260"/>
      <c r="V715" s="260"/>
      <c r="W715" s="260"/>
      <c r="X715" s="260"/>
      <c r="Y715" s="260"/>
      <c r="Z715" s="260"/>
      <c r="AA715" s="260"/>
      <c r="AB715" s="260"/>
      <c r="AC715" s="260"/>
      <c r="AD715" s="260"/>
      <c r="AE715" s="260"/>
      <c r="AF715" s="260"/>
      <c r="AG715" s="258"/>
      <c r="AO715"/>
      <c r="AP715"/>
      <c r="AQ715"/>
      <c r="AR715"/>
      <c r="AS715"/>
      <c r="AT715"/>
      <c r="AU715"/>
      <c r="AV715"/>
      <c r="AW715"/>
      <c r="AX715"/>
      <c r="AY715"/>
      <c r="AZ715"/>
      <c r="BA715"/>
      <c r="BB715"/>
      <c r="BC715"/>
      <c r="BD715"/>
      <c r="BE715"/>
      <c r="BF715"/>
    </row>
    <row r="716" spans="13:58" ht="12" hidden="1" customHeight="1">
      <c r="M716" s="820"/>
      <c r="N716" s="239"/>
      <c r="O716" s="225"/>
      <c r="P716" s="260"/>
      <c r="Q716" s="258"/>
      <c r="R716" s="260"/>
      <c r="S716" s="260"/>
      <c r="T716" s="260"/>
      <c r="U716" s="260"/>
      <c r="V716" s="260"/>
      <c r="W716" s="260"/>
      <c r="X716" s="260"/>
      <c r="Y716" s="260"/>
      <c r="Z716" s="260"/>
      <c r="AA716" s="260"/>
      <c r="AB716" s="260"/>
      <c r="AC716" s="260"/>
      <c r="AD716" s="260"/>
      <c r="AE716" s="260"/>
      <c r="AF716" s="260"/>
      <c r="AG716" s="258"/>
      <c r="AO716"/>
      <c r="AP716"/>
      <c r="AQ716"/>
      <c r="AR716"/>
      <c r="AS716"/>
      <c r="AT716"/>
      <c r="AU716"/>
      <c r="AV716"/>
      <c r="AW716"/>
      <c r="AX716"/>
      <c r="AY716"/>
      <c r="AZ716"/>
      <c r="BA716"/>
      <c r="BB716"/>
      <c r="BC716"/>
      <c r="BD716"/>
      <c r="BE716"/>
      <c r="BF716"/>
    </row>
    <row r="717" spans="13:58" ht="12" hidden="1" customHeight="1">
      <c r="M717" s="820"/>
      <c r="N717" s="239"/>
      <c r="O717" s="225"/>
      <c r="P717" s="260"/>
      <c r="Q717" s="258"/>
      <c r="R717" s="260"/>
      <c r="S717" s="260"/>
      <c r="T717" s="260"/>
      <c r="U717" s="260"/>
      <c r="V717" s="260"/>
      <c r="W717" s="260"/>
      <c r="X717" s="260"/>
      <c r="Y717" s="260"/>
      <c r="Z717" s="260"/>
      <c r="AA717" s="260"/>
      <c r="AB717" s="260"/>
      <c r="AC717" s="260"/>
      <c r="AD717" s="260"/>
      <c r="AE717" s="260"/>
      <c r="AF717" s="260"/>
      <c r="AG717" s="258"/>
      <c r="AO717"/>
      <c r="AP717"/>
      <c r="AQ717"/>
      <c r="AR717"/>
      <c r="AS717"/>
      <c r="AT717"/>
      <c r="AU717"/>
      <c r="AV717"/>
      <c r="AW717"/>
      <c r="AX717"/>
      <c r="AY717"/>
      <c r="AZ717"/>
      <c r="BA717"/>
      <c r="BB717"/>
      <c r="BC717"/>
      <c r="BD717"/>
      <c r="BE717"/>
      <c r="BF717"/>
    </row>
    <row r="718" spans="13:58" ht="12" hidden="1" customHeight="1">
      <c r="M718" s="820"/>
      <c r="N718" s="239"/>
      <c r="O718" s="225"/>
      <c r="P718" s="260"/>
      <c r="Q718" s="258"/>
      <c r="R718" s="260"/>
      <c r="S718" s="260"/>
      <c r="T718" s="260"/>
      <c r="U718" s="260"/>
      <c r="V718" s="260"/>
      <c r="W718" s="260"/>
      <c r="X718" s="260"/>
      <c r="Y718" s="260"/>
      <c r="Z718" s="260"/>
      <c r="AA718" s="260"/>
      <c r="AB718" s="260"/>
      <c r="AC718" s="260"/>
      <c r="AD718" s="260"/>
      <c r="AE718" s="260"/>
      <c r="AF718" s="260"/>
      <c r="AG718" s="258"/>
      <c r="AO718"/>
      <c r="AP718"/>
      <c r="AQ718"/>
      <c r="AR718"/>
      <c r="AS718"/>
      <c r="AT718"/>
      <c r="AU718"/>
      <c r="AV718"/>
      <c r="AW718"/>
      <c r="AX718"/>
      <c r="AY718"/>
      <c r="AZ718"/>
      <c r="BA718"/>
      <c r="BB718"/>
      <c r="BC718"/>
      <c r="BD718"/>
      <c r="BE718"/>
      <c r="BF718"/>
    </row>
    <row r="719" spans="13:58" ht="12" hidden="1" customHeight="1">
      <c r="M719" s="820"/>
      <c r="N719" s="239"/>
      <c r="O719" s="225"/>
      <c r="P719" s="260"/>
      <c r="Q719" s="258"/>
      <c r="R719" s="260"/>
      <c r="S719" s="260"/>
      <c r="T719" s="260"/>
      <c r="U719" s="260"/>
      <c r="V719" s="260"/>
      <c r="W719" s="260"/>
      <c r="X719" s="260"/>
      <c r="Y719" s="260"/>
      <c r="Z719" s="260"/>
      <c r="AA719" s="260"/>
      <c r="AB719" s="260"/>
      <c r="AC719" s="260"/>
      <c r="AD719" s="260"/>
      <c r="AE719" s="260"/>
      <c r="AF719" s="260"/>
      <c r="AG719" s="258"/>
      <c r="AO719"/>
      <c r="AP719"/>
      <c r="AQ719"/>
      <c r="AR719"/>
      <c r="AS719"/>
      <c r="AT719"/>
      <c r="AU719"/>
      <c r="AV719"/>
      <c r="AW719"/>
      <c r="AX719"/>
      <c r="AY719"/>
      <c r="AZ719"/>
      <c r="BA719"/>
      <c r="BB719"/>
      <c r="BC719"/>
      <c r="BD719"/>
      <c r="BE719"/>
      <c r="BF719"/>
    </row>
    <row r="720" spans="13:58" ht="12" hidden="1" customHeight="1">
      <c r="M720" s="820"/>
      <c r="N720" s="239"/>
      <c r="O720" s="225"/>
      <c r="P720" s="260"/>
      <c r="Q720" s="258"/>
      <c r="R720" s="260"/>
      <c r="S720" s="260"/>
      <c r="T720" s="260"/>
      <c r="U720" s="260"/>
      <c r="V720" s="260"/>
      <c r="W720" s="260"/>
      <c r="X720" s="260"/>
      <c r="Y720" s="260"/>
      <c r="Z720" s="260"/>
      <c r="AA720" s="260"/>
      <c r="AB720" s="260"/>
      <c r="AC720" s="260"/>
      <c r="AD720" s="260"/>
      <c r="AE720" s="260"/>
      <c r="AF720" s="260"/>
      <c r="AG720" s="258"/>
      <c r="AO720"/>
      <c r="AP720"/>
      <c r="AQ720"/>
      <c r="AR720"/>
      <c r="AS720"/>
      <c r="AT720"/>
      <c r="AU720"/>
      <c r="AV720"/>
      <c r="AW720"/>
      <c r="AX720"/>
      <c r="AY720"/>
      <c r="AZ720"/>
      <c r="BA720"/>
      <c r="BB720"/>
      <c r="BC720"/>
      <c r="BD720"/>
      <c r="BE720"/>
      <c r="BF720"/>
    </row>
    <row r="721" spans="13:58" ht="12" hidden="1" customHeight="1">
      <c r="M721" s="820"/>
      <c r="N721" s="239"/>
      <c r="O721" s="225"/>
      <c r="P721" s="260"/>
      <c r="Q721" s="258"/>
      <c r="R721" s="260"/>
      <c r="S721" s="260"/>
      <c r="T721" s="260"/>
      <c r="U721" s="260"/>
      <c r="V721" s="260"/>
      <c r="W721" s="260"/>
      <c r="X721" s="260"/>
      <c r="Y721" s="260"/>
      <c r="Z721" s="260"/>
      <c r="AA721" s="260"/>
      <c r="AB721" s="260"/>
      <c r="AC721" s="260"/>
      <c r="AD721" s="260"/>
      <c r="AE721" s="260"/>
      <c r="AF721" s="260"/>
      <c r="AG721" s="258"/>
      <c r="AO721"/>
      <c r="AP721"/>
      <c r="AQ721"/>
      <c r="AR721"/>
      <c r="AS721"/>
      <c r="AT721"/>
      <c r="AU721"/>
      <c r="AV721"/>
      <c r="AW721"/>
      <c r="AX721"/>
      <c r="AY721"/>
      <c r="AZ721"/>
      <c r="BA721"/>
      <c r="BB721"/>
      <c r="BC721"/>
      <c r="BD721"/>
      <c r="BE721"/>
      <c r="BF721"/>
    </row>
    <row r="722" spans="13:58" ht="12" hidden="1" customHeight="1">
      <c r="M722" s="820"/>
      <c r="N722" s="239"/>
      <c r="O722" s="225"/>
      <c r="P722" s="260"/>
      <c r="Q722" s="258"/>
      <c r="R722" s="260"/>
      <c r="S722" s="260"/>
      <c r="T722" s="260"/>
      <c r="U722" s="260"/>
      <c r="V722" s="260"/>
      <c r="W722" s="260"/>
      <c r="X722" s="260"/>
      <c r="Y722" s="260"/>
      <c r="Z722" s="260"/>
      <c r="AA722" s="260"/>
      <c r="AB722" s="260"/>
      <c r="AC722" s="260"/>
      <c r="AD722" s="260"/>
      <c r="AE722" s="260"/>
      <c r="AF722" s="260"/>
      <c r="AG722" s="258"/>
      <c r="AO722"/>
      <c r="AP722"/>
      <c r="AQ722"/>
      <c r="AR722"/>
      <c r="AS722"/>
      <c r="AT722"/>
      <c r="AU722"/>
      <c r="AV722"/>
      <c r="AW722"/>
      <c r="AX722"/>
      <c r="AY722"/>
      <c r="AZ722"/>
      <c r="BA722"/>
      <c r="BB722"/>
      <c r="BC722"/>
      <c r="BD722"/>
      <c r="BE722"/>
      <c r="BF722"/>
    </row>
    <row r="723" spans="13:58" ht="12" hidden="1" customHeight="1">
      <c r="M723" s="820"/>
      <c r="N723" s="239"/>
      <c r="O723" s="225"/>
      <c r="P723" s="260"/>
      <c r="Q723" s="258"/>
      <c r="R723" s="260"/>
      <c r="S723" s="260"/>
      <c r="T723" s="260"/>
      <c r="U723" s="260"/>
      <c r="V723" s="260"/>
      <c r="W723" s="260"/>
      <c r="X723" s="260"/>
      <c r="Y723" s="260"/>
      <c r="Z723" s="260"/>
      <c r="AA723" s="260"/>
      <c r="AB723" s="260"/>
      <c r="AC723" s="260"/>
      <c r="AD723" s="260"/>
      <c r="AE723" s="260"/>
      <c r="AF723" s="260"/>
      <c r="AG723" s="258"/>
      <c r="AO723"/>
      <c r="AP723"/>
      <c r="AQ723"/>
      <c r="AR723"/>
      <c r="AS723"/>
      <c r="AT723"/>
      <c r="AU723"/>
      <c r="AV723"/>
      <c r="AW723"/>
      <c r="AX723"/>
      <c r="AY723"/>
      <c r="AZ723"/>
      <c r="BA723"/>
      <c r="BB723"/>
      <c r="BC723"/>
      <c r="BD723"/>
      <c r="BE723"/>
      <c r="BF723"/>
    </row>
    <row r="724" spans="13:58" ht="12" hidden="1" customHeight="1">
      <c r="M724" s="820"/>
      <c r="N724" s="239"/>
      <c r="O724" s="225"/>
      <c r="P724" s="260"/>
      <c r="Q724" s="258"/>
      <c r="R724" s="260"/>
      <c r="S724" s="260"/>
      <c r="T724" s="260"/>
      <c r="U724" s="260"/>
      <c r="V724" s="260"/>
      <c r="W724" s="260"/>
      <c r="X724" s="260"/>
      <c r="Y724" s="260"/>
      <c r="Z724" s="260"/>
      <c r="AA724" s="260"/>
      <c r="AB724" s="260"/>
      <c r="AC724" s="260"/>
      <c r="AD724" s="260"/>
      <c r="AE724" s="260"/>
      <c r="AF724" s="260"/>
      <c r="AG724" s="258"/>
      <c r="AO724"/>
      <c r="AP724"/>
      <c r="AQ724"/>
      <c r="AR724"/>
      <c r="AS724"/>
      <c r="AT724"/>
      <c r="AU724"/>
      <c r="AV724"/>
      <c r="AW724"/>
      <c r="AX724"/>
      <c r="AY724"/>
      <c r="AZ724"/>
      <c r="BA724"/>
      <c r="BB724"/>
      <c r="BC724"/>
      <c r="BD724"/>
      <c r="BE724"/>
      <c r="BF724"/>
    </row>
    <row r="725" spans="13:58" ht="12" hidden="1" customHeight="1">
      <c r="M725" s="820"/>
      <c r="N725" s="239"/>
      <c r="O725" s="225"/>
      <c r="P725" s="260"/>
      <c r="Q725" s="258"/>
      <c r="R725" s="260"/>
      <c r="S725" s="260"/>
      <c r="T725" s="260"/>
      <c r="U725" s="260"/>
      <c r="V725" s="260"/>
      <c r="W725" s="260"/>
      <c r="X725" s="260"/>
      <c r="Y725" s="260"/>
      <c r="Z725" s="260"/>
      <c r="AA725" s="260"/>
      <c r="AB725" s="260"/>
      <c r="AC725" s="260"/>
      <c r="AD725" s="260"/>
      <c r="AE725" s="260"/>
      <c r="AF725" s="260"/>
      <c r="AG725" s="258"/>
      <c r="AO725"/>
      <c r="AP725"/>
      <c r="AQ725"/>
      <c r="AR725"/>
      <c r="AS725"/>
      <c r="AT725"/>
      <c r="AU725"/>
      <c r="AV725"/>
      <c r="AW725"/>
      <c r="AX725"/>
      <c r="AY725"/>
      <c r="AZ725"/>
      <c r="BA725"/>
      <c r="BB725"/>
      <c r="BC725"/>
      <c r="BD725"/>
      <c r="BE725"/>
      <c r="BF725"/>
    </row>
    <row r="726" spans="13:58" ht="12" customHeight="1">
      <c r="M726" s="820"/>
      <c r="N726" s="239"/>
      <c r="O726" s="225"/>
      <c r="P726" s="260"/>
      <c r="Q726" s="258"/>
      <c r="R726" s="260"/>
      <c r="S726" s="260"/>
      <c r="T726" s="260"/>
      <c r="U726" s="260"/>
      <c r="V726" s="260"/>
      <c r="W726" s="260"/>
      <c r="X726" s="260"/>
      <c r="Y726" s="260"/>
      <c r="Z726" s="260"/>
      <c r="AA726" s="260"/>
      <c r="AB726" s="260"/>
      <c r="AC726" s="260"/>
      <c r="AD726" s="260"/>
      <c r="AE726" s="260"/>
      <c r="AF726" s="260"/>
      <c r="AG726" s="258"/>
      <c r="AO726"/>
      <c r="AP726"/>
      <c r="AQ726"/>
      <c r="AR726"/>
      <c r="AS726"/>
      <c r="AT726"/>
      <c r="AU726"/>
      <c r="AV726"/>
      <c r="AW726"/>
      <c r="AX726"/>
      <c r="AY726"/>
      <c r="AZ726"/>
      <c r="BA726"/>
      <c r="BB726"/>
      <c r="BC726"/>
      <c r="BD726"/>
      <c r="BE726"/>
      <c r="BF726"/>
    </row>
    <row r="727" spans="13:58" ht="12" customHeight="1">
      <c r="N727" s="234" t="s">
        <v>769</v>
      </c>
      <c r="O727" s="235" t="s">
        <v>2991</v>
      </c>
      <c r="P727" s="257"/>
      <c r="Q727" s="258"/>
      <c r="R727" s="260"/>
      <c r="S727" s="260"/>
      <c r="T727" s="257">
        <f>SUM(T728,T774)</f>
        <v>0</v>
      </c>
      <c r="U727" s="260"/>
      <c r="V727" s="260"/>
      <c r="W727" s="257">
        <f>SUM(W728,W774)</f>
        <v>0</v>
      </c>
      <c r="X727" s="260"/>
      <c r="Y727" s="260"/>
      <c r="Z727" s="257">
        <f>SUM(Z728,Z774)</f>
        <v>0</v>
      </c>
      <c r="AA727" s="260"/>
      <c r="AB727" s="260"/>
      <c r="AC727" s="257">
        <f>SUM(AC728,AC774)</f>
        <v>0</v>
      </c>
      <c r="AD727" s="260"/>
      <c r="AE727" s="260"/>
      <c r="AF727" s="257">
        <f>SUM(AF728,AF774)</f>
        <v>0</v>
      </c>
      <c r="AG727" s="258"/>
      <c r="AO727"/>
      <c r="AP727"/>
      <c r="AQ727"/>
      <c r="AR727"/>
      <c r="AS727"/>
      <c r="AT727"/>
      <c r="AU727"/>
      <c r="AV727"/>
      <c r="AW727"/>
      <c r="AX727"/>
      <c r="AY727"/>
      <c r="AZ727"/>
      <c r="BA727"/>
      <c r="BB727"/>
      <c r="BC727"/>
      <c r="BD727"/>
      <c r="BE727"/>
      <c r="BF727"/>
    </row>
    <row r="728" spans="13:58" ht="12" customHeight="1">
      <c r="N728" s="234" t="s">
        <v>770</v>
      </c>
      <c r="O728" s="442" t="s">
        <v>2992</v>
      </c>
      <c r="P728" s="257"/>
      <c r="Q728" s="258"/>
      <c r="R728" s="260"/>
      <c r="S728" s="260"/>
      <c r="T728" s="257">
        <f>SUM(T729,T746,T747)</f>
        <v>0</v>
      </c>
      <c r="U728" s="260"/>
      <c r="V728" s="260"/>
      <c r="W728" s="257">
        <f>SUM(W729,W746,W747)</f>
        <v>0</v>
      </c>
      <c r="X728" s="260"/>
      <c r="Y728" s="260"/>
      <c r="Z728" s="257">
        <f>SUM(Z729,Z746,Z747)</f>
        <v>0</v>
      </c>
      <c r="AA728" s="260"/>
      <c r="AB728" s="260"/>
      <c r="AC728" s="257">
        <f>SUM(AC729,AC746,AC747)</f>
        <v>0</v>
      </c>
      <c r="AD728" s="260"/>
      <c r="AE728" s="260"/>
      <c r="AF728" s="257">
        <f>SUM(AF729,AF746,AF747)</f>
        <v>0</v>
      </c>
      <c r="AG728" s="258"/>
      <c r="AO728"/>
      <c r="AP728"/>
      <c r="AQ728"/>
      <c r="AR728"/>
      <c r="AS728"/>
      <c r="AT728"/>
      <c r="AU728"/>
      <c r="AV728"/>
      <c r="AW728"/>
      <c r="AX728"/>
      <c r="AY728"/>
      <c r="AZ728"/>
      <c r="BA728"/>
      <c r="BB728"/>
      <c r="BC728"/>
      <c r="BD728"/>
      <c r="BE728"/>
      <c r="BF728"/>
    </row>
    <row r="729" spans="13:58" ht="12" customHeight="1">
      <c r="N729" s="236" t="s">
        <v>2993</v>
      </c>
      <c r="O729" s="225" t="s">
        <v>2994</v>
      </c>
      <c r="P729" s="257"/>
      <c r="Q729" s="258"/>
      <c r="R729" s="260"/>
      <c r="S729" s="260"/>
      <c r="T729" s="257">
        <f>SUM(T730,T734,T738,T742)</f>
        <v>0</v>
      </c>
      <c r="U729" s="260"/>
      <c r="V729" s="260"/>
      <c r="W729" s="257">
        <f>SUM(W730,W734,W738,W742)</f>
        <v>0</v>
      </c>
      <c r="X729" s="260"/>
      <c r="Y729" s="260"/>
      <c r="Z729" s="257">
        <f>SUM(Z730,Z734,Z738,Z742)</f>
        <v>0</v>
      </c>
      <c r="AA729" s="260"/>
      <c r="AB729" s="260"/>
      <c r="AC729" s="257">
        <f>SUM(AC730,AC734,AC738,AC742)</f>
        <v>0</v>
      </c>
      <c r="AD729" s="260"/>
      <c r="AE729" s="260"/>
      <c r="AF729" s="257">
        <f>SUM(AF730,AF734,AF738,AF742)</f>
        <v>0</v>
      </c>
      <c r="AG729" s="258"/>
      <c r="AI729" s="595" t="s">
        <v>2395</v>
      </c>
      <c r="AL729" s="595" t="s">
        <v>2396</v>
      </c>
      <c r="AO729"/>
      <c r="AP729"/>
      <c r="AQ729"/>
      <c r="AR729"/>
      <c r="AS729"/>
      <c r="AT729"/>
      <c r="AU729"/>
      <c r="AV729"/>
      <c r="AW729"/>
      <c r="AX729"/>
      <c r="AY729"/>
      <c r="AZ729"/>
      <c r="BA729"/>
      <c r="BB729"/>
      <c r="BC729"/>
      <c r="BD729"/>
      <c r="BE729"/>
      <c r="BF729"/>
    </row>
    <row r="730" spans="13:58" ht="12" customHeight="1">
      <c r="N730" s="236" t="s">
        <v>2995</v>
      </c>
      <c r="O730" s="482" t="s">
        <v>2791</v>
      </c>
      <c r="P730" s="257"/>
      <c r="Q730" s="258"/>
      <c r="R730" s="260"/>
      <c r="S730" s="260"/>
      <c r="T730" s="261"/>
      <c r="U730" s="260"/>
      <c r="V730" s="260"/>
      <c r="W730" s="261"/>
      <c r="X730" s="260"/>
      <c r="Y730" s="260"/>
      <c r="Z730" s="261"/>
      <c r="AA730" s="260"/>
      <c r="AB730" s="260"/>
      <c r="AC730" s="261"/>
      <c r="AD730" s="260"/>
      <c r="AE730" s="260"/>
      <c r="AF730" s="261"/>
      <c r="AG730" s="258"/>
      <c r="AI730" s="257">
        <f>SUM(AI731:AI733)</f>
        <v>0</v>
      </c>
      <c r="AL730" s="261"/>
      <c r="AO730"/>
      <c r="AP730"/>
      <c r="AQ730"/>
      <c r="AR730"/>
      <c r="AS730"/>
      <c r="AT730"/>
      <c r="AU730"/>
      <c r="AV730"/>
      <c r="AW730"/>
      <c r="AX730"/>
      <c r="AY730"/>
      <c r="AZ730"/>
      <c r="BA730"/>
      <c r="BB730"/>
      <c r="BC730"/>
      <c r="BD730"/>
      <c r="BE730"/>
      <c r="BF730"/>
    </row>
    <row r="731" spans="13:58" ht="12" customHeight="1">
      <c r="N731" s="594" t="str">
        <f>IF(TEMPLATE_CLAIM="P","5.1.1.1.1","")</f>
        <v/>
      </c>
      <c r="O731" s="593" t="str">
        <f>IF(TEMPLATE_CLAIM="P","от станций с мощностью производства &gt;= 25 МВт","")</f>
        <v/>
      </c>
      <c r="P731" s="257"/>
      <c r="Q731" s="258"/>
      <c r="R731" s="260"/>
      <c r="S731" s="260"/>
      <c r="T731" s="260"/>
      <c r="U731" s="260"/>
      <c r="V731" s="260"/>
      <c r="W731" s="260"/>
      <c r="X731" s="260"/>
      <c r="Y731" s="260"/>
      <c r="Z731" s="260"/>
      <c r="AA731" s="260"/>
      <c r="AB731" s="260"/>
      <c r="AC731" s="260"/>
      <c r="AD731" s="260"/>
      <c r="AE731" s="260"/>
      <c r="AF731" s="260"/>
      <c r="AG731" s="258"/>
      <c r="AI731" s="261"/>
      <c r="AL731" s="260"/>
      <c r="AO731"/>
      <c r="AP731"/>
      <c r="AQ731"/>
      <c r="AR731"/>
      <c r="AS731"/>
      <c r="AT731"/>
      <c r="AU731"/>
      <c r="AV731"/>
      <c r="AW731"/>
      <c r="AX731"/>
      <c r="AY731"/>
      <c r="AZ731"/>
      <c r="BA731"/>
      <c r="BB731"/>
      <c r="BC731"/>
      <c r="BD731"/>
      <c r="BE731"/>
      <c r="BF731"/>
    </row>
    <row r="732" spans="13:58" ht="12" customHeight="1">
      <c r="N732" s="594" t="str">
        <f>IF(TEMPLATE_CLAIM="P","5.1.1.1.2","")</f>
        <v/>
      </c>
      <c r="O732" s="593" t="str">
        <f>IF(TEMPLATE_CLAIM="P","от станций с мощностью производства &lt; 25 МВт","")</f>
        <v/>
      </c>
      <c r="P732" s="257"/>
      <c r="Q732" s="258"/>
      <c r="R732" s="260"/>
      <c r="S732" s="260"/>
      <c r="T732" s="260"/>
      <c r="U732" s="260"/>
      <c r="V732" s="260"/>
      <c r="W732" s="260"/>
      <c r="X732" s="260"/>
      <c r="Y732" s="260"/>
      <c r="Z732" s="260"/>
      <c r="AA732" s="260"/>
      <c r="AB732" s="260"/>
      <c r="AC732" s="260"/>
      <c r="AD732" s="260"/>
      <c r="AE732" s="260"/>
      <c r="AF732" s="260"/>
      <c r="AG732" s="258"/>
      <c r="AI732" s="261"/>
      <c r="AL732" s="260"/>
      <c r="AO732"/>
      <c r="AP732"/>
      <c r="AQ732"/>
      <c r="AR732"/>
      <c r="AS732"/>
      <c r="AT732"/>
      <c r="AU732"/>
      <c r="AV732"/>
      <c r="AW732"/>
      <c r="AX732"/>
      <c r="AY732"/>
      <c r="AZ732"/>
      <c r="BA732"/>
      <c r="BB732"/>
      <c r="BC732"/>
      <c r="BD732"/>
      <c r="BE732"/>
      <c r="BF732"/>
    </row>
    <row r="733" spans="13:58" ht="12" customHeight="1">
      <c r="N733" s="236"/>
      <c r="O733" s="243"/>
      <c r="P733" s="260"/>
      <c r="Q733" s="258"/>
      <c r="R733" s="260"/>
      <c r="S733" s="260"/>
      <c r="T733" s="260"/>
      <c r="U733" s="260"/>
      <c r="V733" s="260"/>
      <c r="W733" s="260"/>
      <c r="X733" s="260"/>
      <c r="Y733" s="260"/>
      <c r="Z733" s="260"/>
      <c r="AA733" s="260"/>
      <c r="AB733" s="260"/>
      <c r="AC733" s="260"/>
      <c r="AD733" s="260"/>
      <c r="AE733" s="260"/>
      <c r="AF733" s="260"/>
      <c r="AG733" s="258"/>
      <c r="AI733" s="260"/>
      <c r="AL733" s="260"/>
      <c r="AO733"/>
      <c r="AP733"/>
      <c r="AQ733"/>
      <c r="AR733"/>
      <c r="AS733"/>
      <c r="AT733"/>
      <c r="AU733"/>
      <c r="AV733"/>
      <c r="AW733"/>
      <c r="AX733"/>
      <c r="AY733"/>
      <c r="AZ733"/>
      <c r="BA733"/>
      <c r="BB733"/>
      <c r="BC733"/>
      <c r="BD733"/>
      <c r="BE733"/>
      <c r="BF733"/>
    </row>
    <row r="734" spans="13:58" ht="12" customHeight="1">
      <c r="N734" s="236" t="s">
        <v>2998</v>
      </c>
      <c r="O734" s="482" t="s">
        <v>755</v>
      </c>
      <c r="P734" s="257"/>
      <c r="Q734" s="258"/>
      <c r="R734" s="260"/>
      <c r="S734" s="260"/>
      <c r="T734" s="261"/>
      <c r="U734" s="260"/>
      <c r="V734" s="260"/>
      <c r="W734" s="261"/>
      <c r="X734" s="260"/>
      <c r="Y734" s="260"/>
      <c r="Z734" s="261"/>
      <c r="AA734" s="260"/>
      <c r="AB734" s="260"/>
      <c r="AC734" s="261"/>
      <c r="AD734" s="260"/>
      <c r="AE734" s="260"/>
      <c r="AF734" s="261"/>
      <c r="AG734" s="258"/>
      <c r="AI734" s="257">
        <f>SUM(AI735:AI737)</f>
        <v>0</v>
      </c>
      <c r="AL734" s="261"/>
      <c r="AO734"/>
      <c r="AP734"/>
      <c r="AQ734"/>
      <c r="AR734"/>
      <c r="AS734"/>
      <c r="AT734"/>
      <c r="AU734"/>
      <c r="AV734"/>
      <c r="AW734"/>
      <c r="AX734"/>
      <c r="AY734"/>
      <c r="AZ734"/>
      <c r="BA734"/>
      <c r="BB734"/>
      <c r="BC734"/>
      <c r="BD734"/>
      <c r="BE734"/>
      <c r="BF734"/>
    </row>
    <row r="735" spans="13:58" ht="12" customHeight="1">
      <c r="N735" s="594" t="str">
        <f>IF(TEMPLATE_CLAIM="P","5.1.1.2.1","")</f>
        <v/>
      </c>
      <c r="O735" s="593" t="str">
        <f>IF(TEMPLATE_CLAIM="P","от станций с мощностью производства &gt;= 25 МВт","")</f>
        <v/>
      </c>
      <c r="P735" s="257"/>
      <c r="Q735" s="258"/>
      <c r="R735" s="260"/>
      <c r="S735" s="260"/>
      <c r="T735" s="260"/>
      <c r="U735" s="260"/>
      <c r="V735" s="260"/>
      <c r="W735" s="260"/>
      <c r="X735" s="260"/>
      <c r="Y735" s="260"/>
      <c r="Z735" s="260"/>
      <c r="AA735" s="260"/>
      <c r="AB735" s="260"/>
      <c r="AC735" s="260"/>
      <c r="AD735" s="260"/>
      <c r="AE735" s="260"/>
      <c r="AF735" s="260"/>
      <c r="AG735" s="258"/>
      <c r="AI735" s="261"/>
      <c r="AL735" s="260"/>
      <c r="AO735"/>
      <c r="AP735"/>
      <c r="AQ735"/>
      <c r="AR735"/>
      <c r="AS735"/>
      <c r="AT735"/>
      <c r="AU735"/>
      <c r="AV735"/>
      <c r="AW735"/>
      <c r="AX735"/>
      <c r="AY735"/>
      <c r="AZ735"/>
      <c r="BA735"/>
      <c r="BB735"/>
      <c r="BC735"/>
      <c r="BD735"/>
      <c r="BE735"/>
      <c r="BF735"/>
    </row>
    <row r="736" spans="13:58" ht="12" customHeight="1">
      <c r="N736" s="594" t="str">
        <f>IF(TEMPLATE_CLAIM="P","5.1.1.2.2","")</f>
        <v/>
      </c>
      <c r="O736" s="593" t="str">
        <f>IF(TEMPLATE_CLAIM="P","от станций с мощностью производства &lt; 25 МВт","")</f>
        <v/>
      </c>
      <c r="P736" s="257"/>
      <c r="Q736" s="258"/>
      <c r="R736" s="260"/>
      <c r="S736" s="260"/>
      <c r="T736" s="260"/>
      <c r="U736" s="260"/>
      <c r="V736" s="260"/>
      <c r="W736" s="260"/>
      <c r="X736" s="260"/>
      <c r="Y736" s="260"/>
      <c r="Z736" s="260"/>
      <c r="AA736" s="260"/>
      <c r="AB736" s="260"/>
      <c r="AC736" s="260"/>
      <c r="AD736" s="260"/>
      <c r="AE736" s="260"/>
      <c r="AF736" s="260"/>
      <c r="AG736" s="258"/>
      <c r="AI736" s="261"/>
      <c r="AL736" s="260"/>
      <c r="AO736"/>
      <c r="AP736"/>
      <c r="AQ736"/>
      <c r="AR736"/>
      <c r="AS736"/>
      <c r="AT736"/>
      <c r="AU736"/>
      <c r="AV736"/>
      <c r="AW736"/>
      <c r="AX736"/>
      <c r="AY736"/>
      <c r="AZ736"/>
      <c r="BA736"/>
      <c r="BB736"/>
      <c r="BC736"/>
      <c r="BD736"/>
      <c r="BE736"/>
      <c r="BF736"/>
    </row>
    <row r="737" spans="14:58" ht="12" customHeight="1">
      <c r="N737" s="436"/>
      <c r="O737" s="243"/>
      <c r="P737" s="260"/>
      <c r="Q737" s="258"/>
      <c r="R737" s="260"/>
      <c r="S737" s="260"/>
      <c r="T737" s="260"/>
      <c r="U737" s="260"/>
      <c r="V737" s="260"/>
      <c r="W737" s="260"/>
      <c r="X737" s="260"/>
      <c r="Y737" s="260"/>
      <c r="Z737" s="260"/>
      <c r="AA737" s="260"/>
      <c r="AB737" s="260"/>
      <c r="AC737" s="260"/>
      <c r="AD737" s="260"/>
      <c r="AE737" s="260"/>
      <c r="AF737" s="260"/>
      <c r="AG737" s="258"/>
      <c r="AI737" s="260"/>
      <c r="AL737" s="260"/>
      <c r="AO737"/>
      <c r="AP737"/>
      <c r="AQ737"/>
      <c r="AR737"/>
      <c r="AS737"/>
      <c r="AT737"/>
      <c r="AU737"/>
      <c r="AV737"/>
      <c r="AW737"/>
      <c r="AX737"/>
      <c r="AY737"/>
      <c r="AZ737"/>
      <c r="BA737"/>
      <c r="BB737"/>
      <c r="BC737"/>
      <c r="BD737"/>
      <c r="BE737"/>
      <c r="BF737"/>
    </row>
    <row r="738" spans="14:58" ht="12" customHeight="1">
      <c r="N738" s="236" t="s">
        <v>2999</v>
      </c>
      <c r="O738" s="482" t="s">
        <v>2792</v>
      </c>
      <c r="P738" s="257"/>
      <c r="Q738" s="258"/>
      <c r="R738" s="260"/>
      <c r="S738" s="260"/>
      <c r="T738" s="261"/>
      <c r="U738" s="260"/>
      <c r="V738" s="260"/>
      <c r="W738" s="261"/>
      <c r="X738" s="260"/>
      <c r="Y738" s="260"/>
      <c r="Z738" s="261"/>
      <c r="AA738" s="260"/>
      <c r="AB738" s="260"/>
      <c r="AC738" s="261"/>
      <c r="AD738" s="260"/>
      <c r="AE738" s="260"/>
      <c r="AF738" s="261"/>
      <c r="AG738" s="258"/>
      <c r="AI738" s="257">
        <f>SUM(AI739:AI741)</f>
        <v>0</v>
      </c>
      <c r="AL738" s="261"/>
      <c r="AO738"/>
      <c r="AP738"/>
      <c r="AQ738"/>
      <c r="AR738"/>
      <c r="AS738"/>
      <c r="AT738"/>
      <c r="AU738"/>
      <c r="AV738"/>
      <c r="AW738"/>
      <c r="AX738"/>
      <c r="AY738"/>
      <c r="AZ738"/>
      <c r="BA738"/>
      <c r="BB738"/>
      <c r="BC738"/>
      <c r="BD738"/>
      <c r="BE738"/>
      <c r="BF738"/>
    </row>
    <row r="739" spans="14:58" ht="12" customHeight="1">
      <c r="N739" s="594" t="str">
        <f>IF(TEMPLATE_CLAIM="P","5.1.1.3.1","")</f>
        <v/>
      </c>
      <c r="O739" s="593" t="str">
        <f>IF(TEMPLATE_CLAIM="P","от станций с мощностью производства &gt;= 25 МВт","")</f>
        <v/>
      </c>
      <c r="P739" s="257"/>
      <c r="Q739" s="258"/>
      <c r="R739" s="260"/>
      <c r="S739" s="260"/>
      <c r="T739" s="260"/>
      <c r="U739" s="260"/>
      <c r="V739" s="260"/>
      <c r="W739" s="260"/>
      <c r="X739" s="260"/>
      <c r="Y739" s="260"/>
      <c r="Z739" s="260"/>
      <c r="AA739" s="260"/>
      <c r="AB739" s="260"/>
      <c r="AC739" s="260"/>
      <c r="AD739" s="260"/>
      <c r="AE739" s="260"/>
      <c r="AF739" s="260"/>
      <c r="AG739" s="258"/>
      <c r="AI739" s="261"/>
      <c r="AL739" s="260"/>
      <c r="AO739"/>
      <c r="AP739"/>
      <c r="AQ739"/>
      <c r="AR739"/>
      <c r="AS739"/>
      <c r="AT739"/>
      <c r="AU739"/>
      <c r="AV739"/>
      <c r="AW739"/>
      <c r="AX739"/>
      <c r="AY739"/>
      <c r="AZ739"/>
      <c r="BA739"/>
      <c r="BB739"/>
      <c r="BC739"/>
      <c r="BD739"/>
      <c r="BE739"/>
      <c r="BF739"/>
    </row>
    <row r="740" spans="14:58" ht="12" customHeight="1">
      <c r="N740" s="594" t="str">
        <f>IF(TEMPLATE_CLAIM="P","5.1.1.3.2","")</f>
        <v/>
      </c>
      <c r="O740" s="593" t="str">
        <f>IF(TEMPLATE_CLAIM="P","от станций с мощностью производства &lt; 25 МВт","")</f>
        <v/>
      </c>
      <c r="P740" s="257"/>
      <c r="Q740" s="258"/>
      <c r="R740" s="260"/>
      <c r="S740" s="260"/>
      <c r="T740" s="260"/>
      <c r="U740" s="260"/>
      <c r="V740" s="260"/>
      <c r="W740" s="260"/>
      <c r="X740" s="260"/>
      <c r="Y740" s="260"/>
      <c r="Z740" s="260"/>
      <c r="AA740" s="260"/>
      <c r="AB740" s="260"/>
      <c r="AC740" s="260"/>
      <c r="AD740" s="260"/>
      <c r="AE740" s="260"/>
      <c r="AF740" s="260"/>
      <c r="AG740" s="258"/>
      <c r="AI740" s="261"/>
      <c r="AL740" s="260"/>
      <c r="AO740"/>
      <c r="AP740"/>
      <c r="AQ740"/>
      <c r="AR740"/>
      <c r="AS740"/>
      <c r="AT740"/>
      <c r="AU740"/>
      <c r="AV740"/>
      <c r="AW740"/>
      <c r="AX740"/>
      <c r="AY740"/>
      <c r="AZ740"/>
      <c r="BA740"/>
      <c r="BB740"/>
      <c r="BC740"/>
      <c r="BD740"/>
      <c r="BE740"/>
      <c r="BF740"/>
    </row>
    <row r="741" spans="14:58" ht="12" customHeight="1">
      <c r="N741" s="594" t="str">
        <f>IF(TEMPLATE_CLAIM="P","5.1.1.3.3","")</f>
        <v/>
      </c>
      <c r="O741" s="593" t="str">
        <f>IF(TEMPLATE_CLAIM="P","от котельных (некомбинированная выработка)","")</f>
        <v/>
      </c>
      <c r="P741" s="257"/>
      <c r="Q741" s="258"/>
      <c r="R741" s="260"/>
      <c r="S741" s="260"/>
      <c r="T741" s="260"/>
      <c r="U741" s="260"/>
      <c r="V741" s="260"/>
      <c r="W741" s="260"/>
      <c r="X741" s="260"/>
      <c r="Y741" s="260"/>
      <c r="Z741" s="260"/>
      <c r="AA741" s="260"/>
      <c r="AB741" s="260"/>
      <c r="AC741" s="260"/>
      <c r="AD741" s="260"/>
      <c r="AE741" s="260"/>
      <c r="AF741" s="260"/>
      <c r="AG741" s="258"/>
      <c r="AI741" s="261"/>
      <c r="AL741" s="260"/>
      <c r="AO741"/>
      <c r="AP741"/>
      <c r="AQ741"/>
      <c r="AR741"/>
      <c r="AS741"/>
      <c r="AT741"/>
      <c r="AU741"/>
      <c r="AV741"/>
      <c r="AW741"/>
      <c r="AX741"/>
      <c r="AY741"/>
      <c r="AZ741"/>
      <c r="BA741"/>
      <c r="BB741"/>
      <c r="BC741"/>
      <c r="BD741"/>
      <c r="BE741"/>
      <c r="BF741"/>
    </row>
    <row r="742" spans="14:58" ht="12" customHeight="1">
      <c r="N742" s="236" t="s">
        <v>3002</v>
      </c>
      <c r="O742" s="482" t="s">
        <v>756</v>
      </c>
      <c r="P742" s="257"/>
      <c r="Q742" s="258"/>
      <c r="R742" s="260"/>
      <c r="S742" s="260"/>
      <c r="T742" s="261"/>
      <c r="U742" s="260"/>
      <c r="V742" s="260"/>
      <c r="W742" s="261"/>
      <c r="X742" s="260"/>
      <c r="Y742" s="260"/>
      <c r="Z742" s="261"/>
      <c r="AA742" s="260"/>
      <c r="AB742" s="260"/>
      <c r="AC742" s="261"/>
      <c r="AD742" s="260"/>
      <c r="AE742" s="260"/>
      <c r="AF742" s="261"/>
      <c r="AG742" s="258"/>
      <c r="AI742" s="257">
        <f>SUM(AI743:AI745)</f>
        <v>0</v>
      </c>
      <c r="AL742" s="261"/>
      <c r="AO742"/>
      <c r="AP742"/>
      <c r="AQ742"/>
      <c r="AR742"/>
      <c r="AS742"/>
      <c r="AT742"/>
      <c r="AU742"/>
      <c r="AV742"/>
      <c r="AW742"/>
      <c r="AX742"/>
      <c r="AY742"/>
      <c r="AZ742"/>
      <c r="BA742"/>
      <c r="BB742"/>
      <c r="BC742"/>
      <c r="BD742"/>
      <c r="BE742"/>
      <c r="BF742"/>
    </row>
    <row r="743" spans="14:58" ht="12" customHeight="1">
      <c r="N743" s="594" t="str">
        <f>IF(TEMPLATE_CLAIM="P","5.1.1.4.1","")</f>
        <v/>
      </c>
      <c r="O743" s="593" t="str">
        <f>IF(TEMPLATE_CLAIM="P","от станций с мощностью производства &gt;= 25 МВт","")</f>
        <v/>
      </c>
      <c r="P743" s="257"/>
      <c r="Q743" s="258"/>
      <c r="R743" s="260"/>
      <c r="S743" s="260"/>
      <c r="T743" s="260"/>
      <c r="U743" s="260"/>
      <c r="V743" s="260"/>
      <c r="W743" s="260"/>
      <c r="X743" s="260"/>
      <c r="Y743" s="260"/>
      <c r="Z743" s="260"/>
      <c r="AA743" s="260"/>
      <c r="AB743" s="260"/>
      <c r="AC743" s="260"/>
      <c r="AD743" s="260"/>
      <c r="AE743" s="260"/>
      <c r="AF743" s="260"/>
      <c r="AG743" s="258"/>
      <c r="AI743" s="261"/>
      <c r="AL743" s="260"/>
      <c r="AO743"/>
      <c r="AP743"/>
      <c r="AQ743"/>
      <c r="AR743"/>
      <c r="AS743"/>
      <c r="AT743"/>
      <c r="AU743"/>
      <c r="AV743"/>
      <c r="AW743"/>
      <c r="AX743"/>
      <c r="AY743"/>
      <c r="AZ743"/>
      <c r="BA743"/>
      <c r="BB743"/>
      <c r="BC743"/>
      <c r="BD743"/>
      <c r="BE743"/>
      <c r="BF743"/>
    </row>
    <row r="744" spans="14:58" ht="12" customHeight="1">
      <c r="N744" s="594" t="str">
        <f>IF(TEMPLATE_CLAIM="P","5.1.1.4.2","")</f>
        <v/>
      </c>
      <c r="O744" s="593" t="str">
        <f>IF(TEMPLATE_CLAIM="P","от станций с мощностью производства &lt; 25 МВт","")</f>
        <v/>
      </c>
      <c r="P744" s="257"/>
      <c r="Q744" s="258"/>
      <c r="R744" s="260"/>
      <c r="S744" s="260"/>
      <c r="T744" s="260"/>
      <c r="U744" s="260"/>
      <c r="V744" s="260"/>
      <c r="W744" s="260"/>
      <c r="X744" s="260"/>
      <c r="Y744" s="260"/>
      <c r="Z744" s="260"/>
      <c r="AA744" s="260"/>
      <c r="AB744" s="260"/>
      <c r="AC744" s="260"/>
      <c r="AD744" s="260"/>
      <c r="AE744" s="260"/>
      <c r="AF744" s="260"/>
      <c r="AG744" s="258"/>
      <c r="AI744" s="261"/>
      <c r="AL744" s="260"/>
      <c r="AO744"/>
      <c r="AP744"/>
      <c r="AQ744"/>
      <c r="AR744"/>
      <c r="AS744"/>
      <c r="AT744"/>
      <c r="AU744"/>
      <c r="AV744"/>
      <c r="AW744"/>
      <c r="AX744"/>
      <c r="AY744"/>
      <c r="AZ744"/>
      <c r="BA744"/>
      <c r="BB744"/>
      <c r="BC744"/>
      <c r="BD744"/>
      <c r="BE744"/>
      <c r="BF744"/>
    </row>
    <row r="745" spans="14:58" ht="12" customHeight="1">
      <c r="N745" s="594" t="str">
        <f>IF(TEMPLATE_CLAIM="P","5.1.1.4.3","")</f>
        <v/>
      </c>
      <c r="O745" s="593" t="str">
        <f>IF(TEMPLATE_CLAIM="P","от котельных (некомбинированная выработка)","")</f>
        <v/>
      </c>
      <c r="P745" s="257"/>
      <c r="Q745" s="258"/>
      <c r="R745" s="260"/>
      <c r="S745" s="260"/>
      <c r="T745" s="260"/>
      <c r="U745" s="260"/>
      <c r="V745" s="260"/>
      <c r="W745" s="260"/>
      <c r="X745" s="260"/>
      <c r="Y745" s="260"/>
      <c r="Z745" s="260"/>
      <c r="AA745" s="260"/>
      <c r="AB745" s="260"/>
      <c r="AC745" s="260"/>
      <c r="AD745" s="260"/>
      <c r="AE745" s="260"/>
      <c r="AF745" s="260"/>
      <c r="AG745" s="258"/>
      <c r="AI745" s="261"/>
      <c r="AL745" s="260"/>
      <c r="AO745"/>
      <c r="AP745"/>
      <c r="AQ745"/>
      <c r="AR745"/>
      <c r="AS745"/>
      <c r="AT745"/>
      <c r="AU745"/>
      <c r="AV745"/>
      <c r="AW745"/>
      <c r="AX745"/>
      <c r="AY745"/>
      <c r="AZ745"/>
      <c r="BA745"/>
      <c r="BB745"/>
      <c r="BC745"/>
      <c r="BD745"/>
      <c r="BE745"/>
      <c r="BF745"/>
    </row>
    <row r="746" spans="14:58" ht="12" customHeight="1">
      <c r="N746" s="234" t="s">
        <v>3003</v>
      </c>
      <c r="O746" s="225" t="s">
        <v>3004</v>
      </c>
      <c r="P746" s="257"/>
      <c r="Q746" s="258"/>
      <c r="R746" s="260"/>
      <c r="S746" s="260"/>
      <c r="T746" s="261"/>
      <c r="U746" s="260"/>
      <c r="V746" s="260"/>
      <c r="W746" s="261"/>
      <c r="X746" s="260"/>
      <c r="Y746" s="260"/>
      <c r="Z746" s="261"/>
      <c r="AA746" s="260"/>
      <c r="AB746" s="260"/>
      <c r="AC746" s="261"/>
      <c r="AD746" s="260"/>
      <c r="AE746" s="260"/>
      <c r="AF746" s="261"/>
      <c r="AG746" s="258"/>
      <c r="AO746"/>
      <c r="AP746"/>
      <c r="AQ746"/>
      <c r="AR746"/>
      <c r="AS746"/>
      <c r="AT746"/>
      <c r="AU746"/>
      <c r="AV746"/>
      <c r="AW746"/>
      <c r="AX746"/>
      <c r="AY746"/>
      <c r="AZ746"/>
      <c r="BA746"/>
      <c r="BB746"/>
      <c r="BC746"/>
      <c r="BD746"/>
      <c r="BE746"/>
      <c r="BF746"/>
    </row>
    <row r="747" spans="14:58" ht="12" customHeight="1">
      <c r="N747" s="234" t="s">
        <v>3006</v>
      </c>
      <c r="O747" s="225" t="s">
        <v>3007</v>
      </c>
      <c r="P747" s="257"/>
      <c r="Q747" s="258"/>
      <c r="R747" s="260"/>
      <c r="S747" s="260"/>
      <c r="T747" s="257">
        <f>SUM(T750,T753,T756,T759,T762,T765,T768,T771)</f>
        <v>0</v>
      </c>
      <c r="U747" s="260"/>
      <c r="V747" s="260"/>
      <c r="W747" s="257">
        <f>SUM(W750,W753,W756,W759,W762,W765,W768,W771)</f>
        <v>0</v>
      </c>
      <c r="X747" s="260"/>
      <c r="Y747" s="260"/>
      <c r="Z747" s="257">
        <f>SUM(Z750,Z753,Z756,Z759,Z762,Z765,Z768,Z771)</f>
        <v>0</v>
      </c>
      <c r="AA747" s="260"/>
      <c r="AB747" s="260"/>
      <c r="AC747" s="257">
        <f>SUM(AC750,AC753,AC756,AC759,AC762,AC765,AC768,AC771)</f>
        <v>0</v>
      </c>
      <c r="AD747" s="260"/>
      <c r="AE747" s="260"/>
      <c r="AF747" s="257">
        <f>SUM(AF750,AF753,AF756,AF759,AF762,AF765,AF768,AF771)</f>
        <v>0</v>
      </c>
      <c r="AG747" s="258"/>
      <c r="AO747"/>
      <c r="AP747"/>
      <c r="AQ747"/>
      <c r="AR747"/>
      <c r="AS747"/>
      <c r="AT747"/>
      <c r="AU747"/>
      <c r="AV747"/>
      <c r="AW747"/>
      <c r="AX747"/>
      <c r="AY747"/>
      <c r="AZ747"/>
      <c r="BA747"/>
      <c r="BB747"/>
      <c r="BC747"/>
      <c r="BD747"/>
      <c r="BE747"/>
      <c r="BF747"/>
    </row>
    <row r="748" spans="14:58" ht="12" customHeight="1">
      <c r="N748" s="236" t="s">
        <v>3008</v>
      </c>
      <c r="O748" s="242" t="s">
        <v>2972</v>
      </c>
      <c r="P748" s="257"/>
      <c r="Q748" s="258"/>
      <c r="R748" s="260"/>
      <c r="S748" s="260"/>
      <c r="T748" s="257">
        <f>T752+T758+T764+T770</f>
        <v>0</v>
      </c>
      <c r="U748" s="260"/>
      <c r="V748" s="260"/>
      <c r="W748" s="257">
        <f>W752+W758+W764+W770</f>
        <v>0</v>
      </c>
      <c r="X748" s="260"/>
      <c r="Y748" s="260"/>
      <c r="Z748" s="257">
        <f>Z752+Z758+Z764+Z770</f>
        <v>0</v>
      </c>
      <c r="AA748" s="260"/>
      <c r="AB748" s="260"/>
      <c r="AC748" s="257">
        <f>AC752+AC758+AC764+AC770</f>
        <v>0</v>
      </c>
      <c r="AD748" s="260"/>
      <c r="AE748" s="260"/>
      <c r="AF748" s="257">
        <f>AF752+AF758+AF764+AF770</f>
        <v>0</v>
      </c>
      <c r="AG748" s="258"/>
      <c r="AO748"/>
      <c r="AP748"/>
      <c r="AQ748"/>
      <c r="AR748"/>
      <c r="AS748"/>
      <c r="AT748"/>
      <c r="AU748"/>
      <c r="AV748"/>
      <c r="AW748"/>
      <c r="AX748"/>
      <c r="AY748"/>
      <c r="AZ748"/>
      <c r="BA748"/>
      <c r="BB748"/>
      <c r="BC748"/>
      <c r="BD748"/>
      <c r="BE748"/>
      <c r="BF748"/>
    </row>
    <row r="749" spans="14:58" ht="12" customHeight="1">
      <c r="N749" s="236" t="s">
        <v>3009</v>
      </c>
      <c r="O749" s="242" t="s">
        <v>2988</v>
      </c>
      <c r="P749" s="257"/>
      <c r="Q749" s="258"/>
      <c r="R749" s="260"/>
      <c r="S749" s="260"/>
      <c r="T749" s="257">
        <f>T755+T761+T767+T773</f>
        <v>0</v>
      </c>
      <c r="U749" s="260"/>
      <c r="V749" s="260"/>
      <c r="W749" s="257">
        <f>W755+W761+W767+W773</f>
        <v>0</v>
      </c>
      <c r="X749" s="260"/>
      <c r="Y749" s="260"/>
      <c r="Z749" s="257">
        <f>Z755+Z761+Z767+Z773</f>
        <v>0</v>
      </c>
      <c r="AA749" s="260"/>
      <c r="AB749" s="260"/>
      <c r="AC749" s="257">
        <f>AC755+AC761+AC767+AC773</f>
        <v>0</v>
      </c>
      <c r="AD749" s="260"/>
      <c r="AE749" s="260"/>
      <c r="AF749" s="257">
        <f>AF755+AF761+AF767+AF773</f>
        <v>0</v>
      </c>
      <c r="AG749" s="258"/>
      <c r="AO749"/>
      <c r="AP749"/>
      <c r="AQ749"/>
      <c r="AR749"/>
      <c r="AS749"/>
      <c r="AT749"/>
      <c r="AU749"/>
      <c r="AV749"/>
      <c r="AW749"/>
      <c r="AX749"/>
      <c r="AY749"/>
      <c r="AZ749"/>
      <c r="BA749"/>
      <c r="BB749"/>
      <c r="BC749"/>
      <c r="BD749"/>
      <c r="BE749"/>
      <c r="BF749"/>
    </row>
    <row r="750" spans="14:58" ht="12" hidden="1" customHeight="1">
      <c r="N750" s="236" t="s">
        <v>3010</v>
      </c>
      <c r="O750" s="242" t="s">
        <v>3011</v>
      </c>
      <c r="P750" s="257"/>
      <c r="Q750" s="258"/>
      <c r="R750" s="260"/>
      <c r="S750" s="260"/>
      <c r="T750" s="257">
        <f>T751*T752</f>
        <v>0</v>
      </c>
      <c r="U750" s="260"/>
      <c r="V750" s="260"/>
      <c r="W750" s="257">
        <f>W751*W752</f>
        <v>0</v>
      </c>
      <c r="X750" s="260"/>
      <c r="Y750" s="260"/>
      <c r="Z750" s="257">
        <f>Z751*Z752</f>
        <v>0</v>
      </c>
      <c r="AA750" s="260"/>
      <c r="AB750" s="260"/>
      <c r="AC750" s="257">
        <f>AC751*AC752</f>
        <v>0</v>
      </c>
      <c r="AD750" s="260"/>
      <c r="AE750" s="260"/>
      <c r="AF750" s="257">
        <f>AF751*AF752</f>
        <v>0</v>
      </c>
      <c r="AG750" s="258"/>
      <c r="AO750"/>
      <c r="AP750"/>
      <c r="AQ750"/>
      <c r="AR750"/>
      <c r="AS750"/>
      <c r="AT750"/>
      <c r="AU750"/>
      <c r="AV750"/>
      <c r="AW750"/>
      <c r="AX750"/>
      <c r="AY750"/>
      <c r="AZ750"/>
      <c r="BA750"/>
      <c r="BB750"/>
      <c r="BC750"/>
      <c r="BD750"/>
      <c r="BE750"/>
      <c r="BF750"/>
    </row>
    <row r="751" spans="14:58" ht="12" hidden="1" customHeight="1">
      <c r="N751" s="236" t="s">
        <v>3012</v>
      </c>
      <c r="O751" s="244" t="s">
        <v>2968</v>
      </c>
      <c r="P751" s="257"/>
      <c r="Q751" s="258"/>
      <c r="R751" s="260"/>
      <c r="S751" s="260"/>
      <c r="T751" s="261"/>
      <c r="U751" s="260"/>
      <c r="V751" s="260"/>
      <c r="W751" s="261"/>
      <c r="X751" s="260"/>
      <c r="Y751" s="260"/>
      <c r="Z751" s="261"/>
      <c r="AA751" s="260"/>
      <c r="AB751" s="260"/>
      <c r="AC751" s="261"/>
      <c r="AD751" s="260"/>
      <c r="AE751" s="260"/>
      <c r="AF751" s="261"/>
      <c r="AG751" s="258"/>
      <c r="AO751"/>
      <c r="AP751"/>
      <c r="AQ751"/>
      <c r="AR751"/>
      <c r="AS751"/>
      <c r="AT751"/>
      <c r="AU751"/>
      <c r="AV751"/>
      <c r="AW751"/>
      <c r="AX751"/>
      <c r="AY751"/>
      <c r="AZ751"/>
      <c r="BA751"/>
      <c r="BB751"/>
      <c r="BC751"/>
      <c r="BD751"/>
      <c r="BE751"/>
      <c r="BF751"/>
    </row>
    <row r="752" spans="14:58" ht="12" hidden="1" customHeight="1">
      <c r="N752" s="236" t="s">
        <v>3013</v>
      </c>
      <c r="O752" s="244" t="s">
        <v>2972</v>
      </c>
      <c r="P752" s="257"/>
      <c r="Q752" s="258"/>
      <c r="R752" s="260"/>
      <c r="S752" s="260"/>
      <c r="T752" s="261"/>
      <c r="U752" s="260"/>
      <c r="V752" s="260"/>
      <c r="W752" s="261"/>
      <c r="X752" s="260"/>
      <c r="Y752" s="260"/>
      <c r="Z752" s="261"/>
      <c r="AA752" s="260"/>
      <c r="AB752" s="260"/>
      <c r="AC752" s="261"/>
      <c r="AD752" s="260"/>
      <c r="AE752" s="260"/>
      <c r="AF752" s="261"/>
      <c r="AG752" s="258"/>
      <c r="AO752"/>
      <c r="AP752"/>
      <c r="AQ752"/>
      <c r="AR752"/>
      <c r="AS752"/>
      <c r="AT752"/>
      <c r="AU752"/>
      <c r="AV752"/>
      <c r="AW752"/>
      <c r="AX752"/>
      <c r="AY752"/>
      <c r="AZ752"/>
      <c r="BA752"/>
      <c r="BB752"/>
      <c r="BC752"/>
      <c r="BD752"/>
      <c r="BE752"/>
      <c r="BF752"/>
    </row>
    <row r="753" spans="14:58" ht="12" hidden="1" customHeight="1">
      <c r="N753" s="236" t="s">
        <v>3014</v>
      </c>
      <c r="O753" s="245" t="s">
        <v>3015</v>
      </c>
      <c r="P753" s="257"/>
      <c r="Q753" s="258"/>
      <c r="R753" s="260"/>
      <c r="S753" s="260"/>
      <c r="T753" s="257">
        <f>T754*T755</f>
        <v>0</v>
      </c>
      <c r="U753" s="260"/>
      <c r="V753" s="260"/>
      <c r="W753" s="257">
        <f>W754*W755</f>
        <v>0</v>
      </c>
      <c r="X753" s="260"/>
      <c r="Y753" s="260"/>
      <c r="Z753" s="257">
        <f>Z754*Z755</f>
        <v>0</v>
      </c>
      <c r="AA753" s="260"/>
      <c r="AB753" s="260"/>
      <c r="AC753" s="257">
        <f>AC754*AC755</f>
        <v>0</v>
      </c>
      <c r="AD753" s="260"/>
      <c r="AE753" s="260"/>
      <c r="AF753" s="257">
        <f>AF754*AF755</f>
        <v>0</v>
      </c>
      <c r="AG753" s="258"/>
      <c r="AO753"/>
      <c r="AP753"/>
      <c r="AQ753"/>
      <c r="AR753"/>
      <c r="AS753"/>
      <c r="AT753"/>
      <c r="AU753"/>
      <c r="AV753"/>
      <c r="AW753"/>
      <c r="AX753"/>
      <c r="AY753"/>
      <c r="AZ753"/>
      <c r="BA753"/>
      <c r="BB753"/>
      <c r="BC753"/>
      <c r="BD753"/>
      <c r="BE753"/>
      <c r="BF753"/>
    </row>
    <row r="754" spans="14:58" ht="12" hidden="1" customHeight="1">
      <c r="N754" s="236" t="s">
        <v>3016</v>
      </c>
      <c r="O754" s="244" t="s">
        <v>2970</v>
      </c>
      <c r="P754" s="257"/>
      <c r="Q754" s="258"/>
      <c r="R754" s="260"/>
      <c r="S754" s="260"/>
      <c r="T754" s="261"/>
      <c r="U754" s="260"/>
      <c r="V754" s="260"/>
      <c r="W754" s="261"/>
      <c r="X754" s="260"/>
      <c r="Y754" s="260"/>
      <c r="Z754" s="261"/>
      <c r="AA754" s="260"/>
      <c r="AB754" s="260"/>
      <c r="AC754" s="261"/>
      <c r="AD754" s="260"/>
      <c r="AE754" s="260"/>
      <c r="AF754" s="261"/>
      <c r="AG754" s="258"/>
      <c r="AO754"/>
      <c r="AP754"/>
      <c r="AQ754"/>
      <c r="AR754"/>
      <c r="AS754"/>
      <c r="AT754"/>
      <c r="AU754"/>
      <c r="AV754"/>
      <c r="AW754"/>
      <c r="AX754"/>
      <c r="AY754"/>
      <c r="AZ754"/>
      <c r="BA754"/>
      <c r="BB754"/>
      <c r="BC754"/>
      <c r="BD754"/>
      <c r="BE754"/>
      <c r="BF754"/>
    </row>
    <row r="755" spans="14:58" ht="12" hidden="1" customHeight="1">
      <c r="N755" s="236" t="s">
        <v>3017</v>
      </c>
      <c r="O755" s="244" t="s">
        <v>3018</v>
      </c>
      <c r="P755" s="257"/>
      <c r="Q755" s="258"/>
      <c r="R755" s="260"/>
      <c r="S755" s="260"/>
      <c r="T755" s="261"/>
      <c r="U755" s="260"/>
      <c r="V755" s="260"/>
      <c r="W755" s="261"/>
      <c r="X755" s="260"/>
      <c r="Y755" s="260"/>
      <c r="Z755" s="261"/>
      <c r="AA755" s="260"/>
      <c r="AB755" s="260"/>
      <c r="AC755" s="261"/>
      <c r="AD755" s="260"/>
      <c r="AE755" s="260"/>
      <c r="AF755" s="261"/>
      <c r="AG755" s="258"/>
      <c r="AO755"/>
      <c r="AP755"/>
      <c r="AQ755"/>
      <c r="AR755"/>
      <c r="AS755"/>
      <c r="AT755"/>
      <c r="AU755"/>
      <c r="AV755"/>
      <c r="AW755"/>
      <c r="AX755"/>
      <c r="AY755"/>
      <c r="AZ755"/>
      <c r="BA755"/>
      <c r="BB755"/>
      <c r="BC755"/>
      <c r="BD755"/>
      <c r="BE755"/>
      <c r="BF755"/>
    </row>
    <row r="756" spans="14:58" ht="12" hidden="1" customHeight="1">
      <c r="N756" s="236" t="s">
        <v>3019</v>
      </c>
      <c r="O756" s="242" t="s">
        <v>3020</v>
      </c>
      <c r="P756" s="257"/>
      <c r="Q756" s="258"/>
      <c r="R756" s="260"/>
      <c r="S756" s="260"/>
      <c r="T756" s="257">
        <f>T757*T758</f>
        <v>0</v>
      </c>
      <c r="U756" s="260"/>
      <c r="V756" s="260"/>
      <c r="W756" s="257">
        <f>W757*W758</f>
        <v>0</v>
      </c>
      <c r="X756" s="260"/>
      <c r="Y756" s="260"/>
      <c r="Z756" s="257">
        <f>Z757*Z758</f>
        <v>0</v>
      </c>
      <c r="AA756" s="260"/>
      <c r="AB756" s="260"/>
      <c r="AC756" s="257">
        <f>AC757*AC758</f>
        <v>0</v>
      </c>
      <c r="AD756" s="260"/>
      <c r="AE756" s="260"/>
      <c r="AF756" s="257">
        <f>AF757*AF758</f>
        <v>0</v>
      </c>
      <c r="AG756" s="258"/>
      <c r="AO756"/>
      <c r="AP756"/>
      <c r="AQ756"/>
      <c r="AR756"/>
      <c r="AS756"/>
      <c r="AT756"/>
      <c r="AU756"/>
      <c r="AV756"/>
      <c r="AW756"/>
      <c r="AX756"/>
      <c r="AY756"/>
      <c r="AZ756"/>
      <c r="BA756"/>
      <c r="BB756"/>
      <c r="BC756"/>
      <c r="BD756"/>
      <c r="BE756"/>
      <c r="BF756"/>
    </row>
    <row r="757" spans="14:58" ht="12" hidden="1" customHeight="1">
      <c r="N757" s="236" t="s">
        <v>3021</v>
      </c>
      <c r="O757" s="244" t="s">
        <v>2968</v>
      </c>
      <c r="P757" s="257"/>
      <c r="Q757" s="258"/>
      <c r="R757" s="260"/>
      <c r="S757" s="260"/>
      <c r="T757" s="261"/>
      <c r="U757" s="260"/>
      <c r="V757" s="260"/>
      <c r="W757" s="261"/>
      <c r="X757" s="260"/>
      <c r="Y757" s="260"/>
      <c r="Z757" s="261"/>
      <c r="AA757" s="260"/>
      <c r="AB757" s="260"/>
      <c r="AC757" s="261"/>
      <c r="AD757" s="260"/>
      <c r="AE757" s="260"/>
      <c r="AF757" s="261"/>
      <c r="AG757" s="258"/>
      <c r="AO757"/>
      <c r="AP757"/>
      <c r="AQ757"/>
      <c r="AR757"/>
      <c r="AS757"/>
      <c r="AT757"/>
      <c r="AU757"/>
      <c r="AV757"/>
      <c r="AW757"/>
      <c r="AX757"/>
      <c r="AY757"/>
      <c r="AZ757"/>
      <c r="BA757"/>
      <c r="BB757"/>
      <c r="BC757"/>
      <c r="BD757"/>
      <c r="BE757"/>
      <c r="BF757"/>
    </row>
    <row r="758" spans="14:58" ht="12" hidden="1" customHeight="1">
      <c r="N758" s="236" t="s">
        <v>3022</v>
      </c>
      <c r="O758" s="244" t="s">
        <v>2972</v>
      </c>
      <c r="P758" s="257"/>
      <c r="Q758" s="258"/>
      <c r="R758" s="260"/>
      <c r="S758" s="260"/>
      <c r="T758" s="261"/>
      <c r="U758" s="260"/>
      <c r="V758" s="260"/>
      <c r="W758" s="261"/>
      <c r="X758" s="260"/>
      <c r="Y758" s="260"/>
      <c r="Z758" s="261"/>
      <c r="AA758" s="260"/>
      <c r="AB758" s="260"/>
      <c r="AC758" s="261"/>
      <c r="AD758" s="260"/>
      <c r="AE758" s="260"/>
      <c r="AF758" s="261"/>
      <c r="AG758" s="258"/>
      <c r="AO758"/>
      <c r="AP758"/>
      <c r="AQ758"/>
      <c r="AR758"/>
      <c r="AS758"/>
      <c r="AT758"/>
      <c r="AU758"/>
      <c r="AV758"/>
      <c r="AW758"/>
      <c r="AX758"/>
      <c r="AY758"/>
      <c r="AZ758"/>
      <c r="BA758"/>
      <c r="BB758"/>
      <c r="BC758"/>
      <c r="BD758"/>
      <c r="BE758"/>
      <c r="BF758"/>
    </row>
    <row r="759" spans="14:58" ht="12" hidden="1" customHeight="1">
      <c r="N759" s="236" t="s">
        <v>3023</v>
      </c>
      <c r="O759" s="245" t="s">
        <v>3024</v>
      </c>
      <c r="P759" s="257"/>
      <c r="Q759" s="258"/>
      <c r="R759" s="260"/>
      <c r="S759" s="260"/>
      <c r="T759" s="257">
        <f>T760*T761</f>
        <v>0</v>
      </c>
      <c r="U759" s="260"/>
      <c r="V759" s="260"/>
      <c r="W759" s="257">
        <f>W760*W761</f>
        <v>0</v>
      </c>
      <c r="X759" s="260"/>
      <c r="Y759" s="260"/>
      <c r="Z759" s="257">
        <f>Z760*Z761</f>
        <v>0</v>
      </c>
      <c r="AA759" s="260"/>
      <c r="AB759" s="260"/>
      <c r="AC759" s="257">
        <f>AC760*AC761</f>
        <v>0</v>
      </c>
      <c r="AD759" s="260"/>
      <c r="AE759" s="260"/>
      <c r="AF759" s="257">
        <f>AF760*AF761</f>
        <v>0</v>
      </c>
      <c r="AG759" s="258"/>
      <c r="AO759"/>
      <c r="AP759"/>
      <c r="AQ759"/>
      <c r="AR759"/>
      <c r="AS759"/>
      <c r="AT759"/>
      <c r="AU759"/>
      <c r="AV759"/>
      <c r="AW759"/>
      <c r="AX759"/>
      <c r="AY759"/>
      <c r="AZ759"/>
      <c r="BA759"/>
      <c r="BB759"/>
      <c r="BC759"/>
      <c r="BD759"/>
      <c r="BE759"/>
      <c r="BF759"/>
    </row>
    <row r="760" spans="14:58" ht="12" hidden="1" customHeight="1">
      <c r="N760" s="236" t="s">
        <v>3025</v>
      </c>
      <c r="O760" s="244" t="s">
        <v>2970</v>
      </c>
      <c r="P760" s="257"/>
      <c r="Q760" s="258"/>
      <c r="R760" s="260"/>
      <c r="S760" s="260"/>
      <c r="T760" s="261"/>
      <c r="U760" s="260"/>
      <c r="V760" s="260"/>
      <c r="W760" s="261"/>
      <c r="X760" s="260"/>
      <c r="Y760" s="260"/>
      <c r="Z760" s="261"/>
      <c r="AA760" s="260"/>
      <c r="AB760" s="260"/>
      <c r="AC760" s="261"/>
      <c r="AD760" s="260"/>
      <c r="AE760" s="260"/>
      <c r="AF760" s="261"/>
      <c r="AG760" s="258"/>
      <c r="AO760"/>
      <c r="AP760"/>
      <c r="AQ760"/>
      <c r="AR760"/>
      <c r="AS760"/>
      <c r="AT760"/>
      <c r="AU760"/>
      <c r="AV760"/>
      <c r="AW760"/>
      <c r="AX760"/>
      <c r="AY760"/>
      <c r="AZ760"/>
      <c r="BA760"/>
      <c r="BB760"/>
      <c r="BC760"/>
      <c r="BD760"/>
      <c r="BE760"/>
      <c r="BF760"/>
    </row>
    <row r="761" spans="14:58" ht="12" hidden="1" customHeight="1">
      <c r="N761" s="236" t="s">
        <v>3026</v>
      </c>
      <c r="O761" s="244" t="s">
        <v>3018</v>
      </c>
      <c r="P761" s="257"/>
      <c r="Q761" s="258"/>
      <c r="R761" s="260"/>
      <c r="S761" s="260"/>
      <c r="T761" s="261"/>
      <c r="U761" s="260"/>
      <c r="V761" s="260"/>
      <c r="W761" s="261"/>
      <c r="X761" s="260"/>
      <c r="Y761" s="260"/>
      <c r="Z761" s="261"/>
      <c r="AA761" s="260"/>
      <c r="AB761" s="260"/>
      <c r="AC761" s="261"/>
      <c r="AD761" s="260"/>
      <c r="AE761" s="260"/>
      <c r="AF761" s="261"/>
      <c r="AG761" s="258"/>
      <c r="AO761"/>
      <c r="AP761"/>
      <c r="AQ761"/>
      <c r="AR761"/>
      <c r="AS761"/>
      <c r="AT761"/>
      <c r="AU761"/>
      <c r="AV761"/>
      <c r="AW761"/>
      <c r="AX761"/>
      <c r="AY761"/>
      <c r="AZ761"/>
      <c r="BA761"/>
      <c r="BB761"/>
      <c r="BC761"/>
      <c r="BD761"/>
      <c r="BE761"/>
      <c r="BF761"/>
    </row>
    <row r="762" spans="14:58" ht="12" hidden="1" customHeight="1">
      <c r="N762" s="236" t="s">
        <v>3027</v>
      </c>
      <c r="O762" s="242" t="s">
        <v>3028</v>
      </c>
      <c r="P762" s="257"/>
      <c r="Q762" s="258"/>
      <c r="R762" s="260"/>
      <c r="S762" s="260"/>
      <c r="T762" s="257">
        <f>T763*T764</f>
        <v>0</v>
      </c>
      <c r="U762" s="260"/>
      <c r="V762" s="260"/>
      <c r="W762" s="257">
        <f>W763*W764</f>
        <v>0</v>
      </c>
      <c r="X762" s="260"/>
      <c r="Y762" s="260"/>
      <c r="Z762" s="257">
        <f>Z763*Z764</f>
        <v>0</v>
      </c>
      <c r="AA762" s="260"/>
      <c r="AB762" s="260"/>
      <c r="AC762" s="257">
        <f>AC763*AC764</f>
        <v>0</v>
      </c>
      <c r="AD762" s="260"/>
      <c r="AE762" s="260"/>
      <c r="AF762" s="257">
        <f>AF763*AF764</f>
        <v>0</v>
      </c>
      <c r="AG762" s="258"/>
      <c r="AO762"/>
      <c r="AP762"/>
      <c r="AQ762"/>
      <c r="AR762"/>
      <c r="AS762"/>
      <c r="AT762"/>
      <c r="AU762"/>
      <c r="AV762"/>
      <c r="AW762"/>
      <c r="AX762"/>
      <c r="AY762"/>
      <c r="AZ762"/>
      <c r="BA762"/>
      <c r="BB762"/>
      <c r="BC762"/>
      <c r="BD762"/>
      <c r="BE762"/>
      <c r="BF762"/>
    </row>
    <row r="763" spans="14:58" ht="12" hidden="1" customHeight="1">
      <c r="N763" s="236" t="s">
        <v>3029</v>
      </c>
      <c r="O763" s="244" t="s">
        <v>2968</v>
      </c>
      <c r="P763" s="257"/>
      <c r="Q763" s="258"/>
      <c r="R763" s="260"/>
      <c r="S763" s="260"/>
      <c r="T763" s="261"/>
      <c r="U763" s="260"/>
      <c r="V763" s="260"/>
      <c r="W763" s="261"/>
      <c r="X763" s="260"/>
      <c r="Y763" s="260"/>
      <c r="Z763" s="261"/>
      <c r="AA763" s="260"/>
      <c r="AB763" s="260"/>
      <c r="AC763" s="261"/>
      <c r="AD763" s="260"/>
      <c r="AE763" s="260"/>
      <c r="AF763" s="261"/>
      <c r="AG763" s="258"/>
      <c r="AO763"/>
      <c r="AP763"/>
      <c r="AQ763"/>
      <c r="AR763"/>
      <c r="AS763"/>
      <c r="AT763"/>
      <c r="AU763"/>
      <c r="AV763"/>
      <c r="AW763"/>
      <c r="AX763"/>
      <c r="AY763"/>
      <c r="AZ763"/>
      <c r="BA763"/>
      <c r="BB763"/>
      <c r="BC763"/>
      <c r="BD763"/>
      <c r="BE763"/>
      <c r="BF763"/>
    </row>
    <row r="764" spans="14:58" ht="12" hidden="1" customHeight="1">
      <c r="N764" s="236" t="s">
        <v>3030</v>
      </c>
      <c r="O764" s="244" t="s">
        <v>2972</v>
      </c>
      <c r="P764" s="257"/>
      <c r="Q764" s="258"/>
      <c r="R764" s="260"/>
      <c r="S764" s="260"/>
      <c r="T764" s="261"/>
      <c r="U764" s="260"/>
      <c r="V764" s="260"/>
      <c r="W764" s="261"/>
      <c r="X764" s="260"/>
      <c r="Y764" s="260"/>
      <c r="Z764" s="261"/>
      <c r="AA764" s="260"/>
      <c r="AB764" s="260"/>
      <c r="AC764" s="261"/>
      <c r="AD764" s="260"/>
      <c r="AE764" s="260"/>
      <c r="AF764" s="261"/>
      <c r="AG764" s="258"/>
      <c r="AO764"/>
      <c r="AP764"/>
      <c r="AQ764"/>
      <c r="AR764"/>
      <c r="AS764"/>
      <c r="AT764"/>
      <c r="AU764"/>
      <c r="AV764"/>
      <c r="AW764"/>
      <c r="AX764"/>
      <c r="AY764"/>
      <c r="AZ764"/>
      <c r="BA764"/>
      <c r="BB764"/>
      <c r="BC764"/>
      <c r="BD764"/>
      <c r="BE764"/>
      <c r="BF764"/>
    </row>
    <row r="765" spans="14:58" ht="12" hidden="1" customHeight="1">
      <c r="N765" s="236" t="s">
        <v>3031</v>
      </c>
      <c r="O765" s="245" t="s">
        <v>3032</v>
      </c>
      <c r="P765" s="257"/>
      <c r="Q765" s="258"/>
      <c r="R765" s="260"/>
      <c r="S765" s="260"/>
      <c r="T765" s="257">
        <f>T766*T767</f>
        <v>0</v>
      </c>
      <c r="U765" s="260"/>
      <c r="V765" s="260"/>
      <c r="W765" s="257">
        <f>W766*W767</f>
        <v>0</v>
      </c>
      <c r="X765" s="260"/>
      <c r="Y765" s="260"/>
      <c r="Z765" s="257">
        <f>Z766*Z767</f>
        <v>0</v>
      </c>
      <c r="AA765" s="260"/>
      <c r="AB765" s="260"/>
      <c r="AC765" s="257">
        <f>AC766*AC767</f>
        <v>0</v>
      </c>
      <c r="AD765" s="260"/>
      <c r="AE765" s="260"/>
      <c r="AF765" s="257">
        <f>AF766*AF767</f>
        <v>0</v>
      </c>
      <c r="AG765" s="258"/>
      <c r="AO765"/>
      <c r="AP765"/>
      <c r="AQ765"/>
      <c r="AR765"/>
      <c r="AS765"/>
      <c r="AT765"/>
      <c r="AU765"/>
      <c r="AV765"/>
      <c r="AW765"/>
      <c r="AX765"/>
      <c r="AY765"/>
      <c r="AZ765"/>
      <c r="BA765"/>
      <c r="BB765"/>
      <c r="BC765"/>
      <c r="BD765"/>
      <c r="BE765"/>
      <c r="BF765"/>
    </row>
    <row r="766" spans="14:58" ht="12" hidden="1" customHeight="1">
      <c r="N766" s="236" t="s">
        <v>3033</v>
      </c>
      <c r="O766" s="244" t="s">
        <v>2970</v>
      </c>
      <c r="P766" s="257"/>
      <c r="Q766" s="258"/>
      <c r="R766" s="260"/>
      <c r="S766" s="260"/>
      <c r="T766" s="261"/>
      <c r="U766" s="260"/>
      <c r="V766" s="260"/>
      <c r="W766" s="261"/>
      <c r="X766" s="260"/>
      <c r="Y766" s="260"/>
      <c r="Z766" s="261"/>
      <c r="AA766" s="260"/>
      <c r="AB766" s="260"/>
      <c r="AC766" s="261"/>
      <c r="AD766" s="260"/>
      <c r="AE766" s="260"/>
      <c r="AF766" s="261"/>
      <c r="AG766" s="258"/>
      <c r="AO766"/>
      <c r="AP766"/>
      <c r="AQ766"/>
      <c r="AR766"/>
      <c r="AS766"/>
      <c r="AT766"/>
      <c r="AU766"/>
      <c r="AV766"/>
      <c r="AW766"/>
      <c r="AX766"/>
      <c r="AY766"/>
      <c r="AZ766"/>
      <c r="BA766"/>
      <c r="BB766"/>
      <c r="BC766"/>
      <c r="BD766"/>
      <c r="BE766"/>
      <c r="BF766"/>
    </row>
    <row r="767" spans="14:58" ht="12" hidden="1" customHeight="1">
      <c r="N767" s="236" t="s">
        <v>3034</v>
      </c>
      <c r="O767" s="244" t="s">
        <v>3018</v>
      </c>
      <c r="P767" s="257"/>
      <c r="Q767" s="258"/>
      <c r="R767" s="260"/>
      <c r="S767" s="260"/>
      <c r="T767" s="261"/>
      <c r="U767" s="260"/>
      <c r="V767" s="260"/>
      <c r="W767" s="261"/>
      <c r="X767" s="260"/>
      <c r="Y767" s="260"/>
      <c r="Z767" s="261"/>
      <c r="AA767" s="260"/>
      <c r="AB767" s="260"/>
      <c r="AC767" s="261"/>
      <c r="AD767" s="260"/>
      <c r="AE767" s="260"/>
      <c r="AF767" s="261"/>
      <c r="AG767" s="258"/>
      <c r="AO767"/>
      <c r="AP767"/>
      <c r="AQ767"/>
      <c r="AR767"/>
      <c r="AS767"/>
      <c r="AT767"/>
      <c r="AU767"/>
      <c r="AV767"/>
      <c r="AW767"/>
      <c r="AX767"/>
      <c r="AY767"/>
      <c r="AZ767"/>
      <c r="BA767"/>
      <c r="BB767"/>
      <c r="BC767"/>
      <c r="BD767"/>
      <c r="BE767"/>
      <c r="BF767"/>
    </row>
    <row r="768" spans="14:58" ht="12" hidden="1" customHeight="1">
      <c r="N768" s="236" t="s">
        <v>3035</v>
      </c>
      <c r="O768" s="242" t="s">
        <v>3036</v>
      </c>
      <c r="P768" s="257"/>
      <c r="Q768" s="258"/>
      <c r="R768" s="260"/>
      <c r="S768" s="260"/>
      <c r="T768" s="257">
        <f>T769*T770</f>
        <v>0</v>
      </c>
      <c r="U768" s="260"/>
      <c r="V768" s="260"/>
      <c r="W768" s="257">
        <f>W769*W770</f>
        <v>0</v>
      </c>
      <c r="X768" s="260"/>
      <c r="Y768" s="260"/>
      <c r="Z768" s="257">
        <f>Z769*Z770</f>
        <v>0</v>
      </c>
      <c r="AA768" s="260"/>
      <c r="AB768" s="260"/>
      <c r="AC768" s="257">
        <f>AC769*AC770</f>
        <v>0</v>
      </c>
      <c r="AD768" s="260"/>
      <c r="AE768" s="260"/>
      <c r="AF768" s="257">
        <f>AF769*AF770</f>
        <v>0</v>
      </c>
      <c r="AG768" s="258"/>
      <c r="AO768"/>
      <c r="AP768"/>
      <c r="AQ768"/>
      <c r="AR768"/>
      <c r="AS768"/>
      <c r="AT768"/>
      <c r="AU768"/>
      <c r="AV768"/>
      <c r="AW768"/>
      <c r="AX768"/>
      <c r="AY768"/>
      <c r="AZ768"/>
      <c r="BA768"/>
      <c r="BB768"/>
      <c r="BC768"/>
      <c r="BD768"/>
      <c r="BE768"/>
      <c r="BF768"/>
    </row>
    <row r="769" spans="14:58" ht="12" hidden="1" customHeight="1">
      <c r="N769" s="236" t="s">
        <v>3037</v>
      </c>
      <c r="O769" s="244" t="s">
        <v>2968</v>
      </c>
      <c r="P769" s="257"/>
      <c r="Q769" s="258"/>
      <c r="R769" s="260"/>
      <c r="S769" s="260"/>
      <c r="T769" s="261"/>
      <c r="U769" s="260"/>
      <c r="V769" s="260"/>
      <c r="W769" s="261"/>
      <c r="X769" s="260"/>
      <c r="Y769" s="260"/>
      <c r="Z769" s="261"/>
      <c r="AA769" s="260"/>
      <c r="AB769" s="260"/>
      <c r="AC769" s="261"/>
      <c r="AD769" s="260"/>
      <c r="AE769" s="260"/>
      <c r="AF769" s="261"/>
      <c r="AG769" s="258"/>
      <c r="AO769"/>
      <c r="AP769"/>
      <c r="AQ769"/>
      <c r="AR769"/>
      <c r="AS769"/>
      <c r="AT769"/>
      <c r="AU769"/>
      <c r="AV769"/>
      <c r="AW769"/>
      <c r="AX769"/>
      <c r="AY769"/>
      <c r="AZ769"/>
      <c r="BA769"/>
      <c r="BB769"/>
      <c r="BC769"/>
      <c r="BD769"/>
      <c r="BE769"/>
      <c r="BF769"/>
    </row>
    <row r="770" spans="14:58" ht="12" hidden="1" customHeight="1">
      <c r="N770" s="236" t="s">
        <v>3038</v>
      </c>
      <c r="O770" s="244" t="s">
        <v>2972</v>
      </c>
      <c r="P770" s="257"/>
      <c r="Q770" s="258"/>
      <c r="R770" s="260"/>
      <c r="S770" s="260"/>
      <c r="T770" s="261"/>
      <c r="U770" s="260"/>
      <c r="V770" s="260"/>
      <c r="W770" s="261"/>
      <c r="X770" s="260"/>
      <c r="Y770" s="260"/>
      <c r="Z770" s="261"/>
      <c r="AA770" s="260"/>
      <c r="AB770" s="260"/>
      <c r="AC770" s="261"/>
      <c r="AD770" s="260"/>
      <c r="AE770" s="260"/>
      <c r="AF770" s="261"/>
      <c r="AG770" s="258"/>
      <c r="AO770"/>
      <c r="AP770"/>
      <c r="AQ770"/>
      <c r="AR770"/>
      <c r="AS770"/>
      <c r="AT770"/>
      <c r="AU770"/>
      <c r="AV770"/>
      <c r="AW770"/>
      <c r="AX770"/>
      <c r="AY770"/>
      <c r="AZ770"/>
      <c r="BA770"/>
      <c r="BB770"/>
      <c r="BC770"/>
      <c r="BD770"/>
      <c r="BE770"/>
      <c r="BF770"/>
    </row>
    <row r="771" spans="14:58" ht="12" hidden="1" customHeight="1">
      <c r="N771" s="236" t="s">
        <v>3039</v>
      </c>
      <c r="O771" s="245" t="s">
        <v>3040</v>
      </c>
      <c r="P771" s="257"/>
      <c r="Q771" s="258"/>
      <c r="R771" s="260"/>
      <c r="S771" s="260"/>
      <c r="T771" s="257">
        <f>T772*T773</f>
        <v>0</v>
      </c>
      <c r="U771" s="260"/>
      <c r="V771" s="260"/>
      <c r="W771" s="257">
        <f>W772*W773</f>
        <v>0</v>
      </c>
      <c r="X771" s="260"/>
      <c r="Y771" s="260"/>
      <c r="Z771" s="257">
        <f>Z772*Z773</f>
        <v>0</v>
      </c>
      <c r="AA771" s="260"/>
      <c r="AB771" s="260"/>
      <c r="AC771" s="257">
        <f>AC772*AC773</f>
        <v>0</v>
      </c>
      <c r="AD771" s="260"/>
      <c r="AE771" s="260"/>
      <c r="AF771" s="257">
        <f>AF772*AF773</f>
        <v>0</v>
      </c>
      <c r="AG771" s="258"/>
      <c r="AO771"/>
      <c r="AP771"/>
      <c r="AQ771"/>
      <c r="AR771"/>
      <c r="AS771"/>
      <c r="AT771"/>
      <c r="AU771"/>
      <c r="AV771"/>
      <c r="AW771"/>
      <c r="AX771"/>
      <c r="AY771"/>
      <c r="AZ771"/>
      <c r="BA771"/>
      <c r="BB771"/>
      <c r="BC771"/>
      <c r="BD771"/>
      <c r="BE771"/>
      <c r="BF771"/>
    </row>
    <row r="772" spans="14:58" ht="12" hidden="1" customHeight="1">
      <c r="N772" s="236" t="s">
        <v>3041</v>
      </c>
      <c r="O772" s="244" t="s">
        <v>2970</v>
      </c>
      <c r="P772" s="257"/>
      <c r="Q772" s="258"/>
      <c r="R772" s="260"/>
      <c r="S772" s="260"/>
      <c r="T772" s="261"/>
      <c r="U772" s="260"/>
      <c r="V772" s="260"/>
      <c r="W772" s="261"/>
      <c r="X772" s="260"/>
      <c r="Y772" s="260"/>
      <c r="Z772" s="261"/>
      <c r="AA772" s="260"/>
      <c r="AB772" s="260"/>
      <c r="AC772" s="261"/>
      <c r="AD772" s="260"/>
      <c r="AE772" s="260"/>
      <c r="AF772" s="261"/>
      <c r="AG772" s="258"/>
      <c r="AO772"/>
      <c r="AP772"/>
      <c r="AQ772"/>
      <c r="AR772"/>
      <c r="AS772"/>
      <c r="AT772"/>
      <c r="AU772"/>
      <c r="AV772"/>
      <c r="AW772"/>
      <c r="AX772"/>
      <c r="AY772"/>
      <c r="AZ772"/>
      <c r="BA772"/>
      <c r="BB772"/>
      <c r="BC772"/>
      <c r="BD772"/>
      <c r="BE772"/>
      <c r="BF772"/>
    </row>
    <row r="773" spans="14:58" ht="12" customHeight="1">
      <c r="N773" s="236" t="s">
        <v>3042</v>
      </c>
      <c r="O773" s="244" t="s">
        <v>3018</v>
      </c>
      <c r="P773" s="257"/>
      <c r="Q773" s="258"/>
      <c r="R773" s="260"/>
      <c r="S773" s="260"/>
      <c r="T773" s="261"/>
      <c r="U773" s="260"/>
      <c r="V773" s="260"/>
      <c r="W773" s="261"/>
      <c r="X773" s="260"/>
      <c r="Y773" s="260"/>
      <c r="Z773" s="261"/>
      <c r="AA773" s="260"/>
      <c r="AB773" s="260"/>
      <c r="AC773" s="261"/>
      <c r="AD773" s="260"/>
      <c r="AE773" s="260"/>
      <c r="AF773" s="261"/>
      <c r="AG773" s="258"/>
      <c r="AO773"/>
      <c r="AP773"/>
      <c r="AQ773"/>
      <c r="AR773"/>
      <c r="AS773"/>
      <c r="AT773"/>
      <c r="AU773"/>
      <c r="AV773"/>
      <c r="AW773"/>
      <c r="AX773"/>
      <c r="AY773"/>
      <c r="AZ773"/>
      <c r="BA773"/>
      <c r="BB773"/>
      <c r="BC773"/>
      <c r="BD773"/>
      <c r="BE773"/>
      <c r="BF773"/>
    </row>
    <row r="774" spans="14:58" ht="12" customHeight="1">
      <c r="N774" s="436" t="s">
        <v>771</v>
      </c>
      <c r="O774" s="591" t="s">
        <v>3043</v>
      </c>
      <c r="P774" s="257"/>
      <c r="Q774" s="258"/>
      <c r="R774" s="260"/>
      <c r="S774" s="260"/>
      <c r="T774" s="257">
        <f>SUM(T775:T776)</f>
        <v>0</v>
      </c>
      <c r="U774" s="260"/>
      <c r="V774" s="260"/>
      <c r="W774" s="257">
        <f>SUM(W775:W776)</f>
        <v>0</v>
      </c>
      <c r="X774" s="260"/>
      <c r="Y774" s="260"/>
      <c r="Z774" s="257">
        <f>SUM(Z775:Z776)</f>
        <v>0</v>
      </c>
      <c r="AA774" s="260"/>
      <c r="AB774" s="260"/>
      <c r="AC774" s="257">
        <f>SUM(AC775:AC776)</f>
        <v>0</v>
      </c>
      <c r="AD774" s="260"/>
      <c r="AE774" s="260"/>
      <c r="AF774" s="257">
        <f>SUM(AF775:AF776)</f>
        <v>0</v>
      </c>
      <c r="AG774" s="258"/>
    </row>
    <row r="775" spans="14:58" ht="12" customHeight="1">
      <c r="N775" s="436" t="s">
        <v>772</v>
      </c>
      <c r="O775" s="592" t="s">
        <v>3044</v>
      </c>
      <c r="P775" s="257"/>
      <c r="Q775" s="258"/>
      <c r="R775" s="260"/>
      <c r="S775" s="260"/>
      <c r="T775" s="261"/>
      <c r="U775" s="260"/>
      <c r="V775" s="260"/>
      <c r="W775" s="261"/>
      <c r="X775" s="260"/>
      <c r="Y775" s="260"/>
      <c r="Z775" s="261"/>
      <c r="AA775" s="260"/>
      <c r="AB775" s="260"/>
      <c r="AC775" s="261"/>
      <c r="AD775" s="260"/>
      <c r="AE775" s="260"/>
      <c r="AF775" s="261"/>
      <c r="AG775" s="258"/>
    </row>
    <row r="776" spans="14:58" ht="12" customHeight="1">
      <c r="N776" s="236" t="s">
        <v>773</v>
      </c>
      <c r="O776" s="248" t="s">
        <v>3045</v>
      </c>
      <c r="P776" s="257"/>
      <c r="Q776" s="258"/>
      <c r="R776" s="260"/>
      <c r="S776" s="260"/>
      <c r="T776" s="257">
        <f>SUM(T779,T782,T785,T788,T791,T794,T797,T800)</f>
        <v>0</v>
      </c>
      <c r="U776" s="260"/>
      <c r="V776" s="260"/>
      <c r="W776" s="257">
        <f>SUM(W779,W782,W785,W788,W791,W794,W797,W800)</f>
        <v>0</v>
      </c>
      <c r="X776" s="260"/>
      <c r="Y776" s="260"/>
      <c r="Z776" s="257">
        <f>SUM(Z779,Z782,Z785,Z788,Z791,Z794,Z797,Z800)</f>
        <v>0</v>
      </c>
      <c r="AA776" s="260"/>
      <c r="AB776" s="260"/>
      <c r="AC776" s="257">
        <f>SUM(AC779,AC782,AC785,AC788,AC791,AC794,AC797,AC800)</f>
        <v>0</v>
      </c>
      <c r="AD776" s="260"/>
      <c r="AE776" s="260"/>
      <c r="AF776" s="257">
        <f>SUM(AF779,AF782,AF785,AF788,AF791,AF794,AF797,AF800)</f>
        <v>0</v>
      </c>
      <c r="AG776" s="258"/>
    </row>
    <row r="777" spans="14:58" ht="12" hidden="1" customHeight="1">
      <c r="N777" s="236" t="s">
        <v>3046</v>
      </c>
      <c r="O777" s="242" t="s">
        <v>2972</v>
      </c>
      <c r="P777" s="257"/>
      <c r="Q777" s="258"/>
      <c r="R777" s="260"/>
      <c r="S777" s="260"/>
      <c r="T777" s="257">
        <f>T781+T787+T793+T799</f>
        <v>0</v>
      </c>
      <c r="U777" s="260"/>
      <c r="V777" s="260"/>
      <c r="W777" s="257">
        <f>W781+W787+W793+W799</f>
        <v>0</v>
      </c>
      <c r="X777" s="260"/>
      <c r="Y777" s="260"/>
      <c r="Z777" s="257">
        <f>Z781+Z787+Z793+Z799</f>
        <v>0</v>
      </c>
      <c r="AA777" s="260"/>
      <c r="AB777" s="260"/>
      <c r="AC777" s="257">
        <f>AC781+AC787+AC793+AC799</f>
        <v>0</v>
      </c>
      <c r="AD777" s="260"/>
      <c r="AE777" s="260"/>
      <c r="AF777" s="257">
        <f>AF781+AF787+AF793+AF799</f>
        <v>0</v>
      </c>
      <c r="AG777" s="258"/>
    </row>
    <row r="778" spans="14:58" ht="12" hidden="1" customHeight="1">
      <c r="N778" s="236" t="s">
        <v>3047</v>
      </c>
      <c r="O778" s="242" t="s">
        <v>2988</v>
      </c>
      <c r="P778" s="257"/>
      <c r="Q778" s="258"/>
      <c r="R778" s="260"/>
      <c r="S778" s="260"/>
      <c r="T778" s="257">
        <f>T784+T790+T796+T802</f>
        <v>0</v>
      </c>
      <c r="U778" s="260"/>
      <c r="V778" s="260"/>
      <c r="W778" s="257">
        <f>W784+W790+W796+W802</f>
        <v>0</v>
      </c>
      <c r="X778" s="260"/>
      <c r="Y778" s="260"/>
      <c r="Z778" s="257">
        <f>Z784+Z790+Z796+Z802</f>
        <v>0</v>
      </c>
      <c r="AA778" s="260"/>
      <c r="AB778" s="260"/>
      <c r="AC778" s="257">
        <f>AC784+AC790+AC796+AC802</f>
        <v>0</v>
      </c>
      <c r="AD778" s="260"/>
      <c r="AE778" s="260"/>
      <c r="AF778" s="257">
        <f>AF784+AF790+AF796+AF802</f>
        <v>0</v>
      </c>
      <c r="AG778" s="258"/>
    </row>
    <row r="779" spans="14:58" ht="12" hidden="1" customHeight="1">
      <c r="N779" s="236" t="s">
        <v>3048</v>
      </c>
      <c r="O779" s="242" t="s">
        <v>3011</v>
      </c>
      <c r="P779" s="257"/>
      <c r="Q779" s="258"/>
      <c r="R779" s="260"/>
      <c r="S779" s="260"/>
      <c r="T779" s="257">
        <f>T780*T781</f>
        <v>0</v>
      </c>
      <c r="U779" s="260"/>
      <c r="V779" s="260"/>
      <c r="W779" s="257">
        <f>W780*W781</f>
        <v>0</v>
      </c>
      <c r="X779" s="260"/>
      <c r="Y779" s="260"/>
      <c r="Z779" s="257">
        <f>Z780*Z781</f>
        <v>0</v>
      </c>
      <c r="AA779" s="260"/>
      <c r="AB779" s="260"/>
      <c r="AC779" s="257">
        <f>AC780*AC781</f>
        <v>0</v>
      </c>
      <c r="AD779" s="260"/>
      <c r="AE779" s="260"/>
      <c r="AF779" s="257">
        <f>AF780*AF781</f>
        <v>0</v>
      </c>
      <c r="AG779" s="258"/>
    </row>
    <row r="780" spans="14:58" ht="12" hidden="1" customHeight="1">
      <c r="N780" s="236" t="s">
        <v>3049</v>
      </c>
      <c r="O780" s="244" t="s">
        <v>2968</v>
      </c>
      <c r="P780" s="257"/>
      <c r="Q780" s="258"/>
      <c r="R780" s="260"/>
      <c r="S780" s="260"/>
      <c r="T780" s="261"/>
      <c r="U780" s="260"/>
      <c r="V780" s="260"/>
      <c r="W780" s="261"/>
      <c r="X780" s="260"/>
      <c r="Y780" s="260"/>
      <c r="Z780" s="261"/>
      <c r="AA780" s="260"/>
      <c r="AB780" s="260"/>
      <c r="AC780" s="261"/>
      <c r="AD780" s="260"/>
      <c r="AE780" s="260"/>
      <c r="AF780" s="261"/>
      <c r="AG780" s="258"/>
    </row>
    <row r="781" spans="14:58" ht="12" hidden="1" customHeight="1">
      <c r="N781" s="236" t="s">
        <v>3050</v>
      </c>
      <c r="O781" s="244" t="s">
        <v>2972</v>
      </c>
      <c r="P781" s="257"/>
      <c r="Q781" s="258"/>
      <c r="R781" s="260"/>
      <c r="S781" s="260"/>
      <c r="T781" s="261"/>
      <c r="U781" s="260"/>
      <c r="V781" s="260"/>
      <c r="W781" s="261"/>
      <c r="X781" s="260"/>
      <c r="Y781" s="260"/>
      <c r="Z781" s="261"/>
      <c r="AA781" s="260"/>
      <c r="AB781" s="260"/>
      <c r="AC781" s="261"/>
      <c r="AD781" s="260"/>
      <c r="AE781" s="260"/>
      <c r="AF781" s="261"/>
      <c r="AG781" s="258"/>
    </row>
    <row r="782" spans="14:58" ht="12" hidden="1" customHeight="1">
      <c r="N782" s="236" t="s">
        <v>3051</v>
      </c>
      <c r="O782" s="245" t="s">
        <v>3015</v>
      </c>
      <c r="P782" s="257"/>
      <c r="Q782" s="258"/>
      <c r="R782" s="260"/>
      <c r="S782" s="260"/>
      <c r="T782" s="257">
        <f>T783*T784</f>
        <v>0</v>
      </c>
      <c r="U782" s="260"/>
      <c r="V782" s="260"/>
      <c r="W782" s="257">
        <f>W783*W784</f>
        <v>0</v>
      </c>
      <c r="X782" s="260"/>
      <c r="Y782" s="260"/>
      <c r="Z782" s="257">
        <f>Z783*Z784</f>
        <v>0</v>
      </c>
      <c r="AA782" s="260"/>
      <c r="AB782" s="260"/>
      <c r="AC782" s="257">
        <f>AC783*AC784</f>
        <v>0</v>
      </c>
      <c r="AD782" s="260"/>
      <c r="AE782" s="260"/>
      <c r="AF782" s="257">
        <f>AF783*AF784</f>
        <v>0</v>
      </c>
      <c r="AG782" s="258"/>
    </row>
    <row r="783" spans="14:58" ht="12" hidden="1" customHeight="1">
      <c r="N783" s="236" t="s">
        <v>3052</v>
      </c>
      <c r="O783" s="244" t="s">
        <v>2970</v>
      </c>
      <c r="P783" s="257"/>
      <c r="Q783" s="258"/>
      <c r="R783" s="260"/>
      <c r="S783" s="260"/>
      <c r="T783" s="261"/>
      <c r="U783" s="260"/>
      <c r="V783" s="260"/>
      <c r="W783" s="261"/>
      <c r="X783" s="260"/>
      <c r="Y783" s="260"/>
      <c r="Z783" s="261"/>
      <c r="AA783" s="260"/>
      <c r="AB783" s="260"/>
      <c r="AC783" s="261"/>
      <c r="AD783" s="260"/>
      <c r="AE783" s="260"/>
      <c r="AF783" s="261"/>
      <c r="AG783" s="258"/>
    </row>
    <row r="784" spans="14:58" ht="12" hidden="1" customHeight="1">
      <c r="N784" s="236" t="s">
        <v>3053</v>
      </c>
      <c r="O784" s="244" t="s">
        <v>3018</v>
      </c>
      <c r="P784" s="257"/>
      <c r="Q784" s="258"/>
      <c r="R784" s="260"/>
      <c r="S784" s="260"/>
      <c r="T784" s="261"/>
      <c r="U784" s="260"/>
      <c r="V784" s="260"/>
      <c r="W784" s="261"/>
      <c r="X784" s="260"/>
      <c r="Y784" s="260"/>
      <c r="Z784" s="261"/>
      <c r="AA784" s="260"/>
      <c r="AB784" s="260"/>
      <c r="AC784" s="261"/>
      <c r="AD784" s="260"/>
      <c r="AE784" s="260"/>
      <c r="AF784" s="261"/>
      <c r="AG784" s="258"/>
    </row>
    <row r="785" spans="14:33" ht="12" hidden="1" customHeight="1">
      <c r="N785" s="236" t="s">
        <v>3054</v>
      </c>
      <c r="O785" s="242" t="s">
        <v>3020</v>
      </c>
      <c r="P785" s="257"/>
      <c r="Q785" s="258"/>
      <c r="R785" s="260"/>
      <c r="S785" s="260"/>
      <c r="T785" s="257">
        <f>T786*T787</f>
        <v>0</v>
      </c>
      <c r="U785" s="260"/>
      <c r="V785" s="260"/>
      <c r="W785" s="257">
        <f>W786*W787</f>
        <v>0</v>
      </c>
      <c r="X785" s="260"/>
      <c r="Y785" s="260"/>
      <c r="Z785" s="257">
        <f>Z786*Z787</f>
        <v>0</v>
      </c>
      <c r="AA785" s="260"/>
      <c r="AB785" s="260"/>
      <c r="AC785" s="257">
        <f>AC786*AC787</f>
        <v>0</v>
      </c>
      <c r="AD785" s="260"/>
      <c r="AE785" s="260"/>
      <c r="AF785" s="257">
        <f>AF786*AF787</f>
        <v>0</v>
      </c>
      <c r="AG785" s="258"/>
    </row>
    <row r="786" spans="14:33" ht="12" hidden="1" customHeight="1">
      <c r="N786" s="236" t="s">
        <v>3055</v>
      </c>
      <c r="O786" s="244" t="s">
        <v>2968</v>
      </c>
      <c r="P786" s="257"/>
      <c r="Q786" s="258"/>
      <c r="R786" s="260"/>
      <c r="S786" s="260"/>
      <c r="T786" s="261"/>
      <c r="U786" s="260"/>
      <c r="V786" s="260"/>
      <c r="W786" s="261"/>
      <c r="X786" s="260"/>
      <c r="Y786" s="260"/>
      <c r="Z786" s="261"/>
      <c r="AA786" s="260"/>
      <c r="AB786" s="260"/>
      <c r="AC786" s="261"/>
      <c r="AD786" s="260"/>
      <c r="AE786" s="260"/>
      <c r="AF786" s="261"/>
      <c r="AG786" s="258"/>
    </row>
    <row r="787" spans="14:33" ht="12" hidden="1" customHeight="1">
      <c r="N787" s="236" t="s">
        <v>3056</v>
      </c>
      <c r="O787" s="244" t="s">
        <v>2972</v>
      </c>
      <c r="P787" s="257"/>
      <c r="Q787" s="258"/>
      <c r="R787" s="260"/>
      <c r="S787" s="260"/>
      <c r="T787" s="261"/>
      <c r="U787" s="260"/>
      <c r="V787" s="260"/>
      <c r="W787" s="261"/>
      <c r="X787" s="260"/>
      <c r="Y787" s="260"/>
      <c r="Z787" s="261"/>
      <c r="AA787" s="260"/>
      <c r="AB787" s="260"/>
      <c r="AC787" s="261"/>
      <c r="AD787" s="260"/>
      <c r="AE787" s="260"/>
      <c r="AF787" s="261"/>
      <c r="AG787" s="258"/>
    </row>
    <row r="788" spans="14:33" ht="12" hidden="1" customHeight="1">
      <c r="N788" s="236" t="s">
        <v>3057</v>
      </c>
      <c r="O788" s="245" t="s">
        <v>3024</v>
      </c>
      <c r="P788" s="257"/>
      <c r="Q788" s="258"/>
      <c r="R788" s="260"/>
      <c r="S788" s="260"/>
      <c r="T788" s="257">
        <f>T789*T790</f>
        <v>0</v>
      </c>
      <c r="U788" s="260"/>
      <c r="V788" s="260"/>
      <c r="W788" s="257">
        <f>W789*W790</f>
        <v>0</v>
      </c>
      <c r="X788" s="260"/>
      <c r="Y788" s="260"/>
      <c r="Z788" s="257">
        <f>Z789*Z790</f>
        <v>0</v>
      </c>
      <c r="AA788" s="260"/>
      <c r="AB788" s="260"/>
      <c r="AC788" s="257">
        <f>AC789*AC790</f>
        <v>0</v>
      </c>
      <c r="AD788" s="260"/>
      <c r="AE788" s="260"/>
      <c r="AF788" s="257">
        <f>AF789*AF790</f>
        <v>0</v>
      </c>
      <c r="AG788" s="258"/>
    </row>
    <row r="789" spans="14:33" ht="12" hidden="1" customHeight="1">
      <c r="N789" s="236" t="s">
        <v>3058</v>
      </c>
      <c r="O789" s="244" t="s">
        <v>2970</v>
      </c>
      <c r="P789" s="257"/>
      <c r="Q789" s="258"/>
      <c r="R789" s="260"/>
      <c r="S789" s="260"/>
      <c r="T789" s="261"/>
      <c r="U789" s="260"/>
      <c r="V789" s="260"/>
      <c r="W789" s="261"/>
      <c r="X789" s="260"/>
      <c r="Y789" s="260"/>
      <c r="Z789" s="261"/>
      <c r="AA789" s="260"/>
      <c r="AB789" s="260"/>
      <c r="AC789" s="261"/>
      <c r="AD789" s="260"/>
      <c r="AE789" s="260"/>
      <c r="AF789" s="261"/>
      <c r="AG789" s="258"/>
    </row>
    <row r="790" spans="14:33" ht="12" hidden="1" customHeight="1">
      <c r="N790" s="236" t="s">
        <v>3059</v>
      </c>
      <c r="O790" s="244" t="s">
        <v>3018</v>
      </c>
      <c r="P790" s="257"/>
      <c r="Q790" s="258"/>
      <c r="R790" s="260"/>
      <c r="S790" s="260"/>
      <c r="T790" s="261"/>
      <c r="U790" s="260"/>
      <c r="V790" s="260"/>
      <c r="W790" s="261"/>
      <c r="X790" s="260"/>
      <c r="Y790" s="260"/>
      <c r="Z790" s="261"/>
      <c r="AA790" s="260"/>
      <c r="AB790" s="260"/>
      <c r="AC790" s="261"/>
      <c r="AD790" s="260"/>
      <c r="AE790" s="260"/>
      <c r="AF790" s="261"/>
      <c r="AG790" s="258"/>
    </row>
    <row r="791" spans="14:33" ht="12" hidden="1" customHeight="1">
      <c r="N791" s="236" t="s">
        <v>3060</v>
      </c>
      <c r="O791" s="242" t="s">
        <v>3028</v>
      </c>
      <c r="P791" s="257"/>
      <c r="Q791" s="258"/>
      <c r="R791" s="260"/>
      <c r="S791" s="260"/>
      <c r="T791" s="257">
        <f>T792*T793</f>
        <v>0</v>
      </c>
      <c r="U791" s="260"/>
      <c r="V791" s="260"/>
      <c r="W791" s="257">
        <f>W792*W793</f>
        <v>0</v>
      </c>
      <c r="X791" s="260"/>
      <c r="Y791" s="260"/>
      <c r="Z791" s="257">
        <f>Z792*Z793</f>
        <v>0</v>
      </c>
      <c r="AA791" s="260"/>
      <c r="AB791" s="260"/>
      <c r="AC791" s="257">
        <f>AC792*AC793</f>
        <v>0</v>
      </c>
      <c r="AD791" s="260"/>
      <c r="AE791" s="260"/>
      <c r="AF791" s="257">
        <f>AF792*AF793</f>
        <v>0</v>
      </c>
      <c r="AG791" s="258"/>
    </row>
    <row r="792" spans="14:33" ht="12" hidden="1" customHeight="1">
      <c r="N792" s="236" t="s">
        <v>3061</v>
      </c>
      <c r="O792" s="244" t="s">
        <v>2968</v>
      </c>
      <c r="P792" s="257"/>
      <c r="Q792" s="258"/>
      <c r="R792" s="260"/>
      <c r="S792" s="260"/>
      <c r="T792" s="261"/>
      <c r="U792" s="260"/>
      <c r="V792" s="260"/>
      <c r="W792" s="261"/>
      <c r="X792" s="260"/>
      <c r="Y792" s="260"/>
      <c r="Z792" s="261"/>
      <c r="AA792" s="260"/>
      <c r="AB792" s="260"/>
      <c r="AC792" s="261"/>
      <c r="AD792" s="260"/>
      <c r="AE792" s="260"/>
      <c r="AF792" s="261"/>
      <c r="AG792" s="258"/>
    </row>
    <row r="793" spans="14:33" ht="12" hidden="1" customHeight="1">
      <c r="N793" s="236" t="s">
        <v>3062</v>
      </c>
      <c r="O793" s="244" t="s">
        <v>2972</v>
      </c>
      <c r="P793" s="257"/>
      <c r="Q793" s="258"/>
      <c r="R793" s="260"/>
      <c r="S793" s="260"/>
      <c r="T793" s="261"/>
      <c r="U793" s="260"/>
      <c r="V793" s="260"/>
      <c r="W793" s="261"/>
      <c r="X793" s="260"/>
      <c r="Y793" s="260"/>
      <c r="Z793" s="261"/>
      <c r="AA793" s="260"/>
      <c r="AB793" s="260"/>
      <c r="AC793" s="261"/>
      <c r="AD793" s="260"/>
      <c r="AE793" s="260"/>
      <c r="AF793" s="261"/>
      <c r="AG793" s="258"/>
    </row>
    <row r="794" spans="14:33" ht="12" hidden="1" customHeight="1">
      <c r="N794" s="236" t="s">
        <v>3063</v>
      </c>
      <c r="O794" s="245" t="s">
        <v>3032</v>
      </c>
      <c r="P794" s="257"/>
      <c r="Q794" s="258"/>
      <c r="R794" s="260"/>
      <c r="S794" s="260"/>
      <c r="T794" s="257">
        <f>T795*T796</f>
        <v>0</v>
      </c>
      <c r="U794" s="260"/>
      <c r="V794" s="260"/>
      <c r="W794" s="257">
        <f>W795*W796</f>
        <v>0</v>
      </c>
      <c r="X794" s="260"/>
      <c r="Y794" s="260"/>
      <c r="Z794" s="257">
        <f>Z795*Z796</f>
        <v>0</v>
      </c>
      <c r="AA794" s="260"/>
      <c r="AB794" s="260"/>
      <c r="AC794" s="257">
        <f>AC795*AC796</f>
        <v>0</v>
      </c>
      <c r="AD794" s="260"/>
      <c r="AE794" s="260"/>
      <c r="AF794" s="257">
        <f>AF795*AF796</f>
        <v>0</v>
      </c>
      <c r="AG794" s="258"/>
    </row>
    <row r="795" spans="14:33" ht="12" hidden="1" customHeight="1">
      <c r="N795" s="236" t="s">
        <v>3064</v>
      </c>
      <c r="O795" s="244" t="s">
        <v>2970</v>
      </c>
      <c r="P795" s="257"/>
      <c r="Q795" s="258"/>
      <c r="R795" s="260"/>
      <c r="S795" s="260"/>
      <c r="T795" s="261"/>
      <c r="U795" s="260"/>
      <c r="V795" s="260"/>
      <c r="W795" s="261"/>
      <c r="X795" s="260"/>
      <c r="Y795" s="260"/>
      <c r="Z795" s="261"/>
      <c r="AA795" s="260"/>
      <c r="AB795" s="260"/>
      <c r="AC795" s="261"/>
      <c r="AD795" s="260"/>
      <c r="AE795" s="260"/>
      <c r="AF795" s="261"/>
      <c r="AG795" s="258"/>
    </row>
    <row r="796" spans="14:33" ht="12" hidden="1" customHeight="1">
      <c r="N796" s="236" t="s">
        <v>3065</v>
      </c>
      <c r="O796" s="244" t="s">
        <v>3018</v>
      </c>
      <c r="P796" s="257"/>
      <c r="Q796" s="258"/>
      <c r="R796" s="260"/>
      <c r="S796" s="260"/>
      <c r="T796" s="261"/>
      <c r="U796" s="260"/>
      <c r="V796" s="260"/>
      <c r="W796" s="261"/>
      <c r="X796" s="260"/>
      <c r="Y796" s="260"/>
      <c r="Z796" s="261"/>
      <c r="AA796" s="260"/>
      <c r="AB796" s="260"/>
      <c r="AC796" s="261"/>
      <c r="AD796" s="260"/>
      <c r="AE796" s="260"/>
      <c r="AF796" s="261"/>
      <c r="AG796" s="258"/>
    </row>
    <row r="797" spans="14:33" ht="12" hidden="1" customHeight="1">
      <c r="N797" s="236" t="s">
        <v>3066</v>
      </c>
      <c r="O797" s="242" t="s">
        <v>3036</v>
      </c>
      <c r="P797" s="257"/>
      <c r="Q797" s="258"/>
      <c r="R797" s="260"/>
      <c r="S797" s="260"/>
      <c r="T797" s="257">
        <f>T798*T799</f>
        <v>0</v>
      </c>
      <c r="U797" s="260"/>
      <c r="V797" s="260"/>
      <c r="W797" s="257">
        <f>W798*W799</f>
        <v>0</v>
      </c>
      <c r="X797" s="260"/>
      <c r="Y797" s="260"/>
      <c r="Z797" s="257">
        <f>Z798*Z799</f>
        <v>0</v>
      </c>
      <c r="AA797" s="260"/>
      <c r="AB797" s="260"/>
      <c r="AC797" s="257">
        <f>AC798*AC799</f>
        <v>0</v>
      </c>
      <c r="AD797" s="260"/>
      <c r="AE797" s="260"/>
      <c r="AF797" s="257">
        <f>AF798*AF799</f>
        <v>0</v>
      </c>
      <c r="AG797" s="258"/>
    </row>
    <row r="798" spans="14:33" ht="12" hidden="1" customHeight="1">
      <c r="N798" s="236" t="s">
        <v>3067</v>
      </c>
      <c r="O798" s="244" t="s">
        <v>2968</v>
      </c>
      <c r="P798" s="257"/>
      <c r="Q798" s="258"/>
      <c r="R798" s="260"/>
      <c r="S798" s="260"/>
      <c r="T798" s="261"/>
      <c r="U798" s="260"/>
      <c r="V798" s="260"/>
      <c r="W798" s="261"/>
      <c r="X798" s="260"/>
      <c r="Y798" s="260"/>
      <c r="Z798" s="261"/>
      <c r="AA798" s="260"/>
      <c r="AB798" s="260"/>
      <c r="AC798" s="261"/>
      <c r="AD798" s="260"/>
      <c r="AE798" s="260"/>
      <c r="AF798" s="261"/>
      <c r="AG798" s="258"/>
    </row>
    <row r="799" spans="14:33" ht="12" hidden="1" customHeight="1">
      <c r="N799" s="236" t="s">
        <v>3068</v>
      </c>
      <c r="O799" s="244" t="s">
        <v>2972</v>
      </c>
      <c r="P799" s="257"/>
      <c r="Q799" s="258"/>
      <c r="R799" s="260"/>
      <c r="S799" s="260"/>
      <c r="T799" s="261"/>
      <c r="U799" s="260"/>
      <c r="V799" s="260"/>
      <c r="W799" s="261"/>
      <c r="X799" s="260"/>
      <c r="Y799" s="260"/>
      <c r="Z799" s="261"/>
      <c r="AA799" s="260"/>
      <c r="AB799" s="260"/>
      <c r="AC799" s="261"/>
      <c r="AD799" s="260"/>
      <c r="AE799" s="260"/>
      <c r="AF799" s="261"/>
      <c r="AG799" s="258"/>
    </row>
    <row r="800" spans="14:33" ht="12" hidden="1" customHeight="1">
      <c r="N800" s="236" t="s">
        <v>3069</v>
      </c>
      <c r="O800" s="245" t="s">
        <v>3040</v>
      </c>
      <c r="P800" s="257"/>
      <c r="Q800" s="258"/>
      <c r="R800" s="260"/>
      <c r="S800" s="260"/>
      <c r="T800" s="257">
        <f>T801*T802</f>
        <v>0</v>
      </c>
      <c r="U800" s="260"/>
      <c r="V800" s="260"/>
      <c r="W800" s="257">
        <f>W801*W802</f>
        <v>0</v>
      </c>
      <c r="X800" s="260"/>
      <c r="Y800" s="260"/>
      <c r="Z800" s="257">
        <f>Z801*Z802</f>
        <v>0</v>
      </c>
      <c r="AA800" s="260"/>
      <c r="AB800" s="260"/>
      <c r="AC800" s="257">
        <f>AC801*AC802</f>
        <v>0</v>
      </c>
      <c r="AD800" s="260"/>
      <c r="AE800" s="260"/>
      <c r="AF800" s="257">
        <f>AF801*AF802</f>
        <v>0</v>
      </c>
      <c r="AG800" s="258"/>
    </row>
    <row r="801" spans="14:33" ht="12" hidden="1" customHeight="1">
      <c r="N801" s="236" t="s">
        <v>3070</v>
      </c>
      <c r="O801" s="244" t="s">
        <v>2970</v>
      </c>
      <c r="P801" s="257"/>
      <c r="Q801" s="258"/>
      <c r="R801" s="260"/>
      <c r="S801" s="260"/>
      <c r="T801" s="261"/>
      <c r="U801" s="260"/>
      <c r="V801" s="260"/>
      <c r="W801" s="261"/>
      <c r="X801" s="260"/>
      <c r="Y801" s="260"/>
      <c r="Z801" s="261"/>
      <c r="AA801" s="260"/>
      <c r="AB801" s="260"/>
      <c r="AC801" s="261"/>
      <c r="AD801" s="260"/>
      <c r="AE801" s="260"/>
      <c r="AF801" s="261"/>
      <c r="AG801" s="258"/>
    </row>
    <row r="802" spans="14:33" ht="12" customHeight="1">
      <c r="N802" s="236" t="s">
        <v>3071</v>
      </c>
      <c r="O802" s="244" t="s">
        <v>3018</v>
      </c>
      <c r="P802" s="257"/>
      <c r="Q802" s="258"/>
      <c r="R802" s="260"/>
      <c r="S802" s="260"/>
      <c r="T802" s="261"/>
      <c r="U802" s="260"/>
      <c r="V802" s="260"/>
      <c r="W802" s="261"/>
      <c r="X802" s="260"/>
      <c r="Y802" s="260"/>
      <c r="Z802" s="261"/>
      <c r="AA802" s="260"/>
      <c r="AB802" s="260"/>
      <c r="AC802" s="261"/>
      <c r="AD802" s="260"/>
      <c r="AE802" s="260"/>
      <c r="AF802" s="261"/>
      <c r="AG802" s="258"/>
    </row>
    <row r="803" spans="14:33" ht="12" customHeight="1">
      <c r="N803" s="234" t="s">
        <v>3072</v>
      </c>
      <c r="O803" s="235" t="s">
        <v>799</v>
      </c>
      <c r="P803" s="257"/>
      <c r="Q803" s="258"/>
      <c r="R803" s="260"/>
      <c r="S803" s="260"/>
      <c r="T803" s="257">
        <f>SUM(T807,T813,T819,T822,T825)</f>
        <v>0</v>
      </c>
      <c r="U803" s="260"/>
      <c r="V803" s="260"/>
      <c r="W803" s="257">
        <f>SUM(W807,W813,W819,W822,W825)</f>
        <v>0</v>
      </c>
      <c r="X803" s="260"/>
      <c r="Y803" s="260"/>
      <c r="Z803" s="257">
        <f>SUM(Z807,Z813,Z819,Z822,Z825)</f>
        <v>0</v>
      </c>
      <c r="AA803" s="260"/>
      <c r="AB803" s="260"/>
      <c r="AC803" s="257">
        <f>SUM(AC807,AC813,AC819,AC822,AC825)</f>
        <v>0</v>
      </c>
      <c r="AD803" s="260"/>
      <c r="AE803" s="260"/>
      <c r="AF803" s="257">
        <f>SUM(AF807,AF813,AF819,AF822,AF825)</f>
        <v>0</v>
      </c>
      <c r="AG803" s="258"/>
    </row>
    <row r="804" spans="14:33" ht="12" customHeight="1">
      <c r="N804" s="279" t="s">
        <v>2793</v>
      </c>
      <c r="O804" s="488" t="s">
        <v>2782</v>
      </c>
      <c r="P804" s="257"/>
      <c r="Q804" s="258"/>
      <c r="R804" s="260"/>
      <c r="S804" s="260"/>
      <c r="T804" s="257">
        <f>IF(T805=0,0,(1000*T803/T805)/$AN$8)</f>
        <v>0</v>
      </c>
      <c r="U804" s="260"/>
      <c r="V804" s="260"/>
      <c r="W804" s="257">
        <f>IF(W805=0,0,(1000*W803/W805)/$AN$8)</f>
        <v>0</v>
      </c>
      <c r="X804" s="260"/>
      <c r="Y804" s="260"/>
      <c r="Z804" s="257">
        <f>IF(Z805=0,0,(1000*Z803/Z805)/$AN$8)</f>
        <v>0</v>
      </c>
      <c r="AA804" s="260"/>
      <c r="AB804" s="260"/>
      <c r="AC804" s="257">
        <f>IF(AC805=0,0,(1000*AC803/AC805)/$AN$8)</f>
        <v>0</v>
      </c>
      <c r="AD804" s="260"/>
      <c r="AE804" s="260"/>
      <c r="AF804" s="257">
        <f>IF(AF805=0,0,(1000*AF803/AF805)/$AN$8)</f>
        <v>0</v>
      </c>
      <c r="AG804" s="258"/>
    </row>
    <row r="805" spans="14:33" ht="12" customHeight="1">
      <c r="N805" s="279" t="s">
        <v>2794</v>
      </c>
      <c r="O805" s="488" t="s">
        <v>2783</v>
      </c>
      <c r="P805" s="257"/>
      <c r="Q805" s="258"/>
      <c r="R805" s="260"/>
      <c r="S805" s="260"/>
      <c r="T805" s="257">
        <f>SUM(T809,T815,T821,T824,T827)</f>
        <v>0</v>
      </c>
      <c r="U805" s="260"/>
      <c r="V805" s="260"/>
      <c r="W805" s="257">
        <f>SUM(W809,W815,W821,W824,W827)</f>
        <v>0</v>
      </c>
      <c r="X805" s="260"/>
      <c r="Y805" s="260"/>
      <c r="Z805" s="257">
        <f>SUM(Z809,Z815,Z821,Z824,Z827)</f>
        <v>0</v>
      </c>
      <c r="AA805" s="260"/>
      <c r="AB805" s="260"/>
      <c r="AC805" s="257">
        <f>SUM(AC809,AC815,AC821,AC824,AC827)</f>
        <v>0</v>
      </c>
      <c r="AD805" s="260"/>
      <c r="AE805" s="260"/>
      <c r="AF805" s="257">
        <f>SUM(AF809,AF815,AF821,AF824,AF827)</f>
        <v>0</v>
      </c>
      <c r="AG805" s="258"/>
    </row>
    <row r="806" spans="14:33" ht="12" customHeight="1">
      <c r="N806" s="279" t="s">
        <v>204</v>
      </c>
      <c r="O806" s="488" t="s">
        <v>120</v>
      </c>
      <c r="P806" s="263"/>
      <c r="Q806" s="258"/>
      <c r="R806" s="260"/>
      <c r="S806" s="260"/>
      <c r="T806" s="261"/>
      <c r="U806" s="260"/>
      <c r="V806" s="260"/>
      <c r="W806" s="261"/>
      <c r="X806" s="260"/>
      <c r="Y806" s="260"/>
      <c r="Z806" s="261"/>
      <c r="AA806" s="260"/>
      <c r="AB806" s="260"/>
      <c r="AC806" s="261"/>
      <c r="AD806" s="260"/>
      <c r="AE806" s="260"/>
      <c r="AF806" s="261"/>
      <c r="AG806" s="258"/>
    </row>
    <row r="807" spans="14:33" ht="12" customHeight="1">
      <c r="N807" s="236" t="s">
        <v>75</v>
      </c>
      <c r="O807" s="224" t="s">
        <v>1832</v>
      </c>
      <c r="P807" s="257"/>
      <c r="Q807" s="258"/>
      <c r="R807" s="260"/>
      <c r="S807" s="260"/>
      <c r="T807" s="261"/>
      <c r="U807" s="260"/>
      <c r="V807" s="260"/>
      <c r="W807" s="261"/>
      <c r="X807" s="260"/>
      <c r="Y807" s="260"/>
      <c r="Z807" s="261"/>
      <c r="AA807" s="260"/>
      <c r="AB807" s="260"/>
      <c r="AC807" s="261"/>
      <c r="AD807" s="260"/>
      <c r="AE807" s="260"/>
      <c r="AF807" s="261"/>
      <c r="AG807" s="258"/>
    </row>
    <row r="808" spans="14:33" ht="12" customHeight="1">
      <c r="N808" s="236" t="s">
        <v>1833</v>
      </c>
      <c r="O808" s="225" t="s">
        <v>1834</v>
      </c>
      <c r="P808" s="257"/>
      <c r="Q808" s="258"/>
      <c r="R808" s="260"/>
      <c r="S808" s="260"/>
      <c r="T808" s="257">
        <f>IF(T809=0,0,(1000*T807/T809)/$AN$8)</f>
        <v>0</v>
      </c>
      <c r="U808" s="260"/>
      <c r="V808" s="260"/>
      <c r="W808" s="257">
        <f>IF(W809=0,0,(1000*W807/W809)/$AN$8)</f>
        <v>0</v>
      </c>
      <c r="X808" s="260"/>
      <c r="Y808" s="260"/>
      <c r="Z808" s="257">
        <f>IF(Z809=0,0,(1000*Z807/Z809)/$AN$8)</f>
        <v>0</v>
      </c>
      <c r="AA808" s="260"/>
      <c r="AB808" s="260"/>
      <c r="AC808" s="257">
        <f>IF(AC809=0,0,(1000*AC807/AC809)/$AN$8)</f>
        <v>0</v>
      </c>
      <c r="AD808" s="260"/>
      <c r="AE808" s="260"/>
      <c r="AF808" s="257">
        <f>IF(AF809=0,0,(1000*AF807/AF809)/$AN$8)</f>
        <v>0</v>
      </c>
      <c r="AG808" s="258"/>
    </row>
    <row r="809" spans="14:33" ht="12" customHeight="1">
      <c r="N809" s="236" t="s">
        <v>1835</v>
      </c>
      <c r="O809" s="225" t="s">
        <v>1836</v>
      </c>
      <c r="P809" s="257"/>
      <c r="Q809" s="258"/>
      <c r="R809" s="260"/>
      <c r="S809" s="260"/>
      <c r="T809" s="261"/>
      <c r="U809" s="260"/>
      <c r="V809" s="260"/>
      <c r="W809" s="261"/>
      <c r="X809" s="260"/>
      <c r="Y809" s="260"/>
      <c r="Z809" s="261"/>
      <c r="AA809" s="260"/>
      <c r="AB809" s="260"/>
      <c r="AC809" s="261"/>
      <c r="AD809" s="260"/>
      <c r="AE809" s="260"/>
      <c r="AF809" s="261"/>
      <c r="AG809" s="258"/>
    </row>
    <row r="810" spans="14:33" ht="12" customHeight="1">
      <c r="N810" s="236" t="s">
        <v>208</v>
      </c>
      <c r="O810" s="488" t="s">
        <v>119</v>
      </c>
      <c r="P810" s="263"/>
      <c r="Q810" s="258"/>
      <c r="R810" s="260"/>
      <c r="S810" s="260"/>
      <c r="T810" s="261"/>
      <c r="U810" s="260"/>
      <c r="V810" s="260"/>
      <c r="W810" s="261"/>
      <c r="X810" s="260"/>
      <c r="Y810" s="260"/>
      <c r="Z810" s="261"/>
      <c r="AA810" s="260"/>
      <c r="AB810" s="260"/>
      <c r="AC810" s="261"/>
      <c r="AD810" s="260"/>
      <c r="AE810" s="260"/>
      <c r="AF810" s="261"/>
      <c r="AG810" s="258"/>
    </row>
    <row r="811" spans="14:33" ht="12" customHeight="1">
      <c r="N811" s="236" t="s">
        <v>209</v>
      </c>
      <c r="O811" s="488" t="s">
        <v>121</v>
      </c>
      <c r="P811" s="263"/>
      <c r="Q811" s="258"/>
      <c r="R811" s="260"/>
      <c r="S811" s="260"/>
      <c r="T811" s="261"/>
      <c r="U811" s="260"/>
      <c r="V811" s="260"/>
      <c r="W811" s="261"/>
      <c r="X811" s="260"/>
      <c r="Y811" s="260"/>
      <c r="Z811" s="261"/>
      <c r="AA811" s="260"/>
      <c r="AB811" s="260"/>
      <c r="AC811" s="261"/>
      <c r="AD811" s="260"/>
      <c r="AE811" s="260"/>
      <c r="AF811" s="261"/>
      <c r="AG811" s="258"/>
    </row>
    <row r="812" spans="14:33" ht="12" customHeight="1">
      <c r="N812" s="236" t="s">
        <v>210</v>
      </c>
      <c r="O812" s="488" t="s">
        <v>122</v>
      </c>
      <c r="P812" s="263"/>
      <c r="Q812" s="258"/>
      <c r="R812" s="260"/>
      <c r="S812" s="260"/>
      <c r="T812" s="261"/>
      <c r="U812" s="260"/>
      <c r="V812" s="260"/>
      <c r="W812" s="261"/>
      <c r="X812" s="260"/>
      <c r="Y812" s="260"/>
      <c r="Z812" s="261"/>
      <c r="AA812" s="260"/>
      <c r="AB812" s="260"/>
      <c r="AC812" s="261"/>
      <c r="AD812" s="260"/>
      <c r="AE812" s="260"/>
      <c r="AF812" s="261"/>
      <c r="AG812" s="258"/>
    </row>
    <row r="813" spans="14:33" ht="12" customHeight="1">
      <c r="N813" s="236" t="s">
        <v>62</v>
      </c>
      <c r="O813" s="224" t="s">
        <v>1838</v>
      </c>
      <c r="P813" s="257"/>
      <c r="Q813" s="258"/>
      <c r="R813" s="260"/>
      <c r="S813" s="260"/>
      <c r="T813" s="261"/>
      <c r="U813" s="260"/>
      <c r="V813" s="260"/>
      <c r="W813" s="261"/>
      <c r="X813" s="260"/>
      <c r="Y813" s="260"/>
      <c r="Z813" s="261"/>
      <c r="AA813" s="260"/>
      <c r="AB813" s="260"/>
      <c r="AC813" s="261"/>
      <c r="AD813" s="260"/>
      <c r="AE813" s="260"/>
      <c r="AF813" s="261"/>
      <c r="AG813" s="258"/>
    </row>
    <row r="814" spans="14:33" ht="12" customHeight="1">
      <c r="N814" s="236" t="s">
        <v>1837</v>
      </c>
      <c r="O814" s="228" t="s">
        <v>1839</v>
      </c>
      <c r="P814" s="257"/>
      <c r="Q814" s="258"/>
      <c r="R814" s="260"/>
      <c r="S814" s="260"/>
      <c r="T814" s="257">
        <f>IF(T815=0,0,(1000*T813/T815)/$AN$8)</f>
        <v>0</v>
      </c>
      <c r="U814" s="260"/>
      <c r="V814" s="260"/>
      <c r="W814" s="257">
        <f>IF(W815=0,0,(1000*W813/W815)/$AN$8)</f>
        <v>0</v>
      </c>
      <c r="X814" s="260"/>
      <c r="Y814" s="260"/>
      <c r="Z814" s="257">
        <f>IF(Z815=0,0,(1000*Z813/Z815)/$AN$8)</f>
        <v>0</v>
      </c>
      <c r="AA814" s="260"/>
      <c r="AB814" s="260"/>
      <c r="AC814" s="257">
        <f>IF(AC815=0,0,(1000*AC813/AC815)/$AN$8)</f>
        <v>0</v>
      </c>
      <c r="AD814" s="260"/>
      <c r="AE814" s="260"/>
      <c r="AF814" s="257">
        <f>IF(AF815=0,0,(1000*AF813/AF815)/$AN$8)</f>
        <v>0</v>
      </c>
      <c r="AG814" s="258"/>
    </row>
    <row r="815" spans="14:33" ht="12" customHeight="1">
      <c r="N815" s="236" t="s">
        <v>1840</v>
      </c>
      <c r="O815" s="228" t="s">
        <v>1841</v>
      </c>
      <c r="P815" s="257"/>
      <c r="Q815" s="258"/>
      <c r="R815" s="260"/>
      <c r="S815" s="260"/>
      <c r="T815" s="261"/>
      <c r="U815" s="260"/>
      <c r="V815" s="260"/>
      <c r="W815" s="261"/>
      <c r="X815" s="260"/>
      <c r="Y815" s="260"/>
      <c r="Z815" s="261"/>
      <c r="AA815" s="260"/>
      <c r="AB815" s="260"/>
      <c r="AC815" s="261"/>
      <c r="AD815" s="260"/>
      <c r="AE815" s="260"/>
      <c r="AF815" s="261"/>
      <c r="AG815" s="258"/>
    </row>
    <row r="816" spans="14:33" ht="12" customHeight="1">
      <c r="N816" s="236" t="s">
        <v>205</v>
      </c>
      <c r="O816" s="488" t="s">
        <v>119</v>
      </c>
      <c r="P816" s="263"/>
      <c r="Q816" s="258"/>
      <c r="R816" s="260"/>
      <c r="S816" s="260"/>
      <c r="T816" s="261"/>
      <c r="U816" s="260"/>
      <c r="V816" s="260"/>
      <c r="W816" s="261"/>
      <c r="X816" s="260"/>
      <c r="Y816" s="260"/>
      <c r="Z816" s="261"/>
      <c r="AA816" s="260"/>
      <c r="AB816" s="260"/>
      <c r="AC816" s="261"/>
      <c r="AD816" s="260"/>
      <c r="AE816" s="260"/>
      <c r="AF816" s="261"/>
      <c r="AG816" s="258"/>
    </row>
    <row r="817" spans="14:33" ht="12" customHeight="1">
      <c r="N817" s="236" t="s">
        <v>206</v>
      </c>
      <c r="O817" s="488" t="s">
        <v>121</v>
      </c>
      <c r="P817" s="263"/>
      <c r="Q817" s="258"/>
      <c r="R817" s="260"/>
      <c r="S817" s="260"/>
      <c r="T817" s="261"/>
      <c r="U817" s="260"/>
      <c r="V817" s="260"/>
      <c r="W817" s="261"/>
      <c r="X817" s="260"/>
      <c r="Y817" s="260"/>
      <c r="Z817" s="261"/>
      <c r="AA817" s="260"/>
      <c r="AB817" s="260"/>
      <c r="AC817" s="261"/>
      <c r="AD817" s="260"/>
      <c r="AE817" s="260"/>
      <c r="AF817" s="261"/>
      <c r="AG817" s="258"/>
    </row>
    <row r="818" spans="14:33" ht="12" customHeight="1">
      <c r="N818" s="236" t="s">
        <v>207</v>
      </c>
      <c r="O818" s="488" t="s">
        <v>122</v>
      </c>
      <c r="P818" s="263"/>
      <c r="Q818" s="258"/>
      <c r="R818" s="260"/>
      <c r="S818" s="260"/>
      <c r="T818" s="261"/>
      <c r="U818" s="260"/>
      <c r="V818" s="260"/>
      <c r="W818" s="261"/>
      <c r="X818" s="260"/>
      <c r="Y818" s="260"/>
      <c r="Z818" s="261"/>
      <c r="AA818" s="260"/>
      <c r="AB818" s="260"/>
      <c r="AC818" s="261"/>
      <c r="AD818" s="260"/>
      <c r="AE818" s="260"/>
      <c r="AF818" s="261"/>
      <c r="AG818" s="258"/>
    </row>
    <row r="819" spans="14:33" ht="12" customHeight="1">
      <c r="N819" s="236" t="s">
        <v>68</v>
      </c>
      <c r="O819" s="224" t="s">
        <v>1843</v>
      </c>
      <c r="P819" s="257"/>
      <c r="Q819" s="258"/>
      <c r="R819" s="260"/>
      <c r="S819" s="260"/>
      <c r="T819" s="261"/>
      <c r="U819" s="260"/>
      <c r="V819" s="260"/>
      <c r="W819" s="261"/>
      <c r="X819" s="260"/>
      <c r="Y819" s="260"/>
      <c r="Z819" s="261"/>
      <c r="AA819" s="260"/>
      <c r="AB819" s="260"/>
      <c r="AC819" s="261"/>
      <c r="AD819" s="260"/>
      <c r="AE819" s="260"/>
      <c r="AF819" s="261"/>
      <c r="AG819" s="258"/>
    </row>
    <row r="820" spans="14:33" ht="12" customHeight="1">
      <c r="N820" s="236" t="s">
        <v>71</v>
      </c>
      <c r="O820" s="228" t="s">
        <v>1844</v>
      </c>
      <c r="P820" s="257"/>
      <c r="Q820" s="258"/>
      <c r="R820" s="260"/>
      <c r="S820" s="260"/>
      <c r="T820" s="257">
        <f>IF(T821=0,0,(1000*T819/T821)/$AN$8)</f>
        <v>0</v>
      </c>
      <c r="U820" s="260"/>
      <c r="V820" s="260"/>
      <c r="W820" s="257">
        <f>IF(W821=0,0,(1000*W819/W821)/$AN$8)</f>
        <v>0</v>
      </c>
      <c r="X820" s="260"/>
      <c r="Y820" s="260"/>
      <c r="Z820" s="257">
        <f>IF(Z821=0,0,(1000*Z819/Z821)/$AN$8)</f>
        <v>0</v>
      </c>
      <c r="AA820" s="260"/>
      <c r="AB820" s="260"/>
      <c r="AC820" s="257">
        <f>IF(AC821=0,0,(1000*AC819/AC821)/$AN$8)</f>
        <v>0</v>
      </c>
      <c r="AD820" s="260"/>
      <c r="AE820" s="260"/>
      <c r="AF820" s="257">
        <f>IF(AF821=0,0,(1000*AF819/AF821)/$AN$8)</f>
        <v>0</v>
      </c>
      <c r="AG820" s="258"/>
    </row>
    <row r="821" spans="14:33" ht="12" customHeight="1">
      <c r="N821" s="236" t="s">
        <v>1845</v>
      </c>
      <c r="O821" s="228" t="s">
        <v>1846</v>
      </c>
      <c r="P821" s="257"/>
      <c r="Q821" s="258"/>
      <c r="R821" s="260"/>
      <c r="S821" s="260"/>
      <c r="T821" s="261"/>
      <c r="U821" s="260"/>
      <c r="V821" s="260"/>
      <c r="W821" s="261"/>
      <c r="X821" s="260"/>
      <c r="Y821" s="260"/>
      <c r="Z821" s="261"/>
      <c r="AA821" s="260"/>
      <c r="AB821" s="260"/>
      <c r="AC821" s="261"/>
      <c r="AD821" s="260"/>
      <c r="AE821" s="260"/>
      <c r="AF821" s="261"/>
      <c r="AG821" s="258"/>
    </row>
    <row r="822" spans="14:33" ht="12" customHeight="1">
      <c r="N822" s="236" t="s">
        <v>1848</v>
      </c>
      <c r="O822" s="224" t="s">
        <v>1849</v>
      </c>
      <c r="P822" s="257"/>
      <c r="Q822" s="258"/>
      <c r="R822" s="260"/>
      <c r="S822" s="260"/>
      <c r="T822" s="261"/>
      <c r="U822" s="260"/>
      <c r="V822" s="260"/>
      <c r="W822" s="261"/>
      <c r="X822" s="260"/>
      <c r="Y822" s="260"/>
      <c r="Z822" s="261"/>
      <c r="AA822" s="260"/>
      <c r="AB822" s="260"/>
      <c r="AC822" s="261"/>
      <c r="AD822" s="260"/>
      <c r="AE822" s="260"/>
      <c r="AF822" s="261"/>
      <c r="AG822" s="258"/>
    </row>
    <row r="823" spans="14:33" ht="12" customHeight="1">
      <c r="N823" s="236" t="s">
        <v>1850</v>
      </c>
      <c r="O823" s="228" t="s">
        <v>1851</v>
      </c>
      <c r="P823" s="257"/>
      <c r="Q823" s="258"/>
      <c r="R823" s="260"/>
      <c r="S823" s="260"/>
      <c r="T823" s="257">
        <f>IF(T824=0,0,(1000*T822/T824)/$AN$8)</f>
        <v>0</v>
      </c>
      <c r="U823" s="260"/>
      <c r="V823" s="260"/>
      <c r="W823" s="257">
        <f>IF(W824=0,0,(1000*W822/W824)/$AN$8)</f>
        <v>0</v>
      </c>
      <c r="X823" s="260"/>
      <c r="Y823" s="260"/>
      <c r="Z823" s="257">
        <f>IF(Z824=0,0,(1000*Z822/Z824)/$AN$8)</f>
        <v>0</v>
      </c>
      <c r="AA823" s="260"/>
      <c r="AB823" s="260"/>
      <c r="AC823" s="257">
        <f>IF(AC824=0,0,(1000*AC822/AC824)/$AN$8)</f>
        <v>0</v>
      </c>
      <c r="AD823" s="260"/>
      <c r="AE823" s="260"/>
      <c r="AF823" s="257">
        <f>IF(AF824=0,0,(1000*AF822/AF824)/$AN$8)</f>
        <v>0</v>
      </c>
      <c r="AG823" s="258"/>
    </row>
    <row r="824" spans="14:33" ht="12" customHeight="1">
      <c r="N824" s="236" t="s">
        <v>1852</v>
      </c>
      <c r="O824" s="225" t="s">
        <v>1853</v>
      </c>
      <c r="P824" s="257"/>
      <c r="Q824" s="258"/>
      <c r="R824" s="260"/>
      <c r="S824" s="260"/>
      <c r="T824" s="261"/>
      <c r="U824" s="260"/>
      <c r="V824" s="260"/>
      <c r="W824" s="261"/>
      <c r="X824" s="260"/>
      <c r="Y824" s="260"/>
      <c r="Z824" s="261"/>
      <c r="AA824" s="260"/>
      <c r="AB824" s="260"/>
      <c r="AC824" s="261"/>
      <c r="AD824" s="260"/>
      <c r="AE824" s="260"/>
      <c r="AF824" s="261"/>
      <c r="AG824" s="258"/>
    </row>
    <row r="825" spans="14:33" ht="12" customHeight="1">
      <c r="N825" s="236" t="s">
        <v>1855</v>
      </c>
      <c r="O825" s="224" t="s">
        <v>1856</v>
      </c>
      <c r="P825" s="257"/>
      <c r="Q825" s="258"/>
      <c r="R825" s="260"/>
      <c r="S825" s="260"/>
      <c r="T825" s="261"/>
      <c r="U825" s="260"/>
      <c r="V825" s="260"/>
      <c r="W825" s="261"/>
      <c r="X825" s="260"/>
      <c r="Y825" s="260"/>
      <c r="Z825" s="261"/>
      <c r="AA825" s="260"/>
      <c r="AB825" s="260"/>
      <c r="AC825" s="261"/>
      <c r="AD825" s="260"/>
      <c r="AE825" s="260"/>
      <c r="AF825" s="261"/>
      <c r="AG825" s="258"/>
    </row>
    <row r="826" spans="14:33" ht="12" customHeight="1">
      <c r="N826" s="236" t="s">
        <v>1857</v>
      </c>
      <c r="O826" s="228" t="s">
        <v>2307</v>
      </c>
      <c r="P826" s="257"/>
      <c r="Q826" s="258"/>
      <c r="R826" s="260"/>
      <c r="S826" s="260"/>
      <c r="T826" s="257">
        <f>IF(T827=0,0,(1000*T825/T827)/$AN$8)</f>
        <v>0</v>
      </c>
      <c r="U826" s="260"/>
      <c r="V826" s="260"/>
      <c r="W826" s="257">
        <f>IF(W827=0,0,(1000*W825/W827)/$AN$8)</f>
        <v>0</v>
      </c>
      <c r="X826" s="260"/>
      <c r="Y826" s="260"/>
      <c r="Z826" s="257">
        <f>IF(Z827=0,0,(1000*Z825/Z827)/$AN$8)</f>
        <v>0</v>
      </c>
      <c r="AA826" s="260"/>
      <c r="AB826" s="260"/>
      <c r="AC826" s="257">
        <f>IF(AC827=0,0,(1000*AC825/AC827)/$AN$8)</f>
        <v>0</v>
      </c>
      <c r="AD826" s="260"/>
      <c r="AE826" s="260"/>
      <c r="AF826" s="257">
        <f>IF(AF827=0,0,(1000*AF825/AF827)/$AN$8)</f>
        <v>0</v>
      </c>
      <c r="AG826" s="258"/>
    </row>
    <row r="827" spans="14:33" ht="12" customHeight="1">
      <c r="N827" s="236" t="s">
        <v>1859</v>
      </c>
      <c r="O827" s="225" t="s">
        <v>1860</v>
      </c>
      <c r="P827" s="257"/>
      <c r="Q827" s="258"/>
      <c r="R827" s="260"/>
      <c r="S827" s="260"/>
      <c r="T827" s="261"/>
      <c r="U827" s="260"/>
      <c r="V827" s="260"/>
      <c r="W827" s="261"/>
      <c r="X827" s="260"/>
      <c r="Y827" s="260"/>
      <c r="Z827" s="261"/>
      <c r="AA827" s="260"/>
      <c r="AB827" s="260"/>
      <c r="AC827" s="261"/>
      <c r="AD827" s="260"/>
      <c r="AE827" s="260"/>
      <c r="AF827" s="261"/>
      <c r="AG827" s="258"/>
    </row>
    <row r="828" spans="14:33" ht="12" customHeight="1">
      <c r="N828" s="234" t="s">
        <v>2412</v>
      </c>
      <c r="O828" s="235" t="s">
        <v>2413</v>
      </c>
      <c r="P828" s="257"/>
      <c r="Q828" s="258"/>
      <c r="R828" s="260"/>
      <c r="S828" s="260"/>
      <c r="T828" s="257">
        <f>SUM(T829:T833)</f>
        <v>0</v>
      </c>
      <c r="U828" s="260"/>
      <c r="V828" s="260"/>
      <c r="W828" s="257">
        <f>SUM(W829:W833)</f>
        <v>0</v>
      </c>
      <c r="X828" s="260"/>
      <c r="Y828" s="260"/>
      <c r="Z828" s="257">
        <f>SUM(Z829:Z833)</f>
        <v>0</v>
      </c>
      <c r="AA828" s="260"/>
      <c r="AB828" s="260"/>
      <c r="AC828" s="257">
        <f>SUM(AC829:AC833)</f>
        <v>0</v>
      </c>
      <c r="AD828" s="260"/>
      <c r="AE828" s="260"/>
      <c r="AF828" s="257">
        <f>SUM(AF829:AF833)</f>
        <v>0</v>
      </c>
      <c r="AG828" s="258"/>
    </row>
    <row r="829" spans="14:33" ht="12" customHeight="1">
      <c r="N829" s="236" t="s">
        <v>2414</v>
      </c>
      <c r="O829" s="224" t="s">
        <v>2415</v>
      </c>
      <c r="P829" s="257"/>
      <c r="Q829" s="258"/>
      <c r="R829" s="260"/>
      <c r="S829" s="260"/>
      <c r="T829" s="261"/>
      <c r="U829" s="260"/>
      <c r="V829" s="260"/>
      <c r="W829" s="261"/>
      <c r="X829" s="260"/>
      <c r="Y829" s="260"/>
      <c r="Z829" s="261"/>
      <c r="AA829" s="260"/>
      <c r="AB829" s="260"/>
      <c r="AC829" s="261"/>
      <c r="AD829" s="260"/>
      <c r="AE829" s="260"/>
      <c r="AF829" s="261"/>
      <c r="AG829" s="258"/>
    </row>
    <row r="830" spans="14:33" ht="12" customHeight="1">
      <c r="N830" s="236" t="s">
        <v>2416</v>
      </c>
      <c r="O830" s="224" t="s">
        <v>2417</v>
      </c>
      <c r="P830" s="257"/>
      <c r="Q830" s="258"/>
      <c r="R830" s="260"/>
      <c r="S830" s="260"/>
      <c r="T830" s="261"/>
      <c r="U830" s="260"/>
      <c r="V830" s="260"/>
      <c r="W830" s="261"/>
      <c r="X830" s="260"/>
      <c r="Y830" s="260"/>
      <c r="Z830" s="261"/>
      <c r="AA830" s="260"/>
      <c r="AB830" s="260"/>
      <c r="AC830" s="261"/>
      <c r="AD830" s="260"/>
      <c r="AE830" s="260"/>
      <c r="AF830" s="261"/>
      <c r="AG830" s="258"/>
    </row>
    <row r="831" spans="14:33" ht="12" customHeight="1">
      <c r="N831" s="236" t="s">
        <v>2419</v>
      </c>
      <c r="O831" s="224" t="s">
        <v>2420</v>
      </c>
      <c r="P831" s="257"/>
      <c r="Q831" s="258"/>
      <c r="R831" s="260"/>
      <c r="S831" s="260"/>
      <c r="T831" s="261"/>
      <c r="U831" s="260"/>
      <c r="V831" s="260"/>
      <c r="W831" s="261"/>
      <c r="X831" s="260"/>
      <c r="Y831" s="260"/>
      <c r="Z831" s="261"/>
      <c r="AA831" s="260"/>
      <c r="AB831" s="260"/>
      <c r="AC831" s="261"/>
      <c r="AD831" s="260"/>
      <c r="AE831" s="260"/>
      <c r="AF831" s="261"/>
      <c r="AG831" s="258"/>
    </row>
    <row r="832" spans="14:33" ht="12" customHeight="1">
      <c r="N832" s="236" t="s">
        <v>2422</v>
      </c>
      <c r="O832" s="224" t="s">
        <v>2423</v>
      </c>
      <c r="P832" s="257"/>
      <c r="Q832" s="258"/>
      <c r="R832" s="260"/>
      <c r="S832" s="260"/>
      <c r="T832" s="261"/>
      <c r="U832" s="260"/>
      <c r="V832" s="260"/>
      <c r="W832" s="261"/>
      <c r="X832" s="260"/>
      <c r="Y832" s="260"/>
      <c r="Z832" s="261"/>
      <c r="AA832" s="260"/>
      <c r="AB832" s="260"/>
      <c r="AC832" s="261"/>
      <c r="AD832" s="260"/>
      <c r="AE832" s="260"/>
      <c r="AF832" s="261"/>
      <c r="AG832" s="258"/>
    </row>
    <row r="833" spans="14:45" ht="12" customHeight="1">
      <c r="N833" s="236" t="s">
        <v>2425</v>
      </c>
      <c r="O833" s="224" t="s">
        <v>2426</v>
      </c>
      <c r="P833" s="257"/>
      <c r="Q833" s="258"/>
      <c r="R833" s="260"/>
      <c r="S833" s="260"/>
      <c r="T833" s="261"/>
      <c r="U833" s="260"/>
      <c r="V833" s="260"/>
      <c r="W833" s="261"/>
      <c r="X833" s="260"/>
      <c r="Y833" s="260"/>
      <c r="Z833" s="261"/>
      <c r="AA833" s="260"/>
      <c r="AB833" s="260"/>
      <c r="AC833" s="261"/>
      <c r="AD833" s="260"/>
      <c r="AE833" s="260"/>
      <c r="AF833" s="261"/>
      <c r="AG833" s="258"/>
    </row>
    <row r="834" spans="14:45" ht="12" customHeight="1">
      <c r="N834" s="236" t="s">
        <v>2427</v>
      </c>
      <c r="O834" s="235" t="s">
        <v>2428</v>
      </c>
      <c r="P834" s="257"/>
      <c r="Q834" s="258"/>
      <c r="R834" s="260"/>
      <c r="S834" s="260"/>
      <c r="T834" s="261"/>
      <c r="U834" s="260"/>
      <c r="V834" s="260"/>
      <c r="W834" s="261"/>
      <c r="X834" s="260"/>
      <c r="Y834" s="260"/>
      <c r="Z834" s="261"/>
      <c r="AA834" s="260"/>
      <c r="AB834" s="260"/>
      <c r="AC834" s="261"/>
      <c r="AD834" s="260"/>
      <c r="AE834" s="260"/>
      <c r="AF834" s="261"/>
      <c r="AG834" s="258"/>
    </row>
    <row r="835" spans="14:45" ht="12" customHeight="1">
      <c r="N835" s="234" t="s">
        <v>2429</v>
      </c>
      <c r="O835" s="224" t="s">
        <v>2430</v>
      </c>
      <c r="P835" s="257"/>
      <c r="Q835" s="258"/>
      <c r="R835" s="260"/>
      <c r="S835" s="260"/>
      <c r="T835" s="261"/>
      <c r="U835" s="260"/>
      <c r="V835" s="260"/>
      <c r="W835" s="261"/>
      <c r="X835" s="260"/>
      <c r="Y835" s="260"/>
      <c r="Z835" s="261"/>
      <c r="AA835" s="260"/>
      <c r="AB835" s="260"/>
      <c r="AC835" s="261"/>
      <c r="AD835" s="260"/>
      <c r="AE835" s="260"/>
      <c r="AF835" s="261"/>
      <c r="AG835" s="258"/>
    </row>
    <row r="836" spans="14:45" ht="12" customHeight="1">
      <c r="N836" s="234" t="s">
        <v>2431</v>
      </c>
      <c r="O836" s="235" t="s">
        <v>2432</v>
      </c>
      <c r="P836" s="257"/>
      <c r="Q836" s="258"/>
      <c r="R836" s="260"/>
      <c r="S836" s="260"/>
      <c r="T836" s="257">
        <f>SUM(T837:T844)</f>
        <v>0</v>
      </c>
      <c r="U836" s="260"/>
      <c r="V836" s="260"/>
      <c r="W836" s="257">
        <f>SUM(W837:W844)</f>
        <v>0</v>
      </c>
      <c r="X836" s="260"/>
      <c r="Y836" s="260"/>
      <c r="Z836" s="257">
        <f>SUM(Z837:Z844)</f>
        <v>0</v>
      </c>
      <c r="AA836" s="260"/>
      <c r="AB836" s="260"/>
      <c r="AC836" s="257">
        <f>SUM(AC837:AC844)</f>
        <v>0</v>
      </c>
      <c r="AD836" s="260"/>
      <c r="AE836" s="260"/>
      <c r="AF836" s="257">
        <f>SUM(AF837:AF844)</f>
        <v>0</v>
      </c>
      <c r="AG836" s="258"/>
    </row>
    <row r="837" spans="14:45" ht="12" customHeight="1">
      <c r="N837" s="236" t="s">
        <v>1842</v>
      </c>
      <c r="O837" s="224" t="s">
        <v>2433</v>
      </c>
      <c r="P837" s="257"/>
      <c r="Q837" s="258"/>
      <c r="R837" s="260"/>
      <c r="S837" s="260"/>
      <c r="T837" s="261"/>
      <c r="U837" s="260"/>
      <c r="V837" s="260"/>
      <c r="W837" s="261"/>
      <c r="X837" s="260"/>
      <c r="Y837" s="260"/>
      <c r="Z837" s="261"/>
      <c r="AA837" s="260"/>
      <c r="AB837" s="260"/>
      <c r="AC837" s="261"/>
      <c r="AD837" s="260"/>
      <c r="AE837" s="260"/>
      <c r="AF837" s="261"/>
      <c r="AG837" s="258"/>
    </row>
    <row r="838" spans="14:45" ht="12" customHeight="1">
      <c r="N838" s="236" t="s">
        <v>2418</v>
      </c>
      <c r="O838" s="224" t="s">
        <v>2434</v>
      </c>
      <c r="P838" s="257"/>
      <c r="Q838" s="258"/>
      <c r="R838" s="260"/>
      <c r="S838" s="260"/>
      <c r="T838" s="261"/>
      <c r="U838" s="260"/>
      <c r="V838" s="260"/>
      <c r="W838" s="261"/>
      <c r="X838" s="260"/>
      <c r="Y838" s="260"/>
      <c r="Z838" s="261"/>
      <c r="AA838" s="260"/>
      <c r="AB838" s="260"/>
      <c r="AC838" s="261"/>
      <c r="AD838" s="260"/>
      <c r="AE838" s="260"/>
      <c r="AF838" s="261"/>
      <c r="AG838" s="258"/>
    </row>
    <row r="839" spans="14:45" ht="12" customHeight="1">
      <c r="N839" s="236" t="s">
        <v>2435</v>
      </c>
      <c r="O839" s="224" t="s">
        <v>2436</v>
      </c>
      <c r="P839" s="257"/>
      <c r="Q839" s="258"/>
      <c r="R839" s="260"/>
      <c r="S839" s="260"/>
      <c r="T839" s="261"/>
      <c r="U839" s="260"/>
      <c r="V839" s="260"/>
      <c r="W839" s="261"/>
      <c r="X839" s="260"/>
      <c r="Y839" s="260"/>
      <c r="Z839" s="261"/>
      <c r="AA839" s="260"/>
      <c r="AB839" s="260"/>
      <c r="AC839" s="261"/>
      <c r="AD839" s="260"/>
      <c r="AE839" s="260"/>
      <c r="AF839" s="261"/>
      <c r="AG839" s="258"/>
    </row>
    <row r="840" spans="14:45" ht="12" customHeight="1">
      <c r="N840" s="236" t="s">
        <v>2437</v>
      </c>
      <c r="O840" s="224" t="s">
        <v>2438</v>
      </c>
      <c r="P840" s="257"/>
      <c r="Q840" s="258"/>
      <c r="R840" s="260"/>
      <c r="S840" s="260"/>
      <c r="T840" s="261"/>
      <c r="U840" s="260"/>
      <c r="V840" s="260"/>
      <c r="W840" s="261"/>
      <c r="X840" s="260"/>
      <c r="Y840" s="260"/>
      <c r="Z840" s="261"/>
      <c r="AA840" s="260"/>
      <c r="AB840" s="260"/>
      <c r="AC840" s="261"/>
      <c r="AD840" s="260"/>
      <c r="AE840" s="260"/>
      <c r="AF840" s="261"/>
      <c r="AG840" s="258"/>
    </row>
    <row r="841" spans="14:45" ht="12" customHeight="1">
      <c r="N841" s="236" t="s">
        <v>2439</v>
      </c>
      <c r="O841" s="224" t="s">
        <v>2440</v>
      </c>
      <c r="P841" s="257"/>
      <c r="Q841" s="258"/>
      <c r="R841" s="260"/>
      <c r="S841" s="260"/>
      <c r="T841" s="261"/>
      <c r="U841" s="260"/>
      <c r="V841" s="260"/>
      <c r="W841" s="261"/>
      <c r="X841" s="260"/>
      <c r="Y841" s="260"/>
      <c r="Z841" s="261"/>
      <c r="AA841" s="260"/>
      <c r="AB841" s="260"/>
      <c r="AC841" s="261"/>
      <c r="AD841" s="260"/>
      <c r="AE841" s="260"/>
      <c r="AF841" s="261"/>
      <c r="AG841" s="258"/>
    </row>
    <row r="842" spans="14:45" ht="12" customHeight="1">
      <c r="N842" s="236" t="s">
        <v>2441</v>
      </c>
      <c r="O842" s="224" t="s">
        <v>2442</v>
      </c>
      <c r="P842" s="257"/>
      <c r="Q842" s="258"/>
      <c r="R842" s="260"/>
      <c r="S842" s="260"/>
      <c r="T842" s="261"/>
      <c r="U842" s="260"/>
      <c r="V842" s="260"/>
      <c r="W842" s="261"/>
      <c r="X842" s="260"/>
      <c r="Y842" s="260"/>
      <c r="Z842" s="261"/>
      <c r="AA842" s="260"/>
      <c r="AB842" s="260"/>
      <c r="AC842" s="261"/>
      <c r="AD842" s="260"/>
      <c r="AE842" s="260"/>
      <c r="AF842" s="261"/>
      <c r="AG842" s="258"/>
    </row>
    <row r="843" spans="14:45" ht="12" customHeight="1">
      <c r="N843" s="236" t="s">
        <v>2443</v>
      </c>
      <c r="O843" s="224" t="s">
        <v>2444</v>
      </c>
      <c r="P843" s="257"/>
      <c r="Q843" s="258"/>
      <c r="R843" s="260"/>
      <c r="S843" s="260"/>
      <c r="T843" s="261"/>
      <c r="U843" s="260"/>
      <c r="V843" s="260"/>
      <c r="W843" s="261"/>
      <c r="X843" s="260"/>
      <c r="Y843" s="260"/>
      <c r="Z843" s="261"/>
      <c r="AA843" s="260"/>
      <c r="AB843" s="260"/>
      <c r="AC843" s="261"/>
      <c r="AD843" s="260"/>
      <c r="AE843" s="260"/>
      <c r="AF843" s="261"/>
      <c r="AG843" s="258"/>
    </row>
    <row r="844" spans="14:45" ht="12" customHeight="1">
      <c r="N844" s="236" t="s">
        <v>842</v>
      </c>
      <c r="O844" s="224" t="s">
        <v>843</v>
      </c>
      <c r="P844" s="257"/>
      <c r="Q844" s="258"/>
      <c r="R844" s="260"/>
      <c r="S844" s="260"/>
      <c r="T844" s="261"/>
      <c r="U844" s="260"/>
      <c r="V844" s="260"/>
      <c r="W844" s="261"/>
      <c r="X844" s="260"/>
      <c r="Y844" s="260"/>
      <c r="Z844" s="261"/>
      <c r="AA844" s="260"/>
      <c r="AB844" s="260"/>
      <c r="AC844" s="261"/>
      <c r="AD844" s="260"/>
      <c r="AE844" s="260"/>
      <c r="AF844" s="261"/>
      <c r="AG844" s="258"/>
    </row>
    <row r="845" spans="14:45" ht="12" customHeight="1">
      <c r="N845" s="236"/>
      <c r="O845" s="231"/>
      <c r="P845" s="260"/>
      <c r="Q845" s="258"/>
      <c r="R845" s="260"/>
      <c r="S845" s="260"/>
      <c r="T845" s="278"/>
      <c r="U845" s="260"/>
      <c r="V845" s="260"/>
      <c r="W845" s="278"/>
      <c r="X845" s="260"/>
      <c r="Y845" s="260"/>
      <c r="Z845" s="278"/>
      <c r="AA845" s="260"/>
      <c r="AB845" s="260"/>
      <c r="AC845" s="278"/>
      <c r="AD845" s="260"/>
      <c r="AE845" s="260"/>
      <c r="AF845" s="278"/>
      <c r="AG845" s="258"/>
      <c r="AI845"/>
      <c r="AJ845"/>
      <c r="AK845"/>
      <c r="AL845"/>
      <c r="AM845"/>
      <c r="AN845"/>
      <c r="AO845"/>
      <c r="AP845"/>
      <c r="AQ845"/>
      <c r="AR845"/>
      <c r="AS845"/>
    </row>
    <row r="846" spans="14:45" ht="12" customHeight="1">
      <c r="N846" s="236"/>
      <c r="O846" s="231"/>
      <c r="P846" s="260"/>
      <c r="Q846" s="258"/>
      <c r="R846" s="260"/>
      <c r="S846" s="260"/>
      <c r="T846" s="278"/>
      <c r="U846" s="260"/>
      <c r="V846" s="260"/>
      <c r="W846" s="278"/>
      <c r="X846" s="260"/>
      <c r="Y846" s="260"/>
      <c r="Z846" s="278"/>
      <c r="AA846" s="260"/>
      <c r="AB846" s="260"/>
      <c r="AC846" s="278"/>
      <c r="AD846" s="260"/>
      <c r="AE846" s="260"/>
      <c r="AF846" s="278"/>
      <c r="AG846" s="258"/>
      <c r="AI846"/>
      <c r="AJ846"/>
      <c r="AK846"/>
      <c r="AL846"/>
      <c r="AM846"/>
      <c r="AN846"/>
      <c r="AO846"/>
      <c r="AP846"/>
      <c r="AQ846"/>
      <c r="AR846"/>
      <c r="AS846"/>
    </row>
    <row r="847" spans="14:45" ht="12" customHeight="1">
      <c r="N847" s="236"/>
      <c r="O847" s="231"/>
      <c r="P847" s="260"/>
      <c r="Q847" s="258"/>
      <c r="R847" s="260"/>
      <c r="S847" s="260"/>
      <c r="T847" s="278"/>
      <c r="U847" s="260"/>
      <c r="V847" s="260"/>
      <c r="W847" s="278"/>
      <c r="X847" s="260"/>
      <c r="Y847" s="260"/>
      <c r="Z847" s="278"/>
      <c r="AA847" s="260"/>
      <c r="AB847" s="260"/>
      <c r="AC847" s="278"/>
      <c r="AD847" s="260"/>
      <c r="AE847" s="260"/>
      <c r="AF847" s="278"/>
      <c r="AG847" s="258"/>
      <c r="AI847"/>
      <c r="AJ847"/>
      <c r="AK847"/>
      <c r="AL847"/>
      <c r="AM847"/>
      <c r="AN847"/>
      <c r="AO847"/>
      <c r="AP847"/>
      <c r="AQ847"/>
      <c r="AR847"/>
      <c r="AS847"/>
    </row>
    <row r="848" spans="14:45" ht="12" customHeight="1">
      <c r="N848" s="236"/>
      <c r="O848" s="231"/>
      <c r="P848" s="260"/>
      <c r="Q848" s="258"/>
      <c r="R848" s="260"/>
      <c r="S848" s="260"/>
      <c r="T848" s="278"/>
      <c r="U848" s="260"/>
      <c r="V848" s="260"/>
      <c r="W848" s="278"/>
      <c r="X848" s="260"/>
      <c r="Y848" s="260"/>
      <c r="Z848" s="278"/>
      <c r="AA848" s="260"/>
      <c r="AB848" s="260"/>
      <c r="AC848" s="278"/>
      <c r="AD848" s="260"/>
      <c r="AE848" s="260"/>
      <c r="AF848" s="278"/>
      <c r="AG848" s="258"/>
      <c r="AI848"/>
      <c r="AJ848"/>
      <c r="AK848"/>
      <c r="AL848"/>
      <c r="AM848"/>
      <c r="AN848"/>
      <c r="AO848"/>
      <c r="AP848"/>
      <c r="AQ848"/>
      <c r="AR848"/>
      <c r="AS848"/>
    </row>
    <row r="849" spans="13:45" ht="12" customHeight="1">
      <c r="N849" s="236"/>
      <c r="O849" s="231"/>
      <c r="P849" s="260"/>
      <c r="Q849" s="258"/>
      <c r="R849" s="260"/>
      <c r="S849" s="260"/>
      <c r="T849" s="278"/>
      <c r="U849" s="260"/>
      <c r="V849" s="260"/>
      <c r="W849" s="278"/>
      <c r="X849" s="260"/>
      <c r="Y849" s="260"/>
      <c r="Z849" s="278"/>
      <c r="AA849" s="260"/>
      <c r="AB849" s="260"/>
      <c r="AC849" s="278"/>
      <c r="AD849" s="260"/>
      <c r="AE849" s="260"/>
      <c r="AF849" s="278"/>
      <c r="AG849" s="258"/>
      <c r="AI849"/>
      <c r="AJ849"/>
      <c r="AK849"/>
      <c r="AL849"/>
      <c r="AM849"/>
      <c r="AN849"/>
      <c r="AO849"/>
      <c r="AP849"/>
      <c r="AQ849"/>
      <c r="AR849"/>
      <c r="AS849"/>
    </row>
    <row r="850" spans="13:45" ht="12" customHeight="1">
      <c r="N850" s="236"/>
      <c r="O850" s="231"/>
      <c r="P850" s="260"/>
      <c r="Q850" s="258"/>
      <c r="R850" s="260"/>
      <c r="S850" s="260"/>
      <c r="T850" s="278"/>
      <c r="U850" s="260"/>
      <c r="V850" s="260"/>
      <c r="W850" s="278"/>
      <c r="X850" s="260"/>
      <c r="Y850" s="260"/>
      <c r="Z850" s="278"/>
      <c r="AA850" s="260"/>
      <c r="AB850" s="260"/>
      <c r="AC850" s="278"/>
      <c r="AD850" s="260"/>
      <c r="AE850" s="260"/>
      <c r="AF850" s="278"/>
      <c r="AG850" s="258"/>
      <c r="AI850"/>
      <c r="AJ850"/>
      <c r="AK850"/>
      <c r="AL850"/>
      <c r="AM850"/>
      <c r="AN850"/>
      <c r="AO850"/>
      <c r="AP850"/>
      <c r="AQ850"/>
      <c r="AR850"/>
      <c r="AS850"/>
    </row>
    <row r="851" spans="13:45" ht="12" customHeight="1">
      <c r="N851" s="236"/>
      <c r="O851" s="224"/>
      <c r="P851" s="260"/>
      <c r="Q851" s="258"/>
      <c r="R851" s="260"/>
      <c r="S851" s="260"/>
      <c r="T851" s="260"/>
      <c r="U851" s="260"/>
      <c r="V851" s="260"/>
      <c r="W851" s="260"/>
      <c r="X851" s="260"/>
      <c r="Y851" s="260"/>
      <c r="Z851" s="260"/>
      <c r="AA851" s="260"/>
      <c r="AB851" s="260"/>
      <c r="AC851" s="260"/>
      <c r="AD851" s="260"/>
      <c r="AE851" s="260"/>
      <c r="AF851" s="260"/>
      <c r="AG851" s="258"/>
    </row>
    <row r="852" spans="13:45" ht="12" customHeight="1">
      <c r="N852" s="236"/>
      <c r="O852" s="224"/>
      <c r="P852" s="260"/>
      <c r="Q852" s="258"/>
      <c r="R852" s="260"/>
      <c r="S852" s="260"/>
      <c r="T852" s="260"/>
      <c r="U852" s="260"/>
      <c r="V852" s="260"/>
      <c r="W852" s="260"/>
      <c r="X852" s="260"/>
      <c r="Y852" s="260"/>
      <c r="Z852" s="260"/>
      <c r="AA852" s="260"/>
      <c r="AB852" s="260"/>
      <c r="AC852" s="260"/>
      <c r="AD852" s="260"/>
      <c r="AE852" s="260"/>
      <c r="AF852" s="260"/>
      <c r="AG852" s="258"/>
    </row>
    <row r="853" spans="13:45" ht="12" customHeight="1">
      <c r="N853" s="236" t="s">
        <v>844</v>
      </c>
      <c r="O853" s="235" t="s">
        <v>853</v>
      </c>
      <c r="P853" s="257"/>
      <c r="Q853" s="258"/>
      <c r="R853" s="260"/>
      <c r="S853" s="260"/>
      <c r="T853" s="257">
        <f>SUM(T15,T21,T25,T27,T727,T803,T828,T834,T836,T845)-T850</f>
        <v>0</v>
      </c>
      <c r="U853" s="260"/>
      <c r="V853" s="260"/>
      <c r="W853" s="257">
        <f>SUM(W15,W21,W25,W27,W727,W803,W828,W834,W836,W845)-W850</f>
        <v>0</v>
      </c>
      <c r="X853" s="260"/>
      <c r="Y853" s="260"/>
      <c r="Z853" s="257">
        <f>SUM(Z15,Z21,Z25,Z27,Z727,Z803,Z828,Z834,Z836,Z845)-Z850</f>
        <v>0</v>
      </c>
      <c r="AA853" s="260"/>
      <c r="AB853" s="260"/>
      <c r="AC853" s="257">
        <f>SUM(AC15,AC21,AC25,AC27,AC727,AC803,AC828,AC834,AC836,AC845)-AC850</f>
        <v>0</v>
      </c>
      <c r="AD853" s="260"/>
      <c r="AE853" s="260"/>
      <c r="AF853" s="257">
        <f>SUM(AF15,AF21,AF25,AF27,AF727,AF803,AF828,AF834,AF836,AF845)-AF850</f>
        <v>0</v>
      </c>
      <c r="AG853" s="258"/>
      <c r="AI853"/>
      <c r="AJ853"/>
      <c r="AK853"/>
      <c r="AL853"/>
      <c r="AM853"/>
      <c r="AN853"/>
      <c r="AO853"/>
      <c r="AP853"/>
      <c r="AQ853"/>
      <c r="AR853"/>
      <c r="AS853"/>
    </row>
    <row r="854" spans="13:45" ht="12" customHeight="1">
      <c r="N854" s="234" t="s">
        <v>854</v>
      </c>
      <c r="O854" s="205" t="s">
        <v>76</v>
      </c>
      <c r="P854" s="257"/>
      <c r="Q854" s="258"/>
      <c r="R854" s="260"/>
      <c r="S854" s="260"/>
      <c r="T854" s="257">
        <f>SUM(T16,T22,T26,T813,T830)</f>
        <v>0</v>
      </c>
      <c r="U854" s="260"/>
      <c r="V854" s="260"/>
      <c r="W854" s="257">
        <f>SUM(W16,W22,W26,W813,W830)</f>
        <v>0</v>
      </c>
      <c r="X854" s="260"/>
      <c r="Y854" s="260"/>
      <c r="Z854" s="257">
        <f>SUM(Z16,Z22,Z26,Z813,Z830)</f>
        <v>0</v>
      </c>
      <c r="AA854" s="260"/>
      <c r="AB854" s="260"/>
      <c r="AC854" s="257">
        <f>SUM(AC16,AC22,AC26,AC813,AC830)</f>
        <v>0</v>
      </c>
      <c r="AD854" s="260"/>
      <c r="AE854" s="260"/>
      <c r="AF854" s="257">
        <f>SUM(AF16,AF22,AF26,AF813,AF830)</f>
        <v>0</v>
      </c>
      <c r="AG854" s="258"/>
      <c r="AI854"/>
      <c r="AJ854"/>
      <c r="AK854"/>
      <c r="AL854"/>
      <c r="AM854"/>
      <c r="AN854"/>
      <c r="AO854"/>
      <c r="AP854"/>
      <c r="AQ854"/>
      <c r="AR854"/>
      <c r="AS854"/>
    </row>
    <row r="855" spans="13:45" ht="12" customHeight="1">
      <c r="N855" s="236"/>
      <c r="O855" s="235"/>
      <c r="P855" s="260"/>
      <c r="Q855" s="258"/>
      <c r="R855" s="260"/>
      <c r="S855" s="260"/>
      <c r="T855" s="260"/>
      <c r="U855" s="260"/>
      <c r="V855" s="260"/>
      <c r="W855" s="260"/>
      <c r="X855" s="260"/>
      <c r="Y855" s="260"/>
      <c r="Z855" s="260"/>
      <c r="AA855" s="260"/>
      <c r="AB855" s="260"/>
      <c r="AC855" s="260"/>
      <c r="AD855" s="260"/>
      <c r="AE855" s="260"/>
      <c r="AF855" s="260"/>
      <c r="AG855" s="258"/>
      <c r="AI855"/>
      <c r="AJ855"/>
      <c r="AK855"/>
      <c r="AL855"/>
      <c r="AM855"/>
      <c r="AN855"/>
      <c r="AO855"/>
      <c r="AP855"/>
      <c r="AQ855"/>
      <c r="AR855"/>
      <c r="AS855"/>
    </row>
    <row r="856" spans="13:45" ht="12" hidden="1" customHeight="1">
      <c r="N856" s="236"/>
      <c r="O856" s="205"/>
      <c r="P856" s="260"/>
      <c r="Q856" s="258"/>
      <c r="R856" s="260"/>
      <c r="S856" s="260"/>
      <c r="T856" s="260"/>
      <c r="U856" s="260"/>
      <c r="V856" s="260"/>
      <c r="W856" s="260"/>
      <c r="X856" s="260"/>
      <c r="Y856" s="260"/>
      <c r="Z856" s="260"/>
      <c r="AA856" s="260"/>
      <c r="AB856" s="260"/>
      <c r="AC856" s="260"/>
      <c r="AD856" s="260"/>
      <c r="AE856" s="260"/>
      <c r="AF856" s="260"/>
      <c r="AG856" s="258"/>
      <c r="AI856"/>
      <c r="AJ856"/>
      <c r="AK856"/>
      <c r="AL856"/>
      <c r="AM856"/>
      <c r="AN856"/>
      <c r="AO856"/>
      <c r="AP856"/>
      <c r="AQ856"/>
      <c r="AR856"/>
      <c r="AS856"/>
    </row>
    <row r="857" spans="13:45" ht="12" hidden="1" customHeight="1">
      <c r="N857" s="236"/>
      <c r="O857" s="205"/>
      <c r="P857" s="260"/>
      <c r="Q857" s="258"/>
      <c r="R857" s="260"/>
      <c r="S857" s="260"/>
      <c r="T857" s="260"/>
      <c r="U857" s="260"/>
      <c r="V857" s="260"/>
      <c r="W857" s="260"/>
      <c r="X857" s="260"/>
      <c r="Y857" s="260"/>
      <c r="Z857" s="260"/>
      <c r="AA857" s="260"/>
      <c r="AB857" s="260"/>
      <c r="AC857" s="260"/>
      <c r="AD857" s="260"/>
      <c r="AE857" s="260"/>
      <c r="AF857" s="260"/>
      <c r="AG857" s="258"/>
      <c r="AI857"/>
      <c r="AJ857"/>
      <c r="AK857"/>
      <c r="AL857"/>
      <c r="AM857"/>
      <c r="AN857"/>
      <c r="AO857"/>
      <c r="AP857"/>
      <c r="AQ857"/>
      <c r="AR857"/>
      <c r="AS857"/>
    </row>
    <row r="858" spans="13:45" ht="12" hidden="1" customHeight="1">
      <c r="N858" s="236"/>
      <c r="O858" s="205"/>
      <c r="P858" s="260"/>
      <c r="Q858" s="258"/>
      <c r="R858" s="260"/>
      <c r="S858" s="260"/>
      <c r="T858" s="260"/>
      <c r="U858" s="260"/>
      <c r="V858" s="260"/>
      <c r="W858" s="260"/>
      <c r="X858" s="260"/>
      <c r="Y858" s="260"/>
      <c r="Z858" s="260"/>
      <c r="AA858" s="260"/>
      <c r="AB858" s="260"/>
      <c r="AC858" s="260"/>
      <c r="AD858" s="260"/>
      <c r="AE858" s="260"/>
      <c r="AF858" s="260"/>
      <c r="AG858" s="258"/>
      <c r="AI858"/>
      <c r="AJ858"/>
      <c r="AK858"/>
      <c r="AL858"/>
      <c r="AM858"/>
      <c r="AN858"/>
      <c r="AO858"/>
      <c r="AP858"/>
      <c r="AQ858"/>
      <c r="AR858"/>
      <c r="AS858"/>
    </row>
    <row r="859" spans="13:45" ht="12" hidden="1" customHeight="1">
      <c r="N859" s="236"/>
      <c r="O859" s="205"/>
      <c r="P859" s="260"/>
      <c r="Q859" s="258"/>
      <c r="R859" s="260"/>
      <c r="S859" s="260"/>
      <c r="T859" s="260"/>
      <c r="U859" s="260"/>
      <c r="V859" s="260"/>
      <c r="W859" s="260"/>
      <c r="X859" s="260"/>
      <c r="Y859" s="260"/>
      <c r="Z859" s="260"/>
      <c r="AA859" s="260"/>
      <c r="AB859" s="260"/>
      <c r="AC859" s="260"/>
      <c r="AD859" s="260"/>
      <c r="AE859" s="260"/>
      <c r="AF859" s="260"/>
      <c r="AG859" s="258"/>
      <c r="AI859"/>
      <c r="AJ859"/>
      <c r="AK859"/>
      <c r="AL859"/>
      <c r="AM859"/>
      <c r="AN859"/>
      <c r="AO859"/>
      <c r="AP859"/>
      <c r="AQ859"/>
      <c r="AR859"/>
      <c r="AS859"/>
    </row>
    <row r="860" spans="13:45" ht="12" hidden="1" customHeight="1">
      <c r="N860" s="236"/>
      <c r="O860" s="205"/>
      <c r="P860" s="260"/>
      <c r="Q860" s="258"/>
      <c r="R860" s="260"/>
      <c r="S860" s="260"/>
      <c r="T860" s="260"/>
      <c r="U860" s="260"/>
      <c r="V860" s="260"/>
      <c r="W860" s="260"/>
      <c r="X860" s="260"/>
      <c r="Y860" s="260"/>
      <c r="Z860" s="260"/>
      <c r="AA860" s="260"/>
      <c r="AB860" s="260"/>
      <c r="AC860" s="260"/>
      <c r="AD860" s="260"/>
      <c r="AE860" s="260"/>
      <c r="AF860" s="260"/>
      <c r="AG860" s="258"/>
      <c r="AI860"/>
      <c r="AJ860"/>
      <c r="AK860"/>
      <c r="AL860"/>
      <c r="AM860"/>
      <c r="AN860"/>
      <c r="AO860"/>
      <c r="AP860"/>
      <c r="AQ860"/>
      <c r="AR860"/>
      <c r="AS860"/>
    </row>
    <row r="861" spans="13:45" ht="12" hidden="1" customHeight="1">
      <c r="N861" s="236"/>
      <c r="O861" s="229"/>
      <c r="P861" s="260"/>
      <c r="Q861" s="258"/>
      <c r="R861" s="260"/>
      <c r="S861" s="260"/>
      <c r="T861" s="260"/>
      <c r="U861" s="260"/>
      <c r="V861" s="260"/>
      <c r="W861" s="260"/>
      <c r="X861" s="260"/>
      <c r="Y861" s="260"/>
      <c r="Z861" s="260"/>
      <c r="AA861" s="260"/>
      <c r="AB861" s="260"/>
      <c r="AC861" s="260"/>
      <c r="AD861" s="260"/>
      <c r="AE861" s="260"/>
      <c r="AF861" s="260"/>
      <c r="AG861" s="258"/>
      <c r="AI861"/>
      <c r="AJ861"/>
      <c r="AK861"/>
      <c r="AL861"/>
      <c r="AM861"/>
      <c r="AN861"/>
      <c r="AO861"/>
      <c r="AP861"/>
      <c r="AQ861"/>
      <c r="AR861"/>
      <c r="AS861"/>
    </row>
    <row r="862" spans="13:45" ht="12" hidden="1" customHeight="1">
      <c r="N862" s="236"/>
      <c r="O862" s="229"/>
      <c r="P862" s="260"/>
      <c r="Q862" s="258"/>
      <c r="R862" s="260"/>
      <c r="S862" s="260"/>
      <c r="T862" s="260"/>
      <c r="U862" s="260"/>
      <c r="V862" s="260"/>
      <c r="W862" s="260"/>
      <c r="X862" s="260"/>
      <c r="Y862" s="260"/>
      <c r="Z862" s="260"/>
      <c r="AA862" s="260"/>
      <c r="AB862" s="260"/>
      <c r="AC862" s="260"/>
      <c r="AD862" s="260"/>
      <c r="AE862" s="260"/>
      <c r="AF862" s="260"/>
      <c r="AG862" s="258"/>
      <c r="AI862"/>
      <c r="AJ862"/>
      <c r="AK862"/>
      <c r="AL862"/>
      <c r="AM862"/>
      <c r="AN862"/>
      <c r="AO862"/>
      <c r="AP862"/>
      <c r="AQ862"/>
      <c r="AR862"/>
      <c r="AS862"/>
    </row>
    <row r="863" spans="13:45" ht="12" hidden="1" customHeight="1">
      <c r="N863" s="236"/>
      <c r="O863" s="229"/>
      <c r="P863" s="260"/>
      <c r="Q863" s="258"/>
      <c r="R863" s="281"/>
      <c r="S863" s="281"/>
      <c r="T863" s="260"/>
      <c r="U863" s="281"/>
      <c r="V863" s="281"/>
      <c r="W863" s="260"/>
      <c r="X863" s="281"/>
      <c r="Y863" s="281"/>
      <c r="Z863" s="260"/>
      <c r="AA863" s="281"/>
      <c r="AB863" s="281"/>
      <c r="AC863" s="260"/>
      <c r="AD863" s="281"/>
      <c r="AE863" s="281"/>
      <c r="AF863" s="260"/>
      <c r="AG863" s="258"/>
      <c r="AI863"/>
      <c r="AJ863"/>
      <c r="AK863"/>
      <c r="AL863"/>
      <c r="AM863"/>
      <c r="AN863"/>
      <c r="AO863"/>
      <c r="AP863"/>
      <c r="AQ863"/>
      <c r="AR863"/>
      <c r="AS863"/>
    </row>
    <row r="864" spans="13:45" ht="12" customHeight="1">
      <c r="M864" s="820"/>
      <c r="N864" s="234"/>
      <c r="O864" s="249"/>
      <c r="P864" s="260"/>
      <c r="Q864" s="320"/>
      <c r="R864" s="323"/>
      <c r="S864" s="323"/>
      <c r="T864" s="260"/>
      <c r="U864" s="260"/>
      <c r="V864" s="260"/>
      <c r="W864" s="260"/>
      <c r="X864" s="260"/>
      <c r="Y864" s="260"/>
      <c r="Z864" s="260"/>
      <c r="AA864" s="260"/>
      <c r="AB864" s="260"/>
      <c r="AC864" s="260"/>
      <c r="AD864" s="260"/>
      <c r="AE864" s="260"/>
      <c r="AF864" s="260"/>
      <c r="AG864" s="321"/>
      <c r="AI864"/>
      <c r="AJ864"/>
      <c r="AK864"/>
      <c r="AL864"/>
      <c r="AM864"/>
      <c r="AN864"/>
      <c r="AO864"/>
      <c r="AP864"/>
      <c r="AQ864"/>
      <c r="AR864"/>
      <c r="AS864"/>
    </row>
    <row r="865" spans="13:45" ht="12" customHeight="1">
      <c r="M865" s="820"/>
      <c r="N865" s="236"/>
      <c r="O865" s="205"/>
      <c r="P865" s="260"/>
      <c r="Q865" s="320"/>
      <c r="R865" s="323"/>
      <c r="S865" s="323"/>
      <c r="T865" s="260"/>
      <c r="U865" s="260"/>
      <c r="V865" s="260"/>
      <c r="W865" s="260"/>
      <c r="X865" s="260"/>
      <c r="Y865" s="260"/>
      <c r="Z865" s="260"/>
      <c r="AA865" s="260"/>
      <c r="AB865" s="260"/>
      <c r="AC865" s="260"/>
      <c r="AD865" s="260"/>
      <c r="AE865" s="260"/>
      <c r="AF865" s="260"/>
      <c r="AG865" s="321"/>
      <c r="AI865"/>
      <c r="AJ865"/>
      <c r="AK865"/>
      <c r="AL865"/>
      <c r="AM865"/>
      <c r="AN865"/>
      <c r="AO865"/>
      <c r="AP865"/>
      <c r="AQ865"/>
      <c r="AR865"/>
      <c r="AS865"/>
    </row>
    <row r="866" spans="13:45" ht="12" customHeight="1">
      <c r="M866" s="820"/>
      <c r="N866" s="236"/>
      <c r="O866" s="205"/>
      <c r="P866" s="260"/>
      <c r="Q866" s="320"/>
      <c r="R866" s="323"/>
      <c r="S866" s="323"/>
      <c r="T866" s="260"/>
      <c r="U866" s="260"/>
      <c r="V866" s="260"/>
      <c r="W866" s="260"/>
      <c r="X866" s="260"/>
      <c r="Y866" s="260"/>
      <c r="Z866" s="260"/>
      <c r="AA866" s="260"/>
      <c r="AB866" s="260"/>
      <c r="AC866" s="260"/>
      <c r="AD866" s="260"/>
      <c r="AE866" s="260"/>
      <c r="AF866" s="260"/>
      <c r="AG866" s="321"/>
      <c r="AI866"/>
      <c r="AJ866"/>
      <c r="AK866"/>
      <c r="AL866"/>
      <c r="AM866"/>
      <c r="AN866"/>
      <c r="AO866"/>
      <c r="AP866"/>
      <c r="AQ866"/>
      <c r="AR866"/>
      <c r="AS866"/>
    </row>
    <row r="867" spans="13:45" ht="12" customHeight="1">
      <c r="M867" s="820"/>
      <c r="N867" s="236"/>
      <c r="O867" s="250"/>
      <c r="P867" s="260"/>
      <c r="Q867" s="320"/>
      <c r="R867" s="323"/>
      <c r="S867" s="323"/>
      <c r="T867" s="260"/>
      <c r="U867" s="260"/>
      <c r="V867" s="260"/>
      <c r="W867" s="260"/>
      <c r="X867" s="260"/>
      <c r="Y867" s="260"/>
      <c r="Z867" s="260"/>
      <c r="AA867" s="260"/>
      <c r="AB867" s="260"/>
      <c r="AC867" s="260"/>
      <c r="AD867" s="260"/>
      <c r="AE867" s="260"/>
      <c r="AF867" s="260"/>
      <c r="AG867" s="321"/>
      <c r="AI867"/>
      <c r="AJ867"/>
      <c r="AK867"/>
      <c r="AL867"/>
      <c r="AM867"/>
      <c r="AN867"/>
      <c r="AO867"/>
      <c r="AP867"/>
      <c r="AQ867"/>
      <c r="AR867"/>
      <c r="AS867"/>
    </row>
    <row r="868" spans="13:45" ht="12" customHeight="1">
      <c r="M868" s="820"/>
      <c r="N868" s="236"/>
      <c r="O868" s="250"/>
      <c r="P868" s="260"/>
      <c r="Q868" s="320"/>
      <c r="R868" s="323"/>
      <c r="S868" s="323"/>
      <c r="T868" s="260"/>
      <c r="U868" s="260"/>
      <c r="V868" s="260"/>
      <c r="W868" s="260"/>
      <c r="X868" s="260"/>
      <c r="Y868" s="260"/>
      <c r="Z868" s="260"/>
      <c r="AA868" s="260"/>
      <c r="AB868" s="260"/>
      <c r="AC868" s="260"/>
      <c r="AD868" s="260"/>
      <c r="AE868" s="260"/>
      <c r="AF868" s="260"/>
      <c r="AG868" s="321"/>
      <c r="AI868"/>
      <c r="AJ868"/>
      <c r="AK868"/>
      <c r="AL868"/>
      <c r="AM868"/>
      <c r="AN868"/>
      <c r="AO868"/>
      <c r="AP868"/>
      <c r="AQ868"/>
      <c r="AR868"/>
      <c r="AS868"/>
    </row>
    <row r="869" spans="13:45">
      <c r="M869" s="820"/>
      <c r="N869" s="236"/>
      <c r="O869" s="250"/>
      <c r="P869" s="260"/>
      <c r="Q869" s="320"/>
      <c r="R869" s="323"/>
      <c r="S869" s="323"/>
      <c r="T869" s="260"/>
      <c r="U869" s="260"/>
      <c r="V869" s="260"/>
      <c r="W869" s="260"/>
      <c r="X869" s="260"/>
      <c r="Y869" s="260"/>
      <c r="Z869" s="260"/>
      <c r="AA869" s="260"/>
      <c r="AB869" s="260"/>
      <c r="AC869" s="260"/>
      <c r="AD869" s="260"/>
      <c r="AE869" s="260"/>
      <c r="AF869" s="260"/>
      <c r="AG869" s="321"/>
      <c r="AI869"/>
      <c r="AJ869"/>
      <c r="AK869"/>
      <c r="AL869"/>
      <c r="AM869"/>
      <c r="AN869"/>
      <c r="AO869"/>
      <c r="AP869"/>
      <c r="AQ869"/>
      <c r="AR869"/>
      <c r="AS869"/>
    </row>
    <row r="870" spans="13:45">
      <c r="M870" s="820"/>
      <c r="N870" s="236"/>
      <c r="O870" s="205"/>
      <c r="P870" s="260"/>
      <c r="Q870" s="320"/>
      <c r="R870" s="323"/>
      <c r="S870" s="323"/>
      <c r="T870" s="260"/>
      <c r="U870" s="260"/>
      <c r="V870" s="260"/>
      <c r="W870" s="260"/>
      <c r="X870" s="260"/>
      <c r="Y870" s="260"/>
      <c r="Z870" s="260"/>
      <c r="AA870" s="260"/>
      <c r="AB870" s="260"/>
      <c r="AC870" s="260"/>
      <c r="AD870" s="260"/>
      <c r="AE870" s="260"/>
      <c r="AF870" s="260"/>
      <c r="AG870" s="321"/>
      <c r="AI870"/>
      <c r="AJ870"/>
      <c r="AK870"/>
      <c r="AL870"/>
      <c r="AM870"/>
      <c r="AN870"/>
      <c r="AO870"/>
      <c r="AP870"/>
      <c r="AQ870"/>
      <c r="AR870"/>
      <c r="AS870"/>
    </row>
    <row r="871" spans="13:45" ht="12" customHeight="1">
      <c r="M871" s="820"/>
      <c r="N871" s="236"/>
      <c r="O871" s="250"/>
      <c r="P871" s="260"/>
      <c r="Q871" s="320"/>
      <c r="R871" s="323"/>
      <c r="S871" s="323"/>
      <c r="T871" s="260"/>
      <c r="U871" s="260"/>
      <c r="V871" s="260"/>
      <c r="W871" s="260"/>
      <c r="X871" s="260"/>
      <c r="Y871" s="260"/>
      <c r="Z871" s="260"/>
      <c r="AA871" s="260"/>
      <c r="AB871" s="260"/>
      <c r="AC871" s="260"/>
      <c r="AD871" s="260"/>
      <c r="AE871" s="260"/>
      <c r="AF871" s="260"/>
      <c r="AG871" s="321"/>
      <c r="AI871"/>
      <c r="AJ871"/>
      <c r="AK871"/>
      <c r="AL871"/>
      <c r="AM871"/>
      <c r="AN871"/>
      <c r="AO871"/>
      <c r="AP871"/>
      <c r="AQ871"/>
      <c r="AR871"/>
      <c r="AS871"/>
    </row>
    <row r="872" spans="13:45" ht="68.25" customHeight="1">
      <c r="M872" s="820"/>
      <c r="N872" s="236"/>
      <c r="O872" s="325"/>
      <c r="P872" s="260"/>
      <c r="Q872" s="320"/>
      <c r="R872" s="323"/>
      <c r="S872" s="323"/>
      <c r="T872" s="260"/>
      <c r="U872" s="260"/>
      <c r="V872" s="260"/>
      <c r="W872" s="260"/>
      <c r="X872" s="260"/>
      <c r="Y872" s="260"/>
      <c r="Z872" s="260"/>
      <c r="AA872" s="260"/>
      <c r="AB872" s="260"/>
      <c r="AC872" s="260"/>
      <c r="AD872" s="260"/>
      <c r="AE872" s="260"/>
      <c r="AF872" s="260"/>
      <c r="AG872" s="321"/>
      <c r="AI872"/>
      <c r="AJ872"/>
      <c r="AK872"/>
      <c r="AL872"/>
      <c r="AM872"/>
      <c r="AN872"/>
      <c r="AO872"/>
      <c r="AP872"/>
      <c r="AQ872"/>
      <c r="AR872"/>
      <c r="AS872"/>
    </row>
    <row r="873" spans="13:45" ht="68.25" customHeight="1">
      <c r="M873" s="820"/>
      <c r="N873" s="236"/>
      <c r="O873" s="483"/>
      <c r="P873" s="260"/>
      <c r="Q873" s="320"/>
      <c r="R873" s="323"/>
      <c r="S873" s="323"/>
      <c r="T873" s="260"/>
      <c r="U873" s="260"/>
      <c r="V873" s="260"/>
      <c r="W873" s="260"/>
      <c r="X873" s="260"/>
      <c r="Y873" s="260"/>
      <c r="Z873" s="260"/>
      <c r="AA873" s="260"/>
      <c r="AB873" s="260"/>
      <c r="AC873" s="260"/>
      <c r="AD873" s="260"/>
      <c r="AE873" s="260"/>
      <c r="AF873" s="260"/>
      <c r="AG873" s="321"/>
      <c r="AI873"/>
      <c r="AJ873"/>
      <c r="AK873"/>
      <c r="AL873"/>
      <c r="AM873"/>
      <c r="AN873"/>
      <c r="AO873"/>
      <c r="AP873"/>
      <c r="AQ873"/>
      <c r="AR873"/>
      <c r="AS873"/>
    </row>
    <row r="874" spans="13:45" ht="12" customHeight="1">
      <c r="M874" s="820"/>
      <c r="N874" s="236"/>
      <c r="O874" s="235"/>
      <c r="P874" s="260"/>
      <c r="Q874" s="320"/>
      <c r="R874" s="323"/>
      <c r="S874" s="323"/>
      <c r="T874" s="260"/>
      <c r="U874" s="260"/>
      <c r="V874" s="260"/>
      <c r="W874" s="260"/>
      <c r="X874" s="260"/>
      <c r="Y874" s="260"/>
      <c r="Z874" s="260"/>
      <c r="AA874" s="260"/>
      <c r="AB874" s="260"/>
      <c r="AC874" s="260"/>
      <c r="AD874" s="260"/>
      <c r="AE874" s="260"/>
      <c r="AF874" s="260"/>
      <c r="AG874" s="321"/>
      <c r="AI874"/>
      <c r="AJ874"/>
      <c r="AK874"/>
      <c r="AL874"/>
      <c r="AM874"/>
      <c r="AN874"/>
      <c r="AO874"/>
      <c r="AP874"/>
      <c r="AQ874"/>
      <c r="AR874"/>
      <c r="AS874"/>
    </row>
    <row r="875" spans="13:45" ht="79.5" customHeight="1">
      <c r="M875" s="820"/>
      <c r="N875" s="436"/>
      <c r="O875" s="500"/>
      <c r="P875" s="260"/>
      <c r="Q875" s="320"/>
      <c r="R875" s="323"/>
      <c r="S875" s="323"/>
      <c r="T875" s="260"/>
      <c r="U875" s="260"/>
      <c r="V875" s="260"/>
      <c r="W875" s="260"/>
      <c r="X875" s="260"/>
      <c r="Y875" s="260"/>
      <c r="Z875" s="260"/>
      <c r="AA875" s="260"/>
      <c r="AB875" s="260"/>
      <c r="AC875" s="260"/>
      <c r="AD875" s="260"/>
      <c r="AE875" s="260"/>
      <c r="AF875" s="260"/>
      <c r="AG875" s="321"/>
      <c r="AI875"/>
      <c r="AJ875"/>
      <c r="AK875"/>
      <c r="AL875"/>
      <c r="AM875"/>
      <c r="AN875"/>
      <c r="AO875"/>
      <c r="AP875"/>
      <c r="AQ875"/>
      <c r="AR875"/>
      <c r="AS875"/>
    </row>
    <row r="876" spans="13:45" ht="12" customHeight="1">
      <c r="M876" s="820"/>
      <c r="N876" s="236"/>
      <c r="O876" s="235"/>
      <c r="P876" s="260"/>
      <c r="Q876" s="320"/>
      <c r="R876" s="323"/>
      <c r="S876" s="323"/>
      <c r="T876" s="260"/>
      <c r="U876" s="260"/>
      <c r="V876" s="260"/>
      <c r="W876" s="260"/>
      <c r="X876" s="260"/>
      <c r="Y876" s="260"/>
      <c r="Z876" s="260"/>
      <c r="AA876" s="260"/>
      <c r="AB876" s="260"/>
      <c r="AC876" s="260"/>
      <c r="AD876" s="260"/>
      <c r="AE876" s="260"/>
      <c r="AF876" s="260"/>
      <c r="AG876" s="321"/>
      <c r="AI876"/>
      <c r="AJ876"/>
      <c r="AK876"/>
      <c r="AL876"/>
      <c r="AM876"/>
      <c r="AN876"/>
      <c r="AO876"/>
      <c r="AP876"/>
      <c r="AQ876"/>
      <c r="AR876"/>
      <c r="AS876"/>
    </row>
    <row r="877" spans="13:45" ht="12" customHeight="1">
      <c r="M877" s="820"/>
      <c r="N877" s="236"/>
      <c r="O877" s="230"/>
      <c r="P877" s="260"/>
      <c r="Q877" s="320"/>
      <c r="R877" s="323"/>
      <c r="S877" s="323"/>
      <c r="T877" s="260"/>
      <c r="U877" s="260"/>
      <c r="V877" s="260"/>
      <c r="W877" s="260"/>
      <c r="X877" s="260"/>
      <c r="Y877" s="260"/>
      <c r="Z877" s="260"/>
      <c r="AA877" s="260"/>
      <c r="AB877" s="260"/>
      <c r="AC877" s="260"/>
      <c r="AD877" s="260"/>
      <c r="AE877" s="260"/>
      <c r="AF877" s="260"/>
      <c r="AG877" s="321"/>
      <c r="AI877"/>
      <c r="AJ877"/>
      <c r="AK877"/>
      <c r="AL877"/>
      <c r="AM877"/>
      <c r="AN877"/>
      <c r="AO877"/>
      <c r="AP877"/>
      <c r="AQ877"/>
      <c r="AR877"/>
      <c r="AS877"/>
    </row>
    <row r="878" spans="13:45" ht="12" customHeight="1">
      <c r="M878" s="820"/>
      <c r="N878" s="236"/>
      <c r="O878" s="230"/>
      <c r="P878" s="260"/>
      <c r="Q878" s="320"/>
      <c r="R878" s="323"/>
      <c r="S878" s="323"/>
      <c r="T878" s="260"/>
      <c r="U878" s="260"/>
      <c r="V878" s="260"/>
      <c r="W878" s="260"/>
      <c r="X878" s="260"/>
      <c r="Y878" s="260"/>
      <c r="Z878" s="260"/>
      <c r="AA878" s="260"/>
      <c r="AB878" s="260"/>
      <c r="AC878" s="260"/>
      <c r="AD878" s="260"/>
      <c r="AE878" s="260"/>
      <c r="AF878" s="260"/>
      <c r="AG878" s="321"/>
      <c r="AI878"/>
      <c r="AJ878"/>
      <c r="AK878"/>
      <c r="AL878"/>
      <c r="AM878"/>
      <c r="AN878"/>
      <c r="AO878"/>
      <c r="AP878"/>
      <c r="AQ878"/>
      <c r="AR878"/>
      <c r="AS878"/>
    </row>
    <row r="879" spans="13:45" ht="12" customHeight="1">
      <c r="M879" s="820"/>
      <c r="N879" s="236"/>
      <c r="O879" s="230"/>
      <c r="P879" s="260"/>
      <c r="Q879" s="320"/>
      <c r="R879" s="323"/>
      <c r="S879" s="323"/>
      <c r="T879" s="260"/>
      <c r="U879" s="260"/>
      <c r="V879" s="260"/>
      <c r="W879" s="260"/>
      <c r="X879" s="260"/>
      <c r="Y879" s="260"/>
      <c r="Z879" s="260"/>
      <c r="AA879" s="260"/>
      <c r="AB879" s="260"/>
      <c r="AC879" s="260"/>
      <c r="AD879" s="260"/>
      <c r="AE879" s="260"/>
      <c r="AF879" s="260"/>
      <c r="AG879" s="321"/>
      <c r="AI879"/>
      <c r="AJ879"/>
      <c r="AK879"/>
      <c r="AL879"/>
      <c r="AM879"/>
      <c r="AN879"/>
      <c r="AO879"/>
      <c r="AP879"/>
      <c r="AQ879"/>
      <c r="AR879"/>
      <c r="AS879"/>
    </row>
    <row r="880" spans="13:45" ht="12" customHeight="1">
      <c r="M880" s="820"/>
      <c r="N880" s="239"/>
      <c r="O880" s="231"/>
      <c r="P880" s="260"/>
      <c r="Q880" s="320"/>
      <c r="R880" s="323"/>
      <c r="S880" s="323"/>
      <c r="T880" s="260"/>
      <c r="U880" s="260"/>
      <c r="V880" s="260"/>
      <c r="W880" s="260"/>
      <c r="X880" s="260"/>
      <c r="Y880" s="260"/>
      <c r="Z880" s="260"/>
      <c r="AA880" s="260"/>
      <c r="AB880" s="260"/>
      <c r="AC880" s="260"/>
      <c r="AD880" s="260"/>
      <c r="AE880" s="260"/>
      <c r="AF880" s="260"/>
      <c r="AG880" s="321"/>
      <c r="AI880"/>
      <c r="AJ880"/>
      <c r="AK880"/>
      <c r="AL880"/>
      <c r="AM880"/>
      <c r="AN880"/>
      <c r="AO880"/>
      <c r="AP880"/>
      <c r="AQ880"/>
      <c r="AR880"/>
      <c r="AS880"/>
    </row>
    <row r="881" spans="13:45" ht="12" customHeight="1">
      <c r="M881" s="820"/>
      <c r="N881" s="239"/>
      <c r="O881" s="499"/>
      <c r="P881" s="260"/>
      <c r="Q881" s="320"/>
      <c r="R881" s="323"/>
      <c r="S881" s="323"/>
      <c r="T881" s="260"/>
      <c r="U881" s="260"/>
      <c r="V881" s="260"/>
      <c r="W881" s="260"/>
      <c r="X881" s="260"/>
      <c r="Y881" s="260"/>
      <c r="Z881" s="260"/>
      <c r="AA881" s="260"/>
      <c r="AB881" s="260"/>
      <c r="AC881" s="260"/>
      <c r="AD881" s="260"/>
      <c r="AE881" s="260"/>
      <c r="AF881" s="260"/>
      <c r="AG881" s="321"/>
      <c r="AI881"/>
      <c r="AJ881"/>
      <c r="AK881"/>
      <c r="AL881"/>
      <c r="AM881"/>
      <c r="AN881"/>
      <c r="AO881"/>
      <c r="AP881"/>
      <c r="AQ881"/>
      <c r="AR881"/>
      <c r="AS881"/>
    </row>
    <row r="882" spans="13:45" ht="12" customHeight="1">
      <c r="M882" s="820"/>
      <c r="N882" s="236"/>
      <c r="O882" s="230"/>
      <c r="P882" s="260"/>
      <c r="Q882" s="320"/>
      <c r="R882" s="323"/>
      <c r="S882" s="323"/>
      <c r="T882" s="260"/>
      <c r="U882" s="260"/>
      <c r="V882" s="260"/>
      <c r="W882" s="260"/>
      <c r="X882" s="260"/>
      <c r="Y882" s="260"/>
      <c r="Z882" s="260"/>
      <c r="AA882" s="260"/>
      <c r="AB882" s="260"/>
      <c r="AC882" s="260"/>
      <c r="AD882" s="260"/>
      <c r="AE882" s="260"/>
      <c r="AF882" s="260"/>
      <c r="AG882" s="321"/>
      <c r="AI882"/>
      <c r="AJ882"/>
      <c r="AK882"/>
      <c r="AL882"/>
      <c r="AM882"/>
      <c r="AN882"/>
      <c r="AO882"/>
      <c r="AP882"/>
      <c r="AQ882"/>
      <c r="AR882"/>
      <c r="AS882"/>
    </row>
    <row r="883" spans="13:45" ht="12" customHeight="1">
      <c r="M883" s="820"/>
      <c r="N883" s="239"/>
      <c r="O883" s="231"/>
      <c r="P883" s="260"/>
      <c r="Q883" s="320"/>
      <c r="R883" s="323"/>
      <c r="S883" s="323"/>
      <c r="T883" s="260"/>
      <c r="U883" s="260"/>
      <c r="V883" s="260"/>
      <c r="W883" s="260"/>
      <c r="X883" s="260"/>
      <c r="Y883" s="260"/>
      <c r="Z883" s="260"/>
      <c r="AA883" s="260"/>
      <c r="AB883" s="260"/>
      <c r="AC883" s="260"/>
      <c r="AD883" s="260"/>
      <c r="AE883" s="260"/>
      <c r="AF883" s="260"/>
      <c r="AG883" s="321"/>
      <c r="AI883"/>
      <c r="AJ883"/>
      <c r="AK883"/>
      <c r="AL883"/>
      <c r="AM883"/>
      <c r="AN883"/>
      <c r="AO883"/>
      <c r="AP883"/>
      <c r="AQ883"/>
      <c r="AR883"/>
      <c r="AS883"/>
    </row>
    <row r="884" spans="13:45" ht="12" customHeight="1">
      <c r="M884" s="820"/>
      <c r="N884" s="239"/>
      <c r="O884" s="231"/>
      <c r="P884" s="260"/>
      <c r="Q884" s="320"/>
      <c r="R884" s="323"/>
      <c r="S884" s="323"/>
      <c r="T884" s="260"/>
      <c r="U884" s="260"/>
      <c r="V884" s="260"/>
      <c r="W884" s="260"/>
      <c r="X884" s="260"/>
      <c r="Y884" s="260"/>
      <c r="Z884" s="260"/>
      <c r="AA884" s="260"/>
      <c r="AB884" s="260"/>
      <c r="AC884" s="260"/>
      <c r="AD884" s="260"/>
      <c r="AE884" s="260"/>
      <c r="AF884" s="260"/>
      <c r="AG884" s="321"/>
      <c r="AI884"/>
      <c r="AJ884"/>
      <c r="AK884"/>
      <c r="AL884"/>
      <c r="AM884"/>
      <c r="AN884"/>
      <c r="AO884"/>
      <c r="AP884"/>
      <c r="AQ884"/>
      <c r="AR884"/>
      <c r="AS884"/>
    </row>
    <row r="885" spans="13:45" ht="12" customHeight="1">
      <c r="M885" s="820"/>
      <c r="N885" s="236"/>
      <c r="O885" s="230"/>
      <c r="P885" s="260"/>
      <c r="Q885" s="320"/>
      <c r="R885" s="323"/>
      <c r="S885" s="323"/>
      <c r="T885" s="260"/>
      <c r="U885" s="260"/>
      <c r="V885" s="260"/>
      <c r="W885" s="260"/>
      <c r="X885" s="260"/>
      <c r="Y885" s="260"/>
      <c r="Z885" s="260"/>
      <c r="AA885" s="260"/>
      <c r="AB885" s="260"/>
      <c r="AC885" s="260"/>
      <c r="AD885" s="260"/>
      <c r="AE885" s="260"/>
      <c r="AF885" s="260"/>
      <c r="AG885" s="321"/>
      <c r="AI885"/>
      <c r="AJ885"/>
      <c r="AK885"/>
      <c r="AL885"/>
      <c r="AM885"/>
      <c r="AN885"/>
      <c r="AO885"/>
      <c r="AP885"/>
      <c r="AQ885"/>
      <c r="AR885"/>
      <c r="AS885"/>
    </row>
    <row r="886" spans="13:45" ht="12" customHeight="1">
      <c r="M886" s="820"/>
      <c r="N886" s="239"/>
      <c r="O886" s="231"/>
      <c r="P886" s="260"/>
      <c r="Q886" s="320"/>
      <c r="R886" s="323"/>
      <c r="S886" s="323"/>
      <c r="T886" s="260"/>
      <c r="U886" s="260"/>
      <c r="V886" s="260"/>
      <c r="W886" s="260"/>
      <c r="X886" s="260"/>
      <c r="Y886" s="260"/>
      <c r="Z886" s="260"/>
      <c r="AA886" s="260"/>
      <c r="AB886" s="260"/>
      <c r="AC886" s="260"/>
      <c r="AD886" s="260"/>
      <c r="AE886" s="260"/>
      <c r="AF886" s="260"/>
      <c r="AG886" s="321"/>
      <c r="AI886"/>
      <c r="AJ886"/>
      <c r="AK886"/>
      <c r="AL886"/>
      <c r="AM886"/>
      <c r="AN886"/>
      <c r="AO886"/>
      <c r="AP886"/>
      <c r="AQ886"/>
      <c r="AR886"/>
      <c r="AS886"/>
    </row>
    <row r="887" spans="13:45" ht="12" customHeight="1">
      <c r="M887" s="820"/>
      <c r="N887" s="239"/>
      <c r="O887" s="231"/>
      <c r="P887" s="260"/>
      <c r="Q887" s="320"/>
      <c r="R887" s="323"/>
      <c r="S887" s="323"/>
      <c r="T887" s="260"/>
      <c r="U887" s="260"/>
      <c r="V887" s="260"/>
      <c r="W887" s="260"/>
      <c r="X887" s="260"/>
      <c r="Y887" s="260"/>
      <c r="Z887" s="260"/>
      <c r="AA887" s="260"/>
      <c r="AB887" s="260"/>
      <c r="AC887" s="260"/>
      <c r="AD887" s="260"/>
      <c r="AE887" s="260"/>
      <c r="AF887" s="260"/>
      <c r="AG887" s="321"/>
      <c r="AI887"/>
      <c r="AJ887"/>
      <c r="AK887"/>
      <c r="AL887"/>
      <c r="AM887"/>
      <c r="AN887"/>
      <c r="AO887"/>
      <c r="AP887"/>
      <c r="AQ887"/>
      <c r="AR887"/>
      <c r="AS887"/>
    </row>
    <row r="888" spans="13:45" ht="12" customHeight="1">
      <c r="M888" s="820"/>
      <c r="N888" s="236"/>
      <c r="O888" s="230"/>
      <c r="P888" s="260"/>
      <c r="Q888" s="320"/>
      <c r="R888" s="323"/>
      <c r="S888" s="323"/>
      <c r="T888" s="260"/>
      <c r="U888" s="260"/>
      <c r="V888" s="260"/>
      <c r="W888" s="260"/>
      <c r="X888" s="260"/>
      <c r="Y888" s="260"/>
      <c r="Z888" s="260"/>
      <c r="AA888" s="260"/>
      <c r="AB888" s="260"/>
      <c r="AC888" s="260"/>
      <c r="AD888" s="260"/>
      <c r="AE888" s="260"/>
      <c r="AF888" s="260"/>
      <c r="AG888" s="321"/>
      <c r="AI888"/>
      <c r="AJ888"/>
      <c r="AK888"/>
      <c r="AL888"/>
      <c r="AM888"/>
      <c r="AN888"/>
      <c r="AO888"/>
      <c r="AP888"/>
      <c r="AQ888"/>
      <c r="AR888"/>
      <c r="AS888"/>
    </row>
    <row r="889" spans="13:45" ht="12" customHeight="1">
      <c r="M889" s="820"/>
      <c r="N889" s="239"/>
      <c r="O889" s="231"/>
      <c r="P889" s="260"/>
      <c r="Q889" s="320"/>
      <c r="R889" s="323"/>
      <c r="S889" s="323"/>
      <c r="T889" s="260"/>
      <c r="U889" s="260"/>
      <c r="V889" s="260"/>
      <c r="W889" s="260"/>
      <c r="X889" s="260"/>
      <c r="Y889" s="260"/>
      <c r="Z889" s="260"/>
      <c r="AA889" s="260"/>
      <c r="AB889" s="260"/>
      <c r="AC889" s="260"/>
      <c r="AD889" s="260"/>
      <c r="AE889" s="260"/>
      <c r="AF889" s="260"/>
      <c r="AG889" s="321"/>
      <c r="AI889"/>
      <c r="AJ889"/>
      <c r="AK889"/>
      <c r="AL889"/>
      <c r="AM889"/>
      <c r="AN889"/>
      <c r="AO889"/>
      <c r="AP889"/>
      <c r="AQ889"/>
      <c r="AR889"/>
      <c r="AS889"/>
    </row>
    <row r="890" spans="13:45" ht="12" customHeight="1">
      <c r="M890" s="820"/>
      <c r="N890" s="239"/>
      <c r="O890" s="231"/>
      <c r="P890" s="260"/>
      <c r="Q890" s="320"/>
      <c r="R890" s="323"/>
      <c r="S890" s="323"/>
      <c r="T890" s="260"/>
      <c r="U890" s="260"/>
      <c r="V890" s="260"/>
      <c r="W890" s="260"/>
      <c r="X890" s="260"/>
      <c r="Y890" s="260"/>
      <c r="Z890" s="260"/>
      <c r="AA890" s="260"/>
      <c r="AB890" s="260"/>
      <c r="AC890" s="260"/>
      <c r="AD890" s="260"/>
      <c r="AE890" s="260"/>
      <c r="AF890" s="260"/>
      <c r="AG890" s="321"/>
      <c r="AI890"/>
      <c r="AJ890"/>
      <c r="AK890"/>
      <c r="AL890"/>
      <c r="AM890"/>
      <c r="AN890"/>
      <c r="AO890"/>
      <c r="AP890"/>
      <c r="AQ890"/>
      <c r="AR890"/>
      <c r="AS890"/>
    </row>
    <row r="891" spans="13:45">
      <c r="M891" s="820"/>
      <c r="N891" s="236"/>
      <c r="O891" s="205"/>
      <c r="P891" s="260"/>
      <c r="Q891" s="320"/>
      <c r="R891" s="323"/>
      <c r="S891" s="323"/>
      <c r="T891" s="260"/>
      <c r="U891" s="260"/>
      <c r="V891" s="260"/>
      <c r="W891" s="260"/>
      <c r="X891" s="260"/>
      <c r="Y891" s="260"/>
      <c r="Z891" s="260"/>
      <c r="AA891" s="260"/>
      <c r="AB891" s="260"/>
      <c r="AC891" s="260"/>
      <c r="AD891" s="260"/>
      <c r="AE891" s="260"/>
      <c r="AF891" s="260"/>
      <c r="AG891" s="321"/>
      <c r="AI891"/>
      <c r="AJ891"/>
      <c r="AK891"/>
      <c r="AL891"/>
      <c r="AM891"/>
      <c r="AN891"/>
      <c r="AO891"/>
      <c r="AP891"/>
      <c r="AQ891"/>
      <c r="AR891"/>
      <c r="AS891"/>
    </row>
    <row r="892" spans="13:45">
      <c r="M892" s="820"/>
      <c r="N892" s="236"/>
      <c r="O892" s="231"/>
      <c r="P892" s="260"/>
      <c r="Q892" s="320"/>
      <c r="R892" s="323"/>
      <c r="S892" s="323"/>
      <c r="T892" s="260"/>
      <c r="U892" s="323"/>
      <c r="V892" s="323"/>
      <c r="W892" s="260"/>
      <c r="X892" s="323"/>
      <c r="Y892" s="323"/>
      <c r="Z892" s="260"/>
      <c r="AA892" s="323"/>
      <c r="AB892" s="323"/>
      <c r="AC892" s="260"/>
      <c r="AD892" s="323"/>
      <c r="AE892" s="323"/>
      <c r="AF892" s="260"/>
      <c r="AG892" s="321"/>
      <c r="AI892"/>
      <c r="AJ892"/>
      <c r="AK892"/>
      <c r="AL892"/>
      <c r="AM892"/>
      <c r="AN892"/>
      <c r="AO892"/>
      <c r="AP892"/>
      <c r="AQ892"/>
      <c r="AR892"/>
      <c r="AS892"/>
    </row>
    <row r="893" spans="13:45">
      <c r="M893" s="820"/>
      <c r="N893" s="236"/>
      <c r="O893" s="231"/>
      <c r="P893" s="260"/>
      <c r="Q893" s="320"/>
      <c r="R893" s="323"/>
      <c r="S893" s="323"/>
      <c r="T893" s="260"/>
      <c r="U893" s="323"/>
      <c r="V893" s="323"/>
      <c r="W893" s="260"/>
      <c r="X893" s="323"/>
      <c r="Y893" s="323"/>
      <c r="Z893" s="260"/>
      <c r="AA893" s="323"/>
      <c r="AB893" s="323"/>
      <c r="AC893" s="260"/>
      <c r="AD893" s="323"/>
      <c r="AE893" s="323"/>
      <c r="AF893" s="260"/>
      <c r="AG893" s="321"/>
      <c r="AI893"/>
      <c r="AJ893"/>
      <c r="AK893"/>
      <c r="AL893"/>
      <c r="AM893"/>
      <c r="AN893"/>
      <c r="AO893"/>
      <c r="AP893"/>
      <c r="AQ893"/>
      <c r="AR893"/>
      <c r="AS893"/>
    </row>
    <row r="894" spans="13:45" ht="12" customHeight="1">
      <c r="M894" s="820"/>
      <c r="N894" s="236"/>
      <c r="O894" s="231"/>
      <c r="P894" s="260"/>
      <c r="Q894" s="258"/>
      <c r="R894" s="323"/>
      <c r="S894" s="323"/>
      <c r="T894" s="260"/>
      <c r="U894" s="323"/>
      <c r="V894" s="323"/>
      <c r="W894" s="260"/>
      <c r="X894" s="323"/>
      <c r="Y894" s="323"/>
      <c r="Z894" s="260"/>
      <c r="AA894" s="323"/>
      <c r="AB894" s="323"/>
      <c r="AC894" s="260"/>
      <c r="AD894" s="323"/>
      <c r="AE894" s="323"/>
      <c r="AF894" s="260"/>
      <c r="AG894" s="258"/>
      <c r="AI894"/>
      <c r="AJ894"/>
      <c r="AK894"/>
      <c r="AL894"/>
      <c r="AM894"/>
      <c r="AN894"/>
      <c r="AO894"/>
      <c r="AP894"/>
      <c r="AQ894"/>
      <c r="AR894"/>
      <c r="AS894"/>
    </row>
    <row r="895" spans="13:45" ht="12" customHeight="1">
      <c r="N895" s="236"/>
      <c r="O895" s="231"/>
      <c r="P895" s="260"/>
      <c r="Q895" s="258"/>
      <c r="R895" s="260"/>
      <c r="S895" s="260"/>
      <c r="T895" s="278"/>
      <c r="U895" s="260"/>
      <c r="V895" s="260"/>
      <c r="W895" s="278"/>
      <c r="X895" s="260"/>
      <c r="Y895" s="260"/>
      <c r="Z895" s="278"/>
      <c r="AA895" s="260"/>
      <c r="AB895" s="260"/>
      <c r="AC895" s="278"/>
      <c r="AD895" s="260"/>
      <c r="AE895" s="260"/>
      <c r="AF895" s="278"/>
      <c r="AG895" s="258"/>
      <c r="AI895"/>
      <c r="AJ895"/>
      <c r="AK895"/>
      <c r="AL895"/>
      <c r="AM895"/>
      <c r="AN895"/>
      <c r="AO895"/>
      <c r="AP895"/>
      <c r="AQ895"/>
      <c r="AR895"/>
      <c r="AS895"/>
    </row>
    <row r="896" spans="13:45" ht="12" hidden="1" customHeight="1">
      <c r="N896" s="236"/>
      <c r="O896" s="231"/>
      <c r="P896" s="260"/>
      <c r="Q896" s="258"/>
      <c r="R896" s="260"/>
      <c r="S896" s="260"/>
      <c r="T896" s="278"/>
      <c r="U896" s="260"/>
      <c r="V896" s="260"/>
      <c r="W896" s="278"/>
      <c r="X896" s="260"/>
      <c r="Y896" s="260"/>
      <c r="Z896" s="278"/>
      <c r="AA896" s="260"/>
      <c r="AB896" s="260"/>
      <c r="AC896" s="278"/>
      <c r="AD896" s="260"/>
      <c r="AE896" s="260"/>
      <c r="AF896" s="278"/>
      <c r="AG896" s="258"/>
      <c r="AI896"/>
      <c r="AJ896"/>
      <c r="AK896"/>
      <c r="AL896"/>
      <c r="AM896"/>
      <c r="AN896"/>
      <c r="AO896"/>
      <c r="AP896"/>
      <c r="AQ896"/>
      <c r="AR896"/>
      <c r="AS896"/>
    </row>
    <row r="897" spans="14:45" ht="12" hidden="1" customHeight="1">
      <c r="N897" s="236"/>
      <c r="O897" s="231"/>
      <c r="P897" s="260"/>
      <c r="Q897" s="258"/>
      <c r="R897" s="260"/>
      <c r="S897" s="260"/>
      <c r="T897" s="278"/>
      <c r="U897" s="260"/>
      <c r="V897" s="260"/>
      <c r="W897" s="278"/>
      <c r="X897" s="260"/>
      <c r="Y897" s="260"/>
      <c r="Z897" s="278"/>
      <c r="AA897" s="260"/>
      <c r="AB897" s="260"/>
      <c r="AC897" s="278"/>
      <c r="AD897" s="260"/>
      <c r="AE897" s="260"/>
      <c r="AF897" s="278"/>
      <c r="AG897" s="258"/>
      <c r="AI897"/>
      <c r="AJ897"/>
      <c r="AK897"/>
      <c r="AL897"/>
      <c r="AM897"/>
      <c r="AN897"/>
      <c r="AO897"/>
      <c r="AP897"/>
      <c r="AQ897"/>
      <c r="AR897"/>
      <c r="AS897"/>
    </row>
    <row r="898" spans="14:45" ht="12" hidden="1" customHeight="1">
      <c r="N898" s="236"/>
      <c r="O898" s="231"/>
      <c r="P898" s="260"/>
      <c r="Q898" s="258"/>
      <c r="R898" s="260"/>
      <c r="S898" s="260"/>
      <c r="T898" s="278"/>
      <c r="U898" s="260"/>
      <c r="V898" s="260"/>
      <c r="W898" s="278"/>
      <c r="X898" s="260"/>
      <c r="Y898" s="260"/>
      <c r="Z898" s="278"/>
      <c r="AA898" s="260"/>
      <c r="AB898" s="260"/>
      <c r="AC898" s="278"/>
      <c r="AD898" s="260"/>
      <c r="AE898" s="260"/>
      <c r="AF898" s="278"/>
      <c r="AG898" s="258"/>
      <c r="AI898"/>
      <c r="AJ898"/>
      <c r="AK898"/>
      <c r="AL898"/>
      <c r="AM898"/>
      <c r="AN898"/>
      <c r="AO898"/>
      <c r="AP898"/>
      <c r="AQ898"/>
      <c r="AR898"/>
      <c r="AS898"/>
    </row>
    <row r="899" spans="14:45" ht="12" hidden="1" customHeight="1">
      <c r="N899" s="283"/>
      <c r="O899" s="284"/>
      <c r="P899" s="260"/>
      <c r="Q899" s="258"/>
      <c r="R899" s="260"/>
      <c r="S899" s="260"/>
      <c r="T899" s="278"/>
      <c r="U899" s="260"/>
      <c r="V899" s="260"/>
      <c r="W899" s="278"/>
      <c r="X899" s="260"/>
      <c r="Y899" s="260"/>
      <c r="Z899" s="278"/>
      <c r="AA899" s="260"/>
      <c r="AB899" s="260"/>
      <c r="AC899" s="278"/>
      <c r="AD899" s="260"/>
      <c r="AE899" s="260"/>
      <c r="AF899" s="278"/>
      <c r="AG899" s="258"/>
      <c r="AI899"/>
      <c r="AJ899"/>
      <c r="AK899"/>
      <c r="AL899"/>
      <c r="AM899"/>
      <c r="AN899"/>
      <c r="AO899"/>
      <c r="AP899"/>
      <c r="AQ899"/>
      <c r="AR899"/>
      <c r="AS899"/>
    </row>
    <row r="900" spans="14:45" ht="12" hidden="1" customHeight="1">
      <c r="N900" s="283"/>
      <c r="O900" s="284"/>
      <c r="P900" s="260"/>
      <c r="Q900" s="258"/>
      <c r="R900" s="260"/>
      <c r="S900" s="260"/>
      <c r="T900" s="278"/>
      <c r="U900" s="260"/>
      <c r="V900" s="260"/>
      <c r="W900" s="278"/>
      <c r="X900" s="260"/>
      <c r="Y900" s="260"/>
      <c r="Z900" s="278"/>
      <c r="AA900" s="260"/>
      <c r="AB900" s="260"/>
      <c r="AC900" s="278"/>
      <c r="AD900" s="260"/>
      <c r="AE900" s="260"/>
      <c r="AF900" s="278"/>
      <c r="AG900" s="258"/>
      <c r="AI900"/>
      <c r="AJ900"/>
      <c r="AK900"/>
      <c r="AL900"/>
      <c r="AM900"/>
      <c r="AN900"/>
      <c r="AO900"/>
      <c r="AP900"/>
      <c r="AQ900"/>
      <c r="AR900"/>
      <c r="AS900"/>
    </row>
    <row r="901" spans="14:45" ht="12" hidden="1" customHeight="1">
      <c r="N901" s="283"/>
      <c r="O901" s="284"/>
      <c r="P901" s="260"/>
      <c r="Q901" s="258"/>
      <c r="R901" s="260"/>
      <c r="S901" s="260"/>
      <c r="T901" s="278"/>
      <c r="U901" s="260"/>
      <c r="V901" s="260"/>
      <c r="W901" s="278"/>
      <c r="X901" s="260"/>
      <c r="Y901" s="260"/>
      <c r="Z901" s="278"/>
      <c r="AA901" s="260"/>
      <c r="AB901" s="260"/>
      <c r="AC901" s="278"/>
      <c r="AD901" s="260"/>
      <c r="AE901" s="260"/>
      <c r="AF901" s="278"/>
      <c r="AG901" s="258"/>
      <c r="AI901"/>
      <c r="AJ901"/>
      <c r="AK901"/>
      <c r="AL901"/>
      <c r="AM901"/>
      <c r="AN901"/>
      <c r="AO901"/>
      <c r="AP901"/>
      <c r="AQ901"/>
      <c r="AR901"/>
      <c r="AS901"/>
    </row>
    <row r="902" spans="14:45" ht="12" hidden="1" customHeight="1">
      <c r="N902" s="283"/>
      <c r="O902" s="284"/>
      <c r="P902" s="260"/>
      <c r="Q902" s="258"/>
      <c r="R902" s="260"/>
      <c r="S902" s="260"/>
      <c r="T902" s="278"/>
      <c r="U902" s="260"/>
      <c r="V902" s="260"/>
      <c r="W902" s="278"/>
      <c r="X902" s="260"/>
      <c r="Y902" s="260"/>
      <c r="Z902" s="278"/>
      <c r="AA902" s="260"/>
      <c r="AB902" s="260"/>
      <c r="AC902" s="278"/>
      <c r="AD902" s="260"/>
      <c r="AE902" s="260"/>
      <c r="AF902" s="278"/>
      <c r="AG902" s="258"/>
      <c r="AI902"/>
      <c r="AJ902"/>
      <c r="AK902"/>
      <c r="AL902"/>
      <c r="AM902"/>
      <c r="AN902"/>
      <c r="AO902"/>
      <c r="AP902"/>
      <c r="AQ902"/>
      <c r="AR902"/>
      <c r="AS902"/>
    </row>
    <row r="903" spans="14:45" ht="12" hidden="1" customHeight="1">
      <c r="N903" s="283"/>
      <c r="O903" s="284"/>
      <c r="P903" s="260"/>
      <c r="Q903" s="258"/>
      <c r="R903" s="260"/>
      <c r="S903" s="260"/>
      <c r="T903" s="278"/>
      <c r="U903" s="260"/>
      <c r="V903" s="260"/>
      <c r="W903" s="278"/>
      <c r="X903" s="260"/>
      <c r="Y903" s="260"/>
      <c r="Z903" s="278"/>
      <c r="AA903" s="260"/>
      <c r="AB903" s="260"/>
      <c r="AC903" s="278"/>
      <c r="AD903" s="260"/>
      <c r="AE903" s="260"/>
      <c r="AF903" s="278"/>
      <c r="AG903" s="258"/>
      <c r="AI903"/>
      <c r="AJ903"/>
      <c r="AK903"/>
      <c r="AL903"/>
      <c r="AM903"/>
      <c r="AN903"/>
      <c r="AO903"/>
      <c r="AP903"/>
      <c r="AQ903"/>
      <c r="AR903"/>
      <c r="AS903"/>
    </row>
    <row r="904" spans="14:45" ht="12" hidden="1" customHeight="1">
      <c r="N904" s="283"/>
      <c r="O904" s="284"/>
      <c r="P904" s="260"/>
      <c r="Q904" s="258"/>
      <c r="R904" s="260"/>
      <c r="S904" s="260"/>
      <c r="T904" s="278"/>
      <c r="U904" s="260"/>
      <c r="V904" s="260"/>
      <c r="W904" s="278"/>
      <c r="X904" s="260"/>
      <c r="Y904" s="260"/>
      <c r="Z904" s="278"/>
      <c r="AA904" s="260"/>
      <c r="AB904" s="260"/>
      <c r="AC904" s="278"/>
      <c r="AD904" s="260"/>
      <c r="AE904" s="260"/>
      <c r="AF904" s="278"/>
      <c r="AG904" s="258"/>
      <c r="AI904"/>
      <c r="AJ904"/>
      <c r="AK904"/>
      <c r="AL904"/>
      <c r="AM904"/>
      <c r="AN904"/>
      <c r="AO904"/>
      <c r="AP904"/>
      <c r="AQ904"/>
      <c r="AR904"/>
      <c r="AS904"/>
    </row>
    <row r="905" spans="14:45" ht="12" hidden="1" customHeight="1">
      <c r="N905" s="283"/>
      <c r="O905" s="284"/>
      <c r="P905" s="260"/>
      <c r="Q905" s="258"/>
      <c r="R905" s="260"/>
      <c r="S905" s="260"/>
      <c r="T905" s="278"/>
      <c r="U905" s="260"/>
      <c r="V905" s="260"/>
      <c r="W905" s="278"/>
      <c r="X905" s="260"/>
      <c r="Y905" s="260"/>
      <c r="Z905" s="278"/>
      <c r="AA905" s="260"/>
      <c r="AB905" s="260"/>
      <c r="AC905" s="278"/>
      <c r="AD905" s="260"/>
      <c r="AE905" s="260"/>
      <c r="AF905" s="278"/>
      <c r="AG905" s="258"/>
      <c r="AI905"/>
      <c r="AJ905"/>
      <c r="AK905"/>
      <c r="AL905"/>
      <c r="AM905"/>
      <c r="AN905"/>
      <c r="AO905"/>
      <c r="AP905"/>
      <c r="AQ905"/>
      <c r="AR905"/>
      <c r="AS905"/>
    </row>
    <row r="906" spans="14:45" ht="12" hidden="1" customHeight="1">
      <c r="N906" s="283"/>
      <c r="O906" s="284"/>
      <c r="P906" s="260"/>
      <c r="Q906" s="258"/>
      <c r="R906" s="260"/>
      <c r="S906" s="260"/>
      <c r="T906" s="278"/>
      <c r="U906" s="260"/>
      <c r="V906" s="260"/>
      <c r="W906" s="278"/>
      <c r="X906" s="260"/>
      <c r="Y906" s="260"/>
      <c r="Z906" s="278"/>
      <c r="AA906" s="260"/>
      <c r="AB906" s="260"/>
      <c r="AC906" s="278"/>
      <c r="AD906" s="260"/>
      <c r="AE906" s="260"/>
      <c r="AF906" s="278"/>
      <c r="AG906" s="258"/>
      <c r="AI906"/>
      <c r="AJ906"/>
      <c r="AK906"/>
      <c r="AL906"/>
      <c r="AM906"/>
      <c r="AN906"/>
      <c r="AO906"/>
      <c r="AP906"/>
      <c r="AQ906"/>
      <c r="AR906"/>
      <c r="AS906"/>
    </row>
    <row r="907" spans="14:45" ht="12" hidden="1" customHeight="1">
      <c r="N907" s="283"/>
      <c r="O907" s="284"/>
      <c r="P907" s="260"/>
      <c r="Q907" s="258"/>
      <c r="R907" s="260"/>
      <c r="S907" s="260"/>
      <c r="T907" s="278"/>
      <c r="U907" s="260"/>
      <c r="V907" s="260"/>
      <c r="W907" s="278"/>
      <c r="X907" s="260"/>
      <c r="Y907" s="260"/>
      <c r="Z907" s="278"/>
      <c r="AA907" s="260"/>
      <c r="AB907" s="260"/>
      <c r="AC907" s="278"/>
      <c r="AD907" s="260"/>
      <c r="AE907" s="260"/>
      <c r="AF907" s="278"/>
      <c r="AG907" s="258"/>
      <c r="AI907"/>
      <c r="AJ907"/>
      <c r="AK907"/>
      <c r="AL907"/>
      <c r="AM907"/>
      <c r="AN907"/>
      <c r="AO907"/>
      <c r="AP907"/>
      <c r="AQ907"/>
      <c r="AR907"/>
      <c r="AS907"/>
    </row>
    <row r="908" spans="14:45" ht="12" hidden="1" customHeight="1">
      <c r="N908" s="283"/>
      <c r="O908" s="284"/>
      <c r="P908" s="260"/>
      <c r="Q908" s="258"/>
      <c r="R908" s="260"/>
      <c r="S908" s="260"/>
      <c r="T908" s="278"/>
      <c r="U908" s="260"/>
      <c r="V908" s="260"/>
      <c r="W908" s="278"/>
      <c r="X908" s="260"/>
      <c r="Y908" s="260"/>
      <c r="Z908" s="278"/>
      <c r="AA908" s="260"/>
      <c r="AB908" s="260"/>
      <c r="AC908" s="278"/>
      <c r="AD908" s="260"/>
      <c r="AE908" s="260"/>
      <c r="AF908" s="278"/>
      <c r="AG908" s="258"/>
      <c r="AI908"/>
      <c r="AJ908"/>
      <c r="AK908"/>
      <c r="AL908"/>
      <c r="AM908"/>
      <c r="AN908"/>
      <c r="AO908"/>
      <c r="AP908"/>
      <c r="AQ908"/>
      <c r="AR908"/>
      <c r="AS908"/>
    </row>
    <row r="909" spans="14:45" ht="12" hidden="1" customHeight="1">
      <c r="N909" s="283"/>
      <c r="O909" s="284"/>
      <c r="P909" s="260"/>
      <c r="Q909" s="258"/>
      <c r="R909" s="260"/>
      <c r="S909" s="260"/>
      <c r="T909" s="278"/>
      <c r="U909" s="260"/>
      <c r="V909" s="260"/>
      <c r="W909" s="278"/>
      <c r="X909" s="260"/>
      <c r="Y909" s="260"/>
      <c r="Z909" s="278"/>
      <c r="AA909" s="260"/>
      <c r="AB909" s="260"/>
      <c r="AC909" s="278"/>
      <c r="AD909" s="260"/>
      <c r="AE909" s="260"/>
      <c r="AF909" s="278"/>
      <c r="AG909" s="258"/>
      <c r="AI909"/>
      <c r="AJ909"/>
      <c r="AK909"/>
      <c r="AL909"/>
      <c r="AM909"/>
      <c r="AN909"/>
      <c r="AO909"/>
      <c r="AP909"/>
      <c r="AQ909"/>
      <c r="AR909"/>
      <c r="AS909"/>
    </row>
    <row r="910" spans="14:45" ht="12" hidden="1" customHeight="1">
      <c r="N910" s="283"/>
      <c r="O910" s="284"/>
      <c r="P910" s="260"/>
      <c r="Q910" s="258"/>
      <c r="R910" s="260"/>
      <c r="S910" s="260"/>
      <c r="T910" s="278"/>
      <c r="U910" s="260"/>
      <c r="V910" s="260"/>
      <c r="W910" s="278"/>
      <c r="X910" s="260"/>
      <c r="Y910" s="260"/>
      <c r="Z910" s="278"/>
      <c r="AA910" s="260"/>
      <c r="AB910" s="260"/>
      <c r="AC910" s="278"/>
      <c r="AD910" s="260"/>
      <c r="AE910" s="260"/>
      <c r="AF910" s="278"/>
      <c r="AG910" s="258"/>
      <c r="AI910"/>
      <c r="AJ910"/>
      <c r="AK910"/>
      <c r="AL910"/>
      <c r="AM910"/>
      <c r="AN910"/>
      <c r="AO910"/>
      <c r="AP910"/>
      <c r="AQ910"/>
      <c r="AR910"/>
      <c r="AS910"/>
    </row>
    <row r="911" spans="14:45" ht="12" hidden="1" customHeight="1">
      <c r="N911" s="283"/>
      <c r="O911" s="284"/>
      <c r="P911" s="260"/>
      <c r="Q911" s="258"/>
      <c r="R911" s="260"/>
      <c r="S911" s="260"/>
      <c r="T911" s="278"/>
      <c r="U911" s="260"/>
      <c r="V911" s="260"/>
      <c r="W911" s="278"/>
      <c r="X911" s="260"/>
      <c r="Y911" s="260"/>
      <c r="Z911" s="278"/>
      <c r="AA911" s="260"/>
      <c r="AB911" s="260"/>
      <c r="AC911" s="278"/>
      <c r="AD911" s="260"/>
      <c r="AE911" s="260"/>
      <c r="AF911" s="278"/>
      <c r="AG911" s="258"/>
      <c r="AI911"/>
      <c r="AJ911"/>
      <c r="AK911"/>
      <c r="AL911"/>
      <c r="AM911"/>
      <c r="AN911"/>
      <c r="AO911"/>
      <c r="AP911"/>
      <c r="AQ911"/>
      <c r="AR911"/>
      <c r="AS911"/>
    </row>
    <row r="912" spans="14:45" ht="12" hidden="1" customHeight="1">
      <c r="N912" s="283"/>
      <c r="O912" s="284"/>
      <c r="P912" s="260"/>
      <c r="Q912" s="258"/>
      <c r="R912" s="260"/>
      <c r="S912" s="260"/>
      <c r="T912" s="278"/>
      <c r="U912" s="260"/>
      <c r="V912" s="260"/>
      <c r="W912" s="278"/>
      <c r="X912" s="260"/>
      <c r="Y912" s="260"/>
      <c r="Z912" s="278"/>
      <c r="AA912" s="260"/>
      <c r="AB912" s="260"/>
      <c r="AC912" s="278"/>
      <c r="AD912" s="260"/>
      <c r="AE912" s="260"/>
      <c r="AF912" s="278"/>
      <c r="AG912" s="258"/>
      <c r="AI912"/>
      <c r="AJ912"/>
      <c r="AK912"/>
      <c r="AL912"/>
      <c r="AM912"/>
      <c r="AN912"/>
      <c r="AO912"/>
      <c r="AP912"/>
      <c r="AQ912"/>
      <c r="AR912"/>
      <c r="AS912"/>
    </row>
    <row r="913" spans="14:45" ht="12" hidden="1" customHeight="1">
      <c r="N913" s="283"/>
      <c r="O913" s="284"/>
      <c r="P913" s="260"/>
      <c r="Q913" s="258"/>
      <c r="R913" s="260"/>
      <c r="S913" s="260"/>
      <c r="T913" s="278"/>
      <c r="U913" s="260"/>
      <c r="V913" s="260"/>
      <c r="W913" s="278"/>
      <c r="X913" s="260"/>
      <c r="Y913" s="260"/>
      <c r="Z913" s="278"/>
      <c r="AA913" s="260"/>
      <c r="AB913" s="260"/>
      <c r="AC913" s="278"/>
      <c r="AD913" s="260"/>
      <c r="AE913" s="260"/>
      <c r="AF913" s="278"/>
      <c r="AG913" s="258"/>
      <c r="AI913"/>
      <c r="AJ913"/>
      <c r="AK913"/>
      <c r="AL913"/>
      <c r="AM913"/>
      <c r="AN913"/>
      <c r="AO913"/>
      <c r="AP913"/>
      <c r="AQ913"/>
      <c r="AR913"/>
      <c r="AS913"/>
    </row>
    <row r="914" spans="14:45" ht="12" hidden="1" customHeight="1">
      <c r="N914" s="283"/>
      <c r="O914" s="284"/>
      <c r="P914" s="260"/>
      <c r="Q914" s="258"/>
      <c r="R914" s="260"/>
      <c r="S914" s="260"/>
      <c r="T914" s="278"/>
      <c r="U914" s="260"/>
      <c r="V914" s="260"/>
      <c r="W914" s="278"/>
      <c r="X914" s="260"/>
      <c r="Y914" s="260"/>
      <c r="Z914" s="278"/>
      <c r="AA914" s="260"/>
      <c r="AB914" s="260"/>
      <c r="AC914" s="278"/>
      <c r="AD914" s="260"/>
      <c r="AE914" s="260"/>
      <c r="AF914" s="278"/>
      <c r="AG914" s="258"/>
      <c r="AI914"/>
      <c r="AJ914"/>
      <c r="AK914"/>
      <c r="AL914"/>
      <c r="AM914"/>
      <c r="AN914"/>
      <c r="AO914"/>
      <c r="AP914"/>
      <c r="AQ914"/>
      <c r="AR914"/>
      <c r="AS914"/>
    </row>
    <row r="915" spans="14:45" ht="12" hidden="1" customHeight="1">
      <c r="N915" s="283"/>
      <c r="O915" s="284"/>
      <c r="P915" s="260"/>
      <c r="Q915" s="258"/>
      <c r="R915" s="260"/>
      <c r="S915" s="260"/>
      <c r="T915" s="278"/>
      <c r="U915" s="260"/>
      <c r="V915" s="260"/>
      <c r="W915" s="278"/>
      <c r="X915" s="260"/>
      <c r="Y915" s="260"/>
      <c r="Z915" s="278"/>
      <c r="AA915" s="260"/>
      <c r="AB915" s="260"/>
      <c r="AC915" s="278"/>
      <c r="AD915" s="260"/>
      <c r="AE915" s="260"/>
      <c r="AF915" s="278"/>
      <c r="AG915" s="258"/>
      <c r="AI915"/>
      <c r="AJ915"/>
      <c r="AK915"/>
      <c r="AL915"/>
      <c r="AM915"/>
      <c r="AN915"/>
      <c r="AO915"/>
      <c r="AP915"/>
      <c r="AQ915"/>
      <c r="AR915"/>
      <c r="AS915"/>
    </row>
    <row r="916" spans="14:45" ht="12" hidden="1" customHeight="1">
      <c r="N916" s="283"/>
      <c r="O916" s="284"/>
      <c r="P916" s="260"/>
      <c r="Q916" s="258"/>
      <c r="R916" s="260"/>
      <c r="S916" s="260"/>
      <c r="T916" s="278"/>
      <c r="U916" s="260"/>
      <c r="V916" s="260"/>
      <c r="W916" s="278"/>
      <c r="X916" s="260"/>
      <c r="Y916" s="260"/>
      <c r="Z916" s="278"/>
      <c r="AA916" s="260"/>
      <c r="AB916" s="260"/>
      <c r="AC916" s="278"/>
      <c r="AD916" s="260"/>
      <c r="AE916" s="260"/>
      <c r="AF916" s="278"/>
      <c r="AG916" s="258"/>
      <c r="AI916"/>
      <c r="AJ916"/>
      <c r="AK916"/>
      <c r="AL916"/>
      <c r="AM916"/>
      <c r="AN916"/>
      <c r="AO916"/>
      <c r="AP916"/>
      <c r="AQ916"/>
      <c r="AR916"/>
      <c r="AS916"/>
    </row>
    <row r="917" spans="14:45" ht="12" hidden="1" customHeight="1">
      <c r="N917" s="283"/>
      <c r="O917" s="284"/>
      <c r="P917" s="260"/>
      <c r="Q917" s="258"/>
      <c r="R917" s="260"/>
      <c r="S917" s="260"/>
      <c r="T917" s="278"/>
      <c r="U917" s="260"/>
      <c r="V917" s="260"/>
      <c r="W917" s="278"/>
      <c r="X917" s="260"/>
      <c r="Y917" s="260"/>
      <c r="Z917" s="278"/>
      <c r="AA917" s="260"/>
      <c r="AB917" s="260"/>
      <c r="AC917" s="278"/>
      <c r="AD917" s="260"/>
      <c r="AE917" s="260"/>
      <c r="AF917" s="278"/>
      <c r="AG917" s="258"/>
      <c r="AI917"/>
      <c r="AJ917"/>
      <c r="AK917"/>
      <c r="AL917"/>
      <c r="AM917"/>
      <c r="AN917"/>
      <c r="AO917"/>
      <c r="AP917"/>
      <c r="AQ917"/>
      <c r="AR917"/>
      <c r="AS917"/>
    </row>
    <row r="918" spans="14:45" hidden="1">
      <c r="N918" s="283"/>
      <c r="O918" s="284"/>
      <c r="P918" s="260"/>
      <c r="Q918" s="258"/>
      <c r="R918" s="260"/>
      <c r="S918" s="260"/>
      <c r="T918" s="285"/>
      <c r="U918" s="260"/>
      <c r="V918" s="260"/>
      <c r="W918" s="255"/>
      <c r="X918" s="260"/>
      <c r="Y918" s="260"/>
      <c r="Z918" s="255"/>
      <c r="AA918" s="260"/>
      <c r="AB918" s="260"/>
      <c r="AC918" s="260"/>
      <c r="AD918" s="260"/>
      <c r="AE918" s="260"/>
      <c r="AF918" s="260"/>
      <c r="AG918" s="258"/>
      <c r="AI918"/>
      <c r="AJ918"/>
      <c r="AK918"/>
      <c r="AL918"/>
      <c r="AM918"/>
      <c r="AN918"/>
      <c r="AO918"/>
      <c r="AP918"/>
      <c r="AQ918"/>
      <c r="AR918"/>
      <c r="AS918"/>
    </row>
    <row r="919" spans="14:45" hidden="1">
      <c r="N919" s="283"/>
      <c r="O919" s="284"/>
      <c r="P919" s="260"/>
      <c r="Q919" s="258"/>
      <c r="R919" s="260"/>
      <c r="S919" s="260"/>
      <c r="T919" s="285"/>
      <c r="U919" s="260"/>
      <c r="V919" s="260"/>
      <c r="W919" s="255"/>
      <c r="X919" s="260"/>
      <c r="Y919" s="260"/>
      <c r="Z919" s="255"/>
      <c r="AA919" s="260"/>
      <c r="AB919" s="260"/>
      <c r="AC919" s="260"/>
      <c r="AD919" s="260"/>
      <c r="AE919" s="260"/>
      <c r="AF919" s="260"/>
      <c r="AG919" s="258"/>
      <c r="AI919"/>
      <c r="AJ919"/>
      <c r="AK919"/>
      <c r="AL919"/>
      <c r="AM919"/>
      <c r="AN919"/>
      <c r="AO919"/>
      <c r="AP919"/>
      <c r="AQ919"/>
      <c r="AR919"/>
      <c r="AS919"/>
    </row>
    <row r="920" spans="14:45" hidden="1">
      <c r="N920" s="283"/>
      <c r="O920" s="284"/>
      <c r="P920" s="260"/>
      <c r="Q920" s="258"/>
      <c r="R920" s="260"/>
      <c r="S920" s="260"/>
      <c r="T920" s="285"/>
      <c r="U920" s="260"/>
      <c r="V920" s="260"/>
      <c r="W920" s="255"/>
      <c r="X920" s="260"/>
      <c r="Y920" s="260"/>
      <c r="Z920" s="255"/>
      <c r="AA920" s="260"/>
      <c r="AB920" s="260"/>
      <c r="AC920" s="260"/>
      <c r="AD920" s="260"/>
      <c r="AE920" s="260"/>
      <c r="AF920" s="260"/>
      <c r="AG920" s="258"/>
      <c r="AI920"/>
      <c r="AJ920"/>
      <c r="AK920"/>
      <c r="AL920"/>
      <c r="AM920"/>
      <c r="AN920"/>
      <c r="AO920"/>
      <c r="AP920"/>
      <c r="AQ920"/>
      <c r="AR920"/>
      <c r="AS920"/>
    </row>
    <row r="921" spans="14:45" hidden="1">
      <c r="N921" s="283"/>
      <c r="O921" s="284"/>
      <c r="P921" s="260"/>
      <c r="Q921" s="258"/>
      <c r="R921" s="260"/>
      <c r="S921" s="260"/>
      <c r="T921" s="285"/>
      <c r="U921" s="260"/>
      <c r="V921" s="260"/>
      <c r="W921" s="255"/>
      <c r="X921" s="260"/>
      <c r="Y921" s="260"/>
      <c r="Z921" s="255"/>
      <c r="AA921" s="260"/>
      <c r="AB921" s="260"/>
      <c r="AC921" s="260"/>
      <c r="AD921" s="260"/>
      <c r="AE921" s="260"/>
      <c r="AF921" s="260"/>
      <c r="AG921" s="258"/>
      <c r="AI921"/>
      <c r="AJ921"/>
      <c r="AK921"/>
      <c r="AL921"/>
      <c r="AM921"/>
      <c r="AN921"/>
      <c r="AO921"/>
      <c r="AP921"/>
      <c r="AQ921"/>
      <c r="AR921"/>
      <c r="AS921"/>
    </row>
    <row r="922" spans="14:45" hidden="1">
      <c r="N922" s="283"/>
      <c r="O922" s="284"/>
      <c r="P922" s="260"/>
      <c r="Q922" s="258"/>
      <c r="R922" s="260"/>
      <c r="S922" s="260"/>
      <c r="T922" s="285"/>
      <c r="U922" s="260"/>
      <c r="V922" s="260"/>
      <c r="W922" s="255"/>
      <c r="X922" s="260"/>
      <c r="Y922" s="260"/>
      <c r="Z922" s="255"/>
      <c r="AA922" s="260"/>
      <c r="AB922" s="260"/>
      <c r="AC922" s="260"/>
      <c r="AD922" s="260"/>
      <c r="AE922" s="260"/>
      <c r="AF922" s="260"/>
      <c r="AG922" s="258"/>
      <c r="AI922"/>
      <c r="AJ922"/>
      <c r="AK922"/>
      <c r="AL922"/>
      <c r="AM922"/>
      <c r="AN922"/>
      <c r="AO922"/>
      <c r="AP922"/>
      <c r="AQ922"/>
      <c r="AR922"/>
      <c r="AS922"/>
    </row>
    <row r="923" spans="14:45" ht="11.25" hidden="1" customHeight="1">
      <c r="N923" s="283"/>
      <c r="O923" s="284"/>
      <c r="P923" s="260"/>
      <c r="Q923" s="258"/>
      <c r="R923" s="260"/>
      <c r="S923" s="260"/>
      <c r="T923" s="285"/>
      <c r="U923" s="260"/>
      <c r="V923" s="260"/>
      <c r="W923" s="255"/>
      <c r="X923" s="260"/>
      <c r="Y923" s="260"/>
      <c r="Z923" s="255"/>
      <c r="AA923" s="260"/>
      <c r="AB923" s="260"/>
      <c r="AC923" s="260"/>
      <c r="AD923" s="260"/>
      <c r="AE923" s="260"/>
      <c r="AF923" s="260"/>
      <c r="AG923" s="258"/>
      <c r="AI923"/>
      <c r="AJ923"/>
      <c r="AK923"/>
      <c r="AL923"/>
      <c r="AM923"/>
      <c r="AN923"/>
      <c r="AO923"/>
      <c r="AP923"/>
      <c r="AQ923"/>
      <c r="AR923"/>
      <c r="AS923"/>
    </row>
    <row r="924" spans="14:45" ht="11.25" hidden="1" customHeight="1">
      <c r="N924" s="283"/>
      <c r="O924" s="284"/>
      <c r="P924" s="260"/>
      <c r="Q924" s="258"/>
      <c r="R924" s="260"/>
      <c r="S924" s="260"/>
      <c r="T924" s="285"/>
      <c r="U924" s="260"/>
      <c r="V924" s="260"/>
      <c r="W924" s="255"/>
      <c r="X924" s="260"/>
      <c r="Y924" s="260"/>
      <c r="Z924" s="255"/>
      <c r="AA924" s="260"/>
      <c r="AB924" s="260"/>
      <c r="AC924" s="260"/>
      <c r="AD924" s="260"/>
      <c r="AE924" s="260"/>
      <c r="AF924" s="260"/>
      <c r="AG924" s="258"/>
      <c r="AI924"/>
      <c r="AJ924"/>
      <c r="AK924"/>
      <c r="AL924"/>
      <c r="AM924"/>
      <c r="AN924"/>
      <c r="AO924"/>
      <c r="AP924"/>
      <c r="AQ924"/>
      <c r="AR924"/>
      <c r="AS924"/>
    </row>
    <row r="925" spans="14:45" ht="11.25" hidden="1" customHeight="1">
      <c r="N925" s="283"/>
      <c r="O925" s="284"/>
      <c r="P925" s="260"/>
      <c r="Q925" s="258"/>
      <c r="R925" s="260"/>
      <c r="S925" s="260"/>
      <c r="T925" s="285"/>
      <c r="U925" s="260"/>
      <c r="V925" s="260"/>
      <c r="W925" s="255"/>
      <c r="X925" s="260"/>
      <c r="Y925" s="260"/>
      <c r="Z925" s="255"/>
      <c r="AA925" s="260"/>
      <c r="AB925" s="260"/>
      <c r="AC925" s="260"/>
      <c r="AD925" s="260"/>
      <c r="AE925" s="260"/>
      <c r="AF925" s="260"/>
      <c r="AG925" s="258"/>
      <c r="AI925"/>
      <c r="AJ925"/>
      <c r="AK925"/>
      <c r="AL925"/>
      <c r="AM925"/>
      <c r="AN925"/>
      <c r="AO925"/>
      <c r="AP925"/>
      <c r="AQ925"/>
      <c r="AR925"/>
      <c r="AS925"/>
    </row>
    <row r="926" spans="14:45" ht="11.25" hidden="1" customHeight="1">
      <c r="N926" s="302"/>
      <c r="O926" s="303"/>
      <c r="P926" s="260"/>
      <c r="Q926" s="258"/>
      <c r="R926" s="260"/>
      <c r="S926" s="260"/>
      <c r="T926" s="285"/>
      <c r="U926" s="260"/>
      <c r="V926" s="260"/>
      <c r="W926" s="255"/>
      <c r="X926" s="260"/>
      <c r="Y926" s="260"/>
      <c r="Z926" s="255"/>
      <c r="AA926" s="260"/>
      <c r="AB926" s="260"/>
      <c r="AC926" s="260"/>
      <c r="AD926" s="260"/>
      <c r="AE926" s="260"/>
      <c r="AF926" s="260"/>
      <c r="AG926" s="258"/>
      <c r="AI926"/>
      <c r="AJ926"/>
      <c r="AK926"/>
      <c r="AL926"/>
      <c r="AM926"/>
      <c r="AN926"/>
      <c r="AO926"/>
      <c r="AP926"/>
      <c r="AQ926"/>
      <c r="AR926"/>
      <c r="AS926"/>
    </row>
    <row r="927" spans="14:45" ht="11.25" hidden="1" customHeight="1">
      <c r="N927" s="302"/>
      <c r="O927" s="303"/>
      <c r="P927" s="260"/>
      <c r="Q927" s="258"/>
      <c r="R927" s="287"/>
      <c r="S927" s="260"/>
      <c r="T927" s="285"/>
      <c r="U927" s="260"/>
      <c r="V927" s="260"/>
      <c r="W927" s="255"/>
      <c r="X927" s="260"/>
      <c r="Y927" s="260"/>
      <c r="Z927" s="255"/>
      <c r="AA927" s="260"/>
      <c r="AB927" s="260"/>
      <c r="AC927" s="260"/>
      <c r="AD927" s="260"/>
      <c r="AE927" s="260"/>
      <c r="AF927" s="260"/>
      <c r="AG927" s="258"/>
      <c r="AI927"/>
      <c r="AJ927"/>
      <c r="AK927"/>
      <c r="AL927"/>
      <c r="AM927"/>
      <c r="AN927"/>
      <c r="AO927"/>
      <c r="AP927"/>
      <c r="AQ927"/>
      <c r="AR927"/>
      <c r="AS927"/>
    </row>
    <row r="928" spans="14:45" ht="11.25" hidden="1" customHeight="1">
      <c r="N928" s="302"/>
      <c r="O928" s="303"/>
      <c r="P928" s="260"/>
      <c r="Q928" s="258"/>
      <c r="R928" s="287"/>
      <c r="S928" s="260"/>
      <c r="T928" s="285"/>
      <c r="U928" s="260"/>
      <c r="V928" s="260"/>
      <c r="W928" s="255"/>
      <c r="X928" s="260"/>
      <c r="Y928" s="260"/>
      <c r="Z928" s="255"/>
      <c r="AA928" s="260"/>
      <c r="AB928" s="260"/>
      <c r="AC928" s="260"/>
      <c r="AD928" s="260"/>
      <c r="AE928" s="260"/>
      <c r="AF928" s="260"/>
      <c r="AG928" s="258"/>
      <c r="AI928"/>
      <c r="AJ928"/>
      <c r="AK928"/>
      <c r="AL928"/>
      <c r="AM928"/>
      <c r="AN928"/>
      <c r="AO928"/>
      <c r="AP928"/>
      <c r="AQ928"/>
      <c r="AR928"/>
      <c r="AS928"/>
    </row>
    <row r="929" spans="14:45" ht="12" hidden="1" customHeight="1">
      <c r="N929" s="302"/>
      <c r="O929" s="303"/>
      <c r="P929" s="260"/>
      <c r="Q929" s="258"/>
      <c r="R929" s="260"/>
      <c r="S929" s="260"/>
      <c r="T929" s="285"/>
      <c r="U929" s="260"/>
      <c r="V929" s="260"/>
      <c r="W929" s="255"/>
      <c r="X929" s="260"/>
      <c r="Y929" s="260"/>
      <c r="Z929" s="255"/>
      <c r="AA929" s="260"/>
      <c r="AB929" s="260"/>
      <c r="AC929" s="260"/>
      <c r="AD929" s="260"/>
      <c r="AE929" s="260"/>
      <c r="AF929" s="260"/>
      <c r="AG929" s="258"/>
      <c r="AI929"/>
      <c r="AJ929"/>
      <c r="AK929"/>
      <c r="AL929"/>
      <c r="AM929"/>
      <c r="AN929"/>
      <c r="AO929"/>
      <c r="AP929"/>
      <c r="AQ929"/>
      <c r="AR929"/>
      <c r="AS929"/>
    </row>
    <row r="930" spans="14:45" ht="12" hidden="1" customHeight="1">
      <c r="N930" s="302"/>
      <c r="O930" s="303"/>
      <c r="P930" s="260"/>
      <c r="Q930" s="258"/>
      <c r="R930" s="260"/>
      <c r="S930" s="260"/>
      <c r="T930" s="285"/>
      <c r="U930" s="260"/>
      <c r="V930" s="260"/>
      <c r="W930" s="255"/>
      <c r="X930" s="260"/>
      <c r="Y930" s="260"/>
      <c r="Z930" s="255"/>
      <c r="AA930" s="260"/>
      <c r="AB930" s="260"/>
      <c r="AC930" s="260"/>
      <c r="AD930" s="260"/>
      <c r="AE930" s="260"/>
      <c r="AF930" s="260"/>
      <c r="AG930" s="258"/>
      <c r="AI930"/>
      <c r="AJ930"/>
      <c r="AK930"/>
      <c r="AL930"/>
      <c r="AM930"/>
      <c r="AN930"/>
      <c r="AO930"/>
      <c r="AP930"/>
      <c r="AQ930"/>
      <c r="AR930"/>
      <c r="AS930"/>
    </row>
    <row r="931" spans="14:45" ht="12" hidden="1" customHeight="1">
      <c r="N931" s="302"/>
      <c r="O931" s="303"/>
      <c r="P931" s="260"/>
      <c r="Q931" s="258"/>
      <c r="R931" s="260"/>
      <c r="S931" s="260"/>
      <c r="T931" s="285"/>
      <c r="U931" s="260"/>
      <c r="V931" s="260"/>
      <c r="W931" s="255"/>
      <c r="X931" s="260"/>
      <c r="Y931" s="260"/>
      <c r="Z931" s="255"/>
      <c r="AA931" s="260"/>
      <c r="AB931" s="260"/>
      <c r="AC931" s="260"/>
      <c r="AD931" s="260"/>
      <c r="AE931" s="260"/>
      <c r="AF931" s="260"/>
      <c r="AG931" s="258"/>
      <c r="AI931"/>
      <c r="AJ931"/>
      <c r="AK931"/>
      <c r="AL931"/>
      <c r="AM931"/>
      <c r="AN931"/>
      <c r="AO931"/>
      <c r="AP931"/>
      <c r="AQ931"/>
      <c r="AR931"/>
      <c r="AS931"/>
    </row>
    <row r="932" spans="14:45" ht="12" hidden="1" customHeight="1">
      <c r="N932" s="302"/>
      <c r="O932" s="303"/>
      <c r="P932" s="260"/>
      <c r="Q932" s="258"/>
      <c r="R932" s="260"/>
      <c r="S932" s="260"/>
      <c r="T932" s="285"/>
      <c r="U932" s="260"/>
      <c r="V932" s="260"/>
      <c r="W932" s="255"/>
      <c r="X932" s="260"/>
      <c r="Y932" s="260"/>
      <c r="Z932" s="255"/>
      <c r="AA932" s="260"/>
      <c r="AB932" s="260"/>
      <c r="AC932" s="260"/>
      <c r="AD932" s="260"/>
      <c r="AE932" s="260"/>
      <c r="AF932" s="260"/>
      <c r="AG932" s="258"/>
      <c r="AI932"/>
      <c r="AJ932"/>
      <c r="AK932"/>
      <c r="AL932"/>
      <c r="AM932"/>
      <c r="AN932"/>
      <c r="AO932"/>
      <c r="AP932"/>
      <c r="AQ932"/>
      <c r="AR932"/>
      <c r="AS932"/>
    </row>
    <row r="933" spans="14:45" ht="12" hidden="1" customHeight="1">
      <c r="N933" s="302"/>
      <c r="O933" s="303"/>
      <c r="P933" s="285"/>
      <c r="Q933" s="258"/>
      <c r="R933" s="260"/>
      <c r="S933" s="260"/>
      <c r="T933" s="285"/>
      <c r="U933" s="260"/>
      <c r="V933" s="260"/>
      <c r="W933" s="255"/>
      <c r="X933" s="260"/>
      <c r="Y933" s="260"/>
      <c r="Z933" s="255"/>
      <c r="AA933" s="260"/>
      <c r="AB933" s="260"/>
      <c r="AC933" s="260"/>
      <c r="AD933" s="260"/>
      <c r="AE933" s="260"/>
      <c r="AF933" s="260"/>
      <c r="AG933" s="258"/>
      <c r="AI933"/>
      <c r="AJ933"/>
      <c r="AK933"/>
      <c r="AL933"/>
      <c r="AM933"/>
      <c r="AN933"/>
      <c r="AO933"/>
      <c r="AP933"/>
      <c r="AQ933"/>
      <c r="AR933"/>
      <c r="AS933"/>
    </row>
    <row r="934" spans="14:45" ht="12" hidden="1" customHeight="1">
      <c r="N934" s="302"/>
      <c r="O934" s="303"/>
      <c r="P934" s="285"/>
      <c r="Q934" s="258"/>
      <c r="R934" s="260"/>
      <c r="S934" s="260"/>
      <c r="T934" s="285"/>
      <c r="U934" s="260"/>
      <c r="V934" s="260"/>
      <c r="W934" s="255"/>
      <c r="X934" s="260"/>
      <c r="Y934" s="260"/>
      <c r="Z934" s="255"/>
      <c r="AA934" s="260"/>
      <c r="AB934" s="260"/>
      <c r="AC934" s="260"/>
      <c r="AD934" s="260"/>
      <c r="AE934" s="260"/>
      <c r="AF934" s="260"/>
      <c r="AG934" s="258"/>
      <c r="AI934"/>
      <c r="AJ934"/>
      <c r="AK934"/>
      <c r="AL934"/>
      <c r="AM934"/>
      <c r="AN934"/>
      <c r="AO934"/>
      <c r="AP934"/>
      <c r="AQ934"/>
      <c r="AR934"/>
      <c r="AS934"/>
    </row>
    <row r="935" spans="14:45" ht="12" hidden="1" customHeight="1">
      <c r="N935" s="302"/>
      <c r="O935" s="303"/>
      <c r="P935" s="285"/>
      <c r="Q935" s="258"/>
      <c r="R935" s="260"/>
      <c r="S935" s="260"/>
      <c r="T935" s="285"/>
      <c r="U935" s="260"/>
      <c r="V935" s="260"/>
      <c r="W935" s="255"/>
      <c r="X935" s="260"/>
      <c r="Y935" s="260"/>
      <c r="Z935" s="255"/>
      <c r="AA935" s="260"/>
      <c r="AB935" s="260"/>
      <c r="AC935" s="260"/>
      <c r="AD935" s="260"/>
      <c r="AE935" s="260"/>
      <c r="AF935" s="260"/>
      <c r="AG935" s="258"/>
      <c r="AI935"/>
      <c r="AJ935"/>
      <c r="AK935"/>
      <c r="AL935"/>
      <c r="AM935"/>
      <c r="AN935"/>
      <c r="AO935"/>
      <c r="AP935"/>
      <c r="AQ935"/>
      <c r="AR935"/>
      <c r="AS935"/>
    </row>
    <row r="936" spans="14:45" ht="12" hidden="1" customHeight="1">
      <c r="N936" s="302"/>
      <c r="O936" s="303"/>
      <c r="P936" s="285"/>
      <c r="Q936" s="258"/>
      <c r="R936" s="260"/>
      <c r="S936" s="260"/>
      <c r="T936" s="285"/>
      <c r="U936" s="260"/>
      <c r="V936" s="260"/>
      <c r="W936" s="255"/>
      <c r="X936" s="260"/>
      <c r="Y936" s="260"/>
      <c r="Z936" s="255"/>
      <c r="AA936" s="260"/>
      <c r="AB936" s="260"/>
      <c r="AC936" s="260"/>
      <c r="AD936" s="260"/>
      <c r="AE936" s="260"/>
      <c r="AF936" s="260"/>
      <c r="AG936" s="258"/>
      <c r="AI936"/>
      <c r="AJ936"/>
      <c r="AK936"/>
      <c r="AL936"/>
      <c r="AM936"/>
      <c r="AN936"/>
      <c r="AO936"/>
      <c r="AP936"/>
      <c r="AQ936"/>
      <c r="AR936"/>
      <c r="AS936"/>
    </row>
    <row r="937" spans="14:45" ht="12" hidden="1" customHeight="1">
      <c r="N937" s="302"/>
      <c r="O937" s="303"/>
      <c r="P937" s="285"/>
      <c r="Q937" s="258"/>
      <c r="R937" s="260"/>
      <c r="S937" s="260"/>
      <c r="T937" s="285"/>
      <c r="U937" s="260"/>
      <c r="V937" s="260"/>
      <c r="W937" s="255"/>
      <c r="X937" s="260"/>
      <c r="Y937" s="260"/>
      <c r="Z937" s="255"/>
      <c r="AA937" s="260"/>
      <c r="AB937" s="260"/>
      <c r="AC937" s="260"/>
      <c r="AD937" s="260"/>
      <c r="AE937" s="260"/>
      <c r="AF937" s="260"/>
      <c r="AG937" s="258"/>
      <c r="AI937"/>
      <c r="AJ937"/>
      <c r="AK937"/>
      <c r="AL937"/>
      <c r="AM937"/>
      <c r="AN937"/>
      <c r="AO937"/>
      <c r="AP937"/>
      <c r="AQ937"/>
      <c r="AR937"/>
      <c r="AS937"/>
    </row>
    <row r="938" spans="14:45" ht="12" hidden="1" customHeight="1">
      <c r="N938" s="302"/>
      <c r="O938" s="303"/>
      <c r="P938" s="285"/>
      <c r="Q938" s="258"/>
      <c r="R938" s="260"/>
      <c r="S938" s="260"/>
      <c r="T938" s="285"/>
      <c r="U938" s="260"/>
      <c r="V938" s="260"/>
      <c r="W938" s="255"/>
      <c r="X938" s="260"/>
      <c r="Y938" s="260"/>
      <c r="Z938" s="255"/>
      <c r="AA938" s="260"/>
      <c r="AB938" s="260"/>
      <c r="AC938" s="260"/>
      <c r="AD938" s="260"/>
      <c r="AE938" s="260"/>
      <c r="AF938" s="260"/>
      <c r="AG938" s="258"/>
      <c r="AI938"/>
      <c r="AJ938"/>
      <c r="AK938"/>
      <c r="AL938"/>
      <c r="AM938"/>
      <c r="AN938"/>
      <c r="AO938"/>
      <c r="AP938"/>
      <c r="AQ938"/>
      <c r="AR938"/>
      <c r="AS938"/>
    </row>
    <row r="939" spans="14:45" ht="12" hidden="1" customHeight="1">
      <c r="N939" s="302"/>
      <c r="O939" s="303"/>
      <c r="P939" s="285"/>
      <c r="Q939" s="258"/>
      <c r="R939" s="260"/>
      <c r="S939" s="260"/>
      <c r="T939" s="285"/>
      <c r="U939" s="260"/>
      <c r="V939" s="260"/>
      <c r="W939" s="255"/>
      <c r="X939" s="260"/>
      <c r="Y939" s="260"/>
      <c r="Z939" s="255"/>
      <c r="AA939" s="260"/>
      <c r="AB939" s="260"/>
      <c r="AC939" s="260"/>
      <c r="AD939" s="260"/>
      <c r="AE939" s="260"/>
      <c r="AF939" s="260"/>
      <c r="AG939" s="258"/>
      <c r="AI939"/>
      <c r="AJ939"/>
      <c r="AK939"/>
      <c r="AL939"/>
      <c r="AM939"/>
      <c r="AN939"/>
      <c r="AO939"/>
      <c r="AP939"/>
      <c r="AQ939"/>
      <c r="AR939"/>
      <c r="AS939"/>
    </row>
    <row r="940" spans="14:45" ht="12" hidden="1" customHeight="1">
      <c r="N940" s="302"/>
      <c r="O940" s="303"/>
      <c r="P940" s="285"/>
      <c r="Q940" s="258"/>
      <c r="R940" s="260"/>
      <c r="S940" s="260"/>
      <c r="T940" s="285"/>
      <c r="U940" s="260"/>
      <c r="V940" s="260"/>
      <c r="W940" s="255"/>
      <c r="X940" s="260"/>
      <c r="Y940" s="260"/>
      <c r="Z940" s="255"/>
      <c r="AA940" s="260"/>
      <c r="AB940" s="260"/>
      <c r="AC940" s="260"/>
      <c r="AD940" s="260"/>
      <c r="AE940" s="260"/>
      <c r="AF940" s="260"/>
      <c r="AG940" s="258"/>
      <c r="AI940"/>
      <c r="AJ940"/>
      <c r="AK940"/>
      <c r="AL940"/>
      <c r="AM940"/>
      <c r="AN940"/>
      <c r="AO940"/>
      <c r="AP940"/>
      <c r="AQ940"/>
      <c r="AR940"/>
      <c r="AS940"/>
    </row>
    <row r="941" spans="14:45" ht="12" hidden="1" customHeight="1">
      <c r="N941" s="302"/>
      <c r="O941" s="303"/>
      <c r="P941" s="285"/>
      <c r="Q941" s="258"/>
      <c r="R941" s="260"/>
      <c r="S941" s="260"/>
      <c r="T941" s="285"/>
      <c r="U941" s="260"/>
      <c r="V941" s="260"/>
      <c r="W941" s="255"/>
      <c r="X941" s="260"/>
      <c r="Y941" s="260"/>
      <c r="Z941" s="255"/>
      <c r="AA941" s="260"/>
      <c r="AB941" s="260"/>
      <c r="AC941" s="260"/>
      <c r="AD941" s="260"/>
      <c r="AE941" s="260"/>
      <c r="AF941" s="260"/>
      <c r="AG941" s="258"/>
      <c r="AI941"/>
      <c r="AJ941"/>
      <c r="AK941"/>
      <c r="AL941"/>
      <c r="AM941"/>
      <c r="AN941"/>
      <c r="AO941"/>
      <c r="AP941"/>
      <c r="AQ941"/>
      <c r="AR941"/>
      <c r="AS941"/>
    </row>
    <row r="942" spans="14:45" ht="12" hidden="1" customHeight="1">
      <c r="N942" s="302"/>
      <c r="O942" s="303"/>
      <c r="P942" s="285"/>
      <c r="Q942" s="258"/>
      <c r="R942" s="260"/>
      <c r="S942" s="260"/>
      <c r="T942" s="285"/>
      <c r="U942" s="260"/>
      <c r="V942" s="260"/>
      <c r="W942" s="255"/>
      <c r="X942" s="260"/>
      <c r="Y942" s="260"/>
      <c r="Z942" s="255"/>
      <c r="AA942" s="260"/>
      <c r="AB942" s="260"/>
      <c r="AC942" s="260"/>
      <c r="AD942" s="260"/>
      <c r="AE942" s="260"/>
      <c r="AF942" s="260"/>
      <c r="AG942" s="258"/>
      <c r="AI942"/>
      <c r="AJ942"/>
      <c r="AK942"/>
      <c r="AL942"/>
      <c r="AM942"/>
      <c r="AN942"/>
      <c r="AO942"/>
      <c r="AP942"/>
      <c r="AQ942"/>
      <c r="AR942"/>
      <c r="AS942"/>
    </row>
    <row r="943" spans="14:45" ht="12" hidden="1" customHeight="1">
      <c r="N943" s="302"/>
      <c r="O943" s="303"/>
      <c r="P943" s="285"/>
      <c r="Q943" s="258"/>
      <c r="R943" s="260"/>
      <c r="S943" s="260"/>
      <c r="T943" s="285"/>
      <c r="U943" s="260"/>
      <c r="V943" s="260"/>
      <c r="W943" s="255"/>
      <c r="X943" s="260"/>
      <c r="Y943" s="260"/>
      <c r="Z943" s="255"/>
      <c r="AA943" s="260"/>
      <c r="AB943" s="260"/>
      <c r="AC943" s="260"/>
      <c r="AD943" s="260"/>
      <c r="AE943" s="260"/>
      <c r="AF943" s="260"/>
      <c r="AG943" s="258"/>
      <c r="AI943"/>
      <c r="AJ943"/>
      <c r="AK943"/>
      <c r="AL943"/>
      <c r="AM943"/>
      <c r="AN943"/>
      <c r="AO943"/>
      <c r="AP943"/>
      <c r="AQ943"/>
      <c r="AR943"/>
      <c r="AS943"/>
    </row>
    <row r="944" spans="14:45" ht="12" hidden="1" customHeight="1">
      <c r="N944" s="302"/>
      <c r="O944" s="303"/>
      <c r="P944" s="285"/>
      <c r="Q944" s="258"/>
      <c r="R944" s="260"/>
      <c r="S944" s="260"/>
      <c r="T944" s="285"/>
      <c r="U944" s="260"/>
      <c r="V944" s="260"/>
      <c r="W944" s="255"/>
      <c r="X944" s="260"/>
      <c r="Y944" s="260"/>
      <c r="Z944" s="255"/>
      <c r="AA944" s="260"/>
      <c r="AB944" s="260"/>
      <c r="AC944" s="260"/>
      <c r="AD944" s="260"/>
      <c r="AE944" s="260"/>
      <c r="AF944" s="260"/>
      <c r="AG944" s="258"/>
      <c r="AI944"/>
      <c r="AJ944"/>
      <c r="AK944"/>
      <c r="AL944"/>
      <c r="AM944"/>
      <c r="AN944"/>
      <c r="AO944"/>
      <c r="AP944"/>
      <c r="AQ944"/>
      <c r="AR944"/>
      <c r="AS944"/>
    </row>
    <row r="945" spans="14:45" ht="12" hidden="1" customHeight="1">
      <c r="N945" s="302"/>
      <c r="O945" s="303"/>
      <c r="P945" s="285"/>
      <c r="Q945" s="258"/>
      <c r="R945" s="260"/>
      <c r="S945" s="260"/>
      <c r="T945" s="285"/>
      <c r="U945" s="260"/>
      <c r="V945" s="260"/>
      <c r="W945" s="255"/>
      <c r="X945" s="260"/>
      <c r="Y945" s="260"/>
      <c r="Z945" s="255"/>
      <c r="AA945" s="260"/>
      <c r="AB945" s="260"/>
      <c r="AC945" s="260"/>
      <c r="AD945" s="260"/>
      <c r="AE945" s="260"/>
      <c r="AF945" s="260"/>
      <c r="AG945" s="258"/>
      <c r="AI945"/>
      <c r="AJ945"/>
      <c r="AK945"/>
      <c r="AL945"/>
      <c r="AM945"/>
      <c r="AN945"/>
      <c r="AO945"/>
      <c r="AP945"/>
      <c r="AQ945"/>
      <c r="AR945"/>
      <c r="AS945"/>
    </row>
    <row r="946" spans="14:45" ht="12" hidden="1" customHeight="1">
      <c r="N946" s="302"/>
      <c r="O946" s="303"/>
      <c r="P946" s="285"/>
      <c r="Q946" s="258"/>
      <c r="R946" s="260"/>
      <c r="S946" s="260"/>
      <c r="T946" s="285"/>
      <c r="U946" s="260"/>
      <c r="V946" s="260"/>
      <c r="W946" s="255"/>
      <c r="X946" s="260"/>
      <c r="Y946" s="260"/>
      <c r="Z946" s="255"/>
      <c r="AA946" s="260"/>
      <c r="AB946" s="260"/>
      <c r="AC946" s="260"/>
      <c r="AD946" s="260"/>
      <c r="AE946" s="260"/>
      <c r="AF946" s="260"/>
      <c r="AG946" s="258"/>
      <c r="AI946"/>
      <c r="AJ946"/>
      <c r="AK946"/>
      <c r="AL946"/>
      <c r="AM946"/>
      <c r="AN946"/>
      <c r="AO946"/>
      <c r="AP946"/>
      <c r="AQ946"/>
      <c r="AR946"/>
      <c r="AS946"/>
    </row>
    <row r="947" spans="14:45" ht="12" hidden="1" customHeight="1">
      <c r="N947" s="302"/>
      <c r="O947" s="303"/>
      <c r="P947" s="285"/>
      <c r="Q947" s="258"/>
      <c r="R947" s="260"/>
      <c r="S947" s="260"/>
      <c r="T947" s="285"/>
      <c r="U947" s="260"/>
      <c r="V947" s="260"/>
      <c r="W947" s="255"/>
      <c r="X947" s="260"/>
      <c r="Y947" s="260"/>
      <c r="Z947" s="255"/>
      <c r="AA947" s="260"/>
      <c r="AB947" s="260"/>
      <c r="AC947" s="260"/>
      <c r="AD947" s="260"/>
      <c r="AE947" s="260"/>
      <c r="AF947" s="260"/>
      <c r="AG947" s="258"/>
      <c r="AI947"/>
      <c r="AJ947"/>
      <c r="AK947"/>
      <c r="AL947"/>
      <c r="AM947"/>
      <c r="AN947"/>
      <c r="AO947"/>
      <c r="AP947"/>
      <c r="AQ947"/>
      <c r="AR947"/>
      <c r="AS947"/>
    </row>
    <row r="948" spans="14:45" ht="12" hidden="1" customHeight="1">
      <c r="N948" s="302"/>
      <c r="O948" s="303"/>
      <c r="P948" s="285"/>
      <c r="Q948" s="258"/>
      <c r="R948" s="260"/>
      <c r="S948" s="260"/>
      <c r="T948" s="285"/>
      <c r="U948" s="260"/>
      <c r="V948" s="260"/>
      <c r="W948" s="255"/>
      <c r="X948" s="260"/>
      <c r="Y948" s="260"/>
      <c r="Z948" s="255"/>
      <c r="AA948" s="260"/>
      <c r="AB948" s="260"/>
      <c r="AC948" s="260"/>
      <c r="AD948" s="260"/>
      <c r="AE948" s="260"/>
      <c r="AF948" s="260"/>
      <c r="AG948" s="258"/>
      <c r="AI948"/>
      <c r="AJ948"/>
      <c r="AK948"/>
      <c r="AL948"/>
      <c r="AM948"/>
      <c r="AN948"/>
      <c r="AO948"/>
      <c r="AP948"/>
      <c r="AQ948"/>
      <c r="AR948"/>
      <c r="AS948"/>
    </row>
    <row r="949" spans="14:45" ht="12" hidden="1" customHeight="1">
      <c r="N949" s="302"/>
      <c r="O949" s="303"/>
      <c r="P949" s="285"/>
      <c r="Q949" s="258"/>
      <c r="R949" s="260"/>
      <c r="S949" s="260"/>
      <c r="T949" s="285"/>
      <c r="U949" s="260"/>
      <c r="V949" s="260"/>
      <c r="W949" s="255"/>
      <c r="X949" s="260"/>
      <c r="Y949" s="260"/>
      <c r="Z949" s="255"/>
      <c r="AA949" s="260"/>
      <c r="AB949" s="260"/>
      <c r="AC949" s="260"/>
      <c r="AD949" s="260"/>
      <c r="AE949" s="260"/>
      <c r="AF949" s="260"/>
      <c r="AG949" s="258"/>
      <c r="AI949"/>
      <c r="AJ949"/>
      <c r="AK949"/>
      <c r="AL949"/>
      <c r="AM949"/>
      <c r="AN949"/>
      <c r="AO949"/>
      <c r="AP949"/>
      <c r="AQ949"/>
      <c r="AR949"/>
      <c r="AS949"/>
    </row>
    <row r="950" spans="14:45" ht="12" hidden="1" customHeight="1">
      <c r="N950" s="302"/>
      <c r="O950" s="303"/>
      <c r="P950" s="285"/>
      <c r="Q950" s="258"/>
      <c r="R950" s="260"/>
      <c r="S950" s="260"/>
      <c r="T950" s="285"/>
      <c r="U950" s="260"/>
      <c r="V950" s="260"/>
      <c r="W950" s="255"/>
      <c r="X950" s="260"/>
      <c r="Y950" s="260"/>
      <c r="Z950" s="255"/>
      <c r="AA950" s="260"/>
      <c r="AB950" s="260"/>
      <c r="AC950" s="260"/>
      <c r="AD950" s="260"/>
      <c r="AE950" s="260"/>
      <c r="AF950" s="260"/>
      <c r="AG950" s="258"/>
      <c r="AI950"/>
      <c r="AJ950"/>
      <c r="AK950"/>
      <c r="AL950"/>
      <c r="AM950"/>
      <c r="AN950"/>
      <c r="AO950"/>
      <c r="AP950"/>
      <c r="AQ950"/>
      <c r="AR950"/>
      <c r="AS950"/>
    </row>
    <row r="951" spans="14:45" ht="12" hidden="1" customHeight="1">
      <c r="N951" s="302"/>
      <c r="O951" s="303"/>
      <c r="P951" s="285"/>
      <c r="Q951" s="258"/>
      <c r="R951" s="260"/>
      <c r="S951" s="260"/>
      <c r="T951" s="285"/>
      <c r="U951" s="260"/>
      <c r="V951" s="260"/>
      <c r="W951" s="255"/>
      <c r="X951" s="260"/>
      <c r="Y951" s="260"/>
      <c r="Z951" s="255"/>
      <c r="AA951" s="260"/>
      <c r="AB951" s="260"/>
      <c r="AC951" s="260"/>
      <c r="AD951" s="260"/>
      <c r="AE951" s="260"/>
      <c r="AF951" s="260"/>
      <c r="AG951" s="258"/>
      <c r="AI951"/>
      <c r="AJ951"/>
      <c r="AK951"/>
      <c r="AL951"/>
      <c r="AM951"/>
      <c r="AN951"/>
      <c r="AO951"/>
      <c r="AP951"/>
      <c r="AQ951"/>
      <c r="AR951"/>
      <c r="AS951"/>
    </row>
    <row r="952" spans="14:45" ht="12" hidden="1" customHeight="1">
      <c r="N952" s="302"/>
      <c r="O952" s="303"/>
      <c r="P952" s="285"/>
      <c r="Q952" s="258"/>
      <c r="R952" s="260"/>
      <c r="S952" s="260"/>
      <c r="T952" s="285"/>
      <c r="U952" s="260"/>
      <c r="V952" s="260"/>
      <c r="W952" s="255"/>
      <c r="X952" s="260"/>
      <c r="Y952" s="260"/>
      <c r="Z952" s="255"/>
      <c r="AA952" s="260"/>
      <c r="AB952" s="260"/>
      <c r="AC952" s="260"/>
      <c r="AD952" s="260"/>
      <c r="AE952" s="260"/>
      <c r="AF952" s="260"/>
      <c r="AG952" s="258"/>
      <c r="AI952"/>
      <c r="AJ952"/>
      <c r="AK952"/>
      <c r="AL952"/>
      <c r="AM952"/>
      <c r="AN952"/>
      <c r="AO952"/>
      <c r="AP952"/>
      <c r="AQ952"/>
      <c r="AR952"/>
      <c r="AS952"/>
    </row>
    <row r="953" spans="14:45" ht="12" hidden="1" customHeight="1">
      <c r="N953" s="302"/>
      <c r="O953" s="303"/>
      <c r="P953" s="285"/>
      <c r="Q953" s="258"/>
      <c r="R953" s="260"/>
      <c r="S953" s="260"/>
      <c r="T953" s="285"/>
      <c r="U953" s="260"/>
      <c r="V953" s="260"/>
      <c r="W953" s="255"/>
      <c r="X953" s="260"/>
      <c r="Y953" s="260"/>
      <c r="Z953" s="255"/>
      <c r="AA953" s="260"/>
      <c r="AB953" s="260"/>
      <c r="AC953" s="260"/>
      <c r="AD953" s="260"/>
      <c r="AE953" s="260"/>
      <c r="AF953" s="260"/>
      <c r="AG953" s="258"/>
      <c r="AI953"/>
      <c r="AJ953"/>
      <c r="AK953"/>
      <c r="AL953"/>
      <c r="AM953"/>
      <c r="AN953"/>
      <c r="AO953"/>
      <c r="AP953"/>
      <c r="AQ953"/>
      <c r="AR953"/>
      <c r="AS953"/>
    </row>
    <row r="954" spans="14:45" ht="12" hidden="1" customHeight="1">
      <c r="N954" s="302"/>
      <c r="O954" s="303"/>
      <c r="P954" s="285"/>
      <c r="Q954" s="258"/>
      <c r="R954" s="260"/>
      <c r="S954" s="260"/>
      <c r="T954" s="285"/>
      <c r="U954" s="260"/>
      <c r="V954" s="260"/>
      <c r="W954" s="255"/>
      <c r="X954" s="260"/>
      <c r="Y954" s="260"/>
      <c r="Z954" s="255"/>
      <c r="AA954" s="260"/>
      <c r="AB954" s="260"/>
      <c r="AC954" s="260"/>
      <c r="AD954" s="260"/>
      <c r="AE954" s="260"/>
      <c r="AF954" s="260"/>
      <c r="AG954" s="258"/>
      <c r="AI954"/>
      <c r="AJ954"/>
      <c r="AK954"/>
      <c r="AL954"/>
      <c r="AM954"/>
      <c r="AN954"/>
      <c r="AO954"/>
      <c r="AP954"/>
      <c r="AQ954"/>
      <c r="AR954"/>
      <c r="AS954"/>
    </row>
    <row r="955" spans="14:45" ht="12" hidden="1" customHeight="1">
      <c r="N955" s="302"/>
      <c r="O955" s="303"/>
      <c r="P955" s="285"/>
      <c r="Q955" s="258"/>
      <c r="R955" s="260"/>
      <c r="S955" s="260"/>
      <c r="T955" s="285"/>
      <c r="U955" s="260"/>
      <c r="V955" s="260"/>
      <c r="W955" s="255"/>
      <c r="X955" s="260"/>
      <c r="Y955" s="260"/>
      <c r="Z955" s="255"/>
      <c r="AA955" s="260"/>
      <c r="AB955" s="260"/>
      <c r="AC955" s="260"/>
      <c r="AD955" s="260"/>
      <c r="AE955" s="260"/>
      <c r="AF955" s="260"/>
      <c r="AG955" s="258"/>
      <c r="AI955"/>
      <c r="AJ955"/>
      <c r="AK955"/>
      <c r="AL955"/>
      <c r="AM955"/>
      <c r="AN955"/>
      <c r="AO955"/>
      <c r="AP955"/>
      <c r="AQ955"/>
      <c r="AR955"/>
      <c r="AS955"/>
    </row>
    <row r="956" spans="14:45" ht="12" hidden="1" customHeight="1">
      <c r="N956" s="302"/>
      <c r="O956" s="303"/>
      <c r="P956" s="285"/>
      <c r="Q956" s="258"/>
      <c r="R956" s="260"/>
      <c r="S956" s="260"/>
      <c r="T956" s="285"/>
      <c r="U956" s="260"/>
      <c r="V956" s="260"/>
      <c r="W956" s="255"/>
      <c r="X956" s="260"/>
      <c r="Y956" s="260"/>
      <c r="Z956" s="255"/>
      <c r="AA956" s="260"/>
      <c r="AB956" s="260"/>
      <c r="AC956" s="260"/>
      <c r="AD956" s="260"/>
      <c r="AE956" s="260"/>
      <c r="AF956" s="260"/>
      <c r="AG956" s="258"/>
      <c r="AI956"/>
      <c r="AJ956"/>
      <c r="AK956"/>
      <c r="AL956"/>
      <c r="AM956"/>
      <c r="AN956"/>
      <c r="AO956"/>
      <c r="AP956"/>
      <c r="AQ956"/>
      <c r="AR956"/>
      <c r="AS956"/>
    </row>
    <row r="957" spans="14:45" ht="12" hidden="1" customHeight="1">
      <c r="N957" s="302"/>
      <c r="O957" s="303"/>
      <c r="P957" s="285"/>
      <c r="Q957" s="258"/>
      <c r="R957" s="260"/>
      <c r="S957" s="260"/>
      <c r="T957" s="285"/>
      <c r="U957" s="260"/>
      <c r="V957" s="260"/>
      <c r="W957" s="255"/>
      <c r="X957" s="260"/>
      <c r="Y957" s="260"/>
      <c r="Z957" s="255"/>
      <c r="AA957" s="260"/>
      <c r="AB957" s="260"/>
      <c r="AC957" s="260"/>
      <c r="AD957" s="260"/>
      <c r="AE957" s="260"/>
      <c r="AF957" s="260"/>
      <c r="AG957" s="258"/>
      <c r="AI957"/>
      <c r="AJ957"/>
      <c r="AK957"/>
      <c r="AL957"/>
      <c r="AM957"/>
      <c r="AN957"/>
      <c r="AO957"/>
      <c r="AP957"/>
      <c r="AQ957"/>
      <c r="AR957"/>
      <c r="AS957"/>
    </row>
    <row r="958" spans="14:45" ht="12" hidden="1" customHeight="1">
      <c r="N958" s="302"/>
      <c r="O958" s="303"/>
      <c r="P958" s="285"/>
      <c r="Q958" s="258"/>
      <c r="R958" s="260"/>
      <c r="S958" s="260"/>
      <c r="T958" s="285"/>
      <c r="U958" s="260"/>
      <c r="V958" s="260"/>
      <c r="W958" s="255"/>
      <c r="X958" s="260"/>
      <c r="Y958" s="260"/>
      <c r="Z958" s="255"/>
      <c r="AA958" s="260"/>
      <c r="AB958" s="260"/>
      <c r="AC958" s="260"/>
      <c r="AD958" s="260"/>
      <c r="AE958" s="260"/>
      <c r="AF958" s="260"/>
      <c r="AG958" s="258"/>
      <c r="AI958"/>
      <c r="AJ958"/>
      <c r="AK958"/>
      <c r="AL958"/>
      <c r="AM958"/>
      <c r="AN958"/>
      <c r="AO958"/>
      <c r="AP958"/>
      <c r="AQ958"/>
      <c r="AR958"/>
      <c r="AS958"/>
    </row>
    <row r="959" spans="14:45" ht="12" hidden="1" customHeight="1">
      <c r="N959" s="302"/>
      <c r="O959" s="303"/>
      <c r="P959" s="285"/>
      <c r="Q959" s="258"/>
      <c r="R959" s="260"/>
      <c r="S959" s="260"/>
      <c r="T959" s="285"/>
      <c r="U959" s="260"/>
      <c r="V959" s="260"/>
      <c r="W959" s="255"/>
      <c r="X959" s="260"/>
      <c r="Y959" s="260"/>
      <c r="Z959" s="255"/>
      <c r="AA959" s="260"/>
      <c r="AB959" s="260"/>
      <c r="AC959" s="260"/>
      <c r="AD959" s="260"/>
      <c r="AE959" s="260"/>
      <c r="AF959" s="260"/>
      <c r="AG959" s="258"/>
      <c r="AI959"/>
      <c r="AJ959"/>
      <c r="AK959"/>
      <c r="AL959"/>
      <c r="AM959"/>
      <c r="AN959"/>
      <c r="AO959"/>
      <c r="AP959"/>
      <c r="AQ959"/>
      <c r="AR959"/>
      <c r="AS959"/>
    </row>
    <row r="960" spans="14:45" ht="12" hidden="1" customHeight="1">
      <c r="N960" s="302"/>
      <c r="O960" s="303"/>
      <c r="P960" s="285"/>
      <c r="Q960" s="258"/>
      <c r="R960" s="260"/>
      <c r="S960" s="260"/>
      <c r="T960" s="285"/>
      <c r="U960" s="260"/>
      <c r="V960" s="260"/>
      <c r="W960" s="255"/>
      <c r="X960" s="260"/>
      <c r="Y960" s="260"/>
      <c r="Z960" s="255"/>
      <c r="AA960" s="260"/>
      <c r="AB960" s="260"/>
      <c r="AC960" s="260"/>
      <c r="AD960" s="260"/>
      <c r="AE960" s="260"/>
      <c r="AF960" s="260"/>
      <c r="AG960" s="258"/>
      <c r="AI960"/>
      <c r="AJ960"/>
      <c r="AK960"/>
      <c r="AL960"/>
      <c r="AM960"/>
      <c r="AN960"/>
      <c r="AO960"/>
      <c r="AP960"/>
      <c r="AQ960"/>
      <c r="AR960"/>
      <c r="AS960"/>
    </row>
    <row r="961" spans="14:45" ht="12" hidden="1" customHeight="1">
      <c r="N961" s="302"/>
      <c r="O961" s="303"/>
      <c r="P961" s="285"/>
      <c r="Q961" s="258"/>
      <c r="R961" s="260"/>
      <c r="S961" s="260"/>
      <c r="T961" s="285"/>
      <c r="U961" s="260"/>
      <c r="V961" s="260"/>
      <c r="W961" s="255"/>
      <c r="X961" s="260"/>
      <c r="Y961" s="260"/>
      <c r="Z961" s="255"/>
      <c r="AA961" s="260"/>
      <c r="AB961" s="260"/>
      <c r="AC961" s="260"/>
      <c r="AD961" s="260"/>
      <c r="AE961" s="260"/>
      <c r="AF961" s="260"/>
      <c r="AG961" s="258"/>
      <c r="AI961"/>
      <c r="AJ961"/>
      <c r="AK961"/>
      <c r="AL961"/>
      <c r="AM961"/>
      <c r="AN961"/>
      <c r="AO961"/>
      <c r="AP961"/>
      <c r="AQ961"/>
      <c r="AR961"/>
      <c r="AS961"/>
    </row>
    <row r="962" spans="14:45" ht="12" hidden="1" customHeight="1">
      <c r="N962" s="302"/>
      <c r="O962" s="303"/>
      <c r="P962" s="285"/>
      <c r="Q962" s="258"/>
      <c r="R962" s="260"/>
      <c r="S962" s="260"/>
      <c r="T962" s="285"/>
      <c r="U962" s="260"/>
      <c r="V962" s="260"/>
      <c r="W962" s="255"/>
      <c r="X962" s="260"/>
      <c r="Y962" s="260"/>
      <c r="Z962" s="255"/>
      <c r="AA962" s="260"/>
      <c r="AB962" s="260"/>
      <c r="AC962" s="260"/>
      <c r="AD962" s="260"/>
      <c r="AE962" s="260"/>
      <c r="AF962" s="260"/>
      <c r="AG962" s="258"/>
      <c r="AI962"/>
      <c r="AJ962"/>
      <c r="AK962"/>
      <c r="AL962"/>
      <c r="AM962"/>
      <c r="AN962"/>
      <c r="AO962"/>
      <c r="AP962"/>
      <c r="AQ962"/>
      <c r="AR962"/>
      <c r="AS962"/>
    </row>
    <row r="963" spans="14:45" ht="12" hidden="1" customHeight="1">
      <c r="N963" s="302"/>
      <c r="O963" s="303"/>
      <c r="P963" s="285"/>
      <c r="Q963" s="258"/>
      <c r="R963" s="260"/>
      <c r="S963" s="260"/>
      <c r="T963" s="285"/>
      <c r="U963" s="260"/>
      <c r="V963" s="260"/>
      <c r="W963" s="255"/>
      <c r="X963" s="260"/>
      <c r="Y963" s="260"/>
      <c r="Z963" s="255"/>
      <c r="AA963" s="260"/>
      <c r="AB963" s="260"/>
      <c r="AC963" s="260"/>
      <c r="AD963" s="260"/>
      <c r="AE963" s="260"/>
      <c r="AF963" s="260"/>
      <c r="AG963" s="258"/>
      <c r="AI963"/>
      <c r="AJ963"/>
      <c r="AK963"/>
      <c r="AL963"/>
      <c r="AM963"/>
      <c r="AN963"/>
      <c r="AO963"/>
      <c r="AP963"/>
      <c r="AQ963"/>
      <c r="AR963"/>
      <c r="AS963"/>
    </row>
    <row r="964" spans="14:45" ht="12" hidden="1" customHeight="1">
      <c r="N964" s="302"/>
      <c r="O964" s="303"/>
      <c r="P964" s="285"/>
      <c r="Q964" s="258"/>
      <c r="R964" s="260"/>
      <c r="S964" s="260"/>
      <c r="T964" s="285"/>
      <c r="U964" s="260"/>
      <c r="V964" s="260"/>
      <c r="W964" s="255"/>
      <c r="X964" s="260"/>
      <c r="Y964" s="260"/>
      <c r="Z964" s="255"/>
      <c r="AA964" s="260"/>
      <c r="AB964" s="260"/>
      <c r="AC964" s="260"/>
      <c r="AD964" s="260"/>
      <c r="AE964" s="260"/>
      <c r="AF964" s="260"/>
      <c r="AG964" s="258"/>
      <c r="AI964"/>
      <c r="AJ964"/>
      <c r="AK964"/>
      <c r="AL964"/>
      <c r="AM964"/>
      <c r="AN964"/>
      <c r="AO964"/>
      <c r="AP964"/>
      <c r="AQ964"/>
      <c r="AR964"/>
      <c r="AS964"/>
    </row>
    <row r="965" spans="14:45" ht="12" hidden="1" customHeight="1">
      <c r="N965" s="302"/>
      <c r="O965" s="303"/>
      <c r="P965" s="285"/>
      <c r="Q965" s="258"/>
      <c r="R965" s="260"/>
      <c r="S965" s="260"/>
      <c r="T965" s="285"/>
      <c r="U965" s="260"/>
      <c r="V965" s="260"/>
      <c r="W965" s="255"/>
      <c r="X965" s="260"/>
      <c r="Y965" s="260"/>
      <c r="Z965" s="255"/>
      <c r="AA965" s="260"/>
      <c r="AB965" s="260"/>
      <c r="AC965" s="260"/>
      <c r="AD965" s="260"/>
      <c r="AE965" s="260"/>
      <c r="AF965" s="260"/>
      <c r="AG965" s="258"/>
      <c r="AI965"/>
      <c r="AJ965"/>
      <c r="AK965"/>
      <c r="AL965"/>
      <c r="AM965"/>
      <c r="AN965"/>
      <c r="AO965"/>
      <c r="AP965"/>
      <c r="AQ965"/>
      <c r="AR965"/>
      <c r="AS965"/>
    </row>
    <row r="966" spans="14:45" ht="12" hidden="1" customHeight="1">
      <c r="N966" s="302"/>
      <c r="O966" s="303"/>
      <c r="P966" s="285"/>
      <c r="Q966" s="258"/>
      <c r="R966" s="260"/>
      <c r="S966" s="260"/>
      <c r="T966" s="285"/>
      <c r="U966" s="260"/>
      <c r="V966" s="260"/>
      <c r="W966" s="255"/>
      <c r="X966" s="260"/>
      <c r="Y966" s="260"/>
      <c r="Z966" s="255"/>
      <c r="AA966" s="260"/>
      <c r="AB966" s="260"/>
      <c r="AC966" s="260"/>
      <c r="AD966" s="260"/>
      <c r="AE966" s="260"/>
      <c r="AF966" s="260"/>
      <c r="AG966" s="258"/>
      <c r="AI966"/>
      <c r="AJ966"/>
      <c r="AK966"/>
      <c r="AL966"/>
      <c r="AM966"/>
      <c r="AN966"/>
      <c r="AO966"/>
      <c r="AP966"/>
      <c r="AQ966"/>
      <c r="AR966"/>
      <c r="AS966"/>
    </row>
    <row r="967" spans="14:45" ht="12" hidden="1" customHeight="1">
      <c r="N967" s="302"/>
      <c r="O967" s="303"/>
      <c r="P967" s="285"/>
      <c r="Q967" s="258"/>
      <c r="R967" s="260"/>
      <c r="S967" s="260"/>
      <c r="T967" s="285"/>
      <c r="U967" s="260"/>
      <c r="V967" s="260"/>
      <c r="W967" s="255"/>
      <c r="X967" s="260"/>
      <c r="Y967" s="260"/>
      <c r="Z967" s="255"/>
      <c r="AA967" s="260"/>
      <c r="AB967" s="260"/>
      <c r="AC967" s="260"/>
      <c r="AD967" s="260"/>
      <c r="AE967" s="260"/>
      <c r="AF967" s="260"/>
      <c r="AG967" s="258"/>
      <c r="AI967"/>
      <c r="AJ967"/>
      <c r="AK967"/>
      <c r="AL967"/>
      <c r="AM967"/>
      <c r="AN967"/>
      <c r="AO967"/>
      <c r="AP967"/>
      <c r="AQ967"/>
      <c r="AR967"/>
      <c r="AS967"/>
    </row>
    <row r="968" spans="14:45" ht="12" hidden="1" customHeight="1">
      <c r="N968" s="302"/>
      <c r="O968" s="303"/>
      <c r="P968" s="285"/>
      <c r="Q968" s="258"/>
      <c r="R968" s="260"/>
      <c r="S968" s="260"/>
      <c r="T968" s="285"/>
      <c r="U968" s="260"/>
      <c r="V968" s="260"/>
      <c r="W968" s="255"/>
      <c r="X968" s="260"/>
      <c r="Y968" s="260"/>
      <c r="Z968" s="255"/>
      <c r="AA968" s="260"/>
      <c r="AB968" s="260"/>
      <c r="AC968" s="260"/>
      <c r="AD968" s="260"/>
      <c r="AE968" s="260"/>
      <c r="AF968" s="260"/>
      <c r="AG968" s="258"/>
      <c r="AI968"/>
      <c r="AJ968"/>
      <c r="AK968"/>
      <c r="AL968"/>
      <c r="AM968"/>
      <c r="AN968"/>
      <c r="AO968"/>
      <c r="AP968"/>
      <c r="AQ968"/>
      <c r="AR968"/>
      <c r="AS968"/>
    </row>
    <row r="969" spans="14:45" ht="12" hidden="1" customHeight="1">
      <c r="N969" s="302"/>
      <c r="O969" s="303"/>
      <c r="P969" s="285"/>
      <c r="Q969" s="258"/>
      <c r="R969" s="260"/>
      <c r="S969" s="260"/>
      <c r="T969" s="285"/>
      <c r="U969" s="260"/>
      <c r="V969" s="260"/>
      <c r="W969" s="255"/>
      <c r="X969" s="260"/>
      <c r="Y969" s="260"/>
      <c r="Z969" s="255"/>
      <c r="AA969" s="260"/>
      <c r="AB969" s="260"/>
      <c r="AC969" s="260"/>
      <c r="AD969" s="260"/>
      <c r="AE969" s="260"/>
      <c r="AF969" s="260"/>
      <c r="AG969" s="258"/>
      <c r="AI969"/>
      <c r="AJ969"/>
      <c r="AK969"/>
      <c r="AL969"/>
      <c r="AM969"/>
      <c r="AN969"/>
      <c r="AO969"/>
      <c r="AP969"/>
      <c r="AQ969"/>
      <c r="AR969"/>
      <c r="AS969"/>
    </row>
    <row r="970" spans="14:45" ht="12" hidden="1" customHeight="1">
      <c r="N970" s="302"/>
      <c r="O970" s="303"/>
      <c r="P970" s="285"/>
      <c r="Q970" s="258"/>
      <c r="R970" s="260"/>
      <c r="S970" s="260"/>
      <c r="T970" s="285"/>
      <c r="U970" s="260"/>
      <c r="V970" s="260"/>
      <c r="W970" s="255"/>
      <c r="X970" s="260"/>
      <c r="Y970" s="260"/>
      <c r="Z970" s="255"/>
      <c r="AA970" s="260"/>
      <c r="AB970" s="260"/>
      <c r="AC970" s="260"/>
      <c r="AD970" s="260"/>
      <c r="AE970" s="260"/>
      <c r="AF970" s="260"/>
      <c r="AG970" s="258"/>
      <c r="AI970"/>
      <c r="AJ970"/>
      <c r="AK970"/>
      <c r="AL970"/>
      <c r="AM970"/>
      <c r="AN970"/>
      <c r="AO970"/>
      <c r="AP970"/>
      <c r="AQ970"/>
      <c r="AR970"/>
      <c r="AS970"/>
    </row>
    <row r="971" spans="14:45" hidden="1">
      <c r="N971" s="302"/>
      <c r="O971" s="303"/>
      <c r="P971" s="285"/>
      <c r="Q971" s="258"/>
      <c r="R971" s="260"/>
      <c r="S971" s="260"/>
      <c r="T971" s="285"/>
      <c r="U971" s="260"/>
      <c r="V971" s="260"/>
      <c r="W971" s="255"/>
      <c r="X971" s="260"/>
      <c r="Y971" s="260"/>
      <c r="Z971" s="255"/>
      <c r="AA971" s="260"/>
      <c r="AB971" s="260"/>
      <c r="AC971" s="260"/>
      <c r="AD971" s="260"/>
      <c r="AE971" s="260"/>
      <c r="AF971" s="260"/>
      <c r="AG971" s="258"/>
      <c r="AI971"/>
      <c r="AJ971"/>
      <c r="AK971"/>
      <c r="AL971"/>
      <c r="AM971"/>
      <c r="AN971"/>
      <c r="AO971"/>
      <c r="AP971"/>
      <c r="AQ971"/>
      <c r="AR971"/>
      <c r="AS971"/>
    </row>
    <row r="972" spans="14:45" hidden="1">
      <c r="N972" s="302"/>
      <c r="O972" s="303"/>
      <c r="P972" s="285"/>
      <c r="Q972" s="258"/>
      <c r="R972" s="260"/>
      <c r="S972" s="260"/>
      <c r="T972" s="285"/>
      <c r="U972" s="260"/>
      <c r="V972" s="260"/>
      <c r="W972" s="255"/>
      <c r="X972" s="260"/>
      <c r="Y972" s="260"/>
      <c r="Z972" s="255"/>
      <c r="AA972" s="260"/>
      <c r="AB972" s="260"/>
      <c r="AC972" s="260"/>
      <c r="AD972" s="260"/>
      <c r="AE972" s="260"/>
      <c r="AF972" s="260"/>
      <c r="AG972" s="258"/>
      <c r="AI972"/>
      <c r="AJ972"/>
      <c r="AK972"/>
      <c r="AL972"/>
      <c r="AM972"/>
      <c r="AN972"/>
      <c r="AO972"/>
      <c r="AP972"/>
      <c r="AQ972"/>
      <c r="AR972"/>
      <c r="AS972"/>
    </row>
    <row r="973" spans="14:45" hidden="1">
      <c r="N973" s="302"/>
      <c r="O973" s="303"/>
      <c r="P973" s="285"/>
      <c r="Q973" s="258"/>
      <c r="R973" s="260"/>
      <c r="S973" s="260"/>
      <c r="T973" s="285"/>
      <c r="U973" s="260"/>
      <c r="V973" s="260"/>
      <c r="W973" s="255"/>
      <c r="X973" s="260"/>
      <c r="Y973" s="260"/>
      <c r="Z973" s="255"/>
      <c r="AA973" s="260"/>
      <c r="AB973" s="260"/>
      <c r="AC973" s="260"/>
      <c r="AD973" s="260"/>
      <c r="AE973" s="260"/>
      <c r="AF973" s="260"/>
      <c r="AG973" s="258"/>
      <c r="AI973"/>
      <c r="AJ973"/>
      <c r="AK973"/>
      <c r="AL973"/>
      <c r="AM973"/>
      <c r="AN973"/>
      <c r="AO973"/>
      <c r="AP973"/>
      <c r="AQ973"/>
      <c r="AR973"/>
      <c r="AS973"/>
    </row>
    <row r="974" spans="14:45" hidden="1">
      <c r="N974" s="302"/>
      <c r="O974" s="303"/>
      <c r="P974" s="285"/>
      <c r="Q974" s="258"/>
      <c r="R974" s="260"/>
      <c r="S974" s="260"/>
      <c r="T974" s="285"/>
      <c r="U974" s="260"/>
      <c r="V974" s="260"/>
      <c r="W974" s="255"/>
      <c r="X974" s="260"/>
      <c r="Y974" s="260"/>
      <c r="Z974" s="255"/>
      <c r="AA974" s="260"/>
      <c r="AB974" s="260"/>
      <c r="AC974" s="260"/>
      <c r="AD974" s="260"/>
      <c r="AE974" s="260"/>
      <c r="AF974" s="260"/>
      <c r="AG974" s="258"/>
      <c r="AI974"/>
      <c r="AJ974"/>
      <c r="AK974"/>
      <c r="AL974"/>
      <c r="AM974"/>
      <c r="AN974"/>
      <c r="AO974"/>
      <c r="AP974"/>
      <c r="AQ974"/>
      <c r="AR974"/>
      <c r="AS974"/>
    </row>
    <row r="975" spans="14:45" hidden="1">
      <c r="N975" s="302"/>
      <c r="O975" s="303"/>
      <c r="P975" s="285"/>
      <c r="Q975" s="258"/>
      <c r="R975" s="260"/>
      <c r="S975" s="260"/>
      <c r="T975" s="285"/>
      <c r="U975" s="260"/>
      <c r="V975" s="260"/>
      <c r="W975" s="255"/>
      <c r="X975" s="260"/>
      <c r="Y975" s="260"/>
      <c r="Z975" s="255"/>
      <c r="AA975" s="260"/>
      <c r="AB975" s="260"/>
      <c r="AC975" s="260"/>
      <c r="AD975" s="260"/>
      <c r="AE975" s="260"/>
      <c r="AF975" s="260"/>
      <c r="AG975" s="258"/>
      <c r="AI975"/>
      <c r="AJ975"/>
      <c r="AK975"/>
      <c r="AL975"/>
      <c r="AM975"/>
      <c r="AN975"/>
      <c r="AO975"/>
      <c r="AP975"/>
      <c r="AQ975"/>
      <c r="AR975"/>
      <c r="AS975"/>
    </row>
    <row r="976" spans="14:45" hidden="1">
      <c r="N976" s="302"/>
      <c r="O976" s="303"/>
      <c r="P976" s="285"/>
      <c r="Q976" s="258"/>
      <c r="R976" s="260"/>
      <c r="S976" s="260"/>
      <c r="T976" s="285"/>
      <c r="U976" s="260"/>
      <c r="V976" s="260"/>
      <c r="W976" s="255"/>
      <c r="X976" s="260"/>
      <c r="Y976" s="260"/>
      <c r="Z976" s="255"/>
      <c r="AA976" s="260"/>
      <c r="AB976" s="260"/>
      <c r="AC976" s="260"/>
      <c r="AD976" s="260"/>
      <c r="AE976" s="260"/>
      <c r="AF976" s="260"/>
      <c r="AG976" s="258"/>
      <c r="AI976"/>
      <c r="AJ976"/>
      <c r="AK976"/>
      <c r="AL976"/>
      <c r="AM976"/>
      <c r="AN976"/>
      <c r="AO976"/>
      <c r="AP976"/>
      <c r="AQ976"/>
      <c r="AR976"/>
      <c r="AS976"/>
    </row>
    <row r="977" spans="14:45" hidden="1">
      <c r="N977" s="302"/>
      <c r="O977" s="303"/>
      <c r="P977" s="285"/>
      <c r="Q977" s="258"/>
      <c r="R977" s="260"/>
      <c r="S977" s="260"/>
      <c r="T977" s="285"/>
      <c r="U977" s="260"/>
      <c r="V977" s="260"/>
      <c r="W977" s="255"/>
      <c r="X977" s="260"/>
      <c r="Y977" s="260"/>
      <c r="Z977" s="255"/>
      <c r="AA977" s="260"/>
      <c r="AB977" s="260"/>
      <c r="AC977" s="260"/>
      <c r="AD977" s="260"/>
      <c r="AE977" s="260"/>
      <c r="AF977" s="260"/>
      <c r="AG977" s="258"/>
      <c r="AI977"/>
      <c r="AJ977"/>
      <c r="AK977"/>
      <c r="AL977"/>
      <c r="AM977"/>
      <c r="AN977"/>
      <c r="AO977"/>
      <c r="AP977"/>
      <c r="AQ977"/>
      <c r="AR977"/>
      <c r="AS977"/>
    </row>
    <row r="978" spans="14:45" hidden="1">
      <c r="N978" s="302"/>
      <c r="O978" s="303"/>
      <c r="P978" s="285"/>
      <c r="Q978" s="258"/>
      <c r="R978" s="260"/>
      <c r="S978" s="260"/>
      <c r="T978" s="285"/>
      <c r="U978" s="260"/>
      <c r="V978" s="260"/>
      <c r="W978" s="255"/>
      <c r="X978" s="260"/>
      <c r="Y978" s="260"/>
      <c r="Z978" s="255"/>
      <c r="AA978" s="260"/>
      <c r="AB978" s="260"/>
      <c r="AC978" s="260"/>
      <c r="AD978" s="260"/>
      <c r="AE978" s="260"/>
      <c r="AF978" s="260"/>
      <c r="AG978" s="258"/>
      <c r="AI978"/>
      <c r="AJ978"/>
      <c r="AK978"/>
      <c r="AL978"/>
      <c r="AM978"/>
      <c r="AN978"/>
      <c r="AO978"/>
      <c r="AP978"/>
      <c r="AQ978"/>
      <c r="AR978"/>
      <c r="AS978"/>
    </row>
    <row r="979" spans="14:45" hidden="1">
      <c r="N979" s="302"/>
      <c r="O979" s="303"/>
      <c r="P979" s="285"/>
      <c r="Q979" s="258"/>
      <c r="R979" s="260"/>
      <c r="S979" s="260"/>
      <c r="T979" s="285"/>
      <c r="U979" s="260"/>
      <c r="V979" s="260"/>
      <c r="W979" s="255"/>
      <c r="X979" s="260"/>
      <c r="Y979" s="260"/>
      <c r="Z979" s="255"/>
      <c r="AA979" s="260"/>
      <c r="AB979" s="260"/>
      <c r="AC979" s="260"/>
      <c r="AD979" s="260"/>
      <c r="AE979" s="260"/>
      <c r="AF979" s="260"/>
      <c r="AG979" s="258"/>
      <c r="AI979"/>
      <c r="AJ979"/>
      <c r="AK979"/>
      <c r="AL979"/>
      <c r="AM979"/>
      <c r="AN979"/>
      <c r="AO979"/>
      <c r="AP979"/>
      <c r="AQ979"/>
      <c r="AR979"/>
      <c r="AS979"/>
    </row>
    <row r="980" spans="14:45" hidden="1">
      <c r="N980" s="302"/>
      <c r="O980" s="303"/>
      <c r="P980" s="285"/>
      <c r="Q980" s="258"/>
      <c r="R980" s="260"/>
      <c r="S980" s="260"/>
      <c r="T980" s="285"/>
      <c r="U980" s="260"/>
      <c r="V980" s="260"/>
      <c r="W980" s="255"/>
      <c r="X980" s="260"/>
      <c r="Y980" s="260"/>
      <c r="Z980" s="255"/>
      <c r="AA980" s="260"/>
      <c r="AB980" s="260"/>
      <c r="AC980" s="260"/>
      <c r="AD980" s="260"/>
      <c r="AE980" s="260"/>
      <c r="AF980" s="260"/>
      <c r="AG980" s="258"/>
      <c r="AI980"/>
      <c r="AJ980"/>
      <c r="AK980"/>
      <c r="AL980"/>
      <c r="AM980"/>
      <c r="AN980"/>
      <c r="AO980"/>
      <c r="AP980"/>
      <c r="AQ980"/>
      <c r="AR980"/>
      <c r="AS980"/>
    </row>
    <row r="981" spans="14:45" hidden="1">
      <c r="N981" s="302"/>
      <c r="O981" s="303"/>
      <c r="P981" s="285"/>
      <c r="Q981" s="258"/>
      <c r="R981" s="260"/>
      <c r="S981" s="260"/>
      <c r="T981" s="285"/>
      <c r="U981" s="260"/>
      <c r="V981" s="260"/>
      <c r="W981" s="255"/>
      <c r="X981" s="260"/>
      <c r="Y981" s="260"/>
      <c r="Z981" s="255"/>
      <c r="AA981" s="260"/>
      <c r="AB981" s="260"/>
      <c r="AC981" s="260"/>
      <c r="AD981" s="260"/>
      <c r="AE981" s="260"/>
      <c r="AF981" s="260"/>
      <c r="AG981" s="258"/>
      <c r="AI981"/>
      <c r="AJ981"/>
      <c r="AK981"/>
      <c r="AL981"/>
      <c r="AM981"/>
      <c r="AN981"/>
      <c r="AO981"/>
      <c r="AP981"/>
      <c r="AQ981"/>
      <c r="AR981"/>
      <c r="AS981"/>
    </row>
    <row r="982" spans="14:45" hidden="1">
      <c r="N982" s="302"/>
      <c r="O982" s="303"/>
      <c r="P982" s="285"/>
      <c r="Q982" s="258"/>
      <c r="R982" s="260"/>
      <c r="S982" s="260"/>
      <c r="T982" s="285"/>
      <c r="U982" s="260"/>
      <c r="V982" s="260"/>
      <c r="W982" s="255"/>
      <c r="X982" s="260"/>
      <c r="Y982" s="260"/>
      <c r="Z982" s="255"/>
      <c r="AA982" s="260"/>
      <c r="AB982" s="260"/>
      <c r="AC982" s="260"/>
      <c r="AD982" s="260"/>
      <c r="AE982" s="260"/>
      <c r="AF982" s="260"/>
      <c r="AG982" s="258"/>
      <c r="AI982"/>
      <c r="AJ982"/>
      <c r="AK982"/>
      <c r="AL982"/>
      <c r="AM982"/>
      <c r="AN982"/>
      <c r="AO982"/>
      <c r="AP982"/>
      <c r="AQ982"/>
      <c r="AR982"/>
      <c r="AS982"/>
    </row>
    <row r="983" spans="14:45" hidden="1">
      <c r="N983" s="302"/>
      <c r="O983" s="303"/>
      <c r="P983" s="285"/>
      <c r="Q983" s="258"/>
      <c r="R983" s="260"/>
      <c r="S983" s="260"/>
      <c r="T983" s="285"/>
      <c r="U983" s="260"/>
      <c r="V983" s="260"/>
      <c r="W983" s="255"/>
      <c r="X983" s="260"/>
      <c r="Y983" s="260"/>
      <c r="Z983" s="255"/>
      <c r="AA983" s="260"/>
      <c r="AB983" s="260"/>
      <c r="AC983" s="260"/>
      <c r="AD983" s="260"/>
      <c r="AE983" s="260"/>
      <c r="AF983" s="260"/>
      <c r="AG983" s="258"/>
      <c r="AI983"/>
      <c r="AJ983"/>
      <c r="AK983"/>
      <c r="AL983"/>
      <c r="AM983"/>
      <c r="AN983"/>
      <c r="AO983"/>
      <c r="AP983"/>
      <c r="AQ983"/>
      <c r="AR983"/>
      <c r="AS983"/>
    </row>
    <row r="984" spans="14:45" hidden="1">
      <c r="N984" s="302"/>
      <c r="O984" s="303"/>
      <c r="P984" s="285"/>
      <c r="Q984" s="258"/>
      <c r="R984" s="260"/>
      <c r="S984" s="260"/>
      <c r="T984" s="285"/>
      <c r="U984" s="260"/>
      <c r="V984" s="260"/>
      <c r="W984" s="255"/>
      <c r="X984" s="260"/>
      <c r="Y984" s="260"/>
      <c r="Z984" s="255"/>
      <c r="AA984" s="260"/>
      <c r="AB984" s="260"/>
      <c r="AC984" s="260"/>
      <c r="AD984" s="260"/>
      <c r="AE984" s="260"/>
      <c r="AF984" s="260"/>
      <c r="AG984" s="258"/>
      <c r="AI984"/>
      <c r="AJ984"/>
      <c r="AK984"/>
      <c r="AL984"/>
      <c r="AM984"/>
      <c r="AN984"/>
      <c r="AO984"/>
      <c r="AP984"/>
      <c r="AQ984"/>
      <c r="AR984"/>
      <c r="AS984"/>
    </row>
    <row r="985" spans="14:45" hidden="1">
      <c r="N985" s="302"/>
      <c r="O985" s="303"/>
      <c r="P985" s="285"/>
      <c r="Q985" s="258"/>
      <c r="R985" s="260"/>
      <c r="S985" s="260"/>
      <c r="T985" s="285"/>
      <c r="U985" s="260"/>
      <c r="V985" s="260"/>
      <c r="W985" s="255"/>
      <c r="X985" s="260"/>
      <c r="Y985" s="260"/>
      <c r="Z985" s="255"/>
      <c r="AA985" s="260"/>
      <c r="AB985" s="260"/>
      <c r="AC985" s="260"/>
      <c r="AD985" s="260"/>
      <c r="AE985" s="260"/>
      <c r="AF985" s="260"/>
      <c r="AG985" s="258"/>
      <c r="AI985"/>
      <c r="AJ985"/>
      <c r="AK985"/>
      <c r="AL985"/>
      <c r="AM985"/>
      <c r="AN985"/>
      <c r="AO985"/>
      <c r="AP985"/>
      <c r="AQ985"/>
      <c r="AR985"/>
      <c r="AS985"/>
    </row>
    <row r="986" spans="14:45" hidden="1">
      <c r="N986" s="302"/>
      <c r="O986" s="303"/>
      <c r="P986" s="285"/>
      <c r="Q986" s="258"/>
      <c r="R986" s="260"/>
      <c r="S986" s="260"/>
      <c r="T986" s="285"/>
      <c r="U986" s="260"/>
      <c r="V986" s="260"/>
      <c r="W986" s="255"/>
      <c r="X986" s="260"/>
      <c r="Y986" s="260"/>
      <c r="Z986" s="255"/>
      <c r="AA986" s="260"/>
      <c r="AB986" s="260"/>
      <c r="AC986" s="260"/>
      <c r="AD986" s="260"/>
      <c r="AE986" s="260"/>
      <c r="AF986" s="260"/>
      <c r="AG986" s="258"/>
      <c r="AI986"/>
      <c r="AJ986"/>
      <c r="AK986"/>
      <c r="AL986"/>
      <c r="AM986"/>
      <c r="AN986"/>
      <c r="AO986"/>
      <c r="AP986"/>
      <c r="AQ986"/>
      <c r="AR986"/>
      <c r="AS986"/>
    </row>
    <row r="987" spans="14:45" hidden="1">
      <c r="N987" s="302"/>
      <c r="O987" s="303"/>
      <c r="P987" s="285"/>
      <c r="Q987" s="258"/>
      <c r="R987" s="260"/>
      <c r="S987" s="260"/>
      <c r="T987" s="285"/>
      <c r="U987" s="260"/>
      <c r="V987" s="260"/>
      <c r="W987" s="255"/>
      <c r="X987" s="260"/>
      <c r="Y987" s="260"/>
      <c r="Z987" s="255"/>
      <c r="AA987" s="260"/>
      <c r="AB987" s="260"/>
      <c r="AC987" s="260"/>
      <c r="AD987" s="260"/>
      <c r="AE987" s="260"/>
      <c r="AF987" s="260"/>
      <c r="AG987" s="258"/>
      <c r="AI987"/>
      <c r="AJ987"/>
      <c r="AK987"/>
      <c r="AL987"/>
      <c r="AM987"/>
      <c r="AN987"/>
      <c r="AO987"/>
      <c r="AP987"/>
      <c r="AQ987"/>
      <c r="AR987"/>
      <c r="AS987"/>
    </row>
    <row r="988" spans="14:45" hidden="1">
      <c r="N988" s="302"/>
      <c r="O988" s="303"/>
      <c r="P988" s="285"/>
      <c r="Q988" s="258"/>
      <c r="R988" s="260"/>
      <c r="S988" s="260"/>
      <c r="T988" s="285"/>
      <c r="U988" s="260"/>
      <c r="V988" s="260"/>
      <c r="W988" s="255"/>
      <c r="X988" s="260"/>
      <c r="Y988" s="260"/>
      <c r="Z988" s="255"/>
      <c r="AA988" s="260"/>
      <c r="AB988" s="260"/>
      <c r="AC988" s="260"/>
      <c r="AD988" s="260"/>
      <c r="AE988" s="260"/>
      <c r="AF988" s="260"/>
      <c r="AG988" s="258"/>
      <c r="AI988"/>
      <c r="AJ988"/>
      <c r="AK988"/>
      <c r="AL988"/>
      <c r="AM988"/>
      <c r="AN988"/>
      <c r="AO988"/>
      <c r="AP988"/>
      <c r="AQ988"/>
      <c r="AR988"/>
      <c r="AS988"/>
    </row>
    <row r="989" spans="14:45" hidden="1">
      <c r="N989" s="302"/>
      <c r="O989" s="303"/>
      <c r="P989" s="285"/>
      <c r="Q989" s="258"/>
      <c r="R989" s="260"/>
      <c r="S989" s="260"/>
      <c r="T989" s="285"/>
      <c r="U989" s="260"/>
      <c r="V989" s="260"/>
      <c r="W989" s="255"/>
      <c r="X989" s="260"/>
      <c r="Y989" s="260"/>
      <c r="Z989" s="255"/>
      <c r="AA989" s="260"/>
      <c r="AB989" s="260"/>
      <c r="AC989" s="260"/>
      <c r="AD989" s="260"/>
      <c r="AE989" s="260"/>
      <c r="AF989" s="260"/>
      <c r="AG989" s="258"/>
      <c r="AI989"/>
      <c r="AJ989"/>
      <c r="AK989"/>
      <c r="AL989"/>
      <c r="AM989"/>
      <c r="AN989"/>
      <c r="AO989"/>
      <c r="AP989"/>
      <c r="AQ989"/>
      <c r="AR989"/>
      <c r="AS989"/>
    </row>
    <row r="990" spans="14:45" hidden="1">
      <c r="N990" s="302"/>
      <c r="O990" s="303"/>
      <c r="P990" s="285"/>
      <c r="Q990" s="258"/>
      <c r="R990" s="260"/>
      <c r="S990" s="260"/>
      <c r="T990" s="285"/>
      <c r="U990" s="260"/>
      <c r="V990" s="260"/>
      <c r="W990" s="255"/>
      <c r="X990" s="260"/>
      <c r="Y990" s="260"/>
      <c r="Z990" s="255"/>
      <c r="AA990" s="260"/>
      <c r="AB990" s="260"/>
      <c r="AC990" s="260"/>
      <c r="AD990" s="260"/>
      <c r="AE990" s="260"/>
      <c r="AF990" s="260"/>
      <c r="AG990" s="258"/>
      <c r="AI990"/>
      <c r="AJ990"/>
      <c r="AK990"/>
      <c r="AL990"/>
      <c r="AM990"/>
      <c r="AN990"/>
      <c r="AO990"/>
      <c r="AP990"/>
      <c r="AQ990"/>
      <c r="AR990"/>
      <c r="AS990"/>
    </row>
    <row r="991" spans="14:45" hidden="1">
      <c r="N991" s="302"/>
      <c r="O991" s="303"/>
      <c r="P991" s="285"/>
      <c r="Q991" s="258"/>
      <c r="R991" s="260"/>
      <c r="S991" s="260"/>
      <c r="T991" s="285"/>
      <c r="U991" s="260"/>
      <c r="V991" s="260"/>
      <c r="W991" s="255"/>
      <c r="X991" s="260"/>
      <c r="Y991" s="260"/>
      <c r="Z991" s="255"/>
      <c r="AA991" s="260"/>
      <c r="AB991" s="260"/>
      <c r="AC991" s="260"/>
      <c r="AD991" s="260"/>
      <c r="AE991" s="260"/>
      <c r="AF991" s="260"/>
      <c r="AG991" s="258"/>
      <c r="AI991"/>
      <c r="AJ991"/>
      <c r="AK991"/>
      <c r="AL991"/>
      <c r="AM991"/>
      <c r="AN991"/>
      <c r="AO991"/>
      <c r="AP991"/>
      <c r="AQ991"/>
      <c r="AR991"/>
      <c r="AS991"/>
    </row>
    <row r="992" spans="14:45" hidden="1">
      <c r="N992" s="302"/>
      <c r="O992" s="303"/>
      <c r="P992" s="285"/>
      <c r="Q992" s="258"/>
      <c r="R992" s="260"/>
      <c r="S992" s="260"/>
      <c r="T992" s="285"/>
      <c r="U992" s="260"/>
      <c r="V992" s="260"/>
      <c r="W992" s="255"/>
      <c r="X992" s="260"/>
      <c r="Y992" s="260"/>
      <c r="Z992" s="255"/>
      <c r="AA992" s="260"/>
      <c r="AB992" s="260"/>
      <c r="AC992" s="260"/>
      <c r="AD992" s="260"/>
      <c r="AE992" s="260"/>
      <c r="AF992" s="260"/>
      <c r="AG992" s="258"/>
      <c r="AI992"/>
      <c r="AJ992"/>
      <c r="AK992"/>
      <c r="AL992"/>
      <c r="AM992"/>
      <c r="AN992"/>
      <c r="AO992"/>
      <c r="AP992"/>
      <c r="AQ992"/>
      <c r="AR992"/>
      <c r="AS992"/>
    </row>
    <row r="993" spans="14:45" hidden="1">
      <c r="N993" s="302"/>
      <c r="O993" s="303"/>
      <c r="P993" s="285"/>
      <c r="Q993" s="258"/>
      <c r="R993" s="260"/>
      <c r="S993" s="260"/>
      <c r="T993" s="285"/>
      <c r="U993" s="260"/>
      <c r="V993" s="260"/>
      <c r="W993" s="255"/>
      <c r="X993" s="260"/>
      <c r="Y993" s="260"/>
      <c r="Z993" s="255"/>
      <c r="AA993" s="260"/>
      <c r="AB993" s="260"/>
      <c r="AC993" s="260"/>
      <c r="AD993" s="260"/>
      <c r="AE993" s="260"/>
      <c r="AF993" s="260"/>
      <c r="AG993" s="258"/>
      <c r="AI993"/>
      <c r="AJ993"/>
      <c r="AK993"/>
      <c r="AL993"/>
      <c r="AM993"/>
      <c r="AN993"/>
      <c r="AO993"/>
      <c r="AP993"/>
      <c r="AQ993"/>
      <c r="AR993"/>
      <c r="AS993"/>
    </row>
    <row r="994" spans="14:45" hidden="1">
      <c r="N994" s="302"/>
      <c r="O994" s="303"/>
      <c r="P994" s="285"/>
      <c r="Q994" s="258"/>
      <c r="R994" s="260"/>
      <c r="S994" s="260"/>
      <c r="T994" s="285"/>
      <c r="U994" s="260"/>
      <c r="V994" s="260"/>
      <c r="W994" s="255"/>
      <c r="X994" s="260"/>
      <c r="Y994" s="260"/>
      <c r="Z994" s="255"/>
      <c r="AA994" s="260"/>
      <c r="AB994" s="260"/>
      <c r="AC994" s="260"/>
      <c r="AD994" s="260"/>
      <c r="AE994" s="260"/>
      <c r="AF994" s="260"/>
      <c r="AG994" s="258"/>
      <c r="AI994"/>
      <c r="AJ994"/>
      <c r="AK994"/>
      <c r="AL994"/>
      <c r="AM994"/>
      <c r="AN994"/>
      <c r="AO994"/>
      <c r="AP994"/>
      <c r="AQ994"/>
      <c r="AR994"/>
      <c r="AS994"/>
    </row>
    <row r="995" spans="14:45" hidden="1">
      <c r="N995" s="302"/>
      <c r="O995" s="303"/>
      <c r="P995" s="285"/>
      <c r="Q995" s="258"/>
      <c r="R995" s="260"/>
      <c r="S995" s="260"/>
      <c r="T995" s="285"/>
      <c r="U995" s="260"/>
      <c r="V995" s="260"/>
      <c r="W995" s="255"/>
      <c r="X995" s="260"/>
      <c r="Y995" s="260"/>
      <c r="Z995" s="255"/>
      <c r="AA995" s="260"/>
      <c r="AB995" s="260"/>
      <c r="AC995" s="260"/>
      <c r="AD995" s="260"/>
      <c r="AE995" s="260"/>
      <c r="AF995" s="260"/>
      <c r="AG995" s="258"/>
      <c r="AI995"/>
      <c r="AJ995"/>
      <c r="AK995"/>
      <c r="AL995"/>
      <c r="AM995"/>
      <c r="AN995"/>
      <c r="AO995"/>
      <c r="AP995"/>
      <c r="AQ995"/>
      <c r="AR995"/>
      <c r="AS995"/>
    </row>
    <row r="996" spans="14:45" hidden="1">
      <c r="N996" s="302"/>
      <c r="O996" s="303"/>
      <c r="P996" s="285"/>
      <c r="Q996" s="258"/>
      <c r="R996" s="260"/>
      <c r="S996" s="260"/>
      <c r="T996" s="285"/>
      <c r="U996" s="260"/>
      <c r="V996" s="260"/>
      <c r="W996" s="255"/>
      <c r="X996" s="260"/>
      <c r="Y996" s="260"/>
      <c r="Z996" s="255"/>
      <c r="AA996" s="260"/>
      <c r="AB996" s="260"/>
      <c r="AC996" s="260"/>
      <c r="AD996" s="260"/>
      <c r="AE996" s="260"/>
      <c r="AF996" s="260"/>
      <c r="AG996" s="258"/>
      <c r="AI996"/>
      <c r="AJ996"/>
      <c r="AK996"/>
      <c r="AL996"/>
      <c r="AM996"/>
      <c r="AN996"/>
      <c r="AO996"/>
      <c r="AP996"/>
      <c r="AQ996"/>
      <c r="AR996"/>
      <c r="AS996"/>
    </row>
    <row r="997" spans="14:45" hidden="1">
      <c r="N997" s="302"/>
      <c r="O997" s="303"/>
      <c r="P997" s="285"/>
      <c r="Q997" s="258"/>
      <c r="R997" s="260"/>
      <c r="S997" s="260"/>
      <c r="T997" s="285"/>
      <c r="U997" s="260"/>
      <c r="V997" s="260"/>
      <c r="W997" s="255"/>
      <c r="X997" s="260"/>
      <c r="Y997" s="260"/>
      <c r="Z997" s="255"/>
      <c r="AA997" s="260"/>
      <c r="AB997" s="260"/>
      <c r="AC997" s="260"/>
      <c r="AD997" s="260"/>
      <c r="AE997" s="260"/>
      <c r="AF997" s="260"/>
      <c r="AG997" s="258"/>
      <c r="AI997"/>
      <c r="AJ997"/>
      <c r="AK997"/>
      <c r="AL997"/>
      <c r="AM997"/>
      <c r="AN997"/>
      <c r="AO997"/>
      <c r="AP997"/>
      <c r="AQ997"/>
      <c r="AR997"/>
      <c r="AS997"/>
    </row>
    <row r="998" spans="14:45" hidden="1">
      <c r="N998" s="302"/>
      <c r="O998" s="303"/>
      <c r="P998" s="285"/>
      <c r="Q998" s="258"/>
      <c r="R998" s="260"/>
      <c r="S998" s="260"/>
      <c r="T998" s="285"/>
      <c r="U998" s="260"/>
      <c r="V998" s="260"/>
      <c r="W998" s="255"/>
      <c r="X998" s="260"/>
      <c r="Y998" s="260"/>
      <c r="Z998" s="255"/>
      <c r="AA998" s="260"/>
      <c r="AB998" s="260"/>
      <c r="AC998" s="260"/>
      <c r="AD998" s="260"/>
      <c r="AE998" s="260"/>
      <c r="AF998" s="260"/>
      <c r="AG998" s="258"/>
      <c r="AI998"/>
      <c r="AJ998"/>
      <c r="AK998"/>
      <c r="AL998"/>
      <c r="AM998"/>
      <c r="AN998"/>
      <c r="AO998"/>
      <c r="AP998"/>
      <c r="AQ998"/>
      <c r="AR998"/>
      <c r="AS998"/>
    </row>
    <row r="999" spans="14:45">
      <c r="N999" s="302"/>
      <c r="O999" s="303"/>
      <c r="P999" s="285"/>
      <c r="Q999" s="258"/>
      <c r="R999" s="260"/>
      <c r="S999" s="260"/>
      <c r="T999" s="285"/>
      <c r="U999" s="260"/>
      <c r="V999" s="260"/>
      <c r="W999" s="255"/>
      <c r="X999" s="260"/>
      <c r="Y999" s="260"/>
      <c r="Z999" s="255"/>
      <c r="AA999" s="260"/>
      <c r="AB999" s="260"/>
      <c r="AC999" s="260"/>
      <c r="AD999" s="260"/>
      <c r="AE999" s="260"/>
      <c r="AF999" s="260"/>
      <c r="AG999" s="258"/>
      <c r="AI999"/>
      <c r="AJ999"/>
      <c r="AK999"/>
      <c r="AL999"/>
      <c r="AM999"/>
      <c r="AN999"/>
      <c r="AO999"/>
      <c r="AP999"/>
      <c r="AQ999"/>
      <c r="AR999"/>
      <c r="AS999"/>
    </row>
    <row r="1000" spans="14:45" ht="0.75" customHeight="1">
      <c r="N1000" s="283"/>
      <c r="O1000" s="215"/>
      <c r="P1000" s="286"/>
      <c r="Q1000" s="265"/>
      <c r="R1000" s="287"/>
      <c r="S1000" s="260"/>
      <c r="T1000" s="285"/>
      <c r="U1000" s="260"/>
      <c r="V1000" s="260"/>
      <c r="W1000" s="255"/>
      <c r="X1000" s="260"/>
      <c r="Y1000" s="260"/>
      <c r="Z1000" s="255"/>
      <c r="AA1000" s="260"/>
      <c r="AB1000" s="260"/>
      <c r="AC1000" s="260"/>
      <c r="AD1000" s="260"/>
      <c r="AE1000" s="260"/>
      <c r="AF1000" s="260"/>
      <c r="AG1000" s="265"/>
      <c r="AI1000"/>
      <c r="AJ1000"/>
      <c r="AK1000"/>
      <c r="AL1000"/>
      <c r="AM1000"/>
      <c r="AN1000"/>
      <c r="AO1000"/>
      <c r="AP1000"/>
      <c r="AQ1000"/>
      <c r="AR1000"/>
      <c r="AS1000"/>
    </row>
    <row r="1001" spans="14:45" ht="11.25" customHeight="1">
      <c r="N1001" s="199"/>
      <c r="O1001" s="48"/>
      <c r="AI1001"/>
      <c r="AJ1001"/>
      <c r="AK1001"/>
      <c r="AL1001"/>
      <c r="AM1001"/>
      <c r="AN1001"/>
      <c r="AO1001"/>
      <c r="AP1001"/>
      <c r="AQ1001"/>
      <c r="AR1001"/>
      <c r="AS1001"/>
    </row>
    <row r="1002" spans="14:45" ht="23.25" customHeight="1">
      <c r="R1002" s="815" t="s">
        <v>3074</v>
      </c>
      <c r="S1002" s="815"/>
      <c r="T1002" s="815"/>
      <c r="U1002" s="815" t="s">
        <v>3075</v>
      </c>
      <c r="V1002" s="815"/>
      <c r="W1002" s="815"/>
      <c r="X1002" s="815" t="s">
        <v>3076</v>
      </c>
      <c r="Y1002" s="815"/>
      <c r="Z1002" s="815"/>
      <c r="AA1002" s="815" t="s">
        <v>1784</v>
      </c>
      <c r="AB1002" s="815"/>
      <c r="AC1002" s="815"/>
      <c r="AD1002" s="815" t="s">
        <v>3077</v>
      </c>
      <c r="AE1002" s="815"/>
      <c r="AF1002" s="815"/>
      <c r="AI1002"/>
      <c r="AJ1002"/>
      <c r="AK1002"/>
      <c r="AL1002"/>
      <c r="AM1002"/>
      <c r="AN1002"/>
      <c r="AO1002"/>
      <c r="AP1002"/>
      <c r="AQ1002"/>
      <c r="AR1002"/>
      <c r="AS1002"/>
    </row>
    <row r="1003" spans="14:45" ht="11.25" customHeight="1">
      <c r="AI1003"/>
      <c r="AJ1003"/>
      <c r="AK1003"/>
      <c r="AL1003"/>
      <c r="AM1003"/>
      <c r="AN1003"/>
      <c r="AO1003"/>
      <c r="AP1003"/>
      <c r="AQ1003"/>
      <c r="AR1003"/>
      <c r="AS1003"/>
    </row>
    <row r="1004" spans="14:45" ht="11.25" customHeight="1">
      <c r="AI1004"/>
      <c r="AJ1004"/>
      <c r="AK1004"/>
      <c r="AL1004"/>
      <c r="AM1004"/>
      <c r="AN1004"/>
      <c r="AO1004"/>
      <c r="AP1004"/>
      <c r="AQ1004"/>
      <c r="AR1004"/>
      <c r="AS1004"/>
    </row>
    <row r="1005" spans="14:45" ht="23.25" customHeight="1">
      <c r="R1005" s="815" t="s">
        <v>1727</v>
      </c>
      <c r="S1005" s="815"/>
      <c r="T1005" s="815"/>
      <c r="U1005" s="815" t="s">
        <v>1728</v>
      </c>
      <c r="V1005" s="815"/>
      <c r="W1005" s="815"/>
      <c r="X1005" s="815" t="s">
        <v>1729</v>
      </c>
      <c r="Y1005" s="815"/>
      <c r="Z1005" s="815"/>
      <c r="AA1005" s="815" t="s">
        <v>1730</v>
      </c>
      <c r="AB1005" s="815"/>
      <c r="AC1005" s="815"/>
      <c r="AD1005" s="815" t="s">
        <v>1731</v>
      </c>
      <c r="AE1005" s="815"/>
      <c r="AF1005" s="815"/>
    </row>
    <row r="1006" spans="14:45" ht="23.25" customHeight="1">
      <c r="R1006" s="815" t="s">
        <v>1732</v>
      </c>
      <c r="S1006" s="815"/>
      <c r="T1006" s="815"/>
      <c r="U1006" s="815" t="s">
        <v>1733</v>
      </c>
      <c r="V1006" s="815"/>
      <c r="W1006" s="815"/>
      <c r="X1006" s="815" t="s">
        <v>1734</v>
      </c>
      <c r="Y1006" s="815"/>
      <c r="Z1006" s="815"/>
      <c r="AA1006" s="815" t="s">
        <v>1735</v>
      </c>
      <c r="AB1006" s="815"/>
      <c r="AC1006" s="815"/>
      <c r="AD1006" s="815" t="s">
        <v>1736</v>
      </c>
      <c r="AE1006" s="815"/>
      <c r="AF1006" s="815"/>
    </row>
    <row r="1007" spans="14:45" ht="23.25" customHeight="1">
      <c r="R1007" s="815" t="s">
        <v>1737</v>
      </c>
      <c r="S1007" s="815"/>
      <c r="T1007" s="815"/>
      <c r="U1007" s="815" t="s">
        <v>1738</v>
      </c>
      <c r="V1007" s="815"/>
      <c r="W1007" s="815"/>
      <c r="X1007" s="815" t="s">
        <v>1739</v>
      </c>
      <c r="Y1007" s="815"/>
      <c r="Z1007" s="815"/>
      <c r="AA1007" s="815" t="s">
        <v>1740</v>
      </c>
      <c r="AB1007" s="815"/>
      <c r="AC1007" s="815"/>
      <c r="AD1007" s="815" t="s">
        <v>1741</v>
      </c>
      <c r="AE1007" s="815"/>
      <c r="AF1007" s="815"/>
    </row>
    <row r="1008" spans="14:45" ht="11.25" customHeight="1"/>
    <row r="1009" spans="13:33" ht="11.25" customHeight="1"/>
    <row r="1010" spans="13:33" ht="12" customHeight="1">
      <c r="M1010" s="820"/>
      <c r="N1010" s="234" t="s">
        <v>753</v>
      </c>
      <c r="O1010" s="233" t="s">
        <v>211</v>
      </c>
      <c r="P1010" s="260"/>
      <c r="Q1010" s="258"/>
      <c r="R1010" s="260"/>
      <c r="S1010" s="260"/>
      <c r="T1010" s="260"/>
      <c r="U1010" s="260"/>
      <c r="V1010" s="260"/>
      <c r="W1010" s="452">
        <f>SUM(W1011:W1012,W1030:W1042)</f>
        <v>0</v>
      </c>
      <c r="X1010" s="260"/>
      <c r="Y1010" s="260"/>
      <c r="Z1010" s="452">
        <f>SUM(Z1011:Z1012,Z1030:Z1042)</f>
        <v>0</v>
      </c>
      <c r="AA1010" s="260"/>
      <c r="AB1010" s="260"/>
      <c r="AC1010" s="452">
        <f>SUM(AC1011:AC1012,AC1030:AC1042)</f>
        <v>0</v>
      </c>
      <c r="AD1010" s="260"/>
      <c r="AE1010" s="260"/>
      <c r="AF1010" s="452">
        <f>SUM(AF1011:AF1012,AF1030:AF1042)</f>
        <v>0</v>
      </c>
      <c r="AG1010" s="258"/>
    </row>
    <row r="1011" spans="13:33" ht="12" customHeight="1">
      <c r="M1011" s="820"/>
      <c r="N1011" s="451" t="s">
        <v>766</v>
      </c>
      <c r="O1011" s="453" t="s">
        <v>78</v>
      </c>
      <c r="P1011" s="260"/>
      <c r="Q1011" s="258"/>
      <c r="R1011" s="260"/>
      <c r="S1011" s="260"/>
      <c r="T1011" s="260"/>
      <c r="U1011" s="260"/>
      <c r="V1011" s="260"/>
      <c r="W1011" s="260"/>
      <c r="X1011" s="260"/>
      <c r="Y1011" s="260"/>
      <c r="Z1011" s="262">
        <f>'ТС.Т 01.01 - 30.06'!Z1011</f>
        <v>0</v>
      </c>
      <c r="AA1011" s="260"/>
      <c r="AB1011" s="260"/>
      <c r="AC1011" s="260"/>
      <c r="AD1011" s="260"/>
      <c r="AE1011" s="260"/>
      <c r="AF1011" s="262">
        <f>'ТС.Т 01.01 - 30.06'!AF1011</f>
        <v>0</v>
      </c>
      <c r="AG1011" s="258"/>
    </row>
    <row r="1012" spans="13:33" ht="12" customHeight="1">
      <c r="M1012" s="820"/>
      <c r="N1012" s="451" t="s">
        <v>768</v>
      </c>
      <c r="O1012" s="454" t="s">
        <v>212</v>
      </c>
      <c r="P1012" s="260"/>
      <c r="Q1012" s="258"/>
      <c r="R1012" s="260"/>
      <c r="S1012" s="260"/>
      <c r="T1012" s="260"/>
      <c r="U1012" s="260"/>
      <c r="V1012" s="260"/>
      <c r="W1012" s="260"/>
      <c r="X1012" s="260"/>
      <c r="Y1012" s="260"/>
      <c r="Z1012" s="262">
        <f>'ТС.Т 01.01 - 30.06'!Z1012</f>
        <v>0</v>
      </c>
      <c r="AA1012" s="260"/>
      <c r="AB1012" s="260"/>
      <c r="AC1012" s="260"/>
      <c r="AD1012" s="260"/>
      <c r="AE1012" s="260"/>
      <c r="AF1012" s="262">
        <f>'ТС.Т 01.01 - 30.06'!AF1012</f>
        <v>0</v>
      </c>
      <c r="AG1012" s="258"/>
    </row>
    <row r="1013" spans="13:33" ht="12" customHeight="1">
      <c r="M1013" s="820"/>
      <c r="N1013" s="451" t="s">
        <v>132</v>
      </c>
      <c r="O1013" s="455" t="s">
        <v>79</v>
      </c>
      <c r="P1013" s="260"/>
      <c r="Q1013" s="258"/>
      <c r="R1013" s="260"/>
      <c r="S1013" s="260"/>
      <c r="T1013" s="260"/>
      <c r="U1013" s="260"/>
      <c r="V1013" s="260"/>
      <c r="W1013" s="260"/>
      <c r="X1013" s="260"/>
      <c r="Y1013" s="260"/>
      <c r="Z1013" s="262">
        <f>'ТС.Т 01.01 - 30.06'!Z1013</f>
        <v>0</v>
      </c>
      <c r="AA1013" s="260"/>
      <c r="AB1013" s="260"/>
      <c r="AC1013" s="260"/>
      <c r="AD1013" s="260"/>
      <c r="AE1013" s="260"/>
      <c r="AF1013" s="262">
        <f>'ТС.Т 01.01 - 30.06'!AF1013</f>
        <v>0</v>
      </c>
      <c r="AG1013" s="258"/>
    </row>
    <row r="1014" spans="13:33" ht="12" hidden="1" customHeight="1">
      <c r="M1014" s="820"/>
      <c r="N1014" s="451"/>
      <c r="O1014" s="455"/>
      <c r="P1014" s="260"/>
      <c r="Q1014" s="258"/>
      <c r="R1014" s="260"/>
      <c r="S1014" s="260"/>
      <c r="T1014" s="260"/>
      <c r="U1014" s="260"/>
      <c r="V1014" s="260"/>
      <c r="W1014" s="260"/>
      <c r="X1014" s="260"/>
      <c r="Y1014" s="260"/>
      <c r="Z1014" s="260"/>
      <c r="AA1014" s="260"/>
      <c r="AB1014" s="260"/>
      <c r="AC1014" s="260"/>
      <c r="AD1014" s="260"/>
      <c r="AE1014" s="260"/>
      <c r="AF1014" s="260"/>
      <c r="AG1014" s="258"/>
    </row>
    <row r="1015" spans="13:33" ht="12" hidden="1" customHeight="1">
      <c r="M1015" s="820"/>
      <c r="N1015" s="451"/>
      <c r="O1015" s="455"/>
      <c r="P1015" s="260"/>
      <c r="Q1015" s="258"/>
      <c r="R1015" s="260"/>
      <c r="S1015" s="260"/>
      <c r="T1015" s="260"/>
      <c r="U1015" s="260"/>
      <c r="V1015" s="260"/>
      <c r="W1015" s="260"/>
      <c r="X1015" s="260"/>
      <c r="Y1015" s="260"/>
      <c r="Z1015" s="260"/>
      <c r="AA1015" s="260"/>
      <c r="AB1015" s="260"/>
      <c r="AC1015" s="260"/>
      <c r="AD1015" s="260"/>
      <c r="AE1015" s="260"/>
      <c r="AF1015" s="260"/>
      <c r="AG1015" s="258"/>
    </row>
    <row r="1016" spans="13:33" ht="12" hidden="1" customHeight="1">
      <c r="M1016" s="820"/>
      <c r="N1016" s="451"/>
      <c r="O1016" s="455"/>
      <c r="P1016" s="260"/>
      <c r="Q1016" s="258"/>
      <c r="R1016" s="260"/>
      <c r="S1016" s="260"/>
      <c r="T1016" s="260"/>
      <c r="U1016" s="260"/>
      <c r="V1016" s="260"/>
      <c r="W1016" s="260"/>
      <c r="X1016" s="260"/>
      <c r="Y1016" s="260"/>
      <c r="Z1016" s="260"/>
      <c r="AA1016" s="260"/>
      <c r="AB1016" s="260"/>
      <c r="AC1016" s="260"/>
      <c r="AD1016" s="260"/>
      <c r="AE1016" s="260"/>
      <c r="AF1016" s="260"/>
      <c r="AG1016" s="258"/>
    </row>
    <row r="1017" spans="13:33" ht="12" hidden="1" customHeight="1">
      <c r="M1017" s="820"/>
      <c r="N1017" s="451"/>
      <c r="O1017" s="455"/>
      <c r="P1017" s="260"/>
      <c r="Q1017" s="258"/>
      <c r="R1017" s="260"/>
      <c r="S1017" s="260"/>
      <c r="T1017" s="260"/>
      <c r="U1017" s="260"/>
      <c r="V1017" s="260"/>
      <c r="W1017" s="260"/>
      <c r="X1017" s="260"/>
      <c r="Y1017" s="260"/>
      <c r="Z1017" s="260"/>
      <c r="AA1017" s="260"/>
      <c r="AB1017" s="260"/>
      <c r="AC1017" s="260"/>
      <c r="AD1017" s="260"/>
      <c r="AE1017" s="260"/>
      <c r="AF1017" s="260"/>
      <c r="AG1017" s="258"/>
    </row>
    <row r="1018" spans="13:33" ht="12" hidden="1" customHeight="1">
      <c r="M1018" s="820"/>
      <c r="N1018" s="451"/>
      <c r="O1018" s="455"/>
      <c r="P1018" s="260"/>
      <c r="Q1018" s="258"/>
      <c r="R1018" s="260"/>
      <c r="S1018" s="260"/>
      <c r="T1018" s="260"/>
      <c r="U1018" s="260"/>
      <c r="V1018" s="260"/>
      <c r="W1018" s="260"/>
      <c r="X1018" s="260"/>
      <c r="Y1018" s="260"/>
      <c r="Z1018" s="260"/>
      <c r="AA1018" s="260"/>
      <c r="AB1018" s="260"/>
      <c r="AC1018" s="260"/>
      <c r="AD1018" s="260"/>
      <c r="AE1018" s="260"/>
      <c r="AF1018" s="260"/>
      <c r="AG1018" s="258"/>
    </row>
    <row r="1019" spans="13:33" ht="12" hidden="1" customHeight="1">
      <c r="M1019" s="820"/>
      <c r="N1019" s="451"/>
      <c r="O1019" s="455"/>
      <c r="P1019" s="260"/>
      <c r="Q1019" s="258"/>
      <c r="R1019" s="260"/>
      <c r="S1019" s="260"/>
      <c r="T1019" s="260"/>
      <c r="U1019" s="260"/>
      <c r="V1019" s="260"/>
      <c r="W1019" s="260"/>
      <c r="X1019" s="260"/>
      <c r="Y1019" s="260"/>
      <c r="Z1019" s="260"/>
      <c r="AA1019" s="260"/>
      <c r="AB1019" s="260"/>
      <c r="AC1019" s="260"/>
      <c r="AD1019" s="260"/>
      <c r="AE1019" s="260"/>
      <c r="AF1019" s="260"/>
      <c r="AG1019" s="258"/>
    </row>
    <row r="1020" spans="13:33" ht="12" hidden="1" customHeight="1">
      <c r="M1020" s="820"/>
      <c r="N1020" s="451"/>
      <c r="O1020" s="455"/>
      <c r="P1020" s="260"/>
      <c r="Q1020" s="258"/>
      <c r="R1020" s="260"/>
      <c r="S1020" s="260"/>
      <c r="T1020" s="260"/>
      <c r="U1020" s="260"/>
      <c r="V1020" s="260"/>
      <c r="W1020" s="260"/>
      <c r="X1020" s="260"/>
      <c r="Y1020" s="260"/>
      <c r="Z1020" s="260"/>
      <c r="AA1020" s="260"/>
      <c r="AB1020" s="260"/>
      <c r="AC1020" s="260"/>
      <c r="AD1020" s="260"/>
      <c r="AE1020" s="260"/>
      <c r="AF1020" s="260"/>
      <c r="AG1020" s="258"/>
    </row>
    <row r="1021" spans="13:33" ht="12" customHeight="1">
      <c r="M1021" s="820"/>
      <c r="N1021" s="451" t="s">
        <v>80</v>
      </c>
      <c r="O1021" s="455" t="s">
        <v>81</v>
      </c>
      <c r="P1021" s="260"/>
      <c r="Q1021" s="258"/>
      <c r="R1021" s="260"/>
      <c r="S1021" s="260"/>
      <c r="T1021" s="260"/>
      <c r="U1021" s="260"/>
      <c r="V1021" s="260"/>
      <c r="W1021" s="260"/>
      <c r="X1021" s="260"/>
      <c r="Y1021" s="260"/>
      <c r="Z1021" s="262">
        <f>'ТС.Т 01.01 - 30.06'!Z1021</f>
        <v>0</v>
      </c>
      <c r="AA1021" s="260"/>
      <c r="AB1021" s="260"/>
      <c r="AC1021" s="260"/>
      <c r="AD1021" s="260"/>
      <c r="AE1021" s="260"/>
      <c r="AF1021" s="262">
        <f>'ТС.Т 01.01 - 30.06'!AF1021</f>
        <v>0</v>
      </c>
      <c r="AG1021" s="258"/>
    </row>
    <row r="1022" spans="13:33" ht="12" hidden="1" customHeight="1">
      <c r="M1022" s="820"/>
      <c r="N1022" s="451"/>
      <c r="O1022" s="455"/>
      <c r="P1022" s="260"/>
      <c r="Q1022" s="258"/>
      <c r="R1022" s="260"/>
      <c r="S1022" s="260"/>
      <c r="T1022" s="260"/>
      <c r="U1022" s="260"/>
      <c r="V1022" s="260"/>
      <c r="W1022" s="260"/>
      <c r="X1022" s="260"/>
      <c r="Y1022" s="260"/>
      <c r="Z1022" s="260"/>
      <c r="AA1022" s="260"/>
      <c r="AB1022" s="260"/>
      <c r="AC1022" s="260"/>
      <c r="AD1022" s="260"/>
      <c r="AE1022" s="260"/>
      <c r="AF1022" s="260"/>
      <c r="AG1022" s="258"/>
    </row>
    <row r="1023" spans="13:33" ht="12" hidden="1" customHeight="1">
      <c r="M1023" s="820"/>
      <c r="N1023" s="451"/>
      <c r="O1023" s="455"/>
      <c r="P1023" s="260"/>
      <c r="Q1023" s="258"/>
      <c r="R1023" s="260"/>
      <c r="S1023" s="260"/>
      <c r="T1023" s="260"/>
      <c r="U1023" s="260"/>
      <c r="V1023" s="260"/>
      <c r="W1023" s="260"/>
      <c r="X1023" s="260"/>
      <c r="Y1023" s="260"/>
      <c r="Z1023" s="260"/>
      <c r="AA1023" s="260"/>
      <c r="AB1023" s="260"/>
      <c r="AC1023" s="260"/>
      <c r="AD1023" s="260"/>
      <c r="AE1023" s="260"/>
      <c r="AF1023" s="260"/>
      <c r="AG1023" s="258"/>
    </row>
    <row r="1024" spans="13:33" ht="12" hidden="1" customHeight="1">
      <c r="M1024" s="820"/>
      <c r="N1024" s="451"/>
      <c r="O1024" s="455"/>
      <c r="P1024" s="260"/>
      <c r="Q1024" s="258"/>
      <c r="R1024" s="260"/>
      <c r="S1024" s="260"/>
      <c r="T1024" s="260"/>
      <c r="U1024" s="260"/>
      <c r="V1024" s="260"/>
      <c r="W1024" s="260"/>
      <c r="X1024" s="260"/>
      <c r="Y1024" s="260"/>
      <c r="Z1024" s="260"/>
      <c r="AA1024" s="260"/>
      <c r="AB1024" s="260"/>
      <c r="AC1024" s="260"/>
      <c r="AD1024" s="260"/>
      <c r="AE1024" s="260"/>
      <c r="AF1024" s="260"/>
      <c r="AG1024" s="258"/>
    </row>
    <row r="1025" spans="13:33" ht="12" hidden="1" customHeight="1">
      <c r="M1025" s="820"/>
      <c r="N1025" s="451"/>
      <c r="O1025" s="455"/>
      <c r="P1025" s="260"/>
      <c r="Q1025" s="258"/>
      <c r="R1025" s="260"/>
      <c r="S1025" s="260"/>
      <c r="T1025" s="260"/>
      <c r="U1025" s="260"/>
      <c r="V1025" s="260"/>
      <c r="W1025" s="260"/>
      <c r="X1025" s="260"/>
      <c r="Y1025" s="260"/>
      <c r="Z1025" s="260"/>
      <c r="AA1025" s="260"/>
      <c r="AB1025" s="260"/>
      <c r="AC1025" s="260"/>
      <c r="AD1025" s="260"/>
      <c r="AE1025" s="260"/>
      <c r="AF1025" s="260"/>
      <c r="AG1025" s="258"/>
    </row>
    <row r="1026" spans="13:33" ht="12" hidden="1" customHeight="1">
      <c r="M1026" s="820"/>
      <c r="N1026" s="451"/>
      <c r="O1026" s="455"/>
      <c r="P1026" s="260"/>
      <c r="Q1026" s="258"/>
      <c r="R1026" s="260"/>
      <c r="S1026" s="260"/>
      <c r="T1026" s="260"/>
      <c r="U1026" s="260"/>
      <c r="V1026" s="260"/>
      <c r="W1026" s="260"/>
      <c r="X1026" s="260"/>
      <c r="Y1026" s="260"/>
      <c r="Z1026" s="260"/>
      <c r="AA1026" s="260"/>
      <c r="AB1026" s="260"/>
      <c r="AC1026" s="260"/>
      <c r="AD1026" s="260"/>
      <c r="AE1026" s="260"/>
      <c r="AF1026" s="260"/>
      <c r="AG1026" s="258"/>
    </row>
    <row r="1027" spans="13:33" ht="12" hidden="1" customHeight="1">
      <c r="M1027" s="820"/>
      <c r="N1027" s="451"/>
      <c r="O1027" s="455"/>
      <c r="P1027" s="260"/>
      <c r="Q1027" s="258"/>
      <c r="R1027" s="260"/>
      <c r="S1027" s="260"/>
      <c r="T1027" s="260"/>
      <c r="U1027" s="260"/>
      <c r="V1027" s="260"/>
      <c r="W1027" s="260"/>
      <c r="X1027" s="260"/>
      <c r="Y1027" s="260"/>
      <c r="Z1027" s="260"/>
      <c r="AA1027" s="260"/>
      <c r="AB1027" s="260"/>
      <c r="AC1027" s="260"/>
      <c r="AD1027" s="260"/>
      <c r="AE1027" s="260"/>
      <c r="AF1027" s="260"/>
      <c r="AG1027" s="258"/>
    </row>
    <row r="1028" spans="13:33" ht="12" hidden="1" customHeight="1">
      <c r="M1028" s="820"/>
      <c r="N1028" s="451"/>
      <c r="O1028" s="455"/>
      <c r="P1028" s="260"/>
      <c r="Q1028" s="258"/>
      <c r="R1028" s="260"/>
      <c r="S1028" s="260"/>
      <c r="T1028" s="260"/>
      <c r="U1028" s="260"/>
      <c r="V1028" s="260"/>
      <c r="W1028" s="260"/>
      <c r="X1028" s="260"/>
      <c r="Y1028" s="260"/>
      <c r="Z1028" s="260"/>
      <c r="AA1028" s="260"/>
      <c r="AB1028" s="260"/>
      <c r="AC1028" s="260"/>
      <c r="AD1028" s="260"/>
      <c r="AE1028" s="260"/>
      <c r="AF1028" s="260"/>
      <c r="AG1028" s="258"/>
    </row>
    <row r="1029" spans="13:33" ht="12" customHeight="1">
      <c r="M1029" s="820"/>
      <c r="N1029" s="451" t="s">
        <v>82</v>
      </c>
      <c r="O1029" s="455" t="s">
        <v>83</v>
      </c>
      <c r="P1029" s="260"/>
      <c r="Q1029" s="258"/>
      <c r="R1029" s="260"/>
      <c r="S1029" s="260"/>
      <c r="T1029" s="260"/>
      <c r="U1029" s="260"/>
      <c r="V1029" s="260"/>
      <c r="W1029" s="260"/>
      <c r="X1029" s="260"/>
      <c r="Y1029" s="260"/>
      <c r="Z1029" s="262">
        <f>'ТС.Т 01.01 - 30.06'!Z1029</f>
        <v>0</v>
      </c>
      <c r="AA1029" s="260"/>
      <c r="AB1029" s="260"/>
      <c r="AC1029" s="260"/>
      <c r="AD1029" s="260"/>
      <c r="AE1029" s="260"/>
      <c r="AF1029" s="262">
        <f>'ТС.Т 01.01 - 30.06'!AF1029</f>
        <v>0</v>
      </c>
      <c r="AG1029" s="258"/>
    </row>
    <row r="1030" spans="13:33" ht="12" customHeight="1">
      <c r="M1030" s="820"/>
      <c r="N1030" s="451" t="s">
        <v>84</v>
      </c>
      <c r="O1030" s="457" t="s">
        <v>85</v>
      </c>
      <c r="P1030" s="260"/>
      <c r="Q1030" s="258"/>
      <c r="R1030" s="260"/>
      <c r="S1030" s="260"/>
      <c r="T1030" s="260"/>
      <c r="U1030" s="260"/>
      <c r="V1030" s="260"/>
      <c r="W1030" s="260"/>
      <c r="X1030" s="260"/>
      <c r="Y1030" s="260"/>
      <c r="Z1030" s="262">
        <f>'ТС.Т 01.01 - 30.06'!Z1030</f>
        <v>0</v>
      </c>
      <c r="AA1030" s="260"/>
      <c r="AB1030" s="260"/>
      <c r="AC1030" s="260"/>
      <c r="AD1030" s="260"/>
      <c r="AE1030" s="260"/>
      <c r="AF1030" s="262">
        <f>'ТС.Т 01.01 - 30.06'!AF1030</f>
        <v>0</v>
      </c>
      <c r="AG1030" s="258"/>
    </row>
    <row r="1031" spans="13:33" ht="12" customHeight="1">
      <c r="M1031" s="820"/>
      <c r="N1031" s="451" t="s">
        <v>86</v>
      </c>
      <c r="O1031" s="457" t="s">
        <v>87</v>
      </c>
      <c r="P1031" s="260"/>
      <c r="Q1031" s="258"/>
      <c r="R1031" s="260"/>
      <c r="S1031" s="260"/>
      <c r="T1031" s="260"/>
      <c r="U1031" s="260"/>
      <c r="V1031" s="260"/>
      <c r="W1031" s="260"/>
      <c r="X1031" s="260"/>
      <c r="Y1031" s="260"/>
      <c r="Z1031" s="262">
        <f>'ТС.Т 01.01 - 30.06'!Z1031</f>
        <v>0</v>
      </c>
      <c r="AA1031" s="260"/>
      <c r="AB1031" s="260"/>
      <c r="AC1031" s="260"/>
      <c r="AD1031" s="260"/>
      <c r="AE1031" s="260"/>
      <c r="AF1031" s="262">
        <f>'ТС.Т 01.01 - 30.06'!AF1031</f>
        <v>0</v>
      </c>
      <c r="AG1031" s="258"/>
    </row>
    <row r="1032" spans="13:33" ht="12" customHeight="1">
      <c r="M1032" s="820"/>
      <c r="N1032" s="451" t="s">
        <v>88</v>
      </c>
      <c r="O1032" s="457" t="s">
        <v>89</v>
      </c>
      <c r="P1032" s="260"/>
      <c r="Q1032" s="258"/>
      <c r="R1032" s="260"/>
      <c r="S1032" s="260"/>
      <c r="T1032" s="260"/>
      <c r="U1032" s="260"/>
      <c r="V1032" s="260"/>
      <c r="W1032" s="260"/>
      <c r="X1032" s="260"/>
      <c r="Y1032" s="260"/>
      <c r="Z1032" s="262">
        <f>'ТС.Т 01.01 - 30.06'!Z1032</f>
        <v>0</v>
      </c>
      <c r="AA1032" s="260"/>
      <c r="AB1032" s="260"/>
      <c r="AC1032" s="260"/>
      <c r="AD1032" s="260"/>
      <c r="AE1032" s="260"/>
      <c r="AF1032" s="262">
        <f>'ТС.Т 01.01 - 30.06'!AF1032</f>
        <v>0</v>
      </c>
      <c r="AG1032" s="258"/>
    </row>
    <row r="1033" spans="13:33" ht="12" customHeight="1">
      <c r="M1033" s="820"/>
      <c r="N1033" s="451" t="s">
        <v>90</v>
      </c>
      <c r="O1033" s="457" t="s">
        <v>91</v>
      </c>
      <c r="P1033" s="260"/>
      <c r="Q1033" s="258"/>
      <c r="R1033" s="260"/>
      <c r="S1033" s="260"/>
      <c r="T1033" s="260"/>
      <c r="U1033" s="260"/>
      <c r="V1033" s="260"/>
      <c r="W1033" s="260"/>
      <c r="X1033" s="260"/>
      <c r="Y1033" s="260"/>
      <c r="Z1033" s="262">
        <f>'ТС.Т 01.01 - 30.06'!Z1033</f>
        <v>0</v>
      </c>
      <c r="AA1033" s="260"/>
      <c r="AB1033" s="260"/>
      <c r="AC1033" s="260"/>
      <c r="AD1033" s="260"/>
      <c r="AE1033" s="260"/>
      <c r="AF1033" s="262">
        <f>'ТС.Т 01.01 - 30.06'!AF1033</f>
        <v>0</v>
      </c>
      <c r="AG1033" s="258"/>
    </row>
    <row r="1034" spans="13:33" ht="12" customHeight="1">
      <c r="M1034" s="820"/>
      <c r="N1034" s="451" t="s">
        <v>92</v>
      </c>
      <c r="O1034" s="457" t="s">
        <v>93</v>
      </c>
      <c r="P1034" s="260"/>
      <c r="Q1034" s="258"/>
      <c r="R1034" s="260"/>
      <c r="S1034" s="260"/>
      <c r="T1034" s="260"/>
      <c r="U1034" s="260"/>
      <c r="V1034" s="260"/>
      <c r="W1034" s="260"/>
      <c r="X1034" s="260"/>
      <c r="Y1034" s="260"/>
      <c r="Z1034" s="262">
        <f>'ТС.Т 01.01 - 30.06'!Z1034</f>
        <v>0</v>
      </c>
      <c r="AA1034" s="260"/>
      <c r="AB1034" s="260"/>
      <c r="AC1034" s="260"/>
      <c r="AD1034" s="260"/>
      <c r="AE1034" s="260"/>
      <c r="AF1034" s="262">
        <f>'ТС.Т 01.01 - 30.06'!AF1034</f>
        <v>0</v>
      </c>
      <c r="AG1034" s="258"/>
    </row>
    <row r="1035" spans="13:33" ht="12" customHeight="1">
      <c r="M1035" s="820"/>
      <c r="N1035" s="451" t="s">
        <v>94</v>
      </c>
      <c r="O1035" s="457" t="s">
        <v>95</v>
      </c>
      <c r="P1035" s="260"/>
      <c r="Q1035" s="258"/>
      <c r="R1035" s="260"/>
      <c r="S1035" s="260"/>
      <c r="T1035" s="260"/>
      <c r="U1035" s="260"/>
      <c r="V1035" s="260"/>
      <c r="W1035" s="260"/>
      <c r="X1035" s="260"/>
      <c r="Y1035" s="260"/>
      <c r="Z1035" s="262">
        <f>'ТС.Т 01.01 - 30.06'!Z1035</f>
        <v>0</v>
      </c>
      <c r="AA1035" s="260"/>
      <c r="AB1035" s="260"/>
      <c r="AC1035" s="260"/>
      <c r="AD1035" s="260"/>
      <c r="AE1035" s="260"/>
      <c r="AF1035" s="262">
        <f>'ТС.Т 01.01 - 30.06'!AF1035</f>
        <v>0</v>
      </c>
      <c r="AG1035" s="258"/>
    </row>
    <row r="1036" spans="13:33" ht="12" customHeight="1">
      <c r="M1036" s="820"/>
      <c r="N1036" s="451" t="s">
        <v>2975</v>
      </c>
      <c r="O1036" s="457" t="s">
        <v>2976</v>
      </c>
      <c r="P1036" s="260"/>
      <c r="Q1036" s="258"/>
      <c r="R1036" s="260"/>
      <c r="S1036" s="260"/>
      <c r="T1036" s="260"/>
      <c r="U1036" s="260"/>
      <c r="V1036" s="260"/>
      <c r="W1036" s="260"/>
      <c r="X1036" s="260"/>
      <c r="Y1036" s="260"/>
      <c r="Z1036" s="262">
        <f>'ТС.Т 01.01 - 30.06'!Z1036</f>
        <v>0</v>
      </c>
      <c r="AA1036" s="260"/>
      <c r="AB1036" s="260"/>
      <c r="AC1036" s="260"/>
      <c r="AD1036" s="260"/>
      <c r="AE1036" s="260"/>
      <c r="AF1036" s="262">
        <f>'ТС.Т 01.01 - 30.06'!AF1036</f>
        <v>0</v>
      </c>
      <c r="AG1036" s="258"/>
    </row>
    <row r="1037" spans="13:33" ht="12" customHeight="1">
      <c r="M1037" s="820"/>
      <c r="N1037" s="451" t="s">
        <v>2977</v>
      </c>
      <c r="O1037" s="457" t="s">
        <v>2978</v>
      </c>
      <c r="P1037" s="260"/>
      <c r="Q1037" s="258"/>
      <c r="R1037" s="260"/>
      <c r="S1037" s="260"/>
      <c r="T1037" s="260"/>
      <c r="U1037" s="260"/>
      <c r="V1037" s="260"/>
      <c r="W1037" s="260"/>
      <c r="X1037" s="260"/>
      <c r="Y1037" s="260"/>
      <c r="Z1037" s="262">
        <f>'ТС.Т 01.01 - 30.06'!Z1037</f>
        <v>0</v>
      </c>
      <c r="AA1037" s="260"/>
      <c r="AB1037" s="260"/>
      <c r="AC1037" s="260"/>
      <c r="AD1037" s="260"/>
      <c r="AE1037" s="260"/>
      <c r="AF1037" s="262">
        <f>'ТС.Т 01.01 - 30.06'!AF1037</f>
        <v>0</v>
      </c>
      <c r="AG1037" s="258"/>
    </row>
    <row r="1038" spans="13:33" ht="12" customHeight="1">
      <c r="M1038" s="820"/>
      <c r="N1038" s="451" t="s">
        <v>2979</v>
      </c>
      <c r="O1038" s="457" t="s">
        <v>2980</v>
      </c>
      <c r="P1038" s="260"/>
      <c r="Q1038" s="258"/>
      <c r="R1038" s="260"/>
      <c r="S1038" s="260"/>
      <c r="T1038" s="260"/>
      <c r="U1038" s="260"/>
      <c r="V1038" s="260"/>
      <c r="W1038" s="260"/>
      <c r="X1038" s="260"/>
      <c r="Y1038" s="260"/>
      <c r="Z1038" s="262">
        <f>'ТС.Т 01.01 - 30.06'!Z1038</f>
        <v>0</v>
      </c>
      <c r="AA1038" s="260"/>
      <c r="AB1038" s="260"/>
      <c r="AC1038" s="260"/>
      <c r="AD1038" s="260"/>
      <c r="AE1038" s="260"/>
      <c r="AF1038" s="262">
        <f>'ТС.Т 01.01 - 30.06'!AF1038</f>
        <v>0</v>
      </c>
      <c r="AG1038" s="258"/>
    </row>
    <row r="1039" spans="13:33" ht="12" customHeight="1">
      <c r="M1039" s="820"/>
      <c r="N1039" s="451" t="s">
        <v>2981</v>
      </c>
      <c r="O1039" s="457" t="s">
        <v>2982</v>
      </c>
      <c r="P1039" s="260"/>
      <c r="Q1039" s="258"/>
      <c r="R1039" s="260"/>
      <c r="S1039" s="260"/>
      <c r="T1039" s="260"/>
      <c r="U1039" s="260"/>
      <c r="V1039" s="260"/>
      <c r="W1039" s="260"/>
      <c r="X1039" s="260"/>
      <c r="Y1039" s="260"/>
      <c r="Z1039" s="262">
        <f>'ТС.Т 01.01 - 30.06'!Z1039</f>
        <v>0</v>
      </c>
      <c r="AA1039" s="260"/>
      <c r="AB1039" s="260"/>
      <c r="AC1039" s="260"/>
      <c r="AD1039" s="260"/>
      <c r="AE1039" s="260"/>
      <c r="AF1039" s="262">
        <f>'ТС.Т 01.01 - 30.06'!AF1039</f>
        <v>0</v>
      </c>
      <c r="AG1039" s="258"/>
    </row>
    <row r="1040" spans="13:33" ht="12" customHeight="1">
      <c r="M1040" s="820"/>
      <c r="N1040" s="451" t="s">
        <v>2983</v>
      </c>
      <c r="O1040" s="224" t="s">
        <v>2984</v>
      </c>
      <c r="P1040" s="260"/>
      <c r="Q1040" s="258"/>
      <c r="R1040" s="260"/>
      <c r="S1040" s="260"/>
      <c r="T1040" s="260"/>
      <c r="U1040" s="260"/>
      <c r="V1040" s="260"/>
      <c r="W1040" s="260"/>
      <c r="X1040" s="260"/>
      <c r="Y1040" s="260"/>
      <c r="Z1040" s="262">
        <f>'ТС.Т 01.01 - 30.06'!Z1040</f>
        <v>0</v>
      </c>
      <c r="AA1040" s="260"/>
      <c r="AB1040" s="260"/>
      <c r="AC1040" s="260"/>
      <c r="AD1040" s="260"/>
      <c r="AE1040" s="260"/>
      <c r="AF1040" s="262">
        <f>'ТС.Т 01.01 - 30.06'!AF1040</f>
        <v>0</v>
      </c>
      <c r="AG1040" s="258"/>
    </row>
    <row r="1041" spans="13:33" ht="12" customHeight="1">
      <c r="M1041" s="820"/>
      <c r="N1041" s="451" t="s">
        <v>2989</v>
      </c>
      <c r="O1041" s="224" t="s">
        <v>2990</v>
      </c>
      <c r="P1041" s="260"/>
      <c r="Q1041" s="258"/>
      <c r="R1041" s="260"/>
      <c r="S1041" s="260"/>
      <c r="T1041" s="260"/>
      <c r="U1041" s="260"/>
      <c r="V1041" s="260"/>
      <c r="W1041" s="260"/>
      <c r="X1041" s="260"/>
      <c r="Y1041" s="260"/>
      <c r="Z1041" s="262">
        <f>'ТС.Т 01.01 - 30.06'!Z1041</f>
        <v>0</v>
      </c>
      <c r="AA1041" s="260"/>
      <c r="AB1041" s="260"/>
      <c r="AC1041" s="260"/>
      <c r="AD1041" s="260"/>
      <c r="AE1041" s="260"/>
      <c r="AF1041" s="262">
        <f>'ТС.Т 01.01 - 30.06'!AF1041</f>
        <v>0</v>
      </c>
      <c r="AG1041" s="258"/>
    </row>
    <row r="1042" spans="13:33" ht="12" customHeight="1">
      <c r="M1042" s="820"/>
      <c r="N1042" s="451" t="s">
        <v>292</v>
      </c>
      <c r="O1042" s="442" t="s">
        <v>291</v>
      </c>
      <c r="P1042" s="260"/>
      <c r="Q1042" s="258"/>
      <c r="R1042" s="260"/>
      <c r="S1042" s="260"/>
      <c r="T1042" s="260"/>
      <c r="U1042" s="260"/>
      <c r="V1042" s="260"/>
      <c r="W1042" s="260"/>
      <c r="X1042" s="260"/>
      <c r="Y1042" s="260"/>
      <c r="Z1042" s="262">
        <f>'ТС.Т 01.01 - 30.06'!Z1042</f>
        <v>0</v>
      </c>
      <c r="AA1042" s="260"/>
      <c r="AB1042" s="260"/>
      <c r="AC1042" s="260"/>
      <c r="AD1042" s="260"/>
      <c r="AE1042" s="260"/>
      <c r="AF1042" s="262">
        <f>'ТС.Т 01.01 - 30.06'!AF1042</f>
        <v>0</v>
      </c>
      <c r="AG1042" s="258"/>
    </row>
    <row r="1043" spans="13:33" ht="12" hidden="1" customHeight="1">
      <c r="M1043" s="820"/>
      <c r="N1043" s="239"/>
      <c r="O1043" s="225"/>
      <c r="P1043" s="260"/>
      <c r="Q1043" s="258"/>
      <c r="R1043" s="260"/>
      <c r="S1043" s="260"/>
      <c r="T1043" s="260"/>
      <c r="U1043" s="260"/>
      <c r="V1043" s="260"/>
      <c r="W1043" s="260"/>
      <c r="X1043" s="260"/>
      <c r="Y1043" s="260"/>
      <c r="Z1043" s="260"/>
      <c r="AA1043" s="260"/>
      <c r="AB1043" s="260"/>
      <c r="AC1043" s="260"/>
      <c r="AD1043" s="260"/>
      <c r="AE1043" s="260"/>
      <c r="AF1043" s="260"/>
      <c r="AG1043" s="258"/>
    </row>
    <row r="1044" spans="13:33" ht="12" hidden="1" customHeight="1">
      <c r="M1044" s="820"/>
      <c r="N1044" s="239"/>
      <c r="O1044" s="225"/>
      <c r="P1044" s="260"/>
      <c r="Q1044" s="258"/>
      <c r="R1044" s="260"/>
      <c r="S1044" s="260"/>
      <c r="T1044" s="260"/>
      <c r="U1044" s="260"/>
      <c r="V1044" s="260"/>
      <c r="W1044" s="260"/>
      <c r="X1044" s="260"/>
      <c r="Y1044" s="260"/>
      <c r="Z1044" s="260"/>
      <c r="AA1044" s="260"/>
      <c r="AB1044" s="260"/>
      <c r="AC1044" s="260"/>
      <c r="AD1044" s="260"/>
      <c r="AE1044" s="260"/>
      <c r="AF1044" s="260"/>
      <c r="AG1044" s="258"/>
    </row>
    <row r="1045" spans="13:33" ht="12" hidden="1" customHeight="1">
      <c r="M1045" s="820"/>
      <c r="N1045" s="239"/>
      <c r="O1045" s="225"/>
      <c r="P1045" s="260"/>
      <c r="Q1045" s="258"/>
      <c r="R1045" s="260"/>
      <c r="S1045" s="260"/>
      <c r="T1045" s="260"/>
      <c r="U1045" s="260"/>
      <c r="V1045" s="260"/>
      <c r="W1045" s="260"/>
      <c r="X1045" s="260"/>
      <c r="Y1045" s="260"/>
      <c r="Z1045" s="260"/>
      <c r="AA1045" s="260"/>
      <c r="AB1045" s="260"/>
      <c r="AC1045" s="260"/>
      <c r="AD1045" s="260"/>
      <c r="AE1045" s="260"/>
      <c r="AF1045" s="260"/>
      <c r="AG1045" s="258"/>
    </row>
    <row r="1046" spans="13:33" ht="12" hidden="1" customHeight="1">
      <c r="M1046" s="820"/>
      <c r="N1046" s="239"/>
      <c r="O1046" s="225"/>
      <c r="P1046" s="260"/>
      <c r="Q1046" s="258"/>
      <c r="R1046" s="260"/>
      <c r="S1046" s="260"/>
      <c r="T1046" s="260"/>
      <c r="U1046" s="260"/>
      <c r="V1046" s="260"/>
      <c r="W1046" s="260"/>
      <c r="X1046" s="260"/>
      <c r="Y1046" s="260"/>
      <c r="Z1046" s="260"/>
      <c r="AA1046" s="260"/>
      <c r="AB1046" s="260"/>
      <c r="AC1046" s="260"/>
      <c r="AD1046" s="260"/>
      <c r="AE1046" s="260"/>
      <c r="AF1046" s="260"/>
      <c r="AG1046" s="258"/>
    </row>
    <row r="1047" spans="13:33" ht="12" hidden="1" customHeight="1">
      <c r="M1047" s="820"/>
      <c r="N1047" s="239"/>
      <c r="O1047" s="225"/>
      <c r="P1047" s="260"/>
      <c r="Q1047" s="258"/>
      <c r="R1047" s="260"/>
      <c r="S1047" s="260"/>
      <c r="T1047" s="260"/>
      <c r="U1047" s="260"/>
      <c r="V1047" s="260"/>
      <c r="W1047" s="260"/>
      <c r="X1047" s="260"/>
      <c r="Y1047" s="260"/>
      <c r="Z1047" s="260"/>
      <c r="AA1047" s="260"/>
      <c r="AB1047" s="260"/>
      <c r="AC1047" s="260"/>
      <c r="AD1047" s="260"/>
      <c r="AE1047" s="260"/>
      <c r="AF1047" s="260"/>
      <c r="AG1047" s="258"/>
    </row>
    <row r="1048" spans="13:33" ht="12" hidden="1" customHeight="1">
      <c r="M1048" s="820"/>
      <c r="N1048" s="239"/>
      <c r="O1048" s="225"/>
      <c r="P1048" s="260"/>
      <c r="Q1048" s="258"/>
      <c r="R1048" s="260"/>
      <c r="S1048" s="260"/>
      <c r="T1048" s="260"/>
      <c r="U1048" s="260"/>
      <c r="V1048" s="260"/>
      <c r="W1048" s="260"/>
      <c r="X1048" s="260"/>
      <c r="Y1048" s="260"/>
      <c r="Z1048" s="260"/>
      <c r="AA1048" s="260"/>
      <c r="AB1048" s="260"/>
      <c r="AC1048" s="260"/>
      <c r="AD1048" s="260"/>
      <c r="AE1048" s="260"/>
      <c r="AF1048" s="260"/>
      <c r="AG1048" s="258"/>
    </row>
    <row r="1049" spans="13:33" ht="12" hidden="1" customHeight="1">
      <c r="M1049" s="820"/>
      <c r="N1049" s="239"/>
      <c r="O1049" s="225"/>
      <c r="P1049" s="260"/>
      <c r="Q1049" s="258"/>
      <c r="R1049" s="260"/>
      <c r="S1049" s="260"/>
      <c r="T1049" s="260"/>
      <c r="U1049" s="260"/>
      <c r="V1049" s="260"/>
      <c r="W1049" s="260"/>
      <c r="X1049" s="260"/>
      <c r="Y1049" s="260"/>
      <c r="Z1049" s="260"/>
      <c r="AA1049" s="260"/>
      <c r="AB1049" s="260"/>
      <c r="AC1049" s="260"/>
      <c r="AD1049" s="260"/>
      <c r="AE1049" s="260"/>
      <c r="AF1049" s="260"/>
      <c r="AG1049" s="258"/>
    </row>
    <row r="1050" spans="13:33" ht="12" hidden="1" customHeight="1">
      <c r="M1050" s="820"/>
      <c r="N1050" s="239"/>
      <c r="O1050" s="225"/>
      <c r="P1050" s="260"/>
      <c r="Q1050" s="258"/>
      <c r="R1050" s="260"/>
      <c r="S1050" s="260"/>
      <c r="T1050" s="260"/>
      <c r="U1050" s="260"/>
      <c r="V1050" s="260"/>
      <c r="W1050" s="260"/>
      <c r="X1050" s="260"/>
      <c r="Y1050" s="260"/>
      <c r="Z1050" s="260"/>
      <c r="AA1050" s="260"/>
      <c r="AB1050" s="260"/>
      <c r="AC1050" s="260"/>
      <c r="AD1050" s="260"/>
      <c r="AE1050" s="260"/>
      <c r="AF1050" s="260"/>
      <c r="AG1050" s="258"/>
    </row>
    <row r="1051" spans="13:33" ht="12" hidden="1" customHeight="1">
      <c r="M1051" s="820"/>
      <c r="N1051" s="239"/>
      <c r="O1051" s="225"/>
      <c r="P1051" s="260"/>
      <c r="Q1051" s="258"/>
      <c r="R1051" s="260"/>
      <c r="S1051" s="260"/>
      <c r="T1051" s="260"/>
      <c r="U1051" s="260"/>
      <c r="V1051" s="260"/>
      <c r="W1051" s="260"/>
      <c r="X1051" s="260"/>
      <c r="Y1051" s="260"/>
      <c r="Z1051" s="260"/>
      <c r="AA1051" s="260"/>
      <c r="AB1051" s="260"/>
      <c r="AC1051" s="260"/>
      <c r="AD1051" s="260"/>
      <c r="AE1051" s="260"/>
      <c r="AF1051" s="260"/>
      <c r="AG1051" s="258"/>
    </row>
    <row r="1052" spans="13:33" ht="12" hidden="1" customHeight="1">
      <c r="M1052" s="820"/>
      <c r="N1052" s="239"/>
      <c r="O1052" s="225"/>
      <c r="P1052" s="260"/>
      <c r="Q1052" s="258"/>
      <c r="R1052" s="260"/>
      <c r="S1052" s="260"/>
      <c r="T1052" s="260"/>
      <c r="U1052" s="260"/>
      <c r="V1052" s="260"/>
      <c r="W1052" s="260"/>
      <c r="X1052" s="260"/>
      <c r="Y1052" s="260"/>
      <c r="Z1052" s="260"/>
      <c r="AA1052" s="260"/>
      <c r="AB1052" s="260"/>
      <c r="AC1052" s="260"/>
      <c r="AD1052" s="260"/>
      <c r="AE1052" s="260"/>
      <c r="AF1052" s="260"/>
      <c r="AG1052" s="258"/>
    </row>
    <row r="1053" spans="13:33" ht="12" hidden="1" customHeight="1">
      <c r="M1053" s="820"/>
      <c r="N1053" s="239"/>
      <c r="O1053" s="225"/>
      <c r="P1053" s="260"/>
      <c r="Q1053" s="258"/>
      <c r="R1053" s="260"/>
      <c r="S1053" s="260"/>
      <c r="T1053" s="260"/>
      <c r="U1053" s="260"/>
      <c r="V1053" s="260"/>
      <c r="W1053" s="260"/>
      <c r="X1053" s="260"/>
      <c r="Y1053" s="260"/>
      <c r="Z1053" s="260"/>
      <c r="AA1053" s="260"/>
      <c r="AB1053" s="260"/>
      <c r="AC1053" s="260"/>
      <c r="AD1053" s="260"/>
      <c r="AE1053" s="260"/>
      <c r="AF1053" s="260"/>
      <c r="AG1053" s="258"/>
    </row>
    <row r="1054" spans="13:33" ht="12" hidden="1" customHeight="1">
      <c r="M1054" s="820"/>
      <c r="N1054" s="239"/>
      <c r="O1054" s="225"/>
      <c r="P1054" s="260"/>
      <c r="Q1054" s="258"/>
      <c r="R1054" s="260"/>
      <c r="S1054" s="260"/>
      <c r="T1054" s="260"/>
      <c r="U1054" s="260"/>
      <c r="V1054" s="260"/>
      <c r="W1054" s="260"/>
      <c r="X1054" s="260"/>
      <c r="Y1054" s="260"/>
      <c r="Z1054" s="260"/>
      <c r="AA1054" s="260"/>
      <c r="AB1054" s="260"/>
      <c r="AC1054" s="260"/>
      <c r="AD1054" s="260"/>
      <c r="AE1054" s="260"/>
      <c r="AF1054" s="260"/>
      <c r="AG1054" s="258"/>
    </row>
    <row r="1055" spans="13:33" ht="12" hidden="1" customHeight="1">
      <c r="M1055" s="820"/>
      <c r="N1055" s="239"/>
      <c r="O1055" s="225"/>
      <c r="P1055" s="260"/>
      <c r="Q1055" s="258"/>
      <c r="R1055" s="260"/>
      <c r="S1055" s="260"/>
      <c r="T1055" s="260"/>
      <c r="U1055" s="260"/>
      <c r="V1055" s="260"/>
      <c r="W1055" s="260"/>
      <c r="X1055" s="260"/>
      <c r="Y1055" s="260"/>
      <c r="Z1055" s="260"/>
      <c r="AA1055" s="260"/>
      <c r="AB1055" s="260"/>
      <c r="AC1055" s="260"/>
      <c r="AD1055" s="260"/>
      <c r="AE1055" s="260"/>
      <c r="AF1055" s="260"/>
      <c r="AG1055" s="258"/>
    </row>
    <row r="1056" spans="13:33" ht="12" hidden="1" customHeight="1">
      <c r="M1056" s="820"/>
      <c r="N1056" s="239"/>
      <c r="O1056" s="225"/>
      <c r="P1056" s="260"/>
      <c r="Q1056" s="258"/>
      <c r="R1056" s="260"/>
      <c r="S1056" s="260"/>
      <c r="T1056" s="260"/>
      <c r="U1056" s="260"/>
      <c r="V1056" s="260"/>
      <c r="W1056" s="260"/>
      <c r="X1056" s="260"/>
      <c r="Y1056" s="260"/>
      <c r="Z1056" s="260"/>
      <c r="AA1056" s="260"/>
      <c r="AB1056" s="260"/>
      <c r="AC1056" s="260"/>
      <c r="AD1056" s="260"/>
      <c r="AE1056" s="260"/>
      <c r="AF1056" s="260"/>
      <c r="AG1056" s="258"/>
    </row>
    <row r="1057" spans="13:33" ht="12" hidden="1" customHeight="1">
      <c r="M1057" s="820"/>
      <c r="N1057" s="239"/>
      <c r="O1057" s="225"/>
      <c r="P1057" s="260"/>
      <c r="Q1057" s="258"/>
      <c r="R1057" s="260"/>
      <c r="S1057" s="260"/>
      <c r="T1057" s="260"/>
      <c r="U1057" s="260"/>
      <c r="V1057" s="260"/>
      <c r="W1057" s="260"/>
      <c r="X1057" s="260"/>
      <c r="Y1057" s="260"/>
      <c r="Z1057" s="260"/>
      <c r="AA1057" s="260"/>
      <c r="AB1057" s="260"/>
      <c r="AC1057" s="260"/>
      <c r="AD1057" s="260"/>
      <c r="AE1057" s="260"/>
      <c r="AF1057" s="260"/>
      <c r="AG1057" s="258"/>
    </row>
    <row r="1058" spans="13:33" ht="12" hidden="1" customHeight="1">
      <c r="M1058" s="820"/>
      <c r="N1058" s="239"/>
      <c r="O1058" s="225"/>
      <c r="P1058" s="260"/>
      <c r="Q1058" s="258"/>
      <c r="R1058" s="260"/>
      <c r="S1058" s="260"/>
      <c r="T1058" s="260"/>
      <c r="U1058" s="260"/>
      <c r="V1058" s="260"/>
      <c r="W1058" s="260"/>
      <c r="X1058" s="260"/>
      <c r="Y1058" s="260"/>
      <c r="Z1058" s="260"/>
      <c r="AA1058" s="260"/>
      <c r="AB1058" s="260"/>
      <c r="AC1058" s="260"/>
      <c r="AD1058" s="260"/>
      <c r="AE1058" s="260"/>
      <c r="AF1058" s="260"/>
      <c r="AG1058" s="258"/>
    </row>
    <row r="1059" spans="13:33" ht="12" hidden="1" customHeight="1">
      <c r="M1059" s="820"/>
      <c r="N1059" s="239"/>
      <c r="O1059" s="225"/>
      <c r="P1059" s="260"/>
      <c r="Q1059" s="258"/>
      <c r="R1059" s="260"/>
      <c r="S1059" s="260"/>
      <c r="T1059" s="260"/>
      <c r="U1059" s="260"/>
      <c r="V1059" s="260"/>
      <c r="W1059" s="260"/>
      <c r="X1059" s="260"/>
      <c r="Y1059" s="260"/>
      <c r="Z1059" s="260"/>
      <c r="AA1059" s="260"/>
      <c r="AB1059" s="260"/>
      <c r="AC1059" s="260"/>
      <c r="AD1059" s="260"/>
      <c r="AE1059" s="260"/>
      <c r="AF1059" s="260"/>
      <c r="AG1059" s="258"/>
    </row>
    <row r="1060" spans="13:33" ht="12" hidden="1" customHeight="1">
      <c r="M1060" s="820"/>
      <c r="N1060" s="239"/>
      <c r="O1060" s="225"/>
      <c r="P1060" s="260"/>
      <c r="Q1060" s="258"/>
      <c r="R1060" s="260"/>
      <c r="S1060" s="260"/>
      <c r="T1060" s="260"/>
      <c r="U1060" s="260"/>
      <c r="V1060" s="260"/>
      <c r="W1060" s="260"/>
      <c r="X1060" s="260"/>
      <c r="Y1060" s="260"/>
      <c r="Z1060" s="260"/>
      <c r="AA1060" s="260"/>
      <c r="AB1060" s="260"/>
      <c r="AC1060" s="260"/>
      <c r="AD1060" s="260"/>
      <c r="AE1060" s="260"/>
      <c r="AF1060" s="260"/>
      <c r="AG1060" s="258"/>
    </row>
    <row r="1061" spans="13:33" ht="12" hidden="1" customHeight="1">
      <c r="M1061" s="820"/>
      <c r="N1061" s="239"/>
      <c r="O1061" s="225"/>
      <c r="P1061" s="260"/>
      <c r="Q1061" s="258"/>
      <c r="R1061" s="260"/>
      <c r="S1061" s="260"/>
      <c r="T1061" s="260"/>
      <c r="U1061" s="260"/>
      <c r="V1061" s="260"/>
      <c r="W1061" s="260"/>
      <c r="X1061" s="260"/>
      <c r="Y1061" s="260"/>
      <c r="Z1061" s="260"/>
      <c r="AA1061" s="260"/>
      <c r="AB1061" s="260"/>
      <c r="AC1061" s="260"/>
      <c r="AD1061" s="260"/>
      <c r="AE1061" s="260"/>
      <c r="AF1061" s="260"/>
      <c r="AG1061" s="258"/>
    </row>
    <row r="1062" spans="13:33" ht="12" hidden="1" customHeight="1">
      <c r="M1062" s="820"/>
      <c r="N1062" s="239"/>
      <c r="O1062" s="225"/>
      <c r="P1062" s="260"/>
      <c r="Q1062" s="258"/>
      <c r="R1062" s="260"/>
      <c r="S1062" s="260"/>
      <c r="T1062" s="260"/>
      <c r="U1062" s="260"/>
      <c r="V1062" s="260"/>
      <c r="W1062" s="260"/>
      <c r="X1062" s="260"/>
      <c r="Y1062" s="260"/>
      <c r="Z1062" s="260"/>
      <c r="AA1062" s="260"/>
      <c r="AB1062" s="260"/>
      <c r="AC1062" s="260"/>
      <c r="AD1062" s="260"/>
      <c r="AE1062" s="260"/>
      <c r="AF1062" s="260"/>
      <c r="AG1062" s="258"/>
    </row>
    <row r="1063" spans="13:33" ht="12" hidden="1" customHeight="1">
      <c r="M1063" s="820"/>
      <c r="N1063" s="239"/>
      <c r="O1063" s="225"/>
      <c r="P1063" s="260"/>
      <c r="Q1063" s="258"/>
      <c r="R1063" s="260"/>
      <c r="S1063" s="260"/>
      <c r="T1063" s="260"/>
      <c r="U1063" s="260"/>
      <c r="V1063" s="260"/>
      <c r="W1063" s="260"/>
      <c r="X1063" s="260"/>
      <c r="Y1063" s="260"/>
      <c r="Z1063" s="260"/>
      <c r="AA1063" s="260"/>
      <c r="AB1063" s="260"/>
      <c r="AC1063" s="260"/>
      <c r="AD1063" s="260"/>
      <c r="AE1063" s="260"/>
      <c r="AF1063" s="260"/>
      <c r="AG1063" s="258"/>
    </row>
    <row r="1064" spans="13:33" ht="12" hidden="1" customHeight="1">
      <c r="M1064" s="820"/>
      <c r="N1064" s="239"/>
      <c r="O1064" s="225"/>
      <c r="P1064" s="260"/>
      <c r="Q1064" s="258"/>
      <c r="R1064" s="260"/>
      <c r="S1064" s="260"/>
      <c r="T1064" s="260"/>
      <c r="U1064" s="260"/>
      <c r="V1064" s="260"/>
      <c r="W1064" s="260"/>
      <c r="X1064" s="260"/>
      <c r="Y1064" s="260"/>
      <c r="Z1064" s="260"/>
      <c r="AA1064" s="260"/>
      <c r="AB1064" s="260"/>
      <c r="AC1064" s="260"/>
      <c r="AD1064" s="260"/>
      <c r="AE1064" s="260"/>
      <c r="AF1064" s="260"/>
      <c r="AG1064" s="258"/>
    </row>
    <row r="1065" spans="13:33" ht="12" hidden="1" customHeight="1">
      <c r="M1065" s="820"/>
      <c r="N1065" s="239"/>
      <c r="O1065" s="225"/>
      <c r="P1065" s="260"/>
      <c r="Q1065" s="258"/>
      <c r="R1065" s="260"/>
      <c r="S1065" s="260"/>
      <c r="T1065" s="260"/>
      <c r="U1065" s="260"/>
      <c r="V1065" s="260"/>
      <c r="W1065" s="260"/>
      <c r="X1065" s="260"/>
      <c r="Y1065" s="260"/>
      <c r="Z1065" s="260"/>
      <c r="AA1065" s="260"/>
      <c r="AB1065" s="260"/>
      <c r="AC1065" s="260"/>
      <c r="AD1065" s="260"/>
      <c r="AE1065" s="260"/>
      <c r="AF1065" s="260"/>
      <c r="AG1065" s="258"/>
    </row>
    <row r="1066" spans="13:33" ht="12" hidden="1" customHeight="1">
      <c r="M1066" s="820"/>
      <c r="N1066" s="239"/>
      <c r="O1066" s="225"/>
      <c r="P1066" s="260"/>
      <c r="Q1066" s="258"/>
      <c r="R1066" s="260"/>
      <c r="S1066" s="260"/>
      <c r="T1066" s="260"/>
      <c r="U1066" s="260"/>
      <c r="V1066" s="260"/>
      <c r="W1066" s="260"/>
      <c r="X1066" s="260"/>
      <c r="Y1066" s="260"/>
      <c r="Z1066" s="260"/>
      <c r="AA1066" s="260"/>
      <c r="AB1066" s="260"/>
      <c r="AC1066" s="260"/>
      <c r="AD1066" s="260"/>
      <c r="AE1066" s="260"/>
      <c r="AF1066" s="260"/>
      <c r="AG1066" s="258"/>
    </row>
    <row r="1067" spans="13:33" ht="12" hidden="1" customHeight="1">
      <c r="M1067" s="820"/>
      <c r="N1067" s="239"/>
      <c r="O1067" s="225"/>
      <c r="P1067" s="260"/>
      <c r="Q1067" s="258"/>
      <c r="R1067" s="260"/>
      <c r="S1067" s="260"/>
      <c r="T1067" s="260"/>
      <c r="U1067" s="260"/>
      <c r="V1067" s="260"/>
      <c r="W1067" s="260"/>
      <c r="X1067" s="260"/>
      <c r="Y1067" s="260"/>
      <c r="Z1067" s="260"/>
      <c r="AA1067" s="260"/>
      <c r="AB1067" s="260"/>
      <c r="AC1067" s="260"/>
      <c r="AD1067" s="260"/>
      <c r="AE1067" s="260"/>
      <c r="AF1067" s="260"/>
      <c r="AG1067" s="258"/>
    </row>
    <row r="1068" spans="13:33" ht="12" hidden="1" customHeight="1">
      <c r="M1068" s="820"/>
      <c r="N1068" s="239"/>
      <c r="O1068" s="225"/>
      <c r="P1068" s="260"/>
      <c r="Q1068" s="258"/>
      <c r="R1068" s="260"/>
      <c r="S1068" s="260"/>
      <c r="T1068" s="260"/>
      <c r="U1068" s="260"/>
      <c r="V1068" s="260"/>
      <c r="W1068" s="260"/>
      <c r="X1068" s="260"/>
      <c r="Y1068" s="260"/>
      <c r="Z1068" s="260"/>
      <c r="AA1068" s="260"/>
      <c r="AB1068" s="260"/>
      <c r="AC1068" s="260"/>
      <c r="AD1068" s="260"/>
      <c r="AE1068" s="260"/>
      <c r="AF1068" s="260"/>
      <c r="AG1068" s="258"/>
    </row>
    <row r="1069" spans="13:33" ht="12" hidden="1" customHeight="1">
      <c r="M1069" s="820"/>
      <c r="N1069" s="239"/>
      <c r="O1069" s="225"/>
      <c r="P1069" s="260"/>
      <c r="Q1069" s="258"/>
      <c r="R1069" s="260"/>
      <c r="S1069" s="260"/>
      <c r="T1069" s="260"/>
      <c r="U1069" s="260"/>
      <c r="V1069" s="260"/>
      <c r="W1069" s="260"/>
      <c r="X1069" s="260"/>
      <c r="Y1069" s="260"/>
      <c r="Z1069" s="260"/>
      <c r="AA1069" s="260"/>
      <c r="AB1069" s="260"/>
      <c r="AC1069" s="260"/>
      <c r="AD1069" s="260"/>
      <c r="AE1069" s="260"/>
      <c r="AF1069" s="260"/>
      <c r="AG1069" s="258"/>
    </row>
    <row r="1070" spans="13:33" ht="12" hidden="1" customHeight="1">
      <c r="M1070" s="820"/>
      <c r="N1070" s="239"/>
      <c r="O1070" s="225"/>
      <c r="P1070" s="260"/>
      <c r="Q1070" s="258"/>
      <c r="R1070" s="260"/>
      <c r="S1070" s="260"/>
      <c r="T1070" s="260"/>
      <c r="U1070" s="260"/>
      <c r="V1070" s="260"/>
      <c r="W1070" s="260"/>
      <c r="X1070" s="260"/>
      <c r="Y1070" s="260"/>
      <c r="Z1070" s="260"/>
      <c r="AA1070" s="260"/>
      <c r="AB1070" s="260"/>
      <c r="AC1070" s="260"/>
      <c r="AD1070" s="260"/>
      <c r="AE1070" s="260"/>
      <c r="AF1070" s="260"/>
      <c r="AG1070" s="258"/>
    </row>
    <row r="1071" spans="13:33" ht="12" hidden="1" customHeight="1">
      <c r="M1071" s="820"/>
      <c r="N1071" s="239"/>
      <c r="O1071" s="225"/>
      <c r="P1071" s="260"/>
      <c r="Q1071" s="258"/>
      <c r="R1071" s="260"/>
      <c r="S1071" s="260"/>
      <c r="T1071" s="260"/>
      <c r="U1071" s="260"/>
      <c r="V1071" s="260"/>
      <c r="W1071" s="260"/>
      <c r="X1071" s="260"/>
      <c r="Y1071" s="260"/>
      <c r="Z1071" s="260"/>
      <c r="AA1071" s="260"/>
      <c r="AB1071" s="260"/>
      <c r="AC1071" s="260"/>
      <c r="AD1071" s="260"/>
      <c r="AE1071" s="260"/>
      <c r="AF1071" s="260"/>
      <c r="AG1071" s="258"/>
    </row>
    <row r="1072" spans="13:33" ht="12" hidden="1" customHeight="1">
      <c r="M1072" s="820"/>
      <c r="N1072" s="239"/>
      <c r="O1072" s="225"/>
      <c r="P1072" s="260"/>
      <c r="Q1072" s="258"/>
      <c r="R1072" s="260"/>
      <c r="S1072" s="260"/>
      <c r="T1072" s="260"/>
      <c r="U1072" s="260"/>
      <c r="V1072" s="260"/>
      <c r="W1072" s="260"/>
      <c r="X1072" s="260"/>
      <c r="Y1072" s="260"/>
      <c r="Z1072" s="260"/>
      <c r="AA1072" s="260"/>
      <c r="AB1072" s="260"/>
      <c r="AC1072" s="260"/>
      <c r="AD1072" s="260"/>
      <c r="AE1072" s="260"/>
      <c r="AF1072" s="260"/>
      <c r="AG1072" s="258"/>
    </row>
    <row r="1073" spans="13:33" ht="12" hidden="1" customHeight="1">
      <c r="M1073" s="820"/>
      <c r="N1073" s="239"/>
      <c r="O1073" s="225"/>
      <c r="P1073" s="260"/>
      <c r="Q1073" s="258"/>
      <c r="R1073" s="260"/>
      <c r="S1073" s="260"/>
      <c r="T1073" s="260"/>
      <c r="U1073" s="260"/>
      <c r="V1073" s="260"/>
      <c r="W1073" s="260"/>
      <c r="X1073" s="260"/>
      <c r="Y1073" s="260"/>
      <c r="Z1073" s="260"/>
      <c r="AA1073" s="260"/>
      <c r="AB1073" s="260"/>
      <c r="AC1073" s="260"/>
      <c r="AD1073" s="260"/>
      <c r="AE1073" s="260"/>
      <c r="AF1073" s="260"/>
      <c r="AG1073" s="258"/>
    </row>
    <row r="1074" spans="13:33" ht="12" hidden="1" customHeight="1">
      <c r="M1074" s="820"/>
      <c r="N1074" s="239"/>
      <c r="O1074" s="225"/>
      <c r="P1074" s="260"/>
      <c r="Q1074" s="258"/>
      <c r="R1074" s="260"/>
      <c r="S1074" s="260"/>
      <c r="T1074" s="260"/>
      <c r="U1074" s="260"/>
      <c r="V1074" s="260"/>
      <c r="W1074" s="260"/>
      <c r="X1074" s="260"/>
      <c r="Y1074" s="260"/>
      <c r="Z1074" s="260"/>
      <c r="AA1074" s="260"/>
      <c r="AB1074" s="260"/>
      <c r="AC1074" s="260"/>
      <c r="AD1074" s="260"/>
      <c r="AE1074" s="260"/>
      <c r="AF1074" s="260"/>
      <c r="AG1074" s="258"/>
    </row>
    <row r="1075" spans="13:33" ht="12" hidden="1" customHeight="1">
      <c r="M1075" s="820"/>
      <c r="N1075" s="239"/>
      <c r="O1075" s="225"/>
      <c r="P1075" s="260"/>
      <c r="Q1075" s="258"/>
      <c r="R1075" s="260"/>
      <c r="S1075" s="260"/>
      <c r="T1075" s="260"/>
      <c r="U1075" s="260"/>
      <c r="V1075" s="260"/>
      <c r="W1075" s="260"/>
      <c r="X1075" s="260"/>
      <c r="Y1075" s="260"/>
      <c r="Z1075" s="260"/>
      <c r="AA1075" s="260"/>
      <c r="AB1075" s="260"/>
      <c r="AC1075" s="260"/>
      <c r="AD1075" s="260"/>
      <c r="AE1075" s="260"/>
      <c r="AF1075" s="260"/>
      <c r="AG1075" s="258"/>
    </row>
    <row r="1076" spans="13:33" ht="12" hidden="1" customHeight="1">
      <c r="M1076" s="820"/>
      <c r="N1076" s="239"/>
      <c r="O1076" s="225"/>
      <c r="P1076" s="260"/>
      <c r="Q1076" s="258"/>
      <c r="R1076" s="260"/>
      <c r="S1076" s="260"/>
      <c r="T1076" s="260"/>
      <c r="U1076" s="260"/>
      <c r="V1076" s="260"/>
      <c r="W1076" s="260"/>
      <c r="X1076" s="260"/>
      <c r="Y1076" s="260"/>
      <c r="Z1076" s="260"/>
      <c r="AA1076" s="260"/>
      <c r="AB1076" s="260"/>
      <c r="AC1076" s="260"/>
      <c r="AD1076" s="260"/>
      <c r="AE1076" s="260"/>
      <c r="AF1076" s="260"/>
      <c r="AG1076" s="258"/>
    </row>
    <row r="1077" spans="13:33" ht="12" hidden="1" customHeight="1">
      <c r="M1077" s="820"/>
      <c r="N1077" s="239"/>
      <c r="O1077" s="225"/>
      <c r="P1077" s="260"/>
      <c r="Q1077" s="258"/>
      <c r="R1077" s="260"/>
      <c r="S1077" s="260"/>
      <c r="T1077" s="260"/>
      <c r="U1077" s="260"/>
      <c r="V1077" s="260"/>
      <c r="W1077" s="260"/>
      <c r="X1077" s="260"/>
      <c r="Y1077" s="260"/>
      <c r="Z1077" s="260"/>
      <c r="AA1077" s="260"/>
      <c r="AB1077" s="260"/>
      <c r="AC1077" s="260"/>
      <c r="AD1077" s="260"/>
      <c r="AE1077" s="260"/>
      <c r="AF1077" s="260"/>
      <c r="AG1077" s="258"/>
    </row>
    <row r="1078" spans="13:33" ht="12" hidden="1" customHeight="1">
      <c r="M1078" s="820"/>
      <c r="N1078" s="239"/>
      <c r="O1078" s="225"/>
      <c r="P1078" s="260"/>
      <c r="Q1078" s="258"/>
      <c r="R1078" s="260"/>
      <c r="S1078" s="260"/>
      <c r="T1078" s="260"/>
      <c r="U1078" s="260"/>
      <c r="V1078" s="260"/>
      <c r="W1078" s="260"/>
      <c r="X1078" s="260"/>
      <c r="Y1078" s="260"/>
      <c r="Z1078" s="260"/>
      <c r="AA1078" s="260"/>
      <c r="AB1078" s="260"/>
      <c r="AC1078" s="260"/>
      <c r="AD1078" s="260"/>
      <c r="AE1078" s="260"/>
      <c r="AF1078" s="260"/>
      <c r="AG1078" s="258"/>
    </row>
    <row r="1079" spans="13:33" ht="12" hidden="1" customHeight="1">
      <c r="M1079" s="820"/>
      <c r="N1079" s="239"/>
      <c r="O1079" s="225"/>
      <c r="P1079" s="260"/>
      <c r="Q1079" s="258"/>
      <c r="R1079" s="260"/>
      <c r="S1079" s="260"/>
      <c r="T1079" s="260"/>
      <c r="U1079" s="260"/>
      <c r="V1079" s="260"/>
      <c r="W1079" s="260"/>
      <c r="X1079" s="260"/>
      <c r="Y1079" s="260"/>
      <c r="Z1079" s="260"/>
      <c r="AA1079" s="260"/>
      <c r="AB1079" s="260"/>
      <c r="AC1079" s="260"/>
      <c r="AD1079" s="260"/>
      <c r="AE1079" s="260"/>
      <c r="AF1079" s="260"/>
      <c r="AG1079" s="258"/>
    </row>
    <row r="1080" spans="13:33" ht="12" hidden="1" customHeight="1">
      <c r="M1080" s="820"/>
      <c r="N1080" s="239"/>
      <c r="O1080" s="225"/>
      <c r="P1080" s="260"/>
      <c r="Q1080" s="258"/>
      <c r="R1080" s="260"/>
      <c r="S1080" s="260"/>
      <c r="T1080" s="260"/>
      <c r="U1080" s="260"/>
      <c r="V1080" s="260"/>
      <c r="W1080" s="260"/>
      <c r="X1080" s="260"/>
      <c r="Y1080" s="260"/>
      <c r="Z1080" s="260"/>
      <c r="AA1080" s="260"/>
      <c r="AB1080" s="260"/>
      <c r="AC1080" s="260"/>
      <c r="AD1080" s="260"/>
      <c r="AE1080" s="260"/>
      <c r="AF1080" s="260"/>
      <c r="AG1080" s="258"/>
    </row>
    <row r="1081" spans="13:33" ht="12" hidden="1" customHeight="1">
      <c r="M1081" s="820"/>
      <c r="N1081" s="239"/>
      <c r="O1081" s="225"/>
      <c r="P1081" s="260"/>
      <c r="Q1081" s="258"/>
      <c r="R1081" s="260"/>
      <c r="S1081" s="260"/>
      <c r="T1081" s="260"/>
      <c r="U1081" s="260"/>
      <c r="V1081" s="260"/>
      <c r="W1081" s="260"/>
      <c r="X1081" s="260"/>
      <c r="Y1081" s="260"/>
      <c r="Z1081" s="260"/>
      <c r="AA1081" s="260"/>
      <c r="AB1081" s="260"/>
      <c r="AC1081" s="260"/>
      <c r="AD1081" s="260"/>
      <c r="AE1081" s="260"/>
      <c r="AF1081" s="260"/>
      <c r="AG1081" s="258"/>
    </row>
    <row r="1082" spans="13:33" ht="12" hidden="1" customHeight="1">
      <c r="M1082" s="820"/>
      <c r="N1082" s="239"/>
      <c r="O1082" s="225"/>
      <c r="P1082" s="260"/>
      <c r="Q1082" s="258"/>
      <c r="R1082" s="260"/>
      <c r="S1082" s="260"/>
      <c r="T1082" s="260"/>
      <c r="U1082" s="260"/>
      <c r="V1082" s="260"/>
      <c r="W1082" s="260"/>
      <c r="X1082" s="260"/>
      <c r="Y1082" s="260"/>
      <c r="Z1082" s="260"/>
      <c r="AA1082" s="260"/>
      <c r="AB1082" s="260"/>
      <c r="AC1082" s="260"/>
      <c r="AD1082" s="260"/>
      <c r="AE1082" s="260"/>
      <c r="AF1082" s="260"/>
      <c r="AG1082" s="258"/>
    </row>
    <row r="1083" spans="13:33" ht="12" hidden="1" customHeight="1">
      <c r="M1083" s="820"/>
      <c r="N1083" s="239"/>
      <c r="O1083" s="225"/>
      <c r="P1083" s="260"/>
      <c r="Q1083" s="258"/>
      <c r="R1083" s="260"/>
      <c r="S1083" s="260"/>
      <c r="T1083" s="260"/>
      <c r="U1083" s="260"/>
      <c r="V1083" s="260"/>
      <c r="W1083" s="260"/>
      <c r="X1083" s="260"/>
      <c r="Y1083" s="260"/>
      <c r="Z1083" s="260"/>
      <c r="AA1083" s="260"/>
      <c r="AB1083" s="260"/>
      <c r="AC1083" s="260"/>
      <c r="AD1083" s="260"/>
      <c r="AE1083" s="260"/>
      <c r="AF1083" s="260"/>
      <c r="AG1083" s="258"/>
    </row>
    <row r="1084" spans="13:33" ht="12" hidden="1" customHeight="1">
      <c r="M1084" s="820"/>
      <c r="N1084" s="239"/>
      <c r="O1084" s="225"/>
      <c r="P1084" s="260"/>
      <c r="Q1084" s="258"/>
      <c r="R1084" s="260"/>
      <c r="S1084" s="260"/>
      <c r="T1084" s="260"/>
      <c r="U1084" s="260"/>
      <c r="V1084" s="260"/>
      <c r="W1084" s="260"/>
      <c r="X1084" s="260"/>
      <c r="Y1084" s="260"/>
      <c r="Z1084" s="260"/>
      <c r="AA1084" s="260"/>
      <c r="AB1084" s="260"/>
      <c r="AC1084" s="260"/>
      <c r="AD1084" s="260"/>
      <c r="AE1084" s="260"/>
      <c r="AF1084" s="260"/>
      <c r="AG1084" s="258"/>
    </row>
    <row r="1085" spans="13:33" ht="12" hidden="1" customHeight="1">
      <c r="M1085" s="820"/>
      <c r="N1085" s="239"/>
      <c r="O1085" s="225"/>
      <c r="P1085" s="260"/>
      <c r="Q1085" s="258"/>
      <c r="R1085" s="260"/>
      <c r="S1085" s="260"/>
      <c r="T1085" s="260"/>
      <c r="U1085" s="260"/>
      <c r="V1085" s="260"/>
      <c r="W1085" s="260"/>
      <c r="X1085" s="260"/>
      <c r="Y1085" s="260"/>
      <c r="Z1085" s="260"/>
      <c r="AA1085" s="260"/>
      <c r="AB1085" s="260"/>
      <c r="AC1085" s="260"/>
      <c r="AD1085" s="260"/>
      <c r="AE1085" s="260"/>
      <c r="AF1085" s="260"/>
      <c r="AG1085" s="258"/>
    </row>
    <row r="1086" spans="13:33" ht="12" hidden="1" customHeight="1">
      <c r="M1086" s="820"/>
      <c r="N1086" s="239"/>
      <c r="O1086" s="225"/>
      <c r="P1086" s="260"/>
      <c r="Q1086" s="258"/>
      <c r="R1086" s="260"/>
      <c r="S1086" s="260"/>
      <c r="T1086" s="260"/>
      <c r="U1086" s="260"/>
      <c r="V1086" s="260"/>
      <c r="W1086" s="260"/>
      <c r="X1086" s="260"/>
      <c r="Y1086" s="260"/>
      <c r="Z1086" s="260"/>
      <c r="AA1086" s="260"/>
      <c r="AB1086" s="260"/>
      <c r="AC1086" s="260"/>
      <c r="AD1086" s="260"/>
      <c r="AE1086" s="260"/>
      <c r="AF1086" s="260"/>
      <c r="AG1086" s="258"/>
    </row>
    <row r="1087" spans="13:33" ht="12" hidden="1" customHeight="1">
      <c r="M1087" s="820"/>
      <c r="N1087" s="239"/>
      <c r="O1087" s="225"/>
      <c r="P1087" s="260"/>
      <c r="Q1087" s="258"/>
      <c r="R1087" s="260"/>
      <c r="S1087" s="260"/>
      <c r="T1087" s="260"/>
      <c r="U1087" s="260"/>
      <c r="V1087" s="260"/>
      <c r="W1087" s="260"/>
      <c r="X1087" s="260"/>
      <c r="Y1087" s="260"/>
      <c r="Z1087" s="260"/>
      <c r="AA1087" s="260"/>
      <c r="AB1087" s="260"/>
      <c r="AC1087" s="260"/>
      <c r="AD1087" s="260"/>
      <c r="AE1087" s="260"/>
      <c r="AF1087" s="260"/>
      <c r="AG1087" s="258"/>
    </row>
    <row r="1088" spans="13:33" ht="12" hidden="1" customHeight="1">
      <c r="M1088" s="820"/>
      <c r="N1088" s="239"/>
      <c r="O1088" s="225"/>
      <c r="P1088" s="260"/>
      <c r="Q1088" s="258"/>
      <c r="R1088" s="260"/>
      <c r="S1088" s="260"/>
      <c r="T1088" s="260"/>
      <c r="U1088" s="260"/>
      <c r="V1088" s="260"/>
      <c r="W1088" s="260"/>
      <c r="X1088" s="260"/>
      <c r="Y1088" s="260"/>
      <c r="Z1088" s="260"/>
      <c r="AA1088" s="260"/>
      <c r="AB1088" s="260"/>
      <c r="AC1088" s="260"/>
      <c r="AD1088" s="260"/>
      <c r="AE1088" s="260"/>
      <c r="AF1088" s="260"/>
      <c r="AG1088" s="258"/>
    </row>
    <row r="1089" spans="13:33" ht="12" hidden="1" customHeight="1">
      <c r="M1089" s="820"/>
      <c r="N1089" s="239"/>
      <c r="O1089" s="225"/>
      <c r="P1089" s="260"/>
      <c r="Q1089" s="258"/>
      <c r="R1089" s="260"/>
      <c r="S1089" s="260"/>
      <c r="T1089" s="260"/>
      <c r="U1089" s="260"/>
      <c r="V1089" s="260"/>
      <c r="W1089" s="260"/>
      <c r="X1089" s="260"/>
      <c r="Y1089" s="260"/>
      <c r="Z1089" s="260"/>
      <c r="AA1089" s="260"/>
      <c r="AB1089" s="260"/>
      <c r="AC1089" s="260"/>
      <c r="AD1089" s="260"/>
      <c r="AE1089" s="260"/>
      <c r="AF1089" s="260"/>
      <c r="AG1089" s="258"/>
    </row>
    <row r="1090" spans="13:33" ht="12" hidden="1" customHeight="1">
      <c r="M1090" s="820"/>
      <c r="N1090" s="239"/>
      <c r="O1090" s="225"/>
      <c r="P1090" s="260"/>
      <c r="Q1090" s="258"/>
      <c r="R1090" s="260"/>
      <c r="S1090" s="260"/>
      <c r="T1090" s="260"/>
      <c r="U1090" s="260"/>
      <c r="V1090" s="260"/>
      <c r="W1090" s="260"/>
      <c r="X1090" s="260"/>
      <c r="Y1090" s="260"/>
      <c r="Z1090" s="260"/>
      <c r="AA1090" s="260"/>
      <c r="AB1090" s="260"/>
      <c r="AC1090" s="260"/>
      <c r="AD1090" s="260"/>
      <c r="AE1090" s="260"/>
      <c r="AF1090" s="260"/>
      <c r="AG1090" s="258"/>
    </row>
    <row r="1091" spans="13:33" ht="12" hidden="1" customHeight="1">
      <c r="M1091" s="820"/>
      <c r="N1091" s="239"/>
      <c r="O1091" s="225"/>
      <c r="P1091" s="260"/>
      <c r="Q1091" s="258"/>
      <c r="R1091" s="260"/>
      <c r="S1091" s="260"/>
      <c r="T1091" s="260"/>
      <c r="U1091" s="260"/>
      <c r="V1091" s="260"/>
      <c r="W1091" s="260"/>
      <c r="X1091" s="260"/>
      <c r="Y1091" s="260"/>
      <c r="Z1091" s="260"/>
      <c r="AA1091" s="260"/>
      <c r="AB1091" s="260"/>
      <c r="AC1091" s="260"/>
      <c r="AD1091" s="260"/>
      <c r="AE1091" s="260"/>
      <c r="AF1091" s="260"/>
      <c r="AG1091" s="258"/>
    </row>
    <row r="1092" spans="13:33" ht="12" hidden="1" customHeight="1">
      <c r="M1092" s="820"/>
      <c r="N1092" s="239"/>
      <c r="O1092" s="225"/>
      <c r="P1092" s="260"/>
      <c r="Q1092" s="258"/>
      <c r="R1092" s="260"/>
      <c r="S1092" s="260"/>
      <c r="T1092" s="260"/>
      <c r="U1092" s="260"/>
      <c r="V1092" s="260"/>
      <c r="W1092" s="260"/>
      <c r="X1092" s="260"/>
      <c r="Y1092" s="260"/>
      <c r="Z1092" s="260"/>
      <c r="AA1092" s="260"/>
      <c r="AB1092" s="260"/>
      <c r="AC1092" s="260"/>
      <c r="AD1092" s="260"/>
      <c r="AE1092" s="260"/>
      <c r="AF1092" s="260"/>
      <c r="AG1092" s="258"/>
    </row>
    <row r="1093" spans="13:33" ht="12" hidden="1" customHeight="1">
      <c r="M1093" s="820"/>
      <c r="N1093" s="239"/>
      <c r="O1093" s="225"/>
      <c r="P1093" s="260"/>
      <c r="Q1093" s="258"/>
      <c r="R1093" s="260"/>
      <c r="S1093" s="260"/>
      <c r="T1093" s="260"/>
      <c r="U1093" s="260"/>
      <c r="V1093" s="260"/>
      <c r="W1093" s="260"/>
      <c r="X1093" s="260"/>
      <c r="Y1093" s="260"/>
      <c r="Z1093" s="260"/>
      <c r="AA1093" s="260"/>
      <c r="AB1093" s="260"/>
      <c r="AC1093" s="260"/>
      <c r="AD1093" s="260"/>
      <c r="AE1093" s="260"/>
      <c r="AF1093" s="260"/>
      <c r="AG1093" s="258"/>
    </row>
    <row r="1094" spans="13:33" ht="12" hidden="1" customHeight="1">
      <c r="M1094" s="820"/>
      <c r="N1094" s="239"/>
      <c r="O1094" s="225"/>
      <c r="P1094" s="260"/>
      <c r="Q1094" s="258"/>
      <c r="R1094" s="260"/>
      <c r="S1094" s="260"/>
      <c r="T1094" s="260"/>
      <c r="U1094" s="260"/>
      <c r="V1094" s="260"/>
      <c r="W1094" s="260"/>
      <c r="X1094" s="260"/>
      <c r="Y1094" s="260"/>
      <c r="Z1094" s="260"/>
      <c r="AA1094" s="260"/>
      <c r="AB1094" s="260"/>
      <c r="AC1094" s="260"/>
      <c r="AD1094" s="260"/>
      <c r="AE1094" s="260"/>
      <c r="AF1094" s="260"/>
      <c r="AG1094" s="258"/>
    </row>
    <row r="1095" spans="13:33" ht="12" hidden="1" customHeight="1">
      <c r="M1095" s="820"/>
      <c r="N1095" s="239"/>
      <c r="O1095" s="225"/>
      <c r="P1095" s="260"/>
      <c r="Q1095" s="258"/>
      <c r="R1095" s="260"/>
      <c r="S1095" s="260"/>
      <c r="T1095" s="260"/>
      <c r="U1095" s="260"/>
      <c r="V1095" s="260"/>
      <c r="W1095" s="260"/>
      <c r="X1095" s="260"/>
      <c r="Y1095" s="260"/>
      <c r="Z1095" s="260"/>
      <c r="AA1095" s="260"/>
      <c r="AB1095" s="260"/>
      <c r="AC1095" s="260"/>
      <c r="AD1095" s="260"/>
      <c r="AE1095" s="260"/>
      <c r="AF1095" s="260"/>
      <c r="AG1095" s="258"/>
    </row>
    <row r="1096" spans="13:33" ht="12" hidden="1" customHeight="1">
      <c r="M1096" s="820"/>
      <c r="N1096" s="239"/>
      <c r="O1096" s="225"/>
      <c r="P1096" s="260"/>
      <c r="Q1096" s="258"/>
      <c r="R1096" s="260"/>
      <c r="S1096" s="260"/>
      <c r="T1096" s="260"/>
      <c r="U1096" s="260"/>
      <c r="V1096" s="260"/>
      <c r="W1096" s="260"/>
      <c r="X1096" s="260"/>
      <c r="Y1096" s="260"/>
      <c r="Z1096" s="260"/>
      <c r="AA1096" s="260"/>
      <c r="AB1096" s="260"/>
      <c r="AC1096" s="260"/>
      <c r="AD1096" s="260"/>
      <c r="AE1096" s="260"/>
      <c r="AF1096" s="260"/>
      <c r="AG1096" s="258"/>
    </row>
    <row r="1097" spans="13:33" ht="12" hidden="1" customHeight="1">
      <c r="M1097" s="820"/>
      <c r="N1097" s="239"/>
      <c r="O1097" s="225"/>
      <c r="P1097" s="260"/>
      <c r="Q1097" s="258"/>
      <c r="R1097" s="260"/>
      <c r="S1097" s="260"/>
      <c r="T1097" s="260"/>
      <c r="U1097" s="260"/>
      <c r="V1097" s="260"/>
      <c r="W1097" s="260"/>
      <c r="X1097" s="260"/>
      <c r="Y1097" s="260"/>
      <c r="Z1097" s="260"/>
      <c r="AA1097" s="260"/>
      <c r="AB1097" s="260"/>
      <c r="AC1097" s="260"/>
      <c r="AD1097" s="260"/>
      <c r="AE1097" s="260"/>
      <c r="AF1097" s="260"/>
      <c r="AG1097" s="258"/>
    </row>
    <row r="1098" spans="13:33" ht="12" hidden="1" customHeight="1">
      <c r="M1098" s="820"/>
      <c r="N1098" s="239"/>
      <c r="O1098" s="225"/>
      <c r="P1098" s="260"/>
      <c r="Q1098" s="258"/>
      <c r="R1098" s="260"/>
      <c r="S1098" s="260"/>
      <c r="T1098" s="260"/>
      <c r="U1098" s="260"/>
      <c r="V1098" s="260"/>
      <c r="W1098" s="260"/>
      <c r="X1098" s="260"/>
      <c r="Y1098" s="260"/>
      <c r="Z1098" s="260"/>
      <c r="AA1098" s="260"/>
      <c r="AB1098" s="260"/>
      <c r="AC1098" s="260"/>
      <c r="AD1098" s="260"/>
      <c r="AE1098" s="260"/>
      <c r="AF1098" s="260"/>
      <c r="AG1098" s="258"/>
    </row>
    <row r="1099" spans="13:33" ht="12" hidden="1" customHeight="1">
      <c r="M1099" s="820"/>
      <c r="N1099" s="239"/>
      <c r="O1099" s="225"/>
      <c r="P1099" s="260"/>
      <c r="Q1099" s="258"/>
      <c r="R1099" s="260"/>
      <c r="S1099" s="260"/>
      <c r="T1099" s="260"/>
      <c r="U1099" s="260"/>
      <c r="V1099" s="260"/>
      <c r="W1099" s="260"/>
      <c r="X1099" s="260"/>
      <c r="Y1099" s="260"/>
      <c r="Z1099" s="260"/>
      <c r="AA1099" s="260"/>
      <c r="AB1099" s="260"/>
      <c r="AC1099" s="260"/>
      <c r="AD1099" s="260"/>
      <c r="AE1099" s="260"/>
      <c r="AF1099" s="260"/>
      <c r="AG1099" s="258"/>
    </row>
    <row r="1100" spans="13:33" ht="12" hidden="1" customHeight="1">
      <c r="M1100" s="820"/>
      <c r="N1100" s="239"/>
      <c r="O1100" s="225"/>
      <c r="P1100" s="260"/>
      <c r="Q1100" s="258"/>
      <c r="R1100" s="260"/>
      <c r="S1100" s="260"/>
      <c r="T1100" s="260"/>
      <c r="U1100" s="260"/>
      <c r="V1100" s="260"/>
      <c r="W1100" s="260"/>
      <c r="X1100" s="260"/>
      <c r="Y1100" s="260"/>
      <c r="Z1100" s="260"/>
      <c r="AA1100" s="260"/>
      <c r="AB1100" s="260"/>
      <c r="AC1100" s="260"/>
      <c r="AD1100" s="260"/>
      <c r="AE1100" s="260"/>
      <c r="AF1100" s="260"/>
      <c r="AG1100" s="258"/>
    </row>
    <row r="1101" spans="13:33" ht="12" hidden="1" customHeight="1">
      <c r="M1101" s="820"/>
      <c r="N1101" s="239"/>
      <c r="O1101" s="225"/>
      <c r="P1101" s="260"/>
      <c r="Q1101" s="258"/>
      <c r="R1101" s="260"/>
      <c r="S1101" s="260"/>
      <c r="T1101" s="260"/>
      <c r="U1101" s="260"/>
      <c r="V1101" s="260"/>
      <c r="W1101" s="260"/>
      <c r="X1101" s="260"/>
      <c r="Y1101" s="260"/>
      <c r="Z1101" s="260"/>
      <c r="AA1101" s="260"/>
      <c r="AB1101" s="260"/>
      <c r="AC1101" s="260"/>
      <c r="AD1101" s="260"/>
      <c r="AE1101" s="260"/>
      <c r="AF1101" s="260"/>
      <c r="AG1101" s="258"/>
    </row>
    <row r="1102" spans="13:33" ht="12" hidden="1" customHeight="1">
      <c r="M1102" s="820"/>
      <c r="N1102" s="239"/>
      <c r="O1102" s="225"/>
      <c r="P1102" s="260"/>
      <c r="Q1102" s="258"/>
      <c r="R1102" s="260"/>
      <c r="S1102" s="260"/>
      <c r="T1102" s="260"/>
      <c r="U1102" s="260"/>
      <c r="V1102" s="260"/>
      <c r="W1102" s="260"/>
      <c r="X1102" s="260"/>
      <c r="Y1102" s="260"/>
      <c r="Z1102" s="260"/>
      <c r="AA1102" s="260"/>
      <c r="AB1102" s="260"/>
      <c r="AC1102" s="260"/>
      <c r="AD1102" s="260"/>
      <c r="AE1102" s="260"/>
      <c r="AF1102" s="260"/>
      <c r="AG1102" s="258"/>
    </row>
    <row r="1103" spans="13:33" ht="12" hidden="1" customHeight="1">
      <c r="M1103" s="820"/>
      <c r="N1103" s="239"/>
      <c r="O1103" s="225"/>
      <c r="P1103" s="260"/>
      <c r="Q1103" s="258"/>
      <c r="R1103" s="260"/>
      <c r="S1103" s="260"/>
      <c r="T1103" s="260"/>
      <c r="U1103" s="260"/>
      <c r="V1103" s="260"/>
      <c r="W1103" s="260"/>
      <c r="X1103" s="260"/>
      <c r="Y1103" s="260"/>
      <c r="Z1103" s="260"/>
      <c r="AA1103" s="260"/>
      <c r="AB1103" s="260"/>
      <c r="AC1103" s="260"/>
      <c r="AD1103" s="260"/>
      <c r="AE1103" s="260"/>
      <c r="AF1103" s="260"/>
      <c r="AG1103" s="258"/>
    </row>
    <row r="1104" spans="13:33" ht="12" hidden="1" customHeight="1">
      <c r="M1104" s="820"/>
      <c r="N1104" s="239"/>
      <c r="O1104" s="225"/>
      <c r="P1104" s="260"/>
      <c r="Q1104" s="258"/>
      <c r="R1104" s="260"/>
      <c r="S1104" s="260"/>
      <c r="T1104" s="260"/>
      <c r="U1104" s="260"/>
      <c r="V1104" s="260"/>
      <c r="W1104" s="260"/>
      <c r="X1104" s="260"/>
      <c r="Y1104" s="260"/>
      <c r="Z1104" s="260"/>
      <c r="AA1104" s="260"/>
      <c r="AB1104" s="260"/>
      <c r="AC1104" s="260"/>
      <c r="AD1104" s="260"/>
      <c r="AE1104" s="260"/>
      <c r="AF1104" s="260"/>
      <c r="AG1104" s="258"/>
    </row>
    <row r="1105" spans="13:33" ht="12" hidden="1" customHeight="1">
      <c r="M1105" s="820"/>
      <c r="N1105" s="239"/>
      <c r="O1105" s="225"/>
      <c r="P1105" s="260"/>
      <c r="Q1105" s="258"/>
      <c r="R1105" s="260"/>
      <c r="S1105" s="260"/>
      <c r="T1105" s="260"/>
      <c r="U1105" s="260"/>
      <c r="V1105" s="260"/>
      <c r="W1105" s="260"/>
      <c r="X1105" s="260"/>
      <c r="Y1105" s="260"/>
      <c r="Z1105" s="260"/>
      <c r="AA1105" s="260"/>
      <c r="AB1105" s="260"/>
      <c r="AC1105" s="260"/>
      <c r="AD1105" s="260"/>
      <c r="AE1105" s="260"/>
      <c r="AF1105" s="260"/>
      <c r="AG1105" s="258"/>
    </row>
    <row r="1106" spans="13:33" ht="12" hidden="1" customHeight="1">
      <c r="M1106" s="820"/>
      <c r="N1106" s="239"/>
      <c r="O1106" s="225"/>
      <c r="P1106" s="260"/>
      <c r="Q1106" s="258"/>
      <c r="R1106" s="260"/>
      <c r="S1106" s="260"/>
      <c r="T1106" s="260"/>
      <c r="U1106" s="260"/>
      <c r="V1106" s="260"/>
      <c r="W1106" s="260"/>
      <c r="X1106" s="260"/>
      <c r="Y1106" s="260"/>
      <c r="Z1106" s="260"/>
      <c r="AA1106" s="260"/>
      <c r="AB1106" s="260"/>
      <c r="AC1106" s="260"/>
      <c r="AD1106" s="260"/>
      <c r="AE1106" s="260"/>
      <c r="AF1106" s="260"/>
      <c r="AG1106" s="258"/>
    </row>
    <row r="1107" spans="13:33" ht="12" hidden="1" customHeight="1">
      <c r="M1107" s="820"/>
      <c r="N1107" s="239"/>
      <c r="O1107" s="225"/>
      <c r="P1107" s="260"/>
      <c r="Q1107" s="258"/>
      <c r="R1107" s="260"/>
      <c r="S1107" s="260"/>
      <c r="T1107" s="260"/>
      <c r="U1107" s="260"/>
      <c r="V1107" s="260"/>
      <c r="W1107" s="260"/>
      <c r="X1107" s="260"/>
      <c r="Y1107" s="260"/>
      <c r="Z1107" s="260"/>
      <c r="AA1107" s="260"/>
      <c r="AB1107" s="260"/>
      <c r="AC1107" s="260"/>
      <c r="AD1107" s="260"/>
      <c r="AE1107" s="260"/>
      <c r="AF1107" s="260"/>
      <c r="AG1107" s="258"/>
    </row>
    <row r="1108" spans="13:33" ht="12" hidden="1" customHeight="1">
      <c r="M1108" s="820"/>
      <c r="N1108" s="239"/>
      <c r="O1108" s="225"/>
      <c r="P1108" s="260"/>
      <c r="Q1108" s="258"/>
      <c r="R1108" s="260"/>
      <c r="S1108" s="260"/>
      <c r="T1108" s="260"/>
      <c r="U1108" s="260"/>
      <c r="V1108" s="260"/>
      <c r="W1108" s="260"/>
      <c r="X1108" s="260"/>
      <c r="Y1108" s="260"/>
      <c r="Z1108" s="260"/>
      <c r="AA1108" s="260"/>
      <c r="AB1108" s="260"/>
      <c r="AC1108" s="260"/>
      <c r="AD1108" s="260"/>
      <c r="AE1108" s="260"/>
      <c r="AF1108" s="260"/>
      <c r="AG1108" s="258"/>
    </row>
    <row r="1109" spans="13:33" ht="12" hidden="1" customHeight="1">
      <c r="M1109" s="820"/>
      <c r="N1109" s="239"/>
      <c r="O1109" s="225"/>
      <c r="P1109" s="260"/>
      <c r="Q1109" s="258"/>
      <c r="R1109" s="260"/>
      <c r="S1109" s="260"/>
      <c r="T1109" s="260"/>
      <c r="U1109" s="260"/>
      <c r="V1109" s="260"/>
      <c r="W1109" s="260"/>
      <c r="X1109" s="260"/>
      <c r="Y1109" s="260"/>
      <c r="Z1109" s="260"/>
      <c r="AA1109" s="260"/>
      <c r="AB1109" s="260"/>
      <c r="AC1109" s="260"/>
      <c r="AD1109" s="260"/>
      <c r="AE1109" s="260"/>
      <c r="AF1109" s="260"/>
      <c r="AG1109" s="258"/>
    </row>
    <row r="1110" spans="13:33" ht="12" hidden="1" customHeight="1">
      <c r="M1110" s="820"/>
      <c r="N1110" s="239"/>
      <c r="O1110" s="225"/>
      <c r="P1110" s="260"/>
      <c r="Q1110" s="258"/>
      <c r="R1110" s="260"/>
      <c r="S1110" s="260"/>
      <c r="T1110" s="260"/>
      <c r="U1110" s="260"/>
      <c r="V1110" s="260"/>
      <c r="W1110" s="260"/>
      <c r="X1110" s="260"/>
      <c r="Y1110" s="260"/>
      <c r="Z1110" s="260"/>
      <c r="AA1110" s="260"/>
      <c r="AB1110" s="260"/>
      <c r="AC1110" s="260"/>
      <c r="AD1110" s="260"/>
      <c r="AE1110" s="260"/>
      <c r="AF1110" s="260"/>
      <c r="AG1110" s="258"/>
    </row>
    <row r="1111" spans="13:33" ht="12" hidden="1" customHeight="1">
      <c r="M1111" s="820"/>
      <c r="N1111" s="239"/>
      <c r="O1111" s="225"/>
      <c r="P1111" s="260"/>
      <c r="Q1111" s="258"/>
      <c r="R1111" s="260"/>
      <c r="S1111" s="260"/>
      <c r="T1111" s="260"/>
      <c r="U1111" s="260"/>
      <c r="V1111" s="260"/>
      <c r="W1111" s="260"/>
      <c r="X1111" s="260"/>
      <c r="Y1111" s="260"/>
      <c r="Z1111" s="260"/>
      <c r="AA1111" s="260"/>
      <c r="AB1111" s="260"/>
      <c r="AC1111" s="260"/>
      <c r="AD1111" s="260"/>
      <c r="AE1111" s="260"/>
      <c r="AF1111" s="260"/>
      <c r="AG1111" s="258"/>
    </row>
    <row r="1112" spans="13:33" ht="12" hidden="1" customHeight="1">
      <c r="M1112" s="820"/>
      <c r="N1112" s="239"/>
      <c r="O1112" s="225"/>
      <c r="P1112" s="260"/>
      <c r="Q1112" s="258"/>
      <c r="R1112" s="260"/>
      <c r="S1112" s="260"/>
      <c r="T1112" s="260"/>
      <c r="U1112" s="260"/>
      <c r="V1112" s="260"/>
      <c r="W1112" s="260"/>
      <c r="X1112" s="260"/>
      <c r="Y1112" s="260"/>
      <c r="Z1112" s="260"/>
      <c r="AA1112" s="260"/>
      <c r="AB1112" s="260"/>
      <c r="AC1112" s="260"/>
      <c r="AD1112" s="260"/>
      <c r="AE1112" s="260"/>
      <c r="AF1112" s="260"/>
      <c r="AG1112" s="258"/>
    </row>
    <row r="1113" spans="13:33" ht="12" hidden="1" customHeight="1">
      <c r="M1113" s="820"/>
      <c r="N1113" s="239"/>
      <c r="O1113" s="225"/>
      <c r="P1113" s="260"/>
      <c r="Q1113" s="258"/>
      <c r="R1113" s="260"/>
      <c r="S1113" s="260"/>
      <c r="T1113" s="260"/>
      <c r="U1113" s="260"/>
      <c r="V1113" s="260"/>
      <c r="W1113" s="260"/>
      <c r="X1113" s="260"/>
      <c r="Y1113" s="260"/>
      <c r="Z1113" s="260"/>
      <c r="AA1113" s="260"/>
      <c r="AB1113" s="260"/>
      <c r="AC1113" s="260"/>
      <c r="AD1113" s="260"/>
      <c r="AE1113" s="260"/>
      <c r="AF1113" s="260"/>
      <c r="AG1113" s="258"/>
    </row>
    <row r="1114" spans="13:33" ht="12" hidden="1" customHeight="1">
      <c r="M1114" s="820"/>
      <c r="N1114" s="239"/>
      <c r="O1114" s="225"/>
      <c r="P1114" s="260"/>
      <c r="Q1114" s="258"/>
      <c r="R1114" s="260"/>
      <c r="S1114" s="260"/>
      <c r="T1114" s="260"/>
      <c r="U1114" s="260"/>
      <c r="V1114" s="260"/>
      <c r="W1114" s="260"/>
      <c r="X1114" s="260"/>
      <c r="Y1114" s="260"/>
      <c r="Z1114" s="260"/>
      <c r="AA1114" s="260"/>
      <c r="AB1114" s="260"/>
      <c r="AC1114" s="260"/>
      <c r="AD1114" s="260"/>
      <c r="AE1114" s="260"/>
      <c r="AF1114" s="260"/>
      <c r="AG1114" s="258"/>
    </row>
    <row r="1115" spans="13:33" ht="12" hidden="1" customHeight="1">
      <c r="M1115" s="820"/>
      <c r="N1115" s="239"/>
      <c r="O1115" s="225"/>
      <c r="P1115" s="260"/>
      <c r="Q1115" s="258"/>
      <c r="R1115" s="260"/>
      <c r="S1115" s="260"/>
      <c r="T1115" s="260"/>
      <c r="U1115" s="260"/>
      <c r="V1115" s="260"/>
      <c r="W1115" s="260"/>
      <c r="X1115" s="260"/>
      <c r="Y1115" s="260"/>
      <c r="Z1115" s="260"/>
      <c r="AA1115" s="260"/>
      <c r="AB1115" s="260"/>
      <c r="AC1115" s="260"/>
      <c r="AD1115" s="260"/>
      <c r="AE1115" s="260"/>
      <c r="AF1115" s="260"/>
      <c r="AG1115" s="258"/>
    </row>
    <row r="1116" spans="13:33" ht="12" hidden="1" customHeight="1">
      <c r="M1116" s="820"/>
      <c r="N1116" s="239"/>
      <c r="O1116" s="225"/>
      <c r="P1116" s="260"/>
      <c r="Q1116" s="258"/>
      <c r="R1116" s="260"/>
      <c r="S1116" s="260"/>
      <c r="T1116" s="260"/>
      <c r="U1116" s="260"/>
      <c r="V1116" s="260"/>
      <c r="W1116" s="260"/>
      <c r="X1116" s="260"/>
      <c r="Y1116" s="260"/>
      <c r="Z1116" s="260"/>
      <c r="AA1116" s="260"/>
      <c r="AB1116" s="260"/>
      <c r="AC1116" s="260"/>
      <c r="AD1116" s="260"/>
      <c r="AE1116" s="260"/>
      <c r="AF1116" s="260"/>
      <c r="AG1116" s="258"/>
    </row>
    <row r="1117" spans="13:33" ht="12" hidden="1" customHeight="1">
      <c r="M1117" s="820"/>
      <c r="N1117" s="239"/>
      <c r="O1117" s="225"/>
      <c r="P1117" s="260"/>
      <c r="Q1117" s="258"/>
      <c r="R1117" s="260"/>
      <c r="S1117" s="260"/>
      <c r="T1117" s="260"/>
      <c r="U1117" s="260"/>
      <c r="V1117" s="260"/>
      <c r="W1117" s="260"/>
      <c r="X1117" s="260"/>
      <c r="Y1117" s="260"/>
      <c r="Z1117" s="260"/>
      <c r="AA1117" s="260"/>
      <c r="AB1117" s="260"/>
      <c r="AC1117" s="260"/>
      <c r="AD1117" s="260"/>
      <c r="AE1117" s="260"/>
      <c r="AF1117" s="260"/>
      <c r="AG1117" s="258"/>
    </row>
    <row r="1118" spans="13:33" ht="12" hidden="1" customHeight="1">
      <c r="M1118" s="820"/>
      <c r="N1118" s="239"/>
      <c r="O1118" s="225"/>
      <c r="P1118" s="260"/>
      <c r="Q1118" s="258"/>
      <c r="R1118" s="260"/>
      <c r="S1118" s="260"/>
      <c r="T1118" s="260"/>
      <c r="U1118" s="260"/>
      <c r="V1118" s="260"/>
      <c r="W1118" s="260"/>
      <c r="X1118" s="260"/>
      <c r="Y1118" s="260"/>
      <c r="Z1118" s="260"/>
      <c r="AA1118" s="260"/>
      <c r="AB1118" s="260"/>
      <c r="AC1118" s="260"/>
      <c r="AD1118" s="260"/>
      <c r="AE1118" s="260"/>
      <c r="AF1118" s="260"/>
      <c r="AG1118" s="258"/>
    </row>
    <row r="1119" spans="13:33" ht="12" hidden="1" customHeight="1">
      <c r="M1119" s="820"/>
      <c r="N1119" s="239"/>
      <c r="O1119" s="225"/>
      <c r="P1119" s="260"/>
      <c r="Q1119" s="258"/>
      <c r="R1119" s="260"/>
      <c r="S1119" s="260"/>
      <c r="T1119" s="260"/>
      <c r="U1119" s="260"/>
      <c r="V1119" s="260"/>
      <c r="W1119" s="260"/>
      <c r="X1119" s="260"/>
      <c r="Y1119" s="260"/>
      <c r="Z1119" s="260"/>
      <c r="AA1119" s="260"/>
      <c r="AB1119" s="260"/>
      <c r="AC1119" s="260"/>
      <c r="AD1119" s="260"/>
      <c r="AE1119" s="260"/>
      <c r="AF1119" s="260"/>
      <c r="AG1119" s="258"/>
    </row>
    <row r="1120" spans="13:33" ht="12" hidden="1" customHeight="1">
      <c r="M1120" s="820"/>
      <c r="N1120" s="239"/>
      <c r="O1120" s="225"/>
      <c r="P1120" s="260"/>
      <c r="Q1120" s="258"/>
      <c r="R1120" s="260"/>
      <c r="S1120" s="260"/>
      <c r="T1120" s="260"/>
      <c r="U1120" s="260"/>
      <c r="V1120" s="260"/>
      <c r="W1120" s="260"/>
      <c r="X1120" s="260"/>
      <c r="Y1120" s="260"/>
      <c r="Z1120" s="260"/>
      <c r="AA1120" s="260"/>
      <c r="AB1120" s="260"/>
      <c r="AC1120" s="260"/>
      <c r="AD1120" s="260"/>
      <c r="AE1120" s="260"/>
      <c r="AF1120" s="260"/>
      <c r="AG1120" s="258"/>
    </row>
    <row r="1121" spans="13:33" ht="12" hidden="1" customHeight="1">
      <c r="M1121" s="820"/>
      <c r="N1121" s="239"/>
      <c r="O1121" s="225"/>
      <c r="P1121" s="260"/>
      <c r="Q1121" s="258"/>
      <c r="R1121" s="260"/>
      <c r="S1121" s="260"/>
      <c r="T1121" s="260"/>
      <c r="U1121" s="260"/>
      <c r="V1121" s="260"/>
      <c r="W1121" s="260"/>
      <c r="X1121" s="260"/>
      <c r="Y1121" s="260"/>
      <c r="Z1121" s="260"/>
      <c r="AA1121" s="260"/>
      <c r="AB1121" s="260"/>
      <c r="AC1121" s="260"/>
      <c r="AD1121" s="260"/>
      <c r="AE1121" s="260"/>
      <c r="AF1121" s="260"/>
      <c r="AG1121" s="258"/>
    </row>
    <row r="1122" spans="13:33" ht="12" hidden="1" customHeight="1">
      <c r="M1122" s="820"/>
      <c r="N1122" s="239"/>
      <c r="O1122" s="225"/>
      <c r="P1122" s="260"/>
      <c r="Q1122" s="258"/>
      <c r="R1122" s="260"/>
      <c r="S1122" s="260"/>
      <c r="T1122" s="260"/>
      <c r="U1122" s="260"/>
      <c r="V1122" s="260"/>
      <c r="W1122" s="260"/>
      <c r="X1122" s="260"/>
      <c r="Y1122" s="260"/>
      <c r="Z1122" s="260"/>
      <c r="AA1122" s="260"/>
      <c r="AB1122" s="260"/>
      <c r="AC1122" s="260"/>
      <c r="AD1122" s="260"/>
      <c r="AE1122" s="260"/>
      <c r="AF1122" s="260"/>
      <c r="AG1122" s="258"/>
    </row>
    <row r="1123" spans="13:33" ht="12" hidden="1" customHeight="1">
      <c r="M1123" s="820"/>
      <c r="N1123" s="239"/>
      <c r="O1123" s="225"/>
      <c r="P1123" s="260"/>
      <c r="Q1123" s="258"/>
      <c r="R1123" s="260"/>
      <c r="S1123" s="260"/>
      <c r="T1123" s="260"/>
      <c r="U1123" s="260"/>
      <c r="V1123" s="260"/>
      <c r="W1123" s="260"/>
      <c r="X1123" s="260"/>
      <c r="Y1123" s="260"/>
      <c r="Z1123" s="260"/>
      <c r="AA1123" s="260"/>
      <c r="AB1123" s="260"/>
      <c r="AC1123" s="260"/>
      <c r="AD1123" s="260"/>
      <c r="AE1123" s="260"/>
      <c r="AF1123" s="260"/>
      <c r="AG1123" s="258"/>
    </row>
    <row r="1124" spans="13:33" ht="12" hidden="1" customHeight="1">
      <c r="M1124" s="820"/>
      <c r="N1124" s="239"/>
      <c r="O1124" s="225"/>
      <c r="P1124" s="260"/>
      <c r="Q1124" s="258"/>
      <c r="R1124" s="260"/>
      <c r="S1124" s="260"/>
      <c r="T1124" s="260"/>
      <c r="U1124" s="260"/>
      <c r="V1124" s="260"/>
      <c r="W1124" s="260"/>
      <c r="X1124" s="260"/>
      <c r="Y1124" s="260"/>
      <c r="Z1124" s="260"/>
      <c r="AA1124" s="260"/>
      <c r="AB1124" s="260"/>
      <c r="AC1124" s="260"/>
      <c r="AD1124" s="260"/>
      <c r="AE1124" s="260"/>
      <c r="AF1124" s="260"/>
      <c r="AG1124" s="258"/>
    </row>
    <row r="1125" spans="13:33" ht="12" hidden="1" customHeight="1">
      <c r="M1125" s="820"/>
      <c r="N1125" s="239"/>
      <c r="O1125" s="225"/>
      <c r="P1125" s="260"/>
      <c r="Q1125" s="258"/>
      <c r="R1125" s="260"/>
      <c r="S1125" s="260"/>
      <c r="T1125" s="260"/>
      <c r="U1125" s="260"/>
      <c r="V1125" s="260"/>
      <c r="W1125" s="260"/>
      <c r="X1125" s="260"/>
      <c r="Y1125" s="260"/>
      <c r="Z1125" s="260"/>
      <c r="AA1125" s="260"/>
      <c r="AB1125" s="260"/>
      <c r="AC1125" s="260"/>
      <c r="AD1125" s="260"/>
      <c r="AE1125" s="260"/>
      <c r="AF1125" s="260"/>
      <c r="AG1125" s="258"/>
    </row>
    <row r="1126" spans="13:33" ht="12" hidden="1" customHeight="1">
      <c r="M1126" s="820"/>
      <c r="N1126" s="239"/>
      <c r="O1126" s="225"/>
      <c r="P1126" s="260"/>
      <c r="Q1126" s="258"/>
      <c r="R1126" s="260"/>
      <c r="S1126" s="260"/>
      <c r="T1126" s="260"/>
      <c r="U1126" s="260"/>
      <c r="V1126" s="260"/>
      <c r="W1126" s="260"/>
      <c r="X1126" s="260"/>
      <c r="Y1126" s="260"/>
      <c r="Z1126" s="260"/>
      <c r="AA1126" s="260"/>
      <c r="AB1126" s="260"/>
      <c r="AC1126" s="260"/>
      <c r="AD1126" s="260"/>
      <c r="AE1126" s="260"/>
      <c r="AF1126" s="260"/>
      <c r="AG1126" s="258"/>
    </row>
    <row r="1127" spans="13:33" ht="12" hidden="1" customHeight="1">
      <c r="M1127" s="820"/>
      <c r="N1127" s="239"/>
      <c r="O1127" s="225"/>
      <c r="P1127" s="260"/>
      <c r="Q1127" s="258"/>
      <c r="R1127" s="260"/>
      <c r="S1127" s="260"/>
      <c r="T1127" s="260"/>
      <c r="U1127" s="260"/>
      <c r="V1127" s="260"/>
      <c r="W1127" s="260"/>
      <c r="X1127" s="260"/>
      <c r="Y1127" s="260"/>
      <c r="Z1127" s="260"/>
      <c r="AA1127" s="260"/>
      <c r="AB1127" s="260"/>
      <c r="AC1127" s="260"/>
      <c r="AD1127" s="260"/>
      <c r="AE1127" s="260"/>
      <c r="AF1127" s="260"/>
      <c r="AG1127" s="258"/>
    </row>
    <row r="1128" spans="13:33" ht="12" hidden="1" customHeight="1">
      <c r="M1128" s="820"/>
      <c r="N1128" s="239"/>
      <c r="O1128" s="225"/>
      <c r="P1128" s="260"/>
      <c r="Q1128" s="258"/>
      <c r="R1128" s="260"/>
      <c r="S1128" s="260"/>
      <c r="T1128" s="260"/>
      <c r="U1128" s="260"/>
      <c r="V1128" s="260"/>
      <c r="W1128" s="260"/>
      <c r="X1128" s="260"/>
      <c r="Y1128" s="260"/>
      <c r="Z1128" s="260"/>
      <c r="AA1128" s="260"/>
      <c r="AB1128" s="260"/>
      <c r="AC1128" s="260"/>
      <c r="AD1128" s="260"/>
      <c r="AE1128" s="260"/>
      <c r="AF1128" s="260"/>
      <c r="AG1128" s="258"/>
    </row>
    <row r="1129" spans="13:33" ht="12" hidden="1" customHeight="1">
      <c r="M1129" s="820"/>
      <c r="N1129" s="239"/>
      <c r="O1129" s="225"/>
      <c r="P1129" s="260"/>
      <c r="Q1129" s="258"/>
      <c r="R1129" s="260"/>
      <c r="S1129" s="260"/>
      <c r="T1129" s="260"/>
      <c r="U1129" s="260"/>
      <c r="V1129" s="260"/>
      <c r="W1129" s="260"/>
      <c r="X1129" s="260"/>
      <c r="Y1129" s="260"/>
      <c r="Z1129" s="260"/>
      <c r="AA1129" s="260"/>
      <c r="AB1129" s="260"/>
      <c r="AC1129" s="260"/>
      <c r="AD1129" s="260"/>
      <c r="AE1129" s="260"/>
      <c r="AF1129" s="260"/>
      <c r="AG1129" s="258"/>
    </row>
    <row r="1130" spans="13:33" ht="12" hidden="1" customHeight="1">
      <c r="M1130" s="820"/>
      <c r="N1130" s="239"/>
      <c r="O1130" s="225"/>
      <c r="P1130" s="260"/>
      <c r="Q1130" s="258"/>
      <c r="R1130" s="260"/>
      <c r="S1130" s="260"/>
      <c r="T1130" s="260"/>
      <c r="U1130" s="260"/>
      <c r="V1130" s="260"/>
      <c r="W1130" s="260"/>
      <c r="X1130" s="260"/>
      <c r="Y1130" s="260"/>
      <c r="Z1130" s="260"/>
      <c r="AA1130" s="260"/>
      <c r="AB1130" s="260"/>
      <c r="AC1130" s="260"/>
      <c r="AD1130" s="260"/>
      <c r="AE1130" s="260"/>
      <c r="AF1130" s="260"/>
      <c r="AG1130" s="258"/>
    </row>
    <row r="1131" spans="13:33" ht="12" hidden="1" customHeight="1">
      <c r="M1131" s="820"/>
      <c r="N1131" s="239"/>
      <c r="O1131" s="225"/>
      <c r="P1131" s="260"/>
      <c r="Q1131" s="258"/>
      <c r="R1131" s="260"/>
      <c r="S1131" s="260"/>
      <c r="T1131" s="260"/>
      <c r="U1131" s="260"/>
      <c r="V1131" s="260"/>
      <c r="W1131" s="260"/>
      <c r="X1131" s="260"/>
      <c r="Y1131" s="260"/>
      <c r="Z1131" s="260"/>
      <c r="AA1131" s="260"/>
      <c r="AB1131" s="260"/>
      <c r="AC1131" s="260"/>
      <c r="AD1131" s="260"/>
      <c r="AE1131" s="260"/>
      <c r="AF1131" s="260"/>
      <c r="AG1131" s="258"/>
    </row>
    <row r="1132" spans="13:33" ht="12" hidden="1" customHeight="1">
      <c r="M1132" s="820"/>
      <c r="N1132" s="239"/>
      <c r="O1132" s="225"/>
      <c r="P1132" s="260"/>
      <c r="Q1132" s="258"/>
      <c r="R1132" s="260"/>
      <c r="S1132" s="260"/>
      <c r="T1132" s="260"/>
      <c r="U1132" s="260"/>
      <c r="V1132" s="260"/>
      <c r="W1132" s="260"/>
      <c r="X1132" s="260"/>
      <c r="Y1132" s="260"/>
      <c r="Z1132" s="260"/>
      <c r="AA1132" s="260"/>
      <c r="AB1132" s="260"/>
      <c r="AC1132" s="260"/>
      <c r="AD1132" s="260"/>
      <c r="AE1132" s="260"/>
      <c r="AF1132" s="260"/>
      <c r="AG1132" s="258"/>
    </row>
    <row r="1133" spans="13:33" ht="12" hidden="1" customHeight="1">
      <c r="M1133" s="820"/>
      <c r="N1133" s="239"/>
      <c r="O1133" s="225"/>
      <c r="P1133" s="260"/>
      <c r="Q1133" s="258"/>
      <c r="R1133" s="260"/>
      <c r="S1133" s="260"/>
      <c r="T1133" s="260"/>
      <c r="U1133" s="260"/>
      <c r="V1133" s="260"/>
      <c r="W1133" s="260"/>
      <c r="X1133" s="260"/>
      <c r="Y1133" s="260"/>
      <c r="Z1133" s="260"/>
      <c r="AA1133" s="260"/>
      <c r="AB1133" s="260"/>
      <c r="AC1133" s="260"/>
      <c r="AD1133" s="260"/>
      <c r="AE1133" s="260"/>
      <c r="AF1133" s="260"/>
      <c r="AG1133" s="258"/>
    </row>
    <row r="1134" spans="13:33" ht="12" hidden="1" customHeight="1">
      <c r="M1134" s="820"/>
      <c r="N1134" s="239"/>
      <c r="O1134" s="225"/>
      <c r="P1134" s="260"/>
      <c r="Q1134" s="258"/>
      <c r="R1134" s="260"/>
      <c r="S1134" s="260"/>
      <c r="T1134" s="260"/>
      <c r="U1134" s="260"/>
      <c r="V1134" s="260"/>
      <c r="W1134" s="260"/>
      <c r="X1134" s="260"/>
      <c r="Y1134" s="260"/>
      <c r="Z1134" s="260"/>
      <c r="AA1134" s="260"/>
      <c r="AB1134" s="260"/>
      <c r="AC1134" s="260"/>
      <c r="AD1134" s="260"/>
      <c r="AE1134" s="260"/>
      <c r="AF1134" s="260"/>
      <c r="AG1134" s="258"/>
    </row>
    <row r="1135" spans="13:33" ht="12" hidden="1" customHeight="1">
      <c r="M1135" s="820"/>
      <c r="N1135" s="239"/>
      <c r="O1135" s="225"/>
      <c r="P1135" s="260"/>
      <c r="Q1135" s="258"/>
      <c r="R1135" s="260"/>
      <c r="S1135" s="260"/>
      <c r="T1135" s="260"/>
      <c r="U1135" s="260"/>
      <c r="V1135" s="260"/>
      <c r="W1135" s="260"/>
      <c r="X1135" s="260"/>
      <c r="Y1135" s="260"/>
      <c r="Z1135" s="260"/>
      <c r="AA1135" s="260"/>
      <c r="AB1135" s="260"/>
      <c r="AC1135" s="260"/>
      <c r="AD1135" s="260"/>
      <c r="AE1135" s="260"/>
      <c r="AF1135" s="260"/>
      <c r="AG1135" s="258"/>
    </row>
    <row r="1136" spans="13:33" ht="12" hidden="1" customHeight="1">
      <c r="M1136" s="820"/>
      <c r="N1136" s="239"/>
      <c r="O1136" s="225"/>
      <c r="P1136" s="260"/>
      <c r="Q1136" s="258"/>
      <c r="R1136" s="260"/>
      <c r="S1136" s="260"/>
      <c r="T1136" s="260"/>
      <c r="U1136" s="260"/>
      <c r="V1136" s="260"/>
      <c r="W1136" s="260"/>
      <c r="X1136" s="260"/>
      <c r="Y1136" s="260"/>
      <c r="Z1136" s="260"/>
      <c r="AA1136" s="260"/>
      <c r="AB1136" s="260"/>
      <c r="AC1136" s="260"/>
      <c r="AD1136" s="260"/>
      <c r="AE1136" s="260"/>
      <c r="AF1136" s="260"/>
      <c r="AG1136" s="258"/>
    </row>
    <row r="1137" spans="13:33" ht="12" hidden="1" customHeight="1">
      <c r="M1137" s="820"/>
      <c r="N1137" s="239"/>
      <c r="O1137" s="225"/>
      <c r="P1137" s="260"/>
      <c r="Q1137" s="258"/>
      <c r="R1137" s="260"/>
      <c r="S1137" s="260"/>
      <c r="T1137" s="260"/>
      <c r="U1137" s="260"/>
      <c r="V1137" s="260"/>
      <c r="W1137" s="260"/>
      <c r="X1137" s="260"/>
      <c r="Y1137" s="260"/>
      <c r="Z1137" s="260"/>
      <c r="AA1137" s="260"/>
      <c r="AB1137" s="260"/>
      <c r="AC1137" s="260"/>
      <c r="AD1137" s="260"/>
      <c r="AE1137" s="260"/>
      <c r="AF1137" s="260"/>
      <c r="AG1137" s="258"/>
    </row>
    <row r="1138" spans="13:33" ht="12" hidden="1" customHeight="1">
      <c r="M1138" s="820"/>
      <c r="N1138" s="239"/>
      <c r="O1138" s="225"/>
      <c r="P1138" s="260"/>
      <c r="Q1138" s="258"/>
      <c r="R1138" s="260"/>
      <c r="S1138" s="260"/>
      <c r="T1138" s="260"/>
      <c r="U1138" s="260"/>
      <c r="V1138" s="260"/>
      <c r="W1138" s="260"/>
      <c r="X1138" s="260"/>
      <c r="Y1138" s="260"/>
      <c r="Z1138" s="260"/>
      <c r="AA1138" s="260"/>
      <c r="AB1138" s="260"/>
      <c r="AC1138" s="260"/>
      <c r="AD1138" s="260"/>
      <c r="AE1138" s="260"/>
      <c r="AF1138" s="260"/>
      <c r="AG1138" s="258"/>
    </row>
    <row r="1139" spans="13:33" ht="12" hidden="1" customHeight="1">
      <c r="M1139" s="820"/>
      <c r="N1139" s="239"/>
      <c r="O1139" s="225"/>
      <c r="P1139" s="260"/>
      <c r="Q1139" s="258"/>
      <c r="R1139" s="260"/>
      <c r="S1139" s="260"/>
      <c r="T1139" s="260"/>
      <c r="U1139" s="260"/>
      <c r="V1139" s="260"/>
      <c r="W1139" s="260"/>
      <c r="X1139" s="260"/>
      <c r="Y1139" s="260"/>
      <c r="Z1139" s="260"/>
      <c r="AA1139" s="260"/>
      <c r="AB1139" s="260"/>
      <c r="AC1139" s="260"/>
      <c r="AD1139" s="260"/>
      <c r="AE1139" s="260"/>
      <c r="AF1139" s="260"/>
      <c r="AG1139" s="258"/>
    </row>
    <row r="1140" spans="13:33" ht="12" hidden="1" customHeight="1">
      <c r="M1140" s="820"/>
      <c r="N1140" s="239"/>
      <c r="O1140" s="225"/>
      <c r="P1140" s="260"/>
      <c r="Q1140" s="258"/>
      <c r="R1140" s="260"/>
      <c r="S1140" s="260"/>
      <c r="T1140" s="260"/>
      <c r="U1140" s="260"/>
      <c r="V1140" s="260"/>
      <c r="W1140" s="260"/>
      <c r="X1140" s="260"/>
      <c r="Y1140" s="260"/>
      <c r="Z1140" s="260"/>
      <c r="AA1140" s="260"/>
      <c r="AB1140" s="260"/>
      <c r="AC1140" s="260"/>
      <c r="AD1140" s="260"/>
      <c r="AE1140" s="260"/>
      <c r="AF1140" s="260"/>
      <c r="AG1140" s="258"/>
    </row>
    <row r="1141" spans="13:33" ht="12" hidden="1" customHeight="1">
      <c r="M1141" s="820"/>
      <c r="N1141" s="239"/>
      <c r="O1141" s="225"/>
      <c r="P1141" s="260"/>
      <c r="Q1141" s="258"/>
      <c r="R1141" s="260"/>
      <c r="S1141" s="260"/>
      <c r="T1141" s="260"/>
      <c r="U1141" s="260"/>
      <c r="V1141" s="260"/>
      <c r="W1141" s="260"/>
      <c r="X1141" s="260"/>
      <c r="Y1141" s="260"/>
      <c r="Z1141" s="260"/>
      <c r="AA1141" s="260"/>
      <c r="AB1141" s="260"/>
      <c r="AC1141" s="260"/>
      <c r="AD1141" s="260"/>
      <c r="AE1141" s="260"/>
      <c r="AF1141" s="260"/>
      <c r="AG1141" s="258"/>
    </row>
    <row r="1142" spans="13:33" ht="12" hidden="1" customHeight="1">
      <c r="M1142" s="820"/>
      <c r="N1142" s="239"/>
      <c r="O1142" s="225"/>
      <c r="P1142" s="260"/>
      <c r="Q1142" s="258"/>
      <c r="R1142" s="260"/>
      <c r="S1142" s="260"/>
      <c r="T1142" s="260"/>
      <c r="U1142" s="260"/>
      <c r="V1142" s="260"/>
      <c r="W1142" s="260"/>
      <c r="X1142" s="260"/>
      <c r="Y1142" s="260"/>
      <c r="Z1142" s="260"/>
      <c r="AA1142" s="260"/>
      <c r="AB1142" s="260"/>
      <c r="AC1142" s="260"/>
      <c r="AD1142" s="260"/>
      <c r="AE1142" s="260"/>
      <c r="AF1142" s="260"/>
      <c r="AG1142" s="258"/>
    </row>
    <row r="1143" spans="13:33" ht="12" hidden="1" customHeight="1">
      <c r="M1143" s="820"/>
      <c r="N1143" s="239"/>
      <c r="O1143" s="225"/>
      <c r="P1143" s="260"/>
      <c r="Q1143" s="258"/>
      <c r="R1143" s="260"/>
      <c r="S1143" s="260"/>
      <c r="T1143" s="260"/>
      <c r="U1143" s="260"/>
      <c r="V1143" s="260"/>
      <c r="W1143" s="260"/>
      <c r="X1143" s="260"/>
      <c r="Y1143" s="260"/>
      <c r="Z1143" s="260"/>
      <c r="AA1143" s="260"/>
      <c r="AB1143" s="260"/>
      <c r="AC1143" s="260"/>
      <c r="AD1143" s="260"/>
      <c r="AE1143" s="260"/>
      <c r="AF1143" s="260"/>
      <c r="AG1143" s="258"/>
    </row>
    <row r="1144" spans="13:33" ht="12" hidden="1" customHeight="1">
      <c r="M1144" s="820"/>
      <c r="N1144" s="239"/>
      <c r="O1144" s="225"/>
      <c r="P1144" s="260"/>
      <c r="Q1144" s="258"/>
      <c r="R1144" s="260"/>
      <c r="S1144" s="260"/>
      <c r="T1144" s="260"/>
      <c r="U1144" s="260"/>
      <c r="V1144" s="260"/>
      <c r="W1144" s="260"/>
      <c r="X1144" s="260"/>
      <c r="Y1144" s="260"/>
      <c r="Z1144" s="260"/>
      <c r="AA1144" s="260"/>
      <c r="AB1144" s="260"/>
      <c r="AC1144" s="260"/>
      <c r="AD1144" s="260"/>
      <c r="AE1144" s="260"/>
      <c r="AF1144" s="260"/>
      <c r="AG1144" s="258"/>
    </row>
    <row r="1145" spans="13:33" ht="12" hidden="1" customHeight="1">
      <c r="M1145" s="820"/>
      <c r="N1145" s="239"/>
      <c r="O1145" s="225"/>
      <c r="P1145" s="260"/>
      <c r="Q1145" s="258"/>
      <c r="R1145" s="260"/>
      <c r="S1145" s="260"/>
      <c r="T1145" s="260"/>
      <c r="U1145" s="260"/>
      <c r="V1145" s="260"/>
      <c r="W1145" s="260"/>
      <c r="X1145" s="260"/>
      <c r="Y1145" s="260"/>
      <c r="Z1145" s="260"/>
      <c r="AA1145" s="260"/>
      <c r="AB1145" s="260"/>
      <c r="AC1145" s="260"/>
      <c r="AD1145" s="260"/>
      <c r="AE1145" s="260"/>
      <c r="AF1145" s="260"/>
      <c r="AG1145" s="258"/>
    </row>
    <row r="1146" spans="13:33" ht="12" hidden="1" customHeight="1">
      <c r="M1146" s="820"/>
      <c r="N1146" s="239"/>
      <c r="O1146" s="225"/>
      <c r="P1146" s="260"/>
      <c r="Q1146" s="258"/>
      <c r="R1146" s="260"/>
      <c r="S1146" s="260"/>
      <c r="T1146" s="260"/>
      <c r="U1146" s="260"/>
      <c r="V1146" s="260"/>
      <c r="W1146" s="260"/>
      <c r="X1146" s="260"/>
      <c r="Y1146" s="260"/>
      <c r="Z1146" s="260"/>
      <c r="AA1146" s="260"/>
      <c r="AB1146" s="260"/>
      <c r="AC1146" s="260"/>
      <c r="AD1146" s="260"/>
      <c r="AE1146" s="260"/>
      <c r="AF1146" s="260"/>
      <c r="AG1146" s="258"/>
    </row>
    <row r="1147" spans="13:33" ht="12" hidden="1" customHeight="1">
      <c r="M1147" s="820"/>
      <c r="N1147" s="239"/>
      <c r="O1147" s="225"/>
      <c r="P1147" s="260"/>
      <c r="Q1147" s="258"/>
      <c r="R1147" s="260"/>
      <c r="S1147" s="260"/>
      <c r="T1147" s="260"/>
      <c r="U1147" s="260"/>
      <c r="V1147" s="260"/>
      <c r="W1147" s="260"/>
      <c r="X1147" s="260"/>
      <c r="Y1147" s="260"/>
      <c r="Z1147" s="260"/>
      <c r="AA1147" s="260"/>
      <c r="AB1147" s="260"/>
      <c r="AC1147" s="260"/>
      <c r="AD1147" s="260"/>
      <c r="AE1147" s="260"/>
      <c r="AF1147" s="260"/>
      <c r="AG1147" s="258"/>
    </row>
    <row r="1148" spans="13:33" ht="12" hidden="1" customHeight="1">
      <c r="M1148" s="820"/>
      <c r="N1148" s="239"/>
      <c r="O1148" s="225"/>
      <c r="P1148" s="260"/>
      <c r="Q1148" s="258"/>
      <c r="R1148" s="260"/>
      <c r="S1148" s="260"/>
      <c r="T1148" s="260"/>
      <c r="U1148" s="260"/>
      <c r="V1148" s="260"/>
      <c r="W1148" s="260"/>
      <c r="X1148" s="260"/>
      <c r="Y1148" s="260"/>
      <c r="Z1148" s="260"/>
      <c r="AA1148" s="260"/>
      <c r="AB1148" s="260"/>
      <c r="AC1148" s="260"/>
      <c r="AD1148" s="260"/>
      <c r="AE1148" s="260"/>
      <c r="AF1148" s="260"/>
      <c r="AG1148" s="258"/>
    </row>
    <row r="1149" spans="13:33" ht="12" hidden="1" customHeight="1">
      <c r="M1149" s="820"/>
      <c r="N1149" s="239"/>
      <c r="O1149" s="225"/>
      <c r="P1149" s="260"/>
      <c r="Q1149" s="258"/>
      <c r="R1149" s="260"/>
      <c r="S1149" s="260"/>
      <c r="T1149" s="260"/>
      <c r="U1149" s="260"/>
      <c r="V1149" s="260"/>
      <c r="W1149" s="260"/>
      <c r="X1149" s="260"/>
      <c r="Y1149" s="260"/>
      <c r="Z1149" s="260"/>
      <c r="AA1149" s="260"/>
      <c r="AB1149" s="260"/>
      <c r="AC1149" s="260"/>
      <c r="AD1149" s="260"/>
      <c r="AE1149" s="260"/>
      <c r="AF1149" s="260"/>
      <c r="AG1149" s="258"/>
    </row>
    <row r="1150" spans="13:33" ht="12" hidden="1" customHeight="1">
      <c r="M1150" s="820"/>
      <c r="N1150" s="239"/>
      <c r="O1150" s="225"/>
      <c r="P1150" s="260"/>
      <c r="Q1150" s="258"/>
      <c r="R1150" s="260"/>
      <c r="S1150" s="260"/>
      <c r="T1150" s="260"/>
      <c r="U1150" s="260"/>
      <c r="V1150" s="260"/>
      <c r="W1150" s="260"/>
      <c r="X1150" s="260"/>
      <c r="Y1150" s="260"/>
      <c r="Z1150" s="260"/>
      <c r="AA1150" s="260"/>
      <c r="AB1150" s="260"/>
      <c r="AC1150" s="260"/>
      <c r="AD1150" s="260"/>
      <c r="AE1150" s="260"/>
      <c r="AF1150" s="260"/>
      <c r="AG1150" s="258"/>
    </row>
    <row r="1151" spans="13:33" ht="12" hidden="1" customHeight="1">
      <c r="M1151" s="820"/>
      <c r="N1151" s="239"/>
      <c r="O1151" s="225"/>
      <c r="P1151" s="260"/>
      <c r="Q1151" s="258"/>
      <c r="R1151" s="260"/>
      <c r="S1151" s="260"/>
      <c r="T1151" s="260"/>
      <c r="U1151" s="260"/>
      <c r="V1151" s="260"/>
      <c r="W1151" s="260"/>
      <c r="X1151" s="260"/>
      <c r="Y1151" s="260"/>
      <c r="Z1151" s="260"/>
      <c r="AA1151" s="260"/>
      <c r="AB1151" s="260"/>
      <c r="AC1151" s="260"/>
      <c r="AD1151" s="260"/>
      <c r="AE1151" s="260"/>
      <c r="AF1151" s="260"/>
      <c r="AG1151" s="258"/>
    </row>
    <row r="1152" spans="13:33" ht="12" hidden="1" customHeight="1">
      <c r="M1152" s="820"/>
      <c r="N1152" s="239"/>
      <c r="O1152" s="225"/>
      <c r="P1152" s="260"/>
      <c r="Q1152" s="258"/>
      <c r="R1152" s="260"/>
      <c r="S1152" s="260"/>
      <c r="T1152" s="260"/>
      <c r="U1152" s="260"/>
      <c r="V1152" s="260"/>
      <c r="W1152" s="260"/>
      <c r="X1152" s="260"/>
      <c r="Y1152" s="260"/>
      <c r="Z1152" s="260"/>
      <c r="AA1152" s="260"/>
      <c r="AB1152" s="260"/>
      <c r="AC1152" s="260"/>
      <c r="AD1152" s="260"/>
      <c r="AE1152" s="260"/>
      <c r="AF1152" s="260"/>
      <c r="AG1152" s="258"/>
    </row>
    <row r="1153" spans="13:33" ht="12" hidden="1" customHeight="1">
      <c r="M1153" s="820"/>
      <c r="N1153" s="239"/>
      <c r="O1153" s="225"/>
      <c r="P1153" s="260"/>
      <c r="Q1153" s="258"/>
      <c r="R1153" s="260"/>
      <c r="S1153" s="260"/>
      <c r="T1153" s="260"/>
      <c r="U1153" s="260"/>
      <c r="V1153" s="260"/>
      <c r="W1153" s="260"/>
      <c r="X1153" s="260"/>
      <c r="Y1153" s="260"/>
      <c r="Z1153" s="260"/>
      <c r="AA1153" s="260"/>
      <c r="AB1153" s="260"/>
      <c r="AC1153" s="260"/>
      <c r="AD1153" s="260"/>
      <c r="AE1153" s="260"/>
      <c r="AF1153" s="260"/>
      <c r="AG1153" s="258"/>
    </row>
    <row r="1154" spans="13:33" ht="12" hidden="1" customHeight="1">
      <c r="M1154" s="820"/>
      <c r="N1154" s="239"/>
      <c r="O1154" s="225"/>
      <c r="P1154" s="260"/>
      <c r="Q1154" s="258"/>
      <c r="R1154" s="260"/>
      <c r="S1154" s="260"/>
      <c r="T1154" s="260"/>
      <c r="U1154" s="260"/>
      <c r="V1154" s="260"/>
      <c r="W1154" s="260"/>
      <c r="X1154" s="260"/>
      <c r="Y1154" s="260"/>
      <c r="Z1154" s="260"/>
      <c r="AA1154" s="260"/>
      <c r="AB1154" s="260"/>
      <c r="AC1154" s="260"/>
      <c r="AD1154" s="260"/>
      <c r="AE1154" s="260"/>
      <c r="AF1154" s="260"/>
      <c r="AG1154" s="258"/>
    </row>
    <row r="1155" spans="13:33" ht="12" hidden="1" customHeight="1">
      <c r="M1155" s="820"/>
      <c r="N1155" s="239"/>
      <c r="O1155" s="225"/>
      <c r="P1155" s="260"/>
      <c r="Q1155" s="258"/>
      <c r="R1155" s="260"/>
      <c r="S1155" s="260"/>
      <c r="T1155" s="260"/>
      <c r="U1155" s="260"/>
      <c r="V1155" s="260"/>
      <c r="W1155" s="260"/>
      <c r="X1155" s="260"/>
      <c r="Y1155" s="260"/>
      <c r="Z1155" s="260"/>
      <c r="AA1155" s="260"/>
      <c r="AB1155" s="260"/>
      <c r="AC1155" s="260"/>
      <c r="AD1155" s="260"/>
      <c r="AE1155" s="260"/>
      <c r="AF1155" s="260"/>
      <c r="AG1155" s="258"/>
    </row>
    <row r="1156" spans="13:33" ht="12" hidden="1" customHeight="1">
      <c r="M1156" s="820"/>
      <c r="N1156" s="239"/>
      <c r="O1156" s="225"/>
      <c r="P1156" s="260"/>
      <c r="Q1156" s="258"/>
      <c r="R1156" s="260"/>
      <c r="S1156" s="260"/>
      <c r="T1156" s="260"/>
      <c r="U1156" s="260"/>
      <c r="V1156" s="260"/>
      <c r="W1156" s="260"/>
      <c r="X1156" s="260"/>
      <c r="Y1156" s="260"/>
      <c r="Z1156" s="260"/>
      <c r="AA1156" s="260"/>
      <c r="AB1156" s="260"/>
      <c r="AC1156" s="260"/>
      <c r="AD1156" s="260"/>
      <c r="AE1156" s="260"/>
      <c r="AF1156" s="260"/>
      <c r="AG1156" s="258"/>
    </row>
    <row r="1157" spans="13:33" ht="12" hidden="1" customHeight="1">
      <c r="M1157" s="820"/>
      <c r="N1157" s="239"/>
      <c r="O1157" s="225"/>
      <c r="P1157" s="260"/>
      <c r="Q1157" s="258"/>
      <c r="R1157" s="260"/>
      <c r="S1157" s="260"/>
      <c r="T1157" s="260"/>
      <c r="U1157" s="260"/>
      <c r="V1157" s="260"/>
      <c r="W1157" s="260"/>
      <c r="X1157" s="260"/>
      <c r="Y1157" s="260"/>
      <c r="Z1157" s="260"/>
      <c r="AA1157" s="260"/>
      <c r="AB1157" s="260"/>
      <c r="AC1157" s="260"/>
      <c r="AD1157" s="260"/>
      <c r="AE1157" s="260"/>
      <c r="AF1157" s="260"/>
      <c r="AG1157" s="258"/>
    </row>
    <row r="1158" spans="13:33" ht="12" hidden="1" customHeight="1">
      <c r="M1158" s="820"/>
      <c r="N1158" s="239"/>
      <c r="O1158" s="225"/>
      <c r="P1158" s="260"/>
      <c r="Q1158" s="258"/>
      <c r="R1158" s="260"/>
      <c r="S1158" s="260"/>
      <c r="T1158" s="260"/>
      <c r="U1158" s="260"/>
      <c r="V1158" s="260"/>
      <c r="W1158" s="260"/>
      <c r="X1158" s="260"/>
      <c r="Y1158" s="260"/>
      <c r="Z1158" s="260"/>
      <c r="AA1158" s="260"/>
      <c r="AB1158" s="260"/>
      <c r="AC1158" s="260"/>
      <c r="AD1158" s="260"/>
      <c r="AE1158" s="260"/>
      <c r="AF1158" s="260"/>
      <c r="AG1158" s="258"/>
    </row>
    <row r="1159" spans="13:33" ht="12" hidden="1" customHeight="1">
      <c r="M1159" s="820"/>
      <c r="N1159" s="239"/>
      <c r="O1159" s="225"/>
      <c r="P1159" s="260"/>
      <c r="Q1159" s="258"/>
      <c r="R1159" s="260"/>
      <c r="S1159" s="260"/>
      <c r="T1159" s="260"/>
      <c r="U1159" s="260"/>
      <c r="V1159" s="260"/>
      <c r="W1159" s="260"/>
      <c r="X1159" s="260"/>
      <c r="Y1159" s="260"/>
      <c r="Z1159" s="260"/>
      <c r="AA1159" s="260"/>
      <c r="AB1159" s="260"/>
      <c r="AC1159" s="260"/>
      <c r="AD1159" s="260"/>
      <c r="AE1159" s="260"/>
      <c r="AF1159" s="260"/>
      <c r="AG1159" s="258"/>
    </row>
    <row r="1160" spans="13:33" ht="12" hidden="1" customHeight="1">
      <c r="M1160" s="820"/>
      <c r="N1160" s="239"/>
      <c r="O1160" s="225"/>
      <c r="P1160" s="260"/>
      <c r="Q1160" s="258"/>
      <c r="R1160" s="260"/>
      <c r="S1160" s="260"/>
      <c r="T1160" s="260"/>
      <c r="U1160" s="260"/>
      <c r="V1160" s="260"/>
      <c r="W1160" s="260"/>
      <c r="X1160" s="260"/>
      <c r="Y1160" s="260"/>
      <c r="Z1160" s="260"/>
      <c r="AA1160" s="260"/>
      <c r="AB1160" s="260"/>
      <c r="AC1160" s="260"/>
      <c r="AD1160" s="260"/>
      <c r="AE1160" s="260"/>
      <c r="AF1160" s="260"/>
      <c r="AG1160" s="258"/>
    </row>
    <row r="1161" spans="13:33" ht="12" hidden="1" customHeight="1">
      <c r="M1161" s="820"/>
      <c r="N1161" s="239"/>
      <c r="O1161" s="225"/>
      <c r="P1161" s="260"/>
      <c r="Q1161" s="258"/>
      <c r="R1161" s="260"/>
      <c r="S1161" s="260"/>
      <c r="T1161" s="260"/>
      <c r="U1161" s="260"/>
      <c r="V1161" s="260"/>
      <c r="W1161" s="260"/>
      <c r="X1161" s="260"/>
      <c r="Y1161" s="260"/>
      <c r="Z1161" s="260"/>
      <c r="AA1161" s="260"/>
      <c r="AB1161" s="260"/>
      <c r="AC1161" s="260"/>
      <c r="AD1161" s="260"/>
      <c r="AE1161" s="260"/>
      <c r="AF1161" s="260"/>
      <c r="AG1161" s="258"/>
    </row>
    <row r="1162" spans="13:33" ht="12" hidden="1" customHeight="1">
      <c r="M1162" s="820"/>
      <c r="N1162" s="239"/>
      <c r="O1162" s="225"/>
      <c r="P1162" s="260"/>
      <c r="Q1162" s="258"/>
      <c r="R1162" s="260"/>
      <c r="S1162" s="260"/>
      <c r="T1162" s="260"/>
      <c r="U1162" s="260"/>
      <c r="V1162" s="260"/>
      <c r="W1162" s="260"/>
      <c r="X1162" s="260"/>
      <c r="Y1162" s="260"/>
      <c r="Z1162" s="260"/>
      <c r="AA1162" s="260"/>
      <c r="AB1162" s="260"/>
      <c r="AC1162" s="260"/>
      <c r="AD1162" s="260"/>
      <c r="AE1162" s="260"/>
      <c r="AF1162" s="260"/>
      <c r="AG1162" s="258"/>
    </row>
    <row r="1163" spans="13:33" ht="12" hidden="1" customHeight="1">
      <c r="M1163" s="820"/>
      <c r="N1163" s="239"/>
      <c r="O1163" s="225"/>
      <c r="P1163" s="260"/>
      <c r="Q1163" s="258"/>
      <c r="R1163" s="260"/>
      <c r="S1163" s="260"/>
      <c r="T1163" s="260"/>
      <c r="U1163" s="260"/>
      <c r="V1163" s="260"/>
      <c r="W1163" s="260"/>
      <c r="X1163" s="260"/>
      <c r="Y1163" s="260"/>
      <c r="Z1163" s="260"/>
      <c r="AA1163" s="260"/>
      <c r="AB1163" s="260"/>
      <c r="AC1163" s="260"/>
      <c r="AD1163" s="260"/>
      <c r="AE1163" s="260"/>
      <c r="AF1163" s="260"/>
      <c r="AG1163" s="258"/>
    </row>
    <row r="1164" spans="13:33" ht="12" hidden="1" customHeight="1">
      <c r="M1164" s="820"/>
      <c r="N1164" s="239"/>
      <c r="O1164" s="225"/>
      <c r="P1164" s="260"/>
      <c r="Q1164" s="258"/>
      <c r="R1164" s="260"/>
      <c r="S1164" s="260"/>
      <c r="T1164" s="260"/>
      <c r="U1164" s="260"/>
      <c r="V1164" s="260"/>
      <c r="W1164" s="260"/>
      <c r="X1164" s="260"/>
      <c r="Y1164" s="260"/>
      <c r="Z1164" s="260"/>
      <c r="AA1164" s="260"/>
      <c r="AB1164" s="260"/>
      <c r="AC1164" s="260"/>
      <c r="AD1164" s="260"/>
      <c r="AE1164" s="260"/>
      <c r="AF1164" s="260"/>
      <c r="AG1164" s="258"/>
    </row>
    <row r="1165" spans="13:33" ht="12" hidden="1" customHeight="1">
      <c r="M1165" s="820"/>
      <c r="N1165" s="239"/>
      <c r="O1165" s="225"/>
      <c r="P1165" s="260"/>
      <c r="Q1165" s="258"/>
      <c r="R1165" s="260"/>
      <c r="S1165" s="260"/>
      <c r="T1165" s="260"/>
      <c r="U1165" s="260"/>
      <c r="V1165" s="260"/>
      <c r="W1165" s="260"/>
      <c r="X1165" s="260"/>
      <c r="Y1165" s="260"/>
      <c r="Z1165" s="260"/>
      <c r="AA1165" s="260"/>
      <c r="AB1165" s="260"/>
      <c r="AC1165" s="260"/>
      <c r="AD1165" s="260"/>
      <c r="AE1165" s="260"/>
      <c r="AF1165" s="260"/>
      <c r="AG1165" s="258"/>
    </row>
    <row r="1166" spans="13:33" ht="12" hidden="1" customHeight="1">
      <c r="M1166" s="820"/>
      <c r="N1166" s="239"/>
      <c r="O1166" s="225"/>
      <c r="P1166" s="260"/>
      <c r="Q1166" s="258"/>
      <c r="R1166" s="260"/>
      <c r="S1166" s="260"/>
      <c r="T1166" s="260"/>
      <c r="U1166" s="260"/>
      <c r="V1166" s="260"/>
      <c r="W1166" s="260"/>
      <c r="X1166" s="260"/>
      <c r="Y1166" s="260"/>
      <c r="Z1166" s="260"/>
      <c r="AA1166" s="260"/>
      <c r="AB1166" s="260"/>
      <c r="AC1166" s="260"/>
      <c r="AD1166" s="260"/>
      <c r="AE1166" s="260"/>
      <c r="AF1166" s="260"/>
      <c r="AG1166" s="258"/>
    </row>
    <row r="1167" spans="13:33" ht="12" hidden="1" customHeight="1">
      <c r="M1167" s="820"/>
      <c r="N1167" s="239"/>
      <c r="O1167" s="225"/>
      <c r="P1167" s="260"/>
      <c r="Q1167" s="258"/>
      <c r="R1167" s="260"/>
      <c r="S1167" s="260"/>
      <c r="T1167" s="260"/>
      <c r="U1167" s="260"/>
      <c r="V1167" s="260"/>
      <c r="W1167" s="260"/>
      <c r="X1167" s="260"/>
      <c r="Y1167" s="260"/>
      <c r="Z1167" s="260"/>
      <c r="AA1167" s="260"/>
      <c r="AB1167" s="260"/>
      <c r="AC1167" s="260"/>
      <c r="AD1167" s="260"/>
      <c r="AE1167" s="260"/>
      <c r="AF1167" s="260"/>
      <c r="AG1167" s="258"/>
    </row>
    <row r="1168" spans="13:33" ht="12" hidden="1" customHeight="1">
      <c r="M1168" s="820"/>
      <c r="N1168" s="239"/>
      <c r="O1168" s="225"/>
      <c r="P1168" s="260"/>
      <c r="Q1168" s="258"/>
      <c r="R1168" s="260"/>
      <c r="S1168" s="260"/>
      <c r="T1168" s="260"/>
      <c r="U1168" s="260"/>
      <c r="V1168" s="260"/>
      <c r="W1168" s="260"/>
      <c r="X1168" s="260"/>
      <c r="Y1168" s="260"/>
      <c r="Z1168" s="260"/>
      <c r="AA1168" s="260"/>
      <c r="AB1168" s="260"/>
      <c r="AC1168" s="260"/>
      <c r="AD1168" s="260"/>
      <c r="AE1168" s="260"/>
      <c r="AF1168" s="260"/>
      <c r="AG1168" s="258"/>
    </row>
    <row r="1169" spans="13:33" ht="12" hidden="1" customHeight="1">
      <c r="M1169" s="820"/>
      <c r="N1169" s="239"/>
      <c r="O1169" s="225"/>
      <c r="P1169" s="260"/>
      <c r="Q1169" s="258"/>
      <c r="R1169" s="260"/>
      <c r="S1169" s="260"/>
      <c r="T1169" s="260"/>
      <c r="U1169" s="260"/>
      <c r="V1169" s="260"/>
      <c r="W1169" s="260"/>
      <c r="X1169" s="260"/>
      <c r="Y1169" s="260"/>
      <c r="Z1169" s="260"/>
      <c r="AA1169" s="260"/>
      <c r="AB1169" s="260"/>
      <c r="AC1169" s="260"/>
      <c r="AD1169" s="260"/>
      <c r="AE1169" s="260"/>
      <c r="AF1169" s="260"/>
      <c r="AG1169" s="258"/>
    </row>
    <row r="1170" spans="13:33" ht="12" hidden="1" customHeight="1">
      <c r="M1170" s="820"/>
      <c r="N1170" s="239"/>
      <c r="O1170" s="225"/>
      <c r="P1170" s="260"/>
      <c r="Q1170" s="258"/>
      <c r="R1170" s="260"/>
      <c r="S1170" s="260"/>
      <c r="T1170" s="260"/>
      <c r="U1170" s="260"/>
      <c r="V1170" s="260"/>
      <c r="W1170" s="260"/>
      <c r="X1170" s="260"/>
      <c r="Y1170" s="260"/>
      <c r="Z1170" s="260"/>
      <c r="AA1170" s="260"/>
      <c r="AB1170" s="260"/>
      <c r="AC1170" s="260"/>
      <c r="AD1170" s="260"/>
      <c r="AE1170" s="260"/>
      <c r="AF1170" s="260"/>
      <c r="AG1170" s="258"/>
    </row>
    <row r="1171" spans="13:33" ht="12" hidden="1" customHeight="1">
      <c r="M1171" s="820"/>
      <c r="N1171" s="239"/>
      <c r="O1171" s="225"/>
      <c r="P1171" s="260"/>
      <c r="Q1171" s="258"/>
      <c r="R1171" s="260"/>
      <c r="S1171" s="260"/>
      <c r="T1171" s="260"/>
      <c r="U1171" s="260"/>
      <c r="V1171" s="260"/>
      <c r="W1171" s="260"/>
      <c r="X1171" s="260"/>
      <c r="Y1171" s="260"/>
      <c r="Z1171" s="260"/>
      <c r="AA1171" s="260"/>
      <c r="AB1171" s="260"/>
      <c r="AC1171" s="260"/>
      <c r="AD1171" s="260"/>
      <c r="AE1171" s="260"/>
      <c r="AF1171" s="260"/>
      <c r="AG1171" s="258"/>
    </row>
    <row r="1172" spans="13:33" ht="12" hidden="1" customHeight="1">
      <c r="M1172" s="820"/>
      <c r="N1172" s="239"/>
      <c r="O1172" s="225"/>
      <c r="P1172" s="260"/>
      <c r="Q1172" s="258"/>
      <c r="R1172" s="260"/>
      <c r="S1172" s="260"/>
      <c r="T1172" s="260"/>
      <c r="U1172" s="260"/>
      <c r="V1172" s="260"/>
      <c r="W1172" s="260"/>
      <c r="X1172" s="260"/>
      <c r="Y1172" s="260"/>
      <c r="Z1172" s="260"/>
      <c r="AA1172" s="260"/>
      <c r="AB1172" s="260"/>
      <c r="AC1172" s="260"/>
      <c r="AD1172" s="260"/>
      <c r="AE1172" s="260"/>
      <c r="AF1172" s="260"/>
      <c r="AG1172" s="258"/>
    </row>
    <row r="1173" spans="13:33" ht="12" hidden="1" customHeight="1">
      <c r="M1173" s="820"/>
      <c r="N1173" s="239"/>
      <c r="O1173" s="225"/>
      <c r="P1173" s="260"/>
      <c r="Q1173" s="258"/>
      <c r="R1173" s="260"/>
      <c r="S1173" s="260"/>
      <c r="T1173" s="260"/>
      <c r="U1173" s="260"/>
      <c r="V1173" s="260"/>
      <c r="W1173" s="260"/>
      <c r="X1173" s="260"/>
      <c r="Y1173" s="260"/>
      <c r="Z1173" s="260"/>
      <c r="AA1173" s="260"/>
      <c r="AB1173" s="260"/>
      <c r="AC1173" s="260"/>
      <c r="AD1173" s="260"/>
      <c r="AE1173" s="260"/>
      <c r="AF1173" s="260"/>
      <c r="AG1173" s="258"/>
    </row>
    <row r="1174" spans="13:33" ht="12" hidden="1" customHeight="1">
      <c r="M1174" s="820"/>
      <c r="N1174" s="239"/>
      <c r="O1174" s="225"/>
      <c r="P1174" s="260"/>
      <c r="Q1174" s="258"/>
      <c r="R1174" s="260"/>
      <c r="S1174" s="260"/>
      <c r="T1174" s="260"/>
      <c r="U1174" s="260"/>
      <c r="V1174" s="260"/>
      <c r="W1174" s="260"/>
      <c r="X1174" s="260"/>
      <c r="Y1174" s="260"/>
      <c r="Z1174" s="260"/>
      <c r="AA1174" s="260"/>
      <c r="AB1174" s="260"/>
      <c r="AC1174" s="260"/>
      <c r="AD1174" s="260"/>
      <c r="AE1174" s="260"/>
      <c r="AF1174" s="260"/>
      <c r="AG1174" s="258"/>
    </row>
    <row r="1175" spans="13:33" ht="12" hidden="1" customHeight="1">
      <c r="M1175" s="820"/>
      <c r="N1175" s="239"/>
      <c r="O1175" s="225"/>
      <c r="P1175" s="260"/>
      <c r="Q1175" s="258"/>
      <c r="R1175" s="260"/>
      <c r="S1175" s="260"/>
      <c r="T1175" s="260"/>
      <c r="U1175" s="260"/>
      <c r="V1175" s="260"/>
      <c r="W1175" s="260"/>
      <c r="X1175" s="260"/>
      <c r="Y1175" s="260"/>
      <c r="Z1175" s="260"/>
      <c r="AA1175" s="260"/>
      <c r="AB1175" s="260"/>
      <c r="AC1175" s="260"/>
      <c r="AD1175" s="260"/>
      <c r="AE1175" s="260"/>
      <c r="AF1175" s="260"/>
      <c r="AG1175" s="258"/>
    </row>
    <row r="1176" spans="13:33" ht="12" hidden="1" customHeight="1">
      <c r="M1176" s="820"/>
      <c r="N1176" s="239"/>
      <c r="O1176" s="225"/>
      <c r="P1176" s="260"/>
      <c r="Q1176" s="258"/>
      <c r="R1176" s="260"/>
      <c r="S1176" s="260"/>
      <c r="T1176" s="260"/>
      <c r="U1176" s="260"/>
      <c r="V1176" s="260"/>
      <c r="W1176" s="260"/>
      <c r="X1176" s="260"/>
      <c r="Y1176" s="260"/>
      <c r="Z1176" s="260"/>
      <c r="AA1176" s="260"/>
      <c r="AB1176" s="260"/>
      <c r="AC1176" s="260"/>
      <c r="AD1176" s="260"/>
      <c r="AE1176" s="260"/>
      <c r="AF1176" s="260"/>
      <c r="AG1176" s="258"/>
    </row>
    <row r="1177" spans="13:33" ht="12" hidden="1" customHeight="1">
      <c r="M1177" s="820"/>
      <c r="N1177" s="239"/>
      <c r="O1177" s="225"/>
      <c r="P1177" s="260"/>
      <c r="Q1177" s="258"/>
      <c r="R1177" s="260"/>
      <c r="S1177" s="260"/>
      <c r="T1177" s="260"/>
      <c r="U1177" s="260"/>
      <c r="V1177" s="260"/>
      <c r="W1177" s="260"/>
      <c r="X1177" s="260"/>
      <c r="Y1177" s="260"/>
      <c r="Z1177" s="260"/>
      <c r="AA1177" s="260"/>
      <c r="AB1177" s="260"/>
      <c r="AC1177" s="260"/>
      <c r="AD1177" s="260"/>
      <c r="AE1177" s="260"/>
      <c r="AF1177" s="260"/>
      <c r="AG1177" s="258"/>
    </row>
    <row r="1178" spans="13:33" ht="12" hidden="1" customHeight="1">
      <c r="M1178" s="820"/>
      <c r="N1178" s="239"/>
      <c r="O1178" s="225"/>
      <c r="P1178" s="260"/>
      <c r="Q1178" s="258"/>
      <c r="R1178" s="260"/>
      <c r="S1178" s="260"/>
      <c r="T1178" s="260"/>
      <c r="U1178" s="260"/>
      <c r="V1178" s="260"/>
      <c r="W1178" s="260"/>
      <c r="X1178" s="260"/>
      <c r="Y1178" s="260"/>
      <c r="Z1178" s="260"/>
      <c r="AA1178" s="260"/>
      <c r="AB1178" s="260"/>
      <c r="AC1178" s="260"/>
      <c r="AD1178" s="260"/>
      <c r="AE1178" s="260"/>
      <c r="AF1178" s="260"/>
      <c r="AG1178" s="258"/>
    </row>
    <row r="1179" spans="13:33" ht="12" hidden="1" customHeight="1">
      <c r="M1179" s="820"/>
      <c r="N1179" s="239"/>
      <c r="O1179" s="225"/>
      <c r="P1179" s="260"/>
      <c r="Q1179" s="258"/>
      <c r="R1179" s="260"/>
      <c r="S1179" s="260"/>
      <c r="T1179" s="260"/>
      <c r="U1179" s="260"/>
      <c r="V1179" s="260"/>
      <c r="W1179" s="260"/>
      <c r="X1179" s="260"/>
      <c r="Y1179" s="260"/>
      <c r="Z1179" s="260"/>
      <c r="AA1179" s="260"/>
      <c r="AB1179" s="260"/>
      <c r="AC1179" s="260"/>
      <c r="AD1179" s="260"/>
      <c r="AE1179" s="260"/>
      <c r="AF1179" s="260"/>
      <c r="AG1179" s="258"/>
    </row>
    <row r="1180" spans="13:33" ht="12" hidden="1" customHeight="1">
      <c r="M1180" s="820"/>
      <c r="N1180" s="239"/>
      <c r="O1180" s="225"/>
      <c r="P1180" s="260"/>
      <c r="Q1180" s="258"/>
      <c r="R1180" s="260"/>
      <c r="S1180" s="260"/>
      <c r="T1180" s="260"/>
      <c r="U1180" s="260"/>
      <c r="V1180" s="260"/>
      <c r="W1180" s="260"/>
      <c r="X1180" s="260"/>
      <c r="Y1180" s="260"/>
      <c r="Z1180" s="260"/>
      <c r="AA1180" s="260"/>
      <c r="AB1180" s="260"/>
      <c r="AC1180" s="260"/>
      <c r="AD1180" s="260"/>
      <c r="AE1180" s="260"/>
      <c r="AF1180" s="260"/>
      <c r="AG1180" s="258"/>
    </row>
    <row r="1181" spans="13:33" ht="12" hidden="1" customHeight="1">
      <c r="M1181" s="820"/>
      <c r="N1181" s="239"/>
      <c r="O1181" s="225"/>
      <c r="P1181" s="260"/>
      <c r="Q1181" s="258"/>
      <c r="R1181" s="260"/>
      <c r="S1181" s="260"/>
      <c r="T1181" s="260"/>
      <c r="U1181" s="260"/>
      <c r="V1181" s="260"/>
      <c r="W1181" s="260"/>
      <c r="X1181" s="260"/>
      <c r="Y1181" s="260"/>
      <c r="Z1181" s="260"/>
      <c r="AA1181" s="260"/>
      <c r="AB1181" s="260"/>
      <c r="AC1181" s="260"/>
      <c r="AD1181" s="260"/>
      <c r="AE1181" s="260"/>
      <c r="AF1181" s="260"/>
      <c r="AG1181" s="258"/>
    </row>
    <row r="1182" spans="13:33" ht="12" hidden="1" customHeight="1">
      <c r="M1182" s="820"/>
      <c r="N1182" s="239"/>
      <c r="O1182" s="225"/>
      <c r="P1182" s="260"/>
      <c r="Q1182" s="258"/>
      <c r="R1182" s="260"/>
      <c r="S1182" s="260"/>
      <c r="T1182" s="260"/>
      <c r="U1182" s="260"/>
      <c r="V1182" s="260"/>
      <c r="W1182" s="260"/>
      <c r="X1182" s="260"/>
      <c r="Y1182" s="260"/>
      <c r="Z1182" s="260"/>
      <c r="AA1182" s="260"/>
      <c r="AB1182" s="260"/>
      <c r="AC1182" s="260"/>
      <c r="AD1182" s="260"/>
      <c r="AE1182" s="260"/>
      <c r="AF1182" s="260"/>
      <c r="AG1182" s="258"/>
    </row>
    <row r="1183" spans="13:33" ht="12" hidden="1" customHeight="1">
      <c r="M1183" s="820"/>
      <c r="N1183" s="239"/>
      <c r="O1183" s="225"/>
      <c r="P1183" s="260"/>
      <c r="Q1183" s="258"/>
      <c r="R1183" s="260"/>
      <c r="S1183" s="260"/>
      <c r="T1183" s="260"/>
      <c r="U1183" s="260"/>
      <c r="V1183" s="260"/>
      <c r="W1183" s="260"/>
      <c r="X1183" s="260"/>
      <c r="Y1183" s="260"/>
      <c r="Z1183" s="260"/>
      <c r="AA1183" s="260"/>
      <c r="AB1183" s="260"/>
      <c r="AC1183" s="260"/>
      <c r="AD1183" s="260"/>
      <c r="AE1183" s="260"/>
      <c r="AF1183" s="260"/>
      <c r="AG1183" s="258"/>
    </row>
    <row r="1184" spans="13:33" ht="12" hidden="1" customHeight="1">
      <c r="M1184" s="820"/>
      <c r="N1184" s="239"/>
      <c r="O1184" s="225"/>
      <c r="P1184" s="260"/>
      <c r="Q1184" s="258"/>
      <c r="R1184" s="260"/>
      <c r="S1184" s="260"/>
      <c r="T1184" s="260"/>
      <c r="U1184" s="260"/>
      <c r="V1184" s="260"/>
      <c r="W1184" s="260"/>
      <c r="X1184" s="260"/>
      <c r="Y1184" s="260"/>
      <c r="Z1184" s="260"/>
      <c r="AA1184" s="260"/>
      <c r="AB1184" s="260"/>
      <c r="AC1184" s="260"/>
      <c r="AD1184" s="260"/>
      <c r="AE1184" s="260"/>
      <c r="AF1184" s="260"/>
      <c r="AG1184" s="258"/>
    </row>
    <row r="1185" spans="13:33" ht="12" hidden="1" customHeight="1">
      <c r="M1185" s="820"/>
      <c r="N1185" s="239"/>
      <c r="O1185" s="225"/>
      <c r="P1185" s="260"/>
      <c r="Q1185" s="258"/>
      <c r="R1185" s="260"/>
      <c r="S1185" s="260"/>
      <c r="T1185" s="260"/>
      <c r="U1185" s="260"/>
      <c r="V1185" s="260"/>
      <c r="W1185" s="260"/>
      <c r="X1185" s="260"/>
      <c r="Y1185" s="260"/>
      <c r="Z1185" s="260"/>
      <c r="AA1185" s="260"/>
      <c r="AB1185" s="260"/>
      <c r="AC1185" s="260"/>
      <c r="AD1185" s="260"/>
      <c r="AE1185" s="260"/>
      <c r="AF1185" s="260"/>
      <c r="AG1185" s="258"/>
    </row>
    <row r="1186" spans="13:33" ht="12" hidden="1" customHeight="1">
      <c r="M1186" s="820"/>
      <c r="N1186" s="239"/>
      <c r="O1186" s="225"/>
      <c r="P1186" s="260"/>
      <c r="Q1186" s="258"/>
      <c r="R1186" s="260"/>
      <c r="S1186" s="260"/>
      <c r="T1186" s="260"/>
      <c r="U1186" s="260"/>
      <c r="V1186" s="260"/>
      <c r="W1186" s="260"/>
      <c r="X1186" s="260"/>
      <c r="Y1186" s="260"/>
      <c r="Z1186" s="260"/>
      <c r="AA1186" s="260"/>
      <c r="AB1186" s="260"/>
      <c r="AC1186" s="260"/>
      <c r="AD1186" s="260"/>
      <c r="AE1186" s="260"/>
      <c r="AF1186" s="260"/>
      <c r="AG1186" s="258"/>
    </row>
    <row r="1187" spans="13:33" ht="12" hidden="1" customHeight="1">
      <c r="M1187" s="820"/>
      <c r="N1187" s="239"/>
      <c r="O1187" s="225"/>
      <c r="P1187" s="260"/>
      <c r="Q1187" s="258"/>
      <c r="R1187" s="260"/>
      <c r="S1187" s="260"/>
      <c r="T1187" s="260"/>
      <c r="U1187" s="260"/>
      <c r="V1187" s="260"/>
      <c r="W1187" s="260"/>
      <c r="X1187" s="260"/>
      <c r="Y1187" s="260"/>
      <c r="Z1187" s="260"/>
      <c r="AA1187" s="260"/>
      <c r="AB1187" s="260"/>
      <c r="AC1187" s="260"/>
      <c r="AD1187" s="260"/>
      <c r="AE1187" s="260"/>
      <c r="AF1187" s="260"/>
      <c r="AG1187" s="258"/>
    </row>
    <row r="1188" spans="13:33" ht="12" hidden="1" customHeight="1">
      <c r="M1188" s="820"/>
      <c r="N1188" s="239"/>
      <c r="O1188" s="225"/>
      <c r="P1188" s="260"/>
      <c r="Q1188" s="258"/>
      <c r="R1188" s="260"/>
      <c r="S1188" s="260"/>
      <c r="T1188" s="260"/>
      <c r="U1188" s="260"/>
      <c r="V1188" s="260"/>
      <c r="W1188" s="260"/>
      <c r="X1188" s="260"/>
      <c r="Y1188" s="260"/>
      <c r="Z1188" s="260"/>
      <c r="AA1188" s="260"/>
      <c r="AB1188" s="260"/>
      <c r="AC1188" s="260"/>
      <c r="AD1188" s="260"/>
      <c r="AE1188" s="260"/>
      <c r="AF1188" s="260"/>
      <c r="AG1188" s="258"/>
    </row>
    <row r="1189" spans="13:33" ht="12" hidden="1" customHeight="1">
      <c r="M1189" s="820"/>
      <c r="N1189" s="239"/>
      <c r="O1189" s="225"/>
      <c r="P1189" s="260"/>
      <c r="Q1189" s="258"/>
      <c r="R1189" s="260"/>
      <c r="S1189" s="260"/>
      <c r="T1189" s="260"/>
      <c r="U1189" s="260"/>
      <c r="V1189" s="260"/>
      <c r="W1189" s="260"/>
      <c r="X1189" s="260"/>
      <c r="Y1189" s="260"/>
      <c r="Z1189" s="260"/>
      <c r="AA1189" s="260"/>
      <c r="AB1189" s="260"/>
      <c r="AC1189" s="260"/>
      <c r="AD1189" s="260"/>
      <c r="AE1189" s="260"/>
      <c r="AF1189" s="260"/>
      <c r="AG1189" s="258"/>
    </row>
    <row r="1190" spans="13:33" ht="12" hidden="1" customHeight="1">
      <c r="M1190" s="820"/>
      <c r="N1190" s="239"/>
      <c r="O1190" s="225"/>
      <c r="P1190" s="260"/>
      <c r="Q1190" s="258"/>
      <c r="R1190" s="260"/>
      <c r="S1190" s="260"/>
      <c r="T1190" s="260"/>
      <c r="U1190" s="260"/>
      <c r="V1190" s="260"/>
      <c r="W1190" s="260"/>
      <c r="X1190" s="260"/>
      <c r="Y1190" s="260"/>
      <c r="Z1190" s="260"/>
      <c r="AA1190" s="260"/>
      <c r="AB1190" s="260"/>
      <c r="AC1190" s="260"/>
      <c r="AD1190" s="260"/>
      <c r="AE1190" s="260"/>
      <c r="AF1190" s="260"/>
      <c r="AG1190" s="258"/>
    </row>
    <row r="1191" spans="13:33" ht="12" hidden="1" customHeight="1">
      <c r="M1191" s="820"/>
      <c r="N1191" s="239"/>
      <c r="O1191" s="225"/>
      <c r="P1191" s="260"/>
      <c r="Q1191" s="258"/>
      <c r="R1191" s="260"/>
      <c r="S1191" s="260"/>
      <c r="T1191" s="260"/>
      <c r="U1191" s="260"/>
      <c r="V1191" s="260"/>
      <c r="W1191" s="260"/>
      <c r="X1191" s="260"/>
      <c r="Y1191" s="260"/>
      <c r="Z1191" s="260"/>
      <c r="AA1191" s="260"/>
      <c r="AB1191" s="260"/>
      <c r="AC1191" s="260"/>
      <c r="AD1191" s="260"/>
      <c r="AE1191" s="260"/>
      <c r="AF1191" s="260"/>
      <c r="AG1191" s="258"/>
    </row>
    <row r="1192" spans="13:33" ht="12" hidden="1" customHeight="1">
      <c r="M1192" s="820"/>
      <c r="N1192" s="239"/>
      <c r="O1192" s="225"/>
      <c r="P1192" s="260"/>
      <c r="Q1192" s="258"/>
      <c r="R1192" s="260"/>
      <c r="S1192" s="260"/>
      <c r="T1192" s="260"/>
      <c r="U1192" s="260"/>
      <c r="V1192" s="260"/>
      <c r="W1192" s="260"/>
      <c r="X1192" s="260"/>
      <c r="Y1192" s="260"/>
      <c r="Z1192" s="260"/>
      <c r="AA1192" s="260"/>
      <c r="AB1192" s="260"/>
      <c r="AC1192" s="260"/>
      <c r="AD1192" s="260"/>
      <c r="AE1192" s="260"/>
      <c r="AF1192" s="260"/>
      <c r="AG1192" s="258"/>
    </row>
    <row r="1193" spans="13:33" ht="12" hidden="1" customHeight="1">
      <c r="M1193" s="820"/>
      <c r="N1193" s="239"/>
      <c r="O1193" s="225"/>
      <c r="P1193" s="260"/>
      <c r="Q1193" s="258"/>
      <c r="R1193" s="260"/>
      <c r="S1193" s="260"/>
      <c r="T1193" s="260"/>
      <c r="U1193" s="260"/>
      <c r="V1193" s="260"/>
      <c r="W1193" s="260"/>
      <c r="X1193" s="260"/>
      <c r="Y1193" s="260"/>
      <c r="Z1193" s="260"/>
      <c r="AA1193" s="260"/>
      <c r="AB1193" s="260"/>
      <c r="AC1193" s="260"/>
      <c r="AD1193" s="260"/>
      <c r="AE1193" s="260"/>
      <c r="AF1193" s="260"/>
      <c r="AG1193" s="258"/>
    </row>
    <row r="1194" spans="13:33" ht="12" hidden="1" customHeight="1">
      <c r="M1194" s="820"/>
      <c r="N1194" s="239"/>
      <c r="O1194" s="225"/>
      <c r="P1194" s="260"/>
      <c r="Q1194" s="258"/>
      <c r="R1194" s="260"/>
      <c r="S1194" s="260"/>
      <c r="T1194" s="260"/>
      <c r="U1194" s="260"/>
      <c r="V1194" s="260"/>
      <c r="W1194" s="260"/>
      <c r="X1194" s="260"/>
      <c r="Y1194" s="260"/>
      <c r="Z1194" s="260"/>
      <c r="AA1194" s="260"/>
      <c r="AB1194" s="260"/>
      <c r="AC1194" s="260"/>
      <c r="AD1194" s="260"/>
      <c r="AE1194" s="260"/>
      <c r="AF1194" s="260"/>
      <c r="AG1194" s="258"/>
    </row>
    <row r="1195" spans="13:33" ht="12" hidden="1" customHeight="1">
      <c r="M1195" s="820"/>
      <c r="N1195" s="239"/>
      <c r="O1195" s="225"/>
      <c r="P1195" s="260"/>
      <c r="Q1195" s="258"/>
      <c r="R1195" s="260"/>
      <c r="S1195" s="260"/>
      <c r="T1195" s="260"/>
      <c r="U1195" s="260"/>
      <c r="V1195" s="260"/>
      <c r="W1195" s="260"/>
      <c r="X1195" s="260"/>
      <c r="Y1195" s="260"/>
      <c r="Z1195" s="260"/>
      <c r="AA1195" s="260"/>
      <c r="AB1195" s="260"/>
      <c r="AC1195" s="260"/>
      <c r="AD1195" s="260"/>
      <c r="AE1195" s="260"/>
      <c r="AF1195" s="260"/>
      <c r="AG1195" s="258"/>
    </row>
    <row r="1196" spans="13:33" ht="12" hidden="1" customHeight="1">
      <c r="M1196" s="820"/>
      <c r="N1196" s="239"/>
      <c r="O1196" s="225"/>
      <c r="P1196" s="260"/>
      <c r="Q1196" s="258"/>
      <c r="R1196" s="260"/>
      <c r="S1196" s="260"/>
      <c r="T1196" s="260"/>
      <c r="U1196" s="260"/>
      <c r="V1196" s="260"/>
      <c r="W1196" s="260"/>
      <c r="X1196" s="260"/>
      <c r="Y1196" s="260"/>
      <c r="Z1196" s="260"/>
      <c r="AA1196" s="260"/>
      <c r="AB1196" s="260"/>
      <c r="AC1196" s="260"/>
      <c r="AD1196" s="260"/>
      <c r="AE1196" s="260"/>
      <c r="AF1196" s="260"/>
      <c r="AG1196" s="258"/>
    </row>
    <row r="1197" spans="13:33" ht="12" hidden="1" customHeight="1">
      <c r="M1197" s="820"/>
      <c r="N1197" s="239"/>
      <c r="O1197" s="225"/>
      <c r="P1197" s="260"/>
      <c r="Q1197" s="258"/>
      <c r="R1197" s="260"/>
      <c r="S1197" s="260"/>
      <c r="T1197" s="260"/>
      <c r="U1197" s="260"/>
      <c r="V1197" s="260"/>
      <c r="W1197" s="260"/>
      <c r="X1197" s="260"/>
      <c r="Y1197" s="260"/>
      <c r="Z1197" s="260"/>
      <c r="AA1197" s="260"/>
      <c r="AB1197" s="260"/>
      <c r="AC1197" s="260"/>
      <c r="AD1197" s="260"/>
      <c r="AE1197" s="260"/>
      <c r="AF1197" s="260"/>
      <c r="AG1197" s="258"/>
    </row>
    <row r="1198" spans="13:33" ht="12" hidden="1" customHeight="1">
      <c r="M1198" s="820"/>
      <c r="N1198" s="239"/>
      <c r="O1198" s="225"/>
      <c r="P1198" s="260"/>
      <c r="Q1198" s="258"/>
      <c r="R1198" s="260"/>
      <c r="S1198" s="260"/>
      <c r="T1198" s="260"/>
      <c r="U1198" s="260"/>
      <c r="V1198" s="260"/>
      <c r="W1198" s="260"/>
      <c r="X1198" s="260"/>
      <c r="Y1198" s="260"/>
      <c r="Z1198" s="260"/>
      <c r="AA1198" s="260"/>
      <c r="AB1198" s="260"/>
      <c r="AC1198" s="260"/>
      <c r="AD1198" s="260"/>
      <c r="AE1198" s="260"/>
      <c r="AF1198" s="260"/>
      <c r="AG1198" s="258"/>
    </row>
    <row r="1199" spans="13:33" ht="12" hidden="1" customHeight="1">
      <c r="M1199" s="820"/>
      <c r="N1199" s="239"/>
      <c r="O1199" s="225"/>
      <c r="P1199" s="260"/>
      <c r="Q1199" s="258"/>
      <c r="R1199" s="260"/>
      <c r="S1199" s="260"/>
      <c r="T1199" s="260"/>
      <c r="U1199" s="260"/>
      <c r="V1199" s="260"/>
      <c r="W1199" s="260"/>
      <c r="X1199" s="260"/>
      <c r="Y1199" s="260"/>
      <c r="Z1199" s="260"/>
      <c r="AA1199" s="260"/>
      <c r="AB1199" s="260"/>
      <c r="AC1199" s="260"/>
      <c r="AD1199" s="260"/>
      <c r="AE1199" s="260"/>
      <c r="AF1199" s="260"/>
      <c r="AG1199" s="258"/>
    </row>
    <row r="1200" spans="13:33" ht="12" hidden="1" customHeight="1">
      <c r="M1200" s="820"/>
      <c r="N1200" s="239"/>
      <c r="O1200" s="225"/>
      <c r="P1200" s="260"/>
      <c r="Q1200" s="258"/>
      <c r="R1200" s="260"/>
      <c r="S1200" s="260"/>
      <c r="T1200" s="260"/>
      <c r="U1200" s="260"/>
      <c r="V1200" s="260"/>
      <c r="W1200" s="260"/>
      <c r="X1200" s="260"/>
      <c r="Y1200" s="260"/>
      <c r="Z1200" s="260"/>
      <c r="AA1200" s="260"/>
      <c r="AB1200" s="260"/>
      <c r="AC1200" s="260"/>
      <c r="AD1200" s="260"/>
      <c r="AE1200" s="260"/>
      <c r="AF1200" s="260"/>
      <c r="AG1200" s="258"/>
    </row>
    <row r="1201" spans="13:33" ht="12" hidden="1" customHeight="1">
      <c r="M1201" s="820"/>
      <c r="N1201" s="239"/>
      <c r="O1201" s="225"/>
      <c r="P1201" s="260"/>
      <c r="Q1201" s="258"/>
      <c r="R1201" s="260"/>
      <c r="S1201" s="260"/>
      <c r="T1201" s="260"/>
      <c r="U1201" s="260"/>
      <c r="V1201" s="260"/>
      <c r="W1201" s="260"/>
      <c r="X1201" s="260"/>
      <c r="Y1201" s="260"/>
      <c r="Z1201" s="260"/>
      <c r="AA1201" s="260"/>
      <c r="AB1201" s="260"/>
      <c r="AC1201" s="260"/>
      <c r="AD1201" s="260"/>
      <c r="AE1201" s="260"/>
      <c r="AF1201" s="260"/>
      <c r="AG1201" s="258"/>
    </row>
    <row r="1202" spans="13:33" ht="12" hidden="1" customHeight="1">
      <c r="M1202" s="820"/>
      <c r="N1202" s="239"/>
      <c r="O1202" s="225"/>
      <c r="P1202" s="260"/>
      <c r="Q1202" s="258"/>
      <c r="R1202" s="260"/>
      <c r="S1202" s="260"/>
      <c r="T1202" s="260"/>
      <c r="U1202" s="260"/>
      <c r="V1202" s="260"/>
      <c r="W1202" s="260"/>
      <c r="X1202" s="260"/>
      <c r="Y1202" s="260"/>
      <c r="Z1202" s="260"/>
      <c r="AA1202" s="260"/>
      <c r="AB1202" s="260"/>
      <c r="AC1202" s="260"/>
      <c r="AD1202" s="260"/>
      <c r="AE1202" s="260"/>
      <c r="AF1202" s="260"/>
      <c r="AG1202" s="258"/>
    </row>
    <row r="1203" spans="13:33" ht="12" hidden="1" customHeight="1">
      <c r="M1203" s="820"/>
      <c r="N1203" s="239"/>
      <c r="O1203" s="225"/>
      <c r="P1203" s="260"/>
      <c r="Q1203" s="258"/>
      <c r="R1203" s="260"/>
      <c r="S1203" s="260"/>
      <c r="T1203" s="260"/>
      <c r="U1203" s="260"/>
      <c r="V1203" s="260"/>
      <c r="W1203" s="260"/>
      <c r="X1203" s="260"/>
      <c r="Y1203" s="260"/>
      <c r="Z1203" s="260"/>
      <c r="AA1203" s="260"/>
      <c r="AB1203" s="260"/>
      <c r="AC1203" s="260"/>
      <c r="AD1203" s="260"/>
      <c r="AE1203" s="260"/>
      <c r="AF1203" s="260"/>
      <c r="AG1203" s="258"/>
    </row>
    <row r="1204" spans="13:33" ht="12" hidden="1" customHeight="1">
      <c r="M1204" s="820"/>
      <c r="N1204" s="239"/>
      <c r="O1204" s="225"/>
      <c r="P1204" s="260"/>
      <c r="Q1204" s="258"/>
      <c r="R1204" s="260"/>
      <c r="S1204" s="260"/>
      <c r="T1204" s="260"/>
      <c r="U1204" s="260"/>
      <c r="V1204" s="260"/>
      <c r="W1204" s="260"/>
      <c r="X1204" s="260"/>
      <c r="Y1204" s="260"/>
      <c r="Z1204" s="260"/>
      <c r="AA1204" s="260"/>
      <c r="AB1204" s="260"/>
      <c r="AC1204" s="260"/>
      <c r="AD1204" s="260"/>
      <c r="AE1204" s="260"/>
      <c r="AF1204" s="260"/>
      <c r="AG1204" s="258"/>
    </row>
    <row r="1205" spans="13:33" ht="12" hidden="1" customHeight="1">
      <c r="M1205" s="820"/>
      <c r="N1205" s="239"/>
      <c r="O1205" s="225"/>
      <c r="P1205" s="260"/>
      <c r="Q1205" s="258"/>
      <c r="R1205" s="260"/>
      <c r="S1205" s="260"/>
      <c r="T1205" s="260"/>
      <c r="U1205" s="260"/>
      <c r="V1205" s="260"/>
      <c r="W1205" s="260"/>
      <c r="X1205" s="260"/>
      <c r="Y1205" s="260"/>
      <c r="Z1205" s="260"/>
      <c r="AA1205" s="260"/>
      <c r="AB1205" s="260"/>
      <c r="AC1205" s="260"/>
      <c r="AD1205" s="260"/>
      <c r="AE1205" s="260"/>
      <c r="AF1205" s="260"/>
      <c r="AG1205" s="258"/>
    </row>
    <row r="1206" spans="13:33" ht="12" hidden="1" customHeight="1">
      <c r="M1206" s="820"/>
      <c r="N1206" s="239"/>
      <c r="O1206" s="225"/>
      <c r="P1206" s="260"/>
      <c r="Q1206" s="258"/>
      <c r="R1206" s="260"/>
      <c r="S1206" s="260"/>
      <c r="T1206" s="260"/>
      <c r="U1206" s="260"/>
      <c r="V1206" s="260"/>
      <c r="W1206" s="260"/>
      <c r="X1206" s="260"/>
      <c r="Y1206" s="260"/>
      <c r="Z1206" s="260"/>
      <c r="AA1206" s="260"/>
      <c r="AB1206" s="260"/>
      <c r="AC1206" s="260"/>
      <c r="AD1206" s="260"/>
      <c r="AE1206" s="260"/>
      <c r="AF1206" s="260"/>
      <c r="AG1206" s="258"/>
    </row>
    <row r="1207" spans="13:33" ht="12" hidden="1" customHeight="1">
      <c r="M1207" s="820"/>
      <c r="N1207" s="239"/>
      <c r="O1207" s="225"/>
      <c r="P1207" s="260"/>
      <c r="Q1207" s="258"/>
      <c r="R1207" s="260"/>
      <c r="S1207" s="260"/>
      <c r="T1207" s="260"/>
      <c r="U1207" s="260"/>
      <c r="V1207" s="260"/>
      <c r="W1207" s="260"/>
      <c r="X1207" s="260"/>
      <c r="Y1207" s="260"/>
      <c r="Z1207" s="260"/>
      <c r="AA1207" s="260"/>
      <c r="AB1207" s="260"/>
      <c r="AC1207" s="260"/>
      <c r="AD1207" s="260"/>
      <c r="AE1207" s="260"/>
      <c r="AF1207" s="260"/>
      <c r="AG1207" s="258"/>
    </row>
    <row r="1208" spans="13:33" ht="12" hidden="1" customHeight="1">
      <c r="M1208" s="820"/>
      <c r="N1208" s="239"/>
      <c r="O1208" s="225"/>
      <c r="P1208" s="260"/>
      <c r="Q1208" s="258"/>
      <c r="R1208" s="260"/>
      <c r="S1208" s="260"/>
      <c r="T1208" s="260"/>
      <c r="U1208" s="260"/>
      <c r="V1208" s="260"/>
      <c r="W1208" s="260"/>
      <c r="X1208" s="260"/>
      <c r="Y1208" s="260"/>
      <c r="Z1208" s="260"/>
      <c r="AA1208" s="260"/>
      <c r="AB1208" s="260"/>
      <c r="AC1208" s="260"/>
      <c r="AD1208" s="260"/>
      <c r="AE1208" s="260"/>
      <c r="AF1208" s="260"/>
      <c r="AG1208" s="258"/>
    </row>
    <row r="1209" spans="13:33" ht="12" hidden="1" customHeight="1">
      <c r="M1209" s="820"/>
      <c r="N1209" s="239"/>
      <c r="O1209" s="225"/>
      <c r="P1209" s="260"/>
      <c r="Q1209" s="258"/>
      <c r="R1209" s="260"/>
      <c r="S1209" s="260"/>
      <c r="T1209" s="260"/>
      <c r="U1209" s="260"/>
      <c r="V1209" s="260"/>
      <c r="W1209" s="260"/>
      <c r="X1209" s="260"/>
      <c r="Y1209" s="260"/>
      <c r="Z1209" s="260"/>
      <c r="AA1209" s="260"/>
      <c r="AB1209" s="260"/>
      <c r="AC1209" s="260"/>
      <c r="AD1209" s="260"/>
      <c r="AE1209" s="260"/>
      <c r="AF1209" s="260"/>
      <c r="AG1209" s="258"/>
    </row>
    <row r="1210" spans="13:33" ht="12" hidden="1" customHeight="1">
      <c r="M1210" s="820"/>
      <c r="N1210" s="239"/>
      <c r="O1210" s="225"/>
      <c r="P1210" s="260"/>
      <c r="Q1210" s="258"/>
      <c r="R1210" s="260"/>
      <c r="S1210" s="260"/>
      <c r="T1210" s="260"/>
      <c r="U1210" s="260"/>
      <c r="V1210" s="260"/>
      <c r="W1210" s="260"/>
      <c r="X1210" s="260"/>
      <c r="Y1210" s="260"/>
      <c r="Z1210" s="260"/>
      <c r="AA1210" s="260"/>
      <c r="AB1210" s="260"/>
      <c r="AC1210" s="260"/>
      <c r="AD1210" s="260"/>
      <c r="AE1210" s="260"/>
      <c r="AF1210" s="260"/>
      <c r="AG1210" s="258"/>
    </row>
    <row r="1211" spans="13:33" ht="12" hidden="1" customHeight="1">
      <c r="M1211" s="820"/>
      <c r="N1211" s="239"/>
      <c r="O1211" s="225"/>
      <c r="P1211" s="260"/>
      <c r="Q1211" s="258"/>
      <c r="R1211" s="260"/>
      <c r="S1211" s="260"/>
      <c r="T1211" s="260"/>
      <c r="U1211" s="260"/>
      <c r="V1211" s="260"/>
      <c r="W1211" s="260"/>
      <c r="X1211" s="260"/>
      <c r="Y1211" s="260"/>
      <c r="Z1211" s="260"/>
      <c r="AA1211" s="260"/>
      <c r="AB1211" s="260"/>
      <c r="AC1211" s="260"/>
      <c r="AD1211" s="260"/>
      <c r="AE1211" s="260"/>
      <c r="AF1211" s="260"/>
      <c r="AG1211" s="258"/>
    </row>
    <row r="1212" spans="13:33" ht="12" hidden="1" customHeight="1">
      <c r="M1212" s="820"/>
      <c r="N1212" s="239"/>
      <c r="O1212" s="225"/>
      <c r="P1212" s="260"/>
      <c r="Q1212" s="258"/>
      <c r="R1212" s="260"/>
      <c r="S1212" s="260"/>
      <c r="T1212" s="260"/>
      <c r="U1212" s="260"/>
      <c r="V1212" s="260"/>
      <c r="W1212" s="260"/>
      <c r="X1212" s="260"/>
      <c r="Y1212" s="260"/>
      <c r="Z1212" s="260"/>
      <c r="AA1212" s="260"/>
      <c r="AB1212" s="260"/>
      <c r="AC1212" s="260"/>
      <c r="AD1212" s="260"/>
      <c r="AE1212" s="260"/>
      <c r="AF1212" s="260"/>
      <c r="AG1212" s="258"/>
    </row>
    <row r="1213" spans="13:33" ht="12" hidden="1" customHeight="1">
      <c r="M1213" s="820"/>
      <c r="N1213" s="239"/>
      <c r="O1213" s="225"/>
      <c r="P1213" s="260"/>
      <c r="Q1213" s="258"/>
      <c r="R1213" s="260"/>
      <c r="S1213" s="260"/>
      <c r="T1213" s="260"/>
      <c r="U1213" s="260"/>
      <c r="V1213" s="260"/>
      <c r="W1213" s="260"/>
      <c r="X1213" s="260"/>
      <c r="Y1213" s="260"/>
      <c r="Z1213" s="260"/>
      <c r="AA1213" s="260"/>
      <c r="AB1213" s="260"/>
      <c r="AC1213" s="260"/>
      <c r="AD1213" s="260"/>
      <c r="AE1213" s="260"/>
      <c r="AF1213" s="260"/>
      <c r="AG1213" s="258"/>
    </row>
    <row r="1214" spans="13:33" ht="12" hidden="1" customHeight="1">
      <c r="M1214" s="820"/>
      <c r="N1214" s="239"/>
      <c r="O1214" s="225"/>
      <c r="P1214" s="260"/>
      <c r="Q1214" s="258"/>
      <c r="R1214" s="260"/>
      <c r="S1214" s="260"/>
      <c r="T1214" s="260"/>
      <c r="U1214" s="260"/>
      <c r="V1214" s="260"/>
      <c r="W1214" s="260"/>
      <c r="X1214" s="260"/>
      <c r="Y1214" s="260"/>
      <c r="Z1214" s="260"/>
      <c r="AA1214" s="260"/>
      <c r="AB1214" s="260"/>
      <c r="AC1214" s="260"/>
      <c r="AD1214" s="260"/>
      <c r="AE1214" s="260"/>
      <c r="AF1214" s="260"/>
      <c r="AG1214" s="258"/>
    </row>
    <row r="1215" spans="13:33" ht="12" hidden="1" customHeight="1">
      <c r="M1215" s="820"/>
      <c r="N1215" s="239"/>
      <c r="O1215" s="225"/>
      <c r="P1215" s="260"/>
      <c r="Q1215" s="258"/>
      <c r="R1215" s="260"/>
      <c r="S1215" s="260"/>
      <c r="T1215" s="260"/>
      <c r="U1215" s="260"/>
      <c r="V1215" s="260"/>
      <c r="W1215" s="260"/>
      <c r="X1215" s="260"/>
      <c r="Y1215" s="260"/>
      <c r="Z1215" s="260"/>
      <c r="AA1215" s="260"/>
      <c r="AB1215" s="260"/>
      <c r="AC1215" s="260"/>
      <c r="AD1215" s="260"/>
      <c r="AE1215" s="260"/>
      <c r="AF1215" s="260"/>
      <c r="AG1215" s="258"/>
    </row>
    <row r="1216" spans="13:33" ht="12" hidden="1" customHeight="1">
      <c r="M1216" s="820"/>
      <c r="N1216" s="239"/>
      <c r="O1216" s="225"/>
      <c r="P1216" s="260"/>
      <c r="Q1216" s="258"/>
      <c r="R1216" s="260"/>
      <c r="S1216" s="260"/>
      <c r="T1216" s="260"/>
      <c r="U1216" s="260"/>
      <c r="V1216" s="260"/>
      <c r="W1216" s="260"/>
      <c r="X1216" s="260"/>
      <c r="Y1216" s="260"/>
      <c r="Z1216" s="260"/>
      <c r="AA1216" s="260"/>
      <c r="AB1216" s="260"/>
      <c r="AC1216" s="260"/>
      <c r="AD1216" s="260"/>
      <c r="AE1216" s="260"/>
      <c r="AF1216" s="260"/>
      <c r="AG1216" s="258"/>
    </row>
    <row r="1217" spans="13:33" ht="12" hidden="1" customHeight="1">
      <c r="M1217" s="820"/>
      <c r="N1217" s="239"/>
      <c r="O1217" s="225"/>
      <c r="P1217" s="260"/>
      <c r="Q1217" s="258"/>
      <c r="R1217" s="260"/>
      <c r="S1217" s="260"/>
      <c r="T1217" s="260"/>
      <c r="U1217" s="260"/>
      <c r="V1217" s="260"/>
      <c r="W1217" s="260"/>
      <c r="X1217" s="260"/>
      <c r="Y1217" s="260"/>
      <c r="Z1217" s="260"/>
      <c r="AA1217" s="260"/>
      <c r="AB1217" s="260"/>
      <c r="AC1217" s="260"/>
      <c r="AD1217" s="260"/>
      <c r="AE1217" s="260"/>
      <c r="AF1217" s="260"/>
      <c r="AG1217" s="258"/>
    </row>
    <row r="1218" spans="13:33" ht="12" hidden="1" customHeight="1">
      <c r="M1218" s="820"/>
      <c r="N1218" s="239"/>
      <c r="O1218" s="225"/>
      <c r="P1218" s="260"/>
      <c r="Q1218" s="258"/>
      <c r="R1218" s="260"/>
      <c r="S1218" s="260"/>
      <c r="T1218" s="260"/>
      <c r="U1218" s="260"/>
      <c r="V1218" s="260"/>
      <c r="W1218" s="260"/>
      <c r="X1218" s="260"/>
      <c r="Y1218" s="260"/>
      <c r="Z1218" s="260"/>
      <c r="AA1218" s="260"/>
      <c r="AB1218" s="260"/>
      <c r="AC1218" s="260"/>
      <c r="AD1218" s="260"/>
      <c r="AE1218" s="260"/>
      <c r="AF1218" s="260"/>
      <c r="AG1218" s="258"/>
    </row>
    <row r="1219" spans="13:33" ht="12" hidden="1" customHeight="1">
      <c r="M1219" s="820"/>
      <c r="N1219" s="239"/>
      <c r="O1219" s="225"/>
      <c r="P1219" s="260"/>
      <c r="Q1219" s="258"/>
      <c r="R1219" s="260"/>
      <c r="S1219" s="260"/>
      <c r="T1219" s="260"/>
      <c r="U1219" s="260"/>
      <c r="V1219" s="260"/>
      <c r="W1219" s="260"/>
      <c r="X1219" s="260"/>
      <c r="Y1219" s="260"/>
      <c r="Z1219" s="260"/>
      <c r="AA1219" s="260"/>
      <c r="AB1219" s="260"/>
      <c r="AC1219" s="260"/>
      <c r="AD1219" s="260"/>
      <c r="AE1219" s="260"/>
      <c r="AF1219" s="260"/>
      <c r="AG1219" s="258"/>
    </row>
    <row r="1220" spans="13:33" ht="12" hidden="1" customHeight="1">
      <c r="M1220" s="820"/>
      <c r="N1220" s="239"/>
      <c r="O1220" s="225"/>
      <c r="P1220" s="260"/>
      <c r="Q1220" s="258"/>
      <c r="R1220" s="260"/>
      <c r="S1220" s="260"/>
      <c r="T1220" s="260"/>
      <c r="U1220" s="260"/>
      <c r="V1220" s="260"/>
      <c r="W1220" s="260"/>
      <c r="X1220" s="260"/>
      <c r="Y1220" s="260"/>
      <c r="Z1220" s="260"/>
      <c r="AA1220" s="260"/>
      <c r="AB1220" s="260"/>
      <c r="AC1220" s="260"/>
      <c r="AD1220" s="260"/>
      <c r="AE1220" s="260"/>
      <c r="AF1220" s="260"/>
      <c r="AG1220" s="258"/>
    </row>
    <row r="1221" spans="13:33" ht="12" hidden="1" customHeight="1">
      <c r="M1221" s="820"/>
      <c r="N1221" s="239"/>
      <c r="O1221" s="225"/>
      <c r="P1221" s="260"/>
      <c r="Q1221" s="258"/>
      <c r="R1221" s="260"/>
      <c r="S1221" s="260"/>
      <c r="T1221" s="260"/>
      <c r="U1221" s="260"/>
      <c r="V1221" s="260"/>
      <c r="W1221" s="260"/>
      <c r="X1221" s="260"/>
      <c r="Y1221" s="260"/>
      <c r="Z1221" s="260"/>
      <c r="AA1221" s="260"/>
      <c r="AB1221" s="260"/>
      <c r="AC1221" s="260"/>
      <c r="AD1221" s="260"/>
      <c r="AE1221" s="260"/>
      <c r="AF1221" s="260"/>
      <c r="AG1221" s="258"/>
    </row>
    <row r="1222" spans="13:33" ht="12" hidden="1" customHeight="1">
      <c r="M1222" s="820"/>
      <c r="N1222" s="239"/>
      <c r="O1222" s="225"/>
      <c r="P1222" s="260"/>
      <c r="Q1222" s="258"/>
      <c r="R1222" s="260"/>
      <c r="S1222" s="260"/>
      <c r="T1222" s="260"/>
      <c r="U1222" s="260"/>
      <c r="V1222" s="260"/>
      <c r="W1222" s="260"/>
      <c r="X1222" s="260"/>
      <c r="Y1222" s="260"/>
      <c r="Z1222" s="260"/>
      <c r="AA1222" s="260"/>
      <c r="AB1222" s="260"/>
      <c r="AC1222" s="260"/>
      <c r="AD1222" s="260"/>
      <c r="AE1222" s="260"/>
      <c r="AF1222" s="260"/>
      <c r="AG1222" s="258"/>
    </row>
    <row r="1223" spans="13:33" ht="12" hidden="1" customHeight="1">
      <c r="M1223" s="820"/>
      <c r="N1223" s="239"/>
      <c r="O1223" s="225"/>
      <c r="P1223" s="260"/>
      <c r="Q1223" s="258"/>
      <c r="R1223" s="260"/>
      <c r="S1223" s="260"/>
      <c r="T1223" s="260"/>
      <c r="U1223" s="260"/>
      <c r="V1223" s="260"/>
      <c r="W1223" s="260"/>
      <c r="X1223" s="260"/>
      <c r="Y1223" s="260"/>
      <c r="Z1223" s="260"/>
      <c r="AA1223" s="260"/>
      <c r="AB1223" s="260"/>
      <c r="AC1223" s="260"/>
      <c r="AD1223" s="260"/>
      <c r="AE1223" s="260"/>
      <c r="AF1223" s="260"/>
      <c r="AG1223" s="258"/>
    </row>
    <row r="1224" spans="13:33" ht="12" hidden="1" customHeight="1">
      <c r="M1224" s="820"/>
      <c r="N1224" s="239"/>
      <c r="O1224" s="225"/>
      <c r="P1224" s="260"/>
      <c r="Q1224" s="258"/>
      <c r="R1224" s="260"/>
      <c r="S1224" s="260"/>
      <c r="T1224" s="260"/>
      <c r="U1224" s="260"/>
      <c r="V1224" s="260"/>
      <c r="W1224" s="260"/>
      <c r="X1224" s="260"/>
      <c r="Y1224" s="260"/>
      <c r="Z1224" s="260"/>
      <c r="AA1224" s="260"/>
      <c r="AB1224" s="260"/>
      <c r="AC1224" s="260"/>
      <c r="AD1224" s="260"/>
      <c r="AE1224" s="260"/>
      <c r="AF1224" s="260"/>
      <c r="AG1224" s="258"/>
    </row>
    <row r="1225" spans="13:33" ht="12" hidden="1" customHeight="1">
      <c r="M1225" s="820"/>
      <c r="N1225" s="239"/>
      <c r="O1225" s="225"/>
      <c r="P1225" s="260"/>
      <c r="Q1225" s="258"/>
      <c r="R1225" s="260"/>
      <c r="S1225" s="260"/>
      <c r="T1225" s="260"/>
      <c r="U1225" s="260"/>
      <c r="V1225" s="260"/>
      <c r="W1225" s="260"/>
      <c r="X1225" s="260"/>
      <c r="Y1225" s="260"/>
      <c r="Z1225" s="260"/>
      <c r="AA1225" s="260"/>
      <c r="AB1225" s="260"/>
      <c r="AC1225" s="260"/>
      <c r="AD1225" s="260"/>
      <c r="AE1225" s="260"/>
      <c r="AF1225" s="260"/>
      <c r="AG1225" s="258"/>
    </row>
    <row r="1226" spans="13:33" ht="12" hidden="1" customHeight="1">
      <c r="M1226" s="820"/>
      <c r="N1226" s="239"/>
      <c r="O1226" s="225"/>
      <c r="P1226" s="260"/>
      <c r="Q1226" s="258"/>
      <c r="R1226" s="260"/>
      <c r="S1226" s="260"/>
      <c r="T1226" s="260"/>
      <c r="U1226" s="260"/>
      <c r="V1226" s="260"/>
      <c r="W1226" s="260"/>
      <c r="X1226" s="260"/>
      <c r="Y1226" s="260"/>
      <c r="Z1226" s="260"/>
      <c r="AA1226" s="260"/>
      <c r="AB1226" s="260"/>
      <c r="AC1226" s="260"/>
      <c r="AD1226" s="260"/>
      <c r="AE1226" s="260"/>
      <c r="AF1226" s="260"/>
      <c r="AG1226" s="258"/>
    </row>
    <row r="1227" spans="13:33" ht="12" hidden="1" customHeight="1">
      <c r="M1227" s="820"/>
      <c r="N1227" s="239"/>
      <c r="O1227" s="225"/>
      <c r="P1227" s="260"/>
      <c r="Q1227" s="258"/>
      <c r="R1227" s="260"/>
      <c r="S1227" s="260"/>
      <c r="T1227" s="260"/>
      <c r="U1227" s="260"/>
      <c r="V1227" s="260"/>
      <c r="W1227" s="260"/>
      <c r="X1227" s="260"/>
      <c r="Y1227" s="260"/>
      <c r="Z1227" s="260"/>
      <c r="AA1227" s="260"/>
      <c r="AB1227" s="260"/>
      <c r="AC1227" s="260"/>
      <c r="AD1227" s="260"/>
      <c r="AE1227" s="260"/>
      <c r="AF1227" s="260"/>
      <c r="AG1227" s="258"/>
    </row>
    <row r="1228" spans="13:33" ht="12" hidden="1" customHeight="1">
      <c r="M1228" s="820"/>
      <c r="N1228" s="239"/>
      <c r="O1228" s="225"/>
      <c r="P1228" s="260"/>
      <c r="Q1228" s="258"/>
      <c r="R1228" s="260"/>
      <c r="S1228" s="260"/>
      <c r="T1228" s="260"/>
      <c r="U1228" s="260"/>
      <c r="V1228" s="260"/>
      <c r="W1228" s="260"/>
      <c r="X1228" s="260"/>
      <c r="Y1228" s="260"/>
      <c r="Z1228" s="260"/>
      <c r="AA1228" s="260"/>
      <c r="AB1228" s="260"/>
      <c r="AC1228" s="260"/>
      <c r="AD1228" s="260"/>
      <c r="AE1228" s="260"/>
      <c r="AF1228" s="260"/>
      <c r="AG1228" s="258"/>
    </row>
    <row r="1229" spans="13:33" ht="12" hidden="1" customHeight="1">
      <c r="M1229" s="820"/>
      <c r="N1229" s="239"/>
      <c r="O1229" s="225"/>
      <c r="P1229" s="260"/>
      <c r="Q1229" s="258"/>
      <c r="R1229" s="260"/>
      <c r="S1229" s="260"/>
      <c r="T1229" s="260"/>
      <c r="U1229" s="260"/>
      <c r="V1229" s="260"/>
      <c r="W1229" s="260"/>
      <c r="X1229" s="260"/>
      <c r="Y1229" s="260"/>
      <c r="Z1229" s="260"/>
      <c r="AA1229" s="260"/>
      <c r="AB1229" s="260"/>
      <c r="AC1229" s="260"/>
      <c r="AD1229" s="260"/>
      <c r="AE1229" s="260"/>
      <c r="AF1229" s="260"/>
      <c r="AG1229" s="258"/>
    </row>
    <row r="1230" spans="13:33" ht="12" hidden="1" customHeight="1">
      <c r="M1230" s="820"/>
      <c r="N1230" s="239"/>
      <c r="O1230" s="225"/>
      <c r="P1230" s="260"/>
      <c r="Q1230" s="258"/>
      <c r="R1230" s="260"/>
      <c r="S1230" s="260"/>
      <c r="T1230" s="260"/>
      <c r="U1230" s="260"/>
      <c r="V1230" s="260"/>
      <c r="W1230" s="260"/>
      <c r="X1230" s="260"/>
      <c r="Y1230" s="260"/>
      <c r="Z1230" s="260"/>
      <c r="AA1230" s="260"/>
      <c r="AB1230" s="260"/>
      <c r="AC1230" s="260"/>
      <c r="AD1230" s="260"/>
      <c r="AE1230" s="260"/>
      <c r="AF1230" s="260"/>
      <c r="AG1230" s="258"/>
    </row>
    <row r="1231" spans="13:33" ht="12" hidden="1" customHeight="1">
      <c r="M1231" s="820"/>
      <c r="N1231" s="239"/>
      <c r="O1231" s="225"/>
      <c r="P1231" s="260"/>
      <c r="Q1231" s="258"/>
      <c r="R1231" s="260"/>
      <c r="S1231" s="260"/>
      <c r="T1231" s="260"/>
      <c r="U1231" s="260"/>
      <c r="V1231" s="260"/>
      <c r="W1231" s="260"/>
      <c r="X1231" s="260"/>
      <c r="Y1231" s="260"/>
      <c r="Z1231" s="260"/>
      <c r="AA1231" s="260"/>
      <c r="AB1231" s="260"/>
      <c r="AC1231" s="260"/>
      <c r="AD1231" s="260"/>
      <c r="AE1231" s="260"/>
      <c r="AF1231" s="260"/>
      <c r="AG1231" s="258"/>
    </row>
    <row r="1232" spans="13:33" ht="12" hidden="1" customHeight="1">
      <c r="M1232" s="820"/>
      <c r="N1232" s="239"/>
      <c r="O1232" s="225"/>
      <c r="P1232" s="260"/>
      <c r="Q1232" s="258"/>
      <c r="R1232" s="260"/>
      <c r="S1232" s="260"/>
      <c r="T1232" s="260"/>
      <c r="U1232" s="260"/>
      <c r="V1232" s="260"/>
      <c r="W1232" s="260"/>
      <c r="X1232" s="260"/>
      <c r="Y1232" s="260"/>
      <c r="Z1232" s="260"/>
      <c r="AA1232" s="260"/>
      <c r="AB1232" s="260"/>
      <c r="AC1232" s="260"/>
      <c r="AD1232" s="260"/>
      <c r="AE1232" s="260"/>
      <c r="AF1232" s="260"/>
      <c r="AG1232" s="258"/>
    </row>
    <row r="1233" spans="13:33" ht="12" hidden="1" customHeight="1">
      <c r="M1233" s="820"/>
      <c r="N1233" s="239"/>
      <c r="O1233" s="225"/>
      <c r="P1233" s="260"/>
      <c r="Q1233" s="258"/>
      <c r="R1233" s="260"/>
      <c r="S1233" s="260"/>
      <c r="T1233" s="260"/>
      <c r="U1233" s="260"/>
      <c r="V1233" s="260"/>
      <c r="W1233" s="260"/>
      <c r="X1233" s="260"/>
      <c r="Y1233" s="260"/>
      <c r="Z1233" s="260"/>
      <c r="AA1233" s="260"/>
      <c r="AB1233" s="260"/>
      <c r="AC1233" s="260"/>
      <c r="AD1233" s="260"/>
      <c r="AE1233" s="260"/>
      <c r="AF1233" s="260"/>
      <c r="AG1233" s="258"/>
    </row>
    <row r="1234" spans="13:33" ht="12" hidden="1" customHeight="1">
      <c r="M1234" s="820"/>
      <c r="N1234" s="239"/>
      <c r="O1234" s="225"/>
      <c r="P1234" s="260"/>
      <c r="Q1234" s="258"/>
      <c r="R1234" s="260"/>
      <c r="S1234" s="260"/>
      <c r="T1234" s="260"/>
      <c r="U1234" s="260"/>
      <c r="V1234" s="260"/>
      <c r="W1234" s="260"/>
      <c r="X1234" s="260"/>
      <c r="Y1234" s="260"/>
      <c r="Z1234" s="260"/>
      <c r="AA1234" s="260"/>
      <c r="AB1234" s="260"/>
      <c r="AC1234" s="260"/>
      <c r="AD1234" s="260"/>
      <c r="AE1234" s="260"/>
      <c r="AF1234" s="260"/>
      <c r="AG1234" s="258"/>
    </row>
    <row r="1235" spans="13:33" ht="12" hidden="1" customHeight="1">
      <c r="M1235" s="820"/>
      <c r="N1235" s="239"/>
      <c r="O1235" s="225"/>
      <c r="P1235" s="260"/>
      <c r="Q1235" s="258"/>
      <c r="R1235" s="260"/>
      <c r="S1235" s="260"/>
      <c r="T1235" s="260"/>
      <c r="U1235" s="260"/>
      <c r="V1235" s="260"/>
      <c r="W1235" s="260"/>
      <c r="X1235" s="260"/>
      <c r="Y1235" s="260"/>
      <c r="Z1235" s="260"/>
      <c r="AA1235" s="260"/>
      <c r="AB1235" s="260"/>
      <c r="AC1235" s="260"/>
      <c r="AD1235" s="260"/>
      <c r="AE1235" s="260"/>
      <c r="AF1235" s="260"/>
      <c r="AG1235" s="258"/>
    </row>
    <row r="1236" spans="13:33" ht="12" hidden="1" customHeight="1">
      <c r="M1236" s="820"/>
      <c r="N1236" s="239"/>
      <c r="O1236" s="225"/>
      <c r="P1236" s="260"/>
      <c r="Q1236" s="258"/>
      <c r="R1236" s="260"/>
      <c r="S1236" s="260"/>
      <c r="T1236" s="260"/>
      <c r="U1236" s="260"/>
      <c r="V1236" s="260"/>
      <c r="W1236" s="260"/>
      <c r="X1236" s="260"/>
      <c r="Y1236" s="260"/>
      <c r="Z1236" s="260"/>
      <c r="AA1236" s="260"/>
      <c r="AB1236" s="260"/>
      <c r="AC1236" s="260"/>
      <c r="AD1236" s="260"/>
      <c r="AE1236" s="260"/>
      <c r="AF1236" s="260"/>
      <c r="AG1236" s="258"/>
    </row>
    <row r="1237" spans="13:33" ht="12" hidden="1" customHeight="1">
      <c r="M1237" s="820"/>
      <c r="N1237" s="239"/>
      <c r="O1237" s="225"/>
      <c r="P1237" s="260"/>
      <c r="Q1237" s="258"/>
      <c r="R1237" s="260"/>
      <c r="S1237" s="260"/>
      <c r="T1237" s="260"/>
      <c r="U1237" s="260"/>
      <c r="V1237" s="260"/>
      <c r="W1237" s="260"/>
      <c r="X1237" s="260"/>
      <c r="Y1237" s="260"/>
      <c r="Z1237" s="260"/>
      <c r="AA1237" s="260"/>
      <c r="AB1237" s="260"/>
      <c r="AC1237" s="260"/>
      <c r="AD1237" s="260"/>
      <c r="AE1237" s="260"/>
      <c r="AF1237" s="260"/>
      <c r="AG1237" s="258"/>
    </row>
    <row r="1238" spans="13:33" ht="12" hidden="1" customHeight="1">
      <c r="M1238" s="820"/>
      <c r="N1238" s="239"/>
      <c r="O1238" s="225"/>
      <c r="P1238" s="260"/>
      <c r="Q1238" s="258"/>
      <c r="R1238" s="260"/>
      <c r="S1238" s="260"/>
      <c r="T1238" s="260"/>
      <c r="U1238" s="260"/>
      <c r="V1238" s="260"/>
      <c r="W1238" s="260"/>
      <c r="X1238" s="260"/>
      <c r="Y1238" s="260"/>
      <c r="Z1238" s="260"/>
      <c r="AA1238" s="260"/>
      <c r="AB1238" s="260"/>
      <c r="AC1238" s="260"/>
      <c r="AD1238" s="260"/>
      <c r="AE1238" s="260"/>
      <c r="AF1238" s="260"/>
      <c r="AG1238" s="258"/>
    </row>
    <row r="1239" spans="13:33" ht="12" hidden="1" customHeight="1">
      <c r="M1239" s="820"/>
      <c r="N1239" s="239"/>
      <c r="O1239" s="225"/>
      <c r="P1239" s="260"/>
      <c r="Q1239" s="258"/>
      <c r="R1239" s="260"/>
      <c r="S1239" s="260"/>
      <c r="T1239" s="260"/>
      <c r="U1239" s="260"/>
      <c r="V1239" s="260"/>
      <c r="W1239" s="260"/>
      <c r="X1239" s="260"/>
      <c r="Y1239" s="260"/>
      <c r="Z1239" s="260"/>
      <c r="AA1239" s="260"/>
      <c r="AB1239" s="260"/>
      <c r="AC1239" s="260"/>
      <c r="AD1239" s="260"/>
      <c r="AE1239" s="260"/>
      <c r="AF1239" s="260"/>
      <c r="AG1239" s="258"/>
    </row>
    <row r="1240" spans="13:33" ht="12" hidden="1" customHeight="1">
      <c r="M1240" s="820"/>
      <c r="N1240" s="239"/>
      <c r="O1240" s="225"/>
      <c r="P1240" s="260"/>
      <c r="Q1240" s="258"/>
      <c r="R1240" s="260"/>
      <c r="S1240" s="260"/>
      <c r="T1240" s="260"/>
      <c r="U1240" s="260"/>
      <c r="V1240" s="260"/>
      <c r="W1240" s="260"/>
      <c r="X1240" s="260"/>
      <c r="Y1240" s="260"/>
      <c r="Z1240" s="260"/>
      <c r="AA1240" s="260"/>
      <c r="AB1240" s="260"/>
      <c r="AC1240" s="260"/>
      <c r="AD1240" s="260"/>
      <c r="AE1240" s="260"/>
      <c r="AF1240" s="260"/>
      <c r="AG1240" s="258"/>
    </row>
    <row r="1241" spans="13:33" ht="12" hidden="1" customHeight="1">
      <c r="M1241" s="820"/>
      <c r="N1241" s="239"/>
      <c r="O1241" s="225"/>
      <c r="P1241" s="260"/>
      <c r="Q1241" s="258"/>
      <c r="R1241" s="260"/>
      <c r="S1241" s="260"/>
      <c r="T1241" s="260"/>
      <c r="U1241" s="260"/>
      <c r="V1241" s="260"/>
      <c r="W1241" s="260"/>
      <c r="X1241" s="260"/>
      <c r="Y1241" s="260"/>
      <c r="Z1241" s="260"/>
      <c r="AA1241" s="260"/>
      <c r="AB1241" s="260"/>
      <c r="AC1241" s="260"/>
      <c r="AD1241" s="260"/>
      <c r="AE1241" s="260"/>
      <c r="AF1241" s="260"/>
      <c r="AG1241" s="258"/>
    </row>
    <row r="1242" spans="13:33" ht="12" hidden="1" customHeight="1">
      <c r="M1242" s="820"/>
      <c r="N1242" s="239"/>
      <c r="O1242" s="225"/>
      <c r="P1242" s="260"/>
      <c r="Q1242" s="258"/>
      <c r="R1242" s="260"/>
      <c r="S1242" s="260"/>
      <c r="T1242" s="260"/>
      <c r="U1242" s="260"/>
      <c r="V1242" s="260"/>
      <c r="W1242" s="260"/>
      <c r="X1242" s="260"/>
      <c r="Y1242" s="260"/>
      <c r="Z1242" s="260"/>
      <c r="AA1242" s="260"/>
      <c r="AB1242" s="260"/>
      <c r="AC1242" s="260"/>
      <c r="AD1242" s="260"/>
      <c r="AE1242" s="260"/>
      <c r="AF1242" s="260"/>
      <c r="AG1242" s="258"/>
    </row>
    <row r="1243" spans="13:33" ht="12" hidden="1" customHeight="1">
      <c r="M1243" s="820"/>
      <c r="N1243" s="239"/>
      <c r="O1243" s="225"/>
      <c r="P1243" s="260"/>
      <c r="Q1243" s="258"/>
      <c r="R1243" s="260"/>
      <c r="S1243" s="260"/>
      <c r="T1243" s="260"/>
      <c r="U1243" s="260"/>
      <c r="V1243" s="260"/>
      <c r="W1243" s="260"/>
      <c r="X1243" s="260"/>
      <c r="Y1243" s="260"/>
      <c r="Z1243" s="260"/>
      <c r="AA1243" s="260"/>
      <c r="AB1243" s="260"/>
      <c r="AC1243" s="260"/>
      <c r="AD1243" s="260"/>
      <c r="AE1243" s="260"/>
      <c r="AF1243" s="260"/>
      <c r="AG1243" s="258"/>
    </row>
    <row r="1244" spans="13:33" ht="12" hidden="1" customHeight="1">
      <c r="M1244" s="820"/>
      <c r="N1244" s="239"/>
      <c r="O1244" s="225"/>
      <c r="P1244" s="260"/>
      <c r="Q1244" s="258"/>
      <c r="R1244" s="260"/>
      <c r="S1244" s="260"/>
      <c r="T1244" s="260"/>
      <c r="U1244" s="260"/>
      <c r="V1244" s="260"/>
      <c r="W1244" s="260"/>
      <c r="X1244" s="260"/>
      <c r="Y1244" s="260"/>
      <c r="Z1244" s="260"/>
      <c r="AA1244" s="260"/>
      <c r="AB1244" s="260"/>
      <c r="AC1244" s="260"/>
      <c r="AD1244" s="260"/>
      <c r="AE1244" s="260"/>
      <c r="AF1244" s="260"/>
      <c r="AG1244" s="258"/>
    </row>
    <row r="1245" spans="13:33" ht="12" hidden="1" customHeight="1">
      <c r="M1245" s="820"/>
      <c r="N1245" s="239"/>
      <c r="O1245" s="225"/>
      <c r="P1245" s="260"/>
      <c r="Q1245" s="258"/>
      <c r="R1245" s="260"/>
      <c r="S1245" s="260"/>
      <c r="T1245" s="260"/>
      <c r="U1245" s="260"/>
      <c r="V1245" s="260"/>
      <c r="W1245" s="260"/>
      <c r="X1245" s="260"/>
      <c r="Y1245" s="260"/>
      <c r="Z1245" s="260"/>
      <c r="AA1245" s="260"/>
      <c r="AB1245" s="260"/>
      <c r="AC1245" s="260"/>
      <c r="AD1245" s="260"/>
      <c r="AE1245" s="260"/>
      <c r="AF1245" s="260"/>
      <c r="AG1245" s="258"/>
    </row>
    <row r="1246" spans="13:33" ht="12" hidden="1" customHeight="1">
      <c r="M1246" s="820"/>
      <c r="N1246" s="239"/>
      <c r="O1246" s="225"/>
      <c r="P1246" s="260"/>
      <c r="Q1246" s="258"/>
      <c r="R1246" s="260"/>
      <c r="S1246" s="260"/>
      <c r="T1246" s="260"/>
      <c r="U1246" s="260"/>
      <c r="V1246" s="260"/>
      <c r="W1246" s="260"/>
      <c r="X1246" s="260"/>
      <c r="Y1246" s="260"/>
      <c r="Z1246" s="260"/>
      <c r="AA1246" s="260"/>
      <c r="AB1246" s="260"/>
      <c r="AC1246" s="260"/>
      <c r="AD1246" s="260"/>
      <c r="AE1246" s="260"/>
      <c r="AF1246" s="260"/>
      <c r="AG1246" s="258"/>
    </row>
    <row r="1247" spans="13:33" ht="12" hidden="1" customHeight="1">
      <c r="M1247" s="820"/>
      <c r="N1247" s="239"/>
      <c r="O1247" s="225"/>
      <c r="P1247" s="260"/>
      <c r="Q1247" s="258"/>
      <c r="R1247" s="260"/>
      <c r="S1247" s="260"/>
      <c r="T1247" s="260"/>
      <c r="U1247" s="260"/>
      <c r="V1247" s="260"/>
      <c r="W1247" s="260"/>
      <c r="X1247" s="260"/>
      <c r="Y1247" s="260"/>
      <c r="Z1247" s="260"/>
      <c r="AA1247" s="260"/>
      <c r="AB1247" s="260"/>
      <c r="AC1247" s="260"/>
      <c r="AD1247" s="260"/>
      <c r="AE1247" s="260"/>
      <c r="AF1247" s="260"/>
      <c r="AG1247" s="258"/>
    </row>
    <row r="1248" spans="13:33" ht="12" hidden="1" customHeight="1">
      <c r="M1248" s="820"/>
      <c r="N1248" s="239"/>
      <c r="O1248" s="225"/>
      <c r="P1248" s="260"/>
      <c r="Q1248" s="258"/>
      <c r="R1248" s="260"/>
      <c r="S1248" s="260"/>
      <c r="T1248" s="260"/>
      <c r="U1248" s="260"/>
      <c r="V1248" s="260"/>
      <c r="W1248" s="260"/>
      <c r="X1248" s="260"/>
      <c r="Y1248" s="260"/>
      <c r="Z1248" s="260"/>
      <c r="AA1248" s="260"/>
      <c r="AB1248" s="260"/>
      <c r="AC1248" s="260"/>
      <c r="AD1248" s="260"/>
      <c r="AE1248" s="260"/>
      <c r="AF1248" s="260"/>
      <c r="AG1248" s="258"/>
    </row>
    <row r="1249" spans="13:33" ht="12" hidden="1" customHeight="1">
      <c r="M1249" s="820"/>
      <c r="N1249" s="239"/>
      <c r="O1249" s="225"/>
      <c r="P1249" s="260"/>
      <c r="Q1249" s="258"/>
      <c r="R1249" s="260"/>
      <c r="S1249" s="260"/>
      <c r="T1249" s="260"/>
      <c r="U1249" s="260"/>
      <c r="V1249" s="260"/>
      <c r="W1249" s="260"/>
      <c r="X1249" s="260"/>
      <c r="Y1249" s="260"/>
      <c r="Z1249" s="260"/>
      <c r="AA1249" s="260"/>
      <c r="AB1249" s="260"/>
      <c r="AC1249" s="260"/>
      <c r="AD1249" s="260"/>
      <c r="AE1249" s="260"/>
      <c r="AF1249" s="260"/>
      <c r="AG1249" s="258"/>
    </row>
    <row r="1250" spans="13:33" ht="12" hidden="1" customHeight="1">
      <c r="M1250" s="820"/>
      <c r="N1250" s="239"/>
      <c r="O1250" s="225"/>
      <c r="P1250" s="260"/>
      <c r="Q1250" s="258"/>
      <c r="R1250" s="260"/>
      <c r="S1250" s="260"/>
      <c r="T1250" s="260"/>
      <c r="U1250" s="260"/>
      <c r="V1250" s="260"/>
      <c r="W1250" s="260"/>
      <c r="X1250" s="260"/>
      <c r="Y1250" s="260"/>
      <c r="Z1250" s="260"/>
      <c r="AA1250" s="260"/>
      <c r="AB1250" s="260"/>
      <c r="AC1250" s="260"/>
      <c r="AD1250" s="260"/>
      <c r="AE1250" s="260"/>
      <c r="AF1250" s="260"/>
      <c r="AG1250" s="258"/>
    </row>
    <row r="1251" spans="13:33" ht="12" hidden="1" customHeight="1">
      <c r="M1251" s="820"/>
      <c r="N1251" s="239"/>
      <c r="O1251" s="225"/>
      <c r="P1251" s="260"/>
      <c r="Q1251" s="258"/>
      <c r="R1251" s="260"/>
      <c r="S1251" s="260"/>
      <c r="T1251" s="260"/>
      <c r="U1251" s="260"/>
      <c r="V1251" s="260"/>
      <c r="W1251" s="260"/>
      <c r="X1251" s="260"/>
      <c r="Y1251" s="260"/>
      <c r="Z1251" s="260"/>
      <c r="AA1251" s="260"/>
      <c r="AB1251" s="260"/>
      <c r="AC1251" s="260"/>
      <c r="AD1251" s="260"/>
      <c r="AE1251" s="260"/>
      <c r="AF1251" s="260"/>
      <c r="AG1251" s="258"/>
    </row>
    <row r="1252" spans="13:33" ht="12" hidden="1" customHeight="1">
      <c r="M1252" s="820"/>
      <c r="N1252" s="239"/>
      <c r="O1252" s="225"/>
      <c r="P1252" s="260"/>
      <c r="Q1252" s="258"/>
      <c r="R1252" s="260"/>
      <c r="S1252" s="260"/>
      <c r="T1252" s="260"/>
      <c r="U1252" s="260"/>
      <c r="V1252" s="260"/>
      <c r="W1252" s="260"/>
      <c r="X1252" s="260"/>
      <c r="Y1252" s="260"/>
      <c r="Z1252" s="260"/>
      <c r="AA1252" s="260"/>
      <c r="AB1252" s="260"/>
      <c r="AC1252" s="260"/>
      <c r="AD1252" s="260"/>
      <c r="AE1252" s="260"/>
      <c r="AF1252" s="260"/>
      <c r="AG1252" s="258"/>
    </row>
    <row r="1253" spans="13:33" ht="12" hidden="1" customHeight="1">
      <c r="M1253" s="820"/>
      <c r="N1253" s="239"/>
      <c r="O1253" s="225"/>
      <c r="P1253" s="260"/>
      <c r="Q1253" s="258"/>
      <c r="R1253" s="260"/>
      <c r="S1253" s="260"/>
      <c r="T1253" s="260"/>
      <c r="U1253" s="260"/>
      <c r="V1253" s="260"/>
      <c r="W1253" s="260"/>
      <c r="X1253" s="260"/>
      <c r="Y1253" s="260"/>
      <c r="Z1253" s="260"/>
      <c r="AA1253" s="260"/>
      <c r="AB1253" s="260"/>
      <c r="AC1253" s="260"/>
      <c r="AD1253" s="260"/>
      <c r="AE1253" s="260"/>
      <c r="AF1253" s="260"/>
      <c r="AG1253" s="258"/>
    </row>
    <row r="1254" spans="13:33" ht="12" hidden="1" customHeight="1">
      <c r="M1254" s="820"/>
      <c r="N1254" s="239"/>
      <c r="O1254" s="225"/>
      <c r="P1254" s="260"/>
      <c r="Q1254" s="258"/>
      <c r="R1254" s="260"/>
      <c r="S1254" s="260"/>
      <c r="T1254" s="260"/>
      <c r="U1254" s="260"/>
      <c r="V1254" s="260"/>
      <c r="W1254" s="260"/>
      <c r="X1254" s="260"/>
      <c r="Y1254" s="260"/>
      <c r="Z1254" s="260"/>
      <c r="AA1254" s="260"/>
      <c r="AB1254" s="260"/>
      <c r="AC1254" s="260"/>
      <c r="AD1254" s="260"/>
      <c r="AE1254" s="260"/>
      <c r="AF1254" s="260"/>
      <c r="AG1254" s="258"/>
    </row>
    <row r="1255" spans="13:33" ht="12" hidden="1" customHeight="1">
      <c r="M1255" s="820"/>
      <c r="N1255" s="239"/>
      <c r="O1255" s="225"/>
      <c r="P1255" s="260"/>
      <c r="Q1255" s="258"/>
      <c r="R1255" s="260"/>
      <c r="S1255" s="260"/>
      <c r="T1255" s="260"/>
      <c r="U1255" s="260"/>
      <c r="V1255" s="260"/>
      <c r="W1255" s="260"/>
      <c r="X1255" s="260"/>
      <c r="Y1255" s="260"/>
      <c r="Z1255" s="260"/>
      <c r="AA1255" s="260"/>
      <c r="AB1255" s="260"/>
      <c r="AC1255" s="260"/>
      <c r="AD1255" s="260"/>
      <c r="AE1255" s="260"/>
      <c r="AF1255" s="260"/>
      <c r="AG1255" s="258"/>
    </row>
    <row r="1256" spans="13:33" ht="12" hidden="1" customHeight="1">
      <c r="M1256" s="820"/>
      <c r="N1256" s="239"/>
      <c r="O1256" s="225"/>
      <c r="P1256" s="260"/>
      <c r="Q1256" s="258"/>
      <c r="R1256" s="260"/>
      <c r="S1256" s="260"/>
      <c r="T1256" s="260"/>
      <c r="U1256" s="260"/>
      <c r="V1256" s="260"/>
      <c r="W1256" s="260"/>
      <c r="X1256" s="260"/>
      <c r="Y1256" s="260"/>
      <c r="Z1256" s="260"/>
      <c r="AA1256" s="260"/>
      <c r="AB1256" s="260"/>
      <c r="AC1256" s="260"/>
      <c r="AD1256" s="260"/>
      <c r="AE1256" s="260"/>
      <c r="AF1256" s="260"/>
      <c r="AG1256" s="258"/>
    </row>
    <row r="1257" spans="13:33" ht="12" hidden="1" customHeight="1">
      <c r="M1257" s="820"/>
      <c r="N1257" s="239"/>
      <c r="O1257" s="225"/>
      <c r="P1257" s="260"/>
      <c r="Q1257" s="258"/>
      <c r="R1257" s="260"/>
      <c r="S1257" s="260"/>
      <c r="T1257" s="260"/>
      <c r="U1257" s="260"/>
      <c r="V1257" s="260"/>
      <c r="W1257" s="260"/>
      <c r="X1257" s="260"/>
      <c r="Y1257" s="260"/>
      <c r="Z1257" s="260"/>
      <c r="AA1257" s="260"/>
      <c r="AB1257" s="260"/>
      <c r="AC1257" s="260"/>
      <c r="AD1257" s="260"/>
      <c r="AE1257" s="260"/>
      <c r="AF1257" s="260"/>
      <c r="AG1257" s="258"/>
    </row>
    <row r="1258" spans="13:33" ht="12" hidden="1" customHeight="1">
      <c r="M1258" s="820"/>
      <c r="N1258" s="239"/>
      <c r="O1258" s="225"/>
      <c r="P1258" s="260"/>
      <c r="Q1258" s="258"/>
      <c r="R1258" s="260"/>
      <c r="S1258" s="260"/>
      <c r="T1258" s="260"/>
      <c r="U1258" s="260"/>
      <c r="V1258" s="260"/>
      <c r="W1258" s="260"/>
      <c r="X1258" s="260"/>
      <c r="Y1258" s="260"/>
      <c r="Z1258" s="260"/>
      <c r="AA1258" s="260"/>
      <c r="AB1258" s="260"/>
      <c r="AC1258" s="260"/>
      <c r="AD1258" s="260"/>
      <c r="AE1258" s="260"/>
      <c r="AF1258" s="260"/>
      <c r="AG1258" s="258"/>
    </row>
    <row r="1259" spans="13:33" ht="12" hidden="1" customHeight="1">
      <c r="M1259" s="820"/>
      <c r="N1259" s="239"/>
      <c r="O1259" s="225"/>
      <c r="P1259" s="260"/>
      <c r="Q1259" s="258"/>
      <c r="R1259" s="260"/>
      <c r="S1259" s="260"/>
      <c r="T1259" s="260"/>
      <c r="U1259" s="260"/>
      <c r="V1259" s="260"/>
      <c r="W1259" s="260"/>
      <c r="X1259" s="260"/>
      <c r="Y1259" s="260"/>
      <c r="Z1259" s="260"/>
      <c r="AA1259" s="260"/>
      <c r="AB1259" s="260"/>
      <c r="AC1259" s="260"/>
      <c r="AD1259" s="260"/>
      <c r="AE1259" s="260"/>
      <c r="AF1259" s="260"/>
      <c r="AG1259" s="258"/>
    </row>
    <row r="1260" spans="13:33" ht="12" hidden="1" customHeight="1">
      <c r="M1260" s="820"/>
      <c r="N1260" s="239"/>
      <c r="O1260" s="225"/>
      <c r="P1260" s="260"/>
      <c r="Q1260" s="258"/>
      <c r="R1260" s="260"/>
      <c r="S1260" s="260"/>
      <c r="T1260" s="260"/>
      <c r="U1260" s="260"/>
      <c r="V1260" s="260"/>
      <c r="W1260" s="260"/>
      <c r="X1260" s="260"/>
      <c r="Y1260" s="260"/>
      <c r="Z1260" s="260"/>
      <c r="AA1260" s="260"/>
      <c r="AB1260" s="260"/>
      <c r="AC1260" s="260"/>
      <c r="AD1260" s="260"/>
      <c r="AE1260" s="260"/>
      <c r="AF1260" s="260"/>
      <c r="AG1260" s="258"/>
    </row>
    <row r="1261" spans="13:33" ht="12" hidden="1" customHeight="1">
      <c r="M1261" s="820"/>
      <c r="N1261" s="239"/>
      <c r="O1261" s="225"/>
      <c r="P1261" s="260"/>
      <c r="Q1261" s="258"/>
      <c r="R1261" s="260"/>
      <c r="S1261" s="260"/>
      <c r="T1261" s="260"/>
      <c r="U1261" s="260"/>
      <c r="V1261" s="260"/>
      <c r="W1261" s="260"/>
      <c r="X1261" s="260"/>
      <c r="Y1261" s="260"/>
      <c r="Z1261" s="260"/>
      <c r="AA1261" s="260"/>
      <c r="AB1261" s="260"/>
      <c r="AC1261" s="260"/>
      <c r="AD1261" s="260"/>
      <c r="AE1261" s="260"/>
      <c r="AF1261" s="260"/>
      <c r="AG1261" s="258"/>
    </row>
    <row r="1262" spans="13:33" ht="12" hidden="1" customHeight="1">
      <c r="M1262" s="820"/>
      <c r="N1262" s="239"/>
      <c r="O1262" s="225"/>
      <c r="P1262" s="260"/>
      <c r="Q1262" s="258"/>
      <c r="R1262" s="260"/>
      <c r="S1262" s="260"/>
      <c r="T1262" s="260"/>
      <c r="U1262" s="260"/>
      <c r="V1262" s="260"/>
      <c r="W1262" s="260"/>
      <c r="X1262" s="260"/>
      <c r="Y1262" s="260"/>
      <c r="Z1262" s="260"/>
      <c r="AA1262" s="260"/>
      <c r="AB1262" s="260"/>
      <c r="AC1262" s="260"/>
      <c r="AD1262" s="260"/>
      <c r="AE1262" s="260"/>
      <c r="AF1262" s="260"/>
      <c r="AG1262" s="258"/>
    </row>
    <row r="1263" spans="13:33" ht="12" hidden="1" customHeight="1">
      <c r="M1263" s="820"/>
      <c r="N1263" s="239"/>
      <c r="O1263" s="225"/>
      <c r="P1263" s="260"/>
      <c r="Q1263" s="258"/>
      <c r="R1263" s="260"/>
      <c r="S1263" s="260"/>
      <c r="T1263" s="260"/>
      <c r="U1263" s="260"/>
      <c r="V1263" s="260"/>
      <c r="W1263" s="260"/>
      <c r="X1263" s="260"/>
      <c r="Y1263" s="260"/>
      <c r="Z1263" s="260"/>
      <c r="AA1263" s="260"/>
      <c r="AB1263" s="260"/>
      <c r="AC1263" s="260"/>
      <c r="AD1263" s="260"/>
      <c r="AE1263" s="260"/>
      <c r="AF1263" s="260"/>
      <c r="AG1263" s="258"/>
    </row>
    <row r="1264" spans="13:33" ht="12" hidden="1" customHeight="1">
      <c r="M1264" s="820"/>
      <c r="N1264" s="239"/>
      <c r="O1264" s="225"/>
      <c r="P1264" s="260"/>
      <c r="Q1264" s="258"/>
      <c r="R1264" s="260"/>
      <c r="S1264" s="260"/>
      <c r="T1264" s="260"/>
      <c r="U1264" s="260"/>
      <c r="V1264" s="260"/>
      <c r="W1264" s="260"/>
      <c r="X1264" s="260"/>
      <c r="Y1264" s="260"/>
      <c r="Z1264" s="260"/>
      <c r="AA1264" s="260"/>
      <c r="AB1264" s="260"/>
      <c r="AC1264" s="260"/>
      <c r="AD1264" s="260"/>
      <c r="AE1264" s="260"/>
      <c r="AF1264" s="260"/>
      <c r="AG1264" s="258"/>
    </row>
    <row r="1265" spans="13:33" ht="12" hidden="1" customHeight="1">
      <c r="M1265" s="820"/>
      <c r="N1265" s="239"/>
      <c r="O1265" s="225"/>
      <c r="P1265" s="260"/>
      <c r="Q1265" s="258"/>
      <c r="R1265" s="260"/>
      <c r="S1265" s="260"/>
      <c r="T1265" s="260"/>
      <c r="U1265" s="260"/>
      <c r="V1265" s="260"/>
      <c r="W1265" s="260"/>
      <c r="X1265" s="260"/>
      <c r="Y1265" s="260"/>
      <c r="Z1265" s="260"/>
      <c r="AA1265" s="260"/>
      <c r="AB1265" s="260"/>
      <c r="AC1265" s="260"/>
      <c r="AD1265" s="260"/>
      <c r="AE1265" s="260"/>
      <c r="AF1265" s="260"/>
      <c r="AG1265" s="258"/>
    </row>
    <row r="1266" spans="13:33" ht="12" hidden="1" customHeight="1">
      <c r="M1266" s="820"/>
      <c r="N1266" s="239"/>
      <c r="O1266" s="225"/>
      <c r="P1266" s="260"/>
      <c r="Q1266" s="258"/>
      <c r="R1266" s="260"/>
      <c r="S1266" s="260"/>
      <c r="T1266" s="260"/>
      <c r="U1266" s="260"/>
      <c r="V1266" s="260"/>
      <c r="W1266" s="260"/>
      <c r="X1266" s="260"/>
      <c r="Y1266" s="260"/>
      <c r="Z1266" s="260"/>
      <c r="AA1266" s="260"/>
      <c r="AB1266" s="260"/>
      <c r="AC1266" s="260"/>
      <c r="AD1266" s="260"/>
      <c r="AE1266" s="260"/>
      <c r="AF1266" s="260"/>
      <c r="AG1266" s="258"/>
    </row>
    <row r="1267" spans="13:33" ht="12" hidden="1" customHeight="1">
      <c r="M1267" s="820"/>
      <c r="N1267" s="239"/>
      <c r="O1267" s="225"/>
      <c r="P1267" s="260"/>
      <c r="Q1267" s="258"/>
      <c r="R1267" s="260"/>
      <c r="S1267" s="260"/>
      <c r="T1267" s="260"/>
      <c r="U1267" s="260"/>
      <c r="V1267" s="260"/>
      <c r="W1267" s="260"/>
      <c r="X1267" s="260"/>
      <c r="Y1267" s="260"/>
      <c r="Z1267" s="260"/>
      <c r="AA1267" s="260"/>
      <c r="AB1267" s="260"/>
      <c r="AC1267" s="260"/>
      <c r="AD1267" s="260"/>
      <c r="AE1267" s="260"/>
      <c r="AF1267" s="260"/>
      <c r="AG1267" s="258"/>
    </row>
    <row r="1268" spans="13:33" ht="12" hidden="1" customHeight="1">
      <c r="M1268" s="820"/>
      <c r="N1268" s="239"/>
      <c r="O1268" s="225"/>
      <c r="P1268" s="260"/>
      <c r="Q1268" s="258"/>
      <c r="R1268" s="260"/>
      <c r="S1268" s="260"/>
      <c r="T1268" s="260"/>
      <c r="U1268" s="260"/>
      <c r="V1268" s="260"/>
      <c r="W1268" s="260"/>
      <c r="X1268" s="260"/>
      <c r="Y1268" s="260"/>
      <c r="Z1268" s="260"/>
      <c r="AA1268" s="260"/>
      <c r="AB1268" s="260"/>
      <c r="AC1268" s="260"/>
      <c r="AD1268" s="260"/>
      <c r="AE1268" s="260"/>
      <c r="AF1268" s="260"/>
      <c r="AG1268" s="258"/>
    </row>
    <row r="1269" spans="13:33" ht="12" hidden="1" customHeight="1">
      <c r="M1269" s="820"/>
      <c r="N1269" s="239"/>
      <c r="O1269" s="225"/>
      <c r="P1269" s="260"/>
      <c r="Q1269" s="258"/>
      <c r="R1269" s="260"/>
      <c r="S1269" s="260"/>
      <c r="T1269" s="260"/>
      <c r="U1269" s="260"/>
      <c r="V1269" s="260"/>
      <c r="W1269" s="260"/>
      <c r="X1269" s="260"/>
      <c r="Y1269" s="260"/>
      <c r="Z1269" s="260"/>
      <c r="AA1269" s="260"/>
      <c r="AB1269" s="260"/>
      <c r="AC1269" s="260"/>
      <c r="AD1269" s="260"/>
      <c r="AE1269" s="260"/>
      <c r="AF1269" s="260"/>
      <c r="AG1269" s="258"/>
    </row>
    <row r="1270" spans="13:33" ht="12" hidden="1" customHeight="1">
      <c r="M1270" s="820"/>
      <c r="N1270" s="239"/>
      <c r="O1270" s="225"/>
      <c r="P1270" s="260"/>
      <c r="Q1270" s="258"/>
      <c r="R1270" s="260"/>
      <c r="S1270" s="260"/>
      <c r="T1270" s="260"/>
      <c r="U1270" s="260"/>
      <c r="V1270" s="260"/>
      <c r="W1270" s="260"/>
      <c r="X1270" s="260"/>
      <c r="Y1270" s="260"/>
      <c r="Z1270" s="260"/>
      <c r="AA1270" s="260"/>
      <c r="AB1270" s="260"/>
      <c r="AC1270" s="260"/>
      <c r="AD1270" s="260"/>
      <c r="AE1270" s="260"/>
      <c r="AF1270" s="260"/>
      <c r="AG1270" s="258"/>
    </row>
    <row r="1271" spans="13:33" ht="12" hidden="1" customHeight="1">
      <c r="M1271" s="820"/>
      <c r="N1271" s="239"/>
      <c r="O1271" s="225"/>
      <c r="P1271" s="260"/>
      <c r="Q1271" s="258"/>
      <c r="R1271" s="260"/>
      <c r="S1271" s="260"/>
      <c r="T1271" s="260"/>
      <c r="U1271" s="260"/>
      <c r="V1271" s="260"/>
      <c r="W1271" s="260"/>
      <c r="X1271" s="260"/>
      <c r="Y1271" s="260"/>
      <c r="Z1271" s="260"/>
      <c r="AA1271" s="260"/>
      <c r="AB1271" s="260"/>
      <c r="AC1271" s="260"/>
      <c r="AD1271" s="260"/>
      <c r="AE1271" s="260"/>
      <c r="AF1271" s="260"/>
      <c r="AG1271" s="258"/>
    </row>
    <row r="1272" spans="13:33" ht="12" hidden="1" customHeight="1">
      <c r="M1272" s="820"/>
      <c r="N1272" s="239"/>
      <c r="O1272" s="225"/>
      <c r="P1272" s="260"/>
      <c r="Q1272" s="258"/>
      <c r="R1272" s="260"/>
      <c r="S1272" s="260"/>
      <c r="T1272" s="260"/>
      <c r="U1272" s="260"/>
      <c r="V1272" s="260"/>
      <c r="W1272" s="260"/>
      <c r="X1272" s="260"/>
      <c r="Y1272" s="260"/>
      <c r="Z1272" s="260"/>
      <c r="AA1272" s="260"/>
      <c r="AB1272" s="260"/>
      <c r="AC1272" s="260"/>
      <c r="AD1272" s="260"/>
      <c r="AE1272" s="260"/>
      <c r="AF1272" s="260"/>
      <c r="AG1272" s="258"/>
    </row>
    <row r="1273" spans="13:33" ht="12" hidden="1" customHeight="1">
      <c r="M1273" s="820"/>
      <c r="N1273" s="239"/>
      <c r="O1273" s="225"/>
      <c r="P1273" s="260"/>
      <c r="Q1273" s="258"/>
      <c r="R1273" s="260"/>
      <c r="S1273" s="260"/>
      <c r="T1273" s="260"/>
      <c r="U1273" s="260"/>
      <c r="V1273" s="260"/>
      <c r="W1273" s="260"/>
      <c r="X1273" s="260"/>
      <c r="Y1273" s="260"/>
      <c r="Z1273" s="260"/>
      <c r="AA1273" s="260"/>
      <c r="AB1273" s="260"/>
      <c r="AC1273" s="260"/>
      <c r="AD1273" s="260"/>
      <c r="AE1273" s="260"/>
      <c r="AF1273" s="260"/>
      <c r="AG1273" s="258"/>
    </row>
    <row r="1274" spans="13:33" ht="12" hidden="1" customHeight="1">
      <c r="M1274" s="820"/>
      <c r="N1274" s="239"/>
      <c r="O1274" s="225"/>
      <c r="P1274" s="260"/>
      <c r="Q1274" s="258"/>
      <c r="R1274" s="260"/>
      <c r="S1274" s="260"/>
      <c r="T1274" s="260"/>
      <c r="U1274" s="260"/>
      <c r="V1274" s="260"/>
      <c r="W1274" s="260"/>
      <c r="X1274" s="260"/>
      <c r="Y1274" s="260"/>
      <c r="Z1274" s="260"/>
      <c r="AA1274" s="260"/>
      <c r="AB1274" s="260"/>
      <c r="AC1274" s="260"/>
      <c r="AD1274" s="260"/>
      <c r="AE1274" s="260"/>
      <c r="AF1274" s="260"/>
      <c r="AG1274" s="258"/>
    </row>
    <row r="1275" spans="13:33" ht="12" hidden="1" customHeight="1">
      <c r="M1275" s="820"/>
      <c r="N1275" s="239"/>
      <c r="O1275" s="225"/>
      <c r="P1275" s="260"/>
      <c r="Q1275" s="258"/>
      <c r="R1275" s="260"/>
      <c r="S1275" s="260"/>
      <c r="T1275" s="260"/>
      <c r="U1275" s="260"/>
      <c r="V1275" s="260"/>
      <c r="W1275" s="260"/>
      <c r="X1275" s="260"/>
      <c r="Y1275" s="260"/>
      <c r="Z1275" s="260"/>
      <c r="AA1275" s="260"/>
      <c r="AB1275" s="260"/>
      <c r="AC1275" s="260"/>
      <c r="AD1275" s="260"/>
      <c r="AE1275" s="260"/>
      <c r="AF1275" s="260"/>
      <c r="AG1275" s="258"/>
    </row>
    <row r="1276" spans="13:33" ht="12" hidden="1" customHeight="1">
      <c r="M1276" s="820"/>
      <c r="N1276" s="239"/>
      <c r="O1276" s="225"/>
      <c r="P1276" s="260"/>
      <c r="Q1276" s="258"/>
      <c r="R1276" s="260"/>
      <c r="S1276" s="260"/>
      <c r="T1276" s="260"/>
      <c r="U1276" s="260"/>
      <c r="V1276" s="260"/>
      <c r="W1276" s="260"/>
      <c r="X1276" s="260"/>
      <c r="Y1276" s="260"/>
      <c r="Z1276" s="260"/>
      <c r="AA1276" s="260"/>
      <c r="AB1276" s="260"/>
      <c r="AC1276" s="260"/>
      <c r="AD1276" s="260"/>
      <c r="AE1276" s="260"/>
      <c r="AF1276" s="260"/>
      <c r="AG1276" s="258"/>
    </row>
    <row r="1277" spans="13:33" ht="12" hidden="1" customHeight="1">
      <c r="M1277" s="820"/>
      <c r="N1277" s="239"/>
      <c r="O1277" s="225"/>
      <c r="P1277" s="260"/>
      <c r="Q1277" s="258"/>
      <c r="R1277" s="260"/>
      <c r="S1277" s="260"/>
      <c r="T1277" s="260"/>
      <c r="U1277" s="260"/>
      <c r="V1277" s="260"/>
      <c r="W1277" s="260"/>
      <c r="X1277" s="260"/>
      <c r="Y1277" s="260"/>
      <c r="Z1277" s="260"/>
      <c r="AA1277" s="260"/>
      <c r="AB1277" s="260"/>
      <c r="AC1277" s="260"/>
      <c r="AD1277" s="260"/>
      <c r="AE1277" s="260"/>
      <c r="AF1277" s="260"/>
      <c r="AG1277" s="258"/>
    </row>
    <row r="1278" spans="13:33" ht="12" hidden="1" customHeight="1">
      <c r="M1278" s="820"/>
      <c r="N1278" s="239"/>
      <c r="O1278" s="225"/>
      <c r="P1278" s="260"/>
      <c r="Q1278" s="258"/>
      <c r="R1278" s="260"/>
      <c r="S1278" s="260"/>
      <c r="T1278" s="260"/>
      <c r="U1278" s="260"/>
      <c r="V1278" s="260"/>
      <c r="W1278" s="260"/>
      <c r="X1278" s="260"/>
      <c r="Y1278" s="260"/>
      <c r="Z1278" s="260"/>
      <c r="AA1278" s="260"/>
      <c r="AB1278" s="260"/>
      <c r="AC1278" s="260"/>
      <c r="AD1278" s="260"/>
      <c r="AE1278" s="260"/>
      <c r="AF1278" s="260"/>
      <c r="AG1278" s="258"/>
    </row>
    <row r="1279" spans="13:33" ht="12" hidden="1" customHeight="1">
      <c r="M1279" s="820"/>
      <c r="N1279" s="239"/>
      <c r="O1279" s="225"/>
      <c r="P1279" s="260"/>
      <c r="Q1279" s="258"/>
      <c r="R1279" s="260"/>
      <c r="S1279" s="260"/>
      <c r="T1279" s="260"/>
      <c r="U1279" s="260"/>
      <c r="V1279" s="260"/>
      <c r="W1279" s="260"/>
      <c r="X1279" s="260"/>
      <c r="Y1279" s="260"/>
      <c r="Z1279" s="260"/>
      <c r="AA1279" s="260"/>
      <c r="AB1279" s="260"/>
      <c r="AC1279" s="260"/>
      <c r="AD1279" s="260"/>
      <c r="AE1279" s="260"/>
      <c r="AF1279" s="260"/>
      <c r="AG1279" s="258"/>
    </row>
    <row r="1280" spans="13:33" ht="12" hidden="1" customHeight="1">
      <c r="M1280" s="820"/>
      <c r="N1280" s="239"/>
      <c r="O1280" s="225"/>
      <c r="P1280" s="260"/>
      <c r="Q1280" s="258"/>
      <c r="R1280" s="260"/>
      <c r="S1280" s="260"/>
      <c r="T1280" s="260"/>
      <c r="U1280" s="260"/>
      <c r="V1280" s="260"/>
      <c r="W1280" s="260"/>
      <c r="X1280" s="260"/>
      <c r="Y1280" s="260"/>
      <c r="Z1280" s="260"/>
      <c r="AA1280" s="260"/>
      <c r="AB1280" s="260"/>
      <c r="AC1280" s="260"/>
      <c r="AD1280" s="260"/>
      <c r="AE1280" s="260"/>
      <c r="AF1280" s="260"/>
      <c r="AG1280" s="258"/>
    </row>
    <row r="1281" spans="13:33" ht="12" hidden="1" customHeight="1">
      <c r="M1281" s="820"/>
      <c r="N1281" s="239"/>
      <c r="O1281" s="225"/>
      <c r="P1281" s="260"/>
      <c r="Q1281" s="258"/>
      <c r="R1281" s="260"/>
      <c r="S1281" s="260"/>
      <c r="T1281" s="260"/>
      <c r="U1281" s="260"/>
      <c r="V1281" s="260"/>
      <c r="W1281" s="260"/>
      <c r="X1281" s="260"/>
      <c r="Y1281" s="260"/>
      <c r="Z1281" s="260"/>
      <c r="AA1281" s="260"/>
      <c r="AB1281" s="260"/>
      <c r="AC1281" s="260"/>
      <c r="AD1281" s="260"/>
      <c r="AE1281" s="260"/>
      <c r="AF1281" s="260"/>
      <c r="AG1281" s="258"/>
    </row>
    <row r="1282" spans="13:33" ht="12" hidden="1" customHeight="1">
      <c r="M1282" s="820"/>
      <c r="N1282" s="239"/>
      <c r="O1282" s="225"/>
      <c r="P1282" s="260"/>
      <c r="Q1282" s="258"/>
      <c r="R1282" s="260"/>
      <c r="S1282" s="260"/>
      <c r="T1282" s="260"/>
      <c r="U1282" s="260"/>
      <c r="V1282" s="260"/>
      <c r="W1282" s="260"/>
      <c r="X1282" s="260"/>
      <c r="Y1282" s="260"/>
      <c r="Z1282" s="260"/>
      <c r="AA1282" s="260"/>
      <c r="AB1282" s="260"/>
      <c r="AC1282" s="260"/>
      <c r="AD1282" s="260"/>
      <c r="AE1282" s="260"/>
      <c r="AF1282" s="260"/>
      <c r="AG1282" s="258"/>
    </row>
    <row r="1283" spans="13:33" ht="12" hidden="1" customHeight="1">
      <c r="M1283" s="820"/>
      <c r="N1283" s="239"/>
      <c r="O1283" s="225"/>
      <c r="P1283" s="260"/>
      <c r="Q1283" s="258"/>
      <c r="R1283" s="260"/>
      <c r="S1283" s="260"/>
      <c r="T1283" s="260"/>
      <c r="U1283" s="260"/>
      <c r="V1283" s="260"/>
      <c r="W1283" s="260"/>
      <c r="X1283" s="260"/>
      <c r="Y1283" s="260"/>
      <c r="Z1283" s="260"/>
      <c r="AA1283" s="260"/>
      <c r="AB1283" s="260"/>
      <c r="AC1283" s="260"/>
      <c r="AD1283" s="260"/>
      <c r="AE1283" s="260"/>
      <c r="AF1283" s="260"/>
      <c r="AG1283" s="258"/>
    </row>
    <row r="1284" spans="13:33" ht="12" hidden="1" customHeight="1">
      <c r="M1284" s="820"/>
      <c r="N1284" s="239"/>
      <c r="O1284" s="225"/>
      <c r="P1284" s="260"/>
      <c r="Q1284" s="258"/>
      <c r="R1284" s="260"/>
      <c r="S1284" s="260"/>
      <c r="T1284" s="260"/>
      <c r="U1284" s="260"/>
      <c r="V1284" s="260"/>
      <c r="W1284" s="260"/>
      <c r="X1284" s="260"/>
      <c r="Y1284" s="260"/>
      <c r="Z1284" s="260"/>
      <c r="AA1284" s="260"/>
      <c r="AB1284" s="260"/>
      <c r="AC1284" s="260"/>
      <c r="AD1284" s="260"/>
      <c r="AE1284" s="260"/>
      <c r="AF1284" s="260"/>
      <c r="AG1284" s="258"/>
    </row>
    <row r="1285" spans="13:33" ht="12" hidden="1" customHeight="1">
      <c r="M1285" s="820"/>
      <c r="N1285" s="239"/>
      <c r="O1285" s="225"/>
      <c r="P1285" s="260"/>
      <c r="Q1285" s="258"/>
      <c r="R1285" s="260"/>
      <c r="S1285" s="260"/>
      <c r="T1285" s="260"/>
      <c r="U1285" s="260"/>
      <c r="V1285" s="260"/>
      <c r="W1285" s="260"/>
      <c r="X1285" s="260"/>
      <c r="Y1285" s="260"/>
      <c r="Z1285" s="260"/>
      <c r="AA1285" s="260"/>
      <c r="AB1285" s="260"/>
      <c r="AC1285" s="260"/>
      <c r="AD1285" s="260"/>
      <c r="AE1285" s="260"/>
      <c r="AF1285" s="260"/>
      <c r="AG1285" s="258"/>
    </row>
    <row r="1286" spans="13:33" ht="12" hidden="1" customHeight="1">
      <c r="M1286" s="820"/>
      <c r="N1286" s="239"/>
      <c r="O1286" s="225"/>
      <c r="P1286" s="260"/>
      <c r="Q1286" s="258"/>
      <c r="R1286" s="260"/>
      <c r="S1286" s="260"/>
      <c r="T1286" s="260"/>
      <c r="U1286" s="260"/>
      <c r="V1286" s="260"/>
      <c r="W1286" s="260"/>
      <c r="X1286" s="260"/>
      <c r="Y1286" s="260"/>
      <c r="Z1286" s="260"/>
      <c r="AA1286" s="260"/>
      <c r="AB1286" s="260"/>
      <c r="AC1286" s="260"/>
      <c r="AD1286" s="260"/>
      <c r="AE1286" s="260"/>
      <c r="AF1286" s="260"/>
      <c r="AG1286" s="258"/>
    </row>
    <row r="1287" spans="13:33" ht="12" hidden="1" customHeight="1">
      <c r="M1287" s="820"/>
      <c r="N1287" s="239"/>
      <c r="O1287" s="225"/>
      <c r="P1287" s="260"/>
      <c r="Q1287" s="258"/>
      <c r="R1287" s="260"/>
      <c r="S1287" s="260"/>
      <c r="T1287" s="260"/>
      <c r="U1287" s="260"/>
      <c r="V1287" s="260"/>
      <c r="W1287" s="260"/>
      <c r="X1287" s="260"/>
      <c r="Y1287" s="260"/>
      <c r="Z1287" s="260"/>
      <c r="AA1287" s="260"/>
      <c r="AB1287" s="260"/>
      <c r="AC1287" s="260"/>
      <c r="AD1287" s="260"/>
      <c r="AE1287" s="260"/>
      <c r="AF1287" s="260"/>
      <c r="AG1287" s="258"/>
    </row>
    <row r="1288" spans="13:33" ht="12" hidden="1" customHeight="1">
      <c r="M1288" s="820"/>
      <c r="N1288" s="239"/>
      <c r="O1288" s="225"/>
      <c r="P1288" s="260"/>
      <c r="Q1288" s="258"/>
      <c r="R1288" s="260"/>
      <c r="S1288" s="260"/>
      <c r="T1288" s="260"/>
      <c r="U1288" s="260"/>
      <c r="V1288" s="260"/>
      <c r="W1288" s="260"/>
      <c r="X1288" s="260"/>
      <c r="Y1288" s="260"/>
      <c r="Z1288" s="260"/>
      <c r="AA1288" s="260"/>
      <c r="AB1288" s="260"/>
      <c r="AC1288" s="260"/>
      <c r="AD1288" s="260"/>
      <c r="AE1288" s="260"/>
      <c r="AF1288" s="260"/>
      <c r="AG1288" s="258"/>
    </row>
    <row r="1289" spans="13:33" ht="12" hidden="1" customHeight="1">
      <c r="M1289" s="820"/>
      <c r="N1289" s="239"/>
      <c r="O1289" s="225"/>
      <c r="P1289" s="260"/>
      <c r="Q1289" s="258"/>
      <c r="R1289" s="260"/>
      <c r="S1289" s="260"/>
      <c r="T1289" s="260"/>
      <c r="U1289" s="260"/>
      <c r="V1289" s="260"/>
      <c r="W1289" s="260"/>
      <c r="X1289" s="260"/>
      <c r="Y1289" s="260"/>
      <c r="Z1289" s="260"/>
      <c r="AA1289" s="260"/>
      <c r="AB1289" s="260"/>
      <c r="AC1289" s="260"/>
      <c r="AD1289" s="260"/>
      <c r="AE1289" s="260"/>
      <c r="AF1289" s="260"/>
      <c r="AG1289" s="258"/>
    </row>
    <row r="1290" spans="13:33" ht="12" hidden="1" customHeight="1">
      <c r="M1290" s="820"/>
      <c r="N1290" s="239"/>
      <c r="O1290" s="225"/>
      <c r="P1290" s="260"/>
      <c r="Q1290" s="258"/>
      <c r="R1290" s="260"/>
      <c r="S1290" s="260"/>
      <c r="T1290" s="260"/>
      <c r="U1290" s="260"/>
      <c r="V1290" s="260"/>
      <c r="W1290" s="260"/>
      <c r="X1290" s="260"/>
      <c r="Y1290" s="260"/>
      <c r="Z1290" s="260"/>
      <c r="AA1290" s="260"/>
      <c r="AB1290" s="260"/>
      <c r="AC1290" s="260"/>
      <c r="AD1290" s="260"/>
      <c r="AE1290" s="260"/>
      <c r="AF1290" s="260"/>
      <c r="AG1290" s="258"/>
    </row>
    <row r="1291" spans="13:33" ht="12" hidden="1" customHeight="1">
      <c r="M1291" s="820"/>
      <c r="N1291" s="239"/>
      <c r="O1291" s="225"/>
      <c r="P1291" s="260"/>
      <c r="Q1291" s="258"/>
      <c r="R1291" s="260"/>
      <c r="S1291" s="260"/>
      <c r="T1291" s="260"/>
      <c r="U1291" s="260"/>
      <c r="V1291" s="260"/>
      <c r="W1291" s="260"/>
      <c r="X1291" s="260"/>
      <c r="Y1291" s="260"/>
      <c r="Z1291" s="260"/>
      <c r="AA1291" s="260"/>
      <c r="AB1291" s="260"/>
      <c r="AC1291" s="260"/>
      <c r="AD1291" s="260"/>
      <c r="AE1291" s="260"/>
      <c r="AF1291" s="260"/>
      <c r="AG1291" s="258"/>
    </row>
    <row r="1292" spans="13:33" ht="12" hidden="1" customHeight="1">
      <c r="M1292" s="820"/>
      <c r="N1292" s="239"/>
      <c r="O1292" s="225"/>
      <c r="P1292" s="260"/>
      <c r="Q1292" s="258"/>
      <c r="R1292" s="260"/>
      <c r="S1292" s="260"/>
      <c r="T1292" s="260"/>
      <c r="U1292" s="260"/>
      <c r="V1292" s="260"/>
      <c r="W1292" s="260"/>
      <c r="X1292" s="260"/>
      <c r="Y1292" s="260"/>
      <c r="Z1292" s="260"/>
      <c r="AA1292" s="260"/>
      <c r="AB1292" s="260"/>
      <c r="AC1292" s="260"/>
      <c r="AD1292" s="260"/>
      <c r="AE1292" s="260"/>
      <c r="AF1292" s="260"/>
      <c r="AG1292" s="258"/>
    </row>
    <row r="1293" spans="13:33" ht="12" hidden="1" customHeight="1">
      <c r="M1293" s="820"/>
      <c r="N1293" s="239"/>
      <c r="O1293" s="225"/>
      <c r="P1293" s="260"/>
      <c r="Q1293" s="258"/>
      <c r="R1293" s="260"/>
      <c r="S1293" s="260"/>
      <c r="T1293" s="260"/>
      <c r="U1293" s="260"/>
      <c r="V1293" s="260"/>
      <c r="W1293" s="260"/>
      <c r="X1293" s="260"/>
      <c r="Y1293" s="260"/>
      <c r="Z1293" s="260"/>
      <c r="AA1293" s="260"/>
      <c r="AB1293" s="260"/>
      <c r="AC1293" s="260"/>
      <c r="AD1293" s="260"/>
      <c r="AE1293" s="260"/>
      <c r="AF1293" s="260"/>
      <c r="AG1293" s="258"/>
    </row>
    <row r="1294" spans="13:33" ht="12" hidden="1" customHeight="1">
      <c r="M1294" s="820"/>
      <c r="N1294" s="239"/>
      <c r="O1294" s="225"/>
      <c r="P1294" s="260"/>
      <c r="Q1294" s="258"/>
      <c r="R1294" s="260"/>
      <c r="S1294" s="260"/>
      <c r="T1294" s="260"/>
      <c r="U1294" s="260"/>
      <c r="V1294" s="260"/>
      <c r="W1294" s="260"/>
      <c r="X1294" s="260"/>
      <c r="Y1294" s="260"/>
      <c r="Z1294" s="260"/>
      <c r="AA1294" s="260"/>
      <c r="AB1294" s="260"/>
      <c r="AC1294" s="260"/>
      <c r="AD1294" s="260"/>
      <c r="AE1294" s="260"/>
      <c r="AF1294" s="260"/>
      <c r="AG1294" s="258"/>
    </row>
    <row r="1295" spans="13:33" ht="12" hidden="1" customHeight="1">
      <c r="M1295" s="820"/>
      <c r="N1295" s="239"/>
      <c r="O1295" s="225"/>
      <c r="P1295" s="260"/>
      <c r="Q1295" s="258"/>
      <c r="R1295" s="260"/>
      <c r="S1295" s="260"/>
      <c r="T1295" s="260"/>
      <c r="U1295" s="260"/>
      <c r="V1295" s="260"/>
      <c r="W1295" s="260"/>
      <c r="X1295" s="260"/>
      <c r="Y1295" s="260"/>
      <c r="Z1295" s="260"/>
      <c r="AA1295" s="260"/>
      <c r="AB1295" s="260"/>
      <c r="AC1295" s="260"/>
      <c r="AD1295" s="260"/>
      <c r="AE1295" s="260"/>
      <c r="AF1295" s="260"/>
      <c r="AG1295" s="258"/>
    </row>
    <row r="1296" spans="13:33" ht="12" hidden="1" customHeight="1">
      <c r="M1296" s="820"/>
      <c r="N1296" s="239"/>
      <c r="O1296" s="225"/>
      <c r="P1296" s="260"/>
      <c r="Q1296" s="258"/>
      <c r="R1296" s="260"/>
      <c r="S1296" s="260"/>
      <c r="T1296" s="260"/>
      <c r="U1296" s="260"/>
      <c r="V1296" s="260"/>
      <c r="W1296" s="260"/>
      <c r="X1296" s="260"/>
      <c r="Y1296" s="260"/>
      <c r="Z1296" s="260"/>
      <c r="AA1296" s="260"/>
      <c r="AB1296" s="260"/>
      <c r="AC1296" s="260"/>
      <c r="AD1296" s="260"/>
      <c r="AE1296" s="260"/>
      <c r="AF1296" s="260"/>
      <c r="AG1296" s="258"/>
    </row>
    <row r="1297" spans="13:33" ht="12" hidden="1" customHeight="1">
      <c r="M1297" s="820"/>
      <c r="N1297" s="239"/>
      <c r="O1297" s="225"/>
      <c r="P1297" s="260"/>
      <c r="Q1297" s="258"/>
      <c r="R1297" s="260"/>
      <c r="S1297" s="260"/>
      <c r="T1297" s="260"/>
      <c r="U1297" s="260"/>
      <c r="V1297" s="260"/>
      <c r="W1297" s="260"/>
      <c r="X1297" s="260"/>
      <c r="Y1297" s="260"/>
      <c r="Z1297" s="260"/>
      <c r="AA1297" s="260"/>
      <c r="AB1297" s="260"/>
      <c r="AC1297" s="260"/>
      <c r="AD1297" s="260"/>
      <c r="AE1297" s="260"/>
      <c r="AF1297" s="260"/>
      <c r="AG1297" s="258"/>
    </row>
    <row r="1298" spans="13:33" ht="12" hidden="1" customHeight="1">
      <c r="M1298" s="820"/>
      <c r="N1298" s="239"/>
      <c r="O1298" s="225"/>
      <c r="P1298" s="260"/>
      <c r="Q1298" s="258"/>
      <c r="R1298" s="260"/>
      <c r="S1298" s="260"/>
      <c r="T1298" s="260"/>
      <c r="U1298" s="260"/>
      <c r="V1298" s="260"/>
      <c r="W1298" s="260"/>
      <c r="X1298" s="260"/>
      <c r="Y1298" s="260"/>
      <c r="Z1298" s="260"/>
      <c r="AA1298" s="260"/>
      <c r="AB1298" s="260"/>
      <c r="AC1298" s="260"/>
      <c r="AD1298" s="260"/>
      <c r="AE1298" s="260"/>
      <c r="AF1298" s="260"/>
      <c r="AG1298" s="258"/>
    </row>
    <row r="1299" spans="13:33" ht="12" hidden="1" customHeight="1">
      <c r="M1299" s="820"/>
      <c r="N1299" s="239"/>
      <c r="O1299" s="225"/>
      <c r="P1299" s="260"/>
      <c r="Q1299" s="258"/>
      <c r="R1299" s="260"/>
      <c r="S1299" s="260"/>
      <c r="T1299" s="260"/>
      <c r="U1299" s="260"/>
      <c r="V1299" s="260"/>
      <c r="W1299" s="260"/>
      <c r="X1299" s="260"/>
      <c r="Y1299" s="260"/>
      <c r="Z1299" s="260"/>
      <c r="AA1299" s="260"/>
      <c r="AB1299" s="260"/>
      <c r="AC1299" s="260"/>
      <c r="AD1299" s="260"/>
      <c r="AE1299" s="260"/>
      <c r="AF1299" s="260"/>
      <c r="AG1299" s="258"/>
    </row>
    <row r="1300" spans="13:33" ht="12" hidden="1" customHeight="1">
      <c r="M1300" s="820"/>
      <c r="N1300" s="239"/>
      <c r="O1300" s="225"/>
      <c r="P1300" s="260"/>
      <c r="Q1300" s="258"/>
      <c r="R1300" s="260"/>
      <c r="S1300" s="260"/>
      <c r="T1300" s="260"/>
      <c r="U1300" s="260"/>
      <c r="V1300" s="260"/>
      <c r="W1300" s="260"/>
      <c r="X1300" s="260"/>
      <c r="Y1300" s="260"/>
      <c r="Z1300" s="260"/>
      <c r="AA1300" s="260"/>
      <c r="AB1300" s="260"/>
      <c r="AC1300" s="260"/>
      <c r="AD1300" s="260"/>
      <c r="AE1300" s="260"/>
      <c r="AF1300" s="260"/>
      <c r="AG1300" s="258"/>
    </row>
    <row r="1301" spans="13:33" ht="12" hidden="1" customHeight="1">
      <c r="M1301" s="820"/>
      <c r="N1301" s="239"/>
      <c r="O1301" s="225"/>
      <c r="P1301" s="260"/>
      <c r="Q1301" s="258"/>
      <c r="R1301" s="260"/>
      <c r="S1301" s="260"/>
      <c r="T1301" s="260"/>
      <c r="U1301" s="260"/>
      <c r="V1301" s="260"/>
      <c r="W1301" s="260"/>
      <c r="X1301" s="260"/>
      <c r="Y1301" s="260"/>
      <c r="Z1301" s="260"/>
      <c r="AA1301" s="260"/>
      <c r="AB1301" s="260"/>
      <c r="AC1301" s="260"/>
      <c r="AD1301" s="260"/>
      <c r="AE1301" s="260"/>
      <c r="AF1301" s="260"/>
      <c r="AG1301" s="258"/>
    </row>
    <row r="1302" spans="13:33" ht="12" hidden="1" customHeight="1">
      <c r="M1302" s="820"/>
      <c r="N1302" s="239"/>
      <c r="O1302" s="225"/>
      <c r="P1302" s="260"/>
      <c r="Q1302" s="258"/>
      <c r="R1302" s="260"/>
      <c r="S1302" s="260"/>
      <c r="T1302" s="260"/>
      <c r="U1302" s="260"/>
      <c r="V1302" s="260"/>
      <c r="W1302" s="260"/>
      <c r="X1302" s="260"/>
      <c r="Y1302" s="260"/>
      <c r="Z1302" s="260"/>
      <c r="AA1302" s="260"/>
      <c r="AB1302" s="260"/>
      <c r="AC1302" s="260"/>
      <c r="AD1302" s="260"/>
      <c r="AE1302" s="260"/>
      <c r="AF1302" s="260"/>
      <c r="AG1302" s="258"/>
    </row>
    <row r="1303" spans="13:33" ht="12" hidden="1" customHeight="1">
      <c r="M1303" s="820"/>
      <c r="N1303" s="239"/>
      <c r="O1303" s="225"/>
      <c r="P1303" s="260"/>
      <c r="Q1303" s="258"/>
      <c r="R1303" s="260"/>
      <c r="S1303" s="260"/>
      <c r="T1303" s="260"/>
      <c r="U1303" s="260"/>
      <c r="V1303" s="260"/>
      <c r="W1303" s="260"/>
      <c r="X1303" s="260"/>
      <c r="Y1303" s="260"/>
      <c r="Z1303" s="260"/>
      <c r="AA1303" s="260"/>
      <c r="AB1303" s="260"/>
      <c r="AC1303" s="260"/>
      <c r="AD1303" s="260"/>
      <c r="AE1303" s="260"/>
      <c r="AF1303" s="260"/>
      <c r="AG1303" s="258"/>
    </row>
    <row r="1304" spans="13:33" ht="12" hidden="1" customHeight="1">
      <c r="M1304" s="820"/>
      <c r="N1304" s="239"/>
      <c r="O1304" s="225"/>
      <c r="P1304" s="260"/>
      <c r="Q1304" s="258"/>
      <c r="R1304" s="260"/>
      <c r="S1304" s="260"/>
      <c r="T1304" s="260"/>
      <c r="U1304" s="260"/>
      <c r="V1304" s="260"/>
      <c r="W1304" s="260"/>
      <c r="X1304" s="260"/>
      <c r="Y1304" s="260"/>
      <c r="Z1304" s="260"/>
      <c r="AA1304" s="260"/>
      <c r="AB1304" s="260"/>
      <c r="AC1304" s="260"/>
      <c r="AD1304" s="260"/>
      <c r="AE1304" s="260"/>
      <c r="AF1304" s="260"/>
      <c r="AG1304" s="258"/>
    </row>
    <row r="1305" spans="13:33" ht="12" hidden="1" customHeight="1">
      <c r="M1305" s="820"/>
      <c r="N1305" s="239"/>
      <c r="O1305" s="225"/>
      <c r="P1305" s="260"/>
      <c r="Q1305" s="258"/>
      <c r="R1305" s="260"/>
      <c r="S1305" s="260"/>
      <c r="T1305" s="260"/>
      <c r="U1305" s="260"/>
      <c r="V1305" s="260"/>
      <c r="W1305" s="260"/>
      <c r="X1305" s="260"/>
      <c r="Y1305" s="260"/>
      <c r="Z1305" s="260"/>
      <c r="AA1305" s="260"/>
      <c r="AB1305" s="260"/>
      <c r="AC1305" s="260"/>
      <c r="AD1305" s="260"/>
      <c r="AE1305" s="260"/>
      <c r="AF1305" s="260"/>
      <c r="AG1305" s="258"/>
    </row>
    <row r="1306" spans="13:33" ht="12" hidden="1" customHeight="1">
      <c r="M1306" s="820"/>
      <c r="N1306" s="239"/>
      <c r="O1306" s="225"/>
      <c r="P1306" s="260"/>
      <c r="Q1306" s="258"/>
      <c r="R1306" s="260"/>
      <c r="S1306" s="260"/>
      <c r="T1306" s="260"/>
      <c r="U1306" s="260"/>
      <c r="V1306" s="260"/>
      <c r="W1306" s="260"/>
      <c r="X1306" s="260"/>
      <c r="Y1306" s="260"/>
      <c r="Z1306" s="260"/>
      <c r="AA1306" s="260"/>
      <c r="AB1306" s="260"/>
      <c r="AC1306" s="260"/>
      <c r="AD1306" s="260"/>
      <c r="AE1306" s="260"/>
      <c r="AF1306" s="260"/>
      <c r="AG1306" s="258"/>
    </row>
    <row r="1307" spans="13:33" ht="12" hidden="1" customHeight="1">
      <c r="M1307" s="820"/>
      <c r="N1307" s="239"/>
      <c r="O1307" s="225"/>
      <c r="P1307" s="260"/>
      <c r="Q1307" s="258"/>
      <c r="R1307" s="260"/>
      <c r="S1307" s="260"/>
      <c r="T1307" s="260"/>
      <c r="U1307" s="260"/>
      <c r="V1307" s="260"/>
      <c r="W1307" s="260"/>
      <c r="X1307" s="260"/>
      <c r="Y1307" s="260"/>
      <c r="Z1307" s="260"/>
      <c r="AA1307" s="260"/>
      <c r="AB1307" s="260"/>
      <c r="AC1307" s="260"/>
      <c r="AD1307" s="260"/>
      <c r="AE1307" s="260"/>
      <c r="AF1307" s="260"/>
      <c r="AG1307" s="258"/>
    </row>
    <row r="1308" spans="13:33" ht="12" hidden="1" customHeight="1">
      <c r="M1308" s="820"/>
      <c r="N1308" s="239"/>
      <c r="O1308" s="225"/>
      <c r="P1308" s="260"/>
      <c r="Q1308" s="258"/>
      <c r="R1308" s="260"/>
      <c r="S1308" s="260"/>
      <c r="T1308" s="260"/>
      <c r="U1308" s="260"/>
      <c r="V1308" s="260"/>
      <c r="W1308" s="260"/>
      <c r="X1308" s="260"/>
      <c r="Y1308" s="260"/>
      <c r="Z1308" s="260"/>
      <c r="AA1308" s="260"/>
      <c r="AB1308" s="260"/>
      <c r="AC1308" s="260"/>
      <c r="AD1308" s="260"/>
      <c r="AE1308" s="260"/>
      <c r="AF1308" s="260"/>
      <c r="AG1308" s="258"/>
    </row>
    <row r="1309" spans="13:33" ht="12" hidden="1" customHeight="1">
      <c r="M1309" s="820"/>
      <c r="N1309" s="239"/>
      <c r="O1309" s="225"/>
      <c r="P1309" s="260"/>
      <c r="Q1309" s="258"/>
      <c r="R1309" s="260"/>
      <c r="S1309" s="260"/>
      <c r="T1309" s="260"/>
      <c r="U1309" s="260"/>
      <c r="V1309" s="260"/>
      <c r="W1309" s="260"/>
      <c r="X1309" s="260"/>
      <c r="Y1309" s="260"/>
      <c r="Z1309" s="260"/>
      <c r="AA1309" s="260"/>
      <c r="AB1309" s="260"/>
      <c r="AC1309" s="260"/>
      <c r="AD1309" s="260"/>
      <c r="AE1309" s="260"/>
      <c r="AF1309" s="260"/>
      <c r="AG1309" s="258"/>
    </row>
    <row r="1310" spans="13:33" ht="12" hidden="1" customHeight="1">
      <c r="M1310" s="820"/>
      <c r="N1310" s="239"/>
      <c r="O1310" s="225"/>
      <c r="P1310" s="260"/>
      <c r="Q1310" s="258"/>
      <c r="R1310" s="260"/>
      <c r="S1310" s="260"/>
      <c r="T1310" s="260"/>
      <c r="U1310" s="260"/>
      <c r="V1310" s="260"/>
      <c r="W1310" s="260"/>
      <c r="X1310" s="260"/>
      <c r="Y1310" s="260"/>
      <c r="Z1310" s="260"/>
      <c r="AA1310" s="260"/>
      <c r="AB1310" s="260"/>
      <c r="AC1310" s="260"/>
      <c r="AD1310" s="260"/>
      <c r="AE1310" s="260"/>
      <c r="AF1310" s="260"/>
      <c r="AG1310" s="258"/>
    </row>
    <row r="1311" spans="13:33" ht="12" hidden="1" customHeight="1">
      <c r="M1311" s="820"/>
      <c r="N1311" s="239"/>
      <c r="O1311" s="225"/>
      <c r="P1311" s="260"/>
      <c r="Q1311" s="258"/>
      <c r="R1311" s="260"/>
      <c r="S1311" s="260"/>
      <c r="T1311" s="260"/>
      <c r="U1311" s="260"/>
      <c r="V1311" s="260"/>
      <c r="W1311" s="260"/>
      <c r="X1311" s="260"/>
      <c r="Y1311" s="260"/>
      <c r="Z1311" s="260"/>
      <c r="AA1311" s="260"/>
      <c r="AB1311" s="260"/>
      <c r="AC1311" s="260"/>
      <c r="AD1311" s="260"/>
      <c r="AE1311" s="260"/>
      <c r="AF1311" s="260"/>
      <c r="AG1311" s="258"/>
    </row>
    <row r="1312" spans="13:33" ht="12" hidden="1" customHeight="1">
      <c r="M1312" s="820"/>
      <c r="N1312" s="239"/>
      <c r="O1312" s="225"/>
      <c r="P1312" s="260"/>
      <c r="Q1312" s="258"/>
      <c r="R1312" s="260"/>
      <c r="S1312" s="260"/>
      <c r="T1312" s="260"/>
      <c r="U1312" s="260"/>
      <c r="V1312" s="260"/>
      <c r="W1312" s="260"/>
      <c r="X1312" s="260"/>
      <c r="Y1312" s="260"/>
      <c r="Z1312" s="260"/>
      <c r="AA1312" s="260"/>
      <c r="AB1312" s="260"/>
      <c r="AC1312" s="260"/>
      <c r="AD1312" s="260"/>
      <c r="AE1312" s="260"/>
      <c r="AF1312" s="260"/>
      <c r="AG1312" s="258"/>
    </row>
    <row r="1313" spans="13:33" ht="12" hidden="1" customHeight="1">
      <c r="M1313" s="820"/>
      <c r="N1313" s="239"/>
      <c r="O1313" s="225"/>
      <c r="P1313" s="260"/>
      <c r="Q1313" s="258"/>
      <c r="R1313" s="260"/>
      <c r="S1313" s="260"/>
      <c r="T1313" s="260"/>
      <c r="U1313" s="260"/>
      <c r="V1313" s="260"/>
      <c r="W1313" s="260"/>
      <c r="X1313" s="260"/>
      <c r="Y1313" s="260"/>
      <c r="Z1313" s="260"/>
      <c r="AA1313" s="260"/>
      <c r="AB1313" s="260"/>
      <c r="AC1313" s="260"/>
      <c r="AD1313" s="260"/>
      <c r="AE1313" s="260"/>
      <c r="AF1313" s="260"/>
      <c r="AG1313" s="258"/>
    </row>
    <row r="1314" spans="13:33" ht="12" hidden="1" customHeight="1">
      <c r="M1314" s="820"/>
      <c r="N1314" s="239"/>
      <c r="O1314" s="225"/>
      <c r="P1314" s="260"/>
      <c r="Q1314" s="258"/>
      <c r="R1314" s="260"/>
      <c r="S1314" s="260"/>
      <c r="T1314" s="260"/>
      <c r="U1314" s="260"/>
      <c r="V1314" s="260"/>
      <c r="W1314" s="260"/>
      <c r="X1314" s="260"/>
      <c r="Y1314" s="260"/>
      <c r="Z1314" s="260"/>
      <c r="AA1314" s="260"/>
      <c r="AB1314" s="260"/>
      <c r="AC1314" s="260"/>
      <c r="AD1314" s="260"/>
      <c r="AE1314" s="260"/>
      <c r="AF1314" s="260"/>
      <c r="AG1314" s="258"/>
    </row>
    <row r="1315" spans="13:33" ht="12" hidden="1" customHeight="1">
      <c r="M1315" s="820"/>
      <c r="N1315" s="239"/>
      <c r="O1315" s="225"/>
      <c r="P1315" s="260"/>
      <c r="Q1315" s="258"/>
      <c r="R1315" s="260"/>
      <c r="S1315" s="260"/>
      <c r="T1315" s="260"/>
      <c r="U1315" s="260"/>
      <c r="V1315" s="260"/>
      <c r="W1315" s="260"/>
      <c r="X1315" s="260"/>
      <c r="Y1315" s="260"/>
      <c r="Z1315" s="260"/>
      <c r="AA1315" s="260"/>
      <c r="AB1315" s="260"/>
      <c r="AC1315" s="260"/>
      <c r="AD1315" s="260"/>
      <c r="AE1315" s="260"/>
      <c r="AF1315" s="260"/>
      <c r="AG1315" s="258"/>
    </row>
    <row r="1316" spans="13:33" ht="12" hidden="1" customHeight="1">
      <c r="M1316" s="820"/>
      <c r="N1316" s="239"/>
      <c r="O1316" s="225"/>
      <c r="P1316" s="260"/>
      <c r="Q1316" s="258"/>
      <c r="R1316" s="260"/>
      <c r="S1316" s="260"/>
      <c r="T1316" s="260"/>
      <c r="U1316" s="260"/>
      <c r="V1316" s="260"/>
      <c r="W1316" s="260"/>
      <c r="X1316" s="260"/>
      <c r="Y1316" s="260"/>
      <c r="Z1316" s="260"/>
      <c r="AA1316" s="260"/>
      <c r="AB1316" s="260"/>
      <c r="AC1316" s="260"/>
      <c r="AD1316" s="260"/>
      <c r="AE1316" s="260"/>
      <c r="AF1316" s="260"/>
      <c r="AG1316" s="258"/>
    </row>
    <row r="1317" spans="13:33" ht="12" hidden="1" customHeight="1">
      <c r="M1317" s="820"/>
      <c r="N1317" s="239"/>
      <c r="O1317" s="225"/>
      <c r="P1317" s="260"/>
      <c r="Q1317" s="258"/>
      <c r="R1317" s="260"/>
      <c r="S1317" s="260"/>
      <c r="T1317" s="260"/>
      <c r="U1317" s="260"/>
      <c r="V1317" s="260"/>
      <c r="W1317" s="260"/>
      <c r="X1317" s="260"/>
      <c r="Y1317" s="260"/>
      <c r="Z1317" s="260"/>
      <c r="AA1317" s="260"/>
      <c r="AB1317" s="260"/>
      <c r="AC1317" s="260"/>
      <c r="AD1317" s="260"/>
      <c r="AE1317" s="260"/>
      <c r="AF1317" s="260"/>
      <c r="AG1317" s="258"/>
    </row>
    <row r="1318" spans="13:33" ht="12" hidden="1" customHeight="1">
      <c r="M1318" s="820"/>
      <c r="N1318" s="239"/>
      <c r="O1318" s="225"/>
      <c r="P1318" s="260"/>
      <c r="Q1318" s="258"/>
      <c r="R1318" s="260"/>
      <c r="S1318" s="260"/>
      <c r="T1318" s="260"/>
      <c r="U1318" s="260"/>
      <c r="V1318" s="260"/>
      <c r="W1318" s="260"/>
      <c r="X1318" s="260"/>
      <c r="Y1318" s="260"/>
      <c r="Z1318" s="260"/>
      <c r="AA1318" s="260"/>
      <c r="AB1318" s="260"/>
      <c r="AC1318" s="260"/>
      <c r="AD1318" s="260"/>
      <c r="AE1318" s="260"/>
      <c r="AF1318" s="260"/>
      <c r="AG1318" s="258"/>
    </row>
    <row r="1319" spans="13:33" ht="12" hidden="1" customHeight="1">
      <c r="M1319" s="820"/>
      <c r="N1319" s="239"/>
      <c r="O1319" s="225"/>
      <c r="P1319" s="260"/>
      <c r="Q1319" s="258"/>
      <c r="R1319" s="260"/>
      <c r="S1319" s="260"/>
      <c r="T1319" s="260"/>
      <c r="U1319" s="260"/>
      <c r="V1319" s="260"/>
      <c r="W1319" s="260"/>
      <c r="X1319" s="260"/>
      <c r="Y1319" s="260"/>
      <c r="Z1319" s="260"/>
      <c r="AA1319" s="260"/>
      <c r="AB1319" s="260"/>
      <c r="AC1319" s="260"/>
      <c r="AD1319" s="260"/>
      <c r="AE1319" s="260"/>
      <c r="AF1319" s="260"/>
      <c r="AG1319" s="258"/>
    </row>
    <row r="1320" spans="13:33" ht="12" hidden="1" customHeight="1">
      <c r="M1320" s="820"/>
      <c r="N1320" s="239"/>
      <c r="O1320" s="225"/>
      <c r="P1320" s="260"/>
      <c r="Q1320" s="258"/>
      <c r="R1320" s="260"/>
      <c r="S1320" s="260"/>
      <c r="T1320" s="260"/>
      <c r="U1320" s="260"/>
      <c r="V1320" s="260"/>
      <c r="W1320" s="260"/>
      <c r="X1320" s="260"/>
      <c r="Y1320" s="260"/>
      <c r="Z1320" s="260"/>
      <c r="AA1320" s="260"/>
      <c r="AB1320" s="260"/>
      <c r="AC1320" s="260"/>
      <c r="AD1320" s="260"/>
      <c r="AE1320" s="260"/>
      <c r="AF1320" s="260"/>
      <c r="AG1320" s="258"/>
    </row>
    <row r="1321" spans="13:33" ht="12" hidden="1" customHeight="1">
      <c r="M1321" s="820"/>
      <c r="N1321" s="239"/>
      <c r="O1321" s="225"/>
      <c r="P1321" s="260"/>
      <c r="Q1321" s="258"/>
      <c r="R1321" s="260"/>
      <c r="S1321" s="260"/>
      <c r="T1321" s="260"/>
      <c r="U1321" s="260"/>
      <c r="V1321" s="260"/>
      <c r="W1321" s="260"/>
      <c r="X1321" s="260"/>
      <c r="Y1321" s="260"/>
      <c r="Z1321" s="260"/>
      <c r="AA1321" s="260"/>
      <c r="AB1321" s="260"/>
      <c r="AC1321" s="260"/>
      <c r="AD1321" s="260"/>
      <c r="AE1321" s="260"/>
      <c r="AF1321" s="260"/>
      <c r="AG1321" s="258"/>
    </row>
    <row r="1322" spans="13:33" ht="12" hidden="1" customHeight="1">
      <c r="M1322" s="820"/>
      <c r="N1322" s="239"/>
      <c r="O1322" s="225"/>
      <c r="P1322" s="260"/>
      <c r="Q1322" s="258"/>
      <c r="R1322" s="260"/>
      <c r="S1322" s="260"/>
      <c r="T1322" s="260"/>
      <c r="U1322" s="260"/>
      <c r="V1322" s="260"/>
      <c r="W1322" s="260"/>
      <c r="X1322" s="260"/>
      <c r="Y1322" s="260"/>
      <c r="Z1322" s="260"/>
      <c r="AA1322" s="260"/>
      <c r="AB1322" s="260"/>
      <c r="AC1322" s="260"/>
      <c r="AD1322" s="260"/>
      <c r="AE1322" s="260"/>
      <c r="AF1322" s="260"/>
      <c r="AG1322" s="258"/>
    </row>
    <row r="1323" spans="13:33" ht="12" hidden="1" customHeight="1">
      <c r="M1323" s="820"/>
      <c r="N1323" s="239"/>
      <c r="O1323" s="225"/>
      <c r="P1323" s="260"/>
      <c r="Q1323" s="258"/>
      <c r="R1323" s="260"/>
      <c r="S1323" s="260"/>
      <c r="T1323" s="260"/>
      <c r="U1323" s="260"/>
      <c r="V1323" s="260"/>
      <c r="W1323" s="260"/>
      <c r="X1323" s="260"/>
      <c r="Y1323" s="260"/>
      <c r="Z1323" s="260"/>
      <c r="AA1323" s="260"/>
      <c r="AB1323" s="260"/>
      <c r="AC1323" s="260"/>
      <c r="AD1323" s="260"/>
      <c r="AE1323" s="260"/>
      <c r="AF1323" s="260"/>
      <c r="AG1323" s="258"/>
    </row>
    <row r="1324" spans="13:33" ht="12" hidden="1" customHeight="1">
      <c r="M1324" s="820"/>
      <c r="N1324" s="239"/>
      <c r="O1324" s="225"/>
      <c r="P1324" s="260"/>
      <c r="Q1324" s="258"/>
      <c r="R1324" s="260"/>
      <c r="S1324" s="260"/>
      <c r="T1324" s="260"/>
      <c r="U1324" s="260"/>
      <c r="V1324" s="260"/>
      <c r="W1324" s="260"/>
      <c r="X1324" s="260"/>
      <c r="Y1324" s="260"/>
      <c r="Z1324" s="260"/>
      <c r="AA1324" s="260"/>
      <c r="AB1324" s="260"/>
      <c r="AC1324" s="260"/>
      <c r="AD1324" s="260"/>
      <c r="AE1324" s="260"/>
      <c r="AF1324" s="260"/>
      <c r="AG1324" s="258"/>
    </row>
    <row r="1325" spans="13:33" ht="12" hidden="1" customHeight="1">
      <c r="M1325" s="820"/>
      <c r="N1325" s="239"/>
      <c r="O1325" s="225"/>
      <c r="P1325" s="260"/>
      <c r="Q1325" s="258"/>
      <c r="R1325" s="260"/>
      <c r="S1325" s="260"/>
      <c r="T1325" s="260"/>
      <c r="U1325" s="260"/>
      <c r="V1325" s="260"/>
      <c r="W1325" s="260"/>
      <c r="X1325" s="260"/>
      <c r="Y1325" s="260"/>
      <c r="Z1325" s="260"/>
      <c r="AA1325" s="260"/>
      <c r="AB1325" s="260"/>
      <c r="AC1325" s="260"/>
      <c r="AD1325" s="260"/>
      <c r="AE1325" s="260"/>
      <c r="AF1325" s="260"/>
      <c r="AG1325" s="258"/>
    </row>
    <row r="1326" spans="13:33" ht="12" hidden="1" customHeight="1">
      <c r="M1326" s="820"/>
      <c r="N1326" s="239"/>
      <c r="O1326" s="225"/>
      <c r="P1326" s="260"/>
      <c r="Q1326" s="258"/>
      <c r="R1326" s="260"/>
      <c r="S1326" s="260"/>
      <c r="T1326" s="260"/>
      <c r="U1326" s="260"/>
      <c r="V1326" s="260"/>
      <c r="W1326" s="260"/>
      <c r="X1326" s="260"/>
      <c r="Y1326" s="260"/>
      <c r="Z1326" s="260"/>
      <c r="AA1326" s="260"/>
      <c r="AB1326" s="260"/>
      <c r="AC1326" s="260"/>
      <c r="AD1326" s="260"/>
      <c r="AE1326" s="260"/>
      <c r="AF1326" s="260"/>
      <c r="AG1326" s="258"/>
    </row>
    <row r="1327" spans="13:33" ht="12" hidden="1" customHeight="1">
      <c r="M1327" s="820"/>
      <c r="N1327" s="239"/>
      <c r="O1327" s="225"/>
      <c r="P1327" s="260"/>
      <c r="Q1327" s="258"/>
      <c r="R1327" s="260"/>
      <c r="S1327" s="260"/>
      <c r="T1327" s="260"/>
      <c r="U1327" s="260"/>
      <c r="V1327" s="260"/>
      <c r="W1327" s="260"/>
      <c r="X1327" s="260"/>
      <c r="Y1327" s="260"/>
      <c r="Z1327" s="260"/>
      <c r="AA1327" s="260"/>
      <c r="AB1327" s="260"/>
      <c r="AC1327" s="260"/>
      <c r="AD1327" s="260"/>
      <c r="AE1327" s="260"/>
      <c r="AF1327" s="260"/>
      <c r="AG1327" s="258"/>
    </row>
    <row r="1328" spans="13:33" ht="12" hidden="1" customHeight="1">
      <c r="M1328" s="820"/>
      <c r="N1328" s="239"/>
      <c r="O1328" s="225"/>
      <c r="P1328" s="260"/>
      <c r="Q1328" s="258"/>
      <c r="R1328" s="260"/>
      <c r="S1328" s="260"/>
      <c r="T1328" s="260"/>
      <c r="U1328" s="260"/>
      <c r="V1328" s="260"/>
      <c r="W1328" s="260"/>
      <c r="X1328" s="260"/>
      <c r="Y1328" s="260"/>
      <c r="Z1328" s="260"/>
      <c r="AA1328" s="260"/>
      <c r="AB1328" s="260"/>
      <c r="AC1328" s="260"/>
      <c r="AD1328" s="260"/>
      <c r="AE1328" s="260"/>
      <c r="AF1328" s="260"/>
      <c r="AG1328" s="258"/>
    </row>
    <row r="1329" spans="13:33" ht="12" hidden="1" customHeight="1">
      <c r="M1329" s="820"/>
      <c r="N1329" s="239"/>
      <c r="O1329" s="225"/>
      <c r="P1329" s="260"/>
      <c r="Q1329" s="258"/>
      <c r="R1329" s="260"/>
      <c r="S1329" s="260"/>
      <c r="T1329" s="260"/>
      <c r="U1329" s="260"/>
      <c r="V1329" s="260"/>
      <c r="W1329" s="260"/>
      <c r="X1329" s="260"/>
      <c r="Y1329" s="260"/>
      <c r="Z1329" s="260"/>
      <c r="AA1329" s="260"/>
      <c r="AB1329" s="260"/>
      <c r="AC1329" s="260"/>
      <c r="AD1329" s="260"/>
      <c r="AE1329" s="260"/>
      <c r="AF1329" s="260"/>
      <c r="AG1329" s="258"/>
    </row>
    <row r="1330" spans="13:33" ht="12" hidden="1" customHeight="1">
      <c r="M1330" s="820"/>
      <c r="N1330" s="239"/>
      <c r="O1330" s="225"/>
      <c r="P1330" s="260"/>
      <c r="Q1330" s="258"/>
      <c r="R1330" s="260"/>
      <c r="S1330" s="260"/>
      <c r="T1330" s="260"/>
      <c r="U1330" s="260"/>
      <c r="V1330" s="260"/>
      <c r="W1330" s="260"/>
      <c r="X1330" s="260"/>
      <c r="Y1330" s="260"/>
      <c r="Z1330" s="260"/>
      <c r="AA1330" s="260"/>
      <c r="AB1330" s="260"/>
      <c r="AC1330" s="260"/>
      <c r="AD1330" s="260"/>
      <c r="AE1330" s="260"/>
      <c r="AF1330" s="260"/>
      <c r="AG1330" s="258"/>
    </row>
    <row r="1331" spans="13:33" ht="12" hidden="1" customHeight="1">
      <c r="M1331" s="820"/>
      <c r="N1331" s="239"/>
      <c r="O1331" s="225"/>
      <c r="P1331" s="260"/>
      <c r="Q1331" s="258"/>
      <c r="R1331" s="260"/>
      <c r="S1331" s="260"/>
      <c r="T1331" s="260"/>
      <c r="U1331" s="260"/>
      <c r="V1331" s="260"/>
      <c r="W1331" s="260"/>
      <c r="X1331" s="260"/>
      <c r="Y1331" s="260"/>
      <c r="Z1331" s="260"/>
      <c r="AA1331" s="260"/>
      <c r="AB1331" s="260"/>
      <c r="AC1331" s="260"/>
      <c r="AD1331" s="260"/>
      <c r="AE1331" s="260"/>
      <c r="AF1331" s="260"/>
      <c r="AG1331" s="258"/>
    </row>
    <row r="1332" spans="13:33" ht="12" hidden="1" customHeight="1">
      <c r="M1332" s="820"/>
      <c r="N1332" s="239"/>
      <c r="O1332" s="225"/>
      <c r="P1332" s="260"/>
      <c r="Q1332" s="258"/>
      <c r="R1332" s="260"/>
      <c r="S1332" s="260"/>
      <c r="T1332" s="260"/>
      <c r="U1332" s="260"/>
      <c r="V1332" s="260"/>
      <c r="W1332" s="260"/>
      <c r="X1332" s="260"/>
      <c r="Y1332" s="260"/>
      <c r="Z1332" s="260"/>
      <c r="AA1332" s="260"/>
      <c r="AB1332" s="260"/>
      <c r="AC1332" s="260"/>
      <c r="AD1332" s="260"/>
      <c r="AE1332" s="260"/>
      <c r="AF1332" s="260"/>
      <c r="AG1332" s="258"/>
    </row>
    <row r="1333" spans="13:33" ht="12" hidden="1" customHeight="1">
      <c r="M1333" s="820"/>
      <c r="N1333" s="239"/>
      <c r="O1333" s="225"/>
      <c r="P1333" s="260"/>
      <c r="Q1333" s="258"/>
      <c r="R1333" s="260"/>
      <c r="S1333" s="260"/>
      <c r="T1333" s="260"/>
      <c r="U1333" s="260"/>
      <c r="V1333" s="260"/>
      <c r="W1333" s="260"/>
      <c r="X1333" s="260"/>
      <c r="Y1333" s="260"/>
      <c r="Z1333" s="260"/>
      <c r="AA1333" s="260"/>
      <c r="AB1333" s="260"/>
      <c r="AC1333" s="260"/>
      <c r="AD1333" s="260"/>
      <c r="AE1333" s="260"/>
      <c r="AF1333" s="260"/>
      <c r="AG1333" s="258"/>
    </row>
    <row r="1334" spans="13:33" ht="12" hidden="1" customHeight="1">
      <c r="M1334" s="820"/>
      <c r="N1334" s="239"/>
      <c r="O1334" s="225"/>
      <c r="P1334" s="260"/>
      <c r="Q1334" s="258"/>
      <c r="R1334" s="260"/>
      <c r="S1334" s="260"/>
      <c r="T1334" s="260"/>
      <c r="U1334" s="260"/>
      <c r="V1334" s="260"/>
      <c r="W1334" s="260"/>
      <c r="X1334" s="260"/>
      <c r="Y1334" s="260"/>
      <c r="Z1334" s="260"/>
      <c r="AA1334" s="260"/>
      <c r="AB1334" s="260"/>
      <c r="AC1334" s="260"/>
      <c r="AD1334" s="260"/>
      <c r="AE1334" s="260"/>
      <c r="AF1334" s="260"/>
      <c r="AG1334" s="258"/>
    </row>
    <row r="1335" spans="13:33" ht="12" hidden="1" customHeight="1">
      <c r="M1335" s="820"/>
      <c r="N1335" s="239"/>
      <c r="O1335" s="225"/>
      <c r="P1335" s="260"/>
      <c r="Q1335" s="258"/>
      <c r="R1335" s="260"/>
      <c r="S1335" s="260"/>
      <c r="T1335" s="260"/>
      <c r="U1335" s="260"/>
      <c r="V1335" s="260"/>
      <c r="W1335" s="260"/>
      <c r="X1335" s="260"/>
      <c r="Y1335" s="260"/>
      <c r="Z1335" s="260"/>
      <c r="AA1335" s="260"/>
      <c r="AB1335" s="260"/>
      <c r="AC1335" s="260"/>
      <c r="AD1335" s="260"/>
      <c r="AE1335" s="260"/>
      <c r="AF1335" s="260"/>
      <c r="AG1335" s="258"/>
    </row>
    <row r="1336" spans="13:33" ht="12" hidden="1" customHeight="1">
      <c r="M1336" s="820"/>
      <c r="N1336" s="239"/>
      <c r="O1336" s="225"/>
      <c r="P1336" s="260"/>
      <c r="Q1336" s="258"/>
      <c r="R1336" s="260"/>
      <c r="S1336" s="260"/>
      <c r="T1336" s="260"/>
      <c r="U1336" s="260"/>
      <c r="V1336" s="260"/>
      <c r="W1336" s="260"/>
      <c r="X1336" s="260"/>
      <c r="Y1336" s="260"/>
      <c r="Z1336" s="260"/>
      <c r="AA1336" s="260"/>
      <c r="AB1336" s="260"/>
      <c r="AC1336" s="260"/>
      <c r="AD1336" s="260"/>
      <c r="AE1336" s="260"/>
      <c r="AF1336" s="260"/>
      <c r="AG1336" s="258"/>
    </row>
    <row r="1337" spans="13:33" ht="12" hidden="1" customHeight="1">
      <c r="M1337" s="820"/>
      <c r="N1337" s="239"/>
      <c r="O1337" s="225"/>
      <c r="P1337" s="260"/>
      <c r="Q1337" s="258"/>
      <c r="R1337" s="260"/>
      <c r="S1337" s="260"/>
      <c r="T1337" s="260"/>
      <c r="U1337" s="260"/>
      <c r="V1337" s="260"/>
      <c r="W1337" s="260"/>
      <c r="X1337" s="260"/>
      <c r="Y1337" s="260"/>
      <c r="Z1337" s="260"/>
      <c r="AA1337" s="260"/>
      <c r="AB1337" s="260"/>
      <c r="AC1337" s="260"/>
      <c r="AD1337" s="260"/>
      <c r="AE1337" s="260"/>
      <c r="AF1337" s="260"/>
      <c r="AG1337" s="258"/>
    </row>
    <row r="1338" spans="13:33" ht="12" hidden="1" customHeight="1">
      <c r="M1338" s="820"/>
      <c r="N1338" s="239"/>
      <c r="O1338" s="225"/>
      <c r="P1338" s="260"/>
      <c r="Q1338" s="258"/>
      <c r="R1338" s="260"/>
      <c r="S1338" s="260"/>
      <c r="T1338" s="260"/>
      <c r="U1338" s="260"/>
      <c r="V1338" s="260"/>
      <c r="W1338" s="260"/>
      <c r="X1338" s="260"/>
      <c r="Y1338" s="260"/>
      <c r="Z1338" s="260"/>
      <c r="AA1338" s="260"/>
      <c r="AB1338" s="260"/>
      <c r="AC1338" s="260"/>
      <c r="AD1338" s="260"/>
      <c r="AE1338" s="260"/>
      <c r="AF1338" s="260"/>
      <c r="AG1338" s="258"/>
    </row>
    <row r="1339" spans="13:33" ht="12" hidden="1" customHeight="1">
      <c r="M1339" s="820"/>
      <c r="N1339" s="239"/>
      <c r="O1339" s="225"/>
      <c r="P1339" s="260"/>
      <c r="Q1339" s="258"/>
      <c r="R1339" s="260"/>
      <c r="S1339" s="260"/>
      <c r="T1339" s="260"/>
      <c r="U1339" s="260"/>
      <c r="V1339" s="260"/>
      <c r="W1339" s="260"/>
      <c r="X1339" s="260"/>
      <c r="Y1339" s="260"/>
      <c r="Z1339" s="260"/>
      <c r="AA1339" s="260"/>
      <c r="AB1339" s="260"/>
      <c r="AC1339" s="260"/>
      <c r="AD1339" s="260"/>
      <c r="AE1339" s="260"/>
      <c r="AF1339" s="260"/>
      <c r="AG1339" s="258"/>
    </row>
    <row r="1340" spans="13:33" ht="12" hidden="1" customHeight="1">
      <c r="M1340" s="820"/>
      <c r="N1340" s="239"/>
      <c r="O1340" s="225"/>
      <c r="P1340" s="260"/>
      <c r="Q1340" s="258"/>
      <c r="R1340" s="260"/>
      <c r="S1340" s="260"/>
      <c r="T1340" s="260"/>
      <c r="U1340" s="260"/>
      <c r="V1340" s="260"/>
      <c r="W1340" s="260"/>
      <c r="X1340" s="260"/>
      <c r="Y1340" s="260"/>
      <c r="Z1340" s="260"/>
      <c r="AA1340" s="260"/>
      <c r="AB1340" s="260"/>
      <c r="AC1340" s="260"/>
      <c r="AD1340" s="260"/>
      <c r="AE1340" s="260"/>
      <c r="AF1340" s="260"/>
      <c r="AG1340" s="258"/>
    </row>
    <row r="1341" spans="13:33" ht="12" hidden="1" customHeight="1">
      <c r="M1341" s="820"/>
      <c r="N1341" s="239"/>
      <c r="O1341" s="225"/>
      <c r="P1341" s="260"/>
      <c r="Q1341" s="258"/>
      <c r="R1341" s="260"/>
      <c r="S1341" s="260"/>
      <c r="T1341" s="260"/>
      <c r="U1341" s="260"/>
      <c r="V1341" s="260"/>
      <c r="W1341" s="260"/>
      <c r="X1341" s="260"/>
      <c r="Y1341" s="260"/>
      <c r="Z1341" s="260"/>
      <c r="AA1341" s="260"/>
      <c r="AB1341" s="260"/>
      <c r="AC1341" s="260"/>
      <c r="AD1341" s="260"/>
      <c r="AE1341" s="260"/>
      <c r="AF1341" s="260"/>
      <c r="AG1341" s="258"/>
    </row>
    <row r="1342" spans="13:33" ht="12" hidden="1" customHeight="1">
      <c r="M1342" s="820"/>
      <c r="N1342" s="239"/>
      <c r="O1342" s="225"/>
      <c r="P1342" s="260"/>
      <c r="Q1342" s="258"/>
      <c r="R1342" s="260"/>
      <c r="S1342" s="260"/>
      <c r="T1342" s="260"/>
      <c r="U1342" s="260"/>
      <c r="V1342" s="260"/>
      <c r="W1342" s="260"/>
      <c r="X1342" s="260"/>
      <c r="Y1342" s="260"/>
      <c r="Z1342" s="260"/>
      <c r="AA1342" s="260"/>
      <c r="AB1342" s="260"/>
      <c r="AC1342" s="260"/>
      <c r="AD1342" s="260"/>
      <c r="AE1342" s="260"/>
      <c r="AF1342" s="260"/>
      <c r="AG1342" s="258"/>
    </row>
    <row r="1343" spans="13:33" ht="12" hidden="1" customHeight="1">
      <c r="M1343" s="820"/>
      <c r="N1343" s="239"/>
      <c r="O1343" s="225"/>
      <c r="P1343" s="260"/>
      <c r="Q1343" s="258"/>
      <c r="R1343" s="260"/>
      <c r="S1343" s="260"/>
      <c r="T1343" s="260"/>
      <c r="U1343" s="260"/>
      <c r="V1343" s="260"/>
      <c r="W1343" s="260"/>
      <c r="X1343" s="260"/>
      <c r="Y1343" s="260"/>
      <c r="Z1343" s="260"/>
      <c r="AA1343" s="260"/>
      <c r="AB1343" s="260"/>
      <c r="AC1343" s="260"/>
      <c r="AD1343" s="260"/>
      <c r="AE1343" s="260"/>
      <c r="AF1343" s="260"/>
      <c r="AG1343" s="258"/>
    </row>
    <row r="1344" spans="13:33" ht="12" hidden="1" customHeight="1">
      <c r="M1344" s="820"/>
      <c r="N1344" s="239"/>
      <c r="O1344" s="225"/>
      <c r="P1344" s="260"/>
      <c r="Q1344" s="258"/>
      <c r="R1344" s="260"/>
      <c r="S1344" s="260"/>
      <c r="T1344" s="260"/>
      <c r="U1344" s="260"/>
      <c r="V1344" s="260"/>
      <c r="W1344" s="260"/>
      <c r="X1344" s="260"/>
      <c r="Y1344" s="260"/>
      <c r="Z1344" s="260"/>
      <c r="AA1344" s="260"/>
      <c r="AB1344" s="260"/>
      <c r="AC1344" s="260"/>
      <c r="AD1344" s="260"/>
      <c r="AE1344" s="260"/>
      <c r="AF1344" s="260"/>
      <c r="AG1344" s="258"/>
    </row>
    <row r="1345" spans="13:33" ht="12" hidden="1" customHeight="1">
      <c r="M1345" s="820"/>
      <c r="N1345" s="239"/>
      <c r="O1345" s="225"/>
      <c r="P1345" s="260"/>
      <c r="Q1345" s="258"/>
      <c r="R1345" s="260"/>
      <c r="S1345" s="260"/>
      <c r="T1345" s="260"/>
      <c r="U1345" s="260"/>
      <c r="V1345" s="260"/>
      <c r="W1345" s="260"/>
      <c r="X1345" s="260"/>
      <c r="Y1345" s="260"/>
      <c r="Z1345" s="260"/>
      <c r="AA1345" s="260"/>
      <c r="AB1345" s="260"/>
      <c r="AC1345" s="260"/>
      <c r="AD1345" s="260"/>
      <c r="AE1345" s="260"/>
      <c r="AF1345" s="260"/>
      <c r="AG1345" s="258"/>
    </row>
    <row r="1346" spans="13:33" ht="12" hidden="1" customHeight="1">
      <c r="M1346" s="820"/>
      <c r="N1346" s="239"/>
      <c r="O1346" s="225"/>
      <c r="P1346" s="260"/>
      <c r="Q1346" s="258"/>
      <c r="R1346" s="260"/>
      <c r="S1346" s="260"/>
      <c r="T1346" s="260"/>
      <c r="U1346" s="260"/>
      <c r="V1346" s="260"/>
      <c r="W1346" s="260"/>
      <c r="X1346" s="260"/>
      <c r="Y1346" s="260"/>
      <c r="Z1346" s="260"/>
      <c r="AA1346" s="260"/>
      <c r="AB1346" s="260"/>
      <c r="AC1346" s="260"/>
      <c r="AD1346" s="260"/>
      <c r="AE1346" s="260"/>
      <c r="AF1346" s="260"/>
      <c r="AG1346" s="258"/>
    </row>
    <row r="1347" spans="13:33" ht="12" hidden="1" customHeight="1">
      <c r="M1347" s="820"/>
      <c r="N1347" s="239"/>
      <c r="O1347" s="225"/>
      <c r="P1347" s="260"/>
      <c r="Q1347" s="258"/>
      <c r="R1347" s="260"/>
      <c r="S1347" s="260"/>
      <c r="T1347" s="260"/>
      <c r="U1347" s="260"/>
      <c r="V1347" s="260"/>
      <c r="W1347" s="260"/>
      <c r="X1347" s="260"/>
      <c r="Y1347" s="260"/>
      <c r="Z1347" s="260"/>
      <c r="AA1347" s="260"/>
      <c r="AB1347" s="260"/>
      <c r="AC1347" s="260"/>
      <c r="AD1347" s="260"/>
      <c r="AE1347" s="260"/>
      <c r="AF1347" s="260"/>
      <c r="AG1347" s="258"/>
    </row>
    <row r="1348" spans="13:33" ht="12" hidden="1" customHeight="1">
      <c r="M1348" s="820"/>
      <c r="N1348" s="239"/>
      <c r="O1348" s="225"/>
      <c r="P1348" s="260"/>
      <c r="Q1348" s="258"/>
      <c r="R1348" s="260"/>
      <c r="S1348" s="260"/>
      <c r="T1348" s="260"/>
      <c r="U1348" s="260"/>
      <c r="V1348" s="260"/>
      <c r="W1348" s="260"/>
      <c r="X1348" s="260"/>
      <c r="Y1348" s="260"/>
      <c r="Z1348" s="260"/>
      <c r="AA1348" s="260"/>
      <c r="AB1348" s="260"/>
      <c r="AC1348" s="260"/>
      <c r="AD1348" s="260"/>
      <c r="AE1348" s="260"/>
      <c r="AF1348" s="260"/>
      <c r="AG1348" s="258"/>
    </row>
    <row r="1349" spans="13:33" ht="12" hidden="1" customHeight="1">
      <c r="M1349" s="820"/>
      <c r="N1349" s="239"/>
      <c r="O1349" s="225"/>
      <c r="P1349" s="260"/>
      <c r="Q1349" s="258"/>
      <c r="R1349" s="260"/>
      <c r="S1349" s="260"/>
      <c r="T1349" s="260"/>
      <c r="U1349" s="260"/>
      <c r="V1349" s="260"/>
      <c r="W1349" s="260"/>
      <c r="X1349" s="260"/>
      <c r="Y1349" s="260"/>
      <c r="Z1349" s="260"/>
      <c r="AA1349" s="260"/>
      <c r="AB1349" s="260"/>
      <c r="AC1349" s="260"/>
      <c r="AD1349" s="260"/>
      <c r="AE1349" s="260"/>
      <c r="AF1349" s="260"/>
      <c r="AG1349" s="258"/>
    </row>
    <row r="1350" spans="13:33" ht="12" hidden="1" customHeight="1">
      <c r="M1350" s="820"/>
      <c r="N1350" s="239"/>
      <c r="O1350" s="225"/>
      <c r="P1350" s="260"/>
      <c r="Q1350" s="258"/>
      <c r="R1350" s="260"/>
      <c r="S1350" s="260"/>
      <c r="T1350" s="260"/>
      <c r="U1350" s="260"/>
      <c r="V1350" s="260"/>
      <c r="W1350" s="260"/>
      <c r="X1350" s="260"/>
      <c r="Y1350" s="260"/>
      <c r="Z1350" s="260"/>
      <c r="AA1350" s="260"/>
      <c r="AB1350" s="260"/>
      <c r="AC1350" s="260"/>
      <c r="AD1350" s="260"/>
      <c r="AE1350" s="260"/>
      <c r="AF1350" s="260"/>
      <c r="AG1350" s="258"/>
    </row>
    <row r="1351" spans="13:33" ht="12" hidden="1" customHeight="1">
      <c r="M1351" s="820"/>
      <c r="N1351" s="239"/>
      <c r="O1351" s="225"/>
      <c r="P1351" s="260"/>
      <c r="Q1351" s="258"/>
      <c r="R1351" s="260"/>
      <c r="S1351" s="260"/>
      <c r="T1351" s="260"/>
      <c r="U1351" s="260"/>
      <c r="V1351" s="260"/>
      <c r="W1351" s="260"/>
      <c r="X1351" s="260"/>
      <c r="Y1351" s="260"/>
      <c r="Z1351" s="260"/>
      <c r="AA1351" s="260"/>
      <c r="AB1351" s="260"/>
      <c r="AC1351" s="260"/>
      <c r="AD1351" s="260"/>
      <c r="AE1351" s="260"/>
      <c r="AF1351" s="260"/>
      <c r="AG1351" s="258"/>
    </row>
    <row r="1352" spans="13:33" ht="12" hidden="1" customHeight="1">
      <c r="M1352" s="820"/>
      <c r="N1352" s="239"/>
      <c r="O1352" s="225"/>
      <c r="P1352" s="260"/>
      <c r="Q1352" s="258"/>
      <c r="R1352" s="260"/>
      <c r="S1352" s="260"/>
      <c r="T1352" s="260"/>
      <c r="U1352" s="260"/>
      <c r="V1352" s="260"/>
      <c r="W1352" s="260"/>
      <c r="X1352" s="260"/>
      <c r="Y1352" s="260"/>
      <c r="Z1352" s="260"/>
      <c r="AA1352" s="260"/>
      <c r="AB1352" s="260"/>
      <c r="AC1352" s="260"/>
      <c r="AD1352" s="260"/>
      <c r="AE1352" s="260"/>
      <c r="AF1352" s="260"/>
      <c r="AG1352" s="258"/>
    </row>
    <row r="1353" spans="13:33" ht="12" hidden="1" customHeight="1">
      <c r="M1353" s="820"/>
      <c r="N1353" s="239"/>
      <c r="O1353" s="225"/>
      <c r="P1353" s="260"/>
      <c r="Q1353" s="258"/>
      <c r="R1353" s="260"/>
      <c r="S1353" s="260"/>
      <c r="T1353" s="260"/>
      <c r="U1353" s="260"/>
      <c r="V1353" s="260"/>
      <c r="W1353" s="260"/>
      <c r="X1353" s="260"/>
      <c r="Y1353" s="260"/>
      <c r="Z1353" s="260"/>
      <c r="AA1353" s="260"/>
      <c r="AB1353" s="260"/>
      <c r="AC1353" s="260"/>
      <c r="AD1353" s="260"/>
      <c r="AE1353" s="260"/>
      <c r="AF1353" s="260"/>
      <c r="AG1353" s="258"/>
    </row>
    <row r="1354" spans="13:33" ht="12" hidden="1" customHeight="1">
      <c r="M1354" s="820"/>
      <c r="N1354" s="239"/>
      <c r="O1354" s="225"/>
      <c r="P1354" s="260"/>
      <c r="Q1354" s="258"/>
      <c r="R1354" s="260"/>
      <c r="S1354" s="260"/>
      <c r="T1354" s="260"/>
      <c r="U1354" s="260"/>
      <c r="V1354" s="260"/>
      <c r="W1354" s="260"/>
      <c r="X1354" s="260"/>
      <c r="Y1354" s="260"/>
      <c r="Z1354" s="260"/>
      <c r="AA1354" s="260"/>
      <c r="AB1354" s="260"/>
      <c r="AC1354" s="260"/>
      <c r="AD1354" s="260"/>
      <c r="AE1354" s="260"/>
      <c r="AF1354" s="260"/>
      <c r="AG1354" s="258"/>
    </row>
    <row r="1355" spans="13:33" ht="12" hidden="1" customHeight="1">
      <c r="M1355" s="820"/>
      <c r="N1355" s="239"/>
      <c r="O1355" s="225"/>
      <c r="P1355" s="260"/>
      <c r="Q1355" s="258"/>
      <c r="R1355" s="260"/>
      <c r="S1355" s="260"/>
      <c r="T1355" s="260"/>
      <c r="U1355" s="260"/>
      <c r="V1355" s="260"/>
      <c r="W1355" s="260"/>
      <c r="X1355" s="260"/>
      <c r="Y1355" s="260"/>
      <c r="Z1355" s="260"/>
      <c r="AA1355" s="260"/>
      <c r="AB1355" s="260"/>
      <c r="AC1355" s="260"/>
      <c r="AD1355" s="260"/>
      <c r="AE1355" s="260"/>
      <c r="AF1355" s="260"/>
      <c r="AG1355" s="258"/>
    </row>
    <row r="1356" spans="13:33" ht="12" hidden="1" customHeight="1">
      <c r="M1356" s="820"/>
      <c r="N1356" s="239"/>
      <c r="O1356" s="225"/>
      <c r="P1356" s="260"/>
      <c r="Q1356" s="258"/>
      <c r="R1356" s="260"/>
      <c r="S1356" s="260"/>
      <c r="T1356" s="260"/>
      <c r="U1356" s="260"/>
      <c r="V1356" s="260"/>
      <c r="W1356" s="260"/>
      <c r="X1356" s="260"/>
      <c r="Y1356" s="260"/>
      <c r="Z1356" s="260"/>
      <c r="AA1356" s="260"/>
      <c r="AB1356" s="260"/>
      <c r="AC1356" s="260"/>
      <c r="AD1356" s="260"/>
      <c r="AE1356" s="260"/>
      <c r="AF1356" s="260"/>
      <c r="AG1356" s="258"/>
    </row>
    <row r="1357" spans="13:33" ht="12" hidden="1" customHeight="1">
      <c r="M1357" s="820"/>
      <c r="N1357" s="239"/>
      <c r="O1357" s="225"/>
      <c r="P1357" s="260"/>
      <c r="Q1357" s="258"/>
      <c r="R1357" s="260"/>
      <c r="S1357" s="260"/>
      <c r="T1357" s="260"/>
      <c r="U1357" s="260"/>
      <c r="V1357" s="260"/>
      <c r="W1357" s="260"/>
      <c r="X1357" s="260"/>
      <c r="Y1357" s="260"/>
      <c r="Z1357" s="260"/>
      <c r="AA1357" s="260"/>
      <c r="AB1357" s="260"/>
      <c r="AC1357" s="260"/>
      <c r="AD1357" s="260"/>
      <c r="AE1357" s="260"/>
      <c r="AF1357" s="260"/>
      <c r="AG1357" s="258"/>
    </row>
    <row r="1358" spans="13:33" ht="12" hidden="1" customHeight="1">
      <c r="M1358" s="820"/>
      <c r="N1358" s="239"/>
      <c r="O1358" s="225"/>
      <c r="P1358" s="260"/>
      <c r="Q1358" s="258"/>
      <c r="R1358" s="260"/>
      <c r="S1358" s="260"/>
      <c r="T1358" s="260"/>
      <c r="U1358" s="260"/>
      <c r="V1358" s="260"/>
      <c r="W1358" s="260"/>
      <c r="X1358" s="260"/>
      <c r="Y1358" s="260"/>
      <c r="Z1358" s="260"/>
      <c r="AA1358" s="260"/>
      <c r="AB1358" s="260"/>
      <c r="AC1358" s="260"/>
      <c r="AD1358" s="260"/>
      <c r="AE1358" s="260"/>
      <c r="AF1358" s="260"/>
      <c r="AG1358" s="258"/>
    </row>
    <row r="1359" spans="13:33" ht="12" hidden="1" customHeight="1">
      <c r="M1359" s="820"/>
      <c r="N1359" s="239"/>
      <c r="O1359" s="225"/>
      <c r="P1359" s="260"/>
      <c r="Q1359" s="258"/>
      <c r="R1359" s="260"/>
      <c r="S1359" s="260"/>
      <c r="T1359" s="260"/>
      <c r="U1359" s="260"/>
      <c r="V1359" s="260"/>
      <c r="W1359" s="260"/>
      <c r="X1359" s="260"/>
      <c r="Y1359" s="260"/>
      <c r="Z1359" s="260"/>
      <c r="AA1359" s="260"/>
      <c r="AB1359" s="260"/>
      <c r="AC1359" s="260"/>
      <c r="AD1359" s="260"/>
      <c r="AE1359" s="260"/>
      <c r="AF1359" s="260"/>
      <c r="AG1359" s="258"/>
    </row>
    <row r="1360" spans="13:33" ht="12" hidden="1" customHeight="1">
      <c r="M1360" s="820"/>
      <c r="N1360" s="239"/>
      <c r="O1360" s="225"/>
      <c r="P1360" s="260"/>
      <c r="Q1360" s="258"/>
      <c r="R1360" s="260"/>
      <c r="S1360" s="260"/>
      <c r="T1360" s="260"/>
      <c r="U1360" s="260"/>
      <c r="V1360" s="260"/>
      <c r="W1360" s="260"/>
      <c r="X1360" s="260"/>
      <c r="Y1360" s="260"/>
      <c r="Z1360" s="260"/>
      <c r="AA1360" s="260"/>
      <c r="AB1360" s="260"/>
      <c r="AC1360" s="260"/>
      <c r="AD1360" s="260"/>
      <c r="AE1360" s="260"/>
      <c r="AF1360" s="260"/>
      <c r="AG1360" s="258"/>
    </row>
    <row r="1361" spans="13:33" ht="12" hidden="1" customHeight="1">
      <c r="M1361" s="820"/>
      <c r="N1361" s="239"/>
      <c r="O1361" s="225"/>
      <c r="P1361" s="260"/>
      <c r="Q1361" s="258"/>
      <c r="R1361" s="260"/>
      <c r="S1361" s="260"/>
      <c r="T1361" s="260"/>
      <c r="U1361" s="260"/>
      <c r="V1361" s="260"/>
      <c r="W1361" s="260"/>
      <c r="X1361" s="260"/>
      <c r="Y1361" s="260"/>
      <c r="Z1361" s="260"/>
      <c r="AA1361" s="260"/>
      <c r="AB1361" s="260"/>
      <c r="AC1361" s="260"/>
      <c r="AD1361" s="260"/>
      <c r="AE1361" s="260"/>
      <c r="AF1361" s="260"/>
      <c r="AG1361" s="258"/>
    </row>
    <row r="1362" spans="13:33" ht="12" hidden="1" customHeight="1">
      <c r="M1362" s="820"/>
      <c r="N1362" s="239"/>
      <c r="O1362" s="225"/>
      <c r="P1362" s="260"/>
      <c r="Q1362" s="258"/>
      <c r="R1362" s="260"/>
      <c r="S1362" s="260"/>
      <c r="T1362" s="260"/>
      <c r="U1362" s="260"/>
      <c r="V1362" s="260"/>
      <c r="W1362" s="260"/>
      <c r="X1362" s="260"/>
      <c r="Y1362" s="260"/>
      <c r="Z1362" s="260"/>
      <c r="AA1362" s="260"/>
      <c r="AB1362" s="260"/>
      <c r="AC1362" s="260"/>
      <c r="AD1362" s="260"/>
      <c r="AE1362" s="260"/>
      <c r="AF1362" s="260"/>
      <c r="AG1362" s="258"/>
    </row>
    <row r="1363" spans="13:33" ht="12" hidden="1" customHeight="1">
      <c r="M1363" s="820"/>
      <c r="N1363" s="239"/>
      <c r="O1363" s="225"/>
      <c r="P1363" s="260"/>
      <c r="Q1363" s="258"/>
      <c r="R1363" s="260"/>
      <c r="S1363" s="260"/>
      <c r="T1363" s="260"/>
      <c r="U1363" s="260"/>
      <c r="V1363" s="260"/>
      <c r="W1363" s="260"/>
      <c r="X1363" s="260"/>
      <c r="Y1363" s="260"/>
      <c r="Z1363" s="260"/>
      <c r="AA1363" s="260"/>
      <c r="AB1363" s="260"/>
      <c r="AC1363" s="260"/>
      <c r="AD1363" s="260"/>
      <c r="AE1363" s="260"/>
      <c r="AF1363" s="260"/>
      <c r="AG1363" s="258"/>
    </row>
    <row r="1364" spans="13:33" ht="12" hidden="1" customHeight="1">
      <c r="M1364" s="820"/>
      <c r="N1364" s="239"/>
      <c r="O1364" s="225"/>
      <c r="P1364" s="260"/>
      <c r="Q1364" s="258"/>
      <c r="R1364" s="260"/>
      <c r="S1364" s="260"/>
      <c r="T1364" s="260"/>
      <c r="U1364" s="260"/>
      <c r="V1364" s="260"/>
      <c r="W1364" s="260"/>
      <c r="X1364" s="260"/>
      <c r="Y1364" s="260"/>
      <c r="Z1364" s="260"/>
      <c r="AA1364" s="260"/>
      <c r="AB1364" s="260"/>
      <c r="AC1364" s="260"/>
      <c r="AD1364" s="260"/>
      <c r="AE1364" s="260"/>
      <c r="AF1364" s="260"/>
      <c r="AG1364" s="258"/>
    </row>
    <row r="1365" spans="13:33" ht="12" hidden="1" customHeight="1">
      <c r="M1365" s="820"/>
      <c r="N1365" s="239"/>
      <c r="O1365" s="225"/>
      <c r="P1365" s="260"/>
      <c r="Q1365" s="258"/>
      <c r="R1365" s="260"/>
      <c r="S1365" s="260"/>
      <c r="T1365" s="260"/>
      <c r="U1365" s="260"/>
      <c r="V1365" s="260"/>
      <c r="W1365" s="260"/>
      <c r="X1365" s="260"/>
      <c r="Y1365" s="260"/>
      <c r="Z1365" s="260"/>
      <c r="AA1365" s="260"/>
      <c r="AB1365" s="260"/>
      <c r="AC1365" s="260"/>
      <c r="AD1365" s="260"/>
      <c r="AE1365" s="260"/>
      <c r="AF1365" s="260"/>
      <c r="AG1365" s="258"/>
    </row>
    <row r="1366" spans="13:33" ht="12" hidden="1" customHeight="1">
      <c r="M1366" s="820"/>
      <c r="N1366" s="239"/>
      <c r="O1366" s="225"/>
      <c r="P1366" s="260"/>
      <c r="Q1366" s="258"/>
      <c r="R1366" s="260"/>
      <c r="S1366" s="260"/>
      <c r="T1366" s="260"/>
      <c r="U1366" s="260"/>
      <c r="V1366" s="260"/>
      <c r="W1366" s="260"/>
      <c r="X1366" s="260"/>
      <c r="Y1366" s="260"/>
      <c r="Z1366" s="260"/>
      <c r="AA1366" s="260"/>
      <c r="AB1366" s="260"/>
      <c r="AC1366" s="260"/>
      <c r="AD1366" s="260"/>
      <c r="AE1366" s="260"/>
      <c r="AF1366" s="260"/>
      <c r="AG1366" s="258"/>
    </row>
    <row r="1367" spans="13:33" ht="12" hidden="1" customHeight="1">
      <c r="M1367" s="820"/>
      <c r="N1367" s="239"/>
      <c r="O1367" s="225"/>
      <c r="P1367" s="260"/>
      <c r="Q1367" s="258"/>
      <c r="R1367" s="260"/>
      <c r="S1367" s="260"/>
      <c r="T1367" s="260"/>
      <c r="U1367" s="260"/>
      <c r="V1367" s="260"/>
      <c r="W1367" s="260"/>
      <c r="X1367" s="260"/>
      <c r="Y1367" s="260"/>
      <c r="Z1367" s="260"/>
      <c r="AA1367" s="260"/>
      <c r="AB1367" s="260"/>
      <c r="AC1367" s="260"/>
      <c r="AD1367" s="260"/>
      <c r="AE1367" s="260"/>
      <c r="AF1367" s="260"/>
      <c r="AG1367" s="258"/>
    </row>
    <row r="1368" spans="13:33" ht="12" hidden="1" customHeight="1">
      <c r="M1368" s="820"/>
      <c r="N1368" s="239"/>
      <c r="O1368" s="225"/>
      <c r="P1368" s="260"/>
      <c r="Q1368" s="258"/>
      <c r="R1368" s="260"/>
      <c r="S1368" s="260"/>
      <c r="T1368" s="260"/>
      <c r="U1368" s="260"/>
      <c r="V1368" s="260"/>
      <c r="W1368" s="260"/>
      <c r="X1368" s="260"/>
      <c r="Y1368" s="260"/>
      <c r="Z1368" s="260"/>
      <c r="AA1368" s="260"/>
      <c r="AB1368" s="260"/>
      <c r="AC1368" s="260"/>
      <c r="AD1368" s="260"/>
      <c r="AE1368" s="260"/>
      <c r="AF1368" s="260"/>
      <c r="AG1368" s="258"/>
    </row>
    <row r="1369" spans="13:33" ht="12" hidden="1" customHeight="1">
      <c r="M1369" s="820"/>
      <c r="N1369" s="239"/>
      <c r="O1369" s="225"/>
      <c r="P1369" s="260"/>
      <c r="Q1369" s="258"/>
      <c r="R1369" s="260"/>
      <c r="S1369" s="260"/>
      <c r="T1369" s="260"/>
      <c r="U1369" s="260"/>
      <c r="V1369" s="260"/>
      <c r="W1369" s="260"/>
      <c r="X1369" s="260"/>
      <c r="Y1369" s="260"/>
      <c r="Z1369" s="260"/>
      <c r="AA1369" s="260"/>
      <c r="AB1369" s="260"/>
      <c r="AC1369" s="260"/>
      <c r="AD1369" s="260"/>
      <c r="AE1369" s="260"/>
      <c r="AF1369" s="260"/>
      <c r="AG1369" s="258"/>
    </row>
    <row r="1370" spans="13:33" ht="12" hidden="1" customHeight="1">
      <c r="M1370" s="820"/>
      <c r="N1370" s="239"/>
      <c r="O1370" s="225"/>
      <c r="P1370" s="260"/>
      <c r="Q1370" s="258"/>
      <c r="R1370" s="260"/>
      <c r="S1370" s="260"/>
      <c r="T1370" s="260"/>
      <c r="U1370" s="260"/>
      <c r="V1370" s="260"/>
      <c r="W1370" s="260"/>
      <c r="X1370" s="260"/>
      <c r="Y1370" s="260"/>
      <c r="Z1370" s="260"/>
      <c r="AA1370" s="260"/>
      <c r="AB1370" s="260"/>
      <c r="AC1370" s="260"/>
      <c r="AD1370" s="260"/>
      <c r="AE1370" s="260"/>
      <c r="AF1370" s="260"/>
      <c r="AG1370" s="258"/>
    </row>
    <row r="1371" spans="13:33" ht="12" hidden="1" customHeight="1">
      <c r="M1371" s="820"/>
      <c r="N1371" s="239"/>
      <c r="O1371" s="225"/>
      <c r="P1371" s="260"/>
      <c r="Q1371" s="258"/>
      <c r="R1371" s="260"/>
      <c r="S1371" s="260"/>
      <c r="T1371" s="260"/>
      <c r="U1371" s="260"/>
      <c r="V1371" s="260"/>
      <c r="W1371" s="260"/>
      <c r="X1371" s="260"/>
      <c r="Y1371" s="260"/>
      <c r="Z1371" s="260"/>
      <c r="AA1371" s="260"/>
      <c r="AB1371" s="260"/>
      <c r="AC1371" s="260"/>
      <c r="AD1371" s="260"/>
      <c r="AE1371" s="260"/>
      <c r="AF1371" s="260"/>
      <c r="AG1371" s="258"/>
    </row>
    <row r="1372" spans="13:33" ht="12" hidden="1" customHeight="1">
      <c r="M1372" s="820"/>
      <c r="N1372" s="239"/>
      <c r="O1372" s="225"/>
      <c r="P1372" s="260"/>
      <c r="Q1372" s="258"/>
      <c r="R1372" s="260"/>
      <c r="S1372" s="260"/>
      <c r="T1372" s="260"/>
      <c r="U1372" s="260"/>
      <c r="V1372" s="260"/>
      <c r="W1372" s="260"/>
      <c r="X1372" s="260"/>
      <c r="Y1372" s="260"/>
      <c r="Z1372" s="260"/>
      <c r="AA1372" s="260"/>
      <c r="AB1372" s="260"/>
      <c r="AC1372" s="260"/>
      <c r="AD1372" s="260"/>
      <c r="AE1372" s="260"/>
      <c r="AF1372" s="260"/>
      <c r="AG1372" s="258"/>
    </row>
    <row r="1373" spans="13:33" ht="12" hidden="1" customHeight="1">
      <c r="M1373" s="820"/>
      <c r="N1373" s="239"/>
      <c r="O1373" s="225"/>
      <c r="P1373" s="260"/>
      <c r="Q1373" s="258"/>
      <c r="R1373" s="260"/>
      <c r="S1373" s="260"/>
      <c r="T1373" s="260"/>
      <c r="U1373" s="260"/>
      <c r="V1373" s="260"/>
      <c r="W1373" s="260"/>
      <c r="X1373" s="260"/>
      <c r="Y1373" s="260"/>
      <c r="Z1373" s="260"/>
      <c r="AA1373" s="260"/>
      <c r="AB1373" s="260"/>
      <c r="AC1373" s="260"/>
      <c r="AD1373" s="260"/>
      <c r="AE1373" s="260"/>
      <c r="AF1373" s="260"/>
      <c r="AG1373" s="258"/>
    </row>
    <row r="1374" spans="13:33" ht="12" hidden="1" customHeight="1">
      <c r="M1374" s="820"/>
      <c r="N1374" s="239"/>
      <c r="O1374" s="225"/>
      <c r="P1374" s="260"/>
      <c r="Q1374" s="258"/>
      <c r="R1374" s="260"/>
      <c r="S1374" s="260"/>
      <c r="T1374" s="260"/>
      <c r="U1374" s="260"/>
      <c r="V1374" s="260"/>
      <c r="W1374" s="260"/>
      <c r="X1374" s="260"/>
      <c r="Y1374" s="260"/>
      <c r="Z1374" s="260"/>
      <c r="AA1374" s="260"/>
      <c r="AB1374" s="260"/>
      <c r="AC1374" s="260"/>
      <c r="AD1374" s="260"/>
      <c r="AE1374" s="260"/>
      <c r="AF1374" s="260"/>
      <c r="AG1374" s="258"/>
    </row>
    <row r="1375" spans="13:33" ht="12" hidden="1" customHeight="1">
      <c r="M1375" s="820"/>
      <c r="N1375" s="239"/>
      <c r="O1375" s="225"/>
      <c r="P1375" s="260"/>
      <c r="Q1375" s="258"/>
      <c r="R1375" s="260"/>
      <c r="S1375" s="260"/>
      <c r="T1375" s="260"/>
      <c r="U1375" s="260"/>
      <c r="V1375" s="260"/>
      <c r="W1375" s="260"/>
      <c r="X1375" s="260"/>
      <c r="Y1375" s="260"/>
      <c r="Z1375" s="260"/>
      <c r="AA1375" s="260"/>
      <c r="AB1375" s="260"/>
      <c r="AC1375" s="260"/>
      <c r="AD1375" s="260"/>
      <c r="AE1375" s="260"/>
      <c r="AF1375" s="260"/>
      <c r="AG1375" s="258"/>
    </row>
    <row r="1376" spans="13:33" ht="12" hidden="1" customHeight="1">
      <c r="M1376" s="820"/>
      <c r="N1376" s="239"/>
      <c r="O1376" s="225"/>
      <c r="P1376" s="260"/>
      <c r="Q1376" s="258"/>
      <c r="R1376" s="260"/>
      <c r="S1376" s="260"/>
      <c r="T1376" s="260"/>
      <c r="U1376" s="260"/>
      <c r="V1376" s="260"/>
      <c r="W1376" s="260"/>
      <c r="X1376" s="260"/>
      <c r="Y1376" s="260"/>
      <c r="Z1376" s="260"/>
      <c r="AA1376" s="260"/>
      <c r="AB1376" s="260"/>
      <c r="AC1376" s="260"/>
      <c r="AD1376" s="260"/>
      <c r="AE1376" s="260"/>
      <c r="AF1376" s="260"/>
      <c r="AG1376" s="258"/>
    </row>
    <row r="1377" spans="13:33" ht="12" hidden="1" customHeight="1">
      <c r="M1377" s="820"/>
      <c r="N1377" s="239"/>
      <c r="O1377" s="225"/>
      <c r="P1377" s="260"/>
      <c r="Q1377" s="258"/>
      <c r="R1377" s="260"/>
      <c r="S1377" s="260"/>
      <c r="T1377" s="260"/>
      <c r="U1377" s="260"/>
      <c r="V1377" s="260"/>
      <c r="W1377" s="260"/>
      <c r="X1377" s="260"/>
      <c r="Y1377" s="260"/>
      <c r="Z1377" s="260"/>
      <c r="AA1377" s="260"/>
      <c r="AB1377" s="260"/>
      <c r="AC1377" s="260"/>
      <c r="AD1377" s="260"/>
      <c r="AE1377" s="260"/>
      <c r="AF1377" s="260"/>
      <c r="AG1377" s="258"/>
    </row>
    <row r="1378" spans="13:33" ht="12" hidden="1" customHeight="1">
      <c r="M1378" s="820"/>
      <c r="N1378" s="239"/>
      <c r="O1378" s="225"/>
      <c r="P1378" s="260"/>
      <c r="Q1378" s="258"/>
      <c r="R1378" s="260"/>
      <c r="S1378" s="260"/>
      <c r="T1378" s="260"/>
      <c r="U1378" s="260"/>
      <c r="V1378" s="260"/>
      <c r="W1378" s="260"/>
      <c r="X1378" s="260"/>
      <c r="Y1378" s="260"/>
      <c r="Z1378" s="260"/>
      <c r="AA1378" s="260"/>
      <c r="AB1378" s="260"/>
      <c r="AC1378" s="260"/>
      <c r="AD1378" s="260"/>
      <c r="AE1378" s="260"/>
      <c r="AF1378" s="260"/>
      <c r="AG1378" s="258"/>
    </row>
    <row r="1379" spans="13:33" ht="12" hidden="1" customHeight="1">
      <c r="M1379" s="820"/>
      <c r="N1379" s="239"/>
      <c r="O1379" s="225"/>
      <c r="P1379" s="260"/>
      <c r="Q1379" s="258"/>
      <c r="R1379" s="260"/>
      <c r="S1379" s="260"/>
      <c r="T1379" s="260"/>
      <c r="U1379" s="260"/>
      <c r="V1379" s="260"/>
      <c r="W1379" s="260"/>
      <c r="X1379" s="260"/>
      <c r="Y1379" s="260"/>
      <c r="Z1379" s="260"/>
      <c r="AA1379" s="260"/>
      <c r="AB1379" s="260"/>
      <c r="AC1379" s="260"/>
      <c r="AD1379" s="260"/>
      <c r="AE1379" s="260"/>
      <c r="AF1379" s="260"/>
      <c r="AG1379" s="258"/>
    </row>
    <row r="1380" spans="13:33" ht="12" hidden="1" customHeight="1">
      <c r="M1380" s="820"/>
      <c r="N1380" s="239"/>
      <c r="O1380" s="225"/>
      <c r="P1380" s="260"/>
      <c r="Q1380" s="258"/>
      <c r="R1380" s="260"/>
      <c r="S1380" s="260"/>
      <c r="T1380" s="260"/>
      <c r="U1380" s="260"/>
      <c r="V1380" s="260"/>
      <c r="W1380" s="260"/>
      <c r="X1380" s="260"/>
      <c r="Y1380" s="260"/>
      <c r="Z1380" s="260"/>
      <c r="AA1380" s="260"/>
      <c r="AB1380" s="260"/>
      <c r="AC1380" s="260"/>
      <c r="AD1380" s="260"/>
      <c r="AE1380" s="260"/>
      <c r="AF1380" s="260"/>
      <c r="AG1380" s="258"/>
    </row>
    <row r="1381" spans="13:33" ht="12" hidden="1" customHeight="1">
      <c r="M1381" s="820"/>
      <c r="N1381" s="239"/>
      <c r="O1381" s="225"/>
      <c r="P1381" s="260"/>
      <c r="Q1381" s="258"/>
      <c r="R1381" s="260"/>
      <c r="S1381" s="260"/>
      <c r="T1381" s="260"/>
      <c r="U1381" s="260"/>
      <c r="V1381" s="260"/>
      <c r="W1381" s="260"/>
      <c r="X1381" s="260"/>
      <c r="Y1381" s="260"/>
      <c r="Z1381" s="260"/>
      <c r="AA1381" s="260"/>
      <c r="AB1381" s="260"/>
      <c r="AC1381" s="260"/>
      <c r="AD1381" s="260"/>
      <c r="AE1381" s="260"/>
      <c r="AF1381" s="260"/>
      <c r="AG1381" s="258"/>
    </row>
    <row r="1382" spans="13:33" ht="12" hidden="1" customHeight="1">
      <c r="M1382" s="820"/>
      <c r="N1382" s="239"/>
      <c r="O1382" s="225"/>
      <c r="P1382" s="260"/>
      <c r="Q1382" s="258"/>
      <c r="R1382" s="260"/>
      <c r="S1382" s="260"/>
      <c r="T1382" s="260"/>
      <c r="U1382" s="260"/>
      <c r="V1382" s="260"/>
      <c r="W1382" s="260"/>
      <c r="X1382" s="260"/>
      <c r="Y1382" s="260"/>
      <c r="Z1382" s="260"/>
      <c r="AA1382" s="260"/>
      <c r="AB1382" s="260"/>
      <c r="AC1382" s="260"/>
      <c r="AD1382" s="260"/>
      <c r="AE1382" s="260"/>
      <c r="AF1382" s="260"/>
      <c r="AG1382" s="258"/>
    </row>
    <row r="1383" spans="13:33" ht="12" hidden="1" customHeight="1">
      <c r="M1383" s="820"/>
      <c r="N1383" s="239"/>
      <c r="O1383" s="225"/>
      <c r="P1383" s="260"/>
      <c r="Q1383" s="258"/>
      <c r="R1383" s="260"/>
      <c r="S1383" s="260"/>
      <c r="T1383" s="260"/>
      <c r="U1383" s="260"/>
      <c r="V1383" s="260"/>
      <c r="W1383" s="260"/>
      <c r="X1383" s="260"/>
      <c r="Y1383" s="260"/>
      <c r="Z1383" s="260"/>
      <c r="AA1383" s="260"/>
      <c r="AB1383" s="260"/>
      <c r="AC1383" s="260"/>
      <c r="AD1383" s="260"/>
      <c r="AE1383" s="260"/>
      <c r="AF1383" s="260"/>
      <c r="AG1383" s="258"/>
    </row>
    <row r="1384" spans="13:33" ht="12" hidden="1" customHeight="1">
      <c r="M1384" s="820"/>
      <c r="N1384" s="239"/>
      <c r="O1384" s="225"/>
      <c r="P1384" s="260"/>
      <c r="Q1384" s="258"/>
      <c r="R1384" s="260"/>
      <c r="S1384" s="260"/>
      <c r="T1384" s="260"/>
      <c r="U1384" s="260"/>
      <c r="V1384" s="260"/>
      <c r="W1384" s="260"/>
      <c r="X1384" s="260"/>
      <c r="Y1384" s="260"/>
      <c r="Z1384" s="260"/>
      <c r="AA1384" s="260"/>
      <c r="AB1384" s="260"/>
      <c r="AC1384" s="260"/>
      <c r="AD1384" s="260"/>
      <c r="AE1384" s="260"/>
      <c r="AF1384" s="260"/>
      <c r="AG1384" s="258"/>
    </row>
    <row r="1385" spans="13:33" ht="12" hidden="1" customHeight="1">
      <c r="M1385" s="820"/>
      <c r="N1385" s="239"/>
      <c r="O1385" s="225"/>
      <c r="P1385" s="260"/>
      <c r="Q1385" s="258"/>
      <c r="R1385" s="260"/>
      <c r="S1385" s="260"/>
      <c r="T1385" s="260"/>
      <c r="U1385" s="260"/>
      <c r="V1385" s="260"/>
      <c r="W1385" s="260"/>
      <c r="X1385" s="260"/>
      <c r="Y1385" s="260"/>
      <c r="Z1385" s="260"/>
      <c r="AA1385" s="260"/>
      <c r="AB1385" s="260"/>
      <c r="AC1385" s="260"/>
      <c r="AD1385" s="260"/>
      <c r="AE1385" s="260"/>
      <c r="AF1385" s="260"/>
      <c r="AG1385" s="258"/>
    </row>
    <row r="1386" spans="13:33" ht="12" hidden="1" customHeight="1">
      <c r="M1386" s="820"/>
      <c r="N1386" s="239"/>
      <c r="O1386" s="225"/>
      <c r="P1386" s="260"/>
      <c r="Q1386" s="258"/>
      <c r="R1386" s="260"/>
      <c r="S1386" s="260"/>
      <c r="T1386" s="260"/>
      <c r="U1386" s="260"/>
      <c r="V1386" s="260"/>
      <c r="W1386" s="260"/>
      <c r="X1386" s="260"/>
      <c r="Y1386" s="260"/>
      <c r="Z1386" s="260"/>
      <c r="AA1386" s="260"/>
      <c r="AB1386" s="260"/>
      <c r="AC1386" s="260"/>
      <c r="AD1386" s="260"/>
      <c r="AE1386" s="260"/>
      <c r="AF1386" s="260"/>
      <c r="AG1386" s="258"/>
    </row>
    <row r="1387" spans="13:33" ht="12" hidden="1" customHeight="1">
      <c r="M1387" s="820"/>
      <c r="N1387" s="239"/>
      <c r="O1387" s="225"/>
      <c r="P1387" s="260"/>
      <c r="Q1387" s="258"/>
      <c r="R1387" s="260"/>
      <c r="S1387" s="260"/>
      <c r="T1387" s="260"/>
      <c r="U1387" s="260"/>
      <c r="V1387" s="260"/>
      <c r="W1387" s="260"/>
      <c r="X1387" s="260"/>
      <c r="Y1387" s="260"/>
      <c r="Z1387" s="260"/>
      <c r="AA1387" s="260"/>
      <c r="AB1387" s="260"/>
      <c r="AC1387" s="260"/>
      <c r="AD1387" s="260"/>
      <c r="AE1387" s="260"/>
      <c r="AF1387" s="260"/>
      <c r="AG1387" s="258"/>
    </row>
    <row r="1388" spans="13:33" ht="12" hidden="1" customHeight="1">
      <c r="M1388" s="820"/>
      <c r="N1388" s="239"/>
      <c r="O1388" s="225"/>
      <c r="P1388" s="260"/>
      <c r="Q1388" s="258"/>
      <c r="R1388" s="260"/>
      <c r="S1388" s="260"/>
      <c r="T1388" s="260"/>
      <c r="U1388" s="260"/>
      <c r="V1388" s="260"/>
      <c r="W1388" s="260"/>
      <c r="X1388" s="260"/>
      <c r="Y1388" s="260"/>
      <c r="Z1388" s="260"/>
      <c r="AA1388" s="260"/>
      <c r="AB1388" s="260"/>
      <c r="AC1388" s="260"/>
      <c r="AD1388" s="260"/>
      <c r="AE1388" s="260"/>
      <c r="AF1388" s="260"/>
      <c r="AG1388" s="258"/>
    </row>
    <row r="1389" spans="13:33" ht="12" hidden="1" customHeight="1">
      <c r="M1389" s="820"/>
      <c r="N1389" s="239"/>
      <c r="O1389" s="225"/>
      <c r="P1389" s="260"/>
      <c r="Q1389" s="258"/>
      <c r="R1389" s="260"/>
      <c r="S1389" s="260"/>
      <c r="T1389" s="260"/>
      <c r="U1389" s="260"/>
      <c r="V1389" s="260"/>
      <c r="W1389" s="260"/>
      <c r="X1389" s="260"/>
      <c r="Y1389" s="260"/>
      <c r="Z1389" s="260"/>
      <c r="AA1389" s="260"/>
      <c r="AB1389" s="260"/>
      <c r="AC1389" s="260"/>
      <c r="AD1389" s="260"/>
      <c r="AE1389" s="260"/>
      <c r="AF1389" s="260"/>
      <c r="AG1389" s="258"/>
    </row>
    <row r="1390" spans="13:33" ht="12" hidden="1" customHeight="1">
      <c r="M1390" s="820"/>
      <c r="N1390" s="239"/>
      <c r="O1390" s="225"/>
      <c r="P1390" s="260"/>
      <c r="Q1390" s="258"/>
      <c r="R1390" s="260"/>
      <c r="S1390" s="260"/>
      <c r="T1390" s="260"/>
      <c r="U1390" s="260"/>
      <c r="V1390" s="260"/>
      <c r="W1390" s="260"/>
      <c r="X1390" s="260"/>
      <c r="Y1390" s="260"/>
      <c r="Z1390" s="260"/>
      <c r="AA1390" s="260"/>
      <c r="AB1390" s="260"/>
      <c r="AC1390" s="260"/>
      <c r="AD1390" s="260"/>
      <c r="AE1390" s="260"/>
      <c r="AF1390" s="260"/>
      <c r="AG1390" s="258"/>
    </row>
    <row r="1391" spans="13:33" ht="12" hidden="1" customHeight="1">
      <c r="M1391" s="820"/>
      <c r="N1391" s="239"/>
      <c r="O1391" s="225"/>
      <c r="P1391" s="260"/>
      <c r="Q1391" s="258"/>
      <c r="R1391" s="260"/>
      <c r="S1391" s="260"/>
      <c r="T1391" s="260"/>
      <c r="U1391" s="260"/>
      <c r="V1391" s="260"/>
      <c r="W1391" s="260"/>
      <c r="X1391" s="260"/>
      <c r="Y1391" s="260"/>
      <c r="Z1391" s="260"/>
      <c r="AA1391" s="260"/>
      <c r="AB1391" s="260"/>
      <c r="AC1391" s="260"/>
      <c r="AD1391" s="260"/>
      <c r="AE1391" s="260"/>
      <c r="AF1391" s="260"/>
      <c r="AG1391" s="258"/>
    </row>
    <row r="1392" spans="13:33" ht="12" hidden="1" customHeight="1">
      <c r="M1392" s="820"/>
      <c r="N1392" s="239"/>
      <c r="O1392" s="225"/>
      <c r="P1392" s="260"/>
      <c r="Q1392" s="258"/>
      <c r="R1392" s="260"/>
      <c r="S1392" s="260"/>
      <c r="T1392" s="260"/>
      <c r="U1392" s="260"/>
      <c r="V1392" s="260"/>
      <c r="W1392" s="260"/>
      <c r="X1392" s="260"/>
      <c r="Y1392" s="260"/>
      <c r="Z1392" s="260"/>
      <c r="AA1392" s="260"/>
      <c r="AB1392" s="260"/>
      <c r="AC1392" s="260"/>
      <c r="AD1392" s="260"/>
      <c r="AE1392" s="260"/>
      <c r="AF1392" s="260"/>
      <c r="AG1392" s="258"/>
    </row>
    <row r="1393" spans="13:33" ht="12" hidden="1" customHeight="1">
      <c r="M1393" s="820"/>
      <c r="N1393" s="239"/>
      <c r="O1393" s="225"/>
      <c r="P1393" s="260"/>
      <c r="Q1393" s="258"/>
      <c r="R1393" s="260"/>
      <c r="S1393" s="260"/>
      <c r="T1393" s="260"/>
      <c r="U1393" s="260"/>
      <c r="V1393" s="260"/>
      <c r="W1393" s="260"/>
      <c r="X1393" s="260"/>
      <c r="Y1393" s="260"/>
      <c r="Z1393" s="260"/>
      <c r="AA1393" s="260"/>
      <c r="AB1393" s="260"/>
      <c r="AC1393" s="260"/>
      <c r="AD1393" s="260"/>
      <c r="AE1393" s="260"/>
      <c r="AF1393" s="260"/>
      <c r="AG1393" s="258"/>
    </row>
    <row r="1394" spans="13:33" ht="12" hidden="1" customHeight="1">
      <c r="M1394" s="820"/>
      <c r="N1394" s="239"/>
      <c r="O1394" s="225"/>
      <c r="P1394" s="260"/>
      <c r="Q1394" s="258"/>
      <c r="R1394" s="260"/>
      <c r="S1394" s="260"/>
      <c r="T1394" s="260"/>
      <c r="U1394" s="260"/>
      <c r="V1394" s="260"/>
      <c r="W1394" s="260"/>
      <c r="X1394" s="260"/>
      <c r="Y1394" s="260"/>
      <c r="Z1394" s="260"/>
      <c r="AA1394" s="260"/>
      <c r="AB1394" s="260"/>
      <c r="AC1394" s="260"/>
      <c r="AD1394" s="260"/>
      <c r="AE1394" s="260"/>
      <c r="AF1394" s="260"/>
      <c r="AG1394" s="258"/>
    </row>
    <row r="1395" spans="13:33" ht="12" hidden="1" customHeight="1">
      <c r="M1395" s="820"/>
      <c r="N1395" s="239"/>
      <c r="O1395" s="225"/>
      <c r="P1395" s="260"/>
      <c r="Q1395" s="258"/>
      <c r="R1395" s="260"/>
      <c r="S1395" s="260"/>
      <c r="T1395" s="260"/>
      <c r="U1395" s="260"/>
      <c r="V1395" s="260"/>
      <c r="W1395" s="260"/>
      <c r="X1395" s="260"/>
      <c r="Y1395" s="260"/>
      <c r="Z1395" s="260"/>
      <c r="AA1395" s="260"/>
      <c r="AB1395" s="260"/>
      <c r="AC1395" s="260"/>
      <c r="AD1395" s="260"/>
      <c r="AE1395" s="260"/>
      <c r="AF1395" s="260"/>
      <c r="AG1395" s="258"/>
    </row>
    <row r="1396" spans="13:33" ht="12" hidden="1" customHeight="1">
      <c r="M1396" s="820"/>
      <c r="N1396" s="239"/>
      <c r="O1396" s="225"/>
      <c r="P1396" s="260"/>
      <c r="Q1396" s="258"/>
      <c r="R1396" s="260"/>
      <c r="S1396" s="260"/>
      <c r="T1396" s="260"/>
      <c r="U1396" s="260"/>
      <c r="V1396" s="260"/>
      <c r="W1396" s="260"/>
      <c r="X1396" s="260"/>
      <c r="Y1396" s="260"/>
      <c r="Z1396" s="260"/>
      <c r="AA1396" s="260"/>
      <c r="AB1396" s="260"/>
      <c r="AC1396" s="260"/>
      <c r="AD1396" s="260"/>
      <c r="AE1396" s="260"/>
      <c r="AF1396" s="260"/>
      <c r="AG1396" s="258"/>
    </row>
    <row r="1397" spans="13:33" ht="12" hidden="1" customHeight="1">
      <c r="M1397" s="820"/>
      <c r="N1397" s="239"/>
      <c r="O1397" s="225"/>
      <c r="P1397" s="260"/>
      <c r="Q1397" s="258"/>
      <c r="R1397" s="260"/>
      <c r="S1397" s="260"/>
      <c r="T1397" s="260"/>
      <c r="U1397" s="260"/>
      <c r="V1397" s="260"/>
      <c r="W1397" s="260"/>
      <c r="X1397" s="260"/>
      <c r="Y1397" s="260"/>
      <c r="Z1397" s="260"/>
      <c r="AA1397" s="260"/>
      <c r="AB1397" s="260"/>
      <c r="AC1397" s="260"/>
      <c r="AD1397" s="260"/>
      <c r="AE1397" s="260"/>
      <c r="AF1397" s="260"/>
      <c r="AG1397" s="258"/>
    </row>
    <row r="1398" spans="13:33" ht="12" hidden="1" customHeight="1">
      <c r="M1398" s="820"/>
      <c r="N1398" s="239"/>
      <c r="O1398" s="225"/>
      <c r="P1398" s="260"/>
      <c r="Q1398" s="258"/>
      <c r="R1398" s="260"/>
      <c r="S1398" s="260"/>
      <c r="T1398" s="260"/>
      <c r="U1398" s="260"/>
      <c r="V1398" s="260"/>
      <c r="W1398" s="260"/>
      <c r="X1398" s="260"/>
      <c r="Y1398" s="260"/>
      <c r="Z1398" s="260"/>
      <c r="AA1398" s="260"/>
      <c r="AB1398" s="260"/>
      <c r="AC1398" s="260"/>
      <c r="AD1398" s="260"/>
      <c r="AE1398" s="260"/>
      <c r="AF1398" s="260"/>
      <c r="AG1398" s="258"/>
    </row>
    <row r="1399" spans="13:33" ht="12" hidden="1" customHeight="1">
      <c r="M1399" s="820"/>
      <c r="N1399" s="239"/>
      <c r="O1399" s="225"/>
      <c r="P1399" s="260"/>
      <c r="Q1399" s="258"/>
      <c r="R1399" s="260"/>
      <c r="S1399" s="260"/>
      <c r="T1399" s="260"/>
      <c r="U1399" s="260"/>
      <c r="V1399" s="260"/>
      <c r="W1399" s="260"/>
      <c r="X1399" s="260"/>
      <c r="Y1399" s="260"/>
      <c r="Z1399" s="260"/>
      <c r="AA1399" s="260"/>
      <c r="AB1399" s="260"/>
      <c r="AC1399" s="260"/>
      <c r="AD1399" s="260"/>
      <c r="AE1399" s="260"/>
      <c r="AF1399" s="260"/>
      <c r="AG1399" s="258"/>
    </row>
    <row r="1400" spans="13:33" ht="12" hidden="1" customHeight="1">
      <c r="M1400" s="820"/>
      <c r="N1400" s="239"/>
      <c r="O1400" s="225"/>
      <c r="P1400" s="260"/>
      <c r="Q1400" s="258"/>
      <c r="R1400" s="260"/>
      <c r="S1400" s="260"/>
      <c r="T1400" s="260"/>
      <c r="U1400" s="260"/>
      <c r="V1400" s="260"/>
      <c r="W1400" s="260"/>
      <c r="X1400" s="260"/>
      <c r="Y1400" s="260"/>
      <c r="Z1400" s="260"/>
      <c r="AA1400" s="260"/>
      <c r="AB1400" s="260"/>
      <c r="AC1400" s="260"/>
      <c r="AD1400" s="260"/>
      <c r="AE1400" s="260"/>
      <c r="AF1400" s="260"/>
      <c r="AG1400" s="258"/>
    </row>
    <row r="1401" spans="13:33" ht="12" hidden="1" customHeight="1">
      <c r="M1401" s="820"/>
      <c r="N1401" s="239"/>
      <c r="O1401" s="225"/>
      <c r="P1401" s="260"/>
      <c r="Q1401" s="258"/>
      <c r="R1401" s="260"/>
      <c r="S1401" s="260"/>
      <c r="T1401" s="260"/>
      <c r="U1401" s="260"/>
      <c r="V1401" s="260"/>
      <c r="W1401" s="260"/>
      <c r="X1401" s="260"/>
      <c r="Y1401" s="260"/>
      <c r="Z1401" s="260"/>
      <c r="AA1401" s="260"/>
      <c r="AB1401" s="260"/>
      <c r="AC1401" s="260"/>
      <c r="AD1401" s="260"/>
      <c r="AE1401" s="260"/>
      <c r="AF1401" s="260"/>
      <c r="AG1401" s="258"/>
    </row>
    <row r="1402" spans="13:33" ht="12" hidden="1" customHeight="1">
      <c r="M1402" s="820"/>
      <c r="N1402" s="239"/>
      <c r="O1402" s="225"/>
      <c r="P1402" s="260"/>
      <c r="Q1402" s="258"/>
      <c r="R1402" s="260"/>
      <c r="S1402" s="260"/>
      <c r="T1402" s="260"/>
      <c r="U1402" s="260"/>
      <c r="V1402" s="260"/>
      <c r="W1402" s="260"/>
      <c r="X1402" s="260"/>
      <c r="Y1402" s="260"/>
      <c r="Z1402" s="260"/>
      <c r="AA1402" s="260"/>
      <c r="AB1402" s="260"/>
      <c r="AC1402" s="260"/>
      <c r="AD1402" s="260"/>
      <c r="AE1402" s="260"/>
      <c r="AF1402" s="260"/>
      <c r="AG1402" s="258"/>
    </row>
    <row r="1403" spans="13:33" ht="12" hidden="1" customHeight="1">
      <c r="M1403" s="820"/>
      <c r="N1403" s="239"/>
      <c r="O1403" s="225"/>
      <c r="P1403" s="260"/>
      <c r="Q1403" s="258"/>
      <c r="R1403" s="260"/>
      <c r="S1403" s="260"/>
      <c r="T1403" s="260"/>
      <c r="U1403" s="260"/>
      <c r="V1403" s="260"/>
      <c r="W1403" s="260"/>
      <c r="X1403" s="260"/>
      <c r="Y1403" s="260"/>
      <c r="Z1403" s="260"/>
      <c r="AA1403" s="260"/>
      <c r="AB1403" s="260"/>
      <c r="AC1403" s="260"/>
      <c r="AD1403" s="260"/>
      <c r="AE1403" s="260"/>
      <c r="AF1403" s="260"/>
      <c r="AG1403" s="258"/>
    </row>
    <row r="1404" spans="13:33" ht="12" hidden="1" customHeight="1">
      <c r="M1404" s="820"/>
      <c r="N1404" s="239"/>
      <c r="O1404" s="225"/>
      <c r="P1404" s="260"/>
      <c r="Q1404" s="258"/>
      <c r="R1404" s="260"/>
      <c r="S1404" s="260"/>
      <c r="T1404" s="260"/>
      <c r="U1404" s="260"/>
      <c r="V1404" s="260"/>
      <c r="W1404" s="260"/>
      <c r="X1404" s="260"/>
      <c r="Y1404" s="260"/>
      <c r="Z1404" s="260"/>
      <c r="AA1404" s="260"/>
      <c r="AB1404" s="260"/>
      <c r="AC1404" s="260"/>
      <c r="AD1404" s="260"/>
      <c r="AE1404" s="260"/>
      <c r="AF1404" s="260"/>
      <c r="AG1404" s="258"/>
    </row>
    <row r="1405" spans="13:33" ht="12" hidden="1" customHeight="1">
      <c r="M1405" s="820"/>
      <c r="N1405" s="239"/>
      <c r="O1405" s="225"/>
      <c r="P1405" s="260"/>
      <c r="Q1405" s="258"/>
      <c r="R1405" s="260"/>
      <c r="S1405" s="260"/>
      <c r="T1405" s="260"/>
      <c r="U1405" s="260"/>
      <c r="V1405" s="260"/>
      <c r="W1405" s="260"/>
      <c r="X1405" s="260"/>
      <c r="Y1405" s="260"/>
      <c r="Z1405" s="260"/>
      <c r="AA1405" s="260"/>
      <c r="AB1405" s="260"/>
      <c r="AC1405" s="260"/>
      <c r="AD1405" s="260"/>
      <c r="AE1405" s="260"/>
      <c r="AF1405" s="260"/>
      <c r="AG1405" s="258"/>
    </row>
    <row r="1406" spans="13:33" ht="12" hidden="1" customHeight="1">
      <c r="M1406" s="820"/>
      <c r="N1406" s="239"/>
      <c r="O1406" s="225"/>
      <c r="P1406" s="260"/>
      <c r="Q1406" s="258"/>
      <c r="R1406" s="260"/>
      <c r="S1406" s="260"/>
      <c r="T1406" s="260"/>
      <c r="U1406" s="260"/>
      <c r="V1406" s="260"/>
      <c r="W1406" s="260"/>
      <c r="X1406" s="260"/>
      <c r="Y1406" s="260"/>
      <c r="Z1406" s="260"/>
      <c r="AA1406" s="260"/>
      <c r="AB1406" s="260"/>
      <c r="AC1406" s="260"/>
      <c r="AD1406" s="260"/>
      <c r="AE1406" s="260"/>
      <c r="AF1406" s="260"/>
      <c r="AG1406" s="258"/>
    </row>
    <row r="1407" spans="13:33" ht="12" hidden="1" customHeight="1">
      <c r="M1407" s="820"/>
      <c r="N1407" s="239"/>
      <c r="O1407" s="225"/>
      <c r="P1407" s="260"/>
      <c r="Q1407" s="258"/>
      <c r="R1407" s="260"/>
      <c r="S1407" s="260"/>
      <c r="T1407" s="260"/>
      <c r="U1407" s="260"/>
      <c r="V1407" s="260"/>
      <c r="W1407" s="260"/>
      <c r="X1407" s="260"/>
      <c r="Y1407" s="260"/>
      <c r="Z1407" s="260"/>
      <c r="AA1407" s="260"/>
      <c r="AB1407" s="260"/>
      <c r="AC1407" s="260"/>
      <c r="AD1407" s="260"/>
      <c r="AE1407" s="260"/>
      <c r="AF1407" s="260"/>
      <c r="AG1407" s="258"/>
    </row>
    <row r="1408" spans="13:33" ht="12" hidden="1" customHeight="1">
      <c r="M1408" s="820"/>
      <c r="N1408" s="239"/>
      <c r="O1408" s="225"/>
      <c r="P1408" s="260"/>
      <c r="Q1408" s="258"/>
      <c r="R1408" s="260"/>
      <c r="S1408" s="260"/>
      <c r="T1408" s="260"/>
      <c r="U1408" s="260"/>
      <c r="V1408" s="260"/>
      <c r="W1408" s="260"/>
      <c r="X1408" s="260"/>
      <c r="Y1408" s="260"/>
      <c r="Z1408" s="260"/>
      <c r="AA1408" s="260"/>
      <c r="AB1408" s="260"/>
      <c r="AC1408" s="260"/>
      <c r="AD1408" s="260"/>
      <c r="AE1408" s="260"/>
      <c r="AF1408" s="260"/>
      <c r="AG1408" s="258"/>
    </row>
    <row r="1409" spans="13:33" ht="12" hidden="1" customHeight="1">
      <c r="M1409" s="820"/>
      <c r="N1409" s="239"/>
      <c r="O1409" s="225"/>
      <c r="P1409" s="260"/>
      <c r="Q1409" s="258"/>
      <c r="R1409" s="260"/>
      <c r="S1409" s="260"/>
      <c r="T1409" s="260"/>
      <c r="U1409" s="260"/>
      <c r="V1409" s="260"/>
      <c r="W1409" s="260"/>
      <c r="X1409" s="260"/>
      <c r="Y1409" s="260"/>
      <c r="Z1409" s="260"/>
      <c r="AA1409" s="260"/>
      <c r="AB1409" s="260"/>
      <c r="AC1409" s="260"/>
      <c r="AD1409" s="260"/>
      <c r="AE1409" s="260"/>
      <c r="AF1409" s="260"/>
      <c r="AG1409" s="258"/>
    </row>
    <row r="1410" spans="13:33" ht="12" hidden="1" customHeight="1">
      <c r="M1410" s="820"/>
      <c r="N1410" s="239"/>
      <c r="O1410" s="225"/>
      <c r="P1410" s="260"/>
      <c r="Q1410" s="258"/>
      <c r="R1410" s="260"/>
      <c r="S1410" s="260"/>
      <c r="T1410" s="260"/>
      <c r="U1410" s="260"/>
      <c r="V1410" s="260"/>
      <c r="W1410" s="260"/>
      <c r="X1410" s="260"/>
      <c r="Y1410" s="260"/>
      <c r="Z1410" s="260"/>
      <c r="AA1410" s="260"/>
      <c r="AB1410" s="260"/>
      <c r="AC1410" s="260"/>
      <c r="AD1410" s="260"/>
      <c r="AE1410" s="260"/>
      <c r="AF1410" s="260"/>
      <c r="AG1410" s="258"/>
    </row>
    <row r="1411" spans="13:33" ht="12" hidden="1" customHeight="1">
      <c r="M1411" s="820"/>
      <c r="N1411" s="239"/>
      <c r="O1411" s="225"/>
      <c r="P1411" s="260"/>
      <c r="Q1411" s="258"/>
      <c r="R1411" s="260"/>
      <c r="S1411" s="260"/>
      <c r="T1411" s="260"/>
      <c r="U1411" s="260"/>
      <c r="V1411" s="260"/>
      <c r="W1411" s="260"/>
      <c r="X1411" s="260"/>
      <c r="Y1411" s="260"/>
      <c r="Z1411" s="260"/>
      <c r="AA1411" s="260"/>
      <c r="AB1411" s="260"/>
      <c r="AC1411" s="260"/>
      <c r="AD1411" s="260"/>
      <c r="AE1411" s="260"/>
      <c r="AF1411" s="260"/>
      <c r="AG1411" s="258"/>
    </row>
    <row r="1412" spans="13:33" ht="12" hidden="1" customHeight="1">
      <c r="M1412" s="820"/>
      <c r="N1412" s="239"/>
      <c r="O1412" s="225"/>
      <c r="P1412" s="260"/>
      <c r="Q1412" s="258"/>
      <c r="R1412" s="260"/>
      <c r="S1412" s="260"/>
      <c r="T1412" s="260"/>
      <c r="U1412" s="260"/>
      <c r="V1412" s="260"/>
      <c r="W1412" s="260"/>
      <c r="X1412" s="260"/>
      <c r="Y1412" s="260"/>
      <c r="Z1412" s="260"/>
      <c r="AA1412" s="260"/>
      <c r="AB1412" s="260"/>
      <c r="AC1412" s="260"/>
      <c r="AD1412" s="260"/>
      <c r="AE1412" s="260"/>
      <c r="AF1412" s="260"/>
      <c r="AG1412" s="258"/>
    </row>
    <row r="1413" spans="13:33" ht="12" hidden="1" customHeight="1">
      <c r="M1413" s="820"/>
      <c r="N1413" s="239"/>
      <c r="O1413" s="225"/>
      <c r="P1413" s="260"/>
      <c r="Q1413" s="258"/>
      <c r="R1413" s="260"/>
      <c r="S1413" s="260"/>
      <c r="T1413" s="260"/>
      <c r="U1413" s="260"/>
      <c r="V1413" s="260"/>
      <c r="W1413" s="260"/>
      <c r="X1413" s="260"/>
      <c r="Y1413" s="260"/>
      <c r="Z1413" s="260"/>
      <c r="AA1413" s="260"/>
      <c r="AB1413" s="260"/>
      <c r="AC1413" s="260"/>
      <c r="AD1413" s="260"/>
      <c r="AE1413" s="260"/>
      <c r="AF1413" s="260"/>
      <c r="AG1413" s="258"/>
    </row>
    <row r="1414" spans="13:33" ht="12" hidden="1" customHeight="1">
      <c r="M1414" s="820"/>
      <c r="N1414" s="239"/>
      <c r="O1414" s="225"/>
      <c r="P1414" s="260"/>
      <c r="Q1414" s="258"/>
      <c r="R1414" s="260"/>
      <c r="S1414" s="260"/>
      <c r="T1414" s="260"/>
      <c r="U1414" s="260"/>
      <c r="V1414" s="260"/>
      <c r="W1414" s="260"/>
      <c r="X1414" s="260"/>
      <c r="Y1414" s="260"/>
      <c r="Z1414" s="260"/>
      <c r="AA1414" s="260"/>
      <c r="AB1414" s="260"/>
      <c r="AC1414" s="260"/>
      <c r="AD1414" s="260"/>
      <c r="AE1414" s="260"/>
      <c r="AF1414" s="260"/>
      <c r="AG1414" s="258"/>
    </row>
    <row r="1415" spans="13:33" ht="12" hidden="1" customHeight="1">
      <c r="M1415" s="820"/>
      <c r="N1415" s="239"/>
      <c r="O1415" s="225"/>
      <c r="P1415" s="260"/>
      <c r="Q1415" s="258"/>
      <c r="R1415" s="260"/>
      <c r="S1415" s="260"/>
      <c r="T1415" s="260"/>
      <c r="U1415" s="260"/>
      <c r="V1415" s="260"/>
      <c r="W1415" s="260"/>
      <c r="X1415" s="260"/>
      <c r="Y1415" s="260"/>
      <c r="Z1415" s="260"/>
      <c r="AA1415" s="260"/>
      <c r="AB1415" s="260"/>
      <c r="AC1415" s="260"/>
      <c r="AD1415" s="260"/>
      <c r="AE1415" s="260"/>
      <c r="AF1415" s="260"/>
      <c r="AG1415" s="258"/>
    </row>
    <row r="1416" spans="13:33" ht="12" hidden="1" customHeight="1">
      <c r="M1416" s="820"/>
      <c r="N1416" s="239"/>
      <c r="O1416" s="225"/>
      <c r="P1416" s="260"/>
      <c r="Q1416" s="258"/>
      <c r="R1416" s="260"/>
      <c r="S1416" s="260"/>
      <c r="T1416" s="260"/>
      <c r="U1416" s="260"/>
      <c r="V1416" s="260"/>
      <c r="W1416" s="260"/>
      <c r="X1416" s="260"/>
      <c r="Y1416" s="260"/>
      <c r="Z1416" s="260"/>
      <c r="AA1416" s="260"/>
      <c r="AB1416" s="260"/>
      <c r="AC1416" s="260"/>
      <c r="AD1416" s="260"/>
      <c r="AE1416" s="260"/>
      <c r="AF1416" s="260"/>
      <c r="AG1416" s="258"/>
    </row>
    <row r="1417" spans="13:33" ht="12" hidden="1" customHeight="1">
      <c r="M1417" s="820"/>
      <c r="N1417" s="239"/>
      <c r="O1417" s="225"/>
      <c r="P1417" s="260"/>
      <c r="Q1417" s="258"/>
      <c r="R1417" s="260"/>
      <c r="S1417" s="260"/>
      <c r="T1417" s="260"/>
      <c r="U1417" s="260"/>
      <c r="V1417" s="260"/>
      <c r="W1417" s="260"/>
      <c r="X1417" s="260"/>
      <c r="Y1417" s="260"/>
      <c r="Z1417" s="260"/>
      <c r="AA1417" s="260"/>
      <c r="AB1417" s="260"/>
      <c r="AC1417" s="260"/>
      <c r="AD1417" s="260"/>
      <c r="AE1417" s="260"/>
      <c r="AF1417" s="260"/>
      <c r="AG1417" s="258"/>
    </row>
    <row r="1418" spans="13:33" ht="12" hidden="1" customHeight="1">
      <c r="M1418" s="820"/>
      <c r="N1418" s="239"/>
      <c r="O1418" s="225"/>
      <c r="P1418" s="260"/>
      <c r="Q1418" s="258"/>
      <c r="R1418" s="260"/>
      <c r="S1418" s="260"/>
      <c r="T1418" s="260"/>
      <c r="U1418" s="260"/>
      <c r="V1418" s="260"/>
      <c r="W1418" s="260"/>
      <c r="X1418" s="260"/>
      <c r="Y1418" s="260"/>
      <c r="Z1418" s="260"/>
      <c r="AA1418" s="260"/>
      <c r="AB1418" s="260"/>
      <c r="AC1418" s="260"/>
      <c r="AD1418" s="260"/>
      <c r="AE1418" s="260"/>
      <c r="AF1418" s="260"/>
      <c r="AG1418" s="258"/>
    </row>
    <row r="1419" spans="13:33" ht="12" hidden="1" customHeight="1">
      <c r="M1419" s="820"/>
      <c r="N1419" s="239"/>
      <c r="O1419" s="225"/>
      <c r="P1419" s="260"/>
      <c r="Q1419" s="258"/>
      <c r="R1419" s="260"/>
      <c r="S1419" s="260"/>
      <c r="T1419" s="260"/>
      <c r="U1419" s="260"/>
      <c r="V1419" s="260"/>
      <c r="W1419" s="260"/>
      <c r="X1419" s="260"/>
      <c r="Y1419" s="260"/>
      <c r="Z1419" s="260"/>
      <c r="AA1419" s="260"/>
      <c r="AB1419" s="260"/>
      <c r="AC1419" s="260"/>
      <c r="AD1419" s="260"/>
      <c r="AE1419" s="260"/>
      <c r="AF1419" s="260"/>
      <c r="AG1419" s="258"/>
    </row>
    <row r="1420" spans="13:33" ht="12" hidden="1" customHeight="1">
      <c r="M1420" s="820"/>
      <c r="N1420" s="239"/>
      <c r="O1420" s="225"/>
      <c r="P1420" s="260"/>
      <c r="Q1420" s="258"/>
      <c r="R1420" s="260"/>
      <c r="S1420" s="260"/>
      <c r="T1420" s="260"/>
      <c r="U1420" s="260"/>
      <c r="V1420" s="260"/>
      <c r="W1420" s="260"/>
      <c r="X1420" s="260"/>
      <c r="Y1420" s="260"/>
      <c r="Z1420" s="260"/>
      <c r="AA1420" s="260"/>
      <c r="AB1420" s="260"/>
      <c r="AC1420" s="260"/>
      <c r="AD1420" s="260"/>
      <c r="AE1420" s="260"/>
      <c r="AF1420" s="260"/>
      <c r="AG1420" s="258"/>
    </row>
    <row r="1421" spans="13:33" ht="12" hidden="1" customHeight="1">
      <c r="M1421" s="820"/>
      <c r="N1421" s="239"/>
      <c r="O1421" s="225"/>
      <c r="P1421" s="260"/>
      <c r="Q1421" s="258"/>
      <c r="R1421" s="260"/>
      <c r="S1421" s="260"/>
      <c r="T1421" s="260"/>
      <c r="U1421" s="260"/>
      <c r="V1421" s="260"/>
      <c r="W1421" s="260"/>
      <c r="X1421" s="260"/>
      <c r="Y1421" s="260"/>
      <c r="Z1421" s="260"/>
      <c r="AA1421" s="260"/>
      <c r="AB1421" s="260"/>
      <c r="AC1421" s="260"/>
      <c r="AD1421" s="260"/>
      <c r="AE1421" s="260"/>
      <c r="AF1421" s="260"/>
      <c r="AG1421" s="258"/>
    </row>
    <row r="1422" spans="13:33" ht="12" hidden="1" customHeight="1">
      <c r="M1422" s="820"/>
      <c r="N1422" s="239"/>
      <c r="O1422" s="225"/>
      <c r="P1422" s="260"/>
      <c r="Q1422" s="258"/>
      <c r="R1422" s="260"/>
      <c r="S1422" s="260"/>
      <c r="T1422" s="260"/>
      <c r="U1422" s="260"/>
      <c r="V1422" s="260"/>
      <c r="W1422" s="260"/>
      <c r="X1422" s="260"/>
      <c r="Y1422" s="260"/>
      <c r="Z1422" s="260"/>
      <c r="AA1422" s="260"/>
      <c r="AB1422" s="260"/>
      <c r="AC1422" s="260"/>
      <c r="AD1422" s="260"/>
      <c r="AE1422" s="260"/>
      <c r="AF1422" s="260"/>
      <c r="AG1422" s="258"/>
    </row>
    <row r="1423" spans="13:33" ht="12" hidden="1" customHeight="1">
      <c r="M1423" s="820"/>
      <c r="N1423" s="239"/>
      <c r="O1423" s="225"/>
      <c r="P1423" s="260"/>
      <c r="Q1423" s="258"/>
      <c r="R1423" s="260"/>
      <c r="S1423" s="260"/>
      <c r="T1423" s="260"/>
      <c r="U1423" s="260"/>
      <c r="V1423" s="260"/>
      <c r="W1423" s="260"/>
      <c r="X1423" s="260"/>
      <c r="Y1423" s="260"/>
      <c r="Z1423" s="260"/>
      <c r="AA1423" s="260"/>
      <c r="AB1423" s="260"/>
      <c r="AC1423" s="260"/>
      <c r="AD1423" s="260"/>
      <c r="AE1423" s="260"/>
      <c r="AF1423" s="260"/>
      <c r="AG1423" s="258"/>
    </row>
    <row r="1424" spans="13:33" ht="12" hidden="1" customHeight="1">
      <c r="M1424" s="820"/>
      <c r="N1424" s="239"/>
      <c r="O1424" s="225"/>
      <c r="P1424" s="260"/>
      <c r="Q1424" s="258"/>
      <c r="R1424" s="260"/>
      <c r="S1424" s="260"/>
      <c r="T1424" s="260"/>
      <c r="U1424" s="260"/>
      <c r="V1424" s="260"/>
      <c r="W1424" s="260"/>
      <c r="X1424" s="260"/>
      <c r="Y1424" s="260"/>
      <c r="Z1424" s="260"/>
      <c r="AA1424" s="260"/>
      <c r="AB1424" s="260"/>
      <c r="AC1424" s="260"/>
      <c r="AD1424" s="260"/>
      <c r="AE1424" s="260"/>
      <c r="AF1424" s="260"/>
      <c r="AG1424" s="258"/>
    </row>
    <row r="1425" spans="13:33" ht="12" hidden="1" customHeight="1">
      <c r="M1425" s="820"/>
      <c r="N1425" s="239"/>
      <c r="O1425" s="225"/>
      <c r="P1425" s="260"/>
      <c r="Q1425" s="258"/>
      <c r="R1425" s="260"/>
      <c r="S1425" s="260"/>
      <c r="T1425" s="260"/>
      <c r="U1425" s="260"/>
      <c r="V1425" s="260"/>
      <c r="W1425" s="260"/>
      <c r="X1425" s="260"/>
      <c r="Y1425" s="260"/>
      <c r="Z1425" s="260"/>
      <c r="AA1425" s="260"/>
      <c r="AB1425" s="260"/>
      <c r="AC1425" s="260"/>
      <c r="AD1425" s="260"/>
      <c r="AE1425" s="260"/>
      <c r="AF1425" s="260"/>
      <c r="AG1425" s="258"/>
    </row>
    <row r="1426" spans="13:33" ht="12" hidden="1" customHeight="1">
      <c r="M1426" s="820"/>
      <c r="N1426" s="239"/>
      <c r="O1426" s="225"/>
      <c r="P1426" s="260"/>
      <c r="Q1426" s="258"/>
      <c r="R1426" s="260"/>
      <c r="S1426" s="260"/>
      <c r="T1426" s="260"/>
      <c r="U1426" s="260"/>
      <c r="V1426" s="260"/>
      <c r="W1426" s="260"/>
      <c r="X1426" s="260"/>
      <c r="Y1426" s="260"/>
      <c r="Z1426" s="260"/>
      <c r="AA1426" s="260"/>
      <c r="AB1426" s="260"/>
      <c r="AC1426" s="260"/>
      <c r="AD1426" s="260"/>
      <c r="AE1426" s="260"/>
      <c r="AF1426" s="260"/>
      <c r="AG1426" s="258"/>
    </row>
    <row r="1427" spans="13:33" ht="12" hidden="1" customHeight="1">
      <c r="M1427" s="820"/>
      <c r="N1427" s="239"/>
      <c r="O1427" s="225"/>
      <c r="P1427" s="260"/>
      <c r="Q1427" s="258"/>
      <c r="R1427" s="260"/>
      <c r="S1427" s="260"/>
      <c r="T1427" s="260"/>
      <c r="U1427" s="260"/>
      <c r="V1427" s="260"/>
      <c r="W1427" s="260"/>
      <c r="X1427" s="260"/>
      <c r="Y1427" s="260"/>
      <c r="Z1427" s="260"/>
      <c r="AA1427" s="260"/>
      <c r="AB1427" s="260"/>
      <c r="AC1427" s="260"/>
      <c r="AD1427" s="260"/>
      <c r="AE1427" s="260"/>
      <c r="AF1427" s="260"/>
      <c r="AG1427" s="258"/>
    </row>
    <row r="1428" spans="13:33" ht="12" hidden="1" customHeight="1">
      <c r="M1428" s="820"/>
      <c r="N1428" s="239"/>
      <c r="O1428" s="225"/>
      <c r="P1428" s="260"/>
      <c r="Q1428" s="258"/>
      <c r="R1428" s="260"/>
      <c r="S1428" s="260"/>
      <c r="T1428" s="260"/>
      <c r="U1428" s="260"/>
      <c r="V1428" s="260"/>
      <c r="W1428" s="260"/>
      <c r="X1428" s="260"/>
      <c r="Y1428" s="260"/>
      <c r="Z1428" s="260"/>
      <c r="AA1428" s="260"/>
      <c r="AB1428" s="260"/>
      <c r="AC1428" s="260"/>
      <c r="AD1428" s="260"/>
      <c r="AE1428" s="260"/>
      <c r="AF1428" s="260"/>
      <c r="AG1428" s="258"/>
    </row>
    <row r="1429" spans="13:33" ht="12" hidden="1" customHeight="1">
      <c r="M1429" s="820"/>
      <c r="N1429" s="239"/>
      <c r="O1429" s="225"/>
      <c r="P1429" s="260"/>
      <c r="Q1429" s="258"/>
      <c r="R1429" s="260"/>
      <c r="S1429" s="260"/>
      <c r="T1429" s="260"/>
      <c r="U1429" s="260"/>
      <c r="V1429" s="260"/>
      <c r="W1429" s="260"/>
      <c r="X1429" s="260"/>
      <c r="Y1429" s="260"/>
      <c r="Z1429" s="260"/>
      <c r="AA1429" s="260"/>
      <c r="AB1429" s="260"/>
      <c r="AC1429" s="260"/>
      <c r="AD1429" s="260"/>
      <c r="AE1429" s="260"/>
      <c r="AF1429" s="260"/>
      <c r="AG1429" s="258"/>
    </row>
    <row r="1430" spans="13:33" ht="12" hidden="1" customHeight="1">
      <c r="M1430" s="820"/>
      <c r="N1430" s="239"/>
      <c r="O1430" s="225"/>
      <c r="P1430" s="260"/>
      <c r="Q1430" s="258"/>
      <c r="R1430" s="260"/>
      <c r="S1430" s="260"/>
      <c r="T1430" s="260"/>
      <c r="U1430" s="260"/>
      <c r="V1430" s="260"/>
      <c r="W1430" s="260"/>
      <c r="X1430" s="260"/>
      <c r="Y1430" s="260"/>
      <c r="Z1430" s="260"/>
      <c r="AA1430" s="260"/>
      <c r="AB1430" s="260"/>
      <c r="AC1430" s="260"/>
      <c r="AD1430" s="260"/>
      <c r="AE1430" s="260"/>
      <c r="AF1430" s="260"/>
      <c r="AG1430" s="258"/>
    </row>
    <row r="1431" spans="13:33" ht="12" hidden="1" customHeight="1">
      <c r="M1431" s="820"/>
      <c r="N1431" s="239"/>
      <c r="O1431" s="225"/>
      <c r="P1431" s="260"/>
      <c r="Q1431" s="258"/>
      <c r="R1431" s="260"/>
      <c r="S1431" s="260"/>
      <c r="T1431" s="260"/>
      <c r="U1431" s="260"/>
      <c r="V1431" s="260"/>
      <c r="W1431" s="260"/>
      <c r="X1431" s="260"/>
      <c r="Y1431" s="260"/>
      <c r="Z1431" s="260"/>
      <c r="AA1431" s="260"/>
      <c r="AB1431" s="260"/>
      <c r="AC1431" s="260"/>
      <c r="AD1431" s="260"/>
      <c r="AE1431" s="260"/>
      <c r="AF1431" s="260"/>
      <c r="AG1431" s="258"/>
    </row>
    <row r="1432" spans="13:33" ht="12" hidden="1" customHeight="1">
      <c r="M1432" s="820"/>
      <c r="N1432" s="239"/>
      <c r="O1432" s="225"/>
      <c r="P1432" s="260"/>
      <c r="Q1432" s="258"/>
      <c r="R1432" s="260"/>
      <c r="S1432" s="260"/>
      <c r="T1432" s="260"/>
      <c r="U1432" s="260"/>
      <c r="V1432" s="260"/>
      <c r="W1432" s="260"/>
      <c r="X1432" s="260"/>
      <c r="Y1432" s="260"/>
      <c r="Z1432" s="260"/>
      <c r="AA1432" s="260"/>
      <c r="AB1432" s="260"/>
      <c r="AC1432" s="260"/>
      <c r="AD1432" s="260"/>
      <c r="AE1432" s="260"/>
      <c r="AF1432" s="260"/>
      <c r="AG1432" s="258"/>
    </row>
    <row r="1433" spans="13:33" ht="12" hidden="1" customHeight="1">
      <c r="M1433" s="820"/>
      <c r="N1433" s="239"/>
      <c r="O1433" s="225"/>
      <c r="P1433" s="260"/>
      <c r="Q1433" s="258"/>
      <c r="R1433" s="260"/>
      <c r="S1433" s="260"/>
      <c r="T1433" s="260"/>
      <c r="U1433" s="260"/>
      <c r="V1433" s="260"/>
      <c r="W1433" s="260"/>
      <c r="X1433" s="260"/>
      <c r="Y1433" s="260"/>
      <c r="Z1433" s="260"/>
      <c r="AA1433" s="260"/>
      <c r="AB1433" s="260"/>
      <c r="AC1433" s="260"/>
      <c r="AD1433" s="260"/>
      <c r="AE1433" s="260"/>
      <c r="AF1433" s="260"/>
      <c r="AG1433" s="258"/>
    </row>
    <row r="1434" spans="13:33" ht="12" hidden="1" customHeight="1">
      <c r="M1434" s="820"/>
      <c r="N1434" s="239"/>
      <c r="O1434" s="225"/>
      <c r="P1434" s="260"/>
      <c r="Q1434" s="258"/>
      <c r="R1434" s="260"/>
      <c r="S1434" s="260"/>
      <c r="T1434" s="260"/>
      <c r="U1434" s="260"/>
      <c r="V1434" s="260"/>
      <c r="W1434" s="260"/>
      <c r="X1434" s="260"/>
      <c r="Y1434" s="260"/>
      <c r="Z1434" s="260"/>
      <c r="AA1434" s="260"/>
      <c r="AB1434" s="260"/>
      <c r="AC1434" s="260"/>
      <c r="AD1434" s="260"/>
      <c r="AE1434" s="260"/>
      <c r="AF1434" s="260"/>
      <c r="AG1434" s="258"/>
    </row>
    <row r="1435" spans="13:33" ht="12" hidden="1" customHeight="1">
      <c r="M1435" s="820"/>
      <c r="N1435" s="239"/>
      <c r="O1435" s="225"/>
      <c r="P1435" s="260"/>
      <c r="Q1435" s="258"/>
      <c r="R1435" s="260"/>
      <c r="S1435" s="260"/>
      <c r="T1435" s="260"/>
      <c r="U1435" s="260"/>
      <c r="V1435" s="260"/>
      <c r="W1435" s="260"/>
      <c r="X1435" s="260"/>
      <c r="Y1435" s="260"/>
      <c r="Z1435" s="260"/>
      <c r="AA1435" s="260"/>
      <c r="AB1435" s="260"/>
      <c r="AC1435" s="260"/>
      <c r="AD1435" s="260"/>
      <c r="AE1435" s="260"/>
      <c r="AF1435" s="260"/>
      <c r="AG1435" s="258"/>
    </row>
    <row r="1436" spans="13:33" ht="12" hidden="1" customHeight="1">
      <c r="M1436" s="820"/>
      <c r="N1436" s="239"/>
      <c r="O1436" s="225"/>
      <c r="P1436" s="260"/>
      <c r="Q1436" s="258"/>
      <c r="R1436" s="260"/>
      <c r="S1436" s="260"/>
      <c r="T1436" s="260"/>
      <c r="U1436" s="260"/>
      <c r="V1436" s="260"/>
      <c r="W1436" s="260"/>
      <c r="X1436" s="260"/>
      <c r="Y1436" s="260"/>
      <c r="Z1436" s="260"/>
      <c r="AA1436" s="260"/>
      <c r="AB1436" s="260"/>
      <c r="AC1436" s="260"/>
      <c r="AD1436" s="260"/>
      <c r="AE1436" s="260"/>
      <c r="AF1436" s="260"/>
      <c r="AG1436" s="258"/>
    </row>
    <row r="1437" spans="13:33" ht="12" hidden="1" customHeight="1">
      <c r="M1437" s="820"/>
      <c r="N1437" s="239"/>
      <c r="O1437" s="225"/>
      <c r="P1437" s="260"/>
      <c r="Q1437" s="258"/>
      <c r="R1437" s="260"/>
      <c r="S1437" s="260"/>
      <c r="T1437" s="260"/>
      <c r="U1437" s="260"/>
      <c r="V1437" s="260"/>
      <c r="W1437" s="260"/>
      <c r="X1437" s="260"/>
      <c r="Y1437" s="260"/>
      <c r="Z1437" s="260"/>
      <c r="AA1437" s="260"/>
      <c r="AB1437" s="260"/>
      <c r="AC1437" s="260"/>
      <c r="AD1437" s="260"/>
      <c r="AE1437" s="260"/>
      <c r="AF1437" s="260"/>
      <c r="AG1437" s="258"/>
    </row>
    <row r="1438" spans="13:33" ht="12" hidden="1" customHeight="1">
      <c r="M1438" s="820"/>
      <c r="N1438" s="239"/>
      <c r="O1438" s="225"/>
      <c r="P1438" s="260"/>
      <c r="Q1438" s="258"/>
      <c r="R1438" s="260"/>
      <c r="S1438" s="260"/>
      <c r="T1438" s="260"/>
      <c r="U1438" s="260"/>
      <c r="V1438" s="260"/>
      <c r="W1438" s="260"/>
      <c r="X1438" s="260"/>
      <c r="Y1438" s="260"/>
      <c r="Z1438" s="260"/>
      <c r="AA1438" s="260"/>
      <c r="AB1438" s="260"/>
      <c r="AC1438" s="260"/>
      <c r="AD1438" s="260"/>
      <c r="AE1438" s="260"/>
      <c r="AF1438" s="260"/>
      <c r="AG1438" s="258"/>
    </row>
    <row r="1439" spans="13:33" ht="12" hidden="1" customHeight="1">
      <c r="M1439" s="820"/>
      <c r="N1439" s="239"/>
      <c r="O1439" s="225"/>
      <c r="P1439" s="260"/>
      <c r="Q1439" s="258"/>
      <c r="R1439" s="260"/>
      <c r="S1439" s="260"/>
      <c r="T1439" s="260"/>
      <c r="U1439" s="260"/>
      <c r="V1439" s="260"/>
      <c r="W1439" s="260"/>
      <c r="X1439" s="260"/>
      <c r="Y1439" s="260"/>
      <c r="Z1439" s="260"/>
      <c r="AA1439" s="260"/>
      <c r="AB1439" s="260"/>
      <c r="AC1439" s="260"/>
      <c r="AD1439" s="260"/>
      <c r="AE1439" s="260"/>
      <c r="AF1439" s="260"/>
      <c r="AG1439" s="258"/>
    </row>
    <row r="1440" spans="13:33" ht="12" hidden="1" customHeight="1">
      <c r="M1440" s="820"/>
      <c r="N1440" s="239"/>
      <c r="O1440" s="225"/>
      <c r="P1440" s="260"/>
      <c r="Q1440" s="258"/>
      <c r="R1440" s="260"/>
      <c r="S1440" s="260"/>
      <c r="T1440" s="260"/>
      <c r="U1440" s="260"/>
      <c r="V1440" s="260"/>
      <c r="W1440" s="260"/>
      <c r="X1440" s="260"/>
      <c r="Y1440" s="260"/>
      <c r="Z1440" s="260"/>
      <c r="AA1440" s="260"/>
      <c r="AB1440" s="260"/>
      <c r="AC1440" s="260"/>
      <c r="AD1440" s="260"/>
      <c r="AE1440" s="260"/>
      <c r="AF1440" s="260"/>
      <c r="AG1440" s="258"/>
    </row>
    <row r="1441" spans="13:33" ht="12" hidden="1" customHeight="1">
      <c r="M1441" s="820"/>
      <c r="N1441" s="239"/>
      <c r="O1441" s="225"/>
      <c r="P1441" s="260"/>
      <c r="Q1441" s="258"/>
      <c r="R1441" s="260"/>
      <c r="S1441" s="260"/>
      <c r="T1441" s="260"/>
      <c r="U1441" s="260"/>
      <c r="V1441" s="260"/>
      <c r="W1441" s="260"/>
      <c r="X1441" s="260"/>
      <c r="Y1441" s="260"/>
      <c r="Z1441" s="260"/>
      <c r="AA1441" s="260"/>
      <c r="AB1441" s="260"/>
      <c r="AC1441" s="260"/>
      <c r="AD1441" s="260"/>
      <c r="AE1441" s="260"/>
      <c r="AF1441" s="260"/>
      <c r="AG1441" s="258"/>
    </row>
    <row r="1442" spans="13:33" ht="12" hidden="1" customHeight="1">
      <c r="M1442" s="820"/>
      <c r="N1442" s="239"/>
      <c r="O1442" s="225"/>
      <c r="P1442" s="260"/>
      <c r="Q1442" s="258"/>
      <c r="R1442" s="260"/>
      <c r="S1442" s="260"/>
      <c r="T1442" s="260"/>
      <c r="U1442" s="260"/>
      <c r="V1442" s="260"/>
      <c r="W1442" s="260"/>
      <c r="X1442" s="260"/>
      <c r="Y1442" s="260"/>
      <c r="Z1442" s="260"/>
      <c r="AA1442" s="260"/>
      <c r="AB1442" s="260"/>
      <c r="AC1442" s="260"/>
      <c r="AD1442" s="260"/>
      <c r="AE1442" s="260"/>
      <c r="AF1442" s="260"/>
      <c r="AG1442" s="258"/>
    </row>
    <row r="1443" spans="13:33" ht="12" hidden="1" customHeight="1">
      <c r="M1443" s="820"/>
      <c r="N1443" s="239"/>
      <c r="O1443" s="225"/>
      <c r="P1443" s="260"/>
      <c r="Q1443" s="258"/>
      <c r="R1443" s="260"/>
      <c r="S1443" s="260"/>
      <c r="T1443" s="260"/>
      <c r="U1443" s="260"/>
      <c r="V1443" s="260"/>
      <c r="W1443" s="260"/>
      <c r="X1443" s="260"/>
      <c r="Y1443" s="260"/>
      <c r="Z1443" s="260"/>
      <c r="AA1443" s="260"/>
      <c r="AB1443" s="260"/>
      <c r="AC1443" s="260"/>
      <c r="AD1443" s="260"/>
      <c r="AE1443" s="260"/>
      <c r="AF1443" s="260"/>
      <c r="AG1443" s="258"/>
    </row>
    <row r="1444" spans="13:33" ht="12" hidden="1" customHeight="1">
      <c r="M1444" s="820"/>
      <c r="N1444" s="239"/>
      <c r="O1444" s="225"/>
      <c r="P1444" s="260"/>
      <c r="Q1444" s="258"/>
      <c r="R1444" s="260"/>
      <c r="S1444" s="260"/>
      <c r="T1444" s="260"/>
      <c r="U1444" s="260"/>
      <c r="V1444" s="260"/>
      <c r="W1444" s="260"/>
      <c r="X1444" s="260"/>
      <c r="Y1444" s="260"/>
      <c r="Z1444" s="260"/>
      <c r="AA1444" s="260"/>
      <c r="AB1444" s="260"/>
      <c r="AC1444" s="260"/>
      <c r="AD1444" s="260"/>
      <c r="AE1444" s="260"/>
      <c r="AF1444" s="260"/>
      <c r="AG1444" s="258"/>
    </row>
    <row r="1445" spans="13:33" ht="12" hidden="1" customHeight="1">
      <c r="M1445" s="820"/>
      <c r="N1445" s="239"/>
      <c r="O1445" s="225"/>
      <c r="P1445" s="260"/>
      <c r="Q1445" s="258"/>
      <c r="R1445" s="260"/>
      <c r="S1445" s="260"/>
      <c r="T1445" s="260"/>
      <c r="U1445" s="260"/>
      <c r="V1445" s="260"/>
      <c r="W1445" s="260"/>
      <c r="X1445" s="260"/>
      <c r="Y1445" s="260"/>
      <c r="Z1445" s="260"/>
      <c r="AA1445" s="260"/>
      <c r="AB1445" s="260"/>
      <c r="AC1445" s="260"/>
      <c r="AD1445" s="260"/>
      <c r="AE1445" s="260"/>
      <c r="AF1445" s="260"/>
      <c r="AG1445" s="258"/>
    </row>
    <row r="1446" spans="13:33" ht="12" hidden="1" customHeight="1">
      <c r="M1446" s="820"/>
      <c r="N1446" s="239"/>
      <c r="O1446" s="225"/>
      <c r="P1446" s="260"/>
      <c r="Q1446" s="258"/>
      <c r="R1446" s="260"/>
      <c r="S1446" s="260"/>
      <c r="T1446" s="260"/>
      <c r="U1446" s="260"/>
      <c r="V1446" s="260"/>
      <c r="W1446" s="260"/>
      <c r="X1446" s="260"/>
      <c r="Y1446" s="260"/>
      <c r="Z1446" s="260"/>
      <c r="AA1446" s="260"/>
      <c r="AB1446" s="260"/>
      <c r="AC1446" s="260"/>
      <c r="AD1446" s="260"/>
      <c r="AE1446" s="260"/>
      <c r="AF1446" s="260"/>
      <c r="AG1446" s="258"/>
    </row>
    <row r="1447" spans="13:33" ht="12" hidden="1" customHeight="1">
      <c r="M1447" s="820"/>
      <c r="N1447" s="239"/>
      <c r="O1447" s="225"/>
      <c r="P1447" s="260"/>
      <c r="Q1447" s="258"/>
      <c r="R1447" s="260"/>
      <c r="S1447" s="260"/>
      <c r="T1447" s="260"/>
      <c r="U1447" s="260"/>
      <c r="V1447" s="260"/>
      <c r="W1447" s="260"/>
      <c r="X1447" s="260"/>
      <c r="Y1447" s="260"/>
      <c r="Z1447" s="260"/>
      <c r="AA1447" s="260"/>
      <c r="AB1447" s="260"/>
      <c r="AC1447" s="260"/>
      <c r="AD1447" s="260"/>
      <c r="AE1447" s="260"/>
      <c r="AF1447" s="260"/>
      <c r="AG1447" s="258"/>
    </row>
    <row r="1448" spans="13:33" ht="12" hidden="1" customHeight="1">
      <c r="M1448" s="820"/>
      <c r="N1448" s="239"/>
      <c r="O1448" s="225"/>
      <c r="P1448" s="260"/>
      <c r="Q1448" s="258"/>
      <c r="R1448" s="260"/>
      <c r="S1448" s="260"/>
      <c r="T1448" s="260"/>
      <c r="U1448" s="260"/>
      <c r="V1448" s="260"/>
      <c r="W1448" s="260"/>
      <c r="X1448" s="260"/>
      <c r="Y1448" s="260"/>
      <c r="Z1448" s="260"/>
      <c r="AA1448" s="260"/>
      <c r="AB1448" s="260"/>
      <c r="AC1448" s="260"/>
      <c r="AD1448" s="260"/>
      <c r="AE1448" s="260"/>
      <c r="AF1448" s="260"/>
      <c r="AG1448" s="258"/>
    </row>
    <row r="1449" spans="13:33" ht="12" hidden="1" customHeight="1">
      <c r="M1449" s="820"/>
      <c r="N1449" s="239"/>
      <c r="O1449" s="225"/>
      <c r="P1449" s="260"/>
      <c r="Q1449" s="258"/>
      <c r="R1449" s="260"/>
      <c r="S1449" s="260"/>
      <c r="T1449" s="260"/>
      <c r="U1449" s="260"/>
      <c r="V1449" s="260"/>
      <c r="W1449" s="260"/>
      <c r="X1449" s="260"/>
      <c r="Y1449" s="260"/>
      <c r="Z1449" s="260"/>
      <c r="AA1449" s="260"/>
      <c r="AB1449" s="260"/>
      <c r="AC1449" s="260"/>
      <c r="AD1449" s="260"/>
      <c r="AE1449" s="260"/>
      <c r="AF1449" s="260"/>
      <c r="AG1449" s="258"/>
    </row>
    <row r="1450" spans="13:33" ht="12" hidden="1" customHeight="1">
      <c r="M1450" s="820"/>
      <c r="N1450" s="239"/>
      <c r="O1450" s="225"/>
      <c r="P1450" s="260"/>
      <c r="Q1450" s="258"/>
      <c r="R1450" s="260"/>
      <c r="S1450" s="260"/>
      <c r="T1450" s="260"/>
      <c r="U1450" s="260"/>
      <c r="V1450" s="260"/>
      <c r="W1450" s="260"/>
      <c r="X1450" s="260"/>
      <c r="Y1450" s="260"/>
      <c r="Z1450" s="260"/>
      <c r="AA1450" s="260"/>
      <c r="AB1450" s="260"/>
      <c r="AC1450" s="260"/>
      <c r="AD1450" s="260"/>
      <c r="AE1450" s="260"/>
      <c r="AF1450" s="260"/>
      <c r="AG1450" s="258"/>
    </row>
    <row r="1451" spans="13:33" ht="12" hidden="1" customHeight="1">
      <c r="M1451" s="820"/>
      <c r="N1451" s="239"/>
      <c r="O1451" s="225"/>
      <c r="P1451" s="260"/>
      <c r="Q1451" s="258"/>
      <c r="R1451" s="260"/>
      <c r="S1451" s="260"/>
      <c r="T1451" s="260"/>
      <c r="U1451" s="260"/>
      <c r="V1451" s="260"/>
      <c r="W1451" s="260"/>
      <c r="X1451" s="260"/>
      <c r="Y1451" s="260"/>
      <c r="Z1451" s="260"/>
      <c r="AA1451" s="260"/>
      <c r="AB1451" s="260"/>
      <c r="AC1451" s="260"/>
      <c r="AD1451" s="260"/>
      <c r="AE1451" s="260"/>
      <c r="AF1451" s="260"/>
      <c r="AG1451" s="258"/>
    </row>
    <row r="1452" spans="13:33" ht="12" hidden="1" customHeight="1">
      <c r="M1452" s="820"/>
      <c r="N1452" s="239"/>
      <c r="O1452" s="225"/>
      <c r="P1452" s="260"/>
      <c r="Q1452" s="258"/>
      <c r="R1452" s="260"/>
      <c r="S1452" s="260"/>
      <c r="T1452" s="260"/>
      <c r="U1452" s="260"/>
      <c r="V1452" s="260"/>
      <c r="W1452" s="260"/>
      <c r="X1452" s="260"/>
      <c r="Y1452" s="260"/>
      <c r="Z1452" s="260"/>
      <c r="AA1452" s="260"/>
      <c r="AB1452" s="260"/>
      <c r="AC1452" s="260"/>
      <c r="AD1452" s="260"/>
      <c r="AE1452" s="260"/>
      <c r="AF1452" s="260"/>
      <c r="AG1452" s="258"/>
    </row>
    <row r="1453" spans="13:33" ht="12" hidden="1" customHeight="1">
      <c r="M1453" s="820"/>
      <c r="N1453" s="239"/>
      <c r="O1453" s="225"/>
      <c r="P1453" s="260"/>
      <c r="Q1453" s="258"/>
      <c r="R1453" s="260"/>
      <c r="S1453" s="260"/>
      <c r="T1453" s="260"/>
      <c r="U1453" s="260"/>
      <c r="V1453" s="260"/>
      <c r="W1453" s="260"/>
      <c r="X1453" s="260"/>
      <c r="Y1453" s="260"/>
      <c r="Z1453" s="260"/>
      <c r="AA1453" s="260"/>
      <c r="AB1453" s="260"/>
      <c r="AC1453" s="260"/>
      <c r="AD1453" s="260"/>
      <c r="AE1453" s="260"/>
      <c r="AF1453" s="260"/>
      <c r="AG1453" s="258"/>
    </row>
    <row r="1454" spans="13:33" ht="12" hidden="1" customHeight="1">
      <c r="M1454" s="820"/>
      <c r="N1454" s="239"/>
      <c r="O1454" s="225"/>
      <c r="P1454" s="260"/>
      <c r="Q1454" s="258"/>
      <c r="R1454" s="260"/>
      <c r="S1454" s="260"/>
      <c r="T1454" s="260"/>
      <c r="U1454" s="260"/>
      <c r="V1454" s="260"/>
      <c r="W1454" s="260"/>
      <c r="X1454" s="260"/>
      <c r="Y1454" s="260"/>
      <c r="Z1454" s="260"/>
      <c r="AA1454" s="260"/>
      <c r="AB1454" s="260"/>
      <c r="AC1454" s="260"/>
      <c r="AD1454" s="260"/>
      <c r="AE1454" s="260"/>
      <c r="AF1454" s="260"/>
      <c r="AG1454" s="258"/>
    </row>
    <row r="1455" spans="13:33" ht="12" hidden="1" customHeight="1">
      <c r="M1455" s="820"/>
      <c r="N1455" s="239"/>
      <c r="O1455" s="225"/>
      <c r="P1455" s="260"/>
      <c r="Q1455" s="258"/>
      <c r="R1455" s="260"/>
      <c r="S1455" s="260"/>
      <c r="T1455" s="260"/>
      <c r="U1455" s="260"/>
      <c r="V1455" s="260"/>
      <c r="W1455" s="260"/>
      <c r="X1455" s="260"/>
      <c r="Y1455" s="260"/>
      <c r="Z1455" s="260"/>
      <c r="AA1455" s="260"/>
      <c r="AB1455" s="260"/>
      <c r="AC1455" s="260"/>
      <c r="AD1455" s="260"/>
      <c r="AE1455" s="260"/>
      <c r="AF1455" s="260"/>
      <c r="AG1455" s="258"/>
    </row>
    <row r="1456" spans="13:33" ht="12" hidden="1" customHeight="1">
      <c r="M1456" s="820"/>
      <c r="N1456" s="239"/>
      <c r="O1456" s="225"/>
      <c r="P1456" s="260"/>
      <c r="Q1456" s="258"/>
      <c r="R1456" s="260"/>
      <c r="S1456" s="260"/>
      <c r="T1456" s="260"/>
      <c r="U1456" s="260"/>
      <c r="V1456" s="260"/>
      <c r="W1456" s="260"/>
      <c r="X1456" s="260"/>
      <c r="Y1456" s="260"/>
      <c r="Z1456" s="260"/>
      <c r="AA1456" s="260"/>
      <c r="AB1456" s="260"/>
      <c r="AC1456" s="260"/>
      <c r="AD1456" s="260"/>
      <c r="AE1456" s="260"/>
      <c r="AF1456" s="260"/>
      <c r="AG1456" s="258"/>
    </row>
    <row r="1457" spans="13:33" ht="12" hidden="1" customHeight="1">
      <c r="M1457" s="820"/>
      <c r="N1457" s="239"/>
      <c r="O1457" s="225"/>
      <c r="P1457" s="260"/>
      <c r="Q1457" s="258"/>
      <c r="R1457" s="260"/>
      <c r="S1457" s="260"/>
      <c r="T1457" s="260"/>
      <c r="U1457" s="260"/>
      <c r="V1457" s="260"/>
      <c r="W1457" s="260"/>
      <c r="X1457" s="260"/>
      <c r="Y1457" s="260"/>
      <c r="Z1457" s="260"/>
      <c r="AA1457" s="260"/>
      <c r="AB1457" s="260"/>
      <c r="AC1457" s="260"/>
      <c r="AD1457" s="260"/>
      <c r="AE1457" s="260"/>
      <c r="AF1457" s="260"/>
      <c r="AG1457" s="258"/>
    </row>
    <row r="1458" spans="13:33" ht="12" hidden="1" customHeight="1">
      <c r="M1458" s="820"/>
      <c r="N1458" s="239"/>
      <c r="O1458" s="225"/>
      <c r="P1458" s="260"/>
      <c r="Q1458" s="258"/>
      <c r="R1458" s="260"/>
      <c r="S1458" s="260"/>
      <c r="T1458" s="260"/>
      <c r="U1458" s="260"/>
      <c r="V1458" s="260"/>
      <c r="W1458" s="260"/>
      <c r="X1458" s="260"/>
      <c r="Y1458" s="260"/>
      <c r="Z1458" s="260"/>
      <c r="AA1458" s="260"/>
      <c r="AB1458" s="260"/>
      <c r="AC1458" s="260"/>
      <c r="AD1458" s="260"/>
      <c r="AE1458" s="260"/>
      <c r="AF1458" s="260"/>
      <c r="AG1458" s="258"/>
    </row>
    <row r="1459" spans="13:33" ht="12" hidden="1" customHeight="1">
      <c r="M1459" s="820"/>
      <c r="N1459" s="239"/>
      <c r="O1459" s="225"/>
      <c r="P1459" s="260"/>
      <c r="Q1459" s="258"/>
      <c r="R1459" s="260"/>
      <c r="S1459" s="260"/>
      <c r="T1459" s="260"/>
      <c r="U1459" s="260"/>
      <c r="V1459" s="260"/>
      <c r="W1459" s="260"/>
      <c r="X1459" s="260"/>
      <c r="Y1459" s="260"/>
      <c r="Z1459" s="260"/>
      <c r="AA1459" s="260"/>
      <c r="AB1459" s="260"/>
      <c r="AC1459" s="260"/>
      <c r="AD1459" s="260"/>
      <c r="AE1459" s="260"/>
      <c r="AF1459" s="260"/>
      <c r="AG1459" s="258"/>
    </row>
    <row r="1460" spans="13:33" ht="12" hidden="1" customHeight="1">
      <c r="M1460" s="820"/>
      <c r="N1460" s="239"/>
      <c r="O1460" s="225"/>
      <c r="P1460" s="260"/>
      <c r="Q1460" s="258"/>
      <c r="R1460" s="260"/>
      <c r="S1460" s="260"/>
      <c r="T1460" s="260"/>
      <c r="U1460" s="260"/>
      <c r="V1460" s="260"/>
      <c r="W1460" s="260"/>
      <c r="X1460" s="260"/>
      <c r="Y1460" s="260"/>
      <c r="Z1460" s="260"/>
      <c r="AA1460" s="260"/>
      <c r="AB1460" s="260"/>
      <c r="AC1460" s="260"/>
      <c r="AD1460" s="260"/>
      <c r="AE1460" s="260"/>
      <c r="AF1460" s="260"/>
      <c r="AG1460" s="258"/>
    </row>
    <row r="1461" spans="13:33" ht="12" hidden="1" customHeight="1">
      <c r="M1461" s="820"/>
      <c r="N1461" s="239"/>
      <c r="O1461" s="225"/>
      <c r="P1461" s="260"/>
      <c r="Q1461" s="258"/>
      <c r="R1461" s="260"/>
      <c r="S1461" s="260"/>
      <c r="T1461" s="260"/>
      <c r="U1461" s="260"/>
      <c r="V1461" s="260"/>
      <c r="W1461" s="260"/>
      <c r="X1461" s="260"/>
      <c r="Y1461" s="260"/>
      <c r="Z1461" s="260"/>
      <c r="AA1461" s="260"/>
      <c r="AB1461" s="260"/>
      <c r="AC1461" s="260"/>
      <c r="AD1461" s="260"/>
      <c r="AE1461" s="260"/>
      <c r="AF1461" s="260"/>
      <c r="AG1461" s="258"/>
    </row>
    <row r="1462" spans="13:33" ht="12" hidden="1" customHeight="1">
      <c r="M1462" s="820"/>
      <c r="N1462" s="239"/>
      <c r="O1462" s="225"/>
      <c r="P1462" s="260"/>
      <c r="Q1462" s="258"/>
      <c r="R1462" s="260"/>
      <c r="S1462" s="260"/>
      <c r="T1462" s="260"/>
      <c r="U1462" s="260"/>
      <c r="V1462" s="260"/>
      <c r="W1462" s="260"/>
      <c r="X1462" s="260"/>
      <c r="Y1462" s="260"/>
      <c r="Z1462" s="260"/>
      <c r="AA1462" s="260"/>
      <c r="AB1462" s="260"/>
      <c r="AC1462" s="260"/>
      <c r="AD1462" s="260"/>
      <c r="AE1462" s="260"/>
      <c r="AF1462" s="260"/>
      <c r="AG1462" s="258"/>
    </row>
    <row r="1463" spans="13:33" ht="12" hidden="1" customHeight="1">
      <c r="M1463" s="820"/>
      <c r="N1463" s="239"/>
      <c r="O1463" s="225"/>
      <c r="P1463" s="260"/>
      <c r="Q1463" s="258"/>
      <c r="R1463" s="260"/>
      <c r="S1463" s="260"/>
      <c r="T1463" s="260"/>
      <c r="U1463" s="260"/>
      <c r="V1463" s="260"/>
      <c r="W1463" s="260"/>
      <c r="X1463" s="260"/>
      <c r="Y1463" s="260"/>
      <c r="Z1463" s="260"/>
      <c r="AA1463" s="260"/>
      <c r="AB1463" s="260"/>
      <c r="AC1463" s="260"/>
      <c r="AD1463" s="260"/>
      <c r="AE1463" s="260"/>
      <c r="AF1463" s="260"/>
      <c r="AG1463" s="258"/>
    </row>
    <row r="1464" spans="13:33" ht="12" hidden="1" customHeight="1">
      <c r="M1464" s="820"/>
      <c r="N1464" s="239"/>
      <c r="O1464" s="225"/>
      <c r="P1464" s="260"/>
      <c r="Q1464" s="258"/>
      <c r="R1464" s="260"/>
      <c r="S1464" s="260"/>
      <c r="T1464" s="260"/>
      <c r="U1464" s="260"/>
      <c r="V1464" s="260"/>
      <c r="W1464" s="260"/>
      <c r="X1464" s="260"/>
      <c r="Y1464" s="260"/>
      <c r="Z1464" s="260"/>
      <c r="AA1464" s="260"/>
      <c r="AB1464" s="260"/>
      <c r="AC1464" s="260"/>
      <c r="AD1464" s="260"/>
      <c r="AE1464" s="260"/>
      <c r="AF1464" s="260"/>
      <c r="AG1464" s="258"/>
    </row>
    <row r="1465" spans="13:33" ht="12" hidden="1" customHeight="1">
      <c r="M1465" s="820"/>
      <c r="N1465" s="239"/>
      <c r="O1465" s="225"/>
      <c r="P1465" s="260"/>
      <c r="Q1465" s="258"/>
      <c r="R1465" s="260"/>
      <c r="S1465" s="260"/>
      <c r="T1465" s="260"/>
      <c r="U1465" s="260"/>
      <c r="V1465" s="260"/>
      <c r="W1465" s="260"/>
      <c r="X1465" s="260"/>
      <c r="Y1465" s="260"/>
      <c r="Z1465" s="260"/>
      <c r="AA1465" s="260"/>
      <c r="AB1465" s="260"/>
      <c r="AC1465" s="260"/>
      <c r="AD1465" s="260"/>
      <c r="AE1465" s="260"/>
      <c r="AF1465" s="260"/>
      <c r="AG1465" s="258"/>
    </row>
    <row r="1466" spans="13:33" ht="12" hidden="1" customHeight="1">
      <c r="M1466" s="820"/>
      <c r="N1466" s="239"/>
      <c r="O1466" s="225"/>
      <c r="P1466" s="260"/>
      <c r="Q1466" s="258"/>
      <c r="R1466" s="260"/>
      <c r="S1466" s="260"/>
      <c r="T1466" s="260"/>
      <c r="U1466" s="260"/>
      <c r="V1466" s="260"/>
      <c r="W1466" s="260"/>
      <c r="X1466" s="260"/>
      <c r="Y1466" s="260"/>
      <c r="Z1466" s="260"/>
      <c r="AA1466" s="260"/>
      <c r="AB1466" s="260"/>
      <c r="AC1466" s="260"/>
      <c r="AD1466" s="260"/>
      <c r="AE1466" s="260"/>
      <c r="AF1466" s="260"/>
      <c r="AG1466" s="258"/>
    </row>
    <row r="1467" spans="13:33" ht="12" hidden="1" customHeight="1">
      <c r="M1467" s="820"/>
      <c r="N1467" s="239"/>
      <c r="O1467" s="225"/>
      <c r="P1467" s="260"/>
      <c r="Q1467" s="258"/>
      <c r="R1467" s="260"/>
      <c r="S1467" s="260"/>
      <c r="T1467" s="260"/>
      <c r="U1467" s="260"/>
      <c r="V1467" s="260"/>
      <c r="W1467" s="260"/>
      <c r="X1467" s="260"/>
      <c r="Y1467" s="260"/>
      <c r="Z1467" s="260"/>
      <c r="AA1467" s="260"/>
      <c r="AB1467" s="260"/>
      <c r="AC1467" s="260"/>
      <c r="AD1467" s="260"/>
      <c r="AE1467" s="260"/>
      <c r="AF1467" s="260"/>
      <c r="AG1467" s="258"/>
    </row>
    <row r="1468" spans="13:33" ht="12" hidden="1" customHeight="1">
      <c r="M1468" s="820"/>
      <c r="N1468" s="239"/>
      <c r="O1468" s="225"/>
      <c r="P1468" s="260"/>
      <c r="Q1468" s="258"/>
      <c r="R1468" s="260"/>
      <c r="S1468" s="260"/>
      <c r="T1468" s="260"/>
      <c r="U1468" s="260"/>
      <c r="V1468" s="260"/>
      <c r="W1468" s="260"/>
      <c r="X1468" s="260"/>
      <c r="Y1468" s="260"/>
      <c r="Z1468" s="260"/>
      <c r="AA1468" s="260"/>
      <c r="AB1468" s="260"/>
      <c r="AC1468" s="260"/>
      <c r="AD1468" s="260"/>
      <c r="AE1468" s="260"/>
      <c r="AF1468" s="260"/>
      <c r="AG1468" s="258"/>
    </row>
    <row r="1469" spans="13:33" ht="12" hidden="1" customHeight="1">
      <c r="M1469" s="820"/>
      <c r="N1469" s="239"/>
      <c r="O1469" s="225"/>
      <c r="P1469" s="260"/>
      <c r="Q1469" s="258"/>
      <c r="R1469" s="260"/>
      <c r="S1469" s="260"/>
      <c r="T1469" s="260"/>
      <c r="U1469" s="260"/>
      <c r="V1469" s="260"/>
      <c r="W1469" s="260"/>
      <c r="X1469" s="260"/>
      <c r="Y1469" s="260"/>
      <c r="Z1469" s="260"/>
      <c r="AA1469" s="260"/>
      <c r="AB1469" s="260"/>
      <c r="AC1469" s="260"/>
      <c r="AD1469" s="260"/>
      <c r="AE1469" s="260"/>
      <c r="AF1469" s="260"/>
      <c r="AG1469" s="258"/>
    </row>
    <row r="1470" spans="13:33" ht="12" hidden="1" customHeight="1">
      <c r="M1470" s="820"/>
      <c r="N1470" s="239"/>
      <c r="O1470" s="225"/>
      <c r="P1470" s="260"/>
      <c r="Q1470" s="258"/>
      <c r="R1470" s="260"/>
      <c r="S1470" s="260"/>
      <c r="T1470" s="260"/>
      <c r="U1470" s="260"/>
      <c r="V1470" s="260"/>
      <c r="W1470" s="260"/>
      <c r="X1470" s="260"/>
      <c r="Y1470" s="260"/>
      <c r="Z1470" s="260"/>
      <c r="AA1470" s="260"/>
      <c r="AB1470" s="260"/>
      <c r="AC1470" s="260"/>
      <c r="AD1470" s="260"/>
      <c r="AE1470" s="260"/>
      <c r="AF1470" s="260"/>
      <c r="AG1470" s="258"/>
    </row>
    <row r="1471" spans="13:33" ht="12" hidden="1" customHeight="1">
      <c r="M1471" s="820"/>
      <c r="N1471" s="239"/>
      <c r="O1471" s="225"/>
      <c r="P1471" s="260"/>
      <c r="Q1471" s="258"/>
      <c r="R1471" s="260"/>
      <c r="S1471" s="260"/>
      <c r="T1471" s="260"/>
      <c r="U1471" s="260"/>
      <c r="V1471" s="260"/>
      <c r="W1471" s="260"/>
      <c r="X1471" s="260"/>
      <c r="Y1471" s="260"/>
      <c r="Z1471" s="260"/>
      <c r="AA1471" s="260"/>
      <c r="AB1471" s="260"/>
      <c r="AC1471" s="260"/>
      <c r="AD1471" s="260"/>
      <c r="AE1471" s="260"/>
      <c r="AF1471" s="260"/>
      <c r="AG1471" s="258"/>
    </row>
    <row r="1472" spans="13:33" ht="12" hidden="1" customHeight="1">
      <c r="M1472" s="820"/>
      <c r="N1472" s="239"/>
      <c r="O1472" s="225"/>
      <c r="P1472" s="260"/>
      <c r="Q1472" s="258"/>
      <c r="R1472" s="260"/>
      <c r="S1472" s="260"/>
      <c r="T1472" s="260"/>
      <c r="U1472" s="260"/>
      <c r="V1472" s="260"/>
      <c r="W1472" s="260"/>
      <c r="X1472" s="260"/>
      <c r="Y1472" s="260"/>
      <c r="Z1472" s="260"/>
      <c r="AA1472" s="260"/>
      <c r="AB1472" s="260"/>
      <c r="AC1472" s="260"/>
      <c r="AD1472" s="260"/>
      <c r="AE1472" s="260"/>
      <c r="AF1472" s="260"/>
      <c r="AG1472" s="258"/>
    </row>
    <row r="1473" spans="13:33" ht="12" hidden="1" customHeight="1">
      <c r="M1473" s="820"/>
      <c r="N1473" s="239"/>
      <c r="O1473" s="225"/>
      <c r="P1473" s="260"/>
      <c r="Q1473" s="258"/>
      <c r="R1473" s="260"/>
      <c r="S1473" s="260"/>
      <c r="T1473" s="260"/>
      <c r="U1473" s="260"/>
      <c r="V1473" s="260"/>
      <c r="W1473" s="260"/>
      <c r="X1473" s="260"/>
      <c r="Y1473" s="260"/>
      <c r="Z1473" s="260"/>
      <c r="AA1473" s="260"/>
      <c r="AB1473" s="260"/>
      <c r="AC1473" s="260"/>
      <c r="AD1473" s="260"/>
      <c r="AE1473" s="260"/>
      <c r="AF1473" s="260"/>
      <c r="AG1473" s="258"/>
    </row>
    <row r="1474" spans="13:33" ht="12" hidden="1" customHeight="1">
      <c r="M1474" s="820"/>
      <c r="N1474" s="239"/>
      <c r="O1474" s="225"/>
      <c r="P1474" s="260"/>
      <c r="Q1474" s="258"/>
      <c r="R1474" s="260"/>
      <c r="S1474" s="260"/>
      <c r="T1474" s="260"/>
      <c r="U1474" s="260"/>
      <c r="V1474" s="260"/>
      <c r="W1474" s="260"/>
      <c r="X1474" s="260"/>
      <c r="Y1474" s="260"/>
      <c r="Z1474" s="260"/>
      <c r="AA1474" s="260"/>
      <c r="AB1474" s="260"/>
      <c r="AC1474" s="260"/>
      <c r="AD1474" s="260"/>
      <c r="AE1474" s="260"/>
      <c r="AF1474" s="260"/>
      <c r="AG1474" s="258"/>
    </row>
    <row r="1475" spans="13:33" ht="12" hidden="1" customHeight="1">
      <c r="M1475" s="820"/>
      <c r="N1475" s="239"/>
      <c r="O1475" s="225"/>
      <c r="P1475" s="260"/>
      <c r="Q1475" s="258"/>
      <c r="R1475" s="260"/>
      <c r="S1475" s="260"/>
      <c r="T1475" s="260"/>
      <c r="U1475" s="260"/>
      <c r="V1475" s="260"/>
      <c r="W1475" s="260"/>
      <c r="X1475" s="260"/>
      <c r="Y1475" s="260"/>
      <c r="Z1475" s="260"/>
      <c r="AA1475" s="260"/>
      <c r="AB1475" s="260"/>
      <c r="AC1475" s="260"/>
      <c r="AD1475" s="260"/>
      <c r="AE1475" s="260"/>
      <c r="AF1475" s="260"/>
      <c r="AG1475" s="258"/>
    </row>
    <row r="1476" spans="13:33" ht="12" hidden="1" customHeight="1">
      <c r="M1476" s="820"/>
      <c r="N1476" s="239"/>
      <c r="O1476" s="225"/>
      <c r="P1476" s="260"/>
      <c r="Q1476" s="258"/>
      <c r="R1476" s="260"/>
      <c r="S1476" s="260"/>
      <c r="T1476" s="260"/>
      <c r="U1476" s="260"/>
      <c r="V1476" s="260"/>
      <c r="W1476" s="260"/>
      <c r="X1476" s="260"/>
      <c r="Y1476" s="260"/>
      <c r="Z1476" s="260"/>
      <c r="AA1476" s="260"/>
      <c r="AB1476" s="260"/>
      <c r="AC1476" s="260"/>
      <c r="AD1476" s="260"/>
      <c r="AE1476" s="260"/>
      <c r="AF1476" s="260"/>
      <c r="AG1476" s="258"/>
    </row>
    <row r="1477" spans="13:33" ht="12" hidden="1" customHeight="1">
      <c r="M1477" s="820"/>
      <c r="N1477" s="239"/>
      <c r="O1477" s="225"/>
      <c r="P1477" s="260"/>
      <c r="Q1477" s="258"/>
      <c r="R1477" s="260"/>
      <c r="S1477" s="260"/>
      <c r="T1477" s="260"/>
      <c r="U1477" s="260"/>
      <c r="V1477" s="260"/>
      <c r="W1477" s="260"/>
      <c r="X1477" s="260"/>
      <c r="Y1477" s="260"/>
      <c r="Z1477" s="260"/>
      <c r="AA1477" s="260"/>
      <c r="AB1477" s="260"/>
      <c r="AC1477" s="260"/>
      <c r="AD1477" s="260"/>
      <c r="AE1477" s="260"/>
      <c r="AF1477" s="260"/>
      <c r="AG1477" s="258"/>
    </row>
    <row r="1478" spans="13:33" ht="12" hidden="1" customHeight="1">
      <c r="M1478" s="820"/>
      <c r="N1478" s="239"/>
      <c r="O1478" s="225"/>
      <c r="P1478" s="260"/>
      <c r="Q1478" s="258"/>
      <c r="R1478" s="260"/>
      <c r="S1478" s="260"/>
      <c r="T1478" s="260"/>
      <c r="U1478" s="260"/>
      <c r="V1478" s="260"/>
      <c r="W1478" s="260"/>
      <c r="X1478" s="260"/>
      <c r="Y1478" s="260"/>
      <c r="Z1478" s="260"/>
      <c r="AA1478" s="260"/>
      <c r="AB1478" s="260"/>
      <c r="AC1478" s="260"/>
      <c r="AD1478" s="260"/>
      <c r="AE1478" s="260"/>
      <c r="AF1478" s="260"/>
      <c r="AG1478" s="258"/>
    </row>
    <row r="1479" spans="13:33" ht="12" hidden="1" customHeight="1">
      <c r="M1479" s="820"/>
      <c r="N1479" s="239"/>
      <c r="O1479" s="225"/>
      <c r="P1479" s="260"/>
      <c r="Q1479" s="258"/>
      <c r="R1479" s="260"/>
      <c r="S1479" s="260"/>
      <c r="T1479" s="260"/>
      <c r="U1479" s="260"/>
      <c r="V1479" s="260"/>
      <c r="W1479" s="260"/>
      <c r="X1479" s="260"/>
      <c r="Y1479" s="260"/>
      <c r="Z1479" s="260"/>
      <c r="AA1479" s="260"/>
      <c r="AB1479" s="260"/>
      <c r="AC1479" s="260"/>
      <c r="AD1479" s="260"/>
      <c r="AE1479" s="260"/>
      <c r="AF1479" s="260"/>
      <c r="AG1479" s="258"/>
    </row>
    <row r="1480" spans="13:33" ht="12" hidden="1" customHeight="1">
      <c r="M1480" s="820"/>
      <c r="N1480" s="239"/>
      <c r="O1480" s="225"/>
      <c r="P1480" s="260"/>
      <c r="Q1480" s="258"/>
      <c r="R1480" s="260"/>
      <c r="S1480" s="260"/>
      <c r="T1480" s="260"/>
      <c r="U1480" s="260"/>
      <c r="V1480" s="260"/>
      <c r="W1480" s="260"/>
      <c r="X1480" s="260"/>
      <c r="Y1480" s="260"/>
      <c r="Z1480" s="260"/>
      <c r="AA1480" s="260"/>
      <c r="AB1480" s="260"/>
      <c r="AC1480" s="260"/>
      <c r="AD1480" s="260"/>
      <c r="AE1480" s="260"/>
      <c r="AF1480" s="260"/>
      <c r="AG1480" s="258"/>
    </row>
    <row r="1481" spans="13:33" ht="12" hidden="1" customHeight="1">
      <c r="M1481" s="820"/>
      <c r="N1481" s="239"/>
      <c r="O1481" s="225"/>
      <c r="P1481" s="260"/>
      <c r="Q1481" s="258"/>
      <c r="R1481" s="260"/>
      <c r="S1481" s="260"/>
      <c r="T1481" s="260"/>
      <c r="U1481" s="260"/>
      <c r="V1481" s="260"/>
      <c r="W1481" s="260"/>
      <c r="X1481" s="260"/>
      <c r="Y1481" s="260"/>
      <c r="Z1481" s="260"/>
      <c r="AA1481" s="260"/>
      <c r="AB1481" s="260"/>
      <c r="AC1481" s="260"/>
      <c r="AD1481" s="260"/>
      <c r="AE1481" s="260"/>
      <c r="AF1481" s="260"/>
      <c r="AG1481" s="258"/>
    </row>
    <row r="1482" spans="13:33" ht="12" hidden="1" customHeight="1">
      <c r="M1482" s="820"/>
      <c r="N1482" s="239"/>
      <c r="O1482" s="225"/>
      <c r="P1482" s="260"/>
      <c r="Q1482" s="258"/>
      <c r="R1482" s="260"/>
      <c r="S1482" s="260"/>
      <c r="T1482" s="260"/>
      <c r="U1482" s="260"/>
      <c r="V1482" s="260"/>
      <c r="W1482" s="260"/>
      <c r="X1482" s="260"/>
      <c r="Y1482" s="260"/>
      <c r="Z1482" s="260"/>
      <c r="AA1482" s="260"/>
      <c r="AB1482" s="260"/>
      <c r="AC1482" s="260"/>
      <c r="AD1482" s="260"/>
      <c r="AE1482" s="260"/>
      <c r="AF1482" s="260"/>
      <c r="AG1482" s="258"/>
    </row>
    <row r="1483" spans="13:33" ht="12" hidden="1" customHeight="1">
      <c r="M1483" s="820"/>
      <c r="N1483" s="239"/>
      <c r="O1483" s="225"/>
      <c r="P1483" s="260"/>
      <c r="Q1483" s="258"/>
      <c r="R1483" s="260"/>
      <c r="S1483" s="260"/>
      <c r="T1483" s="260"/>
      <c r="U1483" s="260"/>
      <c r="V1483" s="260"/>
      <c r="W1483" s="260"/>
      <c r="X1483" s="260"/>
      <c r="Y1483" s="260"/>
      <c r="Z1483" s="260"/>
      <c r="AA1483" s="260"/>
      <c r="AB1483" s="260"/>
      <c r="AC1483" s="260"/>
      <c r="AD1483" s="260"/>
      <c r="AE1483" s="260"/>
      <c r="AF1483" s="260"/>
      <c r="AG1483" s="258"/>
    </row>
    <row r="1484" spans="13:33" ht="12" hidden="1" customHeight="1">
      <c r="M1484" s="820"/>
      <c r="N1484" s="239"/>
      <c r="O1484" s="225"/>
      <c r="P1484" s="260"/>
      <c r="Q1484" s="258"/>
      <c r="R1484" s="260"/>
      <c r="S1484" s="260"/>
      <c r="T1484" s="260"/>
      <c r="U1484" s="260"/>
      <c r="V1484" s="260"/>
      <c r="W1484" s="260"/>
      <c r="X1484" s="260"/>
      <c r="Y1484" s="260"/>
      <c r="Z1484" s="260"/>
      <c r="AA1484" s="260"/>
      <c r="AB1484" s="260"/>
      <c r="AC1484" s="260"/>
      <c r="AD1484" s="260"/>
      <c r="AE1484" s="260"/>
      <c r="AF1484" s="260"/>
      <c r="AG1484" s="258"/>
    </row>
    <row r="1485" spans="13:33" ht="12" hidden="1" customHeight="1">
      <c r="M1485" s="820"/>
      <c r="N1485" s="239"/>
      <c r="O1485" s="225"/>
      <c r="P1485" s="260"/>
      <c r="Q1485" s="258"/>
      <c r="R1485" s="260"/>
      <c r="S1485" s="260"/>
      <c r="T1485" s="260"/>
      <c r="U1485" s="260"/>
      <c r="V1485" s="260"/>
      <c r="W1485" s="260"/>
      <c r="X1485" s="260"/>
      <c r="Y1485" s="260"/>
      <c r="Z1485" s="260"/>
      <c r="AA1485" s="260"/>
      <c r="AB1485" s="260"/>
      <c r="AC1485" s="260"/>
      <c r="AD1485" s="260"/>
      <c r="AE1485" s="260"/>
      <c r="AF1485" s="260"/>
      <c r="AG1485" s="258"/>
    </row>
    <row r="1486" spans="13:33" ht="12" hidden="1" customHeight="1">
      <c r="M1486" s="820"/>
      <c r="N1486" s="239"/>
      <c r="O1486" s="225"/>
      <c r="P1486" s="260"/>
      <c r="Q1486" s="258"/>
      <c r="R1486" s="260"/>
      <c r="S1486" s="260"/>
      <c r="T1486" s="260"/>
      <c r="U1486" s="260"/>
      <c r="V1486" s="260"/>
      <c r="W1486" s="260"/>
      <c r="X1486" s="260"/>
      <c r="Y1486" s="260"/>
      <c r="Z1486" s="260"/>
      <c r="AA1486" s="260"/>
      <c r="AB1486" s="260"/>
      <c r="AC1486" s="260"/>
      <c r="AD1486" s="260"/>
      <c r="AE1486" s="260"/>
      <c r="AF1486" s="260"/>
      <c r="AG1486" s="258"/>
    </row>
    <row r="1487" spans="13:33" ht="12" hidden="1" customHeight="1">
      <c r="M1487" s="820"/>
      <c r="N1487" s="239"/>
      <c r="O1487" s="225"/>
      <c r="P1487" s="260"/>
      <c r="Q1487" s="258"/>
      <c r="R1487" s="260"/>
      <c r="S1487" s="260"/>
      <c r="T1487" s="260"/>
      <c r="U1487" s="260"/>
      <c r="V1487" s="260"/>
      <c r="W1487" s="260"/>
      <c r="X1487" s="260"/>
      <c r="Y1487" s="260"/>
      <c r="Z1487" s="260"/>
      <c r="AA1487" s="260"/>
      <c r="AB1487" s="260"/>
      <c r="AC1487" s="260"/>
      <c r="AD1487" s="260"/>
      <c r="AE1487" s="260"/>
      <c r="AF1487" s="260"/>
      <c r="AG1487" s="258"/>
    </row>
    <row r="1488" spans="13:33" ht="12" hidden="1" customHeight="1">
      <c r="M1488" s="820"/>
      <c r="N1488" s="239"/>
      <c r="O1488" s="225"/>
      <c r="P1488" s="260"/>
      <c r="Q1488" s="258"/>
      <c r="R1488" s="260"/>
      <c r="S1488" s="260"/>
      <c r="T1488" s="260"/>
      <c r="U1488" s="260"/>
      <c r="V1488" s="260"/>
      <c r="W1488" s="260"/>
      <c r="X1488" s="260"/>
      <c r="Y1488" s="260"/>
      <c r="Z1488" s="260"/>
      <c r="AA1488" s="260"/>
      <c r="AB1488" s="260"/>
      <c r="AC1488" s="260"/>
      <c r="AD1488" s="260"/>
      <c r="AE1488" s="260"/>
      <c r="AF1488" s="260"/>
      <c r="AG1488" s="258"/>
    </row>
    <row r="1489" spans="13:33" ht="12" hidden="1" customHeight="1">
      <c r="M1489" s="820"/>
      <c r="N1489" s="239"/>
      <c r="O1489" s="225"/>
      <c r="P1489" s="260"/>
      <c r="Q1489" s="258"/>
      <c r="R1489" s="260"/>
      <c r="S1489" s="260"/>
      <c r="T1489" s="260"/>
      <c r="U1489" s="260"/>
      <c r="V1489" s="260"/>
      <c r="W1489" s="260"/>
      <c r="X1489" s="260"/>
      <c r="Y1489" s="260"/>
      <c r="Z1489" s="260"/>
      <c r="AA1489" s="260"/>
      <c r="AB1489" s="260"/>
      <c r="AC1489" s="260"/>
      <c r="AD1489" s="260"/>
      <c r="AE1489" s="260"/>
      <c r="AF1489" s="260"/>
      <c r="AG1489" s="258"/>
    </row>
    <row r="1490" spans="13:33" ht="12" hidden="1" customHeight="1">
      <c r="M1490" s="820"/>
      <c r="N1490" s="239"/>
      <c r="O1490" s="225"/>
      <c r="P1490" s="260"/>
      <c r="Q1490" s="258"/>
      <c r="R1490" s="260"/>
      <c r="S1490" s="260"/>
      <c r="T1490" s="260"/>
      <c r="U1490" s="260"/>
      <c r="V1490" s="260"/>
      <c r="W1490" s="260"/>
      <c r="X1490" s="260"/>
      <c r="Y1490" s="260"/>
      <c r="Z1490" s="260"/>
      <c r="AA1490" s="260"/>
      <c r="AB1490" s="260"/>
      <c r="AC1490" s="260"/>
      <c r="AD1490" s="260"/>
      <c r="AE1490" s="260"/>
      <c r="AF1490" s="260"/>
      <c r="AG1490" s="258"/>
    </row>
    <row r="1491" spans="13:33" ht="12" hidden="1" customHeight="1">
      <c r="M1491" s="820"/>
      <c r="N1491" s="239"/>
      <c r="O1491" s="225"/>
      <c r="P1491" s="260"/>
      <c r="Q1491" s="258"/>
      <c r="R1491" s="260"/>
      <c r="S1491" s="260"/>
      <c r="T1491" s="260"/>
      <c r="U1491" s="260"/>
      <c r="V1491" s="260"/>
      <c r="W1491" s="260"/>
      <c r="X1491" s="260"/>
      <c r="Y1491" s="260"/>
      <c r="Z1491" s="260"/>
      <c r="AA1491" s="260"/>
      <c r="AB1491" s="260"/>
      <c r="AC1491" s="260"/>
      <c r="AD1491" s="260"/>
      <c r="AE1491" s="260"/>
      <c r="AF1491" s="260"/>
      <c r="AG1491" s="258"/>
    </row>
    <row r="1492" spans="13:33" ht="12" hidden="1" customHeight="1">
      <c r="M1492" s="820"/>
      <c r="N1492" s="239"/>
      <c r="O1492" s="225"/>
      <c r="P1492" s="260"/>
      <c r="Q1492" s="258"/>
      <c r="R1492" s="260"/>
      <c r="S1492" s="260"/>
      <c r="T1492" s="260"/>
      <c r="U1492" s="260"/>
      <c r="V1492" s="260"/>
      <c r="W1492" s="260"/>
      <c r="X1492" s="260"/>
      <c r="Y1492" s="260"/>
      <c r="Z1492" s="260"/>
      <c r="AA1492" s="260"/>
      <c r="AB1492" s="260"/>
      <c r="AC1492" s="260"/>
      <c r="AD1492" s="260"/>
      <c r="AE1492" s="260"/>
      <c r="AF1492" s="260"/>
      <c r="AG1492" s="258"/>
    </row>
    <row r="1493" spans="13:33" ht="12" hidden="1" customHeight="1">
      <c r="M1493" s="820"/>
      <c r="N1493" s="239"/>
      <c r="O1493" s="225"/>
      <c r="P1493" s="260"/>
      <c r="Q1493" s="258"/>
      <c r="R1493" s="260"/>
      <c r="S1493" s="260"/>
      <c r="T1493" s="260"/>
      <c r="U1493" s="260"/>
      <c r="V1493" s="260"/>
      <c r="W1493" s="260"/>
      <c r="X1493" s="260"/>
      <c r="Y1493" s="260"/>
      <c r="Z1493" s="260"/>
      <c r="AA1493" s="260"/>
      <c r="AB1493" s="260"/>
      <c r="AC1493" s="260"/>
      <c r="AD1493" s="260"/>
      <c r="AE1493" s="260"/>
      <c r="AF1493" s="260"/>
      <c r="AG1493" s="258"/>
    </row>
    <row r="1494" spans="13:33" ht="12" hidden="1" customHeight="1">
      <c r="M1494" s="820"/>
      <c r="N1494" s="239"/>
      <c r="O1494" s="225"/>
      <c r="P1494" s="260"/>
      <c r="Q1494" s="258"/>
      <c r="R1494" s="260"/>
      <c r="S1494" s="260"/>
      <c r="T1494" s="260"/>
      <c r="U1494" s="260"/>
      <c r="V1494" s="260"/>
      <c r="W1494" s="260"/>
      <c r="X1494" s="260"/>
      <c r="Y1494" s="260"/>
      <c r="Z1494" s="260"/>
      <c r="AA1494" s="260"/>
      <c r="AB1494" s="260"/>
      <c r="AC1494" s="260"/>
      <c r="AD1494" s="260"/>
      <c r="AE1494" s="260"/>
      <c r="AF1494" s="260"/>
      <c r="AG1494" s="258"/>
    </row>
    <row r="1495" spans="13:33" ht="12" hidden="1" customHeight="1">
      <c r="M1495" s="820"/>
      <c r="N1495" s="239"/>
      <c r="O1495" s="225"/>
      <c r="P1495" s="260"/>
      <c r="Q1495" s="258"/>
      <c r="R1495" s="260"/>
      <c r="S1495" s="260"/>
      <c r="T1495" s="260"/>
      <c r="U1495" s="260"/>
      <c r="V1495" s="260"/>
      <c r="W1495" s="260"/>
      <c r="X1495" s="260"/>
      <c r="Y1495" s="260"/>
      <c r="Z1495" s="260"/>
      <c r="AA1495" s="260"/>
      <c r="AB1495" s="260"/>
      <c r="AC1495" s="260"/>
      <c r="AD1495" s="260"/>
      <c r="AE1495" s="260"/>
      <c r="AF1495" s="260"/>
      <c r="AG1495" s="258"/>
    </row>
    <row r="1496" spans="13:33" ht="12" hidden="1" customHeight="1">
      <c r="M1496" s="820"/>
      <c r="N1496" s="239"/>
      <c r="O1496" s="225"/>
      <c r="P1496" s="260"/>
      <c r="Q1496" s="258"/>
      <c r="R1496" s="260"/>
      <c r="S1496" s="260"/>
      <c r="T1496" s="260"/>
      <c r="U1496" s="260"/>
      <c r="V1496" s="260"/>
      <c r="W1496" s="260"/>
      <c r="X1496" s="260"/>
      <c r="Y1496" s="260"/>
      <c r="Z1496" s="260"/>
      <c r="AA1496" s="260"/>
      <c r="AB1496" s="260"/>
      <c r="AC1496" s="260"/>
      <c r="AD1496" s="260"/>
      <c r="AE1496" s="260"/>
      <c r="AF1496" s="260"/>
      <c r="AG1496" s="258"/>
    </row>
    <row r="1497" spans="13:33" ht="12" hidden="1" customHeight="1">
      <c r="M1497" s="820"/>
      <c r="N1497" s="239"/>
      <c r="O1497" s="225"/>
      <c r="P1497" s="260"/>
      <c r="Q1497" s="258"/>
      <c r="R1497" s="260"/>
      <c r="S1497" s="260"/>
      <c r="T1497" s="260"/>
      <c r="U1497" s="260"/>
      <c r="V1497" s="260"/>
      <c r="W1497" s="260"/>
      <c r="X1497" s="260"/>
      <c r="Y1497" s="260"/>
      <c r="Z1497" s="260"/>
      <c r="AA1497" s="260"/>
      <c r="AB1497" s="260"/>
      <c r="AC1497" s="260"/>
      <c r="AD1497" s="260"/>
      <c r="AE1497" s="260"/>
      <c r="AF1497" s="260"/>
      <c r="AG1497" s="258"/>
    </row>
    <row r="1498" spans="13:33" ht="12" hidden="1" customHeight="1">
      <c r="M1498" s="820"/>
      <c r="N1498" s="239"/>
      <c r="O1498" s="225"/>
      <c r="P1498" s="260"/>
      <c r="Q1498" s="258"/>
      <c r="R1498" s="260"/>
      <c r="S1498" s="260"/>
      <c r="T1498" s="260"/>
      <c r="U1498" s="260"/>
      <c r="V1498" s="260"/>
      <c r="W1498" s="260"/>
      <c r="X1498" s="260"/>
      <c r="Y1498" s="260"/>
      <c r="Z1498" s="260"/>
      <c r="AA1498" s="260"/>
      <c r="AB1498" s="260"/>
      <c r="AC1498" s="260"/>
      <c r="AD1498" s="260"/>
      <c r="AE1498" s="260"/>
      <c r="AF1498" s="260"/>
      <c r="AG1498" s="258"/>
    </row>
    <row r="1499" spans="13:33" ht="12" hidden="1" customHeight="1">
      <c r="M1499" s="820"/>
      <c r="N1499" s="239"/>
      <c r="O1499" s="225"/>
      <c r="P1499" s="260"/>
      <c r="Q1499" s="258"/>
      <c r="R1499" s="260"/>
      <c r="S1499" s="260"/>
      <c r="T1499" s="260"/>
      <c r="U1499" s="260"/>
      <c r="V1499" s="260"/>
      <c r="W1499" s="260"/>
      <c r="X1499" s="260"/>
      <c r="Y1499" s="260"/>
      <c r="Z1499" s="260"/>
      <c r="AA1499" s="260"/>
      <c r="AB1499" s="260"/>
      <c r="AC1499" s="260"/>
      <c r="AD1499" s="260"/>
      <c r="AE1499" s="260"/>
      <c r="AF1499" s="260"/>
      <c r="AG1499" s="258"/>
    </row>
    <row r="1500" spans="13:33" ht="12" hidden="1" customHeight="1">
      <c r="M1500" s="820"/>
      <c r="N1500" s="239"/>
      <c r="O1500" s="225"/>
      <c r="P1500" s="260"/>
      <c r="Q1500" s="258"/>
      <c r="R1500" s="260"/>
      <c r="S1500" s="260"/>
      <c r="T1500" s="260"/>
      <c r="U1500" s="260"/>
      <c r="V1500" s="260"/>
      <c r="W1500" s="260"/>
      <c r="X1500" s="260"/>
      <c r="Y1500" s="260"/>
      <c r="Z1500" s="260"/>
      <c r="AA1500" s="260"/>
      <c r="AB1500" s="260"/>
      <c r="AC1500" s="260"/>
      <c r="AD1500" s="260"/>
      <c r="AE1500" s="260"/>
      <c r="AF1500" s="260"/>
      <c r="AG1500" s="258"/>
    </row>
    <row r="1501" spans="13:33" ht="12" hidden="1" customHeight="1">
      <c r="M1501" s="820"/>
      <c r="N1501" s="239"/>
      <c r="O1501" s="225"/>
      <c r="P1501" s="260"/>
      <c r="Q1501" s="258"/>
      <c r="R1501" s="260"/>
      <c r="S1501" s="260"/>
      <c r="T1501" s="260"/>
      <c r="U1501" s="260"/>
      <c r="V1501" s="260"/>
      <c r="W1501" s="260"/>
      <c r="X1501" s="260"/>
      <c r="Y1501" s="260"/>
      <c r="Z1501" s="260"/>
      <c r="AA1501" s="260"/>
      <c r="AB1501" s="260"/>
      <c r="AC1501" s="260"/>
      <c r="AD1501" s="260"/>
      <c r="AE1501" s="260"/>
      <c r="AF1501" s="260"/>
      <c r="AG1501" s="258"/>
    </row>
    <row r="1502" spans="13:33" ht="12" hidden="1" customHeight="1">
      <c r="M1502" s="820"/>
      <c r="N1502" s="239"/>
      <c r="O1502" s="225"/>
      <c r="P1502" s="260"/>
      <c r="Q1502" s="258"/>
      <c r="R1502" s="260"/>
      <c r="S1502" s="260"/>
      <c r="T1502" s="260"/>
      <c r="U1502" s="260"/>
      <c r="V1502" s="260"/>
      <c r="W1502" s="260"/>
      <c r="X1502" s="260"/>
      <c r="Y1502" s="260"/>
      <c r="Z1502" s="260"/>
      <c r="AA1502" s="260"/>
      <c r="AB1502" s="260"/>
      <c r="AC1502" s="260"/>
      <c r="AD1502" s="260"/>
      <c r="AE1502" s="260"/>
      <c r="AF1502" s="260"/>
      <c r="AG1502" s="258"/>
    </row>
    <row r="1503" spans="13:33" ht="12" hidden="1" customHeight="1">
      <c r="M1503" s="820"/>
      <c r="N1503" s="239"/>
      <c r="O1503" s="225"/>
      <c r="P1503" s="260"/>
      <c r="Q1503" s="258"/>
      <c r="R1503" s="260"/>
      <c r="S1503" s="260"/>
      <c r="T1503" s="260"/>
      <c r="U1503" s="260"/>
      <c r="V1503" s="260"/>
      <c r="W1503" s="260"/>
      <c r="X1503" s="260"/>
      <c r="Y1503" s="260"/>
      <c r="Z1503" s="260"/>
      <c r="AA1503" s="260"/>
      <c r="AB1503" s="260"/>
      <c r="AC1503" s="260"/>
      <c r="AD1503" s="260"/>
      <c r="AE1503" s="260"/>
      <c r="AF1503" s="260"/>
      <c r="AG1503" s="258"/>
    </row>
    <row r="1504" spans="13:33" ht="12" hidden="1" customHeight="1">
      <c r="M1504" s="820"/>
      <c r="N1504" s="239"/>
      <c r="O1504" s="225"/>
      <c r="P1504" s="260"/>
      <c r="Q1504" s="258"/>
      <c r="R1504" s="260"/>
      <c r="S1504" s="260"/>
      <c r="T1504" s="260"/>
      <c r="U1504" s="260"/>
      <c r="V1504" s="260"/>
      <c r="W1504" s="260"/>
      <c r="X1504" s="260"/>
      <c r="Y1504" s="260"/>
      <c r="Z1504" s="260"/>
      <c r="AA1504" s="260"/>
      <c r="AB1504" s="260"/>
      <c r="AC1504" s="260"/>
      <c r="AD1504" s="260"/>
      <c r="AE1504" s="260"/>
      <c r="AF1504" s="260"/>
      <c r="AG1504" s="258"/>
    </row>
    <row r="1505" spans="13:33" ht="12" hidden="1" customHeight="1">
      <c r="M1505" s="820"/>
      <c r="N1505" s="239"/>
      <c r="O1505" s="225"/>
      <c r="P1505" s="260"/>
      <c r="Q1505" s="258"/>
      <c r="R1505" s="260"/>
      <c r="S1505" s="260"/>
      <c r="T1505" s="260"/>
      <c r="U1505" s="260"/>
      <c r="V1505" s="260"/>
      <c r="W1505" s="260"/>
      <c r="X1505" s="260"/>
      <c r="Y1505" s="260"/>
      <c r="Z1505" s="260"/>
      <c r="AA1505" s="260"/>
      <c r="AB1505" s="260"/>
      <c r="AC1505" s="260"/>
      <c r="AD1505" s="260"/>
      <c r="AE1505" s="260"/>
      <c r="AF1505" s="260"/>
      <c r="AG1505" s="258"/>
    </row>
    <row r="1506" spans="13:33" ht="12" hidden="1" customHeight="1">
      <c r="M1506" s="820"/>
      <c r="N1506" s="239"/>
      <c r="O1506" s="225"/>
      <c r="P1506" s="260"/>
      <c r="Q1506" s="258"/>
      <c r="R1506" s="260"/>
      <c r="S1506" s="260"/>
      <c r="T1506" s="260"/>
      <c r="U1506" s="260"/>
      <c r="V1506" s="260"/>
      <c r="W1506" s="260"/>
      <c r="X1506" s="260"/>
      <c r="Y1506" s="260"/>
      <c r="Z1506" s="260"/>
      <c r="AA1506" s="260"/>
      <c r="AB1506" s="260"/>
      <c r="AC1506" s="260"/>
      <c r="AD1506" s="260"/>
      <c r="AE1506" s="260"/>
      <c r="AF1506" s="260"/>
      <c r="AG1506" s="258"/>
    </row>
    <row r="1507" spans="13:33" ht="12" hidden="1" customHeight="1">
      <c r="M1507" s="820"/>
      <c r="N1507" s="239"/>
      <c r="O1507" s="225"/>
      <c r="P1507" s="260"/>
      <c r="Q1507" s="258"/>
      <c r="R1507" s="260"/>
      <c r="S1507" s="260"/>
      <c r="T1507" s="260"/>
      <c r="U1507" s="260"/>
      <c r="V1507" s="260"/>
      <c r="W1507" s="260"/>
      <c r="X1507" s="260"/>
      <c r="Y1507" s="260"/>
      <c r="Z1507" s="260"/>
      <c r="AA1507" s="260"/>
      <c r="AB1507" s="260"/>
      <c r="AC1507" s="260"/>
      <c r="AD1507" s="260"/>
      <c r="AE1507" s="260"/>
      <c r="AF1507" s="260"/>
      <c r="AG1507" s="258"/>
    </row>
    <row r="1508" spans="13:33" ht="12" hidden="1" customHeight="1">
      <c r="M1508" s="820"/>
      <c r="N1508" s="239"/>
      <c r="O1508" s="225"/>
      <c r="P1508" s="260"/>
      <c r="Q1508" s="258"/>
      <c r="R1508" s="260"/>
      <c r="S1508" s="260"/>
      <c r="T1508" s="260"/>
      <c r="U1508" s="260"/>
      <c r="V1508" s="260"/>
      <c r="W1508" s="260"/>
      <c r="X1508" s="260"/>
      <c r="Y1508" s="260"/>
      <c r="Z1508" s="260"/>
      <c r="AA1508" s="260"/>
      <c r="AB1508" s="260"/>
      <c r="AC1508" s="260"/>
      <c r="AD1508" s="260"/>
      <c r="AE1508" s="260"/>
      <c r="AF1508" s="260"/>
      <c r="AG1508" s="258"/>
    </row>
    <row r="1509" spans="13:33" ht="12" hidden="1" customHeight="1">
      <c r="M1509" s="820"/>
      <c r="N1509" s="239"/>
      <c r="O1509" s="225"/>
      <c r="P1509" s="260"/>
      <c r="Q1509" s="258"/>
      <c r="R1509" s="260"/>
      <c r="S1509" s="260"/>
      <c r="T1509" s="260"/>
      <c r="U1509" s="260"/>
      <c r="V1509" s="260"/>
      <c r="W1509" s="260"/>
      <c r="X1509" s="260"/>
      <c r="Y1509" s="260"/>
      <c r="Z1509" s="260"/>
      <c r="AA1509" s="260"/>
      <c r="AB1509" s="260"/>
      <c r="AC1509" s="260"/>
      <c r="AD1509" s="260"/>
      <c r="AE1509" s="260"/>
      <c r="AF1509" s="260"/>
      <c r="AG1509" s="258"/>
    </row>
    <row r="1510" spans="13:33" ht="12" hidden="1" customHeight="1">
      <c r="M1510" s="820"/>
      <c r="N1510" s="239"/>
      <c r="O1510" s="225"/>
      <c r="P1510" s="260"/>
      <c r="Q1510" s="258"/>
      <c r="R1510" s="260"/>
      <c r="S1510" s="260"/>
      <c r="T1510" s="260"/>
      <c r="U1510" s="260"/>
      <c r="V1510" s="260"/>
      <c r="W1510" s="260"/>
      <c r="X1510" s="260"/>
      <c r="Y1510" s="260"/>
      <c r="Z1510" s="260"/>
      <c r="AA1510" s="260"/>
      <c r="AB1510" s="260"/>
      <c r="AC1510" s="260"/>
      <c r="AD1510" s="260"/>
      <c r="AE1510" s="260"/>
      <c r="AF1510" s="260"/>
      <c r="AG1510" s="258"/>
    </row>
    <row r="1511" spans="13:33" ht="12" hidden="1" customHeight="1">
      <c r="M1511" s="820"/>
      <c r="N1511" s="239"/>
      <c r="O1511" s="225"/>
      <c r="P1511" s="260"/>
      <c r="Q1511" s="258"/>
      <c r="R1511" s="260"/>
      <c r="S1511" s="260"/>
      <c r="T1511" s="260"/>
      <c r="U1511" s="260"/>
      <c r="V1511" s="260"/>
      <c r="W1511" s="260"/>
      <c r="X1511" s="260"/>
      <c r="Y1511" s="260"/>
      <c r="Z1511" s="260"/>
      <c r="AA1511" s="260"/>
      <c r="AB1511" s="260"/>
      <c r="AC1511" s="260"/>
      <c r="AD1511" s="260"/>
      <c r="AE1511" s="260"/>
      <c r="AF1511" s="260"/>
      <c r="AG1511" s="258"/>
    </row>
    <row r="1512" spans="13:33" ht="12" hidden="1" customHeight="1">
      <c r="M1512" s="820"/>
      <c r="N1512" s="239"/>
      <c r="O1512" s="225"/>
      <c r="P1512" s="260"/>
      <c r="Q1512" s="258"/>
      <c r="R1512" s="260"/>
      <c r="S1512" s="260"/>
      <c r="T1512" s="260"/>
      <c r="U1512" s="260"/>
      <c r="V1512" s="260"/>
      <c r="W1512" s="260"/>
      <c r="X1512" s="260"/>
      <c r="Y1512" s="260"/>
      <c r="Z1512" s="260"/>
      <c r="AA1512" s="260"/>
      <c r="AB1512" s="260"/>
      <c r="AC1512" s="260"/>
      <c r="AD1512" s="260"/>
      <c r="AE1512" s="260"/>
      <c r="AF1512" s="260"/>
      <c r="AG1512" s="258"/>
    </row>
    <row r="1513" spans="13:33" ht="12" hidden="1" customHeight="1">
      <c r="M1513" s="820"/>
      <c r="N1513" s="239"/>
      <c r="O1513" s="225"/>
      <c r="P1513" s="260"/>
      <c r="Q1513" s="258"/>
      <c r="R1513" s="260"/>
      <c r="S1513" s="260"/>
      <c r="T1513" s="260"/>
      <c r="U1513" s="260"/>
      <c r="V1513" s="260"/>
      <c r="W1513" s="260"/>
      <c r="X1513" s="260"/>
      <c r="Y1513" s="260"/>
      <c r="Z1513" s="260"/>
      <c r="AA1513" s="260"/>
      <c r="AB1513" s="260"/>
      <c r="AC1513" s="260"/>
      <c r="AD1513" s="260"/>
      <c r="AE1513" s="260"/>
      <c r="AF1513" s="260"/>
      <c r="AG1513" s="258"/>
    </row>
    <row r="1514" spans="13:33" ht="12" hidden="1" customHeight="1">
      <c r="M1514" s="820"/>
      <c r="N1514" s="239"/>
      <c r="O1514" s="225"/>
      <c r="P1514" s="260"/>
      <c r="Q1514" s="258"/>
      <c r="R1514" s="260"/>
      <c r="S1514" s="260"/>
      <c r="T1514" s="260"/>
      <c r="U1514" s="260"/>
      <c r="V1514" s="260"/>
      <c r="W1514" s="260"/>
      <c r="X1514" s="260"/>
      <c r="Y1514" s="260"/>
      <c r="Z1514" s="260"/>
      <c r="AA1514" s="260"/>
      <c r="AB1514" s="260"/>
      <c r="AC1514" s="260"/>
      <c r="AD1514" s="260"/>
      <c r="AE1514" s="260"/>
      <c r="AF1514" s="260"/>
      <c r="AG1514" s="258"/>
    </row>
    <row r="1515" spans="13:33" ht="12" hidden="1" customHeight="1">
      <c r="M1515" s="820"/>
      <c r="N1515" s="239"/>
      <c r="O1515" s="225"/>
      <c r="P1515" s="260"/>
      <c r="Q1515" s="258"/>
      <c r="R1515" s="260"/>
      <c r="S1515" s="260"/>
      <c r="T1515" s="260"/>
      <c r="U1515" s="260"/>
      <c r="V1515" s="260"/>
      <c r="W1515" s="260"/>
      <c r="X1515" s="260"/>
      <c r="Y1515" s="260"/>
      <c r="Z1515" s="260"/>
      <c r="AA1515" s="260"/>
      <c r="AB1515" s="260"/>
      <c r="AC1515" s="260"/>
      <c r="AD1515" s="260"/>
      <c r="AE1515" s="260"/>
      <c r="AF1515" s="260"/>
      <c r="AG1515" s="258"/>
    </row>
    <row r="1516" spans="13:33" ht="12" hidden="1" customHeight="1">
      <c r="M1516" s="820"/>
      <c r="N1516" s="239"/>
      <c r="O1516" s="225"/>
      <c r="P1516" s="260"/>
      <c r="Q1516" s="258"/>
      <c r="R1516" s="260"/>
      <c r="S1516" s="260"/>
      <c r="T1516" s="260"/>
      <c r="U1516" s="260"/>
      <c r="V1516" s="260"/>
      <c r="W1516" s="260"/>
      <c r="X1516" s="260"/>
      <c r="Y1516" s="260"/>
      <c r="Z1516" s="260"/>
      <c r="AA1516" s="260"/>
      <c r="AB1516" s="260"/>
      <c r="AC1516" s="260"/>
      <c r="AD1516" s="260"/>
      <c r="AE1516" s="260"/>
      <c r="AF1516" s="260"/>
      <c r="AG1516" s="258"/>
    </row>
    <row r="1517" spans="13:33" ht="12" hidden="1" customHeight="1">
      <c r="M1517" s="820"/>
      <c r="N1517" s="239"/>
      <c r="O1517" s="225"/>
      <c r="P1517" s="260"/>
      <c r="Q1517" s="258"/>
      <c r="R1517" s="260"/>
      <c r="S1517" s="260"/>
      <c r="T1517" s="260"/>
      <c r="U1517" s="260"/>
      <c r="V1517" s="260"/>
      <c r="W1517" s="260"/>
      <c r="X1517" s="260"/>
      <c r="Y1517" s="260"/>
      <c r="Z1517" s="260"/>
      <c r="AA1517" s="260"/>
      <c r="AB1517" s="260"/>
      <c r="AC1517" s="260"/>
      <c r="AD1517" s="260"/>
      <c r="AE1517" s="260"/>
      <c r="AF1517" s="260"/>
      <c r="AG1517" s="258"/>
    </row>
    <row r="1518" spans="13:33" ht="12" hidden="1" customHeight="1">
      <c r="M1518" s="820"/>
      <c r="N1518" s="239"/>
      <c r="O1518" s="225"/>
      <c r="P1518" s="260"/>
      <c r="Q1518" s="258"/>
      <c r="R1518" s="260"/>
      <c r="S1518" s="260"/>
      <c r="T1518" s="260"/>
      <c r="U1518" s="260"/>
      <c r="V1518" s="260"/>
      <c r="W1518" s="260"/>
      <c r="X1518" s="260"/>
      <c r="Y1518" s="260"/>
      <c r="Z1518" s="260"/>
      <c r="AA1518" s="260"/>
      <c r="AB1518" s="260"/>
      <c r="AC1518" s="260"/>
      <c r="AD1518" s="260"/>
      <c r="AE1518" s="260"/>
      <c r="AF1518" s="260"/>
      <c r="AG1518" s="258"/>
    </row>
    <row r="1519" spans="13:33" ht="12" hidden="1" customHeight="1">
      <c r="M1519" s="820"/>
      <c r="N1519" s="239"/>
      <c r="O1519" s="225"/>
      <c r="P1519" s="260"/>
      <c r="Q1519" s="258"/>
      <c r="R1519" s="260"/>
      <c r="S1519" s="260"/>
      <c r="T1519" s="260"/>
      <c r="U1519" s="260"/>
      <c r="V1519" s="260"/>
      <c r="W1519" s="260"/>
      <c r="X1519" s="260"/>
      <c r="Y1519" s="260"/>
      <c r="Z1519" s="260"/>
      <c r="AA1519" s="260"/>
      <c r="AB1519" s="260"/>
      <c r="AC1519" s="260"/>
      <c r="AD1519" s="260"/>
      <c r="AE1519" s="260"/>
      <c r="AF1519" s="260"/>
      <c r="AG1519" s="258"/>
    </row>
    <row r="1520" spans="13:33" ht="12" hidden="1" customHeight="1">
      <c r="M1520" s="820"/>
      <c r="N1520" s="239"/>
      <c r="O1520" s="225"/>
      <c r="P1520" s="260"/>
      <c r="Q1520" s="258"/>
      <c r="R1520" s="260"/>
      <c r="S1520" s="260"/>
      <c r="T1520" s="260"/>
      <c r="U1520" s="260"/>
      <c r="V1520" s="260"/>
      <c r="W1520" s="260"/>
      <c r="X1520" s="260"/>
      <c r="Y1520" s="260"/>
      <c r="Z1520" s="260"/>
      <c r="AA1520" s="260"/>
      <c r="AB1520" s="260"/>
      <c r="AC1520" s="260"/>
      <c r="AD1520" s="260"/>
      <c r="AE1520" s="260"/>
      <c r="AF1520" s="260"/>
      <c r="AG1520" s="258"/>
    </row>
    <row r="1521" spans="13:33" ht="12" hidden="1" customHeight="1">
      <c r="M1521" s="820"/>
      <c r="N1521" s="239"/>
      <c r="O1521" s="225"/>
      <c r="P1521" s="260"/>
      <c r="Q1521" s="258"/>
      <c r="R1521" s="260"/>
      <c r="S1521" s="260"/>
      <c r="T1521" s="260"/>
      <c r="U1521" s="260"/>
      <c r="V1521" s="260"/>
      <c r="W1521" s="260"/>
      <c r="X1521" s="260"/>
      <c r="Y1521" s="260"/>
      <c r="Z1521" s="260"/>
      <c r="AA1521" s="260"/>
      <c r="AB1521" s="260"/>
      <c r="AC1521" s="260"/>
      <c r="AD1521" s="260"/>
      <c r="AE1521" s="260"/>
      <c r="AF1521" s="260"/>
      <c r="AG1521" s="258"/>
    </row>
    <row r="1522" spans="13:33" ht="12" hidden="1" customHeight="1">
      <c r="M1522" s="820"/>
      <c r="N1522" s="239"/>
      <c r="O1522" s="225"/>
      <c r="P1522" s="260"/>
      <c r="Q1522" s="258"/>
      <c r="R1522" s="260"/>
      <c r="S1522" s="260"/>
      <c r="T1522" s="260"/>
      <c r="U1522" s="260"/>
      <c r="V1522" s="260"/>
      <c r="W1522" s="260"/>
      <c r="X1522" s="260"/>
      <c r="Y1522" s="260"/>
      <c r="Z1522" s="260"/>
      <c r="AA1522" s="260"/>
      <c r="AB1522" s="260"/>
      <c r="AC1522" s="260"/>
      <c r="AD1522" s="260"/>
      <c r="AE1522" s="260"/>
      <c r="AF1522" s="260"/>
      <c r="AG1522" s="258"/>
    </row>
    <row r="1523" spans="13:33" ht="12" hidden="1" customHeight="1">
      <c r="M1523" s="820"/>
      <c r="N1523" s="239"/>
      <c r="O1523" s="225"/>
      <c r="P1523" s="260"/>
      <c r="Q1523" s="258"/>
      <c r="R1523" s="260"/>
      <c r="S1523" s="260"/>
      <c r="T1523" s="260"/>
      <c r="U1523" s="260"/>
      <c r="V1523" s="260"/>
      <c r="W1523" s="260"/>
      <c r="X1523" s="260"/>
      <c r="Y1523" s="260"/>
      <c r="Z1523" s="260"/>
      <c r="AA1523" s="260"/>
      <c r="AB1523" s="260"/>
      <c r="AC1523" s="260"/>
      <c r="AD1523" s="260"/>
      <c r="AE1523" s="260"/>
      <c r="AF1523" s="260"/>
      <c r="AG1523" s="258"/>
    </row>
    <row r="1524" spans="13:33" ht="12" hidden="1" customHeight="1">
      <c r="M1524" s="820"/>
      <c r="N1524" s="239"/>
      <c r="O1524" s="225"/>
      <c r="P1524" s="260"/>
      <c r="Q1524" s="258"/>
      <c r="R1524" s="260"/>
      <c r="S1524" s="260"/>
      <c r="T1524" s="260"/>
      <c r="U1524" s="260"/>
      <c r="V1524" s="260"/>
      <c r="W1524" s="260"/>
      <c r="X1524" s="260"/>
      <c r="Y1524" s="260"/>
      <c r="Z1524" s="260"/>
      <c r="AA1524" s="260"/>
      <c r="AB1524" s="260"/>
      <c r="AC1524" s="260"/>
      <c r="AD1524" s="260"/>
      <c r="AE1524" s="260"/>
      <c r="AF1524" s="260"/>
      <c r="AG1524" s="258"/>
    </row>
    <row r="1525" spans="13:33" ht="12" hidden="1" customHeight="1">
      <c r="M1525" s="820"/>
      <c r="N1525" s="239"/>
      <c r="O1525" s="225"/>
      <c r="P1525" s="260"/>
      <c r="Q1525" s="258"/>
      <c r="R1525" s="260"/>
      <c r="S1525" s="260"/>
      <c r="T1525" s="260"/>
      <c r="U1525" s="260"/>
      <c r="V1525" s="260"/>
      <c r="W1525" s="260"/>
      <c r="X1525" s="260"/>
      <c r="Y1525" s="260"/>
      <c r="Z1525" s="260"/>
      <c r="AA1525" s="260"/>
      <c r="AB1525" s="260"/>
      <c r="AC1525" s="260"/>
      <c r="AD1525" s="260"/>
      <c r="AE1525" s="260"/>
      <c r="AF1525" s="260"/>
      <c r="AG1525" s="258"/>
    </row>
    <row r="1526" spans="13:33" ht="12" hidden="1" customHeight="1">
      <c r="M1526" s="820"/>
      <c r="N1526" s="239"/>
      <c r="O1526" s="225"/>
      <c r="P1526" s="260"/>
      <c r="Q1526" s="258"/>
      <c r="R1526" s="260"/>
      <c r="S1526" s="260"/>
      <c r="T1526" s="260"/>
      <c r="U1526" s="260"/>
      <c r="V1526" s="260"/>
      <c r="W1526" s="260"/>
      <c r="X1526" s="260"/>
      <c r="Y1526" s="260"/>
      <c r="Z1526" s="260"/>
      <c r="AA1526" s="260"/>
      <c r="AB1526" s="260"/>
      <c r="AC1526" s="260"/>
      <c r="AD1526" s="260"/>
      <c r="AE1526" s="260"/>
      <c r="AF1526" s="260"/>
      <c r="AG1526" s="258"/>
    </row>
    <row r="1527" spans="13:33" ht="12" hidden="1" customHeight="1">
      <c r="M1527" s="820"/>
      <c r="N1527" s="239"/>
      <c r="O1527" s="225"/>
      <c r="P1527" s="260"/>
      <c r="Q1527" s="258"/>
      <c r="R1527" s="260"/>
      <c r="S1527" s="260"/>
      <c r="T1527" s="260"/>
      <c r="U1527" s="260"/>
      <c r="V1527" s="260"/>
      <c r="W1527" s="260"/>
      <c r="X1527" s="260"/>
      <c r="Y1527" s="260"/>
      <c r="Z1527" s="260"/>
      <c r="AA1527" s="260"/>
      <c r="AB1527" s="260"/>
      <c r="AC1527" s="260"/>
      <c r="AD1527" s="260"/>
      <c r="AE1527" s="260"/>
      <c r="AF1527" s="260"/>
      <c r="AG1527" s="258"/>
    </row>
    <row r="1528" spans="13:33" ht="12" hidden="1" customHeight="1">
      <c r="M1528" s="820"/>
      <c r="N1528" s="239"/>
      <c r="O1528" s="225"/>
      <c r="P1528" s="260"/>
      <c r="Q1528" s="258"/>
      <c r="R1528" s="260"/>
      <c r="S1528" s="260"/>
      <c r="T1528" s="260"/>
      <c r="U1528" s="260"/>
      <c r="V1528" s="260"/>
      <c r="W1528" s="260"/>
      <c r="X1528" s="260"/>
      <c r="Y1528" s="260"/>
      <c r="Z1528" s="260"/>
      <c r="AA1528" s="260"/>
      <c r="AB1528" s="260"/>
      <c r="AC1528" s="260"/>
      <c r="AD1528" s="260"/>
      <c r="AE1528" s="260"/>
      <c r="AF1528" s="260"/>
      <c r="AG1528" s="258"/>
    </row>
    <row r="1529" spans="13:33" ht="12" hidden="1" customHeight="1">
      <c r="M1529" s="820"/>
      <c r="N1529" s="239"/>
      <c r="O1529" s="225"/>
      <c r="P1529" s="260"/>
      <c r="Q1529" s="258"/>
      <c r="R1529" s="260"/>
      <c r="S1529" s="260"/>
      <c r="T1529" s="260"/>
      <c r="U1529" s="260"/>
      <c r="V1529" s="260"/>
      <c r="W1529" s="260"/>
      <c r="X1529" s="260"/>
      <c r="Y1529" s="260"/>
      <c r="Z1529" s="260"/>
      <c r="AA1529" s="260"/>
      <c r="AB1529" s="260"/>
      <c r="AC1529" s="260"/>
      <c r="AD1529" s="260"/>
      <c r="AE1529" s="260"/>
      <c r="AF1529" s="260"/>
      <c r="AG1529" s="258"/>
    </row>
    <row r="1530" spans="13:33" ht="12" hidden="1" customHeight="1">
      <c r="M1530" s="820"/>
      <c r="N1530" s="239"/>
      <c r="O1530" s="225"/>
      <c r="P1530" s="260"/>
      <c r="Q1530" s="258"/>
      <c r="R1530" s="260"/>
      <c r="S1530" s="260"/>
      <c r="T1530" s="260"/>
      <c r="U1530" s="260"/>
      <c r="V1530" s="260"/>
      <c r="W1530" s="260"/>
      <c r="X1530" s="260"/>
      <c r="Y1530" s="260"/>
      <c r="Z1530" s="260"/>
      <c r="AA1530" s="260"/>
      <c r="AB1530" s="260"/>
      <c r="AC1530" s="260"/>
      <c r="AD1530" s="260"/>
      <c r="AE1530" s="260"/>
      <c r="AF1530" s="260"/>
      <c r="AG1530" s="258"/>
    </row>
    <row r="1531" spans="13:33" ht="12" hidden="1" customHeight="1">
      <c r="M1531" s="820"/>
      <c r="N1531" s="239"/>
      <c r="O1531" s="225"/>
      <c r="P1531" s="260"/>
      <c r="Q1531" s="258"/>
      <c r="R1531" s="260"/>
      <c r="S1531" s="260"/>
      <c r="T1531" s="260"/>
      <c r="U1531" s="260"/>
      <c r="V1531" s="260"/>
      <c r="W1531" s="260"/>
      <c r="X1531" s="260"/>
      <c r="Y1531" s="260"/>
      <c r="Z1531" s="260"/>
      <c r="AA1531" s="260"/>
      <c r="AB1531" s="260"/>
      <c r="AC1531" s="260"/>
      <c r="AD1531" s="260"/>
      <c r="AE1531" s="260"/>
      <c r="AF1531" s="260"/>
      <c r="AG1531" s="258"/>
    </row>
    <row r="1532" spans="13:33" ht="12" hidden="1" customHeight="1">
      <c r="M1532" s="820"/>
      <c r="N1532" s="239"/>
      <c r="O1532" s="225"/>
      <c r="P1532" s="260"/>
      <c r="Q1532" s="258"/>
      <c r="R1532" s="260"/>
      <c r="S1532" s="260"/>
      <c r="T1532" s="260"/>
      <c r="U1532" s="260"/>
      <c r="V1532" s="260"/>
      <c r="W1532" s="260"/>
      <c r="X1532" s="260"/>
      <c r="Y1532" s="260"/>
      <c r="Z1532" s="260"/>
      <c r="AA1532" s="260"/>
      <c r="AB1532" s="260"/>
      <c r="AC1532" s="260"/>
      <c r="AD1532" s="260"/>
      <c r="AE1532" s="260"/>
      <c r="AF1532" s="260"/>
      <c r="AG1532" s="258"/>
    </row>
    <row r="1533" spans="13:33" ht="12" hidden="1" customHeight="1">
      <c r="M1533" s="820"/>
      <c r="N1533" s="239"/>
      <c r="O1533" s="225"/>
      <c r="P1533" s="260"/>
      <c r="Q1533" s="258"/>
      <c r="R1533" s="260"/>
      <c r="S1533" s="260"/>
      <c r="T1533" s="260"/>
      <c r="U1533" s="260"/>
      <c r="V1533" s="260"/>
      <c r="W1533" s="260"/>
      <c r="X1533" s="260"/>
      <c r="Y1533" s="260"/>
      <c r="Z1533" s="260"/>
      <c r="AA1533" s="260"/>
      <c r="AB1533" s="260"/>
      <c r="AC1533" s="260"/>
      <c r="AD1533" s="260"/>
      <c r="AE1533" s="260"/>
      <c r="AF1533" s="260"/>
      <c r="AG1533" s="258"/>
    </row>
    <row r="1534" spans="13:33" ht="12" hidden="1" customHeight="1">
      <c r="M1534" s="820"/>
      <c r="N1534" s="239"/>
      <c r="O1534" s="225"/>
      <c r="P1534" s="260"/>
      <c r="Q1534" s="258"/>
      <c r="R1534" s="260"/>
      <c r="S1534" s="260"/>
      <c r="T1534" s="260"/>
      <c r="U1534" s="260"/>
      <c r="V1534" s="260"/>
      <c r="W1534" s="260"/>
      <c r="X1534" s="260"/>
      <c r="Y1534" s="260"/>
      <c r="Z1534" s="260"/>
      <c r="AA1534" s="260"/>
      <c r="AB1534" s="260"/>
      <c r="AC1534" s="260"/>
      <c r="AD1534" s="260"/>
      <c r="AE1534" s="260"/>
      <c r="AF1534" s="260"/>
      <c r="AG1534" s="258"/>
    </row>
    <row r="1535" spans="13:33" ht="12" hidden="1" customHeight="1">
      <c r="M1535" s="820"/>
      <c r="N1535" s="239"/>
      <c r="O1535" s="225"/>
      <c r="P1535" s="260"/>
      <c r="Q1535" s="258"/>
      <c r="R1535" s="260"/>
      <c r="S1535" s="260"/>
      <c r="T1535" s="260"/>
      <c r="U1535" s="260"/>
      <c r="V1535" s="260"/>
      <c r="W1535" s="260"/>
      <c r="X1535" s="260"/>
      <c r="Y1535" s="260"/>
      <c r="Z1535" s="260"/>
      <c r="AA1535" s="260"/>
      <c r="AB1535" s="260"/>
      <c r="AC1535" s="260"/>
      <c r="AD1535" s="260"/>
      <c r="AE1535" s="260"/>
      <c r="AF1535" s="260"/>
      <c r="AG1535" s="258"/>
    </row>
    <row r="1536" spans="13:33" ht="12" hidden="1" customHeight="1">
      <c r="M1536" s="820"/>
      <c r="N1536" s="239"/>
      <c r="O1536" s="225"/>
      <c r="P1536" s="260"/>
      <c r="Q1536" s="258"/>
      <c r="R1536" s="260"/>
      <c r="S1536" s="260"/>
      <c r="T1536" s="260"/>
      <c r="U1536" s="260"/>
      <c r="V1536" s="260"/>
      <c r="W1536" s="260"/>
      <c r="X1536" s="260"/>
      <c r="Y1536" s="260"/>
      <c r="Z1536" s="260"/>
      <c r="AA1536" s="260"/>
      <c r="AB1536" s="260"/>
      <c r="AC1536" s="260"/>
      <c r="AD1536" s="260"/>
      <c r="AE1536" s="260"/>
      <c r="AF1536" s="260"/>
      <c r="AG1536" s="258"/>
    </row>
    <row r="1537" spans="13:33" ht="12" hidden="1" customHeight="1">
      <c r="M1537" s="820"/>
      <c r="N1537" s="239"/>
      <c r="O1537" s="225"/>
      <c r="P1537" s="260"/>
      <c r="Q1537" s="258"/>
      <c r="R1537" s="260"/>
      <c r="S1537" s="260"/>
      <c r="T1537" s="260"/>
      <c r="U1537" s="260"/>
      <c r="V1537" s="260"/>
      <c r="W1537" s="260"/>
      <c r="X1537" s="260"/>
      <c r="Y1537" s="260"/>
      <c r="Z1537" s="260"/>
      <c r="AA1537" s="260"/>
      <c r="AB1537" s="260"/>
      <c r="AC1537" s="260"/>
      <c r="AD1537" s="260"/>
      <c r="AE1537" s="260"/>
      <c r="AF1537" s="260"/>
      <c r="AG1537" s="258"/>
    </row>
    <row r="1538" spans="13:33" ht="12" hidden="1" customHeight="1">
      <c r="M1538" s="820"/>
      <c r="N1538" s="239"/>
      <c r="O1538" s="225"/>
      <c r="P1538" s="260"/>
      <c r="Q1538" s="258"/>
      <c r="R1538" s="260"/>
      <c r="S1538" s="260"/>
      <c r="T1538" s="260"/>
      <c r="U1538" s="260"/>
      <c r="V1538" s="260"/>
      <c r="W1538" s="260"/>
      <c r="X1538" s="260"/>
      <c r="Y1538" s="260"/>
      <c r="Z1538" s="260"/>
      <c r="AA1538" s="260"/>
      <c r="AB1538" s="260"/>
      <c r="AC1538" s="260"/>
      <c r="AD1538" s="260"/>
      <c r="AE1538" s="260"/>
      <c r="AF1538" s="260"/>
      <c r="AG1538" s="258"/>
    </row>
    <row r="1539" spans="13:33" ht="12" hidden="1" customHeight="1">
      <c r="M1539" s="820"/>
      <c r="N1539" s="239"/>
      <c r="O1539" s="225"/>
      <c r="P1539" s="260"/>
      <c r="Q1539" s="258"/>
      <c r="R1539" s="260"/>
      <c r="S1539" s="260"/>
      <c r="T1539" s="260"/>
      <c r="U1539" s="260"/>
      <c r="V1539" s="260"/>
      <c r="W1539" s="260"/>
      <c r="X1539" s="260"/>
      <c r="Y1539" s="260"/>
      <c r="Z1539" s="260"/>
      <c r="AA1539" s="260"/>
      <c r="AB1539" s="260"/>
      <c r="AC1539" s="260"/>
      <c r="AD1539" s="260"/>
      <c r="AE1539" s="260"/>
      <c r="AF1539" s="260"/>
      <c r="AG1539" s="258"/>
    </row>
    <row r="1540" spans="13:33" ht="12" hidden="1" customHeight="1">
      <c r="M1540" s="820"/>
      <c r="N1540" s="239"/>
      <c r="O1540" s="225"/>
      <c r="P1540" s="260"/>
      <c r="Q1540" s="258"/>
      <c r="R1540" s="260"/>
      <c r="S1540" s="260"/>
      <c r="T1540" s="260"/>
      <c r="U1540" s="260"/>
      <c r="V1540" s="260"/>
      <c r="W1540" s="260"/>
      <c r="X1540" s="260"/>
      <c r="Y1540" s="260"/>
      <c r="Z1540" s="260"/>
      <c r="AA1540" s="260"/>
      <c r="AB1540" s="260"/>
      <c r="AC1540" s="260"/>
      <c r="AD1540" s="260"/>
      <c r="AE1540" s="260"/>
      <c r="AF1540" s="260"/>
      <c r="AG1540" s="258"/>
    </row>
    <row r="1541" spans="13:33" ht="12" hidden="1" customHeight="1">
      <c r="M1541" s="820"/>
      <c r="N1541" s="239"/>
      <c r="O1541" s="225"/>
      <c r="P1541" s="260"/>
      <c r="Q1541" s="258"/>
      <c r="R1541" s="260"/>
      <c r="S1541" s="260"/>
      <c r="T1541" s="260"/>
      <c r="U1541" s="260"/>
      <c r="V1541" s="260"/>
      <c r="W1541" s="260"/>
      <c r="X1541" s="260"/>
      <c r="Y1541" s="260"/>
      <c r="Z1541" s="260"/>
      <c r="AA1541" s="260"/>
      <c r="AB1541" s="260"/>
      <c r="AC1541" s="260"/>
      <c r="AD1541" s="260"/>
      <c r="AE1541" s="260"/>
      <c r="AF1541" s="260"/>
      <c r="AG1541" s="258"/>
    </row>
    <row r="1542" spans="13:33" ht="12" hidden="1" customHeight="1">
      <c r="M1542" s="820"/>
      <c r="N1542" s="239"/>
      <c r="O1542" s="225"/>
      <c r="P1542" s="260"/>
      <c r="Q1542" s="258"/>
      <c r="R1542" s="260"/>
      <c r="S1542" s="260"/>
      <c r="T1542" s="260"/>
      <c r="U1542" s="260"/>
      <c r="V1542" s="260"/>
      <c r="W1542" s="260"/>
      <c r="X1542" s="260"/>
      <c r="Y1542" s="260"/>
      <c r="Z1542" s="260"/>
      <c r="AA1542" s="260"/>
      <c r="AB1542" s="260"/>
      <c r="AC1542" s="260"/>
      <c r="AD1542" s="260"/>
      <c r="AE1542" s="260"/>
      <c r="AF1542" s="260"/>
      <c r="AG1542" s="258"/>
    </row>
    <row r="1543" spans="13:33" ht="12" hidden="1" customHeight="1">
      <c r="M1543" s="820"/>
      <c r="N1543" s="239"/>
      <c r="O1543" s="225"/>
      <c r="P1543" s="260"/>
      <c r="Q1543" s="258"/>
      <c r="R1543" s="260"/>
      <c r="S1543" s="260"/>
      <c r="T1543" s="260"/>
      <c r="U1543" s="260"/>
      <c r="V1543" s="260"/>
      <c r="W1543" s="260"/>
      <c r="X1543" s="260"/>
      <c r="Y1543" s="260"/>
      <c r="Z1543" s="260"/>
      <c r="AA1543" s="260"/>
      <c r="AB1543" s="260"/>
      <c r="AC1543" s="260"/>
      <c r="AD1543" s="260"/>
      <c r="AE1543" s="260"/>
      <c r="AF1543" s="260"/>
      <c r="AG1543" s="258"/>
    </row>
    <row r="1544" spans="13:33" ht="12" hidden="1" customHeight="1">
      <c r="M1544" s="820"/>
      <c r="N1544" s="239"/>
      <c r="O1544" s="225"/>
      <c r="P1544" s="260"/>
      <c r="Q1544" s="258"/>
      <c r="R1544" s="260"/>
      <c r="S1544" s="260"/>
      <c r="T1544" s="260"/>
      <c r="U1544" s="260"/>
      <c r="V1544" s="260"/>
      <c r="W1544" s="260"/>
      <c r="X1544" s="260"/>
      <c r="Y1544" s="260"/>
      <c r="Z1544" s="260"/>
      <c r="AA1544" s="260"/>
      <c r="AB1544" s="260"/>
      <c r="AC1544" s="260"/>
      <c r="AD1544" s="260"/>
      <c r="AE1544" s="260"/>
      <c r="AF1544" s="260"/>
      <c r="AG1544" s="258"/>
    </row>
    <row r="1545" spans="13:33" ht="12" hidden="1" customHeight="1">
      <c r="M1545" s="820"/>
      <c r="N1545" s="239"/>
      <c r="O1545" s="225"/>
      <c r="P1545" s="260"/>
      <c r="Q1545" s="258"/>
      <c r="R1545" s="260"/>
      <c r="S1545" s="260"/>
      <c r="T1545" s="260"/>
      <c r="U1545" s="260"/>
      <c r="V1545" s="260"/>
      <c r="W1545" s="260"/>
      <c r="X1545" s="260"/>
      <c r="Y1545" s="260"/>
      <c r="Z1545" s="260"/>
      <c r="AA1545" s="260"/>
      <c r="AB1545" s="260"/>
      <c r="AC1545" s="260"/>
      <c r="AD1545" s="260"/>
      <c r="AE1545" s="260"/>
      <c r="AF1545" s="260"/>
      <c r="AG1545" s="258"/>
    </row>
    <row r="1546" spans="13:33" ht="12" hidden="1" customHeight="1">
      <c r="M1546" s="820"/>
      <c r="N1546" s="239"/>
      <c r="O1546" s="225"/>
      <c r="P1546" s="260"/>
      <c r="Q1546" s="258"/>
      <c r="R1546" s="260"/>
      <c r="S1546" s="260"/>
      <c r="T1546" s="260"/>
      <c r="U1546" s="260"/>
      <c r="V1546" s="260"/>
      <c r="W1546" s="260"/>
      <c r="X1546" s="260"/>
      <c r="Y1546" s="260"/>
      <c r="Z1546" s="260"/>
      <c r="AA1546" s="260"/>
      <c r="AB1546" s="260"/>
      <c r="AC1546" s="260"/>
      <c r="AD1546" s="260"/>
      <c r="AE1546" s="260"/>
      <c r="AF1546" s="260"/>
      <c r="AG1546" s="258"/>
    </row>
    <row r="1547" spans="13:33" ht="12" hidden="1" customHeight="1">
      <c r="M1547" s="820"/>
      <c r="N1547" s="239"/>
      <c r="O1547" s="225"/>
      <c r="P1547" s="260"/>
      <c r="Q1547" s="258"/>
      <c r="R1547" s="260"/>
      <c r="S1547" s="260"/>
      <c r="T1547" s="260"/>
      <c r="U1547" s="260"/>
      <c r="V1547" s="260"/>
      <c r="W1547" s="260"/>
      <c r="X1547" s="260"/>
      <c r="Y1547" s="260"/>
      <c r="Z1547" s="260"/>
      <c r="AA1547" s="260"/>
      <c r="AB1547" s="260"/>
      <c r="AC1547" s="260"/>
      <c r="AD1547" s="260"/>
      <c r="AE1547" s="260"/>
      <c r="AF1547" s="260"/>
      <c r="AG1547" s="258"/>
    </row>
    <row r="1548" spans="13:33" ht="12" hidden="1" customHeight="1">
      <c r="M1548" s="820"/>
      <c r="N1548" s="239"/>
      <c r="O1548" s="225"/>
      <c r="P1548" s="260"/>
      <c r="Q1548" s="258"/>
      <c r="R1548" s="260"/>
      <c r="S1548" s="260"/>
      <c r="T1548" s="260"/>
      <c r="U1548" s="260"/>
      <c r="V1548" s="260"/>
      <c r="W1548" s="260"/>
      <c r="X1548" s="260"/>
      <c r="Y1548" s="260"/>
      <c r="Z1548" s="260"/>
      <c r="AA1548" s="260"/>
      <c r="AB1548" s="260"/>
      <c r="AC1548" s="260"/>
      <c r="AD1548" s="260"/>
      <c r="AE1548" s="260"/>
      <c r="AF1548" s="260"/>
      <c r="AG1548" s="258"/>
    </row>
    <row r="1549" spans="13:33" ht="12" hidden="1" customHeight="1">
      <c r="M1549" s="820"/>
      <c r="N1549" s="239"/>
      <c r="O1549" s="225"/>
      <c r="P1549" s="260"/>
      <c r="Q1549" s="258"/>
      <c r="R1549" s="260"/>
      <c r="S1549" s="260"/>
      <c r="T1549" s="260"/>
      <c r="U1549" s="260"/>
      <c r="V1549" s="260"/>
      <c r="W1549" s="260"/>
      <c r="X1549" s="260"/>
      <c r="Y1549" s="260"/>
      <c r="Z1549" s="260"/>
      <c r="AA1549" s="260"/>
      <c r="AB1549" s="260"/>
      <c r="AC1549" s="260"/>
      <c r="AD1549" s="260"/>
      <c r="AE1549" s="260"/>
      <c r="AF1549" s="260"/>
      <c r="AG1549" s="258"/>
    </row>
    <row r="1550" spans="13:33" ht="12" hidden="1" customHeight="1">
      <c r="M1550" s="820"/>
      <c r="N1550" s="239"/>
      <c r="O1550" s="225"/>
      <c r="P1550" s="260"/>
      <c r="Q1550" s="258"/>
      <c r="R1550" s="260"/>
      <c r="S1550" s="260"/>
      <c r="T1550" s="260"/>
      <c r="U1550" s="260"/>
      <c r="V1550" s="260"/>
      <c r="W1550" s="260"/>
      <c r="X1550" s="260"/>
      <c r="Y1550" s="260"/>
      <c r="Z1550" s="260"/>
      <c r="AA1550" s="260"/>
      <c r="AB1550" s="260"/>
      <c r="AC1550" s="260"/>
      <c r="AD1550" s="260"/>
      <c r="AE1550" s="260"/>
      <c r="AF1550" s="260"/>
      <c r="AG1550" s="258"/>
    </row>
    <row r="1551" spans="13:33" ht="12" hidden="1" customHeight="1">
      <c r="M1551" s="820"/>
      <c r="N1551" s="239"/>
      <c r="O1551" s="225"/>
      <c r="P1551" s="260"/>
      <c r="Q1551" s="258"/>
      <c r="R1551" s="260"/>
      <c r="S1551" s="260"/>
      <c r="T1551" s="260"/>
      <c r="U1551" s="260"/>
      <c r="V1551" s="260"/>
      <c r="W1551" s="260"/>
      <c r="X1551" s="260"/>
      <c r="Y1551" s="260"/>
      <c r="Z1551" s="260"/>
      <c r="AA1551" s="260"/>
      <c r="AB1551" s="260"/>
      <c r="AC1551" s="260"/>
      <c r="AD1551" s="260"/>
      <c r="AE1551" s="260"/>
      <c r="AF1551" s="260"/>
      <c r="AG1551" s="258"/>
    </row>
    <row r="1552" spans="13:33" ht="12" hidden="1" customHeight="1">
      <c r="M1552" s="820"/>
      <c r="N1552" s="239"/>
      <c r="O1552" s="225"/>
      <c r="P1552" s="260"/>
      <c r="Q1552" s="258"/>
      <c r="R1552" s="260"/>
      <c r="S1552" s="260"/>
      <c r="T1552" s="260"/>
      <c r="U1552" s="260"/>
      <c r="V1552" s="260"/>
      <c r="W1552" s="260"/>
      <c r="X1552" s="260"/>
      <c r="Y1552" s="260"/>
      <c r="Z1552" s="260"/>
      <c r="AA1552" s="260"/>
      <c r="AB1552" s="260"/>
      <c r="AC1552" s="260"/>
      <c r="AD1552" s="260"/>
      <c r="AE1552" s="260"/>
      <c r="AF1552" s="260"/>
      <c r="AG1552" s="258"/>
    </row>
    <row r="1553" spans="13:33" ht="12" hidden="1" customHeight="1">
      <c r="M1553" s="820"/>
      <c r="N1553" s="239"/>
      <c r="O1553" s="225"/>
      <c r="P1553" s="260"/>
      <c r="Q1553" s="258"/>
      <c r="R1553" s="260"/>
      <c r="S1553" s="260"/>
      <c r="T1553" s="260"/>
      <c r="U1553" s="260"/>
      <c r="V1553" s="260"/>
      <c r="W1553" s="260"/>
      <c r="X1553" s="260"/>
      <c r="Y1553" s="260"/>
      <c r="Z1553" s="260"/>
      <c r="AA1553" s="260"/>
      <c r="AB1553" s="260"/>
      <c r="AC1553" s="260"/>
      <c r="AD1553" s="260"/>
      <c r="AE1553" s="260"/>
      <c r="AF1553" s="260"/>
      <c r="AG1553" s="258"/>
    </row>
    <row r="1554" spans="13:33" ht="12" hidden="1" customHeight="1">
      <c r="M1554" s="820"/>
      <c r="N1554" s="239"/>
      <c r="O1554" s="225"/>
      <c r="P1554" s="260"/>
      <c r="Q1554" s="258"/>
      <c r="R1554" s="260"/>
      <c r="S1554" s="260"/>
      <c r="T1554" s="260"/>
      <c r="U1554" s="260"/>
      <c r="V1554" s="260"/>
      <c r="W1554" s="260"/>
      <c r="X1554" s="260"/>
      <c r="Y1554" s="260"/>
      <c r="Z1554" s="260"/>
      <c r="AA1554" s="260"/>
      <c r="AB1554" s="260"/>
      <c r="AC1554" s="260"/>
      <c r="AD1554" s="260"/>
      <c r="AE1554" s="260"/>
      <c r="AF1554" s="260"/>
      <c r="AG1554" s="258"/>
    </row>
    <row r="1555" spans="13:33" ht="12" hidden="1" customHeight="1">
      <c r="M1555" s="820"/>
      <c r="N1555" s="239"/>
      <c r="O1555" s="225"/>
      <c r="P1555" s="260"/>
      <c r="Q1555" s="258"/>
      <c r="R1555" s="260"/>
      <c r="S1555" s="260"/>
      <c r="T1555" s="260"/>
      <c r="U1555" s="260"/>
      <c r="V1555" s="260"/>
      <c r="W1555" s="260"/>
      <c r="X1555" s="260"/>
      <c r="Y1555" s="260"/>
      <c r="Z1555" s="260"/>
      <c r="AA1555" s="260"/>
      <c r="AB1555" s="260"/>
      <c r="AC1555" s="260"/>
      <c r="AD1555" s="260"/>
      <c r="AE1555" s="260"/>
      <c r="AF1555" s="260"/>
      <c r="AG1555" s="258"/>
    </row>
    <row r="1556" spans="13:33" ht="12" hidden="1" customHeight="1">
      <c r="M1556" s="820"/>
      <c r="N1556" s="239"/>
      <c r="O1556" s="225"/>
      <c r="P1556" s="260"/>
      <c r="Q1556" s="258"/>
      <c r="R1556" s="260"/>
      <c r="S1556" s="260"/>
      <c r="T1556" s="260"/>
      <c r="U1556" s="260"/>
      <c r="V1556" s="260"/>
      <c r="W1556" s="260"/>
      <c r="X1556" s="260"/>
      <c r="Y1556" s="260"/>
      <c r="Z1556" s="260"/>
      <c r="AA1556" s="260"/>
      <c r="AB1556" s="260"/>
      <c r="AC1556" s="260"/>
      <c r="AD1556" s="260"/>
      <c r="AE1556" s="260"/>
      <c r="AF1556" s="260"/>
      <c r="AG1556" s="258"/>
    </row>
    <row r="1557" spans="13:33" ht="12" hidden="1" customHeight="1">
      <c r="M1557" s="820"/>
      <c r="N1557" s="239"/>
      <c r="O1557" s="225"/>
      <c r="P1557" s="260"/>
      <c r="Q1557" s="258"/>
      <c r="R1557" s="260"/>
      <c r="S1557" s="260"/>
      <c r="T1557" s="260"/>
      <c r="U1557" s="260"/>
      <c r="V1557" s="260"/>
      <c r="W1557" s="260"/>
      <c r="X1557" s="260"/>
      <c r="Y1557" s="260"/>
      <c r="Z1557" s="260"/>
      <c r="AA1557" s="260"/>
      <c r="AB1557" s="260"/>
      <c r="AC1557" s="260"/>
      <c r="AD1557" s="260"/>
      <c r="AE1557" s="260"/>
      <c r="AF1557" s="260"/>
      <c r="AG1557" s="258"/>
    </row>
    <row r="1558" spans="13:33" ht="12" hidden="1" customHeight="1">
      <c r="M1558" s="820"/>
      <c r="N1558" s="239"/>
      <c r="O1558" s="225"/>
      <c r="P1558" s="260"/>
      <c r="Q1558" s="258"/>
      <c r="R1558" s="260"/>
      <c r="S1558" s="260"/>
      <c r="T1558" s="260"/>
      <c r="U1558" s="260"/>
      <c r="V1558" s="260"/>
      <c r="W1558" s="260"/>
      <c r="X1558" s="260"/>
      <c r="Y1558" s="260"/>
      <c r="Z1558" s="260"/>
      <c r="AA1558" s="260"/>
      <c r="AB1558" s="260"/>
      <c r="AC1558" s="260"/>
      <c r="AD1558" s="260"/>
      <c r="AE1558" s="260"/>
      <c r="AF1558" s="260"/>
      <c r="AG1558" s="258"/>
    </row>
    <row r="1559" spans="13:33" ht="12" hidden="1" customHeight="1">
      <c r="M1559" s="820"/>
      <c r="N1559" s="239"/>
      <c r="O1559" s="225"/>
      <c r="P1559" s="260"/>
      <c r="Q1559" s="258"/>
      <c r="R1559" s="260"/>
      <c r="S1559" s="260"/>
      <c r="T1559" s="260"/>
      <c r="U1559" s="260"/>
      <c r="V1559" s="260"/>
      <c r="W1559" s="260"/>
      <c r="X1559" s="260"/>
      <c r="Y1559" s="260"/>
      <c r="Z1559" s="260"/>
      <c r="AA1559" s="260"/>
      <c r="AB1559" s="260"/>
      <c r="AC1559" s="260"/>
      <c r="AD1559" s="260"/>
      <c r="AE1559" s="260"/>
      <c r="AF1559" s="260"/>
      <c r="AG1559" s="258"/>
    </row>
    <row r="1560" spans="13:33" ht="12" hidden="1" customHeight="1">
      <c r="M1560" s="820"/>
      <c r="N1560" s="239"/>
      <c r="O1560" s="225"/>
      <c r="P1560" s="260"/>
      <c r="Q1560" s="258"/>
      <c r="R1560" s="260"/>
      <c r="S1560" s="260"/>
      <c r="T1560" s="260"/>
      <c r="U1560" s="260"/>
      <c r="V1560" s="260"/>
      <c r="W1560" s="260"/>
      <c r="X1560" s="260"/>
      <c r="Y1560" s="260"/>
      <c r="Z1560" s="260"/>
      <c r="AA1560" s="260"/>
      <c r="AB1560" s="260"/>
      <c r="AC1560" s="260"/>
      <c r="AD1560" s="260"/>
      <c r="AE1560" s="260"/>
      <c r="AF1560" s="260"/>
      <c r="AG1560" s="258"/>
    </row>
    <row r="1561" spans="13:33" ht="12" hidden="1" customHeight="1">
      <c r="M1561" s="820"/>
      <c r="N1561" s="239"/>
      <c r="O1561" s="225"/>
      <c r="P1561" s="260"/>
      <c r="Q1561" s="258"/>
      <c r="R1561" s="260"/>
      <c r="S1561" s="260"/>
      <c r="T1561" s="260"/>
      <c r="U1561" s="260"/>
      <c r="V1561" s="260"/>
      <c r="W1561" s="260"/>
      <c r="X1561" s="260"/>
      <c r="Y1561" s="260"/>
      <c r="Z1561" s="260"/>
      <c r="AA1561" s="260"/>
      <c r="AB1561" s="260"/>
      <c r="AC1561" s="260"/>
      <c r="AD1561" s="260"/>
      <c r="AE1561" s="260"/>
      <c r="AF1561" s="260"/>
      <c r="AG1561" s="258"/>
    </row>
    <row r="1562" spans="13:33" ht="12" hidden="1" customHeight="1">
      <c r="M1562" s="820"/>
      <c r="N1562" s="239"/>
      <c r="O1562" s="225"/>
      <c r="P1562" s="260"/>
      <c r="Q1562" s="258"/>
      <c r="R1562" s="260"/>
      <c r="S1562" s="260"/>
      <c r="T1562" s="260"/>
      <c r="U1562" s="260"/>
      <c r="V1562" s="260"/>
      <c r="W1562" s="260"/>
      <c r="X1562" s="260"/>
      <c r="Y1562" s="260"/>
      <c r="Z1562" s="260"/>
      <c r="AA1562" s="260"/>
      <c r="AB1562" s="260"/>
      <c r="AC1562" s="260"/>
      <c r="AD1562" s="260"/>
      <c r="AE1562" s="260"/>
      <c r="AF1562" s="260"/>
      <c r="AG1562" s="258"/>
    </row>
    <row r="1563" spans="13:33" ht="12" hidden="1" customHeight="1">
      <c r="M1563" s="820"/>
      <c r="N1563" s="239"/>
      <c r="O1563" s="225"/>
      <c r="P1563" s="260"/>
      <c r="Q1563" s="258"/>
      <c r="R1563" s="260"/>
      <c r="S1563" s="260"/>
      <c r="T1563" s="260"/>
      <c r="U1563" s="260"/>
      <c r="V1563" s="260"/>
      <c r="W1563" s="260"/>
      <c r="X1563" s="260"/>
      <c r="Y1563" s="260"/>
      <c r="Z1563" s="260"/>
      <c r="AA1563" s="260"/>
      <c r="AB1563" s="260"/>
      <c r="AC1563" s="260"/>
      <c r="AD1563" s="260"/>
      <c r="AE1563" s="260"/>
      <c r="AF1563" s="260"/>
      <c r="AG1563" s="258"/>
    </row>
    <row r="1564" spans="13:33" ht="12" hidden="1" customHeight="1">
      <c r="M1564" s="820"/>
      <c r="N1564" s="239"/>
      <c r="O1564" s="225"/>
      <c r="P1564" s="260"/>
      <c r="Q1564" s="258"/>
      <c r="R1564" s="260"/>
      <c r="S1564" s="260"/>
      <c r="T1564" s="260"/>
      <c r="U1564" s="260"/>
      <c r="V1564" s="260"/>
      <c r="W1564" s="260"/>
      <c r="X1564" s="260"/>
      <c r="Y1564" s="260"/>
      <c r="Z1564" s="260"/>
      <c r="AA1564" s="260"/>
      <c r="AB1564" s="260"/>
      <c r="AC1564" s="260"/>
      <c r="AD1564" s="260"/>
      <c r="AE1564" s="260"/>
      <c r="AF1564" s="260"/>
      <c r="AG1564" s="258"/>
    </row>
    <row r="1565" spans="13:33" ht="12" hidden="1" customHeight="1">
      <c r="M1565" s="820"/>
      <c r="N1565" s="239"/>
      <c r="O1565" s="225"/>
      <c r="P1565" s="260"/>
      <c r="Q1565" s="258"/>
      <c r="R1565" s="260"/>
      <c r="S1565" s="260"/>
      <c r="T1565" s="260"/>
      <c r="U1565" s="260"/>
      <c r="V1565" s="260"/>
      <c r="W1565" s="260"/>
      <c r="X1565" s="260"/>
      <c r="Y1565" s="260"/>
      <c r="Z1565" s="260"/>
      <c r="AA1565" s="260"/>
      <c r="AB1565" s="260"/>
      <c r="AC1565" s="260"/>
      <c r="AD1565" s="260"/>
      <c r="AE1565" s="260"/>
      <c r="AF1565" s="260"/>
      <c r="AG1565" s="258"/>
    </row>
    <row r="1566" spans="13:33" ht="12" hidden="1" customHeight="1">
      <c r="M1566" s="820"/>
      <c r="N1566" s="239"/>
      <c r="O1566" s="225"/>
      <c r="P1566" s="260"/>
      <c r="Q1566" s="258"/>
      <c r="R1566" s="260"/>
      <c r="S1566" s="260"/>
      <c r="T1566" s="260"/>
      <c r="U1566" s="260"/>
      <c r="V1566" s="260"/>
      <c r="W1566" s="260"/>
      <c r="X1566" s="260"/>
      <c r="Y1566" s="260"/>
      <c r="Z1566" s="260"/>
      <c r="AA1566" s="260"/>
      <c r="AB1566" s="260"/>
      <c r="AC1566" s="260"/>
      <c r="AD1566" s="260"/>
      <c r="AE1566" s="260"/>
      <c r="AF1566" s="260"/>
      <c r="AG1566" s="258"/>
    </row>
    <row r="1567" spans="13:33" ht="12" hidden="1" customHeight="1">
      <c r="M1567" s="820"/>
      <c r="N1567" s="239"/>
      <c r="O1567" s="225"/>
      <c r="P1567" s="260"/>
      <c r="Q1567" s="258"/>
      <c r="R1567" s="260"/>
      <c r="S1567" s="260"/>
      <c r="T1567" s="260"/>
      <c r="U1567" s="260"/>
      <c r="V1567" s="260"/>
      <c r="W1567" s="260"/>
      <c r="X1567" s="260"/>
      <c r="Y1567" s="260"/>
      <c r="Z1567" s="260"/>
      <c r="AA1567" s="260"/>
      <c r="AB1567" s="260"/>
      <c r="AC1567" s="260"/>
      <c r="AD1567" s="260"/>
      <c r="AE1567" s="260"/>
      <c r="AF1567" s="260"/>
      <c r="AG1567" s="258"/>
    </row>
    <row r="1568" spans="13:33" ht="12" hidden="1" customHeight="1">
      <c r="M1568" s="820"/>
      <c r="N1568" s="239"/>
      <c r="O1568" s="225"/>
      <c r="P1568" s="260"/>
      <c r="Q1568" s="258"/>
      <c r="R1568" s="260"/>
      <c r="S1568" s="260"/>
      <c r="T1568" s="260"/>
      <c r="U1568" s="260"/>
      <c r="V1568" s="260"/>
      <c r="W1568" s="260"/>
      <c r="X1568" s="260"/>
      <c r="Y1568" s="260"/>
      <c r="Z1568" s="260"/>
      <c r="AA1568" s="260"/>
      <c r="AB1568" s="260"/>
      <c r="AC1568" s="260"/>
      <c r="AD1568" s="260"/>
      <c r="AE1568" s="260"/>
      <c r="AF1568" s="260"/>
      <c r="AG1568" s="258"/>
    </row>
    <row r="1569" spans="13:33" ht="12" hidden="1" customHeight="1">
      <c r="M1569" s="820"/>
      <c r="N1569" s="239"/>
      <c r="O1569" s="225"/>
      <c r="P1569" s="260"/>
      <c r="Q1569" s="258"/>
      <c r="R1569" s="260"/>
      <c r="S1569" s="260"/>
      <c r="T1569" s="260"/>
      <c r="U1569" s="260"/>
      <c r="V1569" s="260"/>
      <c r="W1569" s="260"/>
      <c r="X1569" s="260"/>
      <c r="Y1569" s="260"/>
      <c r="Z1569" s="260"/>
      <c r="AA1569" s="260"/>
      <c r="AB1569" s="260"/>
      <c r="AC1569" s="260"/>
      <c r="AD1569" s="260"/>
      <c r="AE1569" s="260"/>
      <c r="AF1569" s="260"/>
      <c r="AG1569" s="258"/>
    </row>
    <row r="1570" spans="13:33" ht="12" hidden="1" customHeight="1">
      <c r="M1570" s="820"/>
      <c r="N1570" s="239"/>
      <c r="O1570" s="225"/>
      <c r="P1570" s="260"/>
      <c r="Q1570" s="258"/>
      <c r="R1570" s="260"/>
      <c r="S1570" s="260"/>
      <c r="T1570" s="260"/>
      <c r="U1570" s="260"/>
      <c r="V1570" s="260"/>
      <c r="W1570" s="260"/>
      <c r="X1570" s="260"/>
      <c r="Y1570" s="260"/>
      <c r="Z1570" s="260"/>
      <c r="AA1570" s="260"/>
      <c r="AB1570" s="260"/>
      <c r="AC1570" s="260"/>
      <c r="AD1570" s="260"/>
      <c r="AE1570" s="260"/>
      <c r="AF1570" s="260"/>
      <c r="AG1570" s="258"/>
    </row>
    <row r="1571" spans="13:33" ht="12" hidden="1" customHeight="1">
      <c r="M1571" s="820"/>
      <c r="N1571" s="239"/>
      <c r="O1571" s="225"/>
      <c r="P1571" s="260"/>
      <c r="Q1571" s="258"/>
      <c r="R1571" s="260"/>
      <c r="S1571" s="260"/>
      <c r="T1571" s="260"/>
      <c r="U1571" s="260"/>
      <c r="V1571" s="260"/>
      <c r="W1571" s="260"/>
      <c r="X1571" s="260"/>
      <c r="Y1571" s="260"/>
      <c r="Z1571" s="260"/>
      <c r="AA1571" s="260"/>
      <c r="AB1571" s="260"/>
      <c r="AC1571" s="260"/>
      <c r="AD1571" s="260"/>
      <c r="AE1571" s="260"/>
      <c r="AF1571" s="260"/>
      <c r="AG1571" s="258"/>
    </row>
    <row r="1572" spans="13:33" ht="12" hidden="1" customHeight="1">
      <c r="M1572" s="820"/>
      <c r="N1572" s="239"/>
      <c r="O1572" s="225"/>
      <c r="P1572" s="260"/>
      <c r="Q1572" s="258"/>
      <c r="R1572" s="260"/>
      <c r="S1572" s="260"/>
      <c r="T1572" s="260"/>
      <c r="U1572" s="260"/>
      <c r="V1572" s="260"/>
      <c r="W1572" s="260"/>
      <c r="X1572" s="260"/>
      <c r="Y1572" s="260"/>
      <c r="Z1572" s="260"/>
      <c r="AA1572" s="260"/>
      <c r="AB1572" s="260"/>
      <c r="AC1572" s="260"/>
      <c r="AD1572" s="260"/>
      <c r="AE1572" s="260"/>
      <c r="AF1572" s="260"/>
      <c r="AG1572" s="258"/>
    </row>
    <row r="1573" spans="13:33" ht="12" hidden="1" customHeight="1">
      <c r="M1573" s="820"/>
      <c r="N1573" s="239"/>
      <c r="O1573" s="225"/>
      <c r="P1573" s="260"/>
      <c r="Q1573" s="258"/>
      <c r="R1573" s="260"/>
      <c r="S1573" s="260"/>
      <c r="T1573" s="260"/>
      <c r="U1573" s="260"/>
      <c r="V1573" s="260"/>
      <c r="W1573" s="260"/>
      <c r="X1573" s="260"/>
      <c r="Y1573" s="260"/>
      <c r="Z1573" s="260"/>
      <c r="AA1573" s="260"/>
      <c r="AB1573" s="260"/>
      <c r="AC1573" s="260"/>
      <c r="AD1573" s="260"/>
      <c r="AE1573" s="260"/>
      <c r="AF1573" s="260"/>
      <c r="AG1573" s="258"/>
    </row>
    <row r="1574" spans="13:33" ht="12" hidden="1" customHeight="1">
      <c r="M1574" s="820"/>
      <c r="N1574" s="239"/>
      <c r="O1574" s="225"/>
      <c r="P1574" s="260"/>
      <c r="Q1574" s="258"/>
      <c r="R1574" s="260"/>
      <c r="S1574" s="260"/>
      <c r="T1574" s="260"/>
      <c r="U1574" s="260"/>
      <c r="V1574" s="260"/>
      <c r="W1574" s="260"/>
      <c r="X1574" s="260"/>
      <c r="Y1574" s="260"/>
      <c r="Z1574" s="260"/>
      <c r="AA1574" s="260"/>
      <c r="AB1574" s="260"/>
      <c r="AC1574" s="260"/>
      <c r="AD1574" s="260"/>
      <c r="AE1574" s="260"/>
      <c r="AF1574" s="260"/>
      <c r="AG1574" s="258"/>
    </row>
    <row r="1575" spans="13:33" ht="12" hidden="1" customHeight="1">
      <c r="M1575" s="820"/>
      <c r="N1575" s="239"/>
      <c r="O1575" s="225"/>
      <c r="P1575" s="260"/>
      <c r="Q1575" s="258"/>
      <c r="R1575" s="260"/>
      <c r="S1575" s="260"/>
      <c r="T1575" s="260"/>
      <c r="U1575" s="260"/>
      <c r="V1575" s="260"/>
      <c r="W1575" s="260"/>
      <c r="X1575" s="260"/>
      <c r="Y1575" s="260"/>
      <c r="Z1575" s="260"/>
      <c r="AA1575" s="260"/>
      <c r="AB1575" s="260"/>
      <c r="AC1575" s="260"/>
      <c r="AD1575" s="260"/>
      <c r="AE1575" s="260"/>
      <c r="AF1575" s="260"/>
      <c r="AG1575" s="258"/>
    </row>
    <row r="1576" spans="13:33" ht="12" hidden="1" customHeight="1">
      <c r="M1576" s="820"/>
      <c r="N1576" s="239"/>
      <c r="O1576" s="225"/>
      <c r="P1576" s="260"/>
      <c r="Q1576" s="258"/>
      <c r="R1576" s="260"/>
      <c r="S1576" s="260"/>
      <c r="T1576" s="260"/>
      <c r="U1576" s="260"/>
      <c r="V1576" s="260"/>
      <c r="W1576" s="260"/>
      <c r="X1576" s="260"/>
      <c r="Y1576" s="260"/>
      <c r="Z1576" s="260"/>
      <c r="AA1576" s="260"/>
      <c r="AB1576" s="260"/>
      <c r="AC1576" s="260"/>
      <c r="AD1576" s="260"/>
      <c r="AE1576" s="260"/>
      <c r="AF1576" s="260"/>
      <c r="AG1576" s="258"/>
    </row>
    <row r="1577" spans="13:33" ht="12" hidden="1" customHeight="1">
      <c r="M1577" s="820"/>
      <c r="N1577" s="239"/>
      <c r="O1577" s="225"/>
      <c r="P1577" s="260"/>
      <c r="Q1577" s="258"/>
      <c r="R1577" s="260"/>
      <c r="S1577" s="260"/>
      <c r="T1577" s="260"/>
      <c r="U1577" s="260"/>
      <c r="V1577" s="260"/>
      <c r="W1577" s="260"/>
      <c r="X1577" s="260"/>
      <c r="Y1577" s="260"/>
      <c r="Z1577" s="260"/>
      <c r="AA1577" s="260"/>
      <c r="AB1577" s="260"/>
      <c r="AC1577" s="260"/>
      <c r="AD1577" s="260"/>
      <c r="AE1577" s="260"/>
      <c r="AF1577" s="260"/>
      <c r="AG1577" s="258"/>
    </row>
    <row r="1578" spans="13:33" ht="12" hidden="1" customHeight="1">
      <c r="M1578" s="820"/>
      <c r="N1578" s="239"/>
      <c r="O1578" s="225"/>
      <c r="P1578" s="260"/>
      <c r="Q1578" s="258"/>
      <c r="R1578" s="260"/>
      <c r="S1578" s="260"/>
      <c r="T1578" s="260"/>
      <c r="U1578" s="260"/>
      <c r="V1578" s="260"/>
      <c r="W1578" s="260"/>
      <c r="X1578" s="260"/>
      <c r="Y1578" s="260"/>
      <c r="Z1578" s="260"/>
      <c r="AA1578" s="260"/>
      <c r="AB1578" s="260"/>
      <c r="AC1578" s="260"/>
      <c r="AD1578" s="260"/>
      <c r="AE1578" s="260"/>
      <c r="AF1578" s="260"/>
      <c r="AG1578" s="258"/>
    </row>
    <row r="1579" spans="13:33" ht="12" hidden="1" customHeight="1">
      <c r="M1579" s="820"/>
      <c r="N1579" s="239"/>
      <c r="O1579" s="225"/>
      <c r="P1579" s="260"/>
      <c r="Q1579" s="258"/>
      <c r="R1579" s="260"/>
      <c r="S1579" s="260"/>
      <c r="T1579" s="260"/>
      <c r="U1579" s="260"/>
      <c r="V1579" s="260"/>
      <c r="W1579" s="260"/>
      <c r="X1579" s="260"/>
      <c r="Y1579" s="260"/>
      <c r="Z1579" s="260"/>
      <c r="AA1579" s="260"/>
      <c r="AB1579" s="260"/>
      <c r="AC1579" s="260"/>
      <c r="AD1579" s="260"/>
      <c r="AE1579" s="260"/>
      <c r="AF1579" s="260"/>
      <c r="AG1579" s="258"/>
    </row>
    <row r="1580" spans="13:33" ht="12" hidden="1" customHeight="1">
      <c r="M1580" s="820"/>
      <c r="N1580" s="239"/>
      <c r="O1580" s="225"/>
      <c r="P1580" s="260"/>
      <c r="Q1580" s="258"/>
      <c r="R1580" s="260"/>
      <c r="S1580" s="260"/>
      <c r="T1580" s="260"/>
      <c r="U1580" s="260"/>
      <c r="V1580" s="260"/>
      <c r="W1580" s="260"/>
      <c r="X1580" s="260"/>
      <c r="Y1580" s="260"/>
      <c r="Z1580" s="260"/>
      <c r="AA1580" s="260"/>
      <c r="AB1580" s="260"/>
      <c r="AC1580" s="260"/>
      <c r="AD1580" s="260"/>
      <c r="AE1580" s="260"/>
      <c r="AF1580" s="260"/>
      <c r="AG1580" s="258"/>
    </row>
    <row r="1581" spans="13:33" ht="12" hidden="1" customHeight="1">
      <c r="M1581" s="820"/>
      <c r="N1581" s="239"/>
      <c r="O1581" s="225"/>
      <c r="P1581" s="260"/>
      <c r="Q1581" s="258"/>
      <c r="R1581" s="260"/>
      <c r="S1581" s="260"/>
      <c r="T1581" s="260"/>
      <c r="U1581" s="260"/>
      <c r="V1581" s="260"/>
      <c r="W1581" s="260"/>
      <c r="X1581" s="260"/>
      <c r="Y1581" s="260"/>
      <c r="Z1581" s="260"/>
      <c r="AA1581" s="260"/>
      <c r="AB1581" s="260"/>
      <c r="AC1581" s="260"/>
      <c r="AD1581" s="260"/>
      <c r="AE1581" s="260"/>
      <c r="AF1581" s="260"/>
      <c r="AG1581" s="258"/>
    </row>
    <row r="1582" spans="13:33" ht="12" hidden="1" customHeight="1">
      <c r="M1582" s="820"/>
      <c r="N1582" s="239"/>
      <c r="O1582" s="225"/>
      <c r="P1582" s="260"/>
      <c r="Q1582" s="258"/>
      <c r="R1582" s="260"/>
      <c r="S1582" s="260"/>
      <c r="T1582" s="260"/>
      <c r="U1582" s="260"/>
      <c r="V1582" s="260"/>
      <c r="W1582" s="260"/>
      <c r="X1582" s="260"/>
      <c r="Y1582" s="260"/>
      <c r="Z1582" s="260"/>
      <c r="AA1582" s="260"/>
      <c r="AB1582" s="260"/>
      <c r="AC1582" s="260"/>
      <c r="AD1582" s="260"/>
      <c r="AE1582" s="260"/>
      <c r="AF1582" s="260"/>
      <c r="AG1582" s="258"/>
    </row>
    <row r="1583" spans="13:33" ht="12" hidden="1" customHeight="1">
      <c r="M1583" s="820"/>
      <c r="N1583" s="239"/>
      <c r="O1583" s="225"/>
      <c r="P1583" s="260"/>
      <c r="Q1583" s="258"/>
      <c r="R1583" s="260"/>
      <c r="S1583" s="260"/>
      <c r="T1583" s="260"/>
      <c r="U1583" s="260"/>
      <c r="V1583" s="260"/>
      <c r="W1583" s="260"/>
      <c r="X1583" s="260"/>
      <c r="Y1583" s="260"/>
      <c r="Z1583" s="260"/>
      <c r="AA1583" s="260"/>
      <c r="AB1583" s="260"/>
      <c r="AC1583" s="260"/>
      <c r="AD1583" s="260"/>
      <c r="AE1583" s="260"/>
      <c r="AF1583" s="260"/>
      <c r="AG1583" s="258"/>
    </row>
    <row r="1584" spans="13:33" ht="12" hidden="1" customHeight="1">
      <c r="M1584" s="820"/>
      <c r="N1584" s="239"/>
      <c r="O1584" s="225"/>
      <c r="P1584" s="260"/>
      <c r="Q1584" s="258"/>
      <c r="R1584" s="260"/>
      <c r="S1584" s="260"/>
      <c r="T1584" s="260"/>
      <c r="U1584" s="260"/>
      <c r="V1584" s="260"/>
      <c r="W1584" s="260"/>
      <c r="X1584" s="260"/>
      <c r="Y1584" s="260"/>
      <c r="Z1584" s="260"/>
      <c r="AA1584" s="260"/>
      <c r="AB1584" s="260"/>
      <c r="AC1584" s="260"/>
      <c r="AD1584" s="260"/>
      <c r="AE1584" s="260"/>
      <c r="AF1584" s="260"/>
      <c r="AG1584" s="258"/>
    </row>
    <row r="1585" spans="13:33" ht="12" hidden="1" customHeight="1">
      <c r="M1585" s="820"/>
      <c r="N1585" s="239"/>
      <c r="O1585" s="225"/>
      <c r="P1585" s="260"/>
      <c r="Q1585" s="258"/>
      <c r="R1585" s="260"/>
      <c r="S1585" s="260"/>
      <c r="T1585" s="260"/>
      <c r="U1585" s="260"/>
      <c r="V1585" s="260"/>
      <c r="W1585" s="260"/>
      <c r="X1585" s="260"/>
      <c r="Y1585" s="260"/>
      <c r="Z1585" s="260"/>
      <c r="AA1585" s="260"/>
      <c r="AB1585" s="260"/>
      <c r="AC1585" s="260"/>
      <c r="AD1585" s="260"/>
      <c r="AE1585" s="260"/>
      <c r="AF1585" s="260"/>
      <c r="AG1585" s="258"/>
    </row>
    <row r="1586" spans="13:33" ht="12" hidden="1" customHeight="1">
      <c r="M1586" s="820"/>
      <c r="N1586" s="239"/>
      <c r="O1586" s="225"/>
      <c r="P1586" s="260"/>
      <c r="Q1586" s="258"/>
      <c r="R1586" s="260"/>
      <c r="S1586" s="260"/>
      <c r="T1586" s="260"/>
      <c r="U1586" s="260"/>
      <c r="V1586" s="260"/>
      <c r="W1586" s="260"/>
      <c r="X1586" s="260"/>
      <c r="Y1586" s="260"/>
      <c r="Z1586" s="260"/>
      <c r="AA1586" s="260"/>
      <c r="AB1586" s="260"/>
      <c r="AC1586" s="260"/>
      <c r="AD1586" s="260"/>
      <c r="AE1586" s="260"/>
      <c r="AF1586" s="260"/>
      <c r="AG1586" s="258"/>
    </row>
    <row r="1587" spans="13:33" ht="12" hidden="1" customHeight="1">
      <c r="M1587" s="820"/>
      <c r="N1587" s="239"/>
      <c r="O1587" s="225"/>
      <c r="P1587" s="260"/>
      <c r="Q1587" s="258"/>
      <c r="R1587" s="260"/>
      <c r="S1587" s="260"/>
      <c r="T1587" s="260"/>
      <c r="U1587" s="260"/>
      <c r="V1587" s="260"/>
      <c r="W1587" s="260"/>
      <c r="X1587" s="260"/>
      <c r="Y1587" s="260"/>
      <c r="Z1587" s="260"/>
      <c r="AA1587" s="260"/>
      <c r="AB1587" s="260"/>
      <c r="AC1587" s="260"/>
      <c r="AD1587" s="260"/>
      <c r="AE1587" s="260"/>
      <c r="AF1587" s="260"/>
      <c r="AG1587" s="258"/>
    </row>
    <row r="1588" spans="13:33" ht="12" hidden="1" customHeight="1">
      <c r="M1588" s="820"/>
      <c r="N1588" s="239"/>
      <c r="O1588" s="225"/>
      <c r="P1588" s="260"/>
      <c r="Q1588" s="258"/>
      <c r="R1588" s="260"/>
      <c r="S1588" s="260"/>
      <c r="T1588" s="260"/>
      <c r="U1588" s="260"/>
      <c r="V1588" s="260"/>
      <c r="W1588" s="260"/>
      <c r="X1588" s="260"/>
      <c r="Y1588" s="260"/>
      <c r="Z1588" s="260"/>
      <c r="AA1588" s="260"/>
      <c r="AB1588" s="260"/>
      <c r="AC1588" s="260"/>
      <c r="AD1588" s="260"/>
      <c r="AE1588" s="260"/>
      <c r="AF1588" s="260"/>
      <c r="AG1588" s="258"/>
    </row>
    <row r="1589" spans="13:33" ht="12" hidden="1" customHeight="1">
      <c r="M1589" s="820"/>
      <c r="N1589" s="239"/>
      <c r="O1589" s="225"/>
      <c r="P1589" s="260"/>
      <c r="Q1589" s="258"/>
      <c r="R1589" s="260"/>
      <c r="S1589" s="260"/>
      <c r="T1589" s="260"/>
      <c r="U1589" s="260"/>
      <c r="V1589" s="260"/>
      <c r="W1589" s="260"/>
      <c r="X1589" s="260"/>
      <c r="Y1589" s="260"/>
      <c r="Z1589" s="260"/>
      <c r="AA1589" s="260"/>
      <c r="AB1589" s="260"/>
      <c r="AC1589" s="260"/>
      <c r="AD1589" s="260"/>
      <c r="AE1589" s="260"/>
      <c r="AF1589" s="260"/>
      <c r="AG1589" s="258"/>
    </row>
    <row r="1590" spans="13:33" ht="12" hidden="1" customHeight="1">
      <c r="M1590" s="820"/>
      <c r="N1590" s="239"/>
      <c r="O1590" s="225"/>
      <c r="P1590" s="260"/>
      <c r="Q1590" s="258"/>
      <c r="R1590" s="260"/>
      <c r="S1590" s="260"/>
      <c r="T1590" s="260"/>
      <c r="U1590" s="260"/>
      <c r="V1590" s="260"/>
      <c r="W1590" s="260"/>
      <c r="X1590" s="260"/>
      <c r="Y1590" s="260"/>
      <c r="Z1590" s="260"/>
      <c r="AA1590" s="260"/>
      <c r="AB1590" s="260"/>
      <c r="AC1590" s="260"/>
      <c r="AD1590" s="260"/>
      <c r="AE1590" s="260"/>
      <c r="AF1590" s="260"/>
      <c r="AG1590" s="258"/>
    </row>
    <row r="1591" spans="13:33" ht="12" hidden="1" customHeight="1">
      <c r="M1591" s="820"/>
      <c r="N1591" s="239"/>
      <c r="O1591" s="225"/>
      <c r="P1591" s="260"/>
      <c r="Q1591" s="258"/>
      <c r="R1591" s="260"/>
      <c r="S1591" s="260"/>
      <c r="T1591" s="260"/>
      <c r="U1591" s="260"/>
      <c r="V1591" s="260"/>
      <c r="W1591" s="260"/>
      <c r="X1591" s="260"/>
      <c r="Y1591" s="260"/>
      <c r="Z1591" s="260"/>
      <c r="AA1591" s="260"/>
      <c r="AB1591" s="260"/>
      <c r="AC1591" s="260"/>
      <c r="AD1591" s="260"/>
      <c r="AE1591" s="260"/>
      <c r="AF1591" s="260"/>
      <c r="AG1591" s="258"/>
    </row>
    <row r="1592" spans="13:33" ht="12" hidden="1" customHeight="1">
      <c r="M1592" s="820"/>
      <c r="N1592" s="239"/>
      <c r="O1592" s="225"/>
      <c r="P1592" s="260"/>
      <c r="Q1592" s="258"/>
      <c r="R1592" s="260"/>
      <c r="S1592" s="260"/>
      <c r="T1592" s="260"/>
      <c r="U1592" s="260"/>
      <c r="V1592" s="260"/>
      <c r="W1592" s="260"/>
      <c r="X1592" s="260"/>
      <c r="Y1592" s="260"/>
      <c r="Z1592" s="260"/>
      <c r="AA1592" s="260"/>
      <c r="AB1592" s="260"/>
      <c r="AC1592" s="260"/>
      <c r="AD1592" s="260"/>
      <c r="AE1592" s="260"/>
      <c r="AF1592" s="260"/>
      <c r="AG1592" s="258"/>
    </row>
    <row r="1593" spans="13:33" ht="12" hidden="1" customHeight="1">
      <c r="M1593" s="820"/>
      <c r="N1593" s="239"/>
      <c r="O1593" s="225"/>
      <c r="P1593" s="260"/>
      <c r="Q1593" s="258"/>
      <c r="R1593" s="260"/>
      <c r="S1593" s="260"/>
      <c r="T1593" s="260"/>
      <c r="U1593" s="260"/>
      <c r="V1593" s="260"/>
      <c r="W1593" s="260"/>
      <c r="X1593" s="260"/>
      <c r="Y1593" s="260"/>
      <c r="Z1593" s="260"/>
      <c r="AA1593" s="260"/>
      <c r="AB1593" s="260"/>
      <c r="AC1593" s="260"/>
      <c r="AD1593" s="260"/>
      <c r="AE1593" s="260"/>
      <c r="AF1593" s="260"/>
      <c r="AG1593" s="258"/>
    </row>
    <row r="1594" spans="13:33" ht="12" hidden="1" customHeight="1">
      <c r="M1594" s="820"/>
      <c r="N1594" s="239"/>
      <c r="O1594" s="225"/>
      <c r="P1594" s="260"/>
      <c r="Q1594" s="258"/>
      <c r="R1594" s="260"/>
      <c r="S1594" s="260"/>
      <c r="T1594" s="260"/>
      <c r="U1594" s="260"/>
      <c r="V1594" s="260"/>
      <c r="W1594" s="260"/>
      <c r="X1594" s="260"/>
      <c r="Y1594" s="260"/>
      <c r="Z1594" s="260"/>
      <c r="AA1594" s="260"/>
      <c r="AB1594" s="260"/>
      <c r="AC1594" s="260"/>
      <c r="AD1594" s="260"/>
      <c r="AE1594" s="260"/>
      <c r="AF1594" s="260"/>
      <c r="AG1594" s="258"/>
    </row>
    <row r="1595" spans="13:33" ht="12" hidden="1" customHeight="1">
      <c r="M1595" s="820"/>
      <c r="N1595" s="239"/>
      <c r="O1595" s="225"/>
      <c r="P1595" s="260"/>
      <c r="Q1595" s="258"/>
      <c r="R1595" s="260"/>
      <c r="S1595" s="260"/>
      <c r="T1595" s="260"/>
      <c r="U1595" s="260"/>
      <c r="V1595" s="260"/>
      <c r="W1595" s="260"/>
      <c r="X1595" s="260"/>
      <c r="Y1595" s="260"/>
      <c r="Z1595" s="260"/>
      <c r="AA1595" s="260"/>
      <c r="AB1595" s="260"/>
      <c r="AC1595" s="260"/>
      <c r="AD1595" s="260"/>
      <c r="AE1595" s="260"/>
      <c r="AF1595" s="260"/>
      <c r="AG1595" s="258"/>
    </row>
    <row r="1596" spans="13:33" ht="12" hidden="1" customHeight="1">
      <c r="M1596" s="820"/>
      <c r="N1596" s="239"/>
      <c r="O1596" s="225"/>
      <c r="P1596" s="260"/>
      <c r="Q1596" s="258"/>
      <c r="R1596" s="260"/>
      <c r="S1596" s="260"/>
      <c r="T1596" s="260"/>
      <c r="U1596" s="260"/>
      <c r="V1596" s="260"/>
      <c r="W1596" s="260"/>
      <c r="X1596" s="260"/>
      <c r="Y1596" s="260"/>
      <c r="Z1596" s="260"/>
      <c r="AA1596" s="260"/>
      <c r="AB1596" s="260"/>
      <c r="AC1596" s="260"/>
      <c r="AD1596" s="260"/>
      <c r="AE1596" s="260"/>
      <c r="AF1596" s="260"/>
      <c r="AG1596" s="258"/>
    </row>
    <row r="1597" spans="13:33" ht="12" hidden="1" customHeight="1">
      <c r="M1597" s="820"/>
      <c r="N1597" s="239"/>
      <c r="O1597" s="225"/>
      <c r="P1597" s="260"/>
      <c r="Q1597" s="258"/>
      <c r="R1597" s="260"/>
      <c r="S1597" s="260"/>
      <c r="T1597" s="260"/>
      <c r="U1597" s="260"/>
      <c r="V1597" s="260"/>
      <c r="W1597" s="260"/>
      <c r="X1597" s="260"/>
      <c r="Y1597" s="260"/>
      <c r="Z1597" s="260"/>
      <c r="AA1597" s="260"/>
      <c r="AB1597" s="260"/>
      <c r="AC1597" s="260"/>
      <c r="AD1597" s="260"/>
      <c r="AE1597" s="260"/>
      <c r="AF1597" s="260"/>
      <c r="AG1597" s="258"/>
    </row>
    <row r="1598" spans="13:33" ht="12" hidden="1" customHeight="1">
      <c r="M1598" s="820"/>
      <c r="N1598" s="239"/>
      <c r="O1598" s="225"/>
      <c r="P1598" s="260"/>
      <c r="Q1598" s="258"/>
      <c r="R1598" s="260"/>
      <c r="S1598" s="260"/>
      <c r="T1598" s="260"/>
      <c r="U1598" s="260"/>
      <c r="V1598" s="260"/>
      <c r="W1598" s="260"/>
      <c r="X1598" s="260"/>
      <c r="Y1598" s="260"/>
      <c r="Z1598" s="260"/>
      <c r="AA1598" s="260"/>
      <c r="AB1598" s="260"/>
      <c r="AC1598" s="260"/>
      <c r="AD1598" s="260"/>
      <c r="AE1598" s="260"/>
      <c r="AF1598" s="260"/>
      <c r="AG1598" s="258"/>
    </row>
    <row r="1599" spans="13:33" ht="12" hidden="1" customHeight="1">
      <c r="M1599" s="820"/>
      <c r="N1599" s="239"/>
      <c r="O1599" s="225"/>
      <c r="P1599" s="260"/>
      <c r="Q1599" s="258"/>
      <c r="R1599" s="260"/>
      <c r="S1599" s="260"/>
      <c r="T1599" s="260"/>
      <c r="U1599" s="260"/>
      <c r="V1599" s="260"/>
      <c r="W1599" s="260"/>
      <c r="X1599" s="260"/>
      <c r="Y1599" s="260"/>
      <c r="Z1599" s="260"/>
      <c r="AA1599" s="260"/>
      <c r="AB1599" s="260"/>
      <c r="AC1599" s="260"/>
      <c r="AD1599" s="260"/>
      <c r="AE1599" s="260"/>
      <c r="AF1599" s="260"/>
      <c r="AG1599" s="258"/>
    </row>
    <row r="1600" spans="13:33" ht="12" hidden="1" customHeight="1">
      <c r="M1600" s="820"/>
      <c r="N1600" s="239"/>
      <c r="O1600" s="225"/>
      <c r="P1600" s="260"/>
      <c r="Q1600" s="258"/>
      <c r="R1600" s="260"/>
      <c r="S1600" s="260"/>
      <c r="T1600" s="260"/>
      <c r="U1600" s="260"/>
      <c r="V1600" s="260"/>
      <c r="W1600" s="260"/>
      <c r="X1600" s="260"/>
      <c r="Y1600" s="260"/>
      <c r="Z1600" s="260"/>
      <c r="AA1600" s="260"/>
      <c r="AB1600" s="260"/>
      <c r="AC1600" s="260"/>
      <c r="AD1600" s="260"/>
      <c r="AE1600" s="260"/>
      <c r="AF1600" s="260"/>
      <c r="AG1600" s="258"/>
    </row>
    <row r="1601" spans="13:33" ht="12" hidden="1" customHeight="1">
      <c r="M1601" s="820"/>
      <c r="N1601" s="239"/>
      <c r="O1601" s="225"/>
      <c r="P1601" s="260"/>
      <c r="Q1601" s="258"/>
      <c r="R1601" s="260"/>
      <c r="S1601" s="260"/>
      <c r="T1601" s="260"/>
      <c r="U1601" s="260"/>
      <c r="V1601" s="260"/>
      <c r="W1601" s="260"/>
      <c r="X1601" s="260"/>
      <c r="Y1601" s="260"/>
      <c r="Z1601" s="260"/>
      <c r="AA1601" s="260"/>
      <c r="AB1601" s="260"/>
      <c r="AC1601" s="260"/>
      <c r="AD1601" s="260"/>
      <c r="AE1601" s="260"/>
      <c r="AF1601" s="260"/>
      <c r="AG1601" s="258"/>
    </row>
    <row r="1602" spans="13:33" ht="12" hidden="1" customHeight="1">
      <c r="M1602" s="820"/>
      <c r="N1602" s="239"/>
      <c r="O1602" s="225"/>
      <c r="P1602" s="260"/>
      <c r="Q1602" s="258"/>
      <c r="R1602" s="260"/>
      <c r="S1602" s="260"/>
      <c r="T1602" s="260"/>
      <c r="U1602" s="260"/>
      <c r="V1602" s="260"/>
      <c r="W1602" s="260"/>
      <c r="X1602" s="260"/>
      <c r="Y1602" s="260"/>
      <c r="Z1602" s="260"/>
      <c r="AA1602" s="260"/>
      <c r="AB1602" s="260"/>
      <c r="AC1602" s="260"/>
      <c r="AD1602" s="260"/>
      <c r="AE1602" s="260"/>
      <c r="AF1602" s="260"/>
      <c r="AG1602" s="258"/>
    </row>
    <row r="1603" spans="13:33" ht="12" hidden="1" customHeight="1">
      <c r="M1603" s="820"/>
      <c r="N1603" s="239"/>
      <c r="O1603" s="225"/>
      <c r="P1603" s="260"/>
      <c r="Q1603" s="258"/>
      <c r="R1603" s="260"/>
      <c r="S1603" s="260"/>
      <c r="T1603" s="260"/>
      <c r="U1603" s="260"/>
      <c r="V1603" s="260"/>
      <c r="W1603" s="260"/>
      <c r="X1603" s="260"/>
      <c r="Y1603" s="260"/>
      <c r="Z1603" s="260"/>
      <c r="AA1603" s="260"/>
      <c r="AB1603" s="260"/>
      <c r="AC1603" s="260"/>
      <c r="AD1603" s="260"/>
      <c r="AE1603" s="260"/>
      <c r="AF1603" s="260"/>
      <c r="AG1603" s="258"/>
    </row>
    <row r="1604" spans="13:33" ht="12" hidden="1" customHeight="1">
      <c r="M1604" s="820"/>
      <c r="N1604" s="239"/>
      <c r="O1604" s="225"/>
      <c r="P1604" s="260"/>
      <c r="Q1604" s="258"/>
      <c r="R1604" s="260"/>
      <c r="S1604" s="260"/>
      <c r="T1604" s="260"/>
      <c r="U1604" s="260"/>
      <c r="V1604" s="260"/>
      <c r="W1604" s="260"/>
      <c r="X1604" s="260"/>
      <c r="Y1604" s="260"/>
      <c r="Z1604" s="260"/>
      <c r="AA1604" s="260"/>
      <c r="AB1604" s="260"/>
      <c r="AC1604" s="260"/>
      <c r="AD1604" s="260"/>
      <c r="AE1604" s="260"/>
      <c r="AF1604" s="260"/>
      <c r="AG1604" s="258"/>
    </row>
    <row r="1605" spans="13:33" ht="12" hidden="1" customHeight="1">
      <c r="M1605" s="820"/>
      <c r="N1605" s="239"/>
      <c r="O1605" s="225"/>
      <c r="P1605" s="260"/>
      <c r="Q1605" s="258"/>
      <c r="R1605" s="260"/>
      <c r="S1605" s="260"/>
      <c r="T1605" s="260"/>
      <c r="U1605" s="260"/>
      <c r="V1605" s="260"/>
      <c r="W1605" s="260"/>
      <c r="X1605" s="260"/>
      <c r="Y1605" s="260"/>
      <c r="Z1605" s="260"/>
      <c r="AA1605" s="260"/>
      <c r="AB1605" s="260"/>
      <c r="AC1605" s="260"/>
      <c r="AD1605" s="260"/>
      <c r="AE1605" s="260"/>
      <c r="AF1605" s="260"/>
      <c r="AG1605" s="258"/>
    </row>
    <row r="1606" spans="13:33" ht="12" hidden="1" customHeight="1">
      <c r="M1606" s="820"/>
      <c r="N1606" s="239"/>
      <c r="O1606" s="225"/>
      <c r="P1606" s="260"/>
      <c r="Q1606" s="258"/>
      <c r="R1606" s="260"/>
      <c r="S1606" s="260"/>
      <c r="T1606" s="260"/>
      <c r="U1606" s="260"/>
      <c r="V1606" s="260"/>
      <c r="W1606" s="260"/>
      <c r="X1606" s="260"/>
      <c r="Y1606" s="260"/>
      <c r="Z1606" s="260"/>
      <c r="AA1606" s="260"/>
      <c r="AB1606" s="260"/>
      <c r="AC1606" s="260"/>
      <c r="AD1606" s="260"/>
      <c r="AE1606" s="260"/>
      <c r="AF1606" s="260"/>
      <c r="AG1606" s="258"/>
    </row>
    <row r="1607" spans="13:33" ht="12" hidden="1" customHeight="1">
      <c r="M1607" s="820"/>
      <c r="N1607" s="239"/>
      <c r="O1607" s="225"/>
      <c r="P1607" s="260"/>
      <c r="Q1607" s="258"/>
      <c r="R1607" s="260"/>
      <c r="S1607" s="260"/>
      <c r="T1607" s="260"/>
      <c r="U1607" s="260"/>
      <c r="V1607" s="260"/>
      <c r="W1607" s="260"/>
      <c r="X1607" s="260"/>
      <c r="Y1607" s="260"/>
      <c r="Z1607" s="260"/>
      <c r="AA1607" s="260"/>
      <c r="AB1607" s="260"/>
      <c r="AC1607" s="260"/>
      <c r="AD1607" s="260"/>
      <c r="AE1607" s="260"/>
      <c r="AF1607" s="260"/>
      <c r="AG1607" s="258"/>
    </row>
    <row r="1608" spans="13:33" ht="12" hidden="1" customHeight="1">
      <c r="M1608" s="820"/>
      <c r="N1608" s="239"/>
      <c r="O1608" s="225"/>
      <c r="P1608" s="260"/>
      <c r="Q1608" s="258"/>
      <c r="R1608" s="260"/>
      <c r="S1608" s="260"/>
      <c r="T1608" s="260"/>
      <c r="U1608" s="260"/>
      <c r="V1608" s="260"/>
      <c r="W1608" s="260"/>
      <c r="X1608" s="260"/>
      <c r="Y1608" s="260"/>
      <c r="Z1608" s="260"/>
      <c r="AA1608" s="260"/>
      <c r="AB1608" s="260"/>
      <c r="AC1608" s="260"/>
      <c r="AD1608" s="260"/>
      <c r="AE1608" s="260"/>
      <c r="AF1608" s="260"/>
      <c r="AG1608" s="258"/>
    </row>
    <row r="1609" spans="13:33" ht="12" hidden="1" customHeight="1">
      <c r="M1609" s="820"/>
      <c r="N1609" s="239"/>
      <c r="O1609" s="225"/>
      <c r="P1609" s="260"/>
      <c r="Q1609" s="258"/>
      <c r="R1609" s="260"/>
      <c r="S1609" s="260"/>
      <c r="T1609" s="260"/>
      <c r="U1609" s="260"/>
      <c r="V1609" s="260"/>
      <c r="W1609" s="260"/>
      <c r="X1609" s="260"/>
      <c r="Y1609" s="260"/>
      <c r="Z1609" s="260"/>
      <c r="AA1609" s="260"/>
      <c r="AB1609" s="260"/>
      <c r="AC1609" s="260"/>
      <c r="AD1609" s="260"/>
      <c r="AE1609" s="260"/>
      <c r="AF1609" s="260"/>
      <c r="AG1609" s="258"/>
    </row>
    <row r="1610" spans="13:33" ht="12" hidden="1" customHeight="1">
      <c r="M1610" s="820"/>
      <c r="N1610" s="239"/>
      <c r="O1610" s="225"/>
      <c r="P1610" s="260"/>
      <c r="Q1610" s="258"/>
      <c r="R1610" s="260"/>
      <c r="S1610" s="260"/>
      <c r="T1610" s="260"/>
      <c r="U1610" s="260"/>
      <c r="V1610" s="260"/>
      <c r="W1610" s="260"/>
      <c r="X1610" s="260"/>
      <c r="Y1610" s="260"/>
      <c r="Z1610" s="260"/>
      <c r="AA1610" s="260"/>
      <c r="AB1610" s="260"/>
      <c r="AC1610" s="260"/>
      <c r="AD1610" s="260"/>
      <c r="AE1610" s="260"/>
      <c r="AF1610" s="260"/>
      <c r="AG1610" s="258"/>
    </row>
    <row r="1611" spans="13:33" ht="12" hidden="1" customHeight="1">
      <c r="M1611" s="820"/>
      <c r="N1611" s="239"/>
      <c r="O1611" s="225"/>
      <c r="P1611" s="260"/>
      <c r="Q1611" s="258"/>
      <c r="R1611" s="260"/>
      <c r="S1611" s="260"/>
      <c r="T1611" s="260"/>
      <c r="U1611" s="260"/>
      <c r="V1611" s="260"/>
      <c r="W1611" s="260"/>
      <c r="X1611" s="260"/>
      <c r="Y1611" s="260"/>
      <c r="Z1611" s="260"/>
      <c r="AA1611" s="260"/>
      <c r="AB1611" s="260"/>
      <c r="AC1611" s="260"/>
      <c r="AD1611" s="260"/>
      <c r="AE1611" s="260"/>
      <c r="AF1611" s="260"/>
      <c r="AG1611" s="258"/>
    </row>
    <row r="1612" spans="13:33" ht="12" hidden="1" customHeight="1">
      <c r="M1612" s="820"/>
      <c r="N1612" s="239"/>
      <c r="O1612" s="225"/>
      <c r="P1612" s="260"/>
      <c r="Q1612" s="258"/>
      <c r="R1612" s="260"/>
      <c r="S1612" s="260"/>
      <c r="T1612" s="260"/>
      <c r="U1612" s="260"/>
      <c r="V1612" s="260"/>
      <c r="W1612" s="260"/>
      <c r="X1612" s="260"/>
      <c r="Y1612" s="260"/>
      <c r="Z1612" s="260"/>
      <c r="AA1612" s="260"/>
      <c r="AB1612" s="260"/>
      <c r="AC1612" s="260"/>
      <c r="AD1612" s="260"/>
      <c r="AE1612" s="260"/>
      <c r="AF1612" s="260"/>
      <c r="AG1612" s="258"/>
    </row>
    <row r="1613" spans="13:33" ht="12" hidden="1" customHeight="1">
      <c r="M1613" s="820"/>
      <c r="N1613" s="239"/>
      <c r="O1613" s="225"/>
      <c r="P1613" s="260"/>
      <c r="Q1613" s="258"/>
      <c r="R1613" s="260"/>
      <c r="S1613" s="260"/>
      <c r="T1613" s="260"/>
      <c r="U1613" s="260"/>
      <c r="V1613" s="260"/>
      <c r="W1613" s="260"/>
      <c r="X1613" s="260"/>
      <c r="Y1613" s="260"/>
      <c r="Z1613" s="260"/>
      <c r="AA1613" s="260"/>
      <c r="AB1613" s="260"/>
      <c r="AC1613" s="260"/>
      <c r="AD1613" s="260"/>
      <c r="AE1613" s="260"/>
      <c r="AF1613" s="260"/>
      <c r="AG1613" s="258"/>
    </row>
    <row r="1614" spans="13:33" ht="12" hidden="1" customHeight="1">
      <c r="M1614" s="820"/>
      <c r="N1614" s="239"/>
      <c r="O1614" s="225"/>
      <c r="P1614" s="260"/>
      <c r="Q1614" s="258"/>
      <c r="R1614" s="260"/>
      <c r="S1614" s="260"/>
      <c r="T1614" s="260"/>
      <c r="U1614" s="260"/>
      <c r="V1614" s="260"/>
      <c r="W1614" s="260"/>
      <c r="X1614" s="260"/>
      <c r="Y1614" s="260"/>
      <c r="Z1614" s="260"/>
      <c r="AA1614" s="260"/>
      <c r="AB1614" s="260"/>
      <c r="AC1614" s="260"/>
      <c r="AD1614" s="260"/>
      <c r="AE1614" s="260"/>
      <c r="AF1614" s="260"/>
      <c r="AG1614" s="258"/>
    </row>
    <row r="1615" spans="13:33" ht="12" hidden="1" customHeight="1">
      <c r="M1615" s="820"/>
      <c r="N1615" s="239"/>
      <c r="O1615" s="225"/>
      <c r="P1615" s="260"/>
      <c r="Q1615" s="258"/>
      <c r="R1615" s="260"/>
      <c r="S1615" s="260"/>
      <c r="T1615" s="260"/>
      <c r="U1615" s="260"/>
      <c r="V1615" s="260"/>
      <c r="W1615" s="260"/>
      <c r="X1615" s="260"/>
      <c r="Y1615" s="260"/>
      <c r="Z1615" s="260"/>
      <c r="AA1615" s="260"/>
      <c r="AB1615" s="260"/>
      <c r="AC1615" s="260"/>
      <c r="AD1615" s="260"/>
      <c r="AE1615" s="260"/>
      <c r="AF1615" s="260"/>
      <c r="AG1615" s="258"/>
    </row>
    <row r="1616" spans="13:33" ht="12" hidden="1" customHeight="1">
      <c r="M1616" s="820"/>
      <c r="N1616" s="239"/>
      <c r="O1616" s="225"/>
      <c r="P1616" s="260"/>
      <c r="Q1616" s="258"/>
      <c r="R1616" s="260"/>
      <c r="S1616" s="260"/>
      <c r="T1616" s="260"/>
      <c r="U1616" s="260"/>
      <c r="V1616" s="260"/>
      <c r="W1616" s="260"/>
      <c r="X1616" s="260"/>
      <c r="Y1616" s="260"/>
      <c r="Z1616" s="260"/>
      <c r="AA1616" s="260"/>
      <c r="AB1616" s="260"/>
      <c r="AC1616" s="260"/>
      <c r="AD1616" s="260"/>
      <c r="AE1616" s="260"/>
      <c r="AF1616" s="260"/>
      <c r="AG1616" s="258"/>
    </row>
    <row r="1617" spans="13:33" ht="12" hidden="1" customHeight="1">
      <c r="M1617" s="820"/>
      <c r="N1617" s="239"/>
      <c r="O1617" s="225"/>
      <c r="P1617" s="260"/>
      <c r="Q1617" s="258"/>
      <c r="R1617" s="260"/>
      <c r="S1617" s="260"/>
      <c r="T1617" s="260"/>
      <c r="U1617" s="260"/>
      <c r="V1617" s="260"/>
      <c r="W1617" s="260"/>
      <c r="X1617" s="260"/>
      <c r="Y1617" s="260"/>
      <c r="Z1617" s="260"/>
      <c r="AA1617" s="260"/>
      <c r="AB1617" s="260"/>
      <c r="AC1617" s="260"/>
      <c r="AD1617" s="260"/>
      <c r="AE1617" s="260"/>
      <c r="AF1617" s="260"/>
      <c r="AG1617" s="258"/>
    </row>
    <row r="1618" spans="13:33" ht="12" hidden="1" customHeight="1">
      <c r="M1618" s="820"/>
      <c r="N1618" s="239"/>
      <c r="O1618" s="225"/>
      <c r="P1618" s="260"/>
      <c r="Q1618" s="258"/>
      <c r="R1618" s="260"/>
      <c r="S1618" s="260"/>
      <c r="T1618" s="260"/>
      <c r="U1618" s="260"/>
      <c r="V1618" s="260"/>
      <c r="W1618" s="260"/>
      <c r="X1618" s="260"/>
      <c r="Y1618" s="260"/>
      <c r="Z1618" s="260"/>
      <c r="AA1618" s="260"/>
      <c r="AB1618" s="260"/>
      <c r="AC1618" s="260"/>
      <c r="AD1618" s="260"/>
      <c r="AE1618" s="260"/>
      <c r="AF1618" s="260"/>
      <c r="AG1618" s="258"/>
    </row>
    <row r="1619" spans="13:33" ht="12" hidden="1" customHeight="1">
      <c r="M1619" s="820"/>
      <c r="N1619" s="239"/>
      <c r="O1619" s="225"/>
      <c r="P1619" s="260"/>
      <c r="Q1619" s="258"/>
      <c r="R1619" s="260"/>
      <c r="S1619" s="260"/>
      <c r="T1619" s="260"/>
      <c r="U1619" s="260"/>
      <c r="V1619" s="260"/>
      <c r="W1619" s="260"/>
      <c r="X1619" s="260"/>
      <c r="Y1619" s="260"/>
      <c r="Z1619" s="260"/>
      <c r="AA1619" s="260"/>
      <c r="AB1619" s="260"/>
      <c r="AC1619" s="260"/>
      <c r="AD1619" s="260"/>
      <c r="AE1619" s="260"/>
      <c r="AF1619" s="260"/>
      <c r="AG1619" s="258"/>
    </row>
    <row r="1620" spans="13:33" ht="12" hidden="1" customHeight="1">
      <c r="M1620" s="820"/>
      <c r="N1620" s="239"/>
      <c r="O1620" s="225"/>
      <c r="P1620" s="260"/>
      <c r="Q1620" s="258"/>
      <c r="R1620" s="260"/>
      <c r="S1620" s="260"/>
      <c r="T1620" s="260"/>
      <c r="U1620" s="260"/>
      <c r="V1620" s="260"/>
      <c r="W1620" s="260"/>
      <c r="X1620" s="260"/>
      <c r="Y1620" s="260"/>
      <c r="Z1620" s="260"/>
      <c r="AA1620" s="260"/>
      <c r="AB1620" s="260"/>
      <c r="AC1620" s="260"/>
      <c r="AD1620" s="260"/>
      <c r="AE1620" s="260"/>
      <c r="AF1620" s="260"/>
      <c r="AG1620" s="258"/>
    </row>
    <row r="1621" spans="13:33" ht="12" hidden="1" customHeight="1">
      <c r="M1621" s="820"/>
      <c r="N1621" s="239"/>
      <c r="O1621" s="225"/>
      <c r="P1621" s="260"/>
      <c r="Q1621" s="258"/>
      <c r="R1621" s="260"/>
      <c r="S1621" s="260"/>
      <c r="T1621" s="260"/>
      <c r="U1621" s="260"/>
      <c r="V1621" s="260"/>
      <c r="W1621" s="260"/>
      <c r="X1621" s="260"/>
      <c r="Y1621" s="260"/>
      <c r="Z1621" s="260"/>
      <c r="AA1621" s="260"/>
      <c r="AB1621" s="260"/>
      <c r="AC1621" s="260"/>
      <c r="AD1621" s="260"/>
      <c r="AE1621" s="260"/>
      <c r="AF1621" s="260"/>
      <c r="AG1621" s="258"/>
    </row>
    <row r="1622" spans="13:33" ht="12" hidden="1" customHeight="1">
      <c r="M1622" s="820"/>
      <c r="N1622" s="239"/>
      <c r="O1622" s="225"/>
      <c r="P1622" s="260"/>
      <c r="Q1622" s="258"/>
      <c r="R1622" s="260"/>
      <c r="S1622" s="260"/>
      <c r="T1622" s="260"/>
      <c r="U1622" s="260"/>
      <c r="V1622" s="260"/>
      <c r="W1622" s="260"/>
      <c r="X1622" s="260"/>
      <c r="Y1622" s="260"/>
      <c r="Z1622" s="260"/>
      <c r="AA1622" s="260"/>
      <c r="AB1622" s="260"/>
      <c r="AC1622" s="260"/>
      <c r="AD1622" s="260"/>
      <c r="AE1622" s="260"/>
      <c r="AF1622" s="260"/>
      <c r="AG1622" s="258"/>
    </row>
    <row r="1623" spans="13:33" ht="12" hidden="1" customHeight="1">
      <c r="M1623" s="820"/>
      <c r="N1623" s="239"/>
      <c r="O1623" s="225"/>
      <c r="P1623" s="260"/>
      <c r="Q1623" s="258"/>
      <c r="R1623" s="260"/>
      <c r="S1623" s="260"/>
      <c r="T1623" s="260"/>
      <c r="U1623" s="260"/>
      <c r="V1623" s="260"/>
      <c r="W1623" s="260"/>
      <c r="X1623" s="260"/>
      <c r="Y1623" s="260"/>
      <c r="Z1623" s="260"/>
      <c r="AA1623" s="260"/>
      <c r="AB1623" s="260"/>
      <c r="AC1623" s="260"/>
      <c r="AD1623" s="260"/>
      <c r="AE1623" s="260"/>
      <c r="AF1623" s="260"/>
      <c r="AG1623" s="258"/>
    </row>
    <row r="1624" spans="13:33" ht="12" hidden="1" customHeight="1">
      <c r="M1624" s="820"/>
      <c r="N1624" s="239"/>
      <c r="O1624" s="225"/>
      <c r="P1624" s="260"/>
      <c r="Q1624" s="258"/>
      <c r="R1624" s="260"/>
      <c r="S1624" s="260"/>
      <c r="T1624" s="260"/>
      <c r="U1624" s="260"/>
      <c r="V1624" s="260"/>
      <c r="W1624" s="260"/>
      <c r="X1624" s="260"/>
      <c r="Y1624" s="260"/>
      <c r="Z1624" s="260"/>
      <c r="AA1624" s="260"/>
      <c r="AB1624" s="260"/>
      <c r="AC1624" s="260"/>
      <c r="AD1624" s="260"/>
      <c r="AE1624" s="260"/>
      <c r="AF1624" s="260"/>
      <c r="AG1624" s="258"/>
    </row>
    <row r="1625" spans="13:33" ht="12" hidden="1" customHeight="1">
      <c r="M1625" s="820"/>
      <c r="N1625" s="239"/>
      <c r="O1625" s="225"/>
      <c r="P1625" s="260"/>
      <c r="Q1625" s="258"/>
      <c r="R1625" s="260"/>
      <c r="S1625" s="260"/>
      <c r="T1625" s="260"/>
      <c r="U1625" s="260"/>
      <c r="V1625" s="260"/>
      <c r="W1625" s="260"/>
      <c r="X1625" s="260"/>
      <c r="Y1625" s="260"/>
      <c r="Z1625" s="260"/>
      <c r="AA1625" s="260"/>
      <c r="AB1625" s="260"/>
      <c r="AC1625" s="260"/>
      <c r="AD1625" s="260"/>
      <c r="AE1625" s="260"/>
      <c r="AF1625" s="260"/>
      <c r="AG1625" s="258"/>
    </row>
    <row r="1626" spans="13:33" ht="12" hidden="1" customHeight="1">
      <c r="M1626" s="820"/>
      <c r="N1626" s="239"/>
      <c r="O1626" s="225"/>
      <c r="P1626" s="260"/>
      <c r="Q1626" s="258"/>
      <c r="R1626" s="260"/>
      <c r="S1626" s="260"/>
      <c r="T1626" s="260"/>
      <c r="U1626" s="260"/>
      <c r="V1626" s="260"/>
      <c r="W1626" s="260"/>
      <c r="X1626" s="260"/>
      <c r="Y1626" s="260"/>
      <c r="Z1626" s="260"/>
      <c r="AA1626" s="260"/>
      <c r="AB1626" s="260"/>
      <c r="AC1626" s="260"/>
      <c r="AD1626" s="260"/>
      <c r="AE1626" s="260"/>
      <c r="AF1626" s="260"/>
      <c r="AG1626" s="258"/>
    </row>
    <row r="1627" spans="13:33" ht="12" hidden="1" customHeight="1">
      <c r="M1627" s="820"/>
      <c r="N1627" s="239"/>
      <c r="O1627" s="225"/>
      <c r="P1627" s="260"/>
      <c r="Q1627" s="258"/>
      <c r="R1627" s="260"/>
      <c r="S1627" s="260"/>
      <c r="T1627" s="260"/>
      <c r="U1627" s="260"/>
      <c r="V1627" s="260"/>
      <c r="W1627" s="260"/>
      <c r="X1627" s="260"/>
      <c r="Y1627" s="260"/>
      <c r="Z1627" s="260"/>
      <c r="AA1627" s="260"/>
      <c r="AB1627" s="260"/>
      <c r="AC1627" s="260"/>
      <c r="AD1627" s="260"/>
      <c r="AE1627" s="260"/>
      <c r="AF1627" s="260"/>
      <c r="AG1627" s="258"/>
    </row>
    <row r="1628" spans="13:33" ht="12" hidden="1" customHeight="1">
      <c r="M1628" s="820"/>
      <c r="N1628" s="239"/>
      <c r="O1628" s="225"/>
      <c r="P1628" s="260"/>
      <c r="Q1628" s="258"/>
      <c r="R1628" s="260"/>
      <c r="S1628" s="260"/>
      <c r="T1628" s="260"/>
      <c r="U1628" s="260"/>
      <c r="V1628" s="260"/>
      <c r="W1628" s="260"/>
      <c r="X1628" s="260"/>
      <c r="Y1628" s="260"/>
      <c r="Z1628" s="260"/>
      <c r="AA1628" s="260"/>
      <c r="AB1628" s="260"/>
      <c r="AC1628" s="260"/>
      <c r="AD1628" s="260"/>
      <c r="AE1628" s="260"/>
      <c r="AF1628" s="260"/>
      <c r="AG1628" s="258"/>
    </row>
    <row r="1629" spans="13:33" ht="12" hidden="1" customHeight="1">
      <c r="M1629" s="820"/>
      <c r="N1629" s="239"/>
      <c r="O1629" s="225"/>
      <c r="P1629" s="260"/>
      <c r="Q1629" s="258"/>
      <c r="R1629" s="260"/>
      <c r="S1629" s="260"/>
      <c r="T1629" s="260"/>
      <c r="U1629" s="260"/>
      <c r="V1629" s="260"/>
      <c r="W1629" s="260"/>
      <c r="X1629" s="260"/>
      <c r="Y1629" s="260"/>
      <c r="Z1629" s="260"/>
      <c r="AA1629" s="260"/>
      <c r="AB1629" s="260"/>
      <c r="AC1629" s="260"/>
      <c r="AD1629" s="260"/>
      <c r="AE1629" s="260"/>
      <c r="AF1629" s="260"/>
      <c r="AG1629" s="258"/>
    </row>
    <row r="1630" spans="13:33" ht="12" hidden="1" customHeight="1">
      <c r="M1630" s="820"/>
      <c r="N1630" s="239"/>
      <c r="O1630" s="225"/>
      <c r="P1630" s="260"/>
      <c r="Q1630" s="258"/>
      <c r="R1630" s="260"/>
      <c r="S1630" s="260"/>
      <c r="T1630" s="260"/>
      <c r="U1630" s="260"/>
      <c r="V1630" s="260"/>
      <c r="W1630" s="260"/>
      <c r="X1630" s="260"/>
      <c r="Y1630" s="260"/>
      <c r="Z1630" s="260"/>
      <c r="AA1630" s="260"/>
      <c r="AB1630" s="260"/>
      <c r="AC1630" s="260"/>
      <c r="AD1630" s="260"/>
      <c r="AE1630" s="260"/>
      <c r="AF1630" s="260"/>
      <c r="AG1630" s="258"/>
    </row>
    <row r="1631" spans="13:33" ht="12" hidden="1" customHeight="1">
      <c r="M1631" s="820"/>
      <c r="N1631" s="239"/>
      <c r="O1631" s="225"/>
      <c r="P1631" s="260"/>
      <c r="Q1631" s="258"/>
      <c r="R1631" s="260"/>
      <c r="S1631" s="260"/>
      <c r="T1631" s="260"/>
      <c r="U1631" s="260"/>
      <c r="V1631" s="260"/>
      <c r="W1631" s="260"/>
      <c r="X1631" s="260"/>
      <c r="Y1631" s="260"/>
      <c r="Z1631" s="260"/>
      <c r="AA1631" s="260"/>
      <c r="AB1631" s="260"/>
      <c r="AC1631" s="260"/>
      <c r="AD1631" s="260"/>
      <c r="AE1631" s="260"/>
      <c r="AF1631" s="260"/>
      <c r="AG1631" s="258"/>
    </row>
    <row r="1632" spans="13:33" ht="12" hidden="1" customHeight="1">
      <c r="M1632" s="820"/>
      <c r="N1632" s="239"/>
      <c r="O1632" s="225"/>
      <c r="P1632" s="260"/>
      <c r="Q1632" s="258"/>
      <c r="R1632" s="260"/>
      <c r="S1632" s="260"/>
      <c r="T1632" s="260"/>
      <c r="U1632" s="260"/>
      <c r="V1632" s="260"/>
      <c r="W1632" s="260"/>
      <c r="X1632" s="260"/>
      <c r="Y1632" s="260"/>
      <c r="Z1632" s="260"/>
      <c r="AA1632" s="260"/>
      <c r="AB1632" s="260"/>
      <c r="AC1632" s="260"/>
      <c r="AD1632" s="260"/>
      <c r="AE1632" s="260"/>
      <c r="AF1632" s="260"/>
      <c r="AG1632" s="258"/>
    </row>
    <row r="1633" spans="13:33" ht="12" hidden="1" customHeight="1">
      <c r="M1633" s="820"/>
      <c r="N1633" s="239"/>
      <c r="O1633" s="225"/>
      <c r="P1633" s="260"/>
      <c r="Q1633" s="258"/>
      <c r="R1633" s="260"/>
      <c r="S1633" s="260"/>
      <c r="T1633" s="260"/>
      <c r="U1633" s="260"/>
      <c r="V1633" s="260"/>
      <c r="W1633" s="260"/>
      <c r="X1633" s="260"/>
      <c r="Y1633" s="260"/>
      <c r="Z1633" s="260"/>
      <c r="AA1633" s="260"/>
      <c r="AB1633" s="260"/>
      <c r="AC1633" s="260"/>
      <c r="AD1633" s="260"/>
      <c r="AE1633" s="260"/>
      <c r="AF1633" s="260"/>
      <c r="AG1633" s="258"/>
    </row>
    <row r="1634" spans="13:33" ht="12" hidden="1" customHeight="1">
      <c r="M1634" s="820"/>
      <c r="N1634" s="239"/>
      <c r="O1634" s="225"/>
      <c r="P1634" s="260"/>
      <c r="Q1634" s="258"/>
      <c r="R1634" s="260"/>
      <c r="S1634" s="260"/>
      <c r="T1634" s="260"/>
      <c r="U1634" s="260"/>
      <c r="V1634" s="260"/>
      <c r="W1634" s="260"/>
      <c r="X1634" s="260"/>
      <c r="Y1634" s="260"/>
      <c r="Z1634" s="260"/>
      <c r="AA1634" s="260"/>
      <c r="AB1634" s="260"/>
      <c r="AC1634" s="260"/>
      <c r="AD1634" s="260"/>
      <c r="AE1634" s="260"/>
      <c r="AF1634" s="260"/>
      <c r="AG1634" s="258"/>
    </row>
    <row r="1635" spans="13:33" ht="12" hidden="1" customHeight="1">
      <c r="M1635" s="820"/>
      <c r="N1635" s="239"/>
      <c r="O1635" s="225"/>
      <c r="P1635" s="260"/>
      <c r="Q1635" s="258"/>
      <c r="R1635" s="260"/>
      <c r="S1635" s="260"/>
      <c r="T1635" s="260"/>
      <c r="U1635" s="260"/>
      <c r="V1635" s="260"/>
      <c r="W1635" s="260"/>
      <c r="X1635" s="260"/>
      <c r="Y1635" s="260"/>
      <c r="Z1635" s="260"/>
      <c r="AA1635" s="260"/>
      <c r="AB1635" s="260"/>
      <c r="AC1635" s="260"/>
      <c r="AD1635" s="260"/>
      <c r="AE1635" s="260"/>
      <c r="AF1635" s="260"/>
      <c r="AG1635" s="258"/>
    </row>
    <row r="1636" spans="13:33" ht="12" hidden="1" customHeight="1">
      <c r="M1636" s="820"/>
      <c r="N1636" s="239"/>
      <c r="O1636" s="225"/>
      <c r="P1636" s="260"/>
      <c r="Q1636" s="258"/>
      <c r="R1636" s="260"/>
      <c r="S1636" s="260"/>
      <c r="T1636" s="260"/>
      <c r="U1636" s="260"/>
      <c r="V1636" s="260"/>
      <c r="W1636" s="260"/>
      <c r="X1636" s="260"/>
      <c r="Y1636" s="260"/>
      <c r="Z1636" s="260"/>
      <c r="AA1636" s="260"/>
      <c r="AB1636" s="260"/>
      <c r="AC1636" s="260"/>
      <c r="AD1636" s="260"/>
      <c r="AE1636" s="260"/>
      <c r="AF1636" s="260"/>
      <c r="AG1636" s="258"/>
    </row>
    <row r="1637" spans="13:33" ht="12" hidden="1" customHeight="1">
      <c r="M1637" s="820"/>
      <c r="N1637" s="239"/>
      <c r="O1637" s="225"/>
      <c r="P1637" s="260"/>
      <c r="Q1637" s="258"/>
      <c r="R1637" s="260"/>
      <c r="S1637" s="260"/>
      <c r="T1637" s="260"/>
      <c r="U1637" s="260"/>
      <c r="V1637" s="260"/>
      <c r="W1637" s="260"/>
      <c r="X1637" s="260"/>
      <c r="Y1637" s="260"/>
      <c r="Z1637" s="260"/>
      <c r="AA1637" s="260"/>
      <c r="AB1637" s="260"/>
      <c r="AC1637" s="260"/>
      <c r="AD1637" s="260"/>
      <c r="AE1637" s="260"/>
      <c r="AF1637" s="260"/>
      <c r="AG1637" s="258"/>
    </row>
    <row r="1638" spans="13:33" ht="12" hidden="1" customHeight="1">
      <c r="M1638" s="820"/>
      <c r="N1638" s="239"/>
      <c r="O1638" s="225"/>
      <c r="P1638" s="260"/>
      <c r="Q1638" s="258"/>
      <c r="R1638" s="260"/>
      <c r="S1638" s="260"/>
      <c r="T1638" s="260"/>
      <c r="U1638" s="260"/>
      <c r="V1638" s="260"/>
      <c r="W1638" s="260"/>
      <c r="X1638" s="260"/>
      <c r="Y1638" s="260"/>
      <c r="Z1638" s="260"/>
      <c r="AA1638" s="260"/>
      <c r="AB1638" s="260"/>
      <c r="AC1638" s="260"/>
      <c r="AD1638" s="260"/>
      <c r="AE1638" s="260"/>
      <c r="AF1638" s="260"/>
      <c r="AG1638" s="258"/>
    </row>
    <row r="1639" spans="13:33" ht="12" hidden="1" customHeight="1">
      <c r="M1639" s="820"/>
      <c r="N1639" s="239"/>
      <c r="O1639" s="225"/>
      <c r="P1639" s="260"/>
      <c r="Q1639" s="258"/>
      <c r="R1639" s="260"/>
      <c r="S1639" s="260"/>
      <c r="T1639" s="260"/>
      <c r="U1639" s="260"/>
      <c r="V1639" s="260"/>
      <c r="W1639" s="260"/>
      <c r="X1639" s="260"/>
      <c r="Y1639" s="260"/>
      <c r="Z1639" s="260"/>
      <c r="AA1639" s="260"/>
      <c r="AB1639" s="260"/>
      <c r="AC1639" s="260"/>
      <c r="AD1639" s="260"/>
      <c r="AE1639" s="260"/>
      <c r="AF1639" s="260"/>
      <c r="AG1639" s="258"/>
    </row>
    <row r="1640" spans="13:33" ht="12" hidden="1" customHeight="1">
      <c r="M1640" s="820"/>
      <c r="N1640" s="239"/>
      <c r="O1640" s="225"/>
      <c r="P1640" s="260"/>
      <c r="Q1640" s="258"/>
      <c r="R1640" s="260"/>
      <c r="S1640" s="260"/>
      <c r="T1640" s="260"/>
      <c r="U1640" s="260"/>
      <c r="V1640" s="260"/>
      <c r="W1640" s="260"/>
      <c r="X1640" s="260"/>
      <c r="Y1640" s="260"/>
      <c r="Z1640" s="260"/>
      <c r="AA1640" s="260"/>
      <c r="AB1640" s="260"/>
      <c r="AC1640" s="260"/>
      <c r="AD1640" s="260"/>
      <c r="AE1640" s="260"/>
      <c r="AF1640" s="260"/>
      <c r="AG1640" s="258"/>
    </row>
    <row r="1641" spans="13:33" ht="12" hidden="1" customHeight="1">
      <c r="M1641" s="820"/>
      <c r="N1641" s="239"/>
      <c r="O1641" s="225"/>
      <c r="P1641" s="260"/>
      <c r="Q1641" s="258"/>
      <c r="R1641" s="260"/>
      <c r="S1641" s="260"/>
      <c r="T1641" s="260"/>
      <c r="U1641" s="260"/>
      <c r="V1641" s="260"/>
      <c r="W1641" s="260"/>
      <c r="X1641" s="260"/>
      <c r="Y1641" s="260"/>
      <c r="Z1641" s="260"/>
      <c r="AA1641" s="260"/>
      <c r="AB1641" s="260"/>
      <c r="AC1641" s="260"/>
      <c r="AD1641" s="260"/>
      <c r="AE1641" s="260"/>
      <c r="AF1641" s="260"/>
      <c r="AG1641" s="258"/>
    </row>
    <row r="1642" spans="13:33" ht="12" hidden="1" customHeight="1">
      <c r="M1642" s="820"/>
      <c r="N1642" s="239"/>
      <c r="O1642" s="225"/>
      <c r="P1642" s="260"/>
      <c r="Q1642" s="258"/>
      <c r="R1642" s="260"/>
      <c r="S1642" s="260"/>
      <c r="T1642" s="260"/>
      <c r="U1642" s="260"/>
      <c r="V1642" s="260"/>
      <c r="W1642" s="260"/>
      <c r="X1642" s="260"/>
      <c r="Y1642" s="260"/>
      <c r="Z1642" s="260"/>
      <c r="AA1642" s="260"/>
      <c r="AB1642" s="260"/>
      <c r="AC1642" s="260"/>
      <c r="AD1642" s="260"/>
      <c r="AE1642" s="260"/>
      <c r="AF1642" s="260"/>
      <c r="AG1642" s="258"/>
    </row>
    <row r="1643" spans="13:33" ht="12" hidden="1" customHeight="1">
      <c r="M1643" s="820"/>
      <c r="N1643" s="239"/>
      <c r="O1643" s="225"/>
      <c r="P1643" s="260"/>
      <c r="Q1643" s="258"/>
      <c r="R1643" s="260"/>
      <c r="S1643" s="260"/>
      <c r="T1643" s="260"/>
      <c r="U1643" s="260"/>
      <c r="V1643" s="260"/>
      <c r="W1643" s="260"/>
      <c r="X1643" s="260"/>
      <c r="Y1643" s="260"/>
      <c r="Z1643" s="260"/>
      <c r="AA1643" s="260"/>
      <c r="AB1643" s="260"/>
      <c r="AC1643" s="260"/>
      <c r="AD1643" s="260"/>
      <c r="AE1643" s="260"/>
      <c r="AF1643" s="260"/>
      <c r="AG1643" s="258"/>
    </row>
    <row r="1644" spans="13:33" ht="12" hidden="1" customHeight="1">
      <c r="M1644" s="820"/>
      <c r="N1644" s="239"/>
      <c r="O1644" s="225"/>
      <c r="P1644" s="260"/>
      <c r="Q1644" s="258"/>
      <c r="R1644" s="260"/>
      <c r="S1644" s="260"/>
      <c r="T1644" s="260"/>
      <c r="U1644" s="260"/>
      <c r="V1644" s="260"/>
      <c r="W1644" s="260"/>
      <c r="X1644" s="260"/>
      <c r="Y1644" s="260"/>
      <c r="Z1644" s="260"/>
      <c r="AA1644" s="260"/>
      <c r="AB1644" s="260"/>
      <c r="AC1644" s="260"/>
      <c r="AD1644" s="260"/>
      <c r="AE1644" s="260"/>
      <c r="AF1644" s="260"/>
      <c r="AG1644" s="258"/>
    </row>
    <row r="1645" spans="13:33" ht="12" hidden="1" customHeight="1">
      <c r="M1645" s="820"/>
      <c r="N1645" s="239"/>
      <c r="O1645" s="225"/>
      <c r="P1645" s="260"/>
      <c r="Q1645" s="258"/>
      <c r="R1645" s="260"/>
      <c r="S1645" s="260"/>
      <c r="T1645" s="260"/>
      <c r="U1645" s="260"/>
      <c r="V1645" s="260"/>
      <c r="W1645" s="260"/>
      <c r="X1645" s="260"/>
      <c r="Y1645" s="260"/>
      <c r="Z1645" s="260"/>
      <c r="AA1645" s="260"/>
      <c r="AB1645" s="260"/>
      <c r="AC1645" s="260"/>
      <c r="AD1645" s="260"/>
      <c r="AE1645" s="260"/>
      <c r="AF1645" s="260"/>
      <c r="AG1645" s="258"/>
    </row>
    <row r="1646" spans="13:33" ht="12" hidden="1" customHeight="1">
      <c r="M1646" s="820"/>
      <c r="N1646" s="239"/>
      <c r="O1646" s="225"/>
      <c r="P1646" s="260"/>
      <c r="Q1646" s="258"/>
      <c r="R1646" s="260"/>
      <c r="S1646" s="260"/>
      <c r="T1646" s="260"/>
      <c r="U1646" s="260"/>
      <c r="V1646" s="260"/>
      <c r="W1646" s="260"/>
      <c r="X1646" s="260"/>
      <c r="Y1646" s="260"/>
      <c r="Z1646" s="260"/>
      <c r="AA1646" s="260"/>
      <c r="AB1646" s="260"/>
      <c r="AC1646" s="260"/>
      <c r="AD1646" s="260"/>
      <c r="AE1646" s="260"/>
      <c r="AF1646" s="260"/>
      <c r="AG1646" s="258"/>
    </row>
    <row r="1647" spans="13:33" ht="12" hidden="1" customHeight="1">
      <c r="M1647" s="820"/>
      <c r="N1647" s="239"/>
      <c r="O1647" s="225"/>
      <c r="P1647" s="260"/>
      <c r="Q1647" s="258"/>
      <c r="R1647" s="260"/>
      <c r="S1647" s="260"/>
      <c r="T1647" s="260"/>
      <c r="U1647" s="260"/>
      <c r="V1647" s="260"/>
      <c r="W1647" s="260"/>
      <c r="X1647" s="260"/>
      <c r="Y1647" s="260"/>
      <c r="Z1647" s="260"/>
      <c r="AA1647" s="260"/>
      <c r="AB1647" s="260"/>
      <c r="AC1647" s="260"/>
      <c r="AD1647" s="260"/>
      <c r="AE1647" s="260"/>
      <c r="AF1647" s="260"/>
      <c r="AG1647" s="258"/>
    </row>
    <row r="1648" spans="13:33" ht="12" hidden="1" customHeight="1">
      <c r="M1648" s="820"/>
      <c r="N1648" s="239"/>
      <c r="O1648" s="225"/>
      <c r="P1648" s="260"/>
      <c r="Q1648" s="258"/>
      <c r="R1648" s="260"/>
      <c r="S1648" s="260"/>
      <c r="T1648" s="260"/>
      <c r="U1648" s="260"/>
      <c r="V1648" s="260"/>
      <c r="W1648" s="260"/>
      <c r="X1648" s="260"/>
      <c r="Y1648" s="260"/>
      <c r="Z1648" s="260"/>
      <c r="AA1648" s="260"/>
      <c r="AB1648" s="260"/>
      <c r="AC1648" s="260"/>
      <c r="AD1648" s="260"/>
      <c r="AE1648" s="260"/>
      <c r="AF1648" s="260"/>
      <c r="AG1648" s="258"/>
    </row>
    <row r="1649" spans="13:33" ht="12" hidden="1" customHeight="1">
      <c r="M1649" s="820"/>
      <c r="N1649" s="239"/>
      <c r="O1649" s="225"/>
      <c r="P1649" s="260"/>
      <c r="Q1649" s="258"/>
      <c r="R1649" s="260"/>
      <c r="S1649" s="260"/>
      <c r="T1649" s="260"/>
      <c r="U1649" s="260"/>
      <c r="V1649" s="260"/>
      <c r="W1649" s="260"/>
      <c r="X1649" s="260"/>
      <c r="Y1649" s="260"/>
      <c r="Z1649" s="260"/>
      <c r="AA1649" s="260"/>
      <c r="AB1649" s="260"/>
      <c r="AC1649" s="260"/>
      <c r="AD1649" s="260"/>
      <c r="AE1649" s="260"/>
      <c r="AF1649" s="260"/>
      <c r="AG1649" s="258"/>
    </row>
    <row r="1650" spans="13:33" ht="12" hidden="1" customHeight="1">
      <c r="M1650" s="820"/>
      <c r="N1650" s="239"/>
      <c r="O1650" s="225"/>
      <c r="P1650" s="260"/>
      <c r="Q1650" s="258"/>
      <c r="R1650" s="260"/>
      <c r="S1650" s="260"/>
      <c r="T1650" s="260"/>
      <c r="U1650" s="260"/>
      <c r="V1650" s="260"/>
      <c r="W1650" s="260"/>
      <c r="X1650" s="260"/>
      <c r="Y1650" s="260"/>
      <c r="Z1650" s="260"/>
      <c r="AA1650" s="260"/>
      <c r="AB1650" s="260"/>
      <c r="AC1650" s="260"/>
      <c r="AD1650" s="260"/>
      <c r="AE1650" s="260"/>
      <c r="AF1650" s="260"/>
      <c r="AG1650" s="258"/>
    </row>
    <row r="1651" spans="13:33" ht="12" hidden="1" customHeight="1">
      <c r="M1651" s="820"/>
      <c r="N1651" s="239"/>
      <c r="O1651" s="225"/>
      <c r="P1651" s="260"/>
      <c r="Q1651" s="258"/>
      <c r="R1651" s="260"/>
      <c r="S1651" s="260"/>
      <c r="T1651" s="260"/>
      <c r="U1651" s="260"/>
      <c r="V1651" s="260"/>
      <c r="W1651" s="260"/>
      <c r="X1651" s="260"/>
      <c r="Y1651" s="260"/>
      <c r="Z1651" s="260"/>
      <c r="AA1651" s="260"/>
      <c r="AB1651" s="260"/>
      <c r="AC1651" s="260"/>
      <c r="AD1651" s="260"/>
      <c r="AE1651" s="260"/>
      <c r="AF1651" s="260"/>
      <c r="AG1651" s="258"/>
    </row>
    <row r="1652" spans="13:33" ht="12" hidden="1" customHeight="1">
      <c r="M1652" s="820"/>
      <c r="N1652" s="239"/>
      <c r="O1652" s="225"/>
      <c r="P1652" s="260"/>
      <c r="Q1652" s="258"/>
      <c r="R1652" s="260"/>
      <c r="S1652" s="260"/>
      <c r="T1652" s="260"/>
      <c r="U1652" s="260"/>
      <c r="V1652" s="260"/>
      <c r="W1652" s="260"/>
      <c r="X1652" s="260"/>
      <c r="Y1652" s="260"/>
      <c r="Z1652" s="260"/>
      <c r="AA1652" s="260"/>
      <c r="AB1652" s="260"/>
      <c r="AC1652" s="260"/>
      <c r="AD1652" s="260"/>
      <c r="AE1652" s="260"/>
      <c r="AF1652" s="260"/>
      <c r="AG1652" s="258"/>
    </row>
    <row r="1653" spans="13:33" ht="12" hidden="1" customHeight="1">
      <c r="M1653" s="820"/>
      <c r="N1653" s="239"/>
      <c r="O1653" s="225"/>
      <c r="P1653" s="260"/>
      <c r="Q1653" s="258"/>
      <c r="R1653" s="260"/>
      <c r="S1653" s="260"/>
      <c r="T1653" s="260"/>
      <c r="U1653" s="260"/>
      <c r="V1653" s="260"/>
      <c r="W1653" s="260"/>
      <c r="X1653" s="260"/>
      <c r="Y1653" s="260"/>
      <c r="Z1653" s="260"/>
      <c r="AA1653" s="260"/>
      <c r="AB1653" s="260"/>
      <c r="AC1653" s="260"/>
      <c r="AD1653" s="260"/>
      <c r="AE1653" s="260"/>
      <c r="AF1653" s="260"/>
      <c r="AG1653" s="258"/>
    </row>
    <row r="1654" spans="13:33" ht="12" hidden="1" customHeight="1">
      <c r="M1654" s="820"/>
      <c r="N1654" s="239"/>
      <c r="O1654" s="225"/>
      <c r="P1654" s="260"/>
      <c r="Q1654" s="258"/>
      <c r="R1654" s="260"/>
      <c r="S1654" s="260"/>
      <c r="T1654" s="260"/>
      <c r="U1654" s="260"/>
      <c r="V1654" s="260"/>
      <c r="W1654" s="260"/>
      <c r="X1654" s="260"/>
      <c r="Y1654" s="260"/>
      <c r="Z1654" s="260"/>
      <c r="AA1654" s="260"/>
      <c r="AB1654" s="260"/>
      <c r="AC1654" s="260"/>
      <c r="AD1654" s="260"/>
      <c r="AE1654" s="260"/>
      <c r="AF1654" s="260"/>
      <c r="AG1654" s="258"/>
    </row>
    <row r="1655" spans="13:33" ht="12" hidden="1" customHeight="1">
      <c r="M1655" s="820"/>
      <c r="N1655" s="239"/>
      <c r="O1655" s="225"/>
      <c r="P1655" s="260"/>
      <c r="Q1655" s="258"/>
      <c r="R1655" s="260"/>
      <c r="S1655" s="260"/>
      <c r="T1655" s="260"/>
      <c r="U1655" s="260"/>
      <c r="V1655" s="260"/>
      <c r="W1655" s="260"/>
      <c r="X1655" s="260"/>
      <c r="Y1655" s="260"/>
      <c r="Z1655" s="260"/>
      <c r="AA1655" s="260"/>
      <c r="AB1655" s="260"/>
      <c r="AC1655" s="260"/>
      <c r="AD1655" s="260"/>
      <c r="AE1655" s="260"/>
      <c r="AF1655" s="260"/>
      <c r="AG1655" s="258"/>
    </row>
    <row r="1656" spans="13:33" ht="12" hidden="1" customHeight="1">
      <c r="M1656" s="820"/>
      <c r="N1656" s="239"/>
      <c r="O1656" s="225"/>
      <c r="P1656" s="260"/>
      <c r="Q1656" s="258"/>
      <c r="R1656" s="260"/>
      <c r="S1656" s="260"/>
      <c r="T1656" s="260"/>
      <c r="U1656" s="260"/>
      <c r="V1656" s="260"/>
      <c r="W1656" s="260"/>
      <c r="X1656" s="260"/>
      <c r="Y1656" s="260"/>
      <c r="Z1656" s="260"/>
      <c r="AA1656" s="260"/>
      <c r="AB1656" s="260"/>
      <c r="AC1656" s="260"/>
      <c r="AD1656" s="260"/>
      <c r="AE1656" s="260"/>
      <c r="AF1656" s="260"/>
      <c r="AG1656" s="258"/>
    </row>
    <row r="1657" spans="13:33" ht="12" hidden="1" customHeight="1">
      <c r="M1657" s="820"/>
      <c r="N1657" s="239"/>
      <c r="O1657" s="225"/>
      <c r="P1657" s="260"/>
      <c r="Q1657" s="258"/>
      <c r="R1657" s="260"/>
      <c r="S1657" s="260"/>
      <c r="T1657" s="260"/>
      <c r="U1657" s="260"/>
      <c r="V1657" s="260"/>
      <c r="W1657" s="260"/>
      <c r="X1657" s="260"/>
      <c r="Y1657" s="260"/>
      <c r="Z1657" s="260"/>
      <c r="AA1657" s="260"/>
      <c r="AB1657" s="260"/>
      <c r="AC1657" s="260"/>
      <c r="AD1657" s="260"/>
      <c r="AE1657" s="260"/>
      <c r="AF1657" s="260"/>
      <c r="AG1657" s="258"/>
    </row>
    <row r="1658" spans="13:33" ht="12" hidden="1" customHeight="1">
      <c r="M1658" s="820"/>
      <c r="N1658" s="239"/>
      <c r="O1658" s="225"/>
      <c r="P1658" s="260"/>
      <c r="Q1658" s="258"/>
      <c r="R1658" s="260"/>
      <c r="S1658" s="260"/>
      <c r="T1658" s="260"/>
      <c r="U1658" s="260"/>
      <c r="V1658" s="260"/>
      <c r="W1658" s="260"/>
      <c r="X1658" s="260"/>
      <c r="Y1658" s="260"/>
      <c r="Z1658" s="260"/>
      <c r="AA1658" s="260"/>
      <c r="AB1658" s="260"/>
      <c r="AC1658" s="260"/>
      <c r="AD1658" s="260"/>
      <c r="AE1658" s="260"/>
      <c r="AF1658" s="260"/>
      <c r="AG1658" s="258"/>
    </row>
    <row r="1659" spans="13:33" ht="12" hidden="1" customHeight="1">
      <c r="M1659" s="820"/>
      <c r="N1659" s="239"/>
      <c r="O1659" s="225"/>
      <c r="P1659" s="260"/>
      <c r="Q1659" s="258"/>
      <c r="R1659" s="260"/>
      <c r="S1659" s="260"/>
      <c r="T1659" s="260"/>
      <c r="U1659" s="260"/>
      <c r="V1659" s="260"/>
      <c r="W1659" s="260"/>
      <c r="X1659" s="260"/>
      <c r="Y1659" s="260"/>
      <c r="Z1659" s="260"/>
      <c r="AA1659" s="260"/>
      <c r="AB1659" s="260"/>
      <c r="AC1659" s="260"/>
      <c r="AD1659" s="260"/>
      <c r="AE1659" s="260"/>
      <c r="AF1659" s="260"/>
      <c r="AG1659" s="258"/>
    </row>
    <row r="1660" spans="13:33" ht="12" hidden="1" customHeight="1">
      <c r="M1660" s="820"/>
      <c r="N1660" s="239"/>
      <c r="O1660" s="225"/>
      <c r="P1660" s="260"/>
      <c r="Q1660" s="258"/>
      <c r="R1660" s="260"/>
      <c r="S1660" s="260"/>
      <c r="T1660" s="260"/>
      <c r="U1660" s="260"/>
      <c r="V1660" s="260"/>
      <c r="W1660" s="260"/>
      <c r="X1660" s="260"/>
      <c r="Y1660" s="260"/>
      <c r="Z1660" s="260"/>
      <c r="AA1660" s="260"/>
      <c r="AB1660" s="260"/>
      <c r="AC1660" s="260"/>
      <c r="AD1660" s="260"/>
      <c r="AE1660" s="260"/>
      <c r="AF1660" s="260"/>
      <c r="AG1660" s="258"/>
    </row>
    <row r="1661" spans="13:33" ht="12" hidden="1" customHeight="1">
      <c r="M1661" s="820"/>
      <c r="N1661" s="239"/>
      <c r="O1661" s="225"/>
      <c r="P1661" s="260"/>
      <c r="Q1661" s="258"/>
      <c r="R1661" s="260"/>
      <c r="S1661" s="260"/>
      <c r="T1661" s="260"/>
      <c r="U1661" s="260"/>
      <c r="V1661" s="260"/>
      <c r="W1661" s="260"/>
      <c r="X1661" s="260"/>
      <c r="Y1661" s="260"/>
      <c r="Z1661" s="260"/>
      <c r="AA1661" s="260"/>
      <c r="AB1661" s="260"/>
      <c r="AC1661" s="260"/>
      <c r="AD1661" s="260"/>
      <c r="AE1661" s="260"/>
      <c r="AF1661" s="260"/>
      <c r="AG1661" s="258"/>
    </row>
    <row r="1662" spans="13:33" ht="12" hidden="1" customHeight="1">
      <c r="M1662" s="820"/>
      <c r="N1662" s="239"/>
      <c r="O1662" s="225"/>
      <c r="P1662" s="260"/>
      <c r="Q1662" s="258"/>
      <c r="R1662" s="260"/>
      <c r="S1662" s="260"/>
      <c r="T1662" s="260"/>
      <c r="U1662" s="260"/>
      <c r="V1662" s="260"/>
      <c r="W1662" s="260"/>
      <c r="X1662" s="260"/>
      <c r="Y1662" s="260"/>
      <c r="Z1662" s="260"/>
      <c r="AA1662" s="260"/>
      <c r="AB1662" s="260"/>
      <c r="AC1662" s="260"/>
      <c r="AD1662" s="260"/>
      <c r="AE1662" s="260"/>
      <c r="AF1662" s="260"/>
      <c r="AG1662" s="258"/>
    </row>
    <row r="1663" spans="13:33" ht="12" hidden="1" customHeight="1">
      <c r="M1663" s="820"/>
      <c r="N1663" s="239"/>
      <c r="O1663" s="225"/>
      <c r="P1663" s="260"/>
      <c r="Q1663" s="258"/>
      <c r="R1663" s="260"/>
      <c r="S1663" s="260"/>
      <c r="T1663" s="260"/>
      <c r="U1663" s="260"/>
      <c r="V1663" s="260"/>
      <c r="W1663" s="260"/>
      <c r="X1663" s="260"/>
      <c r="Y1663" s="260"/>
      <c r="Z1663" s="260"/>
      <c r="AA1663" s="260"/>
      <c r="AB1663" s="260"/>
      <c r="AC1663" s="260"/>
      <c r="AD1663" s="260"/>
      <c r="AE1663" s="260"/>
      <c r="AF1663" s="260"/>
      <c r="AG1663" s="258"/>
    </row>
    <row r="1664" spans="13:33" ht="12" hidden="1" customHeight="1">
      <c r="M1664" s="820"/>
      <c r="N1664" s="239"/>
      <c r="O1664" s="225"/>
      <c r="P1664" s="260"/>
      <c r="Q1664" s="258"/>
      <c r="R1664" s="260"/>
      <c r="S1664" s="260"/>
      <c r="T1664" s="260"/>
      <c r="U1664" s="260"/>
      <c r="V1664" s="260"/>
      <c r="W1664" s="260"/>
      <c r="X1664" s="260"/>
      <c r="Y1664" s="260"/>
      <c r="Z1664" s="260"/>
      <c r="AA1664" s="260"/>
      <c r="AB1664" s="260"/>
      <c r="AC1664" s="260"/>
      <c r="AD1664" s="260"/>
      <c r="AE1664" s="260"/>
      <c r="AF1664" s="260"/>
      <c r="AG1664" s="258"/>
    </row>
    <row r="1665" spans="13:33" ht="12" hidden="1" customHeight="1">
      <c r="M1665" s="820"/>
      <c r="N1665" s="239"/>
      <c r="O1665" s="225"/>
      <c r="P1665" s="260"/>
      <c r="Q1665" s="258"/>
      <c r="R1665" s="260"/>
      <c r="S1665" s="260"/>
      <c r="T1665" s="260"/>
      <c r="U1665" s="260"/>
      <c r="V1665" s="260"/>
      <c r="W1665" s="260"/>
      <c r="X1665" s="260"/>
      <c r="Y1665" s="260"/>
      <c r="Z1665" s="260"/>
      <c r="AA1665" s="260"/>
      <c r="AB1665" s="260"/>
      <c r="AC1665" s="260"/>
      <c r="AD1665" s="260"/>
      <c r="AE1665" s="260"/>
      <c r="AF1665" s="260"/>
      <c r="AG1665" s="258"/>
    </row>
    <row r="1666" spans="13:33" ht="12" hidden="1" customHeight="1">
      <c r="M1666" s="820"/>
      <c r="N1666" s="239"/>
      <c r="O1666" s="225"/>
      <c r="P1666" s="260"/>
      <c r="Q1666" s="258"/>
      <c r="R1666" s="260"/>
      <c r="S1666" s="260"/>
      <c r="T1666" s="260"/>
      <c r="U1666" s="260"/>
      <c r="V1666" s="260"/>
      <c r="W1666" s="260"/>
      <c r="X1666" s="260"/>
      <c r="Y1666" s="260"/>
      <c r="Z1666" s="260"/>
      <c r="AA1666" s="260"/>
      <c r="AB1666" s="260"/>
      <c r="AC1666" s="260"/>
      <c r="AD1666" s="260"/>
      <c r="AE1666" s="260"/>
      <c r="AF1666" s="260"/>
      <c r="AG1666" s="258"/>
    </row>
    <row r="1667" spans="13:33" ht="12" hidden="1" customHeight="1">
      <c r="M1667" s="820"/>
      <c r="N1667" s="239"/>
      <c r="O1667" s="225"/>
      <c r="P1667" s="260"/>
      <c r="Q1667" s="258"/>
      <c r="R1667" s="260"/>
      <c r="S1667" s="260"/>
      <c r="T1667" s="260"/>
      <c r="U1667" s="260"/>
      <c r="V1667" s="260"/>
      <c r="W1667" s="260"/>
      <c r="X1667" s="260"/>
      <c r="Y1667" s="260"/>
      <c r="Z1667" s="260"/>
      <c r="AA1667" s="260"/>
      <c r="AB1667" s="260"/>
      <c r="AC1667" s="260"/>
      <c r="AD1667" s="260"/>
      <c r="AE1667" s="260"/>
      <c r="AF1667" s="260"/>
      <c r="AG1667" s="258"/>
    </row>
    <row r="1668" spans="13:33" ht="12" hidden="1" customHeight="1">
      <c r="M1668" s="820"/>
      <c r="N1668" s="239"/>
      <c r="O1668" s="225"/>
      <c r="P1668" s="260"/>
      <c r="Q1668" s="258"/>
      <c r="R1668" s="260"/>
      <c r="S1668" s="260"/>
      <c r="T1668" s="260"/>
      <c r="U1668" s="260"/>
      <c r="V1668" s="260"/>
      <c r="W1668" s="260"/>
      <c r="X1668" s="260"/>
      <c r="Y1668" s="260"/>
      <c r="Z1668" s="260"/>
      <c r="AA1668" s="260"/>
      <c r="AB1668" s="260"/>
      <c r="AC1668" s="260"/>
      <c r="AD1668" s="260"/>
      <c r="AE1668" s="260"/>
      <c r="AF1668" s="260"/>
      <c r="AG1668" s="258"/>
    </row>
    <row r="1669" spans="13:33" ht="12" hidden="1" customHeight="1">
      <c r="M1669" s="820"/>
      <c r="N1669" s="239"/>
      <c r="O1669" s="225"/>
      <c r="P1669" s="260"/>
      <c r="Q1669" s="258"/>
      <c r="R1669" s="260"/>
      <c r="S1669" s="260"/>
      <c r="T1669" s="260"/>
      <c r="U1669" s="260"/>
      <c r="V1669" s="260"/>
      <c r="W1669" s="260"/>
      <c r="X1669" s="260"/>
      <c r="Y1669" s="260"/>
      <c r="Z1669" s="260"/>
      <c r="AA1669" s="260"/>
      <c r="AB1669" s="260"/>
      <c r="AC1669" s="260"/>
      <c r="AD1669" s="260"/>
      <c r="AE1669" s="260"/>
      <c r="AF1669" s="260"/>
      <c r="AG1669" s="258"/>
    </row>
    <row r="1670" spans="13:33" ht="12" hidden="1" customHeight="1">
      <c r="M1670" s="820"/>
      <c r="N1670" s="239"/>
      <c r="O1670" s="225"/>
      <c r="P1670" s="260"/>
      <c r="Q1670" s="258"/>
      <c r="R1670" s="260"/>
      <c r="S1670" s="260"/>
      <c r="T1670" s="260"/>
      <c r="U1670" s="260"/>
      <c r="V1670" s="260"/>
      <c r="W1670" s="260"/>
      <c r="X1670" s="260"/>
      <c r="Y1670" s="260"/>
      <c r="Z1670" s="260"/>
      <c r="AA1670" s="260"/>
      <c r="AB1670" s="260"/>
      <c r="AC1670" s="260"/>
      <c r="AD1670" s="260"/>
      <c r="AE1670" s="260"/>
      <c r="AF1670" s="260"/>
      <c r="AG1670" s="258"/>
    </row>
    <row r="1671" spans="13:33" ht="12" hidden="1" customHeight="1">
      <c r="M1671" s="820"/>
      <c r="N1671" s="239"/>
      <c r="O1671" s="225"/>
      <c r="P1671" s="260"/>
      <c r="Q1671" s="258"/>
      <c r="R1671" s="260"/>
      <c r="S1671" s="260"/>
      <c r="T1671" s="260"/>
      <c r="U1671" s="260"/>
      <c r="V1671" s="260"/>
      <c r="W1671" s="260"/>
      <c r="X1671" s="260"/>
      <c r="Y1671" s="260"/>
      <c r="Z1671" s="260"/>
      <c r="AA1671" s="260"/>
      <c r="AB1671" s="260"/>
      <c r="AC1671" s="260"/>
      <c r="AD1671" s="260"/>
      <c r="AE1671" s="260"/>
      <c r="AF1671" s="260"/>
      <c r="AG1671" s="258"/>
    </row>
    <row r="1672" spans="13:33" ht="12" hidden="1" customHeight="1">
      <c r="M1672" s="820"/>
      <c r="N1672" s="239"/>
      <c r="O1672" s="225"/>
      <c r="P1672" s="260"/>
      <c r="Q1672" s="258"/>
      <c r="R1672" s="260"/>
      <c r="S1672" s="260"/>
      <c r="T1672" s="260"/>
      <c r="U1672" s="260"/>
      <c r="V1672" s="260"/>
      <c r="W1672" s="260"/>
      <c r="X1672" s="260"/>
      <c r="Y1672" s="260"/>
      <c r="Z1672" s="260"/>
      <c r="AA1672" s="260"/>
      <c r="AB1672" s="260"/>
      <c r="AC1672" s="260"/>
      <c r="AD1672" s="260"/>
      <c r="AE1672" s="260"/>
      <c r="AF1672" s="260"/>
      <c r="AG1672" s="258"/>
    </row>
    <row r="1673" spans="13:33" ht="12" hidden="1" customHeight="1">
      <c r="M1673" s="820"/>
      <c r="N1673" s="239"/>
      <c r="O1673" s="225"/>
      <c r="P1673" s="260"/>
      <c r="Q1673" s="258"/>
      <c r="R1673" s="260"/>
      <c r="S1673" s="260"/>
      <c r="T1673" s="260"/>
      <c r="U1673" s="260"/>
      <c r="V1673" s="260"/>
      <c r="W1673" s="260"/>
      <c r="X1673" s="260"/>
      <c r="Y1673" s="260"/>
      <c r="Z1673" s="260"/>
      <c r="AA1673" s="260"/>
      <c r="AB1673" s="260"/>
      <c r="AC1673" s="260"/>
      <c r="AD1673" s="260"/>
      <c r="AE1673" s="260"/>
      <c r="AF1673" s="260"/>
      <c r="AG1673" s="258"/>
    </row>
    <row r="1674" spans="13:33" ht="12" hidden="1" customHeight="1">
      <c r="M1674" s="820"/>
      <c r="N1674" s="239"/>
      <c r="O1674" s="225"/>
      <c r="P1674" s="260"/>
      <c r="Q1674" s="258"/>
      <c r="R1674" s="260"/>
      <c r="S1674" s="260"/>
      <c r="T1674" s="260"/>
      <c r="U1674" s="260"/>
      <c r="V1674" s="260"/>
      <c r="W1674" s="260"/>
      <c r="X1674" s="260"/>
      <c r="Y1674" s="260"/>
      <c r="Z1674" s="260"/>
      <c r="AA1674" s="260"/>
      <c r="AB1674" s="260"/>
      <c r="AC1674" s="260"/>
      <c r="AD1674" s="260"/>
      <c r="AE1674" s="260"/>
      <c r="AF1674" s="260"/>
      <c r="AG1674" s="258"/>
    </row>
    <row r="1675" spans="13:33" ht="12" hidden="1" customHeight="1">
      <c r="M1675" s="820"/>
      <c r="N1675" s="239"/>
      <c r="O1675" s="225"/>
      <c r="P1675" s="260"/>
      <c r="Q1675" s="258"/>
      <c r="R1675" s="260"/>
      <c r="S1675" s="260"/>
      <c r="T1675" s="260"/>
      <c r="U1675" s="260"/>
      <c r="V1675" s="260"/>
      <c r="W1675" s="260"/>
      <c r="X1675" s="260"/>
      <c r="Y1675" s="260"/>
      <c r="Z1675" s="260"/>
      <c r="AA1675" s="260"/>
      <c r="AB1675" s="260"/>
      <c r="AC1675" s="260"/>
      <c r="AD1675" s="260"/>
      <c r="AE1675" s="260"/>
      <c r="AF1675" s="260"/>
      <c r="AG1675" s="258"/>
    </row>
    <row r="1676" spans="13:33" ht="12" hidden="1" customHeight="1">
      <c r="M1676" s="820"/>
      <c r="N1676" s="239"/>
      <c r="O1676" s="225"/>
      <c r="P1676" s="260"/>
      <c r="Q1676" s="258"/>
      <c r="R1676" s="260"/>
      <c r="S1676" s="260"/>
      <c r="T1676" s="260"/>
      <c r="U1676" s="260"/>
      <c r="V1676" s="260"/>
      <c r="W1676" s="260"/>
      <c r="X1676" s="260"/>
      <c r="Y1676" s="260"/>
      <c r="Z1676" s="260"/>
      <c r="AA1676" s="260"/>
      <c r="AB1676" s="260"/>
      <c r="AC1676" s="260"/>
      <c r="AD1676" s="260"/>
      <c r="AE1676" s="260"/>
      <c r="AF1676" s="260"/>
      <c r="AG1676" s="258"/>
    </row>
    <row r="1677" spans="13:33" ht="12" hidden="1" customHeight="1">
      <c r="M1677" s="820"/>
      <c r="N1677" s="239"/>
      <c r="O1677" s="225"/>
      <c r="P1677" s="260"/>
      <c r="Q1677" s="258"/>
      <c r="R1677" s="260"/>
      <c r="S1677" s="260"/>
      <c r="T1677" s="260"/>
      <c r="U1677" s="260"/>
      <c r="V1677" s="260"/>
      <c r="W1677" s="260"/>
      <c r="X1677" s="260"/>
      <c r="Y1677" s="260"/>
      <c r="Z1677" s="260"/>
      <c r="AA1677" s="260"/>
      <c r="AB1677" s="260"/>
      <c r="AC1677" s="260"/>
      <c r="AD1677" s="260"/>
      <c r="AE1677" s="260"/>
      <c r="AF1677" s="260"/>
      <c r="AG1677" s="258"/>
    </row>
    <row r="1678" spans="13:33" ht="12" hidden="1" customHeight="1">
      <c r="M1678" s="820"/>
      <c r="N1678" s="239"/>
      <c r="O1678" s="225"/>
      <c r="P1678" s="260"/>
      <c r="Q1678" s="258"/>
      <c r="R1678" s="260"/>
      <c r="S1678" s="260"/>
      <c r="T1678" s="260"/>
      <c r="U1678" s="260"/>
      <c r="V1678" s="260"/>
      <c r="W1678" s="260"/>
      <c r="X1678" s="260"/>
      <c r="Y1678" s="260"/>
      <c r="Z1678" s="260"/>
      <c r="AA1678" s="260"/>
      <c r="AB1678" s="260"/>
      <c r="AC1678" s="260"/>
      <c r="AD1678" s="260"/>
      <c r="AE1678" s="260"/>
      <c r="AF1678" s="260"/>
      <c r="AG1678" s="258"/>
    </row>
    <row r="1679" spans="13:33" ht="12" hidden="1" customHeight="1">
      <c r="M1679" s="820"/>
      <c r="N1679" s="239"/>
      <c r="O1679" s="225"/>
      <c r="P1679" s="260"/>
      <c r="Q1679" s="258"/>
      <c r="R1679" s="260"/>
      <c r="S1679" s="260"/>
      <c r="T1679" s="260"/>
      <c r="U1679" s="260"/>
      <c r="V1679" s="260"/>
      <c r="W1679" s="260"/>
      <c r="X1679" s="260"/>
      <c r="Y1679" s="260"/>
      <c r="Z1679" s="260"/>
      <c r="AA1679" s="260"/>
      <c r="AB1679" s="260"/>
      <c r="AC1679" s="260"/>
      <c r="AD1679" s="260"/>
      <c r="AE1679" s="260"/>
      <c r="AF1679" s="260"/>
      <c r="AG1679" s="258"/>
    </row>
    <row r="1680" spans="13:33" ht="12" hidden="1" customHeight="1">
      <c r="M1680" s="820"/>
      <c r="N1680" s="239"/>
      <c r="O1680" s="225"/>
      <c r="P1680" s="260"/>
      <c r="Q1680" s="258"/>
      <c r="R1680" s="260"/>
      <c r="S1680" s="260"/>
      <c r="T1680" s="260"/>
      <c r="U1680" s="260"/>
      <c r="V1680" s="260"/>
      <c r="W1680" s="260"/>
      <c r="X1680" s="260"/>
      <c r="Y1680" s="260"/>
      <c r="Z1680" s="260"/>
      <c r="AA1680" s="260"/>
      <c r="AB1680" s="260"/>
      <c r="AC1680" s="260"/>
      <c r="AD1680" s="260"/>
      <c r="AE1680" s="260"/>
      <c r="AF1680" s="260"/>
      <c r="AG1680" s="258"/>
    </row>
    <row r="1681" spans="13:33" ht="12" hidden="1" customHeight="1">
      <c r="M1681" s="820"/>
      <c r="N1681" s="239"/>
      <c r="O1681" s="225"/>
      <c r="P1681" s="260"/>
      <c r="Q1681" s="258"/>
      <c r="R1681" s="260"/>
      <c r="S1681" s="260"/>
      <c r="T1681" s="260"/>
      <c r="U1681" s="260"/>
      <c r="V1681" s="260"/>
      <c r="W1681" s="260"/>
      <c r="X1681" s="260"/>
      <c r="Y1681" s="260"/>
      <c r="Z1681" s="260"/>
      <c r="AA1681" s="260"/>
      <c r="AB1681" s="260"/>
      <c r="AC1681" s="260"/>
      <c r="AD1681" s="260"/>
      <c r="AE1681" s="260"/>
      <c r="AF1681" s="260"/>
      <c r="AG1681" s="258"/>
    </row>
    <row r="1682" spans="13:33" ht="12" hidden="1" customHeight="1">
      <c r="M1682" s="820"/>
      <c r="N1682" s="239"/>
      <c r="O1682" s="225"/>
      <c r="P1682" s="260"/>
      <c r="Q1682" s="258"/>
      <c r="R1682" s="260"/>
      <c r="S1682" s="260"/>
      <c r="T1682" s="260"/>
      <c r="U1682" s="260"/>
      <c r="V1682" s="260"/>
      <c r="W1682" s="260"/>
      <c r="X1682" s="260"/>
      <c r="Y1682" s="260"/>
      <c r="Z1682" s="260"/>
      <c r="AA1682" s="260"/>
      <c r="AB1682" s="260"/>
      <c r="AC1682" s="260"/>
      <c r="AD1682" s="260"/>
      <c r="AE1682" s="260"/>
      <c r="AF1682" s="260"/>
      <c r="AG1682" s="258"/>
    </row>
    <row r="1683" spans="13:33" ht="12" customHeight="1">
      <c r="M1683" s="820"/>
      <c r="N1683" s="236" t="s">
        <v>2985</v>
      </c>
      <c r="O1683" s="225" t="s">
        <v>2986</v>
      </c>
      <c r="P1683" s="260"/>
      <c r="Q1683" s="258"/>
      <c r="R1683" s="260"/>
      <c r="S1683" s="260"/>
      <c r="T1683" s="260"/>
      <c r="U1683" s="260"/>
      <c r="V1683" s="260"/>
      <c r="W1683" s="260"/>
      <c r="X1683" s="260"/>
      <c r="Y1683" s="260"/>
      <c r="Z1683" s="262">
        <f>'ТС.Т 01.01 - 30.06'!Z1683</f>
        <v>0</v>
      </c>
      <c r="AA1683" s="260"/>
      <c r="AB1683" s="260"/>
      <c r="AC1683" s="260"/>
      <c r="AD1683" s="260"/>
      <c r="AE1683" s="260"/>
      <c r="AF1683" s="262">
        <f>'ТС.Т 01.01 - 30.06'!AF1683</f>
        <v>0</v>
      </c>
      <c r="AG1683" s="258"/>
    </row>
    <row r="1684" spans="13:33" ht="12" customHeight="1">
      <c r="M1684" s="820"/>
      <c r="N1684" s="236" t="s">
        <v>2987</v>
      </c>
      <c r="O1684" s="225" t="s">
        <v>2988</v>
      </c>
      <c r="P1684" s="260"/>
      <c r="Q1684" s="258"/>
      <c r="R1684" s="260"/>
      <c r="S1684" s="260"/>
      <c r="T1684" s="260"/>
      <c r="U1684" s="260"/>
      <c r="V1684" s="260"/>
      <c r="W1684" s="260"/>
      <c r="X1684" s="260"/>
      <c r="Y1684" s="260"/>
      <c r="Z1684" s="262">
        <f>'ТС.Т 01.01 - 30.06'!Z1684</f>
        <v>0</v>
      </c>
      <c r="AA1684" s="260"/>
      <c r="AB1684" s="260"/>
      <c r="AC1684" s="260"/>
      <c r="AD1684" s="260"/>
      <c r="AE1684" s="260"/>
      <c r="AF1684" s="262">
        <f>'ТС.Т 01.01 - 30.06'!AF1684</f>
        <v>0</v>
      </c>
      <c r="AG1684" s="258"/>
    </row>
    <row r="1685" spans="13:33" ht="12" hidden="1" customHeight="1">
      <c r="M1685" s="820"/>
      <c r="N1685" s="239"/>
      <c r="O1685" s="227"/>
      <c r="P1685" s="260"/>
      <c r="Q1685" s="258"/>
      <c r="R1685" s="260"/>
      <c r="S1685" s="260"/>
      <c r="T1685" s="260"/>
      <c r="U1685" s="260"/>
      <c r="V1685" s="260"/>
      <c r="W1685" s="260"/>
      <c r="X1685" s="260"/>
      <c r="Y1685" s="260"/>
      <c r="Z1685" s="260"/>
      <c r="AA1685" s="260"/>
      <c r="AB1685" s="260"/>
      <c r="AC1685" s="260"/>
      <c r="AD1685" s="260"/>
      <c r="AE1685" s="260"/>
      <c r="AF1685" s="260"/>
      <c r="AG1685" s="258"/>
    </row>
    <row r="1686" spans="13:33" ht="12" hidden="1" customHeight="1">
      <c r="M1686" s="820"/>
      <c r="N1686" s="239"/>
      <c r="O1686" s="227"/>
      <c r="P1686" s="260"/>
      <c r="Q1686" s="258"/>
      <c r="R1686" s="260"/>
      <c r="S1686" s="260"/>
      <c r="T1686" s="260"/>
      <c r="U1686" s="260"/>
      <c r="V1686" s="260"/>
      <c r="W1686" s="260"/>
      <c r="X1686" s="260"/>
      <c r="Y1686" s="260"/>
      <c r="Z1686" s="260"/>
      <c r="AA1686" s="260"/>
      <c r="AB1686" s="260"/>
      <c r="AC1686" s="260"/>
      <c r="AD1686" s="260"/>
      <c r="AE1686" s="260"/>
      <c r="AF1686" s="260"/>
      <c r="AG1686" s="258"/>
    </row>
    <row r="1687" spans="13:33" ht="12" hidden="1" customHeight="1">
      <c r="M1687" s="820"/>
      <c r="N1687" s="239"/>
      <c r="O1687" s="226"/>
      <c r="P1687" s="260"/>
      <c r="Q1687" s="258"/>
      <c r="R1687" s="260"/>
      <c r="S1687" s="260"/>
      <c r="T1687" s="260"/>
      <c r="U1687" s="260"/>
      <c r="V1687" s="260"/>
      <c r="W1687" s="260"/>
      <c r="X1687" s="260"/>
      <c r="Y1687" s="260"/>
      <c r="Z1687" s="260"/>
      <c r="AA1687" s="260"/>
      <c r="AB1687" s="260"/>
      <c r="AC1687" s="260"/>
      <c r="AD1687" s="260"/>
      <c r="AE1687" s="260"/>
      <c r="AF1687" s="260"/>
      <c r="AG1687" s="258"/>
    </row>
    <row r="1688" spans="13:33" ht="12" hidden="1" customHeight="1">
      <c r="M1688" s="820"/>
      <c r="N1688" s="239"/>
      <c r="O1688" s="225"/>
      <c r="P1688" s="260"/>
      <c r="Q1688" s="258"/>
      <c r="R1688" s="260"/>
      <c r="S1688" s="260"/>
      <c r="T1688" s="260"/>
      <c r="U1688" s="260"/>
      <c r="V1688" s="260"/>
      <c r="W1688" s="260"/>
      <c r="X1688" s="260"/>
      <c r="Y1688" s="260"/>
      <c r="Z1688" s="260"/>
      <c r="AA1688" s="260"/>
      <c r="AB1688" s="260"/>
      <c r="AC1688" s="260"/>
      <c r="AD1688" s="260"/>
      <c r="AE1688" s="260"/>
      <c r="AF1688" s="260"/>
      <c r="AG1688" s="258"/>
    </row>
    <row r="1689" spans="13:33" ht="12" hidden="1" customHeight="1">
      <c r="M1689" s="820"/>
      <c r="N1689" s="239"/>
      <c r="O1689" s="225"/>
      <c r="P1689" s="260"/>
      <c r="Q1689" s="258"/>
      <c r="R1689" s="260"/>
      <c r="S1689" s="260"/>
      <c r="T1689" s="260"/>
      <c r="U1689" s="260"/>
      <c r="V1689" s="260"/>
      <c r="W1689" s="260"/>
      <c r="X1689" s="260"/>
      <c r="Y1689" s="260"/>
      <c r="Z1689" s="260"/>
      <c r="AA1689" s="260"/>
      <c r="AB1689" s="260"/>
      <c r="AC1689" s="260"/>
      <c r="AD1689" s="260"/>
      <c r="AE1689" s="260"/>
      <c r="AF1689" s="260"/>
      <c r="AG1689" s="258"/>
    </row>
    <row r="1690" spans="13:33" ht="12" hidden="1" customHeight="1">
      <c r="M1690" s="820"/>
      <c r="N1690" s="239"/>
      <c r="O1690" s="225"/>
      <c r="P1690" s="260"/>
      <c r="Q1690" s="258"/>
      <c r="R1690" s="260"/>
      <c r="S1690" s="260"/>
      <c r="T1690" s="260"/>
      <c r="U1690" s="260"/>
      <c r="V1690" s="260"/>
      <c r="W1690" s="260"/>
      <c r="X1690" s="260"/>
      <c r="Y1690" s="260"/>
      <c r="Z1690" s="260"/>
      <c r="AA1690" s="260"/>
      <c r="AB1690" s="260"/>
      <c r="AC1690" s="260"/>
      <c r="AD1690" s="260"/>
      <c r="AE1690" s="260"/>
      <c r="AF1690" s="260"/>
      <c r="AG1690" s="258"/>
    </row>
    <row r="1691" spans="13:33" ht="12" hidden="1" customHeight="1">
      <c r="M1691" s="820"/>
      <c r="N1691" s="239"/>
      <c r="O1691" s="225"/>
      <c r="P1691" s="260"/>
      <c r="Q1691" s="258"/>
      <c r="R1691" s="260"/>
      <c r="S1691" s="260"/>
      <c r="T1691" s="260"/>
      <c r="U1691" s="260"/>
      <c r="V1691" s="260"/>
      <c r="W1691" s="260"/>
      <c r="X1691" s="260"/>
      <c r="Y1691" s="260"/>
      <c r="Z1691" s="260"/>
      <c r="AA1691" s="260"/>
      <c r="AB1691" s="260"/>
      <c r="AC1691" s="260"/>
      <c r="AD1691" s="260"/>
      <c r="AE1691" s="260"/>
      <c r="AF1691" s="260"/>
      <c r="AG1691" s="258"/>
    </row>
    <row r="1692" spans="13:33" ht="12" hidden="1" customHeight="1">
      <c r="M1692" s="820"/>
      <c r="N1692" s="239"/>
      <c r="O1692" s="225"/>
      <c r="P1692" s="260"/>
      <c r="Q1692" s="258"/>
      <c r="R1692" s="260"/>
      <c r="S1692" s="260"/>
      <c r="T1692" s="260"/>
      <c r="U1692" s="260"/>
      <c r="V1692" s="260"/>
      <c r="W1692" s="260"/>
      <c r="X1692" s="260"/>
      <c r="Y1692" s="260"/>
      <c r="Z1692" s="260"/>
      <c r="AA1692" s="260"/>
      <c r="AB1692" s="260"/>
      <c r="AC1692" s="260"/>
      <c r="AD1692" s="260"/>
      <c r="AE1692" s="260"/>
      <c r="AF1692" s="260"/>
      <c r="AG1692" s="258"/>
    </row>
    <row r="1693" spans="13:33" ht="12" hidden="1" customHeight="1">
      <c r="M1693" s="820"/>
      <c r="N1693" s="239"/>
      <c r="O1693" s="226"/>
      <c r="P1693" s="260"/>
      <c r="Q1693" s="258"/>
      <c r="R1693" s="260"/>
      <c r="S1693" s="260"/>
      <c r="T1693" s="260"/>
      <c r="U1693" s="260"/>
      <c r="V1693" s="260"/>
      <c r="W1693" s="260"/>
      <c r="X1693" s="260"/>
      <c r="Y1693" s="260"/>
      <c r="Z1693" s="260"/>
      <c r="AA1693" s="260"/>
      <c r="AB1693" s="260"/>
      <c r="AC1693" s="260"/>
      <c r="AD1693" s="260"/>
      <c r="AE1693" s="260"/>
      <c r="AF1693" s="260"/>
      <c r="AG1693" s="258"/>
    </row>
    <row r="1694" spans="13:33" ht="12" hidden="1" customHeight="1">
      <c r="M1694" s="820"/>
      <c r="N1694" s="239"/>
      <c r="O1694" s="225"/>
      <c r="P1694" s="260"/>
      <c r="Q1694" s="258"/>
      <c r="R1694" s="260"/>
      <c r="S1694" s="260"/>
      <c r="T1694" s="260"/>
      <c r="U1694" s="260"/>
      <c r="V1694" s="260"/>
      <c r="W1694" s="260"/>
      <c r="X1694" s="260"/>
      <c r="Y1694" s="260"/>
      <c r="Z1694" s="260"/>
      <c r="AA1694" s="260"/>
      <c r="AB1694" s="260"/>
      <c r="AC1694" s="260"/>
      <c r="AD1694" s="260"/>
      <c r="AE1694" s="260"/>
      <c r="AF1694" s="260"/>
      <c r="AG1694" s="258"/>
    </row>
    <row r="1695" spans="13:33" ht="12" hidden="1" customHeight="1">
      <c r="M1695" s="820"/>
      <c r="N1695" s="239"/>
      <c r="O1695" s="225"/>
      <c r="P1695" s="260"/>
      <c r="Q1695" s="258"/>
      <c r="R1695" s="260"/>
      <c r="S1695" s="260"/>
      <c r="T1695" s="260"/>
      <c r="U1695" s="260"/>
      <c r="V1695" s="260"/>
      <c r="W1695" s="260"/>
      <c r="X1695" s="260"/>
      <c r="Y1695" s="260"/>
      <c r="Z1695" s="260"/>
      <c r="AA1695" s="260"/>
      <c r="AB1695" s="260"/>
      <c r="AC1695" s="260"/>
      <c r="AD1695" s="260"/>
      <c r="AE1695" s="260"/>
      <c r="AF1695" s="260"/>
      <c r="AG1695" s="258"/>
    </row>
    <row r="1696" spans="13:33" ht="12" hidden="1" customHeight="1">
      <c r="M1696" s="820"/>
      <c r="N1696" s="239"/>
      <c r="O1696" s="225"/>
      <c r="P1696" s="260"/>
      <c r="Q1696" s="258"/>
      <c r="R1696" s="260"/>
      <c r="S1696" s="260"/>
      <c r="T1696" s="260"/>
      <c r="U1696" s="260"/>
      <c r="V1696" s="260"/>
      <c r="W1696" s="260"/>
      <c r="X1696" s="260"/>
      <c r="Y1696" s="260"/>
      <c r="Z1696" s="260"/>
      <c r="AA1696" s="260"/>
      <c r="AB1696" s="260"/>
      <c r="AC1696" s="260"/>
      <c r="AD1696" s="260"/>
      <c r="AE1696" s="260"/>
      <c r="AF1696" s="260"/>
      <c r="AG1696" s="258"/>
    </row>
    <row r="1697" spans="13:33" ht="12" hidden="1" customHeight="1">
      <c r="M1697" s="820"/>
      <c r="N1697" s="239"/>
      <c r="O1697" s="225"/>
      <c r="P1697" s="260"/>
      <c r="Q1697" s="258"/>
      <c r="R1697" s="260"/>
      <c r="S1697" s="260"/>
      <c r="T1697" s="260"/>
      <c r="U1697" s="260"/>
      <c r="V1697" s="260"/>
      <c r="W1697" s="260"/>
      <c r="X1697" s="260"/>
      <c r="Y1697" s="260"/>
      <c r="Z1697" s="260"/>
      <c r="AA1697" s="260"/>
      <c r="AB1697" s="260"/>
      <c r="AC1697" s="260"/>
      <c r="AD1697" s="260"/>
      <c r="AE1697" s="260"/>
      <c r="AF1697" s="260"/>
      <c r="AG1697" s="258"/>
    </row>
    <row r="1698" spans="13:33" ht="12" hidden="1" customHeight="1">
      <c r="M1698" s="820"/>
      <c r="N1698" s="239"/>
      <c r="O1698" s="225"/>
      <c r="P1698" s="260"/>
      <c r="Q1698" s="258"/>
      <c r="R1698" s="260"/>
      <c r="S1698" s="260"/>
      <c r="T1698" s="260"/>
      <c r="U1698" s="260"/>
      <c r="V1698" s="260"/>
      <c r="W1698" s="260"/>
      <c r="X1698" s="260"/>
      <c r="Y1698" s="260"/>
      <c r="Z1698" s="260"/>
      <c r="AA1698" s="260"/>
      <c r="AB1698" s="260"/>
      <c r="AC1698" s="260"/>
      <c r="AD1698" s="260"/>
      <c r="AE1698" s="260"/>
      <c r="AF1698" s="260"/>
      <c r="AG1698" s="258"/>
    </row>
    <row r="1699" spans="13:33" ht="12" hidden="1" customHeight="1">
      <c r="M1699" s="820"/>
      <c r="N1699" s="239"/>
      <c r="O1699" s="225"/>
      <c r="P1699" s="260"/>
      <c r="Q1699" s="258"/>
      <c r="R1699" s="260"/>
      <c r="S1699" s="260"/>
      <c r="T1699" s="260"/>
      <c r="U1699" s="260"/>
      <c r="V1699" s="260"/>
      <c r="W1699" s="260"/>
      <c r="X1699" s="260"/>
      <c r="Y1699" s="260"/>
      <c r="Z1699" s="260"/>
      <c r="AA1699" s="260"/>
      <c r="AB1699" s="260"/>
      <c r="AC1699" s="260"/>
      <c r="AD1699" s="260"/>
      <c r="AE1699" s="260"/>
      <c r="AF1699" s="260"/>
      <c r="AG1699" s="258"/>
    </row>
    <row r="1700" spans="13:33" ht="12" hidden="1" customHeight="1">
      <c r="M1700" s="820"/>
      <c r="N1700" s="239"/>
      <c r="O1700" s="225"/>
      <c r="P1700" s="260"/>
      <c r="Q1700" s="258"/>
      <c r="R1700" s="260"/>
      <c r="S1700" s="260"/>
      <c r="T1700" s="260"/>
      <c r="U1700" s="260"/>
      <c r="V1700" s="260"/>
      <c r="W1700" s="260"/>
      <c r="X1700" s="260"/>
      <c r="Y1700" s="260"/>
      <c r="Z1700" s="260"/>
      <c r="AA1700" s="260"/>
      <c r="AB1700" s="260"/>
      <c r="AC1700" s="260"/>
      <c r="AD1700" s="260"/>
      <c r="AE1700" s="260"/>
      <c r="AF1700" s="260"/>
      <c r="AG1700" s="258"/>
    </row>
    <row r="1701" spans="13:33" ht="12" hidden="1" customHeight="1">
      <c r="M1701" s="820"/>
      <c r="N1701" s="239"/>
      <c r="O1701" s="225"/>
      <c r="P1701" s="260"/>
      <c r="Q1701" s="258"/>
      <c r="R1701" s="260"/>
      <c r="S1701" s="260"/>
      <c r="T1701" s="260"/>
      <c r="U1701" s="260"/>
      <c r="V1701" s="260"/>
      <c r="W1701" s="260"/>
      <c r="X1701" s="260"/>
      <c r="Y1701" s="260"/>
      <c r="Z1701" s="260"/>
      <c r="AA1701" s="260"/>
      <c r="AB1701" s="260"/>
      <c r="AC1701" s="260"/>
      <c r="AD1701" s="260"/>
      <c r="AE1701" s="260"/>
      <c r="AF1701" s="260"/>
      <c r="AG1701" s="258"/>
    </row>
    <row r="1702" spans="13:33" ht="12" hidden="1" customHeight="1">
      <c r="M1702" s="820"/>
      <c r="N1702" s="239"/>
      <c r="O1702" s="225"/>
      <c r="P1702" s="260"/>
      <c r="Q1702" s="258"/>
      <c r="R1702" s="260"/>
      <c r="S1702" s="260"/>
      <c r="T1702" s="260"/>
      <c r="U1702" s="260"/>
      <c r="V1702" s="260"/>
      <c r="W1702" s="260"/>
      <c r="X1702" s="260"/>
      <c r="Y1702" s="260"/>
      <c r="Z1702" s="260"/>
      <c r="AA1702" s="260"/>
      <c r="AB1702" s="260"/>
      <c r="AC1702" s="260"/>
      <c r="AD1702" s="260"/>
      <c r="AE1702" s="260"/>
      <c r="AF1702" s="260"/>
      <c r="AG1702" s="258"/>
    </row>
    <row r="1703" spans="13:33" ht="12" hidden="1" customHeight="1">
      <c r="M1703" s="820"/>
      <c r="N1703" s="239"/>
      <c r="O1703" s="225"/>
      <c r="P1703" s="260"/>
      <c r="Q1703" s="258"/>
      <c r="R1703" s="260"/>
      <c r="S1703" s="260"/>
      <c r="T1703" s="260"/>
      <c r="U1703" s="260"/>
      <c r="V1703" s="260"/>
      <c r="W1703" s="260"/>
      <c r="X1703" s="260"/>
      <c r="Y1703" s="260"/>
      <c r="Z1703" s="260"/>
      <c r="AA1703" s="260"/>
      <c r="AB1703" s="260"/>
      <c r="AC1703" s="260"/>
      <c r="AD1703" s="260"/>
      <c r="AE1703" s="260"/>
      <c r="AF1703" s="260"/>
      <c r="AG1703" s="258"/>
    </row>
    <row r="1704" spans="13:33" ht="12" hidden="1" customHeight="1">
      <c r="M1704" s="820"/>
      <c r="N1704" s="239"/>
      <c r="O1704" s="225"/>
      <c r="P1704" s="260"/>
      <c r="Q1704" s="258"/>
      <c r="R1704" s="260"/>
      <c r="S1704" s="260"/>
      <c r="T1704" s="260"/>
      <c r="U1704" s="260"/>
      <c r="V1704" s="260"/>
      <c r="W1704" s="260"/>
      <c r="X1704" s="260"/>
      <c r="Y1704" s="260"/>
      <c r="Z1704" s="260"/>
      <c r="AA1704" s="260"/>
      <c r="AB1704" s="260"/>
      <c r="AC1704" s="260"/>
      <c r="AD1704" s="260"/>
      <c r="AE1704" s="260"/>
      <c r="AF1704" s="260"/>
      <c r="AG1704" s="258"/>
    </row>
    <row r="1705" spans="13:33" ht="12" hidden="1" customHeight="1">
      <c r="M1705" s="820"/>
      <c r="N1705" s="239"/>
      <c r="O1705" s="225"/>
      <c r="P1705" s="260"/>
      <c r="Q1705" s="258"/>
      <c r="R1705" s="260"/>
      <c r="S1705" s="260"/>
      <c r="T1705" s="260"/>
      <c r="U1705" s="260"/>
      <c r="V1705" s="260"/>
      <c r="W1705" s="260"/>
      <c r="X1705" s="260"/>
      <c r="Y1705" s="260"/>
      <c r="Z1705" s="260"/>
      <c r="AA1705" s="260"/>
      <c r="AB1705" s="260"/>
      <c r="AC1705" s="260"/>
      <c r="AD1705" s="260"/>
      <c r="AE1705" s="260"/>
      <c r="AF1705" s="260"/>
      <c r="AG1705" s="258"/>
    </row>
    <row r="1706" spans="13:33" ht="12" hidden="1" customHeight="1">
      <c r="M1706" s="820"/>
      <c r="N1706" s="239"/>
      <c r="O1706" s="225"/>
      <c r="P1706" s="260"/>
      <c r="Q1706" s="258"/>
      <c r="R1706" s="260"/>
      <c r="S1706" s="260"/>
      <c r="T1706" s="260"/>
      <c r="U1706" s="260"/>
      <c r="V1706" s="260"/>
      <c r="W1706" s="260"/>
      <c r="X1706" s="260"/>
      <c r="Y1706" s="260"/>
      <c r="Z1706" s="260"/>
      <c r="AA1706" s="260"/>
      <c r="AB1706" s="260"/>
      <c r="AC1706" s="260"/>
      <c r="AD1706" s="260"/>
      <c r="AE1706" s="260"/>
      <c r="AF1706" s="260"/>
      <c r="AG1706" s="258"/>
    </row>
    <row r="1707" spans="13:33" ht="12" hidden="1" customHeight="1">
      <c r="M1707" s="820"/>
      <c r="N1707" s="239"/>
      <c r="O1707" s="225"/>
      <c r="P1707" s="260"/>
      <c r="Q1707" s="258"/>
      <c r="R1707" s="260"/>
      <c r="S1707" s="260"/>
      <c r="T1707" s="260"/>
      <c r="U1707" s="260"/>
      <c r="V1707" s="260"/>
      <c r="W1707" s="260"/>
      <c r="X1707" s="260"/>
      <c r="Y1707" s="260"/>
      <c r="Z1707" s="260"/>
      <c r="AA1707" s="260"/>
      <c r="AB1707" s="260"/>
      <c r="AC1707" s="260"/>
      <c r="AD1707" s="260"/>
      <c r="AE1707" s="260"/>
      <c r="AF1707" s="260"/>
      <c r="AG1707" s="258"/>
    </row>
    <row r="1708" spans="13:33" ht="12" hidden="1" customHeight="1">
      <c r="M1708" s="820"/>
      <c r="N1708" s="239"/>
      <c r="O1708" s="225"/>
      <c r="P1708" s="260"/>
      <c r="Q1708" s="258"/>
      <c r="R1708" s="260"/>
      <c r="S1708" s="260"/>
      <c r="T1708" s="260"/>
      <c r="U1708" s="260"/>
      <c r="V1708" s="260"/>
      <c r="W1708" s="260"/>
      <c r="X1708" s="260"/>
      <c r="Y1708" s="260"/>
      <c r="Z1708" s="260"/>
      <c r="AA1708" s="260"/>
      <c r="AB1708" s="260"/>
      <c r="AC1708" s="260"/>
      <c r="AD1708" s="260"/>
      <c r="AE1708" s="260"/>
      <c r="AF1708" s="260"/>
      <c r="AG1708" s="258"/>
    </row>
    <row r="1709" spans="13:33" ht="12" customHeight="1">
      <c r="M1709" s="820"/>
      <c r="N1709" s="239"/>
      <c r="O1709" s="225"/>
      <c r="P1709" s="260"/>
      <c r="Q1709" s="258"/>
      <c r="R1709" s="260"/>
      <c r="S1709" s="260"/>
      <c r="T1709" s="260"/>
      <c r="U1709" s="260"/>
      <c r="V1709" s="260"/>
      <c r="W1709" s="260"/>
      <c r="X1709" s="260"/>
      <c r="Y1709" s="260"/>
      <c r="Z1709" s="260"/>
      <c r="AA1709" s="260"/>
      <c r="AB1709" s="260"/>
      <c r="AC1709" s="260"/>
      <c r="AD1709" s="260"/>
      <c r="AE1709" s="260"/>
      <c r="AF1709" s="260"/>
      <c r="AG1709" s="258"/>
    </row>
    <row r="1710" spans="13:33" ht="11.25" customHeight="1"/>
    <row r="1711" spans="13:33" ht="11.25" customHeight="1"/>
    <row r="1712" spans="13:33" ht="11.25" customHeight="1"/>
    <row r="1713" spans="13:33" ht="12" customHeight="1">
      <c r="M1713" s="820"/>
      <c r="N1713" s="236" t="s">
        <v>753</v>
      </c>
      <c r="O1713" s="235" t="s">
        <v>77</v>
      </c>
      <c r="P1713" s="260"/>
      <c r="Q1713" s="258"/>
      <c r="R1713" s="260"/>
      <c r="S1713" s="260"/>
      <c r="T1713" s="260"/>
      <c r="U1713" s="260"/>
      <c r="V1713" s="260"/>
      <c r="W1713" s="452">
        <f>SUM(W1714:W1715,W1733:W1745)</f>
        <v>0</v>
      </c>
      <c r="X1713" s="260"/>
      <c r="Y1713" s="260"/>
      <c r="Z1713" s="452">
        <f>SUM(Z1714:Z1715,Z1733:Z1745)</f>
        <v>0</v>
      </c>
      <c r="AA1713" s="260"/>
      <c r="AB1713" s="260"/>
      <c r="AC1713" s="452">
        <f>SUM(AC1714:AC1715,AC1733:AC1745)</f>
        <v>0</v>
      </c>
      <c r="AD1713" s="260"/>
      <c r="AE1713" s="260"/>
      <c r="AF1713" s="452">
        <f>SUM(AF1714:AF1715,AF1733:AF1745)</f>
        <v>0</v>
      </c>
      <c r="AG1713" s="258"/>
    </row>
    <row r="1714" spans="13:33" ht="12" customHeight="1">
      <c r="M1714" s="820"/>
      <c r="N1714" s="451" t="s">
        <v>766</v>
      </c>
      <c r="O1714" s="453" t="s">
        <v>78</v>
      </c>
      <c r="P1714" s="260"/>
      <c r="Q1714" s="258"/>
      <c r="R1714" s="260"/>
      <c r="S1714" s="260"/>
      <c r="T1714" s="260"/>
      <c r="U1714" s="260"/>
      <c r="V1714" s="260"/>
      <c r="W1714" s="260"/>
      <c r="X1714" s="260"/>
      <c r="Y1714" s="260"/>
      <c r="Z1714" s="262">
        <f>'ТС.Т 01.07 - 31.08'!Z1714</f>
        <v>0</v>
      </c>
      <c r="AA1714" s="260"/>
      <c r="AB1714" s="260"/>
      <c r="AC1714" s="260"/>
      <c r="AD1714" s="260"/>
      <c r="AE1714" s="260"/>
      <c r="AF1714" s="262">
        <f>'ТС.Т 01.07 - 31.08'!AF1714</f>
        <v>0</v>
      </c>
      <c r="AG1714" s="258"/>
    </row>
    <row r="1715" spans="13:33" ht="12" customHeight="1">
      <c r="M1715" s="820"/>
      <c r="N1715" s="451" t="s">
        <v>768</v>
      </c>
      <c r="O1715" s="454" t="s">
        <v>212</v>
      </c>
      <c r="P1715" s="260"/>
      <c r="Q1715" s="258"/>
      <c r="R1715" s="260"/>
      <c r="S1715" s="260"/>
      <c r="T1715" s="260"/>
      <c r="U1715" s="260"/>
      <c r="V1715" s="260"/>
      <c r="W1715" s="260"/>
      <c r="X1715" s="260"/>
      <c r="Y1715" s="260"/>
      <c r="Z1715" s="262">
        <f>'ТС.Т 01.07 - 31.08'!Z1715</f>
        <v>0</v>
      </c>
      <c r="AA1715" s="260"/>
      <c r="AB1715" s="260"/>
      <c r="AC1715" s="260"/>
      <c r="AD1715" s="260"/>
      <c r="AE1715" s="260"/>
      <c r="AF1715" s="262">
        <f>'ТС.Т 01.07 - 31.08'!AF1715</f>
        <v>0</v>
      </c>
      <c r="AG1715" s="258"/>
    </row>
    <row r="1716" spans="13:33" ht="12" customHeight="1">
      <c r="M1716" s="820"/>
      <c r="N1716" s="451" t="s">
        <v>132</v>
      </c>
      <c r="O1716" s="455" t="s">
        <v>79</v>
      </c>
      <c r="P1716" s="260"/>
      <c r="Q1716" s="258"/>
      <c r="R1716" s="260"/>
      <c r="S1716" s="260"/>
      <c r="T1716" s="260"/>
      <c r="U1716" s="260"/>
      <c r="V1716" s="260"/>
      <c r="W1716" s="260"/>
      <c r="X1716" s="260"/>
      <c r="Y1716" s="260"/>
      <c r="Z1716" s="262">
        <f>'ТС.Т 01.07 - 31.08'!Z1716</f>
        <v>0</v>
      </c>
      <c r="AA1716" s="260"/>
      <c r="AB1716" s="260"/>
      <c r="AC1716" s="260"/>
      <c r="AD1716" s="260"/>
      <c r="AE1716" s="260"/>
      <c r="AF1716" s="262">
        <f>'ТС.Т 01.07 - 31.08'!AF1716</f>
        <v>0</v>
      </c>
      <c r="AG1716" s="258"/>
    </row>
    <row r="1717" spans="13:33" ht="12" hidden="1" customHeight="1">
      <c r="M1717" s="820"/>
      <c r="N1717" s="451"/>
      <c r="O1717" s="455"/>
      <c r="P1717" s="260"/>
      <c r="Q1717" s="258"/>
      <c r="R1717" s="260"/>
      <c r="S1717" s="260"/>
      <c r="T1717" s="260"/>
      <c r="U1717" s="260"/>
      <c r="V1717" s="260"/>
      <c r="W1717" s="260"/>
      <c r="X1717" s="260"/>
      <c r="Y1717" s="260"/>
      <c r="Z1717" s="260"/>
      <c r="AA1717" s="260"/>
      <c r="AB1717" s="260"/>
      <c r="AC1717" s="260"/>
      <c r="AD1717" s="260"/>
      <c r="AE1717" s="260"/>
      <c r="AF1717" s="260"/>
      <c r="AG1717" s="258"/>
    </row>
    <row r="1718" spans="13:33" ht="12" hidden="1" customHeight="1">
      <c r="M1718" s="820"/>
      <c r="N1718" s="451"/>
      <c r="O1718" s="455"/>
      <c r="P1718" s="260"/>
      <c r="Q1718" s="258"/>
      <c r="R1718" s="260"/>
      <c r="S1718" s="260"/>
      <c r="T1718" s="260"/>
      <c r="U1718" s="260"/>
      <c r="V1718" s="260"/>
      <c r="W1718" s="260"/>
      <c r="X1718" s="260"/>
      <c r="Y1718" s="260"/>
      <c r="Z1718" s="260"/>
      <c r="AA1718" s="260"/>
      <c r="AB1718" s="260"/>
      <c r="AC1718" s="260"/>
      <c r="AD1718" s="260"/>
      <c r="AE1718" s="260"/>
      <c r="AF1718" s="260"/>
      <c r="AG1718" s="258"/>
    </row>
    <row r="1719" spans="13:33" ht="12" hidden="1" customHeight="1">
      <c r="M1719" s="820"/>
      <c r="N1719" s="451"/>
      <c r="O1719" s="455"/>
      <c r="P1719" s="260"/>
      <c r="Q1719" s="258"/>
      <c r="R1719" s="260"/>
      <c r="S1719" s="260"/>
      <c r="T1719" s="260"/>
      <c r="U1719" s="260"/>
      <c r="V1719" s="260"/>
      <c r="W1719" s="260"/>
      <c r="X1719" s="260"/>
      <c r="Y1719" s="260"/>
      <c r="Z1719" s="260"/>
      <c r="AA1719" s="260"/>
      <c r="AB1719" s="260"/>
      <c r="AC1719" s="260"/>
      <c r="AD1719" s="260"/>
      <c r="AE1719" s="260"/>
      <c r="AF1719" s="260"/>
      <c r="AG1719" s="258"/>
    </row>
    <row r="1720" spans="13:33" ht="12" hidden="1" customHeight="1">
      <c r="M1720" s="820"/>
      <c r="N1720" s="451"/>
      <c r="O1720" s="455"/>
      <c r="P1720" s="260"/>
      <c r="Q1720" s="258"/>
      <c r="R1720" s="260"/>
      <c r="S1720" s="260"/>
      <c r="T1720" s="260"/>
      <c r="U1720" s="260"/>
      <c r="V1720" s="260"/>
      <c r="W1720" s="260"/>
      <c r="X1720" s="260"/>
      <c r="Y1720" s="260"/>
      <c r="Z1720" s="260"/>
      <c r="AA1720" s="260"/>
      <c r="AB1720" s="260"/>
      <c r="AC1720" s="260"/>
      <c r="AD1720" s="260"/>
      <c r="AE1720" s="260"/>
      <c r="AF1720" s="260"/>
      <c r="AG1720" s="258"/>
    </row>
    <row r="1721" spans="13:33" ht="12" hidden="1" customHeight="1">
      <c r="M1721" s="820"/>
      <c r="N1721" s="451"/>
      <c r="O1721" s="455"/>
      <c r="P1721" s="260"/>
      <c r="Q1721" s="258"/>
      <c r="R1721" s="260"/>
      <c r="S1721" s="260"/>
      <c r="T1721" s="260"/>
      <c r="U1721" s="260"/>
      <c r="V1721" s="260"/>
      <c r="W1721" s="260"/>
      <c r="X1721" s="260"/>
      <c r="Y1721" s="260"/>
      <c r="Z1721" s="260"/>
      <c r="AA1721" s="260"/>
      <c r="AB1721" s="260"/>
      <c r="AC1721" s="260"/>
      <c r="AD1721" s="260"/>
      <c r="AE1721" s="260"/>
      <c r="AF1721" s="260"/>
      <c r="AG1721" s="258"/>
    </row>
    <row r="1722" spans="13:33" ht="12" hidden="1" customHeight="1">
      <c r="M1722" s="820"/>
      <c r="N1722" s="451"/>
      <c r="O1722" s="455"/>
      <c r="P1722" s="260"/>
      <c r="Q1722" s="258"/>
      <c r="R1722" s="260"/>
      <c r="S1722" s="260"/>
      <c r="T1722" s="260"/>
      <c r="U1722" s="260"/>
      <c r="V1722" s="260"/>
      <c r="W1722" s="260"/>
      <c r="X1722" s="260"/>
      <c r="Y1722" s="260"/>
      <c r="Z1722" s="260"/>
      <c r="AA1722" s="260"/>
      <c r="AB1722" s="260"/>
      <c r="AC1722" s="260"/>
      <c r="AD1722" s="260"/>
      <c r="AE1722" s="260"/>
      <c r="AF1722" s="260"/>
      <c r="AG1722" s="258"/>
    </row>
    <row r="1723" spans="13:33" ht="12" hidden="1" customHeight="1">
      <c r="M1723" s="820"/>
      <c r="N1723" s="451"/>
      <c r="O1723" s="455"/>
      <c r="P1723" s="260"/>
      <c r="Q1723" s="258"/>
      <c r="R1723" s="260"/>
      <c r="S1723" s="260"/>
      <c r="T1723" s="260"/>
      <c r="U1723" s="260"/>
      <c r="V1723" s="260"/>
      <c r="W1723" s="260"/>
      <c r="X1723" s="260"/>
      <c r="Y1723" s="260"/>
      <c r="Z1723" s="260"/>
      <c r="AA1723" s="260"/>
      <c r="AB1723" s="260"/>
      <c r="AC1723" s="260"/>
      <c r="AD1723" s="260"/>
      <c r="AE1723" s="260"/>
      <c r="AF1723" s="260"/>
      <c r="AG1723" s="258"/>
    </row>
    <row r="1724" spans="13:33" ht="12" customHeight="1">
      <c r="M1724" s="820"/>
      <c r="N1724" s="451" t="s">
        <v>80</v>
      </c>
      <c r="O1724" s="455" t="s">
        <v>81</v>
      </c>
      <c r="P1724" s="260"/>
      <c r="Q1724" s="258"/>
      <c r="R1724" s="260"/>
      <c r="S1724" s="260"/>
      <c r="T1724" s="260"/>
      <c r="U1724" s="260"/>
      <c r="V1724" s="260"/>
      <c r="W1724" s="260"/>
      <c r="X1724" s="260"/>
      <c r="Y1724" s="260"/>
      <c r="Z1724" s="262">
        <f>'ТС.Т 01.07 - 31.08'!Z1724</f>
        <v>0</v>
      </c>
      <c r="AA1724" s="260"/>
      <c r="AB1724" s="260"/>
      <c r="AC1724" s="260"/>
      <c r="AD1724" s="260"/>
      <c r="AE1724" s="260"/>
      <c r="AF1724" s="262">
        <f>'ТС.Т 01.07 - 31.08'!AF1724</f>
        <v>0</v>
      </c>
      <c r="AG1724" s="258"/>
    </row>
    <row r="1725" spans="13:33" ht="12" hidden="1" customHeight="1">
      <c r="M1725" s="820"/>
      <c r="N1725" s="451"/>
      <c r="O1725" s="455"/>
      <c r="P1725" s="260"/>
      <c r="Q1725" s="258"/>
      <c r="R1725" s="260"/>
      <c r="S1725" s="260"/>
      <c r="T1725" s="260"/>
      <c r="U1725" s="260"/>
      <c r="V1725" s="260"/>
      <c r="W1725" s="260"/>
      <c r="X1725" s="260"/>
      <c r="Y1725" s="260"/>
      <c r="Z1725" s="260"/>
      <c r="AA1725" s="260"/>
      <c r="AB1725" s="260"/>
      <c r="AC1725" s="260"/>
      <c r="AD1725" s="260"/>
      <c r="AE1725" s="260"/>
      <c r="AF1725" s="260"/>
      <c r="AG1725" s="258"/>
    </row>
    <row r="1726" spans="13:33" ht="12" hidden="1" customHeight="1">
      <c r="M1726" s="820"/>
      <c r="N1726" s="451"/>
      <c r="O1726" s="455"/>
      <c r="P1726" s="260"/>
      <c r="Q1726" s="258"/>
      <c r="R1726" s="260"/>
      <c r="S1726" s="260"/>
      <c r="T1726" s="260"/>
      <c r="U1726" s="260"/>
      <c r="V1726" s="260"/>
      <c r="W1726" s="260"/>
      <c r="X1726" s="260"/>
      <c r="Y1726" s="260"/>
      <c r="Z1726" s="260"/>
      <c r="AA1726" s="260"/>
      <c r="AB1726" s="260"/>
      <c r="AC1726" s="260"/>
      <c r="AD1726" s="260"/>
      <c r="AE1726" s="260"/>
      <c r="AF1726" s="260"/>
      <c r="AG1726" s="258"/>
    </row>
    <row r="1727" spans="13:33" ht="12" hidden="1" customHeight="1">
      <c r="M1727" s="820"/>
      <c r="N1727" s="451"/>
      <c r="O1727" s="455"/>
      <c r="P1727" s="260"/>
      <c r="Q1727" s="258"/>
      <c r="R1727" s="260"/>
      <c r="S1727" s="260"/>
      <c r="T1727" s="260"/>
      <c r="U1727" s="260"/>
      <c r="V1727" s="260"/>
      <c r="W1727" s="260"/>
      <c r="X1727" s="260"/>
      <c r="Y1727" s="260"/>
      <c r="Z1727" s="260"/>
      <c r="AA1727" s="260"/>
      <c r="AB1727" s="260"/>
      <c r="AC1727" s="260"/>
      <c r="AD1727" s="260"/>
      <c r="AE1727" s="260"/>
      <c r="AF1727" s="260"/>
      <c r="AG1727" s="258"/>
    </row>
    <row r="1728" spans="13:33" ht="12" hidden="1" customHeight="1">
      <c r="M1728" s="820"/>
      <c r="N1728" s="451"/>
      <c r="O1728" s="455"/>
      <c r="P1728" s="260"/>
      <c r="Q1728" s="258"/>
      <c r="R1728" s="260"/>
      <c r="S1728" s="260"/>
      <c r="T1728" s="260"/>
      <c r="U1728" s="260"/>
      <c r="V1728" s="260"/>
      <c r="W1728" s="260"/>
      <c r="X1728" s="260"/>
      <c r="Y1728" s="260"/>
      <c r="Z1728" s="260"/>
      <c r="AA1728" s="260"/>
      <c r="AB1728" s="260"/>
      <c r="AC1728" s="260"/>
      <c r="AD1728" s="260"/>
      <c r="AE1728" s="260"/>
      <c r="AF1728" s="260"/>
      <c r="AG1728" s="258"/>
    </row>
    <row r="1729" spans="13:33" ht="12" hidden="1" customHeight="1">
      <c r="M1729" s="820"/>
      <c r="N1729" s="451"/>
      <c r="O1729" s="455"/>
      <c r="P1729" s="260"/>
      <c r="Q1729" s="258"/>
      <c r="R1729" s="260"/>
      <c r="S1729" s="260"/>
      <c r="T1729" s="260"/>
      <c r="U1729" s="260"/>
      <c r="V1729" s="260"/>
      <c r="W1729" s="260"/>
      <c r="X1729" s="260"/>
      <c r="Y1729" s="260"/>
      <c r="Z1729" s="260"/>
      <c r="AA1729" s="260"/>
      <c r="AB1729" s="260"/>
      <c r="AC1729" s="260"/>
      <c r="AD1729" s="260"/>
      <c r="AE1729" s="260"/>
      <c r="AF1729" s="260"/>
      <c r="AG1729" s="258"/>
    </row>
    <row r="1730" spans="13:33" ht="12" hidden="1" customHeight="1">
      <c r="M1730" s="820"/>
      <c r="N1730" s="451"/>
      <c r="O1730" s="455"/>
      <c r="P1730" s="260"/>
      <c r="Q1730" s="258"/>
      <c r="R1730" s="260"/>
      <c r="S1730" s="260"/>
      <c r="T1730" s="260"/>
      <c r="U1730" s="260"/>
      <c r="V1730" s="260"/>
      <c r="W1730" s="260"/>
      <c r="X1730" s="260"/>
      <c r="Y1730" s="260"/>
      <c r="Z1730" s="260"/>
      <c r="AA1730" s="260"/>
      <c r="AB1730" s="260"/>
      <c r="AC1730" s="260"/>
      <c r="AD1730" s="260"/>
      <c r="AE1730" s="260"/>
      <c r="AF1730" s="260"/>
      <c r="AG1730" s="258"/>
    </row>
    <row r="1731" spans="13:33" ht="12" hidden="1" customHeight="1">
      <c r="M1731" s="820"/>
      <c r="N1731" s="451"/>
      <c r="O1731" s="455"/>
      <c r="P1731" s="260"/>
      <c r="Q1731" s="258"/>
      <c r="R1731" s="260"/>
      <c r="S1731" s="260"/>
      <c r="T1731" s="260"/>
      <c r="U1731" s="260"/>
      <c r="V1731" s="260"/>
      <c r="W1731" s="260"/>
      <c r="X1731" s="260"/>
      <c r="Y1731" s="260"/>
      <c r="Z1731" s="260"/>
      <c r="AA1731" s="260"/>
      <c r="AB1731" s="260"/>
      <c r="AC1731" s="260"/>
      <c r="AD1731" s="260"/>
      <c r="AE1731" s="260"/>
      <c r="AF1731" s="260"/>
      <c r="AG1731" s="258"/>
    </row>
    <row r="1732" spans="13:33" ht="12" customHeight="1">
      <c r="M1732" s="820"/>
      <c r="N1732" s="451" t="s">
        <v>82</v>
      </c>
      <c r="O1732" s="455" t="s">
        <v>83</v>
      </c>
      <c r="P1732" s="260"/>
      <c r="Q1732" s="258"/>
      <c r="R1732" s="260"/>
      <c r="S1732" s="260"/>
      <c r="T1732" s="260"/>
      <c r="U1732" s="260"/>
      <c r="V1732" s="260"/>
      <c r="W1732" s="260"/>
      <c r="X1732" s="260"/>
      <c r="Y1732" s="260"/>
      <c r="Z1732" s="262">
        <f>'ТС.Т 01.07 - 31.08'!Z1732</f>
        <v>0</v>
      </c>
      <c r="AA1732" s="260"/>
      <c r="AB1732" s="260"/>
      <c r="AC1732" s="260"/>
      <c r="AD1732" s="260"/>
      <c r="AE1732" s="260"/>
      <c r="AF1732" s="262">
        <f>'ТС.Т 01.07 - 31.08'!AF1732</f>
        <v>0</v>
      </c>
      <c r="AG1732" s="258"/>
    </row>
    <row r="1733" spans="13:33" ht="12" customHeight="1">
      <c r="M1733" s="820"/>
      <c r="N1733" s="451" t="s">
        <v>84</v>
      </c>
      <c r="O1733" s="457" t="s">
        <v>85</v>
      </c>
      <c r="P1733" s="260"/>
      <c r="Q1733" s="258"/>
      <c r="R1733" s="260"/>
      <c r="S1733" s="260"/>
      <c r="T1733" s="260"/>
      <c r="U1733" s="260"/>
      <c r="V1733" s="260"/>
      <c r="W1733" s="260"/>
      <c r="X1733" s="260"/>
      <c r="Y1733" s="260"/>
      <c r="Z1733" s="262">
        <f>'ТС.Т 01.07 - 31.08'!Z1733</f>
        <v>0</v>
      </c>
      <c r="AA1733" s="260"/>
      <c r="AB1733" s="260"/>
      <c r="AC1733" s="260"/>
      <c r="AD1733" s="260"/>
      <c r="AE1733" s="260"/>
      <c r="AF1733" s="262">
        <f>'ТС.Т 01.07 - 31.08'!AF1733</f>
        <v>0</v>
      </c>
      <c r="AG1733" s="258"/>
    </row>
    <row r="1734" spans="13:33" ht="12" customHeight="1">
      <c r="M1734" s="820"/>
      <c r="N1734" s="451" t="s">
        <v>86</v>
      </c>
      <c r="O1734" s="457" t="s">
        <v>87</v>
      </c>
      <c r="P1734" s="260"/>
      <c r="Q1734" s="258"/>
      <c r="R1734" s="260"/>
      <c r="S1734" s="260"/>
      <c r="T1734" s="260"/>
      <c r="U1734" s="260"/>
      <c r="V1734" s="260"/>
      <c r="W1734" s="260"/>
      <c r="X1734" s="260"/>
      <c r="Y1734" s="260"/>
      <c r="Z1734" s="262">
        <f>'ТС.Т 01.07 - 31.08'!Z1734</f>
        <v>0</v>
      </c>
      <c r="AA1734" s="260"/>
      <c r="AB1734" s="260"/>
      <c r="AC1734" s="260"/>
      <c r="AD1734" s="260"/>
      <c r="AE1734" s="260"/>
      <c r="AF1734" s="262">
        <f>'ТС.Т 01.07 - 31.08'!AF1734</f>
        <v>0</v>
      </c>
      <c r="AG1734" s="258"/>
    </row>
    <row r="1735" spans="13:33" ht="12" customHeight="1">
      <c r="M1735" s="820"/>
      <c r="N1735" s="451" t="s">
        <v>88</v>
      </c>
      <c r="O1735" s="457" t="s">
        <v>89</v>
      </c>
      <c r="P1735" s="260"/>
      <c r="Q1735" s="258"/>
      <c r="R1735" s="260"/>
      <c r="S1735" s="260"/>
      <c r="T1735" s="260"/>
      <c r="U1735" s="260"/>
      <c r="V1735" s="260"/>
      <c r="W1735" s="260"/>
      <c r="X1735" s="260"/>
      <c r="Y1735" s="260"/>
      <c r="Z1735" s="262">
        <f>'ТС.Т 01.07 - 31.08'!Z1735</f>
        <v>0</v>
      </c>
      <c r="AA1735" s="260"/>
      <c r="AB1735" s="260"/>
      <c r="AC1735" s="260"/>
      <c r="AD1735" s="260"/>
      <c r="AE1735" s="260"/>
      <c r="AF1735" s="262">
        <f>'ТС.Т 01.07 - 31.08'!AF1735</f>
        <v>0</v>
      </c>
      <c r="AG1735" s="258"/>
    </row>
    <row r="1736" spans="13:33" ht="12" customHeight="1">
      <c r="M1736" s="820"/>
      <c r="N1736" s="451" t="s">
        <v>90</v>
      </c>
      <c r="O1736" s="457" t="s">
        <v>91</v>
      </c>
      <c r="P1736" s="260"/>
      <c r="Q1736" s="258"/>
      <c r="R1736" s="260"/>
      <c r="S1736" s="260"/>
      <c r="T1736" s="260"/>
      <c r="U1736" s="260"/>
      <c r="V1736" s="260"/>
      <c r="W1736" s="260"/>
      <c r="X1736" s="260"/>
      <c r="Y1736" s="260"/>
      <c r="Z1736" s="262">
        <f>'ТС.Т 01.07 - 31.08'!Z1736</f>
        <v>0</v>
      </c>
      <c r="AA1736" s="260"/>
      <c r="AB1736" s="260"/>
      <c r="AC1736" s="260"/>
      <c r="AD1736" s="260"/>
      <c r="AE1736" s="260"/>
      <c r="AF1736" s="262">
        <f>'ТС.Т 01.07 - 31.08'!AF1736</f>
        <v>0</v>
      </c>
      <c r="AG1736" s="258"/>
    </row>
    <row r="1737" spans="13:33" ht="12" customHeight="1">
      <c r="M1737" s="820"/>
      <c r="N1737" s="451" t="s">
        <v>92</v>
      </c>
      <c r="O1737" s="457" t="s">
        <v>93</v>
      </c>
      <c r="P1737" s="260"/>
      <c r="Q1737" s="258"/>
      <c r="R1737" s="260"/>
      <c r="S1737" s="260"/>
      <c r="T1737" s="260"/>
      <c r="U1737" s="260"/>
      <c r="V1737" s="260"/>
      <c r="W1737" s="260"/>
      <c r="X1737" s="260"/>
      <c r="Y1737" s="260"/>
      <c r="Z1737" s="262">
        <f>'ТС.Т 01.07 - 31.08'!Z1737</f>
        <v>0</v>
      </c>
      <c r="AA1737" s="260"/>
      <c r="AB1737" s="260"/>
      <c r="AC1737" s="260"/>
      <c r="AD1737" s="260"/>
      <c r="AE1737" s="260"/>
      <c r="AF1737" s="262">
        <f>'ТС.Т 01.07 - 31.08'!AF1737</f>
        <v>0</v>
      </c>
      <c r="AG1737" s="258"/>
    </row>
    <row r="1738" spans="13:33" ht="12" customHeight="1">
      <c r="M1738" s="820"/>
      <c r="N1738" s="451" t="s">
        <v>94</v>
      </c>
      <c r="O1738" s="457" t="s">
        <v>95</v>
      </c>
      <c r="P1738" s="260"/>
      <c r="Q1738" s="258"/>
      <c r="R1738" s="260"/>
      <c r="S1738" s="260"/>
      <c r="T1738" s="260"/>
      <c r="U1738" s="260"/>
      <c r="V1738" s="260"/>
      <c r="W1738" s="260"/>
      <c r="X1738" s="260"/>
      <c r="Y1738" s="260"/>
      <c r="Z1738" s="262">
        <f>'ТС.Т 01.07 - 31.08'!Z1738</f>
        <v>0</v>
      </c>
      <c r="AA1738" s="260"/>
      <c r="AB1738" s="260"/>
      <c r="AC1738" s="260"/>
      <c r="AD1738" s="260"/>
      <c r="AE1738" s="260"/>
      <c r="AF1738" s="262">
        <f>'ТС.Т 01.07 - 31.08'!AF1738</f>
        <v>0</v>
      </c>
      <c r="AG1738" s="258"/>
    </row>
    <row r="1739" spans="13:33" ht="12" customHeight="1">
      <c r="M1739" s="820"/>
      <c r="N1739" s="451" t="s">
        <v>2975</v>
      </c>
      <c r="O1739" s="457" t="s">
        <v>2976</v>
      </c>
      <c r="P1739" s="260"/>
      <c r="Q1739" s="258"/>
      <c r="R1739" s="260"/>
      <c r="S1739" s="260"/>
      <c r="T1739" s="260"/>
      <c r="U1739" s="260"/>
      <c r="V1739" s="260"/>
      <c r="W1739" s="260"/>
      <c r="X1739" s="260"/>
      <c r="Y1739" s="260"/>
      <c r="Z1739" s="262">
        <f>'ТС.Т 01.07 - 31.08'!Z1739</f>
        <v>0</v>
      </c>
      <c r="AA1739" s="260"/>
      <c r="AB1739" s="260"/>
      <c r="AC1739" s="260"/>
      <c r="AD1739" s="260"/>
      <c r="AE1739" s="260"/>
      <c r="AF1739" s="262">
        <f>'ТС.Т 01.07 - 31.08'!AF1739</f>
        <v>0</v>
      </c>
      <c r="AG1739" s="258"/>
    </row>
    <row r="1740" spans="13:33" ht="12" customHeight="1">
      <c r="M1740" s="820"/>
      <c r="N1740" s="451" t="s">
        <v>2977</v>
      </c>
      <c r="O1740" s="457" t="s">
        <v>2978</v>
      </c>
      <c r="P1740" s="260"/>
      <c r="Q1740" s="258"/>
      <c r="R1740" s="260"/>
      <c r="S1740" s="260"/>
      <c r="T1740" s="260"/>
      <c r="U1740" s="260"/>
      <c r="V1740" s="260"/>
      <c r="W1740" s="260"/>
      <c r="X1740" s="260"/>
      <c r="Y1740" s="260"/>
      <c r="Z1740" s="262">
        <f>'ТС.Т 01.07 - 31.08'!Z1740</f>
        <v>0</v>
      </c>
      <c r="AA1740" s="260"/>
      <c r="AB1740" s="260"/>
      <c r="AC1740" s="260"/>
      <c r="AD1740" s="260"/>
      <c r="AE1740" s="260"/>
      <c r="AF1740" s="262">
        <f>'ТС.Т 01.07 - 31.08'!AF1740</f>
        <v>0</v>
      </c>
      <c r="AG1740" s="258"/>
    </row>
    <row r="1741" spans="13:33" ht="12" customHeight="1">
      <c r="M1741" s="820"/>
      <c r="N1741" s="451" t="s">
        <v>2979</v>
      </c>
      <c r="O1741" s="457" t="s">
        <v>2980</v>
      </c>
      <c r="P1741" s="260"/>
      <c r="Q1741" s="258"/>
      <c r="R1741" s="260"/>
      <c r="S1741" s="260"/>
      <c r="T1741" s="260"/>
      <c r="U1741" s="260"/>
      <c r="V1741" s="260"/>
      <c r="W1741" s="260"/>
      <c r="X1741" s="260"/>
      <c r="Y1741" s="260"/>
      <c r="Z1741" s="262">
        <f>'ТС.Т 01.07 - 31.08'!Z1741</f>
        <v>0</v>
      </c>
      <c r="AA1741" s="260"/>
      <c r="AB1741" s="260"/>
      <c r="AC1741" s="260"/>
      <c r="AD1741" s="260"/>
      <c r="AE1741" s="260"/>
      <c r="AF1741" s="262">
        <f>'ТС.Т 01.07 - 31.08'!AF1741</f>
        <v>0</v>
      </c>
      <c r="AG1741" s="258"/>
    </row>
    <row r="1742" spans="13:33" ht="12" customHeight="1">
      <c r="M1742" s="820"/>
      <c r="N1742" s="451" t="s">
        <v>2981</v>
      </c>
      <c r="O1742" s="457" t="s">
        <v>2982</v>
      </c>
      <c r="P1742" s="260"/>
      <c r="Q1742" s="258"/>
      <c r="R1742" s="260"/>
      <c r="S1742" s="260"/>
      <c r="T1742" s="260"/>
      <c r="U1742" s="260"/>
      <c r="V1742" s="260"/>
      <c r="W1742" s="260"/>
      <c r="X1742" s="260"/>
      <c r="Y1742" s="260"/>
      <c r="Z1742" s="262">
        <f>'ТС.Т 01.07 - 31.08'!Z1742</f>
        <v>0</v>
      </c>
      <c r="AA1742" s="260"/>
      <c r="AB1742" s="260"/>
      <c r="AC1742" s="260"/>
      <c r="AD1742" s="260"/>
      <c r="AE1742" s="260"/>
      <c r="AF1742" s="262">
        <f>'ТС.Т 01.07 - 31.08'!AF1742</f>
        <v>0</v>
      </c>
      <c r="AG1742" s="258"/>
    </row>
    <row r="1743" spans="13:33" ht="12" customHeight="1">
      <c r="M1743" s="820"/>
      <c r="N1743" s="451" t="s">
        <v>2983</v>
      </c>
      <c r="O1743" s="224" t="s">
        <v>2984</v>
      </c>
      <c r="P1743" s="260"/>
      <c r="Q1743" s="258"/>
      <c r="R1743" s="260"/>
      <c r="S1743" s="260"/>
      <c r="T1743" s="260"/>
      <c r="U1743" s="260"/>
      <c r="V1743" s="260"/>
      <c r="W1743" s="260"/>
      <c r="X1743" s="260"/>
      <c r="Y1743" s="260"/>
      <c r="Z1743" s="262">
        <f>'ТС.Т 01.07 - 31.08'!Z1743</f>
        <v>0</v>
      </c>
      <c r="AA1743" s="260"/>
      <c r="AB1743" s="260"/>
      <c r="AC1743" s="260"/>
      <c r="AD1743" s="260"/>
      <c r="AE1743" s="260"/>
      <c r="AF1743" s="262">
        <f>'ТС.Т 01.07 - 31.08'!AF1743</f>
        <v>0</v>
      </c>
      <c r="AG1743" s="258"/>
    </row>
    <row r="1744" spans="13:33" ht="12" customHeight="1">
      <c r="M1744" s="820"/>
      <c r="N1744" s="451" t="s">
        <v>2989</v>
      </c>
      <c r="O1744" s="224" t="s">
        <v>2990</v>
      </c>
      <c r="P1744" s="260"/>
      <c r="Q1744" s="258"/>
      <c r="R1744" s="260"/>
      <c r="S1744" s="260"/>
      <c r="T1744" s="260"/>
      <c r="U1744" s="260"/>
      <c r="V1744" s="260"/>
      <c r="W1744" s="260"/>
      <c r="X1744" s="260"/>
      <c r="Y1744" s="260"/>
      <c r="Z1744" s="262">
        <f>'ТС.Т 01.07 - 31.08'!Z1744</f>
        <v>0</v>
      </c>
      <c r="AA1744" s="260"/>
      <c r="AB1744" s="260"/>
      <c r="AC1744" s="260"/>
      <c r="AD1744" s="260"/>
      <c r="AE1744" s="260"/>
      <c r="AF1744" s="262">
        <f>'ТС.Т 01.07 - 31.08'!AF1744</f>
        <v>0</v>
      </c>
      <c r="AG1744" s="258"/>
    </row>
    <row r="1745" spans="13:33" ht="12" customHeight="1">
      <c r="M1745" s="820"/>
      <c r="N1745" s="451" t="s">
        <v>292</v>
      </c>
      <c r="O1745" s="442" t="s">
        <v>291</v>
      </c>
      <c r="P1745" s="260"/>
      <c r="Q1745" s="258"/>
      <c r="R1745" s="260"/>
      <c r="S1745" s="260"/>
      <c r="T1745" s="260"/>
      <c r="U1745" s="260"/>
      <c r="V1745" s="260"/>
      <c r="W1745" s="260"/>
      <c r="X1745" s="260"/>
      <c r="Y1745" s="260"/>
      <c r="Z1745" s="262">
        <f>'ТС.Т 01.07 - 31.08'!Z1745</f>
        <v>0</v>
      </c>
      <c r="AA1745" s="260"/>
      <c r="AB1745" s="260"/>
      <c r="AC1745" s="260"/>
      <c r="AD1745" s="260"/>
      <c r="AE1745" s="260"/>
      <c r="AF1745" s="262">
        <f>'ТС.Т 01.07 - 31.08'!AF1745</f>
        <v>0</v>
      </c>
      <c r="AG1745" s="258"/>
    </row>
    <row r="1746" spans="13:33" ht="12" hidden="1" customHeight="1">
      <c r="M1746" s="820"/>
      <c r="N1746" s="239"/>
      <c r="O1746" s="225"/>
      <c r="P1746" s="260"/>
      <c r="Q1746" s="258"/>
      <c r="R1746" s="260"/>
      <c r="S1746" s="260"/>
      <c r="T1746" s="260"/>
      <c r="U1746" s="260"/>
      <c r="V1746" s="260"/>
      <c r="W1746" s="260"/>
      <c r="X1746" s="260"/>
      <c r="Y1746" s="260"/>
      <c r="Z1746" s="260"/>
      <c r="AA1746" s="260"/>
      <c r="AB1746" s="260"/>
      <c r="AC1746" s="260"/>
      <c r="AD1746" s="260"/>
      <c r="AE1746" s="260"/>
      <c r="AF1746" s="260"/>
      <c r="AG1746" s="258"/>
    </row>
    <row r="1747" spans="13:33" ht="12" hidden="1" customHeight="1">
      <c r="M1747" s="820"/>
      <c r="N1747" s="239"/>
      <c r="O1747" s="225"/>
      <c r="P1747" s="260"/>
      <c r="Q1747" s="258"/>
      <c r="R1747" s="260"/>
      <c r="S1747" s="260"/>
      <c r="T1747" s="260"/>
      <c r="U1747" s="260"/>
      <c r="V1747" s="260"/>
      <c r="W1747" s="260"/>
      <c r="X1747" s="260"/>
      <c r="Y1747" s="260"/>
      <c r="Z1747" s="260"/>
      <c r="AA1747" s="260"/>
      <c r="AB1747" s="260"/>
      <c r="AC1747" s="260"/>
      <c r="AD1747" s="260"/>
      <c r="AE1747" s="260"/>
      <c r="AF1747" s="260"/>
      <c r="AG1747" s="258"/>
    </row>
    <row r="1748" spans="13:33" ht="12" hidden="1" customHeight="1">
      <c r="M1748" s="820"/>
      <c r="N1748" s="239"/>
      <c r="O1748" s="225"/>
      <c r="P1748" s="260"/>
      <c r="Q1748" s="258"/>
      <c r="R1748" s="260"/>
      <c r="S1748" s="260"/>
      <c r="T1748" s="260"/>
      <c r="U1748" s="260"/>
      <c r="V1748" s="260"/>
      <c r="W1748" s="260"/>
      <c r="X1748" s="260"/>
      <c r="Y1748" s="260"/>
      <c r="Z1748" s="260"/>
      <c r="AA1748" s="260"/>
      <c r="AB1748" s="260"/>
      <c r="AC1748" s="260"/>
      <c r="AD1748" s="260"/>
      <c r="AE1748" s="260"/>
      <c r="AF1748" s="260"/>
      <c r="AG1748" s="258"/>
    </row>
    <row r="1749" spans="13:33" ht="12" hidden="1" customHeight="1">
      <c r="M1749" s="820"/>
      <c r="N1749" s="239"/>
      <c r="O1749" s="225"/>
      <c r="P1749" s="260"/>
      <c r="Q1749" s="258"/>
      <c r="R1749" s="260"/>
      <c r="S1749" s="260"/>
      <c r="T1749" s="260"/>
      <c r="U1749" s="260"/>
      <c r="V1749" s="260"/>
      <c r="W1749" s="260"/>
      <c r="X1749" s="260"/>
      <c r="Y1749" s="260"/>
      <c r="Z1749" s="260"/>
      <c r="AA1749" s="260"/>
      <c r="AB1749" s="260"/>
      <c r="AC1749" s="260"/>
      <c r="AD1749" s="260"/>
      <c r="AE1749" s="260"/>
      <c r="AF1749" s="260"/>
      <c r="AG1749" s="258"/>
    </row>
    <row r="1750" spans="13:33" ht="12" hidden="1" customHeight="1">
      <c r="M1750" s="820"/>
      <c r="N1750" s="239"/>
      <c r="O1750" s="225"/>
      <c r="P1750" s="260"/>
      <c r="Q1750" s="258"/>
      <c r="R1750" s="260"/>
      <c r="S1750" s="260"/>
      <c r="T1750" s="260"/>
      <c r="U1750" s="260"/>
      <c r="V1750" s="260"/>
      <c r="W1750" s="260"/>
      <c r="X1750" s="260"/>
      <c r="Y1750" s="260"/>
      <c r="Z1750" s="260"/>
      <c r="AA1750" s="260"/>
      <c r="AB1750" s="260"/>
      <c r="AC1750" s="260"/>
      <c r="AD1750" s="260"/>
      <c r="AE1750" s="260"/>
      <c r="AF1750" s="260"/>
      <c r="AG1750" s="258"/>
    </row>
    <row r="1751" spans="13:33" ht="12" hidden="1" customHeight="1">
      <c r="M1751" s="820"/>
      <c r="N1751" s="239"/>
      <c r="O1751" s="225"/>
      <c r="P1751" s="260"/>
      <c r="Q1751" s="258"/>
      <c r="R1751" s="260"/>
      <c r="S1751" s="260"/>
      <c r="T1751" s="260"/>
      <c r="U1751" s="260"/>
      <c r="V1751" s="260"/>
      <c r="W1751" s="260"/>
      <c r="X1751" s="260"/>
      <c r="Y1751" s="260"/>
      <c r="Z1751" s="260"/>
      <c r="AA1751" s="260"/>
      <c r="AB1751" s="260"/>
      <c r="AC1751" s="260"/>
      <c r="AD1751" s="260"/>
      <c r="AE1751" s="260"/>
      <c r="AF1751" s="260"/>
      <c r="AG1751" s="258"/>
    </row>
    <row r="1752" spans="13:33" ht="12" hidden="1" customHeight="1">
      <c r="M1752" s="820"/>
      <c r="N1752" s="239"/>
      <c r="O1752" s="225"/>
      <c r="P1752" s="260"/>
      <c r="Q1752" s="258"/>
      <c r="R1752" s="260"/>
      <c r="S1752" s="260"/>
      <c r="T1752" s="260"/>
      <c r="U1752" s="260"/>
      <c r="V1752" s="260"/>
      <c r="W1752" s="260"/>
      <c r="X1752" s="260"/>
      <c r="Y1752" s="260"/>
      <c r="Z1752" s="260"/>
      <c r="AA1752" s="260"/>
      <c r="AB1752" s="260"/>
      <c r="AC1752" s="260"/>
      <c r="AD1752" s="260"/>
      <c r="AE1752" s="260"/>
      <c r="AF1752" s="260"/>
      <c r="AG1752" s="258"/>
    </row>
    <row r="1753" spans="13:33" ht="12" hidden="1" customHeight="1">
      <c r="M1753" s="820"/>
      <c r="N1753" s="239"/>
      <c r="O1753" s="225"/>
      <c r="P1753" s="260"/>
      <c r="Q1753" s="258"/>
      <c r="R1753" s="260"/>
      <c r="S1753" s="260"/>
      <c r="T1753" s="260"/>
      <c r="U1753" s="260"/>
      <c r="V1753" s="260"/>
      <c r="W1753" s="260"/>
      <c r="X1753" s="260"/>
      <c r="Y1753" s="260"/>
      <c r="Z1753" s="260"/>
      <c r="AA1753" s="260"/>
      <c r="AB1753" s="260"/>
      <c r="AC1753" s="260"/>
      <c r="AD1753" s="260"/>
      <c r="AE1753" s="260"/>
      <c r="AF1753" s="260"/>
      <c r="AG1753" s="258"/>
    </row>
    <row r="1754" spans="13:33" ht="12" hidden="1" customHeight="1">
      <c r="M1754" s="820"/>
      <c r="N1754" s="239"/>
      <c r="O1754" s="225"/>
      <c r="P1754" s="260"/>
      <c r="Q1754" s="258"/>
      <c r="R1754" s="260"/>
      <c r="S1754" s="260"/>
      <c r="T1754" s="260"/>
      <c r="U1754" s="260"/>
      <c r="V1754" s="260"/>
      <c r="W1754" s="260"/>
      <c r="X1754" s="260"/>
      <c r="Y1754" s="260"/>
      <c r="Z1754" s="260"/>
      <c r="AA1754" s="260"/>
      <c r="AB1754" s="260"/>
      <c r="AC1754" s="260"/>
      <c r="AD1754" s="260"/>
      <c r="AE1754" s="260"/>
      <c r="AF1754" s="260"/>
      <c r="AG1754" s="258"/>
    </row>
    <row r="1755" spans="13:33" ht="12" hidden="1" customHeight="1">
      <c r="M1755" s="820"/>
      <c r="N1755" s="239"/>
      <c r="O1755" s="225"/>
      <c r="P1755" s="260"/>
      <c r="Q1755" s="258"/>
      <c r="R1755" s="260"/>
      <c r="S1755" s="260"/>
      <c r="T1755" s="260"/>
      <c r="U1755" s="260"/>
      <c r="V1755" s="260"/>
      <c r="W1755" s="260"/>
      <c r="X1755" s="260"/>
      <c r="Y1755" s="260"/>
      <c r="Z1755" s="260"/>
      <c r="AA1755" s="260"/>
      <c r="AB1755" s="260"/>
      <c r="AC1755" s="260"/>
      <c r="AD1755" s="260"/>
      <c r="AE1755" s="260"/>
      <c r="AF1755" s="260"/>
      <c r="AG1755" s="258"/>
    </row>
    <row r="1756" spans="13:33" ht="12" hidden="1" customHeight="1">
      <c r="M1756" s="820"/>
      <c r="N1756" s="239"/>
      <c r="O1756" s="225"/>
      <c r="P1756" s="260"/>
      <c r="Q1756" s="258"/>
      <c r="R1756" s="260"/>
      <c r="S1756" s="260"/>
      <c r="T1756" s="260"/>
      <c r="U1756" s="260"/>
      <c r="V1756" s="260"/>
      <c r="W1756" s="260"/>
      <c r="X1756" s="260"/>
      <c r="Y1756" s="260"/>
      <c r="Z1756" s="260"/>
      <c r="AA1756" s="260"/>
      <c r="AB1756" s="260"/>
      <c r="AC1756" s="260"/>
      <c r="AD1756" s="260"/>
      <c r="AE1756" s="260"/>
      <c r="AF1756" s="260"/>
      <c r="AG1756" s="258"/>
    </row>
    <row r="1757" spans="13:33" ht="12" hidden="1" customHeight="1">
      <c r="M1757" s="820"/>
      <c r="N1757" s="239"/>
      <c r="O1757" s="225"/>
      <c r="P1757" s="260"/>
      <c r="Q1757" s="258"/>
      <c r="R1757" s="260"/>
      <c r="S1757" s="260"/>
      <c r="T1757" s="260"/>
      <c r="U1757" s="260"/>
      <c r="V1757" s="260"/>
      <c r="W1757" s="260"/>
      <c r="X1757" s="260"/>
      <c r="Y1757" s="260"/>
      <c r="Z1757" s="260"/>
      <c r="AA1757" s="260"/>
      <c r="AB1757" s="260"/>
      <c r="AC1757" s="260"/>
      <c r="AD1757" s="260"/>
      <c r="AE1757" s="260"/>
      <c r="AF1757" s="260"/>
      <c r="AG1757" s="258"/>
    </row>
    <row r="1758" spans="13:33" ht="12" hidden="1" customHeight="1">
      <c r="M1758" s="820"/>
      <c r="N1758" s="239"/>
      <c r="O1758" s="225"/>
      <c r="P1758" s="260"/>
      <c r="Q1758" s="258"/>
      <c r="R1758" s="260"/>
      <c r="S1758" s="260"/>
      <c r="T1758" s="260"/>
      <c r="U1758" s="260"/>
      <c r="V1758" s="260"/>
      <c r="W1758" s="260"/>
      <c r="X1758" s="260"/>
      <c r="Y1758" s="260"/>
      <c r="Z1758" s="260"/>
      <c r="AA1758" s="260"/>
      <c r="AB1758" s="260"/>
      <c r="AC1758" s="260"/>
      <c r="AD1758" s="260"/>
      <c r="AE1758" s="260"/>
      <c r="AF1758" s="260"/>
      <c r="AG1758" s="258"/>
    </row>
    <row r="1759" spans="13:33" ht="12" hidden="1" customHeight="1">
      <c r="M1759" s="820"/>
      <c r="N1759" s="239"/>
      <c r="O1759" s="225"/>
      <c r="P1759" s="260"/>
      <c r="Q1759" s="258"/>
      <c r="R1759" s="260"/>
      <c r="S1759" s="260"/>
      <c r="T1759" s="260"/>
      <c r="U1759" s="260"/>
      <c r="V1759" s="260"/>
      <c r="W1759" s="260"/>
      <c r="X1759" s="260"/>
      <c r="Y1759" s="260"/>
      <c r="Z1759" s="260"/>
      <c r="AA1759" s="260"/>
      <c r="AB1759" s="260"/>
      <c r="AC1759" s="260"/>
      <c r="AD1759" s="260"/>
      <c r="AE1759" s="260"/>
      <c r="AF1759" s="260"/>
      <c r="AG1759" s="258"/>
    </row>
    <row r="1760" spans="13:33" ht="12" hidden="1" customHeight="1">
      <c r="M1760" s="820"/>
      <c r="N1760" s="239"/>
      <c r="O1760" s="225"/>
      <c r="P1760" s="260"/>
      <c r="Q1760" s="258"/>
      <c r="R1760" s="260"/>
      <c r="S1760" s="260"/>
      <c r="T1760" s="260"/>
      <c r="U1760" s="260"/>
      <c r="V1760" s="260"/>
      <c r="W1760" s="260"/>
      <c r="X1760" s="260"/>
      <c r="Y1760" s="260"/>
      <c r="Z1760" s="260"/>
      <c r="AA1760" s="260"/>
      <c r="AB1760" s="260"/>
      <c r="AC1760" s="260"/>
      <c r="AD1760" s="260"/>
      <c r="AE1760" s="260"/>
      <c r="AF1760" s="260"/>
      <c r="AG1760" s="258"/>
    </row>
    <row r="1761" spans="13:33" ht="12" hidden="1" customHeight="1">
      <c r="M1761" s="820"/>
      <c r="N1761" s="239"/>
      <c r="O1761" s="225"/>
      <c r="P1761" s="260"/>
      <c r="Q1761" s="258"/>
      <c r="R1761" s="260"/>
      <c r="S1761" s="260"/>
      <c r="T1761" s="260"/>
      <c r="U1761" s="260"/>
      <c r="V1761" s="260"/>
      <c r="W1761" s="260"/>
      <c r="X1761" s="260"/>
      <c r="Y1761" s="260"/>
      <c r="Z1761" s="260"/>
      <c r="AA1761" s="260"/>
      <c r="AB1761" s="260"/>
      <c r="AC1761" s="260"/>
      <c r="AD1761" s="260"/>
      <c r="AE1761" s="260"/>
      <c r="AF1761" s="260"/>
      <c r="AG1761" s="258"/>
    </row>
    <row r="1762" spans="13:33" ht="12" hidden="1" customHeight="1">
      <c r="M1762" s="820"/>
      <c r="N1762" s="239"/>
      <c r="O1762" s="225"/>
      <c r="P1762" s="260"/>
      <c r="Q1762" s="258"/>
      <c r="R1762" s="260"/>
      <c r="S1762" s="260"/>
      <c r="T1762" s="260"/>
      <c r="U1762" s="260"/>
      <c r="V1762" s="260"/>
      <c r="W1762" s="260"/>
      <c r="X1762" s="260"/>
      <c r="Y1762" s="260"/>
      <c r="Z1762" s="260"/>
      <c r="AA1762" s="260"/>
      <c r="AB1762" s="260"/>
      <c r="AC1762" s="260"/>
      <c r="AD1762" s="260"/>
      <c r="AE1762" s="260"/>
      <c r="AF1762" s="260"/>
      <c r="AG1762" s="258"/>
    </row>
    <row r="1763" spans="13:33" ht="12" hidden="1" customHeight="1">
      <c r="M1763" s="820"/>
      <c r="N1763" s="239"/>
      <c r="O1763" s="225"/>
      <c r="P1763" s="260"/>
      <c r="Q1763" s="258"/>
      <c r="R1763" s="260"/>
      <c r="S1763" s="260"/>
      <c r="T1763" s="260"/>
      <c r="U1763" s="260"/>
      <c r="V1763" s="260"/>
      <c r="W1763" s="260"/>
      <c r="X1763" s="260"/>
      <c r="Y1763" s="260"/>
      <c r="Z1763" s="260"/>
      <c r="AA1763" s="260"/>
      <c r="AB1763" s="260"/>
      <c r="AC1763" s="260"/>
      <c r="AD1763" s="260"/>
      <c r="AE1763" s="260"/>
      <c r="AF1763" s="260"/>
      <c r="AG1763" s="258"/>
    </row>
    <row r="1764" spans="13:33" ht="12" hidden="1" customHeight="1">
      <c r="M1764" s="820"/>
      <c r="N1764" s="239"/>
      <c r="O1764" s="225"/>
      <c r="P1764" s="260"/>
      <c r="Q1764" s="258"/>
      <c r="R1764" s="260"/>
      <c r="S1764" s="260"/>
      <c r="T1764" s="260"/>
      <c r="U1764" s="260"/>
      <c r="V1764" s="260"/>
      <c r="W1764" s="260"/>
      <c r="X1764" s="260"/>
      <c r="Y1764" s="260"/>
      <c r="Z1764" s="260"/>
      <c r="AA1764" s="260"/>
      <c r="AB1764" s="260"/>
      <c r="AC1764" s="260"/>
      <c r="AD1764" s="260"/>
      <c r="AE1764" s="260"/>
      <c r="AF1764" s="260"/>
      <c r="AG1764" s="258"/>
    </row>
    <row r="1765" spans="13:33" ht="12" hidden="1" customHeight="1">
      <c r="M1765" s="820"/>
      <c r="N1765" s="239"/>
      <c r="O1765" s="225"/>
      <c r="P1765" s="260"/>
      <c r="Q1765" s="258"/>
      <c r="R1765" s="260"/>
      <c r="S1765" s="260"/>
      <c r="T1765" s="260"/>
      <c r="U1765" s="260"/>
      <c r="V1765" s="260"/>
      <c r="W1765" s="260"/>
      <c r="X1765" s="260"/>
      <c r="Y1765" s="260"/>
      <c r="Z1765" s="260"/>
      <c r="AA1765" s="260"/>
      <c r="AB1765" s="260"/>
      <c r="AC1765" s="260"/>
      <c r="AD1765" s="260"/>
      <c r="AE1765" s="260"/>
      <c r="AF1765" s="260"/>
      <c r="AG1765" s="258"/>
    </row>
    <row r="1766" spans="13:33" ht="12" hidden="1" customHeight="1">
      <c r="M1766" s="820"/>
      <c r="N1766" s="239"/>
      <c r="O1766" s="225"/>
      <c r="P1766" s="260"/>
      <c r="Q1766" s="258"/>
      <c r="R1766" s="260"/>
      <c r="S1766" s="260"/>
      <c r="T1766" s="260"/>
      <c r="U1766" s="260"/>
      <c r="V1766" s="260"/>
      <c r="W1766" s="260"/>
      <c r="X1766" s="260"/>
      <c r="Y1766" s="260"/>
      <c r="Z1766" s="260"/>
      <c r="AA1766" s="260"/>
      <c r="AB1766" s="260"/>
      <c r="AC1766" s="260"/>
      <c r="AD1766" s="260"/>
      <c r="AE1766" s="260"/>
      <c r="AF1766" s="260"/>
      <c r="AG1766" s="258"/>
    </row>
    <row r="1767" spans="13:33" ht="12" hidden="1" customHeight="1">
      <c r="M1767" s="820"/>
      <c r="N1767" s="239"/>
      <c r="O1767" s="225"/>
      <c r="P1767" s="260"/>
      <c r="Q1767" s="258"/>
      <c r="R1767" s="260"/>
      <c r="S1767" s="260"/>
      <c r="T1767" s="260"/>
      <c r="U1767" s="260"/>
      <c r="V1767" s="260"/>
      <c r="W1767" s="260"/>
      <c r="X1767" s="260"/>
      <c r="Y1767" s="260"/>
      <c r="Z1767" s="260"/>
      <c r="AA1767" s="260"/>
      <c r="AB1767" s="260"/>
      <c r="AC1767" s="260"/>
      <c r="AD1767" s="260"/>
      <c r="AE1767" s="260"/>
      <c r="AF1767" s="260"/>
      <c r="AG1767" s="258"/>
    </row>
    <row r="1768" spans="13:33" ht="12" hidden="1" customHeight="1">
      <c r="M1768" s="820"/>
      <c r="N1768" s="239"/>
      <c r="O1768" s="225"/>
      <c r="P1768" s="260"/>
      <c r="Q1768" s="258"/>
      <c r="R1768" s="260"/>
      <c r="S1768" s="260"/>
      <c r="T1768" s="260"/>
      <c r="U1768" s="260"/>
      <c r="V1768" s="260"/>
      <c r="W1768" s="260"/>
      <c r="X1768" s="260"/>
      <c r="Y1768" s="260"/>
      <c r="Z1768" s="260"/>
      <c r="AA1768" s="260"/>
      <c r="AB1768" s="260"/>
      <c r="AC1768" s="260"/>
      <c r="AD1768" s="260"/>
      <c r="AE1768" s="260"/>
      <c r="AF1768" s="260"/>
      <c r="AG1768" s="258"/>
    </row>
    <row r="1769" spans="13:33" ht="12" hidden="1" customHeight="1">
      <c r="M1769" s="820"/>
      <c r="N1769" s="239"/>
      <c r="O1769" s="225"/>
      <c r="P1769" s="260"/>
      <c r="Q1769" s="258"/>
      <c r="R1769" s="260"/>
      <c r="S1769" s="260"/>
      <c r="T1769" s="260"/>
      <c r="U1769" s="260"/>
      <c r="V1769" s="260"/>
      <c r="W1769" s="260"/>
      <c r="X1769" s="260"/>
      <c r="Y1769" s="260"/>
      <c r="Z1769" s="260"/>
      <c r="AA1769" s="260"/>
      <c r="AB1769" s="260"/>
      <c r="AC1769" s="260"/>
      <c r="AD1769" s="260"/>
      <c r="AE1769" s="260"/>
      <c r="AF1769" s="260"/>
      <c r="AG1769" s="258"/>
    </row>
    <row r="1770" spans="13:33" ht="12" hidden="1" customHeight="1">
      <c r="M1770" s="820"/>
      <c r="N1770" s="239"/>
      <c r="O1770" s="225"/>
      <c r="P1770" s="260"/>
      <c r="Q1770" s="258"/>
      <c r="R1770" s="260"/>
      <c r="S1770" s="260"/>
      <c r="T1770" s="260"/>
      <c r="U1770" s="260"/>
      <c r="V1770" s="260"/>
      <c r="W1770" s="260"/>
      <c r="X1770" s="260"/>
      <c r="Y1770" s="260"/>
      <c r="Z1770" s="260"/>
      <c r="AA1770" s="260"/>
      <c r="AB1770" s="260"/>
      <c r="AC1770" s="260"/>
      <c r="AD1770" s="260"/>
      <c r="AE1770" s="260"/>
      <c r="AF1770" s="260"/>
      <c r="AG1770" s="258"/>
    </row>
    <row r="1771" spans="13:33" ht="12" hidden="1" customHeight="1">
      <c r="M1771" s="820"/>
      <c r="N1771" s="239"/>
      <c r="O1771" s="225"/>
      <c r="P1771" s="260"/>
      <c r="Q1771" s="258"/>
      <c r="R1771" s="260"/>
      <c r="S1771" s="260"/>
      <c r="T1771" s="260"/>
      <c r="U1771" s="260"/>
      <c r="V1771" s="260"/>
      <c r="W1771" s="260"/>
      <c r="X1771" s="260"/>
      <c r="Y1771" s="260"/>
      <c r="Z1771" s="260"/>
      <c r="AA1771" s="260"/>
      <c r="AB1771" s="260"/>
      <c r="AC1771" s="260"/>
      <c r="AD1771" s="260"/>
      <c r="AE1771" s="260"/>
      <c r="AF1771" s="260"/>
      <c r="AG1771" s="258"/>
    </row>
    <row r="1772" spans="13:33" ht="12" hidden="1" customHeight="1">
      <c r="M1772" s="820"/>
      <c r="N1772" s="239"/>
      <c r="O1772" s="225"/>
      <c r="P1772" s="260"/>
      <c r="Q1772" s="258"/>
      <c r="R1772" s="260"/>
      <c r="S1772" s="260"/>
      <c r="T1772" s="260"/>
      <c r="U1772" s="260"/>
      <c r="V1772" s="260"/>
      <c r="W1772" s="260"/>
      <c r="X1772" s="260"/>
      <c r="Y1772" s="260"/>
      <c r="Z1772" s="260"/>
      <c r="AA1772" s="260"/>
      <c r="AB1772" s="260"/>
      <c r="AC1772" s="260"/>
      <c r="AD1772" s="260"/>
      <c r="AE1772" s="260"/>
      <c r="AF1772" s="260"/>
      <c r="AG1772" s="258"/>
    </row>
    <row r="1773" spans="13:33" ht="12" hidden="1" customHeight="1">
      <c r="M1773" s="820"/>
      <c r="N1773" s="239"/>
      <c r="O1773" s="225"/>
      <c r="P1773" s="260"/>
      <c r="Q1773" s="258"/>
      <c r="R1773" s="260"/>
      <c r="S1773" s="260"/>
      <c r="T1773" s="260"/>
      <c r="U1773" s="260"/>
      <c r="V1773" s="260"/>
      <c r="W1773" s="260"/>
      <c r="X1773" s="260"/>
      <c r="Y1773" s="260"/>
      <c r="Z1773" s="260"/>
      <c r="AA1773" s="260"/>
      <c r="AB1773" s="260"/>
      <c r="AC1773" s="260"/>
      <c r="AD1773" s="260"/>
      <c r="AE1773" s="260"/>
      <c r="AF1773" s="260"/>
      <c r="AG1773" s="258"/>
    </row>
    <row r="1774" spans="13:33" ht="12" hidden="1" customHeight="1">
      <c r="M1774" s="820"/>
      <c r="N1774" s="239"/>
      <c r="O1774" s="225"/>
      <c r="P1774" s="260"/>
      <c r="Q1774" s="258"/>
      <c r="R1774" s="260"/>
      <c r="S1774" s="260"/>
      <c r="T1774" s="260"/>
      <c r="U1774" s="260"/>
      <c r="V1774" s="260"/>
      <c r="W1774" s="260"/>
      <c r="X1774" s="260"/>
      <c r="Y1774" s="260"/>
      <c r="Z1774" s="260"/>
      <c r="AA1774" s="260"/>
      <c r="AB1774" s="260"/>
      <c r="AC1774" s="260"/>
      <c r="AD1774" s="260"/>
      <c r="AE1774" s="260"/>
      <c r="AF1774" s="260"/>
      <c r="AG1774" s="258"/>
    </row>
    <row r="1775" spans="13:33" ht="12" hidden="1" customHeight="1">
      <c r="M1775" s="820"/>
      <c r="N1775" s="239"/>
      <c r="O1775" s="225"/>
      <c r="P1775" s="260"/>
      <c r="Q1775" s="258"/>
      <c r="R1775" s="260"/>
      <c r="S1775" s="260"/>
      <c r="T1775" s="260"/>
      <c r="U1775" s="260"/>
      <c r="V1775" s="260"/>
      <c r="W1775" s="260"/>
      <c r="X1775" s="260"/>
      <c r="Y1775" s="260"/>
      <c r="Z1775" s="260"/>
      <c r="AA1775" s="260"/>
      <c r="AB1775" s="260"/>
      <c r="AC1775" s="260"/>
      <c r="AD1775" s="260"/>
      <c r="AE1775" s="260"/>
      <c r="AF1775" s="260"/>
      <c r="AG1775" s="258"/>
    </row>
    <row r="1776" spans="13:33" ht="12" hidden="1" customHeight="1">
      <c r="M1776" s="820"/>
      <c r="N1776" s="239"/>
      <c r="O1776" s="225"/>
      <c r="P1776" s="260"/>
      <c r="Q1776" s="258"/>
      <c r="R1776" s="260"/>
      <c r="S1776" s="260"/>
      <c r="T1776" s="260"/>
      <c r="U1776" s="260"/>
      <c r="V1776" s="260"/>
      <c r="W1776" s="260"/>
      <c r="X1776" s="260"/>
      <c r="Y1776" s="260"/>
      <c r="Z1776" s="260"/>
      <c r="AA1776" s="260"/>
      <c r="AB1776" s="260"/>
      <c r="AC1776" s="260"/>
      <c r="AD1776" s="260"/>
      <c r="AE1776" s="260"/>
      <c r="AF1776" s="260"/>
      <c r="AG1776" s="258"/>
    </row>
    <row r="1777" spans="13:33" ht="12" hidden="1" customHeight="1">
      <c r="M1777" s="820"/>
      <c r="N1777" s="239"/>
      <c r="O1777" s="225"/>
      <c r="P1777" s="260"/>
      <c r="Q1777" s="258"/>
      <c r="R1777" s="260"/>
      <c r="S1777" s="260"/>
      <c r="T1777" s="260"/>
      <c r="U1777" s="260"/>
      <c r="V1777" s="260"/>
      <c r="W1777" s="260"/>
      <c r="X1777" s="260"/>
      <c r="Y1777" s="260"/>
      <c r="Z1777" s="260"/>
      <c r="AA1777" s="260"/>
      <c r="AB1777" s="260"/>
      <c r="AC1777" s="260"/>
      <c r="AD1777" s="260"/>
      <c r="AE1777" s="260"/>
      <c r="AF1777" s="260"/>
      <c r="AG1777" s="258"/>
    </row>
    <row r="1778" spans="13:33" ht="12" hidden="1" customHeight="1">
      <c r="M1778" s="820"/>
      <c r="N1778" s="239"/>
      <c r="O1778" s="225"/>
      <c r="P1778" s="260"/>
      <c r="Q1778" s="258"/>
      <c r="R1778" s="260"/>
      <c r="S1778" s="260"/>
      <c r="T1778" s="260"/>
      <c r="U1778" s="260"/>
      <c r="V1778" s="260"/>
      <c r="W1778" s="260"/>
      <c r="X1778" s="260"/>
      <c r="Y1778" s="260"/>
      <c r="Z1778" s="260"/>
      <c r="AA1778" s="260"/>
      <c r="AB1778" s="260"/>
      <c r="AC1778" s="260"/>
      <c r="AD1778" s="260"/>
      <c r="AE1778" s="260"/>
      <c r="AF1778" s="260"/>
      <c r="AG1778" s="258"/>
    </row>
    <row r="1779" spans="13:33" ht="12" hidden="1" customHeight="1">
      <c r="M1779" s="820"/>
      <c r="N1779" s="239"/>
      <c r="O1779" s="225"/>
      <c r="P1779" s="260"/>
      <c r="Q1779" s="258"/>
      <c r="R1779" s="260"/>
      <c r="S1779" s="260"/>
      <c r="T1779" s="260"/>
      <c r="U1779" s="260"/>
      <c r="V1779" s="260"/>
      <c r="W1779" s="260"/>
      <c r="X1779" s="260"/>
      <c r="Y1779" s="260"/>
      <c r="Z1779" s="260"/>
      <c r="AA1779" s="260"/>
      <c r="AB1779" s="260"/>
      <c r="AC1779" s="260"/>
      <c r="AD1779" s="260"/>
      <c r="AE1779" s="260"/>
      <c r="AF1779" s="260"/>
      <c r="AG1779" s="258"/>
    </row>
    <row r="1780" spans="13:33" ht="12" hidden="1" customHeight="1">
      <c r="M1780" s="820"/>
      <c r="N1780" s="239"/>
      <c r="O1780" s="225"/>
      <c r="P1780" s="260"/>
      <c r="Q1780" s="258"/>
      <c r="R1780" s="260"/>
      <c r="S1780" s="260"/>
      <c r="T1780" s="260"/>
      <c r="U1780" s="260"/>
      <c r="V1780" s="260"/>
      <c r="W1780" s="260"/>
      <c r="X1780" s="260"/>
      <c r="Y1780" s="260"/>
      <c r="Z1780" s="260"/>
      <c r="AA1780" s="260"/>
      <c r="AB1780" s="260"/>
      <c r="AC1780" s="260"/>
      <c r="AD1780" s="260"/>
      <c r="AE1780" s="260"/>
      <c r="AF1780" s="260"/>
      <c r="AG1780" s="258"/>
    </row>
    <row r="1781" spans="13:33" ht="12" hidden="1" customHeight="1">
      <c r="M1781" s="820"/>
      <c r="N1781" s="239"/>
      <c r="O1781" s="225"/>
      <c r="P1781" s="260"/>
      <c r="Q1781" s="258"/>
      <c r="R1781" s="260"/>
      <c r="S1781" s="260"/>
      <c r="T1781" s="260"/>
      <c r="U1781" s="260"/>
      <c r="V1781" s="260"/>
      <c r="W1781" s="260"/>
      <c r="X1781" s="260"/>
      <c r="Y1781" s="260"/>
      <c r="Z1781" s="260"/>
      <c r="AA1781" s="260"/>
      <c r="AB1781" s="260"/>
      <c r="AC1781" s="260"/>
      <c r="AD1781" s="260"/>
      <c r="AE1781" s="260"/>
      <c r="AF1781" s="260"/>
      <c r="AG1781" s="258"/>
    </row>
    <row r="1782" spans="13:33" ht="12" hidden="1" customHeight="1">
      <c r="M1782" s="820"/>
      <c r="N1782" s="239"/>
      <c r="O1782" s="225"/>
      <c r="P1782" s="260"/>
      <c r="Q1782" s="258"/>
      <c r="R1782" s="260"/>
      <c r="S1782" s="260"/>
      <c r="T1782" s="260"/>
      <c r="U1782" s="260"/>
      <c r="V1782" s="260"/>
      <c r="W1782" s="260"/>
      <c r="X1782" s="260"/>
      <c r="Y1782" s="260"/>
      <c r="Z1782" s="260"/>
      <c r="AA1782" s="260"/>
      <c r="AB1782" s="260"/>
      <c r="AC1782" s="260"/>
      <c r="AD1782" s="260"/>
      <c r="AE1782" s="260"/>
      <c r="AF1782" s="260"/>
      <c r="AG1782" s="258"/>
    </row>
    <row r="1783" spans="13:33" ht="12" hidden="1" customHeight="1">
      <c r="M1783" s="820"/>
      <c r="N1783" s="239"/>
      <c r="O1783" s="225"/>
      <c r="P1783" s="260"/>
      <c r="Q1783" s="258"/>
      <c r="R1783" s="260"/>
      <c r="S1783" s="260"/>
      <c r="T1783" s="260"/>
      <c r="U1783" s="260"/>
      <c r="V1783" s="260"/>
      <c r="W1783" s="260"/>
      <c r="X1783" s="260"/>
      <c r="Y1783" s="260"/>
      <c r="Z1783" s="260"/>
      <c r="AA1783" s="260"/>
      <c r="AB1783" s="260"/>
      <c r="AC1783" s="260"/>
      <c r="AD1783" s="260"/>
      <c r="AE1783" s="260"/>
      <c r="AF1783" s="260"/>
      <c r="AG1783" s="258"/>
    </row>
    <row r="1784" spans="13:33" ht="12" hidden="1" customHeight="1">
      <c r="M1784" s="820"/>
      <c r="N1784" s="239"/>
      <c r="O1784" s="225"/>
      <c r="P1784" s="260"/>
      <c r="Q1784" s="258"/>
      <c r="R1784" s="260"/>
      <c r="S1784" s="260"/>
      <c r="T1784" s="260"/>
      <c r="U1784" s="260"/>
      <c r="V1784" s="260"/>
      <c r="W1784" s="260"/>
      <c r="X1784" s="260"/>
      <c r="Y1784" s="260"/>
      <c r="Z1784" s="260"/>
      <c r="AA1784" s="260"/>
      <c r="AB1784" s="260"/>
      <c r="AC1784" s="260"/>
      <c r="AD1784" s="260"/>
      <c r="AE1784" s="260"/>
      <c r="AF1784" s="260"/>
      <c r="AG1784" s="258"/>
    </row>
    <row r="1785" spans="13:33" ht="12" hidden="1" customHeight="1">
      <c r="M1785" s="820"/>
      <c r="N1785" s="239"/>
      <c r="O1785" s="225"/>
      <c r="P1785" s="260"/>
      <c r="Q1785" s="258"/>
      <c r="R1785" s="260"/>
      <c r="S1785" s="260"/>
      <c r="T1785" s="260"/>
      <c r="U1785" s="260"/>
      <c r="V1785" s="260"/>
      <c r="W1785" s="260"/>
      <c r="X1785" s="260"/>
      <c r="Y1785" s="260"/>
      <c r="Z1785" s="260"/>
      <c r="AA1785" s="260"/>
      <c r="AB1785" s="260"/>
      <c r="AC1785" s="260"/>
      <c r="AD1785" s="260"/>
      <c r="AE1785" s="260"/>
      <c r="AF1785" s="260"/>
      <c r="AG1785" s="258"/>
    </row>
    <row r="1786" spans="13:33" ht="12" hidden="1" customHeight="1">
      <c r="M1786" s="820"/>
      <c r="N1786" s="239"/>
      <c r="O1786" s="225"/>
      <c r="P1786" s="260"/>
      <c r="Q1786" s="258"/>
      <c r="R1786" s="260"/>
      <c r="S1786" s="260"/>
      <c r="T1786" s="260"/>
      <c r="U1786" s="260"/>
      <c r="V1786" s="260"/>
      <c r="W1786" s="260"/>
      <c r="X1786" s="260"/>
      <c r="Y1786" s="260"/>
      <c r="Z1786" s="260"/>
      <c r="AA1786" s="260"/>
      <c r="AB1786" s="260"/>
      <c r="AC1786" s="260"/>
      <c r="AD1786" s="260"/>
      <c r="AE1786" s="260"/>
      <c r="AF1786" s="260"/>
      <c r="AG1786" s="258"/>
    </row>
    <row r="1787" spans="13:33" ht="12" hidden="1" customHeight="1">
      <c r="M1787" s="820"/>
      <c r="N1787" s="239"/>
      <c r="O1787" s="225"/>
      <c r="P1787" s="260"/>
      <c r="Q1787" s="258"/>
      <c r="R1787" s="260"/>
      <c r="S1787" s="260"/>
      <c r="T1787" s="260"/>
      <c r="U1787" s="260"/>
      <c r="V1787" s="260"/>
      <c r="W1787" s="260"/>
      <c r="X1787" s="260"/>
      <c r="Y1787" s="260"/>
      <c r="Z1787" s="260"/>
      <c r="AA1787" s="260"/>
      <c r="AB1787" s="260"/>
      <c r="AC1787" s="260"/>
      <c r="AD1787" s="260"/>
      <c r="AE1787" s="260"/>
      <c r="AF1787" s="260"/>
      <c r="AG1787" s="258"/>
    </row>
    <row r="1788" spans="13:33" ht="12" hidden="1" customHeight="1">
      <c r="M1788" s="820"/>
      <c r="N1788" s="239"/>
      <c r="O1788" s="225"/>
      <c r="P1788" s="260"/>
      <c r="Q1788" s="258"/>
      <c r="R1788" s="260"/>
      <c r="S1788" s="260"/>
      <c r="T1788" s="260"/>
      <c r="U1788" s="260"/>
      <c r="V1788" s="260"/>
      <c r="W1788" s="260"/>
      <c r="X1788" s="260"/>
      <c r="Y1788" s="260"/>
      <c r="Z1788" s="260"/>
      <c r="AA1788" s="260"/>
      <c r="AB1788" s="260"/>
      <c r="AC1788" s="260"/>
      <c r="AD1788" s="260"/>
      <c r="AE1788" s="260"/>
      <c r="AF1788" s="260"/>
      <c r="AG1788" s="258"/>
    </row>
    <row r="1789" spans="13:33" ht="12" hidden="1" customHeight="1">
      <c r="M1789" s="820"/>
      <c r="N1789" s="239"/>
      <c r="O1789" s="225"/>
      <c r="P1789" s="260"/>
      <c r="Q1789" s="258"/>
      <c r="R1789" s="260"/>
      <c r="S1789" s="260"/>
      <c r="T1789" s="260"/>
      <c r="U1789" s="260"/>
      <c r="V1789" s="260"/>
      <c r="W1789" s="260"/>
      <c r="X1789" s="260"/>
      <c r="Y1789" s="260"/>
      <c r="Z1789" s="260"/>
      <c r="AA1789" s="260"/>
      <c r="AB1789" s="260"/>
      <c r="AC1789" s="260"/>
      <c r="AD1789" s="260"/>
      <c r="AE1789" s="260"/>
      <c r="AF1789" s="260"/>
      <c r="AG1789" s="258"/>
    </row>
    <row r="1790" spans="13:33" ht="12" hidden="1" customHeight="1">
      <c r="M1790" s="820"/>
      <c r="N1790" s="239"/>
      <c r="O1790" s="225"/>
      <c r="P1790" s="260"/>
      <c r="Q1790" s="258"/>
      <c r="R1790" s="260"/>
      <c r="S1790" s="260"/>
      <c r="T1790" s="260"/>
      <c r="U1790" s="260"/>
      <c r="V1790" s="260"/>
      <c r="W1790" s="260"/>
      <c r="X1790" s="260"/>
      <c r="Y1790" s="260"/>
      <c r="Z1790" s="260"/>
      <c r="AA1790" s="260"/>
      <c r="AB1790" s="260"/>
      <c r="AC1790" s="260"/>
      <c r="AD1790" s="260"/>
      <c r="AE1790" s="260"/>
      <c r="AF1790" s="260"/>
      <c r="AG1790" s="258"/>
    </row>
    <row r="1791" spans="13:33" ht="12" hidden="1" customHeight="1">
      <c r="M1791" s="820"/>
      <c r="N1791" s="239"/>
      <c r="O1791" s="225"/>
      <c r="P1791" s="260"/>
      <c r="Q1791" s="258"/>
      <c r="R1791" s="260"/>
      <c r="S1791" s="260"/>
      <c r="T1791" s="260"/>
      <c r="U1791" s="260"/>
      <c r="V1791" s="260"/>
      <c r="W1791" s="260"/>
      <c r="X1791" s="260"/>
      <c r="Y1791" s="260"/>
      <c r="Z1791" s="260"/>
      <c r="AA1791" s="260"/>
      <c r="AB1791" s="260"/>
      <c r="AC1791" s="260"/>
      <c r="AD1791" s="260"/>
      <c r="AE1791" s="260"/>
      <c r="AF1791" s="260"/>
      <c r="AG1791" s="258"/>
    </row>
    <row r="1792" spans="13:33" ht="12" hidden="1" customHeight="1">
      <c r="M1792" s="820"/>
      <c r="N1792" s="239"/>
      <c r="O1792" s="225"/>
      <c r="P1792" s="260"/>
      <c r="Q1792" s="258"/>
      <c r="R1792" s="260"/>
      <c r="S1792" s="260"/>
      <c r="T1792" s="260"/>
      <c r="U1792" s="260"/>
      <c r="V1792" s="260"/>
      <c r="W1792" s="260"/>
      <c r="X1792" s="260"/>
      <c r="Y1792" s="260"/>
      <c r="Z1792" s="260"/>
      <c r="AA1792" s="260"/>
      <c r="AB1792" s="260"/>
      <c r="AC1792" s="260"/>
      <c r="AD1792" s="260"/>
      <c r="AE1792" s="260"/>
      <c r="AF1792" s="260"/>
      <c r="AG1792" s="258"/>
    </row>
    <row r="1793" spans="13:33" ht="12" hidden="1" customHeight="1">
      <c r="M1793" s="820"/>
      <c r="N1793" s="239"/>
      <c r="O1793" s="225"/>
      <c r="P1793" s="260"/>
      <c r="Q1793" s="258"/>
      <c r="R1793" s="260"/>
      <c r="S1793" s="260"/>
      <c r="T1793" s="260"/>
      <c r="U1793" s="260"/>
      <c r="V1793" s="260"/>
      <c r="W1793" s="260"/>
      <c r="X1793" s="260"/>
      <c r="Y1793" s="260"/>
      <c r="Z1793" s="260"/>
      <c r="AA1793" s="260"/>
      <c r="AB1793" s="260"/>
      <c r="AC1793" s="260"/>
      <c r="AD1793" s="260"/>
      <c r="AE1793" s="260"/>
      <c r="AF1793" s="260"/>
      <c r="AG1793" s="258"/>
    </row>
    <row r="1794" spans="13:33" ht="12" hidden="1" customHeight="1">
      <c r="M1794" s="820"/>
      <c r="N1794" s="239"/>
      <c r="O1794" s="225"/>
      <c r="P1794" s="260"/>
      <c r="Q1794" s="258"/>
      <c r="R1794" s="260"/>
      <c r="S1794" s="260"/>
      <c r="T1794" s="260"/>
      <c r="U1794" s="260"/>
      <c r="V1794" s="260"/>
      <c r="W1794" s="260"/>
      <c r="X1794" s="260"/>
      <c r="Y1794" s="260"/>
      <c r="Z1794" s="260"/>
      <c r="AA1794" s="260"/>
      <c r="AB1794" s="260"/>
      <c r="AC1794" s="260"/>
      <c r="AD1794" s="260"/>
      <c r="AE1794" s="260"/>
      <c r="AF1794" s="260"/>
      <c r="AG1794" s="258"/>
    </row>
    <row r="1795" spans="13:33" ht="12" hidden="1" customHeight="1">
      <c r="M1795" s="820"/>
      <c r="N1795" s="239"/>
      <c r="O1795" s="225"/>
      <c r="P1795" s="260"/>
      <c r="Q1795" s="258"/>
      <c r="R1795" s="260"/>
      <c r="S1795" s="260"/>
      <c r="T1795" s="260"/>
      <c r="U1795" s="260"/>
      <c r="V1795" s="260"/>
      <c r="W1795" s="260"/>
      <c r="X1795" s="260"/>
      <c r="Y1795" s="260"/>
      <c r="Z1795" s="260"/>
      <c r="AA1795" s="260"/>
      <c r="AB1795" s="260"/>
      <c r="AC1795" s="260"/>
      <c r="AD1795" s="260"/>
      <c r="AE1795" s="260"/>
      <c r="AF1795" s="260"/>
      <c r="AG1795" s="258"/>
    </row>
    <row r="1796" spans="13:33" ht="12" hidden="1" customHeight="1">
      <c r="M1796" s="820"/>
      <c r="N1796" s="239"/>
      <c r="O1796" s="225"/>
      <c r="P1796" s="260"/>
      <c r="Q1796" s="258"/>
      <c r="R1796" s="260"/>
      <c r="S1796" s="260"/>
      <c r="T1796" s="260"/>
      <c r="U1796" s="260"/>
      <c r="V1796" s="260"/>
      <c r="W1796" s="260"/>
      <c r="X1796" s="260"/>
      <c r="Y1796" s="260"/>
      <c r="Z1796" s="260"/>
      <c r="AA1796" s="260"/>
      <c r="AB1796" s="260"/>
      <c r="AC1796" s="260"/>
      <c r="AD1796" s="260"/>
      <c r="AE1796" s="260"/>
      <c r="AF1796" s="260"/>
      <c r="AG1796" s="258"/>
    </row>
    <row r="1797" spans="13:33" ht="12" hidden="1" customHeight="1">
      <c r="M1797" s="820"/>
      <c r="N1797" s="239"/>
      <c r="O1797" s="225"/>
      <c r="P1797" s="260"/>
      <c r="Q1797" s="258"/>
      <c r="R1797" s="260"/>
      <c r="S1797" s="260"/>
      <c r="T1797" s="260"/>
      <c r="U1797" s="260"/>
      <c r="V1797" s="260"/>
      <c r="W1797" s="260"/>
      <c r="X1797" s="260"/>
      <c r="Y1797" s="260"/>
      <c r="Z1797" s="260"/>
      <c r="AA1797" s="260"/>
      <c r="AB1797" s="260"/>
      <c r="AC1797" s="260"/>
      <c r="AD1797" s="260"/>
      <c r="AE1797" s="260"/>
      <c r="AF1797" s="260"/>
      <c r="AG1797" s="258"/>
    </row>
    <row r="1798" spans="13:33" ht="12" hidden="1" customHeight="1">
      <c r="M1798" s="820"/>
      <c r="N1798" s="239"/>
      <c r="O1798" s="225"/>
      <c r="P1798" s="260"/>
      <c r="Q1798" s="258"/>
      <c r="R1798" s="260"/>
      <c r="S1798" s="260"/>
      <c r="T1798" s="260"/>
      <c r="U1798" s="260"/>
      <c r="V1798" s="260"/>
      <c r="W1798" s="260"/>
      <c r="X1798" s="260"/>
      <c r="Y1798" s="260"/>
      <c r="Z1798" s="260"/>
      <c r="AA1798" s="260"/>
      <c r="AB1798" s="260"/>
      <c r="AC1798" s="260"/>
      <c r="AD1798" s="260"/>
      <c r="AE1798" s="260"/>
      <c r="AF1798" s="260"/>
      <c r="AG1798" s="258"/>
    </row>
    <row r="1799" spans="13:33" ht="12" hidden="1" customHeight="1">
      <c r="M1799" s="820"/>
      <c r="N1799" s="239"/>
      <c r="O1799" s="225"/>
      <c r="P1799" s="260"/>
      <c r="Q1799" s="258"/>
      <c r="R1799" s="260"/>
      <c r="S1799" s="260"/>
      <c r="T1799" s="260"/>
      <c r="U1799" s="260"/>
      <c r="V1799" s="260"/>
      <c r="W1799" s="260"/>
      <c r="X1799" s="260"/>
      <c r="Y1799" s="260"/>
      <c r="Z1799" s="260"/>
      <c r="AA1799" s="260"/>
      <c r="AB1799" s="260"/>
      <c r="AC1799" s="260"/>
      <c r="AD1799" s="260"/>
      <c r="AE1799" s="260"/>
      <c r="AF1799" s="260"/>
      <c r="AG1799" s="258"/>
    </row>
    <row r="1800" spans="13:33" ht="12" hidden="1" customHeight="1">
      <c r="M1800" s="820"/>
      <c r="N1800" s="239"/>
      <c r="O1800" s="225"/>
      <c r="P1800" s="260"/>
      <c r="Q1800" s="258"/>
      <c r="R1800" s="260"/>
      <c r="S1800" s="260"/>
      <c r="T1800" s="260"/>
      <c r="U1800" s="260"/>
      <c r="V1800" s="260"/>
      <c r="W1800" s="260"/>
      <c r="X1800" s="260"/>
      <c r="Y1800" s="260"/>
      <c r="Z1800" s="260"/>
      <c r="AA1800" s="260"/>
      <c r="AB1800" s="260"/>
      <c r="AC1800" s="260"/>
      <c r="AD1800" s="260"/>
      <c r="AE1800" s="260"/>
      <c r="AF1800" s="260"/>
      <c r="AG1800" s="258"/>
    </row>
    <row r="1801" spans="13:33" ht="12" hidden="1" customHeight="1">
      <c r="M1801" s="820"/>
      <c r="N1801" s="239"/>
      <c r="O1801" s="225"/>
      <c r="P1801" s="260"/>
      <c r="Q1801" s="258"/>
      <c r="R1801" s="260"/>
      <c r="S1801" s="260"/>
      <c r="T1801" s="260"/>
      <c r="U1801" s="260"/>
      <c r="V1801" s="260"/>
      <c r="W1801" s="260"/>
      <c r="X1801" s="260"/>
      <c r="Y1801" s="260"/>
      <c r="Z1801" s="260"/>
      <c r="AA1801" s="260"/>
      <c r="AB1801" s="260"/>
      <c r="AC1801" s="260"/>
      <c r="AD1801" s="260"/>
      <c r="AE1801" s="260"/>
      <c r="AF1801" s="260"/>
      <c r="AG1801" s="258"/>
    </row>
    <row r="1802" spans="13:33" ht="12" hidden="1" customHeight="1">
      <c r="M1802" s="820"/>
      <c r="N1802" s="239"/>
      <c r="O1802" s="225"/>
      <c r="P1802" s="260"/>
      <c r="Q1802" s="258"/>
      <c r="R1802" s="260"/>
      <c r="S1802" s="260"/>
      <c r="T1802" s="260"/>
      <c r="U1802" s="260"/>
      <c r="V1802" s="260"/>
      <c r="W1802" s="260"/>
      <c r="X1802" s="260"/>
      <c r="Y1802" s="260"/>
      <c r="Z1802" s="260"/>
      <c r="AA1802" s="260"/>
      <c r="AB1802" s="260"/>
      <c r="AC1802" s="260"/>
      <c r="AD1802" s="260"/>
      <c r="AE1802" s="260"/>
      <c r="AF1802" s="260"/>
      <c r="AG1802" s="258"/>
    </row>
    <row r="1803" spans="13:33" ht="12" hidden="1" customHeight="1">
      <c r="M1803" s="820"/>
      <c r="N1803" s="239"/>
      <c r="O1803" s="225"/>
      <c r="P1803" s="260"/>
      <c r="Q1803" s="258"/>
      <c r="R1803" s="260"/>
      <c r="S1803" s="260"/>
      <c r="T1803" s="260"/>
      <c r="U1803" s="260"/>
      <c r="V1803" s="260"/>
      <c r="W1803" s="260"/>
      <c r="X1803" s="260"/>
      <c r="Y1803" s="260"/>
      <c r="Z1803" s="260"/>
      <c r="AA1803" s="260"/>
      <c r="AB1803" s="260"/>
      <c r="AC1803" s="260"/>
      <c r="AD1803" s="260"/>
      <c r="AE1803" s="260"/>
      <c r="AF1803" s="260"/>
      <c r="AG1803" s="258"/>
    </row>
    <row r="1804" spans="13:33" ht="12" hidden="1" customHeight="1">
      <c r="M1804" s="820"/>
      <c r="N1804" s="239"/>
      <c r="O1804" s="225"/>
      <c r="P1804" s="260"/>
      <c r="Q1804" s="258"/>
      <c r="R1804" s="260"/>
      <c r="S1804" s="260"/>
      <c r="T1804" s="260"/>
      <c r="U1804" s="260"/>
      <c r="V1804" s="260"/>
      <c r="W1804" s="260"/>
      <c r="X1804" s="260"/>
      <c r="Y1804" s="260"/>
      <c r="Z1804" s="260"/>
      <c r="AA1804" s="260"/>
      <c r="AB1804" s="260"/>
      <c r="AC1804" s="260"/>
      <c r="AD1804" s="260"/>
      <c r="AE1804" s="260"/>
      <c r="AF1804" s="260"/>
      <c r="AG1804" s="258"/>
    </row>
    <row r="1805" spans="13:33" ht="12" hidden="1" customHeight="1">
      <c r="M1805" s="820"/>
      <c r="N1805" s="239"/>
      <c r="O1805" s="225"/>
      <c r="P1805" s="260"/>
      <c r="Q1805" s="258"/>
      <c r="R1805" s="260"/>
      <c r="S1805" s="260"/>
      <c r="T1805" s="260"/>
      <c r="U1805" s="260"/>
      <c r="V1805" s="260"/>
      <c r="W1805" s="260"/>
      <c r="X1805" s="260"/>
      <c r="Y1805" s="260"/>
      <c r="Z1805" s="260"/>
      <c r="AA1805" s="260"/>
      <c r="AB1805" s="260"/>
      <c r="AC1805" s="260"/>
      <c r="AD1805" s="260"/>
      <c r="AE1805" s="260"/>
      <c r="AF1805" s="260"/>
      <c r="AG1805" s="258"/>
    </row>
    <row r="1806" spans="13:33" ht="12" hidden="1" customHeight="1">
      <c r="M1806" s="820"/>
      <c r="N1806" s="239"/>
      <c r="O1806" s="225"/>
      <c r="P1806" s="260"/>
      <c r="Q1806" s="258"/>
      <c r="R1806" s="260"/>
      <c r="S1806" s="260"/>
      <c r="T1806" s="260"/>
      <c r="U1806" s="260"/>
      <c r="V1806" s="260"/>
      <c r="W1806" s="260"/>
      <c r="X1806" s="260"/>
      <c r="Y1806" s="260"/>
      <c r="Z1806" s="260"/>
      <c r="AA1806" s="260"/>
      <c r="AB1806" s="260"/>
      <c r="AC1806" s="260"/>
      <c r="AD1806" s="260"/>
      <c r="AE1806" s="260"/>
      <c r="AF1806" s="260"/>
      <c r="AG1806" s="258"/>
    </row>
    <row r="1807" spans="13:33" ht="12" hidden="1" customHeight="1">
      <c r="M1807" s="820"/>
      <c r="N1807" s="239"/>
      <c r="O1807" s="225"/>
      <c r="P1807" s="260"/>
      <c r="Q1807" s="258"/>
      <c r="R1807" s="260"/>
      <c r="S1807" s="260"/>
      <c r="T1807" s="260"/>
      <c r="U1807" s="260"/>
      <c r="V1807" s="260"/>
      <c r="W1807" s="260"/>
      <c r="X1807" s="260"/>
      <c r="Y1807" s="260"/>
      <c r="Z1807" s="260"/>
      <c r="AA1807" s="260"/>
      <c r="AB1807" s="260"/>
      <c r="AC1807" s="260"/>
      <c r="AD1807" s="260"/>
      <c r="AE1807" s="260"/>
      <c r="AF1807" s="260"/>
      <c r="AG1807" s="258"/>
    </row>
    <row r="1808" spans="13:33" ht="12" hidden="1" customHeight="1">
      <c r="M1808" s="820"/>
      <c r="N1808" s="239"/>
      <c r="O1808" s="225"/>
      <c r="P1808" s="260"/>
      <c r="Q1808" s="258"/>
      <c r="R1808" s="260"/>
      <c r="S1808" s="260"/>
      <c r="T1808" s="260"/>
      <c r="U1808" s="260"/>
      <c r="V1808" s="260"/>
      <c r="W1808" s="260"/>
      <c r="X1808" s="260"/>
      <c r="Y1808" s="260"/>
      <c r="Z1808" s="260"/>
      <c r="AA1808" s="260"/>
      <c r="AB1808" s="260"/>
      <c r="AC1808" s="260"/>
      <c r="AD1808" s="260"/>
      <c r="AE1808" s="260"/>
      <c r="AF1808" s="260"/>
      <c r="AG1808" s="258"/>
    </row>
    <row r="1809" spans="13:33" ht="12" hidden="1" customHeight="1">
      <c r="M1809" s="820"/>
      <c r="N1809" s="239"/>
      <c r="O1809" s="225"/>
      <c r="P1809" s="260"/>
      <c r="Q1809" s="258"/>
      <c r="R1809" s="260"/>
      <c r="S1809" s="260"/>
      <c r="T1809" s="260"/>
      <c r="U1809" s="260"/>
      <c r="V1809" s="260"/>
      <c r="W1809" s="260"/>
      <c r="X1809" s="260"/>
      <c r="Y1809" s="260"/>
      <c r="Z1809" s="260"/>
      <c r="AA1809" s="260"/>
      <c r="AB1809" s="260"/>
      <c r="AC1809" s="260"/>
      <c r="AD1809" s="260"/>
      <c r="AE1809" s="260"/>
      <c r="AF1809" s="260"/>
      <c r="AG1809" s="258"/>
    </row>
    <row r="1810" spans="13:33" ht="12" hidden="1" customHeight="1">
      <c r="M1810" s="820"/>
      <c r="N1810" s="239"/>
      <c r="O1810" s="225"/>
      <c r="P1810" s="260"/>
      <c r="Q1810" s="258"/>
      <c r="R1810" s="260"/>
      <c r="S1810" s="260"/>
      <c r="T1810" s="260"/>
      <c r="U1810" s="260"/>
      <c r="V1810" s="260"/>
      <c r="W1810" s="260"/>
      <c r="X1810" s="260"/>
      <c r="Y1810" s="260"/>
      <c r="Z1810" s="260"/>
      <c r="AA1810" s="260"/>
      <c r="AB1810" s="260"/>
      <c r="AC1810" s="260"/>
      <c r="AD1810" s="260"/>
      <c r="AE1810" s="260"/>
      <c r="AF1810" s="260"/>
      <c r="AG1810" s="258"/>
    </row>
    <row r="1811" spans="13:33" ht="12" hidden="1" customHeight="1">
      <c r="M1811" s="820"/>
      <c r="N1811" s="239"/>
      <c r="O1811" s="225"/>
      <c r="P1811" s="260"/>
      <c r="Q1811" s="258"/>
      <c r="R1811" s="260"/>
      <c r="S1811" s="260"/>
      <c r="T1811" s="260"/>
      <c r="U1811" s="260"/>
      <c r="V1811" s="260"/>
      <c r="W1811" s="260"/>
      <c r="X1811" s="260"/>
      <c r="Y1811" s="260"/>
      <c r="Z1811" s="260"/>
      <c r="AA1811" s="260"/>
      <c r="AB1811" s="260"/>
      <c r="AC1811" s="260"/>
      <c r="AD1811" s="260"/>
      <c r="AE1811" s="260"/>
      <c r="AF1811" s="260"/>
      <c r="AG1811" s="258"/>
    </row>
    <row r="1812" spans="13:33" ht="12" hidden="1" customHeight="1">
      <c r="M1812" s="820"/>
      <c r="N1812" s="239"/>
      <c r="O1812" s="225"/>
      <c r="P1812" s="260"/>
      <c r="Q1812" s="258"/>
      <c r="R1812" s="260"/>
      <c r="S1812" s="260"/>
      <c r="T1812" s="260"/>
      <c r="U1812" s="260"/>
      <c r="V1812" s="260"/>
      <c r="W1812" s="260"/>
      <c r="X1812" s="260"/>
      <c r="Y1812" s="260"/>
      <c r="Z1812" s="260"/>
      <c r="AA1812" s="260"/>
      <c r="AB1812" s="260"/>
      <c r="AC1812" s="260"/>
      <c r="AD1812" s="260"/>
      <c r="AE1812" s="260"/>
      <c r="AF1812" s="260"/>
      <c r="AG1812" s="258"/>
    </row>
    <row r="1813" spans="13:33" ht="12" hidden="1" customHeight="1">
      <c r="M1813" s="820"/>
      <c r="N1813" s="239"/>
      <c r="O1813" s="225"/>
      <c r="P1813" s="260"/>
      <c r="Q1813" s="258"/>
      <c r="R1813" s="260"/>
      <c r="S1813" s="260"/>
      <c r="T1813" s="260"/>
      <c r="U1813" s="260"/>
      <c r="V1813" s="260"/>
      <c r="W1813" s="260"/>
      <c r="X1813" s="260"/>
      <c r="Y1813" s="260"/>
      <c r="Z1813" s="260"/>
      <c r="AA1813" s="260"/>
      <c r="AB1813" s="260"/>
      <c r="AC1813" s="260"/>
      <c r="AD1813" s="260"/>
      <c r="AE1813" s="260"/>
      <c r="AF1813" s="260"/>
      <c r="AG1813" s="258"/>
    </row>
    <row r="1814" spans="13:33" ht="12" hidden="1" customHeight="1">
      <c r="M1814" s="820"/>
      <c r="N1814" s="239"/>
      <c r="O1814" s="225"/>
      <c r="P1814" s="260"/>
      <c r="Q1814" s="258"/>
      <c r="R1814" s="260"/>
      <c r="S1814" s="260"/>
      <c r="T1814" s="260"/>
      <c r="U1814" s="260"/>
      <c r="V1814" s="260"/>
      <c r="W1814" s="260"/>
      <c r="X1814" s="260"/>
      <c r="Y1814" s="260"/>
      <c r="Z1814" s="260"/>
      <c r="AA1814" s="260"/>
      <c r="AB1814" s="260"/>
      <c r="AC1814" s="260"/>
      <c r="AD1814" s="260"/>
      <c r="AE1814" s="260"/>
      <c r="AF1814" s="260"/>
      <c r="AG1814" s="258"/>
    </row>
    <row r="1815" spans="13:33" ht="12" hidden="1" customHeight="1">
      <c r="M1815" s="820"/>
      <c r="N1815" s="239"/>
      <c r="O1815" s="225"/>
      <c r="P1815" s="260"/>
      <c r="Q1815" s="258"/>
      <c r="R1815" s="260"/>
      <c r="S1815" s="260"/>
      <c r="T1815" s="260"/>
      <c r="U1815" s="260"/>
      <c r="V1815" s="260"/>
      <c r="W1815" s="260"/>
      <c r="X1815" s="260"/>
      <c r="Y1815" s="260"/>
      <c r="Z1815" s="260"/>
      <c r="AA1815" s="260"/>
      <c r="AB1815" s="260"/>
      <c r="AC1815" s="260"/>
      <c r="AD1815" s="260"/>
      <c r="AE1815" s="260"/>
      <c r="AF1815" s="260"/>
      <c r="AG1815" s="258"/>
    </row>
    <row r="1816" spans="13:33" ht="12" hidden="1" customHeight="1">
      <c r="M1816" s="820"/>
      <c r="N1816" s="239"/>
      <c r="O1816" s="225"/>
      <c r="P1816" s="260"/>
      <c r="Q1816" s="258"/>
      <c r="R1816" s="260"/>
      <c r="S1816" s="260"/>
      <c r="T1816" s="260"/>
      <c r="U1816" s="260"/>
      <c r="V1816" s="260"/>
      <c r="W1816" s="260"/>
      <c r="X1816" s="260"/>
      <c r="Y1816" s="260"/>
      <c r="Z1816" s="260"/>
      <c r="AA1816" s="260"/>
      <c r="AB1816" s="260"/>
      <c r="AC1816" s="260"/>
      <c r="AD1816" s="260"/>
      <c r="AE1816" s="260"/>
      <c r="AF1816" s="260"/>
      <c r="AG1816" s="258"/>
    </row>
    <row r="1817" spans="13:33" ht="12" hidden="1" customHeight="1">
      <c r="M1817" s="820"/>
      <c r="N1817" s="239"/>
      <c r="O1817" s="225"/>
      <c r="P1817" s="260"/>
      <c r="Q1817" s="258"/>
      <c r="R1817" s="260"/>
      <c r="S1817" s="260"/>
      <c r="T1817" s="260"/>
      <c r="U1817" s="260"/>
      <c r="V1817" s="260"/>
      <c r="W1817" s="260"/>
      <c r="X1817" s="260"/>
      <c r="Y1817" s="260"/>
      <c r="Z1817" s="260"/>
      <c r="AA1817" s="260"/>
      <c r="AB1817" s="260"/>
      <c r="AC1817" s="260"/>
      <c r="AD1817" s="260"/>
      <c r="AE1817" s="260"/>
      <c r="AF1817" s="260"/>
      <c r="AG1817" s="258"/>
    </row>
    <row r="1818" spans="13:33" ht="12" hidden="1" customHeight="1">
      <c r="M1818" s="820"/>
      <c r="N1818" s="239"/>
      <c r="O1818" s="225"/>
      <c r="P1818" s="260"/>
      <c r="Q1818" s="258"/>
      <c r="R1818" s="260"/>
      <c r="S1818" s="260"/>
      <c r="T1818" s="260"/>
      <c r="U1818" s="260"/>
      <c r="V1818" s="260"/>
      <c r="W1818" s="260"/>
      <c r="X1818" s="260"/>
      <c r="Y1818" s="260"/>
      <c r="Z1818" s="260"/>
      <c r="AA1818" s="260"/>
      <c r="AB1818" s="260"/>
      <c r="AC1818" s="260"/>
      <c r="AD1818" s="260"/>
      <c r="AE1818" s="260"/>
      <c r="AF1818" s="260"/>
      <c r="AG1818" s="258"/>
    </row>
    <row r="1819" spans="13:33" ht="12" hidden="1" customHeight="1">
      <c r="M1819" s="820"/>
      <c r="N1819" s="239"/>
      <c r="O1819" s="225"/>
      <c r="P1819" s="260"/>
      <c r="Q1819" s="258"/>
      <c r="R1819" s="260"/>
      <c r="S1819" s="260"/>
      <c r="T1819" s="260"/>
      <c r="U1819" s="260"/>
      <c r="V1819" s="260"/>
      <c r="W1819" s="260"/>
      <c r="X1819" s="260"/>
      <c r="Y1819" s="260"/>
      <c r="Z1819" s="260"/>
      <c r="AA1819" s="260"/>
      <c r="AB1819" s="260"/>
      <c r="AC1819" s="260"/>
      <c r="AD1819" s="260"/>
      <c r="AE1819" s="260"/>
      <c r="AF1819" s="260"/>
      <c r="AG1819" s="258"/>
    </row>
    <row r="1820" spans="13:33" ht="12" hidden="1" customHeight="1">
      <c r="M1820" s="820"/>
      <c r="N1820" s="239"/>
      <c r="O1820" s="225"/>
      <c r="P1820" s="260"/>
      <c r="Q1820" s="258"/>
      <c r="R1820" s="260"/>
      <c r="S1820" s="260"/>
      <c r="T1820" s="260"/>
      <c r="U1820" s="260"/>
      <c r="V1820" s="260"/>
      <c r="W1820" s="260"/>
      <c r="X1820" s="260"/>
      <c r="Y1820" s="260"/>
      <c r="Z1820" s="260"/>
      <c r="AA1820" s="260"/>
      <c r="AB1820" s="260"/>
      <c r="AC1820" s="260"/>
      <c r="AD1820" s="260"/>
      <c r="AE1820" s="260"/>
      <c r="AF1820" s="260"/>
      <c r="AG1820" s="258"/>
    </row>
    <row r="1821" spans="13:33" ht="12" hidden="1" customHeight="1">
      <c r="M1821" s="820"/>
      <c r="N1821" s="239"/>
      <c r="O1821" s="225"/>
      <c r="P1821" s="260"/>
      <c r="Q1821" s="258"/>
      <c r="R1821" s="260"/>
      <c r="S1821" s="260"/>
      <c r="T1821" s="260"/>
      <c r="U1821" s="260"/>
      <c r="V1821" s="260"/>
      <c r="W1821" s="260"/>
      <c r="X1821" s="260"/>
      <c r="Y1821" s="260"/>
      <c r="Z1821" s="260"/>
      <c r="AA1821" s="260"/>
      <c r="AB1821" s="260"/>
      <c r="AC1821" s="260"/>
      <c r="AD1821" s="260"/>
      <c r="AE1821" s="260"/>
      <c r="AF1821" s="260"/>
      <c r="AG1821" s="258"/>
    </row>
    <row r="1822" spans="13:33" ht="12" hidden="1" customHeight="1">
      <c r="M1822" s="820"/>
      <c r="N1822" s="239"/>
      <c r="O1822" s="225"/>
      <c r="P1822" s="260"/>
      <c r="Q1822" s="258"/>
      <c r="R1822" s="260"/>
      <c r="S1822" s="260"/>
      <c r="T1822" s="260"/>
      <c r="U1822" s="260"/>
      <c r="V1822" s="260"/>
      <c r="W1822" s="260"/>
      <c r="X1822" s="260"/>
      <c r="Y1822" s="260"/>
      <c r="Z1822" s="260"/>
      <c r="AA1822" s="260"/>
      <c r="AB1822" s="260"/>
      <c r="AC1822" s="260"/>
      <c r="AD1822" s="260"/>
      <c r="AE1822" s="260"/>
      <c r="AF1822" s="260"/>
      <c r="AG1822" s="258"/>
    </row>
    <row r="1823" spans="13:33" ht="12" hidden="1" customHeight="1">
      <c r="M1823" s="820"/>
      <c r="N1823" s="239"/>
      <c r="O1823" s="225"/>
      <c r="P1823" s="260"/>
      <c r="Q1823" s="258"/>
      <c r="R1823" s="260"/>
      <c r="S1823" s="260"/>
      <c r="T1823" s="260"/>
      <c r="U1823" s="260"/>
      <c r="V1823" s="260"/>
      <c r="W1823" s="260"/>
      <c r="X1823" s="260"/>
      <c r="Y1823" s="260"/>
      <c r="Z1823" s="260"/>
      <c r="AA1823" s="260"/>
      <c r="AB1823" s="260"/>
      <c r="AC1823" s="260"/>
      <c r="AD1823" s="260"/>
      <c r="AE1823" s="260"/>
      <c r="AF1823" s="260"/>
      <c r="AG1823" s="258"/>
    </row>
    <row r="1824" spans="13:33" ht="12" hidden="1" customHeight="1">
      <c r="M1824" s="820"/>
      <c r="N1824" s="239"/>
      <c r="O1824" s="225"/>
      <c r="P1824" s="260"/>
      <c r="Q1824" s="258"/>
      <c r="R1824" s="260"/>
      <c r="S1824" s="260"/>
      <c r="T1824" s="260"/>
      <c r="U1824" s="260"/>
      <c r="V1824" s="260"/>
      <c r="W1824" s="260"/>
      <c r="X1824" s="260"/>
      <c r="Y1824" s="260"/>
      <c r="Z1824" s="260"/>
      <c r="AA1824" s="260"/>
      <c r="AB1824" s="260"/>
      <c r="AC1824" s="260"/>
      <c r="AD1824" s="260"/>
      <c r="AE1824" s="260"/>
      <c r="AF1824" s="260"/>
      <c r="AG1824" s="258"/>
    </row>
    <row r="1825" spans="13:33" ht="12" hidden="1" customHeight="1">
      <c r="M1825" s="820"/>
      <c r="N1825" s="239"/>
      <c r="O1825" s="225"/>
      <c r="P1825" s="260"/>
      <c r="Q1825" s="258"/>
      <c r="R1825" s="260"/>
      <c r="S1825" s="260"/>
      <c r="T1825" s="260"/>
      <c r="U1825" s="260"/>
      <c r="V1825" s="260"/>
      <c r="W1825" s="260"/>
      <c r="X1825" s="260"/>
      <c r="Y1825" s="260"/>
      <c r="Z1825" s="260"/>
      <c r="AA1825" s="260"/>
      <c r="AB1825" s="260"/>
      <c r="AC1825" s="260"/>
      <c r="AD1825" s="260"/>
      <c r="AE1825" s="260"/>
      <c r="AF1825" s="260"/>
      <c r="AG1825" s="258"/>
    </row>
    <row r="1826" spans="13:33" ht="12" hidden="1" customHeight="1">
      <c r="M1826" s="820"/>
      <c r="N1826" s="239"/>
      <c r="O1826" s="225"/>
      <c r="P1826" s="260"/>
      <c r="Q1826" s="258"/>
      <c r="R1826" s="260"/>
      <c r="S1826" s="260"/>
      <c r="T1826" s="260"/>
      <c r="U1826" s="260"/>
      <c r="V1826" s="260"/>
      <c r="W1826" s="260"/>
      <c r="X1826" s="260"/>
      <c r="Y1826" s="260"/>
      <c r="Z1826" s="260"/>
      <c r="AA1826" s="260"/>
      <c r="AB1826" s="260"/>
      <c r="AC1826" s="260"/>
      <c r="AD1826" s="260"/>
      <c r="AE1826" s="260"/>
      <c r="AF1826" s="260"/>
      <c r="AG1826" s="258"/>
    </row>
    <row r="1827" spans="13:33" ht="12" hidden="1" customHeight="1">
      <c r="M1827" s="820"/>
      <c r="N1827" s="239"/>
      <c r="O1827" s="225"/>
      <c r="P1827" s="260"/>
      <c r="Q1827" s="258"/>
      <c r="R1827" s="260"/>
      <c r="S1827" s="260"/>
      <c r="T1827" s="260"/>
      <c r="U1827" s="260"/>
      <c r="V1827" s="260"/>
      <c r="W1827" s="260"/>
      <c r="X1827" s="260"/>
      <c r="Y1827" s="260"/>
      <c r="Z1827" s="260"/>
      <c r="AA1827" s="260"/>
      <c r="AB1827" s="260"/>
      <c r="AC1827" s="260"/>
      <c r="AD1827" s="260"/>
      <c r="AE1827" s="260"/>
      <c r="AF1827" s="260"/>
      <c r="AG1827" s="258"/>
    </row>
    <row r="1828" spans="13:33" ht="12" hidden="1" customHeight="1">
      <c r="M1828" s="820"/>
      <c r="N1828" s="239"/>
      <c r="O1828" s="225"/>
      <c r="P1828" s="260"/>
      <c r="Q1828" s="258"/>
      <c r="R1828" s="260"/>
      <c r="S1828" s="260"/>
      <c r="T1828" s="260"/>
      <c r="U1828" s="260"/>
      <c r="V1828" s="260"/>
      <c r="W1828" s="260"/>
      <c r="X1828" s="260"/>
      <c r="Y1828" s="260"/>
      <c r="Z1828" s="260"/>
      <c r="AA1828" s="260"/>
      <c r="AB1828" s="260"/>
      <c r="AC1828" s="260"/>
      <c r="AD1828" s="260"/>
      <c r="AE1828" s="260"/>
      <c r="AF1828" s="260"/>
      <c r="AG1828" s="258"/>
    </row>
    <row r="1829" spans="13:33" ht="12" hidden="1" customHeight="1">
      <c r="M1829" s="820"/>
      <c r="N1829" s="239"/>
      <c r="O1829" s="225"/>
      <c r="P1829" s="260"/>
      <c r="Q1829" s="258"/>
      <c r="R1829" s="260"/>
      <c r="S1829" s="260"/>
      <c r="T1829" s="260"/>
      <c r="U1829" s="260"/>
      <c r="V1829" s="260"/>
      <c r="W1829" s="260"/>
      <c r="X1829" s="260"/>
      <c r="Y1829" s="260"/>
      <c r="Z1829" s="260"/>
      <c r="AA1829" s="260"/>
      <c r="AB1829" s="260"/>
      <c r="AC1829" s="260"/>
      <c r="AD1829" s="260"/>
      <c r="AE1829" s="260"/>
      <c r="AF1829" s="260"/>
      <c r="AG1829" s="258"/>
    </row>
    <row r="1830" spans="13:33" ht="12" hidden="1" customHeight="1">
      <c r="M1830" s="820"/>
      <c r="N1830" s="239"/>
      <c r="O1830" s="225"/>
      <c r="P1830" s="260"/>
      <c r="Q1830" s="258"/>
      <c r="R1830" s="260"/>
      <c r="S1830" s="260"/>
      <c r="T1830" s="260"/>
      <c r="U1830" s="260"/>
      <c r="V1830" s="260"/>
      <c r="W1830" s="260"/>
      <c r="X1830" s="260"/>
      <c r="Y1830" s="260"/>
      <c r="Z1830" s="260"/>
      <c r="AA1830" s="260"/>
      <c r="AB1830" s="260"/>
      <c r="AC1830" s="260"/>
      <c r="AD1830" s="260"/>
      <c r="AE1830" s="260"/>
      <c r="AF1830" s="260"/>
      <c r="AG1830" s="258"/>
    </row>
    <row r="1831" spans="13:33" ht="12" hidden="1" customHeight="1">
      <c r="M1831" s="820"/>
      <c r="N1831" s="239"/>
      <c r="O1831" s="225"/>
      <c r="P1831" s="260"/>
      <c r="Q1831" s="258"/>
      <c r="R1831" s="260"/>
      <c r="S1831" s="260"/>
      <c r="T1831" s="260"/>
      <c r="U1831" s="260"/>
      <c r="V1831" s="260"/>
      <c r="W1831" s="260"/>
      <c r="X1831" s="260"/>
      <c r="Y1831" s="260"/>
      <c r="Z1831" s="260"/>
      <c r="AA1831" s="260"/>
      <c r="AB1831" s="260"/>
      <c r="AC1831" s="260"/>
      <c r="AD1831" s="260"/>
      <c r="AE1831" s="260"/>
      <c r="AF1831" s="260"/>
      <c r="AG1831" s="258"/>
    </row>
    <row r="1832" spans="13:33" ht="12" hidden="1" customHeight="1">
      <c r="M1832" s="820"/>
      <c r="N1832" s="239"/>
      <c r="O1832" s="225"/>
      <c r="P1832" s="260"/>
      <c r="Q1832" s="258"/>
      <c r="R1832" s="260"/>
      <c r="S1832" s="260"/>
      <c r="T1832" s="260"/>
      <c r="U1832" s="260"/>
      <c r="V1832" s="260"/>
      <c r="W1832" s="260"/>
      <c r="X1832" s="260"/>
      <c r="Y1832" s="260"/>
      <c r="Z1832" s="260"/>
      <c r="AA1832" s="260"/>
      <c r="AB1832" s="260"/>
      <c r="AC1832" s="260"/>
      <c r="AD1832" s="260"/>
      <c r="AE1832" s="260"/>
      <c r="AF1832" s="260"/>
      <c r="AG1832" s="258"/>
    </row>
    <row r="1833" spans="13:33" ht="12" hidden="1" customHeight="1">
      <c r="M1833" s="820"/>
      <c r="N1833" s="239"/>
      <c r="O1833" s="225"/>
      <c r="P1833" s="260"/>
      <c r="Q1833" s="258"/>
      <c r="R1833" s="260"/>
      <c r="S1833" s="260"/>
      <c r="T1833" s="260"/>
      <c r="U1833" s="260"/>
      <c r="V1833" s="260"/>
      <c r="W1833" s="260"/>
      <c r="X1833" s="260"/>
      <c r="Y1833" s="260"/>
      <c r="Z1833" s="260"/>
      <c r="AA1833" s="260"/>
      <c r="AB1833" s="260"/>
      <c r="AC1833" s="260"/>
      <c r="AD1833" s="260"/>
      <c r="AE1833" s="260"/>
      <c r="AF1833" s="260"/>
      <c r="AG1833" s="258"/>
    </row>
    <row r="1834" spans="13:33" ht="12" hidden="1" customHeight="1">
      <c r="M1834" s="820"/>
      <c r="N1834" s="239"/>
      <c r="O1834" s="225"/>
      <c r="P1834" s="260"/>
      <c r="Q1834" s="258"/>
      <c r="R1834" s="260"/>
      <c r="S1834" s="260"/>
      <c r="T1834" s="260"/>
      <c r="U1834" s="260"/>
      <c r="V1834" s="260"/>
      <c r="W1834" s="260"/>
      <c r="X1834" s="260"/>
      <c r="Y1834" s="260"/>
      <c r="Z1834" s="260"/>
      <c r="AA1834" s="260"/>
      <c r="AB1834" s="260"/>
      <c r="AC1834" s="260"/>
      <c r="AD1834" s="260"/>
      <c r="AE1834" s="260"/>
      <c r="AF1834" s="260"/>
      <c r="AG1834" s="258"/>
    </row>
    <row r="1835" spans="13:33" ht="12" hidden="1" customHeight="1">
      <c r="M1835" s="820"/>
      <c r="N1835" s="239"/>
      <c r="O1835" s="225"/>
      <c r="P1835" s="260"/>
      <c r="Q1835" s="258"/>
      <c r="R1835" s="260"/>
      <c r="S1835" s="260"/>
      <c r="T1835" s="260"/>
      <c r="U1835" s="260"/>
      <c r="V1835" s="260"/>
      <c r="W1835" s="260"/>
      <c r="X1835" s="260"/>
      <c r="Y1835" s="260"/>
      <c r="Z1835" s="260"/>
      <c r="AA1835" s="260"/>
      <c r="AB1835" s="260"/>
      <c r="AC1835" s="260"/>
      <c r="AD1835" s="260"/>
      <c r="AE1835" s="260"/>
      <c r="AF1835" s="260"/>
      <c r="AG1835" s="258"/>
    </row>
    <row r="1836" spans="13:33" ht="12" hidden="1" customHeight="1">
      <c r="M1836" s="820"/>
      <c r="N1836" s="239"/>
      <c r="O1836" s="225"/>
      <c r="P1836" s="260"/>
      <c r="Q1836" s="258"/>
      <c r="R1836" s="260"/>
      <c r="S1836" s="260"/>
      <c r="T1836" s="260"/>
      <c r="U1836" s="260"/>
      <c r="V1836" s="260"/>
      <c r="W1836" s="260"/>
      <c r="X1836" s="260"/>
      <c r="Y1836" s="260"/>
      <c r="Z1836" s="260"/>
      <c r="AA1836" s="260"/>
      <c r="AB1836" s="260"/>
      <c r="AC1836" s="260"/>
      <c r="AD1836" s="260"/>
      <c r="AE1836" s="260"/>
      <c r="AF1836" s="260"/>
      <c r="AG1836" s="258"/>
    </row>
    <row r="1837" spans="13:33" ht="12" hidden="1" customHeight="1">
      <c r="M1837" s="820"/>
      <c r="N1837" s="239"/>
      <c r="O1837" s="225"/>
      <c r="P1837" s="260"/>
      <c r="Q1837" s="258"/>
      <c r="R1837" s="260"/>
      <c r="S1837" s="260"/>
      <c r="T1837" s="260"/>
      <c r="U1837" s="260"/>
      <c r="V1837" s="260"/>
      <c r="W1837" s="260"/>
      <c r="X1837" s="260"/>
      <c r="Y1837" s="260"/>
      <c r="Z1837" s="260"/>
      <c r="AA1837" s="260"/>
      <c r="AB1837" s="260"/>
      <c r="AC1837" s="260"/>
      <c r="AD1837" s="260"/>
      <c r="AE1837" s="260"/>
      <c r="AF1837" s="260"/>
      <c r="AG1837" s="258"/>
    </row>
    <row r="1838" spans="13:33" ht="12" hidden="1" customHeight="1">
      <c r="M1838" s="820"/>
      <c r="N1838" s="239"/>
      <c r="O1838" s="225"/>
      <c r="P1838" s="260"/>
      <c r="Q1838" s="258"/>
      <c r="R1838" s="260"/>
      <c r="S1838" s="260"/>
      <c r="T1838" s="260"/>
      <c r="U1838" s="260"/>
      <c r="V1838" s="260"/>
      <c r="W1838" s="260"/>
      <c r="X1838" s="260"/>
      <c r="Y1838" s="260"/>
      <c r="Z1838" s="260"/>
      <c r="AA1838" s="260"/>
      <c r="AB1838" s="260"/>
      <c r="AC1838" s="260"/>
      <c r="AD1838" s="260"/>
      <c r="AE1838" s="260"/>
      <c r="AF1838" s="260"/>
      <c r="AG1838" s="258"/>
    </row>
    <row r="1839" spans="13:33" ht="12" hidden="1" customHeight="1">
      <c r="M1839" s="820"/>
      <c r="N1839" s="239"/>
      <c r="O1839" s="225"/>
      <c r="P1839" s="260"/>
      <c r="Q1839" s="258"/>
      <c r="R1839" s="260"/>
      <c r="S1839" s="260"/>
      <c r="T1839" s="260"/>
      <c r="U1839" s="260"/>
      <c r="V1839" s="260"/>
      <c r="W1839" s="260"/>
      <c r="X1839" s="260"/>
      <c r="Y1839" s="260"/>
      <c r="Z1839" s="260"/>
      <c r="AA1839" s="260"/>
      <c r="AB1839" s="260"/>
      <c r="AC1839" s="260"/>
      <c r="AD1839" s="260"/>
      <c r="AE1839" s="260"/>
      <c r="AF1839" s="260"/>
      <c r="AG1839" s="258"/>
    </row>
    <row r="1840" spans="13:33" ht="12" hidden="1" customHeight="1">
      <c r="M1840" s="820"/>
      <c r="N1840" s="239"/>
      <c r="O1840" s="225"/>
      <c r="P1840" s="260"/>
      <c r="Q1840" s="258"/>
      <c r="R1840" s="260"/>
      <c r="S1840" s="260"/>
      <c r="T1840" s="260"/>
      <c r="U1840" s="260"/>
      <c r="V1840" s="260"/>
      <c r="W1840" s="260"/>
      <c r="X1840" s="260"/>
      <c r="Y1840" s="260"/>
      <c r="Z1840" s="260"/>
      <c r="AA1840" s="260"/>
      <c r="AB1840" s="260"/>
      <c r="AC1840" s="260"/>
      <c r="AD1840" s="260"/>
      <c r="AE1840" s="260"/>
      <c r="AF1840" s="260"/>
      <c r="AG1840" s="258"/>
    </row>
    <row r="1841" spans="13:33" ht="12" hidden="1" customHeight="1">
      <c r="M1841" s="820"/>
      <c r="N1841" s="239"/>
      <c r="O1841" s="225"/>
      <c r="P1841" s="260"/>
      <c r="Q1841" s="258"/>
      <c r="R1841" s="260"/>
      <c r="S1841" s="260"/>
      <c r="T1841" s="260"/>
      <c r="U1841" s="260"/>
      <c r="V1841" s="260"/>
      <c r="W1841" s="260"/>
      <c r="X1841" s="260"/>
      <c r="Y1841" s="260"/>
      <c r="Z1841" s="260"/>
      <c r="AA1841" s="260"/>
      <c r="AB1841" s="260"/>
      <c r="AC1841" s="260"/>
      <c r="AD1841" s="260"/>
      <c r="AE1841" s="260"/>
      <c r="AF1841" s="260"/>
      <c r="AG1841" s="258"/>
    </row>
    <row r="1842" spans="13:33" ht="12" hidden="1" customHeight="1">
      <c r="M1842" s="820"/>
      <c r="N1842" s="239"/>
      <c r="O1842" s="225"/>
      <c r="P1842" s="260"/>
      <c r="Q1842" s="258"/>
      <c r="R1842" s="260"/>
      <c r="S1842" s="260"/>
      <c r="T1842" s="260"/>
      <c r="U1842" s="260"/>
      <c r="V1842" s="260"/>
      <c r="W1842" s="260"/>
      <c r="X1842" s="260"/>
      <c r="Y1842" s="260"/>
      <c r="Z1842" s="260"/>
      <c r="AA1842" s="260"/>
      <c r="AB1842" s="260"/>
      <c r="AC1842" s="260"/>
      <c r="AD1842" s="260"/>
      <c r="AE1842" s="260"/>
      <c r="AF1842" s="260"/>
      <c r="AG1842" s="258"/>
    </row>
    <row r="1843" spans="13:33" ht="12" hidden="1" customHeight="1">
      <c r="M1843" s="820"/>
      <c r="N1843" s="239"/>
      <c r="O1843" s="225"/>
      <c r="P1843" s="260"/>
      <c r="Q1843" s="258"/>
      <c r="R1843" s="260"/>
      <c r="S1843" s="260"/>
      <c r="T1843" s="260"/>
      <c r="U1843" s="260"/>
      <c r="V1843" s="260"/>
      <c r="W1843" s="260"/>
      <c r="X1843" s="260"/>
      <c r="Y1843" s="260"/>
      <c r="Z1843" s="260"/>
      <c r="AA1843" s="260"/>
      <c r="AB1843" s="260"/>
      <c r="AC1843" s="260"/>
      <c r="AD1843" s="260"/>
      <c r="AE1843" s="260"/>
      <c r="AF1843" s="260"/>
      <c r="AG1843" s="258"/>
    </row>
    <row r="1844" spans="13:33" ht="12" hidden="1" customHeight="1">
      <c r="M1844" s="820"/>
      <c r="N1844" s="239"/>
      <c r="O1844" s="225"/>
      <c r="P1844" s="260"/>
      <c r="Q1844" s="258"/>
      <c r="R1844" s="260"/>
      <c r="S1844" s="260"/>
      <c r="T1844" s="260"/>
      <c r="U1844" s="260"/>
      <c r="V1844" s="260"/>
      <c r="W1844" s="260"/>
      <c r="X1844" s="260"/>
      <c r="Y1844" s="260"/>
      <c r="Z1844" s="260"/>
      <c r="AA1844" s="260"/>
      <c r="AB1844" s="260"/>
      <c r="AC1844" s="260"/>
      <c r="AD1844" s="260"/>
      <c r="AE1844" s="260"/>
      <c r="AF1844" s="260"/>
      <c r="AG1844" s="258"/>
    </row>
    <row r="1845" spans="13:33" ht="12" hidden="1" customHeight="1">
      <c r="M1845" s="820"/>
      <c r="N1845" s="239"/>
      <c r="O1845" s="225"/>
      <c r="P1845" s="260"/>
      <c r="Q1845" s="258"/>
      <c r="R1845" s="260"/>
      <c r="S1845" s="260"/>
      <c r="T1845" s="260"/>
      <c r="U1845" s="260"/>
      <c r="V1845" s="260"/>
      <c r="W1845" s="260"/>
      <c r="X1845" s="260"/>
      <c r="Y1845" s="260"/>
      <c r="Z1845" s="260"/>
      <c r="AA1845" s="260"/>
      <c r="AB1845" s="260"/>
      <c r="AC1845" s="260"/>
      <c r="AD1845" s="260"/>
      <c r="AE1845" s="260"/>
      <c r="AF1845" s="260"/>
      <c r="AG1845" s="258"/>
    </row>
    <row r="1846" spans="13:33" ht="12" hidden="1" customHeight="1">
      <c r="M1846" s="820"/>
      <c r="N1846" s="239"/>
      <c r="O1846" s="225"/>
      <c r="P1846" s="260"/>
      <c r="Q1846" s="258"/>
      <c r="R1846" s="260"/>
      <c r="S1846" s="260"/>
      <c r="T1846" s="260"/>
      <c r="U1846" s="260"/>
      <c r="V1846" s="260"/>
      <c r="W1846" s="260"/>
      <c r="X1846" s="260"/>
      <c r="Y1846" s="260"/>
      <c r="Z1846" s="260"/>
      <c r="AA1846" s="260"/>
      <c r="AB1846" s="260"/>
      <c r="AC1846" s="260"/>
      <c r="AD1846" s="260"/>
      <c r="AE1846" s="260"/>
      <c r="AF1846" s="260"/>
      <c r="AG1846" s="258"/>
    </row>
    <row r="1847" spans="13:33" ht="12" hidden="1" customHeight="1">
      <c r="M1847" s="820"/>
      <c r="N1847" s="239"/>
      <c r="O1847" s="225"/>
      <c r="P1847" s="260"/>
      <c r="Q1847" s="258"/>
      <c r="R1847" s="260"/>
      <c r="S1847" s="260"/>
      <c r="T1847" s="260"/>
      <c r="U1847" s="260"/>
      <c r="V1847" s="260"/>
      <c r="W1847" s="260"/>
      <c r="X1847" s="260"/>
      <c r="Y1847" s="260"/>
      <c r="Z1847" s="260"/>
      <c r="AA1847" s="260"/>
      <c r="AB1847" s="260"/>
      <c r="AC1847" s="260"/>
      <c r="AD1847" s="260"/>
      <c r="AE1847" s="260"/>
      <c r="AF1847" s="260"/>
      <c r="AG1847" s="258"/>
    </row>
    <row r="1848" spans="13:33" ht="12" hidden="1" customHeight="1">
      <c r="M1848" s="820"/>
      <c r="N1848" s="239"/>
      <c r="O1848" s="225"/>
      <c r="P1848" s="260"/>
      <c r="Q1848" s="258"/>
      <c r="R1848" s="260"/>
      <c r="S1848" s="260"/>
      <c r="T1848" s="260"/>
      <c r="U1848" s="260"/>
      <c r="V1848" s="260"/>
      <c r="W1848" s="260"/>
      <c r="X1848" s="260"/>
      <c r="Y1848" s="260"/>
      <c r="Z1848" s="260"/>
      <c r="AA1848" s="260"/>
      <c r="AB1848" s="260"/>
      <c r="AC1848" s="260"/>
      <c r="AD1848" s="260"/>
      <c r="AE1848" s="260"/>
      <c r="AF1848" s="260"/>
      <c r="AG1848" s="258"/>
    </row>
    <row r="1849" spans="13:33" ht="12" hidden="1" customHeight="1">
      <c r="M1849" s="820"/>
      <c r="N1849" s="239"/>
      <c r="O1849" s="225"/>
      <c r="P1849" s="260"/>
      <c r="Q1849" s="258"/>
      <c r="R1849" s="260"/>
      <c r="S1849" s="260"/>
      <c r="T1849" s="260"/>
      <c r="U1849" s="260"/>
      <c r="V1849" s="260"/>
      <c r="W1849" s="260"/>
      <c r="X1849" s="260"/>
      <c r="Y1849" s="260"/>
      <c r="Z1849" s="260"/>
      <c r="AA1849" s="260"/>
      <c r="AB1849" s="260"/>
      <c r="AC1849" s="260"/>
      <c r="AD1849" s="260"/>
      <c r="AE1849" s="260"/>
      <c r="AF1849" s="260"/>
      <c r="AG1849" s="258"/>
    </row>
    <row r="1850" spans="13:33" ht="12" hidden="1" customHeight="1">
      <c r="M1850" s="820"/>
      <c r="N1850" s="239"/>
      <c r="O1850" s="225"/>
      <c r="P1850" s="260"/>
      <c r="Q1850" s="258"/>
      <c r="R1850" s="260"/>
      <c r="S1850" s="260"/>
      <c r="T1850" s="260"/>
      <c r="U1850" s="260"/>
      <c r="V1850" s="260"/>
      <c r="W1850" s="260"/>
      <c r="X1850" s="260"/>
      <c r="Y1850" s="260"/>
      <c r="Z1850" s="260"/>
      <c r="AA1850" s="260"/>
      <c r="AB1850" s="260"/>
      <c r="AC1850" s="260"/>
      <c r="AD1850" s="260"/>
      <c r="AE1850" s="260"/>
      <c r="AF1850" s="260"/>
      <c r="AG1850" s="258"/>
    </row>
    <row r="1851" spans="13:33" ht="12" hidden="1" customHeight="1">
      <c r="M1851" s="820"/>
      <c r="N1851" s="239"/>
      <c r="O1851" s="225"/>
      <c r="P1851" s="260"/>
      <c r="Q1851" s="258"/>
      <c r="R1851" s="260"/>
      <c r="S1851" s="260"/>
      <c r="T1851" s="260"/>
      <c r="U1851" s="260"/>
      <c r="V1851" s="260"/>
      <c r="W1851" s="260"/>
      <c r="X1851" s="260"/>
      <c r="Y1851" s="260"/>
      <c r="Z1851" s="260"/>
      <c r="AA1851" s="260"/>
      <c r="AB1851" s="260"/>
      <c r="AC1851" s="260"/>
      <c r="AD1851" s="260"/>
      <c r="AE1851" s="260"/>
      <c r="AF1851" s="260"/>
      <c r="AG1851" s="258"/>
    </row>
    <row r="1852" spans="13:33" ht="12" hidden="1" customHeight="1">
      <c r="M1852" s="820"/>
      <c r="N1852" s="239"/>
      <c r="O1852" s="225"/>
      <c r="P1852" s="260"/>
      <c r="Q1852" s="258"/>
      <c r="R1852" s="260"/>
      <c r="S1852" s="260"/>
      <c r="T1852" s="260"/>
      <c r="U1852" s="260"/>
      <c r="V1852" s="260"/>
      <c r="W1852" s="260"/>
      <c r="X1852" s="260"/>
      <c r="Y1852" s="260"/>
      <c r="Z1852" s="260"/>
      <c r="AA1852" s="260"/>
      <c r="AB1852" s="260"/>
      <c r="AC1852" s="260"/>
      <c r="AD1852" s="260"/>
      <c r="AE1852" s="260"/>
      <c r="AF1852" s="260"/>
      <c r="AG1852" s="258"/>
    </row>
    <row r="1853" spans="13:33" ht="12" hidden="1" customHeight="1">
      <c r="M1853" s="820"/>
      <c r="N1853" s="239"/>
      <c r="O1853" s="225"/>
      <c r="P1853" s="260"/>
      <c r="Q1853" s="258"/>
      <c r="R1853" s="260"/>
      <c r="S1853" s="260"/>
      <c r="T1853" s="260"/>
      <c r="U1853" s="260"/>
      <c r="V1853" s="260"/>
      <c r="W1853" s="260"/>
      <c r="X1853" s="260"/>
      <c r="Y1853" s="260"/>
      <c r="Z1853" s="260"/>
      <c r="AA1853" s="260"/>
      <c r="AB1853" s="260"/>
      <c r="AC1853" s="260"/>
      <c r="AD1853" s="260"/>
      <c r="AE1853" s="260"/>
      <c r="AF1853" s="260"/>
      <c r="AG1853" s="258"/>
    </row>
    <row r="1854" spans="13:33" ht="12" hidden="1" customHeight="1">
      <c r="M1854" s="820"/>
      <c r="N1854" s="239"/>
      <c r="O1854" s="225"/>
      <c r="P1854" s="260"/>
      <c r="Q1854" s="258"/>
      <c r="R1854" s="260"/>
      <c r="S1854" s="260"/>
      <c r="T1854" s="260"/>
      <c r="U1854" s="260"/>
      <c r="V1854" s="260"/>
      <c r="W1854" s="260"/>
      <c r="X1854" s="260"/>
      <c r="Y1854" s="260"/>
      <c r="Z1854" s="260"/>
      <c r="AA1854" s="260"/>
      <c r="AB1854" s="260"/>
      <c r="AC1854" s="260"/>
      <c r="AD1854" s="260"/>
      <c r="AE1854" s="260"/>
      <c r="AF1854" s="260"/>
      <c r="AG1854" s="258"/>
    </row>
    <row r="1855" spans="13:33" ht="12" hidden="1" customHeight="1">
      <c r="M1855" s="820"/>
      <c r="N1855" s="239"/>
      <c r="O1855" s="225"/>
      <c r="P1855" s="260"/>
      <c r="Q1855" s="258"/>
      <c r="R1855" s="260"/>
      <c r="S1855" s="260"/>
      <c r="T1855" s="260"/>
      <c r="U1855" s="260"/>
      <c r="V1855" s="260"/>
      <c r="W1855" s="260"/>
      <c r="X1855" s="260"/>
      <c r="Y1855" s="260"/>
      <c r="Z1855" s="260"/>
      <c r="AA1855" s="260"/>
      <c r="AB1855" s="260"/>
      <c r="AC1855" s="260"/>
      <c r="AD1855" s="260"/>
      <c r="AE1855" s="260"/>
      <c r="AF1855" s="260"/>
      <c r="AG1855" s="258"/>
    </row>
    <row r="1856" spans="13:33" ht="12" hidden="1" customHeight="1">
      <c r="M1856" s="820"/>
      <c r="N1856" s="239"/>
      <c r="O1856" s="225"/>
      <c r="P1856" s="260"/>
      <c r="Q1856" s="258"/>
      <c r="R1856" s="260"/>
      <c r="S1856" s="260"/>
      <c r="T1856" s="260"/>
      <c r="U1856" s="260"/>
      <c r="V1856" s="260"/>
      <c r="W1856" s="260"/>
      <c r="X1856" s="260"/>
      <c r="Y1856" s="260"/>
      <c r="Z1856" s="260"/>
      <c r="AA1856" s="260"/>
      <c r="AB1856" s="260"/>
      <c r="AC1856" s="260"/>
      <c r="AD1856" s="260"/>
      <c r="AE1856" s="260"/>
      <c r="AF1856" s="260"/>
      <c r="AG1856" s="258"/>
    </row>
    <row r="1857" spans="13:33" ht="12" hidden="1" customHeight="1">
      <c r="M1857" s="820"/>
      <c r="N1857" s="239"/>
      <c r="O1857" s="225"/>
      <c r="P1857" s="260"/>
      <c r="Q1857" s="258"/>
      <c r="R1857" s="260"/>
      <c r="S1857" s="260"/>
      <c r="T1857" s="260"/>
      <c r="U1857" s="260"/>
      <c r="V1857" s="260"/>
      <c r="W1857" s="260"/>
      <c r="X1857" s="260"/>
      <c r="Y1857" s="260"/>
      <c r="Z1857" s="260"/>
      <c r="AA1857" s="260"/>
      <c r="AB1857" s="260"/>
      <c r="AC1857" s="260"/>
      <c r="AD1857" s="260"/>
      <c r="AE1857" s="260"/>
      <c r="AF1857" s="260"/>
      <c r="AG1857" s="258"/>
    </row>
    <row r="1858" spans="13:33" ht="12" hidden="1" customHeight="1">
      <c r="M1858" s="820"/>
      <c r="N1858" s="239"/>
      <c r="O1858" s="225"/>
      <c r="P1858" s="260"/>
      <c r="Q1858" s="258"/>
      <c r="R1858" s="260"/>
      <c r="S1858" s="260"/>
      <c r="T1858" s="260"/>
      <c r="U1858" s="260"/>
      <c r="V1858" s="260"/>
      <c r="W1858" s="260"/>
      <c r="X1858" s="260"/>
      <c r="Y1858" s="260"/>
      <c r="Z1858" s="260"/>
      <c r="AA1858" s="260"/>
      <c r="AB1858" s="260"/>
      <c r="AC1858" s="260"/>
      <c r="AD1858" s="260"/>
      <c r="AE1858" s="260"/>
      <c r="AF1858" s="260"/>
      <c r="AG1858" s="258"/>
    </row>
    <row r="1859" spans="13:33" ht="12" hidden="1" customHeight="1">
      <c r="M1859" s="820"/>
      <c r="N1859" s="239"/>
      <c r="O1859" s="225"/>
      <c r="P1859" s="260"/>
      <c r="Q1859" s="258"/>
      <c r="R1859" s="260"/>
      <c r="S1859" s="260"/>
      <c r="T1859" s="260"/>
      <c r="U1859" s="260"/>
      <c r="V1859" s="260"/>
      <c r="W1859" s="260"/>
      <c r="X1859" s="260"/>
      <c r="Y1859" s="260"/>
      <c r="Z1859" s="260"/>
      <c r="AA1859" s="260"/>
      <c r="AB1859" s="260"/>
      <c r="AC1859" s="260"/>
      <c r="AD1859" s="260"/>
      <c r="AE1859" s="260"/>
      <c r="AF1859" s="260"/>
      <c r="AG1859" s="258"/>
    </row>
    <row r="1860" spans="13:33" ht="12" hidden="1" customHeight="1">
      <c r="M1860" s="820"/>
      <c r="N1860" s="239"/>
      <c r="O1860" s="225"/>
      <c r="P1860" s="260"/>
      <c r="Q1860" s="258"/>
      <c r="R1860" s="260"/>
      <c r="S1860" s="260"/>
      <c r="T1860" s="260"/>
      <c r="U1860" s="260"/>
      <c r="V1860" s="260"/>
      <c r="W1860" s="260"/>
      <c r="X1860" s="260"/>
      <c r="Y1860" s="260"/>
      <c r="Z1860" s="260"/>
      <c r="AA1860" s="260"/>
      <c r="AB1860" s="260"/>
      <c r="AC1860" s="260"/>
      <c r="AD1860" s="260"/>
      <c r="AE1860" s="260"/>
      <c r="AF1860" s="260"/>
      <c r="AG1860" s="258"/>
    </row>
    <row r="1861" spans="13:33" ht="12" hidden="1" customHeight="1">
      <c r="M1861" s="820"/>
      <c r="N1861" s="239"/>
      <c r="O1861" s="225"/>
      <c r="P1861" s="260"/>
      <c r="Q1861" s="258"/>
      <c r="R1861" s="260"/>
      <c r="S1861" s="260"/>
      <c r="T1861" s="260"/>
      <c r="U1861" s="260"/>
      <c r="V1861" s="260"/>
      <c r="W1861" s="260"/>
      <c r="X1861" s="260"/>
      <c r="Y1861" s="260"/>
      <c r="Z1861" s="260"/>
      <c r="AA1861" s="260"/>
      <c r="AB1861" s="260"/>
      <c r="AC1861" s="260"/>
      <c r="AD1861" s="260"/>
      <c r="AE1861" s="260"/>
      <c r="AF1861" s="260"/>
      <c r="AG1861" s="258"/>
    </row>
    <row r="1862" spans="13:33" ht="12" hidden="1" customHeight="1">
      <c r="M1862" s="820"/>
      <c r="N1862" s="239"/>
      <c r="O1862" s="225"/>
      <c r="P1862" s="260"/>
      <c r="Q1862" s="258"/>
      <c r="R1862" s="260"/>
      <c r="S1862" s="260"/>
      <c r="T1862" s="260"/>
      <c r="U1862" s="260"/>
      <c r="V1862" s="260"/>
      <c r="W1862" s="260"/>
      <c r="X1862" s="260"/>
      <c r="Y1862" s="260"/>
      <c r="Z1862" s="260"/>
      <c r="AA1862" s="260"/>
      <c r="AB1862" s="260"/>
      <c r="AC1862" s="260"/>
      <c r="AD1862" s="260"/>
      <c r="AE1862" s="260"/>
      <c r="AF1862" s="260"/>
      <c r="AG1862" s="258"/>
    </row>
    <row r="1863" spans="13:33" ht="12" hidden="1" customHeight="1">
      <c r="M1863" s="820"/>
      <c r="N1863" s="239"/>
      <c r="O1863" s="225"/>
      <c r="P1863" s="260"/>
      <c r="Q1863" s="258"/>
      <c r="R1863" s="260"/>
      <c r="S1863" s="260"/>
      <c r="T1863" s="260"/>
      <c r="U1863" s="260"/>
      <c r="V1863" s="260"/>
      <c r="W1863" s="260"/>
      <c r="X1863" s="260"/>
      <c r="Y1863" s="260"/>
      <c r="Z1863" s="260"/>
      <c r="AA1863" s="260"/>
      <c r="AB1863" s="260"/>
      <c r="AC1863" s="260"/>
      <c r="AD1863" s="260"/>
      <c r="AE1863" s="260"/>
      <c r="AF1863" s="260"/>
      <c r="AG1863" s="258"/>
    </row>
    <row r="1864" spans="13:33" ht="12" hidden="1" customHeight="1">
      <c r="M1864" s="820"/>
      <c r="N1864" s="239"/>
      <c r="O1864" s="225"/>
      <c r="P1864" s="260"/>
      <c r="Q1864" s="258"/>
      <c r="R1864" s="260"/>
      <c r="S1864" s="260"/>
      <c r="T1864" s="260"/>
      <c r="U1864" s="260"/>
      <c r="V1864" s="260"/>
      <c r="W1864" s="260"/>
      <c r="X1864" s="260"/>
      <c r="Y1864" s="260"/>
      <c r="Z1864" s="260"/>
      <c r="AA1864" s="260"/>
      <c r="AB1864" s="260"/>
      <c r="AC1864" s="260"/>
      <c r="AD1864" s="260"/>
      <c r="AE1864" s="260"/>
      <c r="AF1864" s="260"/>
      <c r="AG1864" s="258"/>
    </row>
    <row r="1865" spans="13:33" ht="12" hidden="1" customHeight="1">
      <c r="M1865" s="820"/>
      <c r="N1865" s="239"/>
      <c r="O1865" s="225"/>
      <c r="P1865" s="260"/>
      <c r="Q1865" s="258"/>
      <c r="R1865" s="260"/>
      <c r="S1865" s="260"/>
      <c r="T1865" s="260"/>
      <c r="U1865" s="260"/>
      <c r="V1865" s="260"/>
      <c r="W1865" s="260"/>
      <c r="X1865" s="260"/>
      <c r="Y1865" s="260"/>
      <c r="Z1865" s="260"/>
      <c r="AA1865" s="260"/>
      <c r="AB1865" s="260"/>
      <c r="AC1865" s="260"/>
      <c r="AD1865" s="260"/>
      <c r="AE1865" s="260"/>
      <c r="AF1865" s="260"/>
      <c r="AG1865" s="258"/>
    </row>
    <row r="1866" spans="13:33" ht="12" hidden="1" customHeight="1">
      <c r="M1866" s="820"/>
      <c r="N1866" s="239"/>
      <c r="O1866" s="225"/>
      <c r="P1866" s="260"/>
      <c r="Q1866" s="258"/>
      <c r="R1866" s="260"/>
      <c r="S1866" s="260"/>
      <c r="T1866" s="260"/>
      <c r="U1866" s="260"/>
      <c r="V1866" s="260"/>
      <c r="W1866" s="260"/>
      <c r="X1866" s="260"/>
      <c r="Y1866" s="260"/>
      <c r="Z1866" s="260"/>
      <c r="AA1866" s="260"/>
      <c r="AB1866" s="260"/>
      <c r="AC1866" s="260"/>
      <c r="AD1866" s="260"/>
      <c r="AE1866" s="260"/>
      <c r="AF1866" s="260"/>
      <c r="AG1866" s="258"/>
    </row>
    <row r="1867" spans="13:33" ht="12" hidden="1" customHeight="1">
      <c r="M1867" s="820"/>
      <c r="N1867" s="239"/>
      <c r="O1867" s="225"/>
      <c r="P1867" s="260"/>
      <c r="Q1867" s="258"/>
      <c r="R1867" s="260"/>
      <c r="S1867" s="260"/>
      <c r="T1867" s="260"/>
      <c r="U1867" s="260"/>
      <c r="V1867" s="260"/>
      <c r="W1867" s="260"/>
      <c r="X1867" s="260"/>
      <c r="Y1867" s="260"/>
      <c r="Z1867" s="260"/>
      <c r="AA1867" s="260"/>
      <c r="AB1867" s="260"/>
      <c r="AC1867" s="260"/>
      <c r="AD1867" s="260"/>
      <c r="AE1867" s="260"/>
      <c r="AF1867" s="260"/>
      <c r="AG1867" s="258"/>
    </row>
    <row r="1868" spans="13:33" ht="12" hidden="1" customHeight="1">
      <c r="M1868" s="820"/>
      <c r="N1868" s="239"/>
      <c r="O1868" s="225"/>
      <c r="P1868" s="260"/>
      <c r="Q1868" s="258"/>
      <c r="R1868" s="260"/>
      <c r="S1868" s="260"/>
      <c r="T1868" s="260"/>
      <c r="U1868" s="260"/>
      <c r="V1868" s="260"/>
      <c r="W1868" s="260"/>
      <c r="X1868" s="260"/>
      <c r="Y1868" s="260"/>
      <c r="Z1868" s="260"/>
      <c r="AA1868" s="260"/>
      <c r="AB1868" s="260"/>
      <c r="AC1868" s="260"/>
      <c r="AD1868" s="260"/>
      <c r="AE1868" s="260"/>
      <c r="AF1868" s="260"/>
      <c r="AG1868" s="258"/>
    </row>
    <row r="1869" spans="13:33" ht="12" hidden="1" customHeight="1">
      <c r="M1869" s="820"/>
      <c r="N1869" s="239"/>
      <c r="O1869" s="225"/>
      <c r="P1869" s="260"/>
      <c r="Q1869" s="258"/>
      <c r="R1869" s="260"/>
      <c r="S1869" s="260"/>
      <c r="T1869" s="260"/>
      <c r="U1869" s="260"/>
      <c r="V1869" s="260"/>
      <c r="W1869" s="260"/>
      <c r="X1869" s="260"/>
      <c r="Y1869" s="260"/>
      <c r="Z1869" s="260"/>
      <c r="AA1869" s="260"/>
      <c r="AB1869" s="260"/>
      <c r="AC1869" s="260"/>
      <c r="AD1869" s="260"/>
      <c r="AE1869" s="260"/>
      <c r="AF1869" s="260"/>
      <c r="AG1869" s="258"/>
    </row>
    <row r="1870" spans="13:33" ht="12" hidden="1" customHeight="1">
      <c r="M1870" s="820"/>
      <c r="N1870" s="239"/>
      <c r="O1870" s="225"/>
      <c r="P1870" s="260"/>
      <c r="Q1870" s="258"/>
      <c r="R1870" s="260"/>
      <c r="S1870" s="260"/>
      <c r="T1870" s="260"/>
      <c r="U1870" s="260"/>
      <c r="V1870" s="260"/>
      <c r="W1870" s="260"/>
      <c r="X1870" s="260"/>
      <c r="Y1870" s="260"/>
      <c r="Z1870" s="260"/>
      <c r="AA1870" s="260"/>
      <c r="AB1870" s="260"/>
      <c r="AC1870" s="260"/>
      <c r="AD1870" s="260"/>
      <c r="AE1870" s="260"/>
      <c r="AF1870" s="260"/>
      <c r="AG1870" s="258"/>
    </row>
    <row r="1871" spans="13:33" ht="12" hidden="1" customHeight="1">
      <c r="M1871" s="820"/>
      <c r="N1871" s="239"/>
      <c r="O1871" s="225"/>
      <c r="P1871" s="260"/>
      <c r="Q1871" s="258"/>
      <c r="R1871" s="260"/>
      <c r="S1871" s="260"/>
      <c r="T1871" s="260"/>
      <c r="U1871" s="260"/>
      <c r="V1871" s="260"/>
      <c r="W1871" s="260"/>
      <c r="X1871" s="260"/>
      <c r="Y1871" s="260"/>
      <c r="Z1871" s="260"/>
      <c r="AA1871" s="260"/>
      <c r="AB1871" s="260"/>
      <c r="AC1871" s="260"/>
      <c r="AD1871" s="260"/>
      <c r="AE1871" s="260"/>
      <c r="AF1871" s="260"/>
      <c r="AG1871" s="258"/>
    </row>
    <row r="1872" spans="13:33" ht="12" hidden="1" customHeight="1">
      <c r="M1872" s="820"/>
      <c r="N1872" s="239"/>
      <c r="O1872" s="225"/>
      <c r="P1872" s="260"/>
      <c r="Q1872" s="258"/>
      <c r="R1872" s="260"/>
      <c r="S1872" s="260"/>
      <c r="T1872" s="260"/>
      <c r="U1872" s="260"/>
      <c r="V1872" s="260"/>
      <c r="W1872" s="260"/>
      <c r="X1872" s="260"/>
      <c r="Y1872" s="260"/>
      <c r="Z1872" s="260"/>
      <c r="AA1872" s="260"/>
      <c r="AB1872" s="260"/>
      <c r="AC1872" s="260"/>
      <c r="AD1872" s="260"/>
      <c r="AE1872" s="260"/>
      <c r="AF1872" s="260"/>
      <c r="AG1872" s="258"/>
    </row>
    <row r="1873" spans="13:33" ht="12" hidden="1" customHeight="1">
      <c r="M1873" s="820"/>
      <c r="N1873" s="239"/>
      <c r="O1873" s="225"/>
      <c r="P1873" s="260"/>
      <c r="Q1873" s="258"/>
      <c r="R1873" s="260"/>
      <c r="S1873" s="260"/>
      <c r="T1873" s="260"/>
      <c r="U1873" s="260"/>
      <c r="V1873" s="260"/>
      <c r="W1873" s="260"/>
      <c r="X1873" s="260"/>
      <c r="Y1873" s="260"/>
      <c r="Z1873" s="260"/>
      <c r="AA1873" s="260"/>
      <c r="AB1873" s="260"/>
      <c r="AC1873" s="260"/>
      <c r="AD1873" s="260"/>
      <c r="AE1873" s="260"/>
      <c r="AF1873" s="260"/>
      <c r="AG1873" s="258"/>
    </row>
    <row r="1874" spans="13:33" ht="12" hidden="1" customHeight="1">
      <c r="M1874" s="820"/>
      <c r="N1874" s="239"/>
      <c r="O1874" s="225"/>
      <c r="P1874" s="260"/>
      <c r="Q1874" s="258"/>
      <c r="R1874" s="260"/>
      <c r="S1874" s="260"/>
      <c r="T1874" s="260"/>
      <c r="U1874" s="260"/>
      <c r="V1874" s="260"/>
      <c r="W1874" s="260"/>
      <c r="X1874" s="260"/>
      <c r="Y1874" s="260"/>
      <c r="Z1874" s="260"/>
      <c r="AA1874" s="260"/>
      <c r="AB1874" s="260"/>
      <c r="AC1874" s="260"/>
      <c r="AD1874" s="260"/>
      <c r="AE1874" s="260"/>
      <c r="AF1874" s="260"/>
      <c r="AG1874" s="258"/>
    </row>
    <row r="1875" spans="13:33" ht="12" hidden="1" customHeight="1">
      <c r="M1875" s="820"/>
      <c r="N1875" s="239"/>
      <c r="O1875" s="225"/>
      <c r="P1875" s="260"/>
      <c r="Q1875" s="258"/>
      <c r="R1875" s="260"/>
      <c r="S1875" s="260"/>
      <c r="T1875" s="260"/>
      <c r="U1875" s="260"/>
      <c r="V1875" s="260"/>
      <c r="W1875" s="260"/>
      <c r="X1875" s="260"/>
      <c r="Y1875" s="260"/>
      <c r="Z1875" s="260"/>
      <c r="AA1875" s="260"/>
      <c r="AB1875" s="260"/>
      <c r="AC1875" s="260"/>
      <c r="AD1875" s="260"/>
      <c r="AE1875" s="260"/>
      <c r="AF1875" s="260"/>
      <c r="AG1875" s="258"/>
    </row>
    <row r="1876" spans="13:33" ht="12" hidden="1" customHeight="1">
      <c r="M1876" s="820"/>
      <c r="N1876" s="239"/>
      <c r="O1876" s="225"/>
      <c r="P1876" s="260"/>
      <c r="Q1876" s="258"/>
      <c r="R1876" s="260"/>
      <c r="S1876" s="260"/>
      <c r="T1876" s="260"/>
      <c r="U1876" s="260"/>
      <c r="V1876" s="260"/>
      <c r="W1876" s="260"/>
      <c r="X1876" s="260"/>
      <c r="Y1876" s="260"/>
      <c r="Z1876" s="260"/>
      <c r="AA1876" s="260"/>
      <c r="AB1876" s="260"/>
      <c r="AC1876" s="260"/>
      <c r="AD1876" s="260"/>
      <c r="AE1876" s="260"/>
      <c r="AF1876" s="260"/>
      <c r="AG1876" s="258"/>
    </row>
    <row r="1877" spans="13:33" ht="12" hidden="1" customHeight="1">
      <c r="M1877" s="820"/>
      <c r="N1877" s="239"/>
      <c r="O1877" s="225"/>
      <c r="P1877" s="260"/>
      <c r="Q1877" s="258"/>
      <c r="R1877" s="260"/>
      <c r="S1877" s="260"/>
      <c r="T1877" s="260"/>
      <c r="U1877" s="260"/>
      <c r="V1877" s="260"/>
      <c r="W1877" s="260"/>
      <c r="X1877" s="260"/>
      <c r="Y1877" s="260"/>
      <c r="Z1877" s="260"/>
      <c r="AA1877" s="260"/>
      <c r="AB1877" s="260"/>
      <c r="AC1877" s="260"/>
      <c r="AD1877" s="260"/>
      <c r="AE1877" s="260"/>
      <c r="AF1877" s="260"/>
      <c r="AG1877" s="258"/>
    </row>
    <row r="1878" spans="13:33" ht="12" hidden="1" customHeight="1">
      <c r="M1878" s="820"/>
      <c r="N1878" s="239"/>
      <c r="O1878" s="225"/>
      <c r="P1878" s="260"/>
      <c r="Q1878" s="258"/>
      <c r="R1878" s="260"/>
      <c r="S1878" s="260"/>
      <c r="T1878" s="260"/>
      <c r="U1878" s="260"/>
      <c r="V1878" s="260"/>
      <c r="W1878" s="260"/>
      <c r="X1878" s="260"/>
      <c r="Y1878" s="260"/>
      <c r="Z1878" s="260"/>
      <c r="AA1878" s="260"/>
      <c r="AB1878" s="260"/>
      <c r="AC1878" s="260"/>
      <c r="AD1878" s="260"/>
      <c r="AE1878" s="260"/>
      <c r="AF1878" s="260"/>
      <c r="AG1878" s="258"/>
    </row>
    <row r="1879" spans="13:33" ht="12" hidden="1" customHeight="1">
      <c r="M1879" s="820"/>
      <c r="N1879" s="239"/>
      <c r="O1879" s="225"/>
      <c r="P1879" s="260"/>
      <c r="Q1879" s="258"/>
      <c r="R1879" s="260"/>
      <c r="S1879" s="260"/>
      <c r="T1879" s="260"/>
      <c r="U1879" s="260"/>
      <c r="V1879" s="260"/>
      <c r="W1879" s="260"/>
      <c r="X1879" s="260"/>
      <c r="Y1879" s="260"/>
      <c r="Z1879" s="260"/>
      <c r="AA1879" s="260"/>
      <c r="AB1879" s="260"/>
      <c r="AC1879" s="260"/>
      <c r="AD1879" s="260"/>
      <c r="AE1879" s="260"/>
      <c r="AF1879" s="260"/>
      <c r="AG1879" s="258"/>
    </row>
    <row r="1880" spans="13:33" ht="12" hidden="1" customHeight="1">
      <c r="M1880" s="820"/>
      <c r="N1880" s="239"/>
      <c r="O1880" s="225"/>
      <c r="P1880" s="260"/>
      <c r="Q1880" s="258"/>
      <c r="R1880" s="260"/>
      <c r="S1880" s="260"/>
      <c r="T1880" s="260"/>
      <c r="U1880" s="260"/>
      <c r="V1880" s="260"/>
      <c r="W1880" s="260"/>
      <c r="X1880" s="260"/>
      <c r="Y1880" s="260"/>
      <c r="Z1880" s="260"/>
      <c r="AA1880" s="260"/>
      <c r="AB1880" s="260"/>
      <c r="AC1880" s="260"/>
      <c r="AD1880" s="260"/>
      <c r="AE1880" s="260"/>
      <c r="AF1880" s="260"/>
      <c r="AG1880" s="258"/>
    </row>
    <row r="1881" spans="13:33" ht="12" hidden="1" customHeight="1">
      <c r="M1881" s="820"/>
      <c r="N1881" s="239"/>
      <c r="O1881" s="225"/>
      <c r="P1881" s="260"/>
      <c r="Q1881" s="258"/>
      <c r="R1881" s="260"/>
      <c r="S1881" s="260"/>
      <c r="T1881" s="260"/>
      <c r="U1881" s="260"/>
      <c r="V1881" s="260"/>
      <c r="W1881" s="260"/>
      <c r="X1881" s="260"/>
      <c r="Y1881" s="260"/>
      <c r="Z1881" s="260"/>
      <c r="AA1881" s="260"/>
      <c r="AB1881" s="260"/>
      <c r="AC1881" s="260"/>
      <c r="AD1881" s="260"/>
      <c r="AE1881" s="260"/>
      <c r="AF1881" s="260"/>
      <c r="AG1881" s="258"/>
    </row>
    <row r="1882" spans="13:33" ht="12" hidden="1" customHeight="1">
      <c r="M1882" s="820"/>
      <c r="N1882" s="239"/>
      <c r="O1882" s="225"/>
      <c r="P1882" s="260"/>
      <c r="Q1882" s="258"/>
      <c r="R1882" s="260"/>
      <c r="S1882" s="260"/>
      <c r="T1882" s="260"/>
      <c r="U1882" s="260"/>
      <c r="V1882" s="260"/>
      <c r="W1882" s="260"/>
      <c r="X1882" s="260"/>
      <c r="Y1882" s="260"/>
      <c r="Z1882" s="260"/>
      <c r="AA1882" s="260"/>
      <c r="AB1882" s="260"/>
      <c r="AC1882" s="260"/>
      <c r="AD1882" s="260"/>
      <c r="AE1882" s="260"/>
      <c r="AF1882" s="260"/>
      <c r="AG1882" s="258"/>
    </row>
    <row r="1883" spans="13:33" ht="12" hidden="1" customHeight="1">
      <c r="M1883" s="820"/>
      <c r="N1883" s="239"/>
      <c r="O1883" s="225"/>
      <c r="P1883" s="260"/>
      <c r="Q1883" s="258"/>
      <c r="R1883" s="260"/>
      <c r="S1883" s="260"/>
      <c r="T1883" s="260"/>
      <c r="U1883" s="260"/>
      <c r="V1883" s="260"/>
      <c r="W1883" s="260"/>
      <c r="X1883" s="260"/>
      <c r="Y1883" s="260"/>
      <c r="Z1883" s="260"/>
      <c r="AA1883" s="260"/>
      <c r="AB1883" s="260"/>
      <c r="AC1883" s="260"/>
      <c r="AD1883" s="260"/>
      <c r="AE1883" s="260"/>
      <c r="AF1883" s="260"/>
      <c r="AG1883" s="258"/>
    </row>
    <row r="1884" spans="13:33" ht="12" hidden="1" customHeight="1">
      <c r="M1884" s="820"/>
      <c r="N1884" s="239"/>
      <c r="O1884" s="225"/>
      <c r="P1884" s="260"/>
      <c r="Q1884" s="258"/>
      <c r="R1884" s="260"/>
      <c r="S1884" s="260"/>
      <c r="T1884" s="260"/>
      <c r="U1884" s="260"/>
      <c r="V1884" s="260"/>
      <c r="W1884" s="260"/>
      <c r="X1884" s="260"/>
      <c r="Y1884" s="260"/>
      <c r="Z1884" s="260"/>
      <c r="AA1884" s="260"/>
      <c r="AB1884" s="260"/>
      <c r="AC1884" s="260"/>
      <c r="AD1884" s="260"/>
      <c r="AE1884" s="260"/>
      <c r="AF1884" s="260"/>
      <c r="AG1884" s="258"/>
    </row>
    <row r="1885" spans="13:33" ht="12" hidden="1" customHeight="1">
      <c r="M1885" s="820"/>
      <c r="N1885" s="239"/>
      <c r="O1885" s="225"/>
      <c r="P1885" s="260"/>
      <c r="Q1885" s="258"/>
      <c r="R1885" s="260"/>
      <c r="S1885" s="260"/>
      <c r="T1885" s="260"/>
      <c r="U1885" s="260"/>
      <c r="V1885" s="260"/>
      <c r="W1885" s="260"/>
      <c r="X1885" s="260"/>
      <c r="Y1885" s="260"/>
      <c r="Z1885" s="260"/>
      <c r="AA1885" s="260"/>
      <c r="AB1885" s="260"/>
      <c r="AC1885" s="260"/>
      <c r="AD1885" s="260"/>
      <c r="AE1885" s="260"/>
      <c r="AF1885" s="260"/>
      <c r="AG1885" s="258"/>
    </row>
    <row r="1886" spans="13:33" ht="12" hidden="1" customHeight="1">
      <c r="M1886" s="820"/>
      <c r="N1886" s="239"/>
      <c r="O1886" s="225"/>
      <c r="P1886" s="260"/>
      <c r="Q1886" s="258"/>
      <c r="R1886" s="260"/>
      <c r="S1886" s="260"/>
      <c r="T1886" s="260"/>
      <c r="U1886" s="260"/>
      <c r="V1886" s="260"/>
      <c r="W1886" s="260"/>
      <c r="X1886" s="260"/>
      <c r="Y1886" s="260"/>
      <c r="Z1886" s="260"/>
      <c r="AA1886" s="260"/>
      <c r="AB1886" s="260"/>
      <c r="AC1886" s="260"/>
      <c r="AD1886" s="260"/>
      <c r="AE1886" s="260"/>
      <c r="AF1886" s="260"/>
      <c r="AG1886" s="258"/>
    </row>
    <row r="1887" spans="13:33" ht="12" hidden="1" customHeight="1">
      <c r="M1887" s="820"/>
      <c r="N1887" s="239"/>
      <c r="O1887" s="225"/>
      <c r="P1887" s="260"/>
      <c r="Q1887" s="258"/>
      <c r="R1887" s="260"/>
      <c r="S1887" s="260"/>
      <c r="T1887" s="260"/>
      <c r="U1887" s="260"/>
      <c r="V1887" s="260"/>
      <c r="W1887" s="260"/>
      <c r="X1887" s="260"/>
      <c r="Y1887" s="260"/>
      <c r="Z1887" s="260"/>
      <c r="AA1887" s="260"/>
      <c r="AB1887" s="260"/>
      <c r="AC1887" s="260"/>
      <c r="AD1887" s="260"/>
      <c r="AE1887" s="260"/>
      <c r="AF1887" s="260"/>
      <c r="AG1887" s="258"/>
    </row>
    <row r="1888" spans="13:33" ht="12" hidden="1" customHeight="1">
      <c r="M1888" s="820"/>
      <c r="N1888" s="239"/>
      <c r="O1888" s="225"/>
      <c r="P1888" s="260"/>
      <c r="Q1888" s="258"/>
      <c r="R1888" s="260"/>
      <c r="S1888" s="260"/>
      <c r="T1888" s="260"/>
      <c r="U1888" s="260"/>
      <c r="V1888" s="260"/>
      <c r="W1888" s="260"/>
      <c r="X1888" s="260"/>
      <c r="Y1888" s="260"/>
      <c r="Z1888" s="260"/>
      <c r="AA1888" s="260"/>
      <c r="AB1888" s="260"/>
      <c r="AC1888" s="260"/>
      <c r="AD1888" s="260"/>
      <c r="AE1888" s="260"/>
      <c r="AF1888" s="260"/>
      <c r="AG1888" s="258"/>
    </row>
    <row r="1889" spans="13:33" ht="12" hidden="1" customHeight="1">
      <c r="M1889" s="820"/>
      <c r="N1889" s="239"/>
      <c r="O1889" s="225"/>
      <c r="P1889" s="260"/>
      <c r="Q1889" s="258"/>
      <c r="R1889" s="260"/>
      <c r="S1889" s="260"/>
      <c r="T1889" s="260"/>
      <c r="U1889" s="260"/>
      <c r="V1889" s="260"/>
      <c r="W1889" s="260"/>
      <c r="X1889" s="260"/>
      <c r="Y1889" s="260"/>
      <c r="Z1889" s="260"/>
      <c r="AA1889" s="260"/>
      <c r="AB1889" s="260"/>
      <c r="AC1889" s="260"/>
      <c r="AD1889" s="260"/>
      <c r="AE1889" s="260"/>
      <c r="AF1889" s="260"/>
      <c r="AG1889" s="258"/>
    </row>
    <row r="1890" spans="13:33" ht="12" hidden="1" customHeight="1">
      <c r="M1890" s="820"/>
      <c r="N1890" s="239"/>
      <c r="O1890" s="225"/>
      <c r="P1890" s="260"/>
      <c r="Q1890" s="258"/>
      <c r="R1890" s="260"/>
      <c r="S1890" s="260"/>
      <c r="T1890" s="260"/>
      <c r="U1890" s="260"/>
      <c r="V1890" s="260"/>
      <c r="W1890" s="260"/>
      <c r="X1890" s="260"/>
      <c r="Y1890" s="260"/>
      <c r="Z1890" s="260"/>
      <c r="AA1890" s="260"/>
      <c r="AB1890" s="260"/>
      <c r="AC1890" s="260"/>
      <c r="AD1890" s="260"/>
      <c r="AE1890" s="260"/>
      <c r="AF1890" s="260"/>
      <c r="AG1890" s="258"/>
    </row>
    <row r="1891" spans="13:33" ht="12" hidden="1" customHeight="1">
      <c r="M1891" s="820"/>
      <c r="N1891" s="239"/>
      <c r="O1891" s="225"/>
      <c r="P1891" s="260"/>
      <c r="Q1891" s="258"/>
      <c r="R1891" s="260"/>
      <c r="S1891" s="260"/>
      <c r="T1891" s="260"/>
      <c r="U1891" s="260"/>
      <c r="V1891" s="260"/>
      <c r="W1891" s="260"/>
      <c r="X1891" s="260"/>
      <c r="Y1891" s="260"/>
      <c r="Z1891" s="260"/>
      <c r="AA1891" s="260"/>
      <c r="AB1891" s="260"/>
      <c r="AC1891" s="260"/>
      <c r="AD1891" s="260"/>
      <c r="AE1891" s="260"/>
      <c r="AF1891" s="260"/>
      <c r="AG1891" s="258"/>
    </row>
    <row r="1892" spans="13:33" ht="12" hidden="1" customHeight="1">
      <c r="M1892" s="820"/>
      <c r="N1892" s="239"/>
      <c r="O1892" s="225"/>
      <c r="P1892" s="260"/>
      <c r="Q1892" s="258"/>
      <c r="R1892" s="260"/>
      <c r="S1892" s="260"/>
      <c r="T1892" s="260"/>
      <c r="U1892" s="260"/>
      <c r="V1892" s="260"/>
      <c r="W1892" s="260"/>
      <c r="X1892" s="260"/>
      <c r="Y1892" s="260"/>
      <c r="Z1892" s="260"/>
      <c r="AA1892" s="260"/>
      <c r="AB1892" s="260"/>
      <c r="AC1892" s="260"/>
      <c r="AD1892" s="260"/>
      <c r="AE1892" s="260"/>
      <c r="AF1892" s="260"/>
      <c r="AG1892" s="258"/>
    </row>
    <row r="1893" spans="13:33" ht="12" hidden="1" customHeight="1">
      <c r="M1893" s="820"/>
      <c r="N1893" s="239"/>
      <c r="O1893" s="225"/>
      <c r="P1893" s="260"/>
      <c r="Q1893" s="258"/>
      <c r="R1893" s="260"/>
      <c r="S1893" s="260"/>
      <c r="T1893" s="260"/>
      <c r="U1893" s="260"/>
      <c r="V1893" s="260"/>
      <c r="W1893" s="260"/>
      <c r="X1893" s="260"/>
      <c r="Y1893" s="260"/>
      <c r="Z1893" s="260"/>
      <c r="AA1893" s="260"/>
      <c r="AB1893" s="260"/>
      <c r="AC1893" s="260"/>
      <c r="AD1893" s="260"/>
      <c r="AE1893" s="260"/>
      <c r="AF1893" s="260"/>
      <c r="AG1893" s="258"/>
    </row>
    <row r="1894" spans="13:33" ht="12" hidden="1" customHeight="1">
      <c r="M1894" s="820"/>
      <c r="N1894" s="239"/>
      <c r="O1894" s="225"/>
      <c r="P1894" s="260"/>
      <c r="Q1894" s="258"/>
      <c r="R1894" s="260"/>
      <c r="S1894" s="260"/>
      <c r="T1894" s="260"/>
      <c r="U1894" s="260"/>
      <c r="V1894" s="260"/>
      <c r="W1894" s="260"/>
      <c r="X1894" s="260"/>
      <c r="Y1894" s="260"/>
      <c r="Z1894" s="260"/>
      <c r="AA1894" s="260"/>
      <c r="AB1894" s="260"/>
      <c r="AC1894" s="260"/>
      <c r="AD1894" s="260"/>
      <c r="AE1894" s="260"/>
      <c r="AF1894" s="260"/>
      <c r="AG1894" s="258"/>
    </row>
    <row r="1895" spans="13:33" ht="12" hidden="1" customHeight="1">
      <c r="M1895" s="820"/>
      <c r="N1895" s="239"/>
      <c r="O1895" s="225"/>
      <c r="P1895" s="260"/>
      <c r="Q1895" s="258"/>
      <c r="R1895" s="260"/>
      <c r="S1895" s="260"/>
      <c r="T1895" s="260"/>
      <c r="U1895" s="260"/>
      <c r="V1895" s="260"/>
      <c r="W1895" s="260"/>
      <c r="X1895" s="260"/>
      <c r="Y1895" s="260"/>
      <c r="Z1895" s="260"/>
      <c r="AA1895" s="260"/>
      <c r="AB1895" s="260"/>
      <c r="AC1895" s="260"/>
      <c r="AD1895" s="260"/>
      <c r="AE1895" s="260"/>
      <c r="AF1895" s="260"/>
      <c r="AG1895" s="258"/>
    </row>
    <row r="1896" spans="13:33" ht="12" hidden="1" customHeight="1">
      <c r="M1896" s="820"/>
      <c r="N1896" s="239"/>
      <c r="O1896" s="225"/>
      <c r="P1896" s="260"/>
      <c r="Q1896" s="258"/>
      <c r="R1896" s="260"/>
      <c r="S1896" s="260"/>
      <c r="T1896" s="260"/>
      <c r="U1896" s="260"/>
      <c r="V1896" s="260"/>
      <c r="W1896" s="260"/>
      <c r="X1896" s="260"/>
      <c r="Y1896" s="260"/>
      <c r="Z1896" s="260"/>
      <c r="AA1896" s="260"/>
      <c r="AB1896" s="260"/>
      <c r="AC1896" s="260"/>
      <c r="AD1896" s="260"/>
      <c r="AE1896" s="260"/>
      <c r="AF1896" s="260"/>
      <c r="AG1896" s="258"/>
    </row>
    <row r="1897" spans="13:33" ht="12" hidden="1" customHeight="1">
      <c r="M1897" s="820"/>
      <c r="N1897" s="239"/>
      <c r="O1897" s="225"/>
      <c r="P1897" s="260"/>
      <c r="Q1897" s="258"/>
      <c r="R1897" s="260"/>
      <c r="S1897" s="260"/>
      <c r="T1897" s="260"/>
      <c r="U1897" s="260"/>
      <c r="V1897" s="260"/>
      <c r="W1897" s="260"/>
      <c r="X1897" s="260"/>
      <c r="Y1897" s="260"/>
      <c r="Z1897" s="260"/>
      <c r="AA1897" s="260"/>
      <c r="AB1897" s="260"/>
      <c r="AC1897" s="260"/>
      <c r="AD1897" s="260"/>
      <c r="AE1897" s="260"/>
      <c r="AF1897" s="260"/>
      <c r="AG1897" s="258"/>
    </row>
    <row r="1898" spans="13:33" ht="12" hidden="1" customHeight="1">
      <c r="M1898" s="820"/>
      <c r="N1898" s="239"/>
      <c r="O1898" s="225"/>
      <c r="P1898" s="260"/>
      <c r="Q1898" s="258"/>
      <c r="R1898" s="260"/>
      <c r="S1898" s="260"/>
      <c r="T1898" s="260"/>
      <c r="U1898" s="260"/>
      <c r="V1898" s="260"/>
      <c r="W1898" s="260"/>
      <c r="X1898" s="260"/>
      <c r="Y1898" s="260"/>
      <c r="Z1898" s="260"/>
      <c r="AA1898" s="260"/>
      <c r="AB1898" s="260"/>
      <c r="AC1898" s="260"/>
      <c r="AD1898" s="260"/>
      <c r="AE1898" s="260"/>
      <c r="AF1898" s="260"/>
      <c r="AG1898" s="258"/>
    </row>
    <row r="1899" spans="13:33" ht="12" hidden="1" customHeight="1">
      <c r="M1899" s="820"/>
      <c r="N1899" s="239"/>
      <c r="O1899" s="225"/>
      <c r="P1899" s="260"/>
      <c r="Q1899" s="258"/>
      <c r="R1899" s="260"/>
      <c r="S1899" s="260"/>
      <c r="T1899" s="260"/>
      <c r="U1899" s="260"/>
      <c r="V1899" s="260"/>
      <c r="W1899" s="260"/>
      <c r="X1899" s="260"/>
      <c r="Y1899" s="260"/>
      <c r="Z1899" s="260"/>
      <c r="AA1899" s="260"/>
      <c r="AB1899" s="260"/>
      <c r="AC1899" s="260"/>
      <c r="AD1899" s="260"/>
      <c r="AE1899" s="260"/>
      <c r="AF1899" s="260"/>
      <c r="AG1899" s="258"/>
    </row>
    <row r="1900" spans="13:33" ht="12" hidden="1" customHeight="1">
      <c r="M1900" s="820"/>
      <c r="N1900" s="239"/>
      <c r="O1900" s="225"/>
      <c r="P1900" s="260"/>
      <c r="Q1900" s="258"/>
      <c r="R1900" s="260"/>
      <c r="S1900" s="260"/>
      <c r="T1900" s="260"/>
      <c r="U1900" s="260"/>
      <c r="V1900" s="260"/>
      <c r="W1900" s="260"/>
      <c r="X1900" s="260"/>
      <c r="Y1900" s="260"/>
      <c r="Z1900" s="260"/>
      <c r="AA1900" s="260"/>
      <c r="AB1900" s="260"/>
      <c r="AC1900" s="260"/>
      <c r="AD1900" s="260"/>
      <c r="AE1900" s="260"/>
      <c r="AF1900" s="260"/>
      <c r="AG1900" s="258"/>
    </row>
    <row r="1901" spans="13:33" ht="12" hidden="1" customHeight="1">
      <c r="M1901" s="820"/>
      <c r="N1901" s="239"/>
      <c r="O1901" s="225"/>
      <c r="P1901" s="260"/>
      <c r="Q1901" s="258"/>
      <c r="R1901" s="260"/>
      <c r="S1901" s="260"/>
      <c r="T1901" s="260"/>
      <c r="U1901" s="260"/>
      <c r="V1901" s="260"/>
      <c r="W1901" s="260"/>
      <c r="X1901" s="260"/>
      <c r="Y1901" s="260"/>
      <c r="Z1901" s="260"/>
      <c r="AA1901" s="260"/>
      <c r="AB1901" s="260"/>
      <c r="AC1901" s="260"/>
      <c r="AD1901" s="260"/>
      <c r="AE1901" s="260"/>
      <c r="AF1901" s="260"/>
      <c r="AG1901" s="258"/>
    </row>
    <row r="1902" spans="13:33" ht="12" hidden="1" customHeight="1">
      <c r="M1902" s="820"/>
      <c r="N1902" s="239"/>
      <c r="O1902" s="225"/>
      <c r="P1902" s="260"/>
      <c r="Q1902" s="258"/>
      <c r="R1902" s="260"/>
      <c r="S1902" s="260"/>
      <c r="T1902" s="260"/>
      <c r="U1902" s="260"/>
      <c r="V1902" s="260"/>
      <c r="W1902" s="260"/>
      <c r="X1902" s="260"/>
      <c r="Y1902" s="260"/>
      <c r="Z1902" s="260"/>
      <c r="AA1902" s="260"/>
      <c r="AB1902" s="260"/>
      <c r="AC1902" s="260"/>
      <c r="AD1902" s="260"/>
      <c r="AE1902" s="260"/>
      <c r="AF1902" s="260"/>
      <c r="AG1902" s="258"/>
    </row>
    <row r="1903" spans="13:33" ht="12" hidden="1" customHeight="1">
      <c r="M1903" s="820"/>
      <c r="N1903" s="239"/>
      <c r="O1903" s="225"/>
      <c r="P1903" s="260"/>
      <c r="Q1903" s="258"/>
      <c r="R1903" s="260"/>
      <c r="S1903" s="260"/>
      <c r="T1903" s="260"/>
      <c r="U1903" s="260"/>
      <c r="V1903" s="260"/>
      <c r="W1903" s="260"/>
      <c r="X1903" s="260"/>
      <c r="Y1903" s="260"/>
      <c r="Z1903" s="260"/>
      <c r="AA1903" s="260"/>
      <c r="AB1903" s="260"/>
      <c r="AC1903" s="260"/>
      <c r="AD1903" s="260"/>
      <c r="AE1903" s="260"/>
      <c r="AF1903" s="260"/>
      <c r="AG1903" s="258"/>
    </row>
    <row r="1904" spans="13:33" ht="12" hidden="1" customHeight="1">
      <c r="M1904" s="820"/>
      <c r="N1904" s="239"/>
      <c r="O1904" s="225"/>
      <c r="P1904" s="260"/>
      <c r="Q1904" s="258"/>
      <c r="R1904" s="260"/>
      <c r="S1904" s="260"/>
      <c r="T1904" s="260"/>
      <c r="U1904" s="260"/>
      <c r="V1904" s="260"/>
      <c r="W1904" s="260"/>
      <c r="X1904" s="260"/>
      <c r="Y1904" s="260"/>
      <c r="Z1904" s="260"/>
      <c r="AA1904" s="260"/>
      <c r="AB1904" s="260"/>
      <c r="AC1904" s="260"/>
      <c r="AD1904" s="260"/>
      <c r="AE1904" s="260"/>
      <c r="AF1904" s="260"/>
      <c r="AG1904" s="258"/>
    </row>
    <row r="1905" spans="13:33" ht="12" hidden="1" customHeight="1">
      <c r="M1905" s="820"/>
      <c r="N1905" s="239"/>
      <c r="O1905" s="225"/>
      <c r="P1905" s="260"/>
      <c r="Q1905" s="258"/>
      <c r="R1905" s="260"/>
      <c r="S1905" s="260"/>
      <c r="T1905" s="260"/>
      <c r="U1905" s="260"/>
      <c r="V1905" s="260"/>
      <c r="W1905" s="260"/>
      <c r="X1905" s="260"/>
      <c r="Y1905" s="260"/>
      <c r="Z1905" s="260"/>
      <c r="AA1905" s="260"/>
      <c r="AB1905" s="260"/>
      <c r="AC1905" s="260"/>
      <c r="AD1905" s="260"/>
      <c r="AE1905" s="260"/>
      <c r="AF1905" s="260"/>
      <c r="AG1905" s="258"/>
    </row>
    <row r="1906" spans="13:33" ht="12" hidden="1" customHeight="1">
      <c r="M1906" s="820"/>
      <c r="N1906" s="239"/>
      <c r="O1906" s="225"/>
      <c r="P1906" s="260"/>
      <c r="Q1906" s="258"/>
      <c r="R1906" s="260"/>
      <c r="S1906" s="260"/>
      <c r="T1906" s="260"/>
      <c r="U1906" s="260"/>
      <c r="V1906" s="260"/>
      <c r="W1906" s="260"/>
      <c r="X1906" s="260"/>
      <c r="Y1906" s="260"/>
      <c r="Z1906" s="260"/>
      <c r="AA1906" s="260"/>
      <c r="AB1906" s="260"/>
      <c r="AC1906" s="260"/>
      <c r="AD1906" s="260"/>
      <c r="AE1906" s="260"/>
      <c r="AF1906" s="260"/>
      <c r="AG1906" s="258"/>
    </row>
    <row r="1907" spans="13:33" ht="12" hidden="1" customHeight="1">
      <c r="M1907" s="820"/>
      <c r="N1907" s="239"/>
      <c r="O1907" s="225"/>
      <c r="P1907" s="260"/>
      <c r="Q1907" s="258"/>
      <c r="R1907" s="260"/>
      <c r="S1907" s="260"/>
      <c r="T1907" s="260"/>
      <c r="U1907" s="260"/>
      <c r="V1907" s="260"/>
      <c r="W1907" s="260"/>
      <c r="X1907" s="260"/>
      <c r="Y1907" s="260"/>
      <c r="Z1907" s="260"/>
      <c r="AA1907" s="260"/>
      <c r="AB1907" s="260"/>
      <c r="AC1907" s="260"/>
      <c r="AD1907" s="260"/>
      <c r="AE1907" s="260"/>
      <c r="AF1907" s="260"/>
      <c r="AG1907" s="258"/>
    </row>
    <row r="1908" spans="13:33" ht="12" hidden="1" customHeight="1">
      <c r="M1908" s="820"/>
      <c r="N1908" s="239"/>
      <c r="O1908" s="225"/>
      <c r="P1908" s="260"/>
      <c r="Q1908" s="258"/>
      <c r="R1908" s="260"/>
      <c r="S1908" s="260"/>
      <c r="T1908" s="260"/>
      <c r="U1908" s="260"/>
      <c r="V1908" s="260"/>
      <c r="W1908" s="260"/>
      <c r="X1908" s="260"/>
      <c r="Y1908" s="260"/>
      <c r="Z1908" s="260"/>
      <c r="AA1908" s="260"/>
      <c r="AB1908" s="260"/>
      <c r="AC1908" s="260"/>
      <c r="AD1908" s="260"/>
      <c r="AE1908" s="260"/>
      <c r="AF1908" s="260"/>
      <c r="AG1908" s="258"/>
    </row>
    <row r="1909" spans="13:33" ht="12" hidden="1" customHeight="1">
      <c r="M1909" s="820"/>
      <c r="N1909" s="239"/>
      <c r="O1909" s="225"/>
      <c r="P1909" s="260"/>
      <c r="Q1909" s="258"/>
      <c r="R1909" s="260"/>
      <c r="S1909" s="260"/>
      <c r="T1909" s="260"/>
      <c r="U1909" s="260"/>
      <c r="V1909" s="260"/>
      <c r="W1909" s="260"/>
      <c r="X1909" s="260"/>
      <c r="Y1909" s="260"/>
      <c r="Z1909" s="260"/>
      <c r="AA1909" s="260"/>
      <c r="AB1909" s="260"/>
      <c r="AC1909" s="260"/>
      <c r="AD1909" s="260"/>
      <c r="AE1909" s="260"/>
      <c r="AF1909" s="260"/>
      <c r="AG1909" s="258"/>
    </row>
    <row r="1910" spans="13:33" ht="12" hidden="1" customHeight="1">
      <c r="M1910" s="820"/>
      <c r="N1910" s="239"/>
      <c r="O1910" s="225"/>
      <c r="P1910" s="260"/>
      <c r="Q1910" s="258"/>
      <c r="R1910" s="260"/>
      <c r="S1910" s="260"/>
      <c r="T1910" s="260"/>
      <c r="U1910" s="260"/>
      <c r="V1910" s="260"/>
      <c r="W1910" s="260"/>
      <c r="X1910" s="260"/>
      <c r="Y1910" s="260"/>
      <c r="Z1910" s="260"/>
      <c r="AA1910" s="260"/>
      <c r="AB1910" s="260"/>
      <c r="AC1910" s="260"/>
      <c r="AD1910" s="260"/>
      <c r="AE1910" s="260"/>
      <c r="AF1910" s="260"/>
      <c r="AG1910" s="258"/>
    </row>
    <row r="1911" spans="13:33" ht="12" hidden="1" customHeight="1">
      <c r="M1911" s="820"/>
      <c r="N1911" s="239"/>
      <c r="O1911" s="225"/>
      <c r="P1911" s="260"/>
      <c r="Q1911" s="258"/>
      <c r="R1911" s="260"/>
      <c r="S1911" s="260"/>
      <c r="T1911" s="260"/>
      <c r="U1911" s="260"/>
      <c r="V1911" s="260"/>
      <c r="W1911" s="260"/>
      <c r="X1911" s="260"/>
      <c r="Y1911" s="260"/>
      <c r="Z1911" s="260"/>
      <c r="AA1911" s="260"/>
      <c r="AB1911" s="260"/>
      <c r="AC1911" s="260"/>
      <c r="AD1911" s="260"/>
      <c r="AE1911" s="260"/>
      <c r="AF1911" s="260"/>
      <c r="AG1911" s="258"/>
    </row>
    <row r="1912" spans="13:33" ht="12" hidden="1" customHeight="1">
      <c r="M1912" s="820"/>
      <c r="N1912" s="239"/>
      <c r="O1912" s="225"/>
      <c r="P1912" s="260"/>
      <c r="Q1912" s="258"/>
      <c r="R1912" s="260"/>
      <c r="S1912" s="260"/>
      <c r="T1912" s="260"/>
      <c r="U1912" s="260"/>
      <c r="V1912" s="260"/>
      <c r="W1912" s="260"/>
      <c r="X1912" s="260"/>
      <c r="Y1912" s="260"/>
      <c r="Z1912" s="260"/>
      <c r="AA1912" s="260"/>
      <c r="AB1912" s="260"/>
      <c r="AC1912" s="260"/>
      <c r="AD1912" s="260"/>
      <c r="AE1912" s="260"/>
      <c r="AF1912" s="260"/>
      <c r="AG1912" s="258"/>
    </row>
    <row r="1913" spans="13:33" ht="12" hidden="1" customHeight="1">
      <c r="M1913" s="820"/>
      <c r="N1913" s="239"/>
      <c r="O1913" s="225"/>
      <c r="P1913" s="260"/>
      <c r="Q1913" s="258"/>
      <c r="R1913" s="260"/>
      <c r="S1913" s="260"/>
      <c r="T1913" s="260"/>
      <c r="U1913" s="260"/>
      <c r="V1913" s="260"/>
      <c r="W1913" s="260"/>
      <c r="X1913" s="260"/>
      <c r="Y1913" s="260"/>
      <c r="Z1913" s="260"/>
      <c r="AA1913" s="260"/>
      <c r="AB1913" s="260"/>
      <c r="AC1913" s="260"/>
      <c r="AD1913" s="260"/>
      <c r="AE1913" s="260"/>
      <c r="AF1913" s="260"/>
      <c r="AG1913" s="258"/>
    </row>
    <row r="1914" spans="13:33" ht="12" hidden="1" customHeight="1">
      <c r="M1914" s="820"/>
      <c r="N1914" s="239"/>
      <c r="O1914" s="225"/>
      <c r="P1914" s="260"/>
      <c r="Q1914" s="258"/>
      <c r="R1914" s="260"/>
      <c r="S1914" s="260"/>
      <c r="T1914" s="260"/>
      <c r="U1914" s="260"/>
      <c r="V1914" s="260"/>
      <c r="W1914" s="260"/>
      <c r="X1914" s="260"/>
      <c r="Y1914" s="260"/>
      <c r="Z1914" s="260"/>
      <c r="AA1914" s="260"/>
      <c r="AB1914" s="260"/>
      <c r="AC1914" s="260"/>
      <c r="AD1914" s="260"/>
      <c r="AE1914" s="260"/>
      <c r="AF1914" s="260"/>
      <c r="AG1914" s="258"/>
    </row>
    <row r="1915" spans="13:33" ht="12" hidden="1" customHeight="1">
      <c r="M1915" s="820"/>
      <c r="N1915" s="239"/>
      <c r="O1915" s="225"/>
      <c r="P1915" s="260"/>
      <c r="Q1915" s="258"/>
      <c r="R1915" s="260"/>
      <c r="S1915" s="260"/>
      <c r="T1915" s="260"/>
      <c r="U1915" s="260"/>
      <c r="V1915" s="260"/>
      <c r="W1915" s="260"/>
      <c r="X1915" s="260"/>
      <c r="Y1915" s="260"/>
      <c r="Z1915" s="260"/>
      <c r="AA1915" s="260"/>
      <c r="AB1915" s="260"/>
      <c r="AC1915" s="260"/>
      <c r="AD1915" s="260"/>
      <c r="AE1915" s="260"/>
      <c r="AF1915" s="260"/>
      <c r="AG1915" s="258"/>
    </row>
    <row r="1916" spans="13:33" ht="12" hidden="1" customHeight="1">
      <c r="M1916" s="820"/>
      <c r="N1916" s="239"/>
      <c r="O1916" s="225"/>
      <c r="P1916" s="260"/>
      <c r="Q1916" s="258"/>
      <c r="R1916" s="260"/>
      <c r="S1916" s="260"/>
      <c r="T1916" s="260"/>
      <c r="U1916" s="260"/>
      <c r="V1916" s="260"/>
      <c r="W1916" s="260"/>
      <c r="X1916" s="260"/>
      <c r="Y1916" s="260"/>
      <c r="Z1916" s="260"/>
      <c r="AA1916" s="260"/>
      <c r="AB1916" s="260"/>
      <c r="AC1916" s="260"/>
      <c r="AD1916" s="260"/>
      <c r="AE1916" s="260"/>
      <c r="AF1916" s="260"/>
      <c r="AG1916" s="258"/>
    </row>
    <row r="1917" spans="13:33" ht="12" hidden="1" customHeight="1">
      <c r="M1917" s="820"/>
      <c r="N1917" s="239"/>
      <c r="O1917" s="225"/>
      <c r="P1917" s="260"/>
      <c r="Q1917" s="258"/>
      <c r="R1917" s="260"/>
      <c r="S1917" s="260"/>
      <c r="T1917" s="260"/>
      <c r="U1917" s="260"/>
      <c r="V1917" s="260"/>
      <c r="W1917" s="260"/>
      <c r="X1917" s="260"/>
      <c r="Y1917" s="260"/>
      <c r="Z1917" s="260"/>
      <c r="AA1917" s="260"/>
      <c r="AB1917" s="260"/>
      <c r="AC1917" s="260"/>
      <c r="AD1917" s="260"/>
      <c r="AE1917" s="260"/>
      <c r="AF1917" s="260"/>
      <c r="AG1917" s="258"/>
    </row>
    <row r="1918" spans="13:33" ht="12" hidden="1" customHeight="1">
      <c r="M1918" s="820"/>
      <c r="N1918" s="239"/>
      <c r="O1918" s="225"/>
      <c r="P1918" s="260"/>
      <c r="Q1918" s="258"/>
      <c r="R1918" s="260"/>
      <c r="S1918" s="260"/>
      <c r="T1918" s="260"/>
      <c r="U1918" s="260"/>
      <c r="V1918" s="260"/>
      <c r="W1918" s="260"/>
      <c r="X1918" s="260"/>
      <c r="Y1918" s="260"/>
      <c r="Z1918" s="260"/>
      <c r="AA1918" s="260"/>
      <c r="AB1918" s="260"/>
      <c r="AC1918" s="260"/>
      <c r="AD1918" s="260"/>
      <c r="AE1918" s="260"/>
      <c r="AF1918" s="260"/>
      <c r="AG1918" s="258"/>
    </row>
    <row r="1919" spans="13:33" ht="12" hidden="1" customHeight="1">
      <c r="M1919" s="820"/>
      <c r="N1919" s="239"/>
      <c r="O1919" s="225"/>
      <c r="P1919" s="260"/>
      <c r="Q1919" s="258"/>
      <c r="R1919" s="260"/>
      <c r="S1919" s="260"/>
      <c r="T1919" s="260"/>
      <c r="U1919" s="260"/>
      <c r="V1919" s="260"/>
      <c r="W1919" s="260"/>
      <c r="X1919" s="260"/>
      <c r="Y1919" s="260"/>
      <c r="Z1919" s="260"/>
      <c r="AA1919" s="260"/>
      <c r="AB1919" s="260"/>
      <c r="AC1919" s="260"/>
      <c r="AD1919" s="260"/>
      <c r="AE1919" s="260"/>
      <c r="AF1919" s="260"/>
      <c r="AG1919" s="258"/>
    </row>
    <row r="1920" spans="13:33" ht="12" hidden="1" customHeight="1">
      <c r="M1920" s="820"/>
      <c r="N1920" s="239"/>
      <c r="O1920" s="225"/>
      <c r="P1920" s="260"/>
      <c r="Q1920" s="258"/>
      <c r="R1920" s="260"/>
      <c r="S1920" s="260"/>
      <c r="T1920" s="260"/>
      <c r="U1920" s="260"/>
      <c r="V1920" s="260"/>
      <c r="W1920" s="260"/>
      <c r="X1920" s="260"/>
      <c r="Y1920" s="260"/>
      <c r="Z1920" s="260"/>
      <c r="AA1920" s="260"/>
      <c r="AB1920" s="260"/>
      <c r="AC1920" s="260"/>
      <c r="AD1920" s="260"/>
      <c r="AE1920" s="260"/>
      <c r="AF1920" s="260"/>
      <c r="AG1920" s="258"/>
    </row>
    <row r="1921" spans="13:33" ht="12" hidden="1" customHeight="1">
      <c r="M1921" s="820"/>
      <c r="N1921" s="239"/>
      <c r="O1921" s="225"/>
      <c r="P1921" s="260"/>
      <c r="Q1921" s="258"/>
      <c r="R1921" s="260"/>
      <c r="S1921" s="260"/>
      <c r="T1921" s="260"/>
      <c r="U1921" s="260"/>
      <c r="V1921" s="260"/>
      <c r="W1921" s="260"/>
      <c r="X1921" s="260"/>
      <c r="Y1921" s="260"/>
      <c r="Z1921" s="260"/>
      <c r="AA1921" s="260"/>
      <c r="AB1921" s="260"/>
      <c r="AC1921" s="260"/>
      <c r="AD1921" s="260"/>
      <c r="AE1921" s="260"/>
      <c r="AF1921" s="260"/>
      <c r="AG1921" s="258"/>
    </row>
    <row r="1922" spans="13:33" ht="12" hidden="1" customHeight="1">
      <c r="M1922" s="820"/>
      <c r="N1922" s="239"/>
      <c r="O1922" s="225"/>
      <c r="P1922" s="260"/>
      <c r="Q1922" s="258"/>
      <c r="R1922" s="260"/>
      <c r="S1922" s="260"/>
      <c r="T1922" s="260"/>
      <c r="U1922" s="260"/>
      <c r="V1922" s="260"/>
      <c r="W1922" s="260"/>
      <c r="X1922" s="260"/>
      <c r="Y1922" s="260"/>
      <c r="Z1922" s="260"/>
      <c r="AA1922" s="260"/>
      <c r="AB1922" s="260"/>
      <c r="AC1922" s="260"/>
      <c r="AD1922" s="260"/>
      <c r="AE1922" s="260"/>
      <c r="AF1922" s="260"/>
      <c r="AG1922" s="258"/>
    </row>
    <row r="1923" spans="13:33" ht="12" hidden="1" customHeight="1">
      <c r="M1923" s="820"/>
      <c r="N1923" s="239"/>
      <c r="O1923" s="225"/>
      <c r="P1923" s="260"/>
      <c r="Q1923" s="258"/>
      <c r="R1923" s="260"/>
      <c r="S1923" s="260"/>
      <c r="T1923" s="260"/>
      <c r="U1923" s="260"/>
      <c r="V1923" s="260"/>
      <c r="W1923" s="260"/>
      <c r="X1923" s="260"/>
      <c r="Y1923" s="260"/>
      <c r="Z1923" s="260"/>
      <c r="AA1923" s="260"/>
      <c r="AB1923" s="260"/>
      <c r="AC1923" s="260"/>
      <c r="AD1923" s="260"/>
      <c r="AE1923" s="260"/>
      <c r="AF1923" s="260"/>
      <c r="AG1923" s="258"/>
    </row>
    <row r="1924" spans="13:33" ht="12" hidden="1" customHeight="1">
      <c r="M1924" s="820"/>
      <c r="N1924" s="239"/>
      <c r="O1924" s="225"/>
      <c r="P1924" s="260"/>
      <c r="Q1924" s="258"/>
      <c r="R1924" s="260"/>
      <c r="S1924" s="260"/>
      <c r="T1924" s="260"/>
      <c r="U1924" s="260"/>
      <c r="V1924" s="260"/>
      <c r="W1924" s="260"/>
      <c r="X1924" s="260"/>
      <c r="Y1924" s="260"/>
      <c r="Z1924" s="260"/>
      <c r="AA1924" s="260"/>
      <c r="AB1924" s="260"/>
      <c r="AC1924" s="260"/>
      <c r="AD1924" s="260"/>
      <c r="AE1924" s="260"/>
      <c r="AF1924" s="260"/>
      <c r="AG1924" s="258"/>
    </row>
    <row r="1925" spans="13:33" ht="12" hidden="1" customHeight="1">
      <c r="M1925" s="820"/>
      <c r="N1925" s="239"/>
      <c r="O1925" s="225"/>
      <c r="P1925" s="260"/>
      <c r="Q1925" s="258"/>
      <c r="R1925" s="260"/>
      <c r="S1925" s="260"/>
      <c r="T1925" s="260"/>
      <c r="U1925" s="260"/>
      <c r="V1925" s="260"/>
      <c r="W1925" s="260"/>
      <c r="X1925" s="260"/>
      <c r="Y1925" s="260"/>
      <c r="Z1925" s="260"/>
      <c r="AA1925" s="260"/>
      <c r="AB1925" s="260"/>
      <c r="AC1925" s="260"/>
      <c r="AD1925" s="260"/>
      <c r="AE1925" s="260"/>
      <c r="AF1925" s="260"/>
      <c r="AG1925" s="258"/>
    </row>
    <row r="1926" spans="13:33" ht="12" hidden="1" customHeight="1">
      <c r="M1926" s="820"/>
      <c r="N1926" s="239"/>
      <c r="O1926" s="225"/>
      <c r="P1926" s="260"/>
      <c r="Q1926" s="258"/>
      <c r="R1926" s="260"/>
      <c r="S1926" s="260"/>
      <c r="T1926" s="260"/>
      <c r="U1926" s="260"/>
      <c r="V1926" s="260"/>
      <c r="W1926" s="260"/>
      <c r="X1926" s="260"/>
      <c r="Y1926" s="260"/>
      <c r="Z1926" s="260"/>
      <c r="AA1926" s="260"/>
      <c r="AB1926" s="260"/>
      <c r="AC1926" s="260"/>
      <c r="AD1926" s="260"/>
      <c r="AE1926" s="260"/>
      <c r="AF1926" s="260"/>
      <c r="AG1926" s="258"/>
    </row>
    <row r="1927" spans="13:33" ht="12" hidden="1" customHeight="1">
      <c r="M1927" s="820"/>
      <c r="N1927" s="239"/>
      <c r="O1927" s="225"/>
      <c r="P1927" s="260"/>
      <c r="Q1927" s="258"/>
      <c r="R1927" s="260"/>
      <c r="S1927" s="260"/>
      <c r="T1927" s="260"/>
      <c r="U1927" s="260"/>
      <c r="V1927" s="260"/>
      <c r="W1927" s="260"/>
      <c r="X1927" s="260"/>
      <c r="Y1927" s="260"/>
      <c r="Z1927" s="260"/>
      <c r="AA1927" s="260"/>
      <c r="AB1927" s="260"/>
      <c r="AC1927" s="260"/>
      <c r="AD1927" s="260"/>
      <c r="AE1927" s="260"/>
      <c r="AF1927" s="260"/>
      <c r="AG1927" s="258"/>
    </row>
    <row r="1928" spans="13:33" ht="12" hidden="1" customHeight="1">
      <c r="M1928" s="820"/>
      <c r="N1928" s="239"/>
      <c r="O1928" s="225"/>
      <c r="P1928" s="260"/>
      <c r="Q1928" s="258"/>
      <c r="R1928" s="260"/>
      <c r="S1928" s="260"/>
      <c r="T1928" s="260"/>
      <c r="U1928" s="260"/>
      <c r="V1928" s="260"/>
      <c r="W1928" s="260"/>
      <c r="X1928" s="260"/>
      <c r="Y1928" s="260"/>
      <c r="Z1928" s="260"/>
      <c r="AA1928" s="260"/>
      <c r="AB1928" s="260"/>
      <c r="AC1928" s="260"/>
      <c r="AD1928" s="260"/>
      <c r="AE1928" s="260"/>
      <c r="AF1928" s="260"/>
      <c r="AG1928" s="258"/>
    </row>
    <row r="1929" spans="13:33" ht="12" hidden="1" customHeight="1">
      <c r="M1929" s="820"/>
      <c r="N1929" s="239"/>
      <c r="O1929" s="225"/>
      <c r="P1929" s="260"/>
      <c r="Q1929" s="258"/>
      <c r="R1929" s="260"/>
      <c r="S1929" s="260"/>
      <c r="T1929" s="260"/>
      <c r="U1929" s="260"/>
      <c r="V1929" s="260"/>
      <c r="W1929" s="260"/>
      <c r="X1929" s="260"/>
      <c r="Y1929" s="260"/>
      <c r="Z1929" s="260"/>
      <c r="AA1929" s="260"/>
      <c r="AB1929" s="260"/>
      <c r="AC1929" s="260"/>
      <c r="AD1929" s="260"/>
      <c r="AE1929" s="260"/>
      <c r="AF1929" s="260"/>
      <c r="AG1929" s="258"/>
    </row>
    <row r="1930" spans="13:33" ht="12" hidden="1" customHeight="1">
      <c r="M1930" s="820"/>
      <c r="N1930" s="239"/>
      <c r="O1930" s="225"/>
      <c r="P1930" s="260"/>
      <c r="Q1930" s="258"/>
      <c r="R1930" s="260"/>
      <c r="S1930" s="260"/>
      <c r="T1930" s="260"/>
      <c r="U1930" s="260"/>
      <c r="V1930" s="260"/>
      <c r="W1930" s="260"/>
      <c r="X1930" s="260"/>
      <c r="Y1930" s="260"/>
      <c r="Z1930" s="260"/>
      <c r="AA1930" s="260"/>
      <c r="AB1930" s="260"/>
      <c r="AC1930" s="260"/>
      <c r="AD1930" s="260"/>
      <c r="AE1930" s="260"/>
      <c r="AF1930" s="260"/>
      <c r="AG1930" s="258"/>
    </row>
    <row r="1931" spans="13:33" ht="12" hidden="1" customHeight="1">
      <c r="M1931" s="820"/>
      <c r="N1931" s="239"/>
      <c r="O1931" s="225"/>
      <c r="P1931" s="260"/>
      <c r="Q1931" s="258"/>
      <c r="R1931" s="260"/>
      <c r="S1931" s="260"/>
      <c r="T1931" s="260"/>
      <c r="U1931" s="260"/>
      <c r="V1931" s="260"/>
      <c r="W1931" s="260"/>
      <c r="X1931" s="260"/>
      <c r="Y1931" s="260"/>
      <c r="Z1931" s="260"/>
      <c r="AA1931" s="260"/>
      <c r="AB1931" s="260"/>
      <c r="AC1931" s="260"/>
      <c r="AD1931" s="260"/>
      <c r="AE1931" s="260"/>
      <c r="AF1931" s="260"/>
      <c r="AG1931" s="258"/>
    </row>
    <row r="1932" spans="13:33" ht="12" hidden="1" customHeight="1">
      <c r="M1932" s="820"/>
      <c r="N1932" s="239"/>
      <c r="O1932" s="225"/>
      <c r="P1932" s="260"/>
      <c r="Q1932" s="258"/>
      <c r="R1932" s="260"/>
      <c r="S1932" s="260"/>
      <c r="T1932" s="260"/>
      <c r="U1932" s="260"/>
      <c r="V1932" s="260"/>
      <c r="W1932" s="260"/>
      <c r="X1932" s="260"/>
      <c r="Y1932" s="260"/>
      <c r="Z1932" s="260"/>
      <c r="AA1932" s="260"/>
      <c r="AB1932" s="260"/>
      <c r="AC1932" s="260"/>
      <c r="AD1932" s="260"/>
      <c r="AE1932" s="260"/>
      <c r="AF1932" s="260"/>
      <c r="AG1932" s="258"/>
    </row>
    <row r="1933" spans="13:33" ht="12" hidden="1" customHeight="1">
      <c r="M1933" s="820"/>
      <c r="N1933" s="239"/>
      <c r="O1933" s="225"/>
      <c r="P1933" s="260"/>
      <c r="Q1933" s="258"/>
      <c r="R1933" s="260"/>
      <c r="S1933" s="260"/>
      <c r="T1933" s="260"/>
      <c r="U1933" s="260"/>
      <c r="V1933" s="260"/>
      <c r="W1933" s="260"/>
      <c r="X1933" s="260"/>
      <c r="Y1933" s="260"/>
      <c r="Z1933" s="260"/>
      <c r="AA1933" s="260"/>
      <c r="AB1933" s="260"/>
      <c r="AC1933" s="260"/>
      <c r="AD1933" s="260"/>
      <c r="AE1933" s="260"/>
      <c r="AF1933" s="260"/>
      <c r="AG1933" s="258"/>
    </row>
    <row r="1934" spans="13:33" ht="12" hidden="1" customHeight="1">
      <c r="M1934" s="820"/>
      <c r="N1934" s="239"/>
      <c r="O1934" s="225"/>
      <c r="P1934" s="260"/>
      <c r="Q1934" s="258"/>
      <c r="R1934" s="260"/>
      <c r="S1934" s="260"/>
      <c r="T1934" s="260"/>
      <c r="U1934" s="260"/>
      <c r="V1934" s="260"/>
      <c r="W1934" s="260"/>
      <c r="X1934" s="260"/>
      <c r="Y1934" s="260"/>
      <c r="Z1934" s="260"/>
      <c r="AA1934" s="260"/>
      <c r="AB1934" s="260"/>
      <c r="AC1934" s="260"/>
      <c r="AD1934" s="260"/>
      <c r="AE1934" s="260"/>
      <c r="AF1934" s="260"/>
      <c r="AG1934" s="258"/>
    </row>
    <row r="1935" spans="13:33" ht="12" hidden="1" customHeight="1">
      <c r="M1935" s="820"/>
      <c r="N1935" s="239"/>
      <c r="O1935" s="225"/>
      <c r="P1935" s="260"/>
      <c r="Q1935" s="258"/>
      <c r="R1935" s="260"/>
      <c r="S1935" s="260"/>
      <c r="T1935" s="260"/>
      <c r="U1935" s="260"/>
      <c r="V1935" s="260"/>
      <c r="W1935" s="260"/>
      <c r="X1935" s="260"/>
      <c r="Y1935" s="260"/>
      <c r="Z1935" s="260"/>
      <c r="AA1935" s="260"/>
      <c r="AB1935" s="260"/>
      <c r="AC1935" s="260"/>
      <c r="AD1935" s="260"/>
      <c r="AE1935" s="260"/>
      <c r="AF1935" s="260"/>
      <c r="AG1935" s="258"/>
    </row>
    <row r="1936" spans="13:33" ht="12" hidden="1" customHeight="1">
      <c r="M1936" s="820"/>
      <c r="N1936" s="239"/>
      <c r="O1936" s="225"/>
      <c r="P1936" s="260"/>
      <c r="Q1936" s="258"/>
      <c r="R1936" s="260"/>
      <c r="S1936" s="260"/>
      <c r="T1936" s="260"/>
      <c r="U1936" s="260"/>
      <c r="V1936" s="260"/>
      <c r="W1936" s="260"/>
      <c r="X1936" s="260"/>
      <c r="Y1936" s="260"/>
      <c r="Z1936" s="260"/>
      <c r="AA1936" s="260"/>
      <c r="AB1936" s="260"/>
      <c r="AC1936" s="260"/>
      <c r="AD1936" s="260"/>
      <c r="AE1936" s="260"/>
      <c r="AF1936" s="260"/>
      <c r="AG1936" s="258"/>
    </row>
    <row r="1937" spans="13:33" ht="12" hidden="1" customHeight="1">
      <c r="M1937" s="820"/>
      <c r="N1937" s="239"/>
      <c r="O1937" s="225"/>
      <c r="P1937" s="260"/>
      <c r="Q1937" s="258"/>
      <c r="R1937" s="260"/>
      <c r="S1937" s="260"/>
      <c r="T1937" s="260"/>
      <c r="U1937" s="260"/>
      <c r="V1937" s="260"/>
      <c r="W1937" s="260"/>
      <c r="X1937" s="260"/>
      <c r="Y1937" s="260"/>
      <c r="Z1937" s="260"/>
      <c r="AA1937" s="260"/>
      <c r="AB1937" s="260"/>
      <c r="AC1937" s="260"/>
      <c r="AD1937" s="260"/>
      <c r="AE1937" s="260"/>
      <c r="AF1937" s="260"/>
      <c r="AG1937" s="258"/>
    </row>
    <row r="1938" spans="13:33" ht="12" hidden="1" customHeight="1">
      <c r="M1938" s="820"/>
      <c r="N1938" s="239"/>
      <c r="O1938" s="225"/>
      <c r="P1938" s="260"/>
      <c r="Q1938" s="258"/>
      <c r="R1938" s="260"/>
      <c r="S1938" s="260"/>
      <c r="T1938" s="260"/>
      <c r="U1938" s="260"/>
      <c r="V1938" s="260"/>
      <c r="W1938" s="260"/>
      <c r="X1938" s="260"/>
      <c r="Y1938" s="260"/>
      <c r="Z1938" s="260"/>
      <c r="AA1938" s="260"/>
      <c r="AB1938" s="260"/>
      <c r="AC1938" s="260"/>
      <c r="AD1938" s="260"/>
      <c r="AE1938" s="260"/>
      <c r="AF1938" s="260"/>
      <c r="AG1938" s="258"/>
    </row>
    <row r="1939" spans="13:33" ht="12" hidden="1" customHeight="1">
      <c r="M1939" s="820"/>
      <c r="N1939" s="239"/>
      <c r="O1939" s="225"/>
      <c r="P1939" s="260"/>
      <c r="Q1939" s="258"/>
      <c r="R1939" s="260"/>
      <c r="S1939" s="260"/>
      <c r="T1939" s="260"/>
      <c r="U1939" s="260"/>
      <c r="V1939" s="260"/>
      <c r="W1939" s="260"/>
      <c r="X1939" s="260"/>
      <c r="Y1939" s="260"/>
      <c r="Z1939" s="260"/>
      <c r="AA1939" s="260"/>
      <c r="AB1939" s="260"/>
      <c r="AC1939" s="260"/>
      <c r="AD1939" s="260"/>
      <c r="AE1939" s="260"/>
      <c r="AF1939" s="260"/>
      <c r="AG1939" s="258"/>
    </row>
    <row r="1940" spans="13:33" ht="12" hidden="1" customHeight="1">
      <c r="M1940" s="820"/>
      <c r="N1940" s="239"/>
      <c r="O1940" s="225"/>
      <c r="P1940" s="260"/>
      <c r="Q1940" s="258"/>
      <c r="R1940" s="260"/>
      <c r="S1940" s="260"/>
      <c r="T1940" s="260"/>
      <c r="U1940" s="260"/>
      <c r="V1940" s="260"/>
      <c r="W1940" s="260"/>
      <c r="X1940" s="260"/>
      <c r="Y1940" s="260"/>
      <c r="Z1940" s="260"/>
      <c r="AA1940" s="260"/>
      <c r="AB1940" s="260"/>
      <c r="AC1940" s="260"/>
      <c r="AD1940" s="260"/>
      <c r="AE1940" s="260"/>
      <c r="AF1940" s="260"/>
      <c r="AG1940" s="258"/>
    </row>
    <row r="1941" spans="13:33" ht="12" hidden="1" customHeight="1">
      <c r="M1941" s="820"/>
      <c r="N1941" s="239"/>
      <c r="O1941" s="225"/>
      <c r="P1941" s="260"/>
      <c r="Q1941" s="258"/>
      <c r="R1941" s="260"/>
      <c r="S1941" s="260"/>
      <c r="T1941" s="260"/>
      <c r="U1941" s="260"/>
      <c r="V1941" s="260"/>
      <c r="W1941" s="260"/>
      <c r="X1941" s="260"/>
      <c r="Y1941" s="260"/>
      <c r="Z1941" s="260"/>
      <c r="AA1941" s="260"/>
      <c r="AB1941" s="260"/>
      <c r="AC1941" s="260"/>
      <c r="AD1941" s="260"/>
      <c r="AE1941" s="260"/>
      <c r="AF1941" s="260"/>
      <c r="AG1941" s="258"/>
    </row>
    <row r="1942" spans="13:33" ht="12" hidden="1" customHeight="1">
      <c r="M1942" s="820"/>
      <c r="N1942" s="239"/>
      <c r="O1942" s="225"/>
      <c r="P1942" s="260"/>
      <c r="Q1942" s="258"/>
      <c r="R1942" s="260"/>
      <c r="S1942" s="260"/>
      <c r="T1942" s="260"/>
      <c r="U1942" s="260"/>
      <c r="V1942" s="260"/>
      <c r="W1942" s="260"/>
      <c r="X1942" s="260"/>
      <c r="Y1942" s="260"/>
      <c r="Z1942" s="260"/>
      <c r="AA1942" s="260"/>
      <c r="AB1942" s="260"/>
      <c r="AC1942" s="260"/>
      <c r="AD1942" s="260"/>
      <c r="AE1942" s="260"/>
      <c r="AF1942" s="260"/>
      <c r="AG1942" s="258"/>
    </row>
    <row r="1943" spans="13:33" ht="12" hidden="1" customHeight="1">
      <c r="M1943" s="820"/>
      <c r="N1943" s="239"/>
      <c r="O1943" s="225"/>
      <c r="P1943" s="260"/>
      <c r="Q1943" s="258"/>
      <c r="R1943" s="260"/>
      <c r="S1943" s="260"/>
      <c r="T1943" s="260"/>
      <c r="U1943" s="260"/>
      <c r="V1943" s="260"/>
      <c r="W1943" s="260"/>
      <c r="X1943" s="260"/>
      <c r="Y1943" s="260"/>
      <c r="Z1943" s="260"/>
      <c r="AA1943" s="260"/>
      <c r="AB1943" s="260"/>
      <c r="AC1943" s="260"/>
      <c r="AD1943" s="260"/>
      <c r="AE1943" s="260"/>
      <c r="AF1943" s="260"/>
      <c r="AG1943" s="258"/>
    </row>
    <row r="1944" spans="13:33" ht="12" hidden="1" customHeight="1">
      <c r="M1944" s="820"/>
      <c r="N1944" s="239"/>
      <c r="O1944" s="225"/>
      <c r="P1944" s="260"/>
      <c r="Q1944" s="258"/>
      <c r="R1944" s="260"/>
      <c r="S1944" s="260"/>
      <c r="T1944" s="260"/>
      <c r="U1944" s="260"/>
      <c r="V1944" s="260"/>
      <c r="W1944" s="260"/>
      <c r="X1944" s="260"/>
      <c r="Y1944" s="260"/>
      <c r="Z1944" s="260"/>
      <c r="AA1944" s="260"/>
      <c r="AB1944" s="260"/>
      <c r="AC1944" s="260"/>
      <c r="AD1944" s="260"/>
      <c r="AE1944" s="260"/>
      <c r="AF1944" s="260"/>
      <c r="AG1944" s="258"/>
    </row>
    <row r="1945" spans="13:33" ht="12" hidden="1" customHeight="1">
      <c r="M1945" s="820"/>
      <c r="N1945" s="239"/>
      <c r="O1945" s="225"/>
      <c r="P1945" s="260"/>
      <c r="Q1945" s="258"/>
      <c r="R1945" s="260"/>
      <c r="S1945" s="260"/>
      <c r="T1945" s="260"/>
      <c r="U1945" s="260"/>
      <c r="V1945" s="260"/>
      <c r="W1945" s="260"/>
      <c r="X1945" s="260"/>
      <c r="Y1945" s="260"/>
      <c r="Z1945" s="260"/>
      <c r="AA1945" s="260"/>
      <c r="AB1945" s="260"/>
      <c r="AC1945" s="260"/>
      <c r="AD1945" s="260"/>
      <c r="AE1945" s="260"/>
      <c r="AF1945" s="260"/>
      <c r="AG1945" s="258"/>
    </row>
    <row r="1946" spans="13:33" ht="12" hidden="1" customHeight="1">
      <c r="M1946" s="820"/>
      <c r="N1946" s="239"/>
      <c r="O1946" s="225"/>
      <c r="P1946" s="260"/>
      <c r="Q1946" s="258"/>
      <c r="R1946" s="260"/>
      <c r="S1946" s="260"/>
      <c r="T1946" s="260"/>
      <c r="U1946" s="260"/>
      <c r="V1946" s="260"/>
      <c r="W1946" s="260"/>
      <c r="X1946" s="260"/>
      <c r="Y1946" s="260"/>
      <c r="Z1946" s="260"/>
      <c r="AA1946" s="260"/>
      <c r="AB1946" s="260"/>
      <c r="AC1946" s="260"/>
      <c r="AD1946" s="260"/>
      <c r="AE1946" s="260"/>
      <c r="AF1946" s="260"/>
      <c r="AG1946" s="258"/>
    </row>
    <row r="1947" spans="13:33" ht="12" hidden="1" customHeight="1">
      <c r="M1947" s="820"/>
      <c r="N1947" s="239"/>
      <c r="O1947" s="225"/>
      <c r="P1947" s="260"/>
      <c r="Q1947" s="258"/>
      <c r="R1947" s="260"/>
      <c r="S1947" s="260"/>
      <c r="T1947" s="260"/>
      <c r="U1947" s="260"/>
      <c r="V1947" s="260"/>
      <c r="W1947" s="260"/>
      <c r="X1947" s="260"/>
      <c r="Y1947" s="260"/>
      <c r="Z1947" s="260"/>
      <c r="AA1947" s="260"/>
      <c r="AB1947" s="260"/>
      <c r="AC1947" s="260"/>
      <c r="AD1947" s="260"/>
      <c r="AE1947" s="260"/>
      <c r="AF1947" s="260"/>
      <c r="AG1947" s="258"/>
    </row>
    <row r="1948" spans="13:33" ht="12" hidden="1" customHeight="1">
      <c r="M1948" s="820"/>
      <c r="N1948" s="239"/>
      <c r="O1948" s="225"/>
      <c r="P1948" s="260"/>
      <c r="Q1948" s="258"/>
      <c r="R1948" s="260"/>
      <c r="S1948" s="260"/>
      <c r="T1948" s="260"/>
      <c r="U1948" s="260"/>
      <c r="V1948" s="260"/>
      <c r="W1948" s="260"/>
      <c r="X1948" s="260"/>
      <c r="Y1948" s="260"/>
      <c r="Z1948" s="260"/>
      <c r="AA1948" s="260"/>
      <c r="AB1948" s="260"/>
      <c r="AC1948" s="260"/>
      <c r="AD1948" s="260"/>
      <c r="AE1948" s="260"/>
      <c r="AF1948" s="260"/>
      <c r="AG1948" s="258"/>
    </row>
    <row r="1949" spans="13:33" ht="12" hidden="1" customHeight="1">
      <c r="M1949" s="820"/>
      <c r="N1949" s="239"/>
      <c r="O1949" s="225"/>
      <c r="P1949" s="260"/>
      <c r="Q1949" s="258"/>
      <c r="R1949" s="260"/>
      <c r="S1949" s="260"/>
      <c r="T1949" s="260"/>
      <c r="U1949" s="260"/>
      <c r="V1949" s="260"/>
      <c r="W1949" s="260"/>
      <c r="X1949" s="260"/>
      <c r="Y1949" s="260"/>
      <c r="Z1949" s="260"/>
      <c r="AA1949" s="260"/>
      <c r="AB1949" s="260"/>
      <c r="AC1949" s="260"/>
      <c r="AD1949" s="260"/>
      <c r="AE1949" s="260"/>
      <c r="AF1949" s="260"/>
      <c r="AG1949" s="258"/>
    </row>
    <row r="1950" spans="13:33" ht="12" hidden="1" customHeight="1">
      <c r="M1950" s="820"/>
      <c r="N1950" s="239"/>
      <c r="O1950" s="225"/>
      <c r="P1950" s="260"/>
      <c r="Q1950" s="258"/>
      <c r="R1950" s="260"/>
      <c r="S1950" s="260"/>
      <c r="T1950" s="260"/>
      <c r="U1950" s="260"/>
      <c r="V1950" s="260"/>
      <c r="W1950" s="260"/>
      <c r="X1950" s="260"/>
      <c r="Y1950" s="260"/>
      <c r="Z1950" s="260"/>
      <c r="AA1950" s="260"/>
      <c r="AB1950" s="260"/>
      <c r="AC1950" s="260"/>
      <c r="AD1950" s="260"/>
      <c r="AE1950" s="260"/>
      <c r="AF1950" s="260"/>
      <c r="AG1950" s="258"/>
    </row>
    <row r="1951" spans="13:33" ht="12" hidden="1" customHeight="1">
      <c r="M1951" s="820"/>
      <c r="N1951" s="239"/>
      <c r="O1951" s="225"/>
      <c r="P1951" s="260"/>
      <c r="Q1951" s="258"/>
      <c r="R1951" s="260"/>
      <c r="S1951" s="260"/>
      <c r="T1951" s="260"/>
      <c r="U1951" s="260"/>
      <c r="V1951" s="260"/>
      <c r="W1951" s="260"/>
      <c r="X1951" s="260"/>
      <c r="Y1951" s="260"/>
      <c r="Z1951" s="260"/>
      <c r="AA1951" s="260"/>
      <c r="AB1951" s="260"/>
      <c r="AC1951" s="260"/>
      <c r="AD1951" s="260"/>
      <c r="AE1951" s="260"/>
      <c r="AF1951" s="260"/>
      <c r="AG1951" s="258"/>
    </row>
    <row r="1952" spans="13:33" ht="12" hidden="1" customHeight="1">
      <c r="M1952" s="820"/>
      <c r="N1952" s="239"/>
      <c r="O1952" s="225"/>
      <c r="P1952" s="260"/>
      <c r="Q1952" s="258"/>
      <c r="R1952" s="260"/>
      <c r="S1952" s="260"/>
      <c r="T1952" s="260"/>
      <c r="U1952" s="260"/>
      <c r="V1952" s="260"/>
      <c r="W1952" s="260"/>
      <c r="X1952" s="260"/>
      <c r="Y1952" s="260"/>
      <c r="Z1952" s="260"/>
      <c r="AA1952" s="260"/>
      <c r="AB1952" s="260"/>
      <c r="AC1952" s="260"/>
      <c r="AD1952" s="260"/>
      <c r="AE1952" s="260"/>
      <c r="AF1952" s="260"/>
      <c r="AG1952" s="258"/>
    </row>
    <row r="1953" spans="13:33" ht="12" hidden="1" customHeight="1">
      <c r="M1953" s="820"/>
      <c r="N1953" s="239"/>
      <c r="O1953" s="225"/>
      <c r="P1953" s="260"/>
      <c r="Q1953" s="258"/>
      <c r="R1953" s="260"/>
      <c r="S1953" s="260"/>
      <c r="T1953" s="260"/>
      <c r="U1953" s="260"/>
      <c r="V1953" s="260"/>
      <c r="W1953" s="260"/>
      <c r="X1953" s="260"/>
      <c r="Y1953" s="260"/>
      <c r="Z1953" s="260"/>
      <c r="AA1953" s="260"/>
      <c r="AB1953" s="260"/>
      <c r="AC1953" s="260"/>
      <c r="AD1953" s="260"/>
      <c r="AE1953" s="260"/>
      <c r="AF1953" s="260"/>
      <c r="AG1953" s="258"/>
    </row>
    <row r="1954" spans="13:33" ht="12" hidden="1" customHeight="1">
      <c r="M1954" s="820"/>
      <c r="N1954" s="239"/>
      <c r="O1954" s="225"/>
      <c r="P1954" s="260"/>
      <c r="Q1954" s="258"/>
      <c r="R1954" s="260"/>
      <c r="S1954" s="260"/>
      <c r="T1954" s="260"/>
      <c r="U1954" s="260"/>
      <c r="V1954" s="260"/>
      <c r="W1954" s="260"/>
      <c r="X1954" s="260"/>
      <c r="Y1954" s="260"/>
      <c r="Z1954" s="260"/>
      <c r="AA1954" s="260"/>
      <c r="AB1954" s="260"/>
      <c r="AC1954" s="260"/>
      <c r="AD1954" s="260"/>
      <c r="AE1954" s="260"/>
      <c r="AF1954" s="260"/>
      <c r="AG1954" s="258"/>
    </row>
    <row r="1955" spans="13:33" ht="12" hidden="1" customHeight="1">
      <c r="M1955" s="820"/>
      <c r="N1955" s="239"/>
      <c r="O1955" s="225"/>
      <c r="P1955" s="260"/>
      <c r="Q1955" s="258"/>
      <c r="R1955" s="260"/>
      <c r="S1955" s="260"/>
      <c r="T1955" s="260"/>
      <c r="U1955" s="260"/>
      <c r="V1955" s="260"/>
      <c r="W1955" s="260"/>
      <c r="X1955" s="260"/>
      <c r="Y1955" s="260"/>
      <c r="Z1955" s="260"/>
      <c r="AA1955" s="260"/>
      <c r="AB1955" s="260"/>
      <c r="AC1955" s="260"/>
      <c r="AD1955" s="260"/>
      <c r="AE1955" s="260"/>
      <c r="AF1955" s="260"/>
      <c r="AG1955" s="258"/>
    </row>
    <row r="1956" spans="13:33" ht="12" hidden="1" customHeight="1">
      <c r="M1956" s="820"/>
      <c r="N1956" s="239"/>
      <c r="O1956" s="225"/>
      <c r="P1956" s="260"/>
      <c r="Q1956" s="258"/>
      <c r="R1956" s="260"/>
      <c r="S1956" s="260"/>
      <c r="T1956" s="260"/>
      <c r="U1956" s="260"/>
      <c r="V1956" s="260"/>
      <c r="W1956" s="260"/>
      <c r="X1956" s="260"/>
      <c r="Y1956" s="260"/>
      <c r="Z1956" s="260"/>
      <c r="AA1956" s="260"/>
      <c r="AB1956" s="260"/>
      <c r="AC1956" s="260"/>
      <c r="AD1956" s="260"/>
      <c r="AE1956" s="260"/>
      <c r="AF1956" s="260"/>
      <c r="AG1956" s="258"/>
    </row>
    <row r="1957" spans="13:33" ht="12" hidden="1" customHeight="1">
      <c r="M1957" s="820"/>
      <c r="N1957" s="239"/>
      <c r="O1957" s="225"/>
      <c r="P1957" s="260"/>
      <c r="Q1957" s="258"/>
      <c r="R1957" s="260"/>
      <c r="S1957" s="260"/>
      <c r="T1957" s="260"/>
      <c r="U1957" s="260"/>
      <c r="V1957" s="260"/>
      <c r="W1957" s="260"/>
      <c r="X1957" s="260"/>
      <c r="Y1957" s="260"/>
      <c r="Z1957" s="260"/>
      <c r="AA1957" s="260"/>
      <c r="AB1957" s="260"/>
      <c r="AC1957" s="260"/>
      <c r="AD1957" s="260"/>
      <c r="AE1957" s="260"/>
      <c r="AF1957" s="260"/>
      <c r="AG1957" s="258"/>
    </row>
    <row r="1958" spans="13:33" ht="12" hidden="1" customHeight="1">
      <c r="M1958" s="820"/>
      <c r="N1958" s="239"/>
      <c r="O1958" s="225"/>
      <c r="P1958" s="260"/>
      <c r="Q1958" s="258"/>
      <c r="R1958" s="260"/>
      <c r="S1958" s="260"/>
      <c r="T1958" s="260"/>
      <c r="U1958" s="260"/>
      <c r="V1958" s="260"/>
      <c r="W1958" s="260"/>
      <c r="X1958" s="260"/>
      <c r="Y1958" s="260"/>
      <c r="Z1958" s="260"/>
      <c r="AA1958" s="260"/>
      <c r="AB1958" s="260"/>
      <c r="AC1958" s="260"/>
      <c r="AD1958" s="260"/>
      <c r="AE1958" s="260"/>
      <c r="AF1958" s="260"/>
      <c r="AG1958" s="258"/>
    </row>
    <row r="1959" spans="13:33" ht="12" hidden="1" customHeight="1">
      <c r="M1959" s="820"/>
      <c r="N1959" s="239"/>
      <c r="O1959" s="225"/>
      <c r="P1959" s="260"/>
      <c r="Q1959" s="258"/>
      <c r="R1959" s="260"/>
      <c r="S1959" s="260"/>
      <c r="T1959" s="260"/>
      <c r="U1959" s="260"/>
      <c r="V1959" s="260"/>
      <c r="W1959" s="260"/>
      <c r="X1959" s="260"/>
      <c r="Y1959" s="260"/>
      <c r="Z1959" s="260"/>
      <c r="AA1959" s="260"/>
      <c r="AB1959" s="260"/>
      <c r="AC1959" s="260"/>
      <c r="AD1959" s="260"/>
      <c r="AE1959" s="260"/>
      <c r="AF1959" s="260"/>
      <c r="AG1959" s="258"/>
    </row>
    <row r="1960" spans="13:33" ht="12" hidden="1" customHeight="1">
      <c r="M1960" s="820"/>
      <c r="N1960" s="239"/>
      <c r="O1960" s="225"/>
      <c r="P1960" s="260"/>
      <c r="Q1960" s="258"/>
      <c r="R1960" s="260"/>
      <c r="S1960" s="260"/>
      <c r="T1960" s="260"/>
      <c r="U1960" s="260"/>
      <c r="V1960" s="260"/>
      <c r="W1960" s="260"/>
      <c r="X1960" s="260"/>
      <c r="Y1960" s="260"/>
      <c r="Z1960" s="260"/>
      <c r="AA1960" s="260"/>
      <c r="AB1960" s="260"/>
      <c r="AC1960" s="260"/>
      <c r="AD1960" s="260"/>
      <c r="AE1960" s="260"/>
      <c r="AF1960" s="260"/>
      <c r="AG1960" s="258"/>
    </row>
    <row r="1961" spans="13:33" ht="12" hidden="1" customHeight="1">
      <c r="M1961" s="820"/>
      <c r="N1961" s="239"/>
      <c r="O1961" s="225"/>
      <c r="P1961" s="260"/>
      <c r="Q1961" s="258"/>
      <c r="R1961" s="260"/>
      <c r="S1961" s="260"/>
      <c r="T1961" s="260"/>
      <c r="U1961" s="260"/>
      <c r="V1961" s="260"/>
      <c r="W1961" s="260"/>
      <c r="X1961" s="260"/>
      <c r="Y1961" s="260"/>
      <c r="Z1961" s="260"/>
      <c r="AA1961" s="260"/>
      <c r="AB1961" s="260"/>
      <c r="AC1961" s="260"/>
      <c r="AD1961" s="260"/>
      <c r="AE1961" s="260"/>
      <c r="AF1961" s="260"/>
      <c r="AG1961" s="258"/>
    </row>
    <row r="1962" spans="13:33" ht="12" hidden="1" customHeight="1">
      <c r="M1962" s="820"/>
      <c r="N1962" s="239"/>
      <c r="O1962" s="225"/>
      <c r="P1962" s="260"/>
      <c r="Q1962" s="258"/>
      <c r="R1962" s="260"/>
      <c r="S1962" s="260"/>
      <c r="T1962" s="260"/>
      <c r="U1962" s="260"/>
      <c r="V1962" s="260"/>
      <c r="W1962" s="260"/>
      <c r="X1962" s="260"/>
      <c r="Y1962" s="260"/>
      <c r="Z1962" s="260"/>
      <c r="AA1962" s="260"/>
      <c r="AB1962" s="260"/>
      <c r="AC1962" s="260"/>
      <c r="AD1962" s="260"/>
      <c r="AE1962" s="260"/>
      <c r="AF1962" s="260"/>
      <c r="AG1962" s="258"/>
    </row>
    <row r="1963" spans="13:33" ht="12" hidden="1" customHeight="1">
      <c r="M1963" s="820"/>
      <c r="N1963" s="239"/>
      <c r="O1963" s="225"/>
      <c r="P1963" s="260"/>
      <c r="Q1963" s="258"/>
      <c r="R1963" s="260"/>
      <c r="S1963" s="260"/>
      <c r="T1963" s="260"/>
      <c r="U1963" s="260"/>
      <c r="V1963" s="260"/>
      <c r="W1963" s="260"/>
      <c r="X1963" s="260"/>
      <c r="Y1963" s="260"/>
      <c r="Z1963" s="260"/>
      <c r="AA1963" s="260"/>
      <c r="AB1963" s="260"/>
      <c r="AC1963" s="260"/>
      <c r="AD1963" s="260"/>
      <c r="AE1963" s="260"/>
      <c r="AF1963" s="260"/>
      <c r="AG1963" s="258"/>
    </row>
    <row r="1964" spans="13:33" ht="12" hidden="1" customHeight="1">
      <c r="M1964" s="820"/>
      <c r="N1964" s="239"/>
      <c r="O1964" s="225"/>
      <c r="P1964" s="260"/>
      <c r="Q1964" s="258"/>
      <c r="R1964" s="260"/>
      <c r="S1964" s="260"/>
      <c r="T1964" s="260"/>
      <c r="U1964" s="260"/>
      <c r="V1964" s="260"/>
      <c r="W1964" s="260"/>
      <c r="X1964" s="260"/>
      <c r="Y1964" s="260"/>
      <c r="Z1964" s="260"/>
      <c r="AA1964" s="260"/>
      <c r="AB1964" s="260"/>
      <c r="AC1964" s="260"/>
      <c r="AD1964" s="260"/>
      <c r="AE1964" s="260"/>
      <c r="AF1964" s="260"/>
      <c r="AG1964" s="258"/>
    </row>
    <row r="1965" spans="13:33" ht="12" hidden="1" customHeight="1">
      <c r="M1965" s="820"/>
      <c r="N1965" s="239"/>
      <c r="O1965" s="225"/>
      <c r="P1965" s="260"/>
      <c r="Q1965" s="258"/>
      <c r="R1965" s="260"/>
      <c r="S1965" s="260"/>
      <c r="T1965" s="260"/>
      <c r="U1965" s="260"/>
      <c r="V1965" s="260"/>
      <c r="W1965" s="260"/>
      <c r="X1965" s="260"/>
      <c r="Y1965" s="260"/>
      <c r="Z1965" s="260"/>
      <c r="AA1965" s="260"/>
      <c r="AB1965" s="260"/>
      <c r="AC1965" s="260"/>
      <c r="AD1965" s="260"/>
      <c r="AE1965" s="260"/>
      <c r="AF1965" s="260"/>
      <c r="AG1965" s="258"/>
    </row>
    <row r="1966" spans="13:33" ht="12" hidden="1" customHeight="1">
      <c r="M1966" s="820"/>
      <c r="N1966" s="239"/>
      <c r="O1966" s="225"/>
      <c r="P1966" s="260"/>
      <c r="Q1966" s="258"/>
      <c r="R1966" s="260"/>
      <c r="S1966" s="260"/>
      <c r="T1966" s="260"/>
      <c r="U1966" s="260"/>
      <c r="V1966" s="260"/>
      <c r="W1966" s="260"/>
      <c r="X1966" s="260"/>
      <c r="Y1966" s="260"/>
      <c r="Z1966" s="260"/>
      <c r="AA1966" s="260"/>
      <c r="AB1966" s="260"/>
      <c r="AC1966" s="260"/>
      <c r="AD1966" s="260"/>
      <c r="AE1966" s="260"/>
      <c r="AF1966" s="260"/>
      <c r="AG1966" s="258"/>
    </row>
    <row r="1967" spans="13:33" ht="12" hidden="1" customHeight="1">
      <c r="M1967" s="820"/>
      <c r="N1967" s="239"/>
      <c r="O1967" s="225"/>
      <c r="P1967" s="260"/>
      <c r="Q1967" s="258"/>
      <c r="R1967" s="260"/>
      <c r="S1967" s="260"/>
      <c r="T1967" s="260"/>
      <c r="U1967" s="260"/>
      <c r="V1967" s="260"/>
      <c r="W1967" s="260"/>
      <c r="X1967" s="260"/>
      <c r="Y1967" s="260"/>
      <c r="Z1967" s="260"/>
      <c r="AA1967" s="260"/>
      <c r="AB1967" s="260"/>
      <c r="AC1967" s="260"/>
      <c r="AD1967" s="260"/>
      <c r="AE1967" s="260"/>
      <c r="AF1967" s="260"/>
      <c r="AG1967" s="258"/>
    </row>
    <row r="1968" spans="13:33" ht="12" hidden="1" customHeight="1">
      <c r="M1968" s="820"/>
      <c r="N1968" s="239"/>
      <c r="O1968" s="225"/>
      <c r="P1968" s="260"/>
      <c r="Q1968" s="258"/>
      <c r="R1968" s="260"/>
      <c r="S1968" s="260"/>
      <c r="T1968" s="260"/>
      <c r="U1968" s="260"/>
      <c r="V1968" s="260"/>
      <c r="W1968" s="260"/>
      <c r="X1968" s="260"/>
      <c r="Y1968" s="260"/>
      <c r="Z1968" s="260"/>
      <c r="AA1968" s="260"/>
      <c r="AB1968" s="260"/>
      <c r="AC1968" s="260"/>
      <c r="AD1968" s="260"/>
      <c r="AE1968" s="260"/>
      <c r="AF1968" s="260"/>
      <c r="AG1968" s="258"/>
    </row>
    <row r="1969" spans="13:33" ht="12" hidden="1" customHeight="1">
      <c r="M1969" s="820"/>
      <c r="N1969" s="239"/>
      <c r="O1969" s="225"/>
      <c r="P1969" s="260"/>
      <c r="Q1969" s="258"/>
      <c r="R1969" s="260"/>
      <c r="S1969" s="260"/>
      <c r="T1969" s="260"/>
      <c r="U1969" s="260"/>
      <c r="V1969" s="260"/>
      <c r="W1969" s="260"/>
      <c r="X1969" s="260"/>
      <c r="Y1969" s="260"/>
      <c r="Z1969" s="260"/>
      <c r="AA1969" s="260"/>
      <c r="AB1969" s="260"/>
      <c r="AC1969" s="260"/>
      <c r="AD1969" s="260"/>
      <c r="AE1969" s="260"/>
      <c r="AF1969" s="260"/>
      <c r="AG1969" s="258"/>
    </row>
    <row r="1970" spans="13:33" ht="12" hidden="1" customHeight="1">
      <c r="M1970" s="820"/>
      <c r="N1970" s="239"/>
      <c r="O1970" s="225"/>
      <c r="P1970" s="260"/>
      <c r="Q1970" s="258"/>
      <c r="R1970" s="260"/>
      <c r="S1970" s="260"/>
      <c r="T1970" s="260"/>
      <c r="U1970" s="260"/>
      <c r="V1970" s="260"/>
      <c r="W1970" s="260"/>
      <c r="X1970" s="260"/>
      <c r="Y1970" s="260"/>
      <c r="Z1970" s="260"/>
      <c r="AA1970" s="260"/>
      <c r="AB1970" s="260"/>
      <c r="AC1970" s="260"/>
      <c r="AD1970" s="260"/>
      <c r="AE1970" s="260"/>
      <c r="AF1970" s="260"/>
      <c r="AG1970" s="258"/>
    </row>
    <row r="1971" spans="13:33" ht="12" hidden="1" customHeight="1">
      <c r="M1971" s="820"/>
      <c r="N1971" s="239"/>
      <c r="O1971" s="225"/>
      <c r="P1971" s="260"/>
      <c r="Q1971" s="258"/>
      <c r="R1971" s="260"/>
      <c r="S1971" s="260"/>
      <c r="T1971" s="260"/>
      <c r="U1971" s="260"/>
      <c r="V1971" s="260"/>
      <c r="W1971" s="260"/>
      <c r="X1971" s="260"/>
      <c r="Y1971" s="260"/>
      <c r="Z1971" s="260"/>
      <c r="AA1971" s="260"/>
      <c r="AB1971" s="260"/>
      <c r="AC1971" s="260"/>
      <c r="AD1971" s="260"/>
      <c r="AE1971" s="260"/>
      <c r="AF1971" s="260"/>
      <c r="AG1971" s="258"/>
    </row>
    <row r="1972" spans="13:33" ht="12" hidden="1" customHeight="1">
      <c r="M1972" s="820"/>
      <c r="N1972" s="239"/>
      <c r="O1972" s="225"/>
      <c r="P1972" s="260"/>
      <c r="Q1972" s="258"/>
      <c r="R1972" s="260"/>
      <c r="S1972" s="260"/>
      <c r="T1972" s="260"/>
      <c r="U1972" s="260"/>
      <c r="V1972" s="260"/>
      <c r="W1972" s="260"/>
      <c r="X1972" s="260"/>
      <c r="Y1972" s="260"/>
      <c r="Z1972" s="260"/>
      <c r="AA1972" s="260"/>
      <c r="AB1972" s="260"/>
      <c r="AC1972" s="260"/>
      <c r="AD1972" s="260"/>
      <c r="AE1972" s="260"/>
      <c r="AF1972" s="260"/>
      <c r="AG1972" s="258"/>
    </row>
    <row r="1973" spans="13:33" ht="12" hidden="1" customHeight="1">
      <c r="M1973" s="820"/>
      <c r="N1973" s="239"/>
      <c r="O1973" s="225"/>
      <c r="P1973" s="260"/>
      <c r="Q1973" s="258"/>
      <c r="R1973" s="260"/>
      <c r="S1973" s="260"/>
      <c r="T1973" s="260"/>
      <c r="U1973" s="260"/>
      <c r="V1973" s="260"/>
      <c r="W1973" s="260"/>
      <c r="X1973" s="260"/>
      <c r="Y1973" s="260"/>
      <c r="Z1973" s="260"/>
      <c r="AA1973" s="260"/>
      <c r="AB1973" s="260"/>
      <c r="AC1973" s="260"/>
      <c r="AD1973" s="260"/>
      <c r="AE1973" s="260"/>
      <c r="AF1973" s="260"/>
      <c r="AG1973" s="258"/>
    </row>
    <row r="1974" spans="13:33" ht="12" hidden="1" customHeight="1">
      <c r="M1974" s="820"/>
      <c r="N1974" s="239"/>
      <c r="O1974" s="225"/>
      <c r="P1974" s="260"/>
      <c r="Q1974" s="258"/>
      <c r="R1974" s="260"/>
      <c r="S1974" s="260"/>
      <c r="T1974" s="260"/>
      <c r="U1974" s="260"/>
      <c r="V1974" s="260"/>
      <c r="W1974" s="260"/>
      <c r="X1974" s="260"/>
      <c r="Y1974" s="260"/>
      <c r="Z1974" s="260"/>
      <c r="AA1974" s="260"/>
      <c r="AB1974" s="260"/>
      <c r="AC1974" s="260"/>
      <c r="AD1974" s="260"/>
      <c r="AE1974" s="260"/>
      <c r="AF1974" s="260"/>
      <c r="AG1974" s="258"/>
    </row>
    <row r="1975" spans="13:33" ht="12" hidden="1" customHeight="1">
      <c r="M1975" s="820"/>
      <c r="N1975" s="239"/>
      <c r="O1975" s="225"/>
      <c r="P1975" s="260"/>
      <c r="Q1975" s="258"/>
      <c r="R1975" s="260"/>
      <c r="S1975" s="260"/>
      <c r="T1975" s="260"/>
      <c r="U1975" s="260"/>
      <c r="V1975" s="260"/>
      <c r="W1975" s="260"/>
      <c r="X1975" s="260"/>
      <c r="Y1975" s="260"/>
      <c r="Z1975" s="260"/>
      <c r="AA1975" s="260"/>
      <c r="AB1975" s="260"/>
      <c r="AC1975" s="260"/>
      <c r="AD1975" s="260"/>
      <c r="AE1975" s="260"/>
      <c r="AF1975" s="260"/>
      <c r="AG1975" s="258"/>
    </row>
    <row r="1976" spans="13:33" ht="12" hidden="1" customHeight="1">
      <c r="M1976" s="820"/>
      <c r="N1976" s="239"/>
      <c r="O1976" s="225"/>
      <c r="P1976" s="260"/>
      <c r="Q1976" s="258"/>
      <c r="R1976" s="260"/>
      <c r="S1976" s="260"/>
      <c r="T1976" s="260"/>
      <c r="U1976" s="260"/>
      <c r="V1976" s="260"/>
      <c r="W1976" s="260"/>
      <c r="X1976" s="260"/>
      <c r="Y1976" s="260"/>
      <c r="Z1976" s="260"/>
      <c r="AA1976" s="260"/>
      <c r="AB1976" s="260"/>
      <c r="AC1976" s="260"/>
      <c r="AD1976" s="260"/>
      <c r="AE1976" s="260"/>
      <c r="AF1976" s="260"/>
      <c r="AG1976" s="258"/>
    </row>
    <row r="1977" spans="13:33" ht="12" hidden="1" customHeight="1">
      <c r="M1977" s="820"/>
      <c r="N1977" s="239"/>
      <c r="O1977" s="225"/>
      <c r="P1977" s="260"/>
      <c r="Q1977" s="258"/>
      <c r="R1977" s="260"/>
      <c r="S1977" s="260"/>
      <c r="T1977" s="260"/>
      <c r="U1977" s="260"/>
      <c r="V1977" s="260"/>
      <c r="W1977" s="260"/>
      <c r="X1977" s="260"/>
      <c r="Y1977" s="260"/>
      <c r="Z1977" s="260"/>
      <c r="AA1977" s="260"/>
      <c r="AB1977" s="260"/>
      <c r="AC1977" s="260"/>
      <c r="AD1977" s="260"/>
      <c r="AE1977" s="260"/>
      <c r="AF1977" s="260"/>
      <c r="AG1977" s="258"/>
    </row>
    <row r="1978" spans="13:33" ht="12" hidden="1" customHeight="1">
      <c r="M1978" s="820"/>
      <c r="N1978" s="239"/>
      <c r="O1978" s="225"/>
      <c r="P1978" s="260"/>
      <c r="Q1978" s="258"/>
      <c r="R1978" s="260"/>
      <c r="S1978" s="260"/>
      <c r="T1978" s="260"/>
      <c r="U1978" s="260"/>
      <c r="V1978" s="260"/>
      <c r="W1978" s="260"/>
      <c r="X1978" s="260"/>
      <c r="Y1978" s="260"/>
      <c r="Z1978" s="260"/>
      <c r="AA1978" s="260"/>
      <c r="AB1978" s="260"/>
      <c r="AC1978" s="260"/>
      <c r="AD1978" s="260"/>
      <c r="AE1978" s="260"/>
      <c r="AF1978" s="260"/>
      <c r="AG1978" s="258"/>
    </row>
    <row r="1979" spans="13:33" ht="12" hidden="1" customHeight="1">
      <c r="M1979" s="820"/>
      <c r="N1979" s="239"/>
      <c r="O1979" s="225"/>
      <c r="P1979" s="260"/>
      <c r="Q1979" s="258"/>
      <c r="R1979" s="260"/>
      <c r="S1979" s="260"/>
      <c r="T1979" s="260"/>
      <c r="U1979" s="260"/>
      <c r="V1979" s="260"/>
      <c r="W1979" s="260"/>
      <c r="X1979" s="260"/>
      <c r="Y1979" s="260"/>
      <c r="Z1979" s="260"/>
      <c r="AA1979" s="260"/>
      <c r="AB1979" s="260"/>
      <c r="AC1979" s="260"/>
      <c r="AD1979" s="260"/>
      <c r="AE1979" s="260"/>
      <c r="AF1979" s="260"/>
      <c r="AG1979" s="258"/>
    </row>
    <row r="1980" spans="13:33" ht="12" hidden="1" customHeight="1">
      <c r="M1980" s="820"/>
      <c r="N1980" s="239"/>
      <c r="O1980" s="225"/>
      <c r="P1980" s="260"/>
      <c r="Q1980" s="258"/>
      <c r="R1980" s="260"/>
      <c r="S1980" s="260"/>
      <c r="T1980" s="260"/>
      <c r="U1980" s="260"/>
      <c r="V1980" s="260"/>
      <c r="W1980" s="260"/>
      <c r="X1980" s="260"/>
      <c r="Y1980" s="260"/>
      <c r="Z1980" s="260"/>
      <c r="AA1980" s="260"/>
      <c r="AB1980" s="260"/>
      <c r="AC1980" s="260"/>
      <c r="AD1980" s="260"/>
      <c r="AE1980" s="260"/>
      <c r="AF1980" s="260"/>
      <c r="AG1980" s="258"/>
    </row>
    <row r="1981" spans="13:33" ht="12" hidden="1" customHeight="1">
      <c r="M1981" s="820"/>
      <c r="N1981" s="239"/>
      <c r="O1981" s="225"/>
      <c r="P1981" s="260"/>
      <c r="Q1981" s="258"/>
      <c r="R1981" s="260"/>
      <c r="S1981" s="260"/>
      <c r="T1981" s="260"/>
      <c r="U1981" s="260"/>
      <c r="V1981" s="260"/>
      <c r="W1981" s="260"/>
      <c r="X1981" s="260"/>
      <c r="Y1981" s="260"/>
      <c r="Z1981" s="260"/>
      <c r="AA1981" s="260"/>
      <c r="AB1981" s="260"/>
      <c r="AC1981" s="260"/>
      <c r="AD1981" s="260"/>
      <c r="AE1981" s="260"/>
      <c r="AF1981" s="260"/>
      <c r="AG1981" s="258"/>
    </row>
    <row r="1982" spans="13:33" ht="12" hidden="1" customHeight="1">
      <c r="M1982" s="820"/>
      <c r="N1982" s="239"/>
      <c r="O1982" s="225"/>
      <c r="P1982" s="260"/>
      <c r="Q1982" s="258"/>
      <c r="R1982" s="260"/>
      <c r="S1982" s="260"/>
      <c r="T1982" s="260"/>
      <c r="U1982" s="260"/>
      <c r="V1982" s="260"/>
      <c r="W1982" s="260"/>
      <c r="X1982" s="260"/>
      <c r="Y1982" s="260"/>
      <c r="Z1982" s="260"/>
      <c r="AA1982" s="260"/>
      <c r="AB1982" s="260"/>
      <c r="AC1982" s="260"/>
      <c r="AD1982" s="260"/>
      <c r="AE1982" s="260"/>
      <c r="AF1982" s="260"/>
      <c r="AG1982" s="258"/>
    </row>
    <row r="1983" spans="13:33" ht="12" hidden="1" customHeight="1">
      <c r="M1983" s="820"/>
      <c r="N1983" s="239"/>
      <c r="O1983" s="225"/>
      <c r="P1983" s="260"/>
      <c r="Q1983" s="258"/>
      <c r="R1983" s="260"/>
      <c r="S1983" s="260"/>
      <c r="T1983" s="260"/>
      <c r="U1983" s="260"/>
      <c r="V1983" s="260"/>
      <c r="W1983" s="260"/>
      <c r="X1983" s="260"/>
      <c r="Y1983" s="260"/>
      <c r="Z1983" s="260"/>
      <c r="AA1983" s="260"/>
      <c r="AB1983" s="260"/>
      <c r="AC1983" s="260"/>
      <c r="AD1983" s="260"/>
      <c r="AE1983" s="260"/>
      <c r="AF1983" s="260"/>
      <c r="AG1983" s="258"/>
    </row>
    <row r="1984" spans="13:33" ht="12" hidden="1" customHeight="1">
      <c r="M1984" s="820"/>
      <c r="N1984" s="239"/>
      <c r="O1984" s="225"/>
      <c r="P1984" s="260"/>
      <c r="Q1984" s="258"/>
      <c r="R1984" s="260"/>
      <c r="S1984" s="260"/>
      <c r="T1984" s="260"/>
      <c r="U1984" s="260"/>
      <c r="V1984" s="260"/>
      <c r="W1984" s="260"/>
      <c r="X1984" s="260"/>
      <c r="Y1984" s="260"/>
      <c r="Z1984" s="260"/>
      <c r="AA1984" s="260"/>
      <c r="AB1984" s="260"/>
      <c r="AC1984" s="260"/>
      <c r="AD1984" s="260"/>
      <c r="AE1984" s="260"/>
      <c r="AF1984" s="260"/>
      <c r="AG1984" s="258"/>
    </row>
    <row r="1985" spans="13:33" ht="12" hidden="1" customHeight="1">
      <c r="M1985" s="820"/>
      <c r="N1985" s="239"/>
      <c r="O1985" s="225"/>
      <c r="P1985" s="260"/>
      <c r="Q1985" s="258"/>
      <c r="R1985" s="260"/>
      <c r="S1985" s="260"/>
      <c r="T1985" s="260"/>
      <c r="U1985" s="260"/>
      <c r="V1985" s="260"/>
      <c r="W1985" s="260"/>
      <c r="X1985" s="260"/>
      <c r="Y1985" s="260"/>
      <c r="Z1985" s="260"/>
      <c r="AA1985" s="260"/>
      <c r="AB1985" s="260"/>
      <c r="AC1985" s="260"/>
      <c r="AD1985" s="260"/>
      <c r="AE1985" s="260"/>
      <c r="AF1985" s="260"/>
      <c r="AG1985" s="258"/>
    </row>
    <row r="1986" spans="13:33" ht="12" hidden="1" customHeight="1">
      <c r="M1986" s="820"/>
      <c r="N1986" s="239"/>
      <c r="O1986" s="225"/>
      <c r="P1986" s="260"/>
      <c r="Q1986" s="258"/>
      <c r="R1986" s="260"/>
      <c r="S1986" s="260"/>
      <c r="T1986" s="260"/>
      <c r="U1986" s="260"/>
      <c r="V1986" s="260"/>
      <c r="W1986" s="260"/>
      <c r="X1986" s="260"/>
      <c r="Y1986" s="260"/>
      <c r="Z1986" s="260"/>
      <c r="AA1986" s="260"/>
      <c r="AB1986" s="260"/>
      <c r="AC1986" s="260"/>
      <c r="AD1986" s="260"/>
      <c r="AE1986" s="260"/>
      <c r="AF1986" s="260"/>
      <c r="AG1986" s="258"/>
    </row>
    <row r="1987" spans="13:33" ht="12" hidden="1" customHeight="1">
      <c r="M1987" s="820"/>
      <c r="N1987" s="239"/>
      <c r="O1987" s="225"/>
      <c r="P1987" s="260"/>
      <c r="Q1987" s="258"/>
      <c r="R1987" s="260"/>
      <c r="S1987" s="260"/>
      <c r="T1987" s="260"/>
      <c r="U1987" s="260"/>
      <c r="V1987" s="260"/>
      <c r="W1987" s="260"/>
      <c r="X1987" s="260"/>
      <c r="Y1987" s="260"/>
      <c r="Z1987" s="260"/>
      <c r="AA1987" s="260"/>
      <c r="AB1987" s="260"/>
      <c r="AC1987" s="260"/>
      <c r="AD1987" s="260"/>
      <c r="AE1987" s="260"/>
      <c r="AF1987" s="260"/>
      <c r="AG1987" s="258"/>
    </row>
    <row r="1988" spans="13:33" ht="12" hidden="1" customHeight="1">
      <c r="M1988" s="820"/>
      <c r="N1988" s="239"/>
      <c r="O1988" s="225"/>
      <c r="P1988" s="260"/>
      <c r="Q1988" s="258"/>
      <c r="R1988" s="260"/>
      <c r="S1988" s="260"/>
      <c r="T1988" s="260"/>
      <c r="U1988" s="260"/>
      <c r="V1988" s="260"/>
      <c r="W1988" s="260"/>
      <c r="X1988" s="260"/>
      <c r="Y1988" s="260"/>
      <c r="Z1988" s="260"/>
      <c r="AA1988" s="260"/>
      <c r="AB1988" s="260"/>
      <c r="AC1988" s="260"/>
      <c r="AD1988" s="260"/>
      <c r="AE1988" s="260"/>
      <c r="AF1988" s="260"/>
      <c r="AG1988" s="258"/>
    </row>
    <row r="1989" spans="13:33" ht="12" hidden="1" customHeight="1">
      <c r="M1989" s="820"/>
      <c r="N1989" s="239"/>
      <c r="O1989" s="225"/>
      <c r="P1989" s="260"/>
      <c r="Q1989" s="258"/>
      <c r="R1989" s="260"/>
      <c r="S1989" s="260"/>
      <c r="T1989" s="260"/>
      <c r="U1989" s="260"/>
      <c r="V1989" s="260"/>
      <c r="W1989" s="260"/>
      <c r="X1989" s="260"/>
      <c r="Y1989" s="260"/>
      <c r="Z1989" s="260"/>
      <c r="AA1989" s="260"/>
      <c r="AB1989" s="260"/>
      <c r="AC1989" s="260"/>
      <c r="AD1989" s="260"/>
      <c r="AE1989" s="260"/>
      <c r="AF1989" s="260"/>
      <c r="AG1989" s="258"/>
    </row>
    <row r="1990" spans="13:33" ht="12" hidden="1" customHeight="1">
      <c r="M1990" s="820"/>
      <c r="N1990" s="239"/>
      <c r="O1990" s="225"/>
      <c r="P1990" s="260"/>
      <c r="Q1990" s="258"/>
      <c r="R1990" s="260"/>
      <c r="S1990" s="260"/>
      <c r="T1990" s="260"/>
      <c r="U1990" s="260"/>
      <c r="V1990" s="260"/>
      <c r="W1990" s="260"/>
      <c r="X1990" s="260"/>
      <c r="Y1990" s="260"/>
      <c r="Z1990" s="260"/>
      <c r="AA1990" s="260"/>
      <c r="AB1990" s="260"/>
      <c r="AC1990" s="260"/>
      <c r="AD1990" s="260"/>
      <c r="AE1990" s="260"/>
      <c r="AF1990" s="260"/>
      <c r="AG1990" s="258"/>
    </row>
    <row r="1991" spans="13:33" ht="12" hidden="1" customHeight="1">
      <c r="M1991" s="820"/>
      <c r="N1991" s="239"/>
      <c r="O1991" s="225"/>
      <c r="P1991" s="260"/>
      <c r="Q1991" s="258"/>
      <c r="R1991" s="260"/>
      <c r="S1991" s="260"/>
      <c r="T1991" s="260"/>
      <c r="U1991" s="260"/>
      <c r="V1991" s="260"/>
      <c r="W1991" s="260"/>
      <c r="X1991" s="260"/>
      <c r="Y1991" s="260"/>
      <c r="Z1991" s="260"/>
      <c r="AA1991" s="260"/>
      <c r="AB1991" s="260"/>
      <c r="AC1991" s="260"/>
      <c r="AD1991" s="260"/>
      <c r="AE1991" s="260"/>
      <c r="AF1991" s="260"/>
      <c r="AG1991" s="258"/>
    </row>
    <row r="1992" spans="13:33" ht="12" hidden="1" customHeight="1">
      <c r="M1992" s="820"/>
      <c r="N1992" s="239"/>
      <c r="O1992" s="225"/>
      <c r="P1992" s="260"/>
      <c r="Q1992" s="258"/>
      <c r="R1992" s="260"/>
      <c r="S1992" s="260"/>
      <c r="T1992" s="260"/>
      <c r="U1992" s="260"/>
      <c r="V1992" s="260"/>
      <c r="W1992" s="260"/>
      <c r="X1992" s="260"/>
      <c r="Y1992" s="260"/>
      <c r="Z1992" s="260"/>
      <c r="AA1992" s="260"/>
      <c r="AB1992" s="260"/>
      <c r="AC1992" s="260"/>
      <c r="AD1992" s="260"/>
      <c r="AE1992" s="260"/>
      <c r="AF1992" s="260"/>
      <c r="AG1992" s="258"/>
    </row>
    <row r="1993" spans="13:33" ht="12" hidden="1" customHeight="1">
      <c r="M1993" s="820"/>
      <c r="N1993" s="239"/>
      <c r="O1993" s="225"/>
      <c r="P1993" s="260"/>
      <c r="Q1993" s="258"/>
      <c r="R1993" s="260"/>
      <c r="S1993" s="260"/>
      <c r="T1993" s="260"/>
      <c r="U1993" s="260"/>
      <c r="V1993" s="260"/>
      <c r="W1993" s="260"/>
      <c r="X1993" s="260"/>
      <c r="Y1993" s="260"/>
      <c r="Z1993" s="260"/>
      <c r="AA1993" s="260"/>
      <c r="AB1993" s="260"/>
      <c r="AC1993" s="260"/>
      <c r="AD1993" s="260"/>
      <c r="AE1993" s="260"/>
      <c r="AF1993" s="260"/>
      <c r="AG1993" s="258"/>
    </row>
    <row r="1994" spans="13:33" ht="12" hidden="1" customHeight="1">
      <c r="M1994" s="820"/>
      <c r="N1994" s="239"/>
      <c r="O1994" s="225"/>
      <c r="P1994" s="260"/>
      <c r="Q1994" s="258"/>
      <c r="R1994" s="260"/>
      <c r="S1994" s="260"/>
      <c r="T1994" s="260"/>
      <c r="U1994" s="260"/>
      <c r="V1994" s="260"/>
      <c r="W1994" s="260"/>
      <c r="X1994" s="260"/>
      <c r="Y1994" s="260"/>
      <c r="Z1994" s="260"/>
      <c r="AA1994" s="260"/>
      <c r="AB1994" s="260"/>
      <c r="AC1994" s="260"/>
      <c r="AD1994" s="260"/>
      <c r="AE1994" s="260"/>
      <c r="AF1994" s="260"/>
      <c r="AG1994" s="258"/>
    </row>
    <row r="1995" spans="13:33" ht="12" hidden="1" customHeight="1">
      <c r="M1995" s="820"/>
      <c r="N1995" s="239"/>
      <c r="O1995" s="225"/>
      <c r="P1995" s="260"/>
      <c r="Q1995" s="258"/>
      <c r="R1995" s="260"/>
      <c r="S1995" s="260"/>
      <c r="T1995" s="260"/>
      <c r="U1995" s="260"/>
      <c r="V1995" s="260"/>
      <c r="W1995" s="260"/>
      <c r="X1995" s="260"/>
      <c r="Y1995" s="260"/>
      <c r="Z1995" s="260"/>
      <c r="AA1995" s="260"/>
      <c r="AB1995" s="260"/>
      <c r="AC1995" s="260"/>
      <c r="AD1995" s="260"/>
      <c r="AE1995" s="260"/>
      <c r="AF1995" s="260"/>
      <c r="AG1995" s="258"/>
    </row>
    <row r="1996" spans="13:33" ht="12" hidden="1" customHeight="1">
      <c r="M1996" s="820"/>
      <c r="N1996" s="239"/>
      <c r="O1996" s="225"/>
      <c r="P1996" s="260"/>
      <c r="Q1996" s="258"/>
      <c r="R1996" s="260"/>
      <c r="S1996" s="260"/>
      <c r="T1996" s="260"/>
      <c r="U1996" s="260"/>
      <c r="V1996" s="260"/>
      <c r="W1996" s="260"/>
      <c r="X1996" s="260"/>
      <c r="Y1996" s="260"/>
      <c r="Z1996" s="260"/>
      <c r="AA1996" s="260"/>
      <c r="AB1996" s="260"/>
      <c r="AC1996" s="260"/>
      <c r="AD1996" s="260"/>
      <c r="AE1996" s="260"/>
      <c r="AF1996" s="260"/>
      <c r="AG1996" s="258"/>
    </row>
    <row r="1997" spans="13:33" ht="12" hidden="1" customHeight="1">
      <c r="M1997" s="820"/>
      <c r="N1997" s="239"/>
      <c r="O1997" s="225"/>
      <c r="P1997" s="260"/>
      <c r="Q1997" s="258"/>
      <c r="R1997" s="260"/>
      <c r="S1997" s="260"/>
      <c r="T1997" s="260"/>
      <c r="U1997" s="260"/>
      <c r="V1997" s="260"/>
      <c r="W1997" s="260"/>
      <c r="X1997" s="260"/>
      <c r="Y1997" s="260"/>
      <c r="Z1997" s="260"/>
      <c r="AA1997" s="260"/>
      <c r="AB1997" s="260"/>
      <c r="AC1997" s="260"/>
      <c r="AD1997" s="260"/>
      <c r="AE1997" s="260"/>
      <c r="AF1997" s="260"/>
      <c r="AG1997" s="258"/>
    </row>
    <row r="1998" spans="13:33" ht="12" hidden="1" customHeight="1">
      <c r="M1998" s="820"/>
      <c r="N1998" s="239"/>
      <c r="O1998" s="225"/>
      <c r="P1998" s="260"/>
      <c r="Q1998" s="258"/>
      <c r="R1998" s="260"/>
      <c r="S1998" s="260"/>
      <c r="T1998" s="260"/>
      <c r="U1998" s="260"/>
      <c r="V1998" s="260"/>
      <c r="W1998" s="260"/>
      <c r="X1998" s="260"/>
      <c r="Y1998" s="260"/>
      <c r="Z1998" s="260"/>
      <c r="AA1998" s="260"/>
      <c r="AB1998" s="260"/>
      <c r="AC1998" s="260"/>
      <c r="AD1998" s="260"/>
      <c r="AE1998" s="260"/>
      <c r="AF1998" s="260"/>
      <c r="AG1998" s="258"/>
    </row>
    <row r="1999" spans="13:33" ht="12" hidden="1" customHeight="1">
      <c r="M1999" s="820"/>
      <c r="N1999" s="239"/>
      <c r="O1999" s="225"/>
      <c r="P1999" s="260"/>
      <c r="Q1999" s="258"/>
      <c r="R1999" s="260"/>
      <c r="S1999" s="260"/>
      <c r="T1999" s="260"/>
      <c r="U1999" s="260"/>
      <c r="V1999" s="260"/>
      <c r="W1999" s="260"/>
      <c r="X1999" s="260"/>
      <c r="Y1999" s="260"/>
      <c r="Z1999" s="260"/>
      <c r="AA1999" s="260"/>
      <c r="AB1999" s="260"/>
      <c r="AC1999" s="260"/>
      <c r="AD1999" s="260"/>
      <c r="AE1999" s="260"/>
      <c r="AF1999" s="260"/>
      <c r="AG1999" s="258"/>
    </row>
    <row r="2000" spans="13:33" ht="12" hidden="1" customHeight="1">
      <c r="M2000" s="820"/>
      <c r="N2000" s="239"/>
      <c r="O2000" s="225"/>
      <c r="P2000" s="260"/>
      <c r="Q2000" s="258"/>
      <c r="R2000" s="260"/>
      <c r="S2000" s="260"/>
      <c r="T2000" s="260"/>
      <c r="U2000" s="260"/>
      <c r="V2000" s="260"/>
      <c r="W2000" s="260"/>
      <c r="X2000" s="260"/>
      <c r="Y2000" s="260"/>
      <c r="Z2000" s="260"/>
      <c r="AA2000" s="260"/>
      <c r="AB2000" s="260"/>
      <c r="AC2000" s="260"/>
      <c r="AD2000" s="260"/>
      <c r="AE2000" s="260"/>
      <c r="AF2000" s="260"/>
      <c r="AG2000" s="258"/>
    </row>
    <row r="2001" spans="13:33" ht="12" hidden="1" customHeight="1">
      <c r="M2001" s="820"/>
      <c r="N2001" s="239"/>
      <c r="O2001" s="225"/>
      <c r="P2001" s="260"/>
      <c r="Q2001" s="258"/>
      <c r="R2001" s="260"/>
      <c r="S2001" s="260"/>
      <c r="T2001" s="260"/>
      <c r="U2001" s="260"/>
      <c r="V2001" s="260"/>
      <c r="W2001" s="260"/>
      <c r="X2001" s="260"/>
      <c r="Y2001" s="260"/>
      <c r="Z2001" s="260"/>
      <c r="AA2001" s="260"/>
      <c r="AB2001" s="260"/>
      <c r="AC2001" s="260"/>
      <c r="AD2001" s="260"/>
      <c r="AE2001" s="260"/>
      <c r="AF2001" s="260"/>
      <c r="AG2001" s="258"/>
    </row>
    <row r="2002" spans="13:33" ht="12" hidden="1" customHeight="1">
      <c r="M2002" s="820"/>
      <c r="N2002" s="239"/>
      <c r="O2002" s="225"/>
      <c r="P2002" s="260"/>
      <c r="Q2002" s="258"/>
      <c r="R2002" s="260"/>
      <c r="S2002" s="260"/>
      <c r="T2002" s="260"/>
      <c r="U2002" s="260"/>
      <c r="V2002" s="260"/>
      <c r="W2002" s="260"/>
      <c r="X2002" s="260"/>
      <c r="Y2002" s="260"/>
      <c r="Z2002" s="260"/>
      <c r="AA2002" s="260"/>
      <c r="AB2002" s="260"/>
      <c r="AC2002" s="260"/>
      <c r="AD2002" s="260"/>
      <c r="AE2002" s="260"/>
      <c r="AF2002" s="260"/>
      <c r="AG2002" s="258"/>
    </row>
    <row r="2003" spans="13:33" ht="12" hidden="1" customHeight="1">
      <c r="M2003" s="820"/>
      <c r="N2003" s="239"/>
      <c r="O2003" s="225"/>
      <c r="P2003" s="260"/>
      <c r="Q2003" s="258"/>
      <c r="R2003" s="260"/>
      <c r="S2003" s="260"/>
      <c r="T2003" s="260"/>
      <c r="U2003" s="260"/>
      <c r="V2003" s="260"/>
      <c r="W2003" s="260"/>
      <c r="X2003" s="260"/>
      <c r="Y2003" s="260"/>
      <c r="Z2003" s="260"/>
      <c r="AA2003" s="260"/>
      <c r="AB2003" s="260"/>
      <c r="AC2003" s="260"/>
      <c r="AD2003" s="260"/>
      <c r="AE2003" s="260"/>
      <c r="AF2003" s="260"/>
      <c r="AG2003" s="258"/>
    </row>
    <row r="2004" spans="13:33" ht="12" hidden="1" customHeight="1">
      <c r="M2004" s="820"/>
      <c r="N2004" s="239"/>
      <c r="O2004" s="225"/>
      <c r="P2004" s="260"/>
      <c r="Q2004" s="258"/>
      <c r="R2004" s="260"/>
      <c r="S2004" s="260"/>
      <c r="T2004" s="260"/>
      <c r="U2004" s="260"/>
      <c r="V2004" s="260"/>
      <c r="W2004" s="260"/>
      <c r="X2004" s="260"/>
      <c r="Y2004" s="260"/>
      <c r="Z2004" s="260"/>
      <c r="AA2004" s="260"/>
      <c r="AB2004" s="260"/>
      <c r="AC2004" s="260"/>
      <c r="AD2004" s="260"/>
      <c r="AE2004" s="260"/>
      <c r="AF2004" s="260"/>
      <c r="AG2004" s="258"/>
    </row>
    <row r="2005" spans="13:33" ht="12" hidden="1" customHeight="1">
      <c r="M2005" s="820"/>
      <c r="N2005" s="239"/>
      <c r="O2005" s="225"/>
      <c r="P2005" s="260"/>
      <c r="Q2005" s="258"/>
      <c r="R2005" s="260"/>
      <c r="S2005" s="260"/>
      <c r="T2005" s="260"/>
      <c r="U2005" s="260"/>
      <c r="V2005" s="260"/>
      <c r="W2005" s="260"/>
      <c r="X2005" s="260"/>
      <c r="Y2005" s="260"/>
      <c r="Z2005" s="260"/>
      <c r="AA2005" s="260"/>
      <c r="AB2005" s="260"/>
      <c r="AC2005" s="260"/>
      <c r="AD2005" s="260"/>
      <c r="AE2005" s="260"/>
      <c r="AF2005" s="260"/>
      <c r="AG2005" s="258"/>
    </row>
    <row r="2006" spans="13:33" ht="12" hidden="1" customHeight="1">
      <c r="M2006" s="820"/>
      <c r="N2006" s="239"/>
      <c r="O2006" s="225"/>
      <c r="P2006" s="260"/>
      <c r="Q2006" s="258"/>
      <c r="R2006" s="260"/>
      <c r="S2006" s="260"/>
      <c r="T2006" s="260"/>
      <c r="U2006" s="260"/>
      <c r="V2006" s="260"/>
      <c r="W2006" s="260"/>
      <c r="X2006" s="260"/>
      <c r="Y2006" s="260"/>
      <c r="Z2006" s="260"/>
      <c r="AA2006" s="260"/>
      <c r="AB2006" s="260"/>
      <c r="AC2006" s="260"/>
      <c r="AD2006" s="260"/>
      <c r="AE2006" s="260"/>
      <c r="AF2006" s="260"/>
      <c r="AG2006" s="258"/>
    </row>
    <row r="2007" spans="13:33" ht="12" hidden="1" customHeight="1">
      <c r="M2007" s="820"/>
      <c r="N2007" s="239"/>
      <c r="O2007" s="225"/>
      <c r="P2007" s="260"/>
      <c r="Q2007" s="258"/>
      <c r="R2007" s="260"/>
      <c r="S2007" s="260"/>
      <c r="T2007" s="260"/>
      <c r="U2007" s="260"/>
      <c r="V2007" s="260"/>
      <c r="W2007" s="260"/>
      <c r="X2007" s="260"/>
      <c r="Y2007" s="260"/>
      <c r="Z2007" s="260"/>
      <c r="AA2007" s="260"/>
      <c r="AB2007" s="260"/>
      <c r="AC2007" s="260"/>
      <c r="AD2007" s="260"/>
      <c r="AE2007" s="260"/>
      <c r="AF2007" s="260"/>
      <c r="AG2007" s="258"/>
    </row>
    <row r="2008" spans="13:33" ht="12" hidden="1" customHeight="1">
      <c r="M2008" s="820"/>
      <c r="N2008" s="239"/>
      <c r="O2008" s="225"/>
      <c r="P2008" s="260"/>
      <c r="Q2008" s="258"/>
      <c r="R2008" s="260"/>
      <c r="S2008" s="260"/>
      <c r="T2008" s="260"/>
      <c r="U2008" s="260"/>
      <c r="V2008" s="260"/>
      <c r="W2008" s="260"/>
      <c r="X2008" s="260"/>
      <c r="Y2008" s="260"/>
      <c r="Z2008" s="260"/>
      <c r="AA2008" s="260"/>
      <c r="AB2008" s="260"/>
      <c r="AC2008" s="260"/>
      <c r="AD2008" s="260"/>
      <c r="AE2008" s="260"/>
      <c r="AF2008" s="260"/>
      <c r="AG2008" s="258"/>
    </row>
    <row r="2009" spans="13:33" ht="12" hidden="1" customHeight="1">
      <c r="M2009" s="820"/>
      <c r="N2009" s="239"/>
      <c r="O2009" s="225"/>
      <c r="P2009" s="260"/>
      <c r="Q2009" s="258"/>
      <c r="R2009" s="260"/>
      <c r="S2009" s="260"/>
      <c r="T2009" s="260"/>
      <c r="U2009" s="260"/>
      <c r="V2009" s="260"/>
      <c r="W2009" s="260"/>
      <c r="X2009" s="260"/>
      <c r="Y2009" s="260"/>
      <c r="Z2009" s="260"/>
      <c r="AA2009" s="260"/>
      <c r="AB2009" s="260"/>
      <c r="AC2009" s="260"/>
      <c r="AD2009" s="260"/>
      <c r="AE2009" s="260"/>
      <c r="AF2009" s="260"/>
      <c r="AG2009" s="258"/>
    </row>
    <row r="2010" spans="13:33" ht="12" hidden="1" customHeight="1">
      <c r="M2010" s="820"/>
      <c r="N2010" s="239"/>
      <c r="O2010" s="225"/>
      <c r="P2010" s="260"/>
      <c r="Q2010" s="258"/>
      <c r="R2010" s="260"/>
      <c r="S2010" s="260"/>
      <c r="T2010" s="260"/>
      <c r="U2010" s="260"/>
      <c r="V2010" s="260"/>
      <c r="W2010" s="260"/>
      <c r="X2010" s="260"/>
      <c r="Y2010" s="260"/>
      <c r="Z2010" s="260"/>
      <c r="AA2010" s="260"/>
      <c r="AB2010" s="260"/>
      <c r="AC2010" s="260"/>
      <c r="AD2010" s="260"/>
      <c r="AE2010" s="260"/>
      <c r="AF2010" s="260"/>
      <c r="AG2010" s="258"/>
    </row>
    <row r="2011" spans="13:33" ht="12" hidden="1" customHeight="1">
      <c r="M2011" s="820"/>
      <c r="N2011" s="239"/>
      <c r="O2011" s="225"/>
      <c r="P2011" s="260"/>
      <c r="Q2011" s="258"/>
      <c r="R2011" s="260"/>
      <c r="S2011" s="260"/>
      <c r="T2011" s="260"/>
      <c r="U2011" s="260"/>
      <c r="V2011" s="260"/>
      <c r="W2011" s="260"/>
      <c r="X2011" s="260"/>
      <c r="Y2011" s="260"/>
      <c r="Z2011" s="260"/>
      <c r="AA2011" s="260"/>
      <c r="AB2011" s="260"/>
      <c r="AC2011" s="260"/>
      <c r="AD2011" s="260"/>
      <c r="AE2011" s="260"/>
      <c r="AF2011" s="260"/>
      <c r="AG2011" s="258"/>
    </row>
    <row r="2012" spans="13:33" ht="12" hidden="1" customHeight="1">
      <c r="M2012" s="820"/>
      <c r="N2012" s="239"/>
      <c r="O2012" s="225"/>
      <c r="P2012" s="260"/>
      <c r="Q2012" s="258"/>
      <c r="R2012" s="260"/>
      <c r="S2012" s="260"/>
      <c r="T2012" s="260"/>
      <c r="U2012" s="260"/>
      <c r="V2012" s="260"/>
      <c r="W2012" s="260"/>
      <c r="X2012" s="260"/>
      <c r="Y2012" s="260"/>
      <c r="Z2012" s="260"/>
      <c r="AA2012" s="260"/>
      <c r="AB2012" s="260"/>
      <c r="AC2012" s="260"/>
      <c r="AD2012" s="260"/>
      <c r="AE2012" s="260"/>
      <c r="AF2012" s="260"/>
      <c r="AG2012" s="258"/>
    </row>
    <row r="2013" spans="13:33" ht="12" hidden="1" customHeight="1">
      <c r="M2013" s="820"/>
      <c r="N2013" s="239"/>
      <c r="O2013" s="225"/>
      <c r="P2013" s="260"/>
      <c r="Q2013" s="258"/>
      <c r="R2013" s="260"/>
      <c r="S2013" s="260"/>
      <c r="T2013" s="260"/>
      <c r="U2013" s="260"/>
      <c r="V2013" s="260"/>
      <c r="W2013" s="260"/>
      <c r="X2013" s="260"/>
      <c r="Y2013" s="260"/>
      <c r="Z2013" s="260"/>
      <c r="AA2013" s="260"/>
      <c r="AB2013" s="260"/>
      <c r="AC2013" s="260"/>
      <c r="AD2013" s="260"/>
      <c r="AE2013" s="260"/>
      <c r="AF2013" s="260"/>
      <c r="AG2013" s="258"/>
    </row>
    <row r="2014" spans="13:33" ht="12" hidden="1" customHeight="1">
      <c r="M2014" s="820"/>
      <c r="N2014" s="239"/>
      <c r="O2014" s="225"/>
      <c r="P2014" s="260"/>
      <c r="Q2014" s="258"/>
      <c r="R2014" s="260"/>
      <c r="S2014" s="260"/>
      <c r="T2014" s="260"/>
      <c r="U2014" s="260"/>
      <c r="V2014" s="260"/>
      <c r="W2014" s="260"/>
      <c r="X2014" s="260"/>
      <c r="Y2014" s="260"/>
      <c r="Z2014" s="260"/>
      <c r="AA2014" s="260"/>
      <c r="AB2014" s="260"/>
      <c r="AC2014" s="260"/>
      <c r="AD2014" s="260"/>
      <c r="AE2014" s="260"/>
      <c r="AF2014" s="260"/>
      <c r="AG2014" s="258"/>
    </row>
    <row r="2015" spans="13:33" ht="12" hidden="1" customHeight="1">
      <c r="M2015" s="820"/>
      <c r="N2015" s="239"/>
      <c r="O2015" s="225"/>
      <c r="P2015" s="260"/>
      <c r="Q2015" s="258"/>
      <c r="R2015" s="260"/>
      <c r="S2015" s="260"/>
      <c r="T2015" s="260"/>
      <c r="U2015" s="260"/>
      <c r="V2015" s="260"/>
      <c r="W2015" s="260"/>
      <c r="X2015" s="260"/>
      <c r="Y2015" s="260"/>
      <c r="Z2015" s="260"/>
      <c r="AA2015" s="260"/>
      <c r="AB2015" s="260"/>
      <c r="AC2015" s="260"/>
      <c r="AD2015" s="260"/>
      <c r="AE2015" s="260"/>
      <c r="AF2015" s="260"/>
      <c r="AG2015" s="258"/>
    </row>
    <row r="2016" spans="13:33" ht="12" hidden="1" customHeight="1">
      <c r="M2016" s="820"/>
      <c r="N2016" s="239"/>
      <c r="O2016" s="225"/>
      <c r="P2016" s="260"/>
      <c r="Q2016" s="258"/>
      <c r="R2016" s="260"/>
      <c r="S2016" s="260"/>
      <c r="T2016" s="260"/>
      <c r="U2016" s="260"/>
      <c r="V2016" s="260"/>
      <c r="W2016" s="260"/>
      <c r="X2016" s="260"/>
      <c r="Y2016" s="260"/>
      <c r="Z2016" s="260"/>
      <c r="AA2016" s="260"/>
      <c r="AB2016" s="260"/>
      <c r="AC2016" s="260"/>
      <c r="AD2016" s="260"/>
      <c r="AE2016" s="260"/>
      <c r="AF2016" s="260"/>
      <c r="AG2016" s="258"/>
    </row>
    <row r="2017" spans="13:33" ht="12" hidden="1" customHeight="1">
      <c r="M2017" s="820"/>
      <c r="N2017" s="239"/>
      <c r="O2017" s="225"/>
      <c r="P2017" s="260"/>
      <c r="Q2017" s="258"/>
      <c r="R2017" s="260"/>
      <c r="S2017" s="260"/>
      <c r="T2017" s="260"/>
      <c r="U2017" s="260"/>
      <c r="V2017" s="260"/>
      <c r="W2017" s="260"/>
      <c r="X2017" s="260"/>
      <c r="Y2017" s="260"/>
      <c r="Z2017" s="260"/>
      <c r="AA2017" s="260"/>
      <c r="AB2017" s="260"/>
      <c r="AC2017" s="260"/>
      <c r="AD2017" s="260"/>
      <c r="AE2017" s="260"/>
      <c r="AF2017" s="260"/>
      <c r="AG2017" s="258"/>
    </row>
    <row r="2018" spans="13:33" ht="12" hidden="1" customHeight="1">
      <c r="M2018" s="820"/>
      <c r="N2018" s="239"/>
      <c r="O2018" s="225"/>
      <c r="P2018" s="260"/>
      <c r="Q2018" s="258"/>
      <c r="R2018" s="260"/>
      <c r="S2018" s="260"/>
      <c r="T2018" s="260"/>
      <c r="U2018" s="260"/>
      <c r="V2018" s="260"/>
      <c r="W2018" s="260"/>
      <c r="X2018" s="260"/>
      <c r="Y2018" s="260"/>
      <c r="Z2018" s="260"/>
      <c r="AA2018" s="260"/>
      <c r="AB2018" s="260"/>
      <c r="AC2018" s="260"/>
      <c r="AD2018" s="260"/>
      <c r="AE2018" s="260"/>
      <c r="AF2018" s="260"/>
      <c r="AG2018" s="258"/>
    </row>
    <row r="2019" spans="13:33" ht="12" hidden="1" customHeight="1">
      <c r="M2019" s="820"/>
      <c r="N2019" s="239"/>
      <c r="O2019" s="225"/>
      <c r="P2019" s="260"/>
      <c r="Q2019" s="258"/>
      <c r="R2019" s="260"/>
      <c r="S2019" s="260"/>
      <c r="T2019" s="260"/>
      <c r="U2019" s="260"/>
      <c r="V2019" s="260"/>
      <c r="W2019" s="260"/>
      <c r="X2019" s="260"/>
      <c r="Y2019" s="260"/>
      <c r="Z2019" s="260"/>
      <c r="AA2019" s="260"/>
      <c r="AB2019" s="260"/>
      <c r="AC2019" s="260"/>
      <c r="AD2019" s="260"/>
      <c r="AE2019" s="260"/>
      <c r="AF2019" s="260"/>
      <c r="AG2019" s="258"/>
    </row>
    <row r="2020" spans="13:33" ht="12" hidden="1" customHeight="1">
      <c r="M2020" s="820"/>
      <c r="N2020" s="239"/>
      <c r="O2020" s="225"/>
      <c r="P2020" s="260"/>
      <c r="Q2020" s="258"/>
      <c r="R2020" s="260"/>
      <c r="S2020" s="260"/>
      <c r="T2020" s="260"/>
      <c r="U2020" s="260"/>
      <c r="V2020" s="260"/>
      <c r="W2020" s="260"/>
      <c r="X2020" s="260"/>
      <c r="Y2020" s="260"/>
      <c r="Z2020" s="260"/>
      <c r="AA2020" s="260"/>
      <c r="AB2020" s="260"/>
      <c r="AC2020" s="260"/>
      <c r="AD2020" s="260"/>
      <c r="AE2020" s="260"/>
      <c r="AF2020" s="260"/>
      <c r="AG2020" s="258"/>
    </row>
    <row r="2021" spans="13:33" ht="12" hidden="1" customHeight="1">
      <c r="M2021" s="820"/>
      <c r="N2021" s="239"/>
      <c r="O2021" s="225"/>
      <c r="P2021" s="260"/>
      <c r="Q2021" s="258"/>
      <c r="R2021" s="260"/>
      <c r="S2021" s="260"/>
      <c r="T2021" s="260"/>
      <c r="U2021" s="260"/>
      <c r="V2021" s="260"/>
      <c r="W2021" s="260"/>
      <c r="X2021" s="260"/>
      <c r="Y2021" s="260"/>
      <c r="Z2021" s="260"/>
      <c r="AA2021" s="260"/>
      <c r="AB2021" s="260"/>
      <c r="AC2021" s="260"/>
      <c r="AD2021" s="260"/>
      <c r="AE2021" s="260"/>
      <c r="AF2021" s="260"/>
      <c r="AG2021" s="258"/>
    </row>
    <row r="2022" spans="13:33" ht="12" hidden="1" customHeight="1">
      <c r="M2022" s="820"/>
      <c r="N2022" s="239"/>
      <c r="O2022" s="225"/>
      <c r="P2022" s="260"/>
      <c r="Q2022" s="258"/>
      <c r="R2022" s="260"/>
      <c r="S2022" s="260"/>
      <c r="T2022" s="260"/>
      <c r="U2022" s="260"/>
      <c r="V2022" s="260"/>
      <c r="W2022" s="260"/>
      <c r="X2022" s="260"/>
      <c r="Y2022" s="260"/>
      <c r="Z2022" s="260"/>
      <c r="AA2022" s="260"/>
      <c r="AB2022" s="260"/>
      <c r="AC2022" s="260"/>
      <c r="AD2022" s="260"/>
      <c r="AE2022" s="260"/>
      <c r="AF2022" s="260"/>
      <c r="AG2022" s="258"/>
    </row>
    <row r="2023" spans="13:33" ht="12" hidden="1" customHeight="1">
      <c r="M2023" s="820"/>
      <c r="N2023" s="239"/>
      <c r="O2023" s="225"/>
      <c r="P2023" s="260"/>
      <c r="Q2023" s="258"/>
      <c r="R2023" s="260"/>
      <c r="S2023" s="260"/>
      <c r="T2023" s="260"/>
      <c r="U2023" s="260"/>
      <c r="V2023" s="260"/>
      <c r="W2023" s="260"/>
      <c r="X2023" s="260"/>
      <c r="Y2023" s="260"/>
      <c r="Z2023" s="260"/>
      <c r="AA2023" s="260"/>
      <c r="AB2023" s="260"/>
      <c r="AC2023" s="260"/>
      <c r="AD2023" s="260"/>
      <c r="AE2023" s="260"/>
      <c r="AF2023" s="260"/>
      <c r="AG2023" s="258"/>
    </row>
    <row r="2024" spans="13:33" ht="12" hidden="1" customHeight="1">
      <c r="M2024" s="820"/>
      <c r="N2024" s="239"/>
      <c r="O2024" s="225"/>
      <c r="P2024" s="260"/>
      <c r="Q2024" s="258"/>
      <c r="R2024" s="260"/>
      <c r="S2024" s="260"/>
      <c r="T2024" s="260"/>
      <c r="U2024" s="260"/>
      <c r="V2024" s="260"/>
      <c r="W2024" s="260"/>
      <c r="X2024" s="260"/>
      <c r="Y2024" s="260"/>
      <c r="Z2024" s="260"/>
      <c r="AA2024" s="260"/>
      <c r="AB2024" s="260"/>
      <c r="AC2024" s="260"/>
      <c r="AD2024" s="260"/>
      <c r="AE2024" s="260"/>
      <c r="AF2024" s="260"/>
      <c r="AG2024" s="258"/>
    </row>
    <row r="2025" spans="13:33" ht="12" hidden="1" customHeight="1">
      <c r="M2025" s="820"/>
      <c r="N2025" s="239"/>
      <c r="O2025" s="225"/>
      <c r="P2025" s="260"/>
      <c r="Q2025" s="258"/>
      <c r="R2025" s="260"/>
      <c r="S2025" s="260"/>
      <c r="T2025" s="260"/>
      <c r="U2025" s="260"/>
      <c r="V2025" s="260"/>
      <c r="W2025" s="260"/>
      <c r="X2025" s="260"/>
      <c r="Y2025" s="260"/>
      <c r="Z2025" s="260"/>
      <c r="AA2025" s="260"/>
      <c r="AB2025" s="260"/>
      <c r="AC2025" s="260"/>
      <c r="AD2025" s="260"/>
      <c r="AE2025" s="260"/>
      <c r="AF2025" s="260"/>
      <c r="AG2025" s="258"/>
    </row>
    <row r="2026" spans="13:33" ht="12" hidden="1" customHeight="1">
      <c r="M2026" s="820"/>
      <c r="N2026" s="239"/>
      <c r="O2026" s="225"/>
      <c r="P2026" s="260"/>
      <c r="Q2026" s="258"/>
      <c r="R2026" s="260"/>
      <c r="S2026" s="260"/>
      <c r="T2026" s="260"/>
      <c r="U2026" s="260"/>
      <c r="V2026" s="260"/>
      <c r="W2026" s="260"/>
      <c r="X2026" s="260"/>
      <c r="Y2026" s="260"/>
      <c r="Z2026" s="260"/>
      <c r="AA2026" s="260"/>
      <c r="AB2026" s="260"/>
      <c r="AC2026" s="260"/>
      <c r="AD2026" s="260"/>
      <c r="AE2026" s="260"/>
      <c r="AF2026" s="260"/>
      <c r="AG2026" s="258"/>
    </row>
    <row r="2027" spans="13:33" ht="12" hidden="1" customHeight="1">
      <c r="M2027" s="820"/>
      <c r="N2027" s="239"/>
      <c r="O2027" s="225"/>
      <c r="P2027" s="260"/>
      <c r="Q2027" s="258"/>
      <c r="R2027" s="260"/>
      <c r="S2027" s="260"/>
      <c r="T2027" s="260"/>
      <c r="U2027" s="260"/>
      <c r="V2027" s="260"/>
      <c r="W2027" s="260"/>
      <c r="X2027" s="260"/>
      <c r="Y2027" s="260"/>
      <c r="Z2027" s="260"/>
      <c r="AA2027" s="260"/>
      <c r="AB2027" s="260"/>
      <c r="AC2027" s="260"/>
      <c r="AD2027" s="260"/>
      <c r="AE2027" s="260"/>
      <c r="AF2027" s="260"/>
      <c r="AG2027" s="258"/>
    </row>
    <row r="2028" spans="13:33" ht="12" hidden="1" customHeight="1">
      <c r="M2028" s="820"/>
      <c r="N2028" s="239"/>
      <c r="O2028" s="225"/>
      <c r="P2028" s="260"/>
      <c r="Q2028" s="258"/>
      <c r="R2028" s="260"/>
      <c r="S2028" s="260"/>
      <c r="T2028" s="260"/>
      <c r="U2028" s="260"/>
      <c r="V2028" s="260"/>
      <c r="W2028" s="260"/>
      <c r="X2028" s="260"/>
      <c r="Y2028" s="260"/>
      <c r="Z2028" s="260"/>
      <c r="AA2028" s="260"/>
      <c r="AB2028" s="260"/>
      <c r="AC2028" s="260"/>
      <c r="AD2028" s="260"/>
      <c r="AE2028" s="260"/>
      <c r="AF2028" s="260"/>
      <c r="AG2028" s="258"/>
    </row>
    <row r="2029" spans="13:33" ht="12" hidden="1" customHeight="1">
      <c r="M2029" s="820"/>
      <c r="N2029" s="239"/>
      <c r="O2029" s="225"/>
      <c r="P2029" s="260"/>
      <c r="Q2029" s="258"/>
      <c r="R2029" s="260"/>
      <c r="S2029" s="260"/>
      <c r="T2029" s="260"/>
      <c r="U2029" s="260"/>
      <c r="V2029" s="260"/>
      <c r="W2029" s="260"/>
      <c r="X2029" s="260"/>
      <c r="Y2029" s="260"/>
      <c r="Z2029" s="260"/>
      <c r="AA2029" s="260"/>
      <c r="AB2029" s="260"/>
      <c r="AC2029" s="260"/>
      <c r="AD2029" s="260"/>
      <c r="AE2029" s="260"/>
      <c r="AF2029" s="260"/>
      <c r="AG2029" s="258"/>
    </row>
    <row r="2030" spans="13:33" ht="12" hidden="1" customHeight="1">
      <c r="M2030" s="820"/>
      <c r="N2030" s="239"/>
      <c r="O2030" s="225"/>
      <c r="P2030" s="260"/>
      <c r="Q2030" s="258"/>
      <c r="R2030" s="260"/>
      <c r="S2030" s="260"/>
      <c r="T2030" s="260"/>
      <c r="U2030" s="260"/>
      <c r="V2030" s="260"/>
      <c r="W2030" s="260"/>
      <c r="X2030" s="260"/>
      <c r="Y2030" s="260"/>
      <c r="Z2030" s="260"/>
      <c r="AA2030" s="260"/>
      <c r="AB2030" s="260"/>
      <c r="AC2030" s="260"/>
      <c r="AD2030" s="260"/>
      <c r="AE2030" s="260"/>
      <c r="AF2030" s="260"/>
      <c r="AG2030" s="258"/>
    </row>
    <row r="2031" spans="13:33" ht="12" hidden="1" customHeight="1">
      <c r="M2031" s="820"/>
      <c r="N2031" s="239"/>
      <c r="O2031" s="225"/>
      <c r="P2031" s="260"/>
      <c r="Q2031" s="258"/>
      <c r="R2031" s="260"/>
      <c r="S2031" s="260"/>
      <c r="T2031" s="260"/>
      <c r="U2031" s="260"/>
      <c r="V2031" s="260"/>
      <c r="W2031" s="260"/>
      <c r="X2031" s="260"/>
      <c r="Y2031" s="260"/>
      <c r="Z2031" s="260"/>
      <c r="AA2031" s="260"/>
      <c r="AB2031" s="260"/>
      <c r="AC2031" s="260"/>
      <c r="AD2031" s="260"/>
      <c r="AE2031" s="260"/>
      <c r="AF2031" s="260"/>
      <c r="AG2031" s="258"/>
    </row>
    <row r="2032" spans="13:33" ht="12" hidden="1" customHeight="1">
      <c r="M2032" s="820"/>
      <c r="N2032" s="239"/>
      <c r="O2032" s="225"/>
      <c r="P2032" s="260"/>
      <c r="Q2032" s="258"/>
      <c r="R2032" s="260"/>
      <c r="S2032" s="260"/>
      <c r="T2032" s="260"/>
      <c r="U2032" s="260"/>
      <c r="V2032" s="260"/>
      <c r="W2032" s="260"/>
      <c r="X2032" s="260"/>
      <c r="Y2032" s="260"/>
      <c r="Z2032" s="260"/>
      <c r="AA2032" s="260"/>
      <c r="AB2032" s="260"/>
      <c r="AC2032" s="260"/>
      <c r="AD2032" s="260"/>
      <c r="AE2032" s="260"/>
      <c r="AF2032" s="260"/>
      <c r="AG2032" s="258"/>
    </row>
    <row r="2033" spans="13:33" ht="12" hidden="1" customHeight="1">
      <c r="M2033" s="820"/>
      <c r="N2033" s="239"/>
      <c r="O2033" s="225"/>
      <c r="P2033" s="260"/>
      <c r="Q2033" s="258"/>
      <c r="R2033" s="260"/>
      <c r="S2033" s="260"/>
      <c r="T2033" s="260"/>
      <c r="U2033" s="260"/>
      <c r="V2033" s="260"/>
      <c r="W2033" s="260"/>
      <c r="X2033" s="260"/>
      <c r="Y2033" s="260"/>
      <c r="Z2033" s="260"/>
      <c r="AA2033" s="260"/>
      <c r="AB2033" s="260"/>
      <c r="AC2033" s="260"/>
      <c r="AD2033" s="260"/>
      <c r="AE2033" s="260"/>
      <c r="AF2033" s="260"/>
      <c r="AG2033" s="258"/>
    </row>
    <row r="2034" spans="13:33" ht="12" hidden="1" customHeight="1">
      <c r="M2034" s="820"/>
      <c r="N2034" s="239"/>
      <c r="O2034" s="225"/>
      <c r="P2034" s="260"/>
      <c r="Q2034" s="258"/>
      <c r="R2034" s="260"/>
      <c r="S2034" s="260"/>
      <c r="T2034" s="260"/>
      <c r="U2034" s="260"/>
      <c r="V2034" s="260"/>
      <c r="W2034" s="260"/>
      <c r="X2034" s="260"/>
      <c r="Y2034" s="260"/>
      <c r="Z2034" s="260"/>
      <c r="AA2034" s="260"/>
      <c r="AB2034" s="260"/>
      <c r="AC2034" s="260"/>
      <c r="AD2034" s="260"/>
      <c r="AE2034" s="260"/>
      <c r="AF2034" s="260"/>
      <c r="AG2034" s="258"/>
    </row>
    <row r="2035" spans="13:33" ht="12" hidden="1" customHeight="1">
      <c r="M2035" s="820"/>
      <c r="N2035" s="239"/>
      <c r="O2035" s="225"/>
      <c r="P2035" s="260"/>
      <c r="Q2035" s="258"/>
      <c r="R2035" s="260"/>
      <c r="S2035" s="260"/>
      <c r="T2035" s="260"/>
      <c r="U2035" s="260"/>
      <c r="V2035" s="260"/>
      <c r="W2035" s="260"/>
      <c r="X2035" s="260"/>
      <c r="Y2035" s="260"/>
      <c r="Z2035" s="260"/>
      <c r="AA2035" s="260"/>
      <c r="AB2035" s="260"/>
      <c r="AC2035" s="260"/>
      <c r="AD2035" s="260"/>
      <c r="AE2035" s="260"/>
      <c r="AF2035" s="260"/>
      <c r="AG2035" s="258"/>
    </row>
    <row r="2036" spans="13:33" ht="12" hidden="1" customHeight="1">
      <c r="M2036" s="820"/>
      <c r="N2036" s="239"/>
      <c r="O2036" s="225"/>
      <c r="P2036" s="260"/>
      <c r="Q2036" s="258"/>
      <c r="R2036" s="260"/>
      <c r="S2036" s="260"/>
      <c r="T2036" s="260"/>
      <c r="U2036" s="260"/>
      <c r="V2036" s="260"/>
      <c r="W2036" s="260"/>
      <c r="X2036" s="260"/>
      <c r="Y2036" s="260"/>
      <c r="Z2036" s="260"/>
      <c r="AA2036" s="260"/>
      <c r="AB2036" s="260"/>
      <c r="AC2036" s="260"/>
      <c r="AD2036" s="260"/>
      <c r="AE2036" s="260"/>
      <c r="AF2036" s="260"/>
      <c r="AG2036" s="258"/>
    </row>
    <row r="2037" spans="13:33" ht="12" hidden="1" customHeight="1">
      <c r="M2037" s="820"/>
      <c r="N2037" s="239"/>
      <c r="O2037" s="225"/>
      <c r="P2037" s="260"/>
      <c r="Q2037" s="258"/>
      <c r="R2037" s="260"/>
      <c r="S2037" s="260"/>
      <c r="T2037" s="260"/>
      <c r="U2037" s="260"/>
      <c r="V2037" s="260"/>
      <c r="W2037" s="260"/>
      <c r="X2037" s="260"/>
      <c r="Y2037" s="260"/>
      <c r="Z2037" s="260"/>
      <c r="AA2037" s="260"/>
      <c r="AB2037" s="260"/>
      <c r="AC2037" s="260"/>
      <c r="AD2037" s="260"/>
      <c r="AE2037" s="260"/>
      <c r="AF2037" s="260"/>
      <c r="AG2037" s="258"/>
    </row>
    <row r="2038" spans="13:33" ht="12" hidden="1" customHeight="1">
      <c r="M2038" s="820"/>
      <c r="N2038" s="239"/>
      <c r="O2038" s="225"/>
      <c r="P2038" s="260"/>
      <c r="Q2038" s="258"/>
      <c r="R2038" s="260"/>
      <c r="S2038" s="260"/>
      <c r="T2038" s="260"/>
      <c r="U2038" s="260"/>
      <c r="V2038" s="260"/>
      <c r="W2038" s="260"/>
      <c r="X2038" s="260"/>
      <c r="Y2038" s="260"/>
      <c r="Z2038" s="260"/>
      <c r="AA2038" s="260"/>
      <c r="AB2038" s="260"/>
      <c r="AC2038" s="260"/>
      <c r="AD2038" s="260"/>
      <c r="AE2038" s="260"/>
      <c r="AF2038" s="260"/>
      <c r="AG2038" s="258"/>
    </row>
    <row r="2039" spans="13:33" ht="12" hidden="1" customHeight="1">
      <c r="M2039" s="820"/>
      <c r="N2039" s="239"/>
      <c r="O2039" s="225"/>
      <c r="P2039" s="260"/>
      <c r="Q2039" s="258"/>
      <c r="R2039" s="260"/>
      <c r="S2039" s="260"/>
      <c r="T2039" s="260"/>
      <c r="U2039" s="260"/>
      <c r="V2039" s="260"/>
      <c r="W2039" s="260"/>
      <c r="X2039" s="260"/>
      <c r="Y2039" s="260"/>
      <c r="Z2039" s="260"/>
      <c r="AA2039" s="260"/>
      <c r="AB2039" s="260"/>
      <c r="AC2039" s="260"/>
      <c r="AD2039" s="260"/>
      <c r="AE2039" s="260"/>
      <c r="AF2039" s="260"/>
      <c r="AG2039" s="258"/>
    </row>
    <row r="2040" spans="13:33" ht="12" hidden="1" customHeight="1">
      <c r="M2040" s="820"/>
      <c r="N2040" s="239"/>
      <c r="O2040" s="225"/>
      <c r="P2040" s="260"/>
      <c r="Q2040" s="258"/>
      <c r="R2040" s="260"/>
      <c r="S2040" s="260"/>
      <c r="T2040" s="260"/>
      <c r="U2040" s="260"/>
      <c r="V2040" s="260"/>
      <c r="W2040" s="260"/>
      <c r="X2040" s="260"/>
      <c r="Y2040" s="260"/>
      <c r="Z2040" s="260"/>
      <c r="AA2040" s="260"/>
      <c r="AB2040" s="260"/>
      <c r="AC2040" s="260"/>
      <c r="AD2040" s="260"/>
      <c r="AE2040" s="260"/>
      <c r="AF2040" s="260"/>
      <c r="AG2040" s="258"/>
    </row>
    <row r="2041" spans="13:33" ht="12" hidden="1" customHeight="1">
      <c r="M2041" s="820"/>
      <c r="N2041" s="239"/>
      <c r="O2041" s="225"/>
      <c r="P2041" s="260"/>
      <c r="Q2041" s="258"/>
      <c r="R2041" s="260"/>
      <c r="S2041" s="260"/>
      <c r="T2041" s="260"/>
      <c r="U2041" s="260"/>
      <c r="V2041" s="260"/>
      <c r="W2041" s="260"/>
      <c r="X2041" s="260"/>
      <c r="Y2041" s="260"/>
      <c r="Z2041" s="260"/>
      <c r="AA2041" s="260"/>
      <c r="AB2041" s="260"/>
      <c r="AC2041" s="260"/>
      <c r="AD2041" s="260"/>
      <c r="AE2041" s="260"/>
      <c r="AF2041" s="260"/>
      <c r="AG2041" s="258"/>
    </row>
    <row r="2042" spans="13:33" ht="12" hidden="1" customHeight="1">
      <c r="M2042" s="820"/>
      <c r="N2042" s="239"/>
      <c r="O2042" s="225"/>
      <c r="P2042" s="260"/>
      <c r="Q2042" s="258"/>
      <c r="R2042" s="260"/>
      <c r="S2042" s="260"/>
      <c r="T2042" s="260"/>
      <c r="U2042" s="260"/>
      <c r="V2042" s="260"/>
      <c r="W2042" s="260"/>
      <c r="X2042" s="260"/>
      <c r="Y2042" s="260"/>
      <c r="Z2042" s="260"/>
      <c r="AA2042" s="260"/>
      <c r="AB2042" s="260"/>
      <c r="AC2042" s="260"/>
      <c r="AD2042" s="260"/>
      <c r="AE2042" s="260"/>
      <c r="AF2042" s="260"/>
      <c r="AG2042" s="258"/>
    </row>
    <row r="2043" spans="13:33" ht="12" hidden="1" customHeight="1">
      <c r="M2043" s="820"/>
      <c r="N2043" s="239"/>
      <c r="O2043" s="225"/>
      <c r="P2043" s="260"/>
      <c r="Q2043" s="258"/>
      <c r="R2043" s="260"/>
      <c r="S2043" s="260"/>
      <c r="T2043" s="260"/>
      <c r="U2043" s="260"/>
      <c r="V2043" s="260"/>
      <c r="W2043" s="260"/>
      <c r="X2043" s="260"/>
      <c r="Y2043" s="260"/>
      <c r="Z2043" s="260"/>
      <c r="AA2043" s="260"/>
      <c r="AB2043" s="260"/>
      <c r="AC2043" s="260"/>
      <c r="AD2043" s="260"/>
      <c r="AE2043" s="260"/>
      <c r="AF2043" s="260"/>
      <c r="AG2043" s="258"/>
    </row>
    <row r="2044" spans="13:33" ht="12" hidden="1" customHeight="1">
      <c r="M2044" s="820"/>
      <c r="N2044" s="239"/>
      <c r="O2044" s="225"/>
      <c r="P2044" s="260"/>
      <c r="Q2044" s="258"/>
      <c r="R2044" s="260"/>
      <c r="S2044" s="260"/>
      <c r="T2044" s="260"/>
      <c r="U2044" s="260"/>
      <c r="V2044" s="260"/>
      <c r="W2044" s="260"/>
      <c r="X2044" s="260"/>
      <c r="Y2044" s="260"/>
      <c r="Z2044" s="260"/>
      <c r="AA2044" s="260"/>
      <c r="AB2044" s="260"/>
      <c r="AC2044" s="260"/>
      <c r="AD2044" s="260"/>
      <c r="AE2044" s="260"/>
      <c r="AF2044" s="260"/>
      <c r="AG2044" s="258"/>
    </row>
    <row r="2045" spans="13:33" ht="12" hidden="1" customHeight="1">
      <c r="M2045" s="820"/>
      <c r="N2045" s="239"/>
      <c r="O2045" s="225"/>
      <c r="P2045" s="260"/>
      <c r="Q2045" s="258"/>
      <c r="R2045" s="260"/>
      <c r="S2045" s="260"/>
      <c r="T2045" s="260"/>
      <c r="U2045" s="260"/>
      <c r="V2045" s="260"/>
      <c r="W2045" s="260"/>
      <c r="X2045" s="260"/>
      <c r="Y2045" s="260"/>
      <c r="Z2045" s="260"/>
      <c r="AA2045" s="260"/>
      <c r="AB2045" s="260"/>
      <c r="AC2045" s="260"/>
      <c r="AD2045" s="260"/>
      <c r="AE2045" s="260"/>
      <c r="AF2045" s="260"/>
      <c r="AG2045" s="258"/>
    </row>
    <row r="2046" spans="13:33" ht="12" hidden="1" customHeight="1">
      <c r="M2046" s="820"/>
      <c r="N2046" s="239"/>
      <c r="O2046" s="225"/>
      <c r="P2046" s="260"/>
      <c r="Q2046" s="258"/>
      <c r="R2046" s="260"/>
      <c r="S2046" s="260"/>
      <c r="T2046" s="260"/>
      <c r="U2046" s="260"/>
      <c r="V2046" s="260"/>
      <c r="W2046" s="260"/>
      <c r="X2046" s="260"/>
      <c r="Y2046" s="260"/>
      <c r="Z2046" s="260"/>
      <c r="AA2046" s="260"/>
      <c r="AB2046" s="260"/>
      <c r="AC2046" s="260"/>
      <c r="AD2046" s="260"/>
      <c r="AE2046" s="260"/>
      <c r="AF2046" s="260"/>
      <c r="AG2046" s="258"/>
    </row>
    <row r="2047" spans="13:33" ht="12" hidden="1" customHeight="1">
      <c r="M2047" s="820"/>
      <c r="N2047" s="239"/>
      <c r="O2047" s="225"/>
      <c r="P2047" s="260"/>
      <c r="Q2047" s="258"/>
      <c r="R2047" s="260"/>
      <c r="S2047" s="260"/>
      <c r="T2047" s="260"/>
      <c r="U2047" s="260"/>
      <c r="V2047" s="260"/>
      <c r="W2047" s="260"/>
      <c r="X2047" s="260"/>
      <c r="Y2047" s="260"/>
      <c r="Z2047" s="260"/>
      <c r="AA2047" s="260"/>
      <c r="AB2047" s="260"/>
      <c r="AC2047" s="260"/>
      <c r="AD2047" s="260"/>
      <c r="AE2047" s="260"/>
      <c r="AF2047" s="260"/>
      <c r="AG2047" s="258"/>
    </row>
    <row r="2048" spans="13:33" ht="12" hidden="1" customHeight="1">
      <c r="M2048" s="820"/>
      <c r="N2048" s="239"/>
      <c r="O2048" s="225"/>
      <c r="P2048" s="260"/>
      <c r="Q2048" s="258"/>
      <c r="R2048" s="260"/>
      <c r="S2048" s="260"/>
      <c r="T2048" s="260"/>
      <c r="U2048" s="260"/>
      <c r="V2048" s="260"/>
      <c r="W2048" s="260"/>
      <c r="X2048" s="260"/>
      <c r="Y2048" s="260"/>
      <c r="Z2048" s="260"/>
      <c r="AA2048" s="260"/>
      <c r="AB2048" s="260"/>
      <c r="AC2048" s="260"/>
      <c r="AD2048" s="260"/>
      <c r="AE2048" s="260"/>
      <c r="AF2048" s="260"/>
      <c r="AG2048" s="258"/>
    </row>
    <row r="2049" spans="13:33" ht="12" hidden="1" customHeight="1">
      <c r="M2049" s="820"/>
      <c r="N2049" s="239"/>
      <c r="O2049" s="225"/>
      <c r="P2049" s="260"/>
      <c r="Q2049" s="258"/>
      <c r="R2049" s="260"/>
      <c r="S2049" s="260"/>
      <c r="T2049" s="260"/>
      <c r="U2049" s="260"/>
      <c r="V2049" s="260"/>
      <c r="W2049" s="260"/>
      <c r="X2049" s="260"/>
      <c r="Y2049" s="260"/>
      <c r="Z2049" s="260"/>
      <c r="AA2049" s="260"/>
      <c r="AB2049" s="260"/>
      <c r="AC2049" s="260"/>
      <c r="AD2049" s="260"/>
      <c r="AE2049" s="260"/>
      <c r="AF2049" s="260"/>
      <c r="AG2049" s="258"/>
    </row>
    <row r="2050" spans="13:33" ht="12" hidden="1" customHeight="1">
      <c r="M2050" s="820"/>
      <c r="N2050" s="239"/>
      <c r="O2050" s="225"/>
      <c r="P2050" s="260"/>
      <c r="Q2050" s="258"/>
      <c r="R2050" s="260"/>
      <c r="S2050" s="260"/>
      <c r="T2050" s="260"/>
      <c r="U2050" s="260"/>
      <c r="V2050" s="260"/>
      <c r="W2050" s="260"/>
      <c r="X2050" s="260"/>
      <c r="Y2050" s="260"/>
      <c r="Z2050" s="260"/>
      <c r="AA2050" s="260"/>
      <c r="AB2050" s="260"/>
      <c r="AC2050" s="260"/>
      <c r="AD2050" s="260"/>
      <c r="AE2050" s="260"/>
      <c r="AF2050" s="260"/>
      <c r="AG2050" s="258"/>
    </row>
    <row r="2051" spans="13:33" ht="12" hidden="1" customHeight="1">
      <c r="M2051" s="820"/>
      <c r="N2051" s="239"/>
      <c r="O2051" s="225"/>
      <c r="P2051" s="260"/>
      <c r="Q2051" s="258"/>
      <c r="R2051" s="260"/>
      <c r="S2051" s="260"/>
      <c r="T2051" s="260"/>
      <c r="U2051" s="260"/>
      <c r="V2051" s="260"/>
      <c r="W2051" s="260"/>
      <c r="X2051" s="260"/>
      <c r="Y2051" s="260"/>
      <c r="Z2051" s="260"/>
      <c r="AA2051" s="260"/>
      <c r="AB2051" s="260"/>
      <c r="AC2051" s="260"/>
      <c r="AD2051" s="260"/>
      <c r="AE2051" s="260"/>
      <c r="AF2051" s="260"/>
      <c r="AG2051" s="258"/>
    </row>
    <row r="2052" spans="13:33" ht="12" hidden="1" customHeight="1">
      <c r="M2052" s="820"/>
      <c r="N2052" s="239"/>
      <c r="O2052" s="225"/>
      <c r="P2052" s="260"/>
      <c r="Q2052" s="258"/>
      <c r="R2052" s="260"/>
      <c r="S2052" s="260"/>
      <c r="T2052" s="260"/>
      <c r="U2052" s="260"/>
      <c r="V2052" s="260"/>
      <c r="W2052" s="260"/>
      <c r="X2052" s="260"/>
      <c r="Y2052" s="260"/>
      <c r="Z2052" s="260"/>
      <c r="AA2052" s="260"/>
      <c r="AB2052" s="260"/>
      <c r="AC2052" s="260"/>
      <c r="AD2052" s="260"/>
      <c r="AE2052" s="260"/>
      <c r="AF2052" s="260"/>
      <c r="AG2052" s="258"/>
    </row>
    <row r="2053" spans="13:33" ht="12" hidden="1" customHeight="1">
      <c r="M2053" s="820"/>
      <c r="N2053" s="239"/>
      <c r="O2053" s="225"/>
      <c r="P2053" s="260"/>
      <c r="Q2053" s="258"/>
      <c r="R2053" s="260"/>
      <c r="S2053" s="260"/>
      <c r="T2053" s="260"/>
      <c r="U2053" s="260"/>
      <c r="V2053" s="260"/>
      <c r="W2053" s="260"/>
      <c r="X2053" s="260"/>
      <c r="Y2053" s="260"/>
      <c r="Z2053" s="260"/>
      <c r="AA2053" s="260"/>
      <c r="AB2053" s="260"/>
      <c r="AC2053" s="260"/>
      <c r="AD2053" s="260"/>
      <c r="AE2053" s="260"/>
      <c r="AF2053" s="260"/>
      <c r="AG2053" s="258"/>
    </row>
    <row r="2054" spans="13:33" ht="12" hidden="1" customHeight="1">
      <c r="M2054" s="820"/>
      <c r="N2054" s="239"/>
      <c r="O2054" s="225"/>
      <c r="P2054" s="260"/>
      <c r="Q2054" s="258"/>
      <c r="R2054" s="260"/>
      <c r="S2054" s="260"/>
      <c r="T2054" s="260"/>
      <c r="U2054" s="260"/>
      <c r="V2054" s="260"/>
      <c r="W2054" s="260"/>
      <c r="X2054" s="260"/>
      <c r="Y2054" s="260"/>
      <c r="Z2054" s="260"/>
      <c r="AA2054" s="260"/>
      <c r="AB2054" s="260"/>
      <c r="AC2054" s="260"/>
      <c r="AD2054" s="260"/>
      <c r="AE2054" s="260"/>
      <c r="AF2054" s="260"/>
      <c r="AG2054" s="258"/>
    </row>
    <row r="2055" spans="13:33" ht="12" hidden="1" customHeight="1">
      <c r="M2055" s="820"/>
      <c r="N2055" s="239"/>
      <c r="O2055" s="225"/>
      <c r="P2055" s="260"/>
      <c r="Q2055" s="258"/>
      <c r="R2055" s="260"/>
      <c r="S2055" s="260"/>
      <c r="T2055" s="260"/>
      <c r="U2055" s="260"/>
      <c r="V2055" s="260"/>
      <c r="W2055" s="260"/>
      <c r="X2055" s="260"/>
      <c r="Y2055" s="260"/>
      <c r="Z2055" s="260"/>
      <c r="AA2055" s="260"/>
      <c r="AB2055" s="260"/>
      <c r="AC2055" s="260"/>
      <c r="AD2055" s="260"/>
      <c r="AE2055" s="260"/>
      <c r="AF2055" s="260"/>
      <c r="AG2055" s="258"/>
    </row>
    <row r="2056" spans="13:33" ht="12" hidden="1" customHeight="1">
      <c r="M2056" s="820"/>
      <c r="N2056" s="239"/>
      <c r="O2056" s="225"/>
      <c r="P2056" s="260"/>
      <c r="Q2056" s="258"/>
      <c r="R2056" s="260"/>
      <c r="S2056" s="260"/>
      <c r="T2056" s="260"/>
      <c r="U2056" s="260"/>
      <c r="V2056" s="260"/>
      <c r="W2056" s="260"/>
      <c r="X2056" s="260"/>
      <c r="Y2056" s="260"/>
      <c r="Z2056" s="260"/>
      <c r="AA2056" s="260"/>
      <c r="AB2056" s="260"/>
      <c r="AC2056" s="260"/>
      <c r="AD2056" s="260"/>
      <c r="AE2056" s="260"/>
      <c r="AF2056" s="260"/>
      <c r="AG2056" s="258"/>
    </row>
    <row r="2057" spans="13:33" ht="12" hidden="1" customHeight="1">
      <c r="M2057" s="820"/>
      <c r="N2057" s="239"/>
      <c r="O2057" s="225"/>
      <c r="P2057" s="260"/>
      <c r="Q2057" s="258"/>
      <c r="R2057" s="260"/>
      <c r="S2057" s="260"/>
      <c r="T2057" s="260"/>
      <c r="U2057" s="260"/>
      <c r="V2057" s="260"/>
      <c r="W2057" s="260"/>
      <c r="X2057" s="260"/>
      <c r="Y2057" s="260"/>
      <c r="Z2057" s="260"/>
      <c r="AA2057" s="260"/>
      <c r="AB2057" s="260"/>
      <c r="AC2057" s="260"/>
      <c r="AD2057" s="260"/>
      <c r="AE2057" s="260"/>
      <c r="AF2057" s="260"/>
      <c r="AG2057" s="258"/>
    </row>
    <row r="2058" spans="13:33" ht="12" hidden="1" customHeight="1">
      <c r="M2058" s="820"/>
      <c r="N2058" s="239"/>
      <c r="O2058" s="225"/>
      <c r="P2058" s="260"/>
      <c r="Q2058" s="258"/>
      <c r="R2058" s="260"/>
      <c r="S2058" s="260"/>
      <c r="T2058" s="260"/>
      <c r="U2058" s="260"/>
      <c r="V2058" s="260"/>
      <c r="W2058" s="260"/>
      <c r="X2058" s="260"/>
      <c r="Y2058" s="260"/>
      <c r="Z2058" s="260"/>
      <c r="AA2058" s="260"/>
      <c r="AB2058" s="260"/>
      <c r="AC2058" s="260"/>
      <c r="AD2058" s="260"/>
      <c r="AE2058" s="260"/>
      <c r="AF2058" s="260"/>
      <c r="AG2058" s="258"/>
    </row>
    <row r="2059" spans="13:33" ht="12" hidden="1" customHeight="1">
      <c r="M2059" s="820"/>
      <c r="N2059" s="239"/>
      <c r="O2059" s="225"/>
      <c r="P2059" s="260"/>
      <c r="Q2059" s="258"/>
      <c r="R2059" s="260"/>
      <c r="S2059" s="260"/>
      <c r="T2059" s="260"/>
      <c r="U2059" s="260"/>
      <c r="V2059" s="260"/>
      <c r="W2059" s="260"/>
      <c r="X2059" s="260"/>
      <c r="Y2059" s="260"/>
      <c r="Z2059" s="260"/>
      <c r="AA2059" s="260"/>
      <c r="AB2059" s="260"/>
      <c r="AC2059" s="260"/>
      <c r="AD2059" s="260"/>
      <c r="AE2059" s="260"/>
      <c r="AF2059" s="260"/>
      <c r="AG2059" s="258"/>
    </row>
    <row r="2060" spans="13:33" ht="12" hidden="1" customHeight="1">
      <c r="M2060" s="820"/>
      <c r="N2060" s="239"/>
      <c r="O2060" s="225"/>
      <c r="P2060" s="260"/>
      <c r="Q2060" s="258"/>
      <c r="R2060" s="260"/>
      <c r="S2060" s="260"/>
      <c r="T2060" s="260"/>
      <c r="U2060" s="260"/>
      <c r="V2060" s="260"/>
      <c r="W2060" s="260"/>
      <c r="X2060" s="260"/>
      <c r="Y2060" s="260"/>
      <c r="Z2060" s="260"/>
      <c r="AA2060" s="260"/>
      <c r="AB2060" s="260"/>
      <c r="AC2060" s="260"/>
      <c r="AD2060" s="260"/>
      <c r="AE2060" s="260"/>
      <c r="AF2060" s="260"/>
      <c r="AG2060" s="258"/>
    </row>
    <row r="2061" spans="13:33" ht="12" hidden="1" customHeight="1">
      <c r="M2061" s="820"/>
      <c r="N2061" s="239"/>
      <c r="O2061" s="225"/>
      <c r="P2061" s="260"/>
      <c r="Q2061" s="258"/>
      <c r="R2061" s="260"/>
      <c r="S2061" s="260"/>
      <c r="T2061" s="260"/>
      <c r="U2061" s="260"/>
      <c r="V2061" s="260"/>
      <c r="W2061" s="260"/>
      <c r="X2061" s="260"/>
      <c r="Y2061" s="260"/>
      <c r="Z2061" s="260"/>
      <c r="AA2061" s="260"/>
      <c r="AB2061" s="260"/>
      <c r="AC2061" s="260"/>
      <c r="AD2061" s="260"/>
      <c r="AE2061" s="260"/>
      <c r="AF2061" s="260"/>
      <c r="AG2061" s="258"/>
    </row>
    <row r="2062" spans="13:33" ht="12" hidden="1" customHeight="1">
      <c r="M2062" s="820"/>
      <c r="N2062" s="239"/>
      <c r="O2062" s="225"/>
      <c r="P2062" s="260"/>
      <c r="Q2062" s="258"/>
      <c r="R2062" s="260"/>
      <c r="S2062" s="260"/>
      <c r="T2062" s="260"/>
      <c r="U2062" s="260"/>
      <c r="V2062" s="260"/>
      <c r="W2062" s="260"/>
      <c r="X2062" s="260"/>
      <c r="Y2062" s="260"/>
      <c r="Z2062" s="260"/>
      <c r="AA2062" s="260"/>
      <c r="AB2062" s="260"/>
      <c r="AC2062" s="260"/>
      <c r="AD2062" s="260"/>
      <c r="AE2062" s="260"/>
      <c r="AF2062" s="260"/>
      <c r="AG2062" s="258"/>
    </row>
    <row r="2063" spans="13:33" ht="12" hidden="1" customHeight="1">
      <c r="M2063" s="820"/>
      <c r="N2063" s="239"/>
      <c r="O2063" s="225"/>
      <c r="P2063" s="260"/>
      <c r="Q2063" s="258"/>
      <c r="R2063" s="260"/>
      <c r="S2063" s="260"/>
      <c r="T2063" s="260"/>
      <c r="U2063" s="260"/>
      <c r="V2063" s="260"/>
      <c r="W2063" s="260"/>
      <c r="X2063" s="260"/>
      <c r="Y2063" s="260"/>
      <c r="Z2063" s="260"/>
      <c r="AA2063" s="260"/>
      <c r="AB2063" s="260"/>
      <c r="AC2063" s="260"/>
      <c r="AD2063" s="260"/>
      <c r="AE2063" s="260"/>
      <c r="AF2063" s="260"/>
      <c r="AG2063" s="258"/>
    </row>
    <row r="2064" spans="13:33" ht="12" hidden="1" customHeight="1">
      <c r="M2064" s="820"/>
      <c r="N2064" s="239"/>
      <c r="O2064" s="225"/>
      <c r="P2064" s="260"/>
      <c r="Q2064" s="258"/>
      <c r="R2064" s="260"/>
      <c r="S2064" s="260"/>
      <c r="T2064" s="260"/>
      <c r="U2064" s="260"/>
      <c r="V2064" s="260"/>
      <c r="W2064" s="260"/>
      <c r="X2064" s="260"/>
      <c r="Y2064" s="260"/>
      <c r="Z2064" s="260"/>
      <c r="AA2064" s="260"/>
      <c r="AB2064" s="260"/>
      <c r="AC2064" s="260"/>
      <c r="AD2064" s="260"/>
      <c r="AE2064" s="260"/>
      <c r="AF2064" s="260"/>
      <c r="AG2064" s="258"/>
    </row>
    <row r="2065" spans="13:33" ht="12" hidden="1" customHeight="1">
      <c r="M2065" s="820"/>
      <c r="N2065" s="239"/>
      <c r="O2065" s="225"/>
      <c r="P2065" s="260"/>
      <c r="Q2065" s="258"/>
      <c r="R2065" s="260"/>
      <c r="S2065" s="260"/>
      <c r="T2065" s="260"/>
      <c r="U2065" s="260"/>
      <c r="V2065" s="260"/>
      <c r="W2065" s="260"/>
      <c r="X2065" s="260"/>
      <c r="Y2065" s="260"/>
      <c r="Z2065" s="260"/>
      <c r="AA2065" s="260"/>
      <c r="AB2065" s="260"/>
      <c r="AC2065" s="260"/>
      <c r="AD2065" s="260"/>
      <c r="AE2065" s="260"/>
      <c r="AF2065" s="260"/>
      <c r="AG2065" s="258"/>
    </row>
    <row r="2066" spans="13:33" ht="12" hidden="1" customHeight="1">
      <c r="M2066" s="820"/>
      <c r="N2066" s="239"/>
      <c r="O2066" s="225"/>
      <c r="P2066" s="260"/>
      <c r="Q2066" s="258"/>
      <c r="R2066" s="260"/>
      <c r="S2066" s="260"/>
      <c r="T2066" s="260"/>
      <c r="U2066" s="260"/>
      <c r="V2066" s="260"/>
      <c r="W2066" s="260"/>
      <c r="X2066" s="260"/>
      <c r="Y2066" s="260"/>
      <c r="Z2066" s="260"/>
      <c r="AA2066" s="260"/>
      <c r="AB2066" s="260"/>
      <c r="AC2066" s="260"/>
      <c r="AD2066" s="260"/>
      <c r="AE2066" s="260"/>
      <c r="AF2066" s="260"/>
      <c r="AG2066" s="258"/>
    </row>
    <row r="2067" spans="13:33" ht="12" hidden="1" customHeight="1">
      <c r="M2067" s="820"/>
      <c r="N2067" s="239"/>
      <c r="O2067" s="225"/>
      <c r="P2067" s="260"/>
      <c r="Q2067" s="258"/>
      <c r="R2067" s="260"/>
      <c r="S2067" s="260"/>
      <c r="T2067" s="260"/>
      <c r="U2067" s="260"/>
      <c r="V2067" s="260"/>
      <c r="W2067" s="260"/>
      <c r="X2067" s="260"/>
      <c r="Y2067" s="260"/>
      <c r="Z2067" s="260"/>
      <c r="AA2067" s="260"/>
      <c r="AB2067" s="260"/>
      <c r="AC2067" s="260"/>
      <c r="AD2067" s="260"/>
      <c r="AE2067" s="260"/>
      <c r="AF2067" s="260"/>
      <c r="AG2067" s="258"/>
    </row>
    <row r="2068" spans="13:33" ht="12" hidden="1" customHeight="1">
      <c r="M2068" s="820"/>
      <c r="N2068" s="239"/>
      <c r="O2068" s="225"/>
      <c r="P2068" s="260"/>
      <c r="Q2068" s="258"/>
      <c r="R2068" s="260"/>
      <c r="S2068" s="260"/>
      <c r="T2068" s="260"/>
      <c r="U2068" s="260"/>
      <c r="V2068" s="260"/>
      <c r="W2068" s="260"/>
      <c r="X2068" s="260"/>
      <c r="Y2068" s="260"/>
      <c r="Z2068" s="260"/>
      <c r="AA2068" s="260"/>
      <c r="AB2068" s="260"/>
      <c r="AC2068" s="260"/>
      <c r="AD2068" s="260"/>
      <c r="AE2068" s="260"/>
      <c r="AF2068" s="260"/>
      <c r="AG2068" s="258"/>
    </row>
    <row r="2069" spans="13:33" ht="12" hidden="1" customHeight="1">
      <c r="M2069" s="820"/>
      <c r="N2069" s="239"/>
      <c r="O2069" s="225"/>
      <c r="P2069" s="260"/>
      <c r="Q2069" s="258"/>
      <c r="R2069" s="260"/>
      <c r="S2069" s="260"/>
      <c r="T2069" s="260"/>
      <c r="U2069" s="260"/>
      <c r="V2069" s="260"/>
      <c r="W2069" s="260"/>
      <c r="X2069" s="260"/>
      <c r="Y2069" s="260"/>
      <c r="Z2069" s="260"/>
      <c r="AA2069" s="260"/>
      <c r="AB2069" s="260"/>
      <c r="AC2069" s="260"/>
      <c r="AD2069" s="260"/>
      <c r="AE2069" s="260"/>
      <c r="AF2069" s="260"/>
      <c r="AG2069" s="258"/>
    </row>
    <row r="2070" spans="13:33" ht="12" hidden="1" customHeight="1">
      <c r="M2070" s="820"/>
      <c r="N2070" s="239"/>
      <c r="O2070" s="225"/>
      <c r="P2070" s="260"/>
      <c r="Q2070" s="258"/>
      <c r="R2070" s="260"/>
      <c r="S2070" s="260"/>
      <c r="T2070" s="260"/>
      <c r="U2070" s="260"/>
      <c r="V2070" s="260"/>
      <c r="W2070" s="260"/>
      <c r="X2070" s="260"/>
      <c r="Y2070" s="260"/>
      <c r="Z2070" s="260"/>
      <c r="AA2070" s="260"/>
      <c r="AB2070" s="260"/>
      <c r="AC2070" s="260"/>
      <c r="AD2070" s="260"/>
      <c r="AE2070" s="260"/>
      <c r="AF2070" s="260"/>
      <c r="AG2070" s="258"/>
    </row>
    <row r="2071" spans="13:33" ht="12" hidden="1" customHeight="1">
      <c r="M2071" s="820"/>
      <c r="N2071" s="239"/>
      <c r="O2071" s="225"/>
      <c r="P2071" s="260"/>
      <c r="Q2071" s="258"/>
      <c r="R2071" s="260"/>
      <c r="S2071" s="260"/>
      <c r="T2071" s="260"/>
      <c r="U2071" s="260"/>
      <c r="V2071" s="260"/>
      <c r="W2071" s="260"/>
      <c r="X2071" s="260"/>
      <c r="Y2071" s="260"/>
      <c r="Z2071" s="260"/>
      <c r="AA2071" s="260"/>
      <c r="AB2071" s="260"/>
      <c r="AC2071" s="260"/>
      <c r="AD2071" s="260"/>
      <c r="AE2071" s="260"/>
      <c r="AF2071" s="260"/>
      <c r="AG2071" s="258"/>
    </row>
    <row r="2072" spans="13:33" ht="12" hidden="1" customHeight="1">
      <c r="M2072" s="820"/>
      <c r="N2072" s="239"/>
      <c r="O2072" s="225"/>
      <c r="P2072" s="260"/>
      <c r="Q2072" s="258"/>
      <c r="R2072" s="260"/>
      <c r="S2072" s="260"/>
      <c r="T2072" s="260"/>
      <c r="U2072" s="260"/>
      <c r="V2072" s="260"/>
      <c r="W2072" s="260"/>
      <c r="X2072" s="260"/>
      <c r="Y2072" s="260"/>
      <c r="Z2072" s="260"/>
      <c r="AA2072" s="260"/>
      <c r="AB2072" s="260"/>
      <c r="AC2072" s="260"/>
      <c r="AD2072" s="260"/>
      <c r="AE2072" s="260"/>
      <c r="AF2072" s="260"/>
      <c r="AG2072" s="258"/>
    </row>
    <row r="2073" spans="13:33" ht="12" hidden="1" customHeight="1">
      <c r="M2073" s="820"/>
      <c r="N2073" s="239"/>
      <c r="O2073" s="225"/>
      <c r="P2073" s="260"/>
      <c r="Q2073" s="258"/>
      <c r="R2073" s="260"/>
      <c r="S2073" s="260"/>
      <c r="T2073" s="260"/>
      <c r="U2073" s="260"/>
      <c r="V2073" s="260"/>
      <c r="W2073" s="260"/>
      <c r="X2073" s="260"/>
      <c r="Y2073" s="260"/>
      <c r="Z2073" s="260"/>
      <c r="AA2073" s="260"/>
      <c r="AB2073" s="260"/>
      <c r="AC2073" s="260"/>
      <c r="AD2073" s="260"/>
      <c r="AE2073" s="260"/>
      <c r="AF2073" s="260"/>
      <c r="AG2073" s="258"/>
    </row>
    <row r="2074" spans="13:33" ht="12" hidden="1" customHeight="1">
      <c r="M2074" s="820"/>
      <c r="N2074" s="239"/>
      <c r="O2074" s="225"/>
      <c r="P2074" s="260"/>
      <c r="Q2074" s="258"/>
      <c r="R2074" s="260"/>
      <c r="S2074" s="260"/>
      <c r="T2074" s="260"/>
      <c r="U2074" s="260"/>
      <c r="V2074" s="260"/>
      <c r="W2074" s="260"/>
      <c r="X2074" s="260"/>
      <c r="Y2074" s="260"/>
      <c r="Z2074" s="260"/>
      <c r="AA2074" s="260"/>
      <c r="AB2074" s="260"/>
      <c r="AC2074" s="260"/>
      <c r="AD2074" s="260"/>
      <c r="AE2074" s="260"/>
      <c r="AF2074" s="260"/>
      <c r="AG2074" s="258"/>
    </row>
    <row r="2075" spans="13:33" ht="12" hidden="1" customHeight="1">
      <c r="M2075" s="820"/>
      <c r="N2075" s="239"/>
      <c r="O2075" s="225"/>
      <c r="P2075" s="260"/>
      <c r="Q2075" s="258"/>
      <c r="R2075" s="260"/>
      <c r="S2075" s="260"/>
      <c r="T2075" s="260"/>
      <c r="U2075" s="260"/>
      <c r="V2075" s="260"/>
      <c r="W2075" s="260"/>
      <c r="X2075" s="260"/>
      <c r="Y2075" s="260"/>
      <c r="Z2075" s="260"/>
      <c r="AA2075" s="260"/>
      <c r="AB2075" s="260"/>
      <c r="AC2075" s="260"/>
      <c r="AD2075" s="260"/>
      <c r="AE2075" s="260"/>
      <c r="AF2075" s="260"/>
      <c r="AG2075" s="258"/>
    </row>
    <row r="2076" spans="13:33" ht="12" hidden="1" customHeight="1">
      <c r="M2076" s="820"/>
      <c r="N2076" s="239"/>
      <c r="O2076" s="225"/>
      <c r="P2076" s="260"/>
      <c r="Q2076" s="258"/>
      <c r="R2076" s="260"/>
      <c r="S2076" s="260"/>
      <c r="T2076" s="260"/>
      <c r="U2076" s="260"/>
      <c r="V2076" s="260"/>
      <c r="W2076" s="260"/>
      <c r="X2076" s="260"/>
      <c r="Y2076" s="260"/>
      <c r="Z2076" s="260"/>
      <c r="AA2076" s="260"/>
      <c r="AB2076" s="260"/>
      <c r="AC2076" s="260"/>
      <c r="AD2076" s="260"/>
      <c r="AE2076" s="260"/>
      <c r="AF2076" s="260"/>
      <c r="AG2076" s="258"/>
    </row>
    <row r="2077" spans="13:33" ht="12" hidden="1" customHeight="1">
      <c r="M2077" s="820"/>
      <c r="N2077" s="239"/>
      <c r="O2077" s="225"/>
      <c r="P2077" s="260"/>
      <c r="Q2077" s="258"/>
      <c r="R2077" s="260"/>
      <c r="S2077" s="260"/>
      <c r="T2077" s="260"/>
      <c r="U2077" s="260"/>
      <c r="V2077" s="260"/>
      <c r="W2077" s="260"/>
      <c r="X2077" s="260"/>
      <c r="Y2077" s="260"/>
      <c r="Z2077" s="260"/>
      <c r="AA2077" s="260"/>
      <c r="AB2077" s="260"/>
      <c r="AC2077" s="260"/>
      <c r="AD2077" s="260"/>
      <c r="AE2077" s="260"/>
      <c r="AF2077" s="260"/>
      <c r="AG2077" s="258"/>
    </row>
    <row r="2078" spans="13:33" ht="12" hidden="1" customHeight="1">
      <c r="M2078" s="820"/>
      <c r="N2078" s="239"/>
      <c r="O2078" s="225"/>
      <c r="P2078" s="260"/>
      <c r="Q2078" s="258"/>
      <c r="R2078" s="260"/>
      <c r="S2078" s="260"/>
      <c r="T2078" s="260"/>
      <c r="U2078" s="260"/>
      <c r="V2078" s="260"/>
      <c r="W2078" s="260"/>
      <c r="X2078" s="260"/>
      <c r="Y2078" s="260"/>
      <c r="Z2078" s="260"/>
      <c r="AA2078" s="260"/>
      <c r="AB2078" s="260"/>
      <c r="AC2078" s="260"/>
      <c r="AD2078" s="260"/>
      <c r="AE2078" s="260"/>
      <c r="AF2078" s="260"/>
      <c r="AG2078" s="258"/>
    </row>
    <row r="2079" spans="13:33" ht="12" hidden="1" customHeight="1">
      <c r="M2079" s="820"/>
      <c r="N2079" s="239"/>
      <c r="O2079" s="225"/>
      <c r="P2079" s="260"/>
      <c r="Q2079" s="258"/>
      <c r="R2079" s="260"/>
      <c r="S2079" s="260"/>
      <c r="T2079" s="260"/>
      <c r="U2079" s="260"/>
      <c r="V2079" s="260"/>
      <c r="W2079" s="260"/>
      <c r="X2079" s="260"/>
      <c r="Y2079" s="260"/>
      <c r="Z2079" s="260"/>
      <c r="AA2079" s="260"/>
      <c r="AB2079" s="260"/>
      <c r="AC2079" s="260"/>
      <c r="AD2079" s="260"/>
      <c r="AE2079" s="260"/>
      <c r="AF2079" s="260"/>
      <c r="AG2079" s="258"/>
    </row>
    <row r="2080" spans="13:33" ht="12" hidden="1" customHeight="1">
      <c r="M2080" s="820"/>
      <c r="N2080" s="239"/>
      <c r="O2080" s="225"/>
      <c r="P2080" s="260"/>
      <c r="Q2080" s="258"/>
      <c r="R2080" s="260"/>
      <c r="S2080" s="260"/>
      <c r="T2080" s="260"/>
      <c r="U2080" s="260"/>
      <c r="V2080" s="260"/>
      <c r="W2080" s="260"/>
      <c r="X2080" s="260"/>
      <c r="Y2080" s="260"/>
      <c r="Z2080" s="260"/>
      <c r="AA2080" s="260"/>
      <c r="AB2080" s="260"/>
      <c r="AC2080" s="260"/>
      <c r="AD2080" s="260"/>
      <c r="AE2080" s="260"/>
      <c r="AF2080" s="260"/>
      <c r="AG2080" s="258"/>
    </row>
    <row r="2081" spans="13:33" ht="12" hidden="1" customHeight="1">
      <c r="M2081" s="820"/>
      <c r="N2081" s="239"/>
      <c r="O2081" s="225"/>
      <c r="P2081" s="260"/>
      <c r="Q2081" s="258"/>
      <c r="R2081" s="260"/>
      <c r="S2081" s="260"/>
      <c r="T2081" s="260"/>
      <c r="U2081" s="260"/>
      <c r="V2081" s="260"/>
      <c r="W2081" s="260"/>
      <c r="X2081" s="260"/>
      <c r="Y2081" s="260"/>
      <c r="Z2081" s="260"/>
      <c r="AA2081" s="260"/>
      <c r="AB2081" s="260"/>
      <c r="AC2081" s="260"/>
      <c r="AD2081" s="260"/>
      <c r="AE2081" s="260"/>
      <c r="AF2081" s="260"/>
      <c r="AG2081" s="258"/>
    </row>
    <row r="2082" spans="13:33" ht="12" hidden="1" customHeight="1">
      <c r="M2082" s="820"/>
      <c r="N2082" s="239"/>
      <c r="O2082" s="225"/>
      <c r="P2082" s="260"/>
      <c r="Q2082" s="258"/>
      <c r="R2082" s="260"/>
      <c r="S2082" s="260"/>
      <c r="T2082" s="260"/>
      <c r="U2082" s="260"/>
      <c r="V2082" s="260"/>
      <c r="W2082" s="260"/>
      <c r="X2082" s="260"/>
      <c r="Y2082" s="260"/>
      <c r="Z2082" s="260"/>
      <c r="AA2082" s="260"/>
      <c r="AB2082" s="260"/>
      <c r="AC2082" s="260"/>
      <c r="AD2082" s="260"/>
      <c r="AE2082" s="260"/>
      <c r="AF2082" s="260"/>
      <c r="AG2082" s="258"/>
    </row>
    <row r="2083" spans="13:33" ht="12" hidden="1" customHeight="1">
      <c r="M2083" s="820"/>
      <c r="N2083" s="239"/>
      <c r="O2083" s="225"/>
      <c r="P2083" s="260"/>
      <c r="Q2083" s="258"/>
      <c r="R2083" s="260"/>
      <c r="S2083" s="260"/>
      <c r="T2083" s="260"/>
      <c r="U2083" s="260"/>
      <c r="V2083" s="260"/>
      <c r="W2083" s="260"/>
      <c r="X2083" s="260"/>
      <c r="Y2083" s="260"/>
      <c r="Z2083" s="260"/>
      <c r="AA2083" s="260"/>
      <c r="AB2083" s="260"/>
      <c r="AC2083" s="260"/>
      <c r="AD2083" s="260"/>
      <c r="AE2083" s="260"/>
      <c r="AF2083" s="260"/>
      <c r="AG2083" s="258"/>
    </row>
    <row r="2084" spans="13:33" ht="12" hidden="1" customHeight="1">
      <c r="M2084" s="820"/>
      <c r="N2084" s="239"/>
      <c r="O2084" s="225"/>
      <c r="P2084" s="260"/>
      <c r="Q2084" s="258"/>
      <c r="R2084" s="260"/>
      <c r="S2084" s="260"/>
      <c r="T2084" s="260"/>
      <c r="U2084" s="260"/>
      <c r="V2084" s="260"/>
      <c r="W2084" s="260"/>
      <c r="X2084" s="260"/>
      <c r="Y2084" s="260"/>
      <c r="Z2084" s="260"/>
      <c r="AA2084" s="260"/>
      <c r="AB2084" s="260"/>
      <c r="AC2084" s="260"/>
      <c r="AD2084" s="260"/>
      <c r="AE2084" s="260"/>
      <c r="AF2084" s="260"/>
      <c r="AG2084" s="258"/>
    </row>
    <row r="2085" spans="13:33" ht="12" hidden="1" customHeight="1">
      <c r="M2085" s="820"/>
      <c r="N2085" s="239"/>
      <c r="O2085" s="225"/>
      <c r="P2085" s="260"/>
      <c r="Q2085" s="258"/>
      <c r="R2085" s="260"/>
      <c r="S2085" s="260"/>
      <c r="T2085" s="260"/>
      <c r="U2085" s="260"/>
      <c r="V2085" s="260"/>
      <c r="W2085" s="260"/>
      <c r="X2085" s="260"/>
      <c r="Y2085" s="260"/>
      <c r="Z2085" s="260"/>
      <c r="AA2085" s="260"/>
      <c r="AB2085" s="260"/>
      <c r="AC2085" s="260"/>
      <c r="AD2085" s="260"/>
      <c r="AE2085" s="260"/>
      <c r="AF2085" s="260"/>
      <c r="AG2085" s="258"/>
    </row>
    <row r="2086" spans="13:33" ht="12" hidden="1" customHeight="1">
      <c r="M2086" s="820"/>
      <c r="N2086" s="239"/>
      <c r="O2086" s="225"/>
      <c r="P2086" s="260"/>
      <c r="Q2086" s="258"/>
      <c r="R2086" s="260"/>
      <c r="S2086" s="260"/>
      <c r="T2086" s="260"/>
      <c r="U2086" s="260"/>
      <c r="V2086" s="260"/>
      <c r="W2086" s="260"/>
      <c r="X2086" s="260"/>
      <c r="Y2086" s="260"/>
      <c r="Z2086" s="260"/>
      <c r="AA2086" s="260"/>
      <c r="AB2086" s="260"/>
      <c r="AC2086" s="260"/>
      <c r="AD2086" s="260"/>
      <c r="AE2086" s="260"/>
      <c r="AF2086" s="260"/>
      <c r="AG2086" s="258"/>
    </row>
    <row r="2087" spans="13:33" ht="12" hidden="1" customHeight="1">
      <c r="M2087" s="820"/>
      <c r="N2087" s="239"/>
      <c r="O2087" s="225"/>
      <c r="P2087" s="260"/>
      <c r="Q2087" s="258"/>
      <c r="R2087" s="260"/>
      <c r="S2087" s="260"/>
      <c r="T2087" s="260"/>
      <c r="U2087" s="260"/>
      <c r="V2087" s="260"/>
      <c r="W2087" s="260"/>
      <c r="X2087" s="260"/>
      <c r="Y2087" s="260"/>
      <c r="Z2087" s="260"/>
      <c r="AA2087" s="260"/>
      <c r="AB2087" s="260"/>
      <c r="AC2087" s="260"/>
      <c r="AD2087" s="260"/>
      <c r="AE2087" s="260"/>
      <c r="AF2087" s="260"/>
      <c r="AG2087" s="258"/>
    </row>
    <row r="2088" spans="13:33" ht="12" hidden="1" customHeight="1">
      <c r="M2088" s="820"/>
      <c r="N2088" s="239"/>
      <c r="O2088" s="225"/>
      <c r="P2088" s="260"/>
      <c r="Q2088" s="258"/>
      <c r="R2088" s="260"/>
      <c r="S2088" s="260"/>
      <c r="T2088" s="260"/>
      <c r="U2088" s="260"/>
      <c r="V2088" s="260"/>
      <c r="W2088" s="260"/>
      <c r="X2088" s="260"/>
      <c r="Y2088" s="260"/>
      <c r="Z2088" s="260"/>
      <c r="AA2088" s="260"/>
      <c r="AB2088" s="260"/>
      <c r="AC2088" s="260"/>
      <c r="AD2088" s="260"/>
      <c r="AE2088" s="260"/>
      <c r="AF2088" s="260"/>
      <c r="AG2088" s="258"/>
    </row>
    <row r="2089" spans="13:33" ht="12" hidden="1" customHeight="1">
      <c r="M2089" s="820"/>
      <c r="N2089" s="239"/>
      <c r="O2089" s="225"/>
      <c r="P2089" s="260"/>
      <c r="Q2089" s="258"/>
      <c r="R2089" s="260"/>
      <c r="S2089" s="260"/>
      <c r="T2089" s="260"/>
      <c r="U2089" s="260"/>
      <c r="V2089" s="260"/>
      <c r="W2089" s="260"/>
      <c r="X2089" s="260"/>
      <c r="Y2089" s="260"/>
      <c r="Z2089" s="260"/>
      <c r="AA2089" s="260"/>
      <c r="AB2089" s="260"/>
      <c r="AC2089" s="260"/>
      <c r="AD2089" s="260"/>
      <c r="AE2089" s="260"/>
      <c r="AF2089" s="260"/>
      <c r="AG2089" s="258"/>
    </row>
    <row r="2090" spans="13:33" ht="12" hidden="1" customHeight="1">
      <c r="M2090" s="820"/>
      <c r="N2090" s="239"/>
      <c r="O2090" s="225"/>
      <c r="P2090" s="260"/>
      <c r="Q2090" s="258"/>
      <c r="R2090" s="260"/>
      <c r="S2090" s="260"/>
      <c r="T2090" s="260"/>
      <c r="U2090" s="260"/>
      <c r="V2090" s="260"/>
      <c r="W2090" s="260"/>
      <c r="X2090" s="260"/>
      <c r="Y2090" s="260"/>
      <c r="Z2090" s="260"/>
      <c r="AA2090" s="260"/>
      <c r="AB2090" s="260"/>
      <c r="AC2090" s="260"/>
      <c r="AD2090" s="260"/>
      <c r="AE2090" s="260"/>
      <c r="AF2090" s="260"/>
      <c r="AG2090" s="258"/>
    </row>
    <row r="2091" spans="13:33" ht="12" hidden="1" customHeight="1">
      <c r="M2091" s="820"/>
      <c r="N2091" s="239"/>
      <c r="O2091" s="225"/>
      <c r="P2091" s="260"/>
      <c r="Q2091" s="258"/>
      <c r="R2091" s="260"/>
      <c r="S2091" s="260"/>
      <c r="T2091" s="260"/>
      <c r="U2091" s="260"/>
      <c r="V2091" s="260"/>
      <c r="W2091" s="260"/>
      <c r="X2091" s="260"/>
      <c r="Y2091" s="260"/>
      <c r="Z2091" s="260"/>
      <c r="AA2091" s="260"/>
      <c r="AB2091" s="260"/>
      <c r="AC2091" s="260"/>
      <c r="AD2091" s="260"/>
      <c r="AE2091" s="260"/>
      <c r="AF2091" s="260"/>
      <c r="AG2091" s="258"/>
    </row>
    <row r="2092" spans="13:33" ht="12" hidden="1" customHeight="1">
      <c r="M2092" s="820"/>
      <c r="N2092" s="239"/>
      <c r="O2092" s="225"/>
      <c r="P2092" s="260"/>
      <c r="Q2092" s="258"/>
      <c r="R2092" s="260"/>
      <c r="S2092" s="260"/>
      <c r="T2092" s="260"/>
      <c r="U2092" s="260"/>
      <c r="V2092" s="260"/>
      <c r="W2092" s="260"/>
      <c r="X2092" s="260"/>
      <c r="Y2092" s="260"/>
      <c r="Z2092" s="260"/>
      <c r="AA2092" s="260"/>
      <c r="AB2092" s="260"/>
      <c r="AC2092" s="260"/>
      <c r="AD2092" s="260"/>
      <c r="AE2092" s="260"/>
      <c r="AF2092" s="260"/>
      <c r="AG2092" s="258"/>
    </row>
    <row r="2093" spans="13:33" ht="12" hidden="1" customHeight="1">
      <c r="M2093" s="820"/>
      <c r="N2093" s="239"/>
      <c r="O2093" s="225"/>
      <c r="P2093" s="260"/>
      <c r="Q2093" s="258"/>
      <c r="R2093" s="260"/>
      <c r="S2093" s="260"/>
      <c r="T2093" s="260"/>
      <c r="U2093" s="260"/>
      <c r="V2093" s="260"/>
      <c r="W2093" s="260"/>
      <c r="X2093" s="260"/>
      <c r="Y2093" s="260"/>
      <c r="Z2093" s="260"/>
      <c r="AA2093" s="260"/>
      <c r="AB2093" s="260"/>
      <c r="AC2093" s="260"/>
      <c r="AD2093" s="260"/>
      <c r="AE2093" s="260"/>
      <c r="AF2093" s="260"/>
      <c r="AG2093" s="258"/>
    </row>
    <row r="2094" spans="13:33" ht="12" hidden="1" customHeight="1">
      <c r="M2094" s="820"/>
      <c r="N2094" s="239"/>
      <c r="O2094" s="225"/>
      <c r="P2094" s="260"/>
      <c r="Q2094" s="258"/>
      <c r="R2094" s="260"/>
      <c r="S2094" s="260"/>
      <c r="T2094" s="260"/>
      <c r="U2094" s="260"/>
      <c r="V2094" s="260"/>
      <c r="W2094" s="260"/>
      <c r="X2094" s="260"/>
      <c r="Y2094" s="260"/>
      <c r="Z2094" s="260"/>
      <c r="AA2094" s="260"/>
      <c r="AB2094" s="260"/>
      <c r="AC2094" s="260"/>
      <c r="AD2094" s="260"/>
      <c r="AE2094" s="260"/>
      <c r="AF2094" s="260"/>
      <c r="AG2094" s="258"/>
    </row>
    <row r="2095" spans="13:33" ht="12" hidden="1" customHeight="1">
      <c r="M2095" s="820"/>
      <c r="N2095" s="239"/>
      <c r="O2095" s="225"/>
      <c r="P2095" s="260"/>
      <c r="Q2095" s="258"/>
      <c r="R2095" s="260"/>
      <c r="S2095" s="260"/>
      <c r="T2095" s="260"/>
      <c r="U2095" s="260"/>
      <c r="V2095" s="260"/>
      <c r="W2095" s="260"/>
      <c r="X2095" s="260"/>
      <c r="Y2095" s="260"/>
      <c r="Z2095" s="260"/>
      <c r="AA2095" s="260"/>
      <c r="AB2095" s="260"/>
      <c r="AC2095" s="260"/>
      <c r="AD2095" s="260"/>
      <c r="AE2095" s="260"/>
      <c r="AF2095" s="260"/>
      <c r="AG2095" s="258"/>
    </row>
    <row r="2096" spans="13:33" ht="12" hidden="1" customHeight="1">
      <c r="M2096" s="820"/>
      <c r="N2096" s="239"/>
      <c r="O2096" s="225"/>
      <c r="P2096" s="260"/>
      <c r="Q2096" s="258"/>
      <c r="R2096" s="260"/>
      <c r="S2096" s="260"/>
      <c r="T2096" s="260"/>
      <c r="U2096" s="260"/>
      <c r="V2096" s="260"/>
      <c r="W2096" s="260"/>
      <c r="X2096" s="260"/>
      <c r="Y2096" s="260"/>
      <c r="Z2096" s="260"/>
      <c r="AA2096" s="260"/>
      <c r="AB2096" s="260"/>
      <c r="AC2096" s="260"/>
      <c r="AD2096" s="260"/>
      <c r="AE2096" s="260"/>
      <c r="AF2096" s="260"/>
      <c r="AG2096" s="258"/>
    </row>
    <row r="2097" spans="13:33" ht="12" hidden="1" customHeight="1">
      <c r="M2097" s="820"/>
      <c r="N2097" s="239"/>
      <c r="O2097" s="225"/>
      <c r="P2097" s="260"/>
      <c r="Q2097" s="258"/>
      <c r="R2097" s="260"/>
      <c r="S2097" s="260"/>
      <c r="T2097" s="260"/>
      <c r="U2097" s="260"/>
      <c r="V2097" s="260"/>
      <c r="W2097" s="260"/>
      <c r="X2097" s="260"/>
      <c r="Y2097" s="260"/>
      <c r="Z2097" s="260"/>
      <c r="AA2097" s="260"/>
      <c r="AB2097" s="260"/>
      <c r="AC2097" s="260"/>
      <c r="AD2097" s="260"/>
      <c r="AE2097" s="260"/>
      <c r="AF2097" s="260"/>
      <c r="AG2097" s="258"/>
    </row>
    <row r="2098" spans="13:33" ht="12" hidden="1" customHeight="1">
      <c r="M2098" s="820"/>
      <c r="N2098" s="239"/>
      <c r="O2098" s="225"/>
      <c r="P2098" s="260"/>
      <c r="Q2098" s="258"/>
      <c r="R2098" s="260"/>
      <c r="S2098" s="260"/>
      <c r="T2098" s="260"/>
      <c r="U2098" s="260"/>
      <c r="V2098" s="260"/>
      <c r="W2098" s="260"/>
      <c r="X2098" s="260"/>
      <c r="Y2098" s="260"/>
      <c r="Z2098" s="260"/>
      <c r="AA2098" s="260"/>
      <c r="AB2098" s="260"/>
      <c r="AC2098" s="260"/>
      <c r="AD2098" s="260"/>
      <c r="AE2098" s="260"/>
      <c r="AF2098" s="260"/>
      <c r="AG2098" s="258"/>
    </row>
    <row r="2099" spans="13:33" ht="12" hidden="1" customHeight="1">
      <c r="M2099" s="820"/>
      <c r="N2099" s="239"/>
      <c r="O2099" s="225"/>
      <c r="P2099" s="260"/>
      <c r="Q2099" s="258"/>
      <c r="R2099" s="260"/>
      <c r="S2099" s="260"/>
      <c r="T2099" s="260"/>
      <c r="U2099" s="260"/>
      <c r="V2099" s="260"/>
      <c r="W2099" s="260"/>
      <c r="X2099" s="260"/>
      <c r="Y2099" s="260"/>
      <c r="Z2099" s="260"/>
      <c r="AA2099" s="260"/>
      <c r="AB2099" s="260"/>
      <c r="AC2099" s="260"/>
      <c r="AD2099" s="260"/>
      <c r="AE2099" s="260"/>
      <c r="AF2099" s="260"/>
      <c r="AG2099" s="258"/>
    </row>
    <row r="2100" spans="13:33" ht="12" hidden="1" customHeight="1">
      <c r="M2100" s="820"/>
      <c r="N2100" s="239"/>
      <c r="O2100" s="225"/>
      <c r="P2100" s="260"/>
      <c r="Q2100" s="258"/>
      <c r="R2100" s="260"/>
      <c r="S2100" s="260"/>
      <c r="T2100" s="260"/>
      <c r="U2100" s="260"/>
      <c r="V2100" s="260"/>
      <c r="W2100" s="260"/>
      <c r="X2100" s="260"/>
      <c r="Y2100" s="260"/>
      <c r="Z2100" s="260"/>
      <c r="AA2100" s="260"/>
      <c r="AB2100" s="260"/>
      <c r="AC2100" s="260"/>
      <c r="AD2100" s="260"/>
      <c r="AE2100" s="260"/>
      <c r="AF2100" s="260"/>
      <c r="AG2100" s="258"/>
    </row>
    <row r="2101" spans="13:33" ht="12" hidden="1" customHeight="1">
      <c r="M2101" s="820"/>
      <c r="N2101" s="239"/>
      <c r="O2101" s="225"/>
      <c r="P2101" s="260"/>
      <c r="Q2101" s="258"/>
      <c r="R2101" s="260"/>
      <c r="S2101" s="260"/>
      <c r="T2101" s="260"/>
      <c r="U2101" s="260"/>
      <c r="V2101" s="260"/>
      <c r="W2101" s="260"/>
      <c r="X2101" s="260"/>
      <c r="Y2101" s="260"/>
      <c r="Z2101" s="260"/>
      <c r="AA2101" s="260"/>
      <c r="AB2101" s="260"/>
      <c r="AC2101" s="260"/>
      <c r="AD2101" s="260"/>
      <c r="AE2101" s="260"/>
      <c r="AF2101" s="260"/>
      <c r="AG2101" s="258"/>
    </row>
    <row r="2102" spans="13:33" ht="12" hidden="1" customHeight="1">
      <c r="M2102" s="820"/>
      <c r="N2102" s="239"/>
      <c r="O2102" s="225"/>
      <c r="P2102" s="260"/>
      <c r="Q2102" s="258"/>
      <c r="R2102" s="260"/>
      <c r="S2102" s="260"/>
      <c r="T2102" s="260"/>
      <c r="U2102" s="260"/>
      <c r="V2102" s="260"/>
      <c r="W2102" s="260"/>
      <c r="X2102" s="260"/>
      <c r="Y2102" s="260"/>
      <c r="Z2102" s="260"/>
      <c r="AA2102" s="260"/>
      <c r="AB2102" s="260"/>
      <c r="AC2102" s="260"/>
      <c r="AD2102" s="260"/>
      <c r="AE2102" s="260"/>
      <c r="AF2102" s="260"/>
      <c r="AG2102" s="258"/>
    </row>
    <row r="2103" spans="13:33" ht="12" hidden="1" customHeight="1">
      <c r="M2103" s="820"/>
      <c r="N2103" s="239"/>
      <c r="O2103" s="225"/>
      <c r="P2103" s="260"/>
      <c r="Q2103" s="258"/>
      <c r="R2103" s="260"/>
      <c r="S2103" s="260"/>
      <c r="T2103" s="260"/>
      <c r="U2103" s="260"/>
      <c r="V2103" s="260"/>
      <c r="W2103" s="260"/>
      <c r="X2103" s="260"/>
      <c r="Y2103" s="260"/>
      <c r="Z2103" s="260"/>
      <c r="AA2103" s="260"/>
      <c r="AB2103" s="260"/>
      <c r="AC2103" s="260"/>
      <c r="AD2103" s="260"/>
      <c r="AE2103" s="260"/>
      <c r="AF2103" s="260"/>
      <c r="AG2103" s="258"/>
    </row>
    <row r="2104" spans="13:33" ht="12" hidden="1" customHeight="1">
      <c r="M2104" s="820"/>
      <c r="N2104" s="239"/>
      <c r="O2104" s="225"/>
      <c r="P2104" s="260"/>
      <c r="Q2104" s="258"/>
      <c r="R2104" s="260"/>
      <c r="S2104" s="260"/>
      <c r="T2104" s="260"/>
      <c r="U2104" s="260"/>
      <c r="V2104" s="260"/>
      <c r="W2104" s="260"/>
      <c r="X2104" s="260"/>
      <c r="Y2104" s="260"/>
      <c r="Z2104" s="260"/>
      <c r="AA2104" s="260"/>
      <c r="AB2104" s="260"/>
      <c r="AC2104" s="260"/>
      <c r="AD2104" s="260"/>
      <c r="AE2104" s="260"/>
      <c r="AF2104" s="260"/>
      <c r="AG2104" s="258"/>
    </row>
    <row r="2105" spans="13:33" ht="12" hidden="1" customHeight="1">
      <c r="M2105" s="820"/>
      <c r="N2105" s="239"/>
      <c r="O2105" s="225"/>
      <c r="P2105" s="260"/>
      <c r="Q2105" s="258"/>
      <c r="R2105" s="260"/>
      <c r="S2105" s="260"/>
      <c r="T2105" s="260"/>
      <c r="U2105" s="260"/>
      <c r="V2105" s="260"/>
      <c r="W2105" s="260"/>
      <c r="X2105" s="260"/>
      <c r="Y2105" s="260"/>
      <c r="Z2105" s="260"/>
      <c r="AA2105" s="260"/>
      <c r="AB2105" s="260"/>
      <c r="AC2105" s="260"/>
      <c r="AD2105" s="260"/>
      <c r="AE2105" s="260"/>
      <c r="AF2105" s="260"/>
      <c r="AG2105" s="258"/>
    </row>
    <row r="2106" spans="13:33" ht="12" hidden="1" customHeight="1">
      <c r="M2106" s="820"/>
      <c r="N2106" s="239"/>
      <c r="O2106" s="225"/>
      <c r="P2106" s="260"/>
      <c r="Q2106" s="258"/>
      <c r="R2106" s="260"/>
      <c r="S2106" s="260"/>
      <c r="T2106" s="260"/>
      <c r="U2106" s="260"/>
      <c r="V2106" s="260"/>
      <c r="W2106" s="260"/>
      <c r="X2106" s="260"/>
      <c r="Y2106" s="260"/>
      <c r="Z2106" s="260"/>
      <c r="AA2106" s="260"/>
      <c r="AB2106" s="260"/>
      <c r="AC2106" s="260"/>
      <c r="AD2106" s="260"/>
      <c r="AE2106" s="260"/>
      <c r="AF2106" s="260"/>
      <c r="AG2106" s="258"/>
    </row>
    <row r="2107" spans="13:33" ht="12" hidden="1" customHeight="1">
      <c r="M2107" s="820"/>
      <c r="N2107" s="239"/>
      <c r="O2107" s="225"/>
      <c r="P2107" s="260"/>
      <c r="Q2107" s="258"/>
      <c r="R2107" s="260"/>
      <c r="S2107" s="260"/>
      <c r="T2107" s="260"/>
      <c r="U2107" s="260"/>
      <c r="V2107" s="260"/>
      <c r="W2107" s="260"/>
      <c r="X2107" s="260"/>
      <c r="Y2107" s="260"/>
      <c r="Z2107" s="260"/>
      <c r="AA2107" s="260"/>
      <c r="AB2107" s="260"/>
      <c r="AC2107" s="260"/>
      <c r="AD2107" s="260"/>
      <c r="AE2107" s="260"/>
      <c r="AF2107" s="260"/>
      <c r="AG2107" s="258"/>
    </row>
    <row r="2108" spans="13:33" ht="12" hidden="1" customHeight="1">
      <c r="M2108" s="820"/>
      <c r="N2108" s="239"/>
      <c r="O2108" s="225"/>
      <c r="P2108" s="260"/>
      <c r="Q2108" s="258"/>
      <c r="R2108" s="260"/>
      <c r="S2108" s="260"/>
      <c r="T2108" s="260"/>
      <c r="U2108" s="260"/>
      <c r="V2108" s="260"/>
      <c r="W2108" s="260"/>
      <c r="X2108" s="260"/>
      <c r="Y2108" s="260"/>
      <c r="Z2108" s="260"/>
      <c r="AA2108" s="260"/>
      <c r="AB2108" s="260"/>
      <c r="AC2108" s="260"/>
      <c r="AD2108" s="260"/>
      <c r="AE2108" s="260"/>
      <c r="AF2108" s="260"/>
      <c r="AG2108" s="258"/>
    </row>
    <row r="2109" spans="13:33" ht="12" hidden="1" customHeight="1">
      <c r="M2109" s="820"/>
      <c r="N2109" s="239"/>
      <c r="O2109" s="225"/>
      <c r="P2109" s="260"/>
      <c r="Q2109" s="258"/>
      <c r="R2109" s="260"/>
      <c r="S2109" s="260"/>
      <c r="T2109" s="260"/>
      <c r="U2109" s="260"/>
      <c r="V2109" s="260"/>
      <c r="W2109" s="260"/>
      <c r="X2109" s="260"/>
      <c r="Y2109" s="260"/>
      <c r="Z2109" s="260"/>
      <c r="AA2109" s="260"/>
      <c r="AB2109" s="260"/>
      <c r="AC2109" s="260"/>
      <c r="AD2109" s="260"/>
      <c r="AE2109" s="260"/>
      <c r="AF2109" s="260"/>
      <c r="AG2109" s="258"/>
    </row>
    <row r="2110" spans="13:33" ht="12" hidden="1" customHeight="1">
      <c r="M2110" s="820"/>
      <c r="N2110" s="239"/>
      <c r="O2110" s="225"/>
      <c r="P2110" s="260"/>
      <c r="Q2110" s="258"/>
      <c r="R2110" s="260"/>
      <c r="S2110" s="260"/>
      <c r="T2110" s="260"/>
      <c r="U2110" s="260"/>
      <c r="V2110" s="260"/>
      <c r="W2110" s="260"/>
      <c r="X2110" s="260"/>
      <c r="Y2110" s="260"/>
      <c r="Z2110" s="260"/>
      <c r="AA2110" s="260"/>
      <c r="AB2110" s="260"/>
      <c r="AC2110" s="260"/>
      <c r="AD2110" s="260"/>
      <c r="AE2110" s="260"/>
      <c r="AF2110" s="260"/>
      <c r="AG2110" s="258"/>
    </row>
    <row r="2111" spans="13:33" ht="12" hidden="1" customHeight="1">
      <c r="M2111" s="820"/>
      <c r="N2111" s="239"/>
      <c r="O2111" s="225"/>
      <c r="P2111" s="260"/>
      <c r="Q2111" s="258"/>
      <c r="R2111" s="260"/>
      <c r="S2111" s="260"/>
      <c r="T2111" s="260"/>
      <c r="U2111" s="260"/>
      <c r="V2111" s="260"/>
      <c r="W2111" s="260"/>
      <c r="X2111" s="260"/>
      <c r="Y2111" s="260"/>
      <c r="Z2111" s="260"/>
      <c r="AA2111" s="260"/>
      <c r="AB2111" s="260"/>
      <c r="AC2111" s="260"/>
      <c r="AD2111" s="260"/>
      <c r="AE2111" s="260"/>
      <c r="AF2111" s="260"/>
      <c r="AG2111" s="258"/>
    </row>
    <row r="2112" spans="13:33" ht="12" hidden="1" customHeight="1">
      <c r="M2112" s="820"/>
      <c r="N2112" s="239"/>
      <c r="O2112" s="225"/>
      <c r="P2112" s="260"/>
      <c r="Q2112" s="258"/>
      <c r="R2112" s="260"/>
      <c r="S2112" s="260"/>
      <c r="T2112" s="260"/>
      <c r="U2112" s="260"/>
      <c r="V2112" s="260"/>
      <c r="W2112" s="260"/>
      <c r="X2112" s="260"/>
      <c r="Y2112" s="260"/>
      <c r="Z2112" s="260"/>
      <c r="AA2112" s="260"/>
      <c r="AB2112" s="260"/>
      <c r="AC2112" s="260"/>
      <c r="AD2112" s="260"/>
      <c r="AE2112" s="260"/>
      <c r="AF2112" s="260"/>
      <c r="AG2112" s="258"/>
    </row>
    <row r="2113" spans="13:33" ht="12" hidden="1" customHeight="1">
      <c r="M2113" s="820"/>
      <c r="N2113" s="239"/>
      <c r="O2113" s="225"/>
      <c r="P2113" s="260"/>
      <c r="Q2113" s="258"/>
      <c r="R2113" s="260"/>
      <c r="S2113" s="260"/>
      <c r="T2113" s="260"/>
      <c r="U2113" s="260"/>
      <c r="V2113" s="260"/>
      <c r="W2113" s="260"/>
      <c r="X2113" s="260"/>
      <c r="Y2113" s="260"/>
      <c r="Z2113" s="260"/>
      <c r="AA2113" s="260"/>
      <c r="AB2113" s="260"/>
      <c r="AC2113" s="260"/>
      <c r="AD2113" s="260"/>
      <c r="AE2113" s="260"/>
      <c r="AF2113" s="260"/>
      <c r="AG2113" s="258"/>
    </row>
    <row r="2114" spans="13:33" ht="12" hidden="1" customHeight="1">
      <c r="M2114" s="820"/>
      <c r="N2114" s="239"/>
      <c r="O2114" s="225"/>
      <c r="P2114" s="260"/>
      <c r="Q2114" s="258"/>
      <c r="R2114" s="260"/>
      <c r="S2114" s="260"/>
      <c r="T2114" s="260"/>
      <c r="U2114" s="260"/>
      <c r="V2114" s="260"/>
      <c r="W2114" s="260"/>
      <c r="X2114" s="260"/>
      <c r="Y2114" s="260"/>
      <c r="Z2114" s="260"/>
      <c r="AA2114" s="260"/>
      <c r="AB2114" s="260"/>
      <c r="AC2114" s="260"/>
      <c r="AD2114" s="260"/>
      <c r="AE2114" s="260"/>
      <c r="AF2114" s="260"/>
      <c r="AG2114" s="258"/>
    </row>
    <row r="2115" spans="13:33" ht="12" hidden="1" customHeight="1">
      <c r="M2115" s="820"/>
      <c r="N2115" s="239"/>
      <c r="O2115" s="225"/>
      <c r="P2115" s="260"/>
      <c r="Q2115" s="258"/>
      <c r="R2115" s="260"/>
      <c r="S2115" s="260"/>
      <c r="T2115" s="260"/>
      <c r="U2115" s="260"/>
      <c r="V2115" s="260"/>
      <c r="W2115" s="260"/>
      <c r="X2115" s="260"/>
      <c r="Y2115" s="260"/>
      <c r="Z2115" s="260"/>
      <c r="AA2115" s="260"/>
      <c r="AB2115" s="260"/>
      <c r="AC2115" s="260"/>
      <c r="AD2115" s="260"/>
      <c r="AE2115" s="260"/>
      <c r="AF2115" s="260"/>
      <c r="AG2115" s="258"/>
    </row>
    <row r="2116" spans="13:33" ht="12" hidden="1" customHeight="1">
      <c r="M2116" s="820"/>
      <c r="N2116" s="239"/>
      <c r="O2116" s="225"/>
      <c r="P2116" s="260"/>
      <c r="Q2116" s="258"/>
      <c r="R2116" s="260"/>
      <c r="S2116" s="260"/>
      <c r="T2116" s="260"/>
      <c r="U2116" s="260"/>
      <c r="V2116" s="260"/>
      <c r="W2116" s="260"/>
      <c r="X2116" s="260"/>
      <c r="Y2116" s="260"/>
      <c r="Z2116" s="260"/>
      <c r="AA2116" s="260"/>
      <c r="AB2116" s="260"/>
      <c r="AC2116" s="260"/>
      <c r="AD2116" s="260"/>
      <c r="AE2116" s="260"/>
      <c r="AF2116" s="260"/>
      <c r="AG2116" s="258"/>
    </row>
    <row r="2117" spans="13:33" ht="12" hidden="1" customHeight="1">
      <c r="M2117" s="820"/>
      <c r="N2117" s="239"/>
      <c r="O2117" s="225"/>
      <c r="P2117" s="260"/>
      <c r="Q2117" s="258"/>
      <c r="R2117" s="260"/>
      <c r="S2117" s="260"/>
      <c r="T2117" s="260"/>
      <c r="U2117" s="260"/>
      <c r="V2117" s="260"/>
      <c r="W2117" s="260"/>
      <c r="X2117" s="260"/>
      <c r="Y2117" s="260"/>
      <c r="Z2117" s="260"/>
      <c r="AA2117" s="260"/>
      <c r="AB2117" s="260"/>
      <c r="AC2117" s="260"/>
      <c r="AD2117" s="260"/>
      <c r="AE2117" s="260"/>
      <c r="AF2117" s="260"/>
      <c r="AG2117" s="258"/>
    </row>
    <row r="2118" spans="13:33" ht="12" hidden="1" customHeight="1">
      <c r="M2118" s="820"/>
      <c r="N2118" s="239"/>
      <c r="O2118" s="225"/>
      <c r="P2118" s="260"/>
      <c r="Q2118" s="258"/>
      <c r="R2118" s="260"/>
      <c r="S2118" s="260"/>
      <c r="T2118" s="260"/>
      <c r="U2118" s="260"/>
      <c r="V2118" s="260"/>
      <c r="W2118" s="260"/>
      <c r="X2118" s="260"/>
      <c r="Y2118" s="260"/>
      <c r="Z2118" s="260"/>
      <c r="AA2118" s="260"/>
      <c r="AB2118" s="260"/>
      <c r="AC2118" s="260"/>
      <c r="AD2118" s="260"/>
      <c r="AE2118" s="260"/>
      <c r="AF2118" s="260"/>
      <c r="AG2118" s="258"/>
    </row>
    <row r="2119" spans="13:33" ht="12" hidden="1" customHeight="1">
      <c r="M2119" s="820"/>
      <c r="N2119" s="239"/>
      <c r="O2119" s="225"/>
      <c r="P2119" s="260"/>
      <c r="Q2119" s="258"/>
      <c r="R2119" s="260"/>
      <c r="S2119" s="260"/>
      <c r="T2119" s="260"/>
      <c r="U2119" s="260"/>
      <c r="V2119" s="260"/>
      <c r="W2119" s="260"/>
      <c r="X2119" s="260"/>
      <c r="Y2119" s="260"/>
      <c r="Z2119" s="260"/>
      <c r="AA2119" s="260"/>
      <c r="AB2119" s="260"/>
      <c r="AC2119" s="260"/>
      <c r="AD2119" s="260"/>
      <c r="AE2119" s="260"/>
      <c r="AF2119" s="260"/>
      <c r="AG2119" s="258"/>
    </row>
    <row r="2120" spans="13:33" ht="12" hidden="1" customHeight="1">
      <c r="M2120" s="820"/>
      <c r="N2120" s="239"/>
      <c r="O2120" s="225"/>
      <c r="P2120" s="260"/>
      <c r="Q2120" s="258"/>
      <c r="R2120" s="260"/>
      <c r="S2120" s="260"/>
      <c r="T2120" s="260"/>
      <c r="U2120" s="260"/>
      <c r="V2120" s="260"/>
      <c r="W2120" s="260"/>
      <c r="X2120" s="260"/>
      <c r="Y2120" s="260"/>
      <c r="Z2120" s="260"/>
      <c r="AA2120" s="260"/>
      <c r="AB2120" s="260"/>
      <c r="AC2120" s="260"/>
      <c r="AD2120" s="260"/>
      <c r="AE2120" s="260"/>
      <c r="AF2120" s="260"/>
      <c r="AG2120" s="258"/>
    </row>
    <row r="2121" spans="13:33" ht="12" hidden="1" customHeight="1">
      <c r="M2121" s="820"/>
      <c r="N2121" s="239"/>
      <c r="O2121" s="225"/>
      <c r="P2121" s="260"/>
      <c r="Q2121" s="258"/>
      <c r="R2121" s="260"/>
      <c r="S2121" s="260"/>
      <c r="T2121" s="260"/>
      <c r="U2121" s="260"/>
      <c r="V2121" s="260"/>
      <c r="W2121" s="260"/>
      <c r="X2121" s="260"/>
      <c r="Y2121" s="260"/>
      <c r="Z2121" s="260"/>
      <c r="AA2121" s="260"/>
      <c r="AB2121" s="260"/>
      <c r="AC2121" s="260"/>
      <c r="AD2121" s="260"/>
      <c r="AE2121" s="260"/>
      <c r="AF2121" s="260"/>
      <c r="AG2121" s="258"/>
    </row>
    <row r="2122" spans="13:33" ht="12" hidden="1" customHeight="1">
      <c r="M2122" s="820"/>
      <c r="N2122" s="239"/>
      <c r="O2122" s="225"/>
      <c r="P2122" s="260"/>
      <c r="Q2122" s="258"/>
      <c r="R2122" s="260"/>
      <c r="S2122" s="260"/>
      <c r="T2122" s="260"/>
      <c r="U2122" s="260"/>
      <c r="V2122" s="260"/>
      <c r="W2122" s="260"/>
      <c r="X2122" s="260"/>
      <c r="Y2122" s="260"/>
      <c r="Z2122" s="260"/>
      <c r="AA2122" s="260"/>
      <c r="AB2122" s="260"/>
      <c r="AC2122" s="260"/>
      <c r="AD2122" s="260"/>
      <c r="AE2122" s="260"/>
      <c r="AF2122" s="260"/>
      <c r="AG2122" s="258"/>
    </row>
    <row r="2123" spans="13:33" ht="12" hidden="1" customHeight="1">
      <c r="M2123" s="820"/>
      <c r="N2123" s="239"/>
      <c r="O2123" s="225"/>
      <c r="P2123" s="260"/>
      <c r="Q2123" s="258"/>
      <c r="R2123" s="260"/>
      <c r="S2123" s="260"/>
      <c r="T2123" s="260"/>
      <c r="U2123" s="260"/>
      <c r="V2123" s="260"/>
      <c r="W2123" s="260"/>
      <c r="X2123" s="260"/>
      <c r="Y2123" s="260"/>
      <c r="Z2123" s="260"/>
      <c r="AA2123" s="260"/>
      <c r="AB2123" s="260"/>
      <c r="AC2123" s="260"/>
      <c r="AD2123" s="260"/>
      <c r="AE2123" s="260"/>
      <c r="AF2123" s="260"/>
      <c r="AG2123" s="258"/>
    </row>
    <row r="2124" spans="13:33" ht="12" hidden="1" customHeight="1">
      <c r="M2124" s="820"/>
      <c r="N2124" s="239"/>
      <c r="O2124" s="225"/>
      <c r="P2124" s="260"/>
      <c r="Q2124" s="258"/>
      <c r="R2124" s="260"/>
      <c r="S2124" s="260"/>
      <c r="T2124" s="260"/>
      <c r="U2124" s="260"/>
      <c r="V2124" s="260"/>
      <c r="W2124" s="260"/>
      <c r="X2124" s="260"/>
      <c r="Y2124" s="260"/>
      <c r="Z2124" s="260"/>
      <c r="AA2124" s="260"/>
      <c r="AB2124" s="260"/>
      <c r="AC2124" s="260"/>
      <c r="AD2124" s="260"/>
      <c r="AE2124" s="260"/>
      <c r="AF2124" s="260"/>
      <c r="AG2124" s="258"/>
    </row>
    <row r="2125" spans="13:33" ht="12" hidden="1" customHeight="1">
      <c r="M2125" s="820"/>
      <c r="N2125" s="239"/>
      <c r="O2125" s="225"/>
      <c r="P2125" s="260"/>
      <c r="Q2125" s="258"/>
      <c r="R2125" s="260"/>
      <c r="S2125" s="260"/>
      <c r="T2125" s="260"/>
      <c r="U2125" s="260"/>
      <c r="V2125" s="260"/>
      <c r="W2125" s="260"/>
      <c r="X2125" s="260"/>
      <c r="Y2125" s="260"/>
      <c r="Z2125" s="260"/>
      <c r="AA2125" s="260"/>
      <c r="AB2125" s="260"/>
      <c r="AC2125" s="260"/>
      <c r="AD2125" s="260"/>
      <c r="AE2125" s="260"/>
      <c r="AF2125" s="260"/>
      <c r="AG2125" s="258"/>
    </row>
    <row r="2126" spans="13:33" ht="12" hidden="1" customHeight="1">
      <c r="M2126" s="820"/>
      <c r="N2126" s="239"/>
      <c r="O2126" s="225"/>
      <c r="P2126" s="260"/>
      <c r="Q2126" s="258"/>
      <c r="R2126" s="260"/>
      <c r="S2126" s="260"/>
      <c r="T2126" s="260"/>
      <c r="U2126" s="260"/>
      <c r="V2126" s="260"/>
      <c r="W2126" s="260"/>
      <c r="X2126" s="260"/>
      <c r="Y2126" s="260"/>
      <c r="Z2126" s="260"/>
      <c r="AA2126" s="260"/>
      <c r="AB2126" s="260"/>
      <c r="AC2126" s="260"/>
      <c r="AD2126" s="260"/>
      <c r="AE2126" s="260"/>
      <c r="AF2126" s="260"/>
      <c r="AG2126" s="258"/>
    </row>
    <row r="2127" spans="13:33" ht="12" hidden="1" customHeight="1">
      <c r="M2127" s="820"/>
      <c r="N2127" s="239"/>
      <c r="O2127" s="225"/>
      <c r="P2127" s="260"/>
      <c r="Q2127" s="258"/>
      <c r="R2127" s="260"/>
      <c r="S2127" s="260"/>
      <c r="T2127" s="260"/>
      <c r="U2127" s="260"/>
      <c r="V2127" s="260"/>
      <c r="W2127" s="260"/>
      <c r="X2127" s="260"/>
      <c r="Y2127" s="260"/>
      <c r="Z2127" s="260"/>
      <c r="AA2127" s="260"/>
      <c r="AB2127" s="260"/>
      <c r="AC2127" s="260"/>
      <c r="AD2127" s="260"/>
      <c r="AE2127" s="260"/>
      <c r="AF2127" s="260"/>
      <c r="AG2127" s="258"/>
    </row>
    <row r="2128" spans="13:33" ht="12" hidden="1" customHeight="1">
      <c r="M2128" s="820"/>
      <c r="N2128" s="239"/>
      <c r="O2128" s="225"/>
      <c r="P2128" s="260"/>
      <c r="Q2128" s="258"/>
      <c r="R2128" s="260"/>
      <c r="S2128" s="260"/>
      <c r="T2128" s="260"/>
      <c r="U2128" s="260"/>
      <c r="V2128" s="260"/>
      <c r="W2128" s="260"/>
      <c r="X2128" s="260"/>
      <c r="Y2128" s="260"/>
      <c r="Z2128" s="260"/>
      <c r="AA2128" s="260"/>
      <c r="AB2128" s="260"/>
      <c r="AC2128" s="260"/>
      <c r="AD2128" s="260"/>
      <c r="AE2128" s="260"/>
      <c r="AF2128" s="260"/>
      <c r="AG2128" s="258"/>
    </row>
    <row r="2129" spans="13:33" ht="12" hidden="1" customHeight="1">
      <c r="M2129" s="820"/>
      <c r="N2129" s="239"/>
      <c r="O2129" s="225"/>
      <c r="P2129" s="260"/>
      <c r="Q2129" s="258"/>
      <c r="R2129" s="260"/>
      <c r="S2129" s="260"/>
      <c r="T2129" s="260"/>
      <c r="U2129" s="260"/>
      <c r="V2129" s="260"/>
      <c r="W2129" s="260"/>
      <c r="X2129" s="260"/>
      <c r="Y2129" s="260"/>
      <c r="Z2129" s="260"/>
      <c r="AA2129" s="260"/>
      <c r="AB2129" s="260"/>
      <c r="AC2129" s="260"/>
      <c r="AD2129" s="260"/>
      <c r="AE2129" s="260"/>
      <c r="AF2129" s="260"/>
      <c r="AG2129" s="258"/>
    </row>
    <row r="2130" spans="13:33" ht="12" hidden="1" customHeight="1">
      <c r="M2130" s="820"/>
      <c r="N2130" s="239"/>
      <c r="O2130" s="225"/>
      <c r="P2130" s="260"/>
      <c r="Q2130" s="258"/>
      <c r="R2130" s="260"/>
      <c r="S2130" s="260"/>
      <c r="T2130" s="260"/>
      <c r="U2130" s="260"/>
      <c r="V2130" s="260"/>
      <c r="W2130" s="260"/>
      <c r="X2130" s="260"/>
      <c r="Y2130" s="260"/>
      <c r="Z2130" s="260"/>
      <c r="AA2130" s="260"/>
      <c r="AB2130" s="260"/>
      <c r="AC2130" s="260"/>
      <c r="AD2130" s="260"/>
      <c r="AE2130" s="260"/>
      <c r="AF2130" s="260"/>
      <c r="AG2130" s="258"/>
    </row>
    <row r="2131" spans="13:33" ht="12" hidden="1" customHeight="1">
      <c r="M2131" s="820"/>
      <c r="N2131" s="239"/>
      <c r="O2131" s="225"/>
      <c r="P2131" s="260"/>
      <c r="Q2131" s="258"/>
      <c r="R2131" s="260"/>
      <c r="S2131" s="260"/>
      <c r="T2131" s="260"/>
      <c r="U2131" s="260"/>
      <c r="V2131" s="260"/>
      <c r="W2131" s="260"/>
      <c r="X2131" s="260"/>
      <c r="Y2131" s="260"/>
      <c r="Z2131" s="260"/>
      <c r="AA2131" s="260"/>
      <c r="AB2131" s="260"/>
      <c r="AC2131" s="260"/>
      <c r="AD2131" s="260"/>
      <c r="AE2131" s="260"/>
      <c r="AF2131" s="260"/>
      <c r="AG2131" s="258"/>
    </row>
    <row r="2132" spans="13:33" ht="12" hidden="1" customHeight="1">
      <c r="M2132" s="820"/>
      <c r="N2132" s="239"/>
      <c r="O2132" s="225"/>
      <c r="P2132" s="260"/>
      <c r="Q2132" s="258"/>
      <c r="R2132" s="260"/>
      <c r="S2132" s="260"/>
      <c r="T2132" s="260"/>
      <c r="U2132" s="260"/>
      <c r="V2132" s="260"/>
      <c r="W2132" s="260"/>
      <c r="X2132" s="260"/>
      <c r="Y2132" s="260"/>
      <c r="Z2132" s="260"/>
      <c r="AA2132" s="260"/>
      <c r="AB2132" s="260"/>
      <c r="AC2132" s="260"/>
      <c r="AD2132" s="260"/>
      <c r="AE2132" s="260"/>
      <c r="AF2132" s="260"/>
      <c r="AG2132" s="258"/>
    </row>
    <row r="2133" spans="13:33" ht="12" hidden="1" customHeight="1">
      <c r="M2133" s="820"/>
      <c r="N2133" s="239"/>
      <c r="O2133" s="225"/>
      <c r="P2133" s="260"/>
      <c r="Q2133" s="258"/>
      <c r="R2133" s="260"/>
      <c r="S2133" s="260"/>
      <c r="T2133" s="260"/>
      <c r="U2133" s="260"/>
      <c r="V2133" s="260"/>
      <c r="W2133" s="260"/>
      <c r="X2133" s="260"/>
      <c r="Y2133" s="260"/>
      <c r="Z2133" s="260"/>
      <c r="AA2133" s="260"/>
      <c r="AB2133" s="260"/>
      <c r="AC2133" s="260"/>
      <c r="AD2133" s="260"/>
      <c r="AE2133" s="260"/>
      <c r="AF2133" s="260"/>
      <c r="AG2133" s="258"/>
    </row>
    <row r="2134" spans="13:33" ht="12" hidden="1" customHeight="1">
      <c r="M2134" s="820"/>
      <c r="N2134" s="239"/>
      <c r="O2134" s="225"/>
      <c r="P2134" s="260"/>
      <c r="Q2134" s="258"/>
      <c r="R2134" s="260"/>
      <c r="S2134" s="260"/>
      <c r="T2134" s="260"/>
      <c r="U2134" s="260"/>
      <c r="V2134" s="260"/>
      <c r="W2134" s="260"/>
      <c r="X2134" s="260"/>
      <c r="Y2134" s="260"/>
      <c r="Z2134" s="260"/>
      <c r="AA2134" s="260"/>
      <c r="AB2134" s="260"/>
      <c r="AC2134" s="260"/>
      <c r="AD2134" s="260"/>
      <c r="AE2134" s="260"/>
      <c r="AF2134" s="260"/>
      <c r="AG2134" s="258"/>
    </row>
    <row r="2135" spans="13:33" ht="12" hidden="1" customHeight="1">
      <c r="M2135" s="820"/>
      <c r="N2135" s="239"/>
      <c r="O2135" s="225"/>
      <c r="P2135" s="260"/>
      <c r="Q2135" s="258"/>
      <c r="R2135" s="260"/>
      <c r="S2135" s="260"/>
      <c r="T2135" s="260"/>
      <c r="U2135" s="260"/>
      <c r="V2135" s="260"/>
      <c r="W2135" s="260"/>
      <c r="X2135" s="260"/>
      <c r="Y2135" s="260"/>
      <c r="Z2135" s="260"/>
      <c r="AA2135" s="260"/>
      <c r="AB2135" s="260"/>
      <c r="AC2135" s="260"/>
      <c r="AD2135" s="260"/>
      <c r="AE2135" s="260"/>
      <c r="AF2135" s="260"/>
      <c r="AG2135" s="258"/>
    </row>
    <row r="2136" spans="13:33" ht="12" hidden="1" customHeight="1">
      <c r="M2136" s="820"/>
      <c r="N2136" s="239"/>
      <c r="O2136" s="225"/>
      <c r="P2136" s="260"/>
      <c r="Q2136" s="258"/>
      <c r="R2136" s="260"/>
      <c r="S2136" s="260"/>
      <c r="T2136" s="260"/>
      <c r="U2136" s="260"/>
      <c r="V2136" s="260"/>
      <c r="W2136" s="260"/>
      <c r="X2136" s="260"/>
      <c r="Y2136" s="260"/>
      <c r="Z2136" s="260"/>
      <c r="AA2136" s="260"/>
      <c r="AB2136" s="260"/>
      <c r="AC2136" s="260"/>
      <c r="AD2136" s="260"/>
      <c r="AE2136" s="260"/>
      <c r="AF2136" s="260"/>
      <c r="AG2136" s="258"/>
    </row>
    <row r="2137" spans="13:33" ht="12" hidden="1" customHeight="1">
      <c r="M2137" s="820"/>
      <c r="N2137" s="239"/>
      <c r="O2137" s="225"/>
      <c r="P2137" s="260"/>
      <c r="Q2137" s="258"/>
      <c r="R2137" s="260"/>
      <c r="S2137" s="260"/>
      <c r="T2137" s="260"/>
      <c r="U2137" s="260"/>
      <c r="V2137" s="260"/>
      <c r="W2137" s="260"/>
      <c r="X2137" s="260"/>
      <c r="Y2137" s="260"/>
      <c r="Z2137" s="260"/>
      <c r="AA2137" s="260"/>
      <c r="AB2137" s="260"/>
      <c r="AC2137" s="260"/>
      <c r="AD2137" s="260"/>
      <c r="AE2137" s="260"/>
      <c r="AF2137" s="260"/>
      <c r="AG2137" s="258"/>
    </row>
    <row r="2138" spans="13:33" ht="12" hidden="1" customHeight="1">
      <c r="M2138" s="820"/>
      <c r="N2138" s="239"/>
      <c r="O2138" s="225"/>
      <c r="P2138" s="260"/>
      <c r="Q2138" s="258"/>
      <c r="R2138" s="260"/>
      <c r="S2138" s="260"/>
      <c r="T2138" s="260"/>
      <c r="U2138" s="260"/>
      <c r="V2138" s="260"/>
      <c r="W2138" s="260"/>
      <c r="X2138" s="260"/>
      <c r="Y2138" s="260"/>
      <c r="Z2138" s="260"/>
      <c r="AA2138" s="260"/>
      <c r="AB2138" s="260"/>
      <c r="AC2138" s="260"/>
      <c r="AD2138" s="260"/>
      <c r="AE2138" s="260"/>
      <c r="AF2138" s="260"/>
      <c r="AG2138" s="258"/>
    </row>
    <row r="2139" spans="13:33" ht="12" hidden="1" customHeight="1">
      <c r="M2139" s="820"/>
      <c r="N2139" s="239"/>
      <c r="O2139" s="225"/>
      <c r="P2139" s="260"/>
      <c r="Q2139" s="258"/>
      <c r="R2139" s="260"/>
      <c r="S2139" s="260"/>
      <c r="T2139" s="260"/>
      <c r="U2139" s="260"/>
      <c r="V2139" s="260"/>
      <c r="W2139" s="260"/>
      <c r="X2139" s="260"/>
      <c r="Y2139" s="260"/>
      <c r="Z2139" s="260"/>
      <c r="AA2139" s="260"/>
      <c r="AB2139" s="260"/>
      <c r="AC2139" s="260"/>
      <c r="AD2139" s="260"/>
      <c r="AE2139" s="260"/>
      <c r="AF2139" s="260"/>
      <c r="AG2139" s="258"/>
    </row>
    <row r="2140" spans="13:33" ht="12" hidden="1" customHeight="1">
      <c r="M2140" s="820"/>
      <c r="N2140" s="239"/>
      <c r="O2140" s="225"/>
      <c r="P2140" s="260"/>
      <c r="Q2140" s="258"/>
      <c r="R2140" s="260"/>
      <c r="S2140" s="260"/>
      <c r="T2140" s="260"/>
      <c r="U2140" s="260"/>
      <c r="V2140" s="260"/>
      <c r="W2140" s="260"/>
      <c r="X2140" s="260"/>
      <c r="Y2140" s="260"/>
      <c r="Z2140" s="260"/>
      <c r="AA2140" s="260"/>
      <c r="AB2140" s="260"/>
      <c r="AC2140" s="260"/>
      <c r="AD2140" s="260"/>
      <c r="AE2140" s="260"/>
      <c r="AF2140" s="260"/>
      <c r="AG2140" s="258"/>
    </row>
    <row r="2141" spans="13:33" ht="12" hidden="1" customHeight="1">
      <c r="M2141" s="820"/>
      <c r="N2141" s="239"/>
      <c r="O2141" s="225"/>
      <c r="P2141" s="260"/>
      <c r="Q2141" s="258"/>
      <c r="R2141" s="260"/>
      <c r="S2141" s="260"/>
      <c r="T2141" s="260"/>
      <c r="U2141" s="260"/>
      <c r="V2141" s="260"/>
      <c r="W2141" s="260"/>
      <c r="X2141" s="260"/>
      <c r="Y2141" s="260"/>
      <c r="Z2141" s="260"/>
      <c r="AA2141" s="260"/>
      <c r="AB2141" s="260"/>
      <c r="AC2141" s="260"/>
      <c r="AD2141" s="260"/>
      <c r="AE2141" s="260"/>
      <c r="AF2141" s="260"/>
      <c r="AG2141" s="258"/>
    </row>
    <row r="2142" spans="13:33" ht="12" hidden="1" customHeight="1">
      <c r="M2142" s="820"/>
      <c r="N2142" s="239"/>
      <c r="O2142" s="225"/>
      <c r="P2142" s="260"/>
      <c r="Q2142" s="258"/>
      <c r="R2142" s="260"/>
      <c r="S2142" s="260"/>
      <c r="T2142" s="260"/>
      <c r="U2142" s="260"/>
      <c r="V2142" s="260"/>
      <c r="W2142" s="260"/>
      <c r="X2142" s="260"/>
      <c r="Y2142" s="260"/>
      <c r="Z2142" s="260"/>
      <c r="AA2142" s="260"/>
      <c r="AB2142" s="260"/>
      <c r="AC2142" s="260"/>
      <c r="AD2142" s="260"/>
      <c r="AE2142" s="260"/>
      <c r="AF2142" s="260"/>
      <c r="AG2142" s="258"/>
    </row>
    <row r="2143" spans="13:33" ht="12" hidden="1" customHeight="1">
      <c r="M2143" s="820"/>
      <c r="N2143" s="239"/>
      <c r="O2143" s="225"/>
      <c r="P2143" s="260"/>
      <c r="Q2143" s="258"/>
      <c r="R2143" s="260"/>
      <c r="S2143" s="260"/>
      <c r="T2143" s="260"/>
      <c r="U2143" s="260"/>
      <c r="V2143" s="260"/>
      <c r="W2143" s="260"/>
      <c r="X2143" s="260"/>
      <c r="Y2143" s="260"/>
      <c r="Z2143" s="260"/>
      <c r="AA2143" s="260"/>
      <c r="AB2143" s="260"/>
      <c r="AC2143" s="260"/>
      <c r="AD2143" s="260"/>
      <c r="AE2143" s="260"/>
      <c r="AF2143" s="260"/>
      <c r="AG2143" s="258"/>
    </row>
    <row r="2144" spans="13:33" ht="12" hidden="1" customHeight="1">
      <c r="M2144" s="820"/>
      <c r="N2144" s="239"/>
      <c r="O2144" s="225"/>
      <c r="P2144" s="260"/>
      <c r="Q2144" s="258"/>
      <c r="R2144" s="260"/>
      <c r="S2144" s="260"/>
      <c r="T2144" s="260"/>
      <c r="U2144" s="260"/>
      <c r="V2144" s="260"/>
      <c r="W2144" s="260"/>
      <c r="X2144" s="260"/>
      <c r="Y2144" s="260"/>
      <c r="Z2144" s="260"/>
      <c r="AA2144" s="260"/>
      <c r="AB2144" s="260"/>
      <c r="AC2144" s="260"/>
      <c r="AD2144" s="260"/>
      <c r="AE2144" s="260"/>
      <c r="AF2144" s="260"/>
      <c r="AG2144" s="258"/>
    </row>
    <row r="2145" spans="13:33" ht="12" hidden="1" customHeight="1">
      <c r="M2145" s="820"/>
      <c r="N2145" s="239"/>
      <c r="O2145" s="225"/>
      <c r="P2145" s="260"/>
      <c r="Q2145" s="258"/>
      <c r="R2145" s="260"/>
      <c r="S2145" s="260"/>
      <c r="T2145" s="260"/>
      <c r="U2145" s="260"/>
      <c r="V2145" s="260"/>
      <c r="W2145" s="260"/>
      <c r="X2145" s="260"/>
      <c r="Y2145" s="260"/>
      <c r="Z2145" s="260"/>
      <c r="AA2145" s="260"/>
      <c r="AB2145" s="260"/>
      <c r="AC2145" s="260"/>
      <c r="AD2145" s="260"/>
      <c r="AE2145" s="260"/>
      <c r="AF2145" s="260"/>
      <c r="AG2145" s="258"/>
    </row>
    <row r="2146" spans="13:33" ht="12" hidden="1" customHeight="1">
      <c r="M2146" s="820"/>
      <c r="N2146" s="239"/>
      <c r="O2146" s="225"/>
      <c r="P2146" s="260"/>
      <c r="Q2146" s="258"/>
      <c r="R2146" s="260"/>
      <c r="S2146" s="260"/>
      <c r="T2146" s="260"/>
      <c r="U2146" s="260"/>
      <c r="V2146" s="260"/>
      <c r="W2146" s="260"/>
      <c r="X2146" s="260"/>
      <c r="Y2146" s="260"/>
      <c r="Z2146" s="260"/>
      <c r="AA2146" s="260"/>
      <c r="AB2146" s="260"/>
      <c r="AC2146" s="260"/>
      <c r="AD2146" s="260"/>
      <c r="AE2146" s="260"/>
      <c r="AF2146" s="260"/>
      <c r="AG2146" s="258"/>
    </row>
    <row r="2147" spans="13:33" ht="12" hidden="1" customHeight="1">
      <c r="M2147" s="820"/>
      <c r="N2147" s="239"/>
      <c r="O2147" s="225"/>
      <c r="P2147" s="260"/>
      <c r="Q2147" s="258"/>
      <c r="R2147" s="260"/>
      <c r="S2147" s="260"/>
      <c r="T2147" s="260"/>
      <c r="U2147" s="260"/>
      <c r="V2147" s="260"/>
      <c r="W2147" s="260"/>
      <c r="X2147" s="260"/>
      <c r="Y2147" s="260"/>
      <c r="Z2147" s="260"/>
      <c r="AA2147" s="260"/>
      <c r="AB2147" s="260"/>
      <c r="AC2147" s="260"/>
      <c r="AD2147" s="260"/>
      <c r="AE2147" s="260"/>
      <c r="AF2147" s="260"/>
      <c r="AG2147" s="258"/>
    </row>
    <row r="2148" spans="13:33" ht="12" hidden="1" customHeight="1">
      <c r="M2148" s="820"/>
      <c r="N2148" s="239"/>
      <c r="O2148" s="225"/>
      <c r="P2148" s="260"/>
      <c r="Q2148" s="258"/>
      <c r="R2148" s="260"/>
      <c r="S2148" s="260"/>
      <c r="T2148" s="260"/>
      <c r="U2148" s="260"/>
      <c r="V2148" s="260"/>
      <c r="W2148" s="260"/>
      <c r="X2148" s="260"/>
      <c r="Y2148" s="260"/>
      <c r="Z2148" s="260"/>
      <c r="AA2148" s="260"/>
      <c r="AB2148" s="260"/>
      <c r="AC2148" s="260"/>
      <c r="AD2148" s="260"/>
      <c r="AE2148" s="260"/>
      <c r="AF2148" s="260"/>
      <c r="AG2148" s="258"/>
    </row>
    <row r="2149" spans="13:33" ht="12" hidden="1" customHeight="1">
      <c r="M2149" s="820"/>
      <c r="N2149" s="239"/>
      <c r="O2149" s="225"/>
      <c r="P2149" s="260"/>
      <c r="Q2149" s="258"/>
      <c r="R2149" s="260"/>
      <c r="S2149" s="260"/>
      <c r="T2149" s="260"/>
      <c r="U2149" s="260"/>
      <c r="V2149" s="260"/>
      <c r="W2149" s="260"/>
      <c r="X2149" s="260"/>
      <c r="Y2149" s="260"/>
      <c r="Z2149" s="260"/>
      <c r="AA2149" s="260"/>
      <c r="AB2149" s="260"/>
      <c r="AC2149" s="260"/>
      <c r="AD2149" s="260"/>
      <c r="AE2149" s="260"/>
      <c r="AF2149" s="260"/>
      <c r="AG2149" s="258"/>
    </row>
    <row r="2150" spans="13:33" ht="12" hidden="1" customHeight="1">
      <c r="M2150" s="820"/>
      <c r="N2150" s="239"/>
      <c r="O2150" s="225"/>
      <c r="P2150" s="260"/>
      <c r="Q2150" s="258"/>
      <c r="R2150" s="260"/>
      <c r="S2150" s="260"/>
      <c r="T2150" s="260"/>
      <c r="U2150" s="260"/>
      <c r="V2150" s="260"/>
      <c r="W2150" s="260"/>
      <c r="X2150" s="260"/>
      <c r="Y2150" s="260"/>
      <c r="Z2150" s="260"/>
      <c r="AA2150" s="260"/>
      <c r="AB2150" s="260"/>
      <c r="AC2150" s="260"/>
      <c r="AD2150" s="260"/>
      <c r="AE2150" s="260"/>
      <c r="AF2150" s="260"/>
      <c r="AG2150" s="258"/>
    </row>
    <row r="2151" spans="13:33" ht="12" hidden="1" customHeight="1">
      <c r="M2151" s="820"/>
      <c r="N2151" s="239"/>
      <c r="O2151" s="225"/>
      <c r="P2151" s="260"/>
      <c r="Q2151" s="258"/>
      <c r="R2151" s="260"/>
      <c r="S2151" s="260"/>
      <c r="T2151" s="260"/>
      <c r="U2151" s="260"/>
      <c r="V2151" s="260"/>
      <c r="W2151" s="260"/>
      <c r="X2151" s="260"/>
      <c r="Y2151" s="260"/>
      <c r="Z2151" s="260"/>
      <c r="AA2151" s="260"/>
      <c r="AB2151" s="260"/>
      <c r="AC2151" s="260"/>
      <c r="AD2151" s="260"/>
      <c r="AE2151" s="260"/>
      <c r="AF2151" s="260"/>
      <c r="AG2151" s="258"/>
    </row>
    <row r="2152" spans="13:33" ht="12" hidden="1" customHeight="1">
      <c r="M2152" s="820"/>
      <c r="N2152" s="239"/>
      <c r="O2152" s="225"/>
      <c r="P2152" s="260"/>
      <c r="Q2152" s="258"/>
      <c r="R2152" s="260"/>
      <c r="S2152" s="260"/>
      <c r="T2152" s="260"/>
      <c r="U2152" s="260"/>
      <c r="V2152" s="260"/>
      <c r="W2152" s="260"/>
      <c r="X2152" s="260"/>
      <c r="Y2152" s="260"/>
      <c r="Z2152" s="260"/>
      <c r="AA2152" s="260"/>
      <c r="AB2152" s="260"/>
      <c r="AC2152" s="260"/>
      <c r="AD2152" s="260"/>
      <c r="AE2152" s="260"/>
      <c r="AF2152" s="260"/>
      <c r="AG2152" s="258"/>
    </row>
    <row r="2153" spans="13:33" ht="12" hidden="1" customHeight="1">
      <c r="M2153" s="820"/>
      <c r="N2153" s="239"/>
      <c r="O2153" s="225"/>
      <c r="P2153" s="260"/>
      <c r="Q2153" s="258"/>
      <c r="R2153" s="260"/>
      <c r="S2153" s="260"/>
      <c r="T2153" s="260"/>
      <c r="U2153" s="260"/>
      <c r="V2153" s="260"/>
      <c r="W2153" s="260"/>
      <c r="X2153" s="260"/>
      <c r="Y2153" s="260"/>
      <c r="Z2153" s="260"/>
      <c r="AA2153" s="260"/>
      <c r="AB2153" s="260"/>
      <c r="AC2153" s="260"/>
      <c r="AD2153" s="260"/>
      <c r="AE2153" s="260"/>
      <c r="AF2153" s="260"/>
      <c r="AG2153" s="258"/>
    </row>
    <row r="2154" spans="13:33" ht="12" hidden="1" customHeight="1">
      <c r="M2154" s="820"/>
      <c r="N2154" s="239"/>
      <c r="O2154" s="225"/>
      <c r="P2154" s="260"/>
      <c r="Q2154" s="258"/>
      <c r="R2154" s="260"/>
      <c r="S2154" s="260"/>
      <c r="T2154" s="260"/>
      <c r="U2154" s="260"/>
      <c r="V2154" s="260"/>
      <c r="W2154" s="260"/>
      <c r="X2154" s="260"/>
      <c r="Y2154" s="260"/>
      <c r="Z2154" s="260"/>
      <c r="AA2154" s="260"/>
      <c r="AB2154" s="260"/>
      <c r="AC2154" s="260"/>
      <c r="AD2154" s="260"/>
      <c r="AE2154" s="260"/>
      <c r="AF2154" s="260"/>
      <c r="AG2154" s="258"/>
    </row>
    <row r="2155" spans="13:33" ht="12" hidden="1" customHeight="1">
      <c r="M2155" s="820"/>
      <c r="N2155" s="239"/>
      <c r="O2155" s="225"/>
      <c r="P2155" s="260"/>
      <c r="Q2155" s="258"/>
      <c r="R2155" s="260"/>
      <c r="S2155" s="260"/>
      <c r="T2155" s="260"/>
      <c r="U2155" s="260"/>
      <c r="V2155" s="260"/>
      <c r="W2155" s="260"/>
      <c r="X2155" s="260"/>
      <c r="Y2155" s="260"/>
      <c r="Z2155" s="260"/>
      <c r="AA2155" s="260"/>
      <c r="AB2155" s="260"/>
      <c r="AC2155" s="260"/>
      <c r="AD2155" s="260"/>
      <c r="AE2155" s="260"/>
      <c r="AF2155" s="260"/>
      <c r="AG2155" s="258"/>
    </row>
    <row r="2156" spans="13:33" ht="12" hidden="1" customHeight="1">
      <c r="M2156" s="820"/>
      <c r="N2156" s="239"/>
      <c r="O2156" s="225"/>
      <c r="P2156" s="260"/>
      <c r="Q2156" s="258"/>
      <c r="R2156" s="260"/>
      <c r="S2156" s="260"/>
      <c r="T2156" s="260"/>
      <c r="U2156" s="260"/>
      <c r="V2156" s="260"/>
      <c r="W2156" s="260"/>
      <c r="X2156" s="260"/>
      <c r="Y2156" s="260"/>
      <c r="Z2156" s="260"/>
      <c r="AA2156" s="260"/>
      <c r="AB2156" s="260"/>
      <c r="AC2156" s="260"/>
      <c r="AD2156" s="260"/>
      <c r="AE2156" s="260"/>
      <c r="AF2156" s="260"/>
      <c r="AG2156" s="258"/>
    </row>
    <row r="2157" spans="13:33" ht="12" hidden="1" customHeight="1">
      <c r="M2157" s="820"/>
      <c r="N2157" s="239"/>
      <c r="O2157" s="225"/>
      <c r="P2157" s="260"/>
      <c r="Q2157" s="258"/>
      <c r="R2157" s="260"/>
      <c r="S2157" s="260"/>
      <c r="T2157" s="260"/>
      <c r="U2157" s="260"/>
      <c r="V2157" s="260"/>
      <c r="W2157" s="260"/>
      <c r="X2157" s="260"/>
      <c r="Y2157" s="260"/>
      <c r="Z2157" s="260"/>
      <c r="AA2157" s="260"/>
      <c r="AB2157" s="260"/>
      <c r="AC2157" s="260"/>
      <c r="AD2157" s="260"/>
      <c r="AE2157" s="260"/>
      <c r="AF2157" s="260"/>
      <c r="AG2157" s="258"/>
    </row>
    <row r="2158" spans="13:33" ht="12" hidden="1" customHeight="1">
      <c r="M2158" s="820"/>
      <c r="N2158" s="239"/>
      <c r="O2158" s="225"/>
      <c r="P2158" s="260"/>
      <c r="Q2158" s="258"/>
      <c r="R2158" s="260"/>
      <c r="S2158" s="260"/>
      <c r="T2158" s="260"/>
      <c r="U2158" s="260"/>
      <c r="V2158" s="260"/>
      <c r="W2158" s="260"/>
      <c r="X2158" s="260"/>
      <c r="Y2158" s="260"/>
      <c r="Z2158" s="260"/>
      <c r="AA2158" s="260"/>
      <c r="AB2158" s="260"/>
      <c r="AC2158" s="260"/>
      <c r="AD2158" s="260"/>
      <c r="AE2158" s="260"/>
      <c r="AF2158" s="260"/>
      <c r="AG2158" s="258"/>
    </row>
    <row r="2159" spans="13:33" ht="12" hidden="1" customHeight="1">
      <c r="M2159" s="820"/>
      <c r="N2159" s="239"/>
      <c r="O2159" s="225"/>
      <c r="P2159" s="260"/>
      <c r="Q2159" s="258"/>
      <c r="R2159" s="260"/>
      <c r="S2159" s="260"/>
      <c r="T2159" s="260"/>
      <c r="U2159" s="260"/>
      <c r="V2159" s="260"/>
      <c r="W2159" s="260"/>
      <c r="X2159" s="260"/>
      <c r="Y2159" s="260"/>
      <c r="Z2159" s="260"/>
      <c r="AA2159" s="260"/>
      <c r="AB2159" s="260"/>
      <c r="AC2159" s="260"/>
      <c r="AD2159" s="260"/>
      <c r="AE2159" s="260"/>
      <c r="AF2159" s="260"/>
      <c r="AG2159" s="258"/>
    </row>
    <row r="2160" spans="13:33" ht="12" hidden="1" customHeight="1">
      <c r="M2160" s="820"/>
      <c r="N2160" s="239"/>
      <c r="O2160" s="225"/>
      <c r="P2160" s="260"/>
      <c r="Q2160" s="258"/>
      <c r="R2160" s="260"/>
      <c r="S2160" s="260"/>
      <c r="T2160" s="260"/>
      <c r="U2160" s="260"/>
      <c r="V2160" s="260"/>
      <c r="W2160" s="260"/>
      <c r="X2160" s="260"/>
      <c r="Y2160" s="260"/>
      <c r="Z2160" s="260"/>
      <c r="AA2160" s="260"/>
      <c r="AB2160" s="260"/>
      <c r="AC2160" s="260"/>
      <c r="AD2160" s="260"/>
      <c r="AE2160" s="260"/>
      <c r="AF2160" s="260"/>
      <c r="AG2160" s="258"/>
    </row>
    <row r="2161" spans="13:33" ht="12" hidden="1" customHeight="1">
      <c r="M2161" s="820"/>
      <c r="N2161" s="239"/>
      <c r="O2161" s="225"/>
      <c r="P2161" s="260"/>
      <c r="Q2161" s="258"/>
      <c r="R2161" s="260"/>
      <c r="S2161" s="260"/>
      <c r="T2161" s="260"/>
      <c r="U2161" s="260"/>
      <c r="V2161" s="260"/>
      <c r="W2161" s="260"/>
      <c r="X2161" s="260"/>
      <c r="Y2161" s="260"/>
      <c r="Z2161" s="260"/>
      <c r="AA2161" s="260"/>
      <c r="AB2161" s="260"/>
      <c r="AC2161" s="260"/>
      <c r="AD2161" s="260"/>
      <c r="AE2161" s="260"/>
      <c r="AF2161" s="260"/>
      <c r="AG2161" s="258"/>
    </row>
    <row r="2162" spans="13:33" ht="12" hidden="1" customHeight="1">
      <c r="M2162" s="820"/>
      <c r="N2162" s="239"/>
      <c r="O2162" s="225"/>
      <c r="P2162" s="260"/>
      <c r="Q2162" s="258"/>
      <c r="R2162" s="260"/>
      <c r="S2162" s="260"/>
      <c r="T2162" s="260"/>
      <c r="U2162" s="260"/>
      <c r="V2162" s="260"/>
      <c r="W2162" s="260"/>
      <c r="X2162" s="260"/>
      <c r="Y2162" s="260"/>
      <c r="Z2162" s="260"/>
      <c r="AA2162" s="260"/>
      <c r="AB2162" s="260"/>
      <c r="AC2162" s="260"/>
      <c r="AD2162" s="260"/>
      <c r="AE2162" s="260"/>
      <c r="AF2162" s="260"/>
      <c r="AG2162" s="258"/>
    </row>
    <row r="2163" spans="13:33" ht="12" hidden="1" customHeight="1">
      <c r="M2163" s="820"/>
      <c r="N2163" s="239"/>
      <c r="O2163" s="225"/>
      <c r="P2163" s="260"/>
      <c r="Q2163" s="258"/>
      <c r="R2163" s="260"/>
      <c r="S2163" s="260"/>
      <c r="T2163" s="260"/>
      <c r="U2163" s="260"/>
      <c r="V2163" s="260"/>
      <c r="W2163" s="260"/>
      <c r="X2163" s="260"/>
      <c r="Y2163" s="260"/>
      <c r="Z2163" s="260"/>
      <c r="AA2163" s="260"/>
      <c r="AB2163" s="260"/>
      <c r="AC2163" s="260"/>
      <c r="AD2163" s="260"/>
      <c r="AE2163" s="260"/>
      <c r="AF2163" s="260"/>
      <c r="AG2163" s="258"/>
    </row>
    <row r="2164" spans="13:33" ht="12" hidden="1" customHeight="1">
      <c r="M2164" s="820"/>
      <c r="N2164" s="239"/>
      <c r="O2164" s="225"/>
      <c r="P2164" s="260"/>
      <c r="Q2164" s="258"/>
      <c r="R2164" s="260"/>
      <c r="S2164" s="260"/>
      <c r="T2164" s="260"/>
      <c r="U2164" s="260"/>
      <c r="V2164" s="260"/>
      <c r="W2164" s="260"/>
      <c r="X2164" s="260"/>
      <c r="Y2164" s="260"/>
      <c r="Z2164" s="260"/>
      <c r="AA2164" s="260"/>
      <c r="AB2164" s="260"/>
      <c r="AC2164" s="260"/>
      <c r="AD2164" s="260"/>
      <c r="AE2164" s="260"/>
      <c r="AF2164" s="260"/>
      <c r="AG2164" s="258"/>
    </row>
    <row r="2165" spans="13:33" ht="12" hidden="1" customHeight="1">
      <c r="M2165" s="820"/>
      <c r="N2165" s="239"/>
      <c r="O2165" s="225"/>
      <c r="P2165" s="260"/>
      <c r="Q2165" s="258"/>
      <c r="R2165" s="260"/>
      <c r="S2165" s="260"/>
      <c r="T2165" s="260"/>
      <c r="U2165" s="260"/>
      <c r="V2165" s="260"/>
      <c r="W2165" s="260"/>
      <c r="X2165" s="260"/>
      <c r="Y2165" s="260"/>
      <c r="Z2165" s="260"/>
      <c r="AA2165" s="260"/>
      <c r="AB2165" s="260"/>
      <c r="AC2165" s="260"/>
      <c r="AD2165" s="260"/>
      <c r="AE2165" s="260"/>
      <c r="AF2165" s="260"/>
      <c r="AG2165" s="258"/>
    </row>
    <row r="2166" spans="13:33" ht="12" hidden="1" customHeight="1">
      <c r="M2166" s="820"/>
      <c r="N2166" s="239"/>
      <c r="O2166" s="225"/>
      <c r="P2166" s="260"/>
      <c r="Q2166" s="258"/>
      <c r="R2166" s="260"/>
      <c r="S2166" s="260"/>
      <c r="T2166" s="260"/>
      <c r="U2166" s="260"/>
      <c r="V2166" s="260"/>
      <c r="W2166" s="260"/>
      <c r="X2166" s="260"/>
      <c r="Y2166" s="260"/>
      <c r="Z2166" s="260"/>
      <c r="AA2166" s="260"/>
      <c r="AB2166" s="260"/>
      <c r="AC2166" s="260"/>
      <c r="AD2166" s="260"/>
      <c r="AE2166" s="260"/>
      <c r="AF2166" s="260"/>
      <c r="AG2166" s="258"/>
    </row>
    <row r="2167" spans="13:33" ht="12" hidden="1" customHeight="1">
      <c r="M2167" s="820"/>
      <c r="N2167" s="239"/>
      <c r="O2167" s="225"/>
      <c r="P2167" s="260"/>
      <c r="Q2167" s="258"/>
      <c r="R2167" s="260"/>
      <c r="S2167" s="260"/>
      <c r="T2167" s="260"/>
      <c r="U2167" s="260"/>
      <c r="V2167" s="260"/>
      <c r="W2167" s="260"/>
      <c r="X2167" s="260"/>
      <c r="Y2167" s="260"/>
      <c r="Z2167" s="260"/>
      <c r="AA2167" s="260"/>
      <c r="AB2167" s="260"/>
      <c r="AC2167" s="260"/>
      <c r="AD2167" s="260"/>
      <c r="AE2167" s="260"/>
      <c r="AF2167" s="260"/>
      <c r="AG2167" s="258"/>
    </row>
    <row r="2168" spans="13:33" ht="12" hidden="1" customHeight="1">
      <c r="M2168" s="820"/>
      <c r="N2168" s="239"/>
      <c r="O2168" s="225"/>
      <c r="P2168" s="260"/>
      <c r="Q2168" s="258"/>
      <c r="R2168" s="260"/>
      <c r="S2168" s="260"/>
      <c r="T2168" s="260"/>
      <c r="U2168" s="260"/>
      <c r="V2168" s="260"/>
      <c r="W2168" s="260"/>
      <c r="X2168" s="260"/>
      <c r="Y2168" s="260"/>
      <c r="Z2168" s="260"/>
      <c r="AA2168" s="260"/>
      <c r="AB2168" s="260"/>
      <c r="AC2168" s="260"/>
      <c r="AD2168" s="260"/>
      <c r="AE2168" s="260"/>
      <c r="AF2168" s="260"/>
      <c r="AG2168" s="258"/>
    </row>
    <row r="2169" spans="13:33" ht="12" hidden="1" customHeight="1">
      <c r="M2169" s="820"/>
      <c r="N2169" s="239"/>
      <c r="O2169" s="225"/>
      <c r="P2169" s="260"/>
      <c r="Q2169" s="258"/>
      <c r="R2169" s="260"/>
      <c r="S2169" s="260"/>
      <c r="T2169" s="260"/>
      <c r="U2169" s="260"/>
      <c r="V2169" s="260"/>
      <c r="W2169" s="260"/>
      <c r="X2169" s="260"/>
      <c r="Y2169" s="260"/>
      <c r="Z2169" s="260"/>
      <c r="AA2169" s="260"/>
      <c r="AB2169" s="260"/>
      <c r="AC2169" s="260"/>
      <c r="AD2169" s="260"/>
      <c r="AE2169" s="260"/>
      <c r="AF2169" s="260"/>
      <c r="AG2169" s="258"/>
    </row>
    <row r="2170" spans="13:33" ht="12" hidden="1" customHeight="1">
      <c r="M2170" s="820"/>
      <c r="N2170" s="239"/>
      <c r="O2170" s="225"/>
      <c r="P2170" s="260"/>
      <c r="Q2170" s="258"/>
      <c r="R2170" s="260"/>
      <c r="S2170" s="260"/>
      <c r="T2170" s="260"/>
      <c r="U2170" s="260"/>
      <c r="V2170" s="260"/>
      <c r="W2170" s="260"/>
      <c r="X2170" s="260"/>
      <c r="Y2170" s="260"/>
      <c r="Z2170" s="260"/>
      <c r="AA2170" s="260"/>
      <c r="AB2170" s="260"/>
      <c r="AC2170" s="260"/>
      <c r="AD2170" s="260"/>
      <c r="AE2170" s="260"/>
      <c r="AF2170" s="260"/>
      <c r="AG2170" s="258"/>
    </row>
    <row r="2171" spans="13:33" ht="12" hidden="1" customHeight="1">
      <c r="M2171" s="820"/>
      <c r="N2171" s="239"/>
      <c r="O2171" s="225"/>
      <c r="P2171" s="260"/>
      <c r="Q2171" s="258"/>
      <c r="R2171" s="260"/>
      <c r="S2171" s="260"/>
      <c r="T2171" s="260"/>
      <c r="U2171" s="260"/>
      <c r="V2171" s="260"/>
      <c r="W2171" s="260"/>
      <c r="X2171" s="260"/>
      <c r="Y2171" s="260"/>
      <c r="Z2171" s="260"/>
      <c r="AA2171" s="260"/>
      <c r="AB2171" s="260"/>
      <c r="AC2171" s="260"/>
      <c r="AD2171" s="260"/>
      <c r="AE2171" s="260"/>
      <c r="AF2171" s="260"/>
      <c r="AG2171" s="258"/>
    </row>
    <row r="2172" spans="13:33" ht="12" hidden="1" customHeight="1">
      <c r="M2172" s="820"/>
      <c r="N2172" s="239"/>
      <c r="O2172" s="225"/>
      <c r="P2172" s="260"/>
      <c r="Q2172" s="258"/>
      <c r="R2172" s="260"/>
      <c r="S2172" s="260"/>
      <c r="T2172" s="260"/>
      <c r="U2172" s="260"/>
      <c r="V2172" s="260"/>
      <c r="W2172" s="260"/>
      <c r="X2172" s="260"/>
      <c r="Y2172" s="260"/>
      <c r="Z2172" s="260"/>
      <c r="AA2172" s="260"/>
      <c r="AB2172" s="260"/>
      <c r="AC2172" s="260"/>
      <c r="AD2172" s="260"/>
      <c r="AE2172" s="260"/>
      <c r="AF2172" s="260"/>
      <c r="AG2172" s="258"/>
    </row>
    <row r="2173" spans="13:33" ht="12" hidden="1" customHeight="1">
      <c r="M2173" s="820"/>
      <c r="N2173" s="239"/>
      <c r="O2173" s="225"/>
      <c r="P2173" s="260"/>
      <c r="Q2173" s="258"/>
      <c r="R2173" s="260"/>
      <c r="S2173" s="260"/>
      <c r="T2173" s="260"/>
      <c r="U2173" s="260"/>
      <c r="V2173" s="260"/>
      <c r="W2173" s="260"/>
      <c r="X2173" s="260"/>
      <c r="Y2173" s="260"/>
      <c r="Z2173" s="260"/>
      <c r="AA2173" s="260"/>
      <c r="AB2173" s="260"/>
      <c r="AC2173" s="260"/>
      <c r="AD2173" s="260"/>
      <c r="AE2173" s="260"/>
      <c r="AF2173" s="260"/>
      <c r="AG2173" s="258"/>
    </row>
    <row r="2174" spans="13:33" ht="12" hidden="1" customHeight="1">
      <c r="M2174" s="820"/>
      <c r="N2174" s="239"/>
      <c r="O2174" s="225"/>
      <c r="P2174" s="260"/>
      <c r="Q2174" s="258"/>
      <c r="R2174" s="260"/>
      <c r="S2174" s="260"/>
      <c r="T2174" s="260"/>
      <c r="U2174" s="260"/>
      <c r="V2174" s="260"/>
      <c r="W2174" s="260"/>
      <c r="X2174" s="260"/>
      <c r="Y2174" s="260"/>
      <c r="Z2174" s="260"/>
      <c r="AA2174" s="260"/>
      <c r="AB2174" s="260"/>
      <c r="AC2174" s="260"/>
      <c r="AD2174" s="260"/>
      <c r="AE2174" s="260"/>
      <c r="AF2174" s="260"/>
      <c r="AG2174" s="258"/>
    </row>
    <row r="2175" spans="13:33" ht="12" hidden="1" customHeight="1">
      <c r="M2175" s="820"/>
      <c r="N2175" s="239"/>
      <c r="O2175" s="225"/>
      <c r="P2175" s="260"/>
      <c r="Q2175" s="258"/>
      <c r="R2175" s="260"/>
      <c r="S2175" s="260"/>
      <c r="T2175" s="260"/>
      <c r="U2175" s="260"/>
      <c r="V2175" s="260"/>
      <c r="W2175" s="260"/>
      <c r="X2175" s="260"/>
      <c r="Y2175" s="260"/>
      <c r="Z2175" s="260"/>
      <c r="AA2175" s="260"/>
      <c r="AB2175" s="260"/>
      <c r="AC2175" s="260"/>
      <c r="AD2175" s="260"/>
      <c r="AE2175" s="260"/>
      <c r="AF2175" s="260"/>
      <c r="AG2175" s="258"/>
    </row>
    <row r="2176" spans="13:33" ht="12" hidden="1" customHeight="1">
      <c r="M2176" s="820"/>
      <c r="N2176" s="239"/>
      <c r="O2176" s="225"/>
      <c r="P2176" s="260"/>
      <c r="Q2176" s="258"/>
      <c r="R2176" s="260"/>
      <c r="S2176" s="260"/>
      <c r="T2176" s="260"/>
      <c r="U2176" s="260"/>
      <c r="V2176" s="260"/>
      <c r="W2176" s="260"/>
      <c r="X2176" s="260"/>
      <c r="Y2176" s="260"/>
      <c r="Z2176" s="260"/>
      <c r="AA2176" s="260"/>
      <c r="AB2176" s="260"/>
      <c r="AC2176" s="260"/>
      <c r="AD2176" s="260"/>
      <c r="AE2176" s="260"/>
      <c r="AF2176" s="260"/>
      <c r="AG2176" s="258"/>
    </row>
    <row r="2177" spans="13:33" ht="12" hidden="1" customHeight="1">
      <c r="M2177" s="820"/>
      <c r="N2177" s="239"/>
      <c r="O2177" s="225"/>
      <c r="P2177" s="260"/>
      <c r="Q2177" s="258"/>
      <c r="R2177" s="260"/>
      <c r="S2177" s="260"/>
      <c r="T2177" s="260"/>
      <c r="U2177" s="260"/>
      <c r="V2177" s="260"/>
      <c r="W2177" s="260"/>
      <c r="X2177" s="260"/>
      <c r="Y2177" s="260"/>
      <c r="Z2177" s="260"/>
      <c r="AA2177" s="260"/>
      <c r="AB2177" s="260"/>
      <c r="AC2177" s="260"/>
      <c r="AD2177" s="260"/>
      <c r="AE2177" s="260"/>
      <c r="AF2177" s="260"/>
      <c r="AG2177" s="258"/>
    </row>
    <row r="2178" spans="13:33" ht="12" hidden="1" customHeight="1">
      <c r="M2178" s="820"/>
      <c r="N2178" s="239"/>
      <c r="O2178" s="225"/>
      <c r="P2178" s="260"/>
      <c r="Q2178" s="258"/>
      <c r="R2178" s="260"/>
      <c r="S2178" s="260"/>
      <c r="T2178" s="260"/>
      <c r="U2178" s="260"/>
      <c r="V2178" s="260"/>
      <c r="W2178" s="260"/>
      <c r="X2178" s="260"/>
      <c r="Y2178" s="260"/>
      <c r="Z2178" s="260"/>
      <c r="AA2178" s="260"/>
      <c r="AB2178" s="260"/>
      <c r="AC2178" s="260"/>
      <c r="AD2178" s="260"/>
      <c r="AE2178" s="260"/>
      <c r="AF2178" s="260"/>
      <c r="AG2178" s="258"/>
    </row>
    <row r="2179" spans="13:33" ht="12" hidden="1" customHeight="1">
      <c r="M2179" s="820"/>
      <c r="N2179" s="239"/>
      <c r="O2179" s="225"/>
      <c r="P2179" s="260"/>
      <c r="Q2179" s="258"/>
      <c r="R2179" s="260"/>
      <c r="S2179" s="260"/>
      <c r="T2179" s="260"/>
      <c r="U2179" s="260"/>
      <c r="V2179" s="260"/>
      <c r="W2179" s="260"/>
      <c r="X2179" s="260"/>
      <c r="Y2179" s="260"/>
      <c r="Z2179" s="260"/>
      <c r="AA2179" s="260"/>
      <c r="AB2179" s="260"/>
      <c r="AC2179" s="260"/>
      <c r="AD2179" s="260"/>
      <c r="AE2179" s="260"/>
      <c r="AF2179" s="260"/>
      <c r="AG2179" s="258"/>
    </row>
    <row r="2180" spans="13:33" ht="12" hidden="1" customHeight="1">
      <c r="M2180" s="820"/>
      <c r="N2180" s="239"/>
      <c r="O2180" s="225"/>
      <c r="P2180" s="260"/>
      <c r="Q2180" s="258"/>
      <c r="R2180" s="260"/>
      <c r="S2180" s="260"/>
      <c r="T2180" s="260"/>
      <c r="U2180" s="260"/>
      <c r="V2180" s="260"/>
      <c r="W2180" s="260"/>
      <c r="X2180" s="260"/>
      <c r="Y2180" s="260"/>
      <c r="Z2180" s="260"/>
      <c r="AA2180" s="260"/>
      <c r="AB2180" s="260"/>
      <c r="AC2180" s="260"/>
      <c r="AD2180" s="260"/>
      <c r="AE2180" s="260"/>
      <c r="AF2180" s="260"/>
      <c r="AG2180" s="258"/>
    </row>
    <row r="2181" spans="13:33" ht="12" hidden="1" customHeight="1">
      <c r="M2181" s="820"/>
      <c r="N2181" s="239"/>
      <c r="O2181" s="225"/>
      <c r="P2181" s="260"/>
      <c r="Q2181" s="258"/>
      <c r="R2181" s="260"/>
      <c r="S2181" s="260"/>
      <c r="T2181" s="260"/>
      <c r="U2181" s="260"/>
      <c r="V2181" s="260"/>
      <c r="W2181" s="260"/>
      <c r="X2181" s="260"/>
      <c r="Y2181" s="260"/>
      <c r="Z2181" s="260"/>
      <c r="AA2181" s="260"/>
      <c r="AB2181" s="260"/>
      <c r="AC2181" s="260"/>
      <c r="AD2181" s="260"/>
      <c r="AE2181" s="260"/>
      <c r="AF2181" s="260"/>
      <c r="AG2181" s="258"/>
    </row>
    <row r="2182" spans="13:33" ht="12" hidden="1" customHeight="1">
      <c r="M2182" s="820"/>
      <c r="N2182" s="239"/>
      <c r="O2182" s="225"/>
      <c r="P2182" s="260"/>
      <c r="Q2182" s="258"/>
      <c r="R2182" s="260"/>
      <c r="S2182" s="260"/>
      <c r="T2182" s="260"/>
      <c r="U2182" s="260"/>
      <c r="V2182" s="260"/>
      <c r="W2182" s="260"/>
      <c r="X2182" s="260"/>
      <c r="Y2182" s="260"/>
      <c r="Z2182" s="260"/>
      <c r="AA2182" s="260"/>
      <c r="AB2182" s="260"/>
      <c r="AC2182" s="260"/>
      <c r="AD2182" s="260"/>
      <c r="AE2182" s="260"/>
      <c r="AF2182" s="260"/>
      <c r="AG2182" s="258"/>
    </row>
    <row r="2183" spans="13:33" ht="12" hidden="1" customHeight="1">
      <c r="M2183" s="820"/>
      <c r="N2183" s="239"/>
      <c r="O2183" s="225"/>
      <c r="P2183" s="260"/>
      <c r="Q2183" s="258"/>
      <c r="R2183" s="260"/>
      <c r="S2183" s="260"/>
      <c r="T2183" s="260"/>
      <c r="U2183" s="260"/>
      <c r="V2183" s="260"/>
      <c r="W2183" s="260"/>
      <c r="X2183" s="260"/>
      <c r="Y2183" s="260"/>
      <c r="Z2183" s="260"/>
      <c r="AA2183" s="260"/>
      <c r="AB2183" s="260"/>
      <c r="AC2183" s="260"/>
      <c r="AD2183" s="260"/>
      <c r="AE2183" s="260"/>
      <c r="AF2183" s="260"/>
      <c r="AG2183" s="258"/>
    </row>
    <row r="2184" spans="13:33" ht="12" hidden="1" customHeight="1">
      <c r="M2184" s="820"/>
      <c r="N2184" s="239"/>
      <c r="O2184" s="225"/>
      <c r="P2184" s="260"/>
      <c r="Q2184" s="258"/>
      <c r="R2184" s="260"/>
      <c r="S2184" s="260"/>
      <c r="T2184" s="260"/>
      <c r="U2184" s="260"/>
      <c r="V2184" s="260"/>
      <c r="W2184" s="260"/>
      <c r="X2184" s="260"/>
      <c r="Y2184" s="260"/>
      <c r="Z2184" s="260"/>
      <c r="AA2184" s="260"/>
      <c r="AB2184" s="260"/>
      <c r="AC2184" s="260"/>
      <c r="AD2184" s="260"/>
      <c r="AE2184" s="260"/>
      <c r="AF2184" s="260"/>
      <c r="AG2184" s="258"/>
    </row>
    <row r="2185" spans="13:33" ht="12" hidden="1" customHeight="1">
      <c r="M2185" s="820"/>
      <c r="N2185" s="239"/>
      <c r="O2185" s="225"/>
      <c r="P2185" s="260"/>
      <c r="Q2185" s="258"/>
      <c r="R2185" s="260"/>
      <c r="S2185" s="260"/>
      <c r="T2185" s="260"/>
      <c r="U2185" s="260"/>
      <c r="V2185" s="260"/>
      <c r="W2185" s="260"/>
      <c r="X2185" s="260"/>
      <c r="Y2185" s="260"/>
      <c r="Z2185" s="260"/>
      <c r="AA2185" s="260"/>
      <c r="AB2185" s="260"/>
      <c r="AC2185" s="260"/>
      <c r="AD2185" s="260"/>
      <c r="AE2185" s="260"/>
      <c r="AF2185" s="260"/>
      <c r="AG2185" s="258"/>
    </row>
    <row r="2186" spans="13:33" ht="12" hidden="1" customHeight="1">
      <c r="M2186" s="820"/>
      <c r="N2186" s="239"/>
      <c r="O2186" s="225"/>
      <c r="P2186" s="260"/>
      <c r="Q2186" s="258"/>
      <c r="R2186" s="260"/>
      <c r="S2186" s="260"/>
      <c r="T2186" s="260"/>
      <c r="U2186" s="260"/>
      <c r="V2186" s="260"/>
      <c r="W2186" s="260"/>
      <c r="X2186" s="260"/>
      <c r="Y2186" s="260"/>
      <c r="Z2186" s="260"/>
      <c r="AA2186" s="260"/>
      <c r="AB2186" s="260"/>
      <c r="AC2186" s="260"/>
      <c r="AD2186" s="260"/>
      <c r="AE2186" s="260"/>
      <c r="AF2186" s="260"/>
      <c r="AG2186" s="258"/>
    </row>
    <row r="2187" spans="13:33" ht="12" hidden="1" customHeight="1">
      <c r="M2187" s="820"/>
      <c r="N2187" s="239"/>
      <c r="O2187" s="225"/>
      <c r="P2187" s="260"/>
      <c r="Q2187" s="258"/>
      <c r="R2187" s="260"/>
      <c r="S2187" s="260"/>
      <c r="T2187" s="260"/>
      <c r="U2187" s="260"/>
      <c r="V2187" s="260"/>
      <c r="W2187" s="260"/>
      <c r="X2187" s="260"/>
      <c r="Y2187" s="260"/>
      <c r="Z2187" s="260"/>
      <c r="AA2187" s="260"/>
      <c r="AB2187" s="260"/>
      <c r="AC2187" s="260"/>
      <c r="AD2187" s="260"/>
      <c r="AE2187" s="260"/>
      <c r="AF2187" s="260"/>
      <c r="AG2187" s="258"/>
    </row>
    <row r="2188" spans="13:33" ht="12" hidden="1" customHeight="1">
      <c r="M2188" s="820"/>
      <c r="N2188" s="239"/>
      <c r="O2188" s="225"/>
      <c r="P2188" s="260"/>
      <c r="Q2188" s="258"/>
      <c r="R2188" s="260"/>
      <c r="S2188" s="260"/>
      <c r="T2188" s="260"/>
      <c r="U2188" s="260"/>
      <c r="V2188" s="260"/>
      <c r="W2188" s="260"/>
      <c r="X2188" s="260"/>
      <c r="Y2188" s="260"/>
      <c r="Z2188" s="260"/>
      <c r="AA2188" s="260"/>
      <c r="AB2188" s="260"/>
      <c r="AC2188" s="260"/>
      <c r="AD2188" s="260"/>
      <c r="AE2188" s="260"/>
      <c r="AF2188" s="260"/>
      <c r="AG2188" s="258"/>
    </row>
    <row r="2189" spans="13:33" ht="12" hidden="1" customHeight="1">
      <c r="M2189" s="820"/>
      <c r="N2189" s="239"/>
      <c r="O2189" s="225"/>
      <c r="P2189" s="260"/>
      <c r="Q2189" s="258"/>
      <c r="R2189" s="260"/>
      <c r="S2189" s="260"/>
      <c r="T2189" s="260"/>
      <c r="U2189" s="260"/>
      <c r="V2189" s="260"/>
      <c r="W2189" s="260"/>
      <c r="X2189" s="260"/>
      <c r="Y2189" s="260"/>
      <c r="Z2189" s="260"/>
      <c r="AA2189" s="260"/>
      <c r="AB2189" s="260"/>
      <c r="AC2189" s="260"/>
      <c r="AD2189" s="260"/>
      <c r="AE2189" s="260"/>
      <c r="AF2189" s="260"/>
      <c r="AG2189" s="258"/>
    </row>
    <row r="2190" spans="13:33" ht="12" hidden="1" customHeight="1">
      <c r="M2190" s="820"/>
      <c r="N2190" s="239"/>
      <c r="O2190" s="225"/>
      <c r="P2190" s="260"/>
      <c r="Q2190" s="258"/>
      <c r="R2190" s="260"/>
      <c r="S2190" s="260"/>
      <c r="T2190" s="260"/>
      <c r="U2190" s="260"/>
      <c r="V2190" s="260"/>
      <c r="W2190" s="260"/>
      <c r="X2190" s="260"/>
      <c r="Y2190" s="260"/>
      <c r="Z2190" s="260"/>
      <c r="AA2190" s="260"/>
      <c r="AB2190" s="260"/>
      <c r="AC2190" s="260"/>
      <c r="AD2190" s="260"/>
      <c r="AE2190" s="260"/>
      <c r="AF2190" s="260"/>
      <c r="AG2190" s="258"/>
    </row>
    <row r="2191" spans="13:33" ht="12" hidden="1" customHeight="1">
      <c r="M2191" s="820"/>
      <c r="N2191" s="239"/>
      <c r="O2191" s="225"/>
      <c r="P2191" s="260"/>
      <c r="Q2191" s="258"/>
      <c r="R2191" s="260"/>
      <c r="S2191" s="260"/>
      <c r="T2191" s="260"/>
      <c r="U2191" s="260"/>
      <c r="V2191" s="260"/>
      <c r="W2191" s="260"/>
      <c r="X2191" s="260"/>
      <c r="Y2191" s="260"/>
      <c r="Z2191" s="260"/>
      <c r="AA2191" s="260"/>
      <c r="AB2191" s="260"/>
      <c r="AC2191" s="260"/>
      <c r="AD2191" s="260"/>
      <c r="AE2191" s="260"/>
      <c r="AF2191" s="260"/>
      <c r="AG2191" s="258"/>
    </row>
    <row r="2192" spans="13:33" ht="12" hidden="1" customHeight="1">
      <c r="M2192" s="820"/>
      <c r="N2192" s="239"/>
      <c r="O2192" s="225"/>
      <c r="P2192" s="260"/>
      <c r="Q2192" s="258"/>
      <c r="R2192" s="260"/>
      <c r="S2192" s="260"/>
      <c r="T2192" s="260"/>
      <c r="U2192" s="260"/>
      <c r="V2192" s="260"/>
      <c r="W2192" s="260"/>
      <c r="X2192" s="260"/>
      <c r="Y2192" s="260"/>
      <c r="Z2192" s="260"/>
      <c r="AA2192" s="260"/>
      <c r="AB2192" s="260"/>
      <c r="AC2192" s="260"/>
      <c r="AD2192" s="260"/>
      <c r="AE2192" s="260"/>
      <c r="AF2192" s="260"/>
      <c r="AG2192" s="258"/>
    </row>
    <row r="2193" spans="13:33" ht="12" hidden="1" customHeight="1">
      <c r="M2193" s="820"/>
      <c r="N2193" s="239"/>
      <c r="O2193" s="225"/>
      <c r="P2193" s="260"/>
      <c r="Q2193" s="258"/>
      <c r="R2193" s="260"/>
      <c r="S2193" s="260"/>
      <c r="T2193" s="260"/>
      <c r="U2193" s="260"/>
      <c r="V2193" s="260"/>
      <c r="W2193" s="260"/>
      <c r="X2193" s="260"/>
      <c r="Y2193" s="260"/>
      <c r="Z2193" s="260"/>
      <c r="AA2193" s="260"/>
      <c r="AB2193" s="260"/>
      <c r="AC2193" s="260"/>
      <c r="AD2193" s="260"/>
      <c r="AE2193" s="260"/>
      <c r="AF2193" s="260"/>
      <c r="AG2193" s="258"/>
    </row>
    <row r="2194" spans="13:33" ht="12" hidden="1" customHeight="1">
      <c r="M2194" s="820"/>
      <c r="N2194" s="239"/>
      <c r="O2194" s="225"/>
      <c r="P2194" s="260"/>
      <c r="Q2194" s="258"/>
      <c r="R2194" s="260"/>
      <c r="S2194" s="260"/>
      <c r="T2194" s="260"/>
      <c r="U2194" s="260"/>
      <c r="V2194" s="260"/>
      <c r="W2194" s="260"/>
      <c r="X2194" s="260"/>
      <c r="Y2194" s="260"/>
      <c r="Z2194" s="260"/>
      <c r="AA2194" s="260"/>
      <c r="AB2194" s="260"/>
      <c r="AC2194" s="260"/>
      <c r="AD2194" s="260"/>
      <c r="AE2194" s="260"/>
      <c r="AF2194" s="260"/>
      <c r="AG2194" s="258"/>
    </row>
    <row r="2195" spans="13:33" ht="12" hidden="1" customHeight="1">
      <c r="M2195" s="820"/>
      <c r="N2195" s="239"/>
      <c r="O2195" s="225"/>
      <c r="P2195" s="260"/>
      <c r="Q2195" s="258"/>
      <c r="R2195" s="260"/>
      <c r="S2195" s="260"/>
      <c r="T2195" s="260"/>
      <c r="U2195" s="260"/>
      <c r="V2195" s="260"/>
      <c r="W2195" s="260"/>
      <c r="X2195" s="260"/>
      <c r="Y2195" s="260"/>
      <c r="Z2195" s="260"/>
      <c r="AA2195" s="260"/>
      <c r="AB2195" s="260"/>
      <c r="AC2195" s="260"/>
      <c r="AD2195" s="260"/>
      <c r="AE2195" s="260"/>
      <c r="AF2195" s="260"/>
      <c r="AG2195" s="258"/>
    </row>
    <row r="2196" spans="13:33" ht="12" hidden="1" customHeight="1">
      <c r="M2196" s="820"/>
      <c r="N2196" s="239"/>
      <c r="O2196" s="225"/>
      <c r="P2196" s="260"/>
      <c r="Q2196" s="258"/>
      <c r="R2196" s="260"/>
      <c r="S2196" s="260"/>
      <c r="T2196" s="260"/>
      <c r="U2196" s="260"/>
      <c r="V2196" s="260"/>
      <c r="W2196" s="260"/>
      <c r="X2196" s="260"/>
      <c r="Y2196" s="260"/>
      <c r="Z2196" s="260"/>
      <c r="AA2196" s="260"/>
      <c r="AB2196" s="260"/>
      <c r="AC2196" s="260"/>
      <c r="AD2196" s="260"/>
      <c r="AE2196" s="260"/>
      <c r="AF2196" s="260"/>
      <c r="AG2196" s="258"/>
    </row>
    <row r="2197" spans="13:33" ht="12" hidden="1" customHeight="1">
      <c r="M2197" s="820"/>
      <c r="N2197" s="239"/>
      <c r="O2197" s="225"/>
      <c r="P2197" s="260"/>
      <c r="Q2197" s="258"/>
      <c r="R2197" s="260"/>
      <c r="S2197" s="260"/>
      <c r="T2197" s="260"/>
      <c r="U2197" s="260"/>
      <c r="V2197" s="260"/>
      <c r="W2197" s="260"/>
      <c r="X2197" s="260"/>
      <c r="Y2197" s="260"/>
      <c r="Z2197" s="260"/>
      <c r="AA2197" s="260"/>
      <c r="AB2197" s="260"/>
      <c r="AC2197" s="260"/>
      <c r="AD2197" s="260"/>
      <c r="AE2197" s="260"/>
      <c r="AF2197" s="260"/>
      <c r="AG2197" s="258"/>
    </row>
    <row r="2198" spans="13:33" ht="12" hidden="1" customHeight="1">
      <c r="M2198" s="820"/>
      <c r="N2198" s="239"/>
      <c r="O2198" s="225"/>
      <c r="P2198" s="260"/>
      <c r="Q2198" s="258"/>
      <c r="R2198" s="260"/>
      <c r="S2198" s="260"/>
      <c r="T2198" s="260"/>
      <c r="U2198" s="260"/>
      <c r="V2198" s="260"/>
      <c r="W2198" s="260"/>
      <c r="X2198" s="260"/>
      <c r="Y2198" s="260"/>
      <c r="Z2198" s="260"/>
      <c r="AA2198" s="260"/>
      <c r="AB2198" s="260"/>
      <c r="AC2198" s="260"/>
      <c r="AD2198" s="260"/>
      <c r="AE2198" s="260"/>
      <c r="AF2198" s="260"/>
      <c r="AG2198" s="258"/>
    </row>
    <row r="2199" spans="13:33" ht="12" hidden="1" customHeight="1">
      <c r="M2199" s="820"/>
      <c r="N2199" s="239"/>
      <c r="O2199" s="225"/>
      <c r="P2199" s="260"/>
      <c r="Q2199" s="258"/>
      <c r="R2199" s="260"/>
      <c r="S2199" s="260"/>
      <c r="T2199" s="260"/>
      <c r="U2199" s="260"/>
      <c r="V2199" s="260"/>
      <c r="W2199" s="260"/>
      <c r="X2199" s="260"/>
      <c r="Y2199" s="260"/>
      <c r="Z2199" s="260"/>
      <c r="AA2199" s="260"/>
      <c r="AB2199" s="260"/>
      <c r="AC2199" s="260"/>
      <c r="AD2199" s="260"/>
      <c r="AE2199" s="260"/>
      <c r="AF2199" s="260"/>
      <c r="AG2199" s="258"/>
    </row>
    <row r="2200" spans="13:33" ht="12" hidden="1" customHeight="1">
      <c r="M2200" s="820"/>
      <c r="N2200" s="239"/>
      <c r="O2200" s="225"/>
      <c r="P2200" s="260"/>
      <c r="Q2200" s="258"/>
      <c r="R2200" s="260"/>
      <c r="S2200" s="260"/>
      <c r="T2200" s="260"/>
      <c r="U2200" s="260"/>
      <c r="V2200" s="260"/>
      <c r="W2200" s="260"/>
      <c r="X2200" s="260"/>
      <c r="Y2200" s="260"/>
      <c r="Z2200" s="260"/>
      <c r="AA2200" s="260"/>
      <c r="AB2200" s="260"/>
      <c r="AC2200" s="260"/>
      <c r="AD2200" s="260"/>
      <c r="AE2200" s="260"/>
      <c r="AF2200" s="260"/>
      <c r="AG2200" s="258"/>
    </row>
    <row r="2201" spans="13:33" ht="12" hidden="1" customHeight="1">
      <c r="M2201" s="820"/>
      <c r="N2201" s="239"/>
      <c r="O2201" s="225"/>
      <c r="P2201" s="260"/>
      <c r="Q2201" s="258"/>
      <c r="R2201" s="260"/>
      <c r="S2201" s="260"/>
      <c r="T2201" s="260"/>
      <c r="U2201" s="260"/>
      <c r="V2201" s="260"/>
      <c r="W2201" s="260"/>
      <c r="X2201" s="260"/>
      <c r="Y2201" s="260"/>
      <c r="Z2201" s="260"/>
      <c r="AA2201" s="260"/>
      <c r="AB2201" s="260"/>
      <c r="AC2201" s="260"/>
      <c r="AD2201" s="260"/>
      <c r="AE2201" s="260"/>
      <c r="AF2201" s="260"/>
      <c r="AG2201" s="258"/>
    </row>
    <row r="2202" spans="13:33" ht="12" hidden="1" customHeight="1">
      <c r="M2202" s="820"/>
      <c r="N2202" s="239"/>
      <c r="O2202" s="225"/>
      <c r="P2202" s="260"/>
      <c r="Q2202" s="258"/>
      <c r="R2202" s="260"/>
      <c r="S2202" s="260"/>
      <c r="T2202" s="260"/>
      <c r="U2202" s="260"/>
      <c r="V2202" s="260"/>
      <c r="W2202" s="260"/>
      <c r="X2202" s="260"/>
      <c r="Y2202" s="260"/>
      <c r="Z2202" s="260"/>
      <c r="AA2202" s="260"/>
      <c r="AB2202" s="260"/>
      <c r="AC2202" s="260"/>
      <c r="AD2202" s="260"/>
      <c r="AE2202" s="260"/>
      <c r="AF2202" s="260"/>
      <c r="AG2202" s="258"/>
    </row>
    <row r="2203" spans="13:33" ht="12" hidden="1" customHeight="1">
      <c r="M2203" s="820"/>
      <c r="N2203" s="239"/>
      <c r="O2203" s="225"/>
      <c r="P2203" s="260"/>
      <c r="Q2203" s="258"/>
      <c r="R2203" s="260"/>
      <c r="S2203" s="260"/>
      <c r="T2203" s="260"/>
      <c r="U2203" s="260"/>
      <c r="V2203" s="260"/>
      <c r="W2203" s="260"/>
      <c r="X2203" s="260"/>
      <c r="Y2203" s="260"/>
      <c r="Z2203" s="260"/>
      <c r="AA2203" s="260"/>
      <c r="AB2203" s="260"/>
      <c r="AC2203" s="260"/>
      <c r="AD2203" s="260"/>
      <c r="AE2203" s="260"/>
      <c r="AF2203" s="260"/>
      <c r="AG2203" s="258"/>
    </row>
    <row r="2204" spans="13:33" ht="12" hidden="1" customHeight="1">
      <c r="M2204" s="820"/>
      <c r="N2204" s="239"/>
      <c r="O2204" s="225"/>
      <c r="P2204" s="260"/>
      <c r="Q2204" s="258"/>
      <c r="R2204" s="260"/>
      <c r="S2204" s="260"/>
      <c r="T2204" s="260"/>
      <c r="U2204" s="260"/>
      <c r="V2204" s="260"/>
      <c r="W2204" s="260"/>
      <c r="X2204" s="260"/>
      <c r="Y2204" s="260"/>
      <c r="Z2204" s="260"/>
      <c r="AA2204" s="260"/>
      <c r="AB2204" s="260"/>
      <c r="AC2204" s="260"/>
      <c r="AD2204" s="260"/>
      <c r="AE2204" s="260"/>
      <c r="AF2204" s="260"/>
      <c r="AG2204" s="258"/>
    </row>
    <row r="2205" spans="13:33" ht="12" hidden="1" customHeight="1">
      <c r="M2205" s="820"/>
      <c r="N2205" s="239"/>
      <c r="O2205" s="225"/>
      <c r="P2205" s="260"/>
      <c r="Q2205" s="258"/>
      <c r="R2205" s="260"/>
      <c r="S2205" s="260"/>
      <c r="T2205" s="260"/>
      <c r="U2205" s="260"/>
      <c r="V2205" s="260"/>
      <c r="W2205" s="260"/>
      <c r="X2205" s="260"/>
      <c r="Y2205" s="260"/>
      <c r="Z2205" s="260"/>
      <c r="AA2205" s="260"/>
      <c r="AB2205" s="260"/>
      <c r="AC2205" s="260"/>
      <c r="AD2205" s="260"/>
      <c r="AE2205" s="260"/>
      <c r="AF2205" s="260"/>
      <c r="AG2205" s="258"/>
    </row>
    <row r="2206" spans="13:33" ht="12" hidden="1" customHeight="1">
      <c r="M2206" s="820"/>
      <c r="N2206" s="239"/>
      <c r="O2206" s="225"/>
      <c r="P2206" s="260"/>
      <c r="Q2206" s="258"/>
      <c r="R2206" s="260"/>
      <c r="S2206" s="260"/>
      <c r="T2206" s="260"/>
      <c r="U2206" s="260"/>
      <c r="V2206" s="260"/>
      <c r="W2206" s="260"/>
      <c r="X2206" s="260"/>
      <c r="Y2206" s="260"/>
      <c r="Z2206" s="260"/>
      <c r="AA2206" s="260"/>
      <c r="AB2206" s="260"/>
      <c r="AC2206" s="260"/>
      <c r="AD2206" s="260"/>
      <c r="AE2206" s="260"/>
      <c r="AF2206" s="260"/>
      <c r="AG2206" s="258"/>
    </row>
    <row r="2207" spans="13:33" ht="12" hidden="1" customHeight="1">
      <c r="M2207" s="820"/>
      <c r="N2207" s="239"/>
      <c r="O2207" s="225"/>
      <c r="P2207" s="260"/>
      <c r="Q2207" s="258"/>
      <c r="R2207" s="260"/>
      <c r="S2207" s="260"/>
      <c r="T2207" s="260"/>
      <c r="U2207" s="260"/>
      <c r="V2207" s="260"/>
      <c r="W2207" s="260"/>
      <c r="X2207" s="260"/>
      <c r="Y2207" s="260"/>
      <c r="Z2207" s="260"/>
      <c r="AA2207" s="260"/>
      <c r="AB2207" s="260"/>
      <c r="AC2207" s="260"/>
      <c r="AD2207" s="260"/>
      <c r="AE2207" s="260"/>
      <c r="AF2207" s="260"/>
      <c r="AG2207" s="258"/>
    </row>
    <row r="2208" spans="13:33" ht="12" hidden="1" customHeight="1">
      <c r="M2208" s="820"/>
      <c r="N2208" s="239"/>
      <c r="O2208" s="225"/>
      <c r="P2208" s="260"/>
      <c r="Q2208" s="258"/>
      <c r="R2208" s="260"/>
      <c r="S2208" s="260"/>
      <c r="T2208" s="260"/>
      <c r="U2208" s="260"/>
      <c r="V2208" s="260"/>
      <c r="W2208" s="260"/>
      <c r="X2208" s="260"/>
      <c r="Y2208" s="260"/>
      <c r="Z2208" s="260"/>
      <c r="AA2208" s="260"/>
      <c r="AB2208" s="260"/>
      <c r="AC2208" s="260"/>
      <c r="AD2208" s="260"/>
      <c r="AE2208" s="260"/>
      <c r="AF2208" s="260"/>
      <c r="AG2208" s="258"/>
    </row>
    <row r="2209" spans="13:33" ht="12" hidden="1" customHeight="1">
      <c r="M2209" s="820"/>
      <c r="N2209" s="239"/>
      <c r="O2209" s="225"/>
      <c r="P2209" s="260"/>
      <c r="Q2209" s="258"/>
      <c r="R2209" s="260"/>
      <c r="S2209" s="260"/>
      <c r="T2209" s="260"/>
      <c r="U2209" s="260"/>
      <c r="V2209" s="260"/>
      <c r="W2209" s="260"/>
      <c r="X2209" s="260"/>
      <c r="Y2209" s="260"/>
      <c r="Z2209" s="260"/>
      <c r="AA2209" s="260"/>
      <c r="AB2209" s="260"/>
      <c r="AC2209" s="260"/>
      <c r="AD2209" s="260"/>
      <c r="AE2209" s="260"/>
      <c r="AF2209" s="260"/>
      <c r="AG2209" s="258"/>
    </row>
    <row r="2210" spans="13:33" ht="12" hidden="1" customHeight="1">
      <c r="M2210" s="820"/>
      <c r="N2210" s="239"/>
      <c r="O2210" s="225"/>
      <c r="P2210" s="260"/>
      <c r="Q2210" s="258"/>
      <c r="R2210" s="260"/>
      <c r="S2210" s="260"/>
      <c r="T2210" s="260"/>
      <c r="U2210" s="260"/>
      <c r="V2210" s="260"/>
      <c r="W2210" s="260"/>
      <c r="X2210" s="260"/>
      <c r="Y2210" s="260"/>
      <c r="Z2210" s="260"/>
      <c r="AA2210" s="260"/>
      <c r="AB2210" s="260"/>
      <c r="AC2210" s="260"/>
      <c r="AD2210" s="260"/>
      <c r="AE2210" s="260"/>
      <c r="AF2210" s="260"/>
      <c r="AG2210" s="258"/>
    </row>
    <row r="2211" spans="13:33" ht="12" hidden="1" customHeight="1">
      <c r="M2211" s="820"/>
      <c r="N2211" s="239"/>
      <c r="O2211" s="225"/>
      <c r="P2211" s="260"/>
      <c r="Q2211" s="258"/>
      <c r="R2211" s="260"/>
      <c r="S2211" s="260"/>
      <c r="T2211" s="260"/>
      <c r="U2211" s="260"/>
      <c r="V2211" s="260"/>
      <c r="W2211" s="260"/>
      <c r="X2211" s="260"/>
      <c r="Y2211" s="260"/>
      <c r="Z2211" s="260"/>
      <c r="AA2211" s="260"/>
      <c r="AB2211" s="260"/>
      <c r="AC2211" s="260"/>
      <c r="AD2211" s="260"/>
      <c r="AE2211" s="260"/>
      <c r="AF2211" s="260"/>
      <c r="AG2211" s="258"/>
    </row>
    <row r="2212" spans="13:33" ht="12" hidden="1" customHeight="1">
      <c r="M2212" s="820"/>
      <c r="N2212" s="239"/>
      <c r="O2212" s="225"/>
      <c r="P2212" s="260"/>
      <c r="Q2212" s="258"/>
      <c r="R2212" s="260"/>
      <c r="S2212" s="260"/>
      <c r="T2212" s="260"/>
      <c r="U2212" s="260"/>
      <c r="V2212" s="260"/>
      <c r="W2212" s="260"/>
      <c r="X2212" s="260"/>
      <c r="Y2212" s="260"/>
      <c r="Z2212" s="260"/>
      <c r="AA2212" s="260"/>
      <c r="AB2212" s="260"/>
      <c r="AC2212" s="260"/>
      <c r="AD2212" s="260"/>
      <c r="AE2212" s="260"/>
      <c r="AF2212" s="260"/>
      <c r="AG2212" s="258"/>
    </row>
    <row r="2213" spans="13:33" ht="12" hidden="1" customHeight="1">
      <c r="M2213" s="820"/>
      <c r="N2213" s="239"/>
      <c r="O2213" s="225"/>
      <c r="P2213" s="260"/>
      <c r="Q2213" s="258"/>
      <c r="R2213" s="260"/>
      <c r="S2213" s="260"/>
      <c r="T2213" s="260"/>
      <c r="U2213" s="260"/>
      <c r="V2213" s="260"/>
      <c r="W2213" s="260"/>
      <c r="X2213" s="260"/>
      <c r="Y2213" s="260"/>
      <c r="Z2213" s="260"/>
      <c r="AA2213" s="260"/>
      <c r="AB2213" s="260"/>
      <c r="AC2213" s="260"/>
      <c r="AD2213" s="260"/>
      <c r="AE2213" s="260"/>
      <c r="AF2213" s="260"/>
      <c r="AG2213" s="258"/>
    </row>
    <row r="2214" spans="13:33" ht="12" hidden="1" customHeight="1">
      <c r="M2214" s="820"/>
      <c r="N2214" s="239"/>
      <c r="O2214" s="225"/>
      <c r="P2214" s="260"/>
      <c r="Q2214" s="258"/>
      <c r="R2214" s="260"/>
      <c r="S2214" s="260"/>
      <c r="T2214" s="260"/>
      <c r="U2214" s="260"/>
      <c r="V2214" s="260"/>
      <c r="W2214" s="260"/>
      <c r="X2214" s="260"/>
      <c r="Y2214" s="260"/>
      <c r="Z2214" s="260"/>
      <c r="AA2214" s="260"/>
      <c r="AB2214" s="260"/>
      <c r="AC2214" s="260"/>
      <c r="AD2214" s="260"/>
      <c r="AE2214" s="260"/>
      <c r="AF2214" s="260"/>
      <c r="AG2214" s="258"/>
    </row>
    <row r="2215" spans="13:33" ht="12" hidden="1" customHeight="1">
      <c r="M2215" s="820"/>
      <c r="N2215" s="239"/>
      <c r="O2215" s="225"/>
      <c r="P2215" s="260"/>
      <c r="Q2215" s="258"/>
      <c r="R2215" s="260"/>
      <c r="S2215" s="260"/>
      <c r="T2215" s="260"/>
      <c r="U2215" s="260"/>
      <c r="V2215" s="260"/>
      <c r="W2215" s="260"/>
      <c r="X2215" s="260"/>
      <c r="Y2215" s="260"/>
      <c r="Z2215" s="260"/>
      <c r="AA2215" s="260"/>
      <c r="AB2215" s="260"/>
      <c r="AC2215" s="260"/>
      <c r="AD2215" s="260"/>
      <c r="AE2215" s="260"/>
      <c r="AF2215" s="260"/>
      <c r="AG2215" s="258"/>
    </row>
    <row r="2216" spans="13:33" ht="12" hidden="1" customHeight="1">
      <c r="M2216" s="820"/>
      <c r="N2216" s="239"/>
      <c r="O2216" s="225"/>
      <c r="P2216" s="260"/>
      <c r="Q2216" s="258"/>
      <c r="R2216" s="260"/>
      <c r="S2216" s="260"/>
      <c r="T2216" s="260"/>
      <c r="U2216" s="260"/>
      <c r="V2216" s="260"/>
      <c r="W2216" s="260"/>
      <c r="X2216" s="260"/>
      <c r="Y2216" s="260"/>
      <c r="Z2216" s="260"/>
      <c r="AA2216" s="260"/>
      <c r="AB2216" s="260"/>
      <c r="AC2216" s="260"/>
      <c r="AD2216" s="260"/>
      <c r="AE2216" s="260"/>
      <c r="AF2216" s="260"/>
      <c r="AG2216" s="258"/>
    </row>
    <row r="2217" spans="13:33" ht="12" hidden="1" customHeight="1">
      <c r="M2217" s="820"/>
      <c r="N2217" s="239"/>
      <c r="O2217" s="225"/>
      <c r="P2217" s="260"/>
      <c r="Q2217" s="258"/>
      <c r="R2217" s="260"/>
      <c r="S2217" s="260"/>
      <c r="T2217" s="260"/>
      <c r="U2217" s="260"/>
      <c r="V2217" s="260"/>
      <c r="W2217" s="260"/>
      <c r="X2217" s="260"/>
      <c r="Y2217" s="260"/>
      <c r="Z2217" s="260"/>
      <c r="AA2217" s="260"/>
      <c r="AB2217" s="260"/>
      <c r="AC2217" s="260"/>
      <c r="AD2217" s="260"/>
      <c r="AE2217" s="260"/>
      <c r="AF2217" s="260"/>
      <c r="AG2217" s="258"/>
    </row>
    <row r="2218" spans="13:33" ht="12" hidden="1" customHeight="1">
      <c r="M2218" s="820"/>
      <c r="N2218" s="239"/>
      <c r="O2218" s="225"/>
      <c r="P2218" s="260"/>
      <c r="Q2218" s="258"/>
      <c r="R2218" s="260"/>
      <c r="S2218" s="260"/>
      <c r="T2218" s="260"/>
      <c r="U2218" s="260"/>
      <c r="V2218" s="260"/>
      <c r="W2218" s="260"/>
      <c r="X2218" s="260"/>
      <c r="Y2218" s="260"/>
      <c r="Z2218" s="260"/>
      <c r="AA2218" s="260"/>
      <c r="AB2218" s="260"/>
      <c r="AC2218" s="260"/>
      <c r="AD2218" s="260"/>
      <c r="AE2218" s="260"/>
      <c r="AF2218" s="260"/>
      <c r="AG2218" s="258"/>
    </row>
    <row r="2219" spans="13:33" ht="12" hidden="1" customHeight="1">
      <c r="M2219" s="820"/>
      <c r="N2219" s="239"/>
      <c r="O2219" s="225"/>
      <c r="P2219" s="260"/>
      <c r="Q2219" s="258"/>
      <c r="R2219" s="260"/>
      <c r="S2219" s="260"/>
      <c r="T2219" s="260"/>
      <c r="U2219" s="260"/>
      <c r="V2219" s="260"/>
      <c r="W2219" s="260"/>
      <c r="X2219" s="260"/>
      <c r="Y2219" s="260"/>
      <c r="Z2219" s="260"/>
      <c r="AA2219" s="260"/>
      <c r="AB2219" s="260"/>
      <c r="AC2219" s="260"/>
      <c r="AD2219" s="260"/>
      <c r="AE2219" s="260"/>
      <c r="AF2219" s="260"/>
      <c r="AG2219" s="258"/>
    </row>
    <row r="2220" spans="13:33" ht="12" hidden="1" customHeight="1">
      <c r="M2220" s="820"/>
      <c r="N2220" s="239"/>
      <c r="O2220" s="225"/>
      <c r="P2220" s="260"/>
      <c r="Q2220" s="258"/>
      <c r="R2220" s="260"/>
      <c r="S2220" s="260"/>
      <c r="T2220" s="260"/>
      <c r="U2220" s="260"/>
      <c r="V2220" s="260"/>
      <c r="W2220" s="260"/>
      <c r="X2220" s="260"/>
      <c r="Y2220" s="260"/>
      <c r="Z2220" s="260"/>
      <c r="AA2220" s="260"/>
      <c r="AB2220" s="260"/>
      <c r="AC2220" s="260"/>
      <c r="AD2220" s="260"/>
      <c r="AE2220" s="260"/>
      <c r="AF2220" s="260"/>
      <c r="AG2220" s="258"/>
    </row>
    <row r="2221" spans="13:33" ht="12" hidden="1" customHeight="1">
      <c r="M2221" s="820"/>
      <c r="N2221" s="239"/>
      <c r="O2221" s="225"/>
      <c r="P2221" s="260"/>
      <c r="Q2221" s="258"/>
      <c r="R2221" s="260"/>
      <c r="S2221" s="260"/>
      <c r="T2221" s="260"/>
      <c r="U2221" s="260"/>
      <c r="V2221" s="260"/>
      <c r="W2221" s="260"/>
      <c r="X2221" s="260"/>
      <c r="Y2221" s="260"/>
      <c r="Z2221" s="260"/>
      <c r="AA2221" s="260"/>
      <c r="AB2221" s="260"/>
      <c r="AC2221" s="260"/>
      <c r="AD2221" s="260"/>
      <c r="AE2221" s="260"/>
      <c r="AF2221" s="260"/>
      <c r="AG2221" s="258"/>
    </row>
    <row r="2222" spans="13:33" ht="12" hidden="1" customHeight="1">
      <c r="M2222" s="820"/>
      <c r="N2222" s="239"/>
      <c r="O2222" s="225"/>
      <c r="P2222" s="260"/>
      <c r="Q2222" s="258"/>
      <c r="R2222" s="260"/>
      <c r="S2222" s="260"/>
      <c r="T2222" s="260"/>
      <c r="U2222" s="260"/>
      <c r="V2222" s="260"/>
      <c r="W2222" s="260"/>
      <c r="X2222" s="260"/>
      <c r="Y2222" s="260"/>
      <c r="Z2222" s="260"/>
      <c r="AA2222" s="260"/>
      <c r="AB2222" s="260"/>
      <c r="AC2222" s="260"/>
      <c r="AD2222" s="260"/>
      <c r="AE2222" s="260"/>
      <c r="AF2222" s="260"/>
      <c r="AG2222" s="258"/>
    </row>
    <row r="2223" spans="13:33" ht="12" hidden="1" customHeight="1">
      <c r="M2223" s="820"/>
      <c r="N2223" s="239"/>
      <c r="O2223" s="225"/>
      <c r="P2223" s="260"/>
      <c r="Q2223" s="258"/>
      <c r="R2223" s="260"/>
      <c r="S2223" s="260"/>
      <c r="T2223" s="260"/>
      <c r="U2223" s="260"/>
      <c r="V2223" s="260"/>
      <c r="W2223" s="260"/>
      <c r="X2223" s="260"/>
      <c r="Y2223" s="260"/>
      <c r="Z2223" s="260"/>
      <c r="AA2223" s="260"/>
      <c r="AB2223" s="260"/>
      <c r="AC2223" s="260"/>
      <c r="AD2223" s="260"/>
      <c r="AE2223" s="260"/>
      <c r="AF2223" s="260"/>
      <c r="AG2223" s="258"/>
    </row>
    <row r="2224" spans="13:33" ht="12" hidden="1" customHeight="1">
      <c r="M2224" s="820"/>
      <c r="N2224" s="239"/>
      <c r="O2224" s="225"/>
      <c r="P2224" s="260"/>
      <c r="Q2224" s="258"/>
      <c r="R2224" s="260"/>
      <c r="S2224" s="260"/>
      <c r="T2224" s="260"/>
      <c r="U2224" s="260"/>
      <c r="V2224" s="260"/>
      <c r="W2224" s="260"/>
      <c r="X2224" s="260"/>
      <c r="Y2224" s="260"/>
      <c r="Z2224" s="260"/>
      <c r="AA2224" s="260"/>
      <c r="AB2224" s="260"/>
      <c r="AC2224" s="260"/>
      <c r="AD2224" s="260"/>
      <c r="AE2224" s="260"/>
      <c r="AF2224" s="260"/>
      <c r="AG2224" s="258"/>
    </row>
    <row r="2225" spans="13:33" ht="12" hidden="1" customHeight="1">
      <c r="M2225" s="820"/>
      <c r="N2225" s="239"/>
      <c r="O2225" s="225"/>
      <c r="P2225" s="260"/>
      <c r="Q2225" s="258"/>
      <c r="R2225" s="260"/>
      <c r="S2225" s="260"/>
      <c r="T2225" s="260"/>
      <c r="U2225" s="260"/>
      <c r="V2225" s="260"/>
      <c r="W2225" s="260"/>
      <c r="X2225" s="260"/>
      <c r="Y2225" s="260"/>
      <c r="Z2225" s="260"/>
      <c r="AA2225" s="260"/>
      <c r="AB2225" s="260"/>
      <c r="AC2225" s="260"/>
      <c r="AD2225" s="260"/>
      <c r="AE2225" s="260"/>
      <c r="AF2225" s="260"/>
      <c r="AG2225" s="258"/>
    </row>
    <row r="2226" spans="13:33" ht="12" hidden="1" customHeight="1">
      <c r="M2226" s="820"/>
      <c r="N2226" s="239"/>
      <c r="O2226" s="225"/>
      <c r="P2226" s="260"/>
      <c r="Q2226" s="258"/>
      <c r="R2226" s="260"/>
      <c r="S2226" s="260"/>
      <c r="T2226" s="260"/>
      <c r="U2226" s="260"/>
      <c r="V2226" s="260"/>
      <c r="W2226" s="260"/>
      <c r="X2226" s="260"/>
      <c r="Y2226" s="260"/>
      <c r="Z2226" s="260"/>
      <c r="AA2226" s="260"/>
      <c r="AB2226" s="260"/>
      <c r="AC2226" s="260"/>
      <c r="AD2226" s="260"/>
      <c r="AE2226" s="260"/>
      <c r="AF2226" s="260"/>
      <c r="AG2226" s="258"/>
    </row>
    <row r="2227" spans="13:33" ht="12" hidden="1" customHeight="1">
      <c r="M2227" s="820"/>
      <c r="N2227" s="239"/>
      <c r="O2227" s="225"/>
      <c r="P2227" s="260"/>
      <c r="Q2227" s="258"/>
      <c r="R2227" s="260"/>
      <c r="S2227" s="260"/>
      <c r="T2227" s="260"/>
      <c r="U2227" s="260"/>
      <c r="V2227" s="260"/>
      <c r="W2227" s="260"/>
      <c r="X2227" s="260"/>
      <c r="Y2227" s="260"/>
      <c r="Z2227" s="260"/>
      <c r="AA2227" s="260"/>
      <c r="AB2227" s="260"/>
      <c r="AC2227" s="260"/>
      <c r="AD2227" s="260"/>
      <c r="AE2227" s="260"/>
      <c r="AF2227" s="260"/>
      <c r="AG2227" s="258"/>
    </row>
    <row r="2228" spans="13:33" ht="12" hidden="1" customHeight="1">
      <c r="M2228" s="820"/>
      <c r="N2228" s="239"/>
      <c r="O2228" s="225"/>
      <c r="P2228" s="260"/>
      <c r="Q2228" s="258"/>
      <c r="R2228" s="260"/>
      <c r="S2228" s="260"/>
      <c r="T2228" s="260"/>
      <c r="U2228" s="260"/>
      <c r="V2228" s="260"/>
      <c r="W2228" s="260"/>
      <c r="X2228" s="260"/>
      <c r="Y2228" s="260"/>
      <c r="Z2228" s="260"/>
      <c r="AA2228" s="260"/>
      <c r="AB2228" s="260"/>
      <c r="AC2228" s="260"/>
      <c r="AD2228" s="260"/>
      <c r="AE2228" s="260"/>
      <c r="AF2228" s="260"/>
      <c r="AG2228" s="258"/>
    </row>
    <row r="2229" spans="13:33" ht="12" hidden="1" customHeight="1">
      <c r="M2229" s="820"/>
      <c r="N2229" s="239"/>
      <c r="O2229" s="225"/>
      <c r="P2229" s="260"/>
      <c r="Q2229" s="258"/>
      <c r="R2229" s="260"/>
      <c r="S2229" s="260"/>
      <c r="T2229" s="260"/>
      <c r="U2229" s="260"/>
      <c r="V2229" s="260"/>
      <c r="W2229" s="260"/>
      <c r="X2229" s="260"/>
      <c r="Y2229" s="260"/>
      <c r="Z2229" s="260"/>
      <c r="AA2229" s="260"/>
      <c r="AB2229" s="260"/>
      <c r="AC2229" s="260"/>
      <c r="AD2229" s="260"/>
      <c r="AE2229" s="260"/>
      <c r="AF2229" s="260"/>
      <c r="AG2229" s="258"/>
    </row>
    <row r="2230" spans="13:33" ht="12" hidden="1" customHeight="1">
      <c r="M2230" s="820"/>
      <c r="N2230" s="239"/>
      <c r="O2230" s="225"/>
      <c r="P2230" s="260"/>
      <c r="Q2230" s="258"/>
      <c r="R2230" s="260"/>
      <c r="S2230" s="260"/>
      <c r="T2230" s="260"/>
      <c r="U2230" s="260"/>
      <c r="V2230" s="260"/>
      <c r="W2230" s="260"/>
      <c r="X2230" s="260"/>
      <c r="Y2230" s="260"/>
      <c r="Z2230" s="260"/>
      <c r="AA2230" s="260"/>
      <c r="AB2230" s="260"/>
      <c r="AC2230" s="260"/>
      <c r="AD2230" s="260"/>
      <c r="AE2230" s="260"/>
      <c r="AF2230" s="260"/>
      <c r="AG2230" s="258"/>
    </row>
    <row r="2231" spans="13:33" ht="12" hidden="1" customHeight="1">
      <c r="M2231" s="820"/>
      <c r="N2231" s="239"/>
      <c r="O2231" s="225"/>
      <c r="P2231" s="260"/>
      <c r="Q2231" s="258"/>
      <c r="R2231" s="260"/>
      <c r="S2231" s="260"/>
      <c r="T2231" s="260"/>
      <c r="U2231" s="260"/>
      <c r="V2231" s="260"/>
      <c r="W2231" s="260"/>
      <c r="X2231" s="260"/>
      <c r="Y2231" s="260"/>
      <c r="Z2231" s="260"/>
      <c r="AA2231" s="260"/>
      <c r="AB2231" s="260"/>
      <c r="AC2231" s="260"/>
      <c r="AD2231" s="260"/>
      <c r="AE2231" s="260"/>
      <c r="AF2231" s="260"/>
      <c r="AG2231" s="258"/>
    </row>
    <row r="2232" spans="13:33" ht="12" hidden="1" customHeight="1">
      <c r="M2232" s="820"/>
      <c r="N2232" s="239"/>
      <c r="O2232" s="225"/>
      <c r="P2232" s="260"/>
      <c r="Q2232" s="258"/>
      <c r="R2232" s="260"/>
      <c r="S2232" s="260"/>
      <c r="T2232" s="260"/>
      <c r="U2232" s="260"/>
      <c r="V2232" s="260"/>
      <c r="W2232" s="260"/>
      <c r="X2232" s="260"/>
      <c r="Y2232" s="260"/>
      <c r="Z2232" s="260"/>
      <c r="AA2232" s="260"/>
      <c r="AB2232" s="260"/>
      <c r="AC2232" s="260"/>
      <c r="AD2232" s="260"/>
      <c r="AE2232" s="260"/>
      <c r="AF2232" s="260"/>
      <c r="AG2232" s="258"/>
    </row>
    <row r="2233" spans="13:33" ht="12" hidden="1" customHeight="1">
      <c r="M2233" s="820"/>
      <c r="N2233" s="239"/>
      <c r="O2233" s="225"/>
      <c r="P2233" s="260"/>
      <c r="Q2233" s="258"/>
      <c r="R2233" s="260"/>
      <c r="S2233" s="260"/>
      <c r="T2233" s="260"/>
      <c r="U2233" s="260"/>
      <c r="V2233" s="260"/>
      <c r="W2233" s="260"/>
      <c r="X2233" s="260"/>
      <c r="Y2233" s="260"/>
      <c r="Z2233" s="260"/>
      <c r="AA2233" s="260"/>
      <c r="AB2233" s="260"/>
      <c r="AC2233" s="260"/>
      <c r="AD2233" s="260"/>
      <c r="AE2233" s="260"/>
      <c r="AF2233" s="260"/>
      <c r="AG2233" s="258"/>
    </row>
    <row r="2234" spans="13:33" ht="12" hidden="1" customHeight="1">
      <c r="M2234" s="820"/>
      <c r="N2234" s="239"/>
      <c r="O2234" s="225"/>
      <c r="P2234" s="260"/>
      <c r="Q2234" s="258"/>
      <c r="R2234" s="260"/>
      <c r="S2234" s="260"/>
      <c r="T2234" s="260"/>
      <c r="U2234" s="260"/>
      <c r="V2234" s="260"/>
      <c r="W2234" s="260"/>
      <c r="X2234" s="260"/>
      <c r="Y2234" s="260"/>
      <c r="Z2234" s="260"/>
      <c r="AA2234" s="260"/>
      <c r="AB2234" s="260"/>
      <c r="AC2234" s="260"/>
      <c r="AD2234" s="260"/>
      <c r="AE2234" s="260"/>
      <c r="AF2234" s="260"/>
      <c r="AG2234" s="258"/>
    </row>
    <row r="2235" spans="13:33" ht="12" hidden="1" customHeight="1">
      <c r="M2235" s="820"/>
      <c r="N2235" s="239"/>
      <c r="O2235" s="225"/>
      <c r="P2235" s="260"/>
      <c r="Q2235" s="258"/>
      <c r="R2235" s="260"/>
      <c r="S2235" s="260"/>
      <c r="T2235" s="260"/>
      <c r="U2235" s="260"/>
      <c r="V2235" s="260"/>
      <c r="W2235" s="260"/>
      <c r="X2235" s="260"/>
      <c r="Y2235" s="260"/>
      <c r="Z2235" s="260"/>
      <c r="AA2235" s="260"/>
      <c r="AB2235" s="260"/>
      <c r="AC2235" s="260"/>
      <c r="AD2235" s="260"/>
      <c r="AE2235" s="260"/>
      <c r="AF2235" s="260"/>
      <c r="AG2235" s="258"/>
    </row>
    <row r="2236" spans="13:33" ht="12" hidden="1" customHeight="1">
      <c r="M2236" s="820"/>
      <c r="N2236" s="239"/>
      <c r="O2236" s="225"/>
      <c r="P2236" s="260"/>
      <c r="Q2236" s="258"/>
      <c r="R2236" s="260"/>
      <c r="S2236" s="260"/>
      <c r="T2236" s="260"/>
      <c r="U2236" s="260"/>
      <c r="V2236" s="260"/>
      <c r="W2236" s="260"/>
      <c r="X2236" s="260"/>
      <c r="Y2236" s="260"/>
      <c r="Z2236" s="260"/>
      <c r="AA2236" s="260"/>
      <c r="AB2236" s="260"/>
      <c r="AC2236" s="260"/>
      <c r="AD2236" s="260"/>
      <c r="AE2236" s="260"/>
      <c r="AF2236" s="260"/>
      <c r="AG2236" s="258"/>
    </row>
    <row r="2237" spans="13:33" ht="12" hidden="1" customHeight="1">
      <c r="M2237" s="820"/>
      <c r="N2237" s="239"/>
      <c r="O2237" s="225"/>
      <c r="P2237" s="260"/>
      <c r="Q2237" s="258"/>
      <c r="R2237" s="260"/>
      <c r="S2237" s="260"/>
      <c r="T2237" s="260"/>
      <c r="U2237" s="260"/>
      <c r="V2237" s="260"/>
      <c r="W2237" s="260"/>
      <c r="X2237" s="260"/>
      <c r="Y2237" s="260"/>
      <c r="Z2237" s="260"/>
      <c r="AA2237" s="260"/>
      <c r="AB2237" s="260"/>
      <c r="AC2237" s="260"/>
      <c r="AD2237" s="260"/>
      <c r="AE2237" s="260"/>
      <c r="AF2237" s="260"/>
      <c r="AG2237" s="258"/>
    </row>
    <row r="2238" spans="13:33" ht="12" hidden="1" customHeight="1">
      <c r="M2238" s="820"/>
      <c r="N2238" s="239"/>
      <c r="O2238" s="225"/>
      <c r="P2238" s="260"/>
      <c r="Q2238" s="258"/>
      <c r="R2238" s="260"/>
      <c r="S2238" s="260"/>
      <c r="T2238" s="260"/>
      <c r="U2238" s="260"/>
      <c r="V2238" s="260"/>
      <c r="W2238" s="260"/>
      <c r="X2238" s="260"/>
      <c r="Y2238" s="260"/>
      <c r="Z2238" s="260"/>
      <c r="AA2238" s="260"/>
      <c r="AB2238" s="260"/>
      <c r="AC2238" s="260"/>
      <c r="AD2238" s="260"/>
      <c r="AE2238" s="260"/>
      <c r="AF2238" s="260"/>
      <c r="AG2238" s="258"/>
    </row>
    <row r="2239" spans="13:33" ht="12" hidden="1" customHeight="1">
      <c r="M2239" s="820"/>
      <c r="N2239" s="239"/>
      <c r="O2239" s="225"/>
      <c r="P2239" s="260"/>
      <c r="Q2239" s="258"/>
      <c r="R2239" s="260"/>
      <c r="S2239" s="260"/>
      <c r="T2239" s="260"/>
      <c r="U2239" s="260"/>
      <c r="V2239" s="260"/>
      <c r="W2239" s="260"/>
      <c r="X2239" s="260"/>
      <c r="Y2239" s="260"/>
      <c r="Z2239" s="260"/>
      <c r="AA2239" s="260"/>
      <c r="AB2239" s="260"/>
      <c r="AC2239" s="260"/>
      <c r="AD2239" s="260"/>
      <c r="AE2239" s="260"/>
      <c r="AF2239" s="260"/>
      <c r="AG2239" s="258"/>
    </row>
    <row r="2240" spans="13:33" ht="12" hidden="1" customHeight="1">
      <c r="M2240" s="820"/>
      <c r="N2240" s="239"/>
      <c r="O2240" s="225"/>
      <c r="P2240" s="260"/>
      <c r="Q2240" s="258"/>
      <c r="R2240" s="260"/>
      <c r="S2240" s="260"/>
      <c r="T2240" s="260"/>
      <c r="U2240" s="260"/>
      <c r="V2240" s="260"/>
      <c r="W2240" s="260"/>
      <c r="X2240" s="260"/>
      <c r="Y2240" s="260"/>
      <c r="Z2240" s="260"/>
      <c r="AA2240" s="260"/>
      <c r="AB2240" s="260"/>
      <c r="AC2240" s="260"/>
      <c r="AD2240" s="260"/>
      <c r="AE2240" s="260"/>
      <c r="AF2240" s="260"/>
      <c r="AG2240" s="258"/>
    </row>
    <row r="2241" spans="13:33" ht="12" hidden="1" customHeight="1">
      <c r="M2241" s="820"/>
      <c r="N2241" s="239"/>
      <c r="O2241" s="225"/>
      <c r="P2241" s="260"/>
      <c r="Q2241" s="258"/>
      <c r="R2241" s="260"/>
      <c r="S2241" s="260"/>
      <c r="T2241" s="260"/>
      <c r="U2241" s="260"/>
      <c r="V2241" s="260"/>
      <c r="W2241" s="260"/>
      <c r="X2241" s="260"/>
      <c r="Y2241" s="260"/>
      <c r="Z2241" s="260"/>
      <c r="AA2241" s="260"/>
      <c r="AB2241" s="260"/>
      <c r="AC2241" s="260"/>
      <c r="AD2241" s="260"/>
      <c r="AE2241" s="260"/>
      <c r="AF2241" s="260"/>
      <c r="AG2241" s="258"/>
    </row>
    <row r="2242" spans="13:33" ht="12" hidden="1" customHeight="1">
      <c r="M2242" s="820"/>
      <c r="N2242" s="239"/>
      <c r="O2242" s="225"/>
      <c r="P2242" s="260"/>
      <c r="Q2242" s="258"/>
      <c r="R2242" s="260"/>
      <c r="S2242" s="260"/>
      <c r="T2242" s="260"/>
      <c r="U2242" s="260"/>
      <c r="V2242" s="260"/>
      <c r="W2242" s="260"/>
      <c r="X2242" s="260"/>
      <c r="Y2242" s="260"/>
      <c r="Z2242" s="260"/>
      <c r="AA2242" s="260"/>
      <c r="AB2242" s="260"/>
      <c r="AC2242" s="260"/>
      <c r="AD2242" s="260"/>
      <c r="AE2242" s="260"/>
      <c r="AF2242" s="260"/>
      <c r="AG2242" s="258"/>
    </row>
    <row r="2243" spans="13:33" ht="12" hidden="1" customHeight="1">
      <c r="M2243" s="820"/>
      <c r="N2243" s="239"/>
      <c r="O2243" s="225"/>
      <c r="P2243" s="260"/>
      <c r="Q2243" s="258"/>
      <c r="R2243" s="260"/>
      <c r="S2243" s="260"/>
      <c r="T2243" s="260"/>
      <c r="U2243" s="260"/>
      <c r="V2243" s="260"/>
      <c r="W2243" s="260"/>
      <c r="X2243" s="260"/>
      <c r="Y2243" s="260"/>
      <c r="Z2243" s="260"/>
      <c r="AA2243" s="260"/>
      <c r="AB2243" s="260"/>
      <c r="AC2243" s="260"/>
      <c r="AD2243" s="260"/>
      <c r="AE2243" s="260"/>
      <c r="AF2243" s="260"/>
      <c r="AG2243" s="258"/>
    </row>
    <row r="2244" spans="13:33" ht="12" hidden="1" customHeight="1">
      <c r="M2244" s="820"/>
      <c r="N2244" s="239"/>
      <c r="O2244" s="225"/>
      <c r="P2244" s="260"/>
      <c r="Q2244" s="258"/>
      <c r="R2244" s="260"/>
      <c r="S2244" s="260"/>
      <c r="T2244" s="260"/>
      <c r="U2244" s="260"/>
      <c r="V2244" s="260"/>
      <c r="W2244" s="260"/>
      <c r="X2244" s="260"/>
      <c r="Y2244" s="260"/>
      <c r="Z2244" s="260"/>
      <c r="AA2244" s="260"/>
      <c r="AB2244" s="260"/>
      <c r="AC2244" s="260"/>
      <c r="AD2244" s="260"/>
      <c r="AE2244" s="260"/>
      <c r="AF2244" s="260"/>
      <c r="AG2244" s="258"/>
    </row>
    <row r="2245" spans="13:33" ht="12" hidden="1" customHeight="1">
      <c r="M2245" s="820"/>
      <c r="N2245" s="239"/>
      <c r="O2245" s="225"/>
      <c r="P2245" s="260"/>
      <c r="Q2245" s="258"/>
      <c r="R2245" s="260"/>
      <c r="S2245" s="260"/>
      <c r="T2245" s="260"/>
      <c r="U2245" s="260"/>
      <c r="V2245" s="260"/>
      <c r="W2245" s="260"/>
      <c r="X2245" s="260"/>
      <c r="Y2245" s="260"/>
      <c r="Z2245" s="260"/>
      <c r="AA2245" s="260"/>
      <c r="AB2245" s="260"/>
      <c r="AC2245" s="260"/>
      <c r="AD2245" s="260"/>
      <c r="AE2245" s="260"/>
      <c r="AF2245" s="260"/>
      <c r="AG2245" s="258"/>
    </row>
    <row r="2246" spans="13:33" ht="12" hidden="1" customHeight="1">
      <c r="M2246" s="820"/>
      <c r="N2246" s="239"/>
      <c r="O2246" s="225"/>
      <c r="P2246" s="260"/>
      <c r="Q2246" s="258"/>
      <c r="R2246" s="260"/>
      <c r="S2246" s="260"/>
      <c r="T2246" s="260"/>
      <c r="U2246" s="260"/>
      <c r="V2246" s="260"/>
      <c r="W2246" s="260"/>
      <c r="X2246" s="260"/>
      <c r="Y2246" s="260"/>
      <c r="Z2246" s="260"/>
      <c r="AA2246" s="260"/>
      <c r="AB2246" s="260"/>
      <c r="AC2246" s="260"/>
      <c r="AD2246" s="260"/>
      <c r="AE2246" s="260"/>
      <c r="AF2246" s="260"/>
      <c r="AG2246" s="258"/>
    </row>
    <row r="2247" spans="13:33" ht="12" hidden="1" customHeight="1">
      <c r="M2247" s="820"/>
      <c r="N2247" s="239"/>
      <c r="O2247" s="225"/>
      <c r="P2247" s="260"/>
      <c r="Q2247" s="258"/>
      <c r="R2247" s="260"/>
      <c r="S2247" s="260"/>
      <c r="T2247" s="260"/>
      <c r="U2247" s="260"/>
      <c r="V2247" s="260"/>
      <c r="W2247" s="260"/>
      <c r="X2247" s="260"/>
      <c r="Y2247" s="260"/>
      <c r="Z2247" s="260"/>
      <c r="AA2247" s="260"/>
      <c r="AB2247" s="260"/>
      <c r="AC2247" s="260"/>
      <c r="AD2247" s="260"/>
      <c r="AE2247" s="260"/>
      <c r="AF2247" s="260"/>
      <c r="AG2247" s="258"/>
    </row>
    <row r="2248" spans="13:33" ht="12" hidden="1" customHeight="1">
      <c r="M2248" s="820"/>
      <c r="N2248" s="239"/>
      <c r="O2248" s="225"/>
      <c r="P2248" s="260"/>
      <c r="Q2248" s="258"/>
      <c r="R2248" s="260"/>
      <c r="S2248" s="260"/>
      <c r="T2248" s="260"/>
      <c r="U2248" s="260"/>
      <c r="V2248" s="260"/>
      <c r="W2248" s="260"/>
      <c r="X2248" s="260"/>
      <c r="Y2248" s="260"/>
      <c r="Z2248" s="260"/>
      <c r="AA2248" s="260"/>
      <c r="AB2248" s="260"/>
      <c r="AC2248" s="260"/>
      <c r="AD2248" s="260"/>
      <c r="AE2248" s="260"/>
      <c r="AF2248" s="260"/>
      <c r="AG2248" s="258"/>
    </row>
    <row r="2249" spans="13:33" ht="12" hidden="1" customHeight="1">
      <c r="M2249" s="820"/>
      <c r="N2249" s="239"/>
      <c r="O2249" s="225"/>
      <c r="P2249" s="260"/>
      <c r="Q2249" s="258"/>
      <c r="R2249" s="260"/>
      <c r="S2249" s="260"/>
      <c r="T2249" s="260"/>
      <c r="U2249" s="260"/>
      <c r="V2249" s="260"/>
      <c r="W2249" s="260"/>
      <c r="X2249" s="260"/>
      <c r="Y2249" s="260"/>
      <c r="Z2249" s="260"/>
      <c r="AA2249" s="260"/>
      <c r="AB2249" s="260"/>
      <c r="AC2249" s="260"/>
      <c r="AD2249" s="260"/>
      <c r="AE2249" s="260"/>
      <c r="AF2249" s="260"/>
      <c r="AG2249" s="258"/>
    </row>
    <row r="2250" spans="13:33" ht="12" hidden="1" customHeight="1">
      <c r="M2250" s="820"/>
      <c r="N2250" s="239"/>
      <c r="O2250" s="225"/>
      <c r="P2250" s="260"/>
      <c r="Q2250" s="258"/>
      <c r="R2250" s="260"/>
      <c r="S2250" s="260"/>
      <c r="T2250" s="260"/>
      <c r="U2250" s="260"/>
      <c r="V2250" s="260"/>
      <c r="W2250" s="260"/>
      <c r="X2250" s="260"/>
      <c r="Y2250" s="260"/>
      <c r="Z2250" s="260"/>
      <c r="AA2250" s="260"/>
      <c r="AB2250" s="260"/>
      <c r="AC2250" s="260"/>
      <c r="AD2250" s="260"/>
      <c r="AE2250" s="260"/>
      <c r="AF2250" s="260"/>
      <c r="AG2250" s="258"/>
    </row>
    <row r="2251" spans="13:33" ht="12" hidden="1" customHeight="1">
      <c r="M2251" s="820"/>
      <c r="N2251" s="239"/>
      <c r="O2251" s="225"/>
      <c r="P2251" s="260"/>
      <c r="Q2251" s="258"/>
      <c r="R2251" s="260"/>
      <c r="S2251" s="260"/>
      <c r="T2251" s="260"/>
      <c r="U2251" s="260"/>
      <c r="V2251" s="260"/>
      <c r="W2251" s="260"/>
      <c r="X2251" s="260"/>
      <c r="Y2251" s="260"/>
      <c r="Z2251" s="260"/>
      <c r="AA2251" s="260"/>
      <c r="AB2251" s="260"/>
      <c r="AC2251" s="260"/>
      <c r="AD2251" s="260"/>
      <c r="AE2251" s="260"/>
      <c r="AF2251" s="260"/>
      <c r="AG2251" s="258"/>
    </row>
    <row r="2252" spans="13:33" ht="12" hidden="1" customHeight="1">
      <c r="M2252" s="820"/>
      <c r="N2252" s="239"/>
      <c r="O2252" s="225"/>
      <c r="P2252" s="260"/>
      <c r="Q2252" s="258"/>
      <c r="R2252" s="260"/>
      <c r="S2252" s="260"/>
      <c r="T2252" s="260"/>
      <c r="U2252" s="260"/>
      <c r="V2252" s="260"/>
      <c r="W2252" s="260"/>
      <c r="X2252" s="260"/>
      <c r="Y2252" s="260"/>
      <c r="Z2252" s="260"/>
      <c r="AA2252" s="260"/>
      <c r="AB2252" s="260"/>
      <c r="AC2252" s="260"/>
      <c r="AD2252" s="260"/>
      <c r="AE2252" s="260"/>
      <c r="AF2252" s="260"/>
      <c r="AG2252" s="258"/>
    </row>
    <row r="2253" spans="13:33" ht="12" hidden="1" customHeight="1">
      <c r="M2253" s="820"/>
      <c r="N2253" s="239"/>
      <c r="O2253" s="225"/>
      <c r="P2253" s="260"/>
      <c r="Q2253" s="258"/>
      <c r="R2253" s="260"/>
      <c r="S2253" s="260"/>
      <c r="T2253" s="260"/>
      <c r="U2253" s="260"/>
      <c r="V2253" s="260"/>
      <c r="W2253" s="260"/>
      <c r="X2253" s="260"/>
      <c r="Y2253" s="260"/>
      <c r="Z2253" s="260"/>
      <c r="AA2253" s="260"/>
      <c r="AB2253" s="260"/>
      <c r="AC2253" s="260"/>
      <c r="AD2253" s="260"/>
      <c r="AE2253" s="260"/>
      <c r="AF2253" s="260"/>
      <c r="AG2253" s="258"/>
    </row>
    <row r="2254" spans="13:33" ht="12" hidden="1" customHeight="1">
      <c r="M2254" s="820"/>
      <c r="N2254" s="239"/>
      <c r="O2254" s="225"/>
      <c r="P2254" s="260"/>
      <c r="Q2254" s="258"/>
      <c r="R2254" s="260"/>
      <c r="S2254" s="260"/>
      <c r="T2254" s="260"/>
      <c r="U2254" s="260"/>
      <c r="V2254" s="260"/>
      <c r="W2254" s="260"/>
      <c r="X2254" s="260"/>
      <c r="Y2254" s="260"/>
      <c r="Z2254" s="260"/>
      <c r="AA2254" s="260"/>
      <c r="AB2254" s="260"/>
      <c r="AC2254" s="260"/>
      <c r="AD2254" s="260"/>
      <c r="AE2254" s="260"/>
      <c r="AF2254" s="260"/>
      <c r="AG2254" s="258"/>
    </row>
    <row r="2255" spans="13:33" ht="12" hidden="1" customHeight="1">
      <c r="M2255" s="820"/>
      <c r="N2255" s="239"/>
      <c r="O2255" s="225"/>
      <c r="P2255" s="260"/>
      <c r="Q2255" s="258"/>
      <c r="R2255" s="260"/>
      <c r="S2255" s="260"/>
      <c r="T2255" s="260"/>
      <c r="U2255" s="260"/>
      <c r="V2255" s="260"/>
      <c r="W2255" s="260"/>
      <c r="X2255" s="260"/>
      <c r="Y2255" s="260"/>
      <c r="Z2255" s="260"/>
      <c r="AA2255" s="260"/>
      <c r="AB2255" s="260"/>
      <c r="AC2255" s="260"/>
      <c r="AD2255" s="260"/>
      <c r="AE2255" s="260"/>
      <c r="AF2255" s="260"/>
      <c r="AG2255" s="258"/>
    </row>
    <row r="2256" spans="13:33" ht="12" hidden="1" customHeight="1">
      <c r="M2256" s="820"/>
      <c r="N2256" s="239"/>
      <c r="O2256" s="225"/>
      <c r="P2256" s="260"/>
      <c r="Q2256" s="258"/>
      <c r="R2256" s="260"/>
      <c r="S2256" s="260"/>
      <c r="T2256" s="260"/>
      <c r="U2256" s="260"/>
      <c r="V2256" s="260"/>
      <c r="W2256" s="260"/>
      <c r="X2256" s="260"/>
      <c r="Y2256" s="260"/>
      <c r="Z2256" s="260"/>
      <c r="AA2256" s="260"/>
      <c r="AB2256" s="260"/>
      <c r="AC2256" s="260"/>
      <c r="AD2256" s="260"/>
      <c r="AE2256" s="260"/>
      <c r="AF2256" s="260"/>
      <c r="AG2256" s="258"/>
    </row>
    <row r="2257" spans="13:33" ht="12" hidden="1" customHeight="1">
      <c r="M2257" s="820"/>
      <c r="N2257" s="239"/>
      <c r="O2257" s="225"/>
      <c r="P2257" s="260"/>
      <c r="Q2257" s="258"/>
      <c r="R2257" s="260"/>
      <c r="S2257" s="260"/>
      <c r="T2257" s="260"/>
      <c r="U2257" s="260"/>
      <c r="V2257" s="260"/>
      <c r="W2257" s="260"/>
      <c r="X2257" s="260"/>
      <c r="Y2257" s="260"/>
      <c r="Z2257" s="260"/>
      <c r="AA2257" s="260"/>
      <c r="AB2257" s="260"/>
      <c r="AC2257" s="260"/>
      <c r="AD2257" s="260"/>
      <c r="AE2257" s="260"/>
      <c r="AF2257" s="260"/>
      <c r="AG2257" s="258"/>
    </row>
    <row r="2258" spans="13:33" ht="12" hidden="1" customHeight="1">
      <c r="M2258" s="820"/>
      <c r="N2258" s="239"/>
      <c r="O2258" s="225"/>
      <c r="P2258" s="260"/>
      <c r="Q2258" s="258"/>
      <c r="R2258" s="260"/>
      <c r="S2258" s="260"/>
      <c r="T2258" s="260"/>
      <c r="U2258" s="260"/>
      <c r="V2258" s="260"/>
      <c r="W2258" s="260"/>
      <c r="X2258" s="260"/>
      <c r="Y2258" s="260"/>
      <c r="Z2258" s="260"/>
      <c r="AA2258" s="260"/>
      <c r="AB2258" s="260"/>
      <c r="AC2258" s="260"/>
      <c r="AD2258" s="260"/>
      <c r="AE2258" s="260"/>
      <c r="AF2258" s="260"/>
      <c r="AG2258" s="258"/>
    </row>
    <row r="2259" spans="13:33" ht="12" hidden="1" customHeight="1">
      <c r="M2259" s="820"/>
      <c r="N2259" s="239"/>
      <c r="O2259" s="225"/>
      <c r="P2259" s="260"/>
      <c r="Q2259" s="258"/>
      <c r="R2259" s="260"/>
      <c r="S2259" s="260"/>
      <c r="T2259" s="260"/>
      <c r="U2259" s="260"/>
      <c r="V2259" s="260"/>
      <c r="W2259" s="260"/>
      <c r="X2259" s="260"/>
      <c r="Y2259" s="260"/>
      <c r="Z2259" s="260"/>
      <c r="AA2259" s="260"/>
      <c r="AB2259" s="260"/>
      <c r="AC2259" s="260"/>
      <c r="AD2259" s="260"/>
      <c r="AE2259" s="260"/>
      <c r="AF2259" s="260"/>
      <c r="AG2259" s="258"/>
    </row>
    <row r="2260" spans="13:33" ht="12" hidden="1" customHeight="1">
      <c r="M2260" s="820"/>
      <c r="N2260" s="239"/>
      <c r="O2260" s="225"/>
      <c r="P2260" s="260"/>
      <c r="Q2260" s="258"/>
      <c r="R2260" s="260"/>
      <c r="S2260" s="260"/>
      <c r="T2260" s="260"/>
      <c r="U2260" s="260"/>
      <c r="V2260" s="260"/>
      <c r="W2260" s="260"/>
      <c r="X2260" s="260"/>
      <c r="Y2260" s="260"/>
      <c r="Z2260" s="260"/>
      <c r="AA2260" s="260"/>
      <c r="AB2260" s="260"/>
      <c r="AC2260" s="260"/>
      <c r="AD2260" s="260"/>
      <c r="AE2260" s="260"/>
      <c r="AF2260" s="260"/>
      <c r="AG2260" s="258"/>
    </row>
    <row r="2261" spans="13:33" ht="12" hidden="1" customHeight="1">
      <c r="M2261" s="820"/>
      <c r="N2261" s="239"/>
      <c r="O2261" s="225"/>
      <c r="P2261" s="260"/>
      <c r="Q2261" s="258"/>
      <c r="R2261" s="260"/>
      <c r="S2261" s="260"/>
      <c r="T2261" s="260"/>
      <c r="U2261" s="260"/>
      <c r="V2261" s="260"/>
      <c r="W2261" s="260"/>
      <c r="X2261" s="260"/>
      <c r="Y2261" s="260"/>
      <c r="Z2261" s="260"/>
      <c r="AA2261" s="260"/>
      <c r="AB2261" s="260"/>
      <c r="AC2261" s="260"/>
      <c r="AD2261" s="260"/>
      <c r="AE2261" s="260"/>
      <c r="AF2261" s="260"/>
      <c r="AG2261" s="258"/>
    </row>
    <row r="2262" spans="13:33" ht="12" hidden="1" customHeight="1">
      <c r="M2262" s="820"/>
      <c r="N2262" s="239"/>
      <c r="O2262" s="225"/>
      <c r="P2262" s="260"/>
      <c r="Q2262" s="258"/>
      <c r="R2262" s="260"/>
      <c r="S2262" s="260"/>
      <c r="T2262" s="260"/>
      <c r="U2262" s="260"/>
      <c r="V2262" s="260"/>
      <c r="W2262" s="260"/>
      <c r="X2262" s="260"/>
      <c r="Y2262" s="260"/>
      <c r="Z2262" s="260"/>
      <c r="AA2262" s="260"/>
      <c r="AB2262" s="260"/>
      <c r="AC2262" s="260"/>
      <c r="AD2262" s="260"/>
      <c r="AE2262" s="260"/>
      <c r="AF2262" s="260"/>
      <c r="AG2262" s="258"/>
    </row>
    <row r="2263" spans="13:33" ht="12" hidden="1" customHeight="1">
      <c r="M2263" s="820"/>
      <c r="N2263" s="239"/>
      <c r="O2263" s="225"/>
      <c r="P2263" s="260"/>
      <c r="Q2263" s="258"/>
      <c r="R2263" s="260"/>
      <c r="S2263" s="260"/>
      <c r="T2263" s="260"/>
      <c r="U2263" s="260"/>
      <c r="V2263" s="260"/>
      <c r="W2263" s="260"/>
      <c r="X2263" s="260"/>
      <c r="Y2263" s="260"/>
      <c r="Z2263" s="260"/>
      <c r="AA2263" s="260"/>
      <c r="AB2263" s="260"/>
      <c r="AC2263" s="260"/>
      <c r="AD2263" s="260"/>
      <c r="AE2263" s="260"/>
      <c r="AF2263" s="260"/>
      <c r="AG2263" s="258"/>
    </row>
    <row r="2264" spans="13:33" ht="12" hidden="1" customHeight="1">
      <c r="M2264" s="820"/>
      <c r="N2264" s="239"/>
      <c r="O2264" s="225"/>
      <c r="P2264" s="260"/>
      <c r="Q2264" s="258"/>
      <c r="R2264" s="260"/>
      <c r="S2264" s="260"/>
      <c r="T2264" s="260"/>
      <c r="U2264" s="260"/>
      <c r="V2264" s="260"/>
      <c r="W2264" s="260"/>
      <c r="X2264" s="260"/>
      <c r="Y2264" s="260"/>
      <c r="Z2264" s="260"/>
      <c r="AA2264" s="260"/>
      <c r="AB2264" s="260"/>
      <c r="AC2264" s="260"/>
      <c r="AD2264" s="260"/>
      <c r="AE2264" s="260"/>
      <c r="AF2264" s="260"/>
      <c r="AG2264" s="258"/>
    </row>
    <row r="2265" spans="13:33" ht="12" hidden="1" customHeight="1">
      <c r="M2265" s="820"/>
      <c r="N2265" s="239"/>
      <c r="O2265" s="225"/>
      <c r="P2265" s="260"/>
      <c r="Q2265" s="258"/>
      <c r="R2265" s="260"/>
      <c r="S2265" s="260"/>
      <c r="T2265" s="260"/>
      <c r="U2265" s="260"/>
      <c r="V2265" s="260"/>
      <c r="W2265" s="260"/>
      <c r="X2265" s="260"/>
      <c r="Y2265" s="260"/>
      <c r="Z2265" s="260"/>
      <c r="AA2265" s="260"/>
      <c r="AB2265" s="260"/>
      <c r="AC2265" s="260"/>
      <c r="AD2265" s="260"/>
      <c r="AE2265" s="260"/>
      <c r="AF2265" s="260"/>
      <c r="AG2265" s="258"/>
    </row>
    <row r="2266" spans="13:33" ht="12" hidden="1" customHeight="1">
      <c r="M2266" s="820"/>
      <c r="N2266" s="239"/>
      <c r="O2266" s="225"/>
      <c r="P2266" s="260"/>
      <c r="Q2266" s="258"/>
      <c r="R2266" s="260"/>
      <c r="S2266" s="260"/>
      <c r="T2266" s="260"/>
      <c r="U2266" s="260"/>
      <c r="V2266" s="260"/>
      <c r="W2266" s="260"/>
      <c r="X2266" s="260"/>
      <c r="Y2266" s="260"/>
      <c r="Z2266" s="260"/>
      <c r="AA2266" s="260"/>
      <c r="AB2266" s="260"/>
      <c r="AC2266" s="260"/>
      <c r="AD2266" s="260"/>
      <c r="AE2266" s="260"/>
      <c r="AF2266" s="260"/>
      <c r="AG2266" s="258"/>
    </row>
    <row r="2267" spans="13:33" ht="12" hidden="1" customHeight="1">
      <c r="M2267" s="820"/>
      <c r="N2267" s="239"/>
      <c r="O2267" s="225"/>
      <c r="P2267" s="260"/>
      <c r="Q2267" s="258"/>
      <c r="R2267" s="260"/>
      <c r="S2267" s="260"/>
      <c r="T2267" s="260"/>
      <c r="U2267" s="260"/>
      <c r="V2267" s="260"/>
      <c r="W2267" s="260"/>
      <c r="X2267" s="260"/>
      <c r="Y2267" s="260"/>
      <c r="Z2267" s="260"/>
      <c r="AA2267" s="260"/>
      <c r="AB2267" s="260"/>
      <c r="AC2267" s="260"/>
      <c r="AD2267" s="260"/>
      <c r="AE2267" s="260"/>
      <c r="AF2267" s="260"/>
      <c r="AG2267" s="258"/>
    </row>
    <row r="2268" spans="13:33" ht="12" hidden="1" customHeight="1">
      <c r="M2268" s="820"/>
      <c r="N2268" s="239"/>
      <c r="O2268" s="225"/>
      <c r="P2268" s="260"/>
      <c r="Q2268" s="258"/>
      <c r="R2268" s="260"/>
      <c r="S2268" s="260"/>
      <c r="T2268" s="260"/>
      <c r="U2268" s="260"/>
      <c r="V2268" s="260"/>
      <c r="W2268" s="260"/>
      <c r="X2268" s="260"/>
      <c r="Y2268" s="260"/>
      <c r="Z2268" s="260"/>
      <c r="AA2268" s="260"/>
      <c r="AB2268" s="260"/>
      <c r="AC2268" s="260"/>
      <c r="AD2268" s="260"/>
      <c r="AE2268" s="260"/>
      <c r="AF2268" s="260"/>
      <c r="AG2268" s="258"/>
    </row>
    <row r="2269" spans="13:33" ht="12" hidden="1" customHeight="1">
      <c r="M2269" s="820"/>
      <c r="N2269" s="239"/>
      <c r="O2269" s="225"/>
      <c r="P2269" s="260"/>
      <c r="Q2269" s="258"/>
      <c r="R2269" s="260"/>
      <c r="S2269" s="260"/>
      <c r="T2269" s="260"/>
      <c r="U2269" s="260"/>
      <c r="V2269" s="260"/>
      <c r="W2269" s="260"/>
      <c r="X2269" s="260"/>
      <c r="Y2269" s="260"/>
      <c r="Z2269" s="260"/>
      <c r="AA2269" s="260"/>
      <c r="AB2269" s="260"/>
      <c r="AC2269" s="260"/>
      <c r="AD2269" s="260"/>
      <c r="AE2269" s="260"/>
      <c r="AF2269" s="260"/>
      <c r="AG2269" s="258"/>
    </row>
    <row r="2270" spans="13:33" ht="12" hidden="1" customHeight="1">
      <c r="M2270" s="820"/>
      <c r="N2270" s="239"/>
      <c r="O2270" s="225"/>
      <c r="P2270" s="260"/>
      <c r="Q2270" s="258"/>
      <c r="R2270" s="260"/>
      <c r="S2270" s="260"/>
      <c r="T2270" s="260"/>
      <c r="U2270" s="260"/>
      <c r="V2270" s="260"/>
      <c r="W2270" s="260"/>
      <c r="X2270" s="260"/>
      <c r="Y2270" s="260"/>
      <c r="Z2270" s="260"/>
      <c r="AA2270" s="260"/>
      <c r="AB2270" s="260"/>
      <c r="AC2270" s="260"/>
      <c r="AD2270" s="260"/>
      <c r="AE2270" s="260"/>
      <c r="AF2270" s="260"/>
      <c r="AG2270" s="258"/>
    </row>
    <row r="2271" spans="13:33" ht="12" hidden="1" customHeight="1">
      <c r="M2271" s="820"/>
      <c r="N2271" s="239"/>
      <c r="O2271" s="225"/>
      <c r="P2271" s="260"/>
      <c r="Q2271" s="258"/>
      <c r="R2271" s="260"/>
      <c r="S2271" s="260"/>
      <c r="T2271" s="260"/>
      <c r="U2271" s="260"/>
      <c r="V2271" s="260"/>
      <c r="W2271" s="260"/>
      <c r="X2271" s="260"/>
      <c r="Y2271" s="260"/>
      <c r="Z2271" s="260"/>
      <c r="AA2271" s="260"/>
      <c r="AB2271" s="260"/>
      <c r="AC2271" s="260"/>
      <c r="AD2271" s="260"/>
      <c r="AE2271" s="260"/>
      <c r="AF2271" s="260"/>
      <c r="AG2271" s="258"/>
    </row>
    <row r="2272" spans="13:33" ht="12" hidden="1" customHeight="1">
      <c r="M2272" s="820"/>
      <c r="N2272" s="239"/>
      <c r="O2272" s="225"/>
      <c r="P2272" s="260"/>
      <c r="Q2272" s="258"/>
      <c r="R2272" s="260"/>
      <c r="S2272" s="260"/>
      <c r="T2272" s="260"/>
      <c r="U2272" s="260"/>
      <c r="V2272" s="260"/>
      <c r="W2272" s="260"/>
      <c r="X2272" s="260"/>
      <c r="Y2272" s="260"/>
      <c r="Z2272" s="260"/>
      <c r="AA2272" s="260"/>
      <c r="AB2272" s="260"/>
      <c r="AC2272" s="260"/>
      <c r="AD2272" s="260"/>
      <c r="AE2272" s="260"/>
      <c r="AF2272" s="260"/>
      <c r="AG2272" s="258"/>
    </row>
    <row r="2273" spans="13:33" ht="12" hidden="1" customHeight="1">
      <c r="M2273" s="820"/>
      <c r="N2273" s="239"/>
      <c r="O2273" s="225"/>
      <c r="P2273" s="260"/>
      <c r="Q2273" s="258"/>
      <c r="R2273" s="260"/>
      <c r="S2273" s="260"/>
      <c r="T2273" s="260"/>
      <c r="U2273" s="260"/>
      <c r="V2273" s="260"/>
      <c r="W2273" s="260"/>
      <c r="X2273" s="260"/>
      <c r="Y2273" s="260"/>
      <c r="Z2273" s="260"/>
      <c r="AA2273" s="260"/>
      <c r="AB2273" s="260"/>
      <c r="AC2273" s="260"/>
      <c r="AD2273" s="260"/>
      <c r="AE2273" s="260"/>
      <c r="AF2273" s="260"/>
      <c r="AG2273" s="258"/>
    </row>
    <row r="2274" spans="13:33" ht="12" hidden="1" customHeight="1">
      <c r="M2274" s="820"/>
      <c r="N2274" s="239"/>
      <c r="O2274" s="225"/>
      <c r="P2274" s="260"/>
      <c r="Q2274" s="258"/>
      <c r="R2274" s="260"/>
      <c r="S2274" s="260"/>
      <c r="T2274" s="260"/>
      <c r="U2274" s="260"/>
      <c r="V2274" s="260"/>
      <c r="W2274" s="260"/>
      <c r="X2274" s="260"/>
      <c r="Y2274" s="260"/>
      <c r="Z2274" s="260"/>
      <c r="AA2274" s="260"/>
      <c r="AB2274" s="260"/>
      <c r="AC2274" s="260"/>
      <c r="AD2274" s="260"/>
      <c r="AE2274" s="260"/>
      <c r="AF2274" s="260"/>
      <c r="AG2274" s="258"/>
    </row>
    <row r="2275" spans="13:33" ht="12" hidden="1" customHeight="1">
      <c r="M2275" s="820"/>
      <c r="N2275" s="239"/>
      <c r="O2275" s="225"/>
      <c r="P2275" s="260"/>
      <c r="Q2275" s="258"/>
      <c r="R2275" s="260"/>
      <c r="S2275" s="260"/>
      <c r="T2275" s="260"/>
      <c r="U2275" s="260"/>
      <c r="V2275" s="260"/>
      <c r="W2275" s="260"/>
      <c r="X2275" s="260"/>
      <c r="Y2275" s="260"/>
      <c r="Z2275" s="260"/>
      <c r="AA2275" s="260"/>
      <c r="AB2275" s="260"/>
      <c r="AC2275" s="260"/>
      <c r="AD2275" s="260"/>
      <c r="AE2275" s="260"/>
      <c r="AF2275" s="260"/>
      <c r="AG2275" s="258"/>
    </row>
    <row r="2276" spans="13:33" ht="12" hidden="1" customHeight="1">
      <c r="M2276" s="820"/>
      <c r="N2276" s="239"/>
      <c r="O2276" s="225"/>
      <c r="P2276" s="260"/>
      <c r="Q2276" s="258"/>
      <c r="R2276" s="260"/>
      <c r="S2276" s="260"/>
      <c r="T2276" s="260"/>
      <c r="U2276" s="260"/>
      <c r="V2276" s="260"/>
      <c r="W2276" s="260"/>
      <c r="X2276" s="260"/>
      <c r="Y2276" s="260"/>
      <c r="Z2276" s="260"/>
      <c r="AA2276" s="260"/>
      <c r="AB2276" s="260"/>
      <c r="AC2276" s="260"/>
      <c r="AD2276" s="260"/>
      <c r="AE2276" s="260"/>
      <c r="AF2276" s="260"/>
      <c r="AG2276" s="258"/>
    </row>
    <row r="2277" spans="13:33" ht="12" hidden="1" customHeight="1">
      <c r="M2277" s="820"/>
      <c r="N2277" s="239"/>
      <c r="O2277" s="225"/>
      <c r="P2277" s="260"/>
      <c r="Q2277" s="258"/>
      <c r="R2277" s="260"/>
      <c r="S2277" s="260"/>
      <c r="T2277" s="260"/>
      <c r="U2277" s="260"/>
      <c r="V2277" s="260"/>
      <c r="W2277" s="260"/>
      <c r="X2277" s="260"/>
      <c r="Y2277" s="260"/>
      <c r="Z2277" s="260"/>
      <c r="AA2277" s="260"/>
      <c r="AB2277" s="260"/>
      <c r="AC2277" s="260"/>
      <c r="AD2277" s="260"/>
      <c r="AE2277" s="260"/>
      <c r="AF2277" s="260"/>
      <c r="AG2277" s="258"/>
    </row>
    <row r="2278" spans="13:33" ht="12" hidden="1" customHeight="1">
      <c r="M2278" s="820"/>
      <c r="N2278" s="239"/>
      <c r="O2278" s="225"/>
      <c r="P2278" s="260"/>
      <c r="Q2278" s="258"/>
      <c r="R2278" s="260"/>
      <c r="S2278" s="260"/>
      <c r="T2278" s="260"/>
      <c r="U2278" s="260"/>
      <c r="V2278" s="260"/>
      <c r="W2278" s="260"/>
      <c r="X2278" s="260"/>
      <c r="Y2278" s="260"/>
      <c r="Z2278" s="260"/>
      <c r="AA2278" s="260"/>
      <c r="AB2278" s="260"/>
      <c r="AC2278" s="260"/>
      <c r="AD2278" s="260"/>
      <c r="AE2278" s="260"/>
      <c r="AF2278" s="260"/>
      <c r="AG2278" s="258"/>
    </row>
    <row r="2279" spans="13:33" ht="12" hidden="1" customHeight="1">
      <c r="M2279" s="820"/>
      <c r="N2279" s="239"/>
      <c r="O2279" s="225"/>
      <c r="P2279" s="260"/>
      <c r="Q2279" s="258"/>
      <c r="R2279" s="260"/>
      <c r="S2279" s="260"/>
      <c r="T2279" s="260"/>
      <c r="U2279" s="260"/>
      <c r="V2279" s="260"/>
      <c r="W2279" s="260"/>
      <c r="X2279" s="260"/>
      <c r="Y2279" s="260"/>
      <c r="Z2279" s="260"/>
      <c r="AA2279" s="260"/>
      <c r="AB2279" s="260"/>
      <c r="AC2279" s="260"/>
      <c r="AD2279" s="260"/>
      <c r="AE2279" s="260"/>
      <c r="AF2279" s="260"/>
      <c r="AG2279" s="258"/>
    </row>
    <row r="2280" spans="13:33" ht="12" hidden="1" customHeight="1">
      <c r="M2280" s="820"/>
      <c r="N2280" s="239"/>
      <c r="O2280" s="225"/>
      <c r="P2280" s="260"/>
      <c r="Q2280" s="258"/>
      <c r="R2280" s="260"/>
      <c r="S2280" s="260"/>
      <c r="T2280" s="260"/>
      <c r="U2280" s="260"/>
      <c r="V2280" s="260"/>
      <c r="W2280" s="260"/>
      <c r="X2280" s="260"/>
      <c r="Y2280" s="260"/>
      <c r="Z2280" s="260"/>
      <c r="AA2280" s="260"/>
      <c r="AB2280" s="260"/>
      <c r="AC2280" s="260"/>
      <c r="AD2280" s="260"/>
      <c r="AE2280" s="260"/>
      <c r="AF2280" s="260"/>
      <c r="AG2280" s="258"/>
    </row>
    <row r="2281" spans="13:33" ht="12" hidden="1" customHeight="1">
      <c r="M2281" s="820"/>
      <c r="N2281" s="239"/>
      <c r="O2281" s="225"/>
      <c r="P2281" s="260"/>
      <c r="Q2281" s="258"/>
      <c r="R2281" s="260"/>
      <c r="S2281" s="260"/>
      <c r="T2281" s="260"/>
      <c r="U2281" s="260"/>
      <c r="V2281" s="260"/>
      <c r="W2281" s="260"/>
      <c r="X2281" s="260"/>
      <c r="Y2281" s="260"/>
      <c r="Z2281" s="260"/>
      <c r="AA2281" s="260"/>
      <c r="AB2281" s="260"/>
      <c r="AC2281" s="260"/>
      <c r="AD2281" s="260"/>
      <c r="AE2281" s="260"/>
      <c r="AF2281" s="260"/>
      <c r="AG2281" s="258"/>
    </row>
    <row r="2282" spans="13:33" ht="12" hidden="1" customHeight="1">
      <c r="M2282" s="820"/>
      <c r="N2282" s="239"/>
      <c r="O2282" s="225"/>
      <c r="P2282" s="260"/>
      <c r="Q2282" s="258"/>
      <c r="R2282" s="260"/>
      <c r="S2282" s="260"/>
      <c r="T2282" s="260"/>
      <c r="U2282" s="260"/>
      <c r="V2282" s="260"/>
      <c r="W2282" s="260"/>
      <c r="X2282" s="260"/>
      <c r="Y2282" s="260"/>
      <c r="Z2282" s="260"/>
      <c r="AA2282" s="260"/>
      <c r="AB2282" s="260"/>
      <c r="AC2282" s="260"/>
      <c r="AD2282" s="260"/>
      <c r="AE2282" s="260"/>
      <c r="AF2282" s="260"/>
      <c r="AG2282" s="258"/>
    </row>
    <row r="2283" spans="13:33" ht="12" hidden="1" customHeight="1">
      <c r="M2283" s="820"/>
      <c r="N2283" s="239"/>
      <c r="O2283" s="225"/>
      <c r="P2283" s="260"/>
      <c r="Q2283" s="258"/>
      <c r="R2283" s="260"/>
      <c r="S2283" s="260"/>
      <c r="T2283" s="260"/>
      <c r="U2283" s="260"/>
      <c r="V2283" s="260"/>
      <c r="W2283" s="260"/>
      <c r="X2283" s="260"/>
      <c r="Y2283" s="260"/>
      <c r="Z2283" s="260"/>
      <c r="AA2283" s="260"/>
      <c r="AB2283" s="260"/>
      <c r="AC2283" s="260"/>
      <c r="AD2283" s="260"/>
      <c r="AE2283" s="260"/>
      <c r="AF2283" s="260"/>
      <c r="AG2283" s="258"/>
    </row>
    <row r="2284" spans="13:33" ht="12" hidden="1" customHeight="1">
      <c r="M2284" s="820"/>
      <c r="N2284" s="239"/>
      <c r="O2284" s="225"/>
      <c r="P2284" s="260"/>
      <c r="Q2284" s="258"/>
      <c r="R2284" s="260"/>
      <c r="S2284" s="260"/>
      <c r="T2284" s="260"/>
      <c r="U2284" s="260"/>
      <c r="V2284" s="260"/>
      <c r="W2284" s="260"/>
      <c r="X2284" s="260"/>
      <c r="Y2284" s="260"/>
      <c r="Z2284" s="260"/>
      <c r="AA2284" s="260"/>
      <c r="AB2284" s="260"/>
      <c r="AC2284" s="260"/>
      <c r="AD2284" s="260"/>
      <c r="AE2284" s="260"/>
      <c r="AF2284" s="260"/>
      <c r="AG2284" s="258"/>
    </row>
    <row r="2285" spans="13:33" ht="12" hidden="1" customHeight="1">
      <c r="M2285" s="820"/>
      <c r="N2285" s="239"/>
      <c r="O2285" s="225"/>
      <c r="P2285" s="260"/>
      <c r="Q2285" s="258"/>
      <c r="R2285" s="260"/>
      <c r="S2285" s="260"/>
      <c r="T2285" s="260"/>
      <c r="U2285" s="260"/>
      <c r="V2285" s="260"/>
      <c r="W2285" s="260"/>
      <c r="X2285" s="260"/>
      <c r="Y2285" s="260"/>
      <c r="Z2285" s="260"/>
      <c r="AA2285" s="260"/>
      <c r="AB2285" s="260"/>
      <c r="AC2285" s="260"/>
      <c r="AD2285" s="260"/>
      <c r="AE2285" s="260"/>
      <c r="AF2285" s="260"/>
      <c r="AG2285" s="258"/>
    </row>
    <row r="2286" spans="13:33" ht="12" hidden="1" customHeight="1">
      <c r="M2286" s="820"/>
      <c r="N2286" s="239"/>
      <c r="O2286" s="225"/>
      <c r="P2286" s="260"/>
      <c r="Q2286" s="258"/>
      <c r="R2286" s="260"/>
      <c r="S2286" s="260"/>
      <c r="T2286" s="260"/>
      <c r="U2286" s="260"/>
      <c r="V2286" s="260"/>
      <c r="W2286" s="260"/>
      <c r="X2286" s="260"/>
      <c r="Y2286" s="260"/>
      <c r="Z2286" s="260"/>
      <c r="AA2286" s="260"/>
      <c r="AB2286" s="260"/>
      <c r="AC2286" s="260"/>
      <c r="AD2286" s="260"/>
      <c r="AE2286" s="260"/>
      <c r="AF2286" s="260"/>
      <c r="AG2286" s="258"/>
    </row>
    <row r="2287" spans="13:33" ht="12" hidden="1" customHeight="1">
      <c r="M2287" s="820"/>
      <c r="N2287" s="239"/>
      <c r="O2287" s="225"/>
      <c r="P2287" s="260"/>
      <c r="Q2287" s="258"/>
      <c r="R2287" s="260"/>
      <c r="S2287" s="260"/>
      <c r="T2287" s="260"/>
      <c r="U2287" s="260"/>
      <c r="V2287" s="260"/>
      <c r="W2287" s="260"/>
      <c r="X2287" s="260"/>
      <c r="Y2287" s="260"/>
      <c r="Z2287" s="260"/>
      <c r="AA2287" s="260"/>
      <c r="AB2287" s="260"/>
      <c r="AC2287" s="260"/>
      <c r="AD2287" s="260"/>
      <c r="AE2287" s="260"/>
      <c r="AF2287" s="260"/>
      <c r="AG2287" s="258"/>
    </row>
    <row r="2288" spans="13:33" ht="12" hidden="1" customHeight="1">
      <c r="M2288" s="820"/>
      <c r="N2288" s="239"/>
      <c r="O2288" s="225"/>
      <c r="P2288" s="260"/>
      <c r="Q2288" s="258"/>
      <c r="R2288" s="260"/>
      <c r="S2288" s="260"/>
      <c r="T2288" s="260"/>
      <c r="U2288" s="260"/>
      <c r="V2288" s="260"/>
      <c r="W2288" s="260"/>
      <c r="X2288" s="260"/>
      <c r="Y2288" s="260"/>
      <c r="Z2288" s="260"/>
      <c r="AA2288" s="260"/>
      <c r="AB2288" s="260"/>
      <c r="AC2288" s="260"/>
      <c r="AD2288" s="260"/>
      <c r="AE2288" s="260"/>
      <c r="AF2288" s="260"/>
      <c r="AG2288" s="258"/>
    </row>
    <row r="2289" spans="13:33" ht="12" hidden="1" customHeight="1">
      <c r="M2289" s="820"/>
      <c r="N2289" s="239"/>
      <c r="O2289" s="225"/>
      <c r="P2289" s="260"/>
      <c r="Q2289" s="258"/>
      <c r="R2289" s="260"/>
      <c r="S2289" s="260"/>
      <c r="T2289" s="260"/>
      <c r="U2289" s="260"/>
      <c r="V2289" s="260"/>
      <c r="W2289" s="260"/>
      <c r="X2289" s="260"/>
      <c r="Y2289" s="260"/>
      <c r="Z2289" s="260"/>
      <c r="AA2289" s="260"/>
      <c r="AB2289" s="260"/>
      <c r="AC2289" s="260"/>
      <c r="AD2289" s="260"/>
      <c r="AE2289" s="260"/>
      <c r="AF2289" s="260"/>
      <c r="AG2289" s="258"/>
    </row>
    <row r="2290" spans="13:33" ht="12" hidden="1" customHeight="1">
      <c r="M2290" s="820"/>
      <c r="N2290" s="239"/>
      <c r="O2290" s="225"/>
      <c r="P2290" s="260"/>
      <c r="Q2290" s="258"/>
      <c r="R2290" s="260"/>
      <c r="S2290" s="260"/>
      <c r="T2290" s="260"/>
      <c r="U2290" s="260"/>
      <c r="V2290" s="260"/>
      <c r="W2290" s="260"/>
      <c r="X2290" s="260"/>
      <c r="Y2290" s="260"/>
      <c r="Z2290" s="260"/>
      <c r="AA2290" s="260"/>
      <c r="AB2290" s="260"/>
      <c r="AC2290" s="260"/>
      <c r="AD2290" s="260"/>
      <c r="AE2290" s="260"/>
      <c r="AF2290" s="260"/>
      <c r="AG2290" s="258"/>
    </row>
    <row r="2291" spans="13:33" ht="12" hidden="1" customHeight="1">
      <c r="M2291" s="820"/>
      <c r="N2291" s="239"/>
      <c r="O2291" s="225"/>
      <c r="P2291" s="260"/>
      <c r="Q2291" s="258"/>
      <c r="R2291" s="260"/>
      <c r="S2291" s="260"/>
      <c r="T2291" s="260"/>
      <c r="U2291" s="260"/>
      <c r="V2291" s="260"/>
      <c r="W2291" s="260"/>
      <c r="X2291" s="260"/>
      <c r="Y2291" s="260"/>
      <c r="Z2291" s="260"/>
      <c r="AA2291" s="260"/>
      <c r="AB2291" s="260"/>
      <c r="AC2291" s="260"/>
      <c r="AD2291" s="260"/>
      <c r="AE2291" s="260"/>
      <c r="AF2291" s="260"/>
      <c r="AG2291" s="258"/>
    </row>
    <row r="2292" spans="13:33" ht="12" hidden="1" customHeight="1">
      <c r="M2292" s="820"/>
      <c r="N2292" s="239"/>
      <c r="O2292" s="225"/>
      <c r="P2292" s="260"/>
      <c r="Q2292" s="258"/>
      <c r="R2292" s="260"/>
      <c r="S2292" s="260"/>
      <c r="T2292" s="260"/>
      <c r="U2292" s="260"/>
      <c r="V2292" s="260"/>
      <c r="W2292" s="260"/>
      <c r="X2292" s="260"/>
      <c r="Y2292" s="260"/>
      <c r="Z2292" s="260"/>
      <c r="AA2292" s="260"/>
      <c r="AB2292" s="260"/>
      <c r="AC2292" s="260"/>
      <c r="AD2292" s="260"/>
      <c r="AE2292" s="260"/>
      <c r="AF2292" s="260"/>
      <c r="AG2292" s="258"/>
    </row>
    <row r="2293" spans="13:33" ht="12" hidden="1" customHeight="1">
      <c r="M2293" s="820"/>
      <c r="N2293" s="239"/>
      <c r="O2293" s="225"/>
      <c r="P2293" s="260"/>
      <c r="Q2293" s="258"/>
      <c r="R2293" s="260"/>
      <c r="S2293" s="260"/>
      <c r="T2293" s="260"/>
      <c r="U2293" s="260"/>
      <c r="V2293" s="260"/>
      <c r="W2293" s="260"/>
      <c r="X2293" s="260"/>
      <c r="Y2293" s="260"/>
      <c r="Z2293" s="260"/>
      <c r="AA2293" s="260"/>
      <c r="AB2293" s="260"/>
      <c r="AC2293" s="260"/>
      <c r="AD2293" s="260"/>
      <c r="AE2293" s="260"/>
      <c r="AF2293" s="260"/>
      <c r="AG2293" s="258"/>
    </row>
    <row r="2294" spans="13:33" ht="12" hidden="1" customHeight="1">
      <c r="M2294" s="820"/>
      <c r="N2294" s="239"/>
      <c r="O2294" s="225"/>
      <c r="P2294" s="260"/>
      <c r="Q2294" s="258"/>
      <c r="R2294" s="260"/>
      <c r="S2294" s="260"/>
      <c r="T2294" s="260"/>
      <c r="U2294" s="260"/>
      <c r="V2294" s="260"/>
      <c r="W2294" s="260"/>
      <c r="X2294" s="260"/>
      <c r="Y2294" s="260"/>
      <c r="Z2294" s="260"/>
      <c r="AA2294" s="260"/>
      <c r="AB2294" s="260"/>
      <c r="AC2294" s="260"/>
      <c r="AD2294" s="260"/>
      <c r="AE2294" s="260"/>
      <c r="AF2294" s="260"/>
      <c r="AG2294" s="258"/>
    </row>
    <row r="2295" spans="13:33" ht="12" hidden="1" customHeight="1">
      <c r="M2295" s="820"/>
      <c r="N2295" s="239"/>
      <c r="O2295" s="225"/>
      <c r="P2295" s="260"/>
      <c r="Q2295" s="258"/>
      <c r="R2295" s="260"/>
      <c r="S2295" s="260"/>
      <c r="T2295" s="260"/>
      <c r="U2295" s="260"/>
      <c r="V2295" s="260"/>
      <c r="W2295" s="260"/>
      <c r="X2295" s="260"/>
      <c r="Y2295" s="260"/>
      <c r="Z2295" s="260"/>
      <c r="AA2295" s="260"/>
      <c r="AB2295" s="260"/>
      <c r="AC2295" s="260"/>
      <c r="AD2295" s="260"/>
      <c r="AE2295" s="260"/>
      <c r="AF2295" s="260"/>
      <c r="AG2295" s="258"/>
    </row>
    <row r="2296" spans="13:33" ht="12" hidden="1" customHeight="1">
      <c r="M2296" s="820"/>
      <c r="N2296" s="239"/>
      <c r="O2296" s="225"/>
      <c r="P2296" s="260"/>
      <c r="Q2296" s="258"/>
      <c r="R2296" s="260"/>
      <c r="S2296" s="260"/>
      <c r="T2296" s="260"/>
      <c r="U2296" s="260"/>
      <c r="V2296" s="260"/>
      <c r="W2296" s="260"/>
      <c r="X2296" s="260"/>
      <c r="Y2296" s="260"/>
      <c r="Z2296" s="260"/>
      <c r="AA2296" s="260"/>
      <c r="AB2296" s="260"/>
      <c r="AC2296" s="260"/>
      <c r="AD2296" s="260"/>
      <c r="AE2296" s="260"/>
      <c r="AF2296" s="260"/>
      <c r="AG2296" s="258"/>
    </row>
    <row r="2297" spans="13:33" ht="12" hidden="1" customHeight="1">
      <c r="M2297" s="820"/>
      <c r="N2297" s="239"/>
      <c r="O2297" s="225"/>
      <c r="P2297" s="260"/>
      <c r="Q2297" s="258"/>
      <c r="R2297" s="260"/>
      <c r="S2297" s="260"/>
      <c r="T2297" s="260"/>
      <c r="U2297" s="260"/>
      <c r="V2297" s="260"/>
      <c r="W2297" s="260"/>
      <c r="X2297" s="260"/>
      <c r="Y2297" s="260"/>
      <c r="Z2297" s="260"/>
      <c r="AA2297" s="260"/>
      <c r="AB2297" s="260"/>
      <c r="AC2297" s="260"/>
      <c r="AD2297" s="260"/>
      <c r="AE2297" s="260"/>
      <c r="AF2297" s="260"/>
      <c r="AG2297" s="258"/>
    </row>
    <row r="2298" spans="13:33" ht="12" hidden="1" customHeight="1">
      <c r="M2298" s="820"/>
      <c r="N2298" s="239"/>
      <c r="O2298" s="225"/>
      <c r="P2298" s="260"/>
      <c r="Q2298" s="258"/>
      <c r="R2298" s="260"/>
      <c r="S2298" s="260"/>
      <c r="T2298" s="260"/>
      <c r="U2298" s="260"/>
      <c r="V2298" s="260"/>
      <c r="W2298" s="260"/>
      <c r="X2298" s="260"/>
      <c r="Y2298" s="260"/>
      <c r="Z2298" s="260"/>
      <c r="AA2298" s="260"/>
      <c r="AB2298" s="260"/>
      <c r="AC2298" s="260"/>
      <c r="AD2298" s="260"/>
      <c r="AE2298" s="260"/>
      <c r="AF2298" s="260"/>
      <c r="AG2298" s="258"/>
    </row>
    <row r="2299" spans="13:33" ht="12" hidden="1" customHeight="1">
      <c r="M2299" s="820"/>
      <c r="N2299" s="239"/>
      <c r="O2299" s="225"/>
      <c r="P2299" s="260"/>
      <c r="Q2299" s="258"/>
      <c r="R2299" s="260"/>
      <c r="S2299" s="260"/>
      <c r="T2299" s="260"/>
      <c r="U2299" s="260"/>
      <c r="V2299" s="260"/>
      <c r="W2299" s="260"/>
      <c r="X2299" s="260"/>
      <c r="Y2299" s="260"/>
      <c r="Z2299" s="260"/>
      <c r="AA2299" s="260"/>
      <c r="AB2299" s="260"/>
      <c r="AC2299" s="260"/>
      <c r="AD2299" s="260"/>
      <c r="AE2299" s="260"/>
      <c r="AF2299" s="260"/>
      <c r="AG2299" s="258"/>
    </row>
    <row r="2300" spans="13:33" ht="12" hidden="1" customHeight="1">
      <c r="M2300" s="820"/>
      <c r="N2300" s="239"/>
      <c r="O2300" s="225"/>
      <c r="P2300" s="260"/>
      <c r="Q2300" s="258"/>
      <c r="R2300" s="260"/>
      <c r="S2300" s="260"/>
      <c r="T2300" s="260"/>
      <c r="U2300" s="260"/>
      <c r="V2300" s="260"/>
      <c r="W2300" s="260"/>
      <c r="X2300" s="260"/>
      <c r="Y2300" s="260"/>
      <c r="Z2300" s="260"/>
      <c r="AA2300" s="260"/>
      <c r="AB2300" s="260"/>
      <c r="AC2300" s="260"/>
      <c r="AD2300" s="260"/>
      <c r="AE2300" s="260"/>
      <c r="AF2300" s="260"/>
      <c r="AG2300" s="258"/>
    </row>
    <row r="2301" spans="13:33" ht="12" hidden="1" customHeight="1">
      <c r="M2301" s="820"/>
      <c r="N2301" s="239"/>
      <c r="O2301" s="225"/>
      <c r="P2301" s="260"/>
      <c r="Q2301" s="258"/>
      <c r="R2301" s="260"/>
      <c r="S2301" s="260"/>
      <c r="T2301" s="260"/>
      <c r="U2301" s="260"/>
      <c r="V2301" s="260"/>
      <c r="W2301" s="260"/>
      <c r="X2301" s="260"/>
      <c r="Y2301" s="260"/>
      <c r="Z2301" s="260"/>
      <c r="AA2301" s="260"/>
      <c r="AB2301" s="260"/>
      <c r="AC2301" s="260"/>
      <c r="AD2301" s="260"/>
      <c r="AE2301" s="260"/>
      <c r="AF2301" s="260"/>
      <c r="AG2301" s="258"/>
    </row>
    <row r="2302" spans="13:33" ht="12" hidden="1" customHeight="1">
      <c r="M2302" s="820"/>
      <c r="N2302" s="239"/>
      <c r="O2302" s="225"/>
      <c r="P2302" s="260"/>
      <c r="Q2302" s="258"/>
      <c r="R2302" s="260"/>
      <c r="S2302" s="260"/>
      <c r="T2302" s="260"/>
      <c r="U2302" s="260"/>
      <c r="V2302" s="260"/>
      <c r="W2302" s="260"/>
      <c r="X2302" s="260"/>
      <c r="Y2302" s="260"/>
      <c r="Z2302" s="260"/>
      <c r="AA2302" s="260"/>
      <c r="AB2302" s="260"/>
      <c r="AC2302" s="260"/>
      <c r="AD2302" s="260"/>
      <c r="AE2302" s="260"/>
      <c r="AF2302" s="260"/>
      <c r="AG2302" s="258"/>
    </row>
    <row r="2303" spans="13:33" ht="12" hidden="1" customHeight="1">
      <c r="M2303" s="820"/>
      <c r="N2303" s="239"/>
      <c r="O2303" s="225"/>
      <c r="P2303" s="260"/>
      <c r="Q2303" s="258"/>
      <c r="R2303" s="260"/>
      <c r="S2303" s="260"/>
      <c r="T2303" s="260"/>
      <c r="U2303" s="260"/>
      <c r="V2303" s="260"/>
      <c r="W2303" s="260"/>
      <c r="X2303" s="260"/>
      <c r="Y2303" s="260"/>
      <c r="Z2303" s="260"/>
      <c r="AA2303" s="260"/>
      <c r="AB2303" s="260"/>
      <c r="AC2303" s="260"/>
      <c r="AD2303" s="260"/>
      <c r="AE2303" s="260"/>
      <c r="AF2303" s="260"/>
      <c r="AG2303" s="258"/>
    </row>
    <row r="2304" spans="13:33" ht="12" hidden="1" customHeight="1">
      <c r="M2304" s="820"/>
      <c r="N2304" s="239"/>
      <c r="O2304" s="225"/>
      <c r="P2304" s="260"/>
      <c r="Q2304" s="258"/>
      <c r="R2304" s="260"/>
      <c r="S2304" s="260"/>
      <c r="T2304" s="260"/>
      <c r="U2304" s="260"/>
      <c r="V2304" s="260"/>
      <c r="W2304" s="260"/>
      <c r="X2304" s="260"/>
      <c r="Y2304" s="260"/>
      <c r="Z2304" s="260"/>
      <c r="AA2304" s="260"/>
      <c r="AB2304" s="260"/>
      <c r="AC2304" s="260"/>
      <c r="AD2304" s="260"/>
      <c r="AE2304" s="260"/>
      <c r="AF2304" s="260"/>
      <c r="AG2304" s="258"/>
    </row>
    <row r="2305" spans="13:33" ht="12" hidden="1" customHeight="1">
      <c r="M2305" s="820"/>
      <c r="N2305" s="239"/>
      <c r="O2305" s="225"/>
      <c r="P2305" s="260"/>
      <c r="Q2305" s="258"/>
      <c r="R2305" s="260"/>
      <c r="S2305" s="260"/>
      <c r="T2305" s="260"/>
      <c r="U2305" s="260"/>
      <c r="V2305" s="260"/>
      <c r="W2305" s="260"/>
      <c r="X2305" s="260"/>
      <c r="Y2305" s="260"/>
      <c r="Z2305" s="260"/>
      <c r="AA2305" s="260"/>
      <c r="AB2305" s="260"/>
      <c r="AC2305" s="260"/>
      <c r="AD2305" s="260"/>
      <c r="AE2305" s="260"/>
      <c r="AF2305" s="260"/>
      <c r="AG2305" s="258"/>
    </row>
    <row r="2306" spans="13:33" ht="12" hidden="1" customHeight="1">
      <c r="M2306" s="820"/>
      <c r="N2306" s="239"/>
      <c r="O2306" s="225"/>
      <c r="P2306" s="260"/>
      <c r="Q2306" s="258"/>
      <c r="R2306" s="260"/>
      <c r="S2306" s="260"/>
      <c r="T2306" s="260"/>
      <c r="U2306" s="260"/>
      <c r="V2306" s="260"/>
      <c r="W2306" s="260"/>
      <c r="X2306" s="260"/>
      <c r="Y2306" s="260"/>
      <c r="Z2306" s="260"/>
      <c r="AA2306" s="260"/>
      <c r="AB2306" s="260"/>
      <c r="AC2306" s="260"/>
      <c r="AD2306" s="260"/>
      <c r="AE2306" s="260"/>
      <c r="AF2306" s="260"/>
      <c r="AG2306" s="258"/>
    </row>
    <row r="2307" spans="13:33" ht="12" hidden="1" customHeight="1">
      <c r="M2307" s="820"/>
      <c r="N2307" s="239"/>
      <c r="O2307" s="225"/>
      <c r="P2307" s="260"/>
      <c r="Q2307" s="258"/>
      <c r="R2307" s="260"/>
      <c r="S2307" s="260"/>
      <c r="T2307" s="260"/>
      <c r="U2307" s="260"/>
      <c r="V2307" s="260"/>
      <c r="W2307" s="260"/>
      <c r="X2307" s="260"/>
      <c r="Y2307" s="260"/>
      <c r="Z2307" s="260"/>
      <c r="AA2307" s="260"/>
      <c r="AB2307" s="260"/>
      <c r="AC2307" s="260"/>
      <c r="AD2307" s="260"/>
      <c r="AE2307" s="260"/>
      <c r="AF2307" s="260"/>
      <c r="AG2307" s="258"/>
    </row>
    <row r="2308" spans="13:33" ht="12" hidden="1" customHeight="1">
      <c r="M2308" s="820"/>
      <c r="N2308" s="239"/>
      <c r="O2308" s="225"/>
      <c r="P2308" s="260"/>
      <c r="Q2308" s="258"/>
      <c r="R2308" s="260"/>
      <c r="S2308" s="260"/>
      <c r="T2308" s="260"/>
      <c r="U2308" s="260"/>
      <c r="V2308" s="260"/>
      <c r="W2308" s="260"/>
      <c r="X2308" s="260"/>
      <c r="Y2308" s="260"/>
      <c r="Z2308" s="260"/>
      <c r="AA2308" s="260"/>
      <c r="AB2308" s="260"/>
      <c r="AC2308" s="260"/>
      <c r="AD2308" s="260"/>
      <c r="AE2308" s="260"/>
      <c r="AF2308" s="260"/>
      <c r="AG2308" s="258"/>
    </row>
    <row r="2309" spans="13:33" ht="12" hidden="1" customHeight="1">
      <c r="M2309" s="820"/>
      <c r="N2309" s="239"/>
      <c r="O2309" s="225"/>
      <c r="P2309" s="260"/>
      <c r="Q2309" s="258"/>
      <c r="R2309" s="260"/>
      <c r="S2309" s="260"/>
      <c r="T2309" s="260"/>
      <c r="U2309" s="260"/>
      <c r="V2309" s="260"/>
      <c r="W2309" s="260"/>
      <c r="X2309" s="260"/>
      <c r="Y2309" s="260"/>
      <c r="Z2309" s="260"/>
      <c r="AA2309" s="260"/>
      <c r="AB2309" s="260"/>
      <c r="AC2309" s="260"/>
      <c r="AD2309" s="260"/>
      <c r="AE2309" s="260"/>
      <c r="AF2309" s="260"/>
      <c r="AG2309" s="258"/>
    </row>
    <row r="2310" spans="13:33" ht="12" hidden="1" customHeight="1">
      <c r="M2310" s="820"/>
      <c r="N2310" s="239"/>
      <c r="O2310" s="225"/>
      <c r="P2310" s="260"/>
      <c r="Q2310" s="258"/>
      <c r="R2310" s="260"/>
      <c r="S2310" s="260"/>
      <c r="T2310" s="260"/>
      <c r="U2310" s="260"/>
      <c r="V2310" s="260"/>
      <c r="W2310" s="260"/>
      <c r="X2310" s="260"/>
      <c r="Y2310" s="260"/>
      <c r="Z2310" s="260"/>
      <c r="AA2310" s="260"/>
      <c r="AB2310" s="260"/>
      <c r="AC2310" s="260"/>
      <c r="AD2310" s="260"/>
      <c r="AE2310" s="260"/>
      <c r="AF2310" s="260"/>
      <c r="AG2310" s="258"/>
    </row>
    <row r="2311" spans="13:33" ht="12" hidden="1" customHeight="1">
      <c r="M2311" s="820"/>
      <c r="N2311" s="239"/>
      <c r="O2311" s="225"/>
      <c r="P2311" s="260"/>
      <c r="Q2311" s="258"/>
      <c r="R2311" s="260"/>
      <c r="S2311" s="260"/>
      <c r="T2311" s="260"/>
      <c r="U2311" s="260"/>
      <c r="V2311" s="260"/>
      <c r="W2311" s="260"/>
      <c r="X2311" s="260"/>
      <c r="Y2311" s="260"/>
      <c r="Z2311" s="260"/>
      <c r="AA2311" s="260"/>
      <c r="AB2311" s="260"/>
      <c r="AC2311" s="260"/>
      <c r="AD2311" s="260"/>
      <c r="AE2311" s="260"/>
      <c r="AF2311" s="260"/>
      <c r="AG2311" s="258"/>
    </row>
    <row r="2312" spans="13:33" ht="12" hidden="1" customHeight="1">
      <c r="M2312" s="820"/>
      <c r="N2312" s="239"/>
      <c r="O2312" s="225"/>
      <c r="P2312" s="260"/>
      <c r="Q2312" s="258"/>
      <c r="R2312" s="260"/>
      <c r="S2312" s="260"/>
      <c r="T2312" s="260"/>
      <c r="U2312" s="260"/>
      <c r="V2312" s="260"/>
      <c r="W2312" s="260"/>
      <c r="X2312" s="260"/>
      <c r="Y2312" s="260"/>
      <c r="Z2312" s="260"/>
      <c r="AA2312" s="260"/>
      <c r="AB2312" s="260"/>
      <c r="AC2312" s="260"/>
      <c r="AD2312" s="260"/>
      <c r="AE2312" s="260"/>
      <c r="AF2312" s="260"/>
      <c r="AG2312" s="258"/>
    </row>
    <row r="2313" spans="13:33" ht="12" hidden="1" customHeight="1">
      <c r="M2313" s="820"/>
      <c r="N2313" s="239"/>
      <c r="O2313" s="225"/>
      <c r="P2313" s="260"/>
      <c r="Q2313" s="258"/>
      <c r="R2313" s="260"/>
      <c r="S2313" s="260"/>
      <c r="T2313" s="260"/>
      <c r="U2313" s="260"/>
      <c r="V2313" s="260"/>
      <c r="W2313" s="260"/>
      <c r="X2313" s="260"/>
      <c r="Y2313" s="260"/>
      <c r="Z2313" s="260"/>
      <c r="AA2313" s="260"/>
      <c r="AB2313" s="260"/>
      <c r="AC2313" s="260"/>
      <c r="AD2313" s="260"/>
      <c r="AE2313" s="260"/>
      <c r="AF2313" s="260"/>
      <c r="AG2313" s="258"/>
    </row>
    <row r="2314" spans="13:33" ht="12" hidden="1" customHeight="1">
      <c r="M2314" s="820"/>
      <c r="N2314" s="239"/>
      <c r="O2314" s="225"/>
      <c r="P2314" s="260"/>
      <c r="Q2314" s="258"/>
      <c r="R2314" s="260"/>
      <c r="S2314" s="260"/>
      <c r="T2314" s="260"/>
      <c r="U2314" s="260"/>
      <c r="V2314" s="260"/>
      <c r="W2314" s="260"/>
      <c r="X2314" s="260"/>
      <c r="Y2314" s="260"/>
      <c r="Z2314" s="260"/>
      <c r="AA2314" s="260"/>
      <c r="AB2314" s="260"/>
      <c r="AC2314" s="260"/>
      <c r="AD2314" s="260"/>
      <c r="AE2314" s="260"/>
      <c r="AF2314" s="260"/>
      <c r="AG2314" s="258"/>
    </row>
    <row r="2315" spans="13:33" ht="12" hidden="1" customHeight="1">
      <c r="M2315" s="820"/>
      <c r="N2315" s="239"/>
      <c r="O2315" s="225"/>
      <c r="P2315" s="260"/>
      <c r="Q2315" s="258"/>
      <c r="R2315" s="260"/>
      <c r="S2315" s="260"/>
      <c r="T2315" s="260"/>
      <c r="U2315" s="260"/>
      <c r="V2315" s="260"/>
      <c r="W2315" s="260"/>
      <c r="X2315" s="260"/>
      <c r="Y2315" s="260"/>
      <c r="Z2315" s="260"/>
      <c r="AA2315" s="260"/>
      <c r="AB2315" s="260"/>
      <c r="AC2315" s="260"/>
      <c r="AD2315" s="260"/>
      <c r="AE2315" s="260"/>
      <c r="AF2315" s="260"/>
      <c r="AG2315" s="258"/>
    </row>
    <row r="2316" spans="13:33" ht="12" hidden="1" customHeight="1">
      <c r="M2316" s="820"/>
      <c r="N2316" s="239"/>
      <c r="O2316" s="225"/>
      <c r="P2316" s="260"/>
      <c r="Q2316" s="258"/>
      <c r="R2316" s="260"/>
      <c r="S2316" s="260"/>
      <c r="T2316" s="260"/>
      <c r="U2316" s="260"/>
      <c r="V2316" s="260"/>
      <c r="W2316" s="260"/>
      <c r="X2316" s="260"/>
      <c r="Y2316" s="260"/>
      <c r="Z2316" s="260"/>
      <c r="AA2316" s="260"/>
      <c r="AB2316" s="260"/>
      <c r="AC2316" s="260"/>
      <c r="AD2316" s="260"/>
      <c r="AE2316" s="260"/>
      <c r="AF2316" s="260"/>
      <c r="AG2316" s="258"/>
    </row>
    <row r="2317" spans="13:33" ht="12" hidden="1" customHeight="1">
      <c r="M2317" s="820"/>
      <c r="N2317" s="239"/>
      <c r="O2317" s="225"/>
      <c r="P2317" s="260"/>
      <c r="Q2317" s="258"/>
      <c r="R2317" s="260"/>
      <c r="S2317" s="260"/>
      <c r="T2317" s="260"/>
      <c r="U2317" s="260"/>
      <c r="V2317" s="260"/>
      <c r="W2317" s="260"/>
      <c r="X2317" s="260"/>
      <c r="Y2317" s="260"/>
      <c r="Z2317" s="260"/>
      <c r="AA2317" s="260"/>
      <c r="AB2317" s="260"/>
      <c r="AC2317" s="260"/>
      <c r="AD2317" s="260"/>
      <c r="AE2317" s="260"/>
      <c r="AF2317" s="260"/>
      <c r="AG2317" s="258"/>
    </row>
    <row r="2318" spans="13:33" ht="12" hidden="1" customHeight="1">
      <c r="M2318" s="820"/>
      <c r="N2318" s="239"/>
      <c r="O2318" s="225"/>
      <c r="P2318" s="260"/>
      <c r="Q2318" s="258"/>
      <c r="R2318" s="260"/>
      <c r="S2318" s="260"/>
      <c r="T2318" s="260"/>
      <c r="U2318" s="260"/>
      <c r="V2318" s="260"/>
      <c r="W2318" s="260"/>
      <c r="X2318" s="260"/>
      <c r="Y2318" s="260"/>
      <c r="Z2318" s="260"/>
      <c r="AA2318" s="260"/>
      <c r="AB2318" s="260"/>
      <c r="AC2318" s="260"/>
      <c r="AD2318" s="260"/>
      <c r="AE2318" s="260"/>
      <c r="AF2318" s="260"/>
      <c r="AG2318" s="258"/>
    </row>
    <row r="2319" spans="13:33" ht="12" hidden="1" customHeight="1">
      <c r="M2319" s="820"/>
      <c r="N2319" s="239"/>
      <c r="O2319" s="225"/>
      <c r="P2319" s="260"/>
      <c r="Q2319" s="258"/>
      <c r="R2319" s="260"/>
      <c r="S2319" s="260"/>
      <c r="T2319" s="260"/>
      <c r="U2319" s="260"/>
      <c r="V2319" s="260"/>
      <c r="W2319" s="260"/>
      <c r="X2319" s="260"/>
      <c r="Y2319" s="260"/>
      <c r="Z2319" s="260"/>
      <c r="AA2319" s="260"/>
      <c r="AB2319" s="260"/>
      <c r="AC2319" s="260"/>
      <c r="AD2319" s="260"/>
      <c r="AE2319" s="260"/>
      <c r="AF2319" s="260"/>
      <c r="AG2319" s="258"/>
    </row>
    <row r="2320" spans="13:33" ht="12" hidden="1" customHeight="1">
      <c r="M2320" s="820"/>
      <c r="N2320" s="239"/>
      <c r="O2320" s="225"/>
      <c r="P2320" s="260"/>
      <c r="Q2320" s="258"/>
      <c r="R2320" s="260"/>
      <c r="S2320" s="260"/>
      <c r="T2320" s="260"/>
      <c r="U2320" s="260"/>
      <c r="V2320" s="260"/>
      <c r="W2320" s="260"/>
      <c r="X2320" s="260"/>
      <c r="Y2320" s="260"/>
      <c r="Z2320" s="260"/>
      <c r="AA2320" s="260"/>
      <c r="AB2320" s="260"/>
      <c r="AC2320" s="260"/>
      <c r="AD2320" s="260"/>
      <c r="AE2320" s="260"/>
      <c r="AF2320" s="260"/>
      <c r="AG2320" s="258"/>
    </row>
    <row r="2321" spans="13:33" ht="12" hidden="1" customHeight="1">
      <c r="M2321" s="820"/>
      <c r="N2321" s="239"/>
      <c r="O2321" s="225"/>
      <c r="P2321" s="260"/>
      <c r="Q2321" s="258"/>
      <c r="R2321" s="260"/>
      <c r="S2321" s="260"/>
      <c r="T2321" s="260"/>
      <c r="U2321" s="260"/>
      <c r="V2321" s="260"/>
      <c r="W2321" s="260"/>
      <c r="X2321" s="260"/>
      <c r="Y2321" s="260"/>
      <c r="Z2321" s="260"/>
      <c r="AA2321" s="260"/>
      <c r="AB2321" s="260"/>
      <c r="AC2321" s="260"/>
      <c r="AD2321" s="260"/>
      <c r="AE2321" s="260"/>
      <c r="AF2321" s="260"/>
      <c r="AG2321" s="258"/>
    </row>
    <row r="2322" spans="13:33" ht="12" hidden="1" customHeight="1">
      <c r="M2322" s="820"/>
      <c r="N2322" s="239"/>
      <c r="O2322" s="225"/>
      <c r="P2322" s="260"/>
      <c r="Q2322" s="258"/>
      <c r="R2322" s="260"/>
      <c r="S2322" s="260"/>
      <c r="T2322" s="260"/>
      <c r="U2322" s="260"/>
      <c r="V2322" s="260"/>
      <c r="W2322" s="260"/>
      <c r="X2322" s="260"/>
      <c r="Y2322" s="260"/>
      <c r="Z2322" s="260"/>
      <c r="AA2322" s="260"/>
      <c r="AB2322" s="260"/>
      <c r="AC2322" s="260"/>
      <c r="AD2322" s="260"/>
      <c r="AE2322" s="260"/>
      <c r="AF2322" s="260"/>
      <c r="AG2322" s="258"/>
    </row>
    <row r="2323" spans="13:33" ht="12" hidden="1" customHeight="1">
      <c r="M2323" s="820"/>
      <c r="N2323" s="239"/>
      <c r="O2323" s="225"/>
      <c r="P2323" s="260"/>
      <c r="Q2323" s="258"/>
      <c r="R2323" s="260"/>
      <c r="S2323" s="260"/>
      <c r="T2323" s="260"/>
      <c r="U2323" s="260"/>
      <c r="V2323" s="260"/>
      <c r="W2323" s="260"/>
      <c r="X2323" s="260"/>
      <c r="Y2323" s="260"/>
      <c r="Z2323" s="260"/>
      <c r="AA2323" s="260"/>
      <c r="AB2323" s="260"/>
      <c r="AC2323" s="260"/>
      <c r="AD2323" s="260"/>
      <c r="AE2323" s="260"/>
      <c r="AF2323" s="260"/>
      <c r="AG2323" s="258"/>
    </row>
    <row r="2324" spans="13:33" ht="12" hidden="1" customHeight="1">
      <c r="M2324" s="820"/>
      <c r="N2324" s="239"/>
      <c r="O2324" s="225"/>
      <c r="P2324" s="260"/>
      <c r="Q2324" s="258"/>
      <c r="R2324" s="260"/>
      <c r="S2324" s="260"/>
      <c r="T2324" s="260"/>
      <c r="U2324" s="260"/>
      <c r="V2324" s="260"/>
      <c r="W2324" s="260"/>
      <c r="X2324" s="260"/>
      <c r="Y2324" s="260"/>
      <c r="Z2324" s="260"/>
      <c r="AA2324" s="260"/>
      <c r="AB2324" s="260"/>
      <c r="AC2324" s="260"/>
      <c r="AD2324" s="260"/>
      <c r="AE2324" s="260"/>
      <c r="AF2324" s="260"/>
      <c r="AG2324" s="258"/>
    </row>
    <row r="2325" spans="13:33" ht="12" hidden="1" customHeight="1">
      <c r="M2325" s="820"/>
      <c r="N2325" s="239"/>
      <c r="O2325" s="225"/>
      <c r="P2325" s="260"/>
      <c r="Q2325" s="258"/>
      <c r="R2325" s="260"/>
      <c r="S2325" s="260"/>
      <c r="T2325" s="260"/>
      <c r="U2325" s="260"/>
      <c r="V2325" s="260"/>
      <c r="W2325" s="260"/>
      <c r="X2325" s="260"/>
      <c r="Y2325" s="260"/>
      <c r="Z2325" s="260"/>
      <c r="AA2325" s="260"/>
      <c r="AB2325" s="260"/>
      <c r="AC2325" s="260"/>
      <c r="AD2325" s="260"/>
      <c r="AE2325" s="260"/>
      <c r="AF2325" s="260"/>
      <c r="AG2325" s="258"/>
    </row>
    <row r="2326" spans="13:33" ht="12" hidden="1" customHeight="1">
      <c r="M2326" s="820"/>
      <c r="N2326" s="239"/>
      <c r="O2326" s="225"/>
      <c r="P2326" s="260"/>
      <c r="Q2326" s="258"/>
      <c r="R2326" s="260"/>
      <c r="S2326" s="260"/>
      <c r="T2326" s="260"/>
      <c r="U2326" s="260"/>
      <c r="V2326" s="260"/>
      <c r="W2326" s="260"/>
      <c r="X2326" s="260"/>
      <c r="Y2326" s="260"/>
      <c r="Z2326" s="260"/>
      <c r="AA2326" s="260"/>
      <c r="AB2326" s="260"/>
      <c r="AC2326" s="260"/>
      <c r="AD2326" s="260"/>
      <c r="AE2326" s="260"/>
      <c r="AF2326" s="260"/>
      <c r="AG2326" s="258"/>
    </row>
    <row r="2327" spans="13:33" ht="12" hidden="1" customHeight="1">
      <c r="M2327" s="820"/>
      <c r="N2327" s="239"/>
      <c r="O2327" s="225"/>
      <c r="P2327" s="260"/>
      <c r="Q2327" s="258"/>
      <c r="R2327" s="260"/>
      <c r="S2327" s="260"/>
      <c r="T2327" s="260"/>
      <c r="U2327" s="260"/>
      <c r="V2327" s="260"/>
      <c r="W2327" s="260"/>
      <c r="X2327" s="260"/>
      <c r="Y2327" s="260"/>
      <c r="Z2327" s="260"/>
      <c r="AA2327" s="260"/>
      <c r="AB2327" s="260"/>
      <c r="AC2327" s="260"/>
      <c r="AD2327" s="260"/>
      <c r="AE2327" s="260"/>
      <c r="AF2327" s="260"/>
      <c r="AG2327" s="258"/>
    </row>
    <row r="2328" spans="13:33" ht="12" hidden="1" customHeight="1">
      <c r="M2328" s="820"/>
      <c r="N2328" s="239"/>
      <c r="O2328" s="225"/>
      <c r="P2328" s="260"/>
      <c r="Q2328" s="258"/>
      <c r="R2328" s="260"/>
      <c r="S2328" s="260"/>
      <c r="T2328" s="260"/>
      <c r="U2328" s="260"/>
      <c r="V2328" s="260"/>
      <c r="W2328" s="260"/>
      <c r="X2328" s="260"/>
      <c r="Y2328" s="260"/>
      <c r="Z2328" s="260"/>
      <c r="AA2328" s="260"/>
      <c r="AB2328" s="260"/>
      <c r="AC2328" s="260"/>
      <c r="AD2328" s="260"/>
      <c r="AE2328" s="260"/>
      <c r="AF2328" s="260"/>
      <c r="AG2328" s="258"/>
    </row>
    <row r="2329" spans="13:33" ht="12" hidden="1" customHeight="1">
      <c r="M2329" s="820"/>
      <c r="N2329" s="239"/>
      <c r="O2329" s="225"/>
      <c r="P2329" s="260"/>
      <c r="Q2329" s="258"/>
      <c r="R2329" s="260"/>
      <c r="S2329" s="260"/>
      <c r="T2329" s="260"/>
      <c r="U2329" s="260"/>
      <c r="V2329" s="260"/>
      <c r="W2329" s="260"/>
      <c r="X2329" s="260"/>
      <c r="Y2329" s="260"/>
      <c r="Z2329" s="260"/>
      <c r="AA2329" s="260"/>
      <c r="AB2329" s="260"/>
      <c r="AC2329" s="260"/>
      <c r="AD2329" s="260"/>
      <c r="AE2329" s="260"/>
      <c r="AF2329" s="260"/>
      <c r="AG2329" s="258"/>
    </row>
    <row r="2330" spans="13:33" ht="12" hidden="1" customHeight="1">
      <c r="M2330" s="820"/>
      <c r="N2330" s="239"/>
      <c r="O2330" s="225"/>
      <c r="P2330" s="260"/>
      <c r="Q2330" s="258"/>
      <c r="R2330" s="260"/>
      <c r="S2330" s="260"/>
      <c r="T2330" s="260"/>
      <c r="U2330" s="260"/>
      <c r="V2330" s="260"/>
      <c r="W2330" s="260"/>
      <c r="X2330" s="260"/>
      <c r="Y2330" s="260"/>
      <c r="Z2330" s="260"/>
      <c r="AA2330" s="260"/>
      <c r="AB2330" s="260"/>
      <c r="AC2330" s="260"/>
      <c r="AD2330" s="260"/>
      <c r="AE2330" s="260"/>
      <c r="AF2330" s="260"/>
      <c r="AG2330" s="258"/>
    </row>
    <row r="2331" spans="13:33" ht="12" hidden="1" customHeight="1">
      <c r="M2331" s="820"/>
      <c r="N2331" s="239"/>
      <c r="O2331" s="225"/>
      <c r="P2331" s="260"/>
      <c r="Q2331" s="258"/>
      <c r="R2331" s="260"/>
      <c r="S2331" s="260"/>
      <c r="T2331" s="260"/>
      <c r="U2331" s="260"/>
      <c r="V2331" s="260"/>
      <c r="W2331" s="260"/>
      <c r="X2331" s="260"/>
      <c r="Y2331" s="260"/>
      <c r="Z2331" s="260"/>
      <c r="AA2331" s="260"/>
      <c r="AB2331" s="260"/>
      <c r="AC2331" s="260"/>
      <c r="AD2331" s="260"/>
      <c r="AE2331" s="260"/>
      <c r="AF2331" s="260"/>
      <c r="AG2331" s="258"/>
    </row>
    <row r="2332" spans="13:33" ht="12" hidden="1" customHeight="1">
      <c r="M2332" s="820"/>
      <c r="N2332" s="239"/>
      <c r="O2332" s="225"/>
      <c r="P2332" s="260"/>
      <c r="Q2332" s="258"/>
      <c r="R2332" s="260"/>
      <c r="S2332" s="260"/>
      <c r="T2332" s="260"/>
      <c r="U2332" s="260"/>
      <c r="V2332" s="260"/>
      <c r="W2332" s="260"/>
      <c r="X2332" s="260"/>
      <c r="Y2332" s="260"/>
      <c r="Z2332" s="260"/>
      <c r="AA2332" s="260"/>
      <c r="AB2332" s="260"/>
      <c r="AC2332" s="260"/>
      <c r="AD2332" s="260"/>
      <c r="AE2332" s="260"/>
      <c r="AF2332" s="260"/>
      <c r="AG2332" s="258"/>
    </row>
    <row r="2333" spans="13:33" ht="12" hidden="1" customHeight="1">
      <c r="M2333" s="820"/>
      <c r="N2333" s="239"/>
      <c r="O2333" s="225"/>
      <c r="P2333" s="260"/>
      <c r="Q2333" s="258"/>
      <c r="R2333" s="260"/>
      <c r="S2333" s="260"/>
      <c r="T2333" s="260"/>
      <c r="U2333" s="260"/>
      <c r="V2333" s="260"/>
      <c r="W2333" s="260"/>
      <c r="X2333" s="260"/>
      <c r="Y2333" s="260"/>
      <c r="Z2333" s="260"/>
      <c r="AA2333" s="260"/>
      <c r="AB2333" s="260"/>
      <c r="AC2333" s="260"/>
      <c r="AD2333" s="260"/>
      <c r="AE2333" s="260"/>
      <c r="AF2333" s="260"/>
      <c r="AG2333" s="258"/>
    </row>
    <row r="2334" spans="13:33" ht="12" hidden="1" customHeight="1">
      <c r="M2334" s="820"/>
      <c r="N2334" s="239"/>
      <c r="O2334" s="225"/>
      <c r="P2334" s="260"/>
      <c r="Q2334" s="258"/>
      <c r="R2334" s="260"/>
      <c r="S2334" s="260"/>
      <c r="T2334" s="260"/>
      <c r="U2334" s="260"/>
      <c r="V2334" s="260"/>
      <c r="W2334" s="260"/>
      <c r="X2334" s="260"/>
      <c r="Y2334" s="260"/>
      <c r="Z2334" s="260"/>
      <c r="AA2334" s="260"/>
      <c r="AB2334" s="260"/>
      <c r="AC2334" s="260"/>
      <c r="AD2334" s="260"/>
      <c r="AE2334" s="260"/>
      <c r="AF2334" s="260"/>
      <c r="AG2334" s="258"/>
    </row>
    <row r="2335" spans="13:33" ht="12" hidden="1" customHeight="1">
      <c r="M2335" s="820"/>
      <c r="N2335" s="239"/>
      <c r="O2335" s="225"/>
      <c r="P2335" s="260"/>
      <c r="Q2335" s="258"/>
      <c r="R2335" s="260"/>
      <c r="S2335" s="260"/>
      <c r="T2335" s="260"/>
      <c r="U2335" s="260"/>
      <c r="V2335" s="260"/>
      <c r="W2335" s="260"/>
      <c r="X2335" s="260"/>
      <c r="Y2335" s="260"/>
      <c r="Z2335" s="260"/>
      <c r="AA2335" s="260"/>
      <c r="AB2335" s="260"/>
      <c r="AC2335" s="260"/>
      <c r="AD2335" s="260"/>
      <c r="AE2335" s="260"/>
      <c r="AF2335" s="260"/>
      <c r="AG2335" s="258"/>
    </row>
    <row r="2336" spans="13:33" ht="12" hidden="1" customHeight="1">
      <c r="M2336" s="820"/>
      <c r="N2336" s="239"/>
      <c r="O2336" s="225"/>
      <c r="P2336" s="260"/>
      <c r="Q2336" s="258"/>
      <c r="R2336" s="260"/>
      <c r="S2336" s="260"/>
      <c r="T2336" s="260"/>
      <c r="U2336" s="260"/>
      <c r="V2336" s="260"/>
      <c r="W2336" s="260"/>
      <c r="X2336" s="260"/>
      <c r="Y2336" s="260"/>
      <c r="Z2336" s="260"/>
      <c r="AA2336" s="260"/>
      <c r="AB2336" s="260"/>
      <c r="AC2336" s="260"/>
      <c r="AD2336" s="260"/>
      <c r="AE2336" s="260"/>
      <c r="AF2336" s="260"/>
      <c r="AG2336" s="258"/>
    </row>
    <row r="2337" spans="13:33" ht="12" hidden="1" customHeight="1">
      <c r="M2337" s="820"/>
      <c r="N2337" s="239"/>
      <c r="O2337" s="225"/>
      <c r="P2337" s="260"/>
      <c r="Q2337" s="258"/>
      <c r="R2337" s="260"/>
      <c r="S2337" s="260"/>
      <c r="T2337" s="260"/>
      <c r="U2337" s="260"/>
      <c r="V2337" s="260"/>
      <c r="W2337" s="260"/>
      <c r="X2337" s="260"/>
      <c r="Y2337" s="260"/>
      <c r="Z2337" s="260"/>
      <c r="AA2337" s="260"/>
      <c r="AB2337" s="260"/>
      <c r="AC2337" s="260"/>
      <c r="AD2337" s="260"/>
      <c r="AE2337" s="260"/>
      <c r="AF2337" s="260"/>
      <c r="AG2337" s="258"/>
    </row>
    <row r="2338" spans="13:33" ht="12" hidden="1" customHeight="1">
      <c r="M2338" s="820"/>
      <c r="N2338" s="239"/>
      <c r="O2338" s="225"/>
      <c r="P2338" s="260"/>
      <c r="Q2338" s="258"/>
      <c r="R2338" s="260"/>
      <c r="S2338" s="260"/>
      <c r="T2338" s="260"/>
      <c r="U2338" s="260"/>
      <c r="V2338" s="260"/>
      <c r="W2338" s="260"/>
      <c r="X2338" s="260"/>
      <c r="Y2338" s="260"/>
      <c r="Z2338" s="260"/>
      <c r="AA2338" s="260"/>
      <c r="AB2338" s="260"/>
      <c r="AC2338" s="260"/>
      <c r="AD2338" s="260"/>
      <c r="AE2338" s="260"/>
      <c r="AF2338" s="260"/>
      <c r="AG2338" s="258"/>
    </row>
    <row r="2339" spans="13:33" ht="12" hidden="1" customHeight="1">
      <c r="M2339" s="820"/>
      <c r="N2339" s="239"/>
      <c r="O2339" s="225"/>
      <c r="P2339" s="260"/>
      <c r="Q2339" s="258"/>
      <c r="R2339" s="260"/>
      <c r="S2339" s="260"/>
      <c r="T2339" s="260"/>
      <c r="U2339" s="260"/>
      <c r="V2339" s="260"/>
      <c r="W2339" s="260"/>
      <c r="X2339" s="260"/>
      <c r="Y2339" s="260"/>
      <c r="Z2339" s="260"/>
      <c r="AA2339" s="260"/>
      <c r="AB2339" s="260"/>
      <c r="AC2339" s="260"/>
      <c r="AD2339" s="260"/>
      <c r="AE2339" s="260"/>
      <c r="AF2339" s="260"/>
      <c r="AG2339" s="258"/>
    </row>
    <row r="2340" spans="13:33" ht="12" hidden="1" customHeight="1">
      <c r="M2340" s="820"/>
      <c r="N2340" s="239"/>
      <c r="O2340" s="225"/>
      <c r="P2340" s="260"/>
      <c r="Q2340" s="258"/>
      <c r="R2340" s="260"/>
      <c r="S2340" s="260"/>
      <c r="T2340" s="260"/>
      <c r="U2340" s="260"/>
      <c r="V2340" s="260"/>
      <c r="W2340" s="260"/>
      <c r="X2340" s="260"/>
      <c r="Y2340" s="260"/>
      <c r="Z2340" s="260"/>
      <c r="AA2340" s="260"/>
      <c r="AB2340" s="260"/>
      <c r="AC2340" s="260"/>
      <c r="AD2340" s="260"/>
      <c r="AE2340" s="260"/>
      <c r="AF2340" s="260"/>
      <c r="AG2340" s="258"/>
    </row>
    <row r="2341" spans="13:33" ht="12" hidden="1" customHeight="1">
      <c r="M2341" s="820"/>
      <c r="N2341" s="239"/>
      <c r="O2341" s="225"/>
      <c r="P2341" s="260"/>
      <c r="Q2341" s="258"/>
      <c r="R2341" s="260"/>
      <c r="S2341" s="260"/>
      <c r="T2341" s="260"/>
      <c r="U2341" s="260"/>
      <c r="V2341" s="260"/>
      <c r="W2341" s="260"/>
      <c r="X2341" s="260"/>
      <c r="Y2341" s="260"/>
      <c r="Z2341" s="260"/>
      <c r="AA2341" s="260"/>
      <c r="AB2341" s="260"/>
      <c r="AC2341" s="260"/>
      <c r="AD2341" s="260"/>
      <c r="AE2341" s="260"/>
      <c r="AF2341" s="260"/>
      <c r="AG2341" s="258"/>
    </row>
    <row r="2342" spans="13:33" ht="12" hidden="1" customHeight="1">
      <c r="M2342" s="820"/>
      <c r="N2342" s="239"/>
      <c r="O2342" s="225"/>
      <c r="P2342" s="260"/>
      <c r="Q2342" s="258"/>
      <c r="R2342" s="260"/>
      <c r="S2342" s="260"/>
      <c r="T2342" s="260"/>
      <c r="U2342" s="260"/>
      <c r="V2342" s="260"/>
      <c r="W2342" s="260"/>
      <c r="X2342" s="260"/>
      <c r="Y2342" s="260"/>
      <c r="Z2342" s="260"/>
      <c r="AA2342" s="260"/>
      <c r="AB2342" s="260"/>
      <c r="AC2342" s="260"/>
      <c r="AD2342" s="260"/>
      <c r="AE2342" s="260"/>
      <c r="AF2342" s="260"/>
      <c r="AG2342" s="258"/>
    </row>
    <row r="2343" spans="13:33" ht="12" hidden="1" customHeight="1">
      <c r="M2343" s="820"/>
      <c r="N2343" s="239"/>
      <c r="O2343" s="225"/>
      <c r="P2343" s="260"/>
      <c r="Q2343" s="258"/>
      <c r="R2343" s="260"/>
      <c r="S2343" s="260"/>
      <c r="T2343" s="260"/>
      <c r="U2343" s="260"/>
      <c r="V2343" s="260"/>
      <c r="W2343" s="260"/>
      <c r="X2343" s="260"/>
      <c r="Y2343" s="260"/>
      <c r="Z2343" s="260"/>
      <c r="AA2343" s="260"/>
      <c r="AB2343" s="260"/>
      <c r="AC2343" s="260"/>
      <c r="AD2343" s="260"/>
      <c r="AE2343" s="260"/>
      <c r="AF2343" s="260"/>
      <c r="AG2343" s="258"/>
    </row>
    <row r="2344" spans="13:33" ht="12" hidden="1" customHeight="1">
      <c r="M2344" s="820"/>
      <c r="N2344" s="239"/>
      <c r="O2344" s="225"/>
      <c r="P2344" s="260"/>
      <c r="Q2344" s="258"/>
      <c r="R2344" s="260"/>
      <c r="S2344" s="260"/>
      <c r="T2344" s="260"/>
      <c r="U2344" s="260"/>
      <c r="V2344" s="260"/>
      <c r="W2344" s="260"/>
      <c r="X2344" s="260"/>
      <c r="Y2344" s="260"/>
      <c r="Z2344" s="260"/>
      <c r="AA2344" s="260"/>
      <c r="AB2344" s="260"/>
      <c r="AC2344" s="260"/>
      <c r="AD2344" s="260"/>
      <c r="AE2344" s="260"/>
      <c r="AF2344" s="260"/>
      <c r="AG2344" s="258"/>
    </row>
    <row r="2345" spans="13:33" ht="12" hidden="1" customHeight="1">
      <c r="M2345" s="820"/>
      <c r="N2345" s="239"/>
      <c r="O2345" s="225"/>
      <c r="P2345" s="260"/>
      <c r="Q2345" s="258"/>
      <c r="R2345" s="260"/>
      <c r="S2345" s="260"/>
      <c r="T2345" s="260"/>
      <c r="U2345" s="260"/>
      <c r="V2345" s="260"/>
      <c r="W2345" s="260"/>
      <c r="X2345" s="260"/>
      <c r="Y2345" s="260"/>
      <c r="Z2345" s="260"/>
      <c r="AA2345" s="260"/>
      <c r="AB2345" s="260"/>
      <c r="AC2345" s="260"/>
      <c r="AD2345" s="260"/>
      <c r="AE2345" s="260"/>
      <c r="AF2345" s="260"/>
      <c r="AG2345" s="258"/>
    </row>
    <row r="2346" spans="13:33" ht="12" hidden="1" customHeight="1">
      <c r="M2346" s="820"/>
      <c r="N2346" s="239"/>
      <c r="O2346" s="225"/>
      <c r="P2346" s="260"/>
      <c r="Q2346" s="258"/>
      <c r="R2346" s="260"/>
      <c r="S2346" s="260"/>
      <c r="T2346" s="260"/>
      <c r="U2346" s="260"/>
      <c r="V2346" s="260"/>
      <c r="W2346" s="260"/>
      <c r="X2346" s="260"/>
      <c r="Y2346" s="260"/>
      <c r="Z2346" s="260"/>
      <c r="AA2346" s="260"/>
      <c r="AB2346" s="260"/>
      <c r="AC2346" s="260"/>
      <c r="AD2346" s="260"/>
      <c r="AE2346" s="260"/>
      <c r="AF2346" s="260"/>
      <c r="AG2346" s="258"/>
    </row>
    <row r="2347" spans="13:33" ht="12" hidden="1" customHeight="1">
      <c r="M2347" s="820"/>
      <c r="N2347" s="239"/>
      <c r="O2347" s="225"/>
      <c r="P2347" s="260"/>
      <c r="Q2347" s="258"/>
      <c r="R2347" s="260"/>
      <c r="S2347" s="260"/>
      <c r="T2347" s="260"/>
      <c r="U2347" s="260"/>
      <c r="V2347" s="260"/>
      <c r="W2347" s="260"/>
      <c r="X2347" s="260"/>
      <c r="Y2347" s="260"/>
      <c r="Z2347" s="260"/>
      <c r="AA2347" s="260"/>
      <c r="AB2347" s="260"/>
      <c r="AC2347" s="260"/>
      <c r="AD2347" s="260"/>
      <c r="AE2347" s="260"/>
      <c r="AF2347" s="260"/>
      <c r="AG2347" s="258"/>
    </row>
    <row r="2348" spans="13:33" ht="12" hidden="1" customHeight="1">
      <c r="M2348" s="820"/>
      <c r="N2348" s="239"/>
      <c r="O2348" s="225"/>
      <c r="P2348" s="260"/>
      <c r="Q2348" s="258"/>
      <c r="R2348" s="260"/>
      <c r="S2348" s="260"/>
      <c r="T2348" s="260"/>
      <c r="U2348" s="260"/>
      <c r="V2348" s="260"/>
      <c r="W2348" s="260"/>
      <c r="X2348" s="260"/>
      <c r="Y2348" s="260"/>
      <c r="Z2348" s="260"/>
      <c r="AA2348" s="260"/>
      <c r="AB2348" s="260"/>
      <c r="AC2348" s="260"/>
      <c r="AD2348" s="260"/>
      <c r="AE2348" s="260"/>
      <c r="AF2348" s="260"/>
      <c r="AG2348" s="258"/>
    </row>
    <row r="2349" spans="13:33" ht="12" hidden="1" customHeight="1">
      <c r="M2349" s="820"/>
      <c r="N2349" s="239"/>
      <c r="O2349" s="225"/>
      <c r="P2349" s="260"/>
      <c r="Q2349" s="258"/>
      <c r="R2349" s="260"/>
      <c r="S2349" s="260"/>
      <c r="T2349" s="260"/>
      <c r="U2349" s="260"/>
      <c r="V2349" s="260"/>
      <c r="W2349" s="260"/>
      <c r="X2349" s="260"/>
      <c r="Y2349" s="260"/>
      <c r="Z2349" s="260"/>
      <c r="AA2349" s="260"/>
      <c r="AB2349" s="260"/>
      <c r="AC2349" s="260"/>
      <c r="AD2349" s="260"/>
      <c r="AE2349" s="260"/>
      <c r="AF2349" s="260"/>
      <c r="AG2349" s="258"/>
    </row>
    <row r="2350" spans="13:33" ht="12" hidden="1" customHeight="1">
      <c r="M2350" s="820"/>
      <c r="N2350" s="239"/>
      <c r="O2350" s="225"/>
      <c r="P2350" s="260"/>
      <c r="Q2350" s="258"/>
      <c r="R2350" s="260"/>
      <c r="S2350" s="260"/>
      <c r="T2350" s="260"/>
      <c r="U2350" s="260"/>
      <c r="V2350" s="260"/>
      <c r="W2350" s="260"/>
      <c r="X2350" s="260"/>
      <c r="Y2350" s="260"/>
      <c r="Z2350" s="260"/>
      <c r="AA2350" s="260"/>
      <c r="AB2350" s="260"/>
      <c r="AC2350" s="260"/>
      <c r="AD2350" s="260"/>
      <c r="AE2350" s="260"/>
      <c r="AF2350" s="260"/>
      <c r="AG2350" s="258"/>
    </row>
    <row r="2351" spans="13:33" ht="12" hidden="1" customHeight="1">
      <c r="M2351" s="820"/>
      <c r="N2351" s="239"/>
      <c r="O2351" s="225"/>
      <c r="P2351" s="260"/>
      <c r="Q2351" s="258"/>
      <c r="R2351" s="260"/>
      <c r="S2351" s="260"/>
      <c r="T2351" s="260"/>
      <c r="U2351" s="260"/>
      <c r="V2351" s="260"/>
      <c r="W2351" s="260"/>
      <c r="X2351" s="260"/>
      <c r="Y2351" s="260"/>
      <c r="Z2351" s="260"/>
      <c r="AA2351" s="260"/>
      <c r="AB2351" s="260"/>
      <c r="AC2351" s="260"/>
      <c r="AD2351" s="260"/>
      <c r="AE2351" s="260"/>
      <c r="AF2351" s="260"/>
      <c r="AG2351" s="258"/>
    </row>
    <row r="2352" spans="13:33" ht="12" hidden="1" customHeight="1">
      <c r="M2352" s="820"/>
      <c r="N2352" s="239"/>
      <c r="O2352" s="225"/>
      <c r="P2352" s="260"/>
      <c r="Q2352" s="258"/>
      <c r="R2352" s="260"/>
      <c r="S2352" s="260"/>
      <c r="T2352" s="260"/>
      <c r="U2352" s="260"/>
      <c r="V2352" s="260"/>
      <c r="W2352" s="260"/>
      <c r="X2352" s="260"/>
      <c r="Y2352" s="260"/>
      <c r="Z2352" s="260"/>
      <c r="AA2352" s="260"/>
      <c r="AB2352" s="260"/>
      <c r="AC2352" s="260"/>
      <c r="AD2352" s="260"/>
      <c r="AE2352" s="260"/>
      <c r="AF2352" s="260"/>
      <c r="AG2352" s="258"/>
    </row>
    <row r="2353" spans="13:33" ht="12" hidden="1" customHeight="1">
      <c r="M2353" s="820"/>
      <c r="N2353" s="239"/>
      <c r="O2353" s="225"/>
      <c r="P2353" s="260"/>
      <c r="Q2353" s="258"/>
      <c r="R2353" s="260"/>
      <c r="S2353" s="260"/>
      <c r="T2353" s="260"/>
      <c r="U2353" s="260"/>
      <c r="V2353" s="260"/>
      <c r="W2353" s="260"/>
      <c r="X2353" s="260"/>
      <c r="Y2353" s="260"/>
      <c r="Z2353" s="260"/>
      <c r="AA2353" s="260"/>
      <c r="AB2353" s="260"/>
      <c r="AC2353" s="260"/>
      <c r="AD2353" s="260"/>
      <c r="AE2353" s="260"/>
      <c r="AF2353" s="260"/>
      <c r="AG2353" s="258"/>
    </row>
    <row r="2354" spans="13:33" ht="12" hidden="1" customHeight="1">
      <c r="M2354" s="820"/>
      <c r="N2354" s="239"/>
      <c r="O2354" s="225"/>
      <c r="P2354" s="260"/>
      <c r="Q2354" s="258"/>
      <c r="R2354" s="260"/>
      <c r="S2354" s="260"/>
      <c r="T2354" s="260"/>
      <c r="U2354" s="260"/>
      <c r="V2354" s="260"/>
      <c r="W2354" s="260"/>
      <c r="X2354" s="260"/>
      <c r="Y2354" s="260"/>
      <c r="Z2354" s="260"/>
      <c r="AA2354" s="260"/>
      <c r="AB2354" s="260"/>
      <c r="AC2354" s="260"/>
      <c r="AD2354" s="260"/>
      <c r="AE2354" s="260"/>
      <c r="AF2354" s="260"/>
      <c r="AG2354" s="258"/>
    </row>
    <row r="2355" spans="13:33" ht="12" hidden="1" customHeight="1">
      <c r="M2355" s="820"/>
      <c r="N2355" s="239"/>
      <c r="O2355" s="225"/>
      <c r="P2355" s="260"/>
      <c r="Q2355" s="258"/>
      <c r="R2355" s="260"/>
      <c r="S2355" s="260"/>
      <c r="T2355" s="260"/>
      <c r="U2355" s="260"/>
      <c r="V2355" s="260"/>
      <c r="W2355" s="260"/>
      <c r="X2355" s="260"/>
      <c r="Y2355" s="260"/>
      <c r="Z2355" s="260"/>
      <c r="AA2355" s="260"/>
      <c r="AB2355" s="260"/>
      <c r="AC2355" s="260"/>
      <c r="AD2355" s="260"/>
      <c r="AE2355" s="260"/>
      <c r="AF2355" s="260"/>
      <c r="AG2355" s="258"/>
    </row>
    <row r="2356" spans="13:33" ht="12" hidden="1" customHeight="1">
      <c r="M2356" s="820"/>
      <c r="N2356" s="239"/>
      <c r="O2356" s="225"/>
      <c r="P2356" s="260"/>
      <c r="Q2356" s="258"/>
      <c r="R2356" s="260"/>
      <c r="S2356" s="260"/>
      <c r="T2356" s="260"/>
      <c r="U2356" s="260"/>
      <c r="V2356" s="260"/>
      <c r="W2356" s="260"/>
      <c r="X2356" s="260"/>
      <c r="Y2356" s="260"/>
      <c r="Z2356" s="260"/>
      <c r="AA2356" s="260"/>
      <c r="AB2356" s="260"/>
      <c r="AC2356" s="260"/>
      <c r="AD2356" s="260"/>
      <c r="AE2356" s="260"/>
      <c r="AF2356" s="260"/>
      <c r="AG2356" s="258"/>
    </row>
    <row r="2357" spans="13:33" ht="12" hidden="1" customHeight="1">
      <c r="M2357" s="820"/>
      <c r="N2357" s="239"/>
      <c r="O2357" s="225"/>
      <c r="P2357" s="260"/>
      <c r="Q2357" s="258"/>
      <c r="R2357" s="260"/>
      <c r="S2357" s="260"/>
      <c r="T2357" s="260"/>
      <c r="U2357" s="260"/>
      <c r="V2357" s="260"/>
      <c r="W2357" s="260"/>
      <c r="X2357" s="260"/>
      <c r="Y2357" s="260"/>
      <c r="Z2357" s="260"/>
      <c r="AA2357" s="260"/>
      <c r="AB2357" s="260"/>
      <c r="AC2357" s="260"/>
      <c r="AD2357" s="260"/>
      <c r="AE2357" s="260"/>
      <c r="AF2357" s="260"/>
      <c r="AG2357" s="258"/>
    </row>
    <row r="2358" spans="13:33" ht="12" hidden="1" customHeight="1">
      <c r="M2358" s="820"/>
      <c r="N2358" s="239"/>
      <c r="O2358" s="225"/>
      <c r="P2358" s="260"/>
      <c r="Q2358" s="258"/>
      <c r="R2358" s="260"/>
      <c r="S2358" s="260"/>
      <c r="T2358" s="260"/>
      <c r="U2358" s="260"/>
      <c r="V2358" s="260"/>
      <c r="W2358" s="260"/>
      <c r="X2358" s="260"/>
      <c r="Y2358" s="260"/>
      <c r="Z2358" s="260"/>
      <c r="AA2358" s="260"/>
      <c r="AB2358" s="260"/>
      <c r="AC2358" s="260"/>
      <c r="AD2358" s="260"/>
      <c r="AE2358" s="260"/>
      <c r="AF2358" s="260"/>
      <c r="AG2358" s="258"/>
    </row>
    <row r="2359" spans="13:33" ht="12" hidden="1" customHeight="1">
      <c r="M2359" s="820"/>
      <c r="N2359" s="239"/>
      <c r="O2359" s="225"/>
      <c r="P2359" s="260"/>
      <c r="Q2359" s="258"/>
      <c r="R2359" s="260"/>
      <c r="S2359" s="260"/>
      <c r="T2359" s="260"/>
      <c r="U2359" s="260"/>
      <c r="V2359" s="260"/>
      <c r="W2359" s="260"/>
      <c r="X2359" s="260"/>
      <c r="Y2359" s="260"/>
      <c r="Z2359" s="260"/>
      <c r="AA2359" s="260"/>
      <c r="AB2359" s="260"/>
      <c r="AC2359" s="260"/>
      <c r="AD2359" s="260"/>
      <c r="AE2359" s="260"/>
      <c r="AF2359" s="260"/>
      <c r="AG2359" s="258"/>
    </row>
    <row r="2360" spans="13:33" ht="12" hidden="1" customHeight="1">
      <c r="M2360" s="820"/>
      <c r="N2360" s="239"/>
      <c r="O2360" s="225"/>
      <c r="P2360" s="260"/>
      <c r="Q2360" s="258"/>
      <c r="R2360" s="260"/>
      <c r="S2360" s="260"/>
      <c r="T2360" s="260"/>
      <c r="U2360" s="260"/>
      <c r="V2360" s="260"/>
      <c r="W2360" s="260"/>
      <c r="X2360" s="260"/>
      <c r="Y2360" s="260"/>
      <c r="Z2360" s="260"/>
      <c r="AA2360" s="260"/>
      <c r="AB2360" s="260"/>
      <c r="AC2360" s="260"/>
      <c r="AD2360" s="260"/>
      <c r="AE2360" s="260"/>
      <c r="AF2360" s="260"/>
      <c r="AG2360" s="258"/>
    </row>
    <row r="2361" spans="13:33" ht="12" hidden="1" customHeight="1">
      <c r="M2361" s="820"/>
      <c r="N2361" s="239"/>
      <c r="O2361" s="225"/>
      <c r="P2361" s="260"/>
      <c r="Q2361" s="258"/>
      <c r="R2361" s="260"/>
      <c r="S2361" s="260"/>
      <c r="T2361" s="260"/>
      <c r="U2361" s="260"/>
      <c r="V2361" s="260"/>
      <c r="W2361" s="260"/>
      <c r="X2361" s="260"/>
      <c r="Y2361" s="260"/>
      <c r="Z2361" s="260"/>
      <c r="AA2361" s="260"/>
      <c r="AB2361" s="260"/>
      <c r="AC2361" s="260"/>
      <c r="AD2361" s="260"/>
      <c r="AE2361" s="260"/>
      <c r="AF2361" s="260"/>
      <c r="AG2361" s="258"/>
    </row>
    <row r="2362" spans="13:33" ht="12" hidden="1" customHeight="1">
      <c r="M2362" s="820"/>
      <c r="N2362" s="239"/>
      <c r="O2362" s="225"/>
      <c r="P2362" s="260"/>
      <c r="Q2362" s="258"/>
      <c r="R2362" s="260"/>
      <c r="S2362" s="260"/>
      <c r="T2362" s="260"/>
      <c r="U2362" s="260"/>
      <c r="V2362" s="260"/>
      <c r="W2362" s="260"/>
      <c r="X2362" s="260"/>
      <c r="Y2362" s="260"/>
      <c r="Z2362" s="260"/>
      <c r="AA2362" s="260"/>
      <c r="AB2362" s="260"/>
      <c r="AC2362" s="260"/>
      <c r="AD2362" s="260"/>
      <c r="AE2362" s="260"/>
      <c r="AF2362" s="260"/>
      <c r="AG2362" s="258"/>
    </row>
    <row r="2363" spans="13:33" ht="12" hidden="1" customHeight="1">
      <c r="M2363" s="820"/>
      <c r="N2363" s="239"/>
      <c r="O2363" s="225"/>
      <c r="P2363" s="260"/>
      <c r="Q2363" s="258"/>
      <c r="R2363" s="260"/>
      <c r="S2363" s="260"/>
      <c r="T2363" s="260"/>
      <c r="U2363" s="260"/>
      <c r="V2363" s="260"/>
      <c r="W2363" s="260"/>
      <c r="X2363" s="260"/>
      <c r="Y2363" s="260"/>
      <c r="Z2363" s="260"/>
      <c r="AA2363" s="260"/>
      <c r="AB2363" s="260"/>
      <c r="AC2363" s="260"/>
      <c r="AD2363" s="260"/>
      <c r="AE2363" s="260"/>
      <c r="AF2363" s="260"/>
      <c r="AG2363" s="258"/>
    </row>
    <row r="2364" spans="13:33" ht="12" hidden="1" customHeight="1">
      <c r="M2364" s="820"/>
      <c r="N2364" s="239"/>
      <c r="O2364" s="225"/>
      <c r="P2364" s="260"/>
      <c r="Q2364" s="258"/>
      <c r="R2364" s="260"/>
      <c r="S2364" s="260"/>
      <c r="T2364" s="260"/>
      <c r="U2364" s="260"/>
      <c r="V2364" s="260"/>
      <c r="W2364" s="260"/>
      <c r="X2364" s="260"/>
      <c r="Y2364" s="260"/>
      <c r="Z2364" s="260"/>
      <c r="AA2364" s="260"/>
      <c r="AB2364" s="260"/>
      <c r="AC2364" s="260"/>
      <c r="AD2364" s="260"/>
      <c r="AE2364" s="260"/>
      <c r="AF2364" s="260"/>
      <c r="AG2364" s="258"/>
    </row>
    <row r="2365" spans="13:33" ht="12" hidden="1" customHeight="1">
      <c r="M2365" s="820"/>
      <c r="N2365" s="239"/>
      <c r="O2365" s="225"/>
      <c r="P2365" s="260"/>
      <c r="Q2365" s="258"/>
      <c r="R2365" s="260"/>
      <c r="S2365" s="260"/>
      <c r="T2365" s="260"/>
      <c r="U2365" s="260"/>
      <c r="V2365" s="260"/>
      <c r="W2365" s="260"/>
      <c r="X2365" s="260"/>
      <c r="Y2365" s="260"/>
      <c r="Z2365" s="260"/>
      <c r="AA2365" s="260"/>
      <c r="AB2365" s="260"/>
      <c r="AC2365" s="260"/>
      <c r="AD2365" s="260"/>
      <c r="AE2365" s="260"/>
      <c r="AF2365" s="260"/>
      <c r="AG2365" s="258"/>
    </row>
    <row r="2366" spans="13:33" ht="12" hidden="1" customHeight="1">
      <c r="M2366" s="820"/>
      <c r="N2366" s="239"/>
      <c r="O2366" s="225"/>
      <c r="P2366" s="260"/>
      <c r="Q2366" s="258"/>
      <c r="R2366" s="260"/>
      <c r="S2366" s="260"/>
      <c r="T2366" s="260"/>
      <c r="U2366" s="260"/>
      <c r="V2366" s="260"/>
      <c r="W2366" s="260"/>
      <c r="X2366" s="260"/>
      <c r="Y2366" s="260"/>
      <c r="Z2366" s="260"/>
      <c r="AA2366" s="260"/>
      <c r="AB2366" s="260"/>
      <c r="AC2366" s="260"/>
      <c r="AD2366" s="260"/>
      <c r="AE2366" s="260"/>
      <c r="AF2366" s="260"/>
      <c r="AG2366" s="258"/>
    </row>
    <row r="2367" spans="13:33" ht="12" hidden="1" customHeight="1">
      <c r="M2367" s="820"/>
      <c r="N2367" s="239"/>
      <c r="O2367" s="225"/>
      <c r="P2367" s="260"/>
      <c r="Q2367" s="258"/>
      <c r="R2367" s="260"/>
      <c r="S2367" s="260"/>
      <c r="T2367" s="260"/>
      <c r="U2367" s="260"/>
      <c r="V2367" s="260"/>
      <c r="W2367" s="260"/>
      <c r="X2367" s="260"/>
      <c r="Y2367" s="260"/>
      <c r="Z2367" s="260"/>
      <c r="AA2367" s="260"/>
      <c r="AB2367" s="260"/>
      <c r="AC2367" s="260"/>
      <c r="AD2367" s="260"/>
      <c r="AE2367" s="260"/>
      <c r="AF2367" s="260"/>
      <c r="AG2367" s="258"/>
    </row>
    <row r="2368" spans="13:33" ht="12" hidden="1" customHeight="1">
      <c r="M2368" s="820"/>
      <c r="N2368" s="239"/>
      <c r="O2368" s="225"/>
      <c r="P2368" s="260"/>
      <c r="Q2368" s="258"/>
      <c r="R2368" s="260"/>
      <c r="S2368" s="260"/>
      <c r="T2368" s="260"/>
      <c r="U2368" s="260"/>
      <c r="V2368" s="260"/>
      <c r="W2368" s="260"/>
      <c r="X2368" s="260"/>
      <c r="Y2368" s="260"/>
      <c r="Z2368" s="260"/>
      <c r="AA2368" s="260"/>
      <c r="AB2368" s="260"/>
      <c r="AC2368" s="260"/>
      <c r="AD2368" s="260"/>
      <c r="AE2368" s="260"/>
      <c r="AF2368" s="260"/>
      <c r="AG2368" s="258"/>
    </row>
    <row r="2369" spans="13:33" ht="12" hidden="1" customHeight="1">
      <c r="M2369" s="820"/>
      <c r="N2369" s="239"/>
      <c r="O2369" s="225"/>
      <c r="P2369" s="260"/>
      <c r="Q2369" s="258"/>
      <c r="R2369" s="260"/>
      <c r="S2369" s="260"/>
      <c r="T2369" s="260"/>
      <c r="U2369" s="260"/>
      <c r="V2369" s="260"/>
      <c r="W2369" s="260"/>
      <c r="X2369" s="260"/>
      <c r="Y2369" s="260"/>
      <c r="Z2369" s="260"/>
      <c r="AA2369" s="260"/>
      <c r="AB2369" s="260"/>
      <c r="AC2369" s="260"/>
      <c r="AD2369" s="260"/>
      <c r="AE2369" s="260"/>
      <c r="AF2369" s="260"/>
      <c r="AG2369" s="258"/>
    </row>
    <row r="2370" spans="13:33" ht="12" hidden="1" customHeight="1">
      <c r="M2370" s="820"/>
      <c r="N2370" s="239"/>
      <c r="O2370" s="225"/>
      <c r="P2370" s="260"/>
      <c r="Q2370" s="258"/>
      <c r="R2370" s="260"/>
      <c r="S2370" s="260"/>
      <c r="T2370" s="260"/>
      <c r="U2370" s="260"/>
      <c r="V2370" s="260"/>
      <c r="W2370" s="260"/>
      <c r="X2370" s="260"/>
      <c r="Y2370" s="260"/>
      <c r="Z2370" s="260"/>
      <c r="AA2370" s="260"/>
      <c r="AB2370" s="260"/>
      <c r="AC2370" s="260"/>
      <c r="AD2370" s="260"/>
      <c r="AE2370" s="260"/>
      <c r="AF2370" s="260"/>
      <c r="AG2370" s="258"/>
    </row>
    <row r="2371" spans="13:33" ht="12" hidden="1" customHeight="1">
      <c r="M2371" s="820"/>
      <c r="N2371" s="239"/>
      <c r="O2371" s="225"/>
      <c r="P2371" s="260"/>
      <c r="Q2371" s="258"/>
      <c r="R2371" s="260"/>
      <c r="S2371" s="260"/>
      <c r="T2371" s="260"/>
      <c r="U2371" s="260"/>
      <c r="V2371" s="260"/>
      <c r="W2371" s="260"/>
      <c r="X2371" s="260"/>
      <c r="Y2371" s="260"/>
      <c r="Z2371" s="260"/>
      <c r="AA2371" s="260"/>
      <c r="AB2371" s="260"/>
      <c r="AC2371" s="260"/>
      <c r="AD2371" s="260"/>
      <c r="AE2371" s="260"/>
      <c r="AF2371" s="260"/>
      <c r="AG2371" s="258"/>
    </row>
    <row r="2372" spans="13:33" ht="12" hidden="1" customHeight="1">
      <c r="M2372" s="820"/>
      <c r="N2372" s="239"/>
      <c r="O2372" s="225"/>
      <c r="P2372" s="260"/>
      <c r="Q2372" s="258"/>
      <c r="R2372" s="260"/>
      <c r="S2372" s="260"/>
      <c r="T2372" s="260"/>
      <c r="U2372" s="260"/>
      <c r="V2372" s="260"/>
      <c r="W2372" s="260"/>
      <c r="X2372" s="260"/>
      <c r="Y2372" s="260"/>
      <c r="Z2372" s="260"/>
      <c r="AA2372" s="260"/>
      <c r="AB2372" s="260"/>
      <c r="AC2372" s="260"/>
      <c r="AD2372" s="260"/>
      <c r="AE2372" s="260"/>
      <c r="AF2372" s="260"/>
      <c r="AG2372" s="258"/>
    </row>
    <row r="2373" spans="13:33" ht="12" hidden="1" customHeight="1">
      <c r="M2373" s="820"/>
      <c r="N2373" s="239"/>
      <c r="O2373" s="225"/>
      <c r="P2373" s="260"/>
      <c r="Q2373" s="258"/>
      <c r="R2373" s="260"/>
      <c r="S2373" s="260"/>
      <c r="T2373" s="260"/>
      <c r="U2373" s="260"/>
      <c r="V2373" s="260"/>
      <c r="W2373" s="260"/>
      <c r="X2373" s="260"/>
      <c r="Y2373" s="260"/>
      <c r="Z2373" s="260"/>
      <c r="AA2373" s="260"/>
      <c r="AB2373" s="260"/>
      <c r="AC2373" s="260"/>
      <c r="AD2373" s="260"/>
      <c r="AE2373" s="260"/>
      <c r="AF2373" s="260"/>
      <c r="AG2373" s="258"/>
    </row>
    <row r="2374" spans="13:33" ht="12" hidden="1" customHeight="1">
      <c r="M2374" s="820"/>
      <c r="N2374" s="239"/>
      <c r="O2374" s="225"/>
      <c r="P2374" s="260"/>
      <c r="Q2374" s="258"/>
      <c r="R2374" s="260"/>
      <c r="S2374" s="260"/>
      <c r="T2374" s="260"/>
      <c r="U2374" s="260"/>
      <c r="V2374" s="260"/>
      <c r="W2374" s="260"/>
      <c r="X2374" s="260"/>
      <c r="Y2374" s="260"/>
      <c r="Z2374" s="260"/>
      <c r="AA2374" s="260"/>
      <c r="AB2374" s="260"/>
      <c r="AC2374" s="260"/>
      <c r="AD2374" s="260"/>
      <c r="AE2374" s="260"/>
      <c r="AF2374" s="260"/>
      <c r="AG2374" s="258"/>
    </row>
    <row r="2375" spans="13:33" ht="12" hidden="1" customHeight="1">
      <c r="M2375" s="820"/>
      <c r="N2375" s="239"/>
      <c r="O2375" s="225"/>
      <c r="P2375" s="260"/>
      <c r="Q2375" s="258"/>
      <c r="R2375" s="260"/>
      <c r="S2375" s="260"/>
      <c r="T2375" s="260"/>
      <c r="U2375" s="260"/>
      <c r="V2375" s="260"/>
      <c r="W2375" s="260"/>
      <c r="X2375" s="260"/>
      <c r="Y2375" s="260"/>
      <c r="Z2375" s="260"/>
      <c r="AA2375" s="260"/>
      <c r="AB2375" s="260"/>
      <c r="AC2375" s="260"/>
      <c r="AD2375" s="260"/>
      <c r="AE2375" s="260"/>
      <c r="AF2375" s="260"/>
      <c r="AG2375" s="258"/>
    </row>
    <row r="2376" spans="13:33" ht="12" hidden="1" customHeight="1">
      <c r="M2376" s="820"/>
      <c r="N2376" s="239"/>
      <c r="O2376" s="225"/>
      <c r="P2376" s="260"/>
      <c r="Q2376" s="258"/>
      <c r="R2376" s="260"/>
      <c r="S2376" s="260"/>
      <c r="T2376" s="260"/>
      <c r="U2376" s="260"/>
      <c r="V2376" s="260"/>
      <c r="W2376" s="260"/>
      <c r="X2376" s="260"/>
      <c r="Y2376" s="260"/>
      <c r="Z2376" s="260"/>
      <c r="AA2376" s="260"/>
      <c r="AB2376" s="260"/>
      <c r="AC2376" s="260"/>
      <c r="AD2376" s="260"/>
      <c r="AE2376" s="260"/>
      <c r="AF2376" s="260"/>
      <c r="AG2376" s="258"/>
    </row>
    <row r="2377" spans="13:33" ht="12" hidden="1" customHeight="1">
      <c r="M2377" s="820"/>
      <c r="N2377" s="239"/>
      <c r="O2377" s="225"/>
      <c r="P2377" s="260"/>
      <c r="Q2377" s="258"/>
      <c r="R2377" s="260"/>
      <c r="S2377" s="260"/>
      <c r="T2377" s="260"/>
      <c r="U2377" s="260"/>
      <c r="V2377" s="260"/>
      <c r="W2377" s="260"/>
      <c r="X2377" s="260"/>
      <c r="Y2377" s="260"/>
      <c r="Z2377" s="260"/>
      <c r="AA2377" s="260"/>
      <c r="AB2377" s="260"/>
      <c r="AC2377" s="260"/>
      <c r="AD2377" s="260"/>
      <c r="AE2377" s="260"/>
      <c r="AF2377" s="260"/>
      <c r="AG2377" s="258"/>
    </row>
    <row r="2378" spans="13:33" ht="12" hidden="1" customHeight="1">
      <c r="M2378" s="820"/>
      <c r="N2378" s="239"/>
      <c r="O2378" s="225"/>
      <c r="P2378" s="260"/>
      <c r="Q2378" s="258"/>
      <c r="R2378" s="260"/>
      <c r="S2378" s="260"/>
      <c r="T2378" s="260"/>
      <c r="U2378" s="260"/>
      <c r="V2378" s="260"/>
      <c r="W2378" s="260"/>
      <c r="X2378" s="260"/>
      <c r="Y2378" s="260"/>
      <c r="Z2378" s="260"/>
      <c r="AA2378" s="260"/>
      <c r="AB2378" s="260"/>
      <c r="AC2378" s="260"/>
      <c r="AD2378" s="260"/>
      <c r="AE2378" s="260"/>
      <c r="AF2378" s="260"/>
      <c r="AG2378" s="258"/>
    </row>
    <row r="2379" spans="13:33" ht="12" hidden="1" customHeight="1">
      <c r="M2379" s="820"/>
      <c r="N2379" s="239"/>
      <c r="O2379" s="225"/>
      <c r="P2379" s="260"/>
      <c r="Q2379" s="258"/>
      <c r="R2379" s="260"/>
      <c r="S2379" s="260"/>
      <c r="T2379" s="260"/>
      <c r="U2379" s="260"/>
      <c r="V2379" s="260"/>
      <c r="W2379" s="260"/>
      <c r="X2379" s="260"/>
      <c r="Y2379" s="260"/>
      <c r="Z2379" s="260"/>
      <c r="AA2379" s="260"/>
      <c r="AB2379" s="260"/>
      <c r="AC2379" s="260"/>
      <c r="AD2379" s="260"/>
      <c r="AE2379" s="260"/>
      <c r="AF2379" s="260"/>
      <c r="AG2379" s="258"/>
    </row>
    <row r="2380" spans="13:33" ht="12" hidden="1" customHeight="1">
      <c r="M2380" s="820"/>
      <c r="N2380" s="239"/>
      <c r="O2380" s="225"/>
      <c r="P2380" s="260"/>
      <c r="Q2380" s="258"/>
      <c r="R2380" s="260"/>
      <c r="S2380" s="260"/>
      <c r="T2380" s="260"/>
      <c r="U2380" s="260"/>
      <c r="V2380" s="260"/>
      <c r="W2380" s="260"/>
      <c r="X2380" s="260"/>
      <c r="Y2380" s="260"/>
      <c r="Z2380" s="260"/>
      <c r="AA2380" s="260"/>
      <c r="AB2380" s="260"/>
      <c r="AC2380" s="260"/>
      <c r="AD2380" s="260"/>
      <c r="AE2380" s="260"/>
      <c r="AF2380" s="260"/>
      <c r="AG2380" s="258"/>
    </row>
    <row r="2381" spans="13:33" ht="12" hidden="1" customHeight="1">
      <c r="M2381" s="820"/>
      <c r="N2381" s="239"/>
      <c r="O2381" s="225"/>
      <c r="P2381" s="260"/>
      <c r="Q2381" s="258"/>
      <c r="R2381" s="260"/>
      <c r="S2381" s="260"/>
      <c r="T2381" s="260"/>
      <c r="U2381" s="260"/>
      <c r="V2381" s="260"/>
      <c r="W2381" s="260"/>
      <c r="X2381" s="260"/>
      <c r="Y2381" s="260"/>
      <c r="Z2381" s="260"/>
      <c r="AA2381" s="260"/>
      <c r="AB2381" s="260"/>
      <c r="AC2381" s="260"/>
      <c r="AD2381" s="260"/>
      <c r="AE2381" s="260"/>
      <c r="AF2381" s="260"/>
      <c r="AG2381" s="258"/>
    </row>
    <row r="2382" spans="13:33" ht="12" hidden="1" customHeight="1">
      <c r="M2382" s="820"/>
      <c r="N2382" s="239"/>
      <c r="O2382" s="225"/>
      <c r="P2382" s="260"/>
      <c r="Q2382" s="258"/>
      <c r="R2382" s="260"/>
      <c r="S2382" s="260"/>
      <c r="T2382" s="260"/>
      <c r="U2382" s="260"/>
      <c r="V2382" s="260"/>
      <c r="W2382" s="260"/>
      <c r="X2382" s="260"/>
      <c r="Y2382" s="260"/>
      <c r="Z2382" s="260"/>
      <c r="AA2382" s="260"/>
      <c r="AB2382" s="260"/>
      <c r="AC2382" s="260"/>
      <c r="AD2382" s="260"/>
      <c r="AE2382" s="260"/>
      <c r="AF2382" s="260"/>
      <c r="AG2382" s="258"/>
    </row>
    <row r="2383" spans="13:33" ht="12" hidden="1" customHeight="1">
      <c r="M2383" s="820"/>
      <c r="N2383" s="239"/>
      <c r="O2383" s="225"/>
      <c r="P2383" s="260"/>
      <c r="Q2383" s="258"/>
      <c r="R2383" s="260"/>
      <c r="S2383" s="260"/>
      <c r="T2383" s="260"/>
      <c r="U2383" s="260"/>
      <c r="V2383" s="260"/>
      <c r="W2383" s="260"/>
      <c r="X2383" s="260"/>
      <c r="Y2383" s="260"/>
      <c r="Z2383" s="260"/>
      <c r="AA2383" s="260"/>
      <c r="AB2383" s="260"/>
      <c r="AC2383" s="260"/>
      <c r="AD2383" s="260"/>
      <c r="AE2383" s="260"/>
      <c r="AF2383" s="260"/>
      <c r="AG2383" s="258"/>
    </row>
    <row r="2384" spans="13:33" ht="12" hidden="1" customHeight="1">
      <c r="M2384" s="820"/>
      <c r="N2384" s="239"/>
      <c r="O2384" s="225"/>
      <c r="P2384" s="260"/>
      <c r="Q2384" s="258"/>
      <c r="R2384" s="260"/>
      <c r="S2384" s="260"/>
      <c r="T2384" s="260"/>
      <c r="U2384" s="260"/>
      <c r="V2384" s="260"/>
      <c r="W2384" s="260"/>
      <c r="X2384" s="260"/>
      <c r="Y2384" s="260"/>
      <c r="Z2384" s="260"/>
      <c r="AA2384" s="260"/>
      <c r="AB2384" s="260"/>
      <c r="AC2384" s="260"/>
      <c r="AD2384" s="260"/>
      <c r="AE2384" s="260"/>
      <c r="AF2384" s="260"/>
      <c r="AG2384" s="258"/>
    </row>
    <row r="2385" spans="13:33" ht="12" hidden="1" customHeight="1">
      <c r="M2385" s="820"/>
      <c r="N2385" s="239"/>
      <c r="O2385" s="225"/>
      <c r="P2385" s="260"/>
      <c r="Q2385" s="258"/>
      <c r="R2385" s="260"/>
      <c r="S2385" s="260"/>
      <c r="T2385" s="260"/>
      <c r="U2385" s="260"/>
      <c r="V2385" s="260"/>
      <c r="W2385" s="260"/>
      <c r="X2385" s="260"/>
      <c r="Y2385" s="260"/>
      <c r="Z2385" s="260"/>
      <c r="AA2385" s="260"/>
      <c r="AB2385" s="260"/>
      <c r="AC2385" s="260"/>
      <c r="AD2385" s="260"/>
      <c r="AE2385" s="260"/>
      <c r="AF2385" s="260"/>
      <c r="AG2385" s="258"/>
    </row>
    <row r="2386" spans="13:33" ht="12" customHeight="1">
      <c r="M2386" s="820"/>
      <c r="N2386" s="236" t="s">
        <v>2985</v>
      </c>
      <c r="O2386" s="225" t="s">
        <v>2986</v>
      </c>
      <c r="P2386" s="260"/>
      <c r="Q2386" s="258"/>
      <c r="R2386" s="260"/>
      <c r="S2386" s="260"/>
      <c r="T2386" s="260"/>
      <c r="U2386" s="260"/>
      <c r="V2386" s="260"/>
      <c r="W2386" s="260"/>
      <c r="X2386" s="260"/>
      <c r="Y2386" s="260"/>
      <c r="Z2386" s="262">
        <f>'ТС.Т 01.07 - 31.08'!Z2386</f>
        <v>0</v>
      </c>
      <c r="AA2386" s="260"/>
      <c r="AB2386" s="260"/>
      <c r="AC2386" s="260"/>
      <c r="AD2386" s="260"/>
      <c r="AE2386" s="260"/>
      <c r="AF2386" s="262">
        <f>'ТС.Т 01.07 - 31.08'!AF2386</f>
        <v>0</v>
      </c>
      <c r="AG2386" s="258"/>
    </row>
    <row r="2387" spans="13:33" ht="12" customHeight="1">
      <c r="M2387" s="820"/>
      <c r="N2387" s="236" t="s">
        <v>2987</v>
      </c>
      <c r="O2387" s="225" t="s">
        <v>2988</v>
      </c>
      <c r="P2387" s="260"/>
      <c r="Q2387" s="258"/>
      <c r="R2387" s="260"/>
      <c r="S2387" s="260"/>
      <c r="T2387" s="260"/>
      <c r="U2387" s="260"/>
      <c r="V2387" s="260"/>
      <c r="W2387" s="260"/>
      <c r="X2387" s="260"/>
      <c r="Y2387" s="260"/>
      <c r="Z2387" s="262">
        <f>'ТС.Т 01.07 - 31.08'!Z2387</f>
        <v>0</v>
      </c>
      <c r="AA2387" s="260"/>
      <c r="AB2387" s="260"/>
      <c r="AC2387" s="260"/>
      <c r="AD2387" s="260"/>
      <c r="AE2387" s="260"/>
      <c r="AF2387" s="262">
        <f>'ТС.Т 01.07 - 31.08'!AF2387</f>
        <v>0</v>
      </c>
      <c r="AG2387" s="258"/>
    </row>
    <row r="2388" spans="13:33" ht="12" customHeight="1">
      <c r="M2388" s="820"/>
      <c r="N2388" s="239"/>
      <c r="O2388" s="225"/>
      <c r="P2388" s="260"/>
      <c r="Q2388" s="258"/>
      <c r="R2388" s="260"/>
      <c r="S2388" s="260"/>
      <c r="T2388" s="260"/>
      <c r="U2388" s="260"/>
      <c r="V2388" s="260"/>
      <c r="W2388" s="260"/>
      <c r="X2388" s="260"/>
      <c r="Y2388" s="260"/>
      <c r="Z2388" s="260"/>
      <c r="AA2388" s="260"/>
      <c r="AB2388" s="260"/>
      <c r="AC2388" s="260"/>
      <c r="AD2388" s="260"/>
      <c r="AE2388" s="260"/>
      <c r="AF2388" s="260"/>
      <c r="AG2388" s="258"/>
    </row>
    <row r="2389" spans="13:33" ht="11.25" customHeight="1"/>
    <row r="2390" spans="13:33" ht="11.25" customHeight="1"/>
    <row r="2391" spans="13:33" ht="11.25" customHeight="1"/>
    <row r="2392" spans="13:33" ht="12" customHeight="1">
      <c r="M2392" s="820"/>
      <c r="N2392" s="236" t="s">
        <v>753</v>
      </c>
      <c r="O2392" s="235" t="s">
        <v>77</v>
      </c>
      <c r="P2392" s="260"/>
      <c r="Q2392" s="258"/>
      <c r="R2392" s="260"/>
      <c r="S2392" s="260"/>
      <c r="T2392" s="260"/>
      <c r="U2392" s="260"/>
      <c r="V2392" s="260"/>
      <c r="W2392" s="452">
        <f>SUM(W2393:W2394,W2412:W2424)</f>
        <v>0</v>
      </c>
      <c r="X2392" s="260"/>
      <c r="Y2392" s="260"/>
      <c r="Z2392" s="452">
        <f>SUM(Z2393:Z2394,Z2412:Z2424)</f>
        <v>0</v>
      </c>
      <c r="AA2392" s="260"/>
      <c r="AB2392" s="260"/>
      <c r="AC2392" s="452">
        <f>SUM(AC2393:AC2394,AC2412:AC2424)</f>
        <v>0</v>
      </c>
      <c r="AD2392" s="260"/>
      <c r="AE2392" s="260"/>
      <c r="AF2392" s="452">
        <f>SUM(AF2393:AF2394,AF2412:AF2424)</f>
        <v>0</v>
      </c>
      <c r="AG2392" s="258"/>
    </row>
    <row r="2393" spans="13:33" ht="12" customHeight="1">
      <c r="M2393" s="820"/>
      <c r="N2393" s="451" t="s">
        <v>766</v>
      </c>
      <c r="O2393" s="453" t="s">
        <v>78</v>
      </c>
      <c r="P2393" s="260"/>
      <c r="Q2393" s="258"/>
      <c r="R2393" s="260"/>
      <c r="S2393" s="260"/>
      <c r="T2393" s="260"/>
      <c r="U2393" s="260"/>
      <c r="V2393" s="260"/>
      <c r="W2393" s="260"/>
      <c r="X2393" s="260"/>
      <c r="Y2393" s="260"/>
      <c r="Z2393" s="262">
        <f>'ТС.Т 01.09 - 31.12'!Z2393</f>
        <v>0</v>
      </c>
      <c r="AA2393" s="260"/>
      <c r="AB2393" s="260"/>
      <c r="AC2393" s="260"/>
      <c r="AD2393" s="260"/>
      <c r="AE2393" s="260"/>
      <c r="AF2393" s="262">
        <f>'ТС.Т 01.09 - 31.12'!AF2393</f>
        <v>0</v>
      </c>
      <c r="AG2393" s="258"/>
    </row>
    <row r="2394" spans="13:33" ht="12" customHeight="1">
      <c r="M2394" s="820"/>
      <c r="N2394" s="451" t="s">
        <v>768</v>
      </c>
      <c r="O2394" s="454" t="s">
        <v>212</v>
      </c>
      <c r="P2394" s="260"/>
      <c r="Q2394" s="258"/>
      <c r="R2394" s="260"/>
      <c r="S2394" s="260"/>
      <c r="T2394" s="260"/>
      <c r="U2394" s="260"/>
      <c r="V2394" s="260"/>
      <c r="W2394" s="260"/>
      <c r="X2394" s="260"/>
      <c r="Y2394" s="260"/>
      <c r="Z2394" s="262">
        <f>'ТС.Т 01.09 - 31.12'!Z2394</f>
        <v>0</v>
      </c>
      <c r="AA2394" s="260"/>
      <c r="AB2394" s="260"/>
      <c r="AC2394" s="260"/>
      <c r="AD2394" s="260"/>
      <c r="AE2394" s="260"/>
      <c r="AF2394" s="262">
        <f>'ТС.Т 01.09 - 31.12'!AF2394</f>
        <v>0</v>
      </c>
      <c r="AG2394" s="258"/>
    </row>
    <row r="2395" spans="13:33" ht="12" customHeight="1">
      <c r="M2395" s="820"/>
      <c r="N2395" s="451" t="s">
        <v>132</v>
      </c>
      <c r="O2395" s="455" t="s">
        <v>79</v>
      </c>
      <c r="P2395" s="260"/>
      <c r="Q2395" s="258"/>
      <c r="R2395" s="260"/>
      <c r="S2395" s="260"/>
      <c r="T2395" s="260"/>
      <c r="U2395" s="260"/>
      <c r="V2395" s="260"/>
      <c r="W2395" s="260"/>
      <c r="X2395" s="260"/>
      <c r="Y2395" s="260"/>
      <c r="Z2395" s="262">
        <f>'ТС.Т 01.09 - 31.12'!Z2395</f>
        <v>0</v>
      </c>
      <c r="AA2395" s="260"/>
      <c r="AB2395" s="260"/>
      <c r="AC2395" s="260"/>
      <c r="AD2395" s="260"/>
      <c r="AE2395" s="260"/>
      <c r="AF2395" s="262">
        <f>'ТС.Т 01.09 - 31.12'!AF2395</f>
        <v>0</v>
      </c>
      <c r="AG2395" s="258"/>
    </row>
    <row r="2396" spans="13:33" ht="12" hidden="1" customHeight="1">
      <c r="M2396" s="820"/>
      <c r="N2396" s="451"/>
      <c r="O2396" s="455"/>
      <c r="P2396" s="260"/>
      <c r="Q2396" s="258"/>
      <c r="R2396" s="260"/>
      <c r="S2396" s="260"/>
      <c r="T2396" s="260"/>
      <c r="U2396" s="260"/>
      <c r="V2396" s="260"/>
      <c r="W2396" s="260"/>
      <c r="X2396" s="260"/>
      <c r="Y2396" s="260"/>
      <c r="Z2396" s="260"/>
      <c r="AA2396" s="260"/>
      <c r="AB2396" s="260"/>
      <c r="AC2396" s="260"/>
      <c r="AD2396" s="260"/>
      <c r="AE2396" s="260"/>
      <c r="AF2396" s="260"/>
      <c r="AG2396" s="258"/>
    </row>
    <row r="2397" spans="13:33" ht="12" hidden="1" customHeight="1">
      <c r="M2397" s="820"/>
      <c r="N2397" s="451"/>
      <c r="O2397" s="455"/>
      <c r="P2397" s="260"/>
      <c r="Q2397" s="258"/>
      <c r="R2397" s="260"/>
      <c r="S2397" s="260"/>
      <c r="T2397" s="260"/>
      <c r="U2397" s="260"/>
      <c r="V2397" s="260"/>
      <c r="W2397" s="260"/>
      <c r="X2397" s="260"/>
      <c r="Y2397" s="260"/>
      <c r="Z2397" s="260"/>
      <c r="AA2397" s="260"/>
      <c r="AB2397" s="260"/>
      <c r="AC2397" s="260"/>
      <c r="AD2397" s="260"/>
      <c r="AE2397" s="260"/>
      <c r="AF2397" s="260"/>
      <c r="AG2397" s="258"/>
    </row>
    <row r="2398" spans="13:33" ht="12" hidden="1" customHeight="1">
      <c r="M2398" s="820"/>
      <c r="N2398" s="451"/>
      <c r="O2398" s="455"/>
      <c r="P2398" s="260"/>
      <c r="Q2398" s="258"/>
      <c r="R2398" s="260"/>
      <c r="S2398" s="260"/>
      <c r="T2398" s="260"/>
      <c r="U2398" s="260"/>
      <c r="V2398" s="260"/>
      <c r="W2398" s="260"/>
      <c r="X2398" s="260"/>
      <c r="Y2398" s="260"/>
      <c r="Z2398" s="260"/>
      <c r="AA2398" s="260"/>
      <c r="AB2398" s="260"/>
      <c r="AC2398" s="260"/>
      <c r="AD2398" s="260"/>
      <c r="AE2398" s="260"/>
      <c r="AF2398" s="260"/>
      <c r="AG2398" s="258"/>
    </row>
    <row r="2399" spans="13:33" ht="12" hidden="1" customHeight="1">
      <c r="M2399" s="820"/>
      <c r="N2399" s="451"/>
      <c r="O2399" s="455"/>
      <c r="P2399" s="260"/>
      <c r="Q2399" s="258"/>
      <c r="R2399" s="260"/>
      <c r="S2399" s="260"/>
      <c r="T2399" s="260"/>
      <c r="U2399" s="260"/>
      <c r="V2399" s="260"/>
      <c r="W2399" s="260"/>
      <c r="X2399" s="260"/>
      <c r="Y2399" s="260"/>
      <c r="Z2399" s="260"/>
      <c r="AA2399" s="260"/>
      <c r="AB2399" s="260"/>
      <c r="AC2399" s="260"/>
      <c r="AD2399" s="260"/>
      <c r="AE2399" s="260"/>
      <c r="AF2399" s="260"/>
      <c r="AG2399" s="258"/>
    </row>
    <row r="2400" spans="13:33" ht="12" hidden="1" customHeight="1">
      <c r="M2400" s="820"/>
      <c r="N2400" s="451"/>
      <c r="O2400" s="455"/>
      <c r="P2400" s="260"/>
      <c r="Q2400" s="258"/>
      <c r="R2400" s="260"/>
      <c r="S2400" s="260"/>
      <c r="T2400" s="260"/>
      <c r="U2400" s="260"/>
      <c r="V2400" s="260"/>
      <c r="W2400" s="260"/>
      <c r="X2400" s="260"/>
      <c r="Y2400" s="260"/>
      <c r="Z2400" s="260"/>
      <c r="AA2400" s="260"/>
      <c r="AB2400" s="260"/>
      <c r="AC2400" s="260"/>
      <c r="AD2400" s="260"/>
      <c r="AE2400" s="260"/>
      <c r="AF2400" s="260"/>
      <c r="AG2400" s="258"/>
    </row>
    <row r="2401" spans="13:33" ht="12" hidden="1" customHeight="1">
      <c r="M2401" s="820"/>
      <c r="N2401" s="451"/>
      <c r="O2401" s="455"/>
      <c r="P2401" s="260"/>
      <c r="Q2401" s="258"/>
      <c r="R2401" s="260"/>
      <c r="S2401" s="260"/>
      <c r="T2401" s="260"/>
      <c r="U2401" s="260"/>
      <c r="V2401" s="260"/>
      <c r="W2401" s="260"/>
      <c r="X2401" s="260"/>
      <c r="Y2401" s="260"/>
      <c r="Z2401" s="260"/>
      <c r="AA2401" s="260"/>
      <c r="AB2401" s="260"/>
      <c r="AC2401" s="260"/>
      <c r="AD2401" s="260"/>
      <c r="AE2401" s="260"/>
      <c r="AF2401" s="260"/>
      <c r="AG2401" s="258"/>
    </row>
    <row r="2402" spans="13:33" ht="12" hidden="1" customHeight="1">
      <c r="M2402" s="820"/>
      <c r="N2402" s="451"/>
      <c r="O2402" s="455"/>
      <c r="P2402" s="260"/>
      <c r="Q2402" s="258"/>
      <c r="R2402" s="260"/>
      <c r="S2402" s="260"/>
      <c r="T2402" s="260"/>
      <c r="U2402" s="260"/>
      <c r="V2402" s="260"/>
      <c r="W2402" s="260"/>
      <c r="X2402" s="260"/>
      <c r="Y2402" s="260"/>
      <c r="Z2402" s="260"/>
      <c r="AA2402" s="260"/>
      <c r="AB2402" s="260"/>
      <c r="AC2402" s="260"/>
      <c r="AD2402" s="260"/>
      <c r="AE2402" s="260"/>
      <c r="AF2402" s="260"/>
      <c r="AG2402" s="258"/>
    </row>
    <row r="2403" spans="13:33" ht="12" customHeight="1">
      <c r="M2403" s="820"/>
      <c r="N2403" s="451" t="s">
        <v>80</v>
      </c>
      <c r="O2403" s="455" t="s">
        <v>81</v>
      </c>
      <c r="P2403" s="260"/>
      <c r="Q2403" s="258"/>
      <c r="R2403" s="260"/>
      <c r="S2403" s="260"/>
      <c r="T2403" s="260"/>
      <c r="U2403" s="260"/>
      <c r="V2403" s="260"/>
      <c r="W2403" s="260"/>
      <c r="X2403" s="260"/>
      <c r="Y2403" s="260"/>
      <c r="Z2403" s="262">
        <f>'ТС.Т 01.09 - 31.12'!Z2403</f>
        <v>0</v>
      </c>
      <c r="AA2403" s="260"/>
      <c r="AB2403" s="260"/>
      <c r="AC2403" s="260"/>
      <c r="AD2403" s="260"/>
      <c r="AE2403" s="260"/>
      <c r="AF2403" s="262">
        <f>'ТС.Т 01.09 - 31.12'!AF2403</f>
        <v>0</v>
      </c>
      <c r="AG2403" s="258"/>
    </row>
    <row r="2404" spans="13:33" ht="12" hidden="1" customHeight="1">
      <c r="M2404" s="820"/>
      <c r="N2404" s="451"/>
      <c r="O2404" s="455"/>
      <c r="P2404" s="260"/>
      <c r="Q2404" s="258"/>
      <c r="R2404" s="260"/>
      <c r="S2404" s="260"/>
      <c r="T2404" s="260"/>
      <c r="U2404" s="260"/>
      <c r="V2404" s="260"/>
      <c r="W2404" s="260"/>
      <c r="X2404" s="260"/>
      <c r="Y2404" s="260"/>
      <c r="Z2404" s="260"/>
      <c r="AA2404" s="260"/>
      <c r="AB2404" s="260"/>
      <c r="AC2404" s="260"/>
      <c r="AD2404" s="260"/>
      <c r="AE2404" s="260"/>
      <c r="AF2404" s="260"/>
      <c r="AG2404" s="258"/>
    </row>
    <row r="2405" spans="13:33" ht="12" hidden="1" customHeight="1">
      <c r="M2405" s="820"/>
      <c r="N2405" s="451"/>
      <c r="O2405" s="455"/>
      <c r="P2405" s="260"/>
      <c r="Q2405" s="258"/>
      <c r="R2405" s="260"/>
      <c r="S2405" s="260"/>
      <c r="T2405" s="260"/>
      <c r="U2405" s="260"/>
      <c r="V2405" s="260"/>
      <c r="W2405" s="260"/>
      <c r="X2405" s="260"/>
      <c r="Y2405" s="260"/>
      <c r="Z2405" s="260"/>
      <c r="AA2405" s="260"/>
      <c r="AB2405" s="260"/>
      <c r="AC2405" s="260"/>
      <c r="AD2405" s="260"/>
      <c r="AE2405" s="260"/>
      <c r="AF2405" s="260"/>
      <c r="AG2405" s="258"/>
    </row>
    <row r="2406" spans="13:33" ht="12" hidden="1" customHeight="1">
      <c r="M2406" s="820"/>
      <c r="N2406" s="451"/>
      <c r="O2406" s="455"/>
      <c r="P2406" s="260"/>
      <c r="Q2406" s="258"/>
      <c r="R2406" s="260"/>
      <c r="S2406" s="260"/>
      <c r="T2406" s="260"/>
      <c r="U2406" s="260"/>
      <c r="V2406" s="260"/>
      <c r="W2406" s="260"/>
      <c r="X2406" s="260"/>
      <c r="Y2406" s="260"/>
      <c r="Z2406" s="260"/>
      <c r="AA2406" s="260"/>
      <c r="AB2406" s="260"/>
      <c r="AC2406" s="260"/>
      <c r="AD2406" s="260"/>
      <c r="AE2406" s="260"/>
      <c r="AF2406" s="260"/>
      <c r="AG2406" s="258"/>
    </row>
    <row r="2407" spans="13:33" ht="12" hidden="1" customHeight="1">
      <c r="M2407" s="820"/>
      <c r="N2407" s="451"/>
      <c r="O2407" s="455"/>
      <c r="P2407" s="260"/>
      <c r="Q2407" s="258"/>
      <c r="R2407" s="260"/>
      <c r="S2407" s="260"/>
      <c r="T2407" s="260"/>
      <c r="U2407" s="260"/>
      <c r="V2407" s="260"/>
      <c r="W2407" s="260"/>
      <c r="X2407" s="260"/>
      <c r="Y2407" s="260"/>
      <c r="Z2407" s="260"/>
      <c r="AA2407" s="260"/>
      <c r="AB2407" s="260"/>
      <c r="AC2407" s="260"/>
      <c r="AD2407" s="260"/>
      <c r="AE2407" s="260"/>
      <c r="AF2407" s="260"/>
      <c r="AG2407" s="258"/>
    </row>
    <row r="2408" spans="13:33" ht="12" hidden="1" customHeight="1">
      <c r="M2408" s="820"/>
      <c r="N2408" s="451"/>
      <c r="O2408" s="455"/>
      <c r="P2408" s="260"/>
      <c r="Q2408" s="258"/>
      <c r="R2408" s="260"/>
      <c r="S2408" s="260"/>
      <c r="T2408" s="260"/>
      <c r="U2408" s="260"/>
      <c r="V2408" s="260"/>
      <c r="W2408" s="260"/>
      <c r="X2408" s="260"/>
      <c r="Y2408" s="260"/>
      <c r="Z2408" s="260"/>
      <c r="AA2408" s="260"/>
      <c r="AB2408" s="260"/>
      <c r="AC2408" s="260"/>
      <c r="AD2408" s="260"/>
      <c r="AE2408" s="260"/>
      <c r="AF2408" s="260"/>
      <c r="AG2408" s="258"/>
    </row>
    <row r="2409" spans="13:33" ht="12" hidden="1" customHeight="1">
      <c r="M2409" s="820"/>
      <c r="N2409" s="451"/>
      <c r="O2409" s="455"/>
      <c r="P2409" s="260"/>
      <c r="Q2409" s="258"/>
      <c r="R2409" s="260"/>
      <c r="S2409" s="260"/>
      <c r="T2409" s="260"/>
      <c r="U2409" s="260"/>
      <c r="V2409" s="260"/>
      <c r="W2409" s="260"/>
      <c r="X2409" s="260"/>
      <c r="Y2409" s="260"/>
      <c r="Z2409" s="260"/>
      <c r="AA2409" s="260"/>
      <c r="AB2409" s="260"/>
      <c r="AC2409" s="260"/>
      <c r="AD2409" s="260"/>
      <c r="AE2409" s="260"/>
      <c r="AF2409" s="260"/>
      <c r="AG2409" s="258"/>
    </row>
    <row r="2410" spans="13:33" ht="12" hidden="1" customHeight="1">
      <c r="M2410" s="820"/>
      <c r="N2410" s="451"/>
      <c r="O2410" s="455"/>
      <c r="P2410" s="260"/>
      <c r="Q2410" s="258"/>
      <c r="R2410" s="260"/>
      <c r="S2410" s="260"/>
      <c r="T2410" s="260"/>
      <c r="U2410" s="260"/>
      <c r="V2410" s="260"/>
      <c r="W2410" s="260"/>
      <c r="X2410" s="260"/>
      <c r="Y2410" s="260"/>
      <c r="Z2410" s="260"/>
      <c r="AA2410" s="260"/>
      <c r="AB2410" s="260"/>
      <c r="AC2410" s="260"/>
      <c r="AD2410" s="260"/>
      <c r="AE2410" s="260"/>
      <c r="AF2410" s="260"/>
      <c r="AG2410" s="258"/>
    </row>
    <row r="2411" spans="13:33" ht="12" customHeight="1">
      <c r="M2411" s="820"/>
      <c r="N2411" s="451" t="s">
        <v>82</v>
      </c>
      <c r="O2411" s="455" t="s">
        <v>83</v>
      </c>
      <c r="P2411" s="260"/>
      <c r="Q2411" s="258"/>
      <c r="R2411" s="260"/>
      <c r="S2411" s="260"/>
      <c r="T2411" s="260"/>
      <c r="U2411" s="260"/>
      <c r="V2411" s="260"/>
      <c r="W2411" s="260"/>
      <c r="X2411" s="260"/>
      <c r="Y2411" s="260"/>
      <c r="Z2411" s="262">
        <f>'ТС.Т 01.09 - 31.12'!Z2411</f>
        <v>0</v>
      </c>
      <c r="AA2411" s="260"/>
      <c r="AB2411" s="260"/>
      <c r="AC2411" s="260"/>
      <c r="AD2411" s="260"/>
      <c r="AE2411" s="260"/>
      <c r="AF2411" s="262">
        <f>'ТС.Т 01.09 - 31.12'!AF2411</f>
        <v>0</v>
      </c>
      <c r="AG2411" s="258"/>
    </row>
    <row r="2412" spans="13:33" ht="12" customHeight="1">
      <c r="M2412" s="820"/>
      <c r="N2412" s="451" t="s">
        <v>84</v>
      </c>
      <c r="O2412" s="457" t="s">
        <v>85</v>
      </c>
      <c r="P2412" s="260"/>
      <c r="Q2412" s="258"/>
      <c r="R2412" s="260"/>
      <c r="S2412" s="260"/>
      <c r="T2412" s="260"/>
      <c r="U2412" s="260"/>
      <c r="V2412" s="260"/>
      <c r="W2412" s="260"/>
      <c r="X2412" s="260"/>
      <c r="Y2412" s="260"/>
      <c r="Z2412" s="262">
        <f>'ТС.Т 01.09 - 31.12'!Z2412</f>
        <v>0</v>
      </c>
      <c r="AA2412" s="260"/>
      <c r="AB2412" s="260"/>
      <c r="AC2412" s="260"/>
      <c r="AD2412" s="260"/>
      <c r="AE2412" s="260"/>
      <c r="AF2412" s="262">
        <f>'ТС.Т 01.09 - 31.12'!AF2412</f>
        <v>0</v>
      </c>
      <c r="AG2412" s="258"/>
    </row>
    <row r="2413" spans="13:33" ht="12" customHeight="1">
      <c r="M2413" s="820"/>
      <c r="N2413" s="451" t="s">
        <v>86</v>
      </c>
      <c r="O2413" s="457" t="s">
        <v>87</v>
      </c>
      <c r="P2413" s="260"/>
      <c r="Q2413" s="258"/>
      <c r="R2413" s="260"/>
      <c r="S2413" s="260"/>
      <c r="T2413" s="260"/>
      <c r="U2413" s="260"/>
      <c r="V2413" s="260"/>
      <c r="W2413" s="260"/>
      <c r="X2413" s="260"/>
      <c r="Y2413" s="260"/>
      <c r="Z2413" s="262">
        <f>'ТС.Т 01.09 - 31.12'!Z2413</f>
        <v>0</v>
      </c>
      <c r="AA2413" s="260"/>
      <c r="AB2413" s="260"/>
      <c r="AC2413" s="260"/>
      <c r="AD2413" s="260"/>
      <c r="AE2413" s="260"/>
      <c r="AF2413" s="262">
        <f>'ТС.Т 01.09 - 31.12'!AF2413</f>
        <v>0</v>
      </c>
      <c r="AG2413" s="258"/>
    </row>
    <row r="2414" spans="13:33" ht="12" customHeight="1">
      <c r="M2414" s="820"/>
      <c r="N2414" s="451" t="s">
        <v>88</v>
      </c>
      <c r="O2414" s="457" t="s">
        <v>89</v>
      </c>
      <c r="P2414" s="260"/>
      <c r="Q2414" s="258"/>
      <c r="R2414" s="260"/>
      <c r="S2414" s="260"/>
      <c r="T2414" s="260"/>
      <c r="U2414" s="260"/>
      <c r="V2414" s="260"/>
      <c r="W2414" s="260"/>
      <c r="X2414" s="260"/>
      <c r="Y2414" s="260"/>
      <c r="Z2414" s="262">
        <f>'ТС.Т 01.09 - 31.12'!Z2414</f>
        <v>0</v>
      </c>
      <c r="AA2414" s="260"/>
      <c r="AB2414" s="260"/>
      <c r="AC2414" s="260"/>
      <c r="AD2414" s="260"/>
      <c r="AE2414" s="260"/>
      <c r="AF2414" s="262">
        <f>'ТС.Т 01.09 - 31.12'!AF2414</f>
        <v>0</v>
      </c>
      <c r="AG2414" s="258"/>
    </row>
    <row r="2415" spans="13:33" ht="12" customHeight="1">
      <c r="M2415" s="820"/>
      <c r="N2415" s="451" t="s">
        <v>90</v>
      </c>
      <c r="O2415" s="457" t="s">
        <v>91</v>
      </c>
      <c r="P2415" s="260"/>
      <c r="Q2415" s="258"/>
      <c r="R2415" s="260"/>
      <c r="S2415" s="260"/>
      <c r="T2415" s="260"/>
      <c r="U2415" s="260"/>
      <c r="V2415" s="260"/>
      <c r="W2415" s="260"/>
      <c r="X2415" s="260"/>
      <c r="Y2415" s="260"/>
      <c r="Z2415" s="262">
        <f>'ТС.Т 01.09 - 31.12'!Z2415</f>
        <v>0</v>
      </c>
      <c r="AA2415" s="260"/>
      <c r="AB2415" s="260"/>
      <c r="AC2415" s="260"/>
      <c r="AD2415" s="260"/>
      <c r="AE2415" s="260"/>
      <c r="AF2415" s="262">
        <f>'ТС.Т 01.09 - 31.12'!AF2415</f>
        <v>0</v>
      </c>
      <c r="AG2415" s="258"/>
    </row>
    <row r="2416" spans="13:33" ht="12" customHeight="1">
      <c r="M2416" s="820"/>
      <c r="N2416" s="451" t="s">
        <v>92</v>
      </c>
      <c r="O2416" s="457" t="s">
        <v>93</v>
      </c>
      <c r="P2416" s="260"/>
      <c r="Q2416" s="258"/>
      <c r="R2416" s="260"/>
      <c r="S2416" s="260"/>
      <c r="T2416" s="260"/>
      <c r="U2416" s="260"/>
      <c r="V2416" s="260"/>
      <c r="W2416" s="260"/>
      <c r="X2416" s="260"/>
      <c r="Y2416" s="260"/>
      <c r="Z2416" s="262">
        <f>'ТС.Т 01.09 - 31.12'!Z2416</f>
        <v>0</v>
      </c>
      <c r="AA2416" s="260"/>
      <c r="AB2416" s="260"/>
      <c r="AC2416" s="260"/>
      <c r="AD2416" s="260"/>
      <c r="AE2416" s="260"/>
      <c r="AF2416" s="262">
        <f>'ТС.Т 01.09 - 31.12'!AF2416</f>
        <v>0</v>
      </c>
      <c r="AG2416" s="258"/>
    </row>
    <row r="2417" spans="13:33" ht="12" customHeight="1">
      <c r="M2417" s="820"/>
      <c r="N2417" s="451" t="s">
        <v>94</v>
      </c>
      <c r="O2417" s="457" t="s">
        <v>95</v>
      </c>
      <c r="P2417" s="260"/>
      <c r="Q2417" s="258"/>
      <c r="R2417" s="260"/>
      <c r="S2417" s="260"/>
      <c r="T2417" s="260"/>
      <c r="U2417" s="260"/>
      <c r="V2417" s="260"/>
      <c r="W2417" s="260"/>
      <c r="X2417" s="260"/>
      <c r="Y2417" s="260"/>
      <c r="Z2417" s="262">
        <f>'ТС.Т 01.09 - 31.12'!Z2417</f>
        <v>0</v>
      </c>
      <c r="AA2417" s="260"/>
      <c r="AB2417" s="260"/>
      <c r="AC2417" s="260"/>
      <c r="AD2417" s="260"/>
      <c r="AE2417" s="260"/>
      <c r="AF2417" s="262">
        <f>'ТС.Т 01.09 - 31.12'!AF2417</f>
        <v>0</v>
      </c>
      <c r="AG2417" s="258"/>
    </row>
    <row r="2418" spans="13:33" ht="12" customHeight="1">
      <c r="M2418" s="820"/>
      <c r="N2418" s="451" t="s">
        <v>2975</v>
      </c>
      <c r="O2418" s="457" t="s">
        <v>2976</v>
      </c>
      <c r="P2418" s="260"/>
      <c r="Q2418" s="258"/>
      <c r="R2418" s="260"/>
      <c r="S2418" s="260"/>
      <c r="T2418" s="260"/>
      <c r="U2418" s="260"/>
      <c r="V2418" s="260"/>
      <c r="W2418" s="260"/>
      <c r="X2418" s="260"/>
      <c r="Y2418" s="260"/>
      <c r="Z2418" s="262">
        <f>'ТС.Т 01.09 - 31.12'!Z2418</f>
        <v>0</v>
      </c>
      <c r="AA2418" s="260"/>
      <c r="AB2418" s="260"/>
      <c r="AC2418" s="260"/>
      <c r="AD2418" s="260"/>
      <c r="AE2418" s="260"/>
      <c r="AF2418" s="262">
        <f>'ТС.Т 01.09 - 31.12'!AF2418</f>
        <v>0</v>
      </c>
      <c r="AG2418" s="258"/>
    </row>
    <row r="2419" spans="13:33" ht="12" customHeight="1">
      <c r="M2419" s="820"/>
      <c r="N2419" s="451" t="s">
        <v>2977</v>
      </c>
      <c r="O2419" s="457" t="s">
        <v>2978</v>
      </c>
      <c r="P2419" s="260"/>
      <c r="Q2419" s="258"/>
      <c r="R2419" s="260"/>
      <c r="S2419" s="260"/>
      <c r="T2419" s="260"/>
      <c r="U2419" s="260"/>
      <c r="V2419" s="260"/>
      <c r="W2419" s="260"/>
      <c r="X2419" s="260"/>
      <c r="Y2419" s="260"/>
      <c r="Z2419" s="262">
        <f>'ТС.Т 01.09 - 31.12'!Z2419</f>
        <v>0</v>
      </c>
      <c r="AA2419" s="260"/>
      <c r="AB2419" s="260"/>
      <c r="AC2419" s="260"/>
      <c r="AD2419" s="260"/>
      <c r="AE2419" s="260"/>
      <c r="AF2419" s="262">
        <f>'ТС.Т 01.09 - 31.12'!AF2419</f>
        <v>0</v>
      </c>
      <c r="AG2419" s="258"/>
    </row>
    <row r="2420" spans="13:33" ht="12" customHeight="1">
      <c r="M2420" s="820"/>
      <c r="N2420" s="451" t="s">
        <v>2979</v>
      </c>
      <c r="O2420" s="457" t="s">
        <v>2980</v>
      </c>
      <c r="P2420" s="260"/>
      <c r="Q2420" s="258"/>
      <c r="R2420" s="260"/>
      <c r="S2420" s="260"/>
      <c r="T2420" s="260"/>
      <c r="U2420" s="260"/>
      <c r="V2420" s="260"/>
      <c r="W2420" s="260"/>
      <c r="X2420" s="260"/>
      <c r="Y2420" s="260"/>
      <c r="Z2420" s="262">
        <f>'ТС.Т 01.09 - 31.12'!Z2420</f>
        <v>0</v>
      </c>
      <c r="AA2420" s="260"/>
      <c r="AB2420" s="260"/>
      <c r="AC2420" s="260"/>
      <c r="AD2420" s="260"/>
      <c r="AE2420" s="260"/>
      <c r="AF2420" s="262">
        <f>'ТС.Т 01.09 - 31.12'!AF2420</f>
        <v>0</v>
      </c>
      <c r="AG2420" s="258"/>
    </row>
    <row r="2421" spans="13:33" ht="12" customHeight="1">
      <c r="M2421" s="820"/>
      <c r="N2421" s="451" t="s">
        <v>2981</v>
      </c>
      <c r="O2421" s="457" t="s">
        <v>2982</v>
      </c>
      <c r="P2421" s="260"/>
      <c r="Q2421" s="258"/>
      <c r="R2421" s="260"/>
      <c r="S2421" s="260"/>
      <c r="T2421" s="260"/>
      <c r="U2421" s="260"/>
      <c r="V2421" s="260"/>
      <c r="W2421" s="260"/>
      <c r="X2421" s="260"/>
      <c r="Y2421" s="260"/>
      <c r="Z2421" s="262">
        <f>'ТС.Т 01.09 - 31.12'!Z2421</f>
        <v>0</v>
      </c>
      <c r="AA2421" s="260"/>
      <c r="AB2421" s="260"/>
      <c r="AC2421" s="260"/>
      <c r="AD2421" s="260"/>
      <c r="AE2421" s="260"/>
      <c r="AF2421" s="262">
        <f>'ТС.Т 01.09 - 31.12'!AF2421</f>
        <v>0</v>
      </c>
      <c r="AG2421" s="258"/>
    </row>
    <row r="2422" spans="13:33" ht="12" customHeight="1">
      <c r="M2422" s="820"/>
      <c r="N2422" s="451" t="s">
        <v>2983</v>
      </c>
      <c r="O2422" s="224" t="s">
        <v>2984</v>
      </c>
      <c r="P2422" s="260"/>
      <c r="Q2422" s="258"/>
      <c r="R2422" s="260"/>
      <c r="S2422" s="260"/>
      <c r="T2422" s="260"/>
      <c r="U2422" s="260"/>
      <c r="V2422" s="260"/>
      <c r="W2422" s="260"/>
      <c r="X2422" s="260"/>
      <c r="Y2422" s="260"/>
      <c r="Z2422" s="262">
        <f>'ТС.Т 01.09 - 31.12'!Z2422</f>
        <v>0</v>
      </c>
      <c r="AA2422" s="260"/>
      <c r="AB2422" s="260"/>
      <c r="AC2422" s="260"/>
      <c r="AD2422" s="260"/>
      <c r="AE2422" s="260"/>
      <c r="AF2422" s="262">
        <f>'ТС.Т 01.09 - 31.12'!AF2422</f>
        <v>0</v>
      </c>
      <c r="AG2422" s="258"/>
    </row>
    <row r="2423" spans="13:33" ht="12" customHeight="1">
      <c r="M2423" s="820"/>
      <c r="N2423" s="451" t="s">
        <v>2989</v>
      </c>
      <c r="O2423" s="224" t="s">
        <v>2990</v>
      </c>
      <c r="P2423" s="260"/>
      <c r="Q2423" s="258"/>
      <c r="R2423" s="260"/>
      <c r="S2423" s="260"/>
      <c r="T2423" s="260"/>
      <c r="U2423" s="260"/>
      <c r="V2423" s="260"/>
      <c r="W2423" s="260"/>
      <c r="X2423" s="260"/>
      <c r="Y2423" s="260"/>
      <c r="Z2423" s="262">
        <f>'ТС.Т 01.09 - 31.12'!Z2423</f>
        <v>0</v>
      </c>
      <c r="AA2423" s="260"/>
      <c r="AB2423" s="260"/>
      <c r="AC2423" s="260"/>
      <c r="AD2423" s="260"/>
      <c r="AE2423" s="260"/>
      <c r="AF2423" s="262">
        <f>'ТС.Т 01.09 - 31.12'!AF2423</f>
        <v>0</v>
      </c>
      <c r="AG2423" s="258"/>
    </row>
    <row r="2424" spans="13:33" ht="12" customHeight="1">
      <c r="M2424" s="820"/>
      <c r="N2424" s="451" t="s">
        <v>292</v>
      </c>
      <c r="O2424" s="442" t="s">
        <v>291</v>
      </c>
      <c r="P2424" s="260"/>
      <c r="Q2424" s="258"/>
      <c r="R2424" s="260"/>
      <c r="S2424" s="260"/>
      <c r="T2424" s="260"/>
      <c r="U2424" s="260"/>
      <c r="V2424" s="260"/>
      <c r="W2424" s="260"/>
      <c r="X2424" s="260"/>
      <c r="Y2424" s="260"/>
      <c r="Z2424" s="262">
        <f>'ТС.Т 01.09 - 31.12'!Z2424</f>
        <v>0</v>
      </c>
      <c r="AA2424" s="260"/>
      <c r="AB2424" s="260"/>
      <c r="AC2424" s="260"/>
      <c r="AD2424" s="260"/>
      <c r="AE2424" s="260"/>
      <c r="AF2424" s="262">
        <f>'ТС.Т 01.09 - 31.12'!AF2424</f>
        <v>0</v>
      </c>
      <c r="AG2424" s="258"/>
    </row>
    <row r="2425" spans="13:33" ht="12" hidden="1" customHeight="1">
      <c r="M2425" s="820"/>
      <c r="N2425" s="239"/>
      <c r="O2425" s="225"/>
      <c r="P2425" s="260"/>
      <c r="Q2425" s="258"/>
      <c r="R2425" s="260"/>
      <c r="S2425" s="260"/>
      <c r="T2425" s="260"/>
      <c r="U2425" s="260"/>
      <c r="V2425" s="260"/>
      <c r="W2425" s="260"/>
      <c r="X2425" s="260"/>
      <c r="Y2425" s="260"/>
      <c r="Z2425" s="260"/>
      <c r="AA2425" s="260"/>
      <c r="AB2425" s="260"/>
      <c r="AC2425" s="260"/>
      <c r="AD2425" s="260"/>
      <c r="AE2425" s="260"/>
      <c r="AF2425" s="260"/>
      <c r="AG2425" s="258"/>
    </row>
    <row r="2426" spans="13:33" ht="12" hidden="1" customHeight="1">
      <c r="M2426" s="820"/>
      <c r="N2426" s="239"/>
      <c r="O2426" s="225"/>
      <c r="P2426" s="260"/>
      <c r="Q2426" s="258"/>
      <c r="R2426" s="260"/>
      <c r="S2426" s="260"/>
      <c r="T2426" s="260"/>
      <c r="U2426" s="260"/>
      <c r="V2426" s="260"/>
      <c r="W2426" s="260"/>
      <c r="X2426" s="260"/>
      <c r="Y2426" s="260"/>
      <c r="Z2426" s="260"/>
      <c r="AA2426" s="260"/>
      <c r="AB2426" s="260"/>
      <c r="AC2426" s="260"/>
      <c r="AD2426" s="260"/>
      <c r="AE2426" s="260"/>
      <c r="AF2426" s="260"/>
      <c r="AG2426" s="258"/>
    </row>
    <row r="2427" spans="13:33" ht="12" hidden="1" customHeight="1">
      <c r="M2427" s="820"/>
      <c r="N2427" s="239"/>
      <c r="O2427" s="225"/>
      <c r="P2427" s="260"/>
      <c r="Q2427" s="258"/>
      <c r="R2427" s="260"/>
      <c r="S2427" s="260"/>
      <c r="T2427" s="260"/>
      <c r="U2427" s="260"/>
      <c r="V2427" s="260"/>
      <c r="W2427" s="260"/>
      <c r="X2427" s="260"/>
      <c r="Y2427" s="260"/>
      <c r="Z2427" s="260"/>
      <c r="AA2427" s="260"/>
      <c r="AB2427" s="260"/>
      <c r="AC2427" s="260"/>
      <c r="AD2427" s="260"/>
      <c r="AE2427" s="260"/>
      <c r="AF2427" s="260"/>
      <c r="AG2427" s="258"/>
    </row>
    <row r="2428" spans="13:33" ht="12" hidden="1" customHeight="1">
      <c r="M2428" s="820"/>
      <c r="N2428" s="239"/>
      <c r="O2428" s="225"/>
      <c r="P2428" s="260"/>
      <c r="Q2428" s="258"/>
      <c r="R2428" s="260"/>
      <c r="S2428" s="260"/>
      <c r="T2428" s="260"/>
      <c r="U2428" s="260"/>
      <c r="V2428" s="260"/>
      <c r="W2428" s="260"/>
      <c r="X2428" s="260"/>
      <c r="Y2428" s="260"/>
      <c r="Z2428" s="260"/>
      <c r="AA2428" s="260"/>
      <c r="AB2428" s="260"/>
      <c r="AC2428" s="260"/>
      <c r="AD2428" s="260"/>
      <c r="AE2428" s="260"/>
      <c r="AF2428" s="260"/>
      <c r="AG2428" s="258"/>
    </row>
    <row r="2429" spans="13:33" ht="12" hidden="1" customHeight="1">
      <c r="M2429" s="820"/>
      <c r="N2429" s="239"/>
      <c r="O2429" s="225"/>
      <c r="P2429" s="260"/>
      <c r="Q2429" s="258"/>
      <c r="R2429" s="260"/>
      <c r="S2429" s="260"/>
      <c r="T2429" s="260"/>
      <c r="U2429" s="260"/>
      <c r="V2429" s="260"/>
      <c r="W2429" s="260"/>
      <c r="X2429" s="260"/>
      <c r="Y2429" s="260"/>
      <c r="Z2429" s="260"/>
      <c r="AA2429" s="260"/>
      <c r="AB2429" s="260"/>
      <c r="AC2429" s="260"/>
      <c r="AD2429" s="260"/>
      <c r="AE2429" s="260"/>
      <c r="AF2429" s="260"/>
      <c r="AG2429" s="258"/>
    </row>
    <row r="2430" spans="13:33" ht="12" hidden="1" customHeight="1">
      <c r="M2430" s="820"/>
      <c r="N2430" s="239"/>
      <c r="O2430" s="225"/>
      <c r="P2430" s="260"/>
      <c r="Q2430" s="258"/>
      <c r="R2430" s="260"/>
      <c r="S2430" s="260"/>
      <c r="T2430" s="260"/>
      <c r="U2430" s="260"/>
      <c r="V2430" s="260"/>
      <c r="W2430" s="260"/>
      <c r="X2430" s="260"/>
      <c r="Y2430" s="260"/>
      <c r="Z2430" s="260"/>
      <c r="AA2430" s="260"/>
      <c r="AB2430" s="260"/>
      <c r="AC2430" s="260"/>
      <c r="AD2430" s="260"/>
      <c r="AE2430" s="260"/>
      <c r="AF2430" s="260"/>
      <c r="AG2430" s="258"/>
    </row>
    <row r="2431" spans="13:33" ht="12" hidden="1" customHeight="1">
      <c r="M2431" s="820"/>
      <c r="N2431" s="239"/>
      <c r="O2431" s="225"/>
      <c r="P2431" s="260"/>
      <c r="Q2431" s="258"/>
      <c r="R2431" s="260"/>
      <c r="S2431" s="260"/>
      <c r="T2431" s="260"/>
      <c r="U2431" s="260"/>
      <c r="V2431" s="260"/>
      <c r="W2431" s="260"/>
      <c r="X2431" s="260"/>
      <c r="Y2431" s="260"/>
      <c r="Z2431" s="260"/>
      <c r="AA2431" s="260"/>
      <c r="AB2431" s="260"/>
      <c r="AC2431" s="260"/>
      <c r="AD2431" s="260"/>
      <c r="AE2431" s="260"/>
      <c r="AF2431" s="260"/>
      <c r="AG2431" s="258"/>
    </row>
    <row r="2432" spans="13:33" ht="12" hidden="1" customHeight="1">
      <c r="M2432" s="820"/>
      <c r="N2432" s="239"/>
      <c r="O2432" s="225"/>
      <c r="P2432" s="260"/>
      <c r="Q2432" s="258"/>
      <c r="R2432" s="260"/>
      <c r="S2432" s="260"/>
      <c r="T2432" s="260"/>
      <c r="U2432" s="260"/>
      <c r="V2432" s="260"/>
      <c r="W2432" s="260"/>
      <c r="X2432" s="260"/>
      <c r="Y2432" s="260"/>
      <c r="Z2432" s="260"/>
      <c r="AA2432" s="260"/>
      <c r="AB2432" s="260"/>
      <c r="AC2432" s="260"/>
      <c r="AD2432" s="260"/>
      <c r="AE2432" s="260"/>
      <c r="AF2432" s="260"/>
      <c r="AG2432" s="258"/>
    </row>
    <row r="2433" spans="13:33" ht="12" hidden="1" customHeight="1">
      <c r="M2433" s="820"/>
      <c r="N2433" s="239"/>
      <c r="O2433" s="225"/>
      <c r="P2433" s="260"/>
      <c r="Q2433" s="258"/>
      <c r="R2433" s="260"/>
      <c r="S2433" s="260"/>
      <c r="T2433" s="260"/>
      <c r="U2433" s="260"/>
      <c r="V2433" s="260"/>
      <c r="W2433" s="260"/>
      <c r="X2433" s="260"/>
      <c r="Y2433" s="260"/>
      <c r="Z2433" s="260"/>
      <c r="AA2433" s="260"/>
      <c r="AB2433" s="260"/>
      <c r="AC2433" s="260"/>
      <c r="AD2433" s="260"/>
      <c r="AE2433" s="260"/>
      <c r="AF2433" s="260"/>
      <c r="AG2433" s="258"/>
    </row>
    <row r="2434" spans="13:33" ht="12" hidden="1" customHeight="1">
      <c r="M2434" s="820"/>
      <c r="N2434" s="239"/>
      <c r="O2434" s="225"/>
      <c r="P2434" s="260"/>
      <c r="Q2434" s="258"/>
      <c r="R2434" s="260"/>
      <c r="S2434" s="260"/>
      <c r="T2434" s="260"/>
      <c r="U2434" s="260"/>
      <c r="V2434" s="260"/>
      <c r="W2434" s="260"/>
      <c r="X2434" s="260"/>
      <c r="Y2434" s="260"/>
      <c r="Z2434" s="260"/>
      <c r="AA2434" s="260"/>
      <c r="AB2434" s="260"/>
      <c r="AC2434" s="260"/>
      <c r="AD2434" s="260"/>
      <c r="AE2434" s="260"/>
      <c r="AF2434" s="260"/>
      <c r="AG2434" s="258"/>
    </row>
    <row r="2435" spans="13:33" ht="12" hidden="1" customHeight="1">
      <c r="M2435" s="820"/>
      <c r="N2435" s="239"/>
      <c r="O2435" s="225"/>
      <c r="P2435" s="260"/>
      <c r="Q2435" s="258"/>
      <c r="R2435" s="260"/>
      <c r="S2435" s="260"/>
      <c r="T2435" s="260"/>
      <c r="U2435" s="260"/>
      <c r="V2435" s="260"/>
      <c r="W2435" s="260"/>
      <c r="X2435" s="260"/>
      <c r="Y2435" s="260"/>
      <c r="Z2435" s="260"/>
      <c r="AA2435" s="260"/>
      <c r="AB2435" s="260"/>
      <c r="AC2435" s="260"/>
      <c r="AD2435" s="260"/>
      <c r="AE2435" s="260"/>
      <c r="AF2435" s="260"/>
      <c r="AG2435" s="258"/>
    </row>
    <row r="2436" spans="13:33" ht="12" hidden="1" customHeight="1">
      <c r="M2436" s="820"/>
      <c r="N2436" s="239"/>
      <c r="O2436" s="225"/>
      <c r="P2436" s="260"/>
      <c r="Q2436" s="258"/>
      <c r="R2436" s="260"/>
      <c r="S2436" s="260"/>
      <c r="T2436" s="260"/>
      <c r="U2436" s="260"/>
      <c r="V2436" s="260"/>
      <c r="W2436" s="260"/>
      <c r="X2436" s="260"/>
      <c r="Y2436" s="260"/>
      <c r="Z2436" s="260"/>
      <c r="AA2436" s="260"/>
      <c r="AB2436" s="260"/>
      <c r="AC2436" s="260"/>
      <c r="AD2436" s="260"/>
      <c r="AE2436" s="260"/>
      <c r="AF2436" s="260"/>
      <c r="AG2436" s="258"/>
    </row>
    <row r="2437" spans="13:33" ht="12" hidden="1" customHeight="1">
      <c r="M2437" s="820"/>
      <c r="N2437" s="239"/>
      <c r="O2437" s="225"/>
      <c r="P2437" s="260"/>
      <c r="Q2437" s="258"/>
      <c r="R2437" s="260"/>
      <c r="S2437" s="260"/>
      <c r="T2437" s="260"/>
      <c r="U2437" s="260"/>
      <c r="V2437" s="260"/>
      <c r="W2437" s="260"/>
      <c r="X2437" s="260"/>
      <c r="Y2437" s="260"/>
      <c r="Z2437" s="260"/>
      <c r="AA2437" s="260"/>
      <c r="AB2437" s="260"/>
      <c r="AC2437" s="260"/>
      <c r="AD2437" s="260"/>
      <c r="AE2437" s="260"/>
      <c r="AF2437" s="260"/>
      <c r="AG2437" s="258"/>
    </row>
    <row r="2438" spans="13:33" ht="12" hidden="1" customHeight="1">
      <c r="M2438" s="820"/>
      <c r="N2438" s="239"/>
      <c r="O2438" s="225"/>
      <c r="P2438" s="260"/>
      <c r="Q2438" s="258"/>
      <c r="R2438" s="260"/>
      <c r="S2438" s="260"/>
      <c r="T2438" s="260"/>
      <c r="U2438" s="260"/>
      <c r="V2438" s="260"/>
      <c r="W2438" s="260"/>
      <c r="X2438" s="260"/>
      <c r="Y2438" s="260"/>
      <c r="Z2438" s="260"/>
      <c r="AA2438" s="260"/>
      <c r="AB2438" s="260"/>
      <c r="AC2438" s="260"/>
      <c r="AD2438" s="260"/>
      <c r="AE2438" s="260"/>
      <c r="AF2438" s="260"/>
      <c r="AG2438" s="258"/>
    </row>
    <row r="2439" spans="13:33" ht="12" hidden="1" customHeight="1">
      <c r="M2439" s="820"/>
      <c r="N2439" s="239"/>
      <c r="O2439" s="225"/>
      <c r="P2439" s="260"/>
      <c r="Q2439" s="258"/>
      <c r="R2439" s="260"/>
      <c r="S2439" s="260"/>
      <c r="T2439" s="260"/>
      <c r="U2439" s="260"/>
      <c r="V2439" s="260"/>
      <c r="W2439" s="260"/>
      <c r="X2439" s="260"/>
      <c r="Y2439" s="260"/>
      <c r="Z2439" s="260"/>
      <c r="AA2439" s="260"/>
      <c r="AB2439" s="260"/>
      <c r="AC2439" s="260"/>
      <c r="AD2439" s="260"/>
      <c r="AE2439" s="260"/>
      <c r="AF2439" s="260"/>
      <c r="AG2439" s="258"/>
    </row>
    <row r="2440" spans="13:33" ht="12" hidden="1" customHeight="1">
      <c r="M2440" s="820"/>
      <c r="N2440" s="239"/>
      <c r="O2440" s="225"/>
      <c r="P2440" s="260"/>
      <c r="Q2440" s="258"/>
      <c r="R2440" s="260"/>
      <c r="S2440" s="260"/>
      <c r="T2440" s="260"/>
      <c r="U2440" s="260"/>
      <c r="V2440" s="260"/>
      <c r="W2440" s="260"/>
      <c r="X2440" s="260"/>
      <c r="Y2440" s="260"/>
      <c r="Z2440" s="260"/>
      <c r="AA2440" s="260"/>
      <c r="AB2440" s="260"/>
      <c r="AC2440" s="260"/>
      <c r="AD2440" s="260"/>
      <c r="AE2440" s="260"/>
      <c r="AF2440" s="260"/>
      <c r="AG2440" s="258"/>
    </row>
    <row r="2441" spans="13:33" ht="12" hidden="1" customHeight="1">
      <c r="M2441" s="820"/>
      <c r="N2441" s="239"/>
      <c r="O2441" s="225"/>
      <c r="P2441" s="260"/>
      <c r="Q2441" s="258"/>
      <c r="R2441" s="260"/>
      <c r="S2441" s="260"/>
      <c r="T2441" s="260"/>
      <c r="U2441" s="260"/>
      <c r="V2441" s="260"/>
      <c r="W2441" s="260"/>
      <c r="X2441" s="260"/>
      <c r="Y2441" s="260"/>
      <c r="Z2441" s="260"/>
      <c r="AA2441" s="260"/>
      <c r="AB2441" s="260"/>
      <c r="AC2441" s="260"/>
      <c r="AD2441" s="260"/>
      <c r="AE2441" s="260"/>
      <c r="AF2441" s="260"/>
      <c r="AG2441" s="258"/>
    </row>
    <row r="2442" spans="13:33" ht="12" hidden="1" customHeight="1">
      <c r="M2442" s="820"/>
      <c r="N2442" s="239"/>
      <c r="O2442" s="225"/>
      <c r="P2442" s="260"/>
      <c r="Q2442" s="258"/>
      <c r="R2442" s="260"/>
      <c r="S2442" s="260"/>
      <c r="T2442" s="260"/>
      <c r="U2442" s="260"/>
      <c r="V2442" s="260"/>
      <c r="W2442" s="260"/>
      <c r="X2442" s="260"/>
      <c r="Y2442" s="260"/>
      <c r="Z2442" s="260"/>
      <c r="AA2442" s="260"/>
      <c r="AB2442" s="260"/>
      <c r="AC2442" s="260"/>
      <c r="AD2442" s="260"/>
      <c r="AE2442" s="260"/>
      <c r="AF2442" s="260"/>
      <c r="AG2442" s="258"/>
    </row>
    <row r="2443" spans="13:33" ht="12" hidden="1" customHeight="1">
      <c r="M2443" s="820"/>
      <c r="N2443" s="239"/>
      <c r="O2443" s="225"/>
      <c r="P2443" s="260"/>
      <c r="Q2443" s="258"/>
      <c r="R2443" s="260"/>
      <c r="S2443" s="260"/>
      <c r="T2443" s="260"/>
      <c r="U2443" s="260"/>
      <c r="V2443" s="260"/>
      <c r="W2443" s="260"/>
      <c r="X2443" s="260"/>
      <c r="Y2443" s="260"/>
      <c r="Z2443" s="260"/>
      <c r="AA2443" s="260"/>
      <c r="AB2443" s="260"/>
      <c r="AC2443" s="260"/>
      <c r="AD2443" s="260"/>
      <c r="AE2443" s="260"/>
      <c r="AF2443" s="260"/>
      <c r="AG2443" s="258"/>
    </row>
    <row r="2444" spans="13:33" ht="12" hidden="1" customHeight="1">
      <c r="M2444" s="820"/>
      <c r="N2444" s="239"/>
      <c r="O2444" s="225"/>
      <c r="P2444" s="260"/>
      <c r="Q2444" s="258"/>
      <c r="R2444" s="260"/>
      <c r="S2444" s="260"/>
      <c r="T2444" s="260"/>
      <c r="U2444" s="260"/>
      <c r="V2444" s="260"/>
      <c r="W2444" s="260"/>
      <c r="X2444" s="260"/>
      <c r="Y2444" s="260"/>
      <c r="Z2444" s="260"/>
      <c r="AA2444" s="260"/>
      <c r="AB2444" s="260"/>
      <c r="AC2444" s="260"/>
      <c r="AD2444" s="260"/>
      <c r="AE2444" s="260"/>
      <c r="AF2444" s="260"/>
      <c r="AG2444" s="258"/>
    </row>
    <row r="2445" spans="13:33" ht="12" hidden="1" customHeight="1">
      <c r="M2445" s="820"/>
      <c r="N2445" s="239"/>
      <c r="O2445" s="225"/>
      <c r="P2445" s="260"/>
      <c r="Q2445" s="258"/>
      <c r="R2445" s="260"/>
      <c r="S2445" s="260"/>
      <c r="T2445" s="260"/>
      <c r="U2445" s="260"/>
      <c r="V2445" s="260"/>
      <c r="W2445" s="260"/>
      <c r="X2445" s="260"/>
      <c r="Y2445" s="260"/>
      <c r="Z2445" s="260"/>
      <c r="AA2445" s="260"/>
      <c r="AB2445" s="260"/>
      <c r="AC2445" s="260"/>
      <c r="AD2445" s="260"/>
      <c r="AE2445" s="260"/>
      <c r="AF2445" s="260"/>
      <c r="AG2445" s="258"/>
    </row>
    <row r="2446" spans="13:33" ht="12" hidden="1" customHeight="1">
      <c r="M2446" s="820"/>
      <c r="N2446" s="239"/>
      <c r="O2446" s="225"/>
      <c r="P2446" s="260"/>
      <c r="Q2446" s="258"/>
      <c r="R2446" s="260"/>
      <c r="S2446" s="260"/>
      <c r="T2446" s="260"/>
      <c r="U2446" s="260"/>
      <c r="V2446" s="260"/>
      <c r="W2446" s="260"/>
      <c r="X2446" s="260"/>
      <c r="Y2446" s="260"/>
      <c r="Z2446" s="260"/>
      <c r="AA2446" s="260"/>
      <c r="AB2446" s="260"/>
      <c r="AC2446" s="260"/>
      <c r="AD2446" s="260"/>
      <c r="AE2446" s="260"/>
      <c r="AF2446" s="260"/>
      <c r="AG2446" s="258"/>
    </row>
    <row r="2447" spans="13:33" ht="12" hidden="1" customHeight="1">
      <c r="M2447" s="820"/>
      <c r="N2447" s="239"/>
      <c r="O2447" s="225"/>
      <c r="P2447" s="260"/>
      <c r="Q2447" s="258"/>
      <c r="R2447" s="260"/>
      <c r="S2447" s="260"/>
      <c r="T2447" s="260"/>
      <c r="U2447" s="260"/>
      <c r="V2447" s="260"/>
      <c r="W2447" s="260"/>
      <c r="X2447" s="260"/>
      <c r="Y2447" s="260"/>
      <c r="Z2447" s="260"/>
      <c r="AA2447" s="260"/>
      <c r="AB2447" s="260"/>
      <c r="AC2447" s="260"/>
      <c r="AD2447" s="260"/>
      <c r="AE2447" s="260"/>
      <c r="AF2447" s="260"/>
      <c r="AG2447" s="258"/>
    </row>
    <row r="2448" spans="13:33" ht="12" hidden="1" customHeight="1">
      <c r="M2448" s="820"/>
      <c r="N2448" s="239"/>
      <c r="O2448" s="225"/>
      <c r="P2448" s="260"/>
      <c r="Q2448" s="258"/>
      <c r="R2448" s="260"/>
      <c r="S2448" s="260"/>
      <c r="T2448" s="260"/>
      <c r="U2448" s="260"/>
      <c r="V2448" s="260"/>
      <c r="W2448" s="260"/>
      <c r="X2448" s="260"/>
      <c r="Y2448" s="260"/>
      <c r="Z2448" s="260"/>
      <c r="AA2448" s="260"/>
      <c r="AB2448" s="260"/>
      <c r="AC2448" s="260"/>
      <c r="AD2448" s="260"/>
      <c r="AE2448" s="260"/>
      <c r="AF2448" s="260"/>
      <c r="AG2448" s="258"/>
    </row>
    <row r="2449" spans="13:33" ht="12" hidden="1" customHeight="1">
      <c r="M2449" s="820"/>
      <c r="N2449" s="239"/>
      <c r="O2449" s="225"/>
      <c r="P2449" s="260"/>
      <c r="Q2449" s="258"/>
      <c r="R2449" s="260"/>
      <c r="S2449" s="260"/>
      <c r="T2449" s="260"/>
      <c r="U2449" s="260"/>
      <c r="V2449" s="260"/>
      <c r="W2449" s="260"/>
      <c r="X2449" s="260"/>
      <c r="Y2449" s="260"/>
      <c r="Z2449" s="260"/>
      <c r="AA2449" s="260"/>
      <c r="AB2449" s="260"/>
      <c r="AC2449" s="260"/>
      <c r="AD2449" s="260"/>
      <c r="AE2449" s="260"/>
      <c r="AF2449" s="260"/>
      <c r="AG2449" s="258"/>
    </row>
    <row r="2450" spans="13:33" ht="12" hidden="1" customHeight="1">
      <c r="M2450" s="820"/>
      <c r="N2450" s="239"/>
      <c r="O2450" s="225"/>
      <c r="P2450" s="260"/>
      <c r="Q2450" s="258"/>
      <c r="R2450" s="260"/>
      <c r="S2450" s="260"/>
      <c r="T2450" s="260"/>
      <c r="U2450" s="260"/>
      <c r="V2450" s="260"/>
      <c r="W2450" s="260"/>
      <c r="X2450" s="260"/>
      <c r="Y2450" s="260"/>
      <c r="Z2450" s="260"/>
      <c r="AA2450" s="260"/>
      <c r="AB2450" s="260"/>
      <c r="AC2450" s="260"/>
      <c r="AD2450" s="260"/>
      <c r="AE2450" s="260"/>
      <c r="AF2450" s="260"/>
      <c r="AG2450" s="258"/>
    </row>
    <row r="2451" spans="13:33" ht="12" hidden="1" customHeight="1">
      <c r="M2451" s="820"/>
      <c r="N2451" s="239"/>
      <c r="O2451" s="225"/>
      <c r="P2451" s="260"/>
      <c r="Q2451" s="258"/>
      <c r="R2451" s="260"/>
      <c r="S2451" s="260"/>
      <c r="T2451" s="260"/>
      <c r="U2451" s="260"/>
      <c r="V2451" s="260"/>
      <c r="W2451" s="260"/>
      <c r="X2451" s="260"/>
      <c r="Y2451" s="260"/>
      <c r="Z2451" s="260"/>
      <c r="AA2451" s="260"/>
      <c r="AB2451" s="260"/>
      <c r="AC2451" s="260"/>
      <c r="AD2451" s="260"/>
      <c r="AE2451" s="260"/>
      <c r="AF2451" s="260"/>
      <c r="AG2451" s="258"/>
    </row>
    <row r="2452" spans="13:33" ht="12" hidden="1" customHeight="1">
      <c r="M2452" s="820"/>
      <c r="N2452" s="239"/>
      <c r="O2452" s="225"/>
      <c r="P2452" s="260"/>
      <c r="Q2452" s="258"/>
      <c r="R2452" s="260"/>
      <c r="S2452" s="260"/>
      <c r="T2452" s="260"/>
      <c r="U2452" s="260"/>
      <c r="V2452" s="260"/>
      <c r="W2452" s="260"/>
      <c r="X2452" s="260"/>
      <c r="Y2452" s="260"/>
      <c r="Z2452" s="260"/>
      <c r="AA2452" s="260"/>
      <c r="AB2452" s="260"/>
      <c r="AC2452" s="260"/>
      <c r="AD2452" s="260"/>
      <c r="AE2452" s="260"/>
      <c r="AF2452" s="260"/>
      <c r="AG2452" s="258"/>
    </row>
    <row r="2453" spans="13:33" ht="12" hidden="1" customHeight="1">
      <c r="M2453" s="820"/>
      <c r="N2453" s="239"/>
      <c r="O2453" s="225"/>
      <c r="P2453" s="260"/>
      <c r="Q2453" s="258"/>
      <c r="R2453" s="260"/>
      <c r="S2453" s="260"/>
      <c r="T2453" s="260"/>
      <c r="U2453" s="260"/>
      <c r="V2453" s="260"/>
      <c r="W2453" s="260"/>
      <c r="X2453" s="260"/>
      <c r="Y2453" s="260"/>
      <c r="Z2453" s="260"/>
      <c r="AA2453" s="260"/>
      <c r="AB2453" s="260"/>
      <c r="AC2453" s="260"/>
      <c r="AD2453" s="260"/>
      <c r="AE2453" s="260"/>
      <c r="AF2453" s="260"/>
      <c r="AG2453" s="258"/>
    </row>
    <row r="2454" spans="13:33" ht="12" hidden="1" customHeight="1">
      <c r="M2454" s="820"/>
      <c r="N2454" s="239"/>
      <c r="O2454" s="225"/>
      <c r="P2454" s="260"/>
      <c r="Q2454" s="258"/>
      <c r="R2454" s="260"/>
      <c r="S2454" s="260"/>
      <c r="T2454" s="260"/>
      <c r="U2454" s="260"/>
      <c r="V2454" s="260"/>
      <c r="W2454" s="260"/>
      <c r="X2454" s="260"/>
      <c r="Y2454" s="260"/>
      <c r="Z2454" s="260"/>
      <c r="AA2454" s="260"/>
      <c r="AB2454" s="260"/>
      <c r="AC2454" s="260"/>
      <c r="AD2454" s="260"/>
      <c r="AE2454" s="260"/>
      <c r="AF2454" s="260"/>
      <c r="AG2454" s="258"/>
    </row>
    <row r="2455" spans="13:33" ht="12" hidden="1" customHeight="1">
      <c r="M2455" s="820"/>
      <c r="N2455" s="239"/>
      <c r="O2455" s="225"/>
      <c r="P2455" s="260"/>
      <c r="Q2455" s="258"/>
      <c r="R2455" s="260"/>
      <c r="S2455" s="260"/>
      <c r="T2455" s="260"/>
      <c r="U2455" s="260"/>
      <c r="V2455" s="260"/>
      <c r="W2455" s="260"/>
      <c r="X2455" s="260"/>
      <c r="Y2455" s="260"/>
      <c r="Z2455" s="260"/>
      <c r="AA2455" s="260"/>
      <c r="AB2455" s="260"/>
      <c r="AC2455" s="260"/>
      <c r="AD2455" s="260"/>
      <c r="AE2455" s="260"/>
      <c r="AF2455" s="260"/>
      <c r="AG2455" s="258"/>
    </row>
    <row r="2456" spans="13:33" ht="12" hidden="1" customHeight="1">
      <c r="M2456" s="820"/>
      <c r="N2456" s="239"/>
      <c r="O2456" s="225"/>
      <c r="P2456" s="260"/>
      <c r="Q2456" s="258"/>
      <c r="R2456" s="260"/>
      <c r="S2456" s="260"/>
      <c r="T2456" s="260"/>
      <c r="U2456" s="260"/>
      <c r="V2456" s="260"/>
      <c r="W2456" s="260"/>
      <c r="X2456" s="260"/>
      <c r="Y2456" s="260"/>
      <c r="Z2456" s="260"/>
      <c r="AA2456" s="260"/>
      <c r="AB2456" s="260"/>
      <c r="AC2456" s="260"/>
      <c r="AD2456" s="260"/>
      <c r="AE2456" s="260"/>
      <c r="AF2456" s="260"/>
      <c r="AG2456" s="258"/>
    </row>
    <row r="2457" spans="13:33" ht="12" hidden="1" customHeight="1">
      <c r="M2457" s="820"/>
      <c r="N2457" s="239"/>
      <c r="O2457" s="225"/>
      <c r="P2457" s="260"/>
      <c r="Q2457" s="258"/>
      <c r="R2457" s="260"/>
      <c r="S2457" s="260"/>
      <c r="T2457" s="260"/>
      <c r="U2457" s="260"/>
      <c r="V2457" s="260"/>
      <c r="W2457" s="260"/>
      <c r="X2457" s="260"/>
      <c r="Y2457" s="260"/>
      <c r="Z2457" s="260"/>
      <c r="AA2457" s="260"/>
      <c r="AB2457" s="260"/>
      <c r="AC2457" s="260"/>
      <c r="AD2457" s="260"/>
      <c r="AE2457" s="260"/>
      <c r="AF2457" s="260"/>
      <c r="AG2457" s="258"/>
    </row>
    <row r="2458" spans="13:33" ht="12" hidden="1" customHeight="1">
      <c r="M2458" s="820"/>
      <c r="N2458" s="239"/>
      <c r="O2458" s="225"/>
      <c r="P2458" s="260"/>
      <c r="Q2458" s="258"/>
      <c r="R2458" s="260"/>
      <c r="S2458" s="260"/>
      <c r="T2458" s="260"/>
      <c r="U2458" s="260"/>
      <c r="V2458" s="260"/>
      <c r="W2458" s="260"/>
      <c r="X2458" s="260"/>
      <c r="Y2458" s="260"/>
      <c r="Z2458" s="260"/>
      <c r="AA2458" s="260"/>
      <c r="AB2458" s="260"/>
      <c r="AC2458" s="260"/>
      <c r="AD2458" s="260"/>
      <c r="AE2458" s="260"/>
      <c r="AF2458" s="260"/>
      <c r="AG2458" s="258"/>
    </row>
    <row r="2459" spans="13:33" ht="12" hidden="1" customHeight="1">
      <c r="M2459" s="820"/>
      <c r="N2459" s="239"/>
      <c r="O2459" s="225"/>
      <c r="P2459" s="260"/>
      <c r="Q2459" s="258"/>
      <c r="R2459" s="260"/>
      <c r="S2459" s="260"/>
      <c r="T2459" s="260"/>
      <c r="U2459" s="260"/>
      <c r="V2459" s="260"/>
      <c r="W2459" s="260"/>
      <c r="X2459" s="260"/>
      <c r="Y2459" s="260"/>
      <c r="Z2459" s="260"/>
      <c r="AA2459" s="260"/>
      <c r="AB2459" s="260"/>
      <c r="AC2459" s="260"/>
      <c r="AD2459" s="260"/>
      <c r="AE2459" s="260"/>
      <c r="AF2459" s="260"/>
      <c r="AG2459" s="258"/>
    </row>
    <row r="2460" spans="13:33" ht="12" hidden="1" customHeight="1">
      <c r="M2460" s="820"/>
      <c r="N2460" s="239"/>
      <c r="O2460" s="225"/>
      <c r="P2460" s="260"/>
      <c r="Q2460" s="258"/>
      <c r="R2460" s="260"/>
      <c r="S2460" s="260"/>
      <c r="T2460" s="260"/>
      <c r="U2460" s="260"/>
      <c r="V2460" s="260"/>
      <c r="W2460" s="260"/>
      <c r="X2460" s="260"/>
      <c r="Y2460" s="260"/>
      <c r="Z2460" s="260"/>
      <c r="AA2460" s="260"/>
      <c r="AB2460" s="260"/>
      <c r="AC2460" s="260"/>
      <c r="AD2460" s="260"/>
      <c r="AE2460" s="260"/>
      <c r="AF2460" s="260"/>
      <c r="AG2460" s="258"/>
    </row>
    <row r="2461" spans="13:33" ht="12" hidden="1" customHeight="1">
      <c r="M2461" s="820"/>
      <c r="N2461" s="239"/>
      <c r="O2461" s="225"/>
      <c r="P2461" s="260"/>
      <c r="Q2461" s="258"/>
      <c r="R2461" s="260"/>
      <c r="S2461" s="260"/>
      <c r="T2461" s="260"/>
      <c r="U2461" s="260"/>
      <c r="V2461" s="260"/>
      <c r="W2461" s="260"/>
      <c r="X2461" s="260"/>
      <c r="Y2461" s="260"/>
      <c r="Z2461" s="260"/>
      <c r="AA2461" s="260"/>
      <c r="AB2461" s="260"/>
      <c r="AC2461" s="260"/>
      <c r="AD2461" s="260"/>
      <c r="AE2461" s="260"/>
      <c r="AF2461" s="260"/>
      <c r="AG2461" s="258"/>
    </row>
    <row r="2462" spans="13:33" ht="12" hidden="1" customHeight="1">
      <c r="M2462" s="820"/>
      <c r="N2462" s="239"/>
      <c r="O2462" s="225"/>
      <c r="P2462" s="260"/>
      <c r="Q2462" s="258"/>
      <c r="R2462" s="260"/>
      <c r="S2462" s="260"/>
      <c r="T2462" s="260"/>
      <c r="U2462" s="260"/>
      <c r="V2462" s="260"/>
      <c r="W2462" s="260"/>
      <c r="X2462" s="260"/>
      <c r="Y2462" s="260"/>
      <c r="Z2462" s="260"/>
      <c r="AA2462" s="260"/>
      <c r="AB2462" s="260"/>
      <c r="AC2462" s="260"/>
      <c r="AD2462" s="260"/>
      <c r="AE2462" s="260"/>
      <c r="AF2462" s="260"/>
      <c r="AG2462" s="258"/>
    </row>
    <row r="2463" spans="13:33" ht="12" hidden="1" customHeight="1">
      <c r="M2463" s="820"/>
      <c r="N2463" s="239"/>
      <c r="O2463" s="225"/>
      <c r="P2463" s="260"/>
      <c r="Q2463" s="258"/>
      <c r="R2463" s="260"/>
      <c r="S2463" s="260"/>
      <c r="T2463" s="260"/>
      <c r="U2463" s="260"/>
      <c r="V2463" s="260"/>
      <c r="W2463" s="260"/>
      <c r="X2463" s="260"/>
      <c r="Y2463" s="260"/>
      <c r="Z2463" s="260"/>
      <c r="AA2463" s="260"/>
      <c r="AB2463" s="260"/>
      <c r="AC2463" s="260"/>
      <c r="AD2463" s="260"/>
      <c r="AE2463" s="260"/>
      <c r="AF2463" s="260"/>
      <c r="AG2463" s="258"/>
    </row>
    <row r="2464" spans="13:33" ht="12" hidden="1" customHeight="1">
      <c r="M2464" s="820"/>
      <c r="N2464" s="239"/>
      <c r="O2464" s="225"/>
      <c r="P2464" s="260"/>
      <c r="Q2464" s="258"/>
      <c r="R2464" s="260"/>
      <c r="S2464" s="260"/>
      <c r="T2464" s="260"/>
      <c r="U2464" s="260"/>
      <c r="V2464" s="260"/>
      <c r="W2464" s="260"/>
      <c r="X2464" s="260"/>
      <c r="Y2464" s="260"/>
      <c r="Z2464" s="260"/>
      <c r="AA2464" s="260"/>
      <c r="AB2464" s="260"/>
      <c r="AC2464" s="260"/>
      <c r="AD2464" s="260"/>
      <c r="AE2464" s="260"/>
      <c r="AF2464" s="260"/>
      <c r="AG2464" s="258"/>
    </row>
    <row r="2465" spans="13:33" ht="12" hidden="1" customHeight="1">
      <c r="M2465" s="820"/>
      <c r="N2465" s="239"/>
      <c r="O2465" s="225"/>
      <c r="P2465" s="260"/>
      <c r="Q2465" s="258"/>
      <c r="R2465" s="260"/>
      <c r="S2465" s="260"/>
      <c r="T2465" s="260"/>
      <c r="U2465" s="260"/>
      <c r="V2465" s="260"/>
      <c r="W2465" s="260"/>
      <c r="X2465" s="260"/>
      <c r="Y2465" s="260"/>
      <c r="Z2465" s="260"/>
      <c r="AA2465" s="260"/>
      <c r="AB2465" s="260"/>
      <c r="AC2465" s="260"/>
      <c r="AD2465" s="260"/>
      <c r="AE2465" s="260"/>
      <c r="AF2465" s="260"/>
      <c r="AG2465" s="258"/>
    </row>
    <row r="2466" spans="13:33" ht="12" hidden="1" customHeight="1">
      <c r="M2466" s="820"/>
      <c r="N2466" s="239"/>
      <c r="O2466" s="225"/>
      <c r="P2466" s="260"/>
      <c r="Q2466" s="258"/>
      <c r="R2466" s="260"/>
      <c r="S2466" s="260"/>
      <c r="T2466" s="260"/>
      <c r="U2466" s="260"/>
      <c r="V2466" s="260"/>
      <c r="W2466" s="260"/>
      <c r="X2466" s="260"/>
      <c r="Y2466" s="260"/>
      <c r="Z2466" s="260"/>
      <c r="AA2466" s="260"/>
      <c r="AB2466" s="260"/>
      <c r="AC2466" s="260"/>
      <c r="AD2466" s="260"/>
      <c r="AE2466" s="260"/>
      <c r="AF2466" s="260"/>
      <c r="AG2466" s="258"/>
    </row>
    <row r="2467" spans="13:33" ht="12" hidden="1" customHeight="1">
      <c r="M2467" s="820"/>
      <c r="N2467" s="239"/>
      <c r="O2467" s="225"/>
      <c r="P2467" s="260"/>
      <c r="Q2467" s="258"/>
      <c r="R2467" s="260"/>
      <c r="S2467" s="260"/>
      <c r="T2467" s="260"/>
      <c r="U2467" s="260"/>
      <c r="V2467" s="260"/>
      <c r="W2467" s="260"/>
      <c r="X2467" s="260"/>
      <c r="Y2467" s="260"/>
      <c r="Z2467" s="260"/>
      <c r="AA2467" s="260"/>
      <c r="AB2467" s="260"/>
      <c r="AC2467" s="260"/>
      <c r="AD2467" s="260"/>
      <c r="AE2467" s="260"/>
      <c r="AF2467" s="260"/>
      <c r="AG2467" s="258"/>
    </row>
    <row r="2468" spans="13:33" ht="12" hidden="1" customHeight="1">
      <c r="M2468" s="820"/>
      <c r="N2468" s="239"/>
      <c r="O2468" s="225"/>
      <c r="P2468" s="260"/>
      <c r="Q2468" s="258"/>
      <c r="R2468" s="260"/>
      <c r="S2468" s="260"/>
      <c r="T2468" s="260"/>
      <c r="U2468" s="260"/>
      <c r="V2468" s="260"/>
      <c r="W2468" s="260"/>
      <c r="X2468" s="260"/>
      <c r="Y2468" s="260"/>
      <c r="Z2468" s="260"/>
      <c r="AA2468" s="260"/>
      <c r="AB2468" s="260"/>
      <c r="AC2468" s="260"/>
      <c r="AD2468" s="260"/>
      <c r="AE2468" s="260"/>
      <c r="AF2468" s="260"/>
      <c r="AG2468" s="258"/>
    </row>
    <row r="2469" spans="13:33" ht="12" hidden="1" customHeight="1">
      <c r="M2469" s="820"/>
      <c r="N2469" s="239"/>
      <c r="O2469" s="225"/>
      <c r="P2469" s="260"/>
      <c r="Q2469" s="258"/>
      <c r="R2469" s="260"/>
      <c r="S2469" s="260"/>
      <c r="T2469" s="260"/>
      <c r="U2469" s="260"/>
      <c r="V2469" s="260"/>
      <c r="W2469" s="260"/>
      <c r="X2469" s="260"/>
      <c r="Y2469" s="260"/>
      <c r="Z2469" s="260"/>
      <c r="AA2469" s="260"/>
      <c r="AB2469" s="260"/>
      <c r="AC2469" s="260"/>
      <c r="AD2469" s="260"/>
      <c r="AE2469" s="260"/>
      <c r="AF2469" s="260"/>
      <c r="AG2469" s="258"/>
    </row>
    <row r="2470" spans="13:33" ht="12" hidden="1" customHeight="1">
      <c r="M2470" s="820"/>
      <c r="N2470" s="239"/>
      <c r="O2470" s="225"/>
      <c r="P2470" s="260"/>
      <c r="Q2470" s="258"/>
      <c r="R2470" s="260"/>
      <c r="S2470" s="260"/>
      <c r="T2470" s="260"/>
      <c r="U2470" s="260"/>
      <c r="V2470" s="260"/>
      <c r="W2470" s="260"/>
      <c r="X2470" s="260"/>
      <c r="Y2470" s="260"/>
      <c r="Z2470" s="260"/>
      <c r="AA2470" s="260"/>
      <c r="AB2470" s="260"/>
      <c r="AC2470" s="260"/>
      <c r="AD2470" s="260"/>
      <c r="AE2470" s="260"/>
      <c r="AF2470" s="260"/>
      <c r="AG2470" s="258"/>
    </row>
    <row r="2471" spans="13:33" ht="12" hidden="1" customHeight="1">
      <c r="M2471" s="820"/>
      <c r="N2471" s="239"/>
      <c r="O2471" s="225"/>
      <c r="P2471" s="260"/>
      <c r="Q2471" s="258"/>
      <c r="R2471" s="260"/>
      <c r="S2471" s="260"/>
      <c r="T2471" s="260"/>
      <c r="U2471" s="260"/>
      <c r="V2471" s="260"/>
      <c r="W2471" s="260"/>
      <c r="X2471" s="260"/>
      <c r="Y2471" s="260"/>
      <c r="Z2471" s="260"/>
      <c r="AA2471" s="260"/>
      <c r="AB2471" s="260"/>
      <c r="AC2471" s="260"/>
      <c r="AD2471" s="260"/>
      <c r="AE2471" s="260"/>
      <c r="AF2471" s="260"/>
      <c r="AG2471" s="258"/>
    </row>
    <row r="2472" spans="13:33" ht="12" hidden="1" customHeight="1">
      <c r="M2472" s="820"/>
      <c r="N2472" s="239"/>
      <c r="O2472" s="225"/>
      <c r="P2472" s="260"/>
      <c r="Q2472" s="258"/>
      <c r="R2472" s="260"/>
      <c r="S2472" s="260"/>
      <c r="T2472" s="260"/>
      <c r="U2472" s="260"/>
      <c r="V2472" s="260"/>
      <c r="W2472" s="260"/>
      <c r="X2472" s="260"/>
      <c r="Y2472" s="260"/>
      <c r="Z2472" s="260"/>
      <c r="AA2472" s="260"/>
      <c r="AB2472" s="260"/>
      <c r="AC2472" s="260"/>
      <c r="AD2472" s="260"/>
      <c r="AE2472" s="260"/>
      <c r="AF2472" s="260"/>
      <c r="AG2472" s="258"/>
    </row>
    <row r="2473" spans="13:33" ht="12" hidden="1" customHeight="1">
      <c r="M2473" s="820"/>
      <c r="N2473" s="239"/>
      <c r="O2473" s="225"/>
      <c r="P2473" s="260"/>
      <c r="Q2473" s="258"/>
      <c r="R2473" s="260"/>
      <c r="S2473" s="260"/>
      <c r="T2473" s="260"/>
      <c r="U2473" s="260"/>
      <c r="V2473" s="260"/>
      <c r="W2473" s="260"/>
      <c r="X2473" s="260"/>
      <c r="Y2473" s="260"/>
      <c r="Z2473" s="260"/>
      <c r="AA2473" s="260"/>
      <c r="AB2473" s="260"/>
      <c r="AC2473" s="260"/>
      <c r="AD2473" s="260"/>
      <c r="AE2473" s="260"/>
      <c r="AF2473" s="260"/>
      <c r="AG2473" s="258"/>
    </row>
    <row r="2474" spans="13:33" ht="12" hidden="1" customHeight="1">
      <c r="M2474" s="820"/>
      <c r="N2474" s="239"/>
      <c r="O2474" s="225"/>
      <c r="P2474" s="260"/>
      <c r="Q2474" s="258"/>
      <c r="R2474" s="260"/>
      <c r="S2474" s="260"/>
      <c r="T2474" s="260"/>
      <c r="U2474" s="260"/>
      <c r="V2474" s="260"/>
      <c r="W2474" s="260"/>
      <c r="X2474" s="260"/>
      <c r="Y2474" s="260"/>
      <c r="Z2474" s="260"/>
      <c r="AA2474" s="260"/>
      <c r="AB2474" s="260"/>
      <c r="AC2474" s="260"/>
      <c r="AD2474" s="260"/>
      <c r="AE2474" s="260"/>
      <c r="AF2474" s="260"/>
      <c r="AG2474" s="258"/>
    </row>
    <row r="2475" spans="13:33" ht="12" hidden="1" customHeight="1">
      <c r="M2475" s="820"/>
      <c r="N2475" s="239"/>
      <c r="O2475" s="225"/>
      <c r="P2475" s="260"/>
      <c r="Q2475" s="258"/>
      <c r="R2475" s="260"/>
      <c r="S2475" s="260"/>
      <c r="T2475" s="260"/>
      <c r="U2475" s="260"/>
      <c r="V2475" s="260"/>
      <c r="W2475" s="260"/>
      <c r="X2475" s="260"/>
      <c r="Y2475" s="260"/>
      <c r="Z2475" s="260"/>
      <c r="AA2475" s="260"/>
      <c r="AB2475" s="260"/>
      <c r="AC2475" s="260"/>
      <c r="AD2475" s="260"/>
      <c r="AE2475" s="260"/>
      <c r="AF2475" s="260"/>
      <c r="AG2475" s="258"/>
    </row>
    <row r="2476" spans="13:33" ht="12" hidden="1" customHeight="1">
      <c r="M2476" s="820"/>
      <c r="N2476" s="239"/>
      <c r="O2476" s="225"/>
      <c r="P2476" s="260"/>
      <c r="Q2476" s="258"/>
      <c r="R2476" s="260"/>
      <c r="S2476" s="260"/>
      <c r="T2476" s="260"/>
      <c r="U2476" s="260"/>
      <c r="V2476" s="260"/>
      <c r="W2476" s="260"/>
      <c r="X2476" s="260"/>
      <c r="Y2476" s="260"/>
      <c r="Z2476" s="260"/>
      <c r="AA2476" s="260"/>
      <c r="AB2476" s="260"/>
      <c r="AC2476" s="260"/>
      <c r="AD2476" s="260"/>
      <c r="AE2476" s="260"/>
      <c r="AF2476" s="260"/>
      <c r="AG2476" s="258"/>
    </row>
    <row r="2477" spans="13:33" ht="12" hidden="1" customHeight="1">
      <c r="M2477" s="820"/>
      <c r="N2477" s="239"/>
      <c r="O2477" s="225"/>
      <c r="P2477" s="260"/>
      <c r="Q2477" s="258"/>
      <c r="R2477" s="260"/>
      <c r="S2477" s="260"/>
      <c r="T2477" s="260"/>
      <c r="U2477" s="260"/>
      <c r="V2477" s="260"/>
      <c r="W2477" s="260"/>
      <c r="X2477" s="260"/>
      <c r="Y2477" s="260"/>
      <c r="Z2477" s="260"/>
      <c r="AA2477" s="260"/>
      <c r="AB2477" s="260"/>
      <c r="AC2477" s="260"/>
      <c r="AD2477" s="260"/>
      <c r="AE2477" s="260"/>
      <c r="AF2477" s="260"/>
      <c r="AG2477" s="258"/>
    </row>
    <row r="2478" spans="13:33" ht="12" hidden="1" customHeight="1">
      <c r="M2478" s="820"/>
      <c r="N2478" s="239"/>
      <c r="O2478" s="225"/>
      <c r="P2478" s="260"/>
      <c r="Q2478" s="258"/>
      <c r="R2478" s="260"/>
      <c r="S2478" s="260"/>
      <c r="T2478" s="260"/>
      <c r="U2478" s="260"/>
      <c r="V2478" s="260"/>
      <c r="W2478" s="260"/>
      <c r="X2478" s="260"/>
      <c r="Y2478" s="260"/>
      <c r="Z2478" s="260"/>
      <c r="AA2478" s="260"/>
      <c r="AB2478" s="260"/>
      <c r="AC2478" s="260"/>
      <c r="AD2478" s="260"/>
      <c r="AE2478" s="260"/>
      <c r="AF2478" s="260"/>
      <c r="AG2478" s="258"/>
    </row>
    <row r="2479" spans="13:33" ht="12" hidden="1" customHeight="1">
      <c r="M2479" s="820"/>
      <c r="N2479" s="239"/>
      <c r="O2479" s="225"/>
      <c r="P2479" s="260"/>
      <c r="Q2479" s="258"/>
      <c r="R2479" s="260"/>
      <c r="S2479" s="260"/>
      <c r="T2479" s="260"/>
      <c r="U2479" s="260"/>
      <c r="V2479" s="260"/>
      <c r="W2479" s="260"/>
      <c r="X2479" s="260"/>
      <c r="Y2479" s="260"/>
      <c r="Z2479" s="260"/>
      <c r="AA2479" s="260"/>
      <c r="AB2479" s="260"/>
      <c r="AC2479" s="260"/>
      <c r="AD2479" s="260"/>
      <c r="AE2479" s="260"/>
      <c r="AF2479" s="260"/>
      <c r="AG2479" s="258"/>
    </row>
    <row r="2480" spans="13:33" ht="12" hidden="1" customHeight="1">
      <c r="M2480" s="820"/>
      <c r="N2480" s="239"/>
      <c r="O2480" s="225"/>
      <c r="P2480" s="260"/>
      <c r="Q2480" s="258"/>
      <c r="R2480" s="260"/>
      <c r="S2480" s="260"/>
      <c r="T2480" s="260"/>
      <c r="U2480" s="260"/>
      <c r="V2480" s="260"/>
      <c r="W2480" s="260"/>
      <c r="X2480" s="260"/>
      <c r="Y2480" s="260"/>
      <c r="Z2480" s="260"/>
      <c r="AA2480" s="260"/>
      <c r="AB2480" s="260"/>
      <c r="AC2480" s="260"/>
      <c r="AD2480" s="260"/>
      <c r="AE2480" s="260"/>
      <c r="AF2480" s="260"/>
      <c r="AG2480" s="258"/>
    </row>
    <row r="2481" spans="13:33" ht="12" hidden="1" customHeight="1">
      <c r="M2481" s="820"/>
      <c r="N2481" s="239"/>
      <c r="O2481" s="225"/>
      <c r="P2481" s="260"/>
      <c r="Q2481" s="258"/>
      <c r="R2481" s="260"/>
      <c r="S2481" s="260"/>
      <c r="T2481" s="260"/>
      <c r="U2481" s="260"/>
      <c r="V2481" s="260"/>
      <c r="W2481" s="260"/>
      <c r="X2481" s="260"/>
      <c r="Y2481" s="260"/>
      <c r="Z2481" s="260"/>
      <c r="AA2481" s="260"/>
      <c r="AB2481" s="260"/>
      <c r="AC2481" s="260"/>
      <c r="AD2481" s="260"/>
      <c r="AE2481" s="260"/>
      <c r="AF2481" s="260"/>
      <c r="AG2481" s="258"/>
    </row>
    <row r="2482" spans="13:33" ht="12" hidden="1" customHeight="1">
      <c r="M2482" s="820"/>
      <c r="N2482" s="239"/>
      <c r="O2482" s="225"/>
      <c r="P2482" s="260"/>
      <c r="Q2482" s="258"/>
      <c r="R2482" s="260"/>
      <c r="S2482" s="260"/>
      <c r="T2482" s="260"/>
      <c r="U2482" s="260"/>
      <c r="V2482" s="260"/>
      <c r="W2482" s="260"/>
      <c r="X2482" s="260"/>
      <c r="Y2482" s="260"/>
      <c r="Z2482" s="260"/>
      <c r="AA2482" s="260"/>
      <c r="AB2482" s="260"/>
      <c r="AC2482" s="260"/>
      <c r="AD2482" s="260"/>
      <c r="AE2482" s="260"/>
      <c r="AF2482" s="260"/>
      <c r="AG2482" s="258"/>
    </row>
    <row r="2483" spans="13:33" ht="12" hidden="1" customHeight="1">
      <c r="M2483" s="820"/>
      <c r="N2483" s="239"/>
      <c r="O2483" s="225"/>
      <c r="P2483" s="260"/>
      <c r="Q2483" s="258"/>
      <c r="R2483" s="260"/>
      <c r="S2483" s="260"/>
      <c r="T2483" s="260"/>
      <c r="U2483" s="260"/>
      <c r="V2483" s="260"/>
      <c r="W2483" s="260"/>
      <c r="X2483" s="260"/>
      <c r="Y2483" s="260"/>
      <c r="Z2483" s="260"/>
      <c r="AA2483" s="260"/>
      <c r="AB2483" s="260"/>
      <c r="AC2483" s="260"/>
      <c r="AD2483" s="260"/>
      <c r="AE2483" s="260"/>
      <c r="AF2483" s="260"/>
      <c r="AG2483" s="258"/>
    </row>
    <row r="2484" spans="13:33" ht="12" hidden="1" customHeight="1">
      <c r="M2484" s="820"/>
      <c r="N2484" s="239"/>
      <c r="O2484" s="225"/>
      <c r="P2484" s="260"/>
      <c r="Q2484" s="258"/>
      <c r="R2484" s="260"/>
      <c r="S2484" s="260"/>
      <c r="T2484" s="260"/>
      <c r="U2484" s="260"/>
      <c r="V2484" s="260"/>
      <c r="W2484" s="260"/>
      <c r="X2484" s="260"/>
      <c r="Y2484" s="260"/>
      <c r="Z2484" s="260"/>
      <c r="AA2484" s="260"/>
      <c r="AB2484" s="260"/>
      <c r="AC2484" s="260"/>
      <c r="AD2484" s="260"/>
      <c r="AE2484" s="260"/>
      <c r="AF2484" s="260"/>
      <c r="AG2484" s="258"/>
    </row>
    <row r="2485" spans="13:33" ht="12" hidden="1" customHeight="1">
      <c r="M2485" s="820"/>
      <c r="N2485" s="239"/>
      <c r="O2485" s="225"/>
      <c r="P2485" s="260"/>
      <c r="Q2485" s="258"/>
      <c r="R2485" s="260"/>
      <c r="S2485" s="260"/>
      <c r="T2485" s="260"/>
      <c r="U2485" s="260"/>
      <c r="V2485" s="260"/>
      <c r="W2485" s="260"/>
      <c r="X2485" s="260"/>
      <c r="Y2485" s="260"/>
      <c r="Z2485" s="260"/>
      <c r="AA2485" s="260"/>
      <c r="AB2485" s="260"/>
      <c r="AC2485" s="260"/>
      <c r="AD2485" s="260"/>
      <c r="AE2485" s="260"/>
      <c r="AF2485" s="260"/>
      <c r="AG2485" s="258"/>
    </row>
    <row r="2486" spans="13:33" ht="12" hidden="1" customHeight="1">
      <c r="M2486" s="820"/>
      <c r="N2486" s="239"/>
      <c r="O2486" s="225"/>
      <c r="P2486" s="260"/>
      <c r="Q2486" s="258"/>
      <c r="R2486" s="260"/>
      <c r="S2486" s="260"/>
      <c r="T2486" s="260"/>
      <c r="U2486" s="260"/>
      <c r="V2486" s="260"/>
      <c r="W2486" s="260"/>
      <c r="X2486" s="260"/>
      <c r="Y2486" s="260"/>
      <c r="Z2486" s="260"/>
      <c r="AA2486" s="260"/>
      <c r="AB2486" s="260"/>
      <c r="AC2486" s="260"/>
      <c r="AD2486" s="260"/>
      <c r="AE2486" s="260"/>
      <c r="AF2486" s="260"/>
      <c r="AG2486" s="258"/>
    </row>
    <row r="2487" spans="13:33" ht="12" hidden="1" customHeight="1">
      <c r="M2487" s="820"/>
      <c r="N2487" s="239"/>
      <c r="O2487" s="225"/>
      <c r="P2487" s="260"/>
      <c r="Q2487" s="258"/>
      <c r="R2487" s="260"/>
      <c r="S2487" s="260"/>
      <c r="T2487" s="260"/>
      <c r="U2487" s="260"/>
      <c r="V2487" s="260"/>
      <c r="W2487" s="260"/>
      <c r="X2487" s="260"/>
      <c r="Y2487" s="260"/>
      <c r="Z2487" s="260"/>
      <c r="AA2487" s="260"/>
      <c r="AB2487" s="260"/>
      <c r="AC2487" s="260"/>
      <c r="AD2487" s="260"/>
      <c r="AE2487" s="260"/>
      <c r="AF2487" s="260"/>
      <c r="AG2487" s="258"/>
    </row>
    <row r="2488" spans="13:33" ht="12" hidden="1" customHeight="1">
      <c r="M2488" s="820"/>
      <c r="N2488" s="239"/>
      <c r="O2488" s="225"/>
      <c r="P2488" s="260"/>
      <c r="Q2488" s="258"/>
      <c r="R2488" s="260"/>
      <c r="S2488" s="260"/>
      <c r="T2488" s="260"/>
      <c r="U2488" s="260"/>
      <c r="V2488" s="260"/>
      <c r="W2488" s="260"/>
      <c r="X2488" s="260"/>
      <c r="Y2488" s="260"/>
      <c r="Z2488" s="260"/>
      <c r="AA2488" s="260"/>
      <c r="AB2488" s="260"/>
      <c r="AC2488" s="260"/>
      <c r="AD2488" s="260"/>
      <c r="AE2488" s="260"/>
      <c r="AF2488" s="260"/>
      <c r="AG2488" s="258"/>
    </row>
    <row r="2489" spans="13:33" ht="12" hidden="1" customHeight="1">
      <c r="M2489" s="820"/>
      <c r="N2489" s="239"/>
      <c r="O2489" s="225"/>
      <c r="P2489" s="260"/>
      <c r="Q2489" s="258"/>
      <c r="R2489" s="260"/>
      <c r="S2489" s="260"/>
      <c r="T2489" s="260"/>
      <c r="U2489" s="260"/>
      <c r="V2489" s="260"/>
      <c r="W2489" s="260"/>
      <c r="X2489" s="260"/>
      <c r="Y2489" s="260"/>
      <c r="Z2489" s="260"/>
      <c r="AA2489" s="260"/>
      <c r="AB2489" s="260"/>
      <c r="AC2489" s="260"/>
      <c r="AD2489" s="260"/>
      <c r="AE2489" s="260"/>
      <c r="AF2489" s="260"/>
      <c r="AG2489" s="258"/>
    </row>
    <row r="2490" spans="13:33" ht="12" hidden="1" customHeight="1">
      <c r="M2490" s="820"/>
      <c r="N2490" s="239"/>
      <c r="O2490" s="225"/>
      <c r="P2490" s="260"/>
      <c r="Q2490" s="258"/>
      <c r="R2490" s="260"/>
      <c r="S2490" s="260"/>
      <c r="T2490" s="260"/>
      <c r="U2490" s="260"/>
      <c r="V2490" s="260"/>
      <c r="W2490" s="260"/>
      <c r="X2490" s="260"/>
      <c r="Y2490" s="260"/>
      <c r="Z2490" s="260"/>
      <c r="AA2490" s="260"/>
      <c r="AB2490" s="260"/>
      <c r="AC2490" s="260"/>
      <c r="AD2490" s="260"/>
      <c r="AE2490" s="260"/>
      <c r="AF2490" s="260"/>
      <c r="AG2490" s="258"/>
    </row>
    <row r="2491" spans="13:33" ht="12" hidden="1" customHeight="1">
      <c r="M2491" s="820"/>
      <c r="N2491" s="239"/>
      <c r="O2491" s="225"/>
      <c r="P2491" s="260"/>
      <c r="Q2491" s="258"/>
      <c r="R2491" s="260"/>
      <c r="S2491" s="260"/>
      <c r="T2491" s="260"/>
      <c r="U2491" s="260"/>
      <c r="V2491" s="260"/>
      <c r="W2491" s="260"/>
      <c r="X2491" s="260"/>
      <c r="Y2491" s="260"/>
      <c r="Z2491" s="260"/>
      <c r="AA2491" s="260"/>
      <c r="AB2491" s="260"/>
      <c r="AC2491" s="260"/>
      <c r="AD2491" s="260"/>
      <c r="AE2491" s="260"/>
      <c r="AF2491" s="260"/>
      <c r="AG2491" s="258"/>
    </row>
    <row r="2492" spans="13:33" ht="12" hidden="1" customHeight="1">
      <c r="M2492" s="820"/>
      <c r="N2492" s="239"/>
      <c r="O2492" s="225"/>
      <c r="P2492" s="260"/>
      <c r="Q2492" s="258"/>
      <c r="R2492" s="260"/>
      <c r="S2492" s="260"/>
      <c r="T2492" s="260"/>
      <c r="U2492" s="260"/>
      <c r="V2492" s="260"/>
      <c r="W2492" s="260"/>
      <c r="X2492" s="260"/>
      <c r="Y2492" s="260"/>
      <c r="Z2492" s="260"/>
      <c r="AA2492" s="260"/>
      <c r="AB2492" s="260"/>
      <c r="AC2492" s="260"/>
      <c r="AD2492" s="260"/>
      <c r="AE2492" s="260"/>
      <c r="AF2492" s="260"/>
      <c r="AG2492" s="258"/>
    </row>
    <row r="2493" spans="13:33" ht="12" hidden="1" customHeight="1">
      <c r="M2493" s="820"/>
      <c r="N2493" s="239"/>
      <c r="O2493" s="225"/>
      <c r="P2493" s="260"/>
      <c r="Q2493" s="258"/>
      <c r="R2493" s="260"/>
      <c r="S2493" s="260"/>
      <c r="T2493" s="260"/>
      <c r="U2493" s="260"/>
      <c r="V2493" s="260"/>
      <c r="W2493" s="260"/>
      <c r="X2493" s="260"/>
      <c r="Y2493" s="260"/>
      <c r="Z2493" s="260"/>
      <c r="AA2493" s="260"/>
      <c r="AB2493" s="260"/>
      <c r="AC2493" s="260"/>
      <c r="AD2493" s="260"/>
      <c r="AE2493" s="260"/>
      <c r="AF2493" s="260"/>
      <c r="AG2493" s="258"/>
    </row>
    <row r="2494" spans="13:33" ht="12" hidden="1" customHeight="1">
      <c r="M2494" s="820"/>
      <c r="N2494" s="239"/>
      <c r="O2494" s="225"/>
      <c r="P2494" s="260"/>
      <c r="Q2494" s="258"/>
      <c r="R2494" s="260"/>
      <c r="S2494" s="260"/>
      <c r="T2494" s="260"/>
      <c r="U2494" s="260"/>
      <c r="V2494" s="260"/>
      <c r="W2494" s="260"/>
      <c r="X2494" s="260"/>
      <c r="Y2494" s="260"/>
      <c r="Z2494" s="260"/>
      <c r="AA2494" s="260"/>
      <c r="AB2494" s="260"/>
      <c r="AC2494" s="260"/>
      <c r="AD2494" s="260"/>
      <c r="AE2494" s="260"/>
      <c r="AF2494" s="260"/>
      <c r="AG2494" s="258"/>
    </row>
    <row r="2495" spans="13:33" ht="12" hidden="1" customHeight="1">
      <c r="M2495" s="820"/>
      <c r="N2495" s="239"/>
      <c r="O2495" s="225"/>
      <c r="P2495" s="260"/>
      <c r="Q2495" s="258"/>
      <c r="R2495" s="260"/>
      <c r="S2495" s="260"/>
      <c r="T2495" s="260"/>
      <c r="U2495" s="260"/>
      <c r="V2495" s="260"/>
      <c r="W2495" s="260"/>
      <c r="X2495" s="260"/>
      <c r="Y2495" s="260"/>
      <c r="Z2495" s="260"/>
      <c r="AA2495" s="260"/>
      <c r="AB2495" s="260"/>
      <c r="AC2495" s="260"/>
      <c r="AD2495" s="260"/>
      <c r="AE2495" s="260"/>
      <c r="AF2495" s="260"/>
      <c r="AG2495" s="258"/>
    </row>
    <row r="2496" spans="13:33" ht="12" hidden="1" customHeight="1">
      <c r="M2496" s="820"/>
      <c r="N2496" s="239"/>
      <c r="O2496" s="225"/>
      <c r="P2496" s="260"/>
      <c r="Q2496" s="258"/>
      <c r="R2496" s="260"/>
      <c r="S2496" s="260"/>
      <c r="T2496" s="260"/>
      <c r="U2496" s="260"/>
      <c r="V2496" s="260"/>
      <c r="W2496" s="260"/>
      <c r="X2496" s="260"/>
      <c r="Y2496" s="260"/>
      <c r="Z2496" s="260"/>
      <c r="AA2496" s="260"/>
      <c r="AB2496" s="260"/>
      <c r="AC2496" s="260"/>
      <c r="AD2496" s="260"/>
      <c r="AE2496" s="260"/>
      <c r="AF2496" s="260"/>
      <c r="AG2496" s="258"/>
    </row>
    <row r="2497" spans="13:33" ht="12" hidden="1" customHeight="1">
      <c r="M2497" s="820"/>
      <c r="N2497" s="239"/>
      <c r="O2497" s="225"/>
      <c r="P2497" s="260"/>
      <c r="Q2497" s="258"/>
      <c r="R2497" s="260"/>
      <c r="S2497" s="260"/>
      <c r="T2497" s="260"/>
      <c r="U2497" s="260"/>
      <c r="V2497" s="260"/>
      <c r="W2497" s="260"/>
      <c r="X2497" s="260"/>
      <c r="Y2497" s="260"/>
      <c r="Z2497" s="260"/>
      <c r="AA2497" s="260"/>
      <c r="AB2497" s="260"/>
      <c r="AC2497" s="260"/>
      <c r="AD2497" s="260"/>
      <c r="AE2497" s="260"/>
      <c r="AF2497" s="260"/>
      <c r="AG2497" s="258"/>
    </row>
    <row r="2498" spans="13:33" ht="12" hidden="1" customHeight="1">
      <c r="M2498" s="820"/>
      <c r="N2498" s="239"/>
      <c r="O2498" s="225"/>
      <c r="P2498" s="260"/>
      <c r="Q2498" s="258"/>
      <c r="R2498" s="260"/>
      <c r="S2498" s="260"/>
      <c r="T2498" s="260"/>
      <c r="U2498" s="260"/>
      <c r="V2498" s="260"/>
      <c r="W2498" s="260"/>
      <c r="X2498" s="260"/>
      <c r="Y2498" s="260"/>
      <c r="Z2498" s="260"/>
      <c r="AA2498" s="260"/>
      <c r="AB2498" s="260"/>
      <c r="AC2498" s="260"/>
      <c r="AD2498" s="260"/>
      <c r="AE2498" s="260"/>
      <c r="AF2498" s="260"/>
      <c r="AG2498" s="258"/>
    </row>
    <row r="2499" spans="13:33" ht="12" hidden="1" customHeight="1">
      <c r="M2499" s="820"/>
      <c r="N2499" s="239"/>
      <c r="O2499" s="225"/>
      <c r="P2499" s="260"/>
      <c r="Q2499" s="258"/>
      <c r="R2499" s="260"/>
      <c r="S2499" s="260"/>
      <c r="T2499" s="260"/>
      <c r="U2499" s="260"/>
      <c r="V2499" s="260"/>
      <c r="W2499" s="260"/>
      <c r="X2499" s="260"/>
      <c r="Y2499" s="260"/>
      <c r="Z2499" s="260"/>
      <c r="AA2499" s="260"/>
      <c r="AB2499" s="260"/>
      <c r="AC2499" s="260"/>
      <c r="AD2499" s="260"/>
      <c r="AE2499" s="260"/>
      <c r="AF2499" s="260"/>
      <c r="AG2499" s="258"/>
    </row>
    <row r="2500" spans="13:33" ht="12" hidden="1" customHeight="1">
      <c r="M2500" s="820"/>
      <c r="N2500" s="239"/>
      <c r="O2500" s="225"/>
      <c r="P2500" s="260"/>
      <c r="Q2500" s="258"/>
      <c r="R2500" s="260"/>
      <c r="S2500" s="260"/>
      <c r="T2500" s="260"/>
      <c r="U2500" s="260"/>
      <c r="V2500" s="260"/>
      <c r="W2500" s="260"/>
      <c r="X2500" s="260"/>
      <c r="Y2500" s="260"/>
      <c r="Z2500" s="260"/>
      <c r="AA2500" s="260"/>
      <c r="AB2500" s="260"/>
      <c r="AC2500" s="260"/>
      <c r="AD2500" s="260"/>
      <c r="AE2500" s="260"/>
      <c r="AF2500" s="260"/>
      <c r="AG2500" s="258"/>
    </row>
    <row r="2501" spans="13:33" ht="12" hidden="1" customHeight="1">
      <c r="M2501" s="820"/>
      <c r="N2501" s="239"/>
      <c r="O2501" s="225"/>
      <c r="P2501" s="260"/>
      <c r="Q2501" s="258"/>
      <c r="R2501" s="260"/>
      <c r="S2501" s="260"/>
      <c r="T2501" s="260"/>
      <c r="U2501" s="260"/>
      <c r="V2501" s="260"/>
      <c r="W2501" s="260"/>
      <c r="X2501" s="260"/>
      <c r="Y2501" s="260"/>
      <c r="Z2501" s="260"/>
      <c r="AA2501" s="260"/>
      <c r="AB2501" s="260"/>
      <c r="AC2501" s="260"/>
      <c r="AD2501" s="260"/>
      <c r="AE2501" s="260"/>
      <c r="AF2501" s="260"/>
      <c r="AG2501" s="258"/>
    </row>
    <row r="2502" spans="13:33" ht="12" hidden="1" customHeight="1">
      <c r="M2502" s="820"/>
      <c r="N2502" s="239"/>
      <c r="O2502" s="225"/>
      <c r="P2502" s="260"/>
      <c r="Q2502" s="258"/>
      <c r="R2502" s="260"/>
      <c r="S2502" s="260"/>
      <c r="T2502" s="260"/>
      <c r="U2502" s="260"/>
      <c r="V2502" s="260"/>
      <c r="W2502" s="260"/>
      <c r="X2502" s="260"/>
      <c r="Y2502" s="260"/>
      <c r="Z2502" s="260"/>
      <c r="AA2502" s="260"/>
      <c r="AB2502" s="260"/>
      <c r="AC2502" s="260"/>
      <c r="AD2502" s="260"/>
      <c r="AE2502" s="260"/>
      <c r="AF2502" s="260"/>
      <c r="AG2502" s="258"/>
    </row>
    <row r="2503" spans="13:33" ht="12" hidden="1" customHeight="1">
      <c r="M2503" s="820"/>
      <c r="N2503" s="239"/>
      <c r="O2503" s="225"/>
      <c r="P2503" s="260"/>
      <c r="Q2503" s="258"/>
      <c r="R2503" s="260"/>
      <c r="S2503" s="260"/>
      <c r="T2503" s="260"/>
      <c r="U2503" s="260"/>
      <c r="V2503" s="260"/>
      <c r="W2503" s="260"/>
      <c r="X2503" s="260"/>
      <c r="Y2503" s="260"/>
      <c r="Z2503" s="260"/>
      <c r="AA2503" s="260"/>
      <c r="AB2503" s="260"/>
      <c r="AC2503" s="260"/>
      <c r="AD2503" s="260"/>
      <c r="AE2503" s="260"/>
      <c r="AF2503" s="260"/>
      <c r="AG2503" s="258"/>
    </row>
    <row r="2504" spans="13:33" ht="12" hidden="1" customHeight="1">
      <c r="M2504" s="820"/>
      <c r="N2504" s="239"/>
      <c r="O2504" s="225"/>
      <c r="P2504" s="260"/>
      <c r="Q2504" s="258"/>
      <c r="R2504" s="260"/>
      <c r="S2504" s="260"/>
      <c r="T2504" s="260"/>
      <c r="U2504" s="260"/>
      <c r="V2504" s="260"/>
      <c r="W2504" s="260"/>
      <c r="X2504" s="260"/>
      <c r="Y2504" s="260"/>
      <c r="Z2504" s="260"/>
      <c r="AA2504" s="260"/>
      <c r="AB2504" s="260"/>
      <c r="AC2504" s="260"/>
      <c r="AD2504" s="260"/>
      <c r="AE2504" s="260"/>
      <c r="AF2504" s="260"/>
      <c r="AG2504" s="258"/>
    </row>
    <row r="2505" spans="13:33" ht="12" hidden="1" customHeight="1">
      <c r="M2505" s="820"/>
      <c r="N2505" s="239"/>
      <c r="O2505" s="225"/>
      <c r="P2505" s="260"/>
      <c r="Q2505" s="258"/>
      <c r="R2505" s="260"/>
      <c r="S2505" s="260"/>
      <c r="T2505" s="260"/>
      <c r="U2505" s="260"/>
      <c r="V2505" s="260"/>
      <c r="W2505" s="260"/>
      <c r="X2505" s="260"/>
      <c r="Y2505" s="260"/>
      <c r="Z2505" s="260"/>
      <c r="AA2505" s="260"/>
      <c r="AB2505" s="260"/>
      <c r="AC2505" s="260"/>
      <c r="AD2505" s="260"/>
      <c r="AE2505" s="260"/>
      <c r="AF2505" s="260"/>
      <c r="AG2505" s="258"/>
    </row>
    <row r="2506" spans="13:33" ht="12" hidden="1" customHeight="1">
      <c r="M2506" s="820"/>
      <c r="N2506" s="239"/>
      <c r="O2506" s="225"/>
      <c r="P2506" s="260"/>
      <c r="Q2506" s="258"/>
      <c r="R2506" s="260"/>
      <c r="S2506" s="260"/>
      <c r="T2506" s="260"/>
      <c r="U2506" s="260"/>
      <c r="V2506" s="260"/>
      <c r="W2506" s="260"/>
      <c r="X2506" s="260"/>
      <c r="Y2506" s="260"/>
      <c r="Z2506" s="260"/>
      <c r="AA2506" s="260"/>
      <c r="AB2506" s="260"/>
      <c r="AC2506" s="260"/>
      <c r="AD2506" s="260"/>
      <c r="AE2506" s="260"/>
      <c r="AF2506" s="260"/>
      <c r="AG2506" s="258"/>
    </row>
    <row r="2507" spans="13:33" ht="12" hidden="1" customHeight="1">
      <c r="M2507" s="820"/>
      <c r="N2507" s="239"/>
      <c r="O2507" s="225"/>
      <c r="P2507" s="260"/>
      <c r="Q2507" s="258"/>
      <c r="R2507" s="260"/>
      <c r="S2507" s="260"/>
      <c r="T2507" s="260"/>
      <c r="U2507" s="260"/>
      <c r="V2507" s="260"/>
      <c r="W2507" s="260"/>
      <c r="X2507" s="260"/>
      <c r="Y2507" s="260"/>
      <c r="Z2507" s="260"/>
      <c r="AA2507" s="260"/>
      <c r="AB2507" s="260"/>
      <c r="AC2507" s="260"/>
      <c r="AD2507" s="260"/>
      <c r="AE2507" s="260"/>
      <c r="AF2507" s="260"/>
      <c r="AG2507" s="258"/>
    </row>
    <row r="2508" spans="13:33" ht="12" hidden="1" customHeight="1">
      <c r="M2508" s="820"/>
      <c r="N2508" s="239"/>
      <c r="O2508" s="225"/>
      <c r="P2508" s="260"/>
      <c r="Q2508" s="258"/>
      <c r="R2508" s="260"/>
      <c r="S2508" s="260"/>
      <c r="T2508" s="260"/>
      <c r="U2508" s="260"/>
      <c r="V2508" s="260"/>
      <c r="W2508" s="260"/>
      <c r="X2508" s="260"/>
      <c r="Y2508" s="260"/>
      <c r="Z2508" s="260"/>
      <c r="AA2508" s="260"/>
      <c r="AB2508" s="260"/>
      <c r="AC2508" s="260"/>
      <c r="AD2508" s="260"/>
      <c r="AE2508" s="260"/>
      <c r="AF2508" s="260"/>
      <c r="AG2508" s="258"/>
    </row>
    <row r="2509" spans="13:33" ht="12" hidden="1" customHeight="1">
      <c r="M2509" s="820"/>
      <c r="N2509" s="239"/>
      <c r="O2509" s="225"/>
      <c r="P2509" s="260"/>
      <c r="Q2509" s="258"/>
      <c r="R2509" s="260"/>
      <c r="S2509" s="260"/>
      <c r="T2509" s="260"/>
      <c r="U2509" s="260"/>
      <c r="V2509" s="260"/>
      <c r="W2509" s="260"/>
      <c r="X2509" s="260"/>
      <c r="Y2509" s="260"/>
      <c r="Z2509" s="260"/>
      <c r="AA2509" s="260"/>
      <c r="AB2509" s="260"/>
      <c r="AC2509" s="260"/>
      <c r="AD2509" s="260"/>
      <c r="AE2509" s="260"/>
      <c r="AF2509" s="260"/>
      <c r="AG2509" s="258"/>
    </row>
    <row r="2510" spans="13:33" ht="12" hidden="1" customHeight="1">
      <c r="M2510" s="820"/>
      <c r="N2510" s="239"/>
      <c r="O2510" s="225"/>
      <c r="P2510" s="260"/>
      <c r="Q2510" s="258"/>
      <c r="R2510" s="260"/>
      <c r="S2510" s="260"/>
      <c r="T2510" s="260"/>
      <c r="U2510" s="260"/>
      <c r="V2510" s="260"/>
      <c r="W2510" s="260"/>
      <c r="X2510" s="260"/>
      <c r="Y2510" s="260"/>
      <c r="Z2510" s="260"/>
      <c r="AA2510" s="260"/>
      <c r="AB2510" s="260"/>
      <c r="AC2510" s="260"/>
      <c r="AD2510" s="260"/>
      <c r="AE2510" s="260"/>
      <c r="AF2510" s="260"/>
      <c r="AG2510" s="258"/>
    </row>
    <row r="2511" spans="13:33" ht="12" hidden="1" customHeight="1">
      <c r="M2511" s="820"/>
      <c r="N2511" s="239"/>
      <c r="O2511" s="225"/>
      <c r="P2511" s="260"/>
      <c r="Q2511" s="258"/>
      <c r="R2511" s="260"/>
      <c r="S2511" s="260"/>
      <c r="T2511" s="260"/>
      <c r="U2511" s="260"/>
      <c r="V2511" s="260"/>
      <c r="W2511" s="260"/>
      <c r="X2511" s="260"/>
      <c r="Y2511" s="260"/>
      <c r="Z2511" s="260"/>
      <c r="AA2511" s="260"/>
      <c r="AB2511" s="260"/>
      <c r="AC2511" s="260"/>
      <c r="AD2511" s="260"/>
      <c r="AE2511" s="260"/>
      <c r="AF2511" s="260"/>
      <c r="AG2511" s="258"/>
    </row>
    <row r="2512" spans="13:33" ht="12" hidden="1" customHeight="1">
      <c r="M2512" s="820"/>
      <c r="N2512" s="239"/>
      <c r="O2512" s="225"/>
      <c r="P2512" s="260"/>
      <c r="Q2512" s="258"/>
      <c r="R2512" s="260"/>
      <c r="S2512" s="260"/>
      <c r="T2512" s="260"/>
      <c r="U2512" s="260"/>
      <c r="V2512" s="260"/>
      <c r="W2512" s="260"/>
      <c r="X2512" s="260"/>
      <c r="Y2512" s="260"/>
      <c r="Z2512" s="260"/>
      <c r="AA2512" s="260"/>
      <c r="AB2512" s="260"/>
      <c r="AC2512" s="260"/>
      <c r="AD2512" s="260"/>
      <c r="AE2512" s="260"/>
      <c r="AF2512" s="260"/>
      <c r="AG2512" s="258"/>
    </row>
    <row r="2513" spans="13:33" ht="12" hidden="1" customHeight="1">
      <c r="M2513" s="820"/>
      <c r="N2513" s="239"/>
      <c r="O2513" s="225"/>
      <c r="P2513" s="260"/>
      <c r="Q2513" s="258"/>
      <c r="R2513" s="260"/>
      <c r="S2513" s="260"/>
      <c r="T2513" s="260"/>
      <c r="U2513" s="260"/>
      <c r="V2513" s="260"/>
      <c r="W2513" s="260"/>
      <c r="X2513" s="260"/>
      <c r="Y2513" s="260"/>
      <c r="Z2513" s="260"/>
      <c r="AA2513" s="260"/>
      <c r="AB2513" s="260"/>
      <c r="AC2513" s="260"/>
      <c r="AD2513" s="260"/>
      <c r="AE2513" s="260"/>
      <c r="AF2513" s="260"/>
      <c r="AG2513" s="258"/>
    </row>
    <row r="2514" spans="13:33" ht="12" hidden="1" customHeight="1">
      <c r="M2514" s="820"/>
      <c r="N2514" s="239"/>
      <c r="O2514" s="225"/>
      <c r="P2514" s="260"/>
      <c r="Q2514" s="258"/>
      <c r="R2514" s="260"/>
      <c r="S2514" s="260"/>
      <c r="T2514" s="260"/>
      <c r="U2514" s="260"/>
      <c r="V2514" s="260"/>
      <c r="W2514" s="260"/>
      <c r="X2514" s="260"/>
      <c r="Y2514" s="260"/>
      <c r="Z2514" s="260"/>
      <c r="AA2514" s="260"/>
      <c r="AB2514" s="260"/>
      <c r="AC2514" s="260"/>
      <c r="AD2514" s="260"/>
      <c r="AE2514" s="260"/>
      <c r="AF2514" s="260"/>
      <c r="AG2514" s="258"/>
    </row>
    <row r="2515" spans="13:33" ht="12" hidden="1" customHeight="1">
      <c r="M2515" s="820"/>
      <c r="N2515" s="239"/>
      <c r="O2515" s="225"/>
      <c r="P2515" s="260"/>
      <c r="Q2515" s="258"/>
      <c r="R2515" s="260"/>
      <c r="S2515" s="260"/>
      <c r="T2515" s="260"/>
      <c r="U2515" s="260"/>
      <c r="V2515" s="260"/>
      <c r="W2515" s="260"/>
      <c r="X2515" s="260"/>
      <c r="Y2515" s="260"/>
      <c r="Z2515" s="260"/>
      <c r="AA2515" s="260"/>
      <c r="AB2515" s="260"/>
      <c r="AC2515" s="260"/>
      <c r="AD2515" s="260"/>
      <c r="AE2515" s="260"/>
      <c r="AF2515" s="260"/>
      <c r="AG2515" s="258"/>
    </row>
    <row r="2516" spans="13:33" ht="12" hidden="1" customHeight="1">
      <c r="M2516" s="820"/>
      <c r="N2516" s="239"/>
      <c r="O2516" s="225"/>
      <c r="P2516" s="260"/>
      <c r="Q2516" s="258"/>
      <c r="R2516" s="260"/>
      <c r="S2516" s="260"/>
      <c r="T2516" s="260"/>
      <c r="U2516" s="260"/>
      <c r="V2516" s="260"/>
      <c r="W2516" s="260"/>
      <c r="X2516" s="260"/>
      <c r="Y2516" s="260"/>
      <c r="Z2516" s="260"/>
      <c r="AA2516" s="260"/>
      <c r="AB2516" s="260"/>
      <c r="AC2516" s="260"/>
      <c r="AD2516" s="260"/>
      <c r="AE2516" s="260"/>
      <c r="AF2516" s="260"/>
      <c r="AG2516" s="258"/>
    </row>
    <row r="2517" spans="13:33" ht="12" hidden="1" customHeight="1">
      <c r="M2517" s="820"/>
      <c r="N2517" s="239"/>
      <c r="O2517" s="225"/>
      <c r="P2517" s="260"/>
      <c r="Q2517" s="258"/>
      <c r="R2517" s="260"/>
      <c r="S2517" s="260"/>
      <c r="T2517" s="260"/>
      <c r="U2517" s="260"/>
      <c r="V2517" s="260"/>
      <c r="W2517" s="260"/>
      <c r="X2517" s="260"/>
      <c r="Y2517" s="260"/>
      <c r="Z2517" s="260"/>
      <c r="AA2517" s="260"/>
      <c r="AB2517" s="260"/>
      <c r="AC2517" s="260"/>
      <c r="AD2517" s="260"/>
      <c r="AE2517" s="260"/>
      <c r="AF2517" s="260"/>
      <c r="AG2517" s="258"/>
    </row>
    <row r="2518" spans="13:33" ht="12" hidden="1" customHeight="1">
      <c r="M2518" s="820"/>
      <c r="N2518" s="239"/>
      <c r="O2518" s="225"/>
      <c r="P2518" s="260"/>
      <c r="Q2518" s="258"/>
      <c r="R2518" s="260"/>
      <c r="S2518" s="260"/>
      <c r="T2518" s="260"/>
      <c r="U2518" s="260"/>
      <c r="V2518" s="260"/>
      <c r="W2518" s="260"/>
      <c r="X2518" s="260"/>
      <c r="Y2518" s="260"/>
      <c r="Z2518" s="260"/>
      <c r="AA2518" s="260"/>
      <c r="AB2518" s="260"/>
      <c r="AC2518" s="260"/>
      <c r="AD2518" s="260"/>
      <c r="AE2518" s="260"/>
      <c r="AF2518" s="260"/>
      <c r="AG2518" s="258"/>
    </row>
    <row r="2519" spans="13:33" ht="12" hidden="1" customHeight="1">
      <c r="M2519" s="820"/>
      <c r="N2519" s="239"/>
      <c r="O2519" s="225"/>
      <c r="P2519" s="260"/>
      <c r="Q2519" s="258"/>
      <c r="R2519" s="260"/>
      <c r="S2519" s="260"/>
      <c r="T2519" s="260"/>
      <c r="U2519" s="260"/>
      <c r="V2519" s="260"/>
      <c r="W2519" s="260"/>
      <c r="X2519" s="260"/>
      <c r="Y2519" s="260"/>
      <c r="Z2519" s="260"/>
      <c r="AA2519" s="260"/>
      <c r="AB2519" s="260"/>
      <c r="AC2519" s="260"/>
      <c r="AD2519" s="260"/>
      <c r="AE2519" s="260"/>
      <c r="AF2519" s="260"/>
      <c r="AG2519" s="258"/>
    </row>
    <row r="2520" spans="13:33" ht="12" hidden="1" customHeight="1">
      <c r="M2520" s="820"/>
      <c r="N2520" s="239"/>
      <c r="O2520" s="225"/>
      <c r="P2520" s="260"/>
      <c r="Q2520" s="258"/>
      <c r="R2520" s="260"/>
      <c r="S2520" s="260"/>
      <c r="T2520" s="260"/>
      <c r="U2520" s="260"/>
      <c r="V2520" s="260"/>
      <c r="W2520" s="260"/>
      <c r="X2520" s="260"/>
      <c r="Y2520" s="260"/>
      <c r="Z2520" s="260"/>
      <c r="AA2520" s="260"/>
      <c r="AB2520" s="260"/>
      <c r="AC2520" s="260"/>
      <c r="AD2520" s="260"/>
      <c r="AE2520" s="260"/>
      <c r="AF2520" s="260"/>
      <c r="AG2520" s="258"/>
    </row>
    <row r="2521" spans="13:33" ht="12" hidden="1" customHeight="1">
      <c r="M2521" s="820"/>
      <c r="N2521" s="239"/>
      <c r="O2521" s="225"/>
      <c r="P2521" s="260"/>
      <c r="Q2521" s="258"/>
      <c r="R2521" s="260"/>
      <c r="S2521" s="260"/>
      <c r="T2521" s="260"/>
      <c r="U2521" s="260"/>
      <c r="V2521" s="260"/>
      <c r="W2521" s="260"/>
      <c r="X2521" s="260"/>
      <c r="Y2521" s="260"/>
      <c r="Z2521" s="260"/>
      <c r="AA2521" s="260"/>
      <c r="AB2521" s="260"/>
      <c r="AC2521" s="260"/>
      <c r="AD2521" s="260"/>
      <c r="AE2521" s="260"/>
      <c r="AF2521" s="260"/>
      <c r="AG2521" s="258"/>
    </row>
    <row r="2522" spans="13:33" ht="12" hidden="1" customHeight="1">
      <c r="M2522" s="820"/>
      <c r="N2522" s="239"/>
      <c r="O2522" s="225"/>
      <c r="P2522" s="260"/>
      <c r="Q2522" s="258"/>
      <c r="R2522" s="260"/>
      <c r="S2522" s="260"/>
      <c r="T2522" s="260"/>
      <c r="U2522" s="260"/>
      <c r="V2522" s="260"/>
      <c r="W2522" s="260"/>
      <c r="X2522" s="260"/>
      <c r="Y2522" s="260"/>
      <c r="Z2522" s="260"/>
      <c r="AA2522" s="260"/>
      <c r="AB2522" s="260"/>
      <c r="AC2522" s="260"/>
      <c r="AD2522" s="260"/>
      <c r="AE2522" s="260"/>
      <c r="AF2522" s="260"/>
      <c r="AG2522" s="258"/>
    </row>
    <row r="2523" spans="13:33" ht="12" hidden="1" customHeight="1">
      <c r="M2523" s="820"/>
      <c r="N2523" s="239"/>
      <c r="O2523" s="225"/>
      <c r="P2523" s="260"/>
      <c r="Q2523" s="258"/>
      <c r="R2523" s="260"/>
      <c r="S2523" s="260"/>
      <c r="T2523" s="260"/>
      <c r="U2523" s="260"/>
      <c r="V2523" s="260"/>
      <c r="W2523" s="260"/>
      <c r="X2523" s="260"/>
      <c r="Y2523" s="260"/>
      <c r="Z2523" s="260"/>
      <c r="AA2523" s="260"/>
      <c r="AB2523" s="260"/>
      <c r="AC2523" s="260"/>
      <c r="AD2523" s="260"/>
      <c r="AE2523" s="260"/>
      <c r="AF2523" s="260"/>
      <c r="AG2523" s="258"/>
    </row>
    <row r="2524" spans="13:33" ht="12" hidden="1" customHeight="1">
      <c r="M2524" s="820"/>
      <c r="N2524" s="239"/>
      <c r="O2524" s="225"/>
      <c r="P2524" s="260"/>
      <c r="Q2524" s="258"/>
      <c r="R2524" s="260"/>
      <c r="S2524" s="260"/>
      <c r="T2524" s="260"/>
      <c r="U2524" s="260"/>
      <c r="V2524" s="260"/>
      <c r="W2524" s="260"/>
      <c r="X2524" s="260"/>
      <c r="Y2524" s="260"/>
      <c r="Z2524" s="260"/>
      <c r="AA2524" s="260"/>
      <c r="AB2524" s="260"/>
      <c r="AC2524" s="260"/>
      <c r="AD2524" s="260"/>
      <c r="AE2524" s="260"/>
      <c r="AF2524" s="260"/>
      <c r="AG2524" s="258"/>
    </row>
    <row r="2525" spans="13:33" ht="12" hidden="1" customHeight="1">
      <c r="M2525" s="820"/>
      <c r="N2525" s="239"/>
      <c r="O2525" s="225"/>
      <c r="P2525" s="260"/>
      <c r="Q2525" s="258"/>
      <c r="R2525" s="260"/>
      <c r="S2525" s="260"/>
      <c r="T2525" s="260"/>
      <c r="U2525" s="260"/>
      <c r="V2525" s="260"/>
      <c r="W2525" s="260"/>
      <c r="X2525" s="260"/>
      <c r="Y2525" s="260"/>
      <c r="Z2525" s="260"/>
      <c r="AA2525" s="260"/>
      <c r="AB2525" s="260"/>
      <c r="AC2525" s="260"/>
      <c r="AD2525" s="260"/>
      <c r="AE2525" s="260"/>
      <c r="AF2525" s="260"/>
      <c r="AG2525" s="258"/>
    </row>
    <row r="2526" spans="13:33" ht="12" hidden="1" customHeight="1">
      <c r="M2526" s="820"/>
      <c r="N2526" s="239"/>
      <c r="O2526" s="225"/>
      <c r="P2526" s="260"/>
      <c r="Q2526" s="258"/>
      <c r="R2526" s="260"/>
      <c r="S2526" s="260"/>
      <c r="T2526" s="260"/>
      <c r="U2526" s="260"/>
      <c r="V2526" s="260"/>
      <c r="W2526" s="260"/>
      <c r="X2526" s="260"/>
      <c r="Y2526" s="260"/>
      <c r="Z2526" s="260"/>
      <c r="AA2526" s="260"/>
      <c r="AB2526" s="260"/>
      <c r="AC2526" s="260"/>
      <c r="AD2526" s="260"/>
      <c r="AE2526" s="260"/>
      <c r="AF2526" s="260"/>
      <c r="AG2526" s="258"/>
    </row>
    <row r="2527" spans="13:33" ht="12" hidden="1" customHeight="1">
      <c r="M2527" s="820"/>
      <c r="N2527" s="239"/>
      <c r="O2527" s="225"/>
      <c r="P2527" s="260"/>
      <c r="Q2527" s="258"/>
      <c r="R2527" s="260"/>
      <c r="S2527" s="260"/>
      <c r="T2527" s="260"/>
      <c r="U2527" s="260"/>
      <c r="V2527" s="260"/>
      <c r="W2527" s="260"/>
      <c r="X2527" s="260"/>
      <c r="Y2527" s="260"/>
      <c r="Z2527" s="260"/>
      <c r="AA2527" s="260"/>
      <c r="AB2527" s="260"/>
      <c r="AC2527" s="260"/>
      <c r="AD2527" s="260"/>
      <c r="AE2527" s="260"/>
      <c r="AF2527" s="260"/>
      <c r="AG2527" s="258"/>
    </row>
    <row r="2528" spans="13:33" ht="12" hidden="1" customHeight="1">
      <c r="M2528" s="820"/>
      <c r="N2528" s="239"/>
      <c r="O2528" s="225"/>
      <c r="P2528" s="260"/>
      <c r="Q2528" s="258"/>
      <c r="R2528" s="260"/>
      <c r="S2528" s="260"/>
      <c r="T2528" s="260"/>
      <c r="U2528" s="260"/>
      <c r="V2528" s="260"/>
      <c r="W2528" s="260"/>
      <c r="X2528" s="260"/>
      <c r="Y2528" s="260"/>
      <c r="Z2528" s="260"/>
      <c r="AA2528" s="260"/>
      <c r="AB2528" s="260"/>
      <c r="AC2528" s="260"/>
      <c r="AD2528" s="260"/>
      <c r="AE2528" s="260"/>
      <c r="AF2528" s="260"/>
      <c r="AG2528" s="258"/>
    </row>
    <row r="2529" spans="13:33" ht="12" hidden="1" customHeight="1">
      <c r="M2529" s="820"/>
      <c r="N2529" s="239"/>
      <c r="O2529" s="225"/>
      <c r="P2529" s="260"/>
      <c r="Q2529" s="258"/>
      <c r="R2529" s="260"/>
      <c r="S2529" s="260"/>
      <c r="T2529" s="260"/>
      <c r="U2529" s="260"/>
      <c r="V2529" s="260"/>
      <c r="W2529" s="260"/>
      <c r="X2529" s="260"/>
      <c r="Y2529" s="260"/>
      <c r="Z2529" s="260"/>
      <c r="AA2529" s="260"/>
      <c r="AB2529" s="260"/>
      <c r="AC2529" s="260"/>
      <c r="AD2529" s="260"/>
      <c r="AE2529" s="260"/>
      <c r="AF2529" s="260"/>
      <c r="AG2529" s="258"/>
    </row>
    <row r="2530" spans="13:33" ht="12" hidden="1" customHeight="1">
      <c r="M2530" s="820"/>
      <c r="N2530" s="239"/>
      <c r="O2530" s="225"/>
      <c r="P2530" s="260"/>
      <c r="Q2530" s="258"/>
      <c r="R2530" s="260"/>
      <c r="S2530" s="260"/>
      <c r="T2530" s="260"/>
      <c r="U2530" s="260"/>
      <c r="V2530" s="260"/>
      <c r="W2530" s="260"/>
      <c r="X2530" s="260"/>
      <c r="Y2530" s="260"/>
      <c r="Z2530" s="260"/>
      <c r="AA2530" s="260"/>
      <c r="AB2530" s="260"/>
      <c r="AC2530" s="260"/>
      <c r="AD2530" s="260"/>
      <c r="AE2530" s="260"/>
      <c r="AF2530" s="260"/>
      <c r="AG2530" s="258"/>
    </row>
    <row r="2531" spans="13:33" ht="12" hidden="1" customHeight="1">
      <c r="M2531" s="820"/>
      <c r="N2531" s="239"/>
      <c r="O2531" s="225"/>
      <c r="P2531" s="260"/>
      <c r="Q2531" s="258"/>
      <c r="R2531" s="260"/>
      <c r="S2531" s="260"/>
      <c r="T2531" s="260"/>
      <c r="U2531" s="260"/>
      <c r="V2531" s="260"/>
      <c r="W2531" s="260"/>
      <c r="X2531" s="260"/>
      <c r="Y2531" s="260"/>
      <c r="Z2531" s="260"/>
      <c r="AA2531" s="260"/>
      <c r="AB2531" s="260"/>
      <c r="AC2531" s="260"/>
      <c r="AD2531" s="260"/>
      <c r="AE2531" s="260"/>
      <c r="AF2531" s="260"/>
      <c r="AG2531" s="258"/>
    </row>
    <row r="2532" spans="13:33" ht="12" hidden="1" customHeight="1">
      <c r="M2532" s="820"/>
      <c r="N2532" s="239"/>
      <c r="O2532" s="225"/>
      <c r="P2532" s="260"/>
      <c r="Q2532" s="258"/>
      <c r="R2532" s="260"/>
      <c r="S2532" s="260"/>
      <c r="T2532" s="260"/>
      <c r="U2532" s="260"/>
      <c r="V2532" s="260"/>
      <c r="W2532" s="260"/>
      <c r="X2532" s="260"/>
      <c r="Y2532" s="260"/>
      <c r="Z2532" s="260"/>
      <c r="AA2532" s="260"/>
      <c r="AB2532" s="260"/>
      <c r="AC2532" s="260"/>
      <c r="AD2532" s="260"/>
      <c r="AE2532" s="260"/>
      <c r="AF2532" s="260"/>
      <c r="AG2532" s="258"/>
    </row>
    <row r="2533" spans="13:33" ht="12" hidden="1" customHeight="1">
      <c r="M2533" s="820"/>
      <c r="N2533" s="239"/>
      <c r="O2533" s="225"/>
      <c r="P2533" s="260"/>
      <c r="Q2533" s="258"/>
      <c r="R2533" s="260"/>
      <c r="S2533" s="260"/>
      <c r="T2533" s="260"/>
      <c r="U2533" s="260"/>
      <c r="V2533" s="260"/>
      <c r="W2533" s="260"/>
      <c r="X2533" s="260"/>
      <c r="Y2533" s="260"/>
      <c r="Z2533" s="260"/>
      <c r="AA2533" s="260"/>
      <c r="AB2533" s="260"/>
      <c r="AC2533" s="260"/>
      <c r="AD2533" s="260"/>
      <c r="AE2533" s="260"/>
      <c r="AF2533" s="260"/>
      <c r="AG2533" s="258"/>
    </row>
    <row r="2534" spans="13:33" ht="12" hidden="1" customHeight="1">
      <c r="M2534" s="820"/>
      <c r="N2534" s="239"/>
      <c r="O2534" s="225"/>
      <c r="P2534" s="260"/>
      <c r="Q2534" s="258"/>
      <c r="R2534" s="260"/>
      <c r="S2534" s="260"/>
      <c r="T2534" s="260"/>
      <c r="U2534" s="260"/>
      <c r="V2534" s="260"/>
      <c r="W2534" s="260"/>
      <c r="X2534" s="260"/>
      <c r="Y2534" s="260"/>
      <c r="Z2534" s="260"/>
      <c r="AA2534" s="260"/>
      <c r="AB2534" s="260"/>
      <c r="AC2534" s="260"/>
      <c r="AD2534" s="260"/>
      <c r="AE2534" s="260"/>
      <c r="AF2534" s="260"/>
      <c r="AG2534" s="258"/>
    </row>
    <row r="2535" spans="13:33" ht="12" hidden="1" customHeight="1">
      <c r="M2535" s="820"/>
      <c r="N2535" s="239"/>
      <c r="O2535" s="225"/>
      <c r="P2535" s="260"/>
      <c r="Q2535" s="258"/>
      <c r="R2535" s="260"/>
      <c r="S2535" s="260"/>
      <c r="T2535" s="260"/>
      <c r="U2535" s="260"/>
      <c r="V2535" s="260"/>
      <c r="W2535" s="260"/>
      <c r="X2535" s="260"/>
      <c r="Y2535" s="260"/>
      <c r="Z2535" s="260"/>
      <c r="AA2535" s="260"/>
      <c r="AB2535" s="260"/>
      <c r="AC2535" s="260"/>
      <c r="AD2535" s="260"/>
      <c r="AE2535" s="260"/>
      <c r="AF2535" s="260"/>
      <c r="AG2535" s="258"/>
    </row>
    <row r="2536" spans="13:33" ht="12" hidden="1" customHeight="1">
      <c r="M2536" s="820"/>
      <c r="N2536" s="239"/>
      <c r="O2536" s="225"/>
      <c r="P2536" s="260"/>
      <c r="Q2536" s="258"/>
      <c r="R2536" s="260"/>
      <c r="S2536" s="260"/>
      <c r="T2536" s="260"/>
      <c r="U2536" s="260"/>
      <c r="V2536" s="260"/>
      <c r="W2536" s="260"/>
      <c r="X2536" s="260"/>
      <c r="Y2536" s="260"/>
      <c r="Z2536" s="260"/>
      <c r="AA2536" s="260"/>
      <c r="AB2536" s="260"/>
      <c r="AC2536" s="260"/>
      <c r="AD2536" s="260"/>
      <c r="AE2536" s="260"/>
      <c r="AF2536" s="260"/>
      <c r="AG2536" s="258"/>
    </row>
    <row r="2537" spans="13:33" ht="12" hidden="1" customHeight="1">
      <c r="M2537" s="820"/>
      <c r="N2537" s="239"/>
      <c r="O2537" s="225"/>
      <c r="P2537" s="260"/>
      <c r="Q2537" s="258"/>
      <c r="R2537" s="260"/>
      <c r="S2537" s="260"/>
      <c r="T2537" s="260"/>
      <c r="U2537" s="260"/>
      <c r="V2537" s="260"/>
      <c r="W2537" s="260"/>
      <c r="X2537" s="260"/>
      <c r="Y2537" s="260"/>
      <c r="Z2537" s="260"/>
      <c r="AA2537" s="260"/>
      <c r="AB2537" s="260"/>
      <c r="AC2537" s="260"/>
      <c r="AD2537" s="260"/>
      <c r="AE2537" s="260"/>
      <c r="AF2537" s="260"/>
      <c r="AG2537" s="258"/>
    </row>
    <row r="2538" spans="13:33" ht="12" hidden="1" customHeight="1">
      <c r="M2538" s="820"/>
      <c r="N2538" s="239"/>
      <c r="O2538" s="225"/>
      <c r="P2538" s="260"/>
      <c r="Q2538" s="258"/>
      <c r="R2538" s="260"/>
      <c r="S2538" s="260"/>
      <c r="T2538" s="260"/>
      <c r="U2538" s="260"/>
      <c r="V2538" s="260"/>
      <c r="W2538" s="260"/>
      <c r="X2538" s="260"/>
      <c r="Y2538" s="260"/>
      <c r="Z2538" s="260"/>
      <c r="AA2538" s="260"/>
      <c r="AB2538" s="260"/>
      <c r="AC2538" s="260"/>
      <c r="AD2538" s="260"/>
      <c r="AE2538" s="260"/>
      <c r="AF2538" s="260"/>
      <c r="AG2538" s="258"/>
    </row>
    <row r="2539" spans="13:33" ht="12" hidden="1" customHeight="1">
      <c r="M2539" s="820"/>
      <c r="N2539" s="239"/>
      <c r="O2539" s="225"/>
      <c r="P2539" s="260"/>
      <c r="Q2539" s="258"/>
      <c r="R2539" s="260"/>
      <c r="S2539" s="260"/>
      <c r="T2539" s="260"/>
      <c r="U2539" s="260"/>
      <c r="V2539" s="260"/>
      <c r="W2539" s="260"/>
      <c r="X2539" s="260"/>
      <c r="Y2539" s="260"/>
      <c r="Z2539" s="260"/>
      <c r="AA2539" s="260"/>
      <c r="AB2539" s="260"/>
      <c r="AC2539" s="260"/>
      <c r="AD2539" s="260"/>
      <c r="AE2539" s="260"/>
      <c r="AF2539" s="260"/>
      <c r="AG2539" s="258"/>
    </row>
    <row r="2540" spans="13:33" ht="12" hidden="1" customHeight="1">
      <c r="M2540" s="820"/>
      <c r="N2540" s="239"/>
      <c r="O2540" s="225"/>
      <c r="P2540" s="260"/>
      <c r="Q2540" s="258"/>
      <c r="R2540" s="260"/>
      <c r="S2540" s="260"/>
      <c r="T2540" s="260"/>
      <c r="U2540" s="260"/>
      <c r="V2540" s="260"/>
      <c r="W2540" s="260"/>
      <c r="X2540" s="260"/>
      <c r="Y2540" s="260"/>
      <c r="Z2540" s="260"/>
      <c r="AA2540" s="260"/>
      <c r="AB2540" s="260"/>
      <c r="AC2540" s="260"/>
      <c r="AD2540" s="260"/>
      <c r="AE2540" s="260"/>
      <c r="AF2540" s="260"/>
      <c r="AG2540" s="258"/>
    </row>
    <row r="2541" spans="13:33" ht="12" hidden="1" customHeight="1">
      <c r="M2541" s="820"/>
      <c r="N2541" s="239"/>
      <c r="O2541" s="225"/>
      <c r="P2541" s="260"/>
      <c r="Q2541" s="258"/>
      <c r="R2541" s="260"/>
      <c r="S2541" s="260"/>
      <c r="T2541" s="260"/>
      <c r="U2541" s="260"/>
      <c r="V2541" s="260"/>
      <c r="W2541" s="260"/>
      <c r="X2541" s="260"/>
      <c r="Y2541" s="260"/>
      <c r="Z2541" s="260"/>
      <c r="AA2541" s="260"/>
      <c r="AB2541" s="260"/>
      <c r="AC2541" s="260"/>
      <c r="AD2541" s="260"/>
      <c r="AE2541" s="260"/>
      <c r="AF2541" s="260"/>
      <c r="AG2541" s="258"/>
    </row>
    <row r="2542" spans="13:33" ht="12" hidden="1" customHeight="1">
      <c r="M2542" s="820"/>
      <c r="N2542" s="239"/>
      <c r="O2542" s="225"/>
      <c r="P2542" s="260"/>
      <c r="Q2542" s="258"/>
      <c r="R2542" s="260"/>
      <c r="S2542" s="260"/>
      <c r="T2542" s="260"/>
      <c r="U2542" s="260"/>
      <c r="V2542" s="260"/>
      <c r="W2542" s="260"/>
      <c r="X2542" s="260"/>
      <c r="Y2542" s="260"/>
      <c r="Z2542" s="260"/>
      <c r="AA2542" s="260"/>
      <c r="AB2542" s="260"/>
      <c r="AC2542" s="260"/>
      <c r="AD2542" s="260"/>
      <c r="AE2542" s="260"/>
      <c r="AF2542" s="260"/>
      <c r="AG2542" s="258"/>
    </row>
    <row r="2543" spans="13:33" ht="12" hidden="1" customHeight="1">
      <c r="M2543" s="820"/>
      <c r="N2543" s="239"/>
      <c r="O2543" s="225"/>
      <c r="P2543" s="260"/>
      <c r="Q2543" s="258"/>
      <c r="R2543" s="260"/>
      <c r="S2543" s="260"/>
      <c r="T2543" s="260"/>
      <c r="U2543" s="260"/>
      <c r="V2543" s="260"/>
      <c r="W2543" s="260"/>
      <c r="X2543" s="260"/>
      <c r="Y2543" s="260"/>
      <c r="Z2543" s="260"/>
      <c r="AA2543" s="260"/>
      <c r="AB2543" s="260"/>
      <c r="AC2543" s="260"/>
      <c r="AD2543" s="260"/>
      <c r="AE2543" s="260"/>
      <c r="AF2543" s="260"/>
      <c r="AG2543" s="258"/>
    </row>
    <row r="2544" spans="13:33" ht="12" hidden="1" customHeight="1">
      <c r="M2544" s="820"/>
      <c r="N2544" s="239"/>
      <c r="O2544" s="225"/>
      <c r="P2544" s="260"/>
      <c r="Q2544" s="258"/>
      <c r="R2544" s="260"/>
      <c r="S2544" s="260"/>
      <c r="T2544" s="260"/>
      <c r="U2544" s="260"/>
      <c r="V2544" s="260"/>
      <c r="W2544" s="260"/>
      <c r="X2544" s="260"/>
      <c r="Y2544" s="260"/>
      <c r="Z2544" s="260"/>
      <c r="AA2544" s="260"/>
      <c r="AB2544" s="260"/>
      <c r="AC2544" s="260"/>
      <c r="AD2544" s="260"/>
      <c r="AE2544" s="260"/>
      <c r="AF2544" s="260"/>
      <c r="AG2544" s="258"/>
    </row>
    <row r="2545" spans="13:33" ht="12" hidden="1" customHeight="1">
      <c r="M2545" s="820"/>
      <c r="N2545" s="239"/>
      <c r="O2545" s="225"/>
      <c r="P2545" s="260"/>
      <c r="Q2545" s="258"/>
      <c r="R2545" s="260"/>
      <c r="S2545" s="260"/>
      <c r="T2545" s="260"/>
      <c r="U2545" s="260"/>
      <c r="V2545" s="260"/>
      <c r="W2545" s="260"/>
      <c r="X2545" s="260"/>
      <c r="Y2545" s="260"/>
      <c r="Z2545" s="260"/>
      <c r="AA2545" s="260"/>
      <c r="AB2545" s="260"/>
      <c r="AC2545" s="260"/>
      <c r="AD2545" s="260"/>
      <c r="AE2545" s="260"/>
      <c r="AF2545" s="260"/>
      <c r="AG2545" s="258"/>
    </row>
    <row r="2546" spans="13:33" ht="12" hidden="1" customHeight="1">
      <c r="M2546" s="820"/>
      <c r="N2546" s="239"/>
      <c r="O2546" s="225"/>
      <c r="P2546" s="260"/>
      <c r="Q2546" s="258"/>
      <c r="R2546" s="260"/>
      <c r="S2546" s="260"/>
      <c r="T2546" s="260"/>
      <c r="U2546" s="260"/>
      <c r="V2546" s="260"/>
      <c r="W2546" s="260"/>
      <c r="X2546" s="260"/>
      <c r="Y2546" s="260"/>
      <c r="Z2546" s="260"/>
      <c r="AA2546" s="260"/>
      <c r="AB2546" s="260"/>
      <c r="AC2546" s="260"/>
      <c r="AD2546" s="260"/>
      <c r="AE2546" s="260"/>
      <c r="AF2546" s="260"/>
      <c r="AG2546" s="258"/>
    </row>
    <row r="2547" spans="13:33" ht="12" hidden="1" customHeight="1">
      <c r="M2547" s="820"/>
      <c r="N2547" s="239"/>
      <c r="O2547" s="225"/>
      <c r="P2547" s="260"/>
      <c r="Q2547" s="258"/>
      <c r="R2547" s="260"/>
      <c r="S2547" s="260"/>
      <c r="T2547" s="260"/>
      <c r="U2547" s="260"/>
      <c r="V2547" s="260"/>
      <c r="W2547" s="260"/>
      <c r="X2547" s="260"/>
      <c r="Y2547" s="260"/>
      <c r="Z2547" s="260"/>
      <c r="AA2547" s="260"/>
      <c r="AB2547" s="260"/>
      <c r="AC2547" s="260"/>
      <c r="AD2547" s="260"/>
      <c r="AE2547" s="260"/>
      <c r="AF2547" s="260"/>
      <c r="AG2547" s="258"/>
    </row>
    <row r="2548" spans="13:33" ht="12" hidden="1" customHeight="1">
      <c r="M2548" s="820"/>
      <c r="N2548" s="239"/>
      <c r="O2548" s="225"/>
      <c r="P2548" s="260"/>
      <c r="Q2548" s="258"/>
      <c r="R2548" s="260"/>
      <c r="S2548" s="260"/>
      <c r="T2548" s="260"/>
      <c r="U2548" s="260"/>
      <c r="V2548" s="260"/>
      <c r="W2548" s="260"/>
      <c r="X2548" s="260"/>
      <c r="Y2548" s="260"/>
      <c r="Z2548" s="260"/>
      <c r="AA2548" s="260"/>
      <c r="AB2548" s="260"/>
      <c r="AC2548" s="260"/>
      <c r="AD2548" s="260"/>
      <c r="AE2548" s="260"/>
      <c r="AF2548" s="260"/>
      <c r="AG2548" s="258"/>
    </row>
    <row r="2549" spans="13:33" ht="12" hidden="1" customHeight="1">
      <c r="M2549" s="820"/>
      <c r="N2549" s="239"/>
      <c r="O2549" s="225"/>
      <c r="P2549" s="260"/>
      <c r="Q2549" s="258"/>
      <c r="R2549" s="260"/>
      <c r="S2549" s="260"/>
      <c r="T2549" s="260"/>
      <c r="U2549" s="260"/>
      <c r="V2549" s="260"/>
      <c r="W2549" s="260"/>
      <c r="X2549" s="260"/>
      <c r="Y2549" s="260"/>
      <c r="Z2549" s="260"/>
      <c r="AA2549" s="260"/>
      <c r="AB2549" s="260"/>
      <c r="AC2549" s="260"/>
      <c r="AD2549" s="260"/>
      <c r="AE2549" s="260"/>
      <c r="AF2549" s="260"/>
      <c r="AG2549" s="258"/>
    </row>
    <row r="2550" spans="13:33" ht="12" hidden="1" customHeight="1">
      <c r="M2550" s="820"/>
      <c r="N2550" s="239"/>
      <c r="O2550" s="225"/>
      <c r="P2550" s="260"/>
      <c r="Q2550" s="258"/>
      <c r="R2550" s="260"/>
      <c r="S2550" s="260"/>
      <c r="T2550" s="260"/>
      <c r="U2550" s="260"/>
      <c r="V2550" s="260"/>
      <c r="W2550" s="260"/>
      <c r="X2550" s="260"/>
      <c r="Y2550" s="260"/>
      <c r="Z2550" s="260"/>
      <c r="AA2550" s="260"/>
      <c r="AB2550" s="260"/>
      <c r="AC2550" s="260"/>
      <c r="AD2550" s="260"/>
      <c r="AE2550" s="260"/>
      <c r="AF2550" s="260"/>
      <c r="AG2550" s="258"/>
    </row>
    <row r="2551" spans="13:33" ht="12" hidden="1" customHeight="1">
      <c r="M2551" s="820"/>
      <c r="N2551" s="239"/>
      <c r="O2551" s="225"/>
      <c r="P2551" s="260"/>
      <c r="Q2551" s="258"/>
      <c r="R2551" s="260"/>
      <c r="S2551" s="260"/>
      <c r="T2551" s="260"/>
      <c r="U2551" s="260"/>
      <c r="V2551" s="260"/>
      <c r="W2551" s="260"/>
      <c r="X2551" s="260"/>
      <c r="Y2551" s="260"/>
      <c r="Z2551" s="260"/>
      <c r="AA2551" s="260"/>
      <c r="AB2551" s="260"/>
      <c r="AC2551" s="260"/>
      <c r="AD2551" s="260"/>
      <c r="AE2551" s="260"/>
      <c r="AF2551" s="260"/>
      <c r="AG2551" s="258"/>
    </row>
    <row r="2552" spans="13:33" ht="12" hidden="1" customHeight="1">
      <c r="M2552" s="820"/>
      <c r="N2552" s="239"/>
      <c r="O2552" s="225"/>
      <c r="P2552" s="260"/>
      <c r="Q2552" s="258"/>
      <c r="R2552" s="260"/>
      <c r="S2552" s="260"/>
      <c r="T2552" s="260"/>
      <c r="U2552" s="260"/>
      <c r="V2552" s="260"/>
      <c r="W2552" s="260"/>
      <c r="X2552" s="260"/>
      <c r="Y2552" s="260"/>
      <c r="Z2552" s="260"/>
      <c r="AA2552" s="260"/>
      <c r="AB2552" s="260"/>
      <c r="AC2552" s="260"/>
      <c r="AD2552" s="260"/>
      <c r="AE2552" s="260"/>
      <c r="AF2552" s="260"/>
      <c r="AG2552" s="258"/>
    </row>
    <row r="2553" spans="13:33" ht="12" hidden="1" customHeight="1">
      <c r="M2553" s="820"/>
      <c r="N2553" s="239"/>
      <c r="O2553" s="225"/>
      <c r="P2553" s="260"/>
      <c r="Q2553" s="258"/>
      <c r="R2553" s="260"/>
      <c r="S2553" s="260"/>
      <c r="T2553" s="260"/>
      <c r="U2553" s="260"/>
      <c r="V2553" s="260"/>
      <c r="W2553" s="260"/>
      <c r="X2553" s="260"/>
      <c r="Y2553" s="260"/>
      <c r="Z2553" s="260"/>
      <c r="AA2553" s="260"/>
      <c r="AB2553" s="260"/>
      <c r="AC2553" s="260"/>
      <c r="AD2553" s="260"/>
      <c r="AE2553" s="260"/>
      <c r="AF2553" s="260"/>
      <c r="AG2553" s="258"/>
    </row>
    <row r="2554" spans="13:33" ht="12" hidden="1" customHeight="1">
      <c r="M2554" s="820"/>
      <c r="N2554" s="239"/>
      <c r="O2554" s="225"/>
      <c r="P2554" s="260"/>
      <c r="Q2554" s="258"/>
      <c r="R2554" s="260"/>
      <c r="S2554" s="260"/>
      <c r="T2554" s="260"/>
      <c r="U2554" s="260"/>
      <c r="V2554" s="260"/>
      <c r="W2554" s="260"/>
      <c r="X2554" s="260"/>
      <c r="Y2554" s="260"/>
      <c r="Z2554" s="260"/>
      <c r="AA2554" s="260"/>
      <c r="AB2554" s="260"/>
      <c r="AC2554" s="260"/>
      <c r="AD2554" s="260"/>
      <c r="AE2554" s="260"/>
      <c r="AF2554" s="260"/>
      <c r="AG2554" s="258"/>
    </row>
    <row r="2555" spans="13:33" ht="12" hidden="1" customHeight="1">
      <c r="M2555" s="820"/>
      <c r="N2555" s="239"/>
      <c r="O2555" s="225"/>
      <c r="P2555" s="260"/>
      <c r="Q2555" s="258"/>
      <c r="R2555" s="260"/>
      <c r="S2555" s="260"/>
      <c r="T2555" s="260"/>
      <c r="U2555" s="260"/>
      <c r="V2555" s="260"/>
      <c r="W2555" s="260"/>
      <c r="X2555" s="260"/>
      <c r="Y2555" s="260"/>
      <c r="Z2555" s="260"/>
      <c r="AA2555" s="260"/>
      <c r="AB2555" s="260"/>
      <c r="AC2555" s="260"/>
      <c r="AD2555" s="260"/>
      <c r="AE2555" s="260"/>
      <c r="AF2555" s="260"/>
      <c r="AG2555" s="258"/>
    </row>
    <row r="2556" spans="13:33" ht="12" hidden="1" customHeight="1">
      <c r="M2556" s="820"/>
      <c r="N2556" s="239"/>
      <c r="O2556" s="225"/>
      <c r="P2556" s="260"/>
      <c r="Q2556" s="258"/>
      <c r="R2556" s="260"/>
      <c r="S2556" s="260"/>
      <c r="T2556" s="260"/>
      <c r="U2556" s="260"/>
      <c r="V2556" s="260"/>
      <c r="W2556" s="260"/>
      <c r="X2556" s="260"/>
      <c r="Y2556" s="260"/>
      <c r="Z2556" s="260"/>
      <c r="AA2556" s="260"/>
      <c r="AB2556" s="260"/>
      <c r="AC2556" s="260"/>
      <c r="AD2556" s="260"/>
      <c r="AE2556" s="260"/>
      <c r="AF2556" s="260"/>
      <c r="AG2556" s="258"/>
    </row>
    <row r="2557" spans="13:33" ht="12" hidden="1" customHeight="1">
      <c r="M2557" s="820"/>
      <c r="N2557" s="239"/>
      <c r="O2557" s="225"/>
      <c r="P2557" s="260"/>
      <c r="Q2557" s="258"/>
      <c r="R2557" s="260"/>
      <c r="S2557" s="260"/>
      <c r="T2557" s="260"/>
      <c r="U2557" s="260"/>
      <c r="V2557" s="260"/>
      <c r="W2557" s="260"/>
      <c r="X2557" s="260"/>
      <c r="Y2557" s="260"/>
      <c r="Z2557" s="260"/>
      <c r="AA2557" s="260"/>
      <c r="AB2557" s="260"/>
      <c r="AC2557" s="260"/>
      <c r="AD2557" s="260"/>
      <c r="AE2557" s="260"/>
      <c r="AF2557" s="260"/>
      <c r="AG2557" s="258"/>
    </row>
    <row r="2558" spans="13:33" ht="12" hidden="1" customHeight="1">
      <c r="M2558" s="820"/>
      <c r="N2558" s="239"/>
      <c r="O2558" s="225"/>
      <c r="P2558" s="260"/>
      <c r="Q2558" s="258"/>
      <c r="R2558" s="260"/>
      <c r="S2558" s="260"/>
      <c r="T2558" s="260"/>
      <c r="U2558" s="260"/>
      <c r="V2558" s="260"/>
      <c r="W2558" s="260"/>
      <c r="X2558" s="260"/>
      <c r="Y2558" s="260"/>
      <c r="Z2558" s="260"/>
      <c r="AA2558" s="260"/>
      <c r="AB2558" s="260"/>
      <c r="AC2558" s="260"/>
      <c r="AD2558" s="260"/>
      <c r="AE2558" s="260"/>
      <c r="AF2558" s="260"/>
      <c r="AG2558" s="258"/>
    </row>
    <row r="2559" spans="13:33" ht="12" hidden="1" customHeight="1">
      <c r="M2559" s="820"/>
      <c r="N2559" s="239"/>
      <c r="O2559" s="225"/>
      <c r="P2559" s="260"/>
      <c r="Q2559" s="258"/>
      <c r="R2559" s="260"/>
      <c r="S2559" s="260"/>
      <c r="T2559" s="260"/>
      <c r="U2559" s="260"/>
      <c r="V2559" s="260"/>
      <c r="W2559" s="260"/>
      <c r="X2559" s="260"/>
      <c r="Y2559" s="260"/>
      <c r="Z2559" s="260"/>
      <c r="AA2559" s="260"/>
      <c r="AB2559" s="260"/>
      <c r="AC2559" s="260"/>
      <c r="AD2559" s="260"/>
      <c r="AE2559" s="260"/>
      <c r="AF2559" s="260"/>
      <c r="AG2559" s="258"/>
    </row>
    <row r="2560" spans="13:33" ht="12" hidden="1" customHeight="1">
      <c r="M2560" s="820"/>
      <c r="N2560" s="239"/>
      <c r="O2560" s="225"/>
      <c r="P2560" s="260"/>
      <c r="Q2560" s="258"/>
      <c r="R2560" s="260"/>
      <c r="S2560" s="260"/>
      <c r="T2560" s="260"/>
      <c r="U2560" s="260"/>
      <c r="V2560" s="260"/>
      <c r="W2560" s="260"/>
      <c r="X2560" s="260"/>
      <c r="Y2560" s="260"/>
      <c r="Z2560" s="260"/>
      <c r="AA2560" s="260"/>
      <c r="AB2560" s="260"/>
      <c r="AC2560" s="260"/>
      <c r="AD2560" s="260"/>
      <c r="AE2560" s="260"/>
      <c r="AF2560" s="260"/>
      <c r="AG2560" s="258"/>
    </row>
    <row r="2561" spans="13:33" ht="12" hidden="1" customHeight="1">
      <c r="M2561" s="820"/>
      <c r="N2561" s="239"/>
      <c r="O2561" s="225"/>
      <c r="P2561" s="260"/>
      <c r="Q2561" s="258"/>
      <c r="R2561" s="260"/>
      <c r="S2561" s="260"/>
      <c r="T2561" s="260"/>
      <c r="U2561" s="260"/>
      <c r="V2561" s="260"/>
      <c r="W2561" s="260"/>
      <c r="X2561" s="260"/>
      <c r="Y2561" s="260"/>
      <c r="Z2561" s="260"/>
      <c r="AA2561" s="260"/>
      <c r="AB2561" s="260"/>
      <c r="AC2561" s="260"/>
      <c r="AD2561" s="260"/>
      <c r="AE2561" s="260"/>
      <c r="AF2561" s="260"/>
      <c r="AG2561" s="258"/>
    </row>
    <row r="2562" spans="13:33" ht="12" hidden="1" customHeight="1">
      <c r="M2562" s="820"/>
      <c r="N2562" s="239"/>
      <c r="O2562" s="225"/>
      <c r="P2562" s="260"/>
      <c r="Q2562" s="258"/>
      <c r="R2562" s="260"/>
      <c r="S2562" s="260"/>
      <c r="T2562" s="260"/>
      <c r="U2562" s="260"/>
      <c r="V2562" s="260"/>
      <c r="W2562" s="260"/>
      <c r="X2562" s="260"/>
      <c r="Y2562" s="260"/>
      <c r="Z2562" s="260"/>
      <c r="AA2562" s="260"/>
      <c r="AB2562" s="260"/>
      <c r="AC2562" s="260"/>
      <c r="AD2562" s="260"/>
      <c r="AE2562" s="260"/>
      <c r="AF2562" s="260"/>
      <c r="AG2562" s="258"/>
    </row>
    <row r="2563" spans="13:33" ht="12" hidden="1" customHeight="1">
      <c r="M2563" s="820"/>
      <c r="N2563" s="239"/>
      <c r="O2563" s="225"/>
      <c r="P2563" s="260"/>
      <c r="Q2563" s="258"/>
      <c r="R2563" s="260"/>
      <c r="S2563" s="260"/>
      <c r="T2563" s="260"/>
      <c r="U2563" s="260"/>
      <c r="V2563" s="260"/>
      <c r="W2563" s="260"/>
      <c r="X2563" s="260"/>
      <c r="Y2563" s="260"/>
      <c r="Z2563" s="260"/>
      <c r="AA2563" s="260"/>
      <c r="AB2563" s="260"/>
      <c r="AC2563" s="260"/>
      <c r="AD2563" s="260"/>
      <c r="AE2563" s="260"/>
      <c r="AF2563" s="260"/>
      <c r="AG2563" s="258"/>
    </row>
    <row r="2564" spans="13:33" ht="12" hidden="1" customHeight="1">
      <c r="M2564" s="820"/>
      <c r="N2564" s="239"/>
      <c r="O2564" s="225"/>
      <c r="P2564" s="260"/>
      <c r="Q2564" s="258"/>
      <c r="R2564" s="260"/>
      <c r="S2564" s="260"/>
      <c r="T2564" s="260"/>
      <c r="U2564" s="260"/>
      <c r="V2564" s="260"/>
      <c r="W2564" s="260"/>
      <c r="X2564" s="260"/>
      <c r="Y2564" s="260"/>
      <c r="Z2564" s="260"/>
      <c r="AA2564" s="260"/>
      <c r="AB2564" s="260"/>
      <c r="AC2564" s="260"/>
      <c r="AD2564" s="260"/>
      <c r="AE2564" s="260"/>
      <c r="AF2564" s="260"/>
      <c r="AG2564" s="258"/>
    </row>
    <row r="2565" spans="13:33" ht="12" hidden="1" customHeight="1">
      <c r="M2565" s="820"/>
      <c r="N2565" s="239"/>
      <c r="O2565" s="225"/>
      <c r="P2565" s="260"/>
      <c r="Q2565" s="258"/>
      <c r="R2565" s="260"/>
      <c r="S2565" s="260"/>
      <c r="T2565" s="260"/>
      <c r="U2565" s="260"/>
      <c r="V2565" s="260"/>
      <c r="W2565" s="260"/>
      <c r="X2565" s="260"/>
      <c r="Y2565" s="260"/>
      <c r="Z2565" s="260"/>
      <c r="AA2565" s="260"/>
      <c r="AB2565" s="260"/>
      <c r="AC2565" s="260"/>
      <c r="AD2565" s="260"/>
      <c r="AE2565" s="260"/>
      <c r="AF2565" s="260"/>
      <c r="AG2565" s="258"/>
    </row>
    <row r="2566" spans="13:33" ht="12" hidden="1" customHeight="1">
      <c r="M2566" s="820"/>
      <c r="N2566" s="239"/>
      <c r="O2566" s="225"/>
      <c r="P2566" s="260"/>
      <c r="Q2566" s="258"/>
      <c r="R2566" s="260"/>
      <c r="S2566" s="260"/>
      <c r="T2566" s="260"/>
      <c r="U2566" s="260"/>
      <c r="V2566" s="260"/>
      <c r="W2566" s="260"/>
      <c r="X2566" s="260"/>
      <c r="Y2566" s="260"/>
      <c r="Z2566" s="260"/>
      <c r="AA2566" s="260"/>
      <c r="AB2566" s="260"/>
      <c r="AC2566" s="260"/>
      <c r="AD2566" s="260"/>
      <c r="AE2566" s="260"/>
      <c r="AF2566" s="260"/>
      <c r="AG2566" s="258"/>
    </row>
    <row r="2567" spans="13:33" ht="12" hidden="1" customHeight="1">
      <c r="M2567" s="820"/>
      <c r="N2567" s="239"/>
      <c r="O2567" s="225"/>
      <c r="P2567" s="260"/>
      <c r="Q2567" s="258"/>
      <c r="R2567" s="260"/>
      <c r="S2567" s="260"/>
      <c r="T2567" s="260"/>
      <c r="U2567" s="260"/>
      <c r="V2567" s="260"/>
      <c r="W2567" s="260"/>
      <c r="X2567" s="260"/>
      <c r="Y2567" s="260"/>
      <c r="Z2567" s="260"/>
      <c r="AA2567" s="260"/>
      <c r="AB2567" s="260"/>
      <c r="AC2567" s="260"/>
      <c r="AD2567" s="260"/>
      <c r="AE2567" s="260"/>
      <c r="AF2567" s="260"/>
      <c r="AG2567" s="258"/>
    </row>
    <row r="2568" spans="13:33" ht="12" hidden="1" customHeight="1">
      <c r="M2568" s="820"/>
      <c r="N2568" s="239"/>
      <c r="O2568" s="225"/>
      <c r="P2568" s="260"/>
      <c r="Q2568" s="258"/>
      <c r="R2568" s="260"/>
      <c r="S2568" s="260"/>
      <c r="T2568" s="260"/>
      <c r="U2568" s="260"/>
      <c r="V2568" s="260"/>
      <c r="W2568" s="260"/>
      <c r="X2568" s="260"/>
      <c r="Y2568" s="260"/>
      <c r="Z2568" s="260"/>
      <c r="AA2568" s="260"/>
      <c r="AB2568" s="260"/>
      <c r="AC2568" s="260"/>
      <c r="AD2568" s="260"/>
      <c r="AE2568" s="260"/>
      <c r="AF2568" s="260"/>
      <c r="AG2568" s="258"/>
    </row>
    <row r="2569" spans="13:33" ht="12" hidden="1" customHeight="1">
      <c r="M2569" s="820"/>
      <c r="N2569" s="239"/>
      <c r="O2569" s="225"/>
      <c r="P2569" s="260"/>
      <c r="Q2569" s="258"/>
      <c r="R2569" s="260"/>
      <c r="S2569" s="260"/>
      <c r="T2569" s="260"/>
      <c r="U2569" s="260"/>
      <c r="V2569" s="260"/>
      <c r="W2569" s="260"/>
      <c r="X2569" s="260"/>
      <c r="Y2569" s="260"/>
      <c r="Z2569" s="260"/>
      <c r="AA2569" s="260"/>
      <c r="AB2569" s="260"/>
      <c r="AC2569" s="260"/>
      <c r="AD2569" s="260"/>
      <c r="AE2569" s="260"/>
      <c r="AF2569" s="260"/>
      <c r="AG2569" s="258"/>
    </row>
    <row r="2570" spans="13:33" ht="12" hidden="1" customHeight="1">
      <c r="M2570" s="820"/>
      <c r="N2570" s="239"/>
      <c r="O2570" s="225"/>
      <c r="P2570" s="260"/>
      <c r="Q2570" s="258"/>
      <c r="R2570" s="260"/>
      <c r="S2570" s="260"/>
      <c r="T2570" s="260"/>
      <c r="U2570" s="260"/>
      <c r="V2570" s="260"/>
      <c r="W2570" s="260"/>
      <c r="X2570" s="260"/>
      <c r="Y2570" s="260"/>
      <c r="Z2570" s="260"/>
      <c r="AA2570" s="260"/>
      <c r="AB2570" s="260"/>
      <c r="AC2570" s="260"/>
      <c r="AD2570" s="260"/>
      <c r="AE2570" s="260"/>
      <c r="AF2570" s="260"/>
      <c r="AG2570" s="258"/>
    </row>
    <row r="2571" spans="13:33" ht="12" hidden="1" customHeight="1">
      <c r="M2571" s="820"/>
      <c r="N2571" s="239"/>
      <c r="O2571" s="225"/>
      <c r="P2571" s="260"/>
      <c r="Q2571" s="258"/>
      <c r="R2571" s="260"/>
      <c r="S2571" s="260"/>
      <c r="T2571" s="260"/>
      <c r="U2571" s="260"/>
      <c r="V2571" s="260"/>
      <c r="W2571" s="260"/>
      <c r="X2571" s="260"/>
      <c r="Y2571" s="260"/>
      <c r="Z2571" s="260"/>
      <c r="AA2571" s="260"/>
      <c r="AB2571" s="260"/>
      <c r="AC2571" s="260"/>
      <c r="AD2571" s="260"/>
      <c r="AE2571" s="260"/>
      <c r="AF2571" s="260"/>
      <c r="AG2571" s="258"/>
    </row>
    <row r="2572" spans="13:33" ht="12" hidden="1" customHeight="1">
      <c r="M2572" s="820"/>
      <c r="N2572" s="239"/>
      <c r="O2572" s="225"/>
      <c r="P2572" s="260"/>
      <c r="Q2572" s="258"/>
      <c r="R2572" s="260"/>
      <c r="S2572" s="260"/>
      <c r="T2572" s="260"/>
      <c r="U2572" s="260"/>
      <c r="V2572" s="260"/>
      <c r="W2572" s="260"/>
      <c r="X2572" s="260"/>
      <c r="Y2572" s="260"/>
      <c r="Z2572" s="260"/>
      <c r="AA2572" s="260"/>
      <c r="AB2572" s="260"/>
      <c r="AC2572" s="260"/>
      <c r="AD2572" s="260"/>
      <c r="AE2572" s="260"/>
      <c r="AF2572" s="260"/>
      <c r="AG2572" s="258"/>
    </row>
    <row r="2573" spans="13:33" ht="12" hidden="1" customHeight="1">
      <c r="M2573" s="820"/>
      <c r="N2573" s="239"/>
      <c r="O2573" s="225"/>
      <c r="P2573" s="260"/>
      <c r="Q2573" s="258"/>
      <c r="R2573" s="260"/>
      <c r="S2573" s="260"/>
      <c r="T2573" s="260"/>
      <c r="U2573" s="260"/>
      <c r="V2573" s="260"/>
      <c r="W2573" s="260"/>
      <c r="X2573" s="260"/>
      <c r="Y2573" s="260"/>
      <c r="Z2573" s="260"/>
      <c r="AA2573" s="260"/>
      <c r="AB2573" s="260"/>
      <c r="AC2573" s="260"/>
      <c r="AD2573" s="260"/>
      <c r="AE2573" s="260"/>
      <c r="AF2573" s="260"/>
      <c r="AG2573" s="258"/>
    </row>
    <row r="2574" spans="13:33" ht="12" hidden="1" customHeight="1">
      <c r="M2574" s="820"/>
      <c r="N2574" s="239"/>
      <c r="O2574" s="225"/>
      <c r="P2574" s="260"/>
      <c r="Q2574" s="258"/>
      <c r="R2574" s="260"/>
      <c r="S2574" s="260"/>
      <c r="T2574" s="260"/>
      <c r="U2574" s="260"/>
      <c r="V2574" s="260"/>
      <c r="W2574" s="260"/>
      <c r="X2574" s="260"/>
      <c r="Y2574" s="260"/>
      <c r="Z2574" s="260"/>
      <c r="AA2574" s="260"/>
      <c r="AB2574" s="260"/>
      <c r="AC2574" s="260"/>
      <c r="AD2574" s="260"/>
      <c r="AE2574" s="260"/>
      <c r="AF2574" s="260"/>
      <c r="AG2574" s="258"/>
    </row>
    <row r="2575" spans="13:33" ht="12" hidden="1" customHeight="1">
      <c r="M2575" s="820"/>
      <c r="N2575" s="239"/>
      <c r="O2575" s="225"/>
      <c r="P2575" s="260"/>
      <c r="Q2575" s="258"/>
      <c r="R2575" s="260"/>
      <c r="S2575" s="260"/>
      <c r="T2575" s="260"/>
      <c r="U2575" s="260"/>
      <c r="V2575" s="260"/>
      <c r="W2575" s="260"/>
      <c r="X2575" s="260"/>
      <c r="Y2575" s="260"/>
      <c r="Z2575" s="260"/>
      <c r="AA2575" s="260"/>
      <c r="AB2575" s="260"/>
      <c r="AC2575" s="260"/>
      <c r="AD2575" s="260"/>
      <c r="AE2575" s="260"/>
      <c r="AF2575" s="260"/>
      <c r="AG2575" s="258"/>
    </row>
    <row r="2576" spans="13:33" ht="12" hidden="1" customHeight="1">
      <c r="M2576" s="820"/>
      <c r="N2576" s="239"/>
      <c r="O2576" s="225"/>
      <c r="P2576" s="260"/>
      <c r="Q2576" s="258"/>
      <c r="R2576" s="260"/>
      <c r="S2576" s="260"/>
      <c r="T2576" s="260"/>
      <c r="U2576" s="260"/>
      <c r="V2576" s="260"/>
      <c r="W2576" s="260"/>
      <c r="X2576" s="260"/>
      <c r="Y2576" s="260"/>
      <c r="Z2576" s="260"/>
      <c r="AA2576" s="260"/>
      <c r="AB2576" s="260"/>
      <c r="AC2576" s="260"/>
      <c r="AD2576" s="260"/>
      <c r="AE2576" s="260"/>
      <c r="AF2576" s="260"/>
      <c r="AG2576" s="258"/>
    </row>
    <row r="2577" spans="13:33" ht="12" hidden="1" customHeight="1">
      <c r="M2577" s="820"/>
      <c r="N2577" s="239"/>
      <c r="O2577" s="225"/>
      <c r="P2577" s="260"/>
      <c r="Q2577" s="258"/>
      <c r="R2577" s="260"/>
      <c r="S2577" s="260"/>
      <c r="T2577" s="260"/>
      <c r="U2577" s="260"/>
      <c r="V2577" s="260"/>
      <c r="W2577" s="260"/>
      <c r="X2577" s="260"/>
      <c r="Y2577" s="260"/>
      <c r="Z2577" s="260"/>
      <c r="AA2577" s="260"/>
      <c r="AB2577" s="260"/>
      <c r="AC2577" s="260"/>
      <c r="AD2577" s="260"/>
      <c r="AE2577" s="260"/>
      <c r="AF2577" s="260"/>
      <c r="AG2577" s="258"/>
    </row>
    <row r="2578" spans="13:33" ht="12" hidden="1" customHeight="1">
      <c r="M2578" s="820"/>
      <c r="N2578" s="239"/>
      <c r="O2578" s="225"/>
      <c r="P2578" s="260"/>
      <c r="Q2578" s="258"/>
      <c r="R2578" s="260"/>
      <c r="S2578" s="260"/>
      <c r="T2578" s="260"/>
      <c r="U2578" s="260"/>
      <c r="V2578" s="260"/>
      <c r="W2578" s="260"/>
      <c r="X2578" s="260"/>
      <c r="Y2578" s="260"/>
      <c r="Z2578" s="260"/>
      <c r="AA2578" s="260"/>
      <c r="AB2578" s="260"/>
      <c r="AC2578" s="260"/>
      <c r="AD2578" s="260"/>
      <c r="AE2578" s="260"/>
      <c r="AF2578" s="260"/>
      <c r="AG2578" s="258"/>
    </row>
    <row r="2579" spans="13:33" ht="12" hidden="1" customHeight="1">
      <c r="M2579" s="820"/>
      <c r="N2579" s="239"/>
      <c r="O2579" s="225"/>
      <c r="P2579" s="260"/>
      <c r="Q2579" s="258"/>
      <c r="R2579" s="260"/>
      <c r="S2579" s="260"/>
      <c r="T2579" s="260"/>
      <c r="U2579" s="260"/>
      <c r="V2579" s="260"/>
      <c r="W2579" s="260"/>
      <c r="X2579" s="260"/>
      <c r="Y2579" s="260"/>
      <c r="Z2579" s="260"/>
      <c r="AA2579" s="260"/>
      <c r="AB2579" s="260"/>
      <c r="AC2579" s="260"/>
      <c r="AD2579" s="260"/>
      <c r="AE2579" s="260"/>
      <c r="AF2579" s="260"/>
      <c r="AG2579" s="258"/>
    </row>
    <row r="2580" spans="13:33" ht="12" hidden="1" customHeight="1">
      <c r="M2580" s="820"/>
      <c r="N2580" s="239"/>
      <c r="O2580" s="225"/>
      <c r="P2580" s="260"/>
      <c r="Q2580" s="258"/>
      <c r="R2580" s="260"/>
      <c r="S2580" s="260"/>
      <c r="T2580" s="260"/>
      <c r="U2580" s="260"/>
      <c r="V2580" s="260"/>
      <c r="W2580" s="260"/>
      <c r="X2580" s="260"/>
      <c r="Y2580" s="260"/>
      <c r="Z2580" s="260"/>
      <c r="AA2580" s="260"/>
      <c r="AB2580" s="260"/>
      <c r="AC2580" s="260"/>
      <c r="AD2580" s="260"/>
      <c r="AE2580" s="260"/>
      <c r="AF2580" s="260"/>
      <c r="AG2580" s="258"/>
    </row>
    <row r="2581" spans="13:33" ht="12" hidden="1" customHeight="1">
      <c r="M2581" s="820"/>
      <c r="N2581" s="239"/>
      <c r="O2581" s="225"/>
      <c r="P2581" s="260"/>
      <c r="Q2581" s="258"/>
      <c r="R2581" s="260"/>
      <c r="S2581" s="260"/>
      <c r="T2581" s="260"/>
      <c r="U2581" s="260"/>
      <c r="V2581" s="260"/>
      <c r="W2581" s="260"/>
      <c r="X2581" s="260"/>
      <c r="Y2581" s="260"/>
      <c r="Z2581" s="260"/>
      <c r="AA2581" s="260"/>
      <c r="AB2581" s="260"/>
      <c r="AC2581" s="260"/>
      <c r="AD2581" s="260"/>
      <c r="AE2581" s="260"/>
      <c r="AF2581" s="260"/>
      <c r="AG2581" s="258"/>
    </row>
    <row r="2582" spans="13:33" ht="12" hidden="1" customHeight="1">
      <c r="M2582" s="820"/>
      <c r="N2582" s="239"/>
      <c r="O2582" s="225"/>
      <c r="P2582" s="260"/>
      <c r="Q2582" s="258"/>
      <c r="R2582" s="260"/>
      <c r="S2582" s="260"/>
      <c r="T2582" s="260"/>
      <c r="U2582" s="260"/>
      <c r="V2582" s="260"/>
      <c r="W2582" s="260"/>
      <c r="X2582" s="260"/>
      <c r="Y2582" s="260"/>
      <c r="Z2582" s="260"/>
      <c r="AA2582" s="260"/>
      <c r="AB2582" s="260"/>
      <c r="AC2582" s="260"/>
      <c r="AD2582" s="260"/>
      <c r="AE2582" s="260"/>
      <c r="AF2582" s="260"/>
      <c r="AG2582" s="258"/>
    </row>
    <row r="2583" spans="13:33" ht="12" hidden="1" customHeight="1">
      <c r="M2583" s="820"/>
      <c r="N2583" s="239"/>
      <c r="O2583" s="225"/>
      <c r="P2583" s="260"/>
      <c r="Q2583" s="258"/>
      <c r="R2583" s="260"/>
      <c r="S2583" s="260"/>
      <c r="T2583" s="260"/>
      <c r="U2583" s="260"/>
      <c r="V2583" s="260"/>
      <c r="W2583" s="260"/>
      <c r="X2583" s="260"/>
      <c r="Y2583" s="260"/>
      <c r="Z2583" s="260"/>
      <c r="AA2583" s="260"/>
      <c r="AB2583" s="260"/>
      <c r="AC2583" s="260"/>
      <c r="AD2583" s="260"/>
      <c r="AE2583" s="260"/>
      <c r="AF2583" s="260"/>
      <c r="AG2583" s="258"/>
    </row>
    <row r="2584" spans="13:33" ht="12" hidden="1" customHeight="1">
      <c r="M2584" s="820"/>
      <c r="N2584" s="239"/>
      <c r="O2584" s="225"/>
      <c r="P2584" s="260"/>
      <c r="Q2584" s="258"/>
      <c r="R2584" s="260"/>
      <c r="S2584" s="260"/>
      <c r="T2584" s="260"/>
      <c r="U2584" s="260"/>
      <c r="V2584" s="260"/>
      <c r="W2584" s="260"/>
      <c r="X2584" s="260"/>
      <c r="Y2584" s="260"/>
      <c r="Z2584" s="260"/>
      <c r="AA2584" s="260"/>
      <c r="AB2584" s="260"/>
      <c r="AC2584" s="260"/>
      <c r="AD2584" s="260"/>
      <c r="AE2584" s="260"/>
      <c r="AF2584" s="260"/>
      <c r="AG2584" s="258"/>
    </row>
    <row r="2585" spans="13:33" ht="12" hidden="1" customHeight="1">
      <c r="M2585" s="820"/>
      <c r="N2585" s="239"/>
      <c r="O2585" s="225"/>
      <c r="P2585" s="260"/>
      <c r="Q2585" s="258"/>
      <c r="R2585" s="260"/>
      <c r="S2585" s="260"/>
      <c r="T2585" s="260"/>
      <c r="U2585" s="260"/>
      <c r="V2585" s="260"/>
      <c r="W2585" s="260"/>
      <c r="X2585" s="260"/>
      <c r="Y2585" s="260"/>
      <c r="Z2585" s="260"/>
      <c r="AA2585" s="260"/>
      <c r="AB2585" s="260"/>
      <c r="AC2585" s="260"/>
      <c r="AD2585" s="260"/>
      <c r="AE2585" s="260"/>
      <c r="AF2585" s="260"/>
      <c r="AG2585" s="258"/>
    </row>
    <row r="2586" spans="13:33" ht="12" hidden="1" customHeight="1">
      <c r="M2586" s="820"/>
      <c r="N2586" s="239"/>
      <c r="O2586" s="225"/>
      <c r="P2586" s="260"/>
      <c r="Q2586" s="258"/>
      <c r="R2586" s="260"/>
      <c r="S2586" s="260"/>
      <c r="T2586" s="260"/>
      <c r="U2586" s="260"/>
      <c r="V2586" s="260"/>
      <c r="W2586" s="260"/>
      <c r="X2586" s="260"/>
      <c r="Y2586" s="260"/>
      <c r="Z2586" s="260"/>
      <c r="AA2586" s="260"/>
      <c r="AB2586" s="260"/>
      <c r="AC2586" s="260"/>
      <c r="AD2586" s="260"/>
      <c r="AE2586" s="260"/>
      <c r="AF2586" s="260"/>
      <c r="AG2586" s="258"/>
    </row>
    <row r="2587" spans="13:33" ht="12" hidden="1" customHeight="1">
      <c r="M2587" s="820"/>
      <c r="N2587" s="239"/>
      <c r="O2587" s="225"/>
      <c r="P2587" s="260"/>
      <c r="Q2587" s="258"/>
      <c r="R2587" s="260"/>
      <c r="S2587" s="260"/>
      <c r="T2587" s="260"/>
      <c r="U2587" s="260"/>
      <c r="V2587" s="260"/>
      <c r="W2587" s="260"/>
      <c r="X2587" s="260"/>
      <c r="Y2587" s="260"/>
      <c r="Z2587" s="260"/>
      <c r="AA2587" s="260"/>
      <c r="AB2587" s="260"/>
      <c r="AC2587" s="260"/>
      <c r="AD2587" s="260"/>
      <c r="AE2587" s="260"/>
      <c r="AF2587" s="260"/>
      <c r="AG2587" s="258"/>
    </row>
    <row r="2588" spans="13:33" ht="12" hidden="1" customHeight="1">
      <c r="M2588" s="820"/>
      <c r="N2588" s="239"/>
      <c r="O2588" s="225"/>
      <c r="P2588" s="260"/>
      <c r="Q2588" s="258"/>
      <c r="R2588" s="260"/>
      <c r="S2588" s="260"/>
      <c r="T2588" s="260"/>
      <c r="U2588" s="260"/>
      <c r="V2588" s="260"/>
      <c r="W2588" s="260"/>
      <c r="X2588" s="260"/>
      <c r="Y2588" s="260"/>
      <c r="Z2588" s="260"/>
      <c r="AA2588" s="260"/>
      <c r="AB2588" s="260"/>
      <c r="AC2588" s="260"/>
      <c r="AD2588" s="260"/>
      <c r="AE2588" s="260"/>
      <c r="AF2588" s="260"/>
      <c r="AG2588" s="258"/>
    </row>
    <row r="2589" spans="13:33" ht="12" hidden="1" customHeight="1">
      <c r="M2589" s="820"/>
      <c r="N2589" s="239"/>
      <c r="O2589" s="225"/>
      <c r="P2589" s="260"/>
      <c r="Q2589" s="258"/>
      <c r="R2589" s="260"/>
      <c r="S2589" s="260"/>
      <c r="T2589" s="260"/>
      <c r="U2589" s="260"/>
      <c r="V2589" s="260"/>
      <c r="W2589" s="260"/>
      <c r="X2589" s="260"/>
      <c r="Y2589" s="260"/>
      <c r="Z2589" s="260"/>
      <c r="AA2589" s="260"/>
      <c r="AB2589" s="260"/>
      <c r="AC2589" s="260"/>
      <c r="AD2589" s="260"/>
      <c r="AE2589" s="260"/>
      <c r="AF2589" s="260"/>
      <c r="AG2589" s="258"/>
    </row>
    <row r="2590" spans="13:33" ht="12" hidden="1" customHeight="1">
      <c r="M2590" s="820"/>
      <c r="N2590" s="239"/>
      <c r="O2590" s="225"/>
      <c r="P2590" s="260"/>
      <c r="Q2590" s="258"/>
      <c r="R2590" s="260"/>
      <c r="S2590" s="260"/>
      <c r="T2590" s="260"/>
      <c r="U2590" s="260"/>
      <c r="V2590" s="260"/>
      <c r="W2590" s="260"/>
      <c r="X2590" s="260"/>
      <c r="Y2590" s="260"/>
      <c r="Z2590" s="260"/>
      <c r="AA2590" s="260"/>
      <c r="AB2590" s="260"/>
      <c r="AC2590" s="260"/>
      <c r="AD2590" s="260"/>
      <c r="AE2590" s="260"/>
      <c r="AF2590" s="260"/>
      <c r="AG2590" s="258"/>
    </row>
    <row r="2591" spans="13:33" ht="12" hidden="1" customHeight="1">
      <c r="M2591" s="820"/>
      <c r="N2591" s="239"/>
      <c r="O2591" s="225"/>
      <c r="P2591" s="260"/>
      <c r="Q2591" s="258"/>
      <c r="R2591" s="260"/>
      <c r="S2591" s="260"/>
      <c r="T2591" s="260"/>
      <c r="U2591" s="260"/>
      <c r="V2591" s="260"/>
      <c r="W2591" s="260"/>
      <c r="X2591" s="260"/>
      <c r="Y2591" s="260"/>
      <c r="Z2591" s="260"/>
      <c r="AA2591" s="260"/>
      <c r="AB2591" s="260"/>
      <c r="AC2591" s="260"/>
      <c r="AD2591" s="260"/>
      <c r="AE2591" s="260"/>
      <c r="AF2591" s="260"/>
      <c r="AG2591" s="258"/>
    </row>
    <row r="2592" spans="13:33" ht="12" hidden="1" customHeight="1">
      <c r="M2592" s="820"/>
      <c r="N2592" s="239"/>
      <c r="O2592" s="225"/>
      <c r="P2592" s="260"/>
      <c r="Q2592" s="258"/>
      <c r="R2592" s="260"/>
      <c r="S2592" s="260"/>
      <c r="T2592" s="260"/>
      <c r="U2592" s="260"/>
      <c r="V2592" s="260"/>
      <c r="W2592" s="260"/>
      <c r="X2592" s="260"/>
      <c r="Y2592" s="260"/>
      <c r="Z2592" s="260"/>
      <c r="AA2592" s="260"/>
      <c r="AB2592" s="260"/>
      <c r="AC2592" s="260"/>
      <c r="AD2592" s="260"/>
      <c r="AE2592" s="260"/>
      <c r="AF2592" s="260"/>
      <c r="AG2592" s="258"/>
    </row>
    <row r="2593" spans="13:33" ht="12" hidden="1" customHeight="1">
      <c r="M2593" s="820"/>
      <c r="N2593" s="239"/>
      <c r="O2593" s="225"/>
      <c r="P2593" s="260"/>
      <c r="Q2593" s="258"/>
      <c r="R2593" s="260"/>
      <c r="S2593" s="260"/>
      <c r="T2593" s="260"/>
      <c r="U2593" s="260"/>
      <c r="V2593" s="260"/>
      <c r="W2593" s="260"/>
      <c r="X2593" s="260"/>
      <c r="Y2593" s="260"/>
      <c r="Z2593" s="260"/>
      <c r="AA2593" s="260"/>
      <c r="AB2593" s="260"/>
      <c r="AC2593" s="260"/>
      <c r="AD2593" s="260"/>
      <c r="AE2593" s="260"/>
      <c r="AF2593" s="260"/>
      <c r="AG2593" s="258"/>
    </row>
    <row r="2594" spans="13:33" ht="12" hidden="1" customHeight="1">
      <c r="M2594" s="820"/>
      <c r="N2594" s="239"/>
      <c r="O2594" s="225"/>
      <c r="P2594" s="260"/>
      <c r="Q2594" s="258"/>
      <c r="R2594" s="260"/>
      <c r="S2594" s="260"/>
      <c r="T2594" s="260"/>
      <c r="U2594" s="260"/>
      <c r="V2594" s="260"/>
      <c r="W2594" s="260"/>
      <c r="X2594" s="260"/>
      <c r="Y2594" s="260"/>
      <c r="Z2594" s="260"/>
      <c r="AA2594" s="260"/>
      <c r="AB2594" s="260"/>
      <c r="AC2594" s="260"/>
      <c r="AD2594" s="260"/>
      <c r="AE2594" s="260"/>
      <c r="AF2594" s="260"/>
      <c r="AG2594" s="258"/>
    </row>
    <row r="2595" spans="13:33" ht="12" hidden="1" customHeight="1">
      <c r="M2595" s="820"/>
      <c r="N2595" s="239"/>
      <c r="O2595" s="225"/>
      <c r="P2595" s="260"/>
      <c r="Q2595" s="258"/>
      <c r="R2595" s="260"/>
      <c r="S2595" s="260"/>
      <c r="T2595" s="260"/>
      <c r="U2595" s="260"/>
      <c r="V2595" s="260"/>
      <c r="W2595" s="260"/>
      <c r="X2595" s="260"/>
      <c r="Y2595" s="260"/>
      <c r="Z2595" s="260"/>
      <c r="AA2595" s="260"/>
      <c r="AB2595" s="260"/>
      <c r="AC2595" s="260"/>
      <c r="AD2595" s="260"/>
      <c r="AE2595" s="260"/>
      <c r="AF2595" s="260"/>
      <c r="AG2595" s="258"/>
    </row>
    <row r="2596" spans="13:33" ht="12" hidden="1" customHeight="1">
      <c r="M2596" s="820"/>
      <c r="N2596" s="239"/>
      <c r="O2596" s="225"/>
      <c r="P2596" s="260"/>
      <c r="Q2596" s="258"/>
      <c r="R2596" s="260"/>
      <c r="S2596" s="260"/>
      <c r="T2596" s="260"/>
      <c r="U2596" s="260"/>
      <c r="V2596" s="260"/>
      <c r="W2596" s="260"/>
      <c r="X2596" s="260"/>
      <c r="Y2596" s="260"/>
      <c r="Z2596" s="260"/>
      <c r="AA2596" s="260"/>
      <c r="AB2596" s="260"/>
      <c r="AC2596" s="260"/>
      <c r="AD2596" s="260"/>
      <c r="AE2596" s="260"/>
      <c r="AF2596" s="260"/>
      <c r="AG2596" s="258"/>
    </row>
    <row r="2597" spans="13:33" ht="12" hidden="1" customHeight="1">
      <c r="M2597" s="820"/>
      <c r="N2597" s="239"/>
      <c r="O2597" s="225"/>
      <c r="P2597" s="260"/>
      <c r="Q2597" s="258"/>
      <c r="R2597" s="260"/>
      <c r="S2597" s="260"/>
      <c r="T2597" s="260"/>
      <c r="U2597" s="260"/>
      <c r="V2597" s="260"/>
      <c r="W2597" s="260"/>
      <c r="X2597" s="260"/>
      <c r="Y2597" s="260"/>
      <c r="Z2597" s="260"/>
      <c r="AA2597" s="260"/>
      <c r="AB2597" s="260"/>
      <c r="AC2597" s="260"/>
      <c r="AD2597" s="260"/>
      <c r="AE2597" s="260"/>
      <c r="AF2597" s="260"/>
      <c r="AG2597" s="258"/>
    </row>
    <row r="2598" spans="13:33" ht="12" hidden="1" customHeight="1">
      <c r="M2598" s="820"/>
      <c r="N2598" s="239"/>
      <c r="O2598" s="225"/>
      <c r="P2598" s="260"/>
      <c r="Q2598" s="258"/>
      <c r="R2598" s="260"/>
      <c r="S2598" s="260"/>
      <c r="T2598" s="260"/>
      <c r="U2598" s="260"/>
      <c r="V2598" s="260"/>
      <c r="W2598" s="260"/>
      <c r="X2598" s="260"/>
      <c r="Y2598" s="260"/>
      <c r="Z2598" s="260"/>
      <c r="AA2598" s="260"/>
      <c r="AB2598" s="260"/>
      <c r="AC2598" s="260"/>
      <c r="AD2598" s="260"/>
      <c r="AE2598" s="260"/>
      <c r="AF2598" s="260"/>
      <c r="AG2598" s="258"/>
    </row>
    <row r="2599" spans="13:33" ht="12" hidden="1" customHeight="1">
      <c r="M2599" s="820"/>
      <c r="N2599" s="239"/>
      <c r="O2599" s="225"/>
      <c r="P2599" s="260"/>
      <c r="Q2599" s="258"/>
      <c r="R2599" s="260"/>
      <c r="S2599" s="260"/>
      <c r="T2599" s="260"/>
      <c r="U2599" s="260"/>
      <c r="V2599" s="260"/>
      <c r="W2599" s="260"/>
      <c r="X2599" s="260"/>
      <c r="Y2599" s="260"/>
      <c r="Z2599" s="260"/>
      <c r="AA2599" s="260"/>
      <c r="AB2599" s="260"/>
      <c r="AC2599" s="260"/>
      <c r="AD2599" s="260"/>
      <c r="AE2599" s="260"/>
      <c r="AF2599" s="260"/>
      <c r="AG2599" s="258"/>
    </row>
    <row r="2600" spans="13:33" ht="12" hidden="1" customHeight="1">
      <c r="M2600" s="820"/>
      <c r="N2600" s="239"/>
      <c r="O2600" s="225"/>
      <c r="P2600" s="260"/>
      <c r="Q2600" s="258"/>
      <c r="R2600" s="260"/>
      <c r="S2600" s="260"/>
      <c r="T2600" s="260"/>
      <c r="U2600" s="260"/>
      <c r="V2600" s="260"/>
      <c r="W2600" s="260"/>
      <c r="X2600" s="260"/>
      <c r="Y2600" s="260"/>
      <c r="Z2600" s="260"/>
      <c r="AA2600" s="260"/>
      <c r="AB2600" s="260"/>
      <c r="AC2600" s="260"/>
      <c r="AD2600" s="260"/>
      <c r="AE2600" s="260"/>
      <c r="AF2600" s="260"/>
      <c r="AG2600" s="258"/>
    </row>
    <row r="2601" spans="13:33" ht="12" hidden="1" customHeight="1">
      <c r="M2601" s="820"/>
      <c r="N2601" s="239"/>
      <c r="O2601" s="225"/>
      <c r="P2601" s="260"/>
      <c r="Q2601" s="258"/>
      <c r="R2601" s="260"/>
      <c r="S2601" s="260"/>
      <c r="T2601" s="260"/>
      <c r="U2601" s="260"/>
      <c r="V2601" s="260"/>
      <c r="W2601" s="260"/>
      <c r="X2601" s="260"/>
      <c r="Y2601" s="260"/>
      <c r="Z2601" s="260"/>
      <c r="AA2601" s="260"/>
      <c r="AB2601" s="260"/>
      <c r="AC2601" s="260"/>
      <c r="AD2601" s="260"/>
      <c r="AE2601" s="260"/>
      <c r="AF2601" s="260"/>
      <c r="AG2601" s="258"/>
    </row>
    <row r="2602" spans="13:33" ht="12" hidden="1" customHeight="1">
      <c r="M2602" s="820"/>
      <c r="N2602" s="239"/>
      <c r="O2602" s="225"/>
      <c r="P2602" s="260"/>
      <c r="Q2602" s="258"/>
      <c r="R2602" s="260"/>
      <c r="S2602" s="260"/>
      <c r="T2602" s="260"/>
      <c r="U2602" s="260"/>
      <c r="V2602" s="260"/>
      <c r="W2602" s="260"/>
      <c r="X2602" s="260"/>
      <c r="Y2602" s="260"/>
      <c r="Z2602" s="260"/>
      <c r="AA2602" s="260"/>
      <c r="AB2602" s="260"/>
      <c r="AC2602" s="260"/>
      <c r="AD2602" s="260"/>
      <c r="AE2602" s="260"/>
      <c r="AF2602" s="260"/>
      <c r="AG2602" s="258"/>
    </row>
    <row r="2603" spans="13:33" ht="12" hidden="1" customHeight="1">
      <c r="M2603" s="820"/>
      <c r="N2603" s="239"/>
      <c r="O2603" s="225"/>
      <c r="P2603" s="260"/>
      <c r="Q2603" s="258"/>
      <c r="R2603" s="260"/>
      <c r="S2603" s="260"/>
      <c r="T2603" s="260"/>
      <c r="U2603" s="260"/>
      <c r="V2603" s="260"/>
      <c r="W2603" s="260"/>
      <c r="X2603" s="260"/>
      <c r="Y2603" s="260"/>
      <c r="Z2603" s="260"/>
      <c r="AA2603" s="260"/>
      <c r="AB2603" s="260"/>
      <c r="AC2603" s="260"/>
      <c r="AD2603" s="260"/>
      <c r="AE2603" s="260"/>
      <c r="AF2603" s="260"/>
      <c r="AG2603" s="258"/>
    </row>
    <row r="2604" spans="13:33" ht="12" hidden="1" customHeight="1">
      <c r="M2604" s="820"/>
      <c r="N2604" s="239"/>
      <c r="O2604" s="225"/>
      <c r="P2604" s="260"/>
      <c r="Q2604" s="258"/>
      <c r="R2604" s="260"/>
      <c r="S2604" s="260"/>
      <c r="T2604" s="260"/>
      <c r="U2604" s="260"/>
      <c r="V2604" s="260"/>
      <c r="W2604" s="260"/>
      <c r="X2604" s="260"/>
      <c r="Y2604" s="260"/>
      <c r="Z2604" s="260"/>
      <c r="AA2604" s="260"/>
      <c r="AB2604" s="260"/>
      <c r="AC2604" s="260"/>
      <c r="AD2604" s="260"/>
      <c r="AE2604" s="260"/>
      <c r="AF2604" s="260"/>
      <c r="AG2604" s="258"/>
    </row>
    <row r="2605" spans="13:33" ht="12" hidden="1" customHeight="1">
      <c r="M2605" s="820"/>
      <c r="N2605" s="239"/>
      <c r="O2605" s="225"/>
      <c r="P2605" s="260"/>
      <c r="Q2605" s="258"/>
      <c r="R2605" s="260"/>
      <c r="S2605" s="260"/>
      <c r="T2605" s="260"/>
      <c r="U2605" s="260"/>
      <c r="V2605" s="260"/>
      <c r="W2605" s="260"/>
      <c r="X2605" s="260"/>
      <c r="Y2605" s="260"/>
      <c r="Z2605" s="260"/>
      <c r="AA2605" s="260"/>
      <c r="AB2605" s="260"/>
      <c r="AC2605" s="260"/>
      <c r="AD2605" s="260"/>
      <c r="AE2605" s="260"/>
      <c r="AF2605" s="260"/>
      <c r="AG2605" s="258"/>
    </row>
    <row r="2606" spans="13:33" ht="12" hidden="1" customHeight="1">
      <c r="M2606" s="820"/>
      <c r="N2606" s="239"/>
      <c r="O2606" s="225"/>
      <c r="P2606" s="260"/>
      <c r="Q2606" s="258"/>
      <c r="R2606" s="260"/>
      <c r="S2606" s="260"/>
      <c r="T2606" s="260"/>
      <c r="U2606" s="260"/>
      <c r="V2606" s="260"/>
      <c r="W2606" s="260"/>
      <c r="X2606" s="260"/>
      <c r="Y2606" s="260"/>
      <c r="Z2606" s="260"/>
      <c r="AA2606" s="260"/>
      <c r="AB2606" s="260"/>
      <c r="AC2606" s="260"/>
      <c r="AD2606" s="260"/>
      <c r="AE2606" s="260"/>
      <c r="AF2606" s="260"/>
      <c r="AG2606" s="258"/>
    </row>
    <row r="2607" spans="13:33" ht="12" hidden="1" customHeight="1">
      <c r="M2607" s="820"/>
      <c r="N2607" s="239"/>
      <c r="O2607" s="225"/>
      <c r="P2607" s="260"/>
      <c r="Q2607" s="258"/>
      <c r="R2607" s="260"/>
      <c r="S2607" s="260"/>
      <c r="T2607" s="260"/>
      <c r="U2607" s="260"/>
      <c r="V2607" s="260"/>
      <c r="W2607" s="260"/>
      <c r="X2607" s="260"/>
      <c r="Y2607" s="260"/>
      <c r="Z2607" s="260"/>
      <c r="AA2607" s="260"/>
      <c r="AB2607" s="260"/>
      <c r="AC2607" s="260"/>
      <c r="AD2607" s="260"/>
      <c r="AE2607" s="260"/>
      <c r="AF2607" s="260"/>
      <c r="AG2607" s="258"/>
    </row>
    <row r="2608" spans="13:33" ht="12" hidden="1" customHeight="1">
      <c r="M2608" s="820"/>
      <c r="N2608" s="239"/>
      <c r="O2608" s="225"/>
      <c r="P2608" s="260"/>
      <c r="Q2608" s="258"/>
      <c r="R2608" s="260"/>
      <c r="S2608" s="260"/>
      <c r="T2608" s="260"/>
      <c r="U2608" s="260"/>
      <c r="V2608" s="260"/>
      <c r="W2608" s="260"/>
      <c r="X2608" s="260"/>
      <c r="Y2608" s="260"/>
      <c r="Z2608" s="260"/>
      <c r="AA2608" s="260"/>
      <c r="AB2608" s="260"/>
      <c r="AC2608" s="260"/>
      <c r="AD2608" s="260"/>
      <c r="AE2608" s="260"/>
      <c r="AF2608" s="260"/>
      <c r="AG2608" s="258"/>
    </row>
    <row r="2609" spans="13:33" ht="12" hidden="1" customHeight="1">
      <c r="M2609" s="820"/>
      <c r="N2609" s="239"/>
      <c r="O2609" s="225"/>
      <c r="P2609" s="260"/>
      <c r="Q2609" s="258"/>
      <c r="R2609" s="260"/>
      <c r="S2609" s="260"/>
      <c r="T2609" s="260"/>
      <c r="U2609" s="260"/>
      <c r="V2609" s="260"/>
      <c r="W2609" s="260"/>
      <c r="X2609" s="260"/>
      <c r="Y2609" s="260"/>
      <c r="Z2609" s="260"/>
      <c r="AA2609" s="260"/>
      <c r="AB2609" s="260"/>
      <c r="AC2609" s="260"/>
      <c r="AD2609" s="260"/>
      <c r="AE2609" s="260"/>
      <c r="AF2609" s="260"/>
      <c r="AG2609" s="258"/>
    </row>
    <row r="2610" spans="13:33" ht="12" hidden="1" customHeight="1">
      <c r="M2610" s="820"/>
      <c r="N2610" s="239"/>
      <c r="O2610" s="225"/>
      <c r="P2610" s="260"/>
      <c r="Q2610" s="258"/>
      <c r="R2610" s="260"/>
      <c r="S2610" s="260"/>
      <c r="T2610" s="260"/>
      <c r="U2610" s="260"/>
      <c r="V2610" s="260"/>
      <c r="W2610" s="260"/>
      <c r="X2610" s="260"/>
      <c r="Y2610" s="260"/>
      <c r="Z2610" s="260"/>
      <c r="AA2610" s="260"/>
      <c r="AB2610" s="260"/>
      <c r="AC2610" s="260"/>
      <c r="AD2610" s="260"/>
      <c r="AE2610" s="260"/>
      <c r="AF2610" s="260"/>
      <c r="AG2610" s="258"/>
    </row>
    <row r="2611" spans="13:33" ht="12" hidden="1" customHeight="1">
      <c r="M2611" s="820"/>
      <c r="N2611" s="239"/>
      <c r="O2611" s="225"/>
      <c r="P2611" s="260"/>
      <c r="Q2611" s="258"/>
      <c r="R2611" s="260"/>
      <c r="S2611" s="260"/>
      <c r="T2611" s="260"/>
      <c r="U2611" s="260"/>
      <c r="V2611" s="260"/>
      <c r="W2611" s="260"/>
      <c r="X2611" s="260"/>
      <c r="Y2611" s="260"/>
      <c r="Z2611" s="260"/>
      <c r="AA2611" s="260"/>
      <c r="AB2611" s="260"/>
      <c r="AC2611" s="260"/>
      <c r="AD2611" s="260"/>
      <c r="AE2611" s="260"/>
      <c r="AF2611" s="260"/>
      <c r="AG2611" s="258"/>
    </row>
    <row r="2612" spans="13:33" ht="12" hidden="1" customHeight="1">
      <c r="M2612" s="820"/>
      <c r="N2612" s="239"/>
      <c r="O2612" s="225"/>
      <c r="P2612" s="260"/>
      <c r="Q2612" s="258"/>
      <c r="R2612" s="260"/>
      <c r="S2612" s="260"/>
      <c r="T2612" s="260"/>
      <c r="U2612" s="260"/>
      <c r="V2612" s="260"/>
      <c r="W2612" s="260"/>
      <c r="X2612" s="260"/>
      <c r="Y2612" s="260"/>
      <c r="Z2612" s="260"/>
      <c r="AA2612" s="260"/>
      <c r="AB2612" s="260"/>
      <c r="AC2612" s="260"/>
      <c r="AD2612" s="260"/>
      <c r="AE2612" s="260"/>
      <c r="AF2612" s="260"/>
      <c r="AG2612" s="258"/>
    </row>
    <row r="2613" spans="13:33" ht="12" hidden="1" customHeight="1">
      <c r="M2613" s="820"/>
      <c r="N2613" s="239"/>
      <c r="O2613" s="225"/>
      <c r="P2613" s="260"/>
      <c r="Q2613" s="258"/>
      <c r="R2613" s="260"/>
      <c r="S2613" s="260"/>
      <c r="T2613" s="260"/>
      <c r="U2613" s="260"/>
      <c r="V2613" s="260"/>
      <c r="W2613" s="260"/>
      <c r="X2613" s="260"/>
      <c r="Y2613" s="260"/>
      <c r="Z2613" s="260"/>
      <c r="AA2613" s="260"/>
      <c r="AB2613" s="260"/>
      <c r="AC2613" s="260"/>
      <c r="AD2613" s="260"/>
      <c r="AE2613" s="260"/>
      <c r="AF2613" s="260"/>
      <c r="AG2613" s="258"/>
    </row>
    <row r="2614" spans="13:33" ht="12" hidden="1" customHeight="1">
      <c r="M2614" s="820"/>
      <c r="N2614" s="239"/>
      <c r="O2614" s="225"/>
      <c r="P2614" s="260"/>
      <c r="Q2614" s="258"/>
      <c r="R2614" s="260"/>
      <c r="S2614" s="260"/>
      <c r="T2614" s="260"/>
      <c r="U2614" s="260"/>
      <c r="V2614" s="260"/>
      <c r="W2614" s="260"/>
      <c r="X2614" s="260"/>
      <c r="Y2614" s="260"/>
      <c r="Z2614" s="260"/>
      <c r="AA2614" s="260"/>
      <c r="AB2614" s="260"/>
      <c r="AC2614" s="260"/>
      <c r="AD2614" s="260"/>
      <c r="AE2614" s="260"/>
      <c r="AF2614" s="260"/>
      <c r="AG2614" s="258"/>
    </row>
    <row r="2615" spans="13:33" ht="12" hidden="1" customHeight="1">
      <c r="M2615" s="820"/>
      <c r="N2615" s="239"/>
      <c r="O2615" s="225"/>
      <c r="P2615" s="260"/>
      <c r="Q2615" s="258"/>
      <c r="R2615" s="260"/>
      <c r="S2615" s="260"/>
      <c r="T2615" s="260"/>
      <c r="U2615" s="260"/>
      <c r="V2615" s="260"/>
      <c r="W2615" s="260"/>
      <c r="X2615" s="260"/>
      <c r="Y2615" s="260"/>
      <c r="Z2615" s="260"/>
      <c r="AA2615" s="260"/>
      <c r="AB2615" s="260"/>
      <c r="AC2615" s="260"/>
      <c r="AD2615" s="260"/>
      <c r="AE2615" s="260"/>
      <c r="AF2615" s="260"/>
      <c r="AG2615" s="258"/>
    </row>
    <row r="2616" spans="13:33" ht="12" hidden="1" customHeight="1">
      <c r="M2616" s="820"/>
      <c r="N2616" s="239"/>
      <c r="O2616" s="225"/>
      <c r="P2616" s="260"/>
      <c r="Q2616" s="258"/>
      <c r="R2616" s="260"/>
      <c r="S2616" s="260"/>
      <c r="T2616" s="260"/>
      <c r="U2616" s="260"/>
      <c r="V2616" s="260"/>
      <c r="W2616" s="260"/>
      <c r="X2616" s="260"/>
      <c r="Y2616" s="260"/>
      <c r="Z2616" s="260"/>
      <c r="AA2616" s="260"/>
      <c r="AB2616" s="260"/>
      <c r="AC2616" s="260"/>
      <c r="AD2616" s="260"/>
      <c r="AE2616" s="260"/>
      <c r="AF2616" s="260"/>
      <c r="AG2616" s="258"/>
    </row>
    <row r="2617" spans="13:33" ht="12" hidden="1" customHeight="1">
      <c r="M2617" s="820"/>
      <c r="N2617" s="239"/>
      <c r="O2617" s="225"/>
      <c r="P2617" s="260"/>
      <c r="Q2617" s="258"/>
      <c r="R2617" s="260"/>
      <c r="S2617" s="260"/>
      <c r="T2617" s="260"/>
      <c r="U2617" s="260"/>
      <c r="V2617" s="260"/>
      <c r="W2617" s="260"/>
      <c r="X2617" s="260"/>
      <c r="Y2617" s="260"/>
      <c r="Z2617" s="260"/>
      <c r="AA2617" s="260"/>
      <c r="AB2617" s="260"/>
      <c r="AC2617" s="260"/>
      <c r="AD2617" s="260"/>
      <c r="AE2617" s="260"/>
      <c r="AF2617" s="260"/>
      <c r="AG2617" s="258"/>
    </row>
    <row r="2618" spans="13:33" ht="12" hidden="1" customHeight="1">
      <c r="M2618" s="820"/>
      <c r="N2618" s="239"/>
      <c r="O2618" s="225"/>
      <c r="P2618" s="260"/>
      <c r="Q2618" s="258"/>
      <c r="R2618" s="260"/>
      <c r="S2618" s="260"/>
      <c r="T2618" s="260"/>
      <c r="U2618" s="260"/>
      <c r="V2618" s="260"/>
      <c r="W2618" s="260"/>
      <c r="X2618" s="260"/>
      <c r="Y2618" s="260"/>
      <c r="Z2618" s="260"/>
      <c r="AA2618" s="260"/>
      <c r="AB2618" s="260"/>
      <c r="AC2618" s="260"/>
      <c r="AD2618" s="260"/>
      <c r="AE2618" s="260"/>
      <c r="AF2618" s="260"/>
      <c r="AG2618" s="258"/>
    </row>
    <row r="2619" spans="13:33" ht="12" hidden="1" customHeight="1">
      <c r="M2619" s="820"/>
      <c r="N2619" s="239"/>
      <c r="O2619" s="225"/>
      <c r="P2619" s="260"/>
      <c r="Q2619" s="258"/>
      <c r="R2619" s="260"/>
      <c r="S2619" s="260"/>
      <c r="T2619" s="260"/>
      <c r="U2619" s="260"/>
      <c r="V2619" s="260"/>
      <c r="W2619" s="260"/>
      <c r="X2619" s="260"/>
      <c r="Y2619" s="260"/>
      <c r="Z2619" s="260"/>
      <c r="AA2619" s="260"/>
      <c r="AB2619" s="260"/>
      <c r="AC2619" s="260"/>
      <c r="AD2619" s="260"/>
      <c r="AE2619" s="260"/>
      <c r="AF2619" s="260"/>
      <c r="AG2619" s="258"/>
    </row>
    <row r="2620" spans="13:33" ht="12" hidden="1" customHeight="1">
      <c r="M2620" s="820"/>
      <c r="N2620" s="239"/>
      <c r="O2620" s="225"/>
      <c r="P2620" s="260"/>
      <c r="Q2620" s="258"/>
      <c r="R2620" s="260"/>
      <c r="S2620" s="260"/>
      <c r="T2620" s="260"/>
      <c r="U2620" s="260"/>
      <c r="V2620" s="260"/>
      <c r="W2620" s="260"/>
      <c r="X2620" s="260"/>
      <c r="Y2620" s="260"/>
      <c r="Z2620" s="260"/>
      <c r="AA2620" s="260"/>
      <c r="AB2620" s="260"/>
      <c r="AC2620" s="260"/>
      <c r="AD2620" s="260"/>
      <c r="AE2620" s="260"/>
      <c r="AF2620" s="260"/>
      <c r="AG2620" s="258"/>
    </row>
    <row r="2621" spans="13:33" ht="12" hidden="1" customHeight="1">
      <c r="M2621" s="820"/>
      <c r="N2621" s="239"/>
      <c r="O2621" s="225"/>
      <c r="P2621" s="260"/>
      <c r="Q2621" s="258"/>
      <c r="R2621" s="260"/>
      <c r="S2621" s="260"/>
      <c r="T2621" s="260"/>
      <c r="U2621" s="260"/>
      <c r="V2621" s="260"/>
      <c r="W2621" s="260"/>
      <c r="X2621" s="260"/>
      <c r="Y2621" s="260"/>
      <c r="Z2621" s="260"/>
      <c r="AA2621" s="260"/>
      <c r="AB2621" s="260"/>
      <c r="AC2621" s="260"/>
      <c r="AD2621" s="260"/>
      <c r="AE2621" s="260"/>
      <c r="AF2621" s="260"/>
      <c r="AG2621" s="258"/>
    </row>
    <row r="2622" spans="13:33" ht="12" hidden="1" customHeight="1">
      <c r="M2622" s="820"/>
      <c r="N2622" s="239"/>
      <c r="O2622" s="225"/>
      <c r="P2622" s="260"/>
      <c r="Q2622" s="258"/>
      <c r="R2622" s="260"/>
      <c r="S2622" s="260"/>
      <c r="T2622" s="260"/>
      <c r="U2622" s="260"/>
      <c r="V2622" s="260"/>
      <c r="W2622" s="260"/>
      <c r="X2622" s="260"/>
      <c r="Y2622" s="260"/>
      <c r="Z2622" s="260"/>
      <c r="AA2622" s="260"/>
      <c r="AB2622" s="260"/>
      <c r="AC2622" s="260"/>
      <c r="AD2622" s="260"/>
      <c r="AE2622" s="260"/>
      <c r="AF2622" s="260"/>
      <c r="AG2622" s="258"/>
    </row>
    <row r="2623" spans="13:33" ht="12" hidden="1" customHeight="1">
      <c r="M2623" s="820"/>
      <c r="N2623" s="239"/>
      <c r="O2623" s="225"/>
      <c r="P2623" s="260"/>
      <c r="Q2623" s="258"/>
      <c r="R2623" s="260"/>
      <c r="S2623" s="260"/>
      <c r="T2623" s="260"/>
      <c r="U2623" s="260"/>
      <c r="V2623" s="260"/>
      <c r="W2623" s="260"/>
      <c r="X2623" s="260"/>
      <c r="Y2623" s="260"/>
      <c r="Z2623" s="260"/>
      <c r="AA2623" s="260"/>
      <c r="AB2623" s="260"/>
      <c r="AC2623" s="260"/>
      <c r="AD2623" s="260"/>
      <c r="AE2623" s="260"/>
      <c r="AF2623" s="260"/>
      <c r="AG2623" s="258"/>
    </row>
    <row r="2624" spans="13:33" ht="12" hidden="1" customHeight="1">
      <c r="M2624" s="820"/>
      <c r="N2624" s="239"/>
      <c r="O2624" s="225"/>
      <c r="P2624" s="260"/>
      <c r="Q2624" s="258"/>
      <c r="R2624" s="260"/>
      <c r="S2624" s="260"/>
      <c r="T2624" s="260"/>
      <c r="U2624" s="260"/>
      <c r="V2624" s="260"/>
      <c r="W2624" s="260"/>
      <c r="X2624" s="260"/>
      <c r="Y2624" s="260"/>
      <c r="Z2624" s="260"/>
      <c r="AA2624" s="260"/>
      <c r="AB2624" s="260"/>
      <c r="AC2624" s="260"/>
      <c r="AD2624" s="260"/>
      <c r="AE2624" s="260"/>
      <c r="AF2624" s="260"/>
      <c r="AG2624" s="258"/>
    </row>
    <row r="2625" spans="13:33" ht="12" hidden="1" customHeight="1">
      <c r="M2625" s="820"/>
      <c r="N2625" s="239"/>
      <c r="O2625" s="225"/>
      <c r="P2625" s="260"/>
      <c r="Q2625" s="258"/>
      <c r="R2625" s="260"/>
      <c r="S2625" s="260"/>
      <c r="T2625" s="260"/>
      <c r="U2625" s="260"/>
      <c r="V2625" s="260"/>
      <c r="W2625" s="260"/>
      <c r="X2625" s="260"/>
      <c r="Y2625" s="260"/>
      <c r="Z2625" s="260"/>
      <c r="AA2625" s="260"/>
      <c r="AB2625" s="260"/>
      <c r="AC2625" s="260"/>
      <c r="AD2625" s="260"/>
      <c r="AE2625" s="260"/>
      <c r="AF2625" s="260"/>
      <c r="AG2625" s="258"/>
    </row>
    <row r="2626" spans="13:33" ht="12" hidden="1" customHeight="1">
      <c r="M2626" s="820"/>
      <c r="N2626" s="239"/>
      <c r="O2626" s="225"/>
      <c r="P2626" s="260"/>
      <c r="Q2626" s="258"/>
      <c r="R2626" s="260"/>
      <c r="S2626" s="260"/>
      <c r="T2626" s="260"/>
      <c r="U2626" s="260"/>
      <c r="V2626" s="260"/>
      <c r="W2626" s="260"/>
      <c r="X2626" s="260"/>
      <c r="Y2626" s="260"/>
      <c r="Z2626" s="260"/>
      <c r="AA2626" s="260"/>
      <c r="AB2626" s="260"/>
      <c r="AC2626" s="260"/>
      <c r="AD2626" s="260"/>
      <c r="AE2626" s="260"/>
      <c r="AF2626" s="260"/>
      <c r="AG2626" s="258"/>
    </row>
    <row r="2627" spans="13:33" ht="12" hidden="1" customHeight="1">
      <c r="M2627" s="820"/>
      <c r="N2627" s="239"/>
      <c r="O2627" s="225"/>
      <c r="P2627" s="260"/>
      <c r="Q2627" s="258"/>
      <c r="R2627" s="260"/>
      <c r="S2627" s="260"/>
      <c r="T2627" s="260"/>
      <c r="U2627" s="260"/>
      <c r="V2627" s="260"/>
      <c r="W2627" s="260"/>
      <c r="X2627" s="260"/>
      <c r="Y2627" s="260"/>
      <c r="Z2627" s="260"/>
      <c r="AA2627" s="260"/>
      <c r="AB2627" s="260"/>
      <c r="AC2627" s="260"/>
      <c r="AD2627" s="260"/>
      <c r="AE2627" s="260"/>
      <c r="AF2627" s="260"/>
      <c r="AG2627" s="258"/>
    </row>
    <row r="2628" spans="13:33" ht="12" hidden="1" customHeight="1">
      <c r="M2628" s="820"/>
      <c r="N2628" s="239"/>
      <c r="O2628" s="225"/>
      <c r="P2628" s="260"/>
      <c r="Q2628" s="258"/>
      <c r="R2628" s="260"/>
      <c r="S2628" s="260"/>
      <c r="T2628" s="260"/>
      <c r="U2628" s="260"/>
      <c r="V2628" s="260"/>
      <c r="W2628" s="260"/>
      <c r="X2628" s="260"/>
      <c r="Y2628" s="260"/>
      <c r="Z2628" s="260"/>
      <c r="AA2628" s="260"/>
      <c r="AB2628" s="260"/>
      <c r="AC2628" s="260"/>
      <c r="AD2628" s="260"/>
      <c r="AE2628" s="260"/>
      <c r="AF2628" s="260"/>
      <c r="AG2628" s="258"/>
    </row>
    <row r="2629" spans="13:33" ht="12" hidden="1" customHeight="1">
      <c r="M2629" s="820"/>
      <c r="N2629" s="239"/>
      <c r="O2629" s="225"/>
      <c r="P2629" s="260"/>
      <c r="Q2629" s="258"/>
      <c r="R2629" s="260"/>
      <c r="S2629" s="260"/>
      <c r="T2629" s="260"/>
      <c r="U2629" s="260"/>
      <c r="V2629" s="260"/>
      <c r="W2629" s="260"/>
      <c r="X2629" s="260"/>
      <c r="Y2629" s="260"/>
      <c r="Z2629" s="260"/>
      <c r="AA2629" s="260"/>
      <c r="AB2629" s="260"/>
      <c r="AC2629" s="260"/>
      <c r="AD2629" s="260"/>
      <c r="AE2629" s="260"/>
      <c r="AF2629" s="260"/>
      <c r="AG2629" s="258"/>
    </row>
    <row r="2630" spans="13:33" ht="12" hidden="1" customHeight="1">
      <c r="M2630" s="820"/>
      <c r="N2630" s="239"/>
      <c r="O2630" s="225"/>
      <c r="P2630" s="260"/>
      <c r="Q2630" s="258"/>
      <c r="R2630" s="260"/>
      <c r="S2630" s="260"/>
      <c r="T2630" s="260"/>
      <c r="U2630" s="260"/>
      <c r="V2630" s="260"/>
      <c r="W2630" s="260"/>
      <c r="X2630" s="260"/>
      <c r="Y2630" s="260"/>
      <c r="Z2630" s="260"/>
      <c r="AA2630" s="260"/>
      <c r="AB2630" s="260"/>
      <c r="AC2630" s="260"/>
      <c r="AD2630" s="260"/>
      <c r="AE2630" s="260"/>
      <c r="AF2630" s="260"/>
      <c r="AG2630" s="258"/>
    </row>
    <row r="2631" spans="13:33" ht="12" hidden="1" customHeight="1">
      <c r="M2631" s="820"/>
      <c r="N2631" s="239"/>
      <c r="O2631" s="225"/>
      <c r="P2631" s="260"/>
      <c r="Q2631" s="258"/>
      <c r="R2631" s="260"/>
      <c r="S2631" s="260"/>
      <c r="T2631" s="260"/>
      <c r="U2631" s="260"/>
      <c r="V2631" s="260"/>
      <c r="W2631" s="260"/>
      <c r="X2631" s="260"/>
      <c r="Y2631" s="260"/>
      <c r="Z2631" s="260"/>
      <c r="AA2631" s="260"/>
      <c r="AB2631" s="260"/>
      <c r="AC2631" s="260"/>
      <c r="AD2631" s="260"/>
      <c r="AE2631" s="260"/>
      <c r="AF2631" s="260"/>
      <c r="AG2631" s="258"/>
    </row>
    <row r="2632" spans="13:33" ht="12" hidden="1" customHeight="1">
      <c r="M2632" s="820"/>
      <c r="N2632" s="239"/>
      <c r="O2632" s="225"/>
      <c r="P2632" s="260"/>
      <c r="Q2632" s="258"/>
      <c r="R2632" s="260"/>
      <c r="S2632" s="260"/>
      <c r="T2632" s="260"/>
      <c r="U2632" s="260"/>
      <c r="V2632" s="260"/>
      <c r="W2632" s="260"/>
      <c r="X2632" s="260"/>
      <c r="Y2632" s="260"/>
      <c r="Z2632" s="260"/>
      <c r="AA2632" s="260"/>
      <c r="AB2632" s="260"/>
      <c r="AC2632" s="260"/>
      <c r="AD2632" s="260"/>
      <c r="AE2632" s="260"/>
      <c r="AF2632" s="260"/>
      <c r="AG2632" s="258"/>
    </row>
    <row r="2633" spans="13:33" ht="12" hidden="1" customHeight="1">
      <c r="M2633" s="820"/>
      <c r="N2633" s="239"/>
      <c r="O2633" s="225"/>
      <c r="P2633" s="260"/>
      <c r="Q2633" s="258"/>
      <c r="R2633" s="260"/>
      <c r="S2633" s="260"/>
      <c r="T2633" s="260"/>
      <c r="U2633" s="260"/>
      <c r="V2633" s="260"/>
      <c r="W2633" s="260"/>
      <c r="X2633" s="260"/>
      <c r="Y2633" s="260"/>
      <c r="Z2633" s="260"/>
      <c r="AA2633" s="260"/>
      <c r="AB2633" s="260"/>
      <c r="AC2633" s="260"/>
      <c r="AD2633" s="260"/>
      <c r="AE2633" s="260"/>
      <c r="AF2633" s="260"/>
      <c r="AG2633" s="258"/>
    </row>
    <row r="2634" spans="13:33" ht="12" hidden="1" customHeight="1">
      <c r="M2634" s="820"/>
      <c r="N2634" s="239"/>
      <c r="O2634" s="225"/>
      <c r="P2634" s="260"/>
      <c r="Q2634" s="258"/>
      <c r="R2634" s="260"/>
      <c r="S2634" s="260"/>
      <c r="T2634" s="260"/>
      <c r="U2634" s="260"/>
      <c r="V2634" s="260"/>
      <c r="W2634" s="260"/>
      <c r="X2634" s="260"/>
      <c r="Y2634" s="260"/>
      <c r="Z2634" s="260"/>
      <c r="AA2634" s="260"/>
      <c r="AB2634" s="260"/>
      <c r="AC2634" s="260"/>
      <c r="AD2634" s="260"/>
      <c r="AE2634" s="260"/>
      <c r="AF2634" s="260"/>
      <c r="AG2634" s="258"/>
    </row>
    <row r="2635" spans="13:33" ht="12" hidden="1" customHeight="1">
      <c r="M2635" s="820"/>
      <c r="N2635" s="239"/>
      <c r="O2635" s="225"/>
      <c r="P2635" s="260"/>
      <c r="Q2635" s="258"/>
      <c r="R2635" s="260"/>
      <c r="S2635" s="260"/>
      <c r="T2635" s="260"/>
      <c r="U2635" s="260"/>
      <c r="V2635" s="260"/>
      <c r="W2635" s="260"/>
      <c r="X2635" s="260"/>
      <c r="Y2635" s="260"/>
      <c r="Z2635" s="260"/>
      <c r="AA2635" s="260"/>
      <c r="AB2635" s="260"/>
      <c r="AC2635" s="260"/>
      <c r="AD2635" s="260"/>
      <c r="AE2635" s="260"/>
      <c r="AF2635" s="260"/>
      <c r="AG2635" s="258"/>
    </row>
    <row r="2636" spans="13:33" ht="12" hidden="1" customHeight="1">
      <c r="M2636" s="820"/>
      <c r="N2636" s="239"/>
      <c r="O2636" s="225"/>
      <c r="P2636" s="260"/>
      <c r="Q2636" s="258"/>
      <c r="R2636" s="260"/>
      <c r="S2636" s="260"/>
      <c r="T2636" s="260"/>
      <c r="U2636" s="260"/>
      <c r="V2636" s="260"/>
      <c r="W2636" s="260"/>
      <c r="X2636" s="260"/>
      <c r="Y2636" s="260"/>
      <c r="Z2636" s="260"/>
      <c r="AA2636" s="260"/>
      <c r="AB2636" s="260"/>
      <c r="AC2636" s="260"/>
      <c r="AD2636" s="260"/>
      <c r="AE2636" s="260"/>
      <c r="AF2636" s="260"/>
      <c r="AG2636" s="258"/>
    </row>
    <row r="2637" spans="13:33" ht="12" hidden="1" customHeight="1">
      <c r="M2637" s="820"/>
      <c r="N2637" s="239"/>
      <c r="O2637" s="225"/>
      <c r="P2637" s="260"/>
      <c r="Q2637" s="258"/>
      <c r="R2637" s="260"/>
      <c r="S2637" s="260"/>
      <c r="T2637" s="260"/>
      <c r="U2637" s="260"/>
      <c r="V2637" s="260"/>
      <c r="W2637" s="260"/>
      <c r="X2637" s="260"/>
      <c r="Y2637" s="260"/>
      <c r="Z2637" s="260"/>
      <c r="AA2637" s="260"/>
      <c r="AB2637" s="260"/>
      <c r="AC2637" s="260"/>
      <c r="AD2637" s="260"/>
      <c r="AE2637" s="260"/>
      <c r="AF2637" s="260"/>
      <c r="AG2637" s="258"/>
    </row>
    <row r="2638" spans="13:33" ht="12" hidden="1" customHeight="1">
      <c r="M2638" s="820"/>
      <c r="N2638" s="239"/>
      <c r="O2638" s="225"/>
      <c r="P2638" s="260"/>
      <c r="Q2638" s="258"/>
      <c r="R2638" s="260"/>
      <c r="S2638" s="260"/>
      <c r="T2638" s="260"/>
      <c r="U2638" s="260"/>
      <c r="V2638" s="260"/>
      <c r="W2638" s="260"/>
      <c r="X2638" s="260"/>
      <c r="Y2638" s="260"/>
      <c r="Z2638" s="260"/>
      <c r="AA2638" s="260"/>
      <c r="AB2638" s="260"/>
      <c r="AC2638" s="260"/>
      <c r="AD2638" s="260"/>
      <c r="AE2638" s="260"/>
      <c r="AF2638" s="260"/>
      <c r="AG2638" s="258"/>
    </row>
    <row r="2639" spans="13:33" ht="12" hidden="1" customHeight="1">
      <c r="M2639" s="820"/>
      <c r="N2639" s="239"/>
      <c r="O2639" s="225"/>
      <c r="P2639" s="260"/>
      <c r="Q2639" s="258"/>
      <c r="R2639" s="260"/>
      <c r="S2639" s="260"/>
      <c r="T2639" s="260"/>
      <c r="U2639" s="260"/>
      <c r="V2639" s="260"/>
      <c r="W2639" s="260"/>
      <c r="X2639" s="260"/>
      <c r="Y2639" s="260"/>
      <c r="Z2639" s="260"/>
      <c r="AA2639" s="260"/>
      <c r="AB2639" s="260"/>
      <c r="AC2639" s="260"/>
      <c r="AD2639" s="260"/>
      <c r="AE2639" s="260"/>
      <c r="AF2639" s="260"/>
      <c r="AG2639" s="258"/>
    </row>
    <row r="2640" spans="13:33" ht="12" hidden="1" customHeight="1">
      <c r="M2640" s="820"/>
      <c r="N2640" s="239"/>
      <c r="O2640" s="225"/>
      <c r="P2640" s="260"/>
      <c r="Q2640" s="258"/>
      <c r="R2640" s="260"/>
      <c r="S2640" s="260"/>
      <c r="T2640" s="260"/>
      <c r="U2640" s="260"/>
      <c r="V2640" s="260"/>
      <c r="W2640" s="260"/>
      <c r="X2640" s="260"/>
      <c r="Y2640" s="260"/>
      <c r="Z2640" s="260"/>
      <c r="AA2640" s="260"/>
      <c r="AB2640" s="260"/>
      <c r="AC2640" s="260"/>
      <c r="AD2640" s="260"/>
      <c r="AE2640" s="260"/>
      <c r="AF2640" s="260"/>
      <c r="AG2640" s="258"/>
    </row>
    <row r="2641" spans="13:33" ht="12" hidden="1" customHeight="1">
      <c r="M2641" s="820"/>
      <c r="N2641" s="239"/>
      <c r="O2641" s="225"/>
      <c r="P2641" s="260"/>
      <c r="Q2641" s="258"/>
      <c r="R2641" s="260"/>
      <c r="S2641" s="260"/>
      <c r="T2641" s="260"/>
      <c r="U2641" s="260"/>
      <c r="V2641" s="260"/>
      <c r="W2641" s="260"/>
      <c r="X2641" s="260"/>
      <c r="Y2641" s="260"/>
      <c r="Z2641" s="260"/>
      <c r="AA2641" s="260"/>
      <c r="AB2641" s="260"/>
      <c r="AC2641" s="260"/>
      <c r="AD2641" s="260"/>
      <c r="AE2641" s="260"/>
      <c r="AF2641" s="260"/>
      <c r="AG2641" s="258"/>
    </row>
    <row r="2642" spans="13:33" ht="12" hidden="1" customHeight="1">
      <c r="M2642" s="820"/>
      <c r="N2642" s="239"/>
      <c r="O2642" s="225"/>
      <c r="P2642" s="260"/>
      <c r="Q2642" s="258"/>
      <c r="R2642" s="260"/>
      <c r="S2642" s="260"/>
      <c r="T2642" s="260"/>
      <c r="U2642" s="260"/>
      <c r="V2642" s="260"/>
      <c r="W2642" s="260"/>
      <c r="X2642" s="260"/>
      <c r="Y2642" s="260"/>
      <c r="Z2642" s="260"/>
      <c r="AA2642" s="260"/>
      <c r="AB2642" s="260"/>
      <c r="AC2642" s="260"/>
      <c r="AD2642" s="260"/>
      <c r="AE2642" s="260"/>
      <c r="AF2642" s="260"/>
      <c r="AG2642" s="258"/>
    </row>
    <row r="2643" spans="13:33" ht="12" hidden="1" customHeight="1">
      <c r="M2643" s="820"/>
      <c r="N2643" s="239"/>
      <c r="O2643" s="225"/>
      <c r="P2643" s="260"/>
      <c r="Q2643" s="258"/>
      <c r="R2643" s="260"/>
      <c r="S2643" s="260"/>
      <c r="T2643" s="260"/>
      <c r="U2643" s="260"/>
      <c r="V2643" s="260"/>
      <c r="W2643" s="260"/>
      <c r="X2643" s="260"/>
      <c r="Y2643" s="260"/>
      <c r="Z2643" s="260"/>
      <c r="AA2643" s="260"/>
      <c r="AB2643" s="260"/>
      <c r="AC2643" s="260"/>
      <c r="AD2643" s="260"/>
      <c r="AE2643" s="260"/>
      <c r="AF2643" s="260"/>
      <c r="AG2643" s="258"/>
    </row>
    <row r="2644" spans="13:33" ht="12" hidden="1" customHeight="1">
      <c r="M2644" s="820"/>
      <c r="N2644" s="239"/>
      <c r="O2644" s="225"/>
      <c r="P2644" s="260"/>
      <c r="Q2644" s="258"/>
      <c r="R2644" s="260"/>
      <c r="S2644" s="260"/>
      <c r="T2644" s="260"/>
      <c r="U2644" s="260"/>
      <c r="V2644" s="260"/>
      <c r="W2644" s="260"/>
      <c r="X2644" s="260"/>
      <c r="Y2644" s="260"/>
      <c r="Z2644" s="260"/>
      <c r="AA2644" s="260"/>
      <c r="AB2644" s="260"/>
      <c r="AC2644" s="260"/>
      <c r="AD2644" s="260"/>
      <c r="AE2644" s="260"/>
      <c r="AF2644" s="260"/>
      <c r="AG2644" s="258"/>
    </row>
    <row r="2645" spans="13:33" ht="12" hidden="1" customHeight="1">
      <c r="M2645" s="820"/>
      <c r="N2645" s="239"/>
      <c r="O2645" s="225"/>
      <c r="P2645" s="260"/>
      <c r="Q2645" s="258"/>
      <c r="R2645" s="260"/>
      <c r="S2645" s="260"/>
      <c r="T2645" s="260"/>
      <c r="U2645" s="260"/>
      <c r="V2645" s="260"/>
      <c r="W2645" s="260"/>
      <c r="X2645" s="260"/>
      <c r="Y2645" s="260"/>
      <c r="Z2645" s="260"/>
      <c r="AA2645" s="260"/>
      <c r="AB2645" s="260"/>
      <c r="AC2645" s="260"/>
      <c r="AD2645" s="260"/>
      <c r="AE2645" s="260"/>
      <c r="AF2645" s="260"/>
      <c r="AG2645" s="258"/>
    </row>
    <row r="2646" spans="13:33" ht="12" hidden="1" customHeight="1">
      <c r="M2646" s="820"/>
      <c r="N2646" s="239"/>
      <c r="O2646" s="225"/>
      <c r="P2646" s="260"/>
      <c r="Q2646" s="258"/>
      <c r="R2646" s="260"/>
      <c r="S2646" s="260"/>
      <c r="T2646" s="260"/>
      <c r="U2646" s="260"/>
      <c r="V2646" s="260"/>
      <c r="W2646" s="260"/>
      <c r="X2646" s="260"/>
      <c r="Y2646" s="260"/>
      <c r="Z2646" s="260"/>
      <c r="AA2646" s="260"/>
      <c r="AB2646" s="260"/>
      <c r="AC2646" s="260"/>
      <c r="AD2646" s="260"/>
      <c r="AE2646" s="260"/>
      <c r="AF2646" s="260"/>
      <c r="AG2646" s="258"/>
    </row>
    <row r="2647" spans="13:33" ht="12" hidden="1" customHeight="1">
      <c r="M2647" s="820"/>
      <c r="N2647" s="239"/>
      <c r="O2647" s="225"/>
      <c r="P2647" s="260"/>
      <c r="Q2647" s="258"/>
      <c r="R2647" s="260"/>
      <c r="S2647" s="260"/>
      <c r="T2647" s="260"/>
      <c r="U2647" s="260"/>
      <c r="V2647" s="260"/>
      <c r="W2647" s="260"/>
      <c r="X2647" s="260"/>
      <c r="Y2647" s="260"/>
      <c r="Z2647" s="260"/>
      <c r="AA2647" s="260"/>
      <c r="AB2647" s="260"/>
      <c r="AC2647" s="260"/>
      <c r="AD2647" s="260"/>
      <c r="AE2647" s="260"/>
      <c r="AF2647" s="260"/>
      <c r="AG2647" s="258"/>
    </row>
    <row r="2648" spans="13:33" ht="12" hidden="1" customHeight="1">
      <c r="M2648" s="820"/>
      <c r="N2648" s="239"/>
      <c r="O2648" s="225"/>
      <c r="P2648" s="260"/>
      <c r="Q2648" s="258"/>
      <c r="R2648" s="260"/>
      <c r="S2648" s="260"/>
      <c r="T2648" s="260"/>
      <c r="U2648" s="260"/>
      <c r="V2648" s="260"/>
      <c r="W2648" s="260"/>
      <c r="X2648" s="260"/>
      <c r="Y2648" s="260"/>
      <c r="Z2648" s="260"/>
      <c r="AA2648" s="260"/>
      <c r="AB2648" s="260"/>
      <c r="AC2648" s="260"/>
      <c r="AD2648" s="260"/>
      <c r="AE2648" s="260"/>
      <c r="AF2648" s="260"/>
      <c r="AG2648" s="258"/>
    </row>
    <row r="2649" spans="13:33" ht="12" hidden="1" customHeight="1">
      <c r="M2649" s="820"/>
      <c r="N2649" s="239"/>
      <c r="O2649" s="225"/>
      <c r="P2649" s="260"/>
      <c r="Q2649" s="258"/>
      <c r="R2649" s="260"/>
      <c r="S2649" s="260"/>
      <c r="T2649" s="260"/>
      <c r="U2649" s="260"/>
      <c r="V2649" s="260"/>
      <c r="W2649" s="260"/>
      <c r="X2649" s="260"/>
      <c r="Y2649" s="260"/>
      <c r="Z2649" s="260"/>
      <c r="AA2649" s="260"/>
      <c r="AB2649" s="260"/>
      <c r="AC2649" s="260"/>
      <c r="AD2649" s="260"/>
      <c r="AE2649" s="260"/>
      <c r="AF2649" s="260"/>
      <c r="AG2649" s="258"/>
    </row>
    <row r="2650" spans="13:33" ht="12" hidden="1" customHeight="1">
      <c r="M2650" s="820"/>
      <c r="N2650" s="239"/>
      <c r="O2650" s="225"/>
      <c r="P2650" s="260"/>
      <c r="Q2650" s="258"/>
      <c r="R2650" s="260"/>
      <c r="S2650" s="260"/>
      <c r="T2650" s="260"/>
      <c r="U2650" s="260"/>
      <c r="V2650" s="260"/>
      <c r="W2650" s="260"/>
      <c r="X2650" s="260"/>
      <c r="Y2650" s="260"/>
      <c r="Z2650" s="260"/>
      <c r="AA2650" s="260"/>
      <c r="AB2650" s="260"/>
      <c r="AC2650" s="260"/>
      <c r="AD2650" s="260"/>
      <c r="AE2650" s="260"/>
      <c r="AF2650" s="260"/>
      <c r="AG2650" s="258"/>
    </row>
    <row r="2651" spans="13:33" ht="12" hidden="1" customHeight="1">
      <c r="M2651" s="820"/>
      <c r="N2651" s="239"/>
      <c r="O2651" s="225"/>
      <c r="P2651" s="260"/>
      <c r="Q2651" s="258"/>
      <c r="R2651" s="260"/>
      <c r="S2651" s="260"/>
      <c r="T2651" s="260"/>
      <c r="U2651" s="260"/>
      <c r="V2651" s="260"/>
      <c r="W2651" s="260"/>
      <c r="X2651" s="260"/>
      <c r="Y2651" s="260"/>
      <c r="Z2651" s="260"/>
      <c r="AA2651" s="260"/>
      <c r="AB2651" s="260"/>
      <c r="AC2651" s="260"/>
      <c r="AD2651" s="260"/>
      <c r="AE2651" s="260"/>
      <c r="AF2651" s="260"/>
      <c r="AG2651" s="258"/>
    </row>
    <row r="2652" spans="13:33" ht="12" hidden="1" customHeight="1">
      <c r="M2652" s="820"/>
      <c r="N2652" s="239"/>
      <c r="O2652" s="225"/>
      <c r="P2652" s="260"/>
      <c r="Q2652" s="258"/>
      <c r="R2652" s="260"/>
      <c r="S2652" s="260"/>
      <c r="T2652" s="260"/>
      <c r="U2652" s="260"/>
      <c r="V2652" s="260"/>
      <c r="W2652" s="260"/>
      <c r="X2652" s="260"/>
      <c r="Y2652" s="260"/>
      <c r="Z2652" s="260"/>
      <c r="AA2652" s="260"/>
      <c r="AB2652" s="260"/>
      <c r="AC2652" s="260"/>
      <c r="AD2652" s="260"/>
      <c r="AE2652" s="260"/>
      <c r="AF2652" s="260"/>
      <c r="AG2652" s="258"/>
    </row>
    <row r="2653" spans="13:33" ht="12" hidden="1" customHeight="1">
      <c r="M2653" s="820"/>
      <c r="N2653" s="239"/>
      <c r="O2653" s="225"/>
      <c r="P2653" s="260"/>
      <c r="Q2653" s="258"/>
      <c r="R2653" s="260"/>
      <c r="S2653" s="260"/>
      <c r="T2653" s="260"/>
      <c r="U2653" s="260"/>
      <c r="V2653" s="260"/>
      <c r="W2653" s="260"/>
      <c r="X2653" s="260"/>
      <c r="Y2653" s="260"/>
      <c r="Z2653" s="260"/>
      <c r="AA2653" s="260"/>
      <c r="AB2653" s="260"/>
      <c r="AC2653" s="260"/>
      <c r="AD2653" s="260"/>
      <c r="AE2653" s="260"/>
      <c r="AF2653" s="260"/>
      <c r="AG2653" s="258"/>
    </row>
    <row r="2654" spans="13:33" ht="12" hidden="1" customHeight="1">
      <c r="M2654" s="820"/>
      <c r="N2654" s="239"/>
      <c r="O2654" s="225"/>
      <c r="P2654" s="260"/>
      <c r="Q2654" s="258"/>
      <c r="R2654" s="260"/>
      <c r="S2654" s="260"/>
      <c r="T2654" s="260"/>
      <c r="U2654" s="260"/>
      <c r="V2654" s="260"/>
      <c r="W2654" s="260"/>
      <c r="X2654" s="260"/>
      <c r="Y2654" s="260"/>
      <c r="Z2654" s="260"/>
      <c r="AA2654" s="260"/>
      <c r="AB2654" s="260"/>
      <c r="AC2654" s="260"/>
      <c r="AD2654" s="260"/>
      <c r="AE2654" s="260"/>
      <c r="AF2654" s="260"/>
      <c r="AG2654" s="258"/>
    </row>
    <row r="2655" spans="13:33" ht="12" hidden="1" customHeight="1">
      <c r="M2655" s="820"/>
      <c r="N2655" s="239"/>
      <c r="O2655" s="225"/>
      <c r="P2655" s="260"/>
      <c r="Q2655" s="258"/>
      <c r="R2655" s="260"/>
      <c r="S2655" s="260"/>
      <c r="T2655" s="260"/>
      <c r="U2655" s="260"/>
      <c r="V2655" s="260"/>
      <c r="W2655" s="260"/>
      <c r="X2655" s="260"/>
      <c r="Y2655" s="260"/>
      <c r="Z2655" s="260"/>
      <c r="AA2655" s="260"/>
      <c r="AB2655" s="260"/>
      <c r="AC2655" s="260"/>
      <c r="AD2655" s="260"/>
      <c r="AE2655" s="260"/>
      <c r="AF2655" s="260"/>
      <c r="AG2655" s="258"/>
    </row>
    <row r="2656" spans="13:33" ht="12" hidden="1" customHeight="1">
      <c r="M2656" s="820"/>
      <c r="N2656" s="239"/>
      <c r="O2656" s="225"/>
      <c r="P2656" s="260"/>
      <c r="Q2656" s="258"/>
      <c r="R2656" s="260"/>
      <c r="S2656" s="260"/>
      <c r="T2656" s="260"/>
      <c r="U2656" s="260"/>
      <c r="V2656" s="260"/>
      <c r="W2656" s="260"/>
      <c r="X2656" s="260"/>
      <c r="Y2656" s="260"/>
      <c r="Z2656" s="260"/>
      <c r="AA2656" s="260"/>
      <c r="AB2656" s="260"/>
      <c r="AC2656" s="260"/>
      <c r="AD2656" s="260"/>
      <c r="AE2656" s="260"/>
      <c r="AF2656" s="260"/>
      <c r="AG2656" s="258"/>
    </row>
    <row r="2657" spans="13:33" ht="12" hidden="1" customHeight="1">
      <c r="M2657" s="820"/>
      <c r="N2657" s="239"/>
      <c r="O2657" s="225"/>
      <c r="P2657" s="260"/>
      <c r="Q2657" s="258"/>
      <c r="R2657" s="260"/>
      <c r="S2657" s="260"/>
      <c r="T2657" s="260"/>
      <c r="U2657" s="260"/>
      <c r="V2657" s="260"/>
      <c r="W2657" s="260"/>
      <c r="X2657" s="260"/>
      <c r="Y2657" s="260"/>
      <c r="Z2657" s="260"/>
      <c r="AA2657" s="260"/>
      <c r="AB2657" s="260"/>
      <c r="AC2657" s="260"/>
      <c r="AD2657" s="260"/>
      <c r="AE2657" s="260"/>
      <c r="AF2657" s="260"/>
      <c r="AG2657" s="258"/>
    </row>
    <row r="2658" spans="13:33" ht="12" hidden="1" customHeight="1">
      <c r="M2658" s="820"/>
      <c r="N2658" s="239"/>
      <c r="O2658" s="225"/>
      <c r="P2658" s="260"/>
      <c r="Q2658" s="258"/>
      <c r="R2658" s="260"/>
      <c r="S2658" s="260"/>
      <c r="T2658" s="260"/>
      <c r="U2658" s="260"/>
      <c r="V2658" s="260"/>
      <c r="W2658" s="260"/>
      <c r="X2658" s="260"/>
      <c r="Y2658" s="260"/>
      <c r="Z2658" s="260"/>
      <c r="AA2658" s="260"/>
      <c r="AB2658" s="260"/>
      <c r="AC2658" s="260"/>
      <c r="AD2658" s="260"/>
      <c r="AE2658" s="260"/>
      <c r="AF2658" s="260"/>
      <c r="AG2658" s="258"/>
    </row>
    <row r="2659" spans="13:33" ht="12" hidden="1" customHeight="1">
      <c r="M2659" s="820"/>
      <c r="N2659" s="239"/>
      <c r="O2659" s="225"/>
      <c r="P2659" s="260"/>
      <c r="Q2659" s="258"/>
      <c r="R2659" s="260"/>
      <c r="S2659" s="260"/>
      <c r="T2659" s="260"/>
      <c r="U2659" s="260"/>
      <c r="V2659" s="260"/>
      <c r="W2659" s="260"/>
      <c r="X2659" s="260"/>
      <c r="Y2659" s="260"/>
      <c r="Z2659" s="260"/>
      <c r="AA2659" s="260"/>
      <c r="AB2659" s="260"/>
      <c r="AC2659" s="260"/>
      <c r="AD2659" s="260"/>
      <c r="AE2659" s="260"/>
      <c r="AF2659" s="260"/>
      <c r="AG2659" s="258"/>
    </row>
    <row r="2660" spans="13:33" ht="12" hidden="1" customHeight="1">
      <c r="M2660" s="820"/>
      <c r="N2660" s="239"/>
      <c r="O2660" s="225"/>
      <c r="P2660" s="260"/>
      <c r="Q2660" s="258"/>
      <c r="R2660" s="260"/>
      <c r="S2660" s="260"/>
      <c r="T2660" s="260"/>
      <c r="U2660" s="260"/>
      <c r="V2660" s="260"/>
      <c r="W2660" s="260"/>
      <c r="X2660" s="260"/>
      <c r="Y2660" s="260"/>
      <c r="Z2660" s="260"/>
      <c r="AA2660" s="260"/>
      <c r="AB2660" s="260"/>
      <c r="AC2660" s="260"/>
      <c r="AD2660" s="260"/>
      <c r="AE2660" s="260"/>
      <c r="AF2660" s="260"/>
      <c r="AG2660" s="258"/>
    </row>
    <row r="2661" spans="13:33" ht="12" hidden="1" customHeight="1">
      <c r="M2661" s="820"/>
      <c r="N2661" s="239"/>
      <c r="O2661" s="225"/>
      <c r="P2661" s="260"/>
      <c r="Q2661" s="258"/>
      <c r="R2661" s="260"/>
      <c r="S2661" s="260"/>
      <c r="T2661" s="260"/>
      <c r="U2661" s="260"/>
      <c r="V2661" s="260"/>
      <c r="W2661" s="260"/>
      <c r="X2661" s="260"/>
      <c r="Y2661" s="260"/>
      <c r="Z2661" s="260"/>
      <c r="AA2661" s="260"/>
      <c r="AB2661" s="260"/>
      <c r="AC2661" s="260"/>
      <c r="AD2661" s="260"/>
      <c r="AE2661" s="260"/>
      <c r="AF2661" s="260"/>
      <c r="AG2661" s="258"/>
    </row>
    <row r="2662" spans="13:33" ht="12" hidden="1" customHeight="1">
      <c r="M2662" s="820"/>
      <c r="N2662" s="239"/>
      <c r="O2662" s="225"/>
      <c r="P2662" s="260"/>
      <c r="Q2662" s="258"/>
      <c r="R2662" s="260"/>
      <c r="S2662" s="260"/>
      <c r="T2662" s="260"/>
      <c r="U2662" s="260"/>
      <c r="V2662" s="260"/>
      <c r="W2662" s="260"/>
      <c r="X2662" s="260"/>
      <c r="Y2662" s="260"/>
      <c r="Z2662" s="260"/>
      <c r="AA2662" s="260"/>
      <c r="AB2662" s="260"/>
      <c r="AC2662" s="260"/>
      <c r="AD2662" s="260"/>
      <c r="AE2662" s="260"/>
      <c r="AF2662" s="260"/>
      <c r="AG2662" s="258"/>
    </row>
    <row r="2663" spans="13:33" ht="12" hidden="1" customHeight="1">
      <c r="M2663" s="820"/>
      <c r="N2663" s="239"/>
      <c r="O2663" s="225"/>
      <c r="P2663" s="260"/>
      <c r="Q2663" s="258"/>
      <c r="R2663" s="260"/>
      <c r="S2663" s="260"/>
      <c r="T2663" s="260"/>
      <c r="U2663" s="260"/>
      <c r="V2663" s="260"/>
      <c r="W2663" s="260"/>
      <c r="X2663" s="260"/>
      <c r="Y2663" s="260"/>
      <c r="Z2663" s="260"/>
      <c r="AA2663" s="260"/>
      <c r="AB2663" s="260"/>
      <c r="AC2663" s="260"/>
      <c r="AD2663" s="260"/>
      <c r="AE2663" s="260"/>
      <c r="AF2663" s="260"/>
      <c r="AG2663" s="258"/>
    </row>
    <row r="2664" spans="13:33" ht="12" hidden="1" customHeight="1">
      <c r="M2664" s="820"/>
      <c r="N2664" s="239"/>
      <c r="O2664" s="225"/>
      <c r="P2664" s="260"/>
      <c r="Q2664" s="258"/>
      <c r="R2664" s="260"/>
      <c r="S2664" s="260"/>
      <c r="T2664" s="260"/>
      <c r="U2664" s="260"/>
      <c r="V2664" s="260"/>
      <c r="W2664" s="260"/>
      <c r="X2664" s="260"/>
      <c r="Y2664" s="260"/>
      <c r="Z2664" s="260"/>
      <c r="AA2664" s="260"/>
      <c r="AB2664" s="260"/>
      <c r="AC2664" s="260"/>
      <c r="AD2664" s="260"/>
      <c r="AE2664" s="260"/>
      <c r="AF2664" s="260"/>
      <c r="AG2664" s="258"/>
    </row>
    <row r="2665" spans="13:33" ht="12" hidden="1" customHeight="1">
      <c r="M2665" s="820"/>
      <c r="N2665" s="239"/>
      <c r="O2665" s="225"/>
      <c r="P2665" s="260"/>
      <c r="Q2665" s="258"/>
      <c r="R2665" s="260"/>
      <c r="S2665" s="260"/>
      <c r="T2665" s="260"/>
      <c r="U2665" s="260"/>
      <c r="V2665" s="260"/>
      <c r="W2665" s="260"/>
      <c r="X2665" s="260"/>
      <c r="Y2665" s="260"/>
      <c r="Z2665" s="260"/>
      <c r="AA2665" s="260"/>
      <c r="AB2665" s="260"/>
      <c r="AC2665" s="260"/>
      <c r="AD2665" s="260"/>
      <c r="AE2665" s="260"/>
      <c r="AF2665" s="260"/>
      <c r="AG2665" s="258"/>
    </row>
    <row r="2666" spans="13:33" ht="12" hidden="1" customHeight="1">
      <c r="M2666" s="820"/>
      <c r="N2666" s="239"/>
      <c r="O2666" s="225"/>
      <c r="P2666" s="260"/>
      <c r="Q2666" s="258"/>
      <c r="R2666" s="260"/>
      <c r="S2666" s="260"/>
      <c r="T2666" s="260"/>
      <c r="U2666" s="260"/>
      <c r="V2666" s="260"/>
      <c r="W2666" s="260"/>
      <c r="X2666" s="260"/>
      <c r="Y2666" s="260"/>
      <c r="Z2666" s="260"/>
      <c r="AA2666" s="260"/>
      <c r="AB2666" s="260"/>
      <c r="AC2666" s="260"/>
      <c r="AD2666" s="260"/>
      <c r="AE2666" s="260"/>
      <c r="AF2666" s="260"/>
      <c r="AG2666" s="258"/>
    </row>
    <row r="2667" spans="13:33" ht="12" hidden="1" customHeight="1">
      <c r="M2667" s="820"/>
      <c r="N2667" s="239"/>
      <c r="O2667" s="225"/>
      <c r="P2667" s="260"/>
      <c r="Q2667" s="258"/>
      <c r="R2667" s="260"/>
      <c r="S2667" s="260"/>
      <c r="T2667" s="260"/>
      <c r="U2667" s="260"/>
      <c r="V2667" s="260"/>
      <c r="W2667" s="260"/>
      <c r="X2667" s="260"/>
      <c r="Y2667" s="260"/>
      <c r="Z2667" s="260"/>
      <c r="AA2667" s="260"/>
      <c r="AB2667" s="260"/>
      <c r="AC2667" s="260"/>
      <c r="AD2667" s="260"/>
      <c r="AE2667" s="260"/>
      <c r="AF2667" s="260"/>
      <c r="AG2667" s="258"/>
    </row>
    <row r="2668" spans="13:33" ht="12" hidden="1" customHeight="1">
      <c r="M2668" s="820"/>
      <c r="N2668" s="239"/>
      <c r="O2668" s="225"/>
      <c r="P2668" s="260"/>
      <c r="Q2668" s="258"/>
      <c r="R2668" s="260"/>
      <c r="S2668" s="260"/>
      <c r="T2668" s="260"/>
      <c r="U2668" s="260"/>
      <c r="V2668" s="260"/>
      <c r="W2668" s="260"/>
      <c r="X2668" s="260"/>
      <c r="Y2668" s="260"/>
      <c r="Z2668" s="260"/>
      <c r="AA2668" s="260"/>
      <c r="AB2668" s="260"/>
      <c r="AC2668" s="260"/>
      <c r="AD2668" s="260"/>
      <c r="AE2668" s="260"/>
      <c r="AF2668" s="260"/>
      <c r="AG2668" s="258"/>
    </row>
    <row r="2669" spans="13:33" ht="12" hidden="1" customHeight="1">
      <c r="M2669" s="820"/>
      <c r="N2669" s="239"/>
      <c r="O2669" s="225"/>
      <c r="P2669" s="260"/>
      <c r="Q2669" s="258"/>
      <c r="R2669" s="260"/>
      <c r="S2669" s="260"/>
      <c r="T2669" s="260"/>
      <c r="U2669" s="260"/>
      <c r="V2669" s="260"/>
      <c r="W2669" s="260"/>
      <c r="X2669" s="260"/>
      <c r="Y2669" s="260"/>
      <c r="Z2669" s="260"/>
      <c r="AA2669" s="260"/>
      <c r="AB2669" s="260"/>
      <c r="AC2669" s="260"/>
      <c r="AD2669" s="260"/>
      <c r="AE2669" s="260"/>
      <c r="AF2669" s="260"/>
      <c r="AG2669" s="258"/>
    </row>
    <row r="2670" spans="13:33" ht="12" hidden="1" customHeight="1">
      <c r="M2670" s="820"/>
      <c r="N2670" s="239"/>
      <c r="O2670" s="225"/>
      <c r="P2670" s="260"/>
      <c r="Q2670" s="258"/>
      <c r="R2670" s="260"/>
      <c r="S2670" s="260"/>
      <c r="T2670" s="260"/>
      <c r="U2670" s="260"/>
      <c r="V2670" s="260"/>
      <c r="W2670" s="260"/>
      <c r="X2670" s="260"/>
      <c r="Y2670" s="260"/>
      <c r="Z2670" s="260"/>
      <c r="AA2670" s="260"/>
      <c r="AB2670" s="260"/>
      <c r="AC2670" s="260"/>
      <c r="AD2670" s="260"/>
      <c r="AE2670" s="260"/>
      <c r="AF2670" s="260"/>
      <c r="AG2670" s="258"/>
    </row>
    <row r="2671" spans="13:33" ht="12" hidden="1" customHeight="1">
      <c r="M2671" s="820"/>
      <c r="N2671" s="239"/>
      <c r="O2671" s="225"/>
      <c r="P2671" s="260"/>
      <c r="Q2671" s="258"/>
      <c r="R2671" s="260"/>
      <c r="S2671" s="260"/>
      <c r="T2671" s="260"/>
      <c r="U2671" s="260"/>
      <c r="V2671" s="260"/>
      <c r="W2671" s="260"/>
      <c r="X2671" s="260"/>
      <c r="Y2671" s="260"/>
      <c r="Z2671" s="260"/>
      <c r="AA2671" s="260"/>
      <c r="AB2671" s="260"/>
      <c r="AC2671" s="260"/>
      <c r="AD2671" s="260"/>
      <c r="AE2671" s="260"/>
      <c r="AF2671" s="260"/>
      <c r="AG2671" s="258"/>
    </row>
    <row r="2672" spans="13:33" ht="12" hidden="1" customHeight="1">
      <c r="M2672" s="820"/>
      <c r="N2672" s="239"/>
      <c r="O2672" s="225"/>
      <c r="P2672" s="260"/>
      <c r="Q2672" s="258"/>
      <c r="R2672" s="260"/>
      <c r="S2672" s="260"/>
      <c r="T2672" s="260"/>
      <c r="U2672" s="260"/>
      <c r="V2672" s="260"/>
      <c r="W2672" s="260"/>
      <c r="X2672" s="260"/>
      <c r="Y2672" s="260"/>
      <c r="Z2672" s="260"/>
      <c r="AA2672" s="260"/>
      <c r="AB2672" s="260"/>
      <c r="AC2672" s="260"/>
      <c r="AD2672" s="260"/>
      <c r="AE2672" s="260"/>
      <c r="AF2672" s="260"/>
      <c r="AG2672" s="258"/>
    </row>
    <row r="2673" spans="13:33" ht="12" hidden="1" customHeight="1">
      <c r="M2673" s="820"/>
      <c r="N2673" s="239"/>
      <c r="O2673" s="225"/>
      <c r="P2673" s="260"/>
      <c r="Q2673" s="258"/>
      <c r="R2673" s="260"/>
      <c r="S2673" s="260"/>
      <c r="T2673" s="260"/>
      <c r="U2673" s="260"/>
      <c r="V2673" s="260"/>
      <c r="W2673" s="260"/>
      <c r="X2673" s="260"/>
      <c r="Y2673" s="260"/>
      <c r="Z2673" s="260"/>
      <c r="AA2673" s="260"/>
      <c r="AB2673" s="260"/>
      <c r="AC2673" s="260"/>
      <c r="AD2673" s="260"/>
      <c r="AE2673" s="260"/>
      <c r="AF2673" s="260"/>
      <c r="AG2673" s="258"/>
    </row>
    <row r="2674" spans="13:33" ht="12" hidden="1" customHeight="1">
      <c r="M2674" s="820"/>
      <c r="N2674" s="239"/>
      <c r="O2674" s="225"/>
      <c r="P2674" s="260"/>
      <c r="Q2674" s="258"/>
      <c r="R2674" s="260"/>
      <c r="S2674" s="260"/>
      <c r="T2674" s="260"/>
      <c r="U2674" s="260"/>
      <c r="V2674" s="260"/>
      <c r="W2674" s="260"/>
      <c r="X2674" s="260"/>
      <c r="Y2674" s="260"/>
      <c r="Z2674" s="260"/>
      <c r="AA2674" s="260"/>
      <c r="AB2674" s="260"/>
      <c r="AC2674" s="260"/>
      <c r="AD2674" s="260"/>
      <c r="AE2674" s="260"/>
      <c r="AF2674" s="260"/>
      <c r="AG2674" s="258"/>
    </row>
    <row r="2675" spans="13:33" ht="12" hidden="1" customHeight="1">
      <c r="M2675" s="820"/>
      <c r="N2675" s="239"/>
      <c r="O2675" s="225"/>
      <c r="P2675" s="260"/>
      <c r="Q2675" s="258"/>
      <c r="R2675" s="260"/>
      <c r="S2675" s="260"/>
      <c r="T2675" s="260"/>
      <c r="U2675" s="260"/>
      <c r="V2675" s="260"/>
      <c r="W2675" s="260"/>
      <c r="X2675" s="260"/>
      <c r="Y2675" s="260"/>
      <c r="Z2675" s="260"/>
      <c r="AA2675" s="260"/>
      <c r="AB2675" s="260"/>
      <c r="AC2675" s="260"/>
      <c r="AD2675" s="260"/>
      <c r="AE2675" s="260"/>
      <c r="AF2675" s="260"/>
      <c r="AG2675" s="258"/>
    </row>
    <row r="2676" spans="13:33" ht="12" hidden="1" customHeight="1">
      <c r="M2676" s="820"/>
      <c r="N2676" s="239"/>
      <c r="O2676" s="225"/>
      <c r="P2676" s="260"/>
      <c r="Q2676" s="258"/>
      <c r="R2676" s="260"/>
      <c r="S2676" s="260"/>
      <c r="T2676" s="260"/>
      <c r="U2676" s="260"/>
      <c r="V2676" s="260"/>
      <c r="W2676" s="260"/>
      <c r="X2676" s="260"/>
      <c r="Y2676" s="260"/>
      <c r="Z2676" s="260"/>
      <c r="AA2676" s="260"/>
      <c r="AB2676" s="260"/>
      <c r="AC2676" s="260"/>
      <c r="AD2676" s="260"/>
      <c r="AE2676" s="260"/>
      <c r="AF2676" s="260"/>
      <c r="AG2676" s="258"/>
    </row>
    <row r="2677" spans="13:33" ht="12" hidden="1" customHeight="1">
      <c r="M2677" s="820"/>
      <c r="N2677" s="239"/>
      <c r="O2677" s="225"/>
      <c r="P2677" s="260"/>
      <c r="Q2677" s="258"/>
      <c r="R2677" s="260"/>
      <c r="S2677" s="260"/>
      <c r="T2677" s="260"/>
      <c r="U2677" s="260"/>
      <c r="V2677" s="260"/>
      <c r="W2677" s="260"/>
      <c r="X2677" s="260"/>
      <c r="Y2677" s="260"/>
      <c r="Z2677" s="260"/>
      <c r="AA2677" s="260"/>
      <c r="AB2677" s="260"/>
      <c r="AC2677" s="260"/>
      <c r="AD2677" s="260"/>
      <c r="AE2677" s="260"/>
      <c r="AF2677" s="260"/>
      <c r="AG2677" s="258"/>
    </row>
    <row r="2678" spans="13:33" ht="12" hidden="1" customHeight="1">
      <c r="M2678" s="820"/>
      <c r="N2678" s="239"/>
      <c r="O2678" s="225"/>
      <c r="P2678" s="260"/>
      <c r="Q2678" s="258"/>
      <c r="R2678" s="260"/>
      <c r="S2678" s="260"/>
      <c r="T2678" s="260"/>
      <c r="U2678" s="260"/>
      <c r="V2678" s="260"/>
      <c r="W2678" s="260"/>
      <c r="X2678" s="260"/>
      <c r="Y2678" s="260"/>
      <c r="Z2678" s="260"/>
      <c r="AA2678" s="260"/>
      <c r="AB2678" s="260"/>
      <c r="AC2678" s="260"/>
      <c r="AD2678" s="260"/>
      <c r="AE2678" s="260"/>
      <c r="AF2678" s="260"/>
      <c r="AG2678" s="258"/>
    </row>
    <row r="2679" spans="13:33" ht="12" hidden="1" customHeight="1">
      <c r="M2679" s="820"/>
      <c r="N2679" s="239"/>
      <c r="O2679" s="225"/>
      <c r="P2679" s="260"/>
      <c r="Q2679" s="258"/>
      <c r="R2679" s="260"/>
      <c r="S2679" s="260"/>
      <c r="T2679" s="260"/>
      <c r="U2679" s="260"/>
      <c r="V2679" s="260"/>
      <c r="W2679" s="260"/>
      <c r="X2679" s="260"/>
      <c r="Y2679" s="260"/>
      <c r="Z2679" s="260"/>
      <c r="AA2679" s="260"/>
      <c r="AB2679" s="260"/>
      <c r="AC2679" s="260"/>
      <c r="AD2679" s="260"/>
      <c r="AE2679" s="260"/>
      <c r="AF2679" s="260"/>
      <c r="AG2679" s="258"/>
    </row>
    <row r="2680" spans="13:33" ht="12" hidden="1" customHeight="1">
      <c r="M2680" s="820"/>
      <c r="N2680" s="239"/>
      <c r="O2680" s="225"/>
      <c r="P2680" s="260"/>
      <c r="Q2680" s="258"/>
      <c r="R2680" s="260"/>
      <c r="S2680" s="260"/>
      <c r="T2680" s="260"/>
      <c r="U2680" s="260"/>
      <c r="V2680" s="260"/>
      <c r="W2680" s="260"/>
      <c r="X2680" s="260"/>
      <c r="Y2680" s="260"/>
      <c r="Z2680" s="260"/>
      <c r="AA2680" s="260"/>
      <c r="AB2680" s="260"/>
      <c r="AC2680" s="260"/>
      <c r="AD2680" s="260"/>
      <c r="AE2680" s="260"/>
      <c r="AF2680" s="260"/>
      <c r="AG2680" s="258"/>
    </row>
    <row r="2681" spans="13:33" ht="12" hidden="1" customHeight="1">
      <c r="M2681" s="820"/>
      <c r="N2681" s="239"/>
      <c r="O2681" s="225"/>
      <c r="P2681" s="260"/>
      <c r="Q2681" s="258"/>
      <c r="R2681" s="260"/>
      <c r="S2681" s="260"/>
      <c r="T2681" s="260"/>
      <c r="U2681" s="260"/>
      <c r="V2681" s="260"/>
      <c r="W2681" s="260"/>
      <c r="X2681" s="260"/>
      <c r="Y2681" s="260"/>
      <c r="Z2681" s="260"/>
      <c r="AA2681" s="260"/>
      <c r="AB2681" s="260"/>
      <c r="AC2681" s="260"/>
      <c r="AD2681" s="260"/>
      <c r="AE2681" s="260"/>
      <c r="AF2681" s="260"/>
      <c r="AG2681" s="258"/>
    </row>
    <row r="2682" spans="13:33" ht="12" hidden="1" customHeight="1">
      <c r="M2682" s="820"/>
      <c r="N2682" s="239"/>
      <c r="O2682" s="225"/>
      <c r="P2682" s="260"/>
      <c r="Q2682" s="258"/>
      <c r="R2682" s="260"/>
      <c r="S2682" s="260"/>
      <c r="T2682" s="260"/>
      <c r="U2682" s="260"/>
      <c r="V2682" s="260"/>
      <c r="W2682" s="260"/>
      <c r="X2682" s="260"/>
      <c r="Y2682" s="260"/>
      <c r="Z2682" s="260"/>
      <c r="AA2682" s="260"/>
      <c r="AB2682" s="260"/>
      <c r="AC2682" s="260"/>
      <c r="AD2682" s="260"/>
      <c r="AE2682" s="260"/>
      <c r="AF2682" s="260"/>
      <c r="AG2682" s="258"/>
    </row>
    <row r="2683" spans="13:33" ht="12" hidden="1" customHeight="1">
      <c r="M2683" s="820"/>
      <c r="N2683" s="239"/>
      <c r="O2683" s="225"/>
      <c r="P2683" s="260"/>
      <c r="Q2683" s="258"/>
      <c r="R2683" s="260"/>
      <c r="S2683" s="260"/>
      <c r="T2683" s="260"/>
      <c r="U2683" s="260"/>
      <c r="V2683" s="260"/>
      <c r="W2683" s="260"/>
      <c r="X2683" s="260"/>
      <c r="Y2683" s="260"/>
      <c r="Z2683" s="260"/>
      <c r="AA2683" s="260"/>
      <c r="AB2683" s="260"/>
      <c r="AC2683" s="260"/>
      <c r="AD2683" s="260"/>
      <c r="AE2683" s="260"/>
      <c r="AF2683" s="260"/>
      <c r="AG2683" s="258"/>
    </row>
    <row r="2684" spans="13:33" ht="12" hidden="1" customHeight="1">
      <c r="M2684" s="820"/>
      <c r="N2684" s="239"/>
      <c r="O2684" s="225"/>
      <c r="P2684" s="260"/>
      <c r="Q2684" s="258"/>
      <c r="R2684" s="260"/>
      <c r="S2684" s="260"/>
      <c r="T2684" s="260"/>
      <c r="U2684" s="260"/>
      <c r="V2684" s="260"/>
      <c r="W2684" s="260"/>
      <c r="X2684" s="260"/>
      <c r="Y2684" s="260"/>
      <c r="Z2684" s="260"/>
      <c r="AA2684" s="260"/>
      <c r="AB2684" s="260"/>
      <c r="AC2684" s="260"/>
      <c r="AD2684" s="260"/>
      <c r="AE2684" s="260"/>
      <c r="AF2684" s="260"/>
      <c r="AG2684" s="258"/>
    </row>
    <row r="2685" spans="13:33" ht="12" hidden="1" customHeight="1">
      <c r="M2685" s="820"/>
      <c r="N2685" s="239"/>
      <c r="O2685" s="225"/>
      <c r="P2685" s="260"/>
      <c r="Q2685" s="258"/>
      <c r="R2685" s="260"/>
      <c r="S2685" s="260"/>
      <c r="T2685" s="260"/>
      <c r="U2685" s="260"/>
      <c r="V2685" s="260"/>
      <c r="W2685" s="260"/>
      <c r="X2685" s="260"/>
      <c r="Y2685" s="260"/>
      <c r="Z2685" s="260"/>
      <c r="AA2685" s="260"/>
      <c r="AB2685" s="260"/>
      <c r="AC2685" s="260"/>
      <c r="AD2685" s="260"/>
      <c r="AE2685" s="260"/>
      <c r="AF2685" s="260"/>
      <c r="AG2685" s="258"/>
    </row>
    <row r="2686" spans="13:33" ht="12" hidden="1" customHeight="1">
      <c r="M2686" s="820"/>
      <c r="N2686" s="239"/>
      <c r="O2686" s="225"/>
      <c r="P2686" s="260"/>
      <c r="Q2686" s="258"/>
      <c r="R2686" s="260"/>
      <c r="S2686" s="260"/>
      <c r="T2686" s="260"/>
      <c r="U2686" s="260"/>
      <c r="V2686" s="260"/>
      <c r="W2686" s="260"/>
      <c r="X2686" s="260"/>
      <c r="Y2686" s="260"/>
      <c r="Z2686" s="260"/>
      <c r="AA2686" s="260"/>
      <c r="AB2686" s="260"/>
      <c r="AC2686" s="260"/>
      <c r="AD2686" s="260"/>
      <c r="AE2686" s="260"/>
      <c r="AF2686" s="260"/>
      <c r="AG2686" s="258"/>
    </row>
    <row r="2687" spans="13:33" ht="12" hidden="1" customHeight="1">
      <c r="M2687" s="820"/>
      <c r="N2687" s="239"/>
      <c r="O2687" s="225"/>
      <c r="P2687" s="260"/>
      <c r="Q2687" s="258"/>
      <c r="R2687" s="260"/>
      <c r="S2687" s="260"/>
      <c r="T2687" s="260"/>
      <c r="U2687" s="260"/>
      <c r="V2687" s="260"/>
      <c r="W2687" s="260"/>
      <c r="X2687" s="260"/>
      <c r="Y2687" s="260"/>
      <c r="Z2687" s="260"/>
      <c r="AA2687" s="260"/>
      <c r="AB2687" s="260"/>
      <c r="AC2687" s="260"/>
      <c r="AD2687" s="260"/>
      <c r="AE2687" s="260"/>
      <c r="AF2687" s="260"/>
      <c r="AG2687" s="258"/>
    </row>
    <row r="2688" spans="13:33" ht="12" hidden="1" customHeight="1">
      <c r="M2688" s="820"/>
      <c r="N2688" s="239"/>
      <c r="O2688" s="225"/>
      <c r="P2688" s="260"/>
      <c r="Q2688" s="258"/>
      <c r="R2688" s="260"/>
      <c r="S2688" s="260"/>
      <c r="T2688" s="260"/>
      <c r="U2688" s="260"/>
      <c r="V2688" s="260"/>
      <c r="W2688" s="260"/>
      <c r="X2688" s="260"/>
      <c r="Y2688" s="260"/>
      <c r="Z2688" s="260"/>
      <c r="AA2688" s="260"/>
      <c r="AB2688" s="260"/>
      <c r="AC2688" s="260"/>
      <c r="AD2688" s="260"/>
      <c r="AE2688" s="260"/>
      <c r="AF2688" s="260"/>
      <c r="AG2688" s="258"/>
    </row>
    <row r="2689" spans="13:33" ht="12" hidden="1" customHeight="1">
      <c r="M2689" s="820"/>
      <c r="N2689" s="239"/>
      <c r="O2689" s="225"/>
      <c r="P2689" s="260"/>
      <c r="Q2689" s="258"/>
      <c r="R2689" s="260"/>
      <c r="S2689" s="260"/>
      <c r="T2689" s="260"/>
      <c r="U2689" s="260"/>
      <c r="V2689" s="260"/>
      <c r="W2689" s="260"/>
      <c r="X2689" s="260"/>
      <c r="Y2689" s="260"/>
      <c r="Z2689" s="260"/>
      <c r="AA2689" s="260"/>
      <c r="AB2689" s="260"/>
      <c r="AC2689" s="260"/>
      <c r="AD2689" s="260"/>
      <c r="AE2689" s="260"/>
      <c r="AF2689" s="260"/>
      <c r="AG2689" s="258"/>
    </row>
    <row r="2690" spans="13:33" ht="12" hidden="1" customHeight="1">
      <c r="M2690" s="820"/>
      <c r="N2690" s="239"/>
      <c r="O2690" s="225"/>
      <c r="P2690" s="260"/>
      <c r="Q2690" s="258"/>
      <c r="R2690" s="260"/>
      <c r="S2690" s="260"/>
      <c r="T2690" s="260"/>
      <c r="U2690" s="260"/>
      <c r="V2690" s="260"/>
      <c r="W2690" s="260"/>
      <c r="X2690" s="260"/>
      <c r="Y2690" s="260"/>
      <c r="Z2690" s="260"/>
      <c r="AA2690" s="260"/>
      <c r="AB2690" s="260"/>
      <c r="AC2690" s="260"/>
      <c r="AD2690" s="260"/>
      <c r="AE2690" s="260"/>
      <c r="AF2690" s="260"/>
      <c r="AG2690" s="258"/>
    </row>
    <row r="2691" spans="13:33" ht="12" hidden="1" customHeight="1">
      <c r="M2691" s="820"/>
      <c r="N2691" s="239"/>
      <c r="O2691" s="225"/>
      <c r="P2691" s="260"/>
      <c r="Q2691" s="258"/>
      <c r="R2691" s="260"/>
      <c r="S2691" s="260"/>
      <c r="T2691" s="260"/>
      <c r="U2691" s="260"/>
      <c r="V2691" s="260"/>
      <c r="W2691" s="260"/>
      <c r="X2691" s="260"/>
      <c r="Y2691" s="260"/>
      <c r="Z2691" s="260"/>
      <c r="AA2691" s="260"/>
      <c r="AB2691" s="260"/>
      <c r="AC2691" s="260"/>
      <c r="AD2691" s="260"/>
      <c r="AE2691" s="260"/>
      <c r="AF2691" s="260"/>
      <c r="AG2691" s="258"/>
    </row>
    <row r="2692" spans="13:33" ht="12" hidden="1" customHeight="1">
      <c r="M2692" s="820"/>
      <c r="N2692" s="239"/>
      <c r="O2692" s="225"/>
      <c r="P2692" s="260"/>
      <c r="Q2692" s="258"/>
      <c r="R2692" s="260"/>
      <c r="S2692" s="260"/>
      <c r="T2692" s="260"/>
      <c r="U2692" s="260"/>
      <c r="V2692" s="260"/>
      <c r="W2692" s="260"/>
      <c r="X2692" s="260"/>
      <c r="Y2692" s="260"/>
      <c r="Z2692" s="260"/>
      <c r="AA2692" s="260"/>
      <c r="AB2692" s="260"/>
      <c r="AC2692" s="260"/>
      <c r="AD2692" s="260"/>
      <c r="AE2692" s="260"/>
      <c r="AF2692" s="260"/>
      <c r="AG2692" s="258"/>
    </row>
    <row r="2693" spans="13:33" ht="12" hidden="1" customHeight="1">
      <c r="M2693" s="820"/>
      <c r="N2693" s="239"/>
      <c r="O2693" s="225"/>
      <c r="P2693" s="260"/>
      <c r="Q2693" s="258"/>
      <c r="R2693" s="260"/>
      <c r="S2693" s="260"/>
      <c r="T2693" s="260"/>
      <c r="U2693" s="260"/>
      <c r="V2693" s="260"/>
      <c r="W2693" s="260"/>
      <c r="X2693" s="260"/>
      <c r="Y2693" s="260"/>
      <c r="Z2693" s="260"/>
      <c r="AA2693" s="260"/>
      <c r="AB2693" s="260"/>
      <c r="AC2693" s="260"/>
      <c r="AD2693" s="260"/>
      <c r="AE2693" s="260"/>
      <c r="AF2693" s="260"/>
      <c r="AG2693" s="258"/>
    </row>
    <row r="2694" spans="13:33" ht="12" hidden="1" customHeight="1">
      <c r="M2694" s="820"/>
      <c r="N2694" s="239"/>
      <c r="O2694" s="225"/>
      <c r="P2694" s="260"/>
      <c r="Q2694" s="258"/>
      <c r="R2694" s="260"/>
      <c r="S2694" s="260"/>
      <c r="T2694" s="260"/>
      <c r="U2694" s="260"/>
      <c r="V2694" s="260"/>
      <c r="W2694" s="260"/>
      <c r="X2694" s="260"/>
      <c r="Y2694" s="260"/>
      <c r="Z2694" s="260"/>
      <c r="AA2694" s="260"/>
      <c r="AB2694" s="260"/>
      <c r="AC2694" s="260"/>
      <c r="AD2694" s="260"/>
      <c r="AE2694" s="260"/>
      <c r="AF2694" s="260"/>
      <c r="AG2694" s="258"/>
    </row>
    <row r="2695" spans="13:33" ht="12" hidden="1" customHeight="1">
      <c r="M2695" s="820"/>
      <c r="N2695" s="239"/>
      <c r="O2695" s="225"/>
      <c r="P2695" s="260"/>
      <c r="Q2695" s="258"/>
      <c r="R2695" s="260"/>
      <c r="S2695" s="260"/>
      <c r="T2695" s="260"/>
      <c r="U2695" s="260"/>
      <c r="V2695" s="260"/>
      <c r="W2695" s="260"/>
      <c r="X2695" s="260"/>
      <c r="Y2695" s="260"/>
      <c r="Z2695" s="260"/>
      <c r="AA2695" s="260"/>
      <c r="AB2695" s="260"/>
      <c r="AC2695" s="260"/>
      <c r="AD2695" s="260"/>
      <c r="AE2695" s="260"/>
      <c r="AF2695" s="260"/>
      <c r="AG2695" s="258"/>
    </row>
    <row r="2696" spans="13:33" ht="12" hidden="1" customHeight="1">
      <c r="M2696" s="820"/>
      <c r="N2696" s="239"/>
      <c r="O2696" s="225"/>
      <c r="P2696" s="260"/>
      <c r="Q2696" s="258"/>
      <c r="R2696" s="260"/>
      <c r="S2696" s="260"/>
      <c r="T2696" s="260"/>
      <c r="U2696" s="260"/>
      <c r="V2696" s="260"/>
      <c r="W2696" s="260"/>
      <c r="X2696" s="260"/>
      <c r="Y2696" s="260"/>
      <c r="Z2696" s="260"/>
      <c r="AA2696" s="260"/>
      <c r="AB2696" s="260"/>
      <c r="AC2696" s="260"/>
      <c r="AD2696" s="260"/>
      <c r="AE2696" s="260"/>
      <c r="AF2696" s="260"/>
      <c r="AG2696" s="258"/>
    </row>
    <row r="2697" spans="13:33" ht="12" hidden="1" customHeight="1">
      <c r="M2697" s="820"/>
      <c r="N2697" s="239"/>
      <c r="O2697" s="225"/>
      <c r="P2697" s="260"/>
      <c r="Q2697" s="258"/>
      <c r="R2697" s="260"/>
      <c r="S2697" s="260"/>
      <c r="T2697" s="260"/>
      <c r="U2697" s="260"/>
      <c r="V2697" s="260"/>
      <c r="W2697" s="260"/>
      <c r="X2697" s="260"/>
      <c r="Y2697" s="260"/>
      <c r="Z2697" s="260"/>
      <c r="AA2697" s="260"/>
      <c r="AB2697" s="260"/>
      <c r="AC2697" s="260"/>
      <c r="AD2697" s="260"/>
      <c r="AE2697" s="260"/>
      <c r="AF2697" s="260"/>
      <c r="AG2697" s="258"/>
    </row>
    <row r="2698" spans="13:33" ht="12" hidden="1" customHeight="1">
      <c r="M2698" s="820"/>
      <c r="N2698" s="239"/>
      <c r="O2698" s="225"/>
      <c r="P2698" s="260"/>
      <c r="Q2698" s="258"/>
      <c r="R2698" s="260"/>
      <c r="S2698" s="260"/>
      <c r="T2698" s="260"/>
      <c r="U2698" s="260"/>
      <c r="V2698" s="260"/>
      <c r="W2698" s="260"/>
      <c r="X2698" s="260"/>
      <c r="Y2698" s="260"/>
      <c r="Z2698" s="260"/>
      <c r="AA2698" s="260"/>
      <c r="AB2698" s="260"/>
      <c r="AC2698" s="260"/>
      <c r="AD2698" s="260"/>
      <c r="AE2698" s="260"/>
      <c r="AF2698" s="260"/>
      <c r="AG2698" s="258"/>
    </row>
    <row r="2699" spans="13:33" ht="12" hidden="1" customHeight="1">
      <c r="M2699" s="820"/>
      <c r="N2699" s="239"/>
      <c r="O2699" s="225"/>
      <c r="P2699" s="260"/>
      <c r="Q2699" s="258"/>
      <c r="R2699" s="260"/>
      <c r="S2699" s="260"/>
      <c r="T2699" s="260"/>
      <c r="U2699" s="260"/>
      <c r="V2699" s="260"/>
      <c r="W2699" s="260"/>
      <c r="X2699" s="260"/>
      <c r="Y2699" s="260"/>
      <c r="Z2699" s="260"/>
      <c r="AA2699" s="260"/>
      <c r="AB2699" s="260"/>
      <c r="AC2699" s="260"/>
      <c r="AD2699" s="260"/>
      <c r="AE2699" s="260"/>
      <c r="AF2699" s="260"/>
      <c r="AG2699" s="258"/>
    </row>
    <row r="2700" spans="13:33" ht="12" hidden="1" customHeight="1">
      <c r="M2700" s="820"/>
      <c r="N2700" s="239"/>
      <c r="O2700" s="225"/>
      <c r="P2700" s="260"/>
      <c r="Q2700" s="258"/>
      <c r="R2700" s="260"/>
      <c r="S2700" s="260"/>
      <c r="T2700" s="260"/>
      <c r="U2700" s="260"/>
      <c r="V2700" s="260"/>
      <c r="W2700" s="260"/>
      <c r="X2700" s="260"/>
      <c r="Y2700" s="260"/>
      <c r="Z2700" s="260"/>
      <c r="AA2700" s="260"/>
      <c r="AB2700" s="260"/>
      <c r="AC2700" s="260"/>
      <c r="AD2700" s="260"/>
      <c r="AE2700" s="260"/>
      <c r="AF2700" s="260"/>
      <c r="AG2700" s="258"/>
    </row>
    <row r="2701" spans="13:33" ht="12" hidden="1" customHeight="1">
      <c r="M2701" s="820"/>
      <c r="N2701" s="239"/>
      <c r="O2701" s="225"/>
      <c r="P2701" s="260"/>
      <c r="Q2701" s="258"/>
      <c r="R2701" s="260"/>
      <c r="S2701" s="260"/>
      <c r="T2701" s="260"/>
      <c r="U2701" s="260"/>
      <c r="V2701" s="260"/>
      <c r="W2701" s="260"/>
      <c r="X2701" s="260"/>
      <c r="Y2701" s="260"/>
      <c r="Z2701" s="260"/>
      <c r="AA2701" s="260"/>
      <c r="AB2701" s="260"/>
      <c r="AC2701" s="260"/>
      <c r="AD2701" s="260"/>
      <c r="AE2701" s="260"/>
      <c r="AF2701" s="260"/>
      <c r="AG2701" s="258"/>
    </row>
    <row r="2702" spans="13:33" ht="12" hidden="1" customHeight="1">
      <c r="M2702" s="820"/>
      <c r="N2702" s="239"/>
      <c r="O2702" s="225"/>
      <c r="P2702" s="260"/>
      <c r="Q2702" s="258"/>
      <c r="R2702" s="260"/>
      <c r="S2702" s="260"/>
      <c r="T2702" s="260"/>
      <c r="U2702" s="260"/>
      <c r="V2702" s="260"/>
      <c r="W2702" s="260"/>
      <c r="X2702" s="260"/>
      <c r="Y2702" s="260"/>
      <c r="Z2702" s="260"/>
      <c r="AA2702" s="260"/>
      <c r="AB2702" s="260"/>
      <c r="AC2702" s="260"/>
      <c r="AD2702" s="260"/>
      <c r="AE2702" s="260"/>
      <c r="AF2702" s="260"/>
      <c r="AG2702" s="258"/>
    </row>
    <row r="2703" spans="13:33" ht="12" hidden="1" customHeight="1">
      <c r="M2703" s="820"/>
      <c r="N2703" s="239"/>
      <c r="O2703" s="225"/>
      <c r="P2703" s="260"/>
      <c r="Q2703" s="258"/>
      <c r="R2703" s="260"/>
      <c r="S2703" s="260"/>
      <c r="T2703" s="260"/>
      <c r="U2703" s="260"/>
      <c r="V2703" s="260"/>
      <c r="W2703" s="260"/>
      <c r="X2703" s="260"/>
      <c r="Y2703" s="260"/>
      <c r="Z2703" s="260"/>
      <c r="AA2703" s="260"/>
      <c r="AB2703" s="260"/>
      <c r="AC2703" s="260"/>
      <c r="AD2703" s="260"/>
      <c r="AE2703" s="260"/>
      <c r="AF2703" s="260"/>
      <c r="AG2703" s="258"/>
    </row>
    <row r="2704" spans="13:33" ht="12" hidden="1" customHeight="1">
      <c r="M2704" s="820"/>
      <c r="N2704" s="239"/>
      <c r="O2704" s="225"/>
      <c r="P2704" s="260"/>
      <c r="Q2704" s="258"/>
      <c r="R2704" s="260"/>
      <c r="S2704" s="260"/>
      <c r="T2704" s="260"/>
      <c r="U2704" s="260"/>
      <c r="V2704" s="260"/>
      <c r="W2704" s="260"/>
      <c r="X2704" s="260"/>
      <c r="Y2704" s="260"/>
      <c r="Z2704" s="260"/>
      <c r="AA2704" s="260"/>
      <c r="AB2704" s="260"/>
      <c r="AC2704" s="260"/>
      <c r="AD2704" s="260"/>
      <c r="AE2704" s="260"/>
      <c r="AF2704" s="260"/>
      <c r="AG2704" s="258"/>
    </row>
    <row r="2705" spans="13:33" ht="12" hidden="1" customHeight="1">
      <c r="M2705" s="820"/>
      <c r="N2705" s="239"/>
      <c r="O2705" s="225"/>
      <c r="P2705" s="260"/>
      <c r="Q2705" s="258"/>
      <c r="R2705" s="260"/>
      <c r="S2705" s="260"/>
      <c r="T2705" s="260"/>
      <c r="U2705" s="260"/>
      <c r="V2705" s="260"/>
      <c r="W2705" s="260"/>
      <c r="X2705" s="260"/>
      <c r="Y2705" s="260"/>
      <c r="Z2705" s="260"/>
      <c r="AA2705" s="260"/>
      <c r="AB2705" s="260"/>
      <c r="AC2705" s="260"/>
      <c r="AD2705" s="260"/>
      <c r="AE2705" s="260"/>
      <c r="AF2705" s="260"/>
      <c r="AG2705" s="258"/>
    </row>
    <row r="2706" spans="13:33" ht="12" hidden="1" customHeight="1">
      <c r="M2706" s="820"/>
      <c r="N2706" s="239"/>
      <c r="O2706" s="225"/>
      <c r="P2706" s="260"/>
      <c r="Q2706" s="258"/>
      <c r="R2706" s="260"/>
      <c r="S2706" s="260"/>
      <c r="T2706" s="260"/>
      <c r="U2706" s="260"/>
      <c r="V2706" s="260"/>
      <c r="W2706" s="260"/>
      <c r="X2706" s="260"/>
      <c r="Y2706" s="260"/>
      <c r="Z2706" s="260"/>
      <c r="AA2706" s="260"/>
      <c r="AB2706" s="260"/>
      <c r="AC2706" s="260"/>
      <c r="AD2706" s="260"/>
      <c r="AE2706" s="260"/>
      <c r="AF2706" s="260"/>
      <c r="AG2706" s="258"/>
    </row>
    <row r="2707" spans="13:33" ht="12" hidden="1" customHeight="1">
      <c r="M2707" s="820"/>
      <c r="N2707" s="239"/>
      <c r="O2707" s="225"/>
      <c r="P2707" s="260"/>
      <c r="Q2707" s="258"/>
      <c r="R2707" s="260"/>
      <c r="S2707" s="260"/>
      <c r="T2707" s="260"/>
      <c r="U2707" s="260"/>
      <c r="V2707" s="260"/>
      <c r="W2707" s="260"/>
      <c r="X2707" s="260"/>
      <c r="Y2707" s="260"/>
      <c r="Z2707" s="260"/>
      <c r="AA2707" s="260"/>
      <c r="AB2707" s="260"/>
      <c r="AC2707" s="260"/>
      <c r="AD2707" s="260"/>
      <c r="AE2707" s="260"/>
      <c r="AF2707" s="260"/>
      <c r="AG2707" s="258"/>
    </row>
    <row r="2708" spans="13:33" ht="12" hidden="1" customHeight="1">
      <c r="M2708" s="820"/>
      <c r="N2708" s="239"/>
      <c r="O2708" s="225"/>
      <c r="P2708" s="260"/>
      <c r="Q2708" s="258"/>
      <c r="R2708" s="260"/>
      <c r="S2708" s="260"/>
      <c r="T2708" s="260"/>
      <c r="U2708" s="260"/>
      <c r="V2708" s="260"/>
      <c r="W2708" s="260"/>
      <c r="X2708" s="260"/>
      <c r="Y2708" s="260"/>
      <c r="Z2708" s="260"/>
      <c r="AA2708" s="260"/>
      <c r="AB2708" s="260"/>
      <c r="AC2708" s="260"/>
      <c r="AD2708" s="260"/>
      <c r="AE2708" s="260"/>
      <c r="AF2708" s="260"/>
      <c r="AG2708" s="258"/>
    </row>
    <row r="2709" spans="13:33" ht="12" hidden="1" customHeight="1">
      <c r="M2709" s="820"/>
      <c r="N2709" s="239"/>
      <c r="O2709" s="225"/>
      <c r="P2709" s="260"/>
      <c r="Q2709" s="258"/>
      <c r="R2709" s="260"/>
      <c r="S2709" s="260"/>
      <c r="T2709" s="260"/>
      <c r="U2709" s="260"/>
      <c r="V2709" s="260"/>
      <c r="W2709" s="260"/>
      <c r="X2709" s="260"/>
      <c r="Y2709" s="260"/>
      <c r="Z2709" s="260"/>
      <c r="AA2709" s="260"/>
      <c r="AB2709" s="260"/>
      <c r="AC2709" s="260"/>
      <c r="AD2709" s="260"/>
      <c r="AE2709" s="260"/>
      <c r="AF2709" s="260"/>
      <c r="AG2709" s="258"/>
    </row>
    <row r="2710" spans="13:33" ht="12" hidden="1" customHeight="1">
      <c r="M2710" s="820"/>
      <c r="N2710" s="239"/>
      <c r="O2710" s="225"/>
      <c r="P2710" s="260"/>
      <c r="Q2710" s="258"/>
      <c r="R2710" s="260"/>
      <c r="S2710" s="260"/>
      <c r="T2710" s="260"/>
      <c r="U2710" s="260"/>
      <c r="V2710" s="260"/>
      <c r="W2710" s="260"/>
      <c r="X2710" s="260"/>
      <c r="Y2710" s="260"/>
      <c r="Z2710" s="260"/>
      <c r="AA2710" s="260"/>
      <c r="AB2710" s="260"/>
      <c r="AC2710" s="260"/>
      <c r="AD2710" s="260"/>
      <c r="AE2710" s="260"/>
      <c r="AF2710" s="260"/>
      <c r="AG2710" s="258"/>
    </row>
    <row r="2711" spans="13:33" ht="12" hidden="1" customHeight="1">
      <c r="M2711" s="820"/>
      <c r="N2711" s="239"/>
      <c r="O2711" s="225"/>
      <c r="P2711" s="260"/>
      <c r="Q2711" s="258"/>
      <c r="R2711" s="260"/>
      <c r="S2711" s="260"/>
      <c r="T2711" s="260"/>
      <c r="U2711" s="260"/>
      <c r="V2711" s="260"/>
      <c r="W2711" s="260"/>
      <c r="X2711" s="260"/>
      <c r="Y2711" s="260"/>
      <c r="Z2711" s="260"/>
      <c r="AA2711" s="260"/>
      <c r="AB2711" s="260"/>
      <c r="AC2711" s="260"/>
      <c r="AD2711" s="260"/>
      <c r="AE2711" s="260"/>
      <c r="AF2711" s="260"/>
      <c r="AG2711" s="258"/>
    </row>
    <row r="2712" spans="13:33" ht="12" hidden="1" customHeight="1">
      <c r="M2712" s="820"/>
      <c r="N2712" s="239"/>
      <c r="O2712" s="225"/>
      <c r="P2712" s="260"/>
      <c r="Q2712" s="258"/>
      <c r="R2712" s="260"/>
      <c r="S2712" s="260"/>
      <c r="T2712" s="260"/>
      <c r="U2712" s="260"/>
      <c r="V2712" s="260"/>
      <c r="W2712" s="260"/>
      <c r="X2712" s="260"/>
      <c r="Y2712" s="260"/>
      <c r="Z2712" s="260"/>
      <c r="AA2712" s="260"/>
      <c r="AB2712" s="260"/>
      <c r="AC2712" s="260"/>
      <c r="AD2712" s="260"/>
      <c r="AE2712" s="260"/>
      <c r="AF2712" s="260"/>
      <c r="AG2712" s="258"/>
    </row>
    <row r="2713" spans="13:33" ht="12" hidden="1" customHeight="1">
      <c r="M2713" s="820"/>
      <c r="N2713" s="239"/>
      <c r="O2713" s="225"/>
      <c r="P2713" s="260"/>
      <c r="Q2713" s="258"/>
      <c r="R2713" s="260"/>
      <c r="S2713" s="260"/>
      <c r="T2713" s="260"/>
      <c r="U2713" s="260"/>
      <c r="V2713" s="260"/>
      <c r="W2713" s="260"/>
      <c r="X2713" s="260"/>
      <c r="Y2713" s="260"/>
      <c r="Z2713" s="260"/>
      <c r="AA2713" s="260"/>
      <c r="AB2713" s="260"/>
      <c r="AC2713" s="260"/>
      <c r="AD2713" s="260"/>
      <c r="AE2713" s="260"/>
      <c r="AF2713" s="260"/>
      <c r="AG2713" s="258"/>
    </row>
    <row r="2714" spans="13:33" ht="12" hidden="1" customHeight="1">
      <c r="M2714" s="820"/>
      <c r="N2714" s="239"/>
      <c r="O2714" s="225"/>
      <c r="P2714" s="260"/>
      <c r="Q2714" s="258"/>
      <c r="R2714" s="260"/>
      <c r="S2714" s="260"/>
      <c r="T2714" s="260"/>
      <c r="U2714" s="260"/>
      <c r="V2714" s="260"/>
      <c r="W2714" s="260"/>
      <c r="X2714" s="260"/>
      <c r="Y2714" s="260"/>
      <c r="Z2714" s="260"/>
      <c r="AA2714" s="260"/>
      <c r="AB2714" s="260"/>
      <c r="AC2714" s="260"/>
      <c r="AD2714" s="260"/>
      <c r="AE2714" s="260"/>
      <c r="AF2714" s="260"/>
      <c r="AG2714" s="258"/>
    </row>
    <row r="2715" spans="13:33" ht="12" hidden="1" customHeight="1">
      <c r="M2715" s="820"/>
      <c r="N2715" s="239"/>
      <c r="O2715" s="225"/>
      <c r="P2715" s="260"/>
      <c r="Q2715" s="258"/>
      <c r="R2715" s="260"/>
      <c r="S2715" s="260"/>
      <c r="T2715" s="260"/>
      <c r="U2715" s="260"/>
      <c r="V2715" s="260"/>
      <c r="W2715" s="260"/>
      <c r="X2715" s="260"/>
      <c r="Y2715" s="260"/>
      <c r="Z2715" s="260"/>
      <c r="AA2715" s="260"/>
      <c r="AB2715" s="260"/>
      <c r="AC2715" s="260"/>
      <c r="AD2715" s="260"/>
      <c r="AE2715" s="260"/>
      <c r="AF2715" s="260"/>
      <c r="AG2715" s="258"/>
    </row>
    <row r="2716" spans="13:33" ht="12" hidden="1" customHeight="1">
      <c r="M2716" s="820"/>
      <c r="N2716" s="239"/>
      <c r="O2716" s="225"/>
      <c r="P2716" s="260"/>
      <c r="Q2716" s="258"/>
      <c r="R2716" s="260"/>
      <c r="S2716" s="260"/>
      <c r="T2716" s="260"/>
      <c r="U2716" s="260"/>
      <c r="V2716" s="260"/>
      <c r="W2716" s="260"/>
      <c r="X2716" s="260"/>
      <c r="Y2716" s="260"/>
      <c r="Z2716" s="260"/>
      <c r="AA2716" s="260"/>
      <c r="AB2716" s="260"/>
      <c r="AC2716" s="260"/>
      <c r="AD2716" s="260"/>
      <c r="AE2716" s="260"/>
      <c r="AF2716" s="260"/>
      <c r="AG2716" s="258"/>
    </row>
    <row r="2717" spans="13:33" ht="12" hidden="1" customHeight="1">
      <c r="M2717" s="820"/>
      <c r="N2717" s="239"/>
      <c r="O2717" s="225"/>
      <c r="P2717" s="260"/>
      <c r="Q2717" s="258"/>
      <c r="R2717" s="260"/>
      <c r="S2717" s="260"/>
      <c r="T2717" s="260"/>
      <c r="U2717" s="260"/>
      <c r="V2717" s="260"/>
      <c r="W2717" s="260"/>
      <c r="X2717" s="260"/>
      <c r="Y2717" s="260"/>
      <c r="Z2717" s="260"/>
      <c r="AA2717" s="260"/>
      <c r="AB2717" s="260"/>
      <c r="AC2717" s="260"/>
      <c r="AD2717" s="260"/>
      <c r="AE2717" s="260"/>
      <c r="AF2717" s="260"/>
      <c r="AG2717" s="258"/>
    </row>
    <row r="2718" spans="13:33" ht="12" hidden="1" customHeight="1">
      <c r="M2718" s="820"/>
      <c r="N2718" s="239"/>
      <c r="O2718" s="225"/>
      <c r="P2718" s="260"/>
      <c r="Q2718" s="258"/>
      <c r="R2718" s="260"/>
      <c r="S2718" s="260"/>
      <c r="T2718" s="260"/>
      <c r="U2718" s="260"/>
      <c r="V2718" s="260"/>
      <c r="W2718" s="260"/>
      <c r="X2718" s="260"/>
      <c r="Y2718" s="260"/>
      <c r="Z2718" s="260"/>
      <c r="AA2718" s="260"/>
      <c r="AB2718" s="260"/>
      <c r="AC2718" s="260"/>
      <c r="AD2718" s="260"/>
      <c r="AE2718" s="260"/>
      <c r="AF2718" s="260"/>
      <c r="AG2718" s="258"/>
    </row>
    <row r="2719" spans="13:33" ht="12" hidden="1" customHeight="1">
      <c r="M2719" s="820"/>
      <c r="N2719" s="239"/>
      <c r="O2719" s="225"/>
      <c r="P2719" s="260"/>
      <c r="Q2719" s="258"/>
      <c r="R2719" s="260"/>
      <c r="S2719" s="260"/>
      <c r="T2719" s="260"/>
      <c r="U2719" s="260"/>
      <c r="V2719" s="260"/>
      <c r="W2719" s="260"/>
      <c r="X2719" s="260"/>
      <c r="Y2719" s="260"/>
      <c r="Z2719" s="260"/>
      <c r="AA2719" s="260"/>
      <c r="AB2719" s="260"/>
      <c r="AC2719" s="260"/>
      <c r="AD2719" s="260"/>
      <c r="AE2719" s="260"/>
      <c r="AF2719" s="260"/>
      <c r="AG2719" s="258"/>
    </row>
    <row r="2720" spans="13:33" ht="12" hidden="1" customHeight="1">
      <c r="M2720" s="820"/>
      <c r="N2720" s="239"/>
      <c r="O2720" s="225"/>
      <c r="P2720" s="260"/>
      <c r="Q2720" s="258"/>
      <c r="R2720" s="260"/>
      <c r="S2720" s="260"/>
      <c r="T2720" s="260"/>
      <c r="U2720" s="260"/>
      <c r="V2720" s="260"/>
      <c r="W2720" s="260"/>
      <c r="X2720" s="260"/>
      <c r="Y2720" s="260"/>
      <c r="Z2720" s="260"/>
      <c r="AA2720" s="260"/>
      <c r="AB2720" s="260"/>
      <c r="AC2720" s="260"/>
      <c r="AD2720" s="260"/>
      <c r="AE2720" s="260"/>
      <c r="AF2720" s="260"/>
      <c r="AG2720" s="258"/>
    </row>
    <row r="2721" spans="13:33" ht="12" hidden="1" customHeight="1">
      <c r="M2721" s="820"/>
      <c r="N2721" s="239"/>
      <c r="O2721" s="225"/>
      <c r="P2721" s="260"/>
      <c r="Q2721" s="258"/>
      <c r="R2721" s="260"/>
      <c r="S2721" s="260"/>
      <c r="T2721" s="260"/>
      <c r="U2721" s="260"/>
      <c r="V2721" s="260"/>
      <c r="W2721" s="260"/>
      <c r="X2721" s="260"/>
      <c r="Y2721" s="260"/>
      <c r="Z2721" s="260"/>
      <c r="AA2721" s="260"/>
      <c r="AB2721" s="260"/>
      <c r="AC2721" s="260"/>
      <c r="AD2721" s="260"/>
      <c r="AE2721" s="260"/>
      <c r="AF2721" s="260"/>
      <c r="AG2721" s="258"/>
    </row>
    <row r="2722" spans="13:33" ht="12" hidden="1" customHeight="1">
      <c r="M2722" s="820"/>
      <c r="N2722" s="239"/>
      <c r="O2722" s="225"/>
      <c r="P2722" s="260"/>
      <c r="Q2722" s="258"/>
      <c r="R2722" s="260"/>
      <c r="S2722" s="260"/>
      <c r="T2722" s="260"/>
      <c r="U2722" s="260"/>
      <c r="V2722" s="260"/>
      <c r="W2722" s="260"/>
      <c r="X2722" s="260"/>
      <c r="Y2722" s="260"/>
      <c r="Z2722" s="260"/>
      <c r="AA2722" s="260"/>
      <c r="AB2722" s="260"/>
      <c r="AC2722" s="260"/>
      <c r="AD2722" s="260"/>
      <c r="AE2722" s="260"/>
      <c r="AF2722" s="260"/>
      <c r="AG2722" s="258"/>
    </row>
    <row r="2723" spans="13:33" ht="12" hidden="1" customHeight="1">
      <c r="M2723" s="820"/>
      <c r="N2723" s="239"/>
      <c r="O2723" s="225"/>
      <c r="P2723" s="260"/>
      <c r="Q2723" s="258"/>
      <c r="R2723" s="260"/>
      <c r="S2723" s="260"/>
      <c r="T2723" s="260"/>
      <c r="U2723" s="260"/>
      <c r="V2723" s="260"/>
      <c r="W2723" s="260"/>
      <c r="X2723" s="260"/>
      <c r="Y2723" s="260"/>
      <c r="Z2723" s="260"/>
      <c r="AA2723" s="260"/>
      <c r="AB2723" s="260"/>
      <c r="AC2723" s="260"/>
      <c r="AD2723" s="260"/>
      <c r="AE2723" s="260"/>
      <c r="AF2723" s="260"/>
      <c r="AG2723" s="258"/>
    </row>
    <row r="2724" spans="13:33" ht="12" hidden="1" customHeight="1">
      <c r="M2724" s="820"/>
      <c r="N2724" s="239"/>
      <c r="O2724" s="225"/>
      <c r="P2724" s="260"/>
      <c r="Q2724" s="258"/>
      <c r="R2724" s="260"/>
      <c r="S2724" s="260"/>
      <c r="T2724" s="260"/>
      <c r="U2724" s="260"/>
      <c r="V2724" s="260"/>
      <c r="W2724" s="260"/>
      <c r="X2724" s="260"/>
      <c r="Y2724" s="260"/>
      <c r="Z2724" s="260"/>
      <c r="AA2724" s="260"/>
      <c r="AB2724" s="260"/>
      <c r="AC2724" s="260"/>
      <c r="AD2724" s="260"/>
      <c r="AE2724" s="260"/>
      <c r="AF2724" s="260"/>
      <c r="AG2724" s="258"/>
    </row>
    <row r="2725" spans="13:33" ht="12" hidden="1" customHeight="1">
      <c r="M2725" s="820"/>
      <c r="N2725" s="239"/>
      <c r="O2725" s="225"/>
      <c r="P2725" s="260"/>
      <c r="Q2725" s="258"/>
      <c r="R2725" s="260"/>
      <c r="S2725" s="260"/>
      <c r="T2725" s="260"/>
      <c r="U2725" s="260"/>
      <c r="V2725" s="260"/>
      <c r="W2725" s="260"/>
      <c r="X2725" s="260"/>
      <c r="Y2725" s="260"/>
      <c r="Z2725" s="260"/>
      <c r="AA2725" s="260"/>
      <c r="AB2725" s="260"/>
      <c r="AC2725" s="260"/>
      <c r="AD2725" s="260"/>
      <c r="AE2725" s="260"/>
      <c r="AF2725" s="260"/>
      <c r="AG2725" s="258"/>
    </row>
    <row r="2726" spans="13:33" ht="12" hidden="1" customHeight="1">
      <c r="M2726" s="820"/>
      <c r="N2726" s="239"/>
      <c r="O2726" s="225"/>
      <c r="P2726" s="260"/>
      <c r="Q2726" s="258"/>
      <c r="R2726" s="260"/>
      <c r="S2726" s="260"/>
      <c r="T2726" s="260"/>
      <c r="U2726" s="260"/>
      <c r="V2726" s="260"/>
      <c r="W2726" s="260"/>
      <c r="X2726" s="260"/>
      <c r="Y2726" s="260"/>
      <c r="Z2726" s="260"/>
      <c r="AA2726" s="260"/>
      <c r="AB2726" s="260"/>
      <c r="AC2726" s="260"/>
      <c r="AD2726" s="260"/>
      <c r="AE2726" s="260"/>
      <c r="AF2726" s="260"/>
      <c r="AG2726" s="258"/>
    </row>
    <row r="2727" spans="13:33" ht="12" hidden="1" customHeight="1">
      <c r="M2727" s="820"/>
      <c r="N2727" s="239"/>
      <c r="O2727" s="225"/>
      <c r="P2727" s="260"/>
      <c r="Q2727" s="258"/>
      <c r="R2727" s="260"/>
      <c r="S2727" s="260"/>
      <c r="T2727" s="260"/>
      <c r="U2727" s="260"/>
      <c r="V2727" s="260"/>
      <c r="W2727" s="260"/>
      <c r="X2727" s="260"/>
      <c r="Y2727" s="260"/>
      <c r="Z2727" s="260"/>
      <c r="AA2727" s="260"/>
      <c r="AB2727" s="260"/>
      <c r="AC2727" s="260"/>
      <c r="AD2727" s="260"/>
      <c r="AE2727" s="260"/>
      <c r="AF2727" s="260"/>
      <c r="AG2727" s="258"/>
    </row>
    <row r="2728" spans="13:33" ht="12" hidden="1" customHeight="1">
      <c r="M2728" s="820"/>
      <c r="N2728" s="239"/>
      <c r="O2728" s="225"/>
      <c r="P2728" s="260"/>
      <c r="Q2728" s="258"/>
      <c r="R2728" s="260"/>
      <c r="S2728" s="260"/>
      <c r="T2728" s="260"/>
      <c r="U2728" s="260"/>
      <c r="V2728" s="260"/>
      <c r="W2728" s="260"/>
      <c r="X2728" s="260"/>
      <c r="Y2728" s="260"/>
      <c r="Z2728" s="260"/>
      <c r="AA2728" s="260"/>
      <c r="AB2728" s="260"/>
      <c r="AC2728" s="260"/>
      <c r="AD2728" s="260"/>
      <c r="AE2728" s="260"/>
      <c r="AF2728" s="260"/>
      <c r="AG2728" s="258"/>
    </row>
    <row r="2729" spans="13:33" ht="12" hidden="1" customHeight="1">
      <c r="M2729" s="820"/>
      <c r="N2729" s="239"/>
      <c r="O2729" s="225"/>
      <c r="P2729" s="260"/>
      <c r="Q2729" s="258"/>
      <c r="R2729" s="260"/>
      <c r="S2729" s="260"/>
      <c r="T2729" s="260"/>
      <c r="U2729" s="260"/>
      <c r="V2729" s="260"/>
      <c r="W2729" s="260"/>
      <c r="X2729" s="260"/>
      <c r="Y2729" s="260"/>
      <c r="Z2729" s="260"/>
      <c r="AA2729" s="260"/>
      <c r="AB2729" s="260"/>
      <c r="AC2729" s="260"/>
      <c r="AD2729" s="260"/>
      <c r="AE2729" s="260"/>
      <c r="AF2729" s="260"/>
      <c r="AG2729" s="258"/>
    </row>
    <row r="2730" spans="13:33" ht="12" hidden="1" customHeight="1">
      <c r="M2730" s="820"/>
      <c r="N2730" s="239"/>
      <c r="O2730" s="225"/>
      <c r="P2730" s="260"/>
      <c r="Q2730" s="258"/>
      <c r="R2730" s="260"/>
      <c r="S2730" s="260"/>
      <c r="T2730" s="260"/>
      <c r="U2730" s="260"/>
      <c r="V2730" s="260"/>
      <c r="W2730" s="260"/>
      <c r="X2730" s="260"/>
      <c r="Y2730" s="260"/>
      <c r="Z2730" s="260"/>
      <c r="AA2730" s="260"/>
      <c r="AB2730" s="260"/>
      <c r="AC2730" s="260"/>
      <c r="AD2730" s="260"/>
      <c r="AE2730" s="260"/>
      <c r="AF2730" s="260"/>
      <c r="AG2730" s="258"/>
    </row>
    <row r="2731" spans="13:33" ht="12" hidden="1" customHeight="1">
      <c r="M2731" s="820"/>
      <c r="N2731" s="239"/>
      <c r="O2731" s="225"/>
      <c r="P2731" s="260"/>
      <c r="Q2731" s="258"/>
      <c r="R2731" s="260"/>
      <c r="S2731" s="260"/>
      <c r="T2731" s="260"/>
      <c r="U2731" s="260"/>
      <c r="V2731" s="260"/>
      <c r="W2731" s="260"/>
      <c r="X2731" s="260"/>
      <c r="Y2731" s="260"/>
      <c r="Z2731" s="260"/>
      <c r="AA2731" s="260"/>
      <c r="AB2731" s="260"/>
      <c r="AC2731" s="260"/>
      <c r="AD2731" s="260"/>
      <c r="AE2731" s="260"/>
      <c r="AF2731" s="260"/>
      <c r="AG2731" s="258"/>
    </row>
    <row r="2732" spans="13:33" ht="12" hidden="1" customHeight="1">
      <c r="M2732" s="820"/>
      <c r="N2732" s="239"/>
      <c r="O2732" s="225"/>
      <c r="P2732" s="260"/>
      <c r="Q2732" s="258"/>
      <c r="R2732" s="260"/>
      <c r="S2732" s="260"/>
      <c r="T2732" s="260"/>
      <c r="U2732" s="260"/>
      <c r="V2732" s="260"/>
      <c r="W2732" s="260"/>
      <c r="X2732" s="260"/>
      <c r="Y2732" s="260"/>
      <c r="Z2732" s="260"/>
      <c r="AA2732" s="260"/>
      <c r="AB2732" s="260"/>
      <c r="AC2732" s="260"/>
      <c r="AD2732" s="260"/>
      <c r="AE2732" s="260"/>
      <c r="AF2732" s="260"/>
      <c r="AG2732" s="258"/>
    </row>
    <row r="2733" spans="13:33" ht="12" hidden="1" customHeight="1">
      <c r="M2733" s="820"/>
      <c r="N2733" s="239"/>
      <c r="O2733" s="225"/>
      <c r="P2733" s="260"/>
      <c r="Q2733" s="258"/>
      <c r="R2733" s="260"/>
      <c r="S2733" s="260"/>
      <c r="T2733" s="260"/>
      <c r="U2733" s="260"/>
      <c r="V2733" s="260"/>
      <c r="W2733" s="260"/>
      <c r="X2733" s="260"/>
      <c r="Y2733" s="260"/>
      <c r="Z2733" s="260"/>
      <c r="AA2733" s="260"/>
      <c r="AB2733" s="260"/>
      <c r="AC2733" s="260"/>
      <c r="AD2733" s="260"/>
      <c r="AE2733" s="260"/>
      <c r="AF2733" s="260"/>
      <c r="AG2733" s="258"/>
    </row>
    <row r="2734" spans="13:33" ht="12" hidden="1" customHeight="1">
      <c r="M2734" s="820"/>
      <c r="N2734" s="239"/>
      <c r="O2734" s="225"/>
      <c r="P2734" s="260"/>
      <c r="Q2734" s="258"/>
      <c r="R2734" s="260"/>
      <c r="S2734" s="260"/>
      <c r="T2734" s="260"/>
      <c r="U2734" s="260"/>
      <c r="V2734" s="260"/>
      <c r="W2734" s="260"/>
      <c r="X2734" s="260"/>
      <c r="Y2734" s="260"/>
      <c r="Z2734" s="260"/>
      <c r="AA2734" s="260"/>
      <c r="AB2734" s="260"/>
      <c r="AC2734" s="260"/>
      <c r="AD2734" s="260"/>
      <c r="AE2734" s="260"/>
      <c r="AF2734" s="260"/>
      <c r="AG2734" s="258"/>
    </row>
    <row r="2735" spans="13:33" ht="12" hidden="1" customHeight="1">
      <c r="M2735" s="820"/>
      <c r="N2735" s="239"/>
      <c r="O2735" s="225"/>
      <c r="P2735" s="260"/>
      <c r="Q2735" s="258"/>
      <c r="R2735" s="260"/>
      <c r="S2735" s="260"/>
      <c r="T2735" s="260"/>
      <c r="U2735" s="260"/>
      <c r="V2735" s="260"/>
      <c r="W2735" s="260"/>
      <c r="X2735" s="260"/>
      <c r="Y2735" s="260"/>
      <c r="Z2735" s="260"/>
      <c r="AA2735" s="260"/>
      <c r="AB2735" s="260"/>
      <c r="AC2735" s="260"/>
      <c r="AD2735" s="260"/>
      <c r="AE2735" s="260"/>
      <c r="AF2735" s="260"/>
      <c r="AG2735" s="258"/>
    </row>
    <row r="2736" spans="13:33" ht="12" hidden="1" customHeight="1">
      <c r="M2736" s="820"/>
      <c r="N2736" s="239"/>
      <c r="O2736" s="225"/>
      <c r="P2736" s="260"/>
      <c r="Q2736" s="258"/>
      <c r="R2736" s="260"/>
      <c r="S2736" s="260"/>
      <c r="T2736" s="260"/>
      <c r="U2736" s="260"/>
      <c r="V2736" s="260"/>
      <c r="W2736" s="260"/>
      <c r="X2736" s="260"/>
      <c r="Y2736" s="260"/>
      <c r="Z2736" s="260"/>
      <c r="AA2736" s="260"/>
      <c r="AB2736" s="260"/>
      <c r="AC2736" s="260"/>
      <c r="AD2736" s="260"/>
      <c r="AE2736" s="260"/>
      <c r="AF2736" s="260"/>
      <c r="AG2736" s="258"/>
    </row>
    <row r="2737" spans="13:33" ht="12" hidden="1" customHeight="1">
      <c r="M2737" s="820"/>
      <c r="N2737" s="239"/>
      <c r="O2737" s="225"/>
      <c r="P2737" s="260"/>
      <c r="Q2737" s="258"/>
      <c r="R2737" s="260"/>
      <c r="S2737" s="260"/>
      <c r="T2737" s="260"/>
      <c r="U2737" s="260"/>
      <c r="V2737" s="260"/>
      <c r="W2737" s="260"/>
      <c r="X2737" s="260"/>
      <c r="Y2737" s="260"/>
      <c r="Z2737" s="260"/>
      <c r="AA2737" s="260"/>
      <c r="AB2737" s="260"/>
      <c r="AC2737" s="260"/>
      <c r="AD2737" s="260"/>
      <c r="AE2737" s="260"/>
      <c r="AF2737" s="260"/>
      <c r="AG2737" s="258"/>
    </row>
    <row r="2738" spans="13:33" ht="12" hidden="1" customHeight="1">
      <c r="M2738" s="820"/>
      <c r="N2738" s="239"/>
      <c r="O2738" s="225"/>
      <c r="P2738" s="260"/>
      <c r="Q2738" s="258"/>
      <c r="R2738" s="260"/>
      <c r="S2738" s="260"/>
      <c r="T2738" s="260"/>
      <c r="U2738" s="260"/>
      <c r="V2738" s="260"/>
      <c r="W2738" s="260"/>
      <c r="X2738" s="260"/>
      <c r="Y2738" s="260"/>
      <c r="Z2738" s="260"/>
      <c r="AA2738" s="260"/>
      <c r="AB2738" s="260"/>
      <c r="AC2738" s="260"/>
      <c r="AD2738" s="260"/>
      <c r="AE2738" s="260"/>
      <c r="AF2738" s="260"/>
      <c r="AG2738" s="258"/>
    </row>
    <row r="2739" spans="13:33" ht="12" hidden="1" customHeight="1">
      <c r="M2739" s="820"/>
      <c r="N2739" s="239"/>
      <c r="O2739" s="225"/>
      <c r="P2739" s="260"/>
      <c r="Q2739" s="258"/>
      <c r="R2739" s="260"/>
      <c r="S2739" s="260"/>
      <c r="T2739" s="260"/>
      <c r="U2739" s="260"/>
      <c r="V2739" s="260"/>
      <c r="W2739" s="260"/>
      <c r="X2739" s="260"/>
      <c r="Y2739" s="260"/>
      <c r="Z2739" s="260"/>
      <c r="AA2739" s="260"/>
      <c r="AB2739" s="260"/>
      <c r="AC2739" s="260"/>
      <c r="AD2739" s="260"/>
      <c r="AE2739" s="260"/>
      <c r="AF2739" s="260"/>
      <c r="AG2739" s="258"/>
    </row>
    <row r="2740" spans="13:33" ht="12" hidden="1" customHeight="1">
      <c r="M2740" s="820"/>
      <c r="N2740" s="239"/>
      <c r="O2740" s="225"/>
      <c r="P2740" s="260"/>
      <c r="Q2740" s="258"/>
      <c r="R2740" s="260"/>
      <c r="S2740" s="260"/>
      <c r="T2740" s="260"/>
      <c r="U2740" s="260"/>
      <c r="V2740" s="260"/>
      <c r="W2740" s="260"/>
      <c r="X2740" s="260"/>
      <c r="Y2740" s="260"/>
      <c r="Z2740" s="260"/>
      <c r="AA2740" s="260"/>
      <c r="AB2740" s="260"/>
      <c r="AC2740" s="260"/>
      <c r="AD2740" s="260"/>
      <c r="AE2740" s="260"/>
      <c r="AF2740" s="260"/>
      <c r="AG2740" s="258"/>
    </row>
    <row r="2741" spans="13:33" ht="12" hidden="1" customHeight="1">
      <c r="M2741" s="820"/>
      <c r="N2741" s="239"/>
      <c r="O2741" s="225"/>
      <c r="P2741" s="260"/>
      <c r="Q2741" s="258"/>
      <c r="R2741" s="260"/>
      <c r="S2741" s="260"/>
      <c r="T2741" s="260"/>
      <c r="U2741" s="260"/>
      <c r="V2741" s="260"/>
      <c r="W2741" s="260"/>
      <c r="X2741" s="260"/>
      <c r="Y2741" s="260"/>
      <c r="Z2741" s="260"/>
      <c r="AA2741" s="260"/>
      <c r="AB2741" s="260"/>
      <c r="AC2741" s="260"/>
      <c r="AD2741" s="260"/>
      <c r="AE2741" s="260"/>
      <c r="AF2741" s="260"/>
      <c r="AG2741" s="258"/>
    </row>
    <row r="2742" spans="13:33" ht="12" hidden="1" customHeight="1">
      <c r="M2742" s="820"/>
      <c r="N2742" s="239"/>
      <c r="O2742" s="225"/>
      <c r="P2742" s="260"/>
      <c r="Q2742" s="258"/>
      <c r="R2742" s="260"/>
      <c r="S2742" s="260"/>
      <c r="T2742" s="260"/>
      <c r="U2742" s="260"/>
      <c r="V2742" s="260"/>
      <c r="W2742" s="260"/>
      <c r="X2742" s="260"/>
      <c r="Y2742" s="260"/>
      <c r="Z2742" s="260"/>
      <c r="AA2742" s="260"/>
      <c r="AB2742" s="260"/>
      <c r="AC2742" s="260"/>
      <c r="AD2742" s="260"/>
      <c r="AE2742" s="260"/>
      <c r="AF2742" s="260"/>
      <c r="AG2742" s="258"/>
    </row>
    <row r="2743" spans="13:33" ht="12" hidden="1" customHeight="1">
      <c r="M2743" s="820"/>
      <c r="N2743" s="239"/>
      <c r="O2743" s="225"/>
      <c r="P2743" s="260"/>
      <c r="Q2743" s="258"/>
      <c r="R2743" s="260"/>
      <c r="S2743" s="260"/>
      <c r="T2743" s="260"/>
      <c r="U2743" s="260"/>
      <c r="V2743" s="260"/>
      <c r="W2743" s="260"/>
      <c r="X2743" s="260"/>
      <c r="Y2743" s="260"/>
      <c r="Z2743" s="260"/>
      <c r="AA2743" s="260"/>
      <c r="AB2743" s="260"/>
      <c r="AC2743" s="260"/>
      <c r="AD2743" s="260"/>
      <c r="AE2743" s="260"/>
      <c r="AF2743" s="260"/>
      <c r="AG2743" s="258"/>
    </row>
    <row r="2744" spans="13:33" ht="12" hidden="1" customHeight="1">
      <c r="M2744" s="820"/>
      <c r="N2744" s="239"/>
      <c r="O2744" s="225"/>
      <c r="P2744" s="260"/>
      <c r="Q2744" s="258"/>
      <c r="R2744" s="260"/>
      <c r="S2744" s="260"/>
      <c r="T2744" s="260"/>
      <c r="U2744" s="260"/>
      <c r="V2744" s="260"/>
      <c r="W2744" s="260"/>
      <c r="X2744" s="260"/>
      <c r="Y2744" s="260"/>
      <c r="Z2744" s="260"/>
      <c r="AA2744" s="260"/>
      <c r="AB2744" s="260"/>
      <c r="AC2744" s="260"/>
      <c r="AD2744" s="260"/>
      <c r="AE2744" s="260"/>
      <c r="AF2744" s="260"/>
      <c r="AG2744" s="258"/>
    </row>
    <row r="2745" spans="13:33" ht="12" hidden="1" customHeight="1">
      <c r="M2745" s="820"/>
      <c r="N2745" s="239"/>
      <c r="O2745" s="225"/>
      <c r="P2745" s="260"/>
      <c r="Q2745" s="258"/>
      <c r="R2745" s="260"/>
      <c r="S2745" s="260"/>
      <c r="T2745" s="260"/>
      <c r="U2745" s="260"/>
      <c r="V2745" s="260"/>
      <c r="W2745" s="260"/>
      <c r="X2745" s="260"/>
      <c r="Y2745" s="260"/>
      <c r="Z2745" s="260"/>
      <c r="AA2745" s="260"/>
      <c r="AB2745" s="260"/>
      <c r="AC2745" s="260"/>
      <c r="AD2745" s="260"/>
      <c r="AE2745" s="260"/>
      <c r="AF2745" s="260"/>
      <c r="AG2745" s="258"/>
    </row>
    <row r="2746" spans="13:33" ht="12" hidden="1" customHeight="1">
      <c r="M2746" s="820"/>
      <c r="N2746" s="239"/>
      <c r="O2746" s="225"/>
      <c r="P2746" s="260"/>
      <c r="Q2746" s="258"/>
      <c r="R2746" s="260"/>
      <c r="S2746" s="260"/>
      <c r="T2746" s="260"/>
      <c r="U2746" s="260"/>
      <c r="V2746" s="260"/>
      <c r="W2746" s="260"/>
      <c r="X2746" s="260"/>
      <c r="Y2746" s="260"/>
      <c r="Z2746" s="260"/>
      <c r="AA2746" s="260"/>
      <c r="AB2746" s="260"/>
      <c r="AC2746" s="260"/>
      <c r="AD2746" s="260"/>
      <c r="AE2746" s="260"/>
      <c r="AF2746" s="260"/>
      <c r="AG2746" s="258"/>
    </row>
    <row r="2747" spans="13:33" ht="12" hidden="1" customHeight="1">
      <c r="M2747" s="820"/>
      <c r="N2747" s="239"/>
      <c r="O2747" s="225"/>
      <c r="P2747" s="260"/>
      <c r="Q2747" s="258"/>
      <c r="R2747" s="260"/>
      <c r="S2747" s="260"/>
      <c r="T2747" s="260"/>
      <c r="U2747" s="260"/>
      <c r="V2747" s="260"/>
      <c r="W2747" s="260"/>
      <c r="X2747" s="260"/>
      <c r="Y2747" s="260"/>
      <c r="Z2747" s="260"/>
      <c r="AA2747" s="260"/>
      <c r="AB2747" s="260"/>
      <c r="AC2747" s="260"/>
      <c r="AD2747" s="260"/>
      <c r="AE2747" s="260"/>
      <c r="AF2747" s="260"/>
      <c r="AG2747" s="258"/>
    </row>
    <row r="2748" spans="13:33" ht="12" hidden="1" customHeight="1">
      <c r="M2748" s="820"/>
      <c r="N2748" s="239"/>
      <c r="O2748" s="225"/>
      <c r="P2748" s="260"/>
      <c r="Q2748" s="258"/>
      <c r="R2748" s="260"/>
      <c r="S2748" s="260"/>
      <c r="T2748" s="260"/>
      <c r="U2748" s="260"/>
      <c r="V2748" s="260"/>
      <c r="W2748" s="260"/>
      <c r="X2748" s="260"/>
      <c r="Y2748" s="260"/>
      <c r="Z2748" s="260"/>
      <c r="AA2748" s="260"/>
      <c r="AB2748" s="260"/>
      <c r="AC2748" s="260"/>
      <c r="AD2748" s="260"/>
      <c r="AE2748" s="260"/>
      <c r="AF2748" s="260"/>
      <c r="AG2748" s="258"/>
    </row>
    <row r="2749" spans="13:33" ht="12" hidden="1" customHeight="1">
      <c r="M2749" s="820"/>
      <c r="N2749" s="239"/>
      <c r="O2749" s="225"/>
      <c r="P2749" s="260"/>
      <c r="Q2749" s="258"/>
      <c r="R2749" s="260"/>
      <c r="S2749" s="260"/>
      <c r="T2749" s="260"/>
      <c r="U2749" s="260"/>
      <c r="V2749" s="260"/>
      <c r="W2749" s="260"/>
      <c r="X2749" s="260"/>
      <c r="Y2749" s="260"/>
      <c r="Z2749" s="260"/>
      <c r="AA2749" s="260"/>
      <c r="AB2749" s="260"/>
      <c r="AC2749" s="260"/>
      <c r="AD2749" s="260"/>
      <c r="AE2749" s="260"/>
      <c r="AF2749" s="260"/>
      <c r="AG2749" s="258"/>
    </row>
    <row r="2750" spans="13:33" ht="12" hidden="1" customHeight="1">
      <c r="M2750" s="820"/>
      <c r="N2750" s="239"/>
      <c r="O2750" s="225"/>
      <c r="P2750" s="260"/>
      <c r="Q2750" s="258"/>
      <c r="R2750" s="260"/>
      <c r="S2750" s="260"/>
      <c r="T2750" s="260"/>
      <c r="U2750" s="260"/>
      <c r="V2750" s="260"/>
      <c r="W2750" s="260"/>
      <c r="X2750" s="260"/>
      <c r="Y2750" s="260"/>
      <c r="Z2750" s="260"/>
      <c r="AA2750" s="260"/>
      <c r="AB2750" s="260"/>
      <c r="AC2750" s="260"/>
      <c r="AD2750" s="260"/>
      <c r="AE2750" s="260"/>
      <c r="AF2750" s="260"/>
      <c r="AG2750" s="258"/>
    </row>
    <row r="2751" spans="13:33" ht="12" hidden="1" customHeight="1">
      <c r="M2751" s="820"/>
      <c r="N2751" s="239"/>
      <c r="O2751" s="225"/>
      <c r="P2751" s="260"/>
      <c r="Q2751" s="258"/>
      <c r="R2751" s="260"/>
      <c r="S2751" s="260"/>
      <c r="T2751" s="260"/>
      <c r="U2751" s="260"/>
      <c r="V2751" s="260"/>
      <c r="W2751" s="260"/>
      <c r="X2751" s="260"/>
      <c r="Y2751" s="260"/>
      <c r="Z2751" s="260"/>
      <c r="AA2751" s="260"/>
      <c r="AB2751" s="260"/>
      <c r="AC2751" s="260"/>
      <c r="AD2751" s="260"/>
      <c r="AE2751" s="260"/>
      <c r="AF2751" s="260"/>
      <c r="AG2751" s="258"/>
    </row>
    <row r="2752" spans="13:33" ht="12" hidden="1" customHeight="1">
      <c r="M2752" s="820"/>
      <c r="N2752" s="239"/>
      <c r="O2752" s="225"/>
      <c r="P2752" s="260"/>
      <c r="Q2752" s="258"/>
      <c r="R2752" s="260"/>
      <c r="S2752" s="260"/>
      <c r="T2752" s="260"/>
      <c r="U2752" s="260"/>
      <c r="V2752" s="260"/>
      <c r="W2752" s="260"/>
      <c r="X2752" s="260"/>
      <c r="Y2752" s="260"/>
      <c r="Z2752" s="260"/>
      <c r="AA2752" s="260"/>
      <c r="AB2752" s="260"/>
      <c r="AC2752" s="260"/>
      <c r="AD2752" s="260"/>
      <c r="AE2752" s="260"/>
      <c r="AF2752" s="260"/>
      <c r="AG2752" s="258"/>
    </row>
    <row r="2753" spans="13:33" ht="12" hidden="1" customHeight="1">
      <c r="M2753" s="820"/>
      <c r="N2753" s="239"/>
      <c r="O2753" s="225"/>
      <c r="P2753" s="260"/>
      <c r="Q2753" s="258"/>
      <c r="R2753" s="260"/>
      <c r="S2753" s="260"/>
      <c r="T2753" s="260"/>
      <c r="U2753" s="260"/>
      <c r="V2753" s="260"/>
      <c r="W2753" s="260"/>
      <c r="X2753" s="260"/>
      <c r="Y2753" s="260"/>
      <c r="Z2753" s="260"/>
      <c r="AA2753" s="260"/>
      <c r="AB2753" s="260"/>
      <c r="AC2753" s="260"/>
      <c r="AD2753" s="260"/>
      <c r="AE2753" s="260"/>
      <c r="AF2753" s="260"/>
      <c r="AG2753" s="258"/>
    </row>
    <row r="2754" spans="13:33" ht="12" hidden="1" customHeight="1">
      <c r="M2754" s="820"/>
      <c r="N2754" s="239"/>
      <c r="O2754" s="225"/>
      <c r="P2754" s="260"/>
      <c r="Q2754" s="258"/>
      <c r="R2754" s="260"/>
      <c r="S2754" s="260"/>
      <c r="T2754" s="260"/>
      <c r="U2754" s="260"/>
      <c r="V2754" s="260"/>
      <c r="W2754" s="260"/>
      <c r="X2754" s="260"/>
      <c r="Y2754" s="260"/>
      <c r="Z2754" s="260"/>
      <c r="AA2754" s="260"/>
      <c r="AB2754" s="260"/>
      <c r="AC2754" s="260"/>
      <c r="AD2754" s="260"/>
      <c r="AE2754" s="260"/>
      <c r="AF2754" s="260"/>
      <c r="AG2754" s="258"/>
    </row>
    <row r="2755" spans="13:33" ht="12" hidden="1" customHeight="1">
      <c r="M2755" s="820"/>
      <c r="N2755" s="239"/>
      <c r="O2755" s="225"/>
      <c r="P2755" s="260"/>
      <c r="Q2755" s="258"/>
      <c r="R2755" s="260"/>
      <c r="S2755" s="260"/>
      <c r="T2755" s="260"/>
      <c r="U2755" s="260"/>
      <c r="V2755" s="260"/>
      <c r="W2755" s="260"/>
      <c r="X2755" s="260"/>
      <c r="Y2755" s="260"/>
      <c r="Z2755" s="260"/>
      <c r="AA2755" s="260"/>
      <c r="AB2755" s="260"/>
      <c r="AC2755" s="260"/>
      <c r="AD2755" s="260"/>
      <c r="AE2755" s="260"/>
      <c r="AF2755" s="260"/>
      <c r="AG2755" s="258"/>
    </row>
    <row r="2756" spans="13:33" ht="12" hidden="1" customHeight="1">
      <c r="M2756" s="820"/>
      <c r="N2756" s="239"/>
      <c r="O2756" s="225"/>
      <c r="P2756" s="260"/>
      <c r="Q2756" s="258"/>
      <c r="R2756" s="260"/>
      <c r="S2756" s="260"/>
      <c r="T2756" s="260"/>
      <c r="U2756" s="260"/>
      <c r="V2756" s="260"/>
      <c r="W2756" s="260"/>
      <c r="X2756" s="260"/>
      <c r="Y2756" s="260"/>
      <c r="Z2756" s="260"/>
      <c r="AA2756" s="260"/>
      <c r="AB2756" s="260"/>
      <c r="AC2756" s="260"/>
      <c r="AD2756" s="260"/>
      <c r="AE2756" s="260"/>
      <c r="AF2756" s="260"/>
      <c r="AG2756" s="258"/>
    </row>
    <row r="2757" spans="13:33" ht="12" hidden="1" customHeight="1">
      <c r="M2757" s="820"/>
      <c r="N2757" s="239"/>
      <c r="O2757" s="225"/>
      <c r="P2757" s="260"/>
      <c r="Q2757" s="258"/>
      <c r="R2757" s="260"/>
      <c r="S2757" s="260"/>
      <c r="T2757" s="260"/>
      <c r="U2757" s="260"/>
      <c r="V2757" s="260"/>
      <c r="W2757" s="260"/>
      <c r="X2757" s="260"/>
      <c r="Y2757" s="260"/>
      <c r="Z2757" s="260"/>
      <c r="AA2757" s="260"/>
      <c r="AB2757" s="260"/>
      <c r="AC2757" s="260"/>
      <c r="AD2757" s="260"/>
      <c r="AE2757" s="260"/>
      <c r="AF2757" s="260"/>
      <c r="AG2757" s="258"/>
    </row>
    <row r="2758" spans="13:33" ht="12" hidden="1" customHeight="1">
      <c r="M2758" s="820"/>
      <c r="N2758" s="239"/>
      <c r="O2758" s="225"/>
      <c r="P2758" s="260"/>
      <c r="Q2758" s="258"/>
      <c r="R2758" s="260"/>
      <c r="S2758" s="260"/>
      <c r="T2758" s="260"/>
      <c r="U2758" s="260"/>
      <c r="V2758" s="260"/>
      <c r="W2758" s="260"/>
      <c r="X2758" s="260"/>
      <c r="Y2758" s="260"/>
      <c r="Z2758" s="260"/>
      <c r="AA2758" s="260"/>
      <c r="AB2758" s="260"/>
      <c r="AC2758" s="260"/>
      <c r="AD2758" s="260"/>
      <c r="AE2758" s="260"/>
      <c r="AF2758" s="260"/>
      <c r="AG2758" s="258"/>
    </row>
    <row r="2759" spans="13:33" ht="12" hidden="1" customHeight="1">
      <c r="M2759" s="820"/>
      <c r="N2759" s="239"/>
      <c r="O2759" s="225"/>
      <c r="P2759" s="260"/>
      <c r="Q2759" s="258"/>
      <c r="R2759" s="260"/>
      <c r="S2759" s="260"/>
      <c r="T2759" s="260"/>
      <c r="U2759" s="260"/>
      <c r="V2759" s="260"/>
      <c r="W2759" s="260"/>
      <c r="X2759" s="260"/>
      <c r="Y2759" s="260"/>
      <c r="Z2759" s="260"/>
      <c r="AA2759" s="260"/>
      <c r="AB2759" s="260"/>
      <c r="AC2759" s="260"/>
      <c r="AD2759" s="260"/>
      <c r="AE2759" s="260"/>
      <c r="AF2759" s="260"/>
      <c r="AG2759" s="258"/>
    </row>
    <row r="2760" spans="13:33" ht="12" hidden="1" customHeight="1">
      <c r="M2760" s="820"/>
      <c r="N2760" s="239"/>
      <c r="O2760" s="225"/>
      <c r="P2760" s="260"/>
      <c r="Q2760" s="258"/>
      <c r="R2760" s="260"/>
      <c r="S2760" s="260"/>
      <c r="T2760" s="260"/>
      <c r="U2760" s="260"/>
      <c r="V2760" s="260"/>
      <c r="W2760" s="260"/>
      <c r="X2760" s="260"/>
      <c r="Y2760" s="260"/>
      <c r="Z2760" s="260"/>
      <c r="AA2760" s="260"/>
      <c r="AB2760" s="260"/>
      <c r="AC2760" s="260"/>
      <c r="AD2760" s="260"/>
      <c r="AE2760" s="260"/>
      <c r="AF2760" s="260"/>
      <c r="AG2760" s="258"/>
    </row>
    <row r="2761" spans="13:33" ht="12" hidden="1" customHeight="1">
      <c r="M2761" s="820"/>
      <c r="N2761" s="239"/>
      <c r="O2761" s="225"/>
      <c r="P2761" s="260"/>
      <c r="Q2761" s="258"/>
      <c r="R2761" s="260"/>
      <c r="S2761" s="260"/>
      <c r="T2761" s="260"/>
      <c r="U2761" s="260"/>
      <c r="V2761" s="260"/>
      <c r="W2761" s="260"/>
      <c r="X2761" s="260"/>
      <c r="Y2761" s="260"/>
      <c r="Z2761" s="260"/>
      <c r="AA2761" s="260"/>
      <c r="AB2761" s="260"/>
      <c r="AC2761" s="260"/>
      <c r="AD2761" s="260"/>
      <c r="AE2761" s="260"/>
      <c r="AF2761" s="260"/>
      <c r="AG2761" s="258"/>
    </row>
    <row r="2762" spans="13:33" ht="12" hidden="1" customHeight="1">
      <c r="M2762" s="820"/>
      <c r="N2762" s="239"/>
      <c r="O2762" s="225"/>
      <c r="P2762" s="260"/>
      <c r="Q2762" s="258"/>
      <c r="R2762" s="260"/>
      <c r="S2762" s="260"/>
      <c r="T2762" s="260"/>
      <c r="U2762" s="260"/>
      <c r="V2762" s="260"/>
      <c r="W2762" s="260"/>
      <c r="X2762" s="260"/>
      <c r="Y2762" s="260"/>
      <c r="Z2762" s="260"/>
      <c r="AA2762" s="260"/>
      <c r="AB2762" s="260"/>
      <c r="AC2762" s="260"/>
      <c r="AD2762" s="260"/>
      <c r="AE2762" s="260"/>
      <c r="AF2762" s="260"/>
      <c r="AG2762" s="258"/>
    </row>
    <row r="2763" spans="13:33" ht="12" hidden="1" customHeight="1">
      <c r="M2763" s="820"/>
      <c r="N2763" s="239"/>
      <c r="O2763" s="225"/>
      <c r="P2763" s="260"/>
      <c r="Q2763" s="258"/>
      <c r="R2763" s="260"/>
      <c r="S2763" s="260"/>
      <c r="T2763" s="260"/>
      <c r="U2763" s="260"/>
      <c r="V2763" s="260"/>
      <c r="W2763" s="260"/>
      <c r="X2763" s="260"/>
      <c r="Y2763" s="260"/>
      <c r="Z2763" s="260"/>
      <c r="AA2763" s="260"/>
      <c r="AB2763" s="260"/>
      <c r="AC2763" s="260"/>
      <c r="AD2763" s="260"/>
      <c r="AE2763" s="260"/>
      <c r="AF2763" s="260"/>
      <c r="AG2763" s="258"/>
    </row>
    <row r="2764" spans="13:33" ht="12" hidden="1" customHeight="1">
      <c r="M2764" s="820"/>
      <c r="N2764" s="239"/>
      <c r="O2764" s="225"/>
      <c r="P2764" s="260"/>
      <c r="Q2764" s="258"/>
      <c r="R2764" s="260"/>
      <c r="S2764" s="260"/>
      <c r="T2764" s="260"/>
      <c r="U2764" s="260"/>
      <c r="V2764" s="260"/>
      <c r="W2764" s="260"/>
      <c r="X2764" s="260"/>
      <c r="Y2764" s="260"/>
      <c r="Z2764" s="260"/>
      <c r="AA2764" s="260"/>
      <c r="AB2764" s="260"/>
      <c r="AC2764" s="260"/>
      <c r="AD2764" s="260"/>
      <c r="AE2764" s="260"/>
      <c r="AF2764" s="260"/>
      <c r="AG2764" s="258"/>
    </row>
    <row r="2765" spans="13:33" ht="12" hidden="1" customHeight="1">
      <c r="M2765" s="820"/>
      <c r="N2765" s="239"/>
      <c r="O2765" s="225"/>
      <c r="P2765" s="260"/>
      <c r="Q2765" s="258"/>
      <c r="R2765" s="260"/>
      <c r="S2765" s="260"/>
      <c r="T2765" s="260"/>
      <c r="U2765" s="260"/>
      <c r="V2765" s="260"/>
      <c r="W2765" s="260"/>
      <c r="X2765" s="260"/>
      <c r="Y2765" s="260"/>
      <c r="Z2765" s="260"/>
      <c r="AA2765" s="260"/>
      <c r="AB2765" s="260"/>
      <c r="AC2765" s="260"/>
      <c r="AD2765" s="260"/>
      <c r="AE2765" s="260"/>
      <c r="AF2765" s="260"/>
      <c r="AG2765" s="258"/>
    </row>
    <row r="2766" spans="13:33" ht="12" hidden="1" customHeight="1">
      <c r="M2766" s="820"/>
      <c r="N2766" s="239"/>
      <c r="O2766" s="225"/>
      <c r="P2766" s="260"/>
      <c r="Q2766" s="258"/>
      <c r="R2766" s="260"/>
      <c r="S2766" s="260"/>
      <c r="T2766" s="260"/>
      <c r="U2766" s="260"/>
      <c r="V2766" s="260"/>
      <c r="W2766" s="260"/>
      <c r="X2766" s="260"/>
      <c r="Y2766" s="260"/>
      <c r="Z2766" s="260"/>
      <c r="AA2766" s="260"/>
      <c r="AB2766" s="260"/>
      <c r="AC2766" s="260"/>
      <c r="AD2766" s="260"/>
      <c r="AE2766" s="260"/>
      <c r="AF2766" s="260"/>
      <c r="AG2766" s="258"/>
    </row>
    <row r="2767" spans="13:33" ht="12" hidden="1" customHeight="1">
      <c r="M2767" s="820"/>
      <c r="N2767" s="239"/>
      <c r="O2767" s="225"/>
      <c r="P2767" s="260"/>
      <c r="Q2767" s="258"/>
      <c r="R2767" s="260"/>
      <c r="S2767" s="260"/>
      <c r="T2767" s="260"/>
      <c r="U2767" s="260"/>
      <c r="V2767" s="260"/>
      <c r="W2767" s="260"/>
      <c r="X2767" s="260"/>
      <c r="Y2767" s="260"/>
      <c r="Z2767" s="260"/>
      <c r="AA2767" s="260"/>
      <c r="AB2767" s="260"/>
      <c r="AC2767" s="260"/>
      <c r="AD2767" s="260"/>
      <c r="AE2767" s="260"/>
      <c r="AF2767" s="260"/>
      <c r="AG2767" s="258"/>
    </row>
    <row r="2768" spans="13:33" ht="12" hidden="1" customHeight="1">
      <c r="M2768" s="820"/>
      <c r="N2768" s="239"/>
      <c r="O2768" s="225"/>
      <c r="P2768" s="260"/>
      <c r="Q2768" s="258"/>
      <c r="R2768" s="260"/>
      <c r="S2768" s="260"/>
      <c r="T2768" s="260"/>
      <c r="U2768" s="260"/>
      <c r="V2768" s="260"/>
      <c r="W2768" s="260"/>
      <c r="X2768" s="260"/>
      <c r="Y2768" s="260"/>
      <c r="Z2768" s="260"/>
      <c r="AA2768" s="260"/>
      <c r="AB2768" s="260"/>
      <c r="AC2768" s="260"/>
      <c r="AD2768" s="260"/>
      <c r="AE2768" s="260"/>
      <c r="AF2768" s="260"/>
      <c r="AG2768" s="258"/>
    </row>
    <row r="2769" spans="13:33" ht="12" hidden="1" customHeight="1">
      <c r="M2769" s="820"/>
      <c r="N2769" s="239"/>
      <c r="O2769" s="225"/>
      <c r="P2769" s="260"/>
      <c r="Q2769" s="258"/>
      <c r="R2769" s="260"/>
      <c r="S2769" s="260"/>
      <c r="T2769" s="260"/>
      <c r="U2769" s="260"/>
      <c r="V2769" s="260"/>
      <c r="W2769" s="260"/>
      <c r="X2769" s="260"/>
      <c r="Y2769" s="260"/>
      <c r="Z2769" s="260"/>
      <c r="AA2769" s="260"/>
      <c r="AB2769" s="260"/>
      <c r="AC2769" s="260"/>
      <c r="AD2769" s="260"/>
      <c r="AE2769" s="260"/>
      <c r="AF2769" s="260"/>
      <c r="AG2769" s="258"/>
    </row>
    <row r="2770" spans="13:33" ht="12" hidden="1" customHeight="1">
      <c r="M2770" s="820"/>
      <c r="N2770" s="239"/>
      <c r="O2770" s="225"/>
      <c r="P2770" s="260"/>
      <c r="Q2770" s="258"/>
      <c r="R2770" s="260"/>
      <c r="S2770" s="260"/>
      <c r="T2770" s="260"/>
      <c r="U2770" s="260"/>
      <c r="V2770" s="260"/>
      <c r="W2770" s="260"/>
      <c r="X2770" s="260"/>
      <c r="Y2770" s="260"/>
      <c r="Z2770" s="260"/>
      <c r="AA2770" s="260"/>
      <c r="AB2770" s="260"/>
      <c r="AC2770" s="260"/>
      <c r="AD2770" s="260"/>
      <c r="AE2770" s="260"/>
      <c r="AF2770" s="260"/>
      <c r="AG2770" s="258"/>
    </row>
    <row r="2771" spans="13:33" ht="12" hidden="1" customHeight="1">
      <c r="M2771" s="820"/>
      <c r="N2771" s="239"/>
      <c r="O2771" s="225"/>
      <c r="P2771" s="260"/>
      <c r="Q2771" s="258"/>
      <c r="R2771" s="260"/>
      <c r="S2771" s="260"/>
      <c r="T2771" s="260"/>
      <c r="U2771" s="260"/>
      <c r="V2771" s="260"/>
      <c r="W2771" s="260"/>
      <c r="X2771" s="260"/>
      <c r="Y2771" s="260"/>
      <c r="Z2771" s="260"/>
      <c r="AA2771" s="260"/>
      <c r="AB2771" s="260"/>
      <c r="AC2771" s="260"/>
      <c r="AD2771" s="260"/>
      <c r="AE2771" s="260"/>
      <c r="AF2771" s="260"/>
      <c r="AG2771" s="258"/>
    </row>
    <row r="2772" spans="13:33" ht="12" hidden="1" customHeight="1">
      <c r="M2772" s="820"/>
      <c r="N2772" s="239"/>
      <c r="O2772" s="225"/>
      <c r="P2772" s="260"/>
      <c r="Q2772" s="258"/>
      <c r="R2772" s="260"/>
      <c r="S2772" s="260"/>
      <c r="T2772" s="260"/>
      <c r="U2772" s="260"/>
      <c r="V2772" s="260"/>
      <c r="W2772" s="260"/>
      <c r="X2772" s="260"/>
      <c r="Y2772" s="260"/>
      <c r="Z2772" s="260"/>
      <c r="AA2772" s="260"/>
      <c r="AB2772" s="260"/>
      <c r="AC2772" s="260"/>
      <c r="AD2772" s="260"/>
      <c r="AE2772" s="260"/>
      <c r="AF2772" s="260"/>
      <c r="AG2772" s="258"/>
    </row>
    <row r="2773" spans="13:33" ht="12" hidden="1" customHeight="1">
      <c r="M2773" s="820"/>
      <c r="N2773" s="239"/>
      <c r="O2773" s="225"/>
      <c r="P2773" s="260"/>
      <c r="Q2773" s="258"/>
      <c r="R2773" s="260"/>
      <c r="S2773" s="260"/>
      <c r="T2773" s="260"/>
      <c r="U2773" s="260"/>
      <c r="V2773" s="260"/>
      <c r="W2773" s="260"/>
      <c r="X2773" s="260"/>
      <c r="Y2773" s="260"/>
      <c r="Z2773" s="260"/>
      <c r="AA2773" s="260"/>
      <c r="AB2773" s="260"/>
      <c r="AC2773" s="260"/>
      <c r="AD2773" s="260"/>
      <c r="AE2773" s="260"/>
      <c r="AF2773" s="260"/>
      <c r="AG2773" s="258"/>
    </row>
    <row r="2774" spans="13:33" ht="12" hidden="1" customHeight="1">
      <c r="M2774" s="820"/>
      <c r="N2774" s="239"/>
      <c r="O2774" s="225"/>
      <c r="P2774" s="260"/>
      <c r="Q2774" s="258"/>
      <c r="R2774" s="260"/>
      <c r="S2774" s="260"/>
      <c r="T2774" s="260"/>
      <c r="U2774" s="260"/>
      <c r="V2774" s="260"/>
      <c r="W2774" s="260"/>
      <c r="X2774" s="260"/>
      <c r="Y2774" s="260"/>
      <c r="Z2774" s="260"/>
      <c r="AA2774" s="260"/>
      <c r="AB2774" s="260"/>
      <c r="AC2774" s="260"/>
      <c r="AD2774" s="260"/>
      <c r="AE2774" s="260"/>
      <c r="AF2774" s="260"/>
      <c r="AG2774" s="258"/>
    </row>
    <row r="2775" spans="13:33" ht="12" hidden="1" customHeight="1">
      <c r="M2775" s="820"/>
      <c r="N2775" s="239"/>
      <c r="O2775" s="225"/>
      <c r="P2775" s="260"/>
      <c r="Q2775" s="258"/>
      <c r="R2775" s="260"/>
      <c r="S2775" s="260"/>
      <c r="T2775" s="260"/>
      <c r="U2775" s="260"/>
      <c r="V2775" s="260"/>
      <c r="W2775" s="260"/>
      <c r="X2775" s="260"/>
      <c r="Y2775" s="260"/>
      <c r="Z2775" s="260"/>
      <c r="AA2775" s="260"/>
      <c r="AB2775" s="260"/>
      <c r="AC2775" s="260"/>
      <c r="AD2775" s="260"/>
      <c r="AE2775" s="260"/>
      <c r="AF2775" s="260"/>
      <c r="AG2775" s="258"/>
    </row>
    <row r="2776" spans="13:33" ht="12" hidden="1" customHeight="1">
      <c r="M2776" s="820"/>
      <c r="N2776" s="239"/>
      <c r="O2776" s="225"/>
      <c r="P2776" s="260"/>
      <c r="Q2776" s="258"/>
      <c r="R2776" s="260"/>
      <c r="S2776" s="260"/>
      <c r="T2776" s="260"/>
      <c r="U2776" s="260"/>
      <c r="V2776" s="260"/>
      <c r="W2776" s="260"/>
      <c r="X2776" s="260"/>
      <c r="Y2776" s="260"/>
      <c r="Z2776" s="260"/>
      <c r="AA2776" s="260"/>
      <c r="AB2776" s="260"/>
      <c r="AC2776" s="260"/>
      <c r="AD2776" s="260"/>
      <c r="AE2776" s="260"/>
      <c r="AF2776" s="260"/>
      <c r="AG2776" s="258"/>
    </row>
    <row r="2777" spans="13:33" ht="12" hidden="1" customHeight="1">
      <c r="M2777" s="820"/>
      <c r="N2777" s="239"/>
      <c r="O2777" s="225"/>
      <c r="P2777" s="260"/>
      <c r="Q2777" s="258"/>
      <c r="R2777" s="260"/>
      <c r="S2777" s="260"/>
      <c r="T2777" s="260"/>
      <c r="U2777" s="260"/>
      <c r="V2777" s="260"/>
      <c r="W2777" s="260"/>
      <c r="X2777" s="260"/>
      <c r="Y2777" s="260"/>
      <c r="Z2777" s="260"/>
      <c r="AA2777" s="260"/>
      <c r="AB2777" s="260"/>
      <c r="AC2777" s="260"/>
      <c r="AD2777" s="260"/>
      <c r="AE2777" s="260"/>
      <c r="AF2777" s="260"/>
      <c r="AG2777" s="258"/>
    </row>
    <row r="2778" spans="13:33" ht="12" hidden="1" customHeight="1">
      <c r="M2778" s="820"/>
      <c r="N2778" s="239"/>
      <c r="O2778" s="225"/>
      <c r="P2778" s="260"/>
      <c r="Q2778" s="258"/>
      <c r="R2778" s="260"/>
      <c r="S2778" s="260"/>
      <c r="T2778" s="260"/>
      <c r="U2778" s="260"/>
      <c r="V2778" s="260"/>
      <c r="W2778" s="260"/>
      <c r="X2778" s="260"/>
      <c r="Y2778" s="260"/>
      <c r="Z2778" s="260"/>
      <c r="AA2778" s="260"/>
      <c r="AB2778" s="260"/>
      <c r="AC2778" s="260"/>
      <c r="AD2778" s="260"/>
      <c r="AE2778" s="260"/>
      <c r="AF2778" s="260"/>
      <c r="AG2778" s="258"/>
    </row>
    <row r="2779" spans="13:33" ht="12" hidden="1" customHeight="1">
      <c r="M2779" s="820"/>
      <c r="N2779" s="239"/>
      <c r="O2779" s="225"/>
      <c r="P2779" s="260"/>
      <c r="Q2779" s="258"/>
      <c r="R2779" s="260"/>
      <c r="S2779" s="260"/>
      <c r="T2779" s="260"/>
      <c r="U2779" s="260"/>
      <c r="V2779" s="260"/>
      <c r="W2779" s="260"/>
      <c r="X2779" s="260"/>
      <c r="Y2779" s="260"/>
      <c r="Z2779" s="260"/>
      <c r="AA2779" s="260"/>
      <c r="AB2779" s="260"/>
      <c r="AC2779" s="260"/>
      <c r="AD2779" s="260"/>
      <c r="AE2779" s="260"/>
      <c r="AF2779" s="260"/>
      <c r="AG2779" s="258"/>
    </row>
    <row r="2780" spans="13:33" ht="12" hidden="1" customHeight="1">
      <c r="M2780" s="820"/>
      <c r="N2780" s="239"/>
      <c r="O2780" s="225"/>
      <c r="P2780" s="260"/>
      <c r="Q2780" s="258"/>
      <c r="R2780" s="260"/>
      <c r="S2780" s="260"/>
      <c r="T2780" s="260"/>
      <c r="U2780" s="260"/>
      <c r="V2780" s="260"/>
      <c r="W2780" s="260"/>
      <c r="X2780" s="260"/>
      <c r="Y2780" s="260"/>
      <c r="Z2780" s="260"/>
      <c r="AA2780" s="260"/>
      <c r="AB2780" s="260"/>
      <c r="AC2780" s="260"/>
      <c r="AD2780" s="260"/>
      <c r="AE2780" s="260"/>
      <c r="AF2780" s="260"/>
      <c r="AG2780" s="258"/>
    </row>
    <row r="2781" spans="13:33" ht="12" hidden="1" customHeight="1">
      <c r="M2781" s="820"/>
      <c r="N2781" s="239"/>
      <c r="O2781" s="225"/>
      <c r="P2781" s="260"/>
      <c r="Q2781" s="258"/>
      <c r="R2781" s="260"/>
      <c r="S2781" s="260"/>
      <c r="T2781" s="260"/>
      <c r="U2781" s="260"/>
      <c r="V2781" s="260"/>
      <c r="W2781" s="260"/>
      <c r="X2781" s="260"/>
      <c r="Y2781" s="260"/>
      <c r="Z2781" s="260"/>
      <c r="AA2781" s="260"/>
      <c r="AB2781" s="260"/>
      <c r="AC2781" s="260"/>
      <c r="AD2781" s="260"/>
      <c r="AE2781" s="260"/>
      <c r="AF2781" s="260"/>
      <c r="AG2781" s="258"/>
    </row>
    <row r="2782" spans="13:33" ht="12" hidden="1" customHeight="1">
      <c r="M2782" s="820"/>
      <c r="N2782" s="239"/>
      <c r="O2782" s="225"/>
      <c r="P2782" s="260"/>
      <c r="Q2782" s="258"/>
      <c r="R2782" s="260"/>
      <c r="S2782" s="260"/>
      <c r="T2782" s="260"/>
      <c r="U2782" s="260"/>
      <c r="V2782" s="260"/>
      <c r="W2782" s="260"/>
      <c r="X2782" s="260"/>
      <c r="Y2782" s="260"/>
      <c r="Z2782" s="260"/>
      <c r="AA2782" s="260"/>
      <c r="AB2782" s="260"/>
      <c r="AC2782" s="260"/>
      <c r="AD2782" s="260"/>
      <c r="AE2782" s="260"/>
      <c r="AF2782" s="260"/>
      <c r="AG2782" s="258"/>
    </row>
    <row r="2783" spans="13:33" ht="12" hidden="1" customHeight="1">
      <c r="M2783" s="820"/>
      <c r="N2783" s="239"/>
      <c r="O2783" s="225"/>
      <c r="P2783" s="260"/>
      <c r="Q2783" s="258"/>
      <c r="R2783" s="260"/>
      <c r="S2783" s="260"/>
      <c r="T2783" s="260"/>
      <c r="U2783" s="260"/>
      <c r="V2783" s="260"/>
      <c r="W2783" s="260"/>
      <c r="X2783" s="260"/>
      <c r="Y2783" s="260"/>
      <c r="Z2783" s="260"/>
      <c r="AA2783" s="260"/>
      <c r="AB2783" s="260"/>
      <c r="AC2783" s="260"/>
      <c r="AD2783" s="260"/>
      <c r="AE2783" s="260"/>
      <c r="AF2783" s="260"/>
      <c r="AG2783" s="258"/>
    </row>
    <row r="2784" spans="13:33" ht="12" hidden="1" customHeight="1">
      <c r="M2784" s="820"/>
      <c r="N2784" s="239"/>
      <c r="O2784" s="225"/>
      <c r="P2784" s="260"/>
      <c r="Q2784" s="258"/>
      <c r="R2784" s="260"/>
      <c r="S2784" s="260"/>
      <c r="T2784" s="260"/>
      <c r="U2784" s="260"/>
      <c r="V2784" s="260"/>
      <c r="W2784" s="260"/>
      <c r="X2784" s="260"/>
      <c r="Y2784" s="260"/>
      <c r="Z2784" s="260"/>
      <c r="AA2784" s="260"/>
      <c r="AB2784" s="260"/>
      <c r="AC2784" s="260"/>
      <c r="AD2784" s="260"/>
      <c r="AE2784" s="260"/>
      <c r="AF2784" s="260"/>
      <c r="AG2784" s="258"/>
    </row>
    <row r="2785" spans="13:33" ht="12" hidden="1" customHeight="1">
      <c r="M2785" s="820"/>
      <c r="N2785" s="239"/>
      <c r="O2785" s="225"/>
      <c r="P2785" s="260"/>
      <c r="Q2785" s="258"/>
      <c r="R2785" s="260"/>
      <c r="S2785" s="260"/>
      <c r="T2785" s="260"/>
      <c r="U2785" s="260"/>
      <c r="V2785" s="260"/>
      <c r="W2785" s="260"/>
      <c r="X2785" s="260"/>
      <c r="Y2785" s="260"/>
      <c r="Z2785" s="260"/>
      <c r="AA2785" s="260"/>
      <c r="AB2785" s="260"/>
      <c r="AC2785" s="260"/>
      <c r="AD2785" s="260"/>
      <c r="AE2785" s="260"/>
      <c r="AF2785" s="260"/>
      <c r="AG2785" s="258"/>
    </row>
    <row r="2786" spans="13:33" ht="12" hidden="1" customHeight="1">
      <c r="M2786" s="820"/>
      <c r="N2786" s="239"/>
      <c r="O2786" s="225"/>
      <c r="P2786" s="260"/>
      <c r="Q2786" s="258"/>
      <c r="R2786" s="260"/>
      <c r="S2786" s="260"/>
      <c r="T2786" s="260"/>
      <c r="U2786" s="260"/>
      <c r="V2786" s="260"/>
      <c r="W2786" s="260"/>
      <c r="X2786" s="260"/>
      <c r="Y2786" s="260"/>
      <c r="Z2786" s="260"/>
      <c r="AA2786" s="260"/>
      <c r="AB2786" s="260"/>
      <c r="AC2786" s="260"/>
      <c r="AD2786" s="260"/>
      <c r="AE2786" s="260"/>
      <c r="AF2786" s="260"/>
      <c r="AG2786" s="258"/>
    </row>
    <row r="2787" spans="13:33" ht="12" hidden="1" customHeight="1">
      <c r="M2787" s="820"/>
      <c r="N2787" s="239"/>
      <c r="O2787" s="225"/>
      <c r="P2787" s="260"/>
      <c r="Q2787" s="258"/>
      <c r="R2787" s="260"/>
      <c r="S2787" s="260"/>
      <c r="T2787" s="260"/>
      <c r="U2787" s="260"/>
      <c r="V2787" s="260"/>
      <c r="W2787" s="260"/>
      <c r="X2787" s="260"/>
      <c r="Y2787" s="260"/>
      <c r="Z2787" s="260"/>
      <c r="AA2787" s="260"/>
      <c r="AB2787" s="260"/>
      <c r="AC2787" s="260"/>
      <c r="AD2787" s="260"/>
      <c r="AE2787" s="260"/>
      <c r="AF2787" s="260"/>
      <c r="AG2787" s="258"/>
    </row>
    <row r="2788" spans="13:33" ht="12" hidden="1" customHeight="1">
      <c r="M2788" s="820"/>
      <c r="N2788" s="239"/>
      <c r="O2788" s="225"/>
      <c r="P2788" s="260"/>
      <c r="Q2788" s="258"/>
      <c r="R2788" s="260"/>
      <c r="S2788" s="260"/>
      <c r="T2788" s="260"/>
      <c r="U2788" s="260"/>
      <c r="V2788" s="260"/>
      <c r="W2788" s="260"/>
      <c r="X2788" s="260"/>
      <c r="Y2788" s="260"/>
      <c r="Z2788" s="260"/>
      <c r="AA2788" s="260"/>
      <c r="AB2788" s="260"/>
      <c r="AC2788" s="260"/>
      <c r="AD2788" s="260"/>
      <c r="AE2788" s="260"/>
      <c r="AF2788" s="260"/>
      <c r="AG2788" s="258"/>
    </row>
    <row r="2789" spans="13:33" ht="12" hidden="1" customHeight="1">
      <c r="M2789" s="820"/>
      <c r="N2789" s="239"/>
      <c r="O2789" s="225"/>
      <c r="P2789" s="260"/>
      <c r="Q2789" s="258"/>
      <c r="R2789" s="260"/>
      <c r="S2789" s="260"/>
      <c r="T2789" s="260"/>
      <c r="U2789" s="260"/>
      <c r="V2789" s="260"/>
      <c r="W2789" s="260"/>
      <c r="X2789" s="260"/>
      <c r="Y2789" s="260"/>
      <c r="Z2789" s="260"/>
      <c r="AA2789" s="260"/>
      <c r="AB2789" s="260"/>
      <c r="AC2789" s="260"/>
      <c r="AD2789" s="260"/>
      <c r="AE2789" s="260"/>
      <c r="AF2789" s="260"/>
      <c r="AG2789" s="258"/>
    </row>
    <row r="2790" spans="13:33" ht="12" hidden="1" customHeight="1">
      <c r="M2790" s="820"/>
      <c r="N2790" s="239"/>
      <c r="O2790" s="225"/>
      <c r="P2790" s="260"/>
      <c r="Q2790" s="258"/>
      <c r="R2790" s="260"/>
      <c r="S2790" s="260"/>
      <c r="T2790" s="260"/>
      <c r="U2790" s="260"/>
      <c r="V2790" s="260"/>
      <c r="W2790" s="260"/>
      <c r="X2790" s="260"/>
      <c r="Y2790" s="260"/>
      <c r="Z2790" s="260"/>
      <c r="AA2790" s="260"/>
      <c r="AB2790" s="260"/>
      <c r="AC2790" s="260"/>
      <c r="AD2790" s="260"/>
      <c r="AE2790" s="260"/>
      <c r="AF2790" s="260"/>
      <c r="AG2790" s="258"/>
    </row>
    <row r="2791" spans="13:33" ht="12" hidden="1" customHeight="1">
      <c r="M2791" s="820"/>
      <c r="N2791" s="239"/>
      <c r="O2791" s="225"/>
      <c r="P2791" s="260"/>
      <c r="Q2791" s="258"/>
      <c r="R2791" s="260"/>
      <c r="S2791" s="260"/>
      <c r="T2791" s="260"/>
      <c r="U2791" s="260"/>
      <c r="V2791" s="260"/>
      <c r="W2791" s="260"/>
      <c r="X2791" s="260"/>
      <c r="Y2791" s="260"/>
      <c r="Z2791" s="260"/>
      <c r="AA2791" s="260"/>
      <c r="AB2791" s="260"/>
      <c r="AC2791" s="260"/>
      <c r="AD2791" s="260"/>
      <c r="AE2791" s="260"/>
      <c r="AF2791" s="260"/>
      <c r="AG2791" s="258"/>
    </row>
    <row r="2792" spans="13:33" ht="12" hidden="1" customHeight="1">
      <c r="M2792" s="820"/>
      <c r="N2792" s="239"/>
      <c r="O2792" s="225"/>
      <c r="P2792" s="260"/>
      <c r="Q2792" s="258"/>
      <c r="R2792" s="260"/>
      <c r="S2792" s="260"/>
      <c r="T2792" s="260"/>
      <c r="U2792" s="260"/>
      <c r="V2792" s="260"/>
      <c r="W2792" s="260"/>
      <c r="X2792" s="260"/>
      <c r="Y2792" s="260"/>
      <c r="Z2792" s="260"/>
      <c r="AA2792" s="260"/>
      <c r="AB2792" s="260"/>
      <c r="AC2792" s="260"/>
      <c r="AD2792" s="260"/>
      <c r="AE2792" s="260"/>
      <c r="AF2792" s="260"/>
      <c r="AG2792" s="258"/>
    </row>
    <row r="2793" spans="13:33" ht="12" hidden="1" customHeight="1">
      <c r="M2793" s="820"/>
      <c r="N2793" s="239"/>
      <c r="O2793" s="225"/>
      <c r="P2793" s="260"/>
      <c r="Q2793" s="258"/>
      <c r="R2793" s="260"/>
      <c r="S2793" s="260"/>
      <c r="T2793" s="260"/>
      <c r="U2793" s="260"/>
      <c r="V2793" s="260"/>
      <c r="W2793" s="260"/>
      <c r="X2793" s="260"/>
      <c r="Y2793" s="260"/>
      <c r="Z2793" s="260"/>
      <c r="AA2793" s="260"/>
      <c r="AB2793" s="260"/>
      <c r="AC2793" s="260"/>
      <c r="AD2793" s="260"/>
      <c r="AE2793" s="260"/>
      <c r="AF2793" s="260"/>
      <c r="AG2793" s="258"/>
    </row>
    <row r="2794" spans="13:33" ht="12" hidden="1" customHeight="1">
      <c r="M2794" s="820"/>
      <c r="N2794" s="239"/>
      <c r="O2794" s="225"/>
      <c r="P2794" s="260"/>
      <c r="Q2794" s="258"/>
      <c r="R2794" s="260"/>
      <c r="S2794" s="260"/>
      <c r="T2794" s="260"/>
      <c r="U2794" s="260"/>
      <c r="V2794" s="260"/>
      <c r="W2794" s="260"/>
      <c r="X2794" s="260"/>
      <c r="Y2794" s="260"/>
      <c r="Z2794" s="260"/>
      <c r="AA2794" s="260"/>
      <c r="AB2794" s="260"/>
      <c r="AC2794" s="260"/>
      <c r="AD2794" s="260"/>
      <c r="AE2794" s="260"/>
      <c r="AF2794" s="260"/>
      <c r="AG2794" s="258"/>
    </row>
    <row r="2795" spans="13:33" ht="12" hidden="1" customHeight="1">
      <c r="M2795" s="820"/>
      <c r="N2795" s="239"/>
      <c r="O2795" s="225"/>
      <c r="P2795" s="260"/>
      <c r="Q2795" s="258"/>
      <c r="R2795" s="260"/>
      <c r="S2795" s="260"/>
      <c r="T2795" s="260"/>
      <c r="U2795" s="260"/>
      <c r="V2795" s="260"/>
      <c r="W2795" s="260"/>
      <c r="X2795" s="260"/>
      <c r="Y2795" s="260"/>
      <c r="Z2795" s="260"/>
      <c r="AA2795" s="260"/>
      <c r="AB2795" s="260"/>
      <c r="AC2795" s="260"/>
      <c r="AD2795" s="260"/>
      <c r="AE2795" s="260"/>
      <c r="AF2795" s="260"/>
      <c r="AG2795" s="258"/>
    </row>
    <row r="2796" spans="13:33" ht="12" hidden="1" customHeight="1">
      <c r="M2796" s="820"/>
      <c r="N2796" s="239"/>
      <c r="O2796" s="225"/>
      <c r="P2796" s="260"/>
      <c r="Q2796" s="258"/>
      <c r="R2796" s="260"/>
      <c r="S2796" s="260"/>
      <c r="T2796" s="260"/>
      <c r="U2796" s="260"/>
      <c r="V2796" s="260"/>
      <c r="W2796" s="260"/>
      <c r="X2796" s="260"/>
      <c r="Y2796" s="260"/>
      <c r="Z2796" s="260"/>
      <c r="AA2796" s="260"/>
      <c r="AB2796" s="260"/>
      <c r="AC2796" s="260"/>
      <c r="AD2796" s="260"/>
      <c r="AE2796" s="260"/>
      <c r="AF2796" s="260"/>
      <c r="AG2796" s="258"/>
    </row>
    <row r="2797" spans="13:33" ht="12" hidden="1" customHeight="1">
      <c r="M2797" s="820"/>
      <c r="N2797" s="239"/>
      <c r="O2797" s="225"/>
      <c r="P2797" s="260"/>
      <c r="Q2797" s="258"/>
      <c r="R2797" s="260"/>
      <c r="S2797" s="260"/>
      <c r="T2797" s="260"/>
      <c r="U2797" s="260"/>
      <c r="V2797" s="260"/>
      <c r="W2797" s="260"/>
      <c r="X2797" s="260"/>
      <c r="Y2797" s="260"/>
      <c r="Z2797" s="260"/>
      <c r="AA2797" s="260"/>
      <c r="AB2797" s="260"/>
      <c r="AC2797" s="260"/>
      <c r="AD2797" s="260"/>
      <c r="AE2797" s="260"/>
      <c r="AF2797" s="260"/>
      <c r="AG2797" s="258"/>
    </row>
    <row r="2798" spans="13:33" ht="12" hidden="1" customHeight="1">
      <c r="M2798" s="820"/>
      <c r="N2798" s="239"/>
      <c r="O2798" s="225"/>
      <c r="P2798" s="260"/>
      <c r="Q2798" s="258"/>
      <c r="R2798" s="260"/>
      <c r="S2798" s="260"/>
      <c r="T2798" s="260"/>
      <c r="U2798" s="260"/>
      <c r="V2798" s="260"/>
      <c r="W2798" s="260"/>
      <c r="X2798" s="260"/>
      <c r="Y2798" s="260"/>
      <c r="Z2798" s="260"/>
      <c r="AA2798" s="260"/>
      <c r="AB2798" s="260"/>
      <c r="AC2798" s="260"/>
      <c r="AD2798" s="260"/>
      <c r="AE2798" s="260"/>
      <c r="AF2798" s="260"/>
      <c r="AG2798" s="258"/>
    </row>
    <row r="2799" spans="13:33" ht="12" hidden="1" customHeight="1">
      <c r="M2799" s="820"/>
      <c r="N2799" s="239"/>
      <c r="O2799" s="225"/>
      <c r="P2799" s="260"/>
      <c r="Q2799" s="258"/>
      <c r="R2799" s="260"/>
      <c r="S2799" s="260"/>
      <c r="T2799" s="260"/>
      <c r="U2799" s="260"/>
      <c r="V2799" s="260"/>
      <c r="W2799" s="260"/>
      <c r="X2799" s="260"/>
      <c r="Y2799" s="260"/>
      <c r="Z2799" s="260"/>
      <c r="AA2799" s="260"/>
      <c r="AB2799" s="260"/>
      <c r="AC2799" s="260"/>
      <c r="AD2799" s="260"/>
      <c r="AE2799" s="260"/>
      <c r="AF2799" s="260"/>
      <c r="AG2799" s="258"/>
    </row>
    <row r="2800" spans="13:33" ht="12" hidden="1" customHeight="1">
      <c r="M2800" s="820"/>
      <c r="N2800" s="239"/>
      <c r="O2800" s="225"/>
      <c r="P2800" s="260"/>
      <c r="Q2800" s="258"/>
      <c r="R2800" s="260"/>
      <c r="S2800" s="260"/>
      <c r="T2800" s="260"/>
      <c r="U2800" s="260"/>
      <c r="V2800" s="260"/>
      <c r="W2800" s="260"/>
      <c r="X2800" s="260"/>
      <c r="Y2800" s="260"/>
      <c r="Z2800" s="260"/>
      <c r="AA2800" s="260"/>
      <c r="AB2800" s="260"/>
      <c r="AC2800" s="260"/>
      <c r="AD2800" s="260"/>
      <c r="AE2800" s="260"/>
      <c r="AF2800" s="260"/>
      <c r="AG2800" s="258"/>
    </row>
    <row r="2801" spans="13:33" ht="12" hidden="1" customHeight="1">
      <c r="M2801" s="820"/>
      <c r="N2801" s="239"/>
      <c r="O2801" s="225"/>
      <c r="P2801" s="260"/>
      <c r="Q2801" s="258"/>
      <c r="R2801" s="260"/>
      <c r="S2801" s="260"/>
      <c r="T2801" s="260"/>
      <c r="U2801" s="260"/>
      <c r="V2801" s="260"/>
      <c r="W2801" s="260"/>
      <c r="X2801" s="260"/>
      <c r="Y2801" s="260"/>
      <c r="Z2801" s="260"/>
      <c r="AA2801" s="260"/>
      <c r="AB2801" s="260"/>
      <c r="AC2801" s="260"/>
      <c r="AD2801" s="260"/>
      <c r="AE2801" s="260"/>
      <c r="AF2801" s="260"/>
      <c r="AG2801" s="258"/>
    </row>
    <row r="2802" spans="13:33" ht="12" hidden="1" customHeight="1">
      <c r="M2802" s="820"/>
      <c r="N2802" s="239"/>
      <c r="O2802" s="225"/>
      <c r="P2802" s="260"/>
      <c r="Q2802" s="258"/>
      <c r="R2802" s="260"/>
      <c r="S2802" s="260"/>
      <c r="T2802" s="260"/>
      <c r="U2802" s="260"/>
      <c r="V2802" s="260"/>
      <c r="W2802" s="260"/>
      <c r="X2802" s="260"/>
      <c r="Y2802" s="260"/>
      <c r="Z2802" s="260"/>
      <c r="AA2802" s="260"/>
      <c r="AB2802" s="260"/>
      <c r="AC2802" s="260"/>
      <c r="AD2802" s="260"/>
      <c r="AE2802" s="260"/>
      <c r="AF2802" s="260"/>
      <c r="AG2802" s="258"/>
    </row>
    <row r="2803" spans="13:33" ht="12" hidden="1" customHeight="1">
      <c r="M2803" s="820"/>
      <c r="N2803" s="239"/>
      <c r="O2803" s="225"/>
      <c r="P2803" s="260"/>
      <c r="Q2803" s="258"/>
      <c r="R2803" s="260"/>
      <c r="S2803" s="260"/>
      <c r="T2803" s="260"/>
      <c r="U2803" s="260"/>
      <c r="V2803" s="260"/>
      <c r="W2803" s="260"/>
      <c r="X2803" s="260"/>
      <c r="Y2803" s="260"/>
      <c r="Z2803" s="260"/>
      <c r="AA2803" s="260"/>
      <c r="AB2803" s="260"/>
      <c r="AC2803" s="260"/>
      <c r="AD2803" s="260"/>
      <c r="AE2803" s="260"/>
      <c r="AF2803" s="260"/>
      <c r="AG2803" s="258"/>
    </row>
    <row r="2804" spans="13:33" ht="12" hidden="1" customHeight="1">
      <c r="M2804" s="820"/>
      <c r="N2804" s="239"/>
      <c r="O2804" s="225"/>
      <c r="P2804" s="260"/>
      <c r="Q2804" s="258"/>
      <c r="R2804" s="260"/>
      <c r="S2804" s="260"/>
      <c r="T2804" s="260"/>
      <c r="U2804" s="260"/>
      <c r="V2804" s="260"/>
      <c r="W2804" s="260"/>
      <c r="X2804" s="260"/>
      <c r="Y2804" s="260"/>
      <c r="Z2804" s="260"/>
      <c r="AA2804" s="260"/>
      <c r="AB2804" s="260"/>
      <c r="AC2804" s="260"/>
      <c r="AD2804" s="260"/>
      <c r="AE2804" s="260"/>
      <c r="AF2804" s="260"/>
      <c r="AG2804" s="258"/>
    </row>
    <row r="2805" spans="13:33" ht="12" hidden="1" customHeight="1">
      <c r="M2805" s="820"/>
      <c r="N2805" s="239"/>
      <c r="O2805" s="225"/>
      <c r="P2805" s="260"/>
      <c r="Q2805" s="258"/>
      <c r="R2805" s="260"/>
      <c r="S2805" s="260"/>
      <c r="T2805" s="260"/>
      <c r="U2805" s="260"/>
      <c r="V2805" s="260"/>
      <c r="W2805" s="260"/>
      <c r="X2805" s="260"/>
      <c r="Y2805" s="260"/>
      <c r="Z2805" s="260"/>
      <c r="AA2805" s="260"/>
      <c r="AB2805" s="260"/>
      <c r="AC2805" s="260"/>
      <c r="AD2805" s="260"/>
      <c r="AE2805" s="260"/>
      <c r="AF2805" s="260"/>
      <c r="AG2805" s="258"/>
    </row>
    <row r="2806" spans="13:33" ht="12" hidden="1" customHeight="1">
      <c r="M2806" s="820"/>
      <c r="N2806" s="239"/>
      <c r="O2806" s="225"/>
      <c r="P2806" s="260"/>
      <c r="Q2806" s="258"/>
      <c r="R2806" s="260"/>
      <c r="S2806" s="260"/>
      <c r="T2806" s="260"/>
      <c r="U2806" s="260"/>
      <c r="V2806" s="260"/>
      <c r="W2806" s="260"/>
      <c r="X2806" s="260"/>
      <c r="Y2806" s="260"/>
      <c r="Z2806" s="260"/>
      <c r="AA2806" s="260"/>
      <c r="AB2806" s="260"/>
      <c r="AC2806" s="260"/>
      <c r="AD2806" s="260"/>
      <c r="AE2806" s="260"/>
      <c r="AF2806" s="260"/>
      <c r="AG2806" s="258"/>
    </row>
    <row r="2807" spans="13:33" ht="12" hidden="1" customHeight="1">
      <c r="M2807" s="820"/>
      <c r="N2807" s="239"/>
      <c r="O2807" s="225"/>
      <c r="P2807" s="260"/>
      <c r="Q2807" s="258"/>
      <c r="R2807" s="260"/>
      <c r="S2807" s="260"/>
      <c r="T2807" s="260"/>
      <c r="U2807" s="260"/>
      <c r="V2807" s="260"/>
      <c r="W2807" s="260"/>
      <c r="X2807" s="260"/>
      <c r="Y2807" s="260"/>
      <c r="Z2807" s="260"/>
      <c r="AA2807" s="260"/>
      <c r="AB2807" s="260"/>
      <c r="AC2807" s="260"/>
      <c r="AD2807" s="260"/>
      <c r="AE2807" s="260"/>
      <c r="AF2807" s="260"/>
      <c r="AG2807" s="258"/>
    </row>
    <row r="2808" spans="13:33" ht="12" hidden="1" customHeight="1">
      <c r="M2808" s="820"/>
      <c r="N2808" s="239"/>
      <c r="O2808" s="225"/>
      <c r="P2808" s="260"/>
      <c r="Q2808" s="258"/>
      <c r="R2808" s="260"/>
      <c r="S2808" s="260"/>
      <c r="T2808" s="260"/>
      <c r="U2808" s="260"/>
      <c r="V2808" s="260"/>
      <c r="W2808" s="260"/>
      <c r="X2808" s="260"/>
      <c r="Y2808" s="260"/>
      <c r="Z2808" s="260"/>
      <c r="AA2808" s="260"/>
      <c r="AB2808" s="260"/>
      <c r="AC2808" s="260"/>
      <c r="AD2808" s="260"/>
      <c r="AE2808" s="260"/>
      <c r="AF2808" s="260"/>
      <c r="AG2808" s="258"/>
    </row>
    <row r="2809" spans="13:33" ht="12" hidden="1" customHeight="1">
      <c r="M2809" s="820"/>
      <c r="N2809" s="239"/>
      <c r="O2809" s="225"/>
      <c r="P2809" s="260"/>
      <c r="Q2809" s="258"/>
      <c r="R2809" s="260"/>
      <c r="S2809" s="260"/>
      <c r="T2809" s="260"/>
      <c r="U2809" s="260"/>
      <c r="V2809" s="260"/>
      <c r="W2809" s="260"/>
      <c r="X2809" s="260"/>
      <c r="Y2809" s="260"/>
      <c r="Z2809" s="260"/>
      <c r="AA2809" s="260"/>
      <c r="AB2809" s="260"/>
      <c r="AC2809" s="260"/>
      <c r="AD2809" s="260"/>
      <c r="AE2809" s="260"/>
      <c r="AF2809" s="260"/>
      <c r="AG2809" s="258"/>
    </row>
    <row r="2810" spans="13:33" ht="12" hidden="1" customHeight="1">
      <c r="M2810" s="820"/>
      <c r="N2810" s="239"/>
      <c r="O2810" s="225"/>
      <c r="P2810" s="260"/>
      <c r="Q2810" s="258"/>
      <c r="R2810" s="260"/>
      <c r="S2810" s="260"/>
      <c r="T2810" s="260"/>
      <c r="U2810" s="260"/>
      <c r="V2810" s="260"/>
      <c r="W2810" s="260"/>
      <c r="X2810" s="260"/>
      <c r="Y2810" s="260"/>
      <c r="Z2810" s="260"/>
      <c r="AA2810" s="260"/>
      <c r="AB2810" s="260"/>
      <c r="AC2810" s="260"/>
      <c r="AD2810" s="260"/>
      <c r="AE2810" s="260"/>
      <c r="AF2810" s="260"/>
      <c r="AG2810" s="258"/>
    </row>
    <row r="2811" spans="13:33" ht="12" hidden="1" customHeight="1">
      <c r="M2811" s="820"/>
      <c r="N2811" s="239"/>
      <c r="O2811" s="225"/>
      <c r="P2811" s="260"/>
      <c r="Q2811" s="258"/>
      <c r="R2811" s="260"/>
      <c r="S2811" s="260"/>
      <c r="T2811" s="260"/>
      <c r="U2811" s="260"/>
      <c r="V2811" s="260"/>
      <c r="W2811" s="260"/>
      <c r="X2811" s="260"/>
      <c r="Y2811" s="260"/>
      <c r="Z2811" s="260"/>
      <c r="AA2811" s="260"/>
      <c r="AB2811" s="260"/>
      <c r="AC2811" s="260"/>
      <c r="AD2811" s="260"/>
      <c r="AE2811" s="260"/>
      <c r="AF2811" s="260"/>
      <c r="AG2811" s="258"/>
    </row>
    <row r="2812" spans="13:33" ht="12" hidden="1" customHeight="1">
      <c r="M2812" s="820"/>
      <c r="N2812" s="239"/>
      <c r="O2812" s="225"/>
      <c r="P2812" s="260"/>
      <c r="Q2812" s="258"/>
      <c r="R2812" s="260"/>
      <c r="S2812" s="260"/>
      <c r="T2812" s="260"/>
      <c r="U2812" s="260"/>
      <c r="V2812" s="260"/>
      <c r="W2812" s="260"/>
      <c r="X2812" s="260"/>
      <c r="Y2812" s="260"/>
      <c r="Z2812" s="260"/>
      <c r="AA2812" s="260"/>
      <c r="AB2812" s="260"/>
      <c r="AC2812" s="260"/>
      <c r="AD2812" s="260"/>
      <c r="AE2812" s="260"/>
      <c r="AF2812" s="260"/>
      <c r="AG2812" s="258"/>
    </row>
    <row r="2813" spans="13:33" ht="12" hidden="1" customHeight="1">
      <c r="M2813" s="820"/>
      <c r="N2813" s="239"/>
      <c r="O2813" s="225"/>
      <c r="P2813" s="260"/>
      <c r="Q2813" s="258"/>
      <c r="R2813" s="260"/>
      <c r="S2813" s="260"/>
      <c r="T2813" s="260"/>
      <c r="U2813" s="260"/>
      <c r="V2813" s="260"/>
      <c r="W2813" s="260"/>
      <c r="X2813" s="260"/>
      <c r="Y2813" s="260"/>
      <c r="Z2813" s="260"/>
      <c r="AA2813" s="260"/>
      <c r="AB2813" s="260"/>
      <c r="AC2813" s="260"/>
      <c r="AD2813" s="260"/>
      <c r="AE2813" s="260"/>
      <c r="AF2813" s="260"/>
      <c r="AG2813" s="258"/>
    </row>
    <row r="2814" spans="13:33" ht="12" hidden="1" customHeight="1">
      <c r="M2814" s="820"/>
      <c r="N2814" s="239"/>
      <c r="O2814" s="225"/>
      <c r="P2814" s="260"/>
      <c r="Q2814" s="258"/>
      <c r="R2814" s="260"/>
      <c r="S2814" s="260"/>
      <c r="T2814" s="260"/>
      <c r="U2814" s="260"/>
      <c r="V2814" s="260"/>
      <c r="W2814" s="260"/>
      <c r="X2814" s="260"/>
      <c r="Y2814" s="260"/>
      <c r="Z2814" s="260"/>
      <c r="AA2814" s="260"/>
      <c r="AB2814" s="260"/>
      <c r="AC2814" s="260"/>
      <c r="AD2814" s="260"/>
      <c r="AE2814" s="260"/>
      <c r="AF2814" s="260"/>
      <c r="AG2814" s="258"/>
    </row>
    <row r="2815" spans="13:33" ht="12" hidden="1" customHeight="1">
      <c r="M2815" s="820"/>
      <c r="N2815" s="239"/>
      <c r="O2815" s="225"/>
      <c r="P2815" s="260"/>
      <c r="Q2815" s="258"/>
      <c r="R2815" s="260"/>
      <c r="S2815" s="260"/>
      <c r="T2815" s="260"/>
      <c r="U2815" s="260"/>
      <c r="V2815" s="260"/>
      <c r="W2815" s="260"/>
      <c r="X2815" s="260"/>
      <c r="Y2815" s="260"/>
      <c r="Z2815" s="260"/>
      <c r="AA2815" s="260"/>
      <c r="AB2815" s="260"/>
      <c r="AC2815" s="260"/>
      <c r="AD2815" s="260"/>
      <c r="AE2815" s="260"/>
      <c r="AF2815" s="260"/>
      <c r="AG2815" s="258"/>
    </row>
    <row r="2816" spans="13:33" ht="12" hidden="1" customHeight="1">
      <c r="M2816" s="820"/>
      <c r="N2816" s="239"/>
      <c r="O2816" s="225"/>
      <c r="P2816" s="260"/>
      <c r="Q2816" s="258"/>
      <c r="R2816" s="260"/>
      <c r="S2816" s="260"/>
      <c r="T2816" s="260"/>
      <c r="U2816" s="260"/>
      <c r="V2816" s="260"/>
      <c r="W2816" s="260"/>
      <c r="X2816" s="260"/>
      <c r="Y2816" s="260"/>
      <c r="Z2816" s="260"/>
      <c r="AA2816" s="260"/>
      <c r="AB2816" s="260"/>
      <c r="AC2816" s="260"/>
      <c r="AD2816" s="260"/>
      <c r="AE2816" s="260"/>
      <c r="AF2816" s="260"/>
      <c r="AG2816" s="258"/>
    </row>
    <row r="2817" spans="13:33" ht="12" hidden="1" customHeight="1">
      <c r="M2817" s="820"/>
      <c r="N2817" s="239"/>
      <c r="O2817" s="225"/>
      <c r="P2817" s="260"/>
      <c r="Q2817" s="258"/>
      <c r="R2817" s="260"/>
      <c r="S2817" s="260"/>
      <c r="T2817" s="260"/>
      <c r="U2817" s="260"/>
      <c r="V2817" s="260"/>
      <c r="W2817" s="260"/>
      <c r="X2817" s="260"/>
      <c r="Y2817" s="260"/>
      <c r="Z2817" s="260"/>
      <c r="AA2817" s="260"/>
      <c r="AB2817" s="260"/>
      <c r="AC2817" s="260"/>
      <c r="AD2817" s="260"/>
      <c r="AE2817" s="260"/>
      <c r="AF2817" s="260"/>
      <c r="AG2817" s="258"/>
    </row>
    <row r="2818" spans="13:33" ht="12" hidden="1" customHeight="1">
      <c r="M2818" s="820"/>
      <c r="N2818" s="239"/>
      <c r="O2818" s="225"/>
      <c r="P2818" s="260"/>
      <c r="Q2818" s="258"/>
      <c r="R2818" s="260"/>
      <c r="S2818" s="260"/>
      <c r="T2818" s="260"/>
      <c r="U2818" s="260"/>
      <c r="V2818" s="260"/>
      <c r="W2818" s="260"/>
      <c r="X2818" s="260"/>
      <c r="Y2818" s="260"/>
      <c r="Z2818" s="260"/>
      <c r="AA2818" s="260"/>
      <c r="AB2818" s="260"/>
      <c r="AC2818" s="260"/>
      <c r="AD2818" s="260"/>
      <c r="AE2818" s="260"/>
      <c r="AF2818" s="260"/>
      <c r="AG2818" s="258"/>
    </row>
    <row r="2819" spans="13:33" ht="12" hidden="1" customHeight="1">
      <c r="M2819" s="820"/>
      <c r="N2819" s="239"/>
      <c r="O2819" s="225"/>
      <c r="P2819" s="260"/>
      <c r="Q2819" s="258"/>
      <c r="R2819" s="260"/>
      <c r="S2819" s="260"/>
      <c r="T2819" s="260"/>
      <c r="U2819" s="260"/>
      <c r="V2819" s="260"/>
      <c r="W2819" s="260"/>
      <c r="X2819" s="260"/>
      <c r="Y2819" s="260"/>
      <c r="Z2819" s="260"/>
      <c r="AA2819" s="260"/>
      <c r="AB2819" s="260"/>
      <c r="AC2819" s="260"/>
      <c r="AD2819" s="260"/>
      <c r="AE2819" s="260"/>
      <c r="AF2819" s="260"/>
      <c r="AG2819" s="258"/>
    </row>
    <row r="2820" spans="13:33" ht="12" hidden="1" customHeight="1">
      <c r="M2820" s="820"/>
      <c r="N2820" s="239"/>
      <c r="O2820" s="225"/>
      <c r="P2820" s="260"/>
      <c r="Q2820" s="258"/>
      <c r="R2820" s="260"/>
      <c r="S2820" s="260"/>
      <c r="T2820" s="260"/>
      <c r="U2820" s="260"/>
      <c r="V2820" s="260"/>
      <c r="W2820" s="260"/>
      <c r="X2820" s="260"/>
      <c r="Y2820" s="260"/>
      <c r="Z2820" s="260"/>
      <c r="AA2820" s="260"/>
      <c r="AB2820" s="260"/>
      <c r="AC2820" s="260"/>
      <c r="AD2820" s="260"/>
      <c r="AE2820" s="260"/>
      <c r="AF2820" s="260"/>
      <c r="AG2820" s="258"/>
    </row>
    <row r="2821" spans="13:33" ht="12" hidden="1" customHeight="1">
      <c r="M2821" s="820"/>
      <c r="N2821" s="239"/>
      <c r="O2821" s="225"/>
      <c r="P2821" s="260"/>
      <c r="Q2821" s="258"/>
      <c r="R2821" s="260"/>
      <c r="S2821" s="260"/>
      <c r="T2821" s="260"/>
      <c r="U2821" s="260"/>
      <c r="V2821" s="260"/>
      <c r="W2821" s="260"/>
      <c r="X2821" s="260"/>
      <c r="Y2821" s="260"/>
      <c r="Z2821" s="260"/>
      <c r="AA2821" s="260"/>
      <c r="AB2821" s="260"/>
      <c r="AC2821" s="260"/>
      <c r="AD2821" s="260"/>
      <c r="AE2821" s="260"/>
      <c r="AF2821" s="260"/>
      <c r="AG2821" s="258"/>
    </row>
    <row r="2822" spans="13:33" ht="12" hidden="1" customHeight="1">
      <c r="M2822" s="820"/>
      <c r="N2822" s="239"/>
      <c r="O2822" s="225"/>
      <c r="P2822" s="260"/>
      <c r="Q2822" s="258"/>
      <c r="R2822" s="260"/>
      <c r="S2822" s="260"/>
      <c r="T2822" s="260"/>
      <c r="U2822" s="260"/>
      <c r="V2822" s="260"/>
      <c r="W2822" s="260"/>
      <c r="X2822" s="260"/>
      <c r="Y2822" s="260"/>
      <c r="Z2822" s="260"/>
      <c r="AA2822" s="260"/>
      <c r="AB2822" s="260"/>
      <c r="AC2822" s="260"/>
      <c r="AD2822" s="260"/>
      <c r="AE2822" s="260"/>
      <c r="AF2822" s="260"/>
      <c r="AG2822" s="258"/>
    </row>
    <row r="2823" spans="13:33" ht="12" hidden="1" customHeight="1">
      <c r="M2823" s="820"/>
      <c r="N2823" s="239"/>
      <c r="O2823" s="225"/>
      <c r="P2823" s="260"/>
      <c r="Q2823" s="258"/>
      <c r="R2823" s="260"/>
      <c r="S2823" s="260"/>
      <c r="T2823" s="260"/>
      <c r="U2823" s="260"/>
      <c r="V2823" s="260"/>
      <c r="W2823" s="260"/>
      <c r="X2823" s="260"/>
      <c r="Y2823" s="260"/>
      <c r="Z2823" s="260"/>
      <c r="AA2823" s="260"/>
      <c r="AB2823" s="260"/>
      <c r="AC2823" s="260"/>
      <c r="AD2823" s="260"/>
      <c r="AE2823" s="260"/>
      <c r="AF2823" s="260"/>
      <c r="AG2823" s="258"/>
    </row>
    <row r="2824" spans="13:33" ht="12" hidden="1" customHeight="1">
      <c r="M2824" s="820"/>
      <c r="N2824" s="239"/>
      <c r="O2824" s="225"/>
      <c r="P2824" s="260"/>
      <c r="Q2824" s="258"/>
      <c r="R2824" s="260"/>
      <c r="S2824" s="260"/>
      <c r="T2824" s="260"/>
      <c r="U2824" s="260"/>
      <c r="V2824" s="260"/>
      <c r="W2824" s="260"/>
      <c r="X2824" s="260"/>
      <c r="Y2824" s="260"/>
      <c r="Z2824" s="260"/>
      <c r="AA2824" s="260"/>
      <c r="AB2824" s="260"/>
      <c r="AC2824" s="260"/>
      <c r="AD2824" s="260"/>
      <c r="AE2824" s="260"/>
      <c r="AF2824" s="260"/>
      <c r="AG2824" s="258"/>
    </row>
    <row r="2825" spans="13:33" ht="12" hidden="1" customHeight="1">
      <c r="M2825" s="820"/>
      <c r="N2825" s="239"/>
      <c r="O2825" s="225"/>
      <c r="P2825" s="260"/>
      <c r="Q2825" s="258"/>
      <c r="R2825" s="260"/>
      <c r="S2825" s="260"/>
      <c r="T2825" s="260"/>
      <c r="U2825" s="260"/>
      <c r="V2825" s="260"/>
      <c r="W2825" s="260"/>
      <c r="X2825" s="260"/>
      <c r="Y2825" s="260"/>
      <c r="Z2825" s="260"/>
      <c r="AA2825" s="260"/>
      <c r="AB2825" s="260"/>
      <c r="AC2825" s="260"/>
      <c r="AD2825" s="260"/>
      <c r="AE2825" s="260"/>
      <c r="AF2825" s="260"/>
      <c r="AG2825" s="258"/>
    </row>
    <row r="2826" spans="13:33" ht="12" hidden="1" customHeight="1">
      <c r="M2826" s="820"/>
      <c r="N2826" s="239"/>
      <c r="O2826" s="225"/>
      <c r="P2826" s="260"/>
      <c r="Q2826" s="258"/>
      <c r="R2826" s="260"/>
      <c r="S2826" s="260"/>
      <c r="T2826" s="260"/>
      <c r="U2826" s="260"/>
      <c r="V2826" s="260"/>
      <c r="W2826" s="260"/>
      <c r="X2826" s="260"/>
      <c r="Y2826" s="260"/>
      <c r="Z2826" s="260"/>
      <c r="AA2826" s="260"/>
      <c r="AB2826" s="260"/>
      <c r="AC2826" s="260"/>
      <c r="AD2826" s="260"/>
      <c r="AE2826" s="260"/>
      <c r="AF2826" s="260"/>
      <c r="AG2826" s="258"/>
    </row>
    <row r="2827" spans="13:33" ht="12" hidden="1" customHeight="1">
      <c r="M2827" s="820"/>
      <c r="N2827" s="239"/>
      <c r="O2827" s="225"/>
      <c r="P2827" s="260"/>
      <c r="Q2827" s="258"/>
      <c r="R2827" s="260"/>
      <c r="S2827" s="260"/>
      <c r="T2827" s="260"/>
      <c r="U2827" s="260"/>
      <c r="V2827" s="260"/>
      <c r="W2827" s="260"/>
      <c r="X2827" s="260"/>
      <c r="Y2827" s="260"/>
      <c r="Z2827" s="260"/>
      <c r="AA2827" s="260"/>
      <c r="AB2827" s="260"/>
      <c r="AC2827" s="260"/>
      <c r="AD2827" s="260"/>
      <c r="AE2827" s="260"/>
      <c r="AF2827" s="260"/>
      <c r="AG2827" s="258"/>
    </row>
    <row r="2828" spans="13:33" ht="12" hidden="1" customHeight="1">
      <c r="M2828" s="820"/>
      <c r="N2828" s="239"/>
      <c r="O2828" s="225"/>
      <c r="P2828" s="260"/>
      <c r="Q2828" s="258"/>
      <c r="R2828" s="260"/>
      <c r="S2828" s="260"/>
      <c r="T2828" s="260"/>
      <c r="U2828" s="260"/>
      <c r="V2828" s="260"/>
      <c r="W2828" s="260"/>
      <c r="X2828" s="260"/>
      <c r="Y2828" s="260"/>
      <c r="Z2828" s="260"/>
      <c r="AA2828" s="260"/>
      <c r="AB2828" s="260"/>
      <c r="AC2828" s="260"/>
      <c r="AD2828" s="260"/>
      <c r="AE2828" s="260"/>
      <c r="AF2828" s="260"/>
      <c r="AG2828" s="258"/>
    </row>
    <row r="2829" spans="13:33" ht="12" hidden="1" customHeight="1">
      <c r="M2829" s="820"/>
      <c r="N2829" s="239"/>
      <c r="O2829" s="225"/>
      <c r="P2829" s="260"/>
      <c r="Q2829" s="258"/>
      <c r="R2829" s="260"/>
      <c r="S2829" s="260"/>
      <c r="T2829" s="260"/>
      <c r="U2829" s="260"/>
      <c r="V2829" s="260"/>
      <c r="W2829" s="260"/>
      <c r="X2829" s="260"/>
      <c r="Y2829" s="260"/>
      <c r="Z2829" s="260"/>
      <c r="AA2829" s="260"/>
      <c r="AB2829" s="260"/>
      <c r="AC2829" s="260"/>
      <c r="AD2829" s="260"/>
      <c r="AE2829" s="260"/>
      <c r="AF2829" s="260"/>
      <c r="AG2829" s="258"/>
    </row>
    <row r="2830" spans="13:33" ht="12" hidden="1" customHeight="1">
      <c r="M2830" s="820"/>
      <c r="N2830" s="239"/>
      <c r="O2830" s="225"/>
      <c r="P2830" s="260"/>
      <c r="Q2830" s="258"/>
      <c r="R2830" s="260"/>
      <c r="S2830" s="260"/>
      <c r="T2830" s="260"/>
      <c r="U2830" s="260"/>
      <c r="V2830" s="260"/>
      <c r="W2830" s="260"/>
      <c r="X2830" s="260"/>
      <c r="Y2830" s="260"/>
      <c r="Z2830" s="260"/>
      <c r="AA2830" s="260"/>
      <c r="AB2830" s="260"/>
      <c r="AC2830" s="260"/>
      <c r="AD2830" s="260"/>
      <c r="AE2830" s="260"/>
      <c r="AF2830" s="260"/>
      <c r="AG2830" s="258"/>
    </row>
    <row r="2831" spans="13:33" ht="12" hidden="1" customHeight="1">
      <c r="M2831" s="820"/>
      <c r="N2831" s="239"/>
      <c r="O2831" s="225"/>
      <c r="P2831" s="260"/>
      <c r="Q2831" s="258"/>
      <c r="R2831" s="260"/>
      <c r="S2831" s="260"/>
      <c r="T2831" s="260"/>
      <c r="U2831" s="260"/>
      <c r="V2831" s="260"/>
      <c r="W2831" s="260"/>
      <c r="X2831" s="260"/>
      <c r="Y2831" s="260"/>
      <c r="Z2831" s="260"/>
      <c r="AA2831" s="260"/>
      <c r="AB2831" s="260"/>
      <c r="AC2831" s="260"/>
      <c r="AD2831" s="260"/>
      <c r="AE2831" s="260"/>
      <c r="AF2831" s="260"/>
      <c r="AG2831" s="258"/>
    </row>
    <row r="2832" spans="13:33" ht="12" hidden="1" customHeight="1">
      <c r="M2832" s="820"/>
      <c r="N2832" s="239"/>
      <c r="O2832" s="225"/>
      <c r="P2832" s="260"/>
      <c r="Q2832" s="258"/>
      <c r="R2832" s="260"/>
      <c r="S2832" s="260"/>
      <c r="T2832" s="260"/>
      <c r="U2832" s="260"/>
      <c r="V2832" s="260"/>
      <c r="W2832" s="260"/>
      <c r="X2832" s="260"/>
      <c r="Y2832" s="260"/>
      <c r="Z2832" s="260"/>
      <c r="AA2832" s="260"/>
      <c r="AB2832" s="260"/>
      <c r="AC2832" s="260"/>
      <c r="AD2832" s="260"/>
      <c r="AE2832" s="260"/>
      <c r="AF2832" s="260"/>
      <c r="AG2832" s="258"/>
    </row>
    <row r="2833" spans="13:33" ht="12" hidden="1" customHeight="1">
      <c r="M2833" s="820"/>
      <c r="N2833" s="239"/>
      <c r="O2833" s="225"/>
      <c r="P2833" s="260"/>
      <c r="Q2833" s="258"/>
      <c r="R2833" s="260"/>
      <c r="S2833" s="260"/>
      <c r="T2833" s="260"/>
      <c r="U2833" s="260"/>
      <c r="V2833" s="260"/>
      <c r="W2833" s="260"/>
      <c r="X2833" s="260"/>
      <c r="Y2833" s="260"/>
      <c r="Z2833" s="260"/>
      <c r="AA2833" s="260"/>
      <c r="AB2833" s="260"/>
      <c r="AC2833" s="260"/>
      <c r="AD2833" s="260"/>
      <c r="AE2833" s="260"/>
      <c r="AF2833" s="260"/>
      <c r="AG2833" s="258"/>
    </row>
    <row r="2834" spans="13:33" ht="12" hidden="1" customHeight="1">
      <c r="M2834" s="820"/>
      <c r="N2834" s="239"/>
      <c r="O2834" s="225"/>
      <c r="P2834" s="260"/>
      <c r="Q2834" s="258"/>
      <c r="R2834" s="260"/>
      <c r="S2834" s="260"/>
      <c r="T2834" s="260"/>
      <c r="U2834" s="260"/>
      <c r="V2834" s="260"/>
      <c r="W2834" s="260"/>
      <c r="X2834" s="260"/>
      <c r="Y2834" s="260"/>
      <c r="Z2834" s="260"/>
      <c r="AA2834" s="260"/>
      <c r="AB2834" s="260"/>
      <c r="AC2834" s="260"/>
      <c r="AD2834" s="260"/>
      <c r="AE2834" s="260"/>
      <c r="AF2834" s="260"/>
      <c r="AG2834" s="258"/>
    </row>
    <row r="2835" spans="13:33" ht="12" hidden="1" customHeight="1">
      <c r="M2835" s="820"/>
      <c r="N2835" s="239"/>
      <c r="O2835" s="225"/>
      <c r="P2835" s="260"/>
      <c r="Q2835" s="258"/>
      <c r="R2835" s="260"/>
      <c r="S2835" s="260"/>
      <c r="T2835" s="260"/>
      <c r="U2835" s="260"/>
      <c r="V2835" s="260"/>
      <c r="W2835" s="260"/>
      <c r="X2835" s="260"/>
      <c r="Y2835" s="260"/>
      <c r="Z2835" s="260"/>
      <c r="AA2835" s="260"/>
      <c r="AB2835" s="260"/>
      <c r="AC2835" s="260"/>
      <c r="AD2835" s="260"/>
      <c r="AE2835" s="260"/>
      <c r="AF2835" s="260"/>
      <c r="AG2835" s="258"/>
    </row>
    <row r="2836" spans="13:33" ht="12" hidden="1" customHeight="1">
      <c r="M2836" s="820"/>
      <c r="N2836" s="239"/>
      <c r="O2836" s="225"/>
      <c r="P2836" s="260"/>
      <c r="Q2836" s="258"/>
      <c r="R2836" s="260"/>
      <c r="S2836" s="260"/>
      <c r="T2836" s="260"/>
      <c r="U2836" s="260"/>
      <c r="V2836" s="260"/>
      <c r="W2836" s="260"/>
      <c r="X2836" s="260"/>
      <c r="Y2836" s="260"/>
      <c r="Z2836" s="260"/>
      <c r="AA2836" s="260"/>
      <c r="AB2836" s="260"/>
      <c r="AC2836" s="260"/>
      <c r="AD2836" s="260"/>
      <c r="AE2836" s="260"/>
      <c r="AF2836" s="260"/>
      <c r="AG2836" s="258"/>
    </row>
    <row r="2837" spans="13:33" ht="12" hidden="1" customHeight="1">
      <c r="M2837" s="820"/>
      <c r="N2837" s="239"/>
      <c r="O2837" s="225"/>
      <c r="P2837" s="260"/>
      <c r="Q2837" s="258"/>
      <c r="R2837" s="260"/>
      <c r="S2837" s="260"/>
      <c r="T2837" s="260"/>
      <c r="U2837" s="260"/>
      <c r="V2837" s="260"/>
      <c r="W2837" s="260"/>
      <c r="X2837" s="260"/>
      <c r="Y2837" s="260"/>
      <c r="Z2837" s="260"/>
      <c r="AA2837" s="260"/>
      <c r="AB2837" s="260"/>
      <c r="AC2837" s="260"/>
      <c r="AD2837" s="260"/>
      <c r="AE2837" s="260"/>
      <c r="AF2837" s="260"/>
      <c r="AG2837" s="258"/>
    </row>
    <row r="2838" spans="13:33" ht="12" hidden="1" customHeight="1">
      <c r="M2838" s="820"/>
      <c r="N2838" s="239"/>
      <c r="O2838" s="225"/>
      <c r="P2838" s="260"/>
      <c r="Q2838" s="258"/>
      <c r="R2838" s="260"/>
      <c r="S2838" s="260"/>
      <c r="T2838" s="260"/>
      <c r="U2838" s="260"/>
      <c r="V2838" s="260"/>
      <c r="W2838" s="260"/>
      <c r="X2838" s="260"/>
      <c r="Y2838" s="260"/>
      <c r="Z2838" s="260"/>
      <c r="AA2838" s="260"/>
      <c r="AB2838" s="260"/>
      <c r="AC2838" s="260"/>
      <c r="AD2838" s="260"/>
      <c r="AE2838" s="260"/>
      <c r="AF2838" s="260"/>
      <c r="AG2838" s="258"/>
    </row>
    <row r="2839" spans="13:33" ht="12" hidden="1" customHeight="1">
      <c r="M2839" s="820"/>
      <c r="N2839" s="239"/>
      <c r="O2839" s="225"/>
      <c r="P2839" s="260"/>
      <c r="Q2839" s="258"/>
      <c r="R2839" s="260"/>
      <c r="S2839" s="260"/>
      <c r="T2839" s="260"/>
      <c r="U2839" s="260"/>
      <c r="V2839" s="260"/>
      <c r="W2839" s="260"/>
      <c r="X2839" s="260"/>
      <c r="Y2839" s="260"/>
      <c r="Z2839" s="260"/>
      <c r="AA2839" s="260"/>
      <c r="AB2839" s="260"/>
      <c r="AC2839" s="260"/>
      <c r="AD2839" s="260"/>
      <c r="AE2839" s="260"/>
      <c r="AF2839" s="260"/>
      <c r="AG2839" s="258"/>
    </row>
    <row r="2840" spans="13:33" ht="12" hidden="1" customHeight="1">
      <c r="M2840" s="820"/>
      <c r="N2840" s="239"/>
      <c r="O2840" s="225"/>
      <c r="P2840" s="260"/>
      <c r="Q2840" s="258"/>
      <c r="R2840" s="260"/>
      <c r="S2840" s="260"/>
      <c r="T2840" s="260"/>
      <c r="U2840" s="260"/>
      <c r="V2840" s="260"/>
      <c r="W2840" s="260"/>
      <c r="X2840" s="260"/>
      <c r="Y2840" s="260"/>
      <c r="Z2840" s="260"/>
      <c r="AA2840" s="260"/>
      <c r="AB2840" s="260"/>
      <c r="AC2840" s="260"/>
      <c r="AD2840" s="260"/>
      <c r="AE2840" s="260"/>
      <c r="AF2840" s="260"/>
      <c r="AG2840" s="258"/>
    </row>
    <row r="2841" spans="13:33" ht="12" hidden="1" customHeight="1">
      <c r="M2841" s="820"/>
      <c r="N2841" s="239"/>
      <c r="O2841" s="225"/>
      <c r="P2841" s="260"/>
      <c r="Q2841" s="258"/>
      <c r="R2841" s="260"/>
      <c r="S2841" s="260"/>
      <c r="T2841" s="260"/>
      <c r="U2841" s="260"/>
      <c r="V2841" s="260"/>
      <c r="W2841" s="260"/>
      <c r="X2841" s="260"/>
      <c r="Y2841" s="260"/>
      <c r="Z2841" s="260"/>
      <c r="AA2841" s="260"/>
      <c r="AB2841" s="260"/>
      <c r="AC2841" s="260"/>
      <c r="AD2841" s="260"/>
      <c r="AE2841" s="260"/>
      <c r="AF2841" s="260"/>
      <c r="AG2841" s="258"/>
    </row>
    <row r="2842" spans="13:33" ht="12" hidden="1" customHeight="1">
      <c r="M2842" s="820"/>
      <c r="N2842" s="239"/>
      <c r="O2842" s="225"/>
      <c r="P2842" s="260"/>
      <c r="Q2842" s="258"/>
      <c r="R2842" s="260"/>
      <c r="S2842" s="260"/>
      <c r="T2842" s="260"/>
      <c r="U2842" s="260"/>
      <c r="V2842" s="260"/>
      <c r="W2842" s="260"/>
      <c r="X2842" s="260"/>
      <c r="Y2842" s="260"/>
      <c r="Z2842" s="260"/>
      <c r="AA2842" s="260"/>
      <c r="AB2842" s="260"/>
      <c r="AC2842" s="260"/>
      <c r="AD2842" s="260"/>
      <c r="AE2842" s="260"/>
      <c r="AF2842" s="260"/>
      <c r="AG2842" s="258"/>
    </row>
    <row r="2843" spans="13:33" ht="12" hidden="1" customHeight="1">
      <c r="M2843" s="820"/>
      <c r="N2843" s="239"/>
      <c r="O2843" s="225"/>
      <c r="P2843" s="260"/>
      <c r="Q2843" s="258"/>
      <c r="R2843" s="260"/>
      <c r="S2843" s="260"/>
      <c r="T2843" s="260"/>
      <c r="U2843" s="260"/>
      <c r="V2843" s="260"/>
      <c r="W2843" s="260"/>
      <c r="X2843" s="260"/>
      <c r="Y2843" s="260"/>
      <c r="Z2843" s="260"/>
      <c r="AA2843" s="260"/>
      <c r="AB2843" s="260"/>
      <c r="AC2843" s="260"/>
      <c r="AD2843" s="260"/>
      <c r="AE2843" s="260"/>
      <c r="AF2843" s="260"/>
      <c r="AG2843" s="258"/>
    </row>
    <row r="2844" spans="13:33" ht="12" hidden="1" customHeight="1">
      <c r="M2844" s="820"/>
      <c r="N2844" s="239"/>
      <c r="O2844" s="225"/>
      <c r="P2844" s="260"/>
      <c r="Q2844" s="258"/>
      <c r="R2844" s="260"/>
      <c r="S2844" s="260"/>
      <c r="T2844" s="260"/>
      <c r="U2844" s="260"/>
      <c r="V2844" s="260"/>
      <c r="W2844" s="260"/>
      <c r="X2844" s="260"/>
      <c r="Y2844" s="260"/>
      <c r="Z2844" s="260"/>
      <c r="AA2844" s="260"/>
      <c r="AB2844" s="260"/>
      <c r="AC2844" s="260"/>
      <c r="AD2844" s="260"/>
      <c r="AE2844" s="260"/>
      <c r="AF2844" s="260"/>
      <c r="AG2844" s="258"/>
    </row>
    <row r="2845" spans="13:33" ht="12" hidden="1" customHeight="1">
      <c r="M2845" s="820"/>
      <c r="N2845" s="239"/>
      <c r="O2845" s="225"/>
      <c r="P2845" s="260"/>
      <c r="Q2845" s="258"/>
      <c r="R2845" s="260"/>
      <c r="S2845" s="260"/>
      <c r="T2845" s="260"/>
      <c r="U2845" s="260"/>
      <c r="V2845" s="260"/>
      <c r="W2845" s="260"/>
      <c r="X2845" s="260"/>
      <c r="Y2845" s="260"/>
      <c r="Z2845" s="260"/>
      <c r="AA2845" s="260"/>
      <c r="AB2845" s="260"/>
      <c r="AC2845" s="260"/>
      <c r="AD2845" s="260"/>
      <c r="AE2845" s="260"/>
      <c r="AF2845" s="260"/>
      <c r="AG2845" s="258"/>
    </row>
    <row r="2846" spans="13:33" ht="12" hidden="1" customHeight="1">
      <c r="M2846" s="820"/>
      <c r="N2846" s="239"/>
      <c r="O2846" s="225"/>
      <c r="P2846" s="260"/>
      <c r="Q2846" s="258"/>
      <c r="R2846" s="260"/>
      <c r="S2846" s="260"/>
      <c r="T2846" s="260"/>
      <c r="U2846" s="260"/>
      <c r="V2846" s="260"/>
      <c r="W2846" s="260"/>
      <c r="X2846" s="260"/>
      <c r="Y2846" s="260"/>
      <c r="Z2846" s="260"/>
      <c r="AA2846" s="260"/>
      <c r="AB2846" s="260"/>
      <c r="AC2846" s="260"/>
      <c r="AD2846" s="260"/>
      <c r="AE2846" s="260"/>
      <c r="AF2846" s="260"/>
      <c r="AG2846" s="258"/>
    </row>
    <row r="2847" spans="13:33" ht="12" hidden="1" customHeight="1">
      <c r="M2847" s="820"/>
      <c r="N2847" s="239"/>
      <c r="O2847" s="225"/>
      <c r="P2847" s="260"/>
      <c r="Q2847" s="258"/>
      <c r="R2847" s="260"/>
      <c r="S2847" s="260"/>
      <c r="T2847" s="260"/>
      <c r="U2847" s="260"/>
      <c r="V2847" s="260"/>
      <c r="W2847" s="260"/>
      <c r="X2847" s="260"/>
      <c r="Y2847" s="260"/>
      <c r="Z2847" s="260"/>
      <c r="AA2847" s="260"/>
      <c r="AB2847" s="260"/>
      <c r="AC2847" s="260"/>
      <c r="AD2847" s="260"/>
      <c r="AE2847" s="260"/>
      <c r="AF2847" s="260"/>
      <c r="AG2847" s="258"/>
    </row>
    <row r="2848" spans="13:33" ht="12" hidden="1" customHeight="1">
      <c r="M2848" s="820"/>
      <c r="N2848" s="239"/>
      <c r="O2848" s="225"/>
      <c r="P2848" s="260"/>
      <c r="Q2848" s="258"/>
      <c r="R2848" s="260"/>
      <c r="S2848" s="260"/>
      <c r="T2848" s="260"/>
      <c r="U2848" s="260"/>
      <c r="V2848" s="260"/>
      <c r="W2848" s="260"/>
      <c r="X2848" s="260"/>
      <c r="Y2848" s="260"/>
      <c r="Z2848" s="260"/>
      <c r="AA2848" s="260"/>
      <c r="AB2848" s="260"/>
      <c r="AC2848" s="260"/>
      <c r="AD2848" s="260"/>
      <c r="AE2848" s="260"/>
      <c r="AF2848" s="260"/>
      <c r="AG2848" s="258"/>
    </row>
    <row r="2849" spans="13:33" ht="12" hidden="1" customHeight="1">
      <c r="M2849" s="820"/>
      <c r="N2849" s="239"/>
      <c r="O2849" s="225"/>
      <c r="P2849" s="260"/>
      <c r="Q2849" s="258"/>
      <c r="R2849" s="260"/>
      <c r="S2849" s="260"/>
      <c r="T2849" s="260"/>
      <c r="U2849" s="260"/>
      <c r="V2849" s="260"/>
      <c r="W2849" s="260"/>
      <c r="X2849" s="260"/>
      <c r="Y2849" s="260"/>
      <c r="Z2849" s="260"/>
      <c r="AA2849" s="260"/>
      <c r="AB2849" s="260"/>
      <c r="AC2849" s="260"/>
      <c r="AD2849" s="260"/>
      <c r="AE2849" s="260"/>
      <c r="AF2849" s="260"/>
      <c r="AG2849" s="258"/>
    </row>
    <row r="2850" spans="13:33" ht="12" hidden="1" customHeight="1">
      <c r="M2850" s="820"/>
      <c r="N2850" s="239"/>
      <c r="O2850" s="225"/>
      <c r="P2850" s="260"/>
      <c r="Q2850" s="258"/>
      <c r="R2850" s="260"/>
      <c r="S2850" s="260"/>
      <c r="T2850" s="260"/>
      <c r="U2850" s="260"/>
      <c r="V2850" s="260"/>
      <c r="W2850" s="260"/>
      <c r="X2850" s="260"/>
      <c r="Y2850" s="260"/>
      <c r="Z2850" s="260"/>
      <c r="AA2850" s="260"/>
      <c r="AB2850" s="260"/>
      <c r="AC2850" s="260"/>
      <c r="AD2850" s="260"/>
      <c r="AE2850" s="260"/>
      <c r="AF2850" s="260"/>
      <c r="AG2850" s="258"/>
    </row>
    <row r="2851" spans="13:33" ht="12" hidden="1" customHeight="1">
      <c r="M2851" s="820"/>
      <c r="N2851" s="239"/>
      <c r="O2851" s="225"/>
      <c r="P2851" s="260"/>
      <c r="Q2851" s="258"/>
      <c r="R2851" s="260"/>
      <c r="S2851" s="260"/>
      <c r="T2851" s="260"/>
      <c r="U2851" s="260"/>
      <c r="V2851" s="260"/>
      <c r="W2851" s="260"/>
      <c r="X2851" s="260"/>
      <c r="Y2851" s="260"/>
      <c r="Z2851" s="260"/>
      <c r="AA2851" s="260"/>
      <c r="AB2851" s="260"/>
      <c r="AC2851" s="260"/>
      <c r="AD2851" s="260"/>
      <c r="AE2851" s="260"/>
      <c r="AF2851" s="260"/>
      <c r="AG2851" s="258"/>
    </row>
    <row r="2852" spans="13:33" ht="12" hidden="1" customHeight="1">
      <c r="M2852" s="820"/>
      <c r="N2852" s="239"/>
      <c r="O2852" s="225"/>
      <c r="P2852" s="260"/>
      <c r="Q2852" s="258"/>
      <c r="R2852" s="260"/>
      <c r="S2852" s="260"/>
      <c r="T2852" s="260"/>
      <c r="U2852" s="260"/>
      <c r="V2852" s="260"/>
      <c r="W2852" s="260"/>
      <c r="X2852" s="260"/>
      <c r="Y2852" s="260"/>
      <c r="Z2852" s="260"/>
      <c r="AA2852" s="260"/>
      <c r="AB2852" s="260"/>
      <c r="AC2852" s="260"/>
      <c r="AD2852" s="260"/>
      <c r="AE2852" s="260"/>
      <c r="AF2852" s="260"/>
      <c r="AG2852" s="258"/>
    </row>
    <row r="2853" spans="13:33" ht="12" hidden="1" customHeight="1">
      <c r="M2853" s="820"/>
      <c r="N2853" s="239"/>
      <c r="O2853" s="225"/>
      <c r="P2853" s="260"/>
      <c r="Q2853" s="258"/>
      <c r="R2853" s="260"/>
      <c r="S2853" s="260"/>
      <c r="T2853" s="260"/>
      <c r="U2853" s="260"/>
      <c r="V2853" s="260"/>
      <c r="W2853" s="260"/>
      <c r="X2853" s="260"/>
      <c r="Y2853" s="260"/>
      <c r="Z2853" s="260"/>
      <c r="AA2853" s="260"/>
      <c r="AB2853" s="260"/>
      <c r="AC2853" s="260"/>
      <c r="AD2853" s="260"/>
      <c r="AE2853" s="260"/>
      <c r="AF2853" s="260"/>
      <c r="AG2853" s="258"/>
    </row>
    <row r="2854" spans="13:33" ht="12" hidden="1" customHeight="1">
      <c r="M2854" s="820"/>
      <c r="N2854" s="239"/>
      <c r="O2854" s="225"/>
      <c r="P2854" s="260"/>
      <c r="Q2854" s="258"/>
      <c r="R2854" s="260"/>
      <c r="S2854" s="260"/>
      <c r="T2854" s="260"/>
      <c r="U2854" s="260"/>
      <c r="V2854" s="260"/>
      <c r="W2854" s="260"/>
      <c r="X2854" s="260"/>
      <c r="Y2854" s="260"/>
      <c r="Z2854" s="260"/>
      <c r="AA2854" s="260"/>
      <c r="AB2854" s="260"/>
      <c r="AC2854" s="260"/>
      <c r="AD2854" s="260"/>
      <c r="AE2854" s="260"/>
      <c r="AF2854" s="260"/>
      <c r="AG2854" s="258"/>
    </row>
    <row r="2855" spans="13:33" ht="12" hidden="1" customHeight="1">
      <c r="M2855" s="820"/>
      <c r="N2855" s="239"/>
      <c r="O2855" s="225"/>
      <c r="P2855" s="260"/>
      <c r="Q2855" s="258"/>
      <c r="R2855" s="260"/>
      <c r="S2855" s="260"/>
      <c r="T2855" s="260"/>
      <c r="U2855" s="260"/>
      <c r="V2855" s="260"/>
      <c r="W2855" s="260"/>
      <c r="X2855" s="260"/>
      <c r="Y2855" s="260"/>
      <c r="Z2855" s="260"/>
      <c r="AA2855" s="260"/>
      <c r="AB2855" s="260"/>
      <c r="AC2855" s="260"/>
      <c r="AD2855" s="260"/>
      <c r="AE2855" s="260"/>
      <c r="AF2855" s="260"/>
      <c r="AG2855" s="258"/>
    </row>
    <row r="2856" spans="13:33" ht="12" hidden="1" customHeight="1">
      <c r="M2856" s="820"/>
      <c r="N2856" s="239"/>
      <c r="O2856" s="225"/>
      <c r="P2856" s="260"/>
      <c r="Q2856" s="258"/>
      <c r="R2856" s="260"/>
      <c r="S2856" s="260"/>
      <c r="T2856" s="260"/>
      <c r="U2856" s="260"/>
      <c r="V2856" s="260"/>
      <c r="W2856" s="260"/>
      <c r="X2856" s="260"/>
      <c r="Y2856" s="260"/>
      <c r="Z2856" s="260"/>
      <c r="AA2856" s="260"/>
      <c r="AB2856" s="260"/>
      <c r="AC2856" s="260"/>
      <c r="AD2856" s="260"/>
      <c r="AE2856" s="260"/>
      <c r="AF2856" s="260"/>
      <c r="AG2856" s="258"/>
    </row>
    <row r="2857" spans="13:33" ht="12" hidden="1" customHeight="1">
      <c r="M2857" s="820"/>
      <c r="N2857" s="239"/>
      <c r="O2857" s="225"/>
      <c r="P2857" s="260"/>
      <c r="Q2857" s="258"/>
      <c r="R2857" s="260"/>
      <c r="S2857" s="260"/>
      <c r="T2857" s="260"/>
      <c r="U2857" s="260"/>
      <c r="V2857" s="260"/>
      <c r="W2857" s="260"/>
      <c r="X2857" s="260"/>
      <c r="Y2857" s="260"/>
      <c r="Z2857" s="260"/>
      <c r="AA2857" s="260"/>
      <c r="AB2857" s="260"/>
      <c r="AC2857" s="260"/>
      <c r="AD2857" s="260"/>
      <c r="AE2857" s="260"/>
      <c r="AF2857" s="260"/>
      <c r="AG2857" s="258"/>
    </row>
    <row r="2858" spans="13:33" ht="12" hidden="1" customHeight="1">
      <c r="M2858" s="820"/>
      <c r="N2858" s="239"/>
      <c r="O2858" s="225"/>
      <c r="P2858" s="260"/>
      <c r="Q2858" s="258"/>
      <c r="R2858" s="260"/>
      <c r="S2858" s="260"/>
      <c r="T2858" s="260"/>
      <c r="U2858" s="260"/>
      <c r="V2858" s="260"/>
      <c r="W2858" s="260"/>
      <c r="X2858" s="260"/>
      <c r="Y2858" s="260"/>
      <c r="Z2858" s="260"/>
      <c r="AA2858" s="260"/>
      <c r="AB2858" s="260"/>
      <c r="AC2858" s="260"/>
      <c r="AD2858" s="260"/>
      <c r="AE2858" s="260"/>
      <c r="AF2858" s="260"/>
      <c r="AG2858" s="258"/>
    </row>
    <row r="2859" spans="13:33" ht="12" hidden="1" customHeight="1">
      <c r="M2859" s="820"/>
      <c r="N2859" s="239"/>
      <c r="O2859" s="225"/>
      <c r="P2859" s="260"/>
      <c r="Q2859" s="258"/>
      <c r="R2859" s="260"/>
      <c r="S2859" s="260"/>
      <c r="T2859" s="260"/>
      <c r="U2859" s="260"/>
      <c r="V2859" s="260"/>
      <c r="W2859" s="260"/>
      <c r="X2859" s="260"/>
      <c r="Y2859" s="260"/>
      <c r="Z2859" s="260"/>
      <c r="AA2859" s="260"/>
      <c r="AB2859" s="260"/>
      <c r="AC2859" s="260"/>
      <c r="AD2859" s="260"/>
      <c r="AE2859" s="260"/>
      <c r="AF2859" s="260"/>
      <c r="AG2859" s="258"/>
    </row>
    <row r="2860" spans="13:33" ht="12" hidden="1" customHeight="1">
      <c r="M2860" s="820"/>
      <c r="N2860" s="239"/>
      <c r="O2860" s="225"/>
      <c r="P2860" s="260"/>
      <c r="Q2860" s="258"/>
      <c r="R2860" s="260"/>
      <c r="S2860" s="260"/>
      <c r="T2860" s="260"/>
      <c r="U2860" s="260"/>
      <c r="V2860" s="260"/>
      <c r="W2860" s="260"/>
      <c r="X2860" s="260"/>
      <c r="Y2860" s="260"/>
      <c r="Z2860" s="260"/>
      <c r="AA2860" s="260"/>
      <c r="AB2860" s="260"/>
      <c r="AC2860" s="260"/>
      <c r="AD2860" s="260"/>
      <c r="AE2860" s="260"/>
      <c r="AF2860" s="260"/>
      <c r="AG2860" s="258"/>
    </row>
    <row r="2861" spans="13:33" ht="12" hidden="1" customHeight="1">
      <c r="M2861" s="820"/>
      <c r="N2861" s="239"/>
      <c r="O2861" s="225"/>
      <c r="P2861" s="260"/>
      <c r="Q2861" s="258"/>
      <c r="R2861" s="260"/>
      <c r="S2861" s="260"/>
      <c r="T2861" s="260"/>
      <c r="U2861" s="260"/>
      <c r="V2861" s="260"/>
      <c r="W2861" s="260"/>
      <c r="X2861" s="260"/>
      <c r="Y2861" s="260"/>
      <c r="Z2861" s="260"/>
      <c r="AA2861" s="260"/>
      <c r="AB2861" s="260"/>
      <c r="AC2861" s="260"/>
      <c r="AD2861" s="260"/>
      <c r="AE2861" s="260"/>
      <c r="AF2861" s="260"/>
      <c r="AG2861" s="258"/>
    </row>
    <row r="2862" spans="13:33" ht="12" hidden="1" customHeight="1">
      <c r="M2862" s="820"/>
      <c r="N2862" s="239"/>
      <c r="O2862" s="225"/>
      <c r="P2862" s="260"/>
      <c r="Q2862" s="258"/>
      <c r="R2862" s="260"/>
      <c r="S2862" s="260"/>
      <c r="T2862" s="260"/>
      <c r="U2862" s="260"/>
      <c r="V2862" s="260"/>
      <c r="W2862" s="260"/>
      <c r="X2862" s="260"/>
      <c r="Y2862" s="260"/>
      <c r="Z2862" s="260"/>
      <c r="AA2862" s="260"/>
      <c r="AB2862" s="260"/>
      <c r="AC2862" s="260"/>
      <c r="AD2862" s="260"/>
      <c r="AE2862" s="260"/>
      <c r="AF2862" s="260"/>
      <c r="AG2862" s="258"/>
    </row>
    <row r="2863" spans="13:33" ht="12" hidden="1" customHeight="1">
      <c r="M2863" s="820"/>
      <c r="N2863" s="239"/>
      <c r="O2863" s="225"/>
      <c r="P2863" s="260"/>
      <c r="Q2863" s="258"/>
      <c r="R2863" s="260"/>
      <c r="S2863" s="260"/>
      <c r="T2863" s="260"/>
      <c r="U2863" s="260"/>
      <c r="V2863" s="260"/>
      <c r="W2863" s="260"/>
      <c r="X2863" s="260"/>
      <c r="Y2863" s="260"/>
      <c r="Z2863" s="260"/>
      <c r="AA2863" s="260"/>
      <c r="AB2863" s="260"/>
      <c r="AC2863" s="260"/>
      <c r="AD2863" s="260"/>
      <c r="AE2863" s="260"/>
      <c r="AF2863" s="260"/>
      <c r="AG2863" s="258"/>
    </row>
    <row r="2864" spans="13:33" ht="12" hidden="1" customHeight="1">
      <c r="M2864" s="820"/>
      <c r="N2864" s="239"/>
      <c r="O2864" s="225"/>
      <c r="P2864" s="260"/>
      <c r="Q2864" s="258"/>
      <c r="R2864" s="260"/>
      <c r="S2864" s="260"/>
      <c r="T2864" s="260"/>
      <c r="U2864" s="260"/>
      <c r="V2864" s="260"/>
      <c r="W2864" s="260"/>
      <c r="X2864" s="260"/>
      <c r="Y2864" s="260"/>
      <c r="Z2864" s="260"/>
      <c r="AA2864" s="260"/>
      <c r="AB2864" s="260"/>
      <c r="AC2864" s="260"/>
      <c r="AD2864" s="260"/>
      <c r="AE2864" s="260"/>
      <c r="AF2864" s="260"/>
      <c r="AG2864" s="258"/>
    </row>
    <row r="2865" spans="13:33" ht="12" hidden="1" customHeight="1">
      <c r="M2865" s="820"/>
      <c r="N2865" s="239"/>
      <c r="O2865" s="225"/>
      <c r="P2865" s="260"/>
      <c r="Q2865" s="258"/>
      <c r="R2865" s="260"/>
      <c r="S2865" s="260"/>
      <c r="T2865" s="260"/>
      <c r="U2865" s="260"/>
      <c r="V2865" s="260"/>
      <c r="W2865" s="260"/>
      <c r="X2865" s="260"/>
      <c r="Y2865" s="260"/>
      <c r="Z2865" s="260"/>
      <c r="AA2865" s="260"/>
      <c r="AB2865" s="260"/>
      <c r="AC2865" s="260"/>
      <c r="AD2865" s="260"/>
      <c r="AE2865" s="260"/>
      <c r="AF2865" s="260"/>
      <c r="AG2865" s="258"/>
    </row>
    <row r="2866" spans="13:33" ht="12" hidden="1" customHeight="1">
      <c r="M2866" s="820"/>
      <c r="N2866" s="239"/>
      <c r="O2866" s="225"/>
      <c r="P2866" s="260"/>
      <c r="Q2866" s="258"/>
      <c r="R2866" s="260"/>
      <c r="S2866" s="260"/>
      <c r="T2866" s="260"/>
      <c r="U2866" s="260"/>
      <c r="V2866" s="260"/>
      <c r="W2866" s="260"/>
      <c r="X2866" s="260"/>
      <c r="Y2866" s="260"/>
      <c r="Z2866" s="260"/>
      <c r="AA2866" s="260"/>
      <c r="AB2866" s="260"/>
      <c r="AC2866" s="260"/>
      <c r="AD2866" s="260"/>
      <c r="AE2866" s="260"/>
      <c r="AF2866" s="260"/>
      <c r="AG2866" s="258"/>
    </row>
    <row r="2867" spans="13:33" ht="12" hidden="1" customHeight="1">
      <c r="M2867" s="820"/>
      <c r="N2867" s="239"/>
      <c r="O2867" s="225"/>
      <c r="P2867" s="260"/>
      <c r="Q2867" s="258"/>
      <c r="R2867" s="260"/>
      <c r="S2867" s="260"/>
      <c r="T2867" s="260"/>
      <c r="U2867" s="260"/>
      <c r="V2867" s="260"/>
      <c r="W2867" s="260"/>
      <c r="X2867" s="260"/>
      <c r="Y2867" s="260"/>
      <c r="Z2867" s="260"/>
      <c r="AA2867" s="260"/>
      <c r="AB2867" s="260"/>
      <c r="AC2867" s="260"/>
      <c r="AD2867" s="260"/>
      <c r="AE2867" s="260"/>
      <c r="AF2867" s="260"/>
      <c r="AG2867" s="258"/>
    </row>
    <row r="2868" spans="13:33" ht="12" hidden="1" customHeight="1">
      <c r="M2868" s="820"/>
      <c r="N2868" s="239"/>
      <c r="O2868" s="225"/>
      <c r="P2868" s="260"/>
      <c r="Q2868" s="258"/>
      <c r="R2868" s="260"/>
      <c r="S2868" s="260"/>
      <c r="T2868" s="260"/>
      <c r="U2868" s="260"/>
      <c r="V2868" s="260"/>
      <c r="W2868" s="260"/>
      <c r="X2868" s="260"/>
      <c r="Y2868" s="260"/>
      <c r="Z2868" s="260"/>
      <c r="AA2868" s="260"/>
      <c r="AB2868" s="260"/>
      <c r="AC2868" s="260"/>
      <c r="AD2868" s="260"/>
      <c r="AE2868" s="260"/>
      <c r="AF2868" s="260"/>
      <c r="AG2868" s="258"/>
    </row>
    <row r="2869" spans="13:33" ht="12" hidden="1" customHeight="1">
      <c r="M2869" s="820"/>
      <c r="N2869" s="239"/>
      <c r="O2869" s="225"/>
      <c r="P2869" s="260"/>
      <c r="Q2869" s="258"/>
      <c r="R2869" s="260"/>
      <c r="S2869" s="260"/>
      <c r="T2869" s="260"/>
      <c r="U2869" s="260"/>
      <c r="V2869" s="260"/>
      <c r="W2869" s="260"/>
      <c r="X2869" s="260"/>
      <c r="Y2869" s="260"/>
      <c r="Z2869" s="260"/>
      <c r="AA2869" s="260"/>
      <c r="AB2869" s="260"/>
      <c r="AC2869" s="260"/>
      <c r="AD2869" s="260"/>
      <c r="AE2869" s="260"/>
      <c r="AF2869" s="260"/>
      <c r="AG2869" s="258"/>
    </row>
    <row r="2870" spans="13:33" ht="12" hidden="1" customHeight="1">
      <c r="M2870" s="820"/>
      <c r="N2870" s="239"/>
      <c r="O2870" s="225"/>
      <c r="P2870" s="260"/>
      <c r="Q2870" s="258"/>
      <c r="R2870" s="260"/>
      <c r="S2870" s="260"/>
      <c r="T2870" s="260"/>
      <c r="U2870" s="260"/>
      <c r="V2870" s="260"/>
      <c r="W2870" s="260"/>
      <c r="X2870" s="260"/>
      <c r="Y2870" s="260"/>
      <c r="Z2870" s="260"/>
      <c r="AA2870" s="260"/>
      <c r="AB2870" s="260"/>
      <c r="AC2870" s="260"/>
      <c r="AD2870" s="260"/>
      <c r="AE2870" s="260"/>
      <c r="AF2870" s="260"/>
      <c r="AG2870" s="258"/>
    </row>
    <row r="2871" spans="13:33" ht="12" hidden="1" customHeight="1">
      <c r="M2871" s="820"/>
      <c r="N2871" s="239"/>
      <c r="O2871" s="225"/>
      <c r="P2871" s="260"/>
      <c r="Q2871" s="258"/>
      <c r="R2871" s="260"/>
      <c r="S2871" s="260"/>
      <c r="T2871" s="260"/>
      <c r="U2871" s="260"/>
      <c r="V2871" s="260"/>
      <c r="W2871" s="260"/>
      <c r="X2871" s="260"/>
      <c r="Y2871" s="260"/>
      <c r="Z2871" s="260"/>
      <c r="AA2871" s="260"/>
      <c r="AB2871" s="260"/>
      <c r="AC2871" s="260"/>
      <c r="AD2871" s="260"/>
      <c r="AE2871" s="260"/>
      <c r="AF2871" s="260"/>
      <c r="AG2871" s="258"/>
    </row>
    <row r="2872" spans="13:33" ht="12" hidden="1" customHeight="1">
      <c r="M2872" s="820"/>
      <c r="N2872" s="239"/>
      <c r="O2872" s="225"/>
      <c r="P2872" s="260"/>
      <c r="Q2872" s="258"/>
      <c r="R2872" s="260"/>
      <c r="S2872" s="260"/>
      <c r="T2872" s="260"/>
      <c r="U2872" s="260"/>
      <c r="V2872" s="260"/>
      <c r="W2872" s="260"/>
      <c r="X2872" s="260"/>
      <c r="Y2872" s="260"/>
      <c r="Z2872" s="260"/>
      <c r="AA2872" s="260"/>
      <c r="AB2872" s="260"/>
      <c r="AC2872" s="260"/>
      <c r="AD2872" s="260"/>
      <c r="AE2872" s="260"/>
      <c r="AF2872" s="260"/>
      <c r="AG2872" s="258"/>
    </row>
    <row r="2873" spans="13:33" ht="12" hidden="1" customHeight="1">
      <c r="M2873" s="820"/>
      <c r="N2873" s="239"/>
      <c r="O2873" s="225"/>
      <c r="P2873" s="260"/>
      <c r="Q2873" s="258"/>
      <c r="R2873" s="260"/>
      <c r="S2873" s="260"/>
      <c r="T2873" s="260"/>
      <c r="U2873" s="260"/>
      <c r="V2873" s="260"/>
      <c r="W2873" s="260"/>
      <c r="X2873" s="260"/>
      <c r="Y2873" s="260"/>
      <c r="Z2873" s="260"/>
      <c r="AA2873" s="260"/>
      <c r="AB2873" s="260"/>
      <c r="AC2873" s="260"/>
      <c r="AD2873" s="260"/>
      <c r="AE2873" s="260"/>
      <c r="AF2873" s="260"/>
      <c r="AG2873" s="258"/>
    </row>
    <row r="2874" spans="13:33" ht="12" hidden="1" customHeight="1">
      <c r="M2874" s="820"/>
      <c r="N2874" s="239"/>
      <c r="O2874" s="225"/>
      <c r="P2874" s="260"/>
      <c r="Q2874" s="258"/>
      <c r="R2874" s="260"/>
      <c r="S2874" s="260"/>
      <c r="T2874" s="260"/>
      <c r="U2874" s="260"/>
      <c r="V2874" s="260"/>
      <c r="W2874" s="260"/>
      <c r="X2874" s="260"/>
      <c r="Y2874" s="260"/>
      <c r="Z2874" s="260"/>
      <c r="AA2874" s="260"/>
      <c r="AB2874" s="260"/>
      <c r="AC2874" s="260"/>
      <c r="AD2874" s="260"/>
      <c r="AE2874" s="260"/>
      <c r="AF2874" s="260"/>
      <c r="AG2874" s="258"/>
    </row>
    <row r="2875" spans="13:33" ht="12" hidden="1" customHeight="1">
      <c r="M2875" s="820"/>
      <c r="N2875" s="239"/>
      <c r="O2875" s="225"/>
      <c r="P2875" s="260"/>
      <c r="Q2875" s="258"/>
      <c r="R2875" s="260"/>
      <c r="S2875" s="260"/>
      <c r="T2875" s="260"/>
      <c r="U2875" s="260"/>
      <c r="V2875" s="260"/>
      <c r="W2875" s="260"/>
      <c r="X2875" s="260"/>
      <c r="Y2875" s="260"/>
      <c r="Z2875" s="260"/>
      <c r="AA2875" s="260"/>
      <c r="AB2875" s="260"/>
      <c r="AC2875" s="260"/>
      <c r="AD2875" s="260"/>
      <c r="AE2875" s="260"/>
      <c r="AF2875" s="260"/>
      <c r="AG2875" s="258"/>
    </row>
    <row r="2876" spans="13:33" ht="12" hidden="1" customHeight="1">
      <c r="M2876" s="820"/>
      <c r="N2876" s="239"/>
      <c r="O2876" s="225"/>
      <c r="P2876" s="260"/>
      <c r="Q2876" s="258"/>
      <c r="R2876" s="260"/>
      <c r="S2876" s="260"/>
      <c r="T2876" s="260"/>
      <c r="U2876" s="260"/>
      <c r="V2876" s="260"/>
      <c r="W2876" s="260"/>
      <c r="X2876" s="260"/>
      <c r="Y2876" s="260"/>
      <c r="Z2876" s="260"/>
      <c r="AA2876" s="260"/>
      <c r="AB2876" s="260"/>
      <c r="AC2876" s="260"/>
      <c r="AD2876" s="260"/>
      <c r="AE2876" s="260"/>
      <c r="AF2876" s="260"/>
      <c r="AG2876" s="258"/>
    </row>
    <row r="2877" spans="13:33" ht="12" hidden="1" customHeight="1">
      <c r="M2877" s="820"/>
      <c r="N2877" s="239"/>
      <c r="O2877" s="225"/>
      <c r="P2877" s="260"/>
      <c r="Q2877" s="258"/>
      <c r="R2877" s="260"/>
      <c r="S2877" s="260"/>
      <c r="T2877" s="260"/>
      <c r="U2877" s="260"/>
      <c r="V2877" s="260"/>
      <c r="W2877" s="260"/>
      <c r="X2877" s="260"/>
      <c r="Y2877" s="260"/>
      <c r="Z2877" s="260"/>
      <c r="AA2877" s="260"/>
      <c r="AB2877" s="260"/>
      <c r="AC2877" s="260"/>
      <c r="AD2877" s="260"/>
      <c r="AE2877" s="260"/>
      <c r="AF2877" s="260"/>
      <c r="AG2877" s="258"/>
    </row>
    <row r="2878" spans="13:33" ht="12" hidden="1" customHeight="1">
      <c r="M2878" s="820"/>
      <c r="N2878" s="239"/>
      <c r="O2878" s="225"/>
      <c r="P2878" s="260"/>
      <c r="Q2878" s="258"/>
      <c r="R2878" s="260"/>
      <c r="S2878" s="260"/>
      <c r="T2878" s="260"/>
      <c r="U2878" s="260"/>
      <c r="V2878" s="260"/>
      <c r="W2878" s="260"/>
      <c r="X2878" s="260"/>
      <c r="Y2878" s="260"/>
      <c r="Z2878" s="260"/>
      <c r="AA2878" s="260"/>
      <c r="AB2878" s="260"/>
      <c r="AC2878" s="260"/>
      <c r="AD2878" s="260"/>
      <c r="AE2878" s="260"/>
      <c r="AF2878" s="260"/>
      <c r="AG2878" s="258"/>
    </row>
    <row r="2879" spans="13:33" ht="12" hidden="1" customHeight="1">
      <c r="M2879" s="820"/>
      <c r="N2879" s="239"/>
      <c r="O2879" s="225"/>
      <c r="P2879" s="260"/>
      <c r="Q2879" s="258"/>
      <c r="R2879" s="260"/>
      <c r="S2879" s="260"/>
      <c r="T2879" s="260"/>
      <c r="U2879" s="260"/>
      <c r="V2879" s="260"/>
      <c r="W2879" s="260"/>
      <c r="X2879" s="260"/>
      <c r="Y2879" s="260"/>
      <c r="Z2879" s="260"/>
      <c r="AA2879" s="260"/>
      <c r="AB2879" s="260"/>
      <c r="AC2879" s="260"/>
      <c r="AD2879" s="260"/>
      <c r="AE2879" s="260"/>
      <c r="AF2879" s="260"/>
      <c r="AG2879" s="258"/>
    </row>
    <row r="2880" spans="13:33" ht="12" hidden="1" customHeight="1">
      <c r="M2880" s="820"/>
      <c r="N2880" s="239"/>
      <c r="O2880" s="225"/>
      <c r="P2880" s="260"/>
      <c r="Q2880" s="258"/>
      <c r="R2880" s="260"/>
      <c r="S2880" s="260"/>
      <c r="T2880" s="260"/>
      <c r="U2880" s="260"/>
      <c r="V2880" s="260"/>
      <c r="W2880" s="260"/>
      <c r="X2880" s="260"/>
      <c r="Y2880" s="260"/>
      <c r="Z2880" s="260"/>
      <c r="AA2880" s="260"/>
      <c r="AB2880" s="260"/>
      <c r="AC2880" s="260"/>
      <c r="AD2880" s="260"/>
      <c r="AE2880" s="260"/>
      <c r="AF2880" s="260"/>
      <c r="AG2880" s="258"/>
    </row>
    <row r="2881" spans="13:33" ht="12" hidden="1" customHeight="1">
      <c r="M2881" s="820"/>
      <c r="N2881" s="239"/>
      <c r="O2881" s="225"/>
      <c r="P2881" s="260"/>
      <c r="Q2881" s="258"/>
      <c r="R2881" s="260"/>
      <c r="S2881" s="260"/>
      <c r="T2881" s="260"/>
      <c r="U2881" s="260"/>
      <c r="V2881" s="260"/>
      <c r="W2881" s="260"/>
      <c r="X2881" s="260"/>
      <c r="Y2881" s="260"/>
      <c r="Z2881" s="260"/>
      <c r="AA2881" s="260"/>
      <c r="AB2881" s="260"/>
      <c r="AC2881" s="260"/>
      <c r="AD2881" s="260"/>
      <c r="AE2881" s="260"/>
      <c r="AF2881" s="260"/>
      <c r="AG2881" s="258"/>
    </row>
    <row r="2882" spans="13:33" ht="12" hidden="1" customHeight="1">
      <c r="M2882" s="820"/>
      <c r="N2882" s="239"/>
      <c r="O2882" s="225"/>
      <c r="P2882" s="260"/>
      <c r="Q2882" s="258"/>
      <c r="R2882" s="260"/>
      <c r="S2882" s="260"/>
      <c r="T2882" s="260"/>
      <c r="U2882" s="260"/>
      <c r="V2882" s="260"/>
      <c r="W2882" s="260"/>
      <c r="X2882" s="260"/>
      <c r="Y2882" s="260"/>
      <c r="Z2882" s="260"/>
      <c r="AA2882" s="260"/>
      <c r="AB2882" s="260"/>
      <c r="AC2882" s="260"/>
      <c r="AD2882" s="260"/>
      <c r="AE2882" s="260"/>
      <c r="AF2882" s="260"/>
      <c r="AG2882" s="258"/>
    </row>
    <row r="2883" spans="13:33" ht="12" hidden="1" customHeight="1">
      <c r="M2883" s="820"/>
      <c r="N2883" s="239"/>
      <c r="O2883" s="225"/>
      <c r="P2883" s="260"/>
      <c r="Q2883" s="258"/>
      <c r="R2883" s="260"/>
      <c r="S2883" s="260"/>
      <c r="T2883" s="260"/>
      <c r="U2883" s="260"/>
      <c r="V2883" s="260"/>
      <c r="W2883" s="260"/>
      <c r="X2883" s="260"/>
      <c r="Y2883" s="260"/>
      <c r="Z2883" s="260"/>
      <c r="AA2883" s="260"/>
      <c r="AB2883" s="260"/>
      <c r="AC2883" s="260"/>
      <c r="AD2883" s="260"/>
      <c r="AE2883" s="260"/>
      <c r="AF2883" s="260"/>
      <c r="AG2883" s="258"/>
    </row>
    <row r="2884" spans="13:33" ht="12" hidden="1" customHeight="1">
      <c r="M2884" s="820"/>
      <c r="N2884" s="239"/>
      <c r="O2884" s="225"/>
      <c r="P2884" s="260"/>
      <c r="Q2884" s="258"/>
      <c r="R2884" s="260"/>
      <c r="S2884" s="260"/>
      <c r="T2884" s="260"/>
      <c r="U2884" s="260"/>
      <c r="V2884" s="260"/>
      <c r="W2884" s="260"/>
      <c r="X2884" s="260"/>
      <c r="Y2884" s="260"/>
      <c r="Z2884" s="260"/>
      <c r="AA2884" s="260"/>
      <c r="AB2884" s="260"/>
      <c r="AC2884" s="260"/>
      <c r="AD2884" s="260"/>
      <c r="AE2884" s="260"/>
      <c r="AF2884" s="260"/>
      <c r="AG2884" s="258"/>
    </row>
    <row r="2885" spans="13:33" ht="12" hidden="1" customHeight="1">
      <c r="M2885" s="820"/>
      <c r="N2885" s="239"/>
      <c r="O2885" s="225"/>
      <c r="P2885" s="260"/>
      <c r="Q2885" s="258"/>
      <c r="R2885" s="260"/>
      <c r="S2885" s="260"/>
      <c r="T2885" s="260"/>
      <c r="U2885" s="260"/>
      <c r="V2885" s="260"/>
      <c r="W2885" s="260"/>
      <c r="X2885" s="260"/>
      <c r="Y2885" s="260"/>
      <c r="Z2885" s="260"/>
      <c r="AA2885" s="260"/>
      <c r="AB2885" s="260"/>
      <c r="AC2885" s="260"/>
      <c r="AD2885" s="260"/>
      <c r="AE2885" s="260"/>
      <c r="AF2885" s="260"/>
      <c r="AG2885" s="258"/>
    </row>
    <row r="2886" spans="13:33" ht="12" hidden="1" customHeight="1">
      <c r="M2886" s="820"/>
      <c r="N2886" s="239"/>
      <c r="O2886" s="225"/>
      <c r="P2886" s="260"/>
      <c r="Q2886" s="258"/>
      <c r="R2886" s="260"/>
      <c r="S2886" s="260"/>
      <c r="T2886" s="260"/>
      <c r="U2886" s="260"/>
      <c r="V2886" s="260"/>
      <c r="W2886" s="260"/>
      <c r="X2886" s="260"/>
      <c r="Y2886" s="260"/>
      <c r="Z2886" s="260"/>
      <c r="AA2886" s="260"/>
      <c r="AB2886" s="260"/>
      <c r="AC2886" s="260"/>
      <c r="AD2886" s="260"/>
      <c r="AE2886" s="260"/>
      <c r="AF2886" s="260"/>
      <c r="AG2886" s="258"/>
    </row>
    <row r="2887" spans="13:33" ht="12" hidden="1" customHeight="1">
      <c r="M2887" s="820"/>
      <c r="N2887" s="239"/>
      <c r="O2887" s="225"/>
      <c r="P2887" s="260"/>
      <c r="Q2887" s="258"/>
      <c r="R2887" s="260"/>
      <c r="S2887" s="260"/>
      <c r="T2887" s="260"/>
      <c r="U2887" s="260"/>
      <c r="V2887" s="260"/>
      <c r="W2887" s="260"/>
      <c r="X2887" s="260"/>
      <c r="Y2887" s="260"/>
      <c r="Z2887" s="260"/>
      <c r="AA2887" s="260"/>
      <c r="AB2887" s="260"/>
      <c r="AC2887" s="260"/>
      <c r="AD2887" s="260"/>
      <c r="AE2887" s="260"/>
      <c r="AF2887" s="260"/>
      <c r="AG2887" s="258"/>
    </row>
    <row r="2888" spans="13:33" ht="12" hidden="1" customHeight="1">
      <c r="M2888" s="820"/>
      <c r="N2888" s="239"/>
      <c r="O2888" s="225"/>
      <c r="P2888" s="260"/>
      <c r="Q2888" s="258"/>
      <c r="R2888" s="260"/>
      <c r="S2888" s="260"/>
      <c r="T2888" s="260"/>
      <c r="U2888" s="260"/>
      <c r="V2888" s="260"/>
      <c r="W2888" s="260"/>
      <c r="X2888" s="260"/>
      <c r="Y2888" s="260"/>
      <c r="Z2888" s="260"/>
      <c r="AA2888" s="260"/>
      <c r="AB2888" s="260"/>
      <c r="AC2888" s="260"/>
      <c r="AD2888" s="260"/>
      <c r="AE2888" s="260"/>
      <c r="AF2888" s="260"/>
      <c r="AG2888" s="258"/>
    </row>
    <row r="2889" spans="13:33" ht="12" hidden="1" customHeight="1">
      <c r="M2889" s="820"/>
      <c r="N2889" s="239"/>
      <c r="O2889" s="225"/>
      <c r="P2889" s="260"/>
      <c r="Q2889" s="258"/>
      <c r="R2889" s="260"/>
      <c r="S2889" s="260"/>
      <c r="T2889" s="260"/>
      <c r="U2889" s="260"/>
      <c r="V2889" s="260"/>
      <c r="W2889" s="260"/>
      <c r="X2889" s="260"/>
      <c r="Y2889" s="260"/>
      <c r="Z2889" s="260"/>
      <c r="AA2889" s="260"/>
      <c r="AB2889" s="260"/>
      <c r="AC2889" s="260"/>
      <c r="AD2889" s="260"/>
      <c r="AE2889" s="260"/>
      <c r="AF2889" s="260"/>
      <c r="AG2889" s="258"/>
    </row>
    <row r="2890" spans="13:33" ht="12" hidden="1" customHeight="1">
      <c r="M2890" s="820"/>
      <c r="N2890" s="239"/>
      <c r="O2890" s="225"/>
      <c r="P2890" s="260"/>
      <c r="Q2890" s="258"/>
      <c r="R2890" s="260"/>
      <c r="S2890" s="260"/>
      <c r="T2890" s="260"/>
      <c r="U2890" s="260"/>
      <c r="V2890" s="260"/>
      <c r="W2890" s="260"/>
      <c r="X2890" s="260"/>
      <c r="Y2890" s="260"/>
      <c r="Z2890" s="260"/>
      <c r="AA2890" s="260"/>
      <c r="AB2890" s="260"/>
      <c r="AC2890" s="260"/>
      <c r="AD2890" s="260"/>
      <c r="AE2890" s="260"/>
      <c r="AF2890" s="260"/>
      <c r="AG2890" s="258"/>
    </row>
    <row r="2891" spans="13:33" ht="12" hidden="1" customHeight="1">
      <c r="M2891" s="820"/>
      <c r="N2891" s="239"/>
      <c r="O2891" s="225"/>
      <c r="P2891" s="260"/>
      <c r="Q2891" s="258"/>
      <c r="R2891" s="260"/>
      <c r="S2891" s="260"/>
      <c r="T2891" s="260"/>
      <c r="U2891" s="260"/>
      <c r="V2891" s="260"/>
      <c r="W2891" s="260"/>
      <c r="X2891" s="260"/>
      <c r="Y2891" s="260"/>
      <c r="Z2891" s="260"/>
      <c r="AA2891" s="260"/>
      <c r="AB2891" s="260"/>
      <c r="AC2891" s="260"/>
      <c r="AD2891" s="260"/>
      <c r="AE2891" s="260"/>
      <c r="AF2891" s="260"/>
      <c r="AG2891" s="258"/>
    </row>
    <row r="2892" spans="13:33" ht="12" hidden="1" customHeight="1">
      <c r="M2892" s="820"/>
      <c r="N2892" s="239"/>
      <c r="O2892" s="225"/>
      <c r="P2892" s="260"/>
      <c r="Q2892" s="258"/>
      <c r="R2892" s="260"/>
      <c r="S2892" s="260"/>
      <c r="T2892" s="260"/>
      <c r="U2892" s="260"/>
      <c r="V2892" s="260"/>
      <c r="W2892" s="260"/>
      <c r="X2892" s="260"/>
      <c r="Y2892" s="260"/>
      <c r="Z2892" s="260"/>
      <c r="AA2892" s="260"/>
      <c r="AB2892" s="260"/>
      <c r="AC2892" s="260"/>
      <c r="AD2892" s="260"/>
      <c r="AE2892" s="260"/>
      <c r="AF2892" s="260"/>
      <c r="AG2892" s="258"/>
    </row>
    <row r="2893" spans="13:33" ht="12" hidden="1" customHeight="1">
      <c r="M2893" s="820"/>
      <c r="N2893" s="239"/>
      <c r="O2893" s="225"/>
      <c r="P2893" s="260"/>
      <c r="Q2893" s="258"/>
      <c r="R2893" s="260"/>
      <c r="S2893" s="260"/>
      <c r="T2893" s="260"/>
      <c r="U2893" s="260"/>
      <c r="V2893" s="260"/>
      <c r="W2893" s="260"/>
      <c r="X2893" s="260"/>
      <c r="Y2893" s="260"/>
      <c r="Z2893" s="260"/>
      <c r="AA2893" s="260"/>
      <c r="AB2893" s="260"/>
      <c r="AC2893" s="260"/>
      <c r="AD2893" s="260"/>
      <c r="AE2893" s="260"/>
      <c r="AF2893" s="260"/>
      <c r="AG2893" s="258"/>
    </row>
    <row r="2894" spans="13:33" ht="12" hidden="1" customHeight="1">
      <c r="M2894" s="820"/>
      <c r="N2894" s="239"/>
      <c r="O2894" s="225"/>
      <c r="P2894" s="260"/>
      <c r="Q2894" s="258"/>
      <c r="R2894" s="260"/>
      <c r="S2894" s="260"/>
      <c r="T2894" s="260"/>
      <c r="U2894" s="260"/>
      <c r="V2894" s="260"/>
      <c r="W2894" s="260"/>
      <c r="X2894" s="260"/>
      <c r="Y2894" s="260"/>
      <c r="Z2894" s="260"/>
      <c r="AA2894" s="260"/>
      <c r="AB2894" s="260"/>
      <c r="AC2894" s="260"/>
      <c r="AD2894" s="260"/>
      <c r="AE2894" s="260"/>
      <c r="AF2894" s="260"/>
      <c r="AG2894" s="258"/>
    </row>
    <row r="2895" spans="13:33" ht="12" hidden="1" customHeight="1">
      <c r="M2895" s="820"/>
      <c r="N2895" s="239"/>
      <c r="O2895" s="225"/>
      <c r="P2895" s="260"/>
      <c r="Q2895" s="258"/>
      <c r="R2895" s="260"/>
      <c r="S2895" s="260"/>
      <c r="T2895" s="260"/>
      <c r="U2895" s="260"/>
      <c r="V2895" s="260"/>
      <c r="W2895" s="260"/>
      <c r="X2895" s="260"/>
      <c r="Y2895" s="260"/>
      <c r="Z2895" s="260"/>
      <c r="AA2895" s="260"/>
      <c r="AB2895" s="260"/>
      <c r="AC2895" s="260"/>
      <c r="AD2895" s="260"/>
      <c r="AE2895" s="260"/>
      <c r="AF2895" s="260"/>
      <c r="AG2895" s="258"/>
    </row>
    <row r="2896" spans="13:33" ht="12" hidden="1" customHeight="1">
      <c r="M2896" s="820"/>
      <c r="N2896" s="239"/>
      <c r="O2896" s="225"/>
      <c r="P2896" s="260"/>
      <c r="Q2896" s="258"/>
      <c r="R2896" s="260"/>
      <c r="S2896" s="260"/>
      <c r="T2896" s="260"/>
      <c r="U2896" s="260"/>
      <c r="V2896" s="260"/>
      <c r="W2896" s="260"/>
      <c r="X2896" s="260"/>
      <c r="Y2896" s="260"/>
      <c r="Z2896" s="260"/>
      <c r="AA2896" s="260"/>
      <c r="AB2896" s="260"/>
      <c r="AC2896" s="260"/>
      <c r="AD2896" s="260"/>
      <c r="AE2896" s="260"/>
      <c r="AF2896" s="260"/>
      <c r="AG2896" s="258"/>
    </row>
    <row r="2897" spans="13:33" ht="12" hidden="1" customHeight="1">
      <c r="M2897" s="820"/>
      <c r="N2897" s="239"/>
      <c r="O2897" s="225"/>
      <c r="P2897" s="260"/>
      <c r="Q2897" s="258"/>
      <c r="R2897" s="260"/>
      <c r="S2897" s="260"/>
      <c r="T2897" s="260"/>
      <c r="U2897" s="260"/>
      <c r="V2897" s="260"/>
      <c r="W2897" s="260"/>
      <c r="X2897" s="260"/>
      <c r="Y2897" s="260"/>
      <c r="Z2897" s="260"/>
      <c r="AA2897" s="260"/>
      <c r="AB2897" s="260"/>
      <c r="AC2897" s="260"/>
      <c r="AD2897" s="260"/>
      <c r="AE2897" s="260"/>
      <c r="AF2897" s="260"/>
      <c r="AG2897" s="258"/>
    </row>
    <row r="2898" spans="13:33" ht="12" hidden="1" customHeight="1">
      <c r="M2898" s="820"/>
      <c r="N2898" s="239"/>
      <c r="O2898" s="225"/>
      <c r="P2898" s="260"/>
      <c r="Q2898" s="258"/>
      <c r="R2898" s="260"/>
      <c r="S2898" s="260"/>
      <c r="T2898" s="260"/>
      <c r="U2898" s="260"/>
      <c r="V2898" s="260"/>
      <c r="W2898" s="260"/>
      <c r="X2898" s="260"/>
      <c r="Y2898" s="260"/>
      <c r="Z2898" s="260"/>
      <c r="AA2898" s="260"/>
      <c r="AB2898" s="260"/>
      <c r="AC2898" s="260"/>
      <c r="AD2898" s="260"/>
      <c r="AE2898" s="260"/>
      <c r="AF2898" s="260"/>
      <c r="AG2898" s="258"/>
    </row>
    <row r="2899" spans="13:33" ht="12" hidden="1" customHeight="1">
      <c r="M2899" s="820"/>
      <c r="N2899" s="239"/>
      <c r="O2899" s="225"/>
      <c r="P2899" s="260"/>
      <c r="Q2899" s="258"/>
      <c r="R2899" s="260"/>
      <c r="S2899" s="260"/>
      <c r="T2899" s="260"/>
      <c r="U2899" s="260"/>
      <c r="V2899" s="260"/>
      <c r="W2899" s="260"/>
      <c r="X2899" s="260"/>
      <c r="Y2899" s="260"/>
      <c r="Z2899" s="260"/>
      <c r="AA2899" s="260"/>
      <c r="AB2899" s="260"/>
      <c r="AC2899" s="260"/>
      <c r="AD2899" s="260"/>
      <c r="AE2899" s="260"/>
      <c r="AF2899" s="260"/>
      <c r="AG2899" s="258"/>
    </row>
    <row r="2900" spans="13:33" ht="12" hidden="1" customHeight="1">
      <c r="M2900" s="820"/>
      <c r="N2900" s="239"/>
      <c r="O2900" s="225"/>
      <c r="P2900" s="260"/>
      <c r="Q2900" s="258"/>
      <c r="R2900" s="260"/>
      <c r="S2900" s="260"/>
      <c r="T2900" s="260"/>
      <c r="U2900" s="260"/>
      <c r="V2900" s="260"/>
      <c r="W2900" s="260"/>
      <c r="X2900" s="260"/>
      <c r="Y2900" s="260"/>
      <c r="Z2900" s="260"/>
      <c r="AA2900" s="260"/>
      <c r="AB2900" s="260"/>
      <c r="AC2900" s="260"/>
      <c r="AD2900" s="260"/>
      <c r="AE2900" s="260"/>
      <c r="AF2900" s="260"/>
      <c r="AG2900" s="258"/>
    </row>
    <row r="2901" spans="13:33" ht="12" hidden="1" customHeight="1">
      <c r="M2901" s="820"/>
      <c r="N2901" s="239"/>
      <c r="O2901" s="225"/>
      <c r="P2901" s="260"/>
      <c r="Q2901" s="258"/>
      <c r="R2901" s="260"/>
      <c r="S2901" s="260"/>
      <c r="T2901" s="260"/>
      <c r="U2901" s="260"/>
      <c r="V2901" s="260"/>
      <c r="W2901" s="260"/>
      <c r="X2901" s="260"/>
      <c r="Y2901" s="260"/>
      <c r="Z2901" s="260"/>
      <c r="AA2901" s="260"/>
      <c r="AB2901" s="260"/>
      <c r="AC2901" s="260"/>
      <c r="AD2901" s="260"/>
      <c r="AE2901" s="260"/>
      <c r="AF2901" s="260"/>
      <c r="AG2901" s="258"/>
    </row>
    <row r="2902" spans="13:33" ht="12" hidden="1" customHeight="1">
      <c r="M2902" s="820"/>
      <c r="N2902" s="239"/>
      <c r="O2902" s="225"/>
      <c r="P2902" s="260"/>
      <c r="Q2902" s="258"/>
      <c r="R2902" s="260"/>
      <c r="S2902" s="260"/>
      <c r="T2902" s="260"/>
      <c r="U2902" s="260"/>
      <c r="V2902" s="260"/>
      <c r="W2902" s="260"/>
      <c r="X2902" s="260"/>
      <c r="Y2902" s="260"/>
      <c r="Z2902" s="260"/>
      <c r="AA2902" s="260"/>
      <c r="AB2902" s="260"/>
      <c r="AC2902" s="260"/>
      <c r="AD2902" s="260"/>
      <c r="AE2902" s="260"/>
      <c r="AF2902" s="260"/>
      <c r="AG2902" s="258"/>
    </row>
    <row r="2903" spans="13:33" ht="12" hidden="1" customHeight="1">
      <c r="M2903" s="820"/>
      <c r="N2903" s="239"/>
      <c r="O2903" s="225"/>
      <c r="P2903" s="260"/>
      <c r="Q2903" s="258"/>
      <c r="R2903" s="260"/>
      <c r="S2903" s="260"/>
      <c r="T2903" s="260"/>
      <c r="U2903" s="260"/>
      <c r="V2903" s="260"/>
      <c r="W2903" s="260"/>
      <c r="X2903" s="260"/>
      <c r="Y2903" s="260"/>
      <c r="Z2903" s="260"/>
      <c r="AA2903" s="260"/>
      <c r="AB2903" s="260"/>
      <c r="AC2903" s="260"/>
      <c r="AD2903" s="260"/>
      <c r="AE2903" s="260"/>
      <c r="AF2903" s="260"/>
      <c r="AG2903" s="258"/>
    </row>
    <row r="2904" spans="13:33" ht="12" hidden="1" customHeight="1">
      <c r="M2904" s="820"/>
      <c r="N2904" s="239"/>
      <c r="O2904" s="225"/>
      <c r="P2904" s="260"/>
      <c r="Q2904" s="258"/>
      <c r="R2904" s="260"/>
      <c r="S2904" s="260"/>
      <c r="T2904" s="260"/>
      <c r="U2904" s="260"/>
      <c r="V2904" s="260"/>
      <c r="W2904" s="260"/>
      <c r="X2904" s="260"/>
      <c r="Y2904" s="260"/>
      <c r="Z2904" s="260"/>
      <c r="AA2904" s="260"/>
      <c r="AB2904" s="260"/>
      <c r="AC2904" s="260"/>
      <c r="AD2904" s="260"/>
      <c r="AE2904" s="260"/>
      <c r="AF2904" s="260"/>
      <c r="AG2904" s="258"/>
    </row>
    <row r="2905" spans="13:33" ht="12" hidden="1" customHeight="1">
      <c r="M2905" s="820"/>
      <c r="N2905" s="239"/>
      <c r="O2905" s="225"/>
      <c r="P2905" s="260"/>
      <c r="Q2905" s="258"/>
      <c r="R2905" s="260"/>
      <c r="S2905" s="260"/>
      <c r="T2905" s="260"/>
      <c r="U2905" s="260"/>
      <c r="V2905" s="260"/>
      <c r="W2905" s="260"/>
      <c r="X2905" s="260"/>
      <c r="Y2905" s="260"/>
      <c r="Z2905" s="260"/>
      <c r="AA2905" s="260"/>
      <c r="AB2905" s="260"/>
      <c r="AC2905" s="260"/>
      <c r="AD2905" s="260"/>
      <c r="AE2905" s="260"/>
      <c r="AF2905" s="260"/>
      <c r="AG2905" s="258"/>
    </row>
    <row r="2906" spans="13:33" ht="12" hidden="1" customHeight="1">
      <c r="M2906" s="820"/>
      <c r="N2906" s="239"/>
      <c r="O2906" s="225"/>
      <c r="P2906" s="260"/>
      <c r="Q2906" s="258"/>
      <c r="R2906" s="260"/>
      <c r="S2906" s="260"/>
      <c r="T2906" s="260"/>
      <c r="U2906" s="260"/>
      <c r="V2906" s="260"/>
      <c r="W2906" s="260"/>
      <c r="X2906" s="260"/>
      <c r="Y2906" s="260"/>
      <c r="Z2906" s="260"/>
      <c r="AA2906" s="260"/>
      <c r="AB2906" s="260"/>
      <c r="AC2906" s="260"/>
      <c r="AD2906" s="260"/>
      <c r="AE2906" s="260"/>
      <c r="AF2906" s="260"/>
      <c r="AG2906" s="258"/>
    </row>
    <row r="2907" spans="13:33" ht="12" hidden="1" customHeight="1">
      <c r="M2907" s="820"/>
      <c r="N2907" s="239"/>
      <c r="O2907" s="225"/>
      <c r="P2907" s="260"/>
      <c r="Q2907" s="258"/>
      <c r="R2907" s="260"/>
      <c r="S2907" s="260"/>
      <c r="T2907" s="260"/>
      <c r="U2907" s="260"/>
      <c r="V2907" s="260"/>
      <c r="W2907" s="260"/>
      <c r="X2907" s="260"/>
      <c r="Y2907" s="260"/>
      <c r="Z2907" s="260"/>
      <c r="AA2907" s="260"/>
      <c r="AB2907" s="260"/>
      <c r="AC2907" s="260"/>
      <c r="AD2907" s="260"/>
      <c r="AE2907" s="260"/>
      <c r="AF2907" s="260"/>
      <c r="AG2907" s="258"/>
    </row>
    <row r="2908" spans="13:33" ht="12" hidden="1" customHeight="1">
      <c r="M2908" s="820"/>
      <c r="N2908" s="239"/>
      <c r="O2908" s="225"/>
      <c r="P2908" s="260"/>
      <c r="Q2908" s="258"/>
      <c r="R2908" s="260"/>
      <c r="S2908" s="260"/>
      <c r="T2908" s="260"/>
      <c r="U2908" s="260"/>
      <c r="V2908" s="260"/>
      <c r="W2908" s="260"/>
      <c r="X2908" s="260"/>
      <c r="Y2908" s="260"/>
      <c r="Z2908" s="260"/>
      <c r="AA2908" s="260"/>
      <c r="AB2908" s="260"/>
      <c r="AC2908" s="260"/>
      <c r="AD2908" s="260"/>
      <c r="AE2908" s="260"/>
      <c r="AF2908" s="260"/>
      <c r="AG2908" s="258"/>
    </row>
    <row r="2909" spans="13:33" ht="12" hidden="1" customHeight="1">
      <c r="M2909" s="820"/>
      <c r="N2909" s="239"/>
      <c r="O2909" s="225"/>
      <c r="P2909" s="260"/>
      <c r="Q2909" s="258"/>
      <c r="R2909" s="260"/>
      <c r="S2909" s="260"/>
      <c r="T2909" s="260"/>
      <c r="U2909" s="260"/>
      <c r="V2909" s="260"/>
      <c r="W2909" s="260"/>
      <c r="X2909" s="260"/>
      <c r="Y2909" s="260"/>
      <c r="Z2909" s="260"/>
      <c r="AA2909" s="260"/>
      <c r="AB2909" s="260"/>
      <c r="AC2909" s="260"/>
      <c r="AD2909" s="260"/>
      <c r="AE2909" s="260"/>
      <c r="AF2909" s="260"/>
      <c r="AG2909" s="258"/>
    </row>
    <row r="2910" spans="13:33" ht="12" hidden="1" customHeight="1">
      <c r="M2910" s="820"/>
      <c r="N2910" s="239"/>
      <c r="O2910" s="225"/>
      <c r="P2910" s="260"/>
      <c r="Q2910" s="258"/>
      <c r="R2910" s="260"/>
      <c r="S2910" s="260"/>
      <c r="T2910" s="260"/>
      <c r="U2910" s="260"/>
      <c r="V2910" s="260"/>
      <c r="W2910" s="260"/>
      <c r="X2910" s="260"/>
      <c r="Y2910" s="260"/>
      <c r="Z2910" s="260"/>
      <c r="AA2910" s="260"/>
      <c r="AB2910" s="260"/>
      <c r="AC2910" s="260"/>
      <c r="AD2910" s="260"/>
      <c r="AE2910" s="260"/>
      <c r="AF2910" s="260"/>
      <c r="AG2910" s="258"/>
    </row>
    <row r="2911" spans="13:33" ht="12" hidden="1" customHeight="1">
      <c r="M2911" s="820"/>
      <c r="N2911" s="239"/>
      <c r="O2911" s="225"/>
      <c r="P2911" s="260"/>
      <c r="Q2911" s="258"/>
      <c r="R2911" s="260"/>
      <c r="S2911" s="260"/>
      <c r="T2911" s="260"/>
      <c r="U2911" s="260"/>
      <c r="V2911" s="260"/>
      <c r="W2911" s="260"/>
      <c r="X2911" s="260"/>
      <c r="Y2911" s="260"/>
      <c r="Z2911" s="260"/>
      <c r="AA2911" s="260"/>
      <c r="AB2911" s="260"/>
      <c r="AC2911" s="260"/>
      <c r="AD2911" s="260"/>
      <c r="AE2911" s="260"/>
      <c r="AF2911" s="260"/>
      <c r="AG2911" s="258"/>
    </row>
    <row r="2912" spans="13:33" ht="12" hidden="1" customHeight="1">
      <c r="M2912" s="820"/>
      <c r="N2912" s="239"/>
      <c r="O2912" s="225"/>
      <c r="P2912" s="260"/>
      <c r="Q2912" s="258"/>
      <c r="R2912" s="260"/>
      <c r="S2912" s="260"/>
      <c r="T2912" s="260"/>
      <c r="U2912" s="260"/>
      <c r="V2912" s="260"/>
      <c r="W2912" s="260"/>
      <c r="X2912" s="260"/>
      <c r="Y2912" s="260"/>
      <c r="Z2912" s="260"/>
      <c r="AA2912" s="260"/>
      <c r="AB2912" s="260"/>
      <c r="AC2912" s="260"/>
      <c r="AD2912" s="260"/>
      <c r="AE2912" s="260"/>
      <c r="AF2912" s="260"/>
      <c r="AG2912" s="258"/>
    </row>
    <row r="2913" spans="13:33" ht="12" hidden="1" customHeight="1">
      <c r="M2913" s="820"/>
      <c r="N2913" s="239"/>
      <c r="O2913" s="225"/>
      <c r="P2913" s="260"/>
      <c r="Q2913" s="258"/>
      <c r="R2913" s="260"/>
      <c r="S2913" s="260"/>
      <c r="T2913" s="260"/>
      <c r="U2913" s="260"/>
      <c r="V2913" s="260"/>
      <c r="W2913" s="260"/>
      <c r="X2913" s="260"/>
      <c r="Y2913" s="260"/>
      <c r="Z2913" s="260"/>
      <c r="AA2913" s="260"/>
      <c r="AB2913" s="260"/>
      <c r="AC2913" s="260"/>
      <c r="AD2913" s="260"/>
      <c r="AE2913" s="260"/>
      <c r="AF2913" s="260"/>
      <c r="AG2913" s="258"/>
    </row>
    <row r="2914" spans="13:33" ht="12" hidden="1" customHeight="1">
      <c r="M2914" s="820"/>
      <c r="N2914" s="239"/>
      <c r="O2914" s="225"/>
      <c r="P2914" s="260"/>
      <c r="Q2914" s="258"/>
      <c r="R2914" s="260"/>
      <c r="S2914" s="260"/>
      <c r="T2914" s="260"/>
      <c r="U2914" s="260"/>
      <c r="V2914" s="260"/>
      <c r="W2914" s="260"/>
      <c r="X2914" s="260"/>
      <c r="Y2914" s="260"/>
      <c r="Z2914" s="260"/>
      <c r="AA2914" s="260"/>
      <c r="AB2914" s="260"/>
      <c r="AC2914" s="260"/>
      <c r="AD2914" s="260"/>
      <c r="AE2914" s="260"/>
      <c r="AF2914" s="260"/>
      <c r="AG2914" s="258"/>
    </row>
    <row r="2915" spans="13:33" ht="12" hidden="1" customHeight="1">
      <c r="M2915" s="820"/>
      <c r="N2915" s="239"/>
      <c r="O2915" s="225"/>
      <c r="P2915" s="260"/>
      <c r="Q2915" s="258"/>
      <c r="R2915" s="260"/>
      <c r="S2915" s="260"/>
      <c r="T2915" s="260"/>
      <c r="U2915" s="260"/>
      <c r="V2915" s="260"/>
      <c r="W2915" s="260"/>
      <c r="X2915" s="260"/>
      <c r="Y2915" s="260"/>
      <c r="Z2915" s="260"/>
      <c r="AA2915" s="260"/>
      <c r="AB2915" s="260"/>
      <c r="AC2915" s="260"/>
      <c r="AD2915" s="260"/>
      <c r="AE2915" s="260"/>
      <c r="AF2915" s="260"/>
      <c r="AG2915" s="258"/>
    </row>
    <row r="2916" spans="13:33" ht="12" hidden="1" customHeight="1">
      <c r="M2916" s="820"/>
      <c r="N2916" s="239"/>
      <c r="O2916" s="225"/>
      <c r="P2916" s="260"/>
      <c r="Q2916" s="258"/>
      <c r="R2916" s="260"/>
      <c r="S2916" s="260"/>
      <c r="T2916" s="260"/>
      <c r="U2916" s="260"/>
      <c r="V2916" s="260"/>
      <c r="W2916" s="260"/>
      <c r="X2916" s="260"/>
      <c r="Y2916" s="260"/>
      <c r="Z2916" s="260"/>
      <c r="AA2916" s="260"/>
      <c r="AB2916" s="260"/>
      <c r="AC2916" s="260"/>
      <c r="AD2916" s="260"/>
      <c r="AE2916" s="260"/>
      <c r="AF2916" s="260"/>
      <c r="AG2916" s="258"/>
    </row>
    <row r="2917" spans="13:33" ht="12" hidden="1" customHeight="1">
      <c r="M2917" s="820"/>
      <c r="N2917" s="239"/>
      <c r="O2917" s="225"/>
      <c r="P2917" s="260"/>
      <c r="Q2917" s="258"/>
      <c r="R2917" s="260"/>
      <c r="S2917" s="260"/>
      <c r="T2917" s="260"/>
      <c r="U2917" s="260"/>
      <c r="V2917" s="260"/>
      <c r="W2917" s="260"/>
      <c r="X2917" s="260"/>
      <c r="Y2917" s="260"/>
      <c r="Z2917" s="260"/>
      <c r="AA2917" s="260"/>
      <c r="AB2917" s="260"/>
      <c r="AC2917" s="260"/>
      <c r="AD2917" s="260"/>
      <c r="AE2917" s="260"/>
      <c r="AF2917" s="260"/>
      <c r="AG2917" s="258"/>
    </row>
    <row r="2918" spans="13:33" ht="12" hidden="1" customHeight="1">
      <c r="M2918" s="820"/>
      <c r="N2918" s="239"/>
      <c r="O2918" s="225"/>
      <c r="P2918" s="260"/>
      <c r="Q2918" s="258"/>
      <c r="R2918" s="260"/>
      <c r="S2918" s="260"/>
      <c r="T2918" s="260"/>
      <c r="U2918" s="260"/>
      <c r="V2918" s="260"/>
      <c r="W2918" s="260"/>
      <c r="X2918" s="260"/>
      <c r="Y2918" s="260"/>
      <c r="Z2918" s="260"/>
      <c r="AA2918" s="260"/>
      <c r="AB2918" s="260"/>
      <c r="AC2918" s="260"/>
      <c r="AD2918" s="260"/>
      <c r="AE2918" s="260"/>
      <c r="AF2918" s="260"/>
      <c r="AG2918" s="258"/>
    </row>
    <row r="2919" spans="13:33" ht="12" hidden="1" customHeight="1">
      <c r="M2919" s="820"/>
      <c r="N2919" s="239"/>
      <c r="O2919" s="225"/>
      <c r="P2919" s="260"/>
      <c r="Q2919" s="258"/>
      <c r="R2919" s="260"/>
      <c r="S2919" s="260"/>
      <c r="T2919" s="260"/>
      <c r="U2919" s="260"/>
      <c r="V2919" s="260"/>
      <c r="W2919" s="260"/>
      <c r="X2919" s="260"/>
      <c r="Y2919" s="260"/>
      <c r="Z2919" s="260"/>
      <c r="AA2919" s="260"/>
      <c r="AB2919" s="260"/>
      <c r="AC2919" s="260"/>
      <c r="AD2919" s="260"/>
      <c r="AE2919" s="260"/>
      <c r="AF2919" s="260"/>
      <c r="AG2919" s="258"/>
    </row>
    <row r="2920" spans="13:33" ht="12" hidden="1" customHeight="1">
      <c r="M2920" s="820"/>
      <c r="N2920" s="239"/>
      <c r="O2920" s="225"/>
      <c r="P2920" s="260"/>
      <c r="Q2920" s="258"/>
      <c r="R2920" s="260"/>
      <c r="S2920" s="260"/>
      <c r="T2920" s="260"/>
      <c r="U2920" s="260"/>
      <c r="V2920" s="260"/>
      <c r="W2920" s="260"/>
      <c r="X2920" s="260"/>
      <c r="Y2920" s="260"/>
      <c r="Z2920" s="260"/>
      <c r="AA2920" s="260"/>
      <c r="AB2920" s="260"/>
      <c r="AC2920" s="260"/>
      <c r="AD2920" s="260"/>
      <c r="AE2920" s="260"/>
      <c r="AF2920" s="260"/>
      <c r="AG2920" s="258"/>
    </row>
    <row r="2921" spans="13:33" ht="12" hidden="1" customHeight="1">
      <c r="M2921" s="820"/>
      <c r="N2921" s="239"/>
      <c r="O2921" s="225"/>
      <c r="P2921" s="260"/>
      <c r="Q2921" s="258"/>
      <c r="R2921" s="260"/>
      <c r="S2921" s="260"/>
      <c r="T2921" s="260"/>
      <c r="U2921" s="260"/>
      <c r="V2921" s="260"/>
      <c r="W2921" s="260"/>
      <c r="X2921" s="260"/>
      <c r="Y2921" s="260"/>
      <c r="Z2921" s="260"/>
      <c r="AA2921" s="260"/>
      <c r="AB2921" s="260"/>
      <c r="AC2921" s="260"/>
      <c r="AD2921" s="260"/>
      <c r="AE2921" s="260"/>
      <c r="AF2921" s="260"/>
      <c r="AG2921" s="258"/>
    </row>
    <row r="2922" spans="13:33" ht="12" hidden="1" customHeight="1">
      <c r="M2922" s="820"/>
      <c r="N2922" s="239"/>
      <c r="O2922" s="225"/>
      <c r="P2922" s="260"/>
      <c r="Q2922" s="258"/>
      <c r="R2922" s="260"/>
      <c r="S2922" s="260"/>
      <c r="T2922" s="260"/>
      <c r="U2922" s="260"/>
      <c r="V2922" s="260"/>
      <c r="W2922" s="260"/>
      <c r="X2922" s="260"/>
      <c r="Y2922" s="260"/>
      <c r="Z2922" s="260"/>
      <c r="AA2922" s="260"/>
      <c r="AB2922" s="260"/>
      <c r="AC2922" s="260"/>
      <c r="AD2922" s="260"/>
      <c r="AE2922" s="260"/>
      <c r="AF2922" s="260"/>
      <c r="AG2922" s="258"/>
    </row>
    <row r="2923" spans="13:33" ht="12" hidden="1" customHeight="1">
      <c r="M2923" s="820"/>
      <c r="N2923" s="239"/>
      <c r="O2923" s="225"/>
      <c r="P2923" s="260"/>
      <c r="Q2923" s="258"/>
      <c r="R2923" s="260"/>
      <c r="S2923" s="260"/>
      <c r="T2923" s="260"/>
      <c r="U2923" s="260"/>
      <c r="V2923" s="260"/>
      <c r="W2923" s="260"/>
      <c r="X2923" s="260"/>
      <c r="Y2923" s="260"/>
      <c r="Z2923" s="260"/>
      <c r="AA2923" s="260"/>
      <c r="AB2923" s="260"/>
      <c r="AC2923" s="260"/>
      <c r="AD2923" s="260"/>
      <c r="AE2923" s="260"/>
      <c r="AF2923" s="260"/>
      <c r="AG2923" s="258"/>
    </row>
    <row r="2924" spans="13:33" ht="12" hidden="1" customHeight="1">
      <c r="M2924" s="820"/>
      <c r="N2924" s="239"/>
      <c r="O2924" s="225"/>
      <c r="P2924" s="260"/>
      <c r="Q2924" s="258"/>
      <c r="R2924" s="260"/>
      <c r="S2924" s="260"/>
      <c r="T2924" s="260"/>
      <c r="U2924" s="260"/>
      <c r="V2924" s="260"/>
      <c r="W2924" s="260"/>
      <c r="X2924" s="260"/>
      <c r="Y2924" s="260"/>
      <c r="Z2924" s="260"/>
      <c r="AA2924" s="260"/>
      <c r="AB2924" s="260"/>
      <c r="AC2924" s="260"/>
      <c r="AD2924" s="260"/>
      <c r="AE2924" s="260"/>
      <c r="AF2924" s="260"/>
      <c r="AG2924" s="258"/>
    </row>
    <row r="2925" spans="13:33" ht="12" hidden="1" customHeight="1">
      <c r="M2925" s="820"/>
      <c r="N2925" s="239"/>
      <c r="O2925" s="225"/>
      <c r="P2925" s="260"/>
      <c r="Q2925" s="258"/>
      <c r="R2925" s="260"/>
      <c r="S2925" s="260"/>
      <c r="T2925" s="260"/>
      <c r="U2925" s="260"/>
      <c r="V2925" s="260"/>
      <c r="W2925" s="260"/>
      <c r="X2925" s="260"/>
      <c r="Y2925" s="260"/>
      <c r="Z2925" s="260"/>
      <c r="AA2925" s="260"/>
      <c r="AB2925" s="260"/>
      <c r="AC2925" s="260"/>
      <c r="AD2925" s="260"/>
      <c r="AE2925" s="260"/>
      <c r="AF2925" s="260"/>
      <c r="AG2925" s="258"/>
    </row>
    <row r="2926" spans="13:33" ht="12" hidden="1" customHeight="1">
      <c r="M2926" s="820"/>
      <c r="N2926" s="239"/>
      <c r="O2926" s="225"/>
      <c r="P2926" s="260"/>
      <c r="Q2926" s="258"/>
      <c r="R2926" s="260"/>
      <c r="S2926" s="260"/>
      <c r="T2926" s="260"/>
      <c r="U2926" s="260"/>
      <c r="V2926" s="260"/>
      <c r="W2926" s="260"/>
      <c r="X2926" s="260"/>
      <c r="Y2926" s="260"/>
      <c r="Z2926" s="260"/>
      <c r="AA2926" s="260"/>
      <c r="AB2926" s="260"/>
      <c r="AC2926" s="260"/>
      <c r="AD2926" s="260"/>
      <c r="AE2926" s="260"/>
      <c r="AF2926" s="260"/>
      <c r="AG2926" s="258"/>
    </row>
    <row r="2927" spans="13:33" ht="12" hidden="1" customHeight="1">
      <c r="M2927" s="820"/>
      <c r="N2927" s="239"/>
      <c r="O2927" s="225"/>
      <c r="P2927" s="260"/>
      <c r="Q2927" s="258"/>
      <c r="R2927" s="260"/>
      <c r="S2927" s="260"/>
      <c r="T2927" s="260"/>
      <c r="U2927" s="260"/>
      <c r="V2927" s="260"/>
      <c r="W2927" s="260"/>
      <c r="X2927" s="260"/>
      <c r="Y2927" s="260"/>
      <c r="Z2927" s="260"/>
      <c r="AA2927" s="260"/>
      <c r="AB2927" s="260"/>
      <c r="AC2927" s="260"/>
      <c r="AD2927" s="260"/>
      <c r="AE2927" s="260"/>
      <c r="AF2927" s="260"/>
      <c r="AG2927" s="258"/>
    </row>
    <row r="2928" spans="13:33" ht="12" hidden="1" customHeight="1">
      <c r="M2928" s="820"/>
      <c r="N2928" s="239"/>
      <c r="O2928" s="225"/>
      <c r="P2928" s="260"/>
      <c r="Q2928" s="258"/>
      <c r="R2928" s="260"/>
      <c r="S2928" s="260"/>
      <c r="T2928" s="260"/>
      <c r="U2928" s="260"/>
      <c r="V2928" s="260"/>
      <c r="W2928" s="260"/>
      <c r="X2928" s="260"/>
      <c r="Y2928" s="260"/>
      <c r="Z2928" s="260"/>
      <c r="AA2928" s="260"/>
      <c r="AB2928" s="260"/>
      <c r="AC2928" s="260"/>
      <c r="AD2928" s="260"/>
      <c r="AE2928" s="260"/>
      <c r="AF2928" s="260"/>
      <c r="AG2928" s="258"/>
    </row>
    <row r="2929" spans="13:33" ht="12" hidden="1" customHeight="1">
      <c r="M2929" s="820"/>
      <c r="N2929" s="239"/>
      <c r="O2929" s="225"/>
      <c r="P2929" s="260"/>
      <c r="Q2929" s="258"/>
      <c r="R2929" s="260"/>
      <c r="S2929" s="260"/>
      <c r="T2929" s="260"/>
      <c r="U2929" s="260"/>
      <c r="V2929" s="260"/>
      <c r="W2929" s="260"/>
      <c r="X2929" s="260"/>
      <c r="Y2929" s="260"/>
      <c r="Z2929" s="260"/>
      <c r="AA2929" s="260"/>
      <c r="AB2929" s="260"/>
      <c r="AC2929" s="260"/>
      <c r="AD2929" s="260"/>
      <c r="AE2929" s="260"/>
      <c r="AF2929" s="260"/>
      <c r="AG2929" s="258"/>
    </row>
    <row r="2930" spans="13:33" ht="12" hidden="1" customHeight="1">
      <c r="M2930" s="820"/>
      <c r="N2930" s="239"/>
      <c r="O2930" s="225"/>
      <c r="P2930" s="260"/>
      <c r="Q2930" s="258"/>
      <c r="R2930" s="260"/>
      <c r="S2930" s="260"/>
      <c r="T2930" s="260"/>
      <c r="U2930" s="260"/>
      <c r="V2930" s="260"/>
      <c r="W2930" s="260"/>
      <c r="X2930" s="260"/>
      <c r="Y2930" s="260"/>
      <c r="Z2930" s="260"/>
      <c r="AA2930" s="260"/>
      <c r="AB2930" s="260"/>
      <c r="AC2930" s="260"/>
      <c r="AD2930" s="260"/>
      <c r="AE2930" s="260"/>
      <c r="AF2930" s="260"/>
      <c r="AG2930" s="258"/>
    </row>
    <row r="2931" spans="13:33" ht="12" hidden="1" customHeight="1">
      <c r="M2931" s="820"/>
      <c r="N2931" s="239"/>
      <c r="O2931" s="225"/>
      <c r="P2931" s="260"/>
      <c r="Q2931" s="258"/>
      <c r="R2931" s="260"/>
      <c r="S2931" s="260"/>
      <c r="T2931" s="260"/>
      <c r="U2931" s="260"/>
      <c r="V2931" s="260"/>
      <c r="W2931" s="260"/>
      <c r="X2931" s="260"/>
      <c r="Y2931" s="260"/>
      <c r="Z2931" s="260"/>
      <c r="AA2931" s="260"/>
      <c r="AB2931" s="260"/>
      <c r="AC2931" s="260"/>
      <c r="AD2931" s="260"/>
      <c r="AE2931" s="260"/>
      <c r="AF2931" s="260"/>
      <c r="AG2931" s="258"/>
    </row>
    <row r="2932" spans="13:33" ht="12" hidden="1" customHeight="1">
      <c r="M2932" s="820"/>
      <c r="N2932" s="239"/>
      <c r="O2932" s="225"/>
      <c r="P2932" s="260"/>
      <c r="Q2932" s="258"/>
      <c r="R2932" s="260"/>
      <c r="S2932" s="260"/>
      <c r="T2932" s="260"/>
      <c r="U2932" s="260"/>
      <c r="V2932" s="260"/>
      <c r="W2932" s="260"/>
      <c r="X2932" s="260"/>
      <c r="Y2932" s="260"/>
      <c r="Z2932" s="260"/>
      <c r="AA2932" s="260"/>
      <c r="AB2932" s="260"/>
      <c r="AC2932" s="260"/>
      <c r="AD2932" s="260"/>
      <c r="AE2932" s="260"/>
      <c r="AF2932" s="260"/>
      <c r="AG2932" s="258"/>
    </row>
    <row r="2933" spans="13:33" ht="12" hidden="1" customHeight="1">
      <c r="M2933" s="820"/>
      <c r="N2933" s="239"/>
      <c r="O2933" s="225"/>
      <c r="P2933" s="260"/>
      <c r="Q2933" s="258"/>
      <c r="R2933" s="260"/>
      <c r="S2933" s="260"/>
      <c r="T2933" s="260"/>
      <c r="U2933" s="260"/>
      <c r="V2933" s="260"/>
      <c r="W2933" s="260"/>
      <c r="X2933" s="260"/>
      <c r="Y2933" s="260"/>
      <c r="Z2933" s="260"/>
      <c r="AA2933" s="260"/>
      <c r="AB2933" s="260"/>
      <c r="AC2933" s="260"/>
      <c r="AD2933" s="260"/>
      <c r="AE2933" s="260"/>
      <c r="AF2933" s="260"/>
      <c r="AG2933" s="258"/>
    </row>
    <row r="2934" spans="13:33" ht="12" hidden="1" customHeight="1">
      <c r="M2934" s="820"/>
      <c r="N2934" s="239"/>
      <c r="O2934" s="225"/>
      <c r="P2934" s="260"/>
      <c r="Q2934" s="258"/>
      <c r="R2934" s="260"/>
      <c r="S2934" s="260"/>
      <c r="T2934" s="260"/>
      <c r="U2934" s="260"/>
      <c r="V2934" s="260"/>
      <c r="W2934" s="260"/>
      <c r="X2934" s="260"/>
      <c r="Y2934" s="260"/>
      <c r="Z2934" s="260"/>
      <c r="AA2934" s="260"/>
      <c r="AB2934" s="260"/>
      <c r="AC2934" s="260"/>
      <c r="AD2934" s="260"/>
      <c r="AE2934" s="260"/>
      <c r="AF2934" s="260"/>
      <c r="AG2934" s="258"/>
    </row>
    <row r="2935" spans="13:33" ht="12" hidden="1" customHeight="1">
      <c r="M2935" s="820"/>
      <c r="N2935" s="239"/>
      <c r="O2935" s="225"/>
      <c r="P2935" s="260"/>
      <c r="Q2935" s="258"/>
      <c r="R2935" s="260"/>
      <c r="S2935" s="260"/>
      <c r="T2935" s="260"/>
      <c r="U2935" s="260"/>
      <c r="V2935" s="260"/>
      <c r="W2935" s="260"/>
      <c r="X2935" s="260"/>
      <c r="Y2935" s="260"/>
      <c r="Z2935" s="260"/>
      <c r="AA2935" s="260"/>
      <c r="AB2935" s="260"/>
      <c r="AC2935" s="260"/>
      <c r="AD2935" s="260"/>
      <c r="AE2935" s="260"/>
      <c r="AF2935" s="260"/>
      <c r="AG2935" s="258"/>
    </row>
    <row r="2936" spans="13:33" ht="12" hidden="1" customHeight="1">
      <c r="M2936" s="820"/>
      <c r="N2936" s="239"/>
      <c r="O2936" s="225"/>
      <c r="P2936" s="260"/>
      <c r="Q2936" s="258"/>
      <c r="R2936" s="260"/>
      <c r="S2936" s="260"/>
      <c r="T2936" s="260"/>
      <c r="U2936" s="260"/>
      <c r="V2936" s="260"/>
      <c r="W2936" s="260"/>
      <c r="X2936" s="260"/>
      <c r="Y2936" s="260"/>
      <c r="Z2936" s="260"/>
      <c r="AA2936" s="260"/>
      <c r="AB2936" s="260"/>
      <c r="AC2936" s="260"/>
      <c r="AD2936" s="260"/>
      <c r="AE2936" s="260"/>
      <c r="AF2936" s="260"/>
      <c r="AG2936" s="258"/>
    </row>
    <row r="2937" spans="13:33" ht="12" hidden="1" customHeight="1">
      <c r="M2937" s="820"/>
      <c r="N2937" s="239"/>
      <c r="O2937" s="225"/>
      <c r="P2937" s="260"/>
      <c r="Q2937" s="258"/>
      <c r="R2937" s="260"/>
      <c r="S2937" s="260"/>
      <c r="T2937" s="260"/>
      <c r="U2937" s="260"/>
      <c r="V2937" s="260"/>
      <c r="W2937" s="260"/>
      <c r="X2937" s="260"/>
      <c r="Y2937" s="260"/>
      <c r="Z2937" s="260"/>
      <c r="AA2937" s="260"/>
      <c r="AB2937" s="260"/>
      <c r="AC2937" s="260"/>
      <c r="AD2937" s="260"/>
      <c r="AE2937" s="260"/>
      <c r="AF2937" s="260"/>
      <c r="AG2937" s="258"/>
    </row>
    <row r="2938" spans="13:33" ht="12" hidden="1" customHeight="1">
      <c r="M2938" s="820"/>
      <c r="N2938" s="239"/>
      <c r="O2938" s="225"/>
      <c r="P2938" s="260"/>
      <c r="Q2938" s="258"/>
      <c r="R2938" s="260"/>
      <c r="S2938" s="260"/>
      <c r="T2938" s="260"/>
      <c r="U2938" s="260"/>
      <c r="V2938" s="260"/>
      <c r="W2938" s="260"/>
      <c r="X2938" s="260"/>
      <c r="Y2938" s="260"/>
      <c r="Z2938" s="260"/>
      <c r="AA2938" s="260"/>
      <c r="AB2938" s="260"/>
      <c r="AC2938" s="260"/>
      <c r="AD2938" s="260"/>
      <c r="AE2938" s="260"/>
      <c r="AF2938" s="260"/>
      <c r="AG2938" s="258"/>
    </row>
    <row r="2939" spans="13:33" ht="12" hidden="1" customHeight="1">
      <c r="M2939" s="820"/>
      <c r="N2939" s="239"/>
      <c r="O2939" s="225"/>
      <c r="P2939" s="260"/>
      <c r="Q2939" s="258"/>
      <c r="R2939" s="260"/>
      <c r="S2939" s="260"/>
      <c r="T2939" s="260"/>
      <c r="U2939" s="260"/>
      <c r="V2939" s="260"/>
      <c r="W2939" s="260"/>
      <c r="X2939" s="260"/>
      <c r="Y2939" s="260"/>
      <c r="Z2939" s="260"/>
      <c r="AA2939" s="260"/>
      <c r="AB2939" s="260"/>
      <c r="AC2939" s="260"/>
      <c r="AD2939" s="260"/>
      <c r="AE2939" s="260"/>
      <c r="AF2939" s="260"/>
      <c r="AG2939" s="258"/>
    </row>
    <row r="2940" spans="13:33" ht="12" hidden="1" customHeight="1">
      <c r="M2940" s="820"/>
      <c r="N2940" s="239"/>
      <c r="O2940" s="225"/>
      <c r="P2940" s="260"/>
      <c r="Q2940" s="258"/>
      <c r="R2940" s="260"/>
      <c r="S2940" s="260"/>
      <c r="T2940" s="260"/>
      <c r="U2940" s="260"/>
      <c r="V2940" s="260"/>
      <c r="W2940" s="260"/>
      <c r="X2940" s="260"/>
      <c r="Y2940" s="260"/>
      <c r="Z2940" s="260"/>
      <c r="AA2940" s="260"/>
      <c r="AB2940" s="260"/>
      <c r="AC2940" s="260"/>
      <c r="AD2940" s="260"/>
      <c r="AE2940" s="260"/>
      <c r="AF2940" s="260"/>
      <c r="AG2940" s="258"/>
    </row>
    <row r="2941" spans="13:33" ht="12" hidden="1" customHeight="1">
      <c r="M2941" s="820"/>
      <c r="N2941" s="239"/>
      <c r="O2941" s="225"/>
      <c r="P2941" s="260"/>
      <c r="Q2941" s="258"/>
      <c r="R2941" s="260"/>
      <c r="S2941" s="260"/>
      <c r="T2941" s="260"/>
      <c r="U2941" s="260"/>
      <c r="V2941" s="260"/>
      <c r="W2941" s="260"/>
      <c r="X2941" s="260"/>
      <c r="Y2941" s="260"/>
      <c r="Z2941" s="260"/>
      <c r="AA2941" s="260"/>
      <c r="AB2941" s="260"/>
      <c r="AC2941" s="260"/>
      <c r="AD2941" s="260"/>
      <c r="AE2941" s="260"/>
      <c r="AF2941" s="260"/>
      <c r="AG2941" s="258"/>
    </row>
    <row r="2942" spans="13:33" ht="12" hidden="1" customHeight="1">
      <c r="M2942" s="820"/>
      <c r="N2942" s="239"/>
      <c r="O2942" s="225"/>
      <c r="P2942" s="260"/>
      <c r="Q2942" s="258"/>
      <c r="R2942" s="260"/>
      <c r="S2942" s="260"/>
      <c r="T2942" s="260"/>
      <c r="U2942" s="260"/>
      <c r="V2942" s="260"/>
      <c r="W2942" s="260"/>
      <c r="X2942" s="260"/>
      <c r="Y2942" s="260"/>
      <c r="Z2942" s="260"/>
      <c r="AA2942" s="260"/>
      <c r="AB2942" s="260"/>
      <c r="AC2942" s="260"/>
      <c r="AD2942" s="260"/>
      <c r="AE2942" s="260"/>
      <c r="AF2942" s="260"/>
      <c r="AG2942" s="258"/>
    </row>
    <row r="2943" spans="13:33" ht="12" hidden="1" customHeight="1">
      <c r="M2943" s="820"/>
      <c r="N2943" s="239"/>
      <c r="O2943" s="225"/>
      <c r="P2943" s="260"/>
      <c r="Q2943" s="258"/>
      <c r="R2943" s="260"/>
      <c r="S2943" s="260"/>
      <c r="T2943" s="260"/>
      <c r="U2943" s="260"/>
      <c r="V2943" s="260"/>
      <c r="W2943" s="260"/>
      <c r="X2943" s="260"/>
      <c r="Y2943" s="260"/>
      <c r="Z2943" s="260"/>
      <c r="AA2943" s="260"/>
      <c r="AB2943" s="260"/>
      <c r="AC2943" s="260"/>
      <c r="AD2943" s="260"/>
      <c r="AE2943" s="260"/>
      <c r="AF2943" s="260"/>
      <c r="AG2943" s="258"/>
    </row>
    <row r="2944" spans="13:33" ht="12" hidden="1" customHeight="1">
      <c r="M2944" s="820"/>
      <c r="N2944" s="239"/>
      <c r="O2944" s="225"/>
      <c r="P2944" s="260"/>
      <c r="Q2944" s="258"/>
      <c r="R2944" s="260"/>
      <c r="S2944" s="260"/>
      <c r="T2944" s="260"/>
      <c r="U2944" s="260"/>
      <c r="V2944" s="260"/>
      <c r="W2944" s="260"/>
      <c r="X2944" s="260"/>
      <c r="Y2944" s="260"/>
      <c r="Z2944" s="260"/>
      <c r="AA2944" s="260"/>
      <c r="AB2944" s="260"/>
      <c r="AC2944" s="260"/>
      <c r="AD2944" s="260"/>
      <c r="AE2944" s="260"/>
      <c r="AF2944" s="260"/>
      <c r="AG2944" s="258"/>
    </row>
    <row r="2945" spans="13:33" ht="12" hidden="1" customHeight="1">
      <c r="M2945" s="820"/>
      <c r="N2945" s="239"/>
      <c r="O2945" s="225"/>
      <c r="P2945" s="260"/>
      <c r="Q2945" s="258"/>
      <c r="R2945" s="260"/>
      <c r="S2945" s="260"/>
      <c r="T2945" s="260"/>
      <c r="U2945" s="260"/>
      <c r="V2945" s="260"/>
      <c r="W2945" s="260"/>
      <c r="X2945" s="260"/>
      <c r="Y2945" s="260"/>
      <c r="Z2945" s="260"/>
      <c r="AA2945" s="260"/>
      <c r="AB2945" s="260"/>
      <c r="AC2945" s="260"/>
      <c r="AD2945" s="260"/>
      <c r="AE2945" s="260"/>
      <c r="AF2945" s="260"/>
      <c r="AG2945" s="258"/>
    </row>
    <row r="2946" spans="13:33" ht="12" hidden="1" customHeight="1">
      <c r="M2946" s="820"/>
      <c r="N2946" s="239"/>
      <c r="O2946" s="225"/>
      <c r="P2946" s="260"/>
      <c r="Q2946" s="258"/>
      <c r="R2946" s="260"/>
      <c r="S2946" s="260"/>
      <c r="T2946" s="260"/>
      <c r="U2946" s="260"/>
      <c r="V2946" s="260"/>
      <c r="W2946" s="260"/>
      <c r="X2946" s="260"/>
      <c r="Y2946" s="260"/>
      <c r="Z2946" s="260"/>
      <c r="AA2946" s="260"/>
      <c r="AB2946" s="260"/>
      <c r="AC2946" s="260"/>
      <c r="AD2946" s="260"/>
      <c r="AE2946" s="260"/>
      <c r="AF2946" s="260"/>
      <c r="AG2946" s="258"/>
    </row>
    <row r="2947" spans="13:33" ht="12" hidden="1" customHeight="1">
      <c r="M2947" s="820"/>
      <c r="N2947" s="239"/>
      <c r="O2947" s="225"/>
      <c r="P2947" s="260"/>
      <c r="Q2947" s="258"/>
      <c r="R2947" s="260"/>
      <c r="S2947" s="260"/>
      <c r="T2947" s="260"/>
      <c r="U2947" s="260"/>
      <c r="V2947" s="260"/>
      <c r="W2947" s="260"/>
      <c r="X2947" s="260"/>
      <c r="Y2947" s="260"/>
      <c r="Z2947" s="260"/>
      <c r="AA2947" s="260"/>
      <c r="AB2947" s="260"/>
      <c r="AC2947" s="260"/>
      <c r="AD2947" s="260"/>
      <c r="AE2947" s="260"/>
      <c r="AF2947" s="260"/>
      <c r="AG2947" s="258"/>
    </row>
    <row r="2948" spans="13:33" ht="12" hidden="1" customHeight="1">
      <c r="M2948" s="820"/>
      <c r="N2948" s="239"/>
      <c r="O2948" s="225"/>
      <c r="P2948" s="260"/>
      <c r="Q2948" s="258"/>
      <c r="R2948" s="260"/>
      <c r="S2948" s="260"/>
      <c r="T2948" s="260"/>
      <c r="U2948" s="260"/>
      <c r="V2948" s="260"/>
      <c r="W2948" s="260"/>
      <c r="X2948" s="260"/>
      <c r="Y2948" s="260"/>
      <c r="Z2948" s="260"/>
      <c r="AA2948" s="260"/>
      <c r="AB2948" s="260"/>
      <c r="AC2948" s="260"/>
      <c r="AD2948" s="260"/>
      <c r="AE2948" s="260"/>
      <c r="AF2948" s="260"/>
      <c r="AG2948" s="258"/>
    </row>
    <row r="2949" spans="13:33" ht="12" hidden="1" customHeight="1">
      <c r="M2949" s="820"/>
      <c r="N2949" s="239"/>
      <c r="O2949" s="225"/>
      <c r="P2949" s="260"/>
      <c r="Q2949" s="258"/>
      <c r="R2949" s="260"/>
      <c r="S2949" s="260"/>
      <c r="T2949" s="260"/>
      <c r="U2949" s="260"/>
      <c r="V2949" s="260"/>
      <c r="W2949" s="260"/>
      <c r="X2949" s="260"/>
      <c r="Y2949" s="260"/>
      <c r="Z2949" s="260"/>
      <c r="AA2949" s="260"/>
      <c r="AB2949" s="260"/>
      <c r="AC2949" s="260"/>
      <c r="AD2949" s="260"/>
      <c r="AE2949" s="260"/>
      <c r="AF2949" s="260"/>
      <c r="AG2949" s="258"/>
    </row>
    <row r="2950" spans="13:33" ht="12" hidden="1" customHeight="1">
      <c r="M2950" s="820"/>
      <c r="N2950" s="239"/>
      <c r="O2950" s="225"/>
      <c r="P2950" s="260"/>
      <c r="Q2950" s="258"/>
      <c r="R2950" s="260"/>
      <c r="S2950" s="260"/>
      <c r="T2950" s="260"/>
      <c r="U2950" s="260"/>
      <c r="V2950" s="260"/>
      <c r="W2950" s="260"/>
      <c r="X2950" s="260"/>
      <c r="Y2950" s="260"/>
      <c r="Z2950" s="260"/>
      <c r="AA2950" s="260"/>
      <c r="AB2950" s="260"/>
      <c r="AC2950" s="260"/>
      <c r="AD2950" s="260"/>
      <c r="AE2950" s="260"/>
      <c r="AF2950" s="260"/>
      <c r="AG2950" s="258"/>
    </row>
    <row r="2951" spans="13:33" ht="12" hidden="1" customHeight="1">
      <c r="M2951" s="820"/>
      <c r="N2951" s="239"/>
      <c r="O2951" s="225"/>
      <c r="P2951" s="260"/>
      <c r="Q2951" s="258"/>
      <c r="R2951" s="260"/>
      <c r="S2951" s="260"/>
      <c r="T2951" s="260"/>
      <c r="U2951" s="260"/>
      <c r="V2951" s="260"/>
      <c r="W2951" s="260"/>
      <c r="X2951" s="260"/>
      <c r="Y2951" s="260"/>
      <c r="Z2951" s="260"/>
      <c r="AA2951" s="260"/>
      <c r="AB2951" s="260"/>
      <c r="AC2951" s="260"/>
      <c r="AD2951" s="260"/>
      <c r="AE2951" s="260"/>
      <c r="AF2951" s="260"/>
      <c r="AG2951" s="258"/>
    </row>
    <row r="2952" spans="13:33" ht="12" hidden="1" customHeight="1">
      <c r="M2952" s="820"/>
      <c r="N2952" s="239"/>
      <c r="O2952" s="225"/>
      <c r="P2952" s="260"/>
      <c r="Q2952" s="258"/>
      <c r="R2952" s="260"/>
      <c r="S2952" s="260"/>
      <c r="T2952" s="260"/>
      <c r="U2952" s="260"/>
      <c r="V2952" s="260"/>
      <c r="W2952" s="260"/>
      <c r="X2952" s="260"/>
      <c r="Y2952" s="260"/>
      <c r="Z2952" s="260"/>
      <c r="AA2952" s="260"/>
      <c r="AB2952" s="260"/>
      <c r="AC2952" s="260"/>
      <c r="AD2952" s="260"/>
      <c r="AE2952" s="260"/>
      <c r="AF2952" s="260"/>
      <c r="AG2952" s="258"/>
    </row>
    <row r="2953" spans="13:33" ht="12" hidden="1" customHeight="1">
      <c r="M2953" s="820"/>
      <c r="N2953" s="239"/>
      <c r="O2953" s="225"/>
      <c r="P2953" s="260"/>
      <c r="Q2953" s="258"/>
      <c r="R2953" s="260"/>
      <c r="S2953" s="260"/>
      <c r="T2953" s="260"/>
      <c r="U2953" s="260"/>
      <c r="V2953" s="260"/>
      <c r="W2953" s="260"/>
      <c r="X2953" s="260"/>
      <c r="Y2953" s="260"/>
      <c r="Z2953" s="260"/>
      <c r="AA2953" s="260"/>
      <c r="AB2953" s="260"/>
      <c r="AC2953" s="260"/>
      <c r="AD2953" s="260"/>
      <c r="AE2953" s="260"/>
      <c r="AF2953" s="260"/>
      <c r="AG2953" s="258"/>
    </row>
    <row r="2954" spans="13:33" ht="12" hidden="1" customHeight="1">
      <c r="M2954" s="820"/>
      <c r="N2954" s="239"/>
      <c r="O2954" s="225"/>
      <c r="P2954" s="260"/>
      <c r="Q2954" s="258"/>
      <c r="R2954" s="260"/>
      <c r="S2954" s="260"/>
      <c r="T2954" s="260"/>
      <c r="U2954" s="260"/>
      <c r="V2954" s="260"/>
      <c r="W2954" s="260"/>
      <c r="X2954" s="260"/>
      <c r="Y2954" s="260"/>
      <c r="Z2954" s="260"/>
      <c r="AA2954" s="260"/>
      <c r="AB2954" s="260"/>
      <c r="AC2954" s="260"/>
      <c r="AD2954" s="260"/>
      <c r="AE2954" s="260"/>
      <c r="AF2954" s="260"/>
      <c r="AG2954" s="258"/>
    </row>
    <row r="2955" spans="13:33" ht="12" hidden="1" customHeight="1">
      <c r="M2955" s="820"/>
      <c r="N2955" s="239"/>
      <c r="O2955" s="225"/>
      <c r="P2955" s="260"/>
      <c r="Q2955" s="258"/>
      <c r="R2955" s="260"/>
      <c r="S2955" s="260"/>
      <c r="T2955" s="260"/>
      <c r="U2955" s="260"/>
      <c r="V2955" s="260"/>
      <c r="W2955" s="260"/>
      <c r="X2955" s="260"/>
      <c r="Y2955" s="260"/>
      <c r="Z2955" s="260"/>
      <c r="AA2955" s="260"/>
      <c r="AB2955" s="260"/>
      <c r="AC2955" s="260"/>
      <c r="AD2955" s="260"/>
      <c r="AE2955" s="260"/>
      <c r="AF2955" s="260"/>
      <c r="AG2955" s="258"/>
    </row>
    <row r="2956" spans="13:33" ht="12" hidden="1" customHeight="1">
      <c r="M2956" s="820"/>
      <c r="N2956" s="239"/>
      <c r="O2956" s="225"/>
      <c r="P2956" s="260"/>
      <c r="Q2956" s="258"/>
      <c r="R2956" s="260"/>
      <c r="S2956" s="260"/>
      <c r="T2956" s="260"/>
      <c r="U2956" s="260"/>
      <c r="V2956" s="260"/>
      <c r="W2956" s="260"/>
      <c r="X2956" s="260"/>
      <c r="Y2956" s="260"/>
      <c r="Z2956" s="260"/>
      <c r="AA2956" s="260"/>
      <c r="AB2956" s="260"/>
      <c r="AC2956" s="260"/>
      <c r="AD2956" s="260"/>
      <c r="AE2956" s="260"/>
      <c r="AF2956" s="260"/>
      <c r="AG2956" s="258"/>
    </row>
    <row r="2957" spans="13:33" ht="12" hidden="1" customHeight="1">
      <c r="M2957" s="820"/>
      <c r="N2957" s="239"/>
      <c r="O2957" s="225"/>
      <c r="P2957" s="260"/>
      <c r="Q2957" s="258"/>
      <c r="R2957" s="260"/>
      <c r="S2957" s="260"/>
      <c r="T2957" s="260"/>
      <c r="U2957" s="260"/>
      <c r="V2957" s="260"/>
      <c r="W2957" s="260"/>
      <c r="X2957" s="260"/>
      <c r="Y2957" s="260"/>
      <c r="Z2957" s="260"/>
      <c r="AA2957" s="260"/>
      <c r="AB2957" s="260"/>
      <c r="AC2957" s="260"/>
      <c r="AD2957" s="260"/>
      <c r="AE2957" s="260"/>
      <c r="AF2957" s="260"/>
      <c r="AG2957" s="258"/>
    </row>
    <row r="2958" spans="13:33" ht="12" hidden="1" customHeight="1">
      <c r="M2958" s="820"/>
      <c r="N2958" s="239"/>
      <c r="O2958" s="225"/>
      <c r="P2958" s="260"/>
      <c r="Q2958" s="258"/>
      <c r="R2958" s="260"/>
      <c r="S2958" s="260"/>
      <c r="T2958" s="260"/>
      <c r="U2958" s="260"/>
      <c r="V2958" s="260"/>
      <c r="W2958" s="260"/>
      <c r="X2958" s="260"/>
      <c r="Y2958" s="260"/>
      <c r="Z2958" s="260"/>
      <c r="AA2958" s="260"/>
      <c r="AB2958" s="260"/>
      <c r="AC2958" s="260"/>
      <c r="AD2958" s="260"/>
      <c r="AE2958" s="260"/>
      <c r="AF2958" s="260"/>
      <c r="AG2958" s="258"/>
    </row>
    <row r="2959" spans="13:33" ht="12" hidden="1" customHeight="1">
      <c r="M2959" s="820"/>
      <c r="N2959" s="239"/>
      <c r="O2959" s="225"/>
      <c r="P2959" s="260"/>
      <c r="Q2959" s="258"/>
      <c r="R2959" s="260"/>
      <c r="S2959" s="260"/>
      <c r="T2959" s="260"/>
      <c r="U2959" s="260"/>
      <c r="V2959" s="260"/>
      <c r="W2959" s="260"/>
      <c r="X2959" s="260"/>
      <c r="Y2959" s="260"/>
      <c r="Z2959" s="260"/>
      <c r="AA2959" s="260"/>
      <c r="AB2959" s="260"/>
      <c r="AC2959" s="260"/>
      <c r="AD2959" s="260"/>
      <c r="AE2959" s="260"/>
      <c r="AF2959" s="260"/>
      <c r="AG2959" s="258"/>
    </row>
    <row r="2960" spans="13:33" ht="12" hidden="1" customHeight="1">
      <c r="M2960" s="820"/>
      <c r="N2960" s="239"/>
      <c r="O2960" s="225"/>
      <c r="P2960" s="260"/>
      <c r="Q2960" s="258"/>
      <c r="R2960" s="260"/>
      <c r="S2960" s="260"/>
      <c r="T2960" s="260"/>
      <c r="U2960" s="260"/>
      <c r="V2960" s="260"/>
      <c r="W2960" s="260"/>
      <c r="X2960" s="260"/>
      <c r="Y2960" s="260"/>
      <c r="Z2960" s="260"/>
      <c r="AA2960" s="260"/>
      <c r="AB2960" s="260"/>
      <c r="AC2960" s="260"/>
      <c r="AD2960" s="260"/>
      <c r="AE2960" s="260"/>
      <c r="AF2960" s="260"/>
      <c r="AG2960" s="258"/>
    </row>
    <row r="2961" spans="13:33" ht="12" hidden="1" customHeight="1">
      <c r="M2961" s="820"/>
      <c r="N2961" s="239"/>
      <c r="O2961" s="225"/>
      <c r="P2961" s="260"/>
      <c r="Q2961" s="258"/>
      <c r="R2961" s="260"/>
      <c r="S2961" s="260"/>
      <c r="T2961" s="260"/>
      <c r="U2961" s="260"/>
      <c r="V2961" s="260"/>
      <c r="W2961" s="260"/>
      <c r="X2961" s="260"/>
      <c r="Y2961" s="260"/>
      <c r="Z2961" s="260"/>
      <c r="AA2961" s="260"/>
      <c r="AB2961" s="260"/>
      <c r="AC2961" s="260"/>
      <c r="AD2961" s="260"/>
      <c r="AE2961" s="260"/>
      <c r="AF2961" s="260"/>
      <c r="AG2961" s="258"/>
    </row>
    <row r="2962" spans="13:33" ht="12" hidden="1" customHeight="1">
      <c r="M2962" s="820"/>
      <c r="N2962" s="239"/>
      <c r="O2962" s="225"/>
      <c r="P2962" s="260"/>
      <c r="Q2962" s="258"/>
      <c r="R2962" s="260"/>
      <c r="S2962" s="260"/>
      <c r="T2962" s="260"/>
      <c r="U2962" s="260"/>
      <c r="V2962" s="260"/>
      <c r="W2962" s="260"/>
      <c r="X2962" s="260"/>
      <c r="Y2962" s="260"/>
      <c r="Z2962" s="260"/>
      <c r="AA2962" s="260"/>
      <c r="AB2962" s="260"/>
      <c r="AC2962" s="260"/>
      <c r="AD2962" s="260"/>
      <c r="AE2962" s="260"/>
      <c r="AF2962" s="260"/>
      <c r="AG2962" s="258"/>
    </row>
    <row r="2963" spans="13:33" ht="12" hidden="1" customHeight="1">
      <c r="M2963" s="820"/>
      <c r="N2963" s="239"/>
      <c r="O2963" s="225"/>
      <c r="P2963" s="260"/>
      <c r="Q2963" s="258"/>
      <c r="R2963" s="260"/>
      <c r="S2963" s="260"/>
      <c r="T2963" s="260"/>
      <c r="U2963" s="260"/>
      <c r="V2963" s="260"/>
      <c r="W2963" s="260"/>
      <c r="X2963" s="260"/>
      <c r="Y2963" s="260"/>
      <c r="Z2963" s="260"/>
      <c r="AA2963" s="260"/>
      <c r="AB2963" s="260"/>
      <c r="AC2963" s="260"/>
      <c r="AD2963" s="260"/>
      <c r="AE2963" s="260"/>
      <c r="AF2963" s="260"/>
      <c r="AG2963" s="258"/>
    </row>
    <row r="2964" spans="13:33" ht="12" hidden="1" customHeight="1">
      <c r="M2964" s="820"/>
      <c r="N2964" s="239"/>
      <c r="O2964" s="225"/>
      <c r="P2964" s="260"/>
      <c r="Q2964" s="258"/>
      <c r="R2964" s="260"/>
      <c r="S2964" s="260"/>
      <c r="T2964" s="260"/>
      <c r="U2964" s="260"/>
      <c r="V2964" s="260"/>
      <c r="W2964" s="260"/>
      <c r="X2964" s="260"/>
      <c r="Y2964" s="260"/>
      <c r="Z2964" s="260"/>
      <c r="AA2964" s="260"/>
      <c r="AB2964" s="260"/>
      <c r="AC2964" s="260"/>
      <c r="AD2964" s="260"/>
      <c r="AE2964" s="260"/>
      <c r="AF2964" s="260"/>
      <c r="AG2964" s="258"/>
    </row>
    <row r="2965" spans="13:33" ht="12" hidden="1" customHeight="1">
      <c r="M2965" s="820"/>
      <c r="N2965" s="239"/>
      <c r="O2965" s="225"/>
      <c r="P2965" s="260"/>
      <c r="Q2965" s="258"/>
      <c r="R2965" s="260"/>
      <c r="S2965" s="260"/>
      <c r="T2965" s="260"/>
      <c r="U2965" s="260"/>
      <c r="V2965" s="260"/>
      <c r="W2965" s="260"/>
      <c r="X2965" s="260"/>
      <c r="Y2965" s="260"/>
      <c r="Z2965" s="260"/>
      <c r="AA2965" s="260"/>
      <c r="AB2965" s="260"/>
      <c r="AC2965" s="260"/>
      <c r="AD2965" s="260"/>
      <c r="AE2965" s="260"/>
      <c r="AF2965" s="260"/>
      <c r="AG2965" s="258"/>
    </row>
    <row r="2966" spans="13:33" ht="12" hidden="1" customHeight="1">
      <c r="M2966" s="820"/>
      <c r="N2966" s="239"/>
      <c r="O2966" s="225"/>
      <c r="P2966" s="260"/>
      <c r="Q2966" s="258"/>
      <c r="R2966" s="260"/>
      <c r="S2966" s="260"/>
      <c r="T2966" s="260"/>
      <c r="U2966" s="260"/>
      <c r="V2966" s="260"/>
      <c r="W2966" s="260"/>
      <c r="X2966" s="260"/>
      <c r="Y2966" s="260"/>
      <c r="Z2966" s="260"/>
      <c r="AA2966" s="260"/>
      <c r="AB2966" s="260"/>
      <c r="AC2966" s="260"/>
      <c r="AD2966" s="260"/>
      <c r="AE2966" s="260"/>
      <c r="AF2966" s="260"/>
      <c r="AG2966" s="258"/>
    </row>
    <row r="2967" spans="13:33" ht="12" hidden="1" customHeight="1">
      <c r="M2967" s="820"/>
      <c r="N2967" s="239"/>
      <c r="O2967" s="225"/>
      <c r="P2967" s="260"/>
      <c r="Q2967" s="258"/>
      <c r="R2967" s="260"/>
      <c r="S2967" s="260"/>
      <c r="T2967" s="260"/>
      <c r="U2967" s="260"/>
      <c r="V2967" s="260"/>
      <c r="W2967" s="260"/>
      <c r="X2967" s="260"/>
      <c r="Y2967" s="260"/>
      <c r="Z2967" s="260"/>
      <c r="AA2967" s="260"/>
      <c r="AB2967" s="260"/>
      <c r="AC2967" s="260"/>
      <c r="AD2967" s="260"/>
      <c r="AE2967" s="260"/>
      <c r="AF2967" s="260"/>
      <c r="AG2967" s="258"/>
    </row>
    <row r="2968" spans="13:33" ht="12" hidden="1" customHeight="1">
      <c r="M2968" s="820"/>
      <c r="N2968" s="239"/>
      <c r="O2968" s="225"/>
      <c r="P2968" s="260"/>
      <c r="Q2968" s="258"/>
      <c r="R2968" s="260"/>
      <c r="S2968" s="260"/>
      <c r="T2968" s="260"/>
      <c r="U2968" s="260"/>
      <c r="V2968" s="260"/>
      <c r="W2968" s="260"/>
      <c r="X2968" s="260"/>
      <c r="Y2968" s="260"/>
      <c r="Z2968" s="260"/>
      <c r="AA2968" s="260"/>
      <c r="AB2968" s="260"/>
      <c r="AC2968" s="260"/>
      <c r="AD2968" s="260"/>
      <c r="AE2968" s="260"/>
      <c r="AF2968" s="260"/>
      <c r="AG2968" s="258"/>
    </row>
    <row r="2969" spans="13:33" ht="12" hidden="1" customHeight="1">
      <c r="M2969" s="820"/>
      <c r="N2969" s="239"/>
      <c r="O2969" s="225"/>
      <c r="P2969" s="260"/>
      <c r="Q2969" s="258"/>
      <c r="R2969" s="260"/>
      <c r="S2969" s="260"/>
      <c r="T2969" s="260"/>
      <c r="U2969" s="260"/>
      <c r="V2969" s="260"/>
      <c r="W2969" s="260"/>
      <c r="X2969" s="260"/>
      <c r="Y2969" s="260"/>
      <c r="Z2969" s="260"/>
      <c r="AA2969" s="260"/>
      <c r="AB2969" s="260"/>
      <c r="AC2969" s="260"/>
      <c r="AD2969" s="260"/>
      <c r="AE2969" s="260"/>
      <c r="AF2969" s="260"/>
      <c r="AG2969" s="258"/>
    </row>
    <row r="2970" spans="13:33" ht="12" hidden="1" customHeight="1">
      <c r="M2970" s="820"/>
      <c r="N2970" s="239"/>
      <c r="O2970" s="225"/>
      <c r="P2970" s="260"/>
      <c r="Q2970" s="258"/>
      <c r="R2970" s="260"/>
      <c r="S2970" s="260"/>
      <c r="T2970" s="260"/>
      <c r="U2970" s="260"/>
      <c r="V2970" s="260"/>
      <c r="W2970" s="260"/>
      <c r="X2970" s="260"/>
      <c r="Y2970" s="260"/>
      <c r="Z2970" s="260"/>
      <c r="AA2970" s="260"/>
      <c r="AB2970" s="260"/>
      <c r="AC2970" s="260"/>
      <c r="AD2970" s="260"/>
      <c r="AE2970" s="260"/>
      <c r="AF2970" s="260"/>
      <c r="AG2970" s="258"/>
    </row>
    <row r="2971" spans="13:33" ht="12" hidden="1" customHeight="1">
      <c r="M2971" s="820"/>
      <c r="N2971" s="239"/>
      <c r="O2971" s="225"/>
      <c r="P2971" s="260"/>
      <c r="Q2971" s="258"/>
      <c r="R2971" s="260"/>
      <c r="S2971" s="260"/>
      <c r="T2971" s="260"/>
      <c r="U2971" s="260"/>
      <c r="V2971" s="260"/>
      <c r="W2971" s="260"/>
      <c r="X2971" s="260"/>
      <c r="Y2971" s="260"/>
      <c r="Z2971" s="260"/>
      <c r="AA2971" s="260"/>
      <c r="AB2971" s="260"/>
      <c r="AC2971" s="260"/>
      <c r="AD2971" s="260"/>
      <c r="AE2971" s="260"/>
      <c r="AF2971" s="260"/>
      <c r="AG2971" s="258"/>
    </row>
    <row r="2972" spans="13:33" ht="12" hidden="1" customHeight="1">
      <c r="M2972" s="820"/>
      <c r="N2972" s="239"/>
      <c r="O2972" s="225"/>
      <c r="P2972" s="260"/>
      <c r="Q2972" s="258"/>
      <c r="R2972" s="260"/>
      <c r="S2972" s="260"/>
      <c r="T2972" s="260"/>
      <c r="U2972" s="260"/>
      <c r="V2972" s="260"/>
      <c r="W2972" s="260"/>
      <c r="X2972" s="260"/>
      <c r="Y2972" s="260"/>
      <c r="Z2972" s="260"/>
      <c r="AA2972" s="260"/>
      <c r="AB2972" s="260"/>
      <c r="AC2972" s="260"/>
      <c r="AD2972" s="260"/>
      <c r="AE2972" s="260"/>
      <c r="AF2972" s="260"/>
      <c r="AG2972" s="258"/>
    </row>
    <row r="2973" spans="13:33" ht="12" hidden="1" customHeight="1">
      <c r="M2973" s="820"/>
      <c r="N2973" s="239"/>
      <c r="O2973" s="225"/>
      <c r="P2973" s="260"/>
      <c r="Q2973" s="258"/>
      <c r="R2973" s="260"/>
      <c r="S2973" s="260"/>
      <c r="T2973" s="260"/>
      <c r="U2973" s="260"/>
      <c r="V2973" s="260"/>
      <c r="W2973" s="260"/>
      <c r="X2973" s="260"/>
      <c r="Y2973" s="260"/>
      <c r="Z2973" s="260"/>
      <c r="AA2973" s="260"/>
      <c r="AB2973" s="260"/>
      <c r="AC2973" s="260"/>
      <c r="AD2973" s="260"/>
      <c r="AE2973" s="260"/>
      <c r="AF2973" s="260"/>
      <c r="AG2973" s="258"/>
    </row>
    <row r="2974" spans="13:33" ht="12" hidden="1" customHeight="1">
      <c r="M2974" s="820"/>
      <c r="N2974" s="239"/>
      <c r="O2974" s="225"/>
      <c r="P2974" s="260"/>
      <c r="Q2974" s="258"/>
      <c r="R2974" s="260"/>
      <c r="S2974" s="260"/>
      <c r="T2974" s="260"/>
      <c r="U2974" s="260"/>
      <c r="V2974" s="260"/>
      <c r="W2974" s="260"/>
      <c r="X2974" s="260"/>
      <c r="Y2974" s="260"/>
      <c r="Z2974" s="260"/>
      <c r="AA2974" s="260"/>
      <c r="AB2974" s="260"/>
      <c r="AC2974" s="260"/>
      <c r="AD2974" s="260"/>
      <c r="AE2974" s="260"/>
      <c r="AF2974" s="260"/>
      <c r="AG2974" s="258"/>
    </row>
    <row r="2975" spans="13:33" ht="12" hidden="1" customHeight="1">
      <c r="M2975" s="820"/>
      <c r="N2975" s="239"/>
      <c r="O2975" s="225"/>
      <c r="P2975" s="260"/>
      <c r="Q2975" s="258"/>
      <c r="R2975" s="260"/>
      <c r="S2975" s="260"/>
      <c r="T2975" s="260"/>
      <c r="U2975" s="260"/>
      <c r="V2975" s="260"/>
      <c r="W2975" s="260"/>
      <c r="X2975" s="260"/>
      <c r="Y2975" s="260"/>
      <c r="Z2975" s="260"/>
      <c r="AA2975" s="260"/>
      <c r="AB2975" s="260"/>
      <c r="AC2975" s="260"/>
      <c r="AD2975" s="260"/>
      <c r="AE2975" s="260"/>
      <c r="AF2975" s="260"/>
      <c r="AG2975" s="258"/>
    </row>
    <row r="2976" spans="13:33" ht="12" hidden="1" customHeight="1">
      <c r="M2976" s="820"/>
      <c r="N2976" s="239"/>
      <c r="O2976" s="225"/>
      <c r="P2976" s="260"/>
      <c r="Q2976" s="258"/>
      <c r="R2976" s="260"/>
      <c r="S2976" s="260"/>
      <c r="T2976" s="260"/>
      <c r="U2976" s="260"/>
      <c r="V2976" s="260"/>
      <c r="W2976" s="260"/>
      <c r="X2976" s="260"/>
      <c r="Y2976" s="260"/>
      <c r="Z2976" s="260"/>
      <c r="AA2976" s="260"/>
      <c r="AB2976" s="260"/>
      <c r="AC2976" s="260"/>
      <c r="AD2976" s="260"/>
      <c r="AE2976" s="260"/>
      <c r="AF2976" s="260"/>
      <c r="AG2976" s="258"/>
    </row>
    <row r="2977" spans="13:33" ht="12" hidden="1" customHeight="1">
      <c r="M2977" s="820"/>
      <c r="N2977" s="239"/>
      <c r="O2977" s="225"/>
      <c r="P2977" s="260"/>
      <c r="Q2977" s="258"/>
      <c r="R2977" s="260"/>
      <c r="S2977" s="260"/>
      <c r="T2977" s="260"/>
      <c r="U2977" s="260"/>
      <c r="V2977" s="260"/>
      <c r="W2977" s="260"/>
      <c r="X2977" s="260"/>
      <c r="Y2977" s="260"/>
      <c r="Z2977" s="260"/>
      <c r="AA2977" s="260"/>
      <c r="AB2977" s="260"/>
      <c r="AC2977" s="260"/>
      <c r="AD2977" s="260"/>
      <c r="AE2977" s="260"/>
      <c r="AF2977" s="260"/>
      <c r="AG2977" s="258"/>
    </row>
    <row r="2978" spans="13:33" ht="12" hidden="1" customHeight="1">
      <c r="M2978" s="820"/>
      <c r="N2978" s="239"/>
      <c r="O2978" s="225"/>
      <c r="P2978" s="260"/>
      <c r="Q2978" s="258"/>
      <c r="R2978" s="260"/>
      <c r="S2978" s="260"/>
      <c r="T2978" s="260"/>
      <c r="U2978" s="260"/>
      <c r="V2978" s="260"/>
      <c r="W2978" s="260"/>
      <c r="X2978" s="260"/>
      <c r="Y2978" s="260"/>
      <c r="Z2978" s="260"/>
      <c r="AA2978" s="260"/>
      <c r="AB2978" s="260"/>
      <c r="AC2978" s="260"/>
      <c r="AD2978" s="260"/>
      <c r="AE2978" s="260"/>
      <c r="AF2978" s="260"/>
      <c r="AG2978" s="258"/>
    </row>
    <row r="2979" spans="13:33" ht="12" hidden="1" customHeight="1">
      <c r="M2979" s="820"/>
      <c r="N2979" s="239"/>
      <c r="O2979" s="225"/>
      <c r="P2979" s="260"/>
      <c r="Q2979" s="258"/>
      <c r="R2979" s="260"/>
      <c r="S2979" s="260"/>
      <c r="T2979" s="260"/>
      <c r="U2979" s="260"/>
      <c r="V2979" s="260"/>
      <c r="W2979" s="260"/>
      <c r="X2979" s="260"/>
      <c r="Y2979" s="260"/>
      <c r="Z2979" s="260"/>
      <c r="AA2979" s="260"/>
      <c r="AB2979" s="260"/>
      <c r="AC2979" s="260"/>
      <c r="AD2979" s="260"/>
      <c r="AE2979" s="260"/>
      <c r="AF2979" s="260"/>
      <c r="AG2979" s="258"/>
    </row>
    <row r="2980" spans="13:33" ht="12" hidden="1" customHeight="1">
      <c r="M2980" s="820"/>
      <c r="N2980" s="239"/>
      <c r="O2980" s="225"/>
      <c r="P2980" s="260"/>
      <c r="Q2980" s="258"/>
      <c r="R2980" s="260"/>
      <c r="S2980" s="260"/>
      <c r="T2980" s="260"/>
      <c r="U2980" s="260"/>
      <c r="V2980" s="260"/>
      <c r="W2980" s="260"/>
      <c r="X2980" s="260"/>
      <c r="Y2980" s="260"/>
      <c r="Z2980" s="260"/>
      <c r="AA2980" s="260"/>
      <c r="AB2980" s="260"/>
      <c r="AC2980" s="260"/>
      <c r="AD2980" s="260"/>
      <c r="AE2980" s="260"/>
      <c r="AF2980" s="260"/>
      <c r="AG2980" s="258"/>
    </row>
    <row r="2981" spans="13:33" ht="12" hidden="1" customHeight="1">
      <c r="M2981" s="820"/>
      <c r="N2981" s="239"/>
      <c r="O2981" s="225"/>
      <c r="P2981" s="260"/>
      <c r="Q2981" s="258"/>
      <c r="R2981" s="260"/>
      <c r="S2981" s="260"/>
      <c r="T2981" s="260"/>
      <c r="U2981" s="260"/>
      <c r="V2981" s="260"/>
      <c r="W2981" s="260"/>
      <c r="X2981" s="260"/>
      <c r="Y2981" s="260"/>
      <c r="Z2981" s="260"/>
      <c r="AA2981" s="260"/>
      <c r="AB2981" s="260"/>
      <c r="AC2981" s="260"/>
      <c r="AD2981" s="260"/>
      <c r="AE2981" s="260"/>
      <c r="AF2981" s="260"/>
      <c r="AG2981" s="258"/>
    </row>
    <row r="2982" spans="13:33" ht="12" hidden="1" customHeight="1">
      <c r="M2982" s="820"/>
      <c r="N2982" s="239"/>
      <c r="O2982" s="225"/>
      <c r="P2982" s="260"/>
      <c r="Q2982" s="258"/>
      <c r="R2982" s="260"/>
      <c r="S2982" s="260"/>
      <c r="T2982" s="260"/>
      <c r="U2982" s="260"/>
      <c r="V2982" s="260"/>
      <c r="W2982" s="260"/>
      <c r="X2982" s="260"/>
      <c r="Y2982" s="260"/>
      <c r="Z2982" s="260"/>
      <c r="AA2982" s="260"/>
      <c r="AB2982" s="260"/>
      <c r="AC2982" s="260"/>
      <c r="AD2982" s="260"/>
      <c r="AE2982" s="260"/>
      <c r="AF2982" s="260"/>
      <c r="AG2982" s="258"/>
    </row>
    <row r="2983" spans="13:33" ht="12" hidden="1" customHeight="1">
      <c r="M2983" s="820"/>
      <c r="N2983" s="239"/>
      <c r="O2983" s="225"/>
      <c r="P2983" s="260"/>
      <c r="Q2983" s="258"/>
      <c r="R2983" s="260"/>
      <c r="S2983" s="260"/>
      <c r="T2983" s="260"/>
      <c r="U2983" s="260"/>
      <c r="V2983" s="260"/>
      <c r="W2983" s="260"/>
      <c r="X2983" s="260"/>
      <c r="Y2983" s="260"/>
      <c r="Z2983" s="260"/>
      <c r="AA2983" s="260"/>
      <c r="AB2983" s="260"/>
      <c r="AC2983" s="260"/>
      <c r="AD2983" s="260"/>
      <c r="AE2983" s="260"/>
      <c r="AF2983" s="260"/>
      <c r="AG2983" s="258"/>
    </row>
    <row r="2984" spans="13:33" ht="12" hidden="1" customHeight="1">
      <c r="M2984" s="820"/>
      <c r="N2984" s="239"/>
      <c r="O2984" s="225"/>
      <c r="P2984" s="260"/>
      <c r="Q2984" s="258"/>
      <c r="R2984" s="260"/>
      <c r="S2984" s="260"/>
      <c r="T2984" s="260"/>
      <c r="U2984" s="260"/>
      <c r="V2984" s="260"/>
      <c r="W2984" s="260"/>
      <c r="X2984" s="260"/>
      <c r="Y2984" s="260"/>
      <c r="Z2984" s="260"/>
      <c r="AA2984" s="260"/>
      <c r="AB2984" s="260"/>
      <c r="AC2984" s="260"/>
      <c r="AD2984" s="260"/>
      <c r="AE2984" s="260"/>
      <c r="AF2984" s="260"/>
      <c r="AG2984" s="258"/>
    </row>
    <row r="2985" spans="13:33" ht="12" hidden="1" customHeight="1">
      <c r="M2985" s="820"/>
      <c r="N2985" s="239"/>
      <c r="O2985" s="225"/>
      <c r="P2985" s="260"/>
      <c r="Q2985" s="258"/>
      <c r="R2985" s="260"/>
      <c r="S2985" s="260"/>
      <c r="T2985" s="260"/>
      <c r="U2985" s="260"/>
      <c r="V2985" s="260"/>
      <c r="W2985" s="260"/>
      <c r="X2985" s="260"/>
      <c r="Y2985" s="260"/>
      <c r="Z2985" s="260"/>
      <c r="AA2985" s="260"/>
      <c r="AB2985" s="260"/>
      <c r="AC2985" s="260"/>
      <c r="AD2985" s="260"/>
      <c r="AE2985" s="260"/>
      <c r="AF2985" s="260"/>
      <c r="AG2985" s="258"/>
    </row>
    <row r="2986" spans="13:33" ht="12" hidden="1" customHeight="1">
      <c r="M2986" s="820"/>
      <c r="N2986" s="239"/>
      <c r="O2986" s="225"/>
      <c r="P2986" s="260"/>
      <c r="Q2986" s="258"/>
      <c r="R2986" s="260"/>
      <c r="S2986" s="260"/>
      <c r="T2986" s="260"/>
      <c r="U2986" s="260"/>
      <c r="V2986" s="260"/>
      <c r="W2986" s="260"/>
      <c r="X2986" s="260"/>
      <c r="Y2986" s="260"/>
      <c r="Z2986" s="260"/>
      <c r="AA2986" s="260"/>
      <c r="AB2986" s="260"/>
      <c r="AC2986" s="260"/>
      <c r="AD2986" s="260"/>
      <c r="AE2986" s="260"/>
      <c r="AF2986" s="260"/>
      <c r="AG2986" s="258"/>
    </row>
    <row r="2987" spans="13:33" ht="12" hidden="1" customHeight="1">
      <c r="M2987" s="820"/>
      <c r="N2987" s="239"/>
      <c r="O2987" s="225"/>
      <c r="P2987" s="260"/>
      <c r="Q2987" s="258"/>
      <c r="R2987" s="260"/>
      <c r="S2987" s="260"/>
      <c r="T2987" s="260"/>
      <c r="U2987" s="260"/>
      <c r="V2987" s="260"/>
      <c r="W2987" s="260"/>
      <c r="X2987" s="260"/>
      <c r="Y2987" s="260"/>
      <c r="Z2987" s="260"/>
      <c r="AA2987" s="260"/>
      <c r="AB2987" s="260"/>
      <c r="AC2987" s="260"/>
      <c r="AD2987" s="260"/>
      <c r="AE2987" s="260"/>
      <c r="AF2987" s="260"/>
      <c r="AG2987" s="258"/>
    </row>
    <row r="2988" spans="13:33" ht="12" hidden="1" customHeight="1">
      <c r="M2988" s="820"/>
      <c r="N2988" s="239"/>
      <c r="O2988" s="225"/>
      <c r="P2988" s="260"/>
      <c r="Q2988" s="258"/>
      <c r="R2988" s="260"/>
      <c r="S2988" s="260"/>
      <c r="T2988" s="260"/>
      <c r="U2988" s="260"/>
      <c r="V2988" s="260"/>
      <c r="W2988" s="260"/>
      <c r="X2988" s="260"/>
      <c r="Y2988" s="260"/>
      <c r="Z2988" s="260"/>
      <c r="AA2988" s="260"/>
      <c r="AB2988" s="260"/>
      <c r="AC2988" s="260"/>
      <c r="AD2988" s="260"/>
      <c r="AE2988" s="260"/>
      <c r="AF2988" s="260"/>
      <c r="AG2988" s="258"/>
    </row>
    <row r="2989" spans="13:33" ht="12" hidden="1" customHeight="1">
      <c r="M2989" s="820"/>
      <c r="N2989" s="239"/>
      <c r="O2989" s="225"/>
      <c r="P2989" s="260"/>
      <c r="Q2989" s="258"/>
      <c r="R2989" s="260"/>
      <c r="S2989" s="260"/>
      <c r="T2989" s="260"/>
      <c r="U2989" s="260"/>
      <c r="V2989" s="260"/>
      <c r="W2989" s="260"/>
      <c r="X2989" s="260"/>
      <c r="Y2989" s="260"/>
      <c r="Z2989" s="260"/>
      <c r="AA2989" s="260"/>
      <c r="AB2989" s="260"/>
      <c r="AC2989" s="260"/>
      <c r="AD2989" s="260"/>
      <c r="AE2989" s="260"/>
      <c r="AF2989" s="260"/>
      <c r="AG2989" s="258"/>
    </row>
    <row r="2990" spans="13:33" ht="12" hidden="1" customHeight="1">
      <c r="M2990" s="820"/>
      <c r="N2990" s="239"/>
      <c r="O2990" s="225"/>
      <c r="P2990" s="260"/>
      <c r="Q2990" s="258"/>
      <c r="R2990" s="260"/>
      <c r="S2990" s="260"/>
      <c r="T2990" s="260"/>
      <c r="U2990" s="260"/>
      <c r="V2990" s="260"/>
      <c r="W2990" s="260"/>
      <c r="X2990" s="260"/>
      <c r="Y2990" s="260"/>
      <c r="Z2990" s="260"/>
      <c r="AA2990" s="260"/>
      <c r="AB2990" s="260"/>
      <c r="AC2990" s="260"/>
      <c r="AD2990" s="260"/>
      <c r="AE2990" s="260"/>
      <c r="AF2990" s="260"/>
      <c r="AG2990" s="258"/>
    </row>
    <row r="2991" spans="13:33" ht="12" hidden="1" customHeight="1">
      <c r="M2991" s="820"/>
      <c r="N2991" s="239"/>
      <c r="O2991" s="225"/>
      <c r="P2991" s="260"/>
      <c r="Q2991" s="258"/>
      <c r="R2991" s="260"/>
      <c r="S2991" s="260"/>
      <c r="T2991" s="260"/>
      <c r="U2991" s="260"/>
      <c r="V2991" s="260"/>
      <c r="W2991" s="260"/>
      <c r="X2991" s="260"/>
      <c r="Y2991" s="260"/>
      <c r="Z2991" s="260"/>
      <c r="AA2991" s="260"/>
      <c r="AB2991" s="260"/>
      <c r="AC2991" s="260"/>
      <c r="AD2991" s="260"/>
      <c r="AE2991" s="260"/>
      <c r="AF2991" s="260"/>
      <c r="AG2991" s="258"/>
    </row>
    <row r="2992" spans="13:33" ht="12" hidden="1" customHeight="1">
      <c r="M2992" s="820"/>
      <c r="N2992" s="239"/>
      <c r="O2992" s="225"/>
      <c r="P2992" s="260"/>
      <c r="Q2992" s="258"/>
      <c r="R2992" s="260"/>
      <c r="S2992" s="260"/>
      <c r="T2992" s="260"/>
      <c r="U2992" s="260"/>
      <c r="V2992" s="260"/>
      <c r="W2992" s="260"/>
      <c r="X2992" s="260"/>
      <c r="Y2992" s="260"/>
      <c r="Z2992" s="260"/>
      <c r="AA2992" s="260"/>
      <c r="AB2992" s="260"/>
      <c r="AC2992" s="260"/>
      <c r="AD2992" s="260"/>
      <c r="AE2992" s="260"/>
      <c r="AF2992" s="260"/>
      <c r="AG2992" s="258"/>
    </row>
    <row r="2993" spans="13:33" ht="12" hidden="1" customHeight="1">
      <c r="M2993" s="820"/>
      <c r="N2993" s="239"/>
      <c r="O2993" s="225"/>
      <c r="P2993" s="260"/>
      <c r="Q2993" s="258"/>
      <c r="R2993" s="260"/>
      <c r="S2993" s="260"/>
      <c r="T2993" s="260"/>
      <c r="U2993" s="260"/>
      <c r="V2993" s="260"/>
      <c r="W2993" s="260"/>
      <c r="X2993" s="260"/>
      <c r="Y2993" s="260"/>
      <c r="Z2993" s="260"/>
      <c r="AA2993" s="260"/>
      <c r="AB2993" s="260"/>
      <c r="AC2993" s="260"/>
      <c r="AD2993" s="260"/>
      <c r="AE2993" s="260"/>
      <c r="AF2993" s="260"/>
      <c r="AG2993" s="258"/>
    </row>
    <row r="2994" spans="13:33" ht="12" hidden="1" customHeight="1">
      <c r="M2994" s="820"/>
      <c r="N2994" s="239"/>
      <c r="O2994" s="225"/>
      <c r="P2994" s="260"/>
      <c r="Q2994" s="258"/>
      <c r="R2994" s="260"/>
      <c r="S2994" s="260"/>
      <c r="T2994" s="260"/>
      <c r="U2994" s="260"/>
      <c r="V2994" s="260"/>
      <c r="W2994" s="260"/>
      <c r="X2994" s="260"/>
      <c r="Y2994" s="260"/>
      <c r="Z2994" s="260"/>
      <c r="AA2994" s="260"/>
      <c r="AB2994" s="260"/>
      <c r="AC2994" s="260"/>
      <c r="AD2994" s="260"/>
      <c r="AE2994" s="260"/>
      <c r="AF2994" s="260"/>
      <c r="AG2994" s="258"/>
    </row>
    <row r="2995" spans="13:33" ht="12" hidden="1" customHeight="1">
      <c r="M2995" s="820"/>
      <c r="N2995" s="239"/>
      <c r="O2995" s="225"/>
      <c r="P2995" s="260"/>
      <c r="Q2995" s="258"/>
      <c r="R2995" s="260"/>
      <c r="S2995" s="260"/>
      <c r="T2995" s="260"/>
      <c r="U2995" s="260"/>
      <c r="V2995" s="260"/>
      <c r="W2995" s="260"/>
      <c r="X2995" s="260"/>
      <c r="Y2995" s="260"/>
      <c r="Z2995" s="260"/>
      <c r="AA2995" s="260"/>
      <c r="AB2995" s="260"/>
      <c r="AC2995" s="260"/>
      <c r="AD2995" s="260"/>
      <c r="AE2995" s="260"/>
      <c r="AF2995" s="260"/>
      <c r="AG2995" s="258"/>
    </row>
    <row r="2996" spans="13:33" ht="12" hidden="1" customHeight="1">
      <c r="M2996" s="820"/>
      <c r="N2996" s="239"/>
      <c r="O2996" s="225"/>
      <c r="P2996" s="260"/>
      <c r="Q2996" s="258"/>
      <c r="R2996" s="260"/>
      <c r="S2996" s="260"/>
      <c r="T2996" s="260"/>
      <c r="U2996" s="260"/>
      <c r="V2996" s="260"/>
      <c r="W2996" s="260"/>
      <c r="X2996" s="260"/>
      <c r="Y2996" s="260"/>
      <c r="Z2996" s="260"/>
      <c r="AA2996" s="260"/>
      <c r="AB2996" s="260"/>
      <c r="AC2996" s="260"/>
      <c r="AD2996" s="260"/>
      <c r="AE2996" s="260"/>
      <c r="AF2996" s="260"/>
      <c r="AG2996" s="258"/>
    </row>
    <row r="2997" spans="13:33" ht="12" hidden="1" customHeight="1">
      <c r="M2997" s="820"/>
      <c r="N2997" s="239"/>
      <c r="O2997" s="225"/>
      <c r="P2997" s="260"/>
      <c r="Q2997" s="258"/>
      <c r="R2997" s="260"/>
      <c r="S2997" s="260"/>
      <c r="T2997" s="260"/>
      <c r="U2997" s="260"/>
      <c r="V2997" s="260"/>
      <c r="W2997" s="260"/>
      <c r="X2997" s="260"/>
      <c r="Y2997" s="260"/>
      <c r="Z2997" s="260"/>
      <c r="AA2997" s="260"/>
      <c r="AB2997" s="260"/>
      <c r="AC2997" s="260"/>
      <c r="AD2997" s="260"/>
      <c r="AE2997" s="260"/>
      <c r="AF2997" s="260"/>
      <c r="AG2997" s="258"/>
    </row>
    <row r="2998" spans="13:33" ht="12" hidden="1" customHeight="1">
      <c r="M2998" s="820"/>
      <c r="N2998" s="239"/>
      <c r="O2998" s="225"/>
      <c r="P2998" s="260"/>
      <c r="Q2998" s="258"/>
      <c r="R2998" s="260"/>
      <c r="S2998" s="260"/>
      <c r="T2998" s="260"/>
      <c r="U2998" s="260"/>
      <c r="V2998" s="260"/>
      <c r="W2998" s="260"/>
      <c r="X2998" s="260"/>
      <c r="Y2998" s="260"/>
      <c r="Z2998" s="260"/>
      <c r="AA2998" s="260"/>
      <c r="AB2998" s="260"/>
      <c r="AC2998" s="260"/>
      <c r="AD2998" s="260"/>
      <c r="AE2998" s="260"/>
      <c r="AF2998" s="260"/>
      <c r="AG2998" s="258"/>
    </row>
    <row r="2999" spans="13:33" ht="12" hidden="1" customHeight="1">
      <c r="M2999" s="820"/>
      <c r="N2999" s="239"/>
      <c r="O2999" s="225"/>
      <c r="P2999" s="260"/>
      <c r="Q2999" s="258"/>
      <c r="R2999" s="260"/>
      <c r="S2999" s="260"/>
      <c r="T2999" s="260"/>
      <c r="U2999" s="260"/>
      <c r="V2999" s="260"/>
      <c r="W2999" s="260"/>
      <c r="X2999" s="260"/>
      <c r="Y2999" s="260"/>
      <c r="Z2999" s="260"/>
      <c r="AA2999" s="260"/>
      <c r="AB2999" s="260"/>
      <c r="AC2999" s="260"/>
      <c r="AD2999" s="260"/>
      <c r="AE2999" s="260"/>
      <c r="AF2999" s="260"/>
      <c r="AG2999" s="258"/>
    </row>
    <row r="3000" spans="13:33" ht="12" hidden="1" customHeight="1">
      <c r="M3000" s="820"/>
      <c r="N3000" s="239"/>
      <c r="O3000" s="225"/>
      <c r="P3000" s="260"/>
      <c r="Q3000" s="258"/>
      <c r="R3000" s="260"/>
      <c r="S3000" s="260"/>
      <c r="T3000" s="260"/>
      <c r="U3000" s="260"/>
      <c r="V3000" s="260"/>
      <c r="W3000" s="260"/>
      <c r="X3000" s="260"/>
      <c r="Y3000" s="260"/>
      <c r="Z3000" s="260"/>
      <c r="AA3000" s="260"/>
      <c r="AB3000" s="260"/>
      <c r="AC3000" s="260"/>
      <c r="AD3000" s="260"/>
      <c r="AE3000" s="260"/>
      <c r="AF3000" s="260"/>
      <c r="AG3000" s="258"/>
    </row>
    <row r="3001" spans="13:33" ht="12" hidden="1" customHeight="1">
      <c r="M3001" s="820"/>
      <c r="N3001" s="239"/>
      <c r="O3001" s="225"/>
      <c r="P3001" s="260"/>
      <c r="Q3001" s="258"/>
      <c r="R3001" s="260"/>
      <c r="S3001" s="260"/>
      <c r="T3001" s="260"/>
      <c r="U3001" s="260"/>
      <c r="V3001" s="260"/>
      <c r="W3001" s="260"/>
      <c r="X3001" s="260"/>
      <c r="Y3001" s="260"/>
      <c r="Z3001" s="260"/>
      <c r="AA3001" s="260"/>
      <c r="AB3001" s="260"/>
      <c r="AC3001" s="260"/>
      <c r="AD3001" s="260"/>
      <c r="AE3001" s="260"/>
      <c r="AF3001" s="260"/>
      <c r="AG3001" s="258"/>
    </row>
    <row r="3002" spans="13:33" ht="12" hidden="1" customHeight="1">
      <c r="M3002" s="820"/>
      <c r="N3002" s="239"/>
      <c r="O3002" s="225"/>
      <c r="P3002" s="260"/>
      <c r="Q3002" s="258"/>
      <c r="R3002" s="260"/>
      <c r="S3002" s="260"/>
      <c r="T3002" s="260"/>
      <c r="U3002" s="260"/>
      <c r="V3002" s="260"/>
      <c r="W3002" s="260"/>
      <c r="X3002" s="260"/>
      <c r="Y3002" s="260"/>
      <c r="Z3002" s="260"/>
      <c r="AA3002" s="260"/>
      <c r="AB3002" s="260"/>
      <c r="AC3002" s="260"/>
      <c r="AD3002" s="260"/>
      <c r="AE3002" s="260"/>
      <c r="AF3002" s="260"/>
      <c r="AG3002" s="258"/>
    </row>
    <row r="3003" spans="13:33" ht="12" hidden="1" customHeight="1">
      <c r="M3003" s="820"/>
      <c r="N3003" s="239"/>
      <c r="O3003" s="225"/>
      <c r="P3003" s="260"/>
      <c r="Q3003" s="258"/>
      <c r="R3003" s="260"/>
      <c r="S3003" s="260"/>
      <c r="T3003" s="260"/>
      <c r="U3003" s="260"/>
      <c r="V3003" s="260"/>
      <c r="W3003" s="260"/>
      <c r="X3003" s="260"/>
      <c r="Y3003" s="260"/>
      <c r="Z3003" s="260"/>
      <c r="AA3003" s="260"/>
      <c r="AB3003" s="260"/>
      <c r="AC3003" s="260"/>
      <c r="AD3003" s="260"/>
      <c r="AE3003" s="260"/>
      <c r="AF3003" s="260"/>
      <c r="AG3003" s="258"/>
    </row>
    <row r="3004" spans="13:33" ht="12" hidden="1" customHeight="1">
      <c r="M3004" s="820"/>
      <c r="N3004" s="239"/>
      <c r="O3004" s="225"/>
      <c r="P3004" s="260"/>
      <c r="Q3004" s="258"/>
      <c r="R3004" s="260"/>
      <c r="S3004" s="260"/>
      <c r="T3004" s="260"/>
      <c r="U3004" s="260"/>
      <c r="V3004" s="260"/>
      <c r="W3004" s="260"/>
      <c r="X3004" s="260"/>
      <c r="Y3004" s="260"/>
      <c r="Z3004" s="260"/>
      <c r="AA3004" s="260"/>
      <c r="AB3004" s="260"/>
      <c r="AC3004" s="260"/>
      <c r="AD3004" s="260"/>
      <c r="AE3004" s="260"/>
      <c r="AF3004" s="260"/>
      <c r="AG3004" s="258"/>
    </row>
    <row r="3005" spans="13:33" ht="12" hidden="1" customHeight="1">
      <c r="M3005" s="820"/>
      <c r="N3005" s="239"/>
      <c r="O3005" s="225"/>
      <c r="P3005" s="260"/>
      <c r="Q3005" s="258"/>
      <c r="R3005" s="260"/>
      <c r="S3005" s="260"/>
      <c r="T3005" s="260"/>
      <c r="U3005" s="260"/>
      <c r="V3005" s="260"/>
      <c r="W3005" s="260"/>
      <c r="X3005" s="260"/>
      <c r="Y3005" s="260"/>
      <c r="Z3005" s="260"/>
      <c r="AA3005" s="260"/>
      <c r="AB3005" s="260"/>
      <c r="AC3005" s="260"/>
      <c r="AD3005" s="260"/>
      <c r="AE3005" s="260"/>
      <c r="AF3005" s="260"/>
      <c r="AG3005" s="258"/>
    </row>
    <row r="3006" spans="13:33" ht="12" hidden="1" customHeight="1">
      <c r="M3006" s="820"/>
      <c r="N3006" s="239"/>
      <c r="O3006" s="225"/>
      <c r="P3006" s="260"/>
      <c r="Q3006" s="258"/>
      <c r="R3006" s="260"/>
      <c r="S3006" s="260"/>
      <c r="T3006" s="260"/>
      <c r="U3006" s="260"/>
      <c r="V3006" s="260"/>
      <c r="W3006" s="260"/>
      <c r="X3006" s="260"/>
      <c r="Y3006" s="260"/>
      <c r="Z3006" s="260"/>
      <c r="AA3006" s="260"/>
      <c r="AB3006" s="260"/>
      <c r="AC3006" s="260"/>
      <c r="AD3006" s="260"/>
      <c r="AE3006" s="260"/>
      <c r="AF3006" s="260"/>
      <c r="AG3006" s="258"/>
    </row>
    <row r="3007" spans="13:33" ht="12" hidden="1" customHeight="1">
      <c r="M3007" s="820"/>
      <c r="N3007" s="239"/>
      <c r="O3007" s="225"/>
      <c r="P3007" s="260"/>
      <c r="Q3007" s="258"/>
      <c r="R3007" s="260"/>
      <c r="S3007" s="260"/>
      <c r="T3007" s="260"/>
      <c r="U3007" s="260"/>
      <c r="V3007" s="260"/>
      <c r="W3007" s="260"/>
      <c r="X3007" s="260"/>
      <c r="Y3007" s="260"/>
      <c r="Z3007" s="260"/>
      <c r="AA3007" s="260"/>
      <c r="AB3007" s="260"/>
      <c r="AC3007" s="260"/>
      <c r="AD3007" s="260"/>
      <c r="AE3007" s="260"/>
      <c r="AF3007" s="260"/>
      <c r="AG3007" s="258"/>
    </row>
    <row r="3008" spans="13:33" ht="12" hidden="1" customHeight="1">
      <c r="M3008" s="820"/>
      <c r="N3008" s="239"/>
      <c r="O3008" s="225"/>
      <c r="P3008" s="260"/>
      <c r="Q3008" s="258"/>
      <c r="R3008" s="260"/>
      <c r="S3008" s="260"/>
      <c r="T3008" s="260"/>
      <c r="U3008" s="260"/>
      <c r="V3008" s="260"/>
      <c r="W3008" s="260"/>
      <c r="X3008" s="260"/>
      <c r="Y3008" s="260"/>
      <c r="Z3008" s="260"/>
      <c r="AA3008" s="260"/>
      <c r="AB3008" s="260"/>
      <c r="AC3008" s="260"/>
      <c r="AD3008" s="260"/>
      <c r="AE3008" s="260"/>
      <c r="AF3008" s="260"/>
      <c r="AG3008" s="258"/>
    </row>
    <row r="3009" spans="13:33" ht="12" hidden="1" customHeight="1">
      <c r="M3009" s="820"/>
      <c r="N3009" s="239"/>
      <c r="O3009" s="225"/>
      <c r="P3009" s="260"/>
      <c r="Q3009" s="258"/>
      <c r="R3009" s="260"/>
      <c r="S3009" s="260"/>
      <c r="T3009" s="260"/>
      <c r="U3009" s="260"/>
      <c r="V3009" s="260"/>
      <c r="W3009" s="260"/>
      <c r="X3009" s="260"/>
      <c r="Y3009" s="260"/>
      <c r="Z3009" s="260"/>
      <c r="AA3009" s="260"/>
      <c r="AB3009" s="260"/>
      <c r="AC3009" s="260"/>
      <c r="AD3009" s="260"/>
      <c r="AE3009" s="260"/>
      <c r="AF3009" s="260"/>
      <c r="AG3009" s="258"/>
    </row>
    <row r="3010" spans="13:33" ht="12" hidden="1" customHeight="1">
      <c r="M3010" s="820"/>
      <c r="N3010" s="239"/>
      <c r="O3010" s="225"/>
      <c r="P3010" s="260"/>
      <c r="Q3010" s="258"/>
      <c r="R3010" s="260"/>
      <c r="S3010" s="260"/>
      <c r="T3010" s="260"/>
      <c r="U3010" s="260"/>
      <c r="V3010" s="260"/>
      <c r="W3010" s="260"/>
      <c r="X3010" s="260"/>
      <c r="Y3010" s="260"/>
      <c r="Z3010" s="260"/>
      <c r="AA3010" s="260"/>
      <c r="AB3010" s="260"/>
      <c r="AC3010" s="260"/>
      <c r="AD3010" s="260"/>
      <c r="AE3010" s="260"/>
      <c r="AF3010" s="260"/>
      <c r="AG3010" s="258"/>
    </row>
    <row r="3011" spans="13:33" ht="12" hidden="1" customHeight="1">
      <c r="M3011" s="820"/>
      <c r="N3011" s="239"/>
      <c r="O3011" s="225"/>
      <c r="P3011" s="260"/>
      <c r="Q3011" s="258"/>
      <c r="R3011" s="260"/>
      <c r="S3011" s="260"/>
      <c r="T3011" s="260"/>
      <c r="U3011" s="260"/>
      <c r="V3011" s="260"/>
      <c r="W3011" s="260"/>
      <c r="X3011" s="260"/>
      <c r="Y3011" s="260"/>
      <c r="Z3011" s="260"/>
      <c r="AA3011" s="260"/>
      <c r="AB3011" s="260"/>
      <c r="AC3011" s="260"/>
      <c r="AD3011" s="260"/>
      <c r="AE3011" s="260"/>
      <c r="AF3011" s="260"/>
      <c r="AG3011" s="258"/>
    </row>
    <row r="3012" spans="13:33" ht="12" hidden="1" customHeight="1">
      <c r="M3012" s="820"/>
      <c r="N3012" s="239"/>
      <c r="O3012" s="225"/>
      <c r="P3012" s="260"/>
      <c r="Q3012" s="258"/>
      <c r="R3012" s="260"/>
      <c r="S3012" s="260"/>
      <c r="T3012" s="260"/>
      <c r="U3012" s="260"/>
      <c r="V3012" s="260"/>
      <c r="W3012" s="260"/>
      <c r="X3012" s="260"/>
      <c r="Y3012" s="260"/>
      <c r="Z3012" s="260"/>
      <c r="AA3012" s="260"/>
      <c r="AB3012" s="260"/>
      <c r="AC3012" s="260"/>
      <c r="AD3012" s="260"/>
      <c r="AE3012" s="260"/>
      <c r="AF3012" s="260"/>
      <c r="AG3012" s="258"/>
    </row>
    <row r="3013" spans="13:33" ht="12" hidden="1" customHeight="1">
      <c r="M3013" s="820"/>
      <c r="N3013" s="239"/>
      <c r="O3013" s="225"/>
      <c r="P3013" s="260"/>
      <c r="Q3013" s="258"/>
      <c r="R3013" s="260"/>
      <c r="S3013" s="260"/>
      <c r="T3013" s="260"/>
      <c r="U3013" s="260"/>
      <c r="V3013" s="260"/>
      <c r="W3013" s="260"/>
      <c r="X3013" s="260"/>
      <c r="Y3013" s="260"/>
      <c r="Z3013" s="260"/>
      <c r="AA3013" s="260"/>
      <c r="AB3013" s="260"/>
      <c r="AC3013" s="260"/>
      <c r="AD3013" s="260"/>
      <c r="AE3013" s="260"/>
      <c r="AF3013" s="260"/>
      <c r="AG3013" s="258"/>
    </row>
    <row r="3014" spans="13:33" ht="12" hidden="1" customHeight="1">
      <c r="M3014" s="820"/>
      <c r="N3014" s="239"/>
      <c r="O3014" s="225"/>
      <c r="P3014" s="260"/>
      <c r="Q3014" s="258"/>
      <c r="R3014" s="260"/>
      <c r="S3014" s="260"/>
      <c r="T3014" s="260"/>
      <c r="U3014" s="260"/>
      <c r="V3014" s="260"/>
      <c r="W3014" s="260"/>
      <c r="X3014" s="260"/>
      <c r="Y3014" s="260"/>
      <c r="Z3014" s="260"/>
      <c r="AA3014" s="260"/>
      <c r="AB3014" s="260"/>
      <c r="AC3014" s="260"/>
      <c r="AD3014" s="260"/>
      <c r="AE3014" s="260"/>
      <c r="AF3014" s="260"/>
      <c r="AG3014" s="258"/>
    </row>
    <row r="3015" spans="13:33" ht="12" hidden="1" customHeight="1">
      <c r="M3015" s="820"/>
      <c r="N3015" s="239"/>
      <c r="O3015" s="225"/>
      <c r="P3015" s="260"/>
      <c r="Q3015" s="258"/>
      <c r="R3015" s="260"/>
      <c r="S3015" s="260"/>
      <c r="T3015" s="260"/>
      <c r="U3015" s="260"/>
      <c r="V3015" s="260"/>
      <c r="W3015" s="260"/>
      <c r="X3015" s="260"/>
      <c r="Y3015" s="260"/>
      <c r="Z3015" s="260"/>
      <c r="AA3015" s="260"/>
      <c r="AB3015" s="260"/>
      <c r="AC3015" s="260"/>
      <c r="AD3015" s="260"/>
      <c r="AE3015" s="260"/>
      <c r="AF3015" s="260"/>
      <c r="AG3015" s="258"/>
    </row>
    <row r="3016" spans="13:33" ht="12" hidden="1" customHeight="1">
      <c r="M3016" s="820"/>
      <c r="N3016" s="239"/>
      <c r="O3016" s="225"/>
      <c r="P3016" s="260"/>
      <c r="Q3016" s="258"/>
      <c r="R3016" s="260"/>
      <c r="S3016" s="260"/>
      <c r="T3016" s="260"/>
      <c r="U3016" s="260"/>
      <c r="V3016" s="260"/>
      <c r="W3016" s="260"/>
      <c r="X3016" s="260"/>
      <c r="Y3016" s="260"/>
      <c r="Z3016" s="260"/>
      <c r="AA3016" s="260"/>
      <c r="AB3016" s="260"/>
      <c r="AC3016" s="260"/>
      <c r="AD3016" s="260"/>
      <c r="AE3016" s="260"/>
      <c r="AF3016" s="260"/>
      <c r="AG3016" s="258"/>
    </row>
    <row r="3017" spans="13:33" ht="12" hidden="1" customHeight="1">
      <c r="M3017" s="820"/>
      <c r="N3017" s="239"/>
      <c r="O3017" s="225"/>
      <c r="P3017" s="260"/>
      <c r="Q3017" s="258"/>
      <c r="R3017" s="260"/>
      <c r="S3017" s="260"/>
      <c r="T3017" s="260"/>
      <c r="U3017" s="260"/>
      <c r="V3017" s="260"/>
      <c r="W3017" s="260"/>
      <c r="X3017" s="260"/>
      <c r="Y3017" s="260"/>
      <c r="Z3017" s="260"/>
      <c r="AA3017" s="260"/>
      <c r="AB3017" s="260"/>
      <c r="AC3017" s="260"/>
      <c r="AD3017" s="260"/>
      <c r="AE3017" s="260"/>
      <c r="AF3017" s="260"/>
      <c r="AG3017" s="258"/>
    </row>
    <row r="3018" spans="13:33" ht="12" hidden="1" customHeight="1">
      <c r="M3018" s="820"/>
      <c r="N3018" s="239"/>
      <c r="O3018" s="225"/>
      <c r="P3018" s="260"/>
      <c r="Q3018" s="258"/>
      <c r="R3018" s="260"/>
      <c r="S3018" s="260"/>
      <c r="T3018" s="260"/>
      <c r="U3018" s="260"/>
      <c r="V3018" s="260"/>
      <c r="W3018" s="260"/>
      <c r="X3018" s="260"/>
      <c r="Y3018" s="260"/>
      <c r="Z3018" s="260"/>
      <c r="AA3018" s="260"/>
      <c r="AB3018" s="260"/>
      <c r="AC3018" s="260"/>
      <c r="AD3018" s="260"/>
      <c r="AE3018" s="260"/>
      <c r="AF3018" s="260"/>
      <c r="AG3018" s="258"/>
    </row>
    <row r="3019" spans="13:33" ht="12" hidden="1" customHeight="1">
      <c r="M3019" s="820"/>
      <c r="N3019" s="239"/>
      <c r="O3019" s="225"/>
      <c r="P3019" s="260"/>
      <c r="Q3019" s="258"/>
      <c r="R3019" s="260"/>
      <c r="S3019" s="260"/>
      <c r="T3019" s="260"/>
      <c r="U3019" s="260"/>
      <c r="V3019" s="260"/>
      <c r="W3019" s="260"/>
      <c r="X3019" s="260"/>
      <c r="Y3019" s="260"/>
      <c r="Z3019" s="260"/>
      <c r="AA3019" s="260"/>
      <c r="AB3019" s="260"/>
      <c r="AC3019" s="260"/>
      <c r="AD3019" s="260"/>
      <c r="AE3019" s="260"/>
      <c r="AF3019" s="260"/>
      <c r="AG3019" s="258"/>
    </row>
    <row r="3020" spans="13:33" ht="12" hidden="1" customHeight="1">
      <c r="M3020" s="820"/>
      <c r="N3020" s="239"/>
      <c r="O3020" s="225"/>
      <c r="P3020" s="260"/>
      <c r="Q3020" s="258"/>
      <c r="R3020" s="260"/>
      <c r="S3020" s="260"/>
      <c r="T3020" s="260"/>
      <c r="U3020" s="260"/>
      <c r="V3020" s="260"/>
      <c r="W3020" s="260"/>
      <c r="X3020" s="260"/>
      <c r="Y3020" s="260"/>
      <c r="Z3020" s="260"/>
      <c r="AA3020" s="260"/>
      <c r="AB3020" s="260"/>
      <c r="AC3020" s="260"/>
      <c r="AD3020" s="260"/>
      <c r="AE3020" s="260"/>
      <c r="AF3020" s="260"/>
      <c r="AG3020" s="258"/>
    </row>
    <row r="3021" spans="13:33" ht="12" hidden="1" customHeight="1">
      <c r="M3021" s="820"/>
      <c r="N3021" s="239"/>
      <c r="O3021" s="225"/>
      <c r="P3021" s="260"/>
      <c r="Q3021" s="258"/>
      <c r="R3021" s="260"/>
      <c r="S3021" s="260"/>
      <c r="T3021" s="260"/>
      <c r="U3021" s="260"/>
      <c r="V3021" s="260"/>
      <c r="W3021" s="260"/>
      <c r="X3021" s="260"/>
      <c r="Y3021" s="260"/>
      <c r="Z3021" s="260"/>
      <c r="AA3021" s="260"/>
      <c r="AB3021" s="260"/>
      <c r="AC3021" s="260"/>
      <c r="AD3021" s="260"/>
      <c r="AE3021" s="260"/>
      <c r="AF3021" s="260"/>
      <c r="AG3021" s="258"/>
    </row>
    <row r="3022" spans="13:33" ht="12" hidden="1" customHeight="1">
      <c r="M3022" s="820"/>
      <c r="N3022" s="239"/>
      <c r="O3022" s="225"/>
      <c r="P3022" s="260"/>
      <c r="Q3022" s="258"/>
      <c r="R3022" s="260"/>
      <c r="S3022" s="260"/>
      <c r="T3022" s="260"/>
      <c r="U3022" s="260"/>
      <c r="V3022" s="260"/>
      <c r="W3022" s="260"/>
      <c r="X3022" s="260"/>
      <c r="Y3022" s="260"/>
      <c r="Z3022" s="260"/>
      <c r="AA3022" s="260"/>
      <c r="AB3022" s="260"/>
      <c r="AC3022" s="260"/>
      <c r="AD3022" s="260"/>
      <c r="AE3022" s="260"/>
      <c r="AF3022" s="260"/>
      <c r="AG3022" s="258"/>
    </row>
    <row r="3023" spans="13:33" ht="12" hidden="1" customHeight="1">
      <c r="M3023" s="820"/>
      <c r="N3023" s="239"/>
      <c r="O3023" s="225"/>
      <c r="P3023" s="260"/>
      <c r="Q3023" s="258"/>
      <c r="R3023" s="260"/>
      <c r="S3023" s="260"/>
      <c r="T3023" s="260"/>
      <c r="U3023" s="260"/>
      <c r="V3023" s="260"/>
      <c r="W3023" s="260"/>
      <c r="X3023" s="260"/>
      <c r="Y3023" s="260"/>
      <c r="Z3023" s="260"/>
      <c r="AA3023" s="260"/>
      <c r="AB3023" s="260"/>
      <c r="AC3023" s="260"/>
      <c r="AD3023" s="260"/>
      <c r="AE3023" s="260"/>
      <c r="AF3023" s="260"/>
      <c r="AG3023" s="258"/>
    </row>
    <row r="3024" spans="13:33" ht="12" hidden="1" customHeight="1">
      <c r="M3024" s="820"/>
      <c r="N3024" s="239"/>
      <c r="O3024" s="225"/>
      <c r="P3024" s="260"/>
      <c r="Q3024" s="258"/>
      <c r="R3024" s="260"/>
      <c r="S3024" s="260"/>
      <c r="T3024" s="260"/>
      <c r="U3024" s="260"/>
      <c r="V3024" s="260"/>
      <c r="W3024" s="260"/>
      <c r="X3024" s="260"/>
      <c r="Y3024" s="260"/>
      <c r="Z3024" s="260"/>
      <c r="AA3024" s="260"/>
      <c r="AB3024" s="260"/>
      <c r="AC3024" s="260"/>
      <c r="AD3024" s="260"/>
      <c r="AE3024" s="260"/>
      <c r="AF3024" s="260"/>
      <c r="AG3024" s="258"/>
    </row>
    <row r="3025" spans="13:33" ht="12" hidden="1" customHeight="1">
      <c r="M3025" s="820"/>
      <c r="N3025" s="239"/>
      <c r="O3025" s="225"/>
      <c r="P3025" s="260"/>
      <c r="Q3025" s="258"/>
      <c r="R3025" s="260"/>
      <c r="S3025" s="260"/>
      <c r="T3025" s="260"/>
      <c r="U3025" s="260"/>
      <c r="V3025" s="260"/>
      <c r="W3025" s="260"/>
      <c r="X3025" s="260"/>
      <c r="Y3025" s="260"/>
      <c r="Z3025" s="260"/>
      <c r="AA3025" s="260"/>
      <c r="AB3025" s="260"/>
      <c r="AC3025" s="260"/>
      <c r="AD3025" s="260"/>
      <c r="AE3025" s="260"/>
      <c r="AF3025" s="260"/>
      <c r="AG3025" s="258"/>
    </row>
    <row r="3026" spans="13:33" ht="12" hidden="1" customHeight="1">
      <c r="M3026" s="820"/>
      <c r="N3026" s="239"/>
      <c r="O3026" s="225"/>
      <c r="P3026" s="260"/>
      <c r="Q3026" s="258"/>
      <c r="R3026" s="260"/>
      <c r="S3026" s="260"/>
      <c r="T3026" s="260"/>
      <c r="U3026" s="260"/>
      <c r="V3026" s="260"/>
      <c r="W3026" s="260"/>
      <c r="X3026" s="260"/>
      <c r="Y3026" s="260"/>
      <c r="Z3026" s="260"/>
      <c r="AA3026" s="260"/>
      <c r="AB3026" s="260"/>
      <c r="AC3026" s="260"/>
      <c r="AD3026" s="260"/>
      <c r="AE3026" s="260"/>
      <c r="AF3026" s="260"/>
      <c r="AG3026" s="258"/>
    </row>
    <row r="3027" spans="13:33" ht="12" hidden="1" customHeight="1">
      <c r="M3027" s="820"/>
      <c r="N3027" s="239"/>
      <c r="O3027" s="225"/>
      <c r="P3027" s="260"/>
      <c r="Q3027" s="258"/>
      <c r="R3027" s="260"/>
      <c r="S3027" s="260"/>
      <c r="T3027" s="260"/>
      <c r="U3027" s="260"/>
      <c r="V3027" s="260"/>
      <c r="W3027" s="260"/>
      <c r="X3027" s="260"/>
      <c r="Y3027" s="260"/>
      <c r="Z3027" s="260"/>
      <c r="AA3027" s="260"/>
      <c r="AB3027" s="260"/>
      <c r="AC3027" s="260"/>
      <c r="AD3027" s="260"/>
      <c r="AE3027" s="260"/>
      <c r="AF3027" s="260"/>
      <c r="AG3027" s="258"/>
    </row>
    <row r="3028" spans="13:33" ht="12" hidden="1" customHeight="1">
      <c r="M3028" s="820"/>
      <c r="N3028" s="239"/>
      <c r="O3028" s="225"/>
      <c r="P3028" s="260"/>
      <c r="Q3028" s="258"/>
      <c r="R3028" s="260"/>
      <c r="S3028" s="260"/>
      <c r="T3028" s="260"/>
      <c r="U3028" s="260"/>
      <c r="V3028" s="260"/>
      <c r="W3028" s="260"/>
      <c r="X3028" s="260"/>
      <c r="Y3028" s="260"/>
      <c r="Z3028" s="260"/>
      <c r="AA3028" s="260"/>
      <c r="AB3028" s="260"/>
      <c r="AC3028" s="260"/>
      <c r="AD3028" s="260"/>
      <c r="AE3028" s="260"/>
      <c r="AF3028" s="260"/>
      <c r="AG3028" s="258"/>
    </row>
    <row r="3029" spans="13:33" ht="12" hidden="1" customHeight="1">
      <c r="M3029" s="820"/>
      <c r="N3029" s="239"/>
      <c r="O3029" s="225"/>
      <c r="P3029" s="260"/>
      <c r="Q3029" s="258"/>
      <c r="R3029" s="260"/>
      <c r="S3029" s="260"/>
      <c r="T3029" s="260"/>
      <c r="U3029" s="260"/>
      <c r="V3029" s="260"/>
      <c r="W3029" s="260"/>
      <c r="X3029" s="260"/>
      <c r="Y3029" s="260"/>
      <c r="Z3029" s="260"/>
      <c r="AA3029" s="260"/>
      <c r="AB3029" s="260"/>
      <c r="AC3029" s="260"/>
      <c r="AD3029" s="260"/>
      <c r="AE3029" s="260"/>
      <c r="AF3029" s="260"/>
      <c r="AG3029" s="258"/>
    </row>
    <row r="3030" spans="13:33" ht="12" hidden="1" customHeight="1">
      <c r="M3030" s="820"/>
      <c r="N3030" s="239"/>
      <c r="O3030" s="225"/>
      <c r="P3030" s="260"/>
      <c r="Q3030" s="258"/>
      <c r="R3030" s="260"/>
      <c r="S3030" s="260"/>
      <c r="T3030" s="260"/>
      <c r="U3030" s="260"/>
      <c r="V3030" s="260"/>
      <c r="W3030" s="260"/>
      <c r="X3030" s="260"/>
      <c r="Y3030" s="260"/>
      <c r="Z3030" s="260"/>
      <c r="AA3030" s="260"/>
      <c r="AB3030" s="260"/>
      <c r="AC3030" s="260"/>
      <c r="AD3030" s="260"/>
      <c r="AE3030" s="260"/>
      <c r="AF3030" s="260"/>
      <c r="AG3030" s="258"/>
    </row>
    <row r="3031" spans="13:33" ht="12" hidden="1" customHeight="1">
      <c r="M3031" s="820"/>
      <c r="N3031" s="239"/>
      <c r="O3031" s="225"/>
      <c r="P3031" s="260"/>
      <c r="Q3031" s="258"/>
      <c r="R3031" s="260"/>
      <c r="S3031" s="260"/>
      <c r="T3031" s="260"/>
      <c r="U3031" s="260"/>
      <c r="V3031" s="260"/>
      <c r="W3031" s="260"/>
      <c r="X3031" s="260"/>
      <c r="Y3031" s="260"/>
      <c r="Z3031" s="260"/>
      <c r="AA3031" s="260"/>
      <c r="AB3031" s="260"/>
      <c r="AC3031" s="260"/>
      <c r="AD3031" s="260"/>
      <c r="AE3031" s="260"/>
      <c r="AF3031" s="260"/>
      <c r="AG3031" s="258"/>
    </row>
    <row r="3032" spans="13:33" ht="12" hidden="1" customHeight="1">
      <c r="M3032" s="820"/>
      <c r="N3032" s="239"/>
      <c r="O3032" s="225"/>
      <c r="P3032" s="260"/>
      <c r="Q3032" s="258"/>
      <c r="R3032" s="260"/>
      <c r="S3032" s="260"/>
      <c r="T3032" s="260"/>
      <c r="U3032" s="260"/>
      <c r="V3032" s="260"/>
      <c r="W3032" s="260"/>
      <c r="X3032" s="260"/>
      <c r="Y3032" s="260"/>
      <c r="Z3032" s="260"/>
      <c r="AA3032" s="260"/>
      <c r="AB3032" s="260"/>
      <c r="AC3032" s="260"/>
      <c r="AD3032" s="260"/>
      <c r="AE3032" s="260"/>
      <c r="AF3032" s="260"/>
      <c r="AG3032" s="258"/>
    </row>
    <row r="3033" spans="13:33" ht="12" hidden="1" customHeight="1">
      <c r="M3033" s="820"/>
      <c r="N3033" s="239"/>
      <c r="O3033" s="225"/>
      <c r="P3033" s="260"/>
      <c r="Q3033" s="258"/>
      <c r="R3033" s="260"/>
      <c r="S3033" s="260"/>
      <c r="T3033" s="260"/>
      <c r="U3033" s="260"/>
      <c r="V3033" s="260"/>
      <c r="W3033" s="260"/>
      <c r="X3033" s="260"/>
      <c r="Y3033" s="260"/>
      <c r="Z3033" s="260"/>
      <c r="AA3033" s="260"/>
      <c r="AB3033" s="260"/>
      <c r="AC3033" s="260"/>
      <c r="AD3033" s="260"/>
      <c r="AE3033" s="260"/>
      <c r="AF3033" s="260"/>
      <c r="AG3033" s="258"/>
    </row>
    <row r="3034" spans="13:33" ht="12" hidden="1" customHeight="1">
      <c r="M3034" s="820"/>
      <c r="N3034" s="239"/>
      <c r="O3034" s="225"/>
      <c r="P3034" s="260"/>
      <c r="Q3034" s="258"/>
      <c r="R3034" s="260"/>
      <c r="S3034" s="260"/>
      <c r="T3034" s="260"/>
      <c r="U3034" s="260"/>
      <c r="V3034" s="260"/>
      <c r="W3034" s="260"/>
      <c r="X3034" s="260"/>
      <c r="Y3034" s="260"/>
      <c r="Z3034" s="260"/>
      <c r="AA3034" s="260"/>
      <c r="AB3034" s="260"/>
      <c r="AC3034" s="260"/>
      <c r="AD3034" s="260"/>
      <c r="AE3034" s="260"/>
      <c r="AF3034" s="260"/>
      <c r="AG3034" s="258"/>
    </row>
    <row r="3035" spans="13:33" ht="12" hidden="1" customHeight="1">
      <c r="M3035" s="820"/>
      <c r="N3035" s="239"/>
      <c r="O3035" s="225"/>
      <c r="P3035" s="260"/>
      <c r="Q3035" s="258"/>
      <c r="R3035" s="260"/>
      <c r="S3035" s="260"/>
      <c r="T3035" s="260"/>
      <c r="U3035" s="260"/>
      <c r="V3035" s="260"/>
      <c r="W3035" s="260"/>
      <c r="X3035" s="260"/>
      <c r="Y3035" s="260"/>
      <c r="Z3035" s="260"/>
      <c r="AA3035" s="260"/>
      <c r="AB3035" s="260"/>
      <c r="AC3035" s="260"/>
      <c r="AD3035" s="260"/>
      <c r="AE3035" s="260"/>
      <c r="AF3035" s="260"/>
      <c r="AG3035" s="258"/>
    </row>
    <row r="3036" spans="13:33" ht="12" hidden="1" customHeight="1">
      <c r="M3036" s="820"/>
      <c r="N3036" s="239"/>
      <c r="O3036" s="225"/>
      <c r="P3036" s="260"/>
      <c r="Q3036" s="258"/>
      <c r="R3036" s="260"/>
      <c r="S3036" s="260"/>
      <c r="T3036" s="260"/>
      <c r="U3036" s="260"/>
      <c r="V3036" s="260"/>
      <c r="W3036" s="260"/>
      <c r="X3036" s="260"/>
      <c r="Y3036" s="260"/>
      <c r="Z3036" s="260"/>
      <c r="AA3036" s="260"/>
      <c r="AB3036" s="260"/>
      <c r="AC3036" s="260"/>
      <c r="AD3036" s="260"/>
      <c r="AE3036" s="260"/>
      <c r="AF3036" s="260"/>
      <c r="AG3036" s="258"/>
    </row>
    <row r="3037" spans="13:33" ht="12" hidden="1" customHeight="1">
      <c r="M3037" s="820"/>
      <c r="N3037" s="239"/>
      <c r="O3037" s="225"/>
      <c r="P3037" s="260"/>
      <c r="Q3037" s="258"/>
      <c r="R3037" s="260"/>
      <c r="S3037" s="260"/>
      <c r="T3037" s="260"/>
      <c r="U3037" s="260"/>
      <c r="V3037" s="260"/>
      <c r="W3037" s="260"/>
      <c r="X3037" s="260"/>
      <c r="Y3037" s="260"/>
      <c r="Z3037" s="260"/>
      <c r="AA3037" s="260"/>
      <c r="AB3037" s="260"/>
      <c r="AC3037" s="260"/>
      <c r="AD3037" s="260"/>
      <c r="AE3037" s="260"/>
      <c r="AF3037" s="260"/>
      <c r="AG3037" s="258"/>
    </row>
    <row r="3038" spans="13:33" ht="12" hidden="1" customHeight="1">
      <c r="M3038" s="820"/>
      <c r="N3038" s="239"/>
      <c r="O3038" s="225"/>
      <c r="P3038" s="260"/>
      <c r="Q3038" s="258"/>
      <c r="R3038" s="260"/>
      <c r="S3038" s="260"/>
      <c r="T3038" s="260"/>
      <c r="U3038" s="260"/>
      <c r="V3038" s="260"/>
      <c r="W3038" s="260"/>
      <c r="X3038" s="260"/>
      <c r="Y3038" s="260"/>
      <c r="Z3038" s="260"/>
      <c r="AA3038" s="260"/>
      <c r="AB3038" s="260"/>
      <c r="AC3038" s="260"/>
      <c r="AD3038" s="260"/>
      <c r="AE3038" s="260"/>
      <c r="AF3038" s="260"/>
      <c r="AG3038" s="258"/>
    </row>
    <row r="3039" spans="13:33" ht="12" hidden="1" customHeight="1">
      <c r="M3039" s="820"/>
      <c r="N3039" s="239"/>
      <c r="O3039" s="225"/>
      <c r="P3039" s="260"/>
      <c r="Q3039" s="258"/>
      <c r="R3039" s="260"/>
      <c r="S3039" s="260"/>
      <c r="T3039" s="260"/>
      <c r="U3039" s="260"/>
      <c r="V3039" s="260"/>
      <c r="W3039" s="260"/>
      <c r="X3039" s="260"/>
      <c r="Y3039" s="260"/>
      <c r="Z3039" s="260"/>
      <c r="AA3039" s="260"/>
      <c r="AB3039" s="260"/>
      <c r="AC3039" s="260"/>
      <c r="AD3039" s="260"/>
      <c r="AE3039" s="260"/>
      <c r="AF3039" s="260"/>
      <c r="AG3039" s="258"/>
    </row>
    <row r="3040" spans="13:33" ht="12" hidden="1" customHeight="1">
      <c r="M3040" s="820"/>
      <c r="N3040" s="239"/>
      <c r="O3040" s="225"/>
      <c r="P3040" s="260"/>
      <c r="Q3040" s="258"/>
      <c r="R3040" s="260"/>
      <c r="S3040" s="260"/>
      <c r="T3040" s="260"/>
      <c r="U3040" s="260"/>
      <c r="V3040" s="260"/>
      <c r="W3040" s="260"/>
      <c r="X3040" s="260"/>
      <c r="Y3040" s="260"/>
      <c r="Z3040" s="260"/>
      <c r="AA3040" s="260"/>
      <c r="AB3040" s="260"/>
      <c r="AC3040" s="260"/>
      <c r="AD3040" s="260"/>
      <c r="AE3040" s="260"/>
      <c r="AF3040" s="260"/>
      <c r="AG3040" s="258"/>
    </row>
    <row r="3041" spans="13:33" ht="12" hidden="1" customHeight="1">
      <c r="M3041" s="820"/>
      <c r="N3041" s="239"/>
      <c r="O3041" s="225"/>
      <c r="P3041" s="260"/>
      <c r="Q3041" s="258"/>
      <c r="R3041" s="260"/>
      <c r="S3041" s="260"/>
      <c r="T3041" s="260"/>
      <c r="U3041" s="260"/>
      <c r="V3041" s="260"/>
      <c r="W3041" s="260"/>
      <c r="X3041" s="260"/>
      <c r="Y3041" s="260"/>
      <c r="Z3041" s="260"/>
      <c r="AA3041" s="260"/>
      <c r="AB3041" s="260"/>
      <c r="AC3041" s="260"/>
      <c r="AD3041" s="260"/>
      <c r="AE3041" s="260"/>
      <c r="AF3041" s="260"/>
      <c r="AG3041" s="258"/>
    </row>
    <row r="3042" spans="13:33" ht="12" hidden="1" customHeight="1">
      <c r="M3042" s="820"/>
      <c r="N3042" s="239"/>
      <c r="O3042" s="225"/>
      <c r="P3042" s="260"/>
      <c r="Q3042" s="258"/>
      <c r="R3042" s="260"/>
      <c r="S3042" s="260"/>
      <c r="T3042" s="260"/>
      <c r="U3042" s="260"/>
      <c r="V3042" s="260"/>
      <c r="W3042" s="260"/>
      <c r="X3042" s="260"/>
      <c r="Y3042" s="260"/>
      <c r="Z3042" s="260"/>
      <c r="AA3042" s="260"/>
      <c r="AB3042" s="260"/>
      <c r="AC3042" s="260"/>
      <c r="AD3042" s="260"/>
      <c r="AE3042" s="260"/>
      <c r="AF3042" s="260"/>
      <c r="AG3042" s="258"/>
    </row>
    <row r="3043" spans="13:33" ht="12" hidden="1" customHeight="1">
      <c r="M3043" s="820"/>
      <c r="N3043" s="239"/>
      <c r="O3043" s="225"/>
      <c r="P3043" s="260"/>
      <c r="Q3043" s="258"/>
      <c r="R3043" s="260"/>
      <c r="S3043" s="260"/>
      <c r="T3043" s="260"/>
      <c r="U3043" s="260"/>
      <c r="V3043" s="260"/>
      <c r="W3043" s="260"/>
      <c r="X3043" s="260"/>
      <c r="Y3043" s="260"/>
      <c r="Z3043" s="260"/>
      <c r="AA3043" s="260"/>
      <c r="AB3043" s="260"/>
      <c r="AC3043" s="260"/>
      <c r="AD3043" s="260"/>
      <c r="AE3043" s="260"/>
      <c r="AF3043" s="260"/>
      <c r="AG3043" s="258"/>
    </row>
    <row r="3044" spans="13:33" ht="12" hidden="1" customHeight="1">
      <c r="M3044" s="820"/>
      <c r="N3044" s="239"/>
      <c r="O3044" s="225"/>
      <c r="P3044" s="260"/>
      <c r="Q3044" s="258"/>
      <c r="R3044" s="260"/>
      <c r="S3044" s="260"/>
      <c r="T3044" s="260"/>
      <c r="U3044" s="260"/>
      <c r="V3044" s="260"/>
      <c r="W3044" s="260"/>
      <c r="X3044" s="260"/>
      <c r="Y3044" s="260"/>
      <c r="Z3044" s="260"/>
      <c r="AA3044" s="260"/>
      <c r="AB3044" s="260"/>
      <c r="AC3044" s="260"/>
      <c r="AD3044" s="260"/>
      <c r="AE3044" s="260"/>
      <c r="AF3044" s="260"/>
      <c r="AG3044" s="258"/>
    </row>
    <row r="3045" spans="13:33" ht="12" hidden="1" customHeight="1">
      <c r="M3045" s="820"/>
      <c r="N3045" s="239"/>
      <c r="O3045" s="225"/>
      <c r="P3045" s="260"/>
      <c r="Q3045" s="258"/>
      <c r="R3045" s="260"/>
      <c r="S3045" s="260"/>
      <c r="T3045" s="260"/>
      <c r="U3045" s="260"/>
      <c r="V3045" s="260"/>
      <c r="W3045" s="260"/>
      <c r="X3045" s="260"/>
      <c r="Y3045" s="260"/>
      <c r="Z3045" s="260"/>
      <c r="AA3045" s="260"/>
      <c r="AB3045" s="260"/>
      <c r="AC3045" s="260"/>
      <c r="AD3045" s="260"/>
      <c r="AE3045" s="260"/>
      <c r="AF3045" s="260"/>
      <c r="AG3045" s="258"/>
    </row>
    <row r="3046" spans="13:33" ht="12" hidden="1" customHeight="1">
      <c r="M3046" s="820"/>
      <c r="N3046" s="239"/>
      <c r="O3046" s="225"/>
      <c r="P3046" s="260"/>
      <c r="Q3046" s="258"/>
      <c r="R3046" s="260"/>
      <c r="S3046" s="260"/>
      <c r="T3046" s="260"/>
      <c r="U3046" s="260"/>
      <c r="V3046" s="260"/>
      <c r="W3046" s="260"/>
      <c r="X3046" s="260"/>
      <c r="Y3046" s="260"/>
      <c r="Z3046" s="260"/>
      <c r="AA3046" s="260"/>
      <c r="AB3046" s="260"/>
      <c r="AC3046" s="260"/>
      <c r="AD3046" s="260"/>
      <c r="AE3046" s="260"/>
      <c r="AF3046" s="260"/>
      <c r="AG3046" s="258"/>
    </row>
    <row r="3047" spans="13:33" ht="12" hidden="1" customHeight="1">
      <c r="M3047" s="820"/>
      <c r="N3047" s="239"/>
      <c r="O3047" s="225"/>
      <c r="P3047" s="260"/>
      <c r="Q3047" s="258"/>
      <c r="R3047" s="260"/>
      <c r="S3047" s="260"/>
      <c r="T3047" s="260"/>
      <c r="U3047" s="260"/>
      <c r="V3047" s="260"/>
      <c r="W3047" s="260"/>
      <c r="X3047" s="260"/>
      <c r="Y3047" s="260"/>
      <c r="Z3047" s="260"/>
      <c r="AA3047" s="260"/>
      <c r="AB3047" s="260"/>
      <c r="AC3047" s="260"/>
      <c r="AD3047" s="260"/>
      <c r="AE3047" s="260"/>
      <c r="AF3047" s="260"/>
      <c r="AG3047" s="258"/>
    </row>
    <row r="3048" spans="13:33" ht="12" hidden="1" customHeight="1">
      <c r="M3048" s="820"/>
      <c r="N3048" s="239"/>
      <c r="O3048" s="225"/>
      <c r="P3048" s="260"/>
      <c r="Q3048" s="258"/>
      <c r="R3048" s="260"/>
      <c r="S3048" s="260"/>
      <c r="T3048" s="260"/>
      <c r="U3048" s="260"/>
      <c r="V3048" s="260"/>
      <c r="W3048" s="260"/>
      <c r="X3048" s="260"/>
      <c r="Y3048" s="260"/>
      <c r="Z3048" s="260"/>
      <c r="AA3048" s="260"/>
      <c r="AB3048" s="260"/>
      <c r="AC3048" s="260"/>
      <c r="AD3048" s="260"/>
      <c r="AE3048" s="260"/>
      <c r="AF3048" s="260"/>
      <c r="AG3048" s="258"/>
    </row>
    <row r="3049" spans="13:33" ht="12" hidden="1" customHeight="1">
      <c r="M3049" s="820"/>
      <c r="N3049" s="239"/>
      <c r="O3049" s="225"/>
      <c r="P3049" s="260"/>
      <c r="Q3049" s="258"/>
      <c r="R3049" s="260"/>
      <c r="S3049" s="260"/>
      <c r="T3049" s="260"/>
      <c r="U3049" s="260"/>
      <c r="V3049" s="260"/>
      <c r="W3049" s="260"/>
      <c r="X3049" s="260"/>
      <c r="Y3049" s="260"/>
      <c r="Z3049" s="260"/>
      <c r="AA3049" s="260"/>
      <c r="AB3049" s="260"/>
      <c r="AC3049" s="260"/>
      <c r="AD3049" s="260"/>
      <c r="AE3049" s="260"/>
      <c r="AF3049" s="260"/>
      <c r="AG3049" s="258"/>
    </row>
    <row r="3050" spans="13:33" ht="12" hidden="1" customHeight="1">
      <c r="M3050" s="820"/>
      <c r="N3050" s="239"/>
      <c r="O3050" s="225"/>
      <c r="P3050" s="260"/>
      <c r="Q3050" s="258"/>
      <c r="R3050" s="260"/>
      <c r="S3050" s="260"/>
      <c r="T3050" s="260"/>
      <c r="U3050" s="260"/>
      <c r="V3050" s="260"/>
      <c r="W3050" s="260"/>
      <c r="X3050" s="260"/>
      <c r="Y3050" s="260"/>
      <c r="Z3050" s="260"/>
      <c r="AA3050" s="260"/>
      <c r="AB3050" s="260"/>
      <c r="AC3050" s="260"/>
      <c r="AD3050" s="260"/>
      <c r="AE3050" s="260"/>
      <c r="AF3050" s="260"/>
      <c r="AG3050" s="258"/>
    </row>
    <row r="3051" spans="13:33" ht="12" hidden="1" customHeight="1">
      <c r="M3051" s="820"/>
      <c r="N3051" s="239"/>
      <c r="O3051" s="225"/>
      <c r="P3051" s="260"/>
      <c r="Q3051" s="258"/>
      <c r="R3051" s="260"/>
      <c r="S3051" s="260"/>
      <c r="T3051" s="260"/>
      <c r="U3051" s="260"/>
      <c r="V3051" s="260"/>
      <c r="W3051" s="260"/>
      <c r="X3051" s="260"/>
      <c r="Y3051" s="260"/>
      <c r="Z3051" s="260"/>
      <c r="AA3051" s="260"/>
      <c r="AB3051" s="260"/>
      <c r="AC3051" s="260"/>
      <c r="AD3051" s="260"/>
      <c r="AE3051" s="260"/>
      <c r="AF3051" s="260"/>
      <c r="AG3051" s="258"/>
    </row>
    <row r="3052" spans="13:33" ht="12" hidden="1" customHeight="1">
      <c r="M3052" s="820"/>
      <c r="N3052" s="239"/>
      <c r="O3052" s="225"/>
      <c r="P3052" s="260"/>
      <c r="Q3052" s="258"/>
      <c r="R3052" s="260"/>
      <c r="S3052" s="260"/>
      <c r="T3052" s="260"/>
      <c r="U3052" s="260"/>
      <c r="V3052" s="260"/>
      <c r="W3052" s="260"/>
      <c r="X3052" s="260"/>
      <c r="Y3052" s="260"/>
      <c r="Z3052" s="260"/>
      <c r="AA3052" s="260"/>
      <c r="AB3052" s="260"/>
      <c r="AC3052" s="260"/>
      <c r="AD3052" s="260"/>
      <c r="AE3052" s="260"/>
      <c r="AF3052" s="260"/>
      <c r="AG3052" s="258"/>
    </row>
    <row r="3053" spans="13:33" ht="12" hidden="1" customHeight="1">
      <c r="M3053" s="820"/>
      <c r="N3053" s="239"/>
      <c r="O3053" s="225"/>
      <c r="P3053" s="260"/>
      <c r="Q3053" s="258"/>
      <c r="R3053" s="260"/>
      <c r="S3053" s="260"/>
      <c r="T3053" s="260"/>
      <c r="U3053" s="260"/>
      <c r="V3053" s="260"/>
      <c r="W3053" s="260"/>
      <c r="X3053" s="260"/>
      <c r="Y3053" s="260"/>
      <c r="Z3053" s="260"/>
      <c r="AA3053" s="260"/>
      <c r="AB3053" s="260"/>
      <c r="AC3053" s="260"/>
      <c r="AD3053" s="260"/>
      <c r="AE3053" s="260"/>
      <c r="AF3053" s="260"/>
      <c r="AG3053" s="258"/>
    </row>
    <row r="3054" spans="13:33" ht="12" hidden="1" customHeight="1">
      <c r="M3054" s="820"/>
      <c r="N3054" s="239"/>
      <c r="O3054" s="225"/>
      <c r="P3054" s="260"/>
      <c r="Q3054" s="258"/>
      <c r="R3054" s="260"/>
      <c r="S3054" s="260"/>
      <c r="T3054" s="260"/>
      <c r="U3054" s="260"/>
      <c r="V3054" s="260"/>
      <c r="W3054" s="260"/>
      <c r="X3054" s="260"/>
      <c r="Y3054" s="260"/>
      <c r="Z3054" s="260"/>
      <c r="AA3054" s="260"/>
      <c r="AB3054" s="260"/>
      <c r="AC3054" s="260"/>
      <c r="AD3054" s="260"/>
      <c r="AE3054" s="260"/>
      <c r="AF3054" s="260"/>
      <c r="AG3054" s="258"/>
    </row>
    <row r="3055" spans="13:33" ht="12" hidden="1" customHeight="1">
      <c r="M3055" s="820"/>
      <c r="N3055" s="239"/>
      <c r="O3055" s="225"/>
      <c r="P3055" s="260"/>
      <c r="Q3055" s="258"/>
      <c r="R3055" s="260"/>
      <c r="S3055" s="260"/>
      <c r="T3055" s="260"/>
      <c r="U3055" s="260"/>
      <c r="V3055" s="260"/>
      <c r="W3055" s="260"/>
      <c r="X3055" s="260"/>
      <c r="Y3055" s="260"/>
      <c r="Z3055" s="260"/>
      <c r="AA3055" s="260"/>
      <c r="AB3055" s="260"/>
      <c r="AC3055" s="260"/>
      <c r="AD3055" s="260"/>
      <c r="AE3055" s="260"/>
      <c r="AF3055" s="260"/>
      <c r="AG3055" s="258"/>
    </row>
    <row r="3056" spans="13:33" ht="12" hidden="1" customHeight="1">
      <c r="M3056" s="820"/>
      <c r="N3056" s="239"/>
      <c r="O3056" s="225"/>
      <c r="P3056" s="260"/>
      <c r="Q3056" s="258"/>
      <c r="R3056" s="260"/>
      <c r="S3056" s="260"/>
      <c r="T3056" s="260"/>
      <c r="U3056" s="260"/>
      <c r="V3056" s="260"/>
      <c r="W3056" s="260"/>
      <c r="X3056" s="260"/>
      <c r="Y3056" s="260"/>
      <c r="Z3056" s="260"/>
      <c r="AA3056" s="260"/>
      <c r="AB3056" s="260"/>
      <c r="AC3056" s="260"/>
      <c r="AD3056" s="260"/>
      <c r="AE3056" s="260"/>
      <c r="AF3056" s="260"/>
      <c r="AG3056" s="258"/>
    </row>
    <row r="3057" spans="13:33" ht="12" hidden="1" customHeight="1">
      <c r="M3057" s="820"/>
      <c r="N3057" s="239"/>
      <c r="O3057" s="225"/>
      <c r="P3057" s="260"/>
      <c r="Q3057" s="258"/>
      <c r="R3057" s="260"/>
      <c r="S3057" s="260"/>
      <c r="T3057" s="260"/>
      <c r="U3057" s="260"/>
      <c r="V3057" s="260"/>
      <c r="W3057" s="260"/>
      <c r="X3057" s="260"/>
      <c r="Y3057" s="260"/>
      <c r="Z3057" s="260"/>
      <c r="AA3057" s="260"/>
      <c r="AB3057" s="260"/>
      <c r="AC3057" s="260"/>
      <c r="AD3057" s="260"/>
      <c r="AE3057" s="260"/>
      <c r="AF3057" s="260"/>
      <c r="AG3057" s="258"/>
    </row>
    <row r="3058" spans="13:33" ht="12" hidden="1" customHeight="1">
      <c r="M3058" s="820"/>
      <c r="N3058" s="239"/>
      <c r="O3058" s="225"/>
      <c r="P3058" s="260"/>
      <c r="Q3058" s="258"/>
      <c r="R3058" s="260"/>
      <c r="S3058" s="260"/>
      <c r="T3058" s="260"/>
      <c r="U3058" s="260"/>
      <c r="V3058" s="260"/>
      <c r="W3058" s="260"/>
      <c r="X3058" s="260"/>
      <c r="Y3058" s="260"/>
      <c r="Z3058" s="260"/>
      <c r="AA3058" s="260"/>
      <c r="AB3058" s="260"/>
      <c r="AC3058" s="260"/>
      <c r="AD3058" s="260"/>
      <c r="AE3058" s="260"/>
      <c r="AF3058" s="260"/>
      <c r="AG3058" s="258"/>
    </row>
    <row r="3059" spans="13:33" ht="12" hidden="1" customHeight="1">
      <c r="M3059" s="820"/>
      <c r="N3059" s="239"/>
      <c r="O3059" s="225"/>
      <c r="P3059" s="260"/>
      <c r="Q3059" s="258"/>
      <c r="R3059" s="260"/>
      <c r="S3059" s="260"/>
      <c r="T3059" s="260"/>
      <c r="U3059" s="260"/>
      <c r="V3059" s="260"/>
      <c r="W3059" s="260"/>
      <c r="X3059" s="260"/>
      <c r="Y3059" s="260"/>
      <c r="Z3059" s="260"/>
      <c r="AA3059" s="260"/>
      <c r="AB3059" s="260"/>
      <c r="AC3059" s="260"/>
      <c r="AD3059" s="260"/>
      <c r="AE3059" s="260"/>
      <c r="AF3059" s="260"/>
      <c r="AG3059" s="258"/>
    </row>
    <row r="3060" spans="13:33" ht="12" hidden="1" customHeight="1">
      <c r="M3060" s="820"/>
      <c r="N3060" s="239"/>
      <c r="O3060" s="225"/>
      <c r="P3060" s="260"/>
      <c r="Q3060" s="258"/>
      <c r="R3060" s="260"/>
      <c r="S3060" s="260"/>
      <c r="T3060" s="260"/>
      <c r="U3060" s="260"/>
      <c r="V3060" s="260"/>
      <c r="W3060" s="260"/>
      <c r="X3060" s="260"/>
      <c r="Y3060" s="260"/>
      <c r="Z3060" s="260"/>
      <c r="AA3060" s="260"/>
      <c r="AB3060" s="260"/>
      <c r="AC3060" s="260"/>
      <c r="AD3060" s="260"/>
      <c r="AE3060" s="260"/>
      <c r="AF3060" s="260"/>
      <c r="AG3060" s="258"/>
    </row>
    <row r="3061" spans="13:33" ht="12" hidden="1" customHeight="1">
      <c r="M3061" s="820"/>
      <c r="N3061" s="239"/>
      <c r="O3061" s="225"/>
      <c r="P3061" s="260"/>
      <c r="Q3061" s="258"/>
      <c r="R3061" s="260"/>
      <c r="S3061" s="260"/>
      <c r="T3061" s="260"/>
      <c r="U3061" s="260"/>
      <c r="V3061" s="260"/>
      <c r="W3061" s="260"/>
      <c r="X3061" s="260"/>
      <c r="Y3061" s="260"/>
      <c r="Z3061" s="260"/>
      <c r="AA3061" s="260"/>
      <c r="AB3061" s="260"/>
      <c r="AC3061" s="260"/>
      <c r="AD3061" s="260"/>
      <c r="AE3061" s="260"/>
      <c r="AF3061" s="260"/>
      <c r="AG3061" s="258"/>
    </row>
    <row r="3062" spans="13:33" ht="12" hidden="1" customHeight="1">
      <c r="M3062" s="820"/>
      <c r="N3062" s="239"/>
      <c r="O3062" s="225"/>
      <c r="P3062" s="260"/>
      <c r="Q3062" s="258"/>
      <c r="R3062" s="260"/>
      <c r="S3062" s="260"/>
      <c r="T3062" s="260"/>
      <c r="U3062" s="260"/>
      <c r="V3062" s="260"/>
      <c r="W3062" s="260"/>
      <c r="X3062" s="260"/>
      <c r="Y3062" s="260"/>
      <c r="Z3062" s="260"/>
      <c r="AA3062" s="260"/>
      <c r="AB3062" s="260"/>
      <c r="AC3062" s="260"/>
      <c r="AD3062" s="260"/>
      <c r="AE3062" s="260"/>
      <c r="AF3062" s="260"/>
      <c r="AG3062" s="258"/>
    </row>
    <row r="3063" spans="13:33" ht="12" hidden="1" customHeight="1">
      <c r="M3063" s="820"/>
      <c r="N3063" s="239"/>
      <c r="O3063" s="225"/>
      <c r="P3063" s="260"/>
      <c r="Q3063" s="258"/>
      <c r="R3063" s="260"/>
      <c r="S3063" s="260"/>
      <c r="T3063" s="260"/>
      <c r="U3063" s="260"/>
      <c r="V3063" s="260"/>
      <c r="W3063" s="260"/>
      <c r="X3063" s="260"/>
      <c r="Y3063" s="260"/>
      <c r="Z3063" s="260"/>
      <c r="AA3063" s="260"/>
      <c r="AB3063" s="260"/>
      <c r="AC3063" s="260"/>
      <c r="AD3063" s="260"/>
      <c r="AE3063" s="260"/>
      <c r="AF3063" s="260"/>
      <c r="AG3063" s="258"/>
    </row>
    <row r="3064" spans="13:33" ht="12" hidden="1" customHeight="1">
      <c r="M3064" s="820"/>
      <c r="N3064" s="239"/>
      <c r="O3064" s="225"/>
      <c r="P3064" s="260"/>
      <c r="Q3064" s="258"/>
      <c r="R3064" s="260"/>
      <c r="S3064" s="260"/>
      <c r="T3064" s="260"/>
      <c r="U3064" s="260"/>
      <c r="V3064" s="260"/>
      <c r="W3064" s="260"/>
      <c r="X3064" s="260"/>
      <c r="Y3064" s="260"/>
      <c r="Z3064" s="260"/>
      <c r="AA3064" s="260"/>
      <c r="AB3064" s="260"/>
      <c r="AC3064" s="260"/>
      <c r="AD3064" s="260"/>
      <c r="AE3064" s="260"/>
      <c r="AF3064" s="260"/>
      <c r="AG3064" s="258"/>
    </row>
    <row r="3065" spans="13:33" ht="12" customHeight="1">
      <c r="M3065" s="820"/>
      <c r="N3065" s="236" t="s">
        <v>2985</v>
      </c>
      <c r="O3065" s="225" t="s">
        <v>2986</v>
      </c>
      <c r="P3065" s="260"/>
      <c r="Q3065" s="258"/>
      <c r="R3065" s="260"/>
      <c r="S3065" s="260"/>
      <c r="T3065" s="260"/>
      <c r="U3065" s="260"/>
      <c r="V3065" s="260"/>
      <c r="W3065" s="260"/>
      <c r="X3065" s="260"/>
      <c r="Y3065" s="260"/>
      <c r="Z3065" s="262">
        <f>'ТС.Т 01.09 - 31.12'!Z3065</f>
        <v>0</v>
      </c>
      <c r="AA3065" s="260"/>
      <c r="AB3065" s="260"/>
      <c r="AC3065" s="260"/>
      <c r="AD3065" s="260"/>
      <c r="AE3065" s="260"/>
      <c r="AF3065" s="262">
        <f>'ТС.Т 01.09 - 31.12'!AF3065</f>
        <v>0</v>
      </c>
      <c r="AG3065" s="258"/>
    </row>
    <row r="3066" spans="13:33" ht="12" customHeight="1">
      <c r="M3066" s="820"/>
      <c r="N3066" s="236" t="s">
        <v>2987</v>
      </c>
      <c r="O3066" s="225" t="s">
        <v>2988</v>
      </c>
      <c r="P3066" s="260"/>
      <c r="Q3066" s="258"/>
      <c r="R3066" s="260"/>
      <c r="S3066" s="260"/>
      <c r="T3066" s="260"/>
      <c r="U3066" s="260"/>
      <c r="V3066" s="260"/>
      <c r="W3066" s="260"/>
      <c r="X3066" s="260"/>
      <c r="Y3066" s="260"/>
      <c r="Z3066" s="262">
        <f>'ТС.Т 01.09 - 31.12'!Z3066</f>
        <v>0</v>
      </c>
      <c r="AA3066" s="260"/>
      <c r="AB3066" s="260"/>
      <c r="AC3066" s="260"/>
      <c r="AD3066" s="260"/>
      <c r="AE3066" s="260"/>
      <c r="AF3066" s="262">
        <f>'ТС.Т 01.09 - 31.12'!AF3066</f>
        <v>0</v>
      </c>
      <c r="AG3066" s="258"/>
    </row>
    <row r="3067" spans="13:33" ht="12" customHeight="1">
      <c r="M3067" s="820"/>
      <c r="N3067" s="239"/>
      <c r="O3067" s="225"/>
      <c r="P3067" s="260"/>
      <c r="Q3067" s="258"/>
      <c r="R3067" s="260"/>
      <c r="S3067" s="260"/>
      <c r="T3067" s="260"/>
      <c r="U3067" s="260"/>
      <c r="V3067" s="260"/>
      <c r="W3067" s="260"/>
      <c r="X3067" s="260"/>
      <c r="Y3067" s="260"/>
      <c r="Z3067" s="260"/>
      <c r="AA3067" s="260"/>
      <c r="AB3067" s="260"/>
      <c r="AC3067" s="260"/>
      <c r="AD3067" s="260"/>
      <c r="AE3067" s="260"/>
      <c r="AF3067" s="260"/>
      <c r="AG3067" s="258"/>
    </row>
    <row r="3068" spans="13:33" ht="11.25" customHeight="1"/>
    <row r="3069" spans="13:33" ht="11.25" customHeight="1"/>
    <row r="3070" spans="13:33" ht="11.25" customHeight="1"/>
    <row r="3071" spans="13:33" ht="11.25" customHeight="1"/>
    <row r="3072" spans="13:33" ht="11.25" customHeight="1"/>
    <row r="3073" spans="15:33" ht="11.25" customHeight="1"/>
    <row r="3074" spans="15:33" ht="11.25" customHeight="1"/>
    <row r="3075" spans="15:33" ht="11.25" customHeight="1"/>
    <row r="3076" spans="15:33" ht="11.25" customHeight="1"/>
    <row r="3077" spans="15:33" ht="11.25" customHeight="1"/>
    <row r="3078" spans="15:33" ht="11.25" customHeight="1"/>
    <row r="3079" spans="15:33" ht="11.25" customHeight="1"/>
    <row r="3080" spans="15:33" ht="11.25" customHeight="1"/>
    <row r="3081" spans="15:33" ht="11.25" customHeight="1"/>
    <row r="3082" spans="15:33" ht="22.5" customHeight="1">
      <c r="R3082" s="815" t="s">
        <v>1743</v>
      </c>
      <c r="S3082" s="815"/>
      <c r="T3082" s="815"/>
      <c r="AD3082"/>
      <c r="AE3082"/>
      <c r="AF3082"/>
      <c r="AG3082"/>
    </row>
    <row r="3083" spans="15:33" ht="22.5" customHeight="1">
      <c r="R3083" s="815" t="s">
        <v>1744</v>
      </c>
      <c r="S3083" s="815"/>
      <c r="T3083" s="815"/>
      <c r="AD3083"/>
      <c r="AE3083"/>
      <c r="AF3083"/>
      <c r="AG3083"/>
    </row>
    <row r="3084" spans="15:33" ht="22.5" customHeight="1">
      <c r="O3084" s="60"/>
      <c r="R3084" s="815" t="s">
        <v>1745</v>
      </c>
      <c r="S3084" s="815"/>
      <c r="T3084" s="815"/>
      <c r="AD3084"/>
      <c r="AE3084"/>
      <c r="AF3084"/>
      <c r="AG3084"/>
    </row>
    <row r="3085" spans="15:33" ht="22.5" customHeight="1">
      <c r="R3085"/>
      <c r="S3085"/>
      <c r="T3085"/>
      <c r="U3085" s="815" t="s">
        <v>1746</v>
      </c>
      <c r="V3085" s="815"/>
      <c r="W3085" s="815"/>
      <c r="X3085" s="815" t="s">
        <v>1747</v>
      </c>
      <c r="Y3085" s="815"/>
      <c r="Z3085" s="815"/>
      <c r="AA3085" s="815" t="s">
        <v>1748</v>
      </c>
      <c r="AB3085" s="815"/>
      <c r="AC3085" s="815"/>
      <c r="AD3085"/>
      <c r="AE3085"/>
      <c r="AF3085"/>
      <c r="AG3085"/>
    </row>
    <row r="3086" spans="15:33" ht="11.25" customHeight="1">
      <c r="R3086" s="622"/>
      <c r="S3086" s="622"/>
      <c r="T3086" s="622"/>
      <c r="U3086" s="622"/>
      <c r="V3086" s="622"/>
      <c r="W3086" s="622"/>
      <c r="X3086" s="622"/>
      <c r="Y3086" s="622"/>
      <c r="Z3086" s="622"/>
      <c r="AA3086" s="622"/>
      <c r="AB3086" s="622"/>
      <c r="AC3086" s="622"/>
      <c r="AD3086"/>
      <c r="AE3086"/>
      <c r="AF3086"/>
      <c r="AG3086"/>
    </row>
    <row r="3087" spans="15:33" ht="11.25" customHeight="1">
      <c r="R3087" s="622"/>
      <c r="S3087" s="622"/>
      <c r="T3087" s="622"/>
      <c r="U3087" s="622"/>
      <c r="V3087" s="622"/>
      <c r="W3087" s="622"/>
      <c r="X3087" s="622"/>
      <c r="Y3087" s="622"/>
      <c r="Z3087" s="622"/>
      <c r="AA3087" s="622"/>
      <c r="AB3087" s="622"/>
      <c r="AC3087" s="622"/>
      <c r="AD3087"/>
      <c r="AE3087"/>
      <c r="AF3087"/>
      <c r="AG3087"/>
    </row>
    <row r="3088" spans="15:33" ht="11.25" customHeight="1">
      <c r="R3088" s="622"/>
      <c r="S3088" s="622"/>
      <c r="T3088" s="622"/>
      <c r="U3088" s="622"/>
      <c r="V3088" s="622"/>
      <c r="W3088" s="622"/>
      <c r="X3088" s="622"/>
      <c r="Y3088" s="622"/>
      <c r="Z3088" s="622"/>
      <c r="AA3088" s="622"/>
      <c r="AB3088" s="622"/>
      <c r="AC3088" s="622"/>
      <c r="AD3088"/>
      <c r="AE3088"/>
      <c r="AF3088"/>
      <c r="AG3088"/>
    </row>
    <row r="3089" spans="14:33" ht="11.25" customHeight="1">
      <c r="R3089" s="621"/>
      <c r="S3089" s="621"/>
      <c r="T3089" s="621"/>
      <c r="U3089" s="621"/>
      <c r="V3089" s="621"/>
      <c r="W3089" s="621"/>
      <c r="X3089" s="621"/>
      <c r="Y3089" s="621"/>
      <c r="Z3089" s="621"/>
      <c r="AA3089" s="621"/>
      <c r="AB3089" s="621"/>
      <c r="AC3089" s="621"/>
      <c r="AD3089"/>
      <c r="AE3089"/>
      <c r="AF3089"/>
      <c r="AG3089"/>
    </row>
    <row r="3090" spans="14:33" ht="11.25" customHeight="1">
      <c r="N3090" s="434"/>
      <c r="O3090" s="315"/>
      <c r="P3090" s="309"/>
      <c r="Q3090" s="311"/>
      <c r="R3090" s="624"/>
      <c r="S3090" s="624"/>
      <c r="T3090" s="624"/>
      <c r="U3090" s="624"/>
      <c r="V3090" s="624"/>
      <c r="W3090" s="624"/>
      <c r="X3090" s="624"/>
      <c r="Y3090" s="624"/>
      <c r="Z3090" s="624"/>
      <c r="AA3090" s="624"/>
      <c r="AB3090" s="624"/>
      <c r="AC3090" s="624"/>
      <c r="AD3090"/>
      <c r="AE3090"/>
      <c r="AF3090"/>
      <c r="AG3090"/>
    </row>
    <row r="3091" spans="14:33" ht="11.25" customHeight="1">
      <c r="N3091" s="811"/>
      <c r="O3091" s="812"/>
      <c r="P3091" s="813"/>
      <c r="Q3091" s="317"/>
      <c r="R3091" s="625" t="str">
        <f>R3093 &amp; ".1"</f>
        <v>.1</v>
      </c>
      <c r="S3091" s="625" t="str">
        <f>R3093 &amp; ".2"</f>
        <v>.2</v>
      </c>
      <c r="T3091" s="625" t="str">
        <f>R3093 &amp; ".0"</f>
        <v>.0</v>
      </c>
      <c r="U3091" s="624"/>
      <c r="V3091" s="624"/>
      <c r="W3091" s="624"/>
      <c r="X3091" s="624"/>
      <c r="Y3091" s="624"/>
      <c r="Z3091" s="624"/>
      <c r="AA3091" s="624"/>
      <c r="AB3091" s="624"/>
      <c r="AC3091" s="624"/>
      <c r="AD3091"/>
      <c r="AE3091"/>
      <c r="AF3091"/>
      <c r="AG3091"/>
    </row>
    <row r="3092" spans="14:33" ht="11.25" customHeight="1">
      <c r="N3092" s="430" t="s">
        <v>1742</v>
      </c>
      <c r="O3092" s="221"/>
      <c r="P3092" s="122" t="s">
        <v>786</v>
      </c>
      <c r="Q3092" s="201"/>
      <c r="R3092" s="814" t="s">
        <v>719</v>
      </c>
      <c r="S3092" s="814"/>
      <c r="T3092" s="814"/>
      <c r="U3092" s="814" t="s">
        <v>719</v>
      </c>
      <c r="V3092" s="814"/>
      <c r="W3092" s="814"/>
      <c r="X3092" s="814" t="s">
        <v>719</v>
      </c>
      <c r="Y3092" s="814"/>
      <c r="Z3092" s="814"/>
      <c r="AA3092" s="814" t="s">
        <v>719</v>
      </c>
      <c r="AB3092" s="814"/>
      <c r="AC3092" s="814"/>
      <c r="AD3092"/>
      <c r="AE3092"/>
      <c r="AF3092"/>
      <c r="AG3092"/>
    </row>
    <row r="3093" spans="14:33" ht="11.25" customHeight="1">
      <c r="N3093" s="802" t="s">
        <v>641</v>
      </c>
      <c r="O3093" s="804" t="s">
        <v>787</v>
      </c>
      <c r="P3093" s="806" t="s">
        <v>778</v>
      </c>
      <c r="Q3093" s="206">
        <v>0</v>
      </c>
      <c r="R3093" s="808"/>
      <c r="S3093" s="809"/>
      <c r="T3093" s="810"/>
      <c r="U3093" s="808"/>
      <c r="V3093" s="809"/>
      <c r="W3093" s="810"/>
      <c r="X3093" s="808"/>
      <c r="Y3093" s="809"/>
      <c r="Z3093" s="810"/>
      <c r="AA3093" s="808"/>
      <c r="AB3093" s="809"/>
      <c r="AC3093" s="810"/>
      <c r="AD3093"/>
      <c r="AE3093"/>
      <c r="AF3093"/>
      <c r="AG3093"/>
    </row>
    <row r="3094" spans="14:33" ht="12" customHeight="1">
      <c r="N3094" s="802"/>
      <c r="O3094" s="804"/>
      <c r="P3094" s="806"/>
      <c r="Q3094" s="207"/>
      <c r="R3094" s="796"/>
      <c r="S3094" s="797"/>
      <c r="T3094" s="798"/>
      <c r="U3094" s="796"/>
      <c r="V3094" s="797"/>
      <c r="W3094" s="798"/>
      <c r="X3094" s="796"/>
      <c r="Y3094" s="797"/>
      <c r="Z3094" s="798"/>
      <c r="AA3094" s="796"/>
      <c r="AB3094" s="797"/>
      <c r="AC3094" s="798"/>
      <c r="AD3094"/>
      <c r="AE3094"/>
      <c r="AF3094"/>
      <c r="AG3094"/>
    </row>
    <row r="3095" spans="14:33" ht="12" customHeight="1">
      <c r="N3095" s="232"/>
      <c r="O3095" s="233" t="s">
        <v>788</v>
      </c>
      <c r="P3095" s="251"/>
      <c r="Q3095" s="207"/>
      <c r="R3095" s="796"/>
      <c r="S3095" s="797"/>
      <c r="T3095" s="798"/>
      <c r="U3095" s="796"/>
      <c r="V3095" s="797"/>
      <c r="W3095" s="798"/>
      <c r="X3095" s="796"/>
      <c r="Y3095" s="797"/>
      <c r="Z3095" s="798"/>
      <c r="AA3095" s="796"/>
      <c r="AB3095" s="797"/>
      <c r="AC3095" s="798"/>
      <c r="AD3095"/>
      <c r="AE3095"/>
      <c r="AF3095"/>
      <c r="AG3095"/>
    </row>
    <row r="3096" spans="14:33" ht="12" customHeight="1">
      <c r="N3096" s="232"/>
      <c r="O3096" s="490" t="str">
        <f>IF(CALC_IDENTIFIER="","",CALC_IDENTIFIER)</f>
        <v/>
      </c>
      <c r="P3096" s="251"/>
      <c r="Q3096" s="207"/>
      <c r="R3096" s="796"/>
      <c r="S3096" s="797"/>
      <c r="T3096" s="798"/>
      <c r="U3096" s="796"/>
      <c r="V3096" s="797"/>
      <c r="W3096" s="798"/>
      <c r="X3096" s="796"/>
      <c r="Y3096" s="797"/>
      <c r="Z3096" s="798"/>
      <c r="AA3096" s="796"/>
      <c r="AB3096" s="797"/>
      <c r="AC3096" s="798"/>
      <c r="AD3096"/>
      <c r="AE3096"/>
      <c r="AF3096"/>
      <c r="AG3096"/>
    </row>
    <row r="3097" spans="14:33" ht="12" customHeight="1">
      <c r="N3097" s="234" t="s">
        <v>642</v>
      </c>
      <c r="O3097" s="489" t="s">
        <v>789</v>
      </c>
      <c r="P3097" s="257"/>
      <c r="Q3097" s="258"/>
      <c r="R3097" s="260"/>
      <c r="S3097" s="260"/>
      <c r="T3097" s="260"/>
      <c r="U3097" s="260"/>
      <c r="V3097" s="260"/>
      <c r="W3097" s="262">
        <f>'ТС.РО 01.01 - 30.06'!W3097*W3956</f>
        <v>0</v>
      </c>
      <c r="X3097" s="260"/>
      <c r="Y3097" s="260"/>
      <c r="Z3097" s="262">
        <f>'ТС.РО 01.07 - 31.08'!Z3097*Z3956</f>
        <v>0</v>
      </c>
      <c r="AA3097" s="260"/>
      <c r="AB3097" s="260"/>
      <c r="AC3097" s="262">
        <f>'ТС.РО 01.09 - 31.12'!AC3097*AC3956</f>
        <v>0</v>
      </c>
      <c r="AD3097"/>
      <c r="AE3097"/>
      <c r="AF3097"/>
      <c r="AG3097"/>
    </row>
    <row r="3098" spans="14:33" ht="12" customHeight="1">
      <c r="N3098" s="234" t="s">
        <v>790</v>
      </c>
      <c r="O3098" s="224" t="s">
        <v>791</v>
      </c>
      <c r="P3098" s="257"/>
      <c r="Q3098" s="258"/>
      <c r="R3098" s="260"/>
      <c r="S3098" s="260"/>
      <c r="T3098" s="260"/>
      <c r="U3098" s="260"/>
      <c r="V3098" s="260"/>
      <c r="W3098" s="262">
        <f>'ТС.РО 01.01 - 30.06'!W3098*W3956</f>
        <v>0</v>
      </c>
      <c r="X3098" s="260"/>
      <c r="Y3098" s="260"/>
      <c r="Z3098" s="262">
        <f>'ТС.РО 01.07 - 31.08'!Z3098*Z3956</f>
        <v>0</v>
      </c>
      <c r="AA3098" s="260"/>
      <c r="AB3098" s="260"/>
      <c r="AC3098" s="262">
        <f>'ТС.РО 01.09 - 31.12'!AC3098*AC3956</f>
        <v>0</v>
      </c>
      <c r="AD3098"/>
      <c r="AE3098"/>
      <c r="AF3098"/>
      <c r="AG3098"/>
    </row>
    <row r="3099" spans="14:33" ht="12" customHeight="1">
      <c r="N3099" s="236" t="s">
        <v>792</v>
      </c>
      <c r="O3099" s="237" t="s">
        <v>793</v>
      </c>
      <c r="P3099" s="257"/>
      <c r="Q3099" s="258"/>
      <c r="R3099" s="260"/>
      <c r="S3099" s="260"/>
      <c r="T3099" s="260"/>
      <c r="U3099" s="260"/>
      <c r="V3099" s="260"/>
      <c r="W3099" s="262">
        <f>'ТС.РО 01.01 - 30.06'!W3099*W3956</f>
        <v>0</v>
      </c>
      <c r="X3099" s="260"/>
      <c r="Y3099" s="260"/>
      <c r="Z3099" s="262">
        <f>'ТС.РО 01.07 - 31.08'!Z3099*Z3956</f>
        <v>0</v>
      </c>
      <c r="AA3099" s="260"/>
      <c r="AB3099" s="260"/>
      <c r="AC3099" s="262">
        <f>'ТС.РО 01.09 - 31.12'!AC3099*AC3956</f>
        <v>0</v>
      </c>
      <c r="AD3099"/>
      <c r="AE3099"/>
      <c r="AF3099"/>
      <c r="AG3099"/>
    </row>
    <row r="3100" spans="14:33" ht="12" customHeight="1">
      <c r="N3100" s="234" t="s">
        <v>794</v>
      </c>
      <c r="O3100" s="238" t="s">
        <v>2567</v>
      </c>
      <c r="P3100" s="257"/>
      <c r="Q3100" s="258"/>
      <c r="R3100" s="260"/>
      <c r="S3100" s="260"/>
      <c r="T3100" s="260"/>
      <c r="U3100" s="260"/>
      <c r="V3100" s="260"/>
      <c r="W3100" s="262">
        <f>'ТС.РО 01.01 - 30.06'!W3100*W3956</f>
        <v>0</v>
      </c>
      <c r="X3100" s="260"/>
      <c r="Y3100" s="260"/>
      <c r="Z3100" s="262">
        <f>'ТС.РО 01.07 - 31.08'!Z3100*Z3956</f>
        <v>0</v>
      </c>
      <c r="AA3100" s="260"/>
      <c r="AB3100" s="260"/>
      <c r="AC3100" s="262">
        <f>'ТС.РО 01.09 - 31.12'!AC3100*AC3956</f>
        <v>0</v>
      </c>
      <c r="AD3100"/>
      <c r="AE3100"/>
      <c r="AF3100"/>
      <c r="AG3100"/>
    </row>
    <row r="3101" spans="14:33" ht="12" customHeight="1">
      <c r="N3101" s="234" t="s">
        <v>61</v>
      </c>
      <c r="O3101" s="238" t="s">
        <v>2568</v>
      </c>
      <c r="P3101" s="257"/>
      <c r="Q3101" s="258"/>
      <c r="R3101" s="260"/>
      <c r="S3101" s="260"/>
      <c r="T3101" s="260"/>
      <c r="U3101" s="260"/>
      <c r="V3101" s="260"/>
      <c r="W3101" s="262">
        <f>'ТС.РО 01.01 - 30.06'!W3101*W3956</f>
        <v>0</v>
      </c>
      <c r="X3101" s="260"/>
      <c r="Y3101" s="260"/>
      <c r="Z3101" s="262">
        <f>'ТС.РО 01.07 - 31.08'!Z3101*Z3956</f>
        <v>0</v>
      </c>
      <c r="AA3101" s="260"/>
      <c r="AB3101" s="260"/>
      <c r="AC3101" s="262">
        <f>'ТС.РО 01.09 - 31.12'!AC3101*AC3956</f>
        <v>0</v>
      </c>
      <c r="AD3101"/>
      <c r="AE3101"/>
      <c r="AF3101"/>
      <c r="AG3101"/>
    </row>
    <row r="3102" spans="14:33" ht="12" customHeight="1">
      <c r="N3102" s="236" t="s">
        <v>63</v>
      </c>
      <c r="O3102" s="237" t="s">
        <v>64</v>
      </c>
      <c r="P3102" s="257"/>
      <c r="Q3102" s="258"/>
      <c r="R3102" s="260"/>
      <c r="S3102" s="260"/>
      <c r="T3102" s="260"/>
      <c r="U3102" s="260"/>
      <c r="V3102" s="260"/>
      <c r="W3102" s="262">
        <f>'ТС.РО 01.01 - 30.06'!W3102*W3956</f>
        <v>0</v>
      </c>
      <c r="X3102" s="260"/>
      <c r="Y3102" s="260"/>
      <c r="Z3102" s="262">
        <f>'ТС.РО 01.07 - 31.08'!Z3102*Z3956</f>
        <v>0</v>
      </c>
      <c r="AA3102" s="260"/>
      <c r="AB3102" s="260"/>
      <c r="AC3102" s="262">
        <f>'ТС.РО 01.09 - 31.12'!AC3102*AC3956</f>
        <v>0</v>
      </c>
      <c r="AD3102"/>
      <c r="AE3102"/>
      <c r="AF3102"/>
      <c r="AG3102"/>
    </row>
    <row r="3103" spans="14:33" ht="12" customHeight="1">
      <c r="N3103" s="234" t="s">
        <v>751</v>
      </c>
      <c r="O3103" s="235" t="s">
        <v>65</v>
      </c>
      <c r="P3103" s="257"/>
      <c r="Q3103" s="258"/>
      <c r="R3103" s="260"/>
      <c r="S3103" s="260"/>
      <c r="T3103" s="260"/>
      <c r="U3103" s="260"/>
      <c r="V3103" s="260"/>
      <c r="W3103" s="262">
        <f>'ТС.РО 01.01 - 30.06'!W3103*W3956</f>
        <v>0</v>
      </c>
      <c r="X3103" s="260"/>
      <c r="Y3103" s="260"/>
      <c r="Z3103" s="262">
        <f>'ТС.РО 01.07 - 31.08'!Z3103*Z3956</f>
        <v>0</v>
      </c>
      <c r="AA3103" s="260"/>
      <c r="AB3103" s="260"/>
      <c r="AC3103" s="262">
        <f>'ТС.РО 01.09 - 31.12'!AC3103*AC3956</f>
        <v>0</v>
      </c>
      <c r="AD3103"/>
      <c r="AE3103"/>
      <c r="AF3103"/>
      <c r="AG3103"/>
    </row>
    <row r="3104" spans="14:33" ht="12" customHeight="1">
      <c r="N3104" s="234" t="s">
        <v>66</v>
      </c>
      <c r="O3104" s="237" t="s">
        <v>67</v>
      </c>
      <c r="P3104" s="257"/>
      <c r="Q3104" s="258"/>
      <c r="R3104" s="260"/>
      <c r="S3104" s="260"/>
      <c r="T3104" s="260"/>
      <c r="U3104" s="260"/>
      <c r="V3104" s="260"/>
      <c r="W3104" s="262">
        <f>'ТС.РО 01.01 - 30.06'!W3104*W3956</f>
        <v>0</v>
      </c>
      <c r="X3104" s="260"/>
      <c r="Y3104" s="260"/>
      <c r="Z3104" s="262">
        <f>'ТС.РО 01.07 - 31.08'!Z3104*Z3956</f>
        <v>0</v>
      </c>
      <c r="AA3104" s="260"/>
      <c r="AB3104" s="260"/>
      <c r="AC3104" s="262">
        <f>'ТС.РО 01.09 - 31.12'!AC3104*AC3956</f>
        <v>0</v>
      </c>
      <c r="AD3104"/>
      <c r="AE3104"/>
      <c r="AF3104"/>
      <c r="AG3104"/>
    </row>
    <row r="3105" spans="14:33" ht="12" customHeight="1">
      <c r="N3105" s="234" t="s">
        <v>69</v>
      </c>
      <c r="O3105" s="237" t="s">
        <v>70</v>
      </c>
      <c r="P3105" s="257"/>
      <c r="Q3105" s="258"/>
      <c r="R3105" s="260"/>
      <c r="S3105" s="260"/>
      <c r="T3105" s="260"/>
      <c r="U3105" s="260"/>
      <c r="V3105" s="260"/>
      <c r="W3105" s="262">
        <f>'ТС.РО 01.01 - 30.06'!W3105*W3956</f>
        <v>0</v>
      </c>
      <c r="X3105" s="260"/>
      <c r="Y3105" s="260"/>
      <c r="Z3105" s="262">
        <f>'ТС.РО 01.07 - 31.08'!Z3105*Z3956</f>
        <v>0</v>
      </c>
      <c r="AA3105" s="260"/>
      <c r="AB3105" s="260"/>
      <c r="AC3105" s="262">
        <f>'ТС.РО 01.09 - 31.12'!AC3105*AC3956</f>
        <v>0</v>
      </c>
      <c r="AD3105"/>
      <c r="AE3105"/>
      <c r="AF3105"/>
      <c r="AG3105"/>
    </row>
    <row r="3106" spans="14:33" ht="12" customHeight="1">
      <c r="N3106" s="234" t="s">
        <v>72</v>
      </c>
      <c r="O3106" s="237" t="s">
        <v>73</v>
      </c>
      <c r="P3106" s="257"/>
      <c r="Q3106" s="258"/>
      <c r="R3106" s="260"/>
      <c r="S3106" s="260"/>
      <c r="T3106" s="260"/>
      <c r="U3106" s="260"/>
      <c r="V3106" s="260"/>
      <c r="W3106" s="262">
        <f>'ТС.РО 01.01 - 30.06'!W3106*W3956</f>
        <v>0</v>
      </c>
      <c r="X3106" s="260"/>
      <c r="Y3106" s="260"/>
      <c r="Z3106" s="262">
        <f>'ТС.РО 01.07 - 31.08'!Z3106*Z3956</f>
        <v>0</v>
      </c>
      <c r="AA3106" s="260"/>
      <c r="AB3106" s="260"/>
      <c r="AC3106" s="262">
        <f>'ТС.РО 01.09 - 31.12'!AC3106*AC3956</f>
        <v>0</v>
      </c>
      <c r="AD3106"/>
      <c r="AE3106"/>
      <c r="AF3106"/>
      <c r="AG3106"/>
    </row>
    <row r="3107" spans="14:33" ht="12" customHeight="1">
      <c r="N3107" s="234" t="s">
        <v>752</v>
      </c>
      <c r="O3107" s="235" t="s">
        <v>74</v>
      </c>
      <c r="P3107" s="257"/>
      <c r="Q3107" s="258"/>
      <c r="R3107" s="260"/>
      <c r="S3107" s="260"/>
      <c r="T3107" s="260"/>
      <c r="U3107" s="260"/>
      <c r="V3107" s="260"/>
      <c r="W3107" s="262">
        <f>'ТС.РО 01.01 - 30.06'!W3107*W3956</f>
        <v>0</v>
      </c>
      <c r="X3107" s="260"/>
      <c r="Y3107" s="260"/>
      <c r="Z3107" s="262">
        <f>'ТС.РО 01.07 - 31.08'!Z3107*Z3956</f>
        <v>0</v>
      </c>
      <c r="AA3107" s="260"/>
      <c r="AB3107" s="260"/>
      <c r="AC3107" s="262">
        <f>'ТС.РО 01.09 - 31.12'!AC3107*AC3956</f>
        <v>0</v>
      </c>
      <c r="AD3107"/>
      <c r="AE3107"/>
      <c r="AF3107"/>
      <c r="AG3107"/>
    </row>
    <row r="3108" spans="14:33" ht="12" customHeight="1">
      <c r="N3108" s="236" t="s">
        <v>760</v>
      </c>
      <c r="O3108" s="237" t="s">
        <v>76</v>
      </c>
      <c r="P3108" s="257"/>
      <c r="Q3108" s="258"/>
      <c r="R3108" s="260"/>
      <c r="S3108" s="260"/>
      <c r="T3108" s="260"/>
      <c r="U3108" s="260"/>
      <c r="V3108" s="260"/>
      <c r="W3108" s="262">
        <f>'ТС.РО 01.01 - 30.06'!W3108*W3956</f>
        <v>0</v>
      </c>
      <c r="X3108" s="260"/>
      <c r="Y3108" s="260"/>
      <c r="Z3108" s="262">
        <f>'ТС.РО 01.07 - 31.08'!Z3108*Z3956</f>
        <v>0</v>
      </c>
      <c r="AA3108" s="260"/>
      <c r="AB3108" s="260"/>
      <c r="AC3108" s="262">
        <f>'ТС.РО 01.09 - 31.12'!AC3108*AC3956</f>
        <v>0</v>
      </c>
      <c r="AD3108"/>
      <c r="AE3108"/>
      <c r="AF3108"/>
      <c r="AG3108"/>
    </row>
    <row r="3109" spans="14:33" ht="12" customHeight="1">
      <c r="N3109" s="234" t="s">
        <v>753</v>
      </c>
      <c r="O3109" s="233" t="s">
        <v>211</v>
      </c>
      <c r="P3109" s="305"/>
      <c r="Q3109" s="258"/>
      <c r="R3109" s="260"/>
      <c r="S3109" s="260"/>
      <c r="T3109" s="260"/>
      <c r="U3109" s="260"/>
      <c r="V3109" s="260"/>
      <c r="W3109" s="262">
        <f>'ТС.РО 01.01 - 30.06'!W3109*W3956</f>
        <v>0</v>
      </c>
      <c r="X3109" s="260"/>
      <c r="Y3109" s="260"/>
      <c r="Z3109" s="262">
        <f>'ТС.РО 01.07 - 31.08'!Z3109*Z3956</f>
        <v>0</v>
      </c>
      <c r="AA3109" s="260"/>
      <c r="AB3109" s="260"/>
      <c r="AC3109" s="262">
        <f>'ТС.РО 01.09 - 31.12'!AC3109*AC3956</f>
        <v>0</v>
      </c>
      <c r="AD3109"/>
      <c r="AE3109"/>
      <c r="AF3109"/>
      <c r="AG3109"/>
    </row>
    <row r="3110" spans="14:33" ht="12" customHeight="1">
      <c r="N3110" s="451" t="s">
        <v>766</v>
      </c>
      <c r="O3110" s="453" t="s">
        <v>78</v>
      </c>
      <c r="P3110" s="305"/>
      <c r="Q3110" s="258"/>
      <c r="R3110" s="260"/>
      <c r="S3110" s="260"/>
      <c r="T3110" s="260"/>
      <c r="U3110" s="260"/>
      <c r="V3110" s="260"/>
      <c r="W3110" s="262">
        <f>'ТС.РО 01.01 - 30.06'!W3110*W3956</f>
        <v>0</v>
      </c>
      <c r="X3110" s="260"/>
      <c r="Y3110" s="260"/>
      <c r="Z3110" s="262">
        <f>'ТС.РО 01.07 - 31.08'!Z3110*Z3956</f>
        <v>0</v>
      </c>
      <c r="AA3110" s="260"/>
      <c r="AB3110" s="260"/>
      <c r="AC3110" s="262">
        <f>'ТС.РО 01.09 - 31.12'!AC3110*AC3956</f>
        <v>0</v>
      </c>
      <c r="AD3110"/>
      <c r="AE3110"/>
      <c r="AF3110"/>
      <c r="AG3110"/>
    </row>
    <row r="3111" spans="14:33" ht="12" customHeight="1">
      <c r="N3111" s="451" t="s">
        <v>768</v>
      </c>
      <c r="O3111" s="454" t="s">
        <v>212</v>
      </c>
      <c r="P3111" s="305"/>
      <c r="Q3111" s="258"/>
      <c r="R3111" s="260"/>
      <c r="S3111" s="260"/>
      <c r="T3111" s="260"/>
      <c r="U3111" s="260"/>
      <c r="V3111" s="260"/>
      <c r="W3111" s="262">
        <f>'ТС.РО 01.01 - 30.06'!W3111*W3956</f>
        <v>0</v>
      </c>
      <c r="X3111" s="260"/>
      <c r="Y3111" s="260"/>
      <c r="Z3111" s="262">
        <f>'ТС.РО 01.07 - 31.08'!Z3111*Z3956</f>
        <v>0</v>
      </c>
      <c r="AA3111" s="260"/>
      <c r="AB3111" s="260"/>
      <c r="AC3111" s="262">
        <f>'ТС.РО 01.09 - 31.12'!AC3111*AC3956</f>
        <v>0</v>
      </c>
      <c r="AD3111"/>
      <c r="AE3111"/>
      <c r="AF3111"/>
      <c r="AG3111"/>
    </row>
    <row r="3112" spans="14:33" ht="12" customHeight="1">
      <c r="N3112" s="451" t="s">
        <v>132</v>
      </c>
      <c r="O3112" s="455" t="s">
        <v>79</v>
      </c>
      <c r="P3112" s="305"/>
      <c r="Q3112" s="258"/>
      <c r="R3112" s="260"/>
      <c r="S3112" s="260"/>
      <c r="T3112" s="260"/>
      <c r="U3112" s="260"/>
      <c r="V3112" s="260"/>
      <c r="W3112" s="262">
        <f>'ТС.РО 01.01 - 30.06'!W3112*W3956</f>
        <v>0</v>
      </c>
      <c r="X3112" s="260"/>
      <c r="Y3112" s="260"/>
      <c r="Z3112" s="262">
        <f>'ТС.РО 01.07 - 31.08'!Z3112*Z3956</f>
        <v>0</v>
      </c>
      <c r="AA3112" s="260"/>
      <c r="AB3112" s="260"/>
      <c r="AC3112" s="262">
        <f>'ТС.РО 01.09 - 31.12'!AC3112*AC3956</f>
        <v>0</v>
      </c>
      <c r="AD3112"/>
      <c r="AE3112"/>
      <c r="AF3112"/>
      <c r="AG3112"/>
    </row>
    <row r="3113" spans="14:33" ht="12" hidden="1" customHeight="1">
      <c r="N3113" s="451"/>
      <c r="O3113" s="455"/>
      <c r="P3113" s="287"/>
      <c r="Q3113" s="258"/>
      <c r="R3113" s="260"/>
      <c r="S3113" s="260"/>
      <c r="T3113" s="260"/>
      <c r="U3113" s="260"/>
      <c r="V3113" s="260"/>
      <c r="W3113" s="260"/>
      <c r="X3113" s="260"/>
      <c r="Y3113" s="260"/>
      <c r="Z3113" s="260"/>
      <c r="AA3113" s="260"/>
      <c r="AB3113" s="260"/>
      <c r="AC3113" s="260"/>
      <c r="AD3113"/>
      <c r="AE3113"/>
      <c r="AF3113"/>
      <c r="AG3113"/>
    </row>
    <row r="3114" spans="14:33" ht="12" hidden="1" customHeight="1">
      <c r="N3114" s="451"/>
      <c r="O3114" s="455"/>
      <c r="P3114" s="287"/>
      <c r="Q3114" s="258"/>
      <c r="R3114" s="260"/>
      <c r="S3114" s="260"/>
      <c r="T3114" s="260"/>
      <c r="U3114" s="260"/>
      <c r="V3114" s="260"/>
      <c r="W3114" s="260"/>
      <c r="X3114" s="260"/>
      <c r="Y3114" s="260"/>
      <c r="Z3114" s="260"/>
      <c r="AA3114" s="260"/>
      <c r="AB3114" s="260"/>
      <c r="AC3114" s="260"/>
      <c r="AD3114"/>
      <c r="AE3114"/>
      <c r="AF3114"/>
      <c r="AG3114"/>
    </row>
    <row r="3115" spans="14:33" ht="12" hidden="1" customHeight="1">
      <c r="N3115" s="451"/>
      <c r="O3115" s="455"/>
      <c r="P3115" s="287"/>
      <c r="Q3115" s="258"/>
      <c r="R3115" s="260"/>
      <c r="S3115" s="260"/>
      <c r="T3115" s="260"/>
      <c r="U3115" s="260"/>
      <c r="V3115" s="260"/>
      <c r="W3115" s="260"/>
      <c r="X3115" s="260"/>
      <c r="Y3115" s="260"/>
      <c r="Z3115" s="260"/>
      <c r="AA3115" s="260"/>
      <c r="AB3115" s="260"/>
      <c r="AC3115" s="260"/>
      <c r="AD3115"/>
      <c r="AE3115"/>
      <c r="AF3115"/>
      <c r="AG3115"/>
    </row>
    <row r="3116" spans="14:33" ht="12" hidden="1" customHeight="1">
      <c r="N3116" s="451"/>
      <c r="O3116" s="455"/>
      <c r="P3116" s="287"/>
      <c r="Q3116" s="258"/>
      <c r="R3116" s="260"/>
      <c r="S3116" s="260"/>
      <c r="T3116" s="260"/>
      <c r="U3116" s="260"/>
      <c r="V3116" s="260"/>
      <c r="W3116" s="260"/>
      <c r="X3116" s="260"/>
      <c r="Y3116" s="260"/>
      <c r="Z3116" s="260"/>
      <c r="AA3116" s="260"/>
      <c r="AB3116" s="260"/>
      <c r="AC3116" s="260"/>
      <c r="AD3116"/>
      <c r="AE3116"/>
      <c r="AF3116"/>
      <c r="AG3116"/>
    </row>
    <row r="3117" spans="14:33" ht="12" hidden="1" customHeight="1">
      <c r="N3117" s="451"/>
      <c r="O3117" s="455"/>
      <c r="P3117" s="287"/>
      <c r="Q3117" s="258"/>
      <c r="R3117" s="260"/>
      <c r="S3117" s="260"/>
      <c r="T3117" s="260"/>
      <c r="U3117" s="260"/>
      <c r="V3117" s="260"/>
      <c r="W3117" s="260"/>
      <c r="X3117" s="260"/>
      <c r="Y3117" s="260"/>
      <c r="Z3117" s="260"/>
      <c r="AA3117" s="260"/>
      <c r="AB3117" s="260"/>
      <c r="AC3117" s="260"/>
      <c r="AD3117"/>
      <c r="AE3117"/>
      <c r="AF3117"/>
      <c r="AG3117"/>
    </row>
    <row r="3118" spans="14:33" ht="12" hidden="1" customHeight="1">
      <c r="N3118" s="451"/>
      <c r="O3118" s="455"/>
      <c r="P3118" s="287"/>
      <c r="Q3118" s="258"/>
      <c r="R3118" s="260"/>
      <c r="S3118" s="260"/>
      <c r="T3118" s="260"/>
      <c r="U3118" s="260"/>
      <c r="V3118" s="260"/>
      <c r="W3118" s="260"/>
      <c r="X3118" s="260"/>
      <c r="Y3118" s="260"/>
      <c r="Z3118" s="260"/>
      <c r="AA3118" s="260"/>
      <c r="AB3118" s="260"/>
      <c r="AC3118" s="260"/>
      <c r="AD3118"/>
      <c r="AE3118"/>
      <c r="AF3118"/>
      <c r="AG3118"/>
    </row>
    <row r="3119" spans="14:33" ht="12" hidden="1" customHeight="1">
      <c r="N3119" s="451"/>
      <c r="O3119" s="455"/>
      <c r="P3119" s="287"/>
      <c r="Q3119" s="258"/>
      <c r="R3119" s="260"/>
      <c r="S3119" s="260"/>
      <c r="T3119" s="260"/>
      <c r="U3119" s="260"/>
      <c r="V3119" s="260"/>
      <c r="W3119" s="260"/>
      <c r="X3119" s="260"/>
      <c r="Y3119" s="260"/>
      <c r="Z3119" s="260"/>
      <c r="AA3119" s="260"/>
      <c r="AB3119" s="260"/>
      <c r="AC3119" s="260"/>
      <c r="AD3119"/>
      <c r="AE3119"/>
      <c r="AF3119"/>
      <c r="AG3119"/>
    </row>
    <row r="3120" spans="14:33" ht="12" customHeight="1">
      <c r="N3120" s="451" t="s">
        <v>80</v>
      </c>
      <c r="O3120" s="455" t="s">
        <v>81</v>
      </c>
      <c r="P3120" s="305"/>
      <c r="Q3120" s="258"/>
      <c r="R3120" s="260"/>
      <c r="S3120" s="260"/>
      <c r="T3120" s="260"/>
      <c r="U3120" s="260"/>
      <c r="V3120" s="260"/>
      <c r="W3120" s="262">
        <f>'ТС.РО 01.01 - 30.06'!W3120*W3956</f>
        <v>0</v>
      </c>
      <c r="X3120" s="260"/>
      <c r="Y3120" s="260"/>
      <c r="Z3120" s="262">
        <f>'ТС.РО 01.07 - 31.08'!Z3120*Z3956</f>
        <v>0</v>
      </c>
      <c r="AA3120" s="260"/>
      <c r="AB3120" s="260"/>
      <c r="AC3120" s="262">
        <f>'ТС.РО 01.09 - 31.12'!AC3120*AC3956</f>
        <v>0</v>
      </c>
      <c r="AD3120"/>
      <c r="AE3120"/>
      <c r="AF3120"/>
      <c r="AG3120"/>
    </row>
    <row r="3121" spans="14:33" ht="12" hidden="1" customHeight="1">
      <c r="N3121" s="451"/>
      <c r="O3121" s="455"/>
      <c r="P3121" s="287"/>
      <c r="Q3121" s="258"/>
      <c r="R3121" s="260"/>
      <c r="S3121" s="260"/>
      <c r="T3121" s="260"/>
      <c r="U3121" s="260"/>
      <c r="V3121" s="260"/>
      <c r="W3121" s="260"/>
      <c r="X3121" s="260"/>
      <c r="Y3121" s="260"/>
      <c r="Z3121" s="260"/>
      <c r="AA3121" s="260"/>
      <c r="AB3121" s="260"/>
      <c r="AC3121" s="260"/>
      <c r="AD3121"/>
      <c r="AE3121"/>
      <c r="AF3121"/>
      <c r="AG3121"/>
    </row>
    <row r="3122" spans="14:33" ht="12" hidden="1" customHeight="1">
      <c r="N3122" s="451"/>
      <c r="O3122" s="455"/>
      <c r="P3122" s="287"/>
      <c r="Q3122" s="258"/>
      <c r="R3122" s="260"/>
      <c r="S3122" s="260"/>
      <c r="T3122" s="260"/>
      <c r="U3122" s="260"/>
      <c r="V3122" s="260"/>
      <c r="W3122" s="260"/>
      <c r="X3122" s="260"/>
      <c r="Y3122" s="260"/>
      <c r="Z3122" s="260"/>
      <c r="AA3122" s="260"/>
      <c r="AB3122" s="260"/>
      <c r="AC3122" s="260"/>
      <c r="AD3122"/>
      <c r="AE3122"/>
      <c r="AF3122"/>
      <c r="AG3122"/>
    </row>
    <row r="3123" spans="14:33" ht="12" hidden="1" customHeight="1">
      <c r="N3123" s="451"/>
      <c r="O3123" s="455"/>
      <c r="P3123" s="287"/>
      <c r="Q3123" s="258"/>
      <c r="R3123" s="260"/>
      <c r="S3123" s="260"/>
      <c r="T3123" s="260"/>
      <c r="U3123" s="260"/>
      <c r="V3123" s="260"/>
      <c r="W3123" s="260"/>
      <c r="X3123" s="260"/>
      <c r="Y3123" s="260"/>
      <c r="Z3123" s="260"/>
      <c r="AA3123" s="260"/>
      <c r="AB3123" s="260"/>
      <c r="AC3123" s="260"/>
      <c r="AD3123"/>
      <c r="AE3123"/>
      <c r="AF3123"/>
      <c r="AG3123"/>
    </row>
    <row r="3124" spans="14:33" ht="12" hidden="1" customHeight="1">
      <c r="N3124" s="451"/>
      <c r="O3124" s="455"/>
      <c r="P3124" s="287"/>
      <c r="Q3124" s="258"/>
      <c r="R3124" s="260"/>
      <c r="S3124" s="260"/>
      <c r="T3124" s="260"/>
      <c r="U3124" s="260"/>
      <c r="V3124" s="260"/>
      <c r="W3124" s="260"/>
      <c r="X3124" s="260"/>
      <c r="Y3124" s="260"/>
      <c r="Z3124" s="260"/>
      <c r="AA3124" s="260"/>
      <c r="AB3124" s="260"/>
      <c r="AC3124" s="260"/>
      <c r="AD3124"/>
      <c r="AE3124"/>
      <c r="AF3124"/>
      <c r="AG3124"/>
    </row>
    <row r="3125" spans="14:33" ht="12" hidden="1" customHeight="1">
      <c r="N3125" s="451"/>
      <c r="O3125" s="455"/>
      <c r="P3125" s="287"/>
      <c r="Q3125" s="258"/>
      <c r="R3125" s="260"/>
      <c r="S3125" s="260"/>
      <c r="T3125" s="260"/>
      <c r="U3125" s="260"/>
      <c r="V3125" s="260"/>
      <c r="W3125" s="260"/>
      <c r="X3125" s="260"/>
      <c r="Y3125" s="260"/>
      <c r="Z3125" s="260"/>
      <c r="AA3125" s="260"/>
      <c r="AB3125" s="260"/>
      <c r="AC3125" s="260"/>
      <c r="AD3125"/>
      <c r="AE3125"/>
      <c r="AF3125"/>
      <c r="AG3125"/>
    </row>
    <row r="3126" spans="14:33" ht="12" hidden="1" customHeight="1">
      <c r="N3126" s="451"/>
      <c r="O3126" s="455"/>
      <c r="P3126" s="287"/>
      <c r="Q3126" s="258"/>
      <c r="R3126" s="260"/>
      <c r="S3126" s="260"/>
      <c r="T3126" s="260"/>
      <c r="U3126" s="260"/>
      <c r="V3126" s="260"/>
      <c r="W3126" s="260"/>
      <c r="X3126" s="260"/>
      <c r="Y3126" s="260"/>
      <c r="Z3126" s="260"/>
      <c r="AA3126" s="260"/>
      <c r="AB3126" s="260"/>
      <c r="AC3126" s="260"/>
      <c r="AD3126"/>
      <c r="AE3126"/>
      <c r="AF3126"/>
      <c r="AG3126"/>
    </row>
    <row r="3127" spans="14:33" ht="12" hidden="1" customHeight="1">
      <c r="N3127" s="451"/>
      <c r="O3127" s="455"/>
      <c r="P3127" s="287"/>
      <c r="Q3127" s="258"/>
      <c r="R3127" s="260"/>
      <c r="S3127" s="260"/>
      <c r="T3127" s="260"/>
      <c r="U3127" s="260"/>
      <c r="V3127" s="260"/>
      <c r="W3127" s="260"/>
      <c r="X3127" s="260"/>
      <c r="Y3127" s="260"/>
      <c r="Z3127" s="260"/>
      <c r="AA3127" s="260"/>
      <c r="AB3127" s="260"/>
      <c r="AC3127" s="260"/>
      <c r="AD3127"/>
      <c r="AE3127"/>
      <c r="AF3127"/>
      <c r="AG3127"/>
    </row>
    <row r="3128" spans="14:33" ht="12" customHeight="1">
      <c r="N3128" s="451" t="s">
        <v>82</v>
      </c>
      <c r="O3128" s="455" t="s">
        <v>83</v>
      </c>
      <c r="P3128" s="305"/>
      <c r="Q3128" s="258"/>
      <c r="R3128" s="260"/>
      <c r="S3128" s="260"/>
      <c r="T3128" s="260"/>
      <c r="U3128" s="260"/>
      <c r="V3128" s="260"/>
      <c r="W3128" s="262">
        <f>'ТС.РО 01.01 - 30.06'!W3128*W3956</f>
        <v>0</v>
      </c>
      <c r="X3128" s="260"/>
      <c r="Y3128" s="260"/>
      <c r="Z3128" s="262">
        <f>'ТС.РО 01.07 - 31.08'!Z3128*Z3956</f>
        <v>0</v>
      </c>
      <c r="AA3128" s="260"/>
      <c r="AB3128" s="260"/>
      <c r="AC3128" s="262">
        <f>'ТС.РО 01.09 - 31.12'!AC3128*AC3956</f>
        <v>0</v>
      </c>
      <c r="AD3128"/>
      <c r="AE3128"/>
      <c r="AF3128"/>
      <c r="AG3128"/>
    </row>
    <row r="3129" spans="14:33" ht="12" customHeight="1">
      <c r="N3129" s="451" t="s">
        <v>84</v>
      </c>
      <c r="O3129" s="457" t="s">
        <v>85</v>
      </c>
      <c r="P3129" s="305"/>
      <c r="Q3129" s="258"/>
      <c r="R3129" s="260"/>
      <c r="S3129" s="260"/>
      <c r="T3129" s="260"/>
      <c r="U3129" s="260"/>
      <c r="V3129" s="260"/>
      <c r="W3129" s="262">
        <f>'ТС.РО 01.01 - 30.06'!W3129*W3956</f>
        <v>0</v>
      </c>
      <c r="X3129" s="260"/>
      <c r="Y3129" s="260"/>
      <c r="Z3129" s="262">
        <f>'ТС.РО 01.07 - 31.08'!Z3129*Z3956</f>
        <v>0</v>
      </c>
      <c r="AA3129" s="260"/>
      <c r="AB3129" s="260"/>
      <c r="AC3129" s="262">
        <f>'ТС.РО 01.09 - 31.12'!AC3129*AC3956</f>
        <v>0</v>
      </c>
      <c r="AD3129"/>
      <c r="AE3129"/>
      <c r="AF3129"/>
      <c r="AG3129"/>
    </row>
    <row r="3130" spans="14:33" ht="12" customHeight="1">
      <c r="N3130" s="451" t="s">
        <v>86</v>
      </c>
      <c r="O3130" s="457" t="s">
        <v>87</v>
      </c>
      <c r="P3130" s="305"/>
      <c r="Q3130" s="258"/>
      <c r="R3130" s="260"/>
      <c r="S3130" s="260"/>
      <c r="T3130" s="260"/>
      <c r="U3130" s="260"/>
      <c r="V3130" s="260"/>
      <c r="W3130" s="262">
        <f>'ТС.РО 01.01 - 30.06'!W3130*W3956</f>
        <v>0</v>
      </c>
      <c r="X3130" s="260"/>
      <c r="Y3130" s="260"/>
      <c r="Z3130" s="262">
        <f>'ТС.РО 01.07 - 31.08'!Z3130*Z3956</f>
        <v>0</v>
      </c>
      <c r="AA3130" s="260"/>
      <c r="AB3130" s="260"/>
      <c r="AC3130" s="262">
        <f>'ТС.РО 01.09 - 31.12'!AC3130*AC3956</f>
        <v>0</v>
      </c>
      <c r="AD3130"/>
      <c r="AE3130"/>
      <c r="AF3130"/>
      <c r="AG3130"/>
    </row>
    <row r="3131" spans="14:33" ht="12" customHeight="1">
      <c r="N3131" s="451" t="s">
        <v>88</v>
      </c>
      <c r="O3131" s="457" t="s">
        <v>89</v>
      </c>
      <c r="P3131" s="305"/>
      <c r="Q3131" s="258"/>
      <c r="R3131" s="260"/>
      <c r="S3131" s="260"/>
      <c r="T3131" s="260"/>
      <c r="U3131" s="260"/>
      <c r="V3131" s="260"/>
      <c r="W3131" s="262">
        <f>'ТС.РО 01.01 - 30.06'!W3131*W3956</f>
        <v>0</v>
      </c>
      <c r="X3131" s="260"/>
      <c r="Y3131" s="260"/>
      <c r="Z3131" s="262">
        <f>'ТС.РО 01.07 - 31.08'!Z3131*Z3956</f>
        <v>0</v>
      </c>
      <c r="AA3131" s="260"/>
      <c r="AB3131" s="260"/>
      <c r="AC3131" s="262">
        <f>'ТС.РО 01.09 - 31.12'!AC3131*AC3956</f>
        <v>0</v>
      </c>
      <c r="AD3131"/>
      <c r="AE3131"/>
      <c r="AF3131"/>
      <c r="AG3131"/>
    </row>
    <row r="3132" spans="14:33" ht="12" customHeight="1">
      <c r="N3132" s="451" t="s">
        <v>90</v>
      </c>
      <c r="O3132" s="457" t="s">
        <v>91</v>
      </c>
      <c r="P3132" s="305"/>
      <c r="Q3132" s="258"/>
      <c r="R3132" s="260"/>
      <c r="S3132" s="260"/>
      <c r="T3132" s="260"/>
      <c r="U3132" s="260"/>
      <c r="V3132" s="260"/>
      <c r="W3132" s="262">
        <f>'ТС.РО 01.01 - 30.06'!W3132*W3956</f>
        <v>0</v>
      </c>
      <c r="X3132" s="260"/>
      <c r="Y3132" s="260"/>
      <c r="Z3132" s="262">
        <f>'ТС.РО 01.07 - 31.08'!Z3132*Z3956</f>
        <v>0</v>
      </c>
      <c r="AA3132" s="260"/>
      <c r="AB3132" s="260"/>
      <c r="AC3132" s="262">
        <f>'ТС.РО 01.09 - 31.12'!AC3132*AC3956</f>
        <v>0</v>
      </c>
      <c r="AD3132"/>
      <c r="AE3132"/>
      <c r="AF3132"/>
      <c r="AG3132"/>
    </row>
    <row r="3133" spans="14:33" ht="12" customHeight="1">
      <c r="N3133" s="451" t="s">
        <v>92</v>
      </c>
      <c r="O3133" s="457" t="s">
        <v>93</v>
      </c>
      <c r="P3133" s="305"/>
      <c r="Q3133" s="258"/>
      <c r="R3133" s="260"/>
      <c r="S3133" s="260"/>
      <c r="T3133" s="260"/>
      <c r="U3133" s="260"/>
      <c r="V3133" s="260"/>
      <c r="W3133" s="262">
        <f>'ТС.РО 01.01 - 30.06'!W3133*W3956</f>
        <v>0</v>
      </c>
      <c r="X3133" s="260"/>
      <c r="Y3133" s="260"/>
      <c r="Z3133" s="262">
        <f>'ТС.РО 01.07 - 31.08'!Z3133*Z3956</f>
        <v>0</v>
      </c>
      <c r="AA3133" s="260"/>
      <c r="AB3133" s="260"/>
      <c r="AC3133" s="262">
        <f>'ТС.РО 01.09 - 31.12'!AC3133*AC3956</f>
        <v>0</v>
      </c>
      <c r="AD3133"/>
      <c r="AE3133"/>
      <c r="AF3133"/>
      <c r="AG3133"/>
    </row>
    <row r="3134" spans="14:33" ht="12" customHeight="1">
      <c r="N3134" s="451" t="s">
        <v>94</v>
      </c>
      <c r="O3134" s="457" t="s">
        <v>95</v>
      </c>
      <c r="P3134" s="305"/>
      <c r="Q3134" s="258"/>
      <c r="R3134" s="260"/>
      <c r="S3134" s="260"/>
      <c r="T3134" s="260"/>
      <c r="U3134" s="260"/>
      <c r="V3134" s="260"/>
      <c r="W3134" s="262">
        <f>'ТС.РО 01.01 - 30.06'!W3134*W3956</f>
        <v>0</v>
      </c>
      <c r="X3134" s="260"/>
      <c r="Y3134" s="260"/>
      <c r="Z3134" s="262">
        <f>'ТС.РО 01.07 - 31.08'!Z3134*Z3956</f>
        <v>0</v>
      </c>
      <c r="AA3134" s="260"/>
      <c r="AB3134" s="260"/>
      <c r="AC3134" s="262">
        <f>'ТС.РО 01.09 - 31.12'!AC3134*AC3956</f>
        <v>0</v>
      </c>
      <c r="AD3134"/>
      <c r="AE3134"/>
      <c r="AF3134"/>
      <c r="AG3134"/>
    </row>
    <row r="3135" spans="14:33" ht="12" customHeight="1">
      <c r="N3135" s="451" t="s">
        <v>2975</v>
      </c>
      <c r="O3135" s="457" t="s">
        <v>2976</v>
      </c>
      <c r="P3135" s="305"/>
      <c r="Q3135" s="258"/>
      <c r="R3135" s="260"/>
      <c r="S3135" s="260"/>
      <c r="T3135" s="260"/>
      <c r="U3135" s="260"/>
      <c r="V3135" s="260"/>
      <c r="W3135" s="262">
        <f>'ТС.РО 01.01 - 30.06'!W3135*W3956</f>
        <v>0</v>
      </c>
      <c r="X3135" s="260"/>
      <c r="Y3135" s="260"/>
      <c r="Z3135" s="262">
        <f>'ТС.РО 01.07 - 31.08'!Z3135*Z3956</f>
        <v>0</v>
      </c>
      <c r="AA3135" s="260"/>
      <c r="AB3135" s="260"/>
      <c r="AC3135" s="262">
        <f>'ТС.РО 01.09 - 31.12'!AC3135*AC3956</f>
        <v>0</v>
      </c>
      <c r="AD3135"/>
      <c r="AE3135"/>
      <c r="AF3135"/>
      <c r="AG3135"/>
    </row>
    <row r="3136" spans="14:33" ht="12" customHeight="1">
      <c r="N3136" s="451" t="s">
        <v>2977</v>
      </c>
      <c r="O3136" s="457" t="s">
        <v>2978</v>
      </c>
      <c r="P3136" s="305"/>
      <c r="Q3136" s="258"/>
      <c r="R3136" s="260"/>
      <c r="S3136" s="260"/>
      <c r="T3136" s="260"/>
      <c r="U3136" s="260"/>
      <c r="V3136" s="260"/>
      <c r="W3136" s="262">
        <f>'ТС.РО 01.01 - 30.06'!W3136*W3956</f>
        <v>0</v>
      </c>
      <c r="X3136" s="260"/>
      <c r="Y3136" s="260"/>
      <c r="Z3136" s="262">
        <f>'ТС.РО 01.07 - 31.08'!Z3136*Z3956</f>
        <v>0</v>
      </c>
      <c r="AA3136" s="260"/>
      <c r="AB3136" s="260"/>
      <c r="AC3136" s="262">
        <f>'ТС.РО 01.09 - 31.12'!AC3136*AC3956</f>
        <v>0</v>
      </c>
      <c r="AD3136"/>
      <c r="AE3136"/>
      <c r="AF3136"/>
      <c r="AG3136"/>
    </row>
    <row r="3137" spans="14:33" ht="12" customHeight="1">
      <c r="N3137" s="451" t="s">
        <v>2979</v>
      </c>
      <c r="O3137" s="457" t="s">
        <v>2980</v>
      </c>
      <c r="P3137" s="305"/>
      <c r="Q3137" s="258"/>
      <c r="R3137" s="260"/>
      <c r="S3137" s="260"/>
      <c r="T3137" s="260"/>
      <c r="U3137" s="260"/>
      <c r="V3137" s="260"/>
      <c r="W3137" s="262">
        <f>'ТС.РО 01.01 - 30.06'!W3137*W3956</f>
        <v>0</v>
      </c>
      <c r="X3137" s="260"/>
      <c r="Y3137" s="260"/>
      <c r="Z3137" s="262">
        <f>'ТС.РО 01.07 - 31.08'!Z3137*Z3956</f>
        <v>0</v>
      </c>
      <c r="AA3137" s="260"/>
      <c r="AB3137" s="260"/>
      <c r="AC3137" s="262">
        <f>'ТС.РО 01.09 - 31.12'!AC3137*AC3956</f>
        <v>0</v>
      </c>
      <c r="AD3137"/>
      <c r="AE3137"/>
      <c r="AF3137"/>
      <c r="AG3137"/>
    </row>
    <row r="3138" spans="14:33" ht="12" customHeight="1">
      <c r="N3138" s="451" t="s">
        <v>2981</v>
      </c>
      <c r="O3138" s="457" t="s">
        <v>2982</v>
      </c>
      <c r="P3138" s="305"/>
      <c r="Q3138" s="258"/>
      <c r="R3138" s="260"/>
      <c r="S3138" s="260"/>
      <c r="T3138" s="260"/>
      <c r="U3138" s="260"/>
      <c r="V3138" s="260"/>
      <c r="W3138" s="262">
        <f>'ТС.РО 01.01 - 30.06'!W3138*W3956</f>
        <v>0</v>
      </c>
      <c r="X3138" s="260"/>
      <c r="Y3138" s="260"/>
      <c r="Z3138" s="262">
        <f>'ТС.РО 01.07 - 31.08'!Z3138*Z3956</f>
        <v>0</v>
      </c>
      <c r="AA3138" s="260"/>
      <c r="AB3138" s="260"/>
      <c r="AC3138" s="262">
        <f>'ТС.РО 01.09 - 31.12'!AC3138*AC3956</f>
        <v>0</v>
      </c>
      <c r="AD3138"/>
      <c r="AE3138"/>
      <c r="AF3138"/>
      <c r="AG3138"/>
    </row>
    <row r="3139" spans="14:33" ht="12" customHeight="1">
      <c r="N3139" s="451" t="s">
        <v>2983</v>
      </c>
      <c r="O3139" s="224" t="s">
        <v>2984</v>
      </c>
      <c r="P3139" s="305"/>
      <c r="Q3139" s="258"/>
      <c r="R3139" s="260"/>
      <c r="S3139" s="260"/>
      <c r="T3139" s="260"/>
      <c r="U3139" s="260"/>
      <c r="V3139" s="260"/>
      <c r="W3139" s="262">
        <f>'ТС.РО 01.01 - 30.06'!W3139*W3956</f>
        <v>0</v>
      </c>
      <c r="X3139" s="260"/>
      <c r="Y3139" s="260"/>
      <c r="Z3139" s="262">
        <f>'ТС.РО 01.07 - 31.08'!Z3139*Z3956</f>
        <v>0</v>
      </c>
      <c r="AA3139" s="260"/>
      <c r="AB3139" s="260"/>
      <c r="AC3139" s="262">
        <f>'ТС.РО 01.09 - 31.12'!AC3139*AC3956</f>
        <v>0</v>
      </c>
      <c r="AD3139"/>
      <c r="AE3139"/>
      <c r="AF3139"/>
      <c r="AG3139"/>
    </row>
    <row r="3140" spans="14:33" ht="12" customHeight="1">
      <c r="N3140" s="451" t="s">
        <v>2989</v>
      </c>
      <c r="O3140" s="224" t="s">
        <v>2990</v>
      </c>
      <c r="P3140" s="305"/>
      <c r="Q3140" s="258"/>
      <c r="R3140" s="260"/>
      <c r="S3140" s="260"/>
      <c r="T3140" s="260"/>
      <c r="U3140" s="260"/>
      <c r="V3140" s="260"/>
      <c r="W3140" s="262">
        <f>'ТС.РО 01.01 - 30.06'!W3140*W3956</f>
        <v>0</v>
      </c>
      <c r="X3140" s="260"/>
      <c r="Y3140" s="260"/>
      <c r="Z3140" s="262">
        <f>'ТС.РО 01.07 - 31.08'!Z3140*Z3956</f>
        <v>0</v>
      </c>
      <c r="AA3140" s="260"/>
      <c r="AB3140" s="260"/>
      <c r="AC3140" s="262">
        <f>'ТС.РО 01.09 - 31.12'!AC3140*AC3956</f>
        <v>0</v>
      </c>
      <c r="AD3140"/>
      <c r="AE3140"/>
      <c r="AF3140"/>
      <c r="AG3140"/>
    </row>
    <row r="3141" spans="14:33" ht="12" customHeight="1">
      <c r="N3141" s="451" t="s">
        <v>292</v>
      </c>
      <c r="O3141" s="442" t="s">
        <v>291</v>
      </c>
      <c r="P3141" s="305"/>
      <c r="Q3141" s="258"/>
      <c r="R3141" s="260"/>
      <c r="S3141" s="260"/>
      <c r="T3141" s="260"/>
      <c r="U3141" s="260"/>
      <c r="V3141" s="260"/>
      <c r="W3141" s="262">
        <f>'ТС.РО 01.01 - 30.06'!W3141*W3956</f>
        <v>0</v>
      </c>
      <c r="X3141" s="260"/>
      <c r="Y3141" s="260"/>
      <c r="Z3141" s="262">
        <f>'ТС.РО 01.07 - 31.08'!Z3141*Z3956</f>
        <v>0</v>
      </c>
      <c r="AA3141" s="260"/>
      <c r="AB3141" s="260"/>
      <c r="AC3141" s="262">
        <f>'ТС.РО 01.09 - 31.12'!AC3141*AC3956</f>
        <v>0</v>
      </c>
      <c r="AD3141"/>
      <c r="AE3141"/>
      <c r="AF3141"/>
      <c r="AG3141"/>
    </row>
    <row r="3142" spans="14:33" ht="12" hidden="1" customHeight="1">
      <c r="N3142" s="239"/>
      <c r="O3142" s="225"/>
      <c r="P3142" s="287"/>
      <c r="Q3142" s="258"/>
      <c r="R3142" s="260"/>
      <c r="S3142" s="260"/>
      <c r="T3142" s="260"/>
      <c r="U3142" s="260"/>
      <c r="V3142" s="260"/>
      <c r="W3142" s="260"/>
      <c r="X3142" s="260"/>
      <c r="Y3142" s="260"/>
      <c r="Z3142" s="260"/>
      <c r="AA3142" s="260"/>
      <c r="AB3142" s="260"/>
      <c r="AC3142" s="260"/>
      <c r="AD3142"/>
      <c r="AE3142"/>
      <c r="AF3142"/>
      <c r="AG3142"/>
    </row>
    <row r="3143" spans="14:33" ht="12" hidden="1" customHeight="1">
      <c r="N3143" s="239"/>
      <c r="O3143" s="225"/>
      <c r="P3143" s="287"/>
      <c r="Q3143" s="258"/>
      <c r="R3143" s="260"/>
      <c r="S3143" s="260"/>
      <c r="T3143" s="260"/>
      <c r="U3143" s="260"/>
      <c r="V3143" s="260"/>
      <c r="W3143" s="260"/>
      <c r="X3143" s="260"/>
      <c r="Y3143" s="260"/>
      <c r="Z3143" s="260"/>
      <c r="AA3143" s="260"/>
      <c r="AB3143" s="260"/>
      <c r="AC3143" s="260"/>
      <c r="AD3143"/>
      <c r="AE3143"/>
      <c r="AF3143"/>
      <c r="AG3143"/>
    </row>
    <row r="3144" spans="14:33" ht="12" hidden="1" customHeight="1">
      <c r="N3144" s="239"/>
      <c r="O3144" s="225"/>
      <c r="P3144" s="287"/>
      <c r="Q3144" s="258"/>
      <c r="R3144" s="260"/>
      <c r="S3144" s="260"/>
      <c r="T3144" s="260"/>
      <c r="U3144" s="260"/>
      <c r="V3144" s="260"/>
      <c r="W3144" s="260"/>
      <c r="X3144" s="260"/>
      <c r="Y3144" s="260"/>
      <c r="Z3144" s="260"/>
      <c r="AA3144" s="260"/>
      <c r="AB3144" s="260"/>
      <c r="AC3144" s="260"/>
      <c r="AD3144"/>
      <c r="AE3144"/>
      <c r="AF3144"/>
      <c r="AG3144"/>
    </row>
    <row r="3145" spans="14:33" ht="12" hidden="1" customHeight="1">
      <c r="N3145" s="239"/>
      <c r="O3145" s="225"/>
      <c r="P3145" s="287"/>
      <c r="Q3145" s="258"/>
      <c r="R3145" s="260"/>
      <c r="S3145" s="260"/>
      <c r="T3145" s="260"/>
      <c r="U3145" s="260"/>
      <c r="V3145" s="260"/>
      <c r="W3145" s="260"/>
      <c r="X3145" s="260"/>
      <c r="Y3145" s="260"/>
      <c r="Z3145" s="260"/>
      <c r="AA3145" s="260"/>
      <c r="AB3145" s="260"/>
      <c r="AC3145" s="260"/>
      <c r="AD3145"/>
      <c r="AE3145"/>
      <c r="AF3145"/>
      <c r="AG3145"/>
    </row>
    <row r="3146" spans="14:33" ht="12" hidden="1" customHeight="1">
      <c r="N3146" s="239"/>
      <c r="O3146" s="225"/>
      <c r="P3146" s="287"/>
      <c r="Q3146" s="258"/>
      <c r="R3146" s="260"/>
      <c r="S3146" s="260"/>
      <c r="T3146" s="260"/>
      <c r="U3146" s="260"/>
      <c r="V3146" s="260"/>
      <c r="W3146" s="260"/>
      <c r="X3146" s="260"/>
      <c r="Y3146" s="260"/>
      <c r="Z3146" s="260"/>
      <c r="AA3146" s="260"/>
      <c r="AB3146" s="260"/>
      <c r="AC3146" s="260"/>
      <c r="AD3146"/>
      <c r="AE3146"/>
      <c r="AF3146"/>
      <c r="AG3146"/>
    </row>
    <row r="3147" spans="14:33" ht="12" hidden="1" customHeight="1">
      <c r="N3147" s="239"/>
      <c r="O3147" s="225"/>
      <c r="P3147" s="287"/>
      <c r="Q3147" s="258"/>
      <c r="R3147" s="260"/>
      <c r="S3147" s="260"/>
      <c r="T3147" s="260"/>
      <c r="U3147" s="260"/>
      <c r="V3147" s="260"/>
      <c r="W3147" s="260"/>
      <c r="X3147" s="260"/>
      <c r="Y3147" s="260"/>
      <c r="Z3147" s="260"/>
      <c r="AA3147" s="260"/>
      <c r="AB3147" s="260"/>
      <c r="AC3147" s="260"/>
      <c r="AD3147"/>
      <c r="AE3147"/>
      <c r="AF3147"/>
      <c r="AG3147"/>
    </row>
    <row r="3148" spans="14:33" ht="12" hidden="1" customHeight="1">
      <c r="N3148" s="239"/>
      <c r="O3148" s="225"/>
      <c r="P3148" s="287"/>
      <c r="Q3148" s="258"/>
      <c r="R3148" s="260"/>
      <c r="S3148" s="260"/>
      <c r="T3148" s="260"/>
      <c r="U3148" s="260"/>
      <c r="V3148" s="260"/>
      <c r="W3148" s="260"/>
      <c r="X3148" s="260"/>
      <c r="Y3148" s="260"/>
      <c r="Z3148" s="260"/>
      <c r="AA3148" s="260"/>
      <c r="AB3148" s="260"/>
      <c r="AC3148" s="260"/>
      <c r="AD3148"/>
      <c r="AE3148"/>
      <c r="AF3148"/>
      <c r="AG3148"/>
    </row>
    <row r="3149" spans="14:33" ht="12" hidden="1" customHeight="1">
      <c r="N3149" s="239"/>
      <c r="O3149" s="225"/>
      <c r="P3149" s="287"/>
      <c r="Q3149" s="258"/>
      <c r="R3149" s="260"/>
      <c r="S3149" s="260"/>
      <c r="T3149" s="260"/>
      <c r="U3149" s="260"/>
      <c r="V3149" s="260"/>
      <c r="W3149" s="260"/>
      <c r="X3149" s="260"/>
      <c r="Y3149" s="260"/>
      <c r="Z3149" s="260"/>
      <c r="AA3149" s="260"/>
      <c r="AB3149" s="260"/>
      <c r="AC3149" s="260"/>
      <c r="AD3149"/>
      <c r="AE3149"/>
      <c r="AF3149"/>
      <c r="AG3149"/>
    </row>
    <row r="3150" spans="14:33" ht="12" hidden="1" customHeight="1">
      <c r="N3150" s="239"/>
      <c r="O3150" s="225"/>
      <c r="P3150" s="287"/>
      <c r="Q3150" s="258"/>
      <c r="R3150" s="260"/>
      <c r="S3150" s="260"/>
      <c r="T3150" s="260"/>
      <c r="U3150" s="260"/>
      <c r="V3150" s="260"/>
      <c r="W3150" s="260"/>
      <c r="X3150" s="260"/>
      <c r="Y3150" s="260"/>
      <c r="Z3150" s="260"/>
      <c r="AA3150" s="260"/>
      <c r="AB3150" s="260"/>
      <c r="AC3150" s="260"/>
      <c r="AD3150"/>
      <c r="AE3150"/>
      <c r="AF3150"/>
      <c r="AG3150"/>
    </row>
    <row r="3151" spans="14:33" ht="12" hidden="1" customHeight="1">
      <c r="N3151" s="239"/>
      <c r="O3151" s="225"/>
      <c r="P3151" s="287"/>
      <c r="Q3151" s="258"/>
      <c r="R3151" s="260"/>
      <c r="S3151" s="260"/>
      <c r="T3151" s="260"/>
      <c r="U3151" s="260"/>
      <c r="V3151" s="260"/>
      <c r="W3151" s="260"/>
      <c r="X3151" s="260"/>
      <c r="Y3151" s="260"/>
      <c r="Z3151" s="260"/>
      <c r="AA3151" s="260"/>
      <c r="AB3151" s="260"/>
      <c r="AC3151" s="260"/>
      <c r="AD3151"/>
      <c r="AE3151"/>
      <c r="AF3151"/>
      <c r="AG3151"/>
    </row>
    <row r="3152" spans="14:33" ht="12" hidden="1" customHeight="1">
      <c r="N3152" s="239"/>
      <c r="O3152" s="225"/>
      <c r="P3152" s="287"/>
      <c r="Q3152" s="258"/>
      <c r="R3152" s="260"/>
      <c r="S3152" s="260"/>
      <c r="T3152" s="260"/>
      <c r="U3152" s="260"/>
      <c r="V3152" s="260"/>
      <c r="W3152" s="260"/>
      <c r="X3152" s="260"/>
      <c r="Y3152" s="260"/>
      <c r="Z3152" s="260"/>
      <c r="AA3152" s="260"/>
      <c r="AB3152" s="260"/>
      <c r="AC3152" s="260"/>
      <c r="AD3152"/>
      <c r="AE3152"/>
      <c r="AF3152"/>
      <c r="AG3152"/>
    </row>
    <row r="3153" spans="14:33" ht="12" hidden="1" customHeight="1">
      <c r="N3153" s="239"/>
      <c r="O3153" s="225"/>
      <c r="P3153" s="287"/>
      <c r="Q3153" s="258"/>
      <c r="R3153" s="260"/>
      <c r="S3153" s="260"/>
      <c r="T3153" s="260"/>
      <c r="U3153" s="260"/>
      <c r="V3153" s="260"/>
      <c r="W3153" s="260"/>
      <c r="X3153" s="260"/>
      <c r="Y3153" s="260"/>
      <c r="Z3153" s="260"/>
      <c r="AA3153" s="260"/>
      <c r="AB3153" s="260"/>
      <c r="AC3153" s="260"/>
      <c r="AD3153"/>
      <c r="AE3153"/>
      <c r="AF3153"/>
      <c r="AG3153"/>
    </row>
    <row r="3154" spans="14:33" ht="12" hidden="1" customHeight="1">
      <c r="N3154" s="239"/>
      <c r="O3154" s="225"/>
      <c r="P3154" s="287"/>
      <c r="Q3154" s="258"/>
      <c r="R3154" s="260"/>
      <c r="S3154" s="260"/>
      <c r="T3154" s="260"/>
      <c r="U3154" s="260"/>
      <c r="V3154" s="260"/>
      <c r="W3154" s="260"/>
      <c r="X3154" s="260"/>
      <c r="Y3154" s="260"/>
      <c r="Z3154" s="260"/>
      <c r="AA3154" s="260"/>
      <c r="AB3154" s="260"/>
      <c r="AC3154" s="260"/>
      <c r="AD3154"/>
      <c r="AE3154"/>
      <c r="AF3154"/>
      <c r="AG3154"/>
    </row>
    <row r="3155" spans="14:33" ht="12" hidden="1" customHeight="1">
      <c r="N3155" s="239"/>
      <c r="O3155" s="225"/>
      <c r="P3155" s="287"/>
      <c r="Q3155" s="258"/>
      <c r="R3155" s="260"/>
      <c r="S3155" s="260"/>
      <c r="T3155" s="260"/>
      <c r="U3155" s="260"/>
      <c r="V3155" s="260"/>
      <c r="W3155" s="260"/>
      <c r="X3155" s="260"/>
      <c r="Y3155" s="260"/>
      <c r="Z3155" s="260"/>
      <c r="AA3155" s="260"/>
      <c r="AB3155" s="260"/>
      <c r="AC3155" s="260"/>
      <c r="AD3155"/>
      <c r="AE3155"/>
      <c r="AF3155"/>
      <c r="AG3155"/>
    </row>
    <row r="3156" spans="14:33" ht="12" hidden="1" customHeight="1">
      <c r="N3156" s="239"/>
      <c r="O3156" s="225"/>
      <c r="P3156" s="287"/>
      <c r="Q3156" s="258"/>
      <c r="R3156" s="260"/>
      <c r="S3156" s="260"/>
      <c r="T3156" s="260"/>
      <c r="U3156" s="260"/>
      <c r="V3156" s="260"/>
      <c r="W3156" s="260"/>
      <c r="X3156" s="260"/>
      <c r="Y3156" s="260"/>
      <c r="Z3156" s="260"/>
      <c r="AA3156" s="260"/>
      <c r="AB3156" s="260"/>
      <c r="AC3156" s="260"/>
      <c r="AD3156"/>
      <c r="AE3156"/>
      <c r="AF3156"/>
      <c r="AG3156"/>
    </row>
    <row r="3157" spans="14:33" ht="12" hidden="1" customHeight="1">
      <c r="N3157" s="239"/>
      <c r="O3157" s="225"/>
      <c r="P3157" s="287"/>
      <c r="Q3157" s="258"/>
      <c r="R3157" s="260"/>
      <c r="S3157" s="260"/>
      <c r="T3157" s="260"/>
      <c r="U3157" s="260"/>
      <c r="V3157" s="260"/>
      <c r="W3157" s="260"/>
      <c r="X3157" s="260"/>
      <c r="Y3157" s="260"/>
      <c r="Z3157" s="260"/>
      <c r="AA3157" s="260"/>
      <c r="AB3157" s="260"/>
      <c r="AC3157" s="260"/>
      <c r="AD3157"/>
      <c r="AE3157"/>
      <c r="AF3157"/>
      <c r="AG3157"/>
    </row>
    <row r="3158" spans="14:33" ht="12" hidden="1" customHeight="1">
      <c r="N3158" s="239"/>
      <c r="O3158" s="225"/>
      <c r="P3158" s="287"/>
      <c r="Q3158" s="258"/>
      <c r="R3158" s="260"/>
      <c r="S3158" s="260"/>
      <c r="T3158" s="260"/>
      <c r="U3158" s="260"/>
      <c r="V3158" s="260"/>
      <c r="W3158" s="260"/>
      <c r="X3158" s="260"/>
      <c r="Y3158" s="260"/>
      <c r="Z3158" s="260"/>
      <c r="AA3158" s="260"/>
      <c r="AB3158" s="260"/>
      <c r="AC3158" s="260"/>
      <c r="AD3158"/>
      <c r="AE3158"/>
      <c r="AF3158"/>
      <c r="AG3158"/>
    </row>
    <row r="3159" spans="14:33" ht="12" hidden="1" customHeight="1">
      <c r="N3159" s="239"/>
      <c r="O3159" s="225"/>
      <c r="P3159" s="287"/>
      <c r="Q3159" s="258"/>
      <c r="R3159" s="260"/>
      <c r="S3159" s="260"/>
      <c r="T3159" s="260"/>
      <c r="U3159" s="260"/>
      <c r="V3159" s="260"/>
      <c r="W3159" s="260"/>
      <c r="X3159" s="260"/>
      <c r="Y3159" s="260"/>
      <c r="Z3159" s="260"/>
      <c r="AA3159" s="260"/>
      <c r="AB3159" s="260"/>
      <c r="AC3159" s="260"/>
      <c r="AD3159"/>
      <c r="AE3159"/>
      <c r="AF3159"/>
      <c r="AG3159"/>
    </row>
    <row r="3160" spans="14:33" ht="12" hidden="1" customHeight="1">
      <c r="N3160" s="239"/>
      <c r="O3160" s="225"/>
      <c r="P3160" s="287"/>
      <c r="Q3160" s="258"/>
      <c r="R3160" s="260"/>
      <c r="S3160" s="260"/>
      <c r="T3160" s="260"/>
      <c r="U3160" s="260"/>
      <c r="V3160" s="260"/>
      <c r="W3160" s="260"/>
      <c r="X3160" s="260"/>
      <c r="Y3160" s="260"/>
      <c r="Z3160" s="260"/>
      <c r="AA3160" s="260"/>
      <c r="AB3160" s="260"/>
      <c r="AC3160" s="260"/>
      <c r="AD3160"/>
      <c r="AE3160"/>
      <c r="AF3160"/>
      <c r="AG3160"/>
    </row>
    <row r="3161" spans="14:33" ht="12" hidden="1" customHeight="1">
      <c r="N3161" s="239"/>
      <c r="O3161" s="225"/>
      <c r="P3161" s="287"/>
      <c r="Q3161" s="258"/>
      <c r="R3161" s="260"/>
      <c r="S3161" s="260"/>
      <c r="T3161" s="260"/>
      <c r="U3161" s="260"/>
      <c r="V3161" s="260"/>
      <c r="W3161" s="260"/>
      <c r="X3161" s="260"/>
      <c r="Y3161" s="260"/>
      <c r="Z3161" s="260"/>
      <c r="AA3161" s="260"/>
      <c r="AB3161" s="260"/>
      <c r="AC3161" s="260"/>
      <c r="AD3161"/>
      <c r="AE3161"/>
      <c r="AF3161"/>
      <c r="AG3161"/>
    </row>
    <row r="3162" spans="14:33" ht="12" hidden="1" customHeight="1">
      <c r="N3162" s="239"/>
      <c r="O3162" s="225"/>
      <c r="P3162" s="287"/>
      <c r="Q3162" s="258"/>
      <c r="R3162" s="260"/>
      <c r="S3162" s="260"/>
      <c r="T3162" s="260"/>
      <c r="U3162" s="260"/>
      <c r="V3162" s="260"/>
      <c r="W3162" s="260"/>
      <c r="X3162" s="260"/>
      <c r="Y3162" s="260"/>
      <c r="Z3162" s="260"/>
      <c r="AA3162" s="260"/>
      <c r="AB3162" s="260"/>
      <c r="AC3162" s="260"/>
      <c r="AD3162"/>
      <c r="AE3162"/>
      <c r="AF3162"/>
      <c r="AG3162"/>
    </row>
    <row r="3163" spans="14:33" ht="12" hidden="1" customHeight="1">
      <c r="N3163" s="239"/>
      <c r="O3163" s="225"/>
      <c r="P3163" s="287"/>
      <c r="Q3163" s="258"/>
      <c r="R3163" s="260"/>
      <c r="S3163" s="260"/>
      <c r="T3163" s="260"/>
      <c r="U3163" s="260"/>
      <c r="V3163" s="260"/>
      <c r="W3163" s="260"/>
      <c r="X3163" s="260"/>
      <c r="Y3163" s="260"/>
      <c r="Z3163" s="260"/>
      <c r="AA3163" s="260"/>
      <c r="AB3163" s="260"/>
      <c r="AC3163" s="260"/>
      <c r="AD3163"/>
      <c r="AE3163"/>
      <c r="AF3163"/>
      <c r="AG3163"/>
    </row>
    <row r="3164" spans="14:33" ht="12" hidden="1" customHeight="1">
      <c r="N3164" s="239"/>
      <c r="O3164" s="225"/>
      <c r="P3164" s="287"/>
      <c r="Q3164" s="258"/>
      <c r="R3164" s="260"/>
      <c r="S3164" s="260"/>
      <c r="T3164" s="260"/>
      <c r="U3164" s="260"/>
      <c r="V3164" s="260"/>
      <c r="W3164" s="260"/>
      <c r="X3164" s="260"/>
      <c r="Y3164" s="260"/>
      <c r="Z3164" s="260"/>
      <c r="AA3164" s="260"/>
      <c r="AB3164" s="260"/>
      <c r="AC3164" s="260"/>
      <c r="AD3164"/>
      <c r="AE3164"/>
      <c r="AF3164"/>
      <c r="AG3164"/>
    </row>
    <row r="3165" spans="14:33" ht="12" hidden="1" customHeight="1">
      <c r="N3165" s="239"/>
      <c r="O3165" s="225"/>
      <c r="P3165" s="287"/>
      <c r="Q3165" s="258"/>
      <c r="R3165" s="260"/>
      <c r="S3165" s="260"/>
      <c r="T3165" s="260"/>
      <c r="U3165" s="260"/>
      <c r="V3165" s="260"/>
      <c r="W3165" s="260"/>
      <c r="X3165" s="260"/>
      <c r="Y3165" s="260"/>
      <c r="Z3165" s="260"/>
      <c r="AA3165" s="260"/>
      <c r="AB3165" s="260"/>
      <c r="AC3165" s="260"/>
      <c r="AD3165"/>
      <c r="AE3165"/>
      <c r="AF3165"/>
      <c r="AG3165"/>
    </row>
    <row r="3166" spans="14:33" ht="12" hidden="1" customHeight="1">
      <c r="N3166" s="239"/>
      <c r="O3166" s="225"/>
      <c r="P3166" s="287"/>
      <c r="Q3166" s="258"/>
      <c r="R3166" s="260"/>
      <c r="S3166" s="260"/>
      <c r="T3166" s="260"/>
      <c r="U3166" s="260"/>
      <c r="V3166" s="260"/>
      <c r="W3166" s="260"/>
      <c r="X3166" s="260"/>
      <c r="Y3166" s="260"/>
      <c r="Z3166" s="260"/>
      <c r="AA3166" s="260"/>
      <c r="AB3166" s="260"/>
      <c r="AC3166" s="260"/>
      <c r="AD3166"/>
      <c r="AE3166"/>
      <c r="AF3166"/>
      <c r="AG3166"/>
    </row>
    <row r="3167" spans="14:33" ht="12" hidden="1" customHeight="1">
      <c r="N3167" s="239"/>
      <c r="O3167" s="225"/>
      <c r="P3167" s="287"/>
      <c r="Q3167" s="258"/>
      <c r="R3167" s="260"/>
      <c r="S3167" s="260"/>
      <c r="T3167" s="260"/>
      <c r="U3167" s="260"/>
      <c r="V3167" s="260"/>
      <c r="W3167" s="260"/>
      <c r="X3167" s="260"/>
      <c r="Y3167" s="260"/>
      <c r="Z3167" s="260"/>
      <c r="AA3167" s="260"/>
      <c r="AB3167" s="260"/>
      <c r="AC3167" s="260"/>
      <c r="AD3167"/>
      <c r="AE3167"/>
      <c r="AF3167"/>
      <c r="AG3167"/>
    </row>
    <row r="3168" spans="14:33" ht="12" hidden="1" customHeight="1">
      <c r="N3168" s="239"/>
      <c r="O3168" s="225"/>
      <c r="P3168" s="287"/>
      <c r="Q3168" s="258"/>
      <c r="R3168" s="260"/>
      <c r="S3168" s="260"/>
      <c r="T3168" s="260"/>
      <c r="U3168" s="260"/>
      <c r="V3168" s="260"/>
      <c r="W3168" s="260"/>
      <c r="X3168" s="260"/>
      <c r="Y3168" s="260"/>
      <c r="Z3168" s="260"/>
      <c r="AA3168" s="260"/>
      <c r="AB3168" s="260"/>
      <c r="AC3168" s="260"/>
      <c r="AD3168"/>
      <c r="AE3168"/>
      <c r="AF3168"/>
      <c r="AG3168"/>
    </row>
    <row r="3169" spans="14:33" ht="12" hidden="1" customHeight="1">
      <c r="N3169" s="239"/>
      <c r="O3169" s="225"/>
      <c r="P3169" s="287"/>
      <c r="Q3169" s="258"/>
      <c r="R3169" s="260"/>
      <c r="S3169" s="260"/>
      <c r="T3169" s="260"/>
      <c r="U3169" s="260"/>
      <c r="V3169" s="260"/>
      <c r="W3169" s="260"/>
      <c r="X3169" s="260"/>
      <c r="Y3169" s="260"/>
      <c r="Z3169" s="260"/>
      <c r="AA3169" s="260"/>
      <c r="AB3169" s="260"/>
      <c r="AC3169" s="260"/>
      <c r="AD3169"/>
      <c r="AE3169"/>
      <c r="AF3169"/>
      <c r="AG3169"/>
    </row>
    <row r="3170" spans="14:33" ht="12" hidden="1" customHeight="1">
      <c r="N3170" s="239"/>
      <c r="O3170" s="225"/>
      <c r="P3170" s="287"/>
      <c r="Q3170" s="258"/>
      <c r="R3170" s="260"/>
      <c r="S3170" s="260"/>
      <c r="T3170" s="260"/>
      <c r="U3170" s="260"/>
      <c r="V3170" s="260"/>
      <c r="W3170" s="260"/>
      <c r="X3170" s="260"/>
      <c r="Y3170" s="260"/>
      <c r="Z3170" s="260"/>
      <c r="AA3170" s="260"/>
      <c r="AB3170" s="260"/>
      <c r="AC3170" s="260"/>
      <c r="AD3170"/>
      <c r="AE3170"/>
      <c r="AF3170"/>
      <c r="AG3170"/>
    </row>
    <row r="3171" spans="14:33" ht="12" hidden="1" customHeight="1">
      <c r="N3171" s="239"/>
      <c r="O3171" s="225"/>
      <c r="P3171" s="287"/>
      <c r="Q3171" s="258"/>
      <c r="R3171" s="260"/>
      <c r="S3171" s="260"/>
      <c r="T3171" s="260"/>
      <c r="U3171" s="260"/>
      <c r="V3171" s="260"/>
      <c r="W3171" s="260"/>
      <c r="X3171" s="260"/>
      <c r="Y3171" s="260"/>
      <c r="Z3171" s="260"/>
      <c r="AA3171" s="260"/>
      <c r="AB3171" s="260"/>
      <c r="AC3171" s="260"/>
      <c r="AD3171"/>
      <c r="AE3171"/>
      <c r="AF3171"/>
      <c r="AG3171"/>
    </row>
    <row r="3172" spans="14:33" ht="12" hidden="1" customHeight="1">
      <c r="N3172" s="239"/>
      <c r="O3172" s="225"/>
      <c r="P3172" s="287"/>
      <c r="Q3172" s="258"/>
      <c r="R3172" s="260"/>
      <c r="S3172" s="260"/>
      <c r="T3172" s="260"/>
      <c r="U3172" s="260"/>
      <c r="V3172" s="260"/>
      <c r="W3172" s="260"/>
      <c r="X3172" s="260"/>
      <c r="Y3172" s="260"/>
      <c r="Z3172" s="260"/>
      <c r="AA3172" s="260"/>
      <c r="AB3172" s="260"/>
      <c r="AC3172" s="260"/>
      <c r="AD3172"/>
      <c r="AE3172"/>
      <c r="AF3172"/>
      <c r="AG3172"/>
    </row>
    <row r="3173" spans="14:33" ht="12" hidden="1" customHeight="1">
      <c r="N3173" s="239"/>
      <c r="O3173" s="225"/>
      <c r="P3173" s="287"/>
      <c r="Q3173" s="258"/>
      <c r="R3173" s="260"/>
      <c r="S3173" s="260"/>
      <c r="T3173" s="260"/>
      <c r="U3173" s="260"/>
      <c r="V3173" s="260"/>
      <c r="W3173" s="260"/>
      <c r="X3173" s="260"/>
      <c r="Y3173" s="260"/>
      <c r="Z3173" s="260"/>
      <c r="AA3173" s="260"/>
      <c r="AB3173" s="260"/>
      <c r="AC3173" s="260"/>
      <c r="AD3173"/>
      <c r="AE3173"/>
      <c r="AF3173"/>
      <c r="AG3173"/>
    </row>
    <row r="3174" spans="14:33" ht="12" hidden="1" customHeight="1">
      <c r="N3174" s="239"/>
      <c r="O3174" s="225"/>
      <c r="P3174" s="287"/>
      <c r="Q3174" s="258"/>
      <c r="R3174" s="260"/>
      <c r="S3174" s="260"/>
      <c r="T3174" s="260"/>
      <c r="U3174" s="260"/>
      <c r="V3174" s="260"/>
      <c r="W3174" s="260"/>
      <c r="X3174" s="260"/>
      <c r="Y3174" s="260"/>
      <c r="Z3174" s="260"/>
      <c r="AA3174" s="260"/>
      <c r="AB3174" s="260"/>
      <c r="AC3174" s="260"/>
      <c r="AD3174"/>
      <c r="AE3174"/>
      <c r="AF3174"/>
      <c r="AG3174"/>
    </row>
    <row r="3175" spans="14:33" ht="12" hidden="1" customHeight="1">
      <c r="N3175" s="239"/>
      <c r="O3175" s="225"/>
      <c r="P3175" s="287"/>
      <c r="Q3175" s="258"/>
      <c r="R3175" s="260"/>
      <c r="S3175" s="260"/>
      <c r="T3175" s="260"/>
      <c r="U3175" s="260"/>
      <c r="V3175" s="260"/>
      <c r="W3175" s="260"/>
      <c r="X3175" s="260"/>
      <c r="Y3175" s="260"/>
      <c r="Z3175" s="260"/>
      <c r="AA3175" s="260"/>
      <c r="AB3175" s="260"/>
      <c r="AC3175" s="260"/>
      <c r="AD3175"/>
      <c r="AE3175"/>
      <c r="AF3175"/>
      <c r="AG3175"/>
    </row>
    <row r="3176" spans="14:33" ht="12" hidden="1" customHeight="1">
      <c r="N3176" s="239"/>
      <c r="O3176" s="225"/>
      <c r="P3176" s="287"/>
      <c r="Q3176" s="258"/>
      <c r="R3176" s="260"/>
      <c r="S3176" s="260"/>
      <c r="T3176" s="260"/>
      <c r="U3176" s="260"/>
      <c r="V3176" s="260"/>
      <c r="W3176" s="260"/>
      <c r="X3176" s="260"/>
      <c r="Y3176" s="260"/>
      <c r="Z3176" s="260"/>
      <c r="AA3176" s="260"/>
      <c r="AB3176" s="260"/>
      <c r="AC3176" s="260"/>
      <c r="AD3176"/>
      <c r="AE3176"/>
      <c r="AF3176"/>
      <c r="AG3176"/>
    </row>
    <row r="3177" spans="14:33" ht="12" hidden="1" customHeight="1">
      <c r="N3177" s="239"/>
      <c r="O3177" s="225"/>
      <c r="P3177" s="287"/>
      <c r="Q3177" s="258"/>
      <c r="R3177" s="260"/>
      <c r="S3177" s="260"/>
      <c r="T3177" s="260"/>
      <c r="U3177" s="260"/>
      <c r="V3177" s="260"/>
      <c r="W3177" s="260"/>
      <c r="X3177" s="260"/>
      <c r="Y3177" s="260"/>
      <c r="Z3177" s="260"/>
      <c r="AA3177" s="260"/>
      <c r="AB3177" s="260"/>
      <c r="AC3177" s="260"/>
      <c r="AD3177"/>
      <c r="AE3177"/>
      <c r="AF3177"/>
      <c r="AG3177"/>
    </row>
    <row r="3178" spans="14:33" ht="12" hidden="1" customHeight="1">
      <c r="N3178" s="239"/>
      <c r="O3178" s="225"/>
      <c r="P3178" s="287"/>
      <c r="Q3178" s="258"/>
      <c r="R3178" s="260"/>
      <c r="S3178" s="260"/>
      <c r="T3178" s="260"/>
      <c r="U3178" s="260"/>
      <c r="V3178" s="260"/>
      <c r="W3178" s="260"/>
      <c r="X3178" s="260"/>
      <c r="Y3178" s="260"/>
      <c r="Z3178" s="260"/>
      <c r="AA3178" s="260"/>
      <c r="AB3178" s="260"/>
      <c r="AC3178" s="260"/>
      <c r="AD3178"/>
      <c r="AE3178"/>
      <c r="AF3178"/>
      <c r="AG3178"/>
    </row>
    <row r="3179" spans="14:33" ht="12" hidden="1" customHeight="1">
      <c r="N3179" s="239"/>
      <c r="O3179" s="225"/>
      <c r="P3179" s="287"/>
      <c r="Q3179" s="258"/>
      <c r="R3179" s="260"/>
      <c r="S3179" s="260"/>
      <c r="T3179" s="260"/>
      <c r="U3179" s="260"/>
      <c r="V3179" s="260"/>
      <c r="W3179" s="260"/>
      <c r="X3179" s="260"/>
      <c r="Y3179" s="260"/>
      <c r="Z3179" s="260"/>
      <c r="AA3179" s="260"/>
      <c r="AB3179" s="260"/>
      <c r="AC3179" s="260"/>
      <c r="AD3179"/>
      <c r="AE3179"/>
      <c r="AF3179"/>
      <c r="AG3179"/>
    </row>
    <row r="3180" spans="14:33" ht="12" hidden="1" customHeight="1">
      <c r="N3180" s="239"/>
      <c r="O3180" s="225"/>
      <c r="P3180" s="287"/>
      <c r="Q3180" s="258"/>
      <c r="R3180" s="260"/>
      <c r="S3180" s="260"/>
      <c r="T3180" s="260"/>
      <c r="U3180" s="260"/>
      <c r="V3180" s="260"/>
      <c r="W3180" s="260"/>
      <c r="X3180" s="260"/>
      <c r="Y3180" s="260"/>
      <c r="Z3180" s="260"/>
      <c r="AA3180" s="260"/>
      <c r="AB3180" s="260"/>
      <c r="AC3180" s="260"/>
      <c r="AD3180"/>
      <c r="AE3180"/>
      <c r="AF3180"/>
      <c r="AG3180"/>
    </row>
    <row r="3181" spans="14:33" ht="12" hidden="1" customHeight="1">
      <c r="N3181" s="239"/>
      <c r="O3181" s="225"/>
      <c r="P3181" s="287"/>
      <c r="Q3181" s="258"/>
      <c r="R3181" s="260"/>
      <c r="S3181" s="260"/>
      <c r="T3181" s="260"/>
      <c r="U3181" s="260"/>
      <c r="V3181" s="260"/>
      <c r="W3181" s="260"/>
      <c r="X3181" s="260"/>
      <c r="Y3181" s="260"/>
      <c r="Z3181" s="260"/>
      <c r="AA3181" s="260"/>
      <c r="AB3181" s="260"/>
      <c r="AC3181" s="260"/>
      <c r="AD3181"/>
      <c r="AE3181"/>
      <c r="AF3181"/>
      <c r="AG3181"/>
    </row>
    <row r="3182" spans="14:33" ht="12" hidden="1" customHeight="1">
      <c r="N3182" s="239"/>
      <c r="O3182" s="225"/>
      <c r="P3182" s="287"/>
      <c r="Q3182" s="258"/>
      <c r="R3182" s="260"/>
      <c r="S3182" s="260"/>
      <c r="T3182" s="260"/>
      <c r="U3182" s="260"/>
      <c r="V3182" s="260"/>
      <c r="W3182" s="260"/>
      <c r="X3182" s="260"/>
      <c r="Y3182" s="260"/>
      <c r="Z3182" s="260"/>
      <c r="AA3182" s="260"/>
      <c r="AB3182" s="260"/>
      <c r="AC3182" s="260"/>
      <c r="AD3182"/>
      <c r="AE3182"/>
      <c r="AF3182"/>
      <c r="AG3182"/>
    </row>
    <row r="3183" spans="14:33" ht="12" hidden="1" customHeight="1">
      <c r="N3183" s="239"/>
      <c r="O3183" s="225"/>
      <c r="P3183" s="287"/>
      <c r="Q3183" s="258"/>
      <c r="R3183" s="260"/>
      <c r="S3183" s="260"/>
      <c r="T3183" s="260"/>
      <c r="U3183" s="260"/>
      <c r="V3183" s="260"/>
      <c r="W3183" s="260"/>
      <c r="X3183" s="260"/>
      <c r="Y3183" s="260"/>
      <c r="Z3183" s="260"/>
      <c r="AA3183" s="260"/>
      <c r="AB3183" s="260"/>
      <c r="AC3183" s="260"/>
      <c r="AD3183"/>
      <c r="AE3183"/>
      <c r="AF3183"/>
      <c r="AG3183"/>
    </row>
    <row r="3184" spans="14:33" ht="12" hidden="1" customHeight="1">
      <c r="N3184" s="239"/>
      <c r="O3184" s="225"/>
      <c r="P3184" s="287"/>
      <c r="Q3184" s="258"/>
      <c r="R3184" s="260"/>
      <c r="S3184" s="260"/>
      <c r="T3184" s="260"/>
      <c r="U3184" s="260"/>
      <c r="V3184" s="260"/>
      <c r="W3184" s="260"/>
      <c r="X3184" s="260"/>
      <c r="Y3184" s="260"/>
      <c r="Z3184" s="260"/>
      <c r="AA3184" s="260"/>
      <c r="AB3184" s="260"/>
      <c r="AC3184" s="260"/>
      <c r="AD3184"/>
      <c r="AE3184"/>
      <c r="AF3184"/>
      <c r="AG3184"/>
    </row>
    <row r="3185" spans="14:33" ht="12" hidden="1" customHeight="1">
      <c r="N3185" s="239"/>
      <c r="O3185" s="225"/>
      <c r="P3185" s="287"/>
      <c r="Q3185" s="258"/>
      <c r="R3185" s="260"/>
      <c r="S3185" s="260"/>
      <c r="T3185" s="260"/>
      <c r="U3185" s="260"/>
      <c r="V3185" s="260"/>
      <c r="W3185" s="260"/>
      <c r="X3185" s="260"/>
      <c r="Y3185" s="260"/>
      <c r="Z3185" s="260"/>
      <c r="AA3185" s="260"/>
      <c r="AB3185" s="260"/>
      <c r="AC3185" s="260"/>
      <c r="AD3185"/>
      <c r="AE3185"/>
      <c r="AF3185"/>
      <c r="AG3185"/>
    </row>
    <row r="3186" spans="14:33" ht="12" hidden="1" customHeight="1">
      <c r="N3186" s="239"/>
      <c r="O3186" s="225"/>
      <c r="P3186" s="287"/>
      <c r="Q3186" s="258"/>
      <c r="R3186" s="260"/>
      <c r="S3186" s="260"/>
      <c r="T3186" s="260"/>
      <c r="U3186" s="260"/>
      <c r="V3186" s="260"/>
      <c r="W3186" s="260"/>
      <c r="X3186" s="260"/>
      <c r="Y3186" s="260"/>
      <c r="Z3186" s="260"/>
      <c r="AA3186" s="260"/>
      <c r="AB3186" s="260"/>
      <c r="AC3186" s="260"/>
      <c r="AD3186"/>
      <c r="AE3186"/>
      <c r="AF3186"/>
      <c r="AG3186"/>
    </row>
    <row r="3187" spans="14:33" ht="12" hidden="1" customHeight="1">
      <c r="N3187" s="239"/>
      <c r="O3187" s="225"/>
      <c r="P3187" s="287"/>
      <c r="Q3187" s="258"/>
      <c r="R3187" s="260"/>
      <c r="S3187" s="260"/>
      <c r="T3187" s="260"/>
      <c r="U3187" s="260"/>
      <c r="V3187" s="260"/>
      <c r="W3187" s="260"/>
      <c r="X3187" s="260"/>
      <c r="Y3187" s="260"/>
      <c r="Z3187" s="260"/>
      <c r="AA3187" s="260"/>
      <c r="AB3187" s="260"/>
      <c r="AC3187" s="260"/>
      <c r="AD3187"/>
      <c r="AE3187"/>
      <c r="AF3187"/>
      <c r="AG3187"/>
    </row>
    <row r="3188" spans="14:33" ht="12" hidden="1" customHeight="1">
      <c r="N3188" s="239"/>
      <c r="O3188" s="225"/>
      <c r="P3188" s="287"/>
      <c r="Q3188" s="258"/>
      <c r="R3188" s="260"/>
      <c r="S3188" s="260"/>
      <c r="T3188" s="260"/>
      <c r="U3188" s="260"/>
      <c r="V3188" s="260"/>
      <c r="W3188" s="260"/>
      <c r="X3188" s="260"/>
      <c r="Y3188" s="260"/>
      <c r="Z3188" s="260"/>
      <c r="AA3188" s="260"/>
      <c r="AB3188" s="260"/>
      <c r="AC3188" s="260"/>
      <c r="AD3188"/>
      <c r="AE3188"/>
      <c r="AF3188"/>
      <c r="AG3188"/>
    </row>
    <row r="3189" spans="14:33" ht="12" hidden="1" customHeight="1">
      <c r="N3189" s="239"/>
      <c r="O3189" s="225"/>
      <c r="P3189" s="287"/>
      <c r="Q3189" s="258"/>
      <c r="R3189" s="260"/>
      <c r="S3189" s="260"/>
      <c r="T3189" s="260"/>
      <c r="U3189" s="260"/>
      <c r="V3189" s="260"/>
      <c r="W3189" s="260"/>
      <c r="X3189" s="260"/>
      <c r="Y3189" s="260"/>
      <c r="Z3189" s="260"/>
      <c r="AA3189" s="260"/>
      <c r="AB3189" s="260"/>
      <c r="AC3189" s="260"/>
      <c r="AD3189"/>
      <c r="AE3189"/>
      <c r="AF3189"/>
      <c r="AG3189"/>
    </row>
    <row r="3190" spans="14:33" ht="12" hidden="1" customHeight="1">
      <c r="N3190" s="239"/>
      <c r="O3190" s="225"/>
      <c r="P3190" s="287"/>
      <c r="Q3190" s="258"/>
      <c r="R3190" s="260"/>
      <c r="S3190" s="260"/>
      <c r="T3190" s="260"/>
      <c r="U3190" s="260"/>
      <c r="V3190" s="260"/>
      <c r="W3190" s="260"/>
      <c r="X3190" s="260"/>
      <c r="Y3190" s="260"/>
      <c r="Z3190" s="260"/>
      <c r="AA3190" s="260"/>
      <c r="AB3190" s="260"/>
      <c r="AC3190" s="260"/>
      <c r="AD3190"/>
      <c r="AE3190"/>
      <c r="AF3190"/>
      <c r="AG3190"/>
    </row>
    <row r="3191" spans="14:33" ht="12" hidden="1" customHeight="1">
      <c r="N3191" s="239"/>
      <c r="O3191" s="225"/>
      <c r="P3191" s="287"/>
      <c r="Q3191" s="258"/>
      <c r="R3191" s="260"/>
      <c r="S3191" s="260"/>
      <c r="T3191" s="260"/>
      <c r="U3191" s="260"/>
      <c r="V3191" s="260"/>
      <c r="W3191" s="260"/>
      <c r="X3191" s="260"/>
      <c r="Y3191" s="260"/>
      <c r="Z3191" s="260"/>
      <c r="AA3191" s="260"/>
      <c r="AB3191" s="260"/>
      <c r="AC3191" s="260"/>
      <c r="AD3191"/>
      <c r="AE3191"/>
      <c r="AF3191"/>
      <c r="AG3191"/>
    </row>
    <row r="3192" spans="14:33" ht="12" hidden="1" customHeight="1">
      <c r="N3192" s="239"/>
      <c r="O3192" s="225"/>
      <c r="P3192" s="287"/>
      <c r="Q3192" s="258"/>
      <c r="R3192" s="260"/>
      <c r="S3192" s="260"/>
      <c r="T3192" s="260"/>
      <c r="U3192" s="260"/>
      <c r="V3192" s="260"/>
      <c r="W3192" s="260"/>
      <c r="X3192" s="260"/>
      <c r="Y3192" s="260"/>
      <c r="Z3192" s="260"/>
      <c r="AA3192" s="260"/>
      <c r="AB3192" s="260"/>
      <c r="AC3192" s="260"/>
      <c r="AD3192"/>
      <c r="AE3192"/>
      <c r="AF3192"/>
      <c r="AG3192"/>
    </row>
    <row r="3193" spans="14:33" ht="12" hidden="1" customHeight="1">
      <c r="N3193" s="239"/>
      <c r="O3193" s="225"/>
      <c r="P3193" s="287"/>
      <c r="Q3193" s="258"/>
      <c r="R3193" s="260"/>
      <c r="S3193" s="260"/>
      <c r="T3193" s="260"/>
      <c r="U3193" s="260"/>
      <c r="V3193" s="260"/>
      <c r="W3193" s="260"/>
      <c r="X3193" s="260"/>
      <c r="Y3193" s="260"/>
      <c r="Z3193" s="260"/>
      <c r="AA3193" s="260"/>
      <c r="AB3193" s="260"/>
      <c r="AC3193" s="260"/>
      <c r="AD3193"/>
      <c r="AE3193"/>
      <c r="AF3193"/>
      <c r="AG3193"/>
    </row>
    <row r="3194" spans="14:33" ht="12" hidden="1" customHeight="1">
      <c r="N3194" s="239"/>
      <c r="O3194" s="225"/>
      <c r="P3194" s="287"/>
      <c r="Q3194" s="258"/>
      <c r="R3194" s="260"/>
      <c r="S3194" s="260"/>
      <c r="T3194" s="260"/>
      <c r="U3194" s="260"/>
      <c r="V3194" s="260"/>
      <c r="W3194" s="260"/>
      <c r="X3194" s="260"/>
      <c r="Y3194" s="260"/>
      <c r="Z3194" s="260"/>
      <c r="AA3194" s="260"/>
      <c r="AB3194" s="260"/>
      <c r="AC3194" s="260"/>
      <c r="AD3194"/>
      <c r="AE3194"/>
      <c r="AF3194"/>
      <c r="AG3194"/>
    </row>
    <row r="3195" spans="14:33" ht="12" hidden="1" customHeight="1">
      <c r="N3195" s="239"/>
      <c r="O3195" s="225"/>
      <c r="P3195" s="287"/>
      <c r="Q3195" s="258"/>
      <c r="R3195" s="260"/>
      <c r="S3195" s="260"/>
      <c r="T3195" s="260"/>
      <c r="U3195" s="260"/>
      <c r="V3195" s="260"/>
      <c r="W3195" s="260"/>
      <c r="X3195" s="260"/>
      <c r="Y3195" s="260"/>
      <c r="Z3195" s="260"/>
      <c r="AA3195" s="260"/>
      <c r="AB3195" s="260"/>
      <c r="AC3195" s="260"/>
      <c r="AD3195"/>
      <c r="AE3195"/>
      <c r="AF3195"/>
      <c r="AG3195"/>
    </row>
    <row r="3196" spans="14:33" ht="12" hidden="1" customHeight="1">
      <c r="N3196" s="239"/>
      <c r="O3196" s="225"/>
      <c r="P3196" s="287"/>
      <c r="Q3196" s="258"/>
      <c r="R3196" s="260"/>
      <c r="S3196" s="260"/>
      <c r="T3196" s="260"/>
      <c r="U3196" s="260"/>
      <c r="V3196" s="260"/>
      <c r="W3196" s="260"/>
      <c r="X3196" s="260"/>
      <c r="Y3196" s="260"/>
      <c r="Z3196" s="260"/>
      <c r="AA3196" s="260"/>
      <c r="AB3196" s="260"/>
      <c r="AC3196" s="260"/>
      <c r="AD3196"/>
      <c r="AE3196"/>
      <c r="AF3196"/>
      <c r="AG3196"/>
    </row>
    <row r="3197" spans="14:33" ht="12" hidden="1" customHeight="1">
      <c r="N3197" s="239"/>
      <c r="O3197" s="225"/>
      <c r="P3197" s="287"/>
      <c r="Q3197" s="258"/>
      <c r="R3197" s="260"/>
      <c r="S3197" s="260"/>
      <c r="T3197" s="260"/>
      <c r="U3197" s="260"/>
      <c r="V3197" s="260"/>
      <c r="W3197" s="260"/>
      <c r="X3197" s="260"/>
      <c r="Y3197" s="260"/>
      <c r="Z3197" s="260"/>
      <c r="AA3197" s="260"/>
      <c r="AB3197" s="260"/>
      <c r="AC3197" s="260"/>
      <c r="AD3197"/>
      <c r="AE3197"/>
      <c r="AF3197"/>
      <c r="AG3197"/>
    </row>
    <row r="3198" spans="14:33" ht="12" hidden="1" customHeight="1">
      <c r="N3198" s="239"/>
      <c r="O3198" s="225"/>
      <c r="P3198" s="287"/>
      <c r="Q3198" s="258"/>
      <c r="R3198" s="260"/>
      <c r="S3198" s="260"/>
      <c r="T3198" s="260"/>
      <c r="U3198" s="260"/>
      <c r="V3198" s="260"/>
      <c r="W3198" s="260"/>
      <c r="X3198" s="260"/>
      <c r="Y3198" s="260"/>
      <c r="Z3198" s="260"/>
      <c r="AA3198" s="260"/>
      <c r="AB3198" s="260"/>
      <c r="AC3198" s="260"/>
      <c r="AD3198"/>
      <c r="AE3198"/>
      <c r="AF3198"/>
      <c r="AG3198"/>
    </row>
    <row r="3199" spans="14:33" ht="12" hidden="1" customHeight="1">
      <c r="N3199" s="239"/>
      <c r="O3199" s="225"/>
      <c r="P3199" s="287"/>
      <c r="Q3199" s="258"/>
      <c r="R3199" s="260"/>
      <c r="S3199" s="260"/>
      <c r="T3199" s="260"/>
      <c r="U3199" s="260"/>
      <c r="V3199" s="260"/>
      <c r="W3199" s="260"/>
      <c r="X3199" s="260"/>
      <c r="Y3199" s="260"/>
      <c r="Z3199" s="260"/>
      <c r="AA3199" s="260"/>
      <c r="AB3199" s="260"/>
      <c r="AC3199" s="260"/>
      <c r="AD3199"/>
      <c r="AE3199"/>
      <c r="AF3199"/>
      <c r="AG3199"/>
    </row>
    <row r="3200" spans="14:33" ht="12" hidden="1" customHeight="1">
      <c r="N3200" s="239"/>
      <c r="O3200" s="225"/>
      <c r="P3200" s="287"/>
      <c r="Q3200" s="258"/>
      <c r="R3200" s="260"/>
      <c r="S3200" s="260"/>
      <c r="T3200" s="260"/>
      <c r="U3200" s="260"/>
      <c r="V3200" s="260"/>
      <c r="W3200" s="260"/>
      <c r="X3200" s="260"/>
      <c r="Y3200" s="260"/>
      <c r="Z3200" s="260"/>
      <c r="AA3200" s="260"/>
      <c r="AB3200" s="260"/>
      <c r="AC3200" s="260"/>
      <c r="AD3200"/>
      <c r="AE3200"/>
      <c r="AF3200"/>
      <c r="AG3200"/>
    </row>
    <row r="3201" spans="14:33" ht="12" hidden="1" customHeight="1">
      <c r="N3201" s="239"/>
      <c r="O3201" s="225"/>
      <c r="P3201" s="287"/>
      <c r="Q3201" s="258"/>
      <c r="R3201" s="260"/>
      <c r="S3201" s="260"/>
      <c r="T3201" s="260"/>
      <c r="U3201" s="260"/>
      <c r="V3201" s="260"/>
      <c r="W3201" s="260"/>
      <c r="X3201" s="260"/>
      <c r="Y3201" s="260"/>
      <c r="Z3201" s="260"/>
      <c r="AA3201" s="260"/>
      <c r="AB3201" s="260"/>
      <c r="AC3201" s="260"/>
      <c r="AD3201"/>
      <c r="AE3201"/>
      <c r="AF3201"/>
      <c r="AG3201"/>
    </row>
    <row r="3202" spans="14:33" ht="12" hidden="1" customHeight="1">
      <c r="N3202" s="239"/>
      <c r="O3202" s="225"/>
      <c r="P3202" s="287"/>
      <c r="Q3202" s="258"/>
      <c r="R3202" s="260"/>
      <c r="S3202" s="260"/>
      <c r="T3202" s="260"/>
      <c r="U3202" s="260"/>
      <c r="V3202" s="260"/>
      <c r="W3202" s="260"/>
      <c r="X3202" s="260"/>
      <c r="Y3202" s="260"/>
      <c r="Z3202" s="260"/>
      <c r="AA3202" s="260"/>
      <c r="AB3202" s="260"/>
      <c r="AC3202" s="260"/>
      <c r="AD3202"/>
      <c r="AE3202"/>
      <c r="AF3202"/>
      <c r="AG3202"/>
    </row>
    <row r="3203" spans="14:33" ht="12" hidden="1" customHeight="1">
      <c r="N3203" s="239"/>
      <c r="O3203" s="225"/>
      <c r="P3203" s="287"/>
      <c r="Q3203" s="258"/>
      <c r="R3203" s="260"/>
      <c r="S3203" s="260"/>
      <c r="T3203" s="260"/>
      <c r="U3203" s="260"/>
      <c r="V3203" s="260"/>
      <c r="W3203" s="260"/>
      <c r="X3203" s="260"/>
      <c r="Y3203" s="260"/>
      <c r="Z3203" s="260"/>
      <c r="AA3203" s="260"/>
      <c r="AB3203" s="260"/>
      <c r="AC3203" s="260"/>
      <c r="AD3203"/>
      <c r="AE3203"/>
      <c r="AF3203"/>
      <c r="AG3203"/>
    </row>
    <row r="3204" spans="14:33" ht="12" hidden="1" customHeight="1">
      <c r="N3204" s="239"/>
      <c r="O3204" s="225"/>
      <c r="P3204" s="287"/>
      <c r="Q3204" s="258"/>
      <c r="R3204" s="260"/>
      <c r="S3204" s="260"/>
      <c r="T3204" s="260"/>
      <c r="U3204" s="260"/>
      <c r="V3204" s="260"/>
      <c r="W3204" s="260"/>
      <c r="X3204" s="260"/>
      <c r="Y3204" s="260"/>
      <c r="Z3204" s="260"/>
      <c r="AA3204" s="260"/>
      <c r="AB3204" s="260"/>
      <c r="AC3204" s="260"/>
      <c r="AD3204"/>
      <c r="AE3204"/>
      <c r="AF3204"/>
      <c r="AG3204"/>
    </row>
    <row r="3205" spans="14:33" ht="12" hidden="1" customHeight="1">
      <c r="N3205" s="239"/>
      <c r="O3205" s="225"/>
      <c r="P3205" s="287"/>
      <c r="Q3205" s="258"/>
      <c r="R3205" s="260"/>
      <c r="S3205" s="260"/>
      <c r="T3205" s="260"/>
      <c r="U3205" s="260"/>
      <c r="V3205" s="260"/>
      <c r="W3205" s="260"/>
      <c r="X3205" s="260"/>
      <c r="Y3205" s="260"/>
      <c r="Z3205" s="260"/>
      <c r="AA3205" s="260"/>
      <c r="AB3205" s="260"/>
      <c r="AC3205" s="260"/>
      <c r="AD3205"/>
      <c r="AE3205"/>
      <c r="AF3205"/>
      <c r="AG3205"/>
    </row>
    <row r="3206" spans="14:33" ht="12" hidden="1" customHeight="1">
      <c r="N3206" s="239"/>
      <c r="O3206" s="225"/>
      <c r="P3206" s="287"/>
      <c r="Q3206" s="258"/>
      <c r="R3206" s="260"/>
      <c r="S3206" s="260"/>
      <c r="T3206" s="260"/>
      <c r="U3206" s="260"/>
      <c r="V3206" s="260"/>
      <c r="W3206" s="260"/>
      <c r="X3206" s="260"/>
      <c r="Y3206" s="260"/>
      <c r="Z3206" s="260"/>
      <c r="AA3206" s="260"/>
      <c r="AB3206" s="260"/>
      <c r="AC3206" s="260"/>
      <c r="AD3206"/>
      <c r="AE3206"/>
      <c r="AF3206"/>
      <c r="AG3206"/>
    </row>
    <row r="3207" spans="14:33" ht="12" hidden="1" customHeight="1">
      <c r="N3207" s="239"/>
      <c r="O3207" s="225"/>
      <c r="P3207" s="287"/>
      <c r="Q3207" s="258"/>
      <c r="R3207" s="260"/>
      <c r="S3207" s="260"/>
      <c r="T3207" s="260"/>
      <c r="U3207" s="260"/>
      <c r="V3207" s="260"/>
      <c r="W3207" s="260"/>
      <c r="X3207" s="260"/>
      <c r="Y3207" s="260"/>
      <c r="Z3207" s="260"/>
      <c r="AA3207" s="260"/>
      <c r="AB3207" s="260"/>
      <c r="AC3207" s="260"/>
      <c r="AD3207"/>
      <c r="AE3207"/>
      <c r="AF3207"/>
      <c r="AG3207"/>
    </row>
    <row r="3208" spans="14:33" ht="12" hidden="1" customHeight="1">
      <c r="N3208" s="239"/>
      <c r="O3208" s="225"/>
      <c r="P3208" s="287"/>
      <c r="Q3208" s="258"/>
      <c r="R3208" s="260"/>
      <c r="S3208" s="260"/>
      <c r="T3208" s="260"/>
      <c r="U3208" s="260"/>
      <c r="V3208" s="260"/>
      <c r="W3208" s="260"/>
      <c r="X3208" s="260"/>
      <c r="Y3208" s="260"/>
      <c r="Z3208" s="260"/>
      <c r="AA3208" s="260"/>
      <c r="AB3208" s="260"/>
      <c r="AC3208" s="260"/>
      <c r="AD3208"/>
      <c r="AE3208"/>
      <c r="AF3208"/>
      <c r="AG3208"/>
    </row>
    <row r="3209" spans="14:33" ht="12" hidden="1" customHeight="1">
      <c r="N3209" s="239"/>
      <c r="O3209" s="225"/>
      <c r="P3209" s="287"/>
      <c r="Q3209" s="258"/>
      <c r="R3209" s="260"/>
      <c r="S3209" s="260"/>
      <c r="T3209" s="260"/>
      <c r="U3209" s="260"/>
      <c r="V3209" s="260"/>
      <c r="W3209" s="260"/>
      <c r="X3209" s="260"/>
      <c r="Y3209" s="260"/>
      <c r="Z3209" s="260"/>
      <c r="AA3209" s="260"/>
      <c r="AB3209" s="260"/>
      <c r="AC3209" s="260"/>
      <c r="AD3209"/>
      <c r="AE3209"/>
      <c r="AF3209"/>
      <c r="AG3209"/>
    </row>
    <row r="3210" spans="14:33" ht="12" hidden="1" customHeight="1">
      <c r="N3210" s="239"/>
      <c r="O3210" s="225"/>
      <c r="P3210" s="287"/>
      <c r="Q3210" s="258"/>
      <c r="R3210" s="260"/>
      <c r="S3210" s="260"/>
      <c r="T3210" s="260"/>
      <c r="U3210" s="260"/>
      <c r="V3210" s="260"/>
      <c r="W3210" s="260"/>
      <c r="X3210" s="260"/>
      <c r="Y3210" s="260"/>
      <c r="Z3210" s="260"/>
      <c r="AA3210" s="260"/>
      <c r="AB3210" s="260"/>
      <c r="AC3210" s="260"/>
      <c r="AD3210"/>
      <c r="AE3210"/>
      <c r="AF3210"/>
      <c r="AG3210"/>
    </row>
    <row r="3211" spans="14:33" ht="12" hidden="1" customHeight="1">
      <c r="N3211" s="239"/>
      <c r="O3211" s="225"/>
      <c r="P3211" s="287"/>
      <c r="Q3211" s="258"/>
      <c r="R3211" s="260"/>
      <c r="S3211" s="260"/>
      <c r="T3211" s="260"/>
      <c r="U3211" s="260"/>
      <c r="V3211" s="260"/>
      <c r="W3211" s="260"/>
      <c r="X3211" s="260"/>
      <c r="Y3211" s="260"/>
      <c r="Z3211" s="260"/>
      <c r="AA3211" s="260"/>
      <c r="AB3211" s="260"/>
      <c r="AC3211" s="260"/>
      <c r="AD3211"/>
      <c r="AE3211"/>
      <c r="AF3211"/>
      <c r="AG3211"/>
    </row>
    <row r="3212" spans="14:33" ht="12" hidden="1" customHeight="1">
      <c r="N3212" s="239"/>
      <c r="O3212" s="225"/>
      <c r="P3212" s="287"/>
      <c r="Q3212" s="258"/>
      <c r="R3212" s="260"/>
      <c r="S3212" s="260"/>
      <c r="T3212" s="260"/>
      <c r="U3212" s="260"/>
      <c r="V3212" s="260"/>
      <c r="W3212" s="260"/>
      <c r="X3212" s="260"/>
      <c r="Y3212" s="260"/>
      <c r="Z3212" s="260"/>
      <c r="AA3212" s="260"/>
      <c r="AB3212" s="260"/>
      <c r="AC3212" s="260"/>
      <c r="AD3212"/>
      <c r="AE3212"/>
      <c r="AF3212"/>
      <c r="AG3212"/>
    </row>
    <row r="3213" spans="14:33" ht="12" hidden="1" customHeight="1">
      <c r="N3213" s="239"/>
      <c r="O3213" s="225"/>
      <c r="P3213" s="287"/>
      <c r="Q3213" s="258"/>
      <c r="R3213" s="260"/>
      <c r="S3213" s="260"/>
      <c r="T3213" s="260"/>
      <c r="U3213" s="260"/>
      <c r="V3213" s="260"/>
      <c r="W3213" s="260"/>
      <c r="X3213" s="260"/>
      <c r="Y3213" s="260"/>
      <c r="Z3213" s="260"/>
      <c r="AA3213" s="260"/>
      <c r="AB3213" s="260"/>
      <c r="AC3213" s="260"/>
      <c r="AD3213"/>
      <c r="AE3213"/>
      <c r="AF3213"/>
      <c r="AG3213"/>
    </row>
    <row r="3214" spans="14:33" ht="12" hidden="1" customHeight="1">
      <c r="N3214" s="239"/>
      <c r="O3214" s="225"/>
      <c r="P3214" s="287"/>
      <c r="Q3214" s="258"/>
      <c r="R3214" s="260"/>
      <c r="S3214" s="260"/>
      <c r="T3214" s="260"/>
      <c r="U3214" s="260"/>
      <c r="V3214" s="260"/>
      <c r="W3214" s="260"/>
      <c r="X3214" s="260"/>
      <c r="Y3214" s="260"/>
      <c r="Z3214" s="260"/>
      <c r="AA3214" s="260"/>
      <c r="AB3214" s="260"/>
      <c r="AC3214" s="260"/>
      <c r="AD3214"/>
      <c r="AE3214"/>
      <c r="AF3214"/>
      <c r="AG3214"/>
    </row>
    <row r="3215" spans="14:33" ht="12" hidden="1" customHeight="1">
      <c r="N3215" s="239"/>
      <c r="O3215" s="225"/>
      <c r="P3215" s="287"/>
      <c r="Q3215" s="258"/>
      <c r="R3215" s="260"/>
      <c r="S3215" s="260"/>
      <c r="T3215" s="260"/>
      <c r="U3215" s="260"/>
      <c r="V3215" s="260"/>
      <c r="W3215" s="260"/>
      <c r="X3215" s="260"/>
      <c r="Y3215" s="260"/>
      <c r="Z3215" s="260"/>
      <c r="AA3215" s="260"/>
      <c r="AB3215" s="260"/>
      <c r="AC3215" s="260"/>
      <c r="AD3215"/>
      <c r="AE3215"/>
      <c r="AF3215"/>
      <c r="AG3215"/>
    </row>
    <row r="3216" spans="14:33" ht="12" hidden="1" customHeight="1">
      <c r="N3216" s="239"/>
      <c r="O3216" s="225"/>
      <c r="P3216" s="287"/>
      <c r="Q3216" s="258"/>
      <c r="R3216" s="260"/>
      <c r="S3216" s="260"/>
      <c r="T3216" s="260"/>
      <c r="U3216" s="260"/>
      <c r="V3216" s="260"/>
      <c r="W3216" s="260"/>
      <c r="X3216" s="260"/>
      <c r="Y3216" s="260"/>
      <c r="Z3216" s="260"/>
      <c r="AA3216" s="260"/>
      <c r="AB3216" s="260"/>
      <c r="AC3216" s="260"/>
      <c r="AD3216"/>
      <c r="AE3216"/>
      <c r="AF3216"/>
      <c r="AG3216"/>
    </row>
    <row r="3217" spans="14:33" ht="12" hidden="1" customHeight="1">
      <c r="N3217" s="239"/>
      <c r="O3217" s="225"/>
      <c r="P3217" s="287"/>
      <c r="Q3217" s="258"/>
      <c r="R3217" s="260"/>
      <c r="S3217" s="260"/>
      <c r="T3217" s="260"/>
      <c r="U3217" s="260"/>
      <c r="V3217" s="260"/>
      <c r="W3217" s="260"/>
      <c r="X3217" s="260"/>
      <c r="Y3217" s="260"/>
      <c r="Z3217" s="260"/>
      <c r="AA3217" s="260"/>
      <c r="AB3217" s="260"/>
      <c r="AC3217" s="260"/>
      <c r="AD3217"/>
      <c r="AE3217"/>
      <c r="AF3217"/>
      <c r="AG3217"/>
    </row>
    <row r="3218" spans="14:33" ht="12" hidden="1" customHeight="1">
      <c r="N3218" s="239"/>
      <c r="O3218" s="225"/>
      <c r="P3218" s="287"/>
      <c r="Q3218" s="258"/>
      <c r="R3218" s="260"/>
      <c r="S3218" s="260"/>
      <c r="T3218" s="260"/>
      <c r="U3218" s="260"/>
      <c r="V3218" s="260"/>
      <c r="W3218" s="260"/>
      <c r="X3218" s="260"/>
      <c r="Y3218" s="260"/>
      <c r="Z3218" s="260"/>
      <c r="AA3218" s="260"/>
      <c r="AB3218" s="260"/>
      <c r="AC3218" s="260"/>
      <c r="AD3218"/>
      <c r="AE3218"/>
      <c r="AF3218"/>
      <c r="AG3218"/>
    </row>
    <row r="3219" spans="14:33" ht="12" hidden="1" customHeight="1">
      <c r="N3219" s="239"/>
      <c r="O3219" s="225"/>
      <c r="P3219" s="287"/>
      <c r="Q3219" s="258"/>
      <c r="R3219" s="260"/>
      <c r="S3219" s="260"/>
      <c r="T3219" s="260"/>
      <c r="U3219" s="260"/>
      <c r="V3219" s="260"/>
      <c r="W3219" s="260"/>
      <c r="X3219" s="260"/>
      <c r="Y3219" s="260"/>
      <c r="Z3219" s="260"/>
      <c r="AA3219" s="260"/>
      <c r="AB3219" s="260"/>
      <c r="AC3219" s="260"/>
      <c r="AD3219"/>
      <c r="AE3219"/>
      <c r="AF3219"/>
      <c r="AG3219"/>
    </row>
    <row r="3220" spans="14:33" ht="12" hidden="1" customHeight="1">
      <c r="N3220" s="239"/>
      <c r="O3220" s="225"/>
      <c r="P3220" s="287"/>
      <c r="Q3220" s="258"/>
      <c r="R3220" s="260"/>
      <c r="S3220" s="260"/>
      <c r="T3220" s="260"/>
      <c r="U3220" s="260"/>
      <c r="V3220" s="260"/>
      <c r="W3220" s="260"/>
      <c r="X3220" s="260"/>
      <c r="Y3220" s="260"/>
      <c r="Z3220" s="260"/>
      <c r="AA3220" s="260"/>
      <c r="AB3220" s="260"/>
      <c r="AC3220" s="260"/>
      <c r="AD3220"/>
      <c r="AE3220"/>
      <c r="AF3220"/>
      <c r="AG3220"/>
    </row>
    <row r="3221" spans="14:33" ht="12" hidden="1" customHeight="1">
      <c r="N3221" s="239"/>
      <c r="O3221" s="225"/>
      <c r="P3221" s="287"/>
      <c r="Q3221" s="258"/>
      <c r="R3221" s="260"/>
      <c r="S3221" s="260"/>
      <c r="T3221" s="260"/>
      <c r="U3221" s="260"/>
      <c r="V3221" s="260"/>
      <c r="W3221" s="260"/>
      <c r="X3221" s="260"/>
      <c r="Y3221" s="260"/>
      <c r="Z3221" s="260"/>
      <c r="AA3221" s="260"/>
      <c r="AB3221" s="260"/>
      <c r="AC3221" s="260"/>
      <c r="AD3221"/>
      <c r="AE3221"/>
      <c r="AF3221"/>
      <c r="AG3221"/>
    </row>
    <row r="3222" spans="14:33" ht="12" hidden="1" customHeight="1">
      <c r="N3222" s="239"/>
      <c r="O3222" s="225"/>
      <c r="P3222" s="287"/>
      <c r="Q3222" s="258"/>
      <c r="R3222" s="260"/>
      <c r="S3222" s="260"/>
      <c r="T3222" s="260"/>
      <c r="U3222" s="260"/>
      <c r="V3222" s="260"/>
      <c r="W3222" s="260"/>
      <c r="X3222" s="260"/>
      <c r="Y3222" s="260"/>
      <c r="Z3222" s="260"/>
      <c r="AA3222" s="260"/>
      <c r="AB3222" s="260"/>
      <c r="AC3222" s="260"/>
      <c r="AD3222"/>
      <c r="AE3222"/>
      <c r="AF3222"/>
      <c r="AG3222"/>
    </row>
    <row r="3223" spans="14:33" ht="12" hidden="1" customHeight="1">
      <c r="N3223" s="239"/>
      <c r="O3223" s="225"/>
      <c r="P3223" s="287"/>
      <c r="Q3223" s="258"/>
      <c r="R3223" s="260"/>
      <c r="S3223" s="260"/>
      <c r="T3223" s="260"/>
      <c r="U3223" s="260"/>
      <c r="V3223" s="260"/>
      <c r="W3223" s="260"/>
      <c r="X3223" s="260"/>
      <c r="Y3223" s="260"/>
      <c r="Z3223" s="260"/>
      <c r="AA3223" s="260"/>
      <c r="AB3223" s="260"/>
      <c r="AC3223" s="260"/>
      <c r="AD3223"/>
      <c r="AE3223"/>
      <c r="AF3223"/>
      <c r="AG3223"/>
    </row>
    <row r="3224" spans="14:33" ht="12" hidden="1" customHeight="1">
      <c r="N3224" s="239"/>
      <c r="O3224" s="225"/>
      <c r="P3224" s="287"/>
      <c r="Q3224" s="258"/>
      <c r="R3224" s="260"/>
      <c r="S3224" s="260"/>
      <c r="T3224" s="260"/>
      <c r="U3224" s="260"/>
      <c r="V3224" s="260"/>
      <c r="W3224" s="260"/>
      <c r="X3224" s="260"/>
      <c r="Y3224" s="260"/>
      <c r="Z3224" s="260"/>
      <c r="AA3224" s="260"/>
      <c r="AB3224" s="260"/>
      <c r="AC3224" s="260"/>
      <c r="AD3224"/>
      <c r="AE3224"/>
      <c r="AF3224"/>
      <c r="AG3224"/>
    </row>
    <row r="3225" spans="14:33" ht="12" hidden="1" customHeight="1">
      <c r="N3225" s="239"/>
      <c r="O3225" s="225"/>
      <c r="P3225" s="287"/>
      <c r="Q3225" s="258"/>
      <c r="R3225" s="260"/>
      <c r="S3225" s="260"/>
      <c r="T3225" s="260"/>
      <c r="U3225" s="260"/>
      <c r="V3225" s="260"/>
      <c r="W3225" s="260"/>
      <c r="X3225" s="260"/>
      <c r="Y3225" s="260"/>
      <c r="Z3225" s="260"/>
      <c r="AA3225" s="260"/>
      <c r="AB3225" s="260"/>
      <c r="AC3225" s="260"/>
      <c r="AD3225"/>
      <c r="AE3225"/>
      <c r="AF3225"/>
      <c r="AG3225"/>
    </row>
    <row r="3226" spans="14:33" ht="12" hidden="1" customHeight="1">
      <c r="N3226" s="239"/>
      <c r="O3226" s="225"/>
      <c r="P3226" s="287"/>
      <c r="Q3226" s="258"/>
      <c r="R3226" s="260"/>
      <c r="S3226" s="260"/>
      <c r="T3226" s="260"/>
      <c r="U3226" s="260"/>
      <c r="V3226" s="260"/>
      <c r="W3226" s="260"/>
      <c r="X3226" s="260"/>
      <c r="Y3226" s="260"/>
      <c r="Z3226" s="260"/>
      <c r="AA3226" s="260"/>
      <c r="AB3226" s="260"/>
      <c r="AC3226" s="260"/>
      <c r="AD3226"/>
      <c r="AE3226"/>
      <c r="AF3226"/>
      <c r="AG3226"/>
    </row>
    <row r="3227" spans="14:33" ht="12" hidden="1" customHeight="1">
      <c r="N3227" s="239"/>
      <c r="O3227" s="225"/>
      <c r="P3227" s="287"/>
      <c r="Q3227" s="258"/>
      <c r="R3227" s="260"/>
      <c r="S3227" s="260"/>
      <c r="T3227" s="260"/>
      <c r="U3227" s="260"/>
      <c r="V3227" s="260"/>
      <c r="W3227" s="260"/>
      <c r="X3227" s="260"/>
      <c r="Y3227" s="260"/>
      <c r="Z3227" s="260"/>
      <c r="AA3227" s="260"/>
      <c r="AB3227" s="260"/>
      <c r="AC3227" s="260"/>
      <c r="AD3227"/>
      <c r="AE3227"/>
      <c r="AF3227"/>
      <c r="AG3227"/>
    </row>
    <row r="3228" spans="14:33" ht="12" hidden="1" customHeight="1">
      <c r="N3228" s="239"/>
      <c r="O3228" s="225"/>
      <c r="P3228" s="287"/>
      <c r="Q3228" s="258"/>
      <c r="R3228" s="260"/>
      <c r="S3228" s="260"/>
      <c r="T3228" s="260"/>
      <c r="U3228" s="260"/>
      <c r="V3228" s="260"/>
      <c r="W3228" s="260"/>
      <c r="X3228" s="260"/>
      <c r="Y3228" s="260"/>
      <c r="Z3228" s="260"/>
      <c r="AA3228" s="260"/>
      <c r="AB3228" s="260"/>
      <c r="AC3228" s="260"/>
      <c r="AD3228"/>
      <c r="AE3228"/>
      <c r="AF3228"/>
      <c r="AG3228"/>
    </row>
    <row r="3229" spans="14:33" ht="12" hidden="1" customHeight="1">
      <c r="N3229" s="239"/>
      <c r="O3229" s="225"/>
      <c r="P3229" s="287"/>
      <c r="Q3229" s="258"/>
      <c r="R3229" s="260"/>
      <c r="S3229" s="260"/>
      <c r="T3229" s="260"/>
      <c r="U3229" s="260"/>
      <c r="V3229" s="260"/>
      <c r="W3229" s="260"/>
      <c r="X3229" s="260"/>
      <c r="Y3229" s="260"/>
      <c r="Z3229" s="260"/>
      <c r="AA3229" s="260"/>
      <c r="AB3229" s="260"/>
      <c r="AC3229" s="260"/>
      <c r="AD3229"/>
      <c r="AE3229"/>
      <c r="AF3229"/>
      <c r="AG3229"/>
    </row>
    <row r="3230" spans="14:33" ht="12" hidden="1" customHeight="1">
      <c r="N3230" s="239"/>
      <c r="O3230" s="225"/>
      <c r="P3230" s="287"/>
      <c r="Q3230" s="258"/>
      <c r="R3230" s="260"/>
      <c r="S3230" s="260"/>
      <c r="T3230" s="260"/>
      <c r="U3230" s="260"/>
      <c r="V3230" s="260"/>
      <c r="W3230" s="260"/>
      <c r="X3230" s="260"/>
      <c r="Y3230" s="260"/>
      <c r="Z3230" s="260"/>
      <c r="AA3230" s="260"/>
      <c r="AB3230" s="260"/>
      <c r="AC3230" s="260"/>
      <c r="AD3230"/>
      <c r="AE3230"/>
      <c r="AF3230"/>
      <c r="AG3230"/>
    </row>
    <row r="3231" spans="14:33" ht="12" hidden="1" customHeight="1">
      <c r="N3231" s="239"/>
      <c r="O3231" s="225"/>
      <c r="P3231" s="287"/>
      <c r="Q3231" s="258"/>
      <c r="R3231" s="260"/>
      <c r="S3231" s="260"/>
      <c r="T3231" s="260"/>
      <c r="U3231" s="260"/>
      <c r="V3231" s="260"/>
      <c r="W3231" s="260"/>
      <c r="X3231" s="260"/>
      <c r="Y3231" s="260"/>
      <c r="Z3231" s="260"/>
      <c r="AA3231" s="260"/>
      <c r="AB3231" s="260"/>
      <c r="AC3231" s="260"/>
      <c r="AD3231"/>
      <c r="AE3231"/>
      <c r="AF3231"/>
      <c r="AG3231"/>
    </row>
    <row r="3232" spans="14:33" ht="12" hidden="1" customHeight="1">
      <c r="N3232" s="239"/>
      <c r="O3232" s="225"/>
      <c r="P3232" s="287"/>
      <c r="Q3232" s="258"/>
      <c r="R3232" s="260"/>
      <c r="S3232" s="260"/>
      <c r="T3232" s="260"/>
      <c r="U3232" s="260"/>
      <c r="V3232" s="260"/>
      <c r="W3232" s="260"/>
      <c r="X3232" s="260"/>
      <c r="Y3232" s="260"/>
      <c r="Z3232" s="260"/>
      <c r="AA3232" s="260"/>
      <c r="AB3232" s="260"/>
      <c r="AC3232" s="260"/>
      <c r="AD3232"/>
      <c r="AE3232"/>
      <c r="AF3232"/>
      <c r="AG3232"/>
    </row>
    <row r="3233" spans="14:33" ht="12" hidden="1" customHeight="1">
      <c r="N3233" s="239"/>
      <c r="O3233" s="225"/>
      <c r="P3233" s="287"/>
      <c r="Q3233" s="258"/>
      <c r="R3233" s="260"/>
      <c r="S3233" s="260"/>
      <c r="T3233" s="260"/>
      <c r="U3233" s="260"/>
      <c r="V3233" s="260"/>
      <c r="W3233" s="260"/>
      <c r="X3233" s="260"/>
      <c r="Y3233" s="260"/>
      <c r="Z3233" s="260"/>
      <c r="AA3233" s="260"/>
      <c r="AB3233" s="260"/>
      <c r="AC3233" s="260"/>
      <c r="AD3233"/>
      <c r="AE3233"/>
      <c r="AF3233"/>
      <c r="AG3233"/>
    </row>
    <row r="3234" spans="14:33" ht="12" hidden="1" customHeight="1">
      <c r="N3234" s="239"/>
      <c r="O3234" s="225"/>
      <c r="P3234" s="287"/>
      <c r="Q3234" s="258"/>
      <c r="R3234" s="260"/>
      <c r="S3234" s="260"/>
      <c r="T3234" s="260"/>
      <c r="U3234" s="260"/>
      <c r="V3234" s="260"/>
      <c r="W3234" s="260"/>
      <c r="X3234" s="260"/>
      <c r="Y3234" s="260"/>
      <c r="Z3234" s="260"/>
      <c r="AA3234" s="260"/>
      <c r="AB3234" s="260"/>
      <c r="AC3234" s="260"/>
      <c r="AD3234"/>
      <c r="AE3234"/>
      <c r="AF3234"/>
      <c r="AG3234"/>
    </row>
    <row r="3235" spans="14:33" ht="12" hidden="1" customHeight="1">
      <c r="N3235" s="239"/>
      <c r="O3235" s="225"/>
      <c r="P3235" s="287"/>
      <c r="Q3235" s="258"/>
      <c r="R3235" s="260"/>
      <c r="S3235" s="260"/>
      <c r="T3235" s="260"/>
      <c r="U3235" s="260"/>
      <c r="V3235" s="260"/>
      <c r="W3235" s="260"/>
      <c r="X3235" s="260"/>
      <c r="Y3235" s="260"/>
      <c r="Z3235" s="260"/>
      <c r="AA3235" s="260"/>
      <c r="AB3235" s="260"/>
      <c r="AC3235" s="260"/>
      <c r="AD3235"/>
      <c r="AE3235"/>
      <c r="AF3235"/>
      <c r="AG3235"/>
    </row>
    <row r="3236" spans="14:33" ht="12" hidden="1" customHeight="1">
      <c r="N3236" s="239"/>
      <c r="O3236" s="225"/>
      <c r="P3236" s="287"/>
      <c r="Q3236" s="258"/>
      <c r="R3236" s="260"/>
      <c r="S3236" s="260"/>
      <c r="T3236" s="260"/>
      <c r="U3236" s="260"/>
      <c r="V3236" s="260"/>
      <c r="W3236" s="260"/>
      <c r="X3236" s="260"/>
      <c r="Y3236" s="260"/>
      <c r="Z3236" s="260"/>
      <c r="AA3236" s="260"/>
      <c r="AB3236" s="260"/>
      <c r="AC3236" s="260"/>
      <c r="AD3236"/>
      <c r="AE3236"/>
      <c r="AF3236"/>
      <c r="AG3236"/>
    </row>
    <row r="3237" spans="14:33" ht="12" hidden="1" customHeight="1">
      <c r="N3237" s="239"/>
      <c r="O3237" s="225"/>
      <c r="P3237" s="287"/>
      <c r="Q3237" s="258"/>
      <c r="R3237" s="260"/>
      <c r="S3237" s="260"/>
      <c r="T3237" s="260"/>
      <c r="U3237" s="260"/>
      <c r="V3237" s="260"/>
      <c r="W3237" s="260"/>
      <c r="X3237" s="260"/>
      <c r="Y3237" s="260"/>
      <c r="Z3237" s="260"/>
      <c r="AA3237" s="260"/>
      <c r="AB3237" s="260"/>
      <c r="AC3237" s="260"/>
      <c r="AD3237"/>
      <c r="AE3237"/>
      <c r="AF3237"/>
      <c r="AG3237"/>
    </row>
    <row r="3238" spans="14:33" ht="12" hidden="1" customHeight="1">
      <c r="N3238" s="239"/>
      <c r="O3238" s="225"/>
      <c r="P3238" s="287"/>
      <c r="Q3238" s="258"/>
      <c r="R3238" s="260"/>
      <c r="S3238" s="260"/>
      <c r="T3238" s="260"/>
      <c r="U3238" s="260"/>
      <c r="V3238" s="260"/>
      <c r="W3238" s="260"/>
      <c r="X3238" s="260"/>
      <c r="Y3238" s="260"/>
      <c r="Z3238" s="260"/>
      <c r="AA3238" s="260"/>
      <c r="AB3238" s="260"/>
      <c r="AC3238" s="260"/>
      <c r="AD3238"/>
      <c r="AE3238"/>
      <c r="AF3238"/>
      <c r="AG3238"/>
    </row>
    <row r="3239" spans="14:33" ht="12" hidden="1" customHeight="1">
      <c r="N3239" s="239"/>
      <c r="O3239" s="225"/>
      <c r="P3239" s="287"/>
      <c r="Q3239" s="258"/>
      <c r="R3239" s="260"/>
      <c r="S3239" s="260"/>
      <c r="T3239" s="260"/>
      <c r="U3239" s="260"/>
      <c r="V3239" s="260"/>
      <c r="W3239" s="260"/>
      <c r="X3239" s="260"/>
      <c r="Y3239" s="260"/>
      <c r="Z3239" s="260"/>
      <c r="AA3239" s="260"/>
      <c r="AB3239" s="260"/>
      <c r="AC3239" s="260"/>
      <c r="AD3239"/>
      <c r="AE3239"/>
      <c r="AF3239"/>
      <c r="AG3239"/>
    </row>
    <row r="3240" spans="14:33" ht="12" hidden="1" customHeight="1">
      <c r="N3240" s="239"/>
      <c r="O3240" s="225"/>
      <c r="P3240" s="287"/>
      <c r="Q3240" s="258"/>
      <c r="R3240" s="260"/>
      <c r="S3240" s="260"/>
      <c r="T3240" s="260"/>
      <c r="U3240" s="260"/>
      <c r="V3240" s="260"/>
      <c r="W3240" s="260"/>
      <c r="X3240" s="260"/>
      <c r="Y3240" s="260"/>
      <c r="Z3240" s="260"/>
      <c r="AA3240" s="260"/>
      <c r="AB3240" s="260"/>
      <c r="AC3240" s="260"/>
      <c r="AD3240"/>
      <c r="AE3240"/>
      <c r="AF3240"/>
      <c r="AG3240"/>
    </row>
    <row r="3241" spans="14:33" ht="12" hidden="1" customHeight="1">
      <c r="N3241" s="239"/>
      <c r="O3241" s="225"/>
      <c r="P3241" s="287"/>
      <c r="Q3241" s="258"/>
      <c r="R3241" s="260"/>
      <c r="S3241" s="260"/>
      <c r="T3241" s="260"/>
      <c r="U3241" s="260"/>
      <c r="V3241" s="260"/>
      <c r="W3241" s="260"/>
      <c r="X3241" s="260"/>
      <c r="Y3241" s="260"/>
      <c r="Z3241" s="260"/>
      <c r="AA3241" s="260"/>
      <c r="AB3241" s="260"/>
      <c r="AC3241" s="260"/>
      <c r="AD3241"/>
      <c r="AE3241"/>
      <c r="AF3241"/>
      <c r="AG3241"/>
    </row>
    <row r="3242" spans="14:33" ht="12" hidden="1" customHeight="1">
      <c r="N3242" s="239"/>
      <c r="O3242" s="225"/>
      <c r="P3242" s="287"/>
      <c r="Q3242" s="258"/>
      <c r="R3242" s="260"/>
      <c r="S3242" s="260"/>
      <c r="T3242" s="260"/>
      <c r="U3242" s="260"/>
      <c r="V3242" s="260"/>
      <c r="W3242" s="260"/>
      <c r="X3242" s="260"/>
      <c r="Y3242" s="260"/>
      <c r="Z3242" s="260"/>
      <c r="AA3242" s="260"/>
      <c r="AB3242" s="260"/>
      <c r="AC3242" s="260"/>
      <c r="AD3242"/>
      <c r="AE3242"/>
      <c r="AF3242"/>
      <c r="AG3242"/>
    </row>
    <row r="3243" spans="14:33" ht="12" hidden="1" customHeight="1">
      <c r="N3243" s="239"/>
      <c r="O3243" s="225"/>
      <c r="P3243" s="287"/>
      <c r="Q3243" s="258"/>
      <c r="R3243" s="260"/>
      <c r="S3243" s="260"/>
      <c r="T3243" s="260"/>
      <c r="U3243" s="260"/>
      <c r="V3243" s="260"/>
      <c r="W3243" s="260"/>
      <c r="X3243" s="260"/>
      <c r="Y3243" s="260"/>
      <c r="Z3243" s="260"/>
      <c r="AA3243" s="260"/>
      <c r="AB3243" s="260"/>
      <c r="AC3243" s="260"/>
      <c r="AD3243"/>
      <c r="AE3243"/>
      <c r="AF3243"/>
      <c r="AG3243"/>
    </row>
    <row r="3244" spans="14:33" ht="12" hidden="1" customHeight="1">
      <c r="N3244" s="239"/>
      <c r="O3244" s="225"/>
      <c r="P3244" s="287"/>
      <c r="Q3244" s="258"/>
      <c r="R3244" s="260"/>
      <c r="S3244" s="260"/>
      <c r="T3244" s="260"/>
      <c r="U3244" s="260"/>
      <c r="V3244" s="260"/>
      <c r="W3244" s="260"/>
      <c r="X3244" s="260"/>
      <c r="Y3244" s="260"/>
      <c r="Z3244" s="260"/>
      <c r="AA3244" s="260"/>
      <c r="AB3244" s="260"/>
      <c r="AC3244" s="260"/>
      <c r="AD3244"/>
      <c r="AE3244"/>
      <c r="AF3244"/>
      <c r="AG3244"/>
    </row>
    <row r="3245" spans="14:33" ht="12" hidden="1" customHeight="1">
      <c r="N3245" s="239"/>
      <c r="O3245" s="225"/>
      <c r="P3245" s="287"/>
      <c r="Q3245" s="258"/>
      <c r="R3245" s="260"/>
      <c r="S3245" s="260"/>
      <c r="T3245" s="260"/>
      <c r="U3245" s="260"/>
      <c r="V3245" s="260"/>
      <c r="W3245" s="260"/>
      <c r="X3245" s="260"/>
      <c r="Y3245" s="260"/>
      <c r="Z3245" s="260"/>
      <c r="AA3245" s="260"/>
      <c r="AB3245" s="260"/>
      <c r="AC3245" s="260"/>
      <c r="AD3245"/>
      <c r="AE3245"/>
      <c r="AF3245"/>
      <c r="AG3245"/>
    </row>
    <row r="3246" spans="14:33" ht="12" hidden="1" customHeight="1">
      <c r="N3246" s="239"/>
      <c r="O3246" s="225"/>
      <c r="P3246" s="287"/>
      <c r="Q3246" s="258"/>
      <c r="R3246" s="260"/>
      <c r="S3246" s="260"/>
      <c r="T3246" s="260"/>
      <c r="U3246" s="260"/>
      <c r="V3246" s="260"/>
      <c r="W3246" s="260"/>
      <c r="X3246" s="260"/>
      <c r="Y3246" s="260"/>
      <c r="Z3246" s="260"/>
      <c r="AA3246" s="260"/>
      <c r="AB3246" s="260"/>
      <c r="AC3246" s="260"/>
      <c r="AD3246"/>
      <c r="AE3246"/>
      <c r="AF3246"/>
      <c r="AG3246"/>
    </row>
    <row r="3247" spans="14:33" ht="12" hidden="1" customHeight="1">
      <c r="N3247" s="239"/>
      <c r="O3247" s="225"/>
      <c r="P3247" s="287"/>
      <c r="Q3247" s="258"/>
      <c r="R3247" s="260"/>
      <c r="S3247" s="260"/>
      <c r="T3247" s="260"/>
      <c r="U3247" s="260"/>
      <c r="V3247" s="260"/>
      <c r="W3247" s="260"/>
      <c r="X3247" s="260"/>
      <c r="Y3247" s="260"/>
      <c r="Z3247" s="260"/>
      <c r="AA3247" s="260"/>
      <c r="AB3247" s="260"/>
      <c r="AC3247" s="260"/>
      <c r="AD3247"/>
      <c r="AE3247"/>
      <c r="AF3247"/>
      <c r="AG3247"/>
    </row>
    <row r="3248" spans="14:33" ht="12" hidden="1" customHeight="1">
      <c r="N3248" s="239"/>
      <c r="O3248" s="225"/>
      <c r="P3248" s="287"/>
      <c r="Q3248" s="258"/>
      <c r="R3248" s="260"/>
      <c r="S3248" s="260"/>
      <c r="T3248" s="260"/>
      <c r="U3248" s="260"/>
      <c r="V3248" s="260"/>
      <c r="W3248" s="260"/>
      <c r="X3248" s="260"/>
      <c r="Y3248" s="260"/>
      <c r="Z3248" s="260"/>
      <c r="AA3248" s="260"/>
      <c r="AB3248" s="260"/>
      <c r="AC3248" s="260"/>
      <c r="AD3248"/>
      <c r="AE3248"/>
      <c r="AF3248"/>
      <c r="AG3248"/>
    </row>
    <row r="3249" spans="14:33" ht="12" hidden="1" customHeight="1">
      <c r="N3249" s="239"/>
      <c r="O3249" s="225"/>
      <c r="P3249" s="287"/>
      <c r="Q3249" s="258"/>
      <c r="R3249" s="260"/>
      <c r="S3249" s="260"/>
      <c r="T3249" s="260"/>
      <c r="U3249" s="260"/>
      <c r="V3249" s="260"/>
      <c r="W3249" s="260"/>
      <c r="X3249" s="260"/>
      <c r="Y3249" s="260"/>
      <c r="Z3249" s="260"/>
      <c r="AA3249" s="260"/>
      <c r="AB3249" s="260"/>
      <c r="AC3249" s="260"/>
      <c r="AD3249"/>
      <c r="AE3249"/>
      <c r="AF3249"/>
      <c r="AG3249"/>
    </row>
    <row r="3250" spans="14:33" ht="12" hidden="1" customHeight="1">
      <c r="N3250" s="239"/>
      <c r="O3250" s="225"/>
      <c r="P3250" s="287"/>
      <c r="Q3250" s="258"/>
      <c r="R3250" s="260"/>
      <c r="S3250" s="260"/>
      <c r="T3250" s="260"/>
      <c r="U3250" s="260"/>
      <c r="V3250" s="260"/>
      <c r="W3250" s="260"/>
      <c r="X3250" s="260"/>
      <c r="Y3250" s="260"/>
      <c r="Z3250" s="260"/>
      <c r="AA3250" s="260"/>
      <c r="AB3250" s="260"/>
      <c r="AC3250" s="260"/>
      <c r="AD3250"/>
      <c r="AE3250"/>
      <c r="AF3250"/>
      <c r="AG3250"/>
    </row>
    <row r="3251" spans="14:33" ht="12" hidden="1" customHeight="1">
      <c r="N3251" s="239"/>
      <c r="O3251" s="225"/>
      <c r="P3251" s="287"/>
      <c r="Q3251" s="258"/>
      <c r="R3251" s="260"/>
      <c r="S3251" s="260"/>
      <c r="T3251" s="260"/>
      <c r="U3251" s="260"/>
      <c r="V3251" s="260"/>
      <c r="W3251" s="260"/>
      <c r="X3251" s="260"/>
      <c r="Y3251" s="260"/>
      <c r="Z3251" s="260"/>
      <c r="AA3251" s="260"/>
      <c r="AB3251" s="260"/>
      <c r="AC3251" s="260"/>
      <c r="AD3251"/>
      <c r="AE3251"/>
      <c r="AF3251"/>
      <c r="AG3251"/>
    </row>
    <row r="3252" spans="14:33" ht="12" hidden="1" customHeight="1">
      <c r="N3252" s="239"/>
      <c r="O3252" s="225"/>
      <c r="P3252" s="287"/>
      <c r="Q3252" s="258"/>
      <c r="R3252" s="260"/>
      <c r="S3252" s="260"/>
      <c r="T3252" s="260"/>
      <c r="U3252" s="260"/>
      <c r="V3252" s="260"/>
      <c r="W3252" s="260"/>
      <c r="X3252" s="260"/>
      <c r="Y3252" s="260"/>
      <c r="Z3252" s="260"/>
      <c r="AA3252" s="260"/>
      <c r="AB3252" s="260"/>
      <c r="AC3252" s="260"/>
      <c r="AD3252"/>
      <c r="AE3252"/>
      <c r="AF3252"/>
      <c r="AG3252"/>
    </row>
    <row r="3253" spans="14:33" ht="12" hidden="1" customHeight="1">
      <c r="N3253" s="239"/>
      <c r="O3253" s="225"/>
      <c r="P3253" s="287"/>
      <c r="Q3253" s="258"/>
      <c r="R3253" s="260"/>
      <c r="S3253" s="260"/>
      <c r="T3253" s="260"/>
      <c r="U3253" s="260"/>
      <c r="V3253" s="260"/>
      <c r="W3253" s="260"/>
      <c r="X3253" s="260"/>
      <c r="Y3253" s="260"/>
      <c r="Z3253" s="260"/>
      <c r="AA3253" s="260"/>
      <c r="AB3253" s="260"/>
      <c r="AC3253" s="260"/>
      <c r="AD3253"/>
      <c r="AE3253"/>
      <c r="AF3253"/>
      <c r="AG3253"/>
    </row>
    <row r="3254" spans="14:33" ht="12" hidden="1" customHeight="1">
      <c r="N3254" s="239"/>
      <c r="O3254" s="225"/>
      <c r="P3254" s="287"/>
      <c r="Q3254" s="258"/>
      <c r="R3254" s="260"/>
      <c r="S3254" s="260"/>
      <c r="T3254" s="260"/>
      <c r="U3254" s="260"/>
      <c r="V3254" s="260"/>
      <c r="W3254" s="260"/>
      <c r="X3254" s="260"/>
      <c r="Y3254" s="260"/>
      <c r="Z3254" s="260"/>
      <c r="AA3254" s="260"/>
      <c r="AB3254" s="260"/>
      <c r="AC3254" s="260"/>
      <c r="AD3254"/>
      <c r="AE3254"/>
      <c r="AF3254"/>
      <c r="AG3254"/>
    </row>
    <row r="3255" spans="14:33" ht="12" hidden="1" customHeight="1">
      <c r="N3255" s="239"/>
      <c r="O3255" s="225"/>
      <c r="P3255" s="287"/>
      <c r="Q3255" s="258"/>
      <c r="R3255" s="260"/>
      <c r="S3255" s="260"/>
      <c r="T3255" s="260"/>
      <c r="U3255" s="260"/>
      <c r="V3255" s="260"/>
      <c r="W3255" s="260"/>
      <c r="X3255" s="260"/>
      <c r="Y3255" s="260"/>
      <c r="Z3255" s="260"/>
      <c r="AA3255" s="260"/>
      <c r="AB3255" s="260"/>
      <c r="AC3255" s="260"/>
      <c r="AD3255"/>
      <c r="AE3255"/>
      <c r="AF3255"/>
      <c r="AG3255"/>
    </row>
    <row r="3256" spans="14:33" ht="12" hidden="1" customHeight="1">
      <c r="N3256" s="239"/>
      <c r="O3256" s="225"/>
      <c r="P3256" s="287"/>
      <c r="Q3256" s="258"/>
      <c r="R3256" s="260"/>
      <c r="S3256" s="260"/>
      <c r="T3256" s="260"/>
      <c r="U3256" s="260"/>
      <c r="V3256" s="260"/>
      <c r="W3256" s="260"/>
      <c r="X3256" s="260"/>
      <c r="Y3256" s="260"/>
      <c r="Z3256" s="260"/>
      <c r="AA3256" s="260"/>
      <c r="AB3256" s="260"/>
      <c r="AC3256" s="260"/>
      <c r="AD3256"/>
      <c r="AE3256"/>
      <c r="AF3256"/>
      <c r="AG3256"/>
    </row>
    <row r="3257" spans="14:33" ht="12" hidden="1" customHeight="1">
      <c r="N3257" s="239"/>
      <c r="O3257" s="225"/>
      <c r="P3257" s="287"/>
      <c r="Q3257" s="258"/>
      <c r="R3257" s="260"/>
      <c r="S3257" s="260"/>
      <c r="T3257" s="260"/>
      <c r="U3257" s="260"/>
      <c r="V3257" s="260"/>
      <c r="W3257" s="260"/>
      <c r="X3257" s="260"/>
      <c r="Y3257" s="260"/>
      <c r="Z3257" s="260"/>
      <c r="AA3257" s="260"/>
      <c r="AB3257" s="260"/>
      <c r="AC3257" s="260"/>
      <c r="AD3257"/>
      <c r="AE3257"/>
      <c r="AF3257"/>
      <c r="AG3257"/>
    </row>
    <row r="3258" spans="14:33" ht="12" hidden="1" customHeight="1">
      <c r="N3258" s="239"/>
      <c r="O3258" s="225"/>
      <c r="P3258" s="287"/>
      <c r="Q3258" s="258"/>
      <c r="R3258" s="260"/>
      <c r="S3258" s="260"/>
      <c r="T3258" s="260"/>
      <c r="U3258" s="260"/>
      <c r="V3258" s="260"/>
      <c r="W3258" s="260"/>
      <c r="X3258" s="260"/>
      <c r="Y3258" s="260"/>
      <c r="Z3258" s="260"/>
      <c r="AA3258" s="260"/>
      <c r="AB3258" s="260"/>
      <c r="AC3258" s="260"/>
      <c r="AD3258"/>
      <c r="AE3258"/>
      <c r="AF3258"/>
      <c r="AG3258"/>
    </row>
    <row r="3259" spans="14:33" ht="12" hidden="1" customHeight="1">
      <c r="N3259" s="239"/>
      <c r="O3259" s="225"/>
      <c r="P3259" s="287"/>
      <c r="Q3259" s="258"/>
      <c r="R3259" s="260"/>
      <c r="S3259" s="260"/>
      <c r="T3259" s="260"/>
      <c r="U3259" s="260"/>
      <c r="V3259" s="260"/>
      <c r="W3259" s="260"/>
      <c r="X3259" s="260"/>
      <c r="Y3259" s="260"/>
      <c r="Z3259" s="260"/>
      <c r="AA3259" s="260"/>
      <c r="AB3259" s="260"/>
      <c r="AC3259" s="260"/>
      <c r="AD3259"/>
      <c r="AE3259"/>
      <c r="AF3259"/>
      <c r="AG3259"/>
    </row>
    <row r="3260" spans="14:33" ht="12" hidden="1" customHeight="1">
      <c r="N3260" s="239"/>
      <c r="O3260" s="225"/>
      <c r="P3260" s="287"/>
      <c r="Q3260" s="258"/>
      <c r="R3260" s="260"/>
      <c r="S3260" s="260"/>
      <c r="T3260" s="260"/>
      <c r="U3260" s="260"/>
      <c r="V3260" s="260"/>
      <c r="W3260" s="260"/>
      <c r="X3260" s="260"/>
      <c r="Y3260" s="260"/>
      <c r="Z3260" s="260"/>
      <c r="AA3260" s="260"/>
      <c r="AB3260" s="260"/>
      <c r="AC3260" s="260"/>
      <c r="AD3260"/>
      <c r="AE3260"/>
      <c r="AF3260"/>
      <c r="AG3260"/>
    </row>
    <row r="3261" spans="14:33" ht="12" hidden="1" customHeight="1">
      <c r="N3261" s="239"/>
      <c r="O3261" s="225"/>
      <c r="P3261" s="287"/>
      <c r="Q3261" s="258"/>
      <c r="R3261" s="260"/>
      <c r="S3261" s="260"/>
      <c r="T3261" s="260"/>
      <c r="U3261" s="260"/>
      <c r="V3261" s="260"/>
      <c r="W3261" s="260"/>
      <c r="X3261" s="260"/>
      <c r="Y3261" s="260"/>
      <c r="Z3261" s="260"/>
      <c r="AA3261" s="260"/>
      <c r="AB3261" s="260"/>
      <c r="AC3261" s="260"/>
      <c r="AD3261"/>
      <c r="AE3261"/>
      <c r="AF3261"/>
      <c r="AG3261"/>
    </row>
    <row r="3262" spans="14:33" ht="12" hidden="1" customHeight="1">
      <c r="N3262" s="239"/>
      <c r="O3262" s="225"/>
      <c r="P3262" s="287"/>
      <c r="Q3262" s="258"/>
      <c r="R3262" s="260"/>
      <c r="S3262" s="260"/>
      <c r="T3262" s="260"/>
      <c r="U3262" s="260"/>
      <c r="V3262" s="260"/>
      <c r="W3262" s="260"/>
      <c r="X3262" s="260"/>
      <c r="Y3262" s="260"/>
      <c r="Z3262" s="260"/>
      <c r="AA3262" s="260"/>
      <c r="AB3262" s="260"/>
      <c r="AC3262" s="260"/>
      <c r="AD3262"/>
      <c r="AE3262"/>
      <c r="AF3262"/>
      <c r="AG3262"/>
    </row>
    <row r="3263" spans="14:33" ht="12" hidden="1" customHeight="1">
      <c r="N3263" s="239"/>
      <c r="O3263" s="225"/>
      <c r="P3263" s="287"/>
      <c r="Q3263" s="258"/>
      <c r="R3263" s="260"/>
      <c r="S3263" s="260"/>
      <c r="T3263" s="260"/>
      <c r="U3263" s="260"/>
      <c r="V3263" s="260"/>
      <c r="W3263" s="260"/>
      <c r="X3263" s="260"/>
      <c r="Y3263" s="260"/>
      <c r="Z3263" s="260"/>
      <c r="AA3263" s="260"/>
      <c r="AB3263" s="260"/>
      <c r="AC3263" s="260"/>
      <c r="AD3263"/>
      <c r="AE3263"/>
      <c r="AF3263"/>
      <c r="AG3263"/>
    </row>
    <row r="3264" spans="14:33" ht="12" hidden="1" customHeight="1">
      <c r="N3264" s="239"/>
      <c r="O3264" s="225"/>
      <c r="P3264" s="287"/>
      <c r="Q3264" s="258"/>
      <c r="R3264" s="260"/>
      <c r="S3264" s="260"/>
      <c r="T3264" s="260"/>
      <c r="U3264" s="260"/>
      <c r="V3264" s="260"/>
      <c r="W3264" s="260"/>
      <c r="X3264" s="260"/>
      <c r="Y3264" s="260"/>
      <c r="Z3264" s="260"/>
      <c r="AA3264" s="260"/>
      <c r="AB3264" s="260"/>
      <c r="AC3264" s="260"/>
      <c r="AD3264"/>
      <c r="AE3264"/>
      <c r="AF3264"/>
      <c r="AG3264"/>
    </row>
    <row r="3265" spans="14:33" ht="12" hidden="1" customHeight="1">
      <c r="N3265" s="239"/>
      <c r="O3265" s="225"/>
      <c r="P3265" s="287"/>
      <c r="Q3265" s="258"/>
      <c r="R3265" s="260"/>
      <c r="S3265" s="260"/>
      <c r="T3265" s="260"/>
      <c r="U3265" s="260"/>
      <c r="V3265" s="260"/>
      <c r="W3265" s="260"/>
      <c r="X3265" s="260"/>
      <c r="Y3265" s="260"/>
      <c r="Z3265" s="260"/>
      <c r="AA3265" s="260"/>
      <c r="AB3265" s="260"/>
      <c r="AC3265" s="260"/>
      <c r="AD3265"/>
      <c r="AE3265"/>
      <c r="AF3265"/>
      <c r="AG3265"/>
    </row>
    <row r="3266" spans="14:33" ht="12" hidden="1" customHeight="1">
      <c r="N3266" s="239"/>
      <c r="O3266" s="225"/>
      <c r="P3266" s="287"/>
      <c r="Q3266" s="258"/>
      <c r="R3266" s="260"/>
      <c r="S3266" s="260"/>
      <c r="T3266" s="260"/>
      <c r="U3266" s="260"/>
      <c r="V3266" s="260"/>
      <c r="W3266" s="260"/>
      <c r="X3266" s="260"/>
      <c r="Y3266" s="260"/>
      <c r="Z3266" s="260"/>
      <c r="AA3266" s="260"/>
      <c r="AB3266" s="260"/>
      <c r="AC3266" s="260"/>
      <c r="AD3266"/>
      <c r="AE3266"/>
      <c r="AF3266"/>
      <c r="AG3266"/>
    </row>
    <row r="3267" spans="14:33" ht="12" hidden="1" customHeight="1">
      <c r="N3267" s="239"/>
      <c r="O3267" s="225"/>
      <c r="P3267" s="287"/>
      <c r="Q3267" s="258"/>
      <c r="R3267" s="260"/>
      <c r="S3267" s="260"/>
      <c r="T3267" s="260"/>
      <c r="U3267" s="260"/>
      <c r="V3267" s="260"/>
      <c r="W3267" s="260"/>
      <c r="X3267" s="260"/>
      <c r="Y3267" s="260"/>
      <c r="Z3267" s="260"/>
      <c r="AA3267" s="260"/>
      <c r="AB3267" s="260"/>
      <c r="AC3267" s="260"/>
      <c r="AD3267"/>
      <c r="AE3267"/>
      <c r="AF3267"/>
      <c r="AG3267"/>
    </row>
    <row r="3268" spans="14:33" ht="12" hidden="1" customHeight="1">
      <c r="N3268" s="239"/>
      <c r="O3268" s="225"/>
      <c r="P3268" s="287"/>
      <c r="Q3268" s="258"/>
      <c r="R3268" s="260"/>
      <c r="S3268" s="260"/>
      <c r="T3268" s="260"/>
      <c r="U3268" s="260"/>
      <c r="V3268" s="260"/>
      <c r="W3268" s="260"/>
      <c r="X3268" s="260"/>
      <c r="Y3268" s="260"/>
      <c r="Z3268" s="260"/>
      <c r="AA3268" s="260"/>
      <c r="AB3268" s="260"/>
      <c r="AC3268" s="260"/>
      <c r="AD3268"/>
      <c r="AE3268"/>
      <c r="AF3268"/>
      <c r="AG3268"/>
    </row>
    <row r="3269" spans="14:33" ht="12" hidden="1" customHeight="1">
      <c r="N3269" s="239"/>
      <c r="O3269" s="225"/>
      <c r="P3269" s="287"/>
      <c r="Q3269" s="258"/>
      <c r="R3269" s="260"/>
      <c r="S3269" s="260"/>
      <c r="T3269" s="260"/>
      <c r="U3269" s="260"/>
      <c r="V3269" s="260"/>
      <c r="W3269" s="260"/>
      <c r="X3269" s="260"/>
      <c r="Y3269" s="260"/>
      <c r="Z3269" s="260"/>
      <c r="AA3269" s="260"/>
      <c r="AB3269" s="260"/>
      <c r="AC3269" s="260"/>
      <c r="AD3269"/>
      <c r="AE3269"/>
      <c r="AF3269"/>
      <c r="AG3269"/>
    </row>
    <row r="3270" spans="14:33" ht="12" hidden="1" customHeight="1">
      <c r="N3270" s="239"/>
      <c r="O3270" s="225"/>
      <c r="P3270" s="287"/>
      <c r="Q3270" s="258"/>
      <c r="R3270" s="260"/>
      <c r="S3270" s="260"/>
      <c r="T3270" s="260"/>
      <c r="U3270" s="260"/>
      <c r="V3270" s="260"/>
      <c r="W3270" s="260"/>
      <c r="X3270" s="260"/>
      <c r="Y3270" s="260"/>
      <c r="Z3270" s="260"/>
      <c r="AA3270" s="260"/>
      <c r="AB3270" s="260"/>
      <c r="AC3270" s="260"/>
      <c r="AD3270"/>
      <c r="AE3270"/>
      <c r="AF3270"/>
      <c r="AG3270"/>
    </row>
    <row r="3271" spans="14:33" ht="12" hidden="1" customHeight="1">
      <c r="N3271" s="239"/>
      <c r="O3271" s="225"/>
      <c r="P3271" s="287"/>
      <c r="Q3271" s="258"/>
      <c r="R3271" s="260"/>
      <c r="S3271" s="260"/>
      <c r="T3271" s="260"/>
      <c r="U3271" s="260"/>
      <c r="V3271" s="260"/>
      <c r="W3271" s="260"/>
      <c r="X3271" s="260"/>
      <c r="Y3271" s="260"/>
      <c r="Z3271" s="260"/>
      <c r="AA3271" s="260"/>
      <c r="AB3271" s="260"/>
      <c r="AC3271" s="260"/>
      <c r="AD3271"/>
      <c r="AE3271"/>
      <c r="AF3271"/>
      <c r="AG3271"/>
    </row>
    <row r="3272" spans="14:33" ht="12" hidden="1" customHeight="1">
      <c r="N3272" s="239"/>
      <c r="O3272" s="225"/>
      <c r="P3272" s="287"/>
      <c r="Q3272" s="258"/>
      <c r="R3272" s="260"/>
      <c r="S3272" s="260"/>
      <c r="T3272" s="260"/>
      <c r="U3272" s="260"/>
      <c r="V3272" s="260"/>
      <c r="W3272" s="260"/>
      <c r="X3272" s="260"/>
      <c r="Y3272" s="260"/>
      <c r="Z3272" s="260"/>
      <c r="AA3272" s="260"/>
      <c r="AB3272" s="260"/>
      <c r="AC3272" s="260"/>
      <c r="AD3272"/>
      <c r="AE3272"/>
      <c r="AF3272"/>
      <c r="AG3272"/>
    </row>
    <row r="3273" spans="14:33" ht="12" hidden="1" customHeight="1">
      <c r="N3273" s="239"/>
      <c r="O3273" s="225"/>
      <c r="P3273" s="287"/>
      <c r="Q3273" s="258"/>
      <c r="R3273" s="260"/>
      <c r="S3273" s="260"/>
      <c r="T3273" s="260"/>
      <c r="U3273" s="260"/>
      <c r="V3273" s="260"/>
      <c r="W3273" s="260"/>
      <c r="X3273" s="260"/>
      <c r="Y3273" s="260"/>
      <c r="Z3273" s="260"/>
      <c r="AA3273" s="260"/>
      <c r="AB3273" s="260"/>
      <c r="AC3273" s="260"/>
      <c r="AD3273"/>
      <c r="AE3273"/>
      <c r="AF3273"/>
      <c r="AG3273"/>
    </row>
    <row r="3274" spans="14:33" ht="12" hidden="1" customHeight="1">
      <c r="N3274" s="239"/>
      <c r="O3274" s="225"/>
      <c r="P3274" s="287"/>
      <c r="Q3274" s="258"/>
      <c r="R3274" s="260"/>
      <c r="S3274" s="260"/>
      <c r="T3274" s="260"/>
      <c r="U3274" s="260"/>
      <c r="V3274" s="260"/>
      <c r="W3274" s="260"/>
      <c r="X3274" s="260"/>
      <c r="Y3274" s="260"/>
      <c r="Z3274" s="260"/>
      <c r="AA3274" s="260"/>
      <c r="AB3274" s="260"/>
      <c r="AC3274" s="260"/>
      <c r="AD3274"/>
      <c r="AE3274"/>
      <c r="AF3274"/>
      <c r="AG3274"/>
    </row>
    <row r="3275" spans="14:33" ht="12" hidden="1" customHeight="1">
      <c r="N3275" s="239"/>
      <c r="O3275" s="225"/>
      <c r="P3275" s="287"/>
      <c r="Q3275" s="258"/>
      <c r="R3275" s="260"/>
      <c r="S3275" s="260"/>
      <c r="T3275" s="260"/>
      <c r="U3275" s="260"/>
      <c r="V3275" s="260"/>
      <c r="W3275" s="260"/>
      <c r="X3275" s="260"/>
      <c r="Y3275" s="260"/>
      <c r="Z3275" s="260"/>
      <c r="AA3275" s="260"/>
      <c r="AB3275" s="260"/>
      <c r="AC3275" s="260"/>
      <c r="AD3275"/>
      <c r="AE3275"/>
      <c r="AF3275"/>
      <c r="AG3275"/>
    </row>
    <row r="3276" spans="14:33" ht="12" hidden="1" customHeight="1">
      <c r="N3276" s="239"/>
      <c r="O3276" s="225"/>
      <c r="P3276" s="287"/>
      <c r="Q3276" s="258"/>
      <c r="R3276" s="260"/>
      <c r="S3276" s="260"/>
      <c r="T3276" s="260"/>
      <c r="U3276" s="260"/>
      <c r="V3276" s="260"/>
      <c r="W3276" s="260"/>
      <c r="X3276" s="260"/>
      <c r="Y3276" s="260"/>
      <c r="Z3276" s="260"/>
      <c r="AA3276" s="260"/>
      <c r="AB3276" s="260"/>
      <c r="AC3276" s="260"/>
      <c r="AD3276"/>
      <c r="AE3276"/>
      <c r="AF3276"/>
      <c r="AG3276"/>
    </row>
    <row r="3277" spans="14:33" ht="12" hidden="1" customHeight="1">
      <c r="N3277" s="239"/>
      <c r="O3277" s="225"/>
      <c r="P3277" s="287"/>
      <c r="Q3277" s="258"/>
      <c r="R3277" s="260"/>
      <c r="S3277" s="260"/>
      <c r="T3277" s="260"/>
      <c r="U3277" s="260"/>
      <c r="V3277" s="260"/>
      <c r="W3277" s="260"/>
      <c r="X3277" s="260"/>
      <c r="Y3277" s="260"/>
      <c r="Z3277" s="260"/>
      <c r="AA3277" s="260"/>
      <c r="AB3277" s="260"/>
      <c r="AC3277" s="260"/>
      <c r="AD3277"/>
      <c r="AE3277"/>
      <c r="AF3277"/>
      <c r="AG3277"/>
    </row>
    <row r="3278" spans="14:33" ht="12" hidden="1" customHeight="1">
      <c r="N3278" s="239"/>
      <c r="O3278" s="225"/>
      <c r="P3278" s="287"/>
      <c r="Q3278" s="258"/>
      <c r="R3278" s="260"/>
      <c r="S3278" s="260"/>
      <c r="T3278" s="260"/>
      <c r="U3278" s="260"/>
      <c r="V3278" s="260"/>
      <c r="W3278" s="260"/>
      <c r="X3278" s="260"/>
      <c r="Y3278" s="260"/>
      <c r="Z3278" s="260"/>
      <c r="AA3278" s="260"/>
      <c r="AB3278" s="260"/>
      <c r="AC3278" s="260"/>
      <c r="AD3278"/>
      <c r="AE3278"/>
      <c r="AF3278"/>
      <c r="AG3278"/>
    </row>
    <row r="3279" spans="14:33" ht="12" hidden="1" customHeight="1">
      <c r="N3279" s="239"/>
      <c r="O3279" s="225"/>
      <c r="P3279" s="287"/>
      <c r="Q3279" s="258"/>
      <c r="R3279" s="260"/>
      <c r="S3279" s="260"/>
      <c r="T3279" s="260"/>
      <c r="U3279" s="260"/>
      <c r="V3279" s="260"/>
      <c r="W3279" s="260"/>
      <c r="X3279" s="260"/>
      <c r="Y3279" s="260"/>
      <c r="Z3279" s="260"/>
      <c r="AA3279" s="260"/>
      <c r="AB3279" s="260"/>
      <c r="AC3279" s="260"/>
      <c r="AD3279"/>
      <c r="AE3279"/>
      <c r="AF3279"/>
      <c r="AG3279"/>
    </row>
    <row r="3280" spans="14:33" ht="12" hidden="1" customHeight="1">
      <c r="N3280" s="239"/>
      <c r="O3280" s="225"/>
      <c r="P3280" s="287"/>
      <c r="Q3280" s="258"/>
      <c r="R3280" s="260"/>
      <c r="S3280" s="260"/>
      <c r="T3280" s="260"/>
      <c r="U3280" s="260"/>
      <c r="V3280" s="260"/>
      <c r="W3280" s="260"/>
      <c r="X3280" s="260"/>
      <c r="Y3280" s="260"/>
      <c r="Z3280" s="260"/>
      <c r="AA3280" s="260"/>
      <c r="AB3280" s="260"/>
      <c r="AC3280" s="260"/>
      <c r="AD3280"/>
      <c r="AE3280"/>
      <c r="AF3280"/>
      <c r="AG3280"/>
    </row>
    <row r="3281" spans="14:33" ht="12" hidden="1" customHeight="1">
      <c r="N3281" s="239"/>
      <c r="O3281" s="225"/>
      <c r="P3281" s="287"/>
      <c r="Q3281" s="258"/>
      <c r="R3281" s="260"/>
      <c r="S3281" s="260"/>
      <c r="T3281" s="260"/>
      <c r="U3281" s="260"/>
      <c r="V3281" s="260"/>
      <c r="W3281" s="260"/>
      <c r="X3281" s="260"/>
      <c r="Y3281" s="260"/>
      <c r="Z3281" s="260"/>
      <c r="AA3281" s="260"/>
      <c r="AB3281" s="260"/>
      <c r="AC3281" s="260"/>
      <c r="AD3281"/>
      <c r="AE3281"/>
      <c r="AF3281"/>
      <c r="AG3281"/>
    </row>
    <row r="3282" spans="14:33" ht="12" hidden="1" customHeight="1">
      <c r="N3282" s="239"/>
      <c r="O3282" s="225"/>
      <c r="P3282" s="287"/>
      <c r="Q3282" s="258"/>
      <c r="R3282" s="260"/>
      <c r="S3282" s="260"/>
      <c r="T3282" s="260"/>
      <c r="U3282" s="260"/>
      <c r="V3282" s="260"/>
      <c r="W3282" s="260"/>
      <c r="X3282" s="260"/>
      <c r="Y3282" s="260"/>
      <c r="Z3282" s="260"/>
      <c r="AA3282" s="260"/>
      <c r="AB3282" s="260"/>
      <c r="AC3282" s="260"/>
      <c r="AD3282"/>
      <c r="AE3282"/>
      <c r="AF3282"/>
      <c r="AG3282"/>
    </row>
    <row r="3283" spans="14:33" ht="12" hidden="1" customHeight="1">
      <c r="N3283" s="239"/>
      <c r="O3283" s="225"/>
      <c r="P3283" s="287"/>
      <c r="Q3283" s="258"/>
      <c r="R3283" s="260"/>
      <c r="S3283" s="260"/>
      <c r="T3283" s="260"/>
      <c r="U3283" s="260"/>
      <c r="V3283" s="260"/>
      <c r="W3283" s="260"/>
      <c r="X3283" s="260"/>
      <c r="Y3283" s="260"/>
      <c r="Z3283" s="260"/>
      <c r="AA3283" s="260"/>
      <c r="AB3283" s="260"/>
      <c r="AC3283" s="260"/>
      <c r="AD3283"/>
      <c r="AE3283"/>
      <c r="AF3283"/>
      <c r="AG3283"/>
    </row>
    <row r="3284" spans="14:33" ht="12" hidden="1" customHeight="1">
      <c r="N3284" s="239"/>
      <c r="O3284" s="225"/>
      <c r="P3284" s="287"/>
      <c r="Q3284" s="258"/>
      <c r="R3284" s="260"/>
      <c r="S3284" s="260"/>
      <c r="T3284" s="260"/>
      <c r="U3284" s="260"/>
      <c r="V3284" s="260"/>
      <c r="W3284" s="260"/>
      <c r="X3284" s="260"/>
      <c r="Y3284" s="260"/>
      <c r="Z3284" s="260"/>
      <c r="AA3284" s="260"/>
      <c r="AB3284" s="260"/>
      <c r="AC3284" s="260"/>
      <c r="AD3284"/>
      <c r="AE3284"/>
      <c r="AF3284"/>
      <c r="AG3284"/>
    </row>
    <row r="3285" spans="14:33" ht="12" hidden="1" customHeight="1">
      <c r="N3285" s="239"/>
      <c r="O3285" s="225"/>
      <c r="P3285" s="287"/>
      <c r="Q3285" s="258"/>
      <c r="R3285" s="260"/>
      <c r="S3285" s="260"/>
      <c r="T3285" s="260"/>
      <c r="U3285" s="260"/>
      <c r="V3285" s="260"/>
      <c r="W3285" s="260"/>
      <c r="X3285" s="260"/>
      <c r="Y3285" s="260"/>
      <c r="Z3285" s="260"/>
      <c r="AA3285" s="260"/>
      <c r="AB3285" s="260"/>
      <c r="AC3285" s="260"/>
      <c r="AD3285"/>
      <c r="AE3285"/>
      <c r="AF3285"/>
      <c r="AG3285"/>
    </row>
    <row r="3286" spans="14:33" ht="12" hidden="1" customHeight="1">
      <c r="N3286" s="239"/>
      <c r="O3286" s="225"/>
      <c r="P3286" s="287"/>
      <c r="Q3286" s="258"/>
      <c r="R3286" s="260"/>
      <c r="S3286" s="260"/>
      <c r="T3286" s="260"/>
      <c r="U3286" s="260"/>
      <c r="V3286" s="260"/>
      <c r="W3286" s="260"/>
      <c r="X3286" s="260"/>
      <c r="Y3286" s="260"/>
      <c r="Z3286" s="260"/>
      <c r="AA3286" s="260"/>
      <c r="AB3286" s="260"/>
      <c r="AC3286" s="260"/>
      <c r="AD3286"/>
      <c r="AE3286"/>
      <c r="AF3286"/>
      <c r="AG3286"/>
    </row>
    <row r="3287" spans="14:33" ht="12" hidden="1" customHeight="1">
      <c r="N3287" s="239"/>
      <c r="O3287" s="225"/>
      <c r="P3287" s="287"/>
      <c r="Q3287" s="258"/>
      <c r="R3287" s="260"/>
      <c r="S3287" s="260"/>
      <c r="T3287" s="260"/>
      <c r="U3287" s="260"/>
      <c r="V3287" s="260"/>
      <c r="W3287" s="260"/>
      <c r="X3287" s="260"/>
      <c r="Y3287" s="260"/>
      <c r="Z3287" s="260"/>
      <c r="AA3287" s="260"/>
      <c r="AB3287" s="260"/>
      <c r="AC3287" s="260"/>
      <c r="AD3287"/>
      <c r="AE3287"/>
      <c r="AF3287"/>
      <c r="AG3287"/>
    </row>
    <row r="3288" spans="14:33" ht="12" hidden="1" customHeight="1">
      <c r="N3288" s="239"/>
      <c r="O3288" s="225"/>
      <c r="P3288" s="287"/>
      <c r="Q3288" s="258"/>
      <c r="R3288" s="260"/>
      <c r="S3288" s="260"/>
      <c r="T3288" s="260"/>
      <c r="U3288" s="260"/>
      <c r="V3288" s="260"/>
      <c r="W3288" s="260"/>
      <c r="X3288" s="260"/>
      <c r="Y3288" s="260"/>
      <c r="Z3288" s="260"/>
      <c r="AA3288" s="260"/>
      <c r="AB3288" s="260"/>
      <c r="AC3288" s="260"/>
      <c r="AD3288"/>
      <c r="AE3288"/>
      <c r="AF3288"/>
      <c r="AG3288"/>
    </row>
    <row r="3289" spans="14:33" ht="12" hidden="1" customHeight="1">
      <c r="N3289" s="239"/>
      <c r="O3289" s="225"/>
      <c r="P3289" s="287"/>
      <c r="Q3289" s="258"/>
      <c r="R3289" s="260"/>
      <c r="S3289" s="260"/>
      <c r="T3289" s="260"/>
      <c r="U3289" s="260"/>
      <c r="V3289" s="260"/>
      <c r="W3289" s="260"/>
      <c r="X3289" s="260"/>
      <c r="Y3289" s="260"/>
      <c r="Z3289" s="260"/>
      <c r="AA3289" s="260"/>
      <c r="AB3289" s="260"/>
      <c r="AC3289" s="260"/>
      <c r="AD3289"/>
      <c r="AE3289"/>
      <c r="AF3289"/>
      <c r="AG3289"/>
    </row>
    <row r="3290" spans="14:33" ht="12" hidden="1" customHeight="1">
      <c r="N3290" s="239"/>
      <c r="O3290" s="225"/>
      <c r="P3290" s="287"/>
      <c r="Q3290" s="258"/>
      <c r="R3290" s="260"/>
      <c r="S3290" s="260"/>
      <c r="T3290" s="260"/>
      <c r="U3290" s="260"/>
      <c r="V3290" s="260"/>
      <c r="W3290" s="260"/>
      <c r="X3290" s="260"/>
      <c r="Y3290" s="260"/>
      <c r="Z3290" s="260"/>
      <c r="AA3290" s="260"/>
      <c r="AB3290" s="260"/>
      <c r="AC3290" s="260"/>
      <c r="AD3290"/>
      <c r="AE3290"/>
      <c r="AF3290"/>
      <c r="AG3290"/>
    </row>
    <row r="3291" spans="14:33" ht="12" hidden="1" customHeight="1">
      <c r="N3291" s="239"/>
      <c r="O3291" s="225"/>
      <c r="P3291" s="287"/>
      <c r="Q3291" s="258"/>
      <c r="R3291" s="260"/>
      <c r="S3291" s="260"/>
      <c r="T3291" s="260"/>
      <c r="U3291" s="260"/>
      <c r="V3291" s="260"/>
      <c r="W3291" s="260"/>
      <c r="X3291" s="260"/>
      <c r="Y3291" s="260"/>
      <c r="Z3291" s="260"/>
      <c r="AA3291" s="260"/>
      <c r="AB3291" s="260"/>
      <c r="AC3291" s="260"/>
      <c r="AD3291"/>
      <c r="AE3291"/>
      <c r="AF3291"/>
      <c r="AG3291"/>
    </row>
    <row r="3292" spans="14:33" ht="12" hidden="1" customHeight="1">
      <c r="N3292" s="239"/>
      <c r="O3292" s="225"/>
      <c r="P3292" s="287"/>
      <c r="Q3292" s="258"/>
      <c r="R3292" s="260"/>
      <c r="S3292" s="260"/>
      <c r="T3292" s="260"/>
      <c r="U3292" s="260"/>
      <c r="V3292" s="260"/>
      <c r="W3292" s="260"/>
      <c r="X3292" s="260"/>
      <c r="Y3292" s="260"/>
      <c r="Z3292" s="260"/>
      <c r="AA3292" s="260"/>
      <c r="AB3292" s="260"/>
      <c r="AC3292" s="260"/>
      <c r="AD3292"/>
      <c r="AE3292"/>
      <c r="AF3292"/>
      <c r="AG3292"/>
    </row>
    <row r="3293" spans="14:33" ht="12" hidden="1" customHeight="1">
      <c r="N3293" s="239"/>
      <c r="O3293" s="225"/>
      <c r="P3293" s="287"/>
      <c r="Q3293" s="258"/>
      <c r="R3293" s="260"/>
      <c r="S3293" s="260"/>
      <c r="T3293" s="260"/>
      <c r="U3293" s="260"/>
      <c r="V3293" s="260"/>
      <c r="W3293" s="260"/>
      <c r="X3293" s="260"/>
      <c r="Y3293" s="260"/>
      <c r="Z3293" s="260"/>
      <c r="AA3293" s="260"/>
      <c r="AB3293" s="260"/>
      <c r="AC3293" s="260"/>
      <c r="AD3293"/>
      <c r="AE3293"/>
      <c r="AF3293"/>
      <c r="AG3293"/>
    </row>
    <row r="3294" spans="14:33" ht="12" hidden="1" customHeight="1">
      <c r="N3294" s="239"/>
      <c r="O3294" s="225"/>
      <c r="P3294" s="287"/>
      <c r="Q3294" s="258"/>
      <c r="R3294" s="260"/>
      <c r="S3294" s="260"/>
      <c r="T3294" s="260"/>
      <c r="U3294" s="260"/>
      <c r="V3294" s="260"/>
      <c r="W3294" s="260"/>
      <c r="X3294" s="260"/>
      <c r="Y3294" s="260"/>
      <c r="Z3294" s="260"/>
      <c r="AA3294" s="260"/>
      <c r="AB3294" s="260"/>
      <c r="AC3294" s="260"/>
      <c r="AD3294"/>
      <c r="AE3294"/>
      <c r="AF3294"/>
      <c r="AG3294"/>
    </row>
    <row r="3295" spans="14:33" ht="12" hidden="1" customHeight="1">
      <c r="N3295" s="239"/>
      <c r="O3295" s="225"/>
      <c r="P3295" s="287"/>
      <c r="Q3295" s="258"/>
      <c r="R3295" s="260"/>
      <c r="S3295" s="260"/>
      <c r="T3295" s="260"/>
      <c r="U3295" s="260"/>
      <c r="V3295" s="260"/>
      <c r="W3295" s="260"/>
      <c r="X3295" s="260"/>
      <c r="Y3295" s="260"/>
      <c r="Z3295" s="260"/>
      <c r="AA3295" s="260"/>
      <c r="AB3295" s="260"/>
      <c r="AC3295" s="260"/>
      <c r="AD3295"/>
      <c r="AE3295"/>
      <c r="AF3295"/>
      <c r="AG3295"/>
    </row>
    <row r="3296" spans="14:33" ht="12" hidden="1" customHeight="1">
      <c r="N3296" s="239"/>
      <c r="O3296" s="225"/>
      <c r="P3296" s="287"/>
      <c r="Q3296" s="258"/>
      <c r="R3296" s="260"/>
      <c r="S3296" s="260"/>
      <c r="T3296" s="260"/>
      <c r="U3296" s="260"/>
      <c r="V3296" s="260"/>
      <c r="W3296" s="260"/>
      <c r="X3296" s="260"/>
      <c r="Y3296" s="260"/>
      <c r="Z3296" s="260"/>
      <c r="AA3296" s="260"/>
      <c r="AB3296" s="260"/>
      <c r="AC3296" s="260"/>
      <c r="AD3296"/>
      <c r="AE3296"/>
      <c r="AF3296"/>
      <c r="AG3296"/>
    </row>
    <row r="3297" spans="14:33" ht="12" hidden="1" customHeight="1">
      <c r="N3297" s="239"/>
      <c r="O3297" s="225"/>
      <c r="P3297" s="287"/>
      <c r="Q3297" s="258"/>
      <c r="R3297" s="260"/>
      <c r="S3297" s="260"/>
      <c r="T3297" s="260"/>
      <c r="U3297" s="260"/>
      <c r="V3297" s="260"/>
      <c r="W3297" s="260"/>
      <c r="X3297" s="260"/>
      <c r="Y3297" s="260"/>
      <c r="Z3297" s="260"/>
      <c r="AA3297" s="260"/>
      <c r="AB3297" s="260"/>
      <c r="AC3297" s="260"/>
      <c r="AD3297"/>
      <c r="AE3297"/>
      <c r="AF3297"/>
      <c r="AG3297"/>
    </row>
    <row r="3298" spans="14:33" ht="12" hidden="1" customHeight="1">
      <c r="N3298" s="239"/>
      <c r="O3298" s="225"/>
      <c r="P3298" s="287"/>
      <c r="Q3298" s="258"/>
      <c r="R3298" s="260"/>
      <c r="S3298" s="260"/>
      <c r="T3298" s="260"/>
      <c r="U3298" s="260"/>
      <c r="V3298" s="260"/>
      <c r="W3298" s="260"/>
      <c r="X3298" s="260"/>
      <c r="Y3298" s="260"/>
      <c r="Z3298" s="260"/>
      <c r="AA3298" s="260"/>
      <c r="AB3298" s="260"/>
      <c r="AC3298" s="260"/>
      <c r="AD3298"/>
      <c r="AE3298"/>
      <c r="AF3298"/>
      <c r="AG3298"/>
    </row>
    <row r="3299" spans="14:33" ht="12" hidden="1" customHeight="1">
      <c r="N3299" s="239"/>
      <c r="O3299" s="225"/>
      <c r="P3299" s="287"/>
      <c r="Q3299" s="258"/>
      <c r="R3299" s="260"/>
      <c r="S3299" s="260"/>
      <c r="T3299" s="260"/>
      <c r="U3299" s="260"/>
      <c r="V3299" s="260"/>
      <c r="W3299" s="260"/>
      <c r="X3299" s="260"/>
      <c r="Y3299" s="260"/>
      <c r="Z3299" s="260"/>
      <c r="AA3299" s="260"/>
      <c r="AB3299" s="260"/>
      <c r="AC3299" s="260"/>
      <c r="AD3299"/>
      <c r="AE3299"/>
      <c r="AF3299"/>
      <c r="AG3299"/>
    </row>
    <row r="3300" spans="14:33" ht="12" hidden="1" customHeight="1">
      <c r="N3300" s="239"/>
      <c r="O3300" s="225"/>
      <c r="P3300" s="287"/>
      <c r="Q3300" s="258"/>
      <c r="R3300" s="260"/>
      <c r="S3300" s="260"/>
      <c r="T3300" s="260"/>
      <c r="U3300" s="260"/>
      <c r="V3300" s="260"/>
      <c r="W3300" s="260"/>
      <c r="X3300" s="260"/>
      <c r="Y3300" s="260"/>
      <c r="Z3300" s="260"/>
      <c r="AA3300" s="260"/>
      <c r="AB3300" s="260"/>
      <c r="AC3300" s="260"/>
      <c r="AD3300"/>
      <c r="AE3300"/>
      <c r="AF3300"/>
      <c r="AG3300"/>
    </row>
    <row r="3301" spans="14:33" ht="12" hidden="1" customHeight="1">
      <c r="N3301" s="239"/>
      <c r="O3301" s="225"/>
      <c r="P3301" s="287"/>
      <c r="Q3301" s="258"/>
      <c r="R3301" s="260"/>
      <c r="S3301" s="260"/>
      <c r="T3301" s="260"/>
      <c r="U3301" s="260"/>
      <c r="V3301" s="260"/>
      <c r="W3301" s="260"/>
      <c r="X3301" s="260"/>
      <c r="Y3301" s="260"/>
      <c r="Z3301" s="260"/>
      <c r="AA3301" s="260"/>
      <c r="AB3301" s="260"/>
      <c r="AC3301" s="260"/>
      <c r="AD3301"/>
      <c r="AE3301"/>
      <c r="AF3301"/>
      <c r="AG3301"/>
    </row>
    <row r="3302" spans="14:33" ht="12" hidden="1" customHeight="1">
      <c r="N3302" s="239"/>
      <c r="O3302" s="225"/>
      <c r="P3302" s="287"/>
      <c r="Q3302" s="258"/>
      <c r="R3302" s="260"/>
      <c r="S3302" s="260"/>
      <c r="T3302" s="260"/>
      <c r="U3302" s="260"/>
      <c r="V3302" s="260"/>
      <c r="W3302" s="260"/>
      <c r="X3302" s="260"/>
      <c r="Y3302" s="260"/>
      <c r="Z3302" s="260"/>
      <c r="AA3302" s="260"/>
      <c r="AB3302" s="260"/>
      <c r="AC3302" s="260"/>
      <c r="AD3302"/>
      <c r="AE3302"/>
      <c r="AF3302"/>
      <c r="AG3302"/>
    </row>
    <row r="3303" spans="14:33" ht="12" hidden="1" customHeight="1">
      <c r="N3303" s="239"/>
      <c r="O3303" s="225"/>
      <c r="P3303" s="287"/>
      <c r="Q3303" s="258"/>
      <c r="R3303" s="260"/>
      <c r="S3303" s="260"/>
      <c r="T3303" s="260"/>
      <c r="U3303" s="260"/>
      <c r="V3303" s="260"/>
      <c r="W3303" s="260"/>
      <c r="X3303" s="260"/>
      <c r="Y3303" s="260"/>
      <c r="Z3303" s="260"/>
      <c r="AA3303" s="260"/>
      <c r="AB3303" s="260"/>
      <c r="AC3303" s="260"/>
      <c r="AD3303"/>
      <c r="AE3303"/>
      <c r="AF3303"/>
      <c r="AG3303"/>
    </row>
    <row r="3304" spans="14:33" ht="12" hidden="1" customHeight="1">
      <c r="N3304" s="239"/>
      <c r="O3304" s="225"/>
      <c r="P3304" s="287"/>
      <c r="Q3304" s="258"/>
      <c r="R3304" s="260"/>
      <c r="S3304" s="260"/>
      <c r="T3304" s="260"/>
      <c r="U3304" s="260"/>
      <c r="V3304" s="260"/>
      <c r="W3304" s="260"/>
      <c r="X3304" s="260"/>
      <c r="Y3304" s="260"/>
      <c r="Z3304" s="260"/>
      <c r="AA3304" s="260"/>
      <c r="AB3304" s="260"/>
      <c r="AC3304" s="260"/>
      <c r="AD3304"/>
      <c r="AE3304"/>
      <c r="AF3304"/>
      <c r="AG3304"/>
    </row>
    <row r="3305" spans="14:33" ht="12" hidden="1" customHeight="1">
      <c r="N3305" s="239"/>
      <c r="O3305" s="225"/>
      <c r="P3305" s="287"/>
      <c r="Q3305" s="258"/>
      <c r="R3305" s="260"/>
      <c r="S3305" s="260"/>
      <c r="T3305" s="260"/>
      <c r="U3305" s="260"/>
      <c r="V3305" s="260"/>
      <c r="W3305" s="260"/>
      <c r="X3305" s="260"/>
      <c r="Y3305" s="260"/>
      <c r="Z3305" s="260"/>
      <c r="AA3305" s="260"/>
      <c r="AB3305" s="260"/>
      <c r="AC3305" s="260"/>
      <c r="AD3305"/>
      <c r="AE3305"/>
      <c r="AF3305"/>
      <c r="AG3305"/>
    </row>
    <row r="3306" spans="14:33" ht="12" hidden="1" customHeight="1">
      <c r="N3306" s="239"/>
      <c r="O3306" s="225"/>
      <c r="P3306" s="287"/>
      <c r="Q3306" s="258"/>
      <c r="R3306" s="260"/>
      <c r="S3306" s="260"/>
      <c r="T3306" s="260"/>
      <c r="U3306" s="260"/>
      <c r="V3306" s="260"/>
      <c r="W3306" s="260"/>
      <c r="X3306" s="260"/>
      <c r="Y3306" s="260"/>
      <c r="Z3306" s="260"/>
      <c r="AA3306" s="260"/>
      <c r="AB3306" s="260"/>
      <c r="AC3306" s="260"/>
      <c r="AD3306"/>
      <c r="AE3306"/>
      <c r="AF3306"/>
      <c r="AG3306"/>
    </row>
    <row r="3307" spans="14:33" ht="12" hidden="1" customHeight="1">
      <c r="N3307" s="239"/>
      <c r="O3307" s="225"/>
      <c r="P3307" s="287"/>
      <c r="Q3307" s="258"/>
      <c r="R3307" s="260"/>
      <c r="S3307" s="260"/>
      <c r="T3307" s="260"/>
      <c r="U3307" s="260"/>
      <c r="V3307" s="260"/>
      <c r="W3307" s="260"/>
      <c r="X3307" s="260"/>
      <c r="Y3307" s="260"/>
      <c r="Z3307" s="260"/>
      <c r="AA3307" s="260"/>
      <c r="AB3307" s="260"/>
      <c r="AC3307" s="260"/>
      <c r="AD3307"/>
      <c r="AE3307"/>
      <c r="AF3307"/>
      <c r="AG3307"/>
    </row>
    <row r="3308" spans="14:33" ht="12" hidden="1" customHeight="1">
      <c r="N3308" s="239"/>
      <c r="O3308" s="225"/>
      <c r="P3308" s="287"/>
      <c r="Q3308" s="258"/>
      <c r="R3308" s="260"/>
      <c r="S3308" s="260"/>
      <c r="T3308" s="260"/>
      <c r="U3308" s="260"/>
      <c r="V3308" s="260"/>
      <c r="W3308" s="260"/>
      <c r="X3308" s="260"/>
      <c r="Y3308" s="260"/>
      <c r="Z3308" s="260"/>
      <c r="AA3308" s="260"/>
      <c r="AB3308" s="260"/>
      <c r="AC3308" s="260"/>
      <c r="AD3308"/>
      <c r="AE3308"/>
      <c r="AF3308"/>
      <c r="AG3308"/>
    </row>
    <row r="3309" spans="14:33" ht="12" hidden="1" customHeight="1">
      <c r="N3309" s="239"/>
      <c r="O3309" s="225"/>
      <c r="P3309" s="260"/>
      <c r="Q3309" s="258"/>
      <c r="R3309" s="260"/>
      <c r="S3309" s="260"/>
      <c r="T3309" s="260"/>
      <c r="U3309" s="260"/>
      <c r="V3309" s="260"/>
      <c r="W3309" s="260"/>
      <c r="X3309" s="260"/>
      <c r="Y3309" s="260"/>
      <c r="Z3309" s="260"/>
      <c r="AA3309" s="260"/>
      <c r="AB3309" s="260"/>
      <c r="AC3309" s="260"/>
      <c r="AD3309"/>
      <c r="AE3309"/>
      <c r="AF3309"/>
      <c r="AG3309"/>
    </row>
    <row r="3310" spans="14:33" ht="12" hidden="1" customHeight="1">
      <c r="N3310" s="239"/>
      <c r="O3310" s="225"/>
      <c r="P3310" s="260"/>
      <c r="Q3310" s="258"/>
      <c r="R3310" s="260"/>
      <c r="S3310" s="260"/>
      <c r="T3310" s="260"/>
      <c r="U3310" s="260"/>
      <c r="V3310" s="260"/>
      <c r="W3310" s="260"/>
      <c r="X3310" s="260"/>
      <c r="Y3310" s="260"/>
      <c r="Z3310" s="260"/>
      <c r="AA3310" s="260"/>
      <c r="AB3310" s="260"/>
      <c r="AC3310" s="260"/>
      <c r="AD3310"/>
      <c r="AE3310"/>
      <c r="AF3310"/>
      <c r="AG3310"/>
    </row>
    <row r="3311" spans="14:33" ht="12" hidden="1" customHeight="1">
      <c r="N3311" s="239"/>
      <c r="O3311" s="225"/>
      <c r="P3311" s="260"/>
      <c r="Q3311" s="258"/>
      <c r="R3311" s="260"/>
      <c r="S3311" s="260"/>
      <c r="T3311" s="260"/>
      <c r="U3311" s="260"/>
      <c r="V3311" s="260"/>
      <c r="W3311" s="260"/>
      <c r="X3311" s="260"/>
      <c r="Y3311" s="260"/>
      <c r="Z3311" s="260"/>
      <c r="AA3311" s="260"/>
      <c r="AB3311" s="260"/>
      <c r="AC3311" s="260"/>
      <c r="AD3311"/>
      <c r="AE3311"/>
      <c r="AF3311"/>
      <c r="AG3311"/>
    </row>
    <row r="3312" spans="14:33" ht="12" hidden="1" customHeight="1">
      <c r="N3312" s="239"/>
      <c r="O3312" s="225"/>
      <c r="P3312" s="260"/>
      <c r="Q3312" s="258"/>
      <c r="R3312" s="260"/>
      <c r="S3312" s="260"/>
      <c r="T3312" s="260"/>
      <c r="U3312" s="260"/>
      <c r="V3312" s="260"/>
      <c r="W3312" s="260"/>
      <c r="X3312" s="260"/>
      <c r="Y3312" s="260"/>
      <c r="Z3312" s="260"/>
      <c r="AA3312" s="260"/>
      <c r="AB3312" s="260"/>
      <c r="AC3312" s="260"/>
      <c r="AD3312"/>
      <c r="AE3312"/>
      <c r="AF3312"/>
      <c r="AG3312"/>
    </row>
    <row r="3313" spans="14:33" ht="12" hidden="1" customHeight="1">
      <c r="N3313" s="239"/>
      <c r="O3313" s="225"/>
      <c r="P3313" s="260"/>
      <c r="Q3313" s="258"/>
      <c r="R3313" s="260"/>
      <c r="S3313" s="260"/>
      <c r="T3313" s="260"/>
      <c r="U3313" s="260"/>
      <c r="V3313" s="260"/>
      <c r="W3313" s="260"/>
      <c r="X3313" s="260"/>
      <c r="Y3313" s="260"/>
      <c r="Z3313" s="260"/>
      <c r="AA3313" s="260"/>
      <c r="AB3313" s="260"/>
      <c r="AC3313" s="260"/>
      <c r="AD3313"/>
      <c r="AE3313"/>
      <c r="AF3313"/>
      <c r="AG3313"/>
    </row>
    <row r="3314" spans="14:33" ht="12" hidden="1" customHeight="1">
      <c r="N3314" s="239"/>
      <c r="O3314" s="225"/>
      <c r="P3314" s="260"/>
      <c r="Q3314" s="258"/>
      <c r="R3314" s="260"/>
      <c r="S3314" s="260"/>
      <c r="T3314" s="260"/>
      <c r="U3314" s="260"/>
      <c r="V3314" s="260"/>
      <c r="W3314" s="260"/>
      <c r="X3314" s="260"/>
      <c r="Y3314" s="260"/>
      <c r="Z3314" s="260"/>
      <c r="AA3314" s="260"/>
      <c r="AB3314" s="260"/>
      <c r="AC3314" s="260"/>
      <c r="AD3314"/>
      <c r="AE3314"/>
      <c r="AF3314"/>
      <c r="AG3314"/>
    </row>
    <row r="3315" spans="14:33" ht="12" hidden="1" customHeight="1">
      <c r="N3315" s="239"/>
      <c r="O3315" s="225"/>
      <c r="P3315" s="260"/>
      <c r="Q3315" s="258"/>
      <c r="R3315" s="260"/>
      <c r="S3315" s="260"/>
      <c r="T3315" s="260"/>
      <c r="U3315" s="260"/>
      <c r="V3315" s="260"/>
      <c r="W3315" s="260"/>
      <c r="X3315" s="260"/>
      <c r="Y3315" s="260"/>
      <c r="Z3315" s="260"/>
      <c r="AA3315" s="260"/>
      <c r="AB3315" s="260"/>
      <c r="AC3315" s="260"/>
      <c r="AD3315"/>
      <c r="AE3315"/>
      <c r="AF3315"/>
      <c r="AG3315"/>
    </row>
    <row r="3316" spans="14:33" ht="12" hidden="1" customHeight="1">
      <c r="N3316" s="239"/>
      <c r="O3316" s="225"/>
      <c r="P3316" s="260"/>
      <c r="Q3316" s="258"/>
      <c r="R3316" s="260"/>
      <c r="S3316" s="260"/>
      <c r="T3316" s="260"/>
      <c r="U3316" s="260"/>
      <c r="V3316" s="260"/>
      <c r="W3316" s="260"/>
      <c r="X3316" s="260"/>
      <c r="Y3316" s="260"/>
      <c r="Z3316" s="260"/>
      <c r="AA3316" s="260"/>
      <c r="AB3316" s="260"/>
      <c r="AC3316" s="260"/>
      <c r="AD3316"/>
      <c r="AE3316"/>
      <c r="AF3316"/>
      <c r="AG3316"/>
    </row>
    <row r="3317" spans="14:33" ht="12" hidden="1" customHeight="1">
      <c r="N3317" s="239"/>
      <c r="O3317" s="225"/>
      <c r="P3317" s="260"/>
      <c r="Q3317" s="258"/>
      <c r="R3317" s="260"/>
      <c r="S3317" s="260"/>
      <c r="T3317" s="260"/>
      <c r="U3317" s="260"/>
      <c r="V3317" s="260"/>
      <c r="W3317" s="260"/>
      <c r="X3317" s="260"/>
      <c r="Y3317" s="260"/>
      <c r="Z3317" s="260"/>
      <c r="AA3317" s="260"/>
      <c r="AB3317" s="260"/>
      <c r="AC3317" s="260"/>
      <c r="AD3317"/>
      <c r="AE3317"/>
      <c r="AF3317"/>
      <c r="AG3317"/>
    </row>
    <row r="3318" spans="14:33" ht="12" hidden="1" customHeight="1">
      <c r="N3318" s="239"/>
      <c r="O3318" s="225"/>
      <c r="P3318" s="260"/>
      <c r="Q3318" s="258"/>
      <c r="R3318" s="260"/>
      <c r="S3318" s="260"/>
      <c r="T3318" s="260"/>
      <c r="U3318" s="260"/>
      <c r="V3318" s="260"/>
      <c r="W3318" s="260"/>
      <c r="X3318" s="260"/>
      <c r="Y3318" s="260"/>
      <c r="Z3318" s="260"/>
      <c r="AA3318" s="260"/>
      <c r="AB3318" s="260"/>
      <c r="AC3318" s="260"/>
      <c r="AD3318"/>
      <c r="AE3318"/>
      <c r="AF3318"/>
      <c r="AG3318"/>
    </row>
    <row r="3319" spans="14:33" ht="12" hidden="1" customHeight="1">
      <c r="N3319" s="239"/>
      <c r="O3319" s="225"/>
      <c r="P3319" s="260"/>
      <c r="Q3319" s="258"/>
      <c r="R3319" s="260"/>
      <c r="S3319" s="260"/>
      <c r="T3319" s="260"/>
      <c r="U3319" s="260"/>
      <c r="V3319" s="260"/>
      <c r="W3319" s="260"/>
      <c r="X3319" s="260"/>
      <c r="Y3319" s="260"/>
      <c r="Z3319" s="260"/>
      <c r="AA3319" s="260"/>
      <c r="AB3319" s="260"/>
      <c r="AC3319" s="260"/>
      <c r="AD3319"/>
      <c r="AE3319"/>
      <c r="AF3319"/>
      <c r="AG3319"/>
    </row>
    <row r="3320" spans="14:33" ht="12" hidden="1" customHeight="1">
      <c r="N3320" s="239"/>
      <c r="O3320" s="225"/>
      <c r="P3320" s="260"/>
      <c r="Q3320" s="258"/>
      <c r="R3320" s="260"/>
      <c r="S3320" s="260"/>
      <c r="T3320" s="260"/>
      <c r="U3320" s="260"/>
      <c r="V3320" s="260"/>
      <c r="W3320" s="260"/>
      <c r="X3320" s="260"/>
      <c r="Y3320" s="260"/>
      <c r="Z3320" s="260"/>
      <c r="AA3320" s="260"/>
      <c r="AB3320" s="260"/>
      <c r="AC3320" s="260"/>
      <c r="AD3320"/>
      <c r="AE3320"/>
      <c r="AF3320"/>
      <c r="AG3320"/>
    </row>
    <row r="3321" spans="14:33" ht="12" hidden="1" customHeight="1">
      <c r="N3321" s="239"/>
      <c r="O3321" s="225"/>
      <c r="P3321" s="260"/>
      <c r="Q3321" s="258"/>
      <c r="R3321" s="260"/>
      <c r="S3321" s="260"/>
      <c r="T3321" s="260"/>
      <c r="U3321" s="260"/>
      <c r="V3321" s="260"/>
      <c r="W3321" s="260"/>
      <c r="X3321" s="260"/>
      <c r="Y3321" s="260"/>
      <c r="Z3321" s="260"/>
      <c r="AA3321" s="260"/>
      <c r="AB3321" s="260"/>
      <c r="AC3321" s="260"/>
      <c r="AD3321"/>
      <c r="AE3321"/>
      <c r="AF3321"/>
      <c r="AG3321"/>
    </row>
    <row r="3322" spans="14:33" ht="12" hidden="1" customHeight="1">
      <c r="N3322" s="239"/>
      <c r="O3322" s="225"/>
      <c r="P3322" s="260"/>
      <c r="Q3322" s="258"/>
      <c r="R3322" s="260"/>
      <c r="S3322" s="260"/>
      <c r="T3322" s="260"/>
      <c r="U3322" s="260"/>
      <c r="V3322" s="260"/>
      <c r="W3322" s="260"/>
      <c r="X3322" s="260"/>
      <c r="Y3322" s="260"/>
      <c r="Z3322" s="260"/>
      <c r="AA3322" s="260"/>
      <c r="AB3322" s="260"/>
      <c r="AC3322" s="260"/>
      <c r="AD3322"/>
      <c r="AE3322"/>
      <c r="AF3322"/>
      <c r="AG3322"/>
    </row>
    <row r="3323" spans="14:33" ht="12" hidden="1" customHeight="1">
      <c r="N3323" s="239"/>
      <c r="O3323" s="225"/>
      <c r="P3323" s="260"/>
      <c r="Q3323" s="258"/>
      <c r="R3323" s="260"/>
      <c r="S3323" s="260"/>
      <c r="T3323" s="260"/>
      <c r="U3323" s="260"/>
      <c r="V3323" s="260"/>
      <c r="W3323" s="260"/>
      <c r="X3323" s="260"/>
      <c r="Y3323" s="260"/>
      <c r="Z3323" s="260"/>
      <c r="AA3323" s="260"/>
      <c r="AB3323" s="260"/>
      <c r="AC3323" s="260"/>
      <c r="AD3323"/>
      <c r="AE3323"/>
      <c r="AF3323"/>
      <c r="AG3323"/>
    </row>
    <row r="3324" spans="14:33" ht="12" hidden="1" customHeight="1">
      <c r="N3324" s="239"/>
      <c r="O3324" s="225"/>
      <c r="P3324" s="260"/>
      <c r="Q3324" s="258"/>
      <c r="R3324" s="260"/>
      <c r="S3324" s="260"/>
      <c r="T3324" s="260"/>
      <c r="U3324" s="260"/>
      <c r="V3324" s="260"/>
      <c r="W3324" s="260"/>
      <c r="X3324" s="260"/>
      <c r="Y3324" s="260"/>
      <c r="Z3324" s="260"/>
      <c r="AA3324" s="260"/>
      <c r="AB3324" s="260"/>
      <c r="AC3324" s="260"/>
      <c r="AD3324"/>
      <c r="AE3324"/>
      <c r="AF3324"/>
      <c r="AG3324"/>
    </row>
    <row r="3325" spans="14:33" ht="12" hidden="1" customHeight="1">
      <c r="N3325" s="239"/>
      <c r="O3325" s="225"/>
      <c r="P3325" s="260"/>
      <c r="Q3325" s="258"/>
      <c r="R3325" s="260"/>
      <c r="S3325" s="260"/>
      <c r="T3325" s="260"/>
      <c r="U3325" s="260"/>
      <c r="V3325" s="260"/>
      <c r="W3325" s="260"/>
      <c r="X3325" s="260"/>
      <c r="Y3325" s="260"/>
      <c r="Z3325" s="260"/>
      <c r="AA3325" s="260"/>
      <c r="AB3325" s="260"/>
      <c r="AC3325" s="260"/>
      <c r="AD3325"/>
      <c r="AE3325"/>
      <c r="AF3325"/>
      <c r="AG3325"/>
    </row>
    <row r="3326" spans="14:33" ht="12" hidden="1" customHeight="1">
      <c r="N3326" s="239"/>
      <c r="O3326" s="225"/>
      <c r="P3326" s="260"/>
      <c r="Q3326" s="258"/>
      <c r="R3326" s="260"/>
      <c r="S3326" s="260"/>
      <c r="T3326" s="260"/>
      <c r="U3326" s="260"/>
      <c r="V3326" s="260"/>
      <c r="W3326" s="260"/>
      <c r="X3326" s="260"/>
      <c r="Y3326" s="260"/>
      <c r="Z3326" s="260"/>
      <c r="AA3326" s="260"/>
      <c r="AB3326" s="260"/>
      <c r="AC3326" s="260"/>
      <c r="AD3326"/>
      <c r="AE3326"/>
      <c r="AF3326"/>
      <c r="AG3326"/>
    </row>
    <row r="3327" spans="14:33" ht="12" hidden="1" customHeight="1">
      <c r="N3327" s="239"/>
      <c r="O3327" s="225"/>
      <c r="P3327" s="260"/>
      <c r="Q3327" s="258"/>
      <c r="R3327" s="260"/>
      <c r="S3327" s="260"/>
      <c r="T3327" s="260"/>
      <c r="U3327" s="260"/>
      <c r="V3327" s="260"/>
      <c r="W3327" s="260"/>
      <c r="X3327" s="260"/>
      <c r="Y3327" s="260"/>
      <c r="Z3327" s="260"/>
      <c r="AA3327" s="260"/>
      <c r="AB3327" s="260"/>
      <c r="AC3327" s="260"/>
      <c r="AD3327"/>
      <c r="AE3327"/>
      <c r="AF3327"/>
      <c r="AG3327"/>
    </row>
    <row r="3328" spans="14:33" ht="12" hidden="1" customHeight="1">
      <c r="N3328" s="239"/>
      <c r="O3328" s="225"/>
      <c r="P3328" s="260"/>
      <c r="Q3328" s="258"/>
      <c r="R3328" s="260"/>
      <c r="S3328" s="260"/>
      <c r="T3328" s="260"/>
      <c r="U3328" s="260"/>
      <c r="V3328" s="260"/>
      <c r="W3328" s="260"/>
      <c r="X3328" s="260"/>
      <c r="Y3328" s="260"/>
      <c r="Z3328" s="260"/>
      <c r="AA3328" s="260"/>
      <c r="AB3328" s="260"/>
      <c r="AC3328" s="260"/>
      <c r="AD3328"/>
      <c r="AE3328"/>
      <c r="AF3328"/>
      <c r="AG3328"/>
    </row>
    <row r="3329" spans="14:33" ht="12" hidden="1" customHeight="1">
      <c r="N3329" s="239"/>
      <c r="O3329" s="225"/>
      <c r="P3329" s="260"/>
      <c r="Q3329" s="258"/>
      <c r="R3329" s="260"/>
      <c r="S3329" s="260"/>
      <c r="T3329" s="260"/>
      <c r="U3329" s="260"/>
      <c r="V3329" s="260"/>
      <c r="W3329" s="260"/>
      <c r="X3329" s="260"/>
      <c r="Y3329" s="260"/>
      <c r="Z3329" s="260"/>
      <c r="AA3329" s="260"/>
      <c r="AB3329" s="260"/>
      <c r="AC3329" s="260"/>
      <c r="AD3329"/>
      <c r="AE3329"/>
      <c r="AF3329"/>
      <c r="AG3329"/>
    </row>
    <row r="3330" spans="14:33" ht="12" hidden="1" customHeight="1">
      <c r="N3330" s="239"/>
      <c r="O3330" s="225"/>
      <c r="P3330" s="260"/>
      <c r="Q3330" s="258"/>
      <c r="R3330" s="260"/>
      <c r="S3330" s="260"/>
      <c r="T3330" s="260"/>
      <c r="U3330" s="260"/>
      <c r="V3330" s="260"/>
      <c r="W3330" s="260"/>
      <c r="X3330" s="260"/>
      <c r="Y3330" s="260"/>
      <c r="Z3330" s="260"/>
      <c r="AA3330" s="260"/>
      <c r="AB3330" s="260"/>
      <c r="AC3330" s="260"/>
      <c r="AD3330"/>
      <c r="AE3330"/>
      <c r="AF3330"/>
      <c r="AG3330"/>
    </row>
    <row r="3331" spans="14:33" ht="12" hidden="1" customHeight="1">
      <c r="N3331" s="239"/>
      <c r="O3331" s="225"/>
      <c r="P3331" s="260"/>
      <c r="Q3331" s="258"/>
      <c r="R3331" s="260"/>
      <c r="S3331" s="260"/>
      <c r="T3331" s="260"/>
      <c r="U3331" s="260"/>
      <c r="V3331" s="260"/>
      <c r="W3331" s="260"/>
      <c r="X3331" s="260"/>
      <c r="Y3331" s="260"/>
      <c r="Z3331" s="260"/>
      <c r="AA3331" s="260"/>
      <c r="AB3331" s="260"/>
      <c r="AC3331" s="260"/>
      <c r="AD3331"/>
      <c r="AE3331"/>
      <c r="AF3331"/>
      <c r="AG3331"/>
    </row>
    <row r="3332" spans="14:33" ht="12" hidden="1" customHeight="1">
      <c r="N3332" s="239"/>
      <c r="O3332" s="225"/>
      <c r="P3332" s="260"/>
      <c r="Q3332" s="258"/>
      <c r="R3332" s="260"/>
      <c r="S3332" s="260"/>
      <c r="T3332" s="260"/>
      <c r="U3332" s="260"/>
      <c r="V3332" s="260"/>
      <c r="W3332" s="260"/>
      <c r="X3332" s="260"/>
      <c r="Y3332" s="260"/>
      <c r="Z3332" s="260"/>
      <c r="AA3332" s="260"/>
      <c r="AB3332" s="260"/>
      <c r="AC3332" s="260"/>
      <c r="AD3332"/>
      <c r="AE3332"/>
      <c r="AF3332"/>
      <c r="AG3332"/>
    </row>
    <row r="3333" spans="14:33" ht="12" hidden="1" customHeight="1">
      <c r="N3333" s="239"/>
      <c r="O3333" s="225"/>
      <c r="P3333" s="260"/>
      <c r="Q3333" s="258"/>
      <c r="R3333" s="260"/>
      <c r="S3333" s="260"/>
      <c r="T3333" s="260"/>
      <c r="U3333" s="260"/>
      <c r="V3333" s="260"/>
      <c r="W3333" s="260"/>
      <c r="X3333" s="260"/>
      <c r="Y3333" s="260"/>
      <c r="Z3333" s="260"/>
      <c r="AA3333" s="260"/>
      <c r="AB3333" s="260"/>
      <c r="AC3333" s="260"/>
      <c r="AD3333"/>
      <c r="AE3333"/>
      <c r="AF3333"/>
      <c r="AG3333"/>
    </row>
    <row r="3334" spans="14:33" ht="12" hidden="1" customHeight="1">
      <c r="N3334" s="239"/>
      <c r="O3334" s="225"/>
      <c r="P3334" s="260"/>
      <c r="Q3334" s="258"/>
      <c r="R3334" s="260"/>
      <c r="S3334" s="260"/>
      <c r="T3334" s="260"/>
      <c r="U3334" s="260"/>
      <c r="V3334" s="260"/>
      <c r="W3334" s="260"/>
      <c r="X3334" s="260"/>
      <c r="Y3334" s="260"/>
      <c r="Z3334" s="260"/>
      <c r="AA3334" s="260"/>
      <c r="AB3334" s="260"/>
      <c r="AC3334" s="260"/>
      <c r="AD3334"/>
      <c r="AE3334"/>
      <c r="AF3334"/>
      <c r="AG3334"/>
    </row>
    <row r="3335" spans="14:33" ht="12" hidden="1" customHeight="1">
      <c r="N3335" s="239"/>
      <c r="O3335" s="225"/>
      <c r="P3335" s="260"/>
      <c r="Q3335" s="258"/>
      <c r="R3335" s="260"/>
      <c r="S3335" s="260"/>
      <c r="T3335" s="260"/>
      <c r="U3335" s="260"/>
      <c r="V3335" s="260"/>
      <c r="W3335" s="260"/>
      <c r="X3335" s="260"/>
      <c r="Y3335" s="260"/>
      <c r="Z3335" s="260"/>
      <c r="AA3335" s="260"/>
      <c r="AB3335" s="260"/>
      <c r="AC3335" s="260"/>
      <c r="AD3335"/>
      <c r="AE3335"/>
      <c r="AF3335"/>
      <c r="AG3335"/>
    </row>
    <row r="3336" spans="14:33" ht="12" hidden="1" customHeight="1">
      <c r="N3336" s="239"/>
      <c r="O3336" s="225"/>
      <c r="P3336" s="260"/>
      <c r="Q3336" s="258"/>
      <c r="R3336" s="260"/>
      <c r="S3336" s="260"/>
      <c r="T3336" s="260"/>
      <c r="U3336" s="260"/>
      <c r="V3336" s="260"/>
      <c r="W3336" s="260"/>
      <c r="X3336" s="260"/>
      <c r="Y3336" s="260"/>
      <c r="Z3336" s="260"/>
      <c r="AA3336" s="260"/>
      <c r="AB3336" s="260"/>
      <c r="AC3336" s="260"/>
      <c r="AD3336"/>
      <c r="AE3336"/>
      <c r="AF3336"/>
      <c r="AG3336"/>
    </row>
    <row r="3337" spans="14:33" ht="12" hidden="1" customHeight="1">
      <c r="N3337" s="239"/>
      <c r="O3337" s="225"/>
      <c r="P3337" s="260"/>
      <c r="Q3337" s="258"/>
      <c r="R3337" s="260"/>
      <c r="S3337" s="260"/>
      <c r="T3337" s="260"/>
      <c r="U3337" s="260"/>
      <c r="V3337" s="260"/>
      <c r="W3337" s="260"/>
      <c r="X3337" s="260"/>
      <c r="Y3337" s="260"/>
      <c r="Z3337" s="260"/>
      <c r="AA3337" s="260"/>
      <c r="AB3337" s="260"/>
      <c r="AC3337" s="260"/>
      <c r="AD3337"/>
      <c r="AE3337"/>
      <c r="AF3337"/>
      <c r="AG3337"/>
    </row>
    <row r="3338" spans="14:33" ht="12" hidden="1" customHeight="1">
      <c r="N3338" s="239"/>
      <c r="O3338" s="225"/>
      <c r="P3338" s="260"/>
      <c r="Q3338" s="258"/>
      <c r="R3338" s="260"/>
      <c r="S3338" s="260"/>
      <c r="T3338" s="260"/>
      <c r="U3338" s="260"/>
      <c r="V3338" s="260"/>
      <c r="W3338" s="260"/>
      <c r="X3338" s="260"/>
      <c r="Y3338" s="260"/>
      <c r="Z3338" s="260"/>
      <c r="AA3338" s="260"/>
      <c r="AB3338" s="260"/>
      <c r="AC3338" s="260"/>
      <c r="AD3338"/>
      <c r="AE3338"/>
      <c r="AF3338"/>
      <c r="AG3338"/>
    </row>
    <row r="3339" spans="14:33" ht="12" hidden="1" customHeight="1">
      <c r="N3339" s="239"/>
      <c r="O3339" s="225"/>
      <c r="P3339" s="260"/>
      <c r="Q3339" s="258"/>
      <c r="R3339" s="260"/>
      <c r="S3339" s="260"/>
      <c r="T3339" s="260"/>
      <c r="U3339" s="260"/>
      <c r="V3339" s="260"/>
      <c r="W3339" s="260"/>
      <c r="X3339" s="260"/>
      <c r="Y3339" s="260"/>
      <c r="Z3339" s="260"/>
      <c r="AA3339" s="260"/>
      <c r="AB3339" s="260"/>
      <c r="AC3339" s="260"/>
      <c r="AD3339"/>
      <c r="AE3339"/>
      <c r="AF3339"/>
      <c r="AG3339"/>
    </row>
    <row r="3340" spans="14:33" ht="12" hidden="1" customHeight="1">
      <c r="N3340" s="239"/>
      <c r="O3340" s="225"/>
      <c r="P3340" s="260"/>
      <c r="Q3340" s="258"/>
      <c r="R3340" s="260"/>
      <c r="S3340" s="260"/>
      <c r="T3340" s="260"/>
      <c r="U3340" s="260"/>
      <c r="V3340" s="260"/>
      <c r="W3340" s="260"/>
      <c r="X3340" s="260"/>
      <c r="Y3340" s="260"/>
      <c r="Z3340" s="260"/>
      <c r="AA3340" s="260"/>
      <c r="AB3340" s="260"/>
      <c r="AC3340" s="260"/>
      <c r="AD3340"/>
      <c r="AE3340"/>
      <c r="AF3340"/>
      <c r="AG3340"/>
    </row>
    <row r="3341" spans="14:33" ht="12" hidden="1" customHeight="1">
      <c r="N3341" s="239"/>
      <c r="O3341" s="225"/>
      <c r="P3341" s="260"/>
      <c r="Q3341" s="258"/>
      <c r="R3341" s="260"/>
      <c r="S3341" s="260"/>
      <c r="T3341" s="260"/>
      <c r="U3341" s="260"/>
      <c r="V3341" s="260"/>
      <c r="W3341" s="260"/>
      <c r="X3341" s="260"/>
      <c r="Y3341" s="260"/>
      <c r="Z3341" s="260"/>
      <c r="AA3341" s="260"/>
      <c r="AB3341" s="260"/>
      <c r="AC3341" s="260"/>
      <c r="AD3341"/>
      <c r="AE3341"/>
      <c r="AF3341"/>
      <c r="AG3341"/>
    </row>
    <row r="3342" spans="14:33" ht="12" hidden="1" customHeight="1">
      <c r="N3342" s="239"/>
      <c r="O3342" s="225"/>
      <c r="P3342" s="260"/>
      <c r="Q3342" s="258"/>
      <c r="R3342" s="260"/>
      <c r="S3342" s="260"/>
      <c r="T3342" s="260"/>
      <c r="U3342" s="260"/>
      <c r="V3342" s="260"/>
      <c r="W3342" s="260"/>
      <c r="X3342" s="260"/>
      <c r="Y3342" s="260"/>
      <c r="Z3342" s="260"/>
      <c r="AA3342" s="260"/>
      <c r="AB3342" s="260"/>
      <c r="AC3342" s="260"/>
      <c r="AD3342"/>
      <c r="AE3342"/>
      <c r="AF3342"/>
      <c r="AG3342"/>
    </row>
    <row r="3343" spans="14:33" ht="12" hidden="1" customHeight="1">
      <c r="N3343" s="239"/>
      <c r="O3343" s="225"/>
      <c r="P3343" s="260"/>
      <c r="Q3343" s="258"/>
      <c r="R3343" s="260"/>
      <c r="S3343" s="260"/>
      <c r="T3343" s="260"/>
      <c r="U3343" s="260"/>
      <c r="V3343" s="260"/>
      <c r="W3343" s="260"/>
      <c r="X3343" s="260"/>
      <c r="Y3343" s="260"/>
      <c r="Z3343" s="260"/>
      <c r="AA3343" s="260"/>
      <c r="AB3343" s="260"/>
      <c r="AC3343" s="260"/>
      <c r="AD3343"/>
      <c r="AE3343"/>
      <c r="AF3343"/>
      <c r="AG3343"/>
    </row>
    <row r="3344" spans="14:33" ht="12" hidden="1" customHeight="1">
      <c r="N3344" s="239"/>
      <c r="O3344" s="225"/>
      <c r="P3344" s="260"/>
      <c r="Q3344" s="258"/>
      <c r="R3344" s="260"/>
      <c r="S3344" s="260"/>
      <c r="T3344" s="260"/>
      <c r="U3344" s="260"/>
      <c r="V3344" s="260"/>
      <c r="W3344" s="260"/>
      <c r="X3344" s="260"/>
      <c r="Y3344" s="260"/>
      <c r="Z3344" s="260"/>
      <c r="AA3344" s="260"/>
      <c r="AB3344" s="260"/>
      <c r="AC3344" s="260"/>
      <c r="AD3344"/>
      <c r="AE3344"/>
      <c r="AF3344"/>
      <c r="AG3344"/>
    </row>
    <row r="3345" spans="14:33" ht="12" hidden="1" customHeight="1">
      <c r="N3345" s="239"/>
      <c r="O3345" s="225"/>
      <c r="P3345" s="260"/>
      <c r="Q3345" s="258"/>
      <c r="R3345" s="260"/>
      <c r="S3345" s="260"/>
      <c r="T3345" s="260"/>
      <c r="U3345" s="260"/>
      <c r="V3345" s="260"/>
      <c r="W3345" s="260"/>
      <c r="X3345" s="260"/>
      <c r="Y3345" s="260"/>
      <c r="Z3345" s="260"/>
      <c r="AA3345" s="260"/>
      <c r="AB3345" s="260"/>
      <c r="AC3345" s="260"/>
      <c r="AD3345"/>
      <c r="AE3345"/>
      <c r="AF3345"/>
      <c r="AG3345"/>
    </row>
    <row r="3346" spans="14:33" ht="12" hidden="1" customHeight="1">
      <c r="N3346" s="239"/>
      <c r="O3346" s="225"/>
      <c r="P3346" s="260"/>
      <c r="Q3346" s="258"/>
      <c r="R3346" s="260"/>
      <c r="S3346" s="260"/>
      <c r="T3346" s="260"/>
      <c r="U3346" s="260"/>
      <c r="V3346" s="260"/>
      <c r="W3346" s="260"/>
      <c r="X3346" s="260"/>
      <c r="Y3346" s="260"/>
      <c r="Z3346" s="260"/>
      <c r="AA3346" s="260"/>
      <c r="AB3346" s="260"/>
      <c r="AC3346" s="260"/>
      <c r="AD3346"/>
      <c r="AE3346"/>
      <c r="AF3346"/>
      <c r="AG3346"/>
    </row>
    <row r="3347" spans="14:33" ht="12" hidden="1" customHeight="1">
      <c r="N3347" s="239"/>
      <c r="O3347" s="225"/>
      <c r="P3347" s="260"/>
      <c r="Q3347" s="258"/>
      <c r="R3347" s="260"/>
      <c r="S3347" s="260"/>
      <c r="T3347" s="260"/>
      <c r="U3347" s="260"/>
      <c r="V3347" s="260"/>
      <c r="W3347" s="260"/>
      <c r="X3347" s="260"/>
      <c r="Y3347" s="260"/>
      <c r="Z3347" s="260"/>
      <c r="AA3347" s="260"/>
      <c r="AB3347" s="260"/>
      <c r="AC3347" s="260"/>
      <c r="AD3347"/>
      <c r="AE3347"/>
      <c r="AF3347"/>
      <c r="AG3347"/>
    </row>
    <row r="3348" spans="14:33" ht="12" hidden="1" customHeight="1">
      <c r="N3348" s="239"/>
      <c r="O3348" s="225"/>
      <c r="P3348" s="260"/>
      <c r="Q3348" s="258"/>
      <c r="R3348" s="260"/>
      <c r="S3348" s="260"/>
      <c r="T3348" s="260"/>
      <c r="U3348" s="260"/>
      <c r="V3348" s="260"/>
      <c r="W3348" s="260"/>
      <c r="X3348" s="260"/>
      <c r="Y3348" s="260"/>
      <c r="Z3348" s="260"/>
      <c r="AA3348" s="260"/>
      <c r="AB3348" s="260"/>
      <c r="AC3348" s="260"/>
      <c r="AD3348"/>
      <c r="AE3348"/>
      <c r="AF3348"/>
      <c r="AG3348"/>
    </row>
    <row r="3349" spans="14:33" ht="12" hidden="1" customHeight="1">
      <c r="N3349" s="239"/>
      <c r="O3349" s="225"/>
      <c r="P3349" s="260"/>
      <c r="Q3349" s="258"/>
      <c r="R3349" s="260"/>
      <c r="S3349" s="260"/>
      <c r="T3349" s="260"/>
      <c r="U3349" s="260"/>
      <c r="V3349" s="260"/>
      <c r="W3349" s="260"/>
      <c r="X3349" s="260"/>
      <c r="Y3349" s="260"/>
      <c r="Z3349" s="260"/>
      <c r="AA3349" s="260"/>
      <c r="AB3349" s="260"/>
      <c r="AC3349" s="260"/>
      <c r="AD3349"/>
      <c r="AE3349"/>
      <c r="AF3349"/>
      <c r="AG3349"/>
    </row>
    <row r="3350" spans="14:33" ht="12" hidden="1" customHeight="1">
      <c r="N3350" s="239"/>
      <c r="O3350" s="225"/>
      <c r="P3350" s="260"/>
      <c r="Q3350" s="258"/>
      <c r="R3350" s="260"/>
      <c r="S3350" s="260"/>
      <c r="T3350" s="260"/>
      <c r="U3350" s="260"/>
      <c r="V3350" s="260"/>
      <c r="W3350" s="260"/>
      <c r="X3350" s="260"/>
      <c r="Y3350" s="260"/>
      <c r="Z3350" s="260"/>
      <c r="AA3350" s="260"/>
      <c r="AB3350" s="260"/>
      <c r="AC3350" s="260"/>
      <c r="AD3350"/>
      <c r="AE3350"/>
      <c r="AF3350"/>
      <c r="AG3350"/>
    </row>
    <row r="3351" spans="14:33" ht="12" hidden="1" customHeight="1">
      <c r="N3351" s="239"/>
      <c r="O3351" s="225"/>
      <c r="P3351" s="260"/>
      <c r="Q3351" s="258"/>
      <c r="R3351" s="260"/>
      <c r="S3351" s="260"/>
      <c r="T3351" s="260"/>
      <c r="U3351" s="260"/>
      <c r="V3351" s="260"/>
      <c r="W3351" s="260"/>
      <c r="X3351" s="260"/>
      <c r="Y3351" s="260"/>
      <c r="Z3351" s="260"/>
      <c r="AA3351" s="260"/>
      <c r="AB3351" s="260"/>
      <c r="AC3351" s="260"/>
      <c r="AD3351"/>
      <c r="AE3351"/>
      <c r="AF3351"/>
      <c r="AG3351"/>
    </row>
    <row r="3352" spans="14:33" ht="12" hidden="1" customHeight="1">
      <c r="N3352" s="239"/>
      <c r="O3352" s="225"/>
      <c r="P3352" s="260"/>
      <c r="Q3352" s="258"/>
      <c r="R3352" s="260"/>
      <c r="S3352" s="260"/>
      <c r="T3352" s="260"/>
      <c r="U3352" s="260"/>
      <c r="V3352" s="260"/>
      <c r="W3352" s="260"/>
      <c r="X3352" s="260"/>
      <c r="Y3352" s="260"/>
      <c r="Z3352" s="260"/>
      <c r="AA3352" s="260"/>
      <c r="AB3352" s="260"/>
      <c r="AC3352" s="260"/>
      <c r="AD3352"/>
      <c r="AE3352"/>
      <c r="AF3352"/>
      <c r="AG3352"/>
    </row>
    <row r="3353" spans="14:33" ht="12" hidden="1" customHeight="1">
      <c r="N3353" s="239"/>
      <c r="O3353" s="225"/>
      <c r="P3353" s="260"/>
      <c r="Q3353" s="258"/>
      <c r="R3353" s="260"/>
      <c r="S3353" s="260"/>
      <c r="T3353" s="260"/>
      <c r="U3353" s="260"/>
      <c r="V3353" s="260"/>
      <c r="W3353" s="260"/>
      <c r="X3353" s="260"/>
      <c r="Y3353" s="260"/>
      <c r="Z3353" s="260"/>
      <c r="AA3353" s="260"/>
      <c r="AB3353" s="260"/>
      <c r="AC3353" s="260"/>
      <c r="AD3353"/>
      <c r="AE3353"/>
      <c r="AF3353"/>
      <c r="AG3353"/>
    </row>
    <row r="3354" spans="14:33" ht="12" hidden="1" customHeight="1">
      <c r="N3354" s="239"/>
      <c r="O3354" s="225"/>
      <c r="P3354" s="260"/>
      <c r="Q3354" s="258"/>
      <c r="R3354" s="260"/>
      <c r="S3354" s="260"/>
      <c r="T3354" s="260"/>
      <c r="U3354" s="260"/>
      <c r="V3354" s="260"/>
      <c r="W3354" s="260"/>
      <c r="X3354" s="260"/>
      <c r="Y3354" s="260"/>
      <c r="Z3354" s="260"/>
      <c r="AA3354" s="260"/>
      <c r="AB3354" s="260"/>
      <c r="AC3354" s="260"/>
      <c r="AD3354"/>
      <c r="AE3354"/>
      <c r="AF3354"/>
      <c r="AG3354"/>
    </row>
    <row r="3355" spans="14:33" ht="12" hidden="1" customHeight="1">
      <c r="N3355" s="239"/>
      <c r="O3355" s="225"/>
      <c r="P3355" s="260"/>
      <c r="Q3355" s="258"/>
      <c r="R3355" s="260"/>
      <c r="S3355" s="260"/>
      <c r="T3355" s="260"/>
      <c r="U3355" s="260"/>
      <c r="V3355" s="260"/>
      <c r="W3355" s="260"/>
      <c r="X3355" s="260"/>
      <c r="Y3355" s="260"/>
      <c r="Z3355" s="260"/>
      <c r="AA3355" s="260"/>
      <c r="AB3355" s="260"/>
      <c r="AC3355" s="260"/>
      <c r="AD3355"/>
      <c r="AE3355"/>
      <c r="AF3355"/>
      <c r="AG3355"/>
    </row>
    <row r="3356" spans="14:33" ht="12" hidden="1" customHeight="1">
      <c r="N3356" s="239"/>
      <c r="O3356" s="225"/>
      <c r="P3356" s="260"/>
      <c r="Q3356" s="258"/>
      <c r="R3356" s="260"/>
      <c r="S3356" s="260"/>
      <c r="T3356" s="260"/>
      <c r="U3356" s="260"/>
      <c r="V3356" s="260"/>
      <c r="W3356" s="260"/>
      <c r="X3356" s="260"/>
      <c r="Y3356" s="260"/>
      <c r="Z3356" s="260"/>
      <c r="AA3356" s="260"/>
      <c r="AB3356" s="260"/>
      <c r="AC3356" s="260"/>
      <c r="AD3356"/>
      <c r="AE3356"/>
      <c r="AF3356"/>
      <c r="AG3356"/>
    </row>
    <row r="3357" spans="14:33" ht="12" hidden="1" customHeight="1">
      <c r="N3357" s="239"/>
      <c r="O3357" s="225"/>
      <c r="P3357" s="260"/>
      <c r="Q3357" s="258"/>
      <c r="R3357" s="260"/>
      <c r="S3357" s="260"/>
      <c r="T3357" s="260"/>
      <c r="U3357" s="260"/>
      <c r="V3357" s="260"/>
      <c r="W3357" s="260"/>
      <c r="X3357" s="260"/>
      <c r="Y3357" s="260"/>
      <c r="Z3357" s="260"/>
      <c r="AA3357" s="260"/>
      <c r="AB3357" s="260"/>
      <c r="AC3357" s="260"/>
      <c r="AD3357"/>
      <c r="AE3357"/>
      <c r="AF3357"/>
      <c r="AG3357"/>
    </row>
    <row r="3358" spans="14:33" ht="12" hidden="1" customHeight="1">
      <c r="N3358" s="239"/>
      <c r="O3358" s="225"/>
      <c r="P3358" s="260"/>
      <c r="Q3358" s="258"/>
      <c r="R3358" s="260"/>
      <c r="S3358" s="260"/>
      <c r="T3358" s="260"/>
      <c r="U3358" s="260"/>
      <c r="V3358" s="260"/>
      <c r="W3358" s="260"/>
      <c r="X3358" s="260"/>
      <c r="Y3358" s="260"/>
      <c r="Z3358" s="260"/>
      <c r="AA3358" s="260"/>
      <c r="AB3358" s="260"/>
      <c r="AC3358" s="260"/>
      <c r="AD3358"/>
      <c r="AE3358"/>
      <c r="AF3358"/>
      <c r="AG3358"/>
    </row>
    <row r="3359" spans="14:33" ht="12" hidden="1" customHeight="1">
      <c r="N3359" s="239"/>
      <c r="O3359" s="225"/>
      <c r="P3359" s="260"/>
      <c r="Q3359" s="258"/>
      <c r="R3359" s="260"/>
      <c r="S3359" s="260"/>
      <c r="T3359" s="260"/>
      <c r="U3359" s="260"/>
      <c r="V3359" s="260"/>
      <c r="W3359" s="260"/>
      <c r="X3359" s="260"/>
      <c r="Y3359" s="260"/>
      <c r="Z3359" s="260"/>
      <c r="AA3359" s="260"/>
      <c r="AB3359" s="260"/>
      <c r="AC3359" s="260"/>
      <c r="AD3359"/>
      <c r="AE3359"/>
      <c r="AF3359"/>
      <c r="AG3359"/>
    </row>
    <row r="3360" spans="14:33" ht="12" hidden="1" customHeight="1">
      <c r="N3360" s="239"/>
      <c r="O3360" s="225"/>
      <c r="P3360" s="260"/>
      <c r="Q3360" s="258"/>
      <c r="R3360" s="260"/>
      <c r="S3360" s="260"/>
      <c r="T3360" s="260"/>
      <c r="U3360" s="260"/>
      <c r="V3360" s="260"/>
      <c r="W3360" s="260"/>
      <c r="X3360" s="260"/>
      <c r="Y3360" s="260"/>
      <c r="Z3360" s="260"/>
      <c r="AA3360" s="260"/>
      <c r="AB3360" s="260"/>
      <c r="AC3360" s="260"/>
      <c r="AD3360"/>
      <c r="AE3360"/>
      <c r="AF3360"/>
      <c r="AG3360"/>
    </row>
    <row r="3361" spans="14:33" ht="12" hidden="1" customHeight="1">
      <c r="N3361" s="239"/>
      <c r="O3361" s="225"/>
      <c r="P3361" s="260"/>
      <c r="Q3361" s="258"/>
      <c r="R3361" s="260"/>
      <c r="S3361" s="260"/>
      <c r="T3361" s="260"/>
      <c r="U3361" s="260"/>
      <c r="V3361" s="260"/>
      <c r="W3361" s="260"/>
      <c r="X3361" s="260"/>
      <c r="Y3361" s="260"/>
      <c r="Z3361" s="260"/>
      <c r="AA3361" s="260"/>
      <c r="AB3361" s="260"/>
      <c r="AC3361" s="260"/>
      <c r="AD3361"/>
      <c r="AE3361"/>
      <c r="AF3361"/>
      <c r="AG3361"/>
    </row>
    <row r="3362" spans="14:33" ht="12" hidden="1" customHeight="1">
      <c r="N3362" s="239"/>
      <c r="O3362" s="225"/>
      <c r="P3362" s="260"/>
      <c r="Q3362" s="258"/>
      <c r="R3362" s="260"/>
      <c r="S3362" s="260"/>
      <c r="T3362" s="260"/>
      <c r="U3362" s="260"/>
      <c r="V3362" s="260"/>
      <c r="W3362" s="260"/>
      <c r="X3362" s="260"/>
      <c r="Y3362" s="260"/>
      <c r="Z3362" s="260"/>
      <c r="AA3362" s="260"/>
      <c r="AB3362" s="260"/>
      <c r="AC3362" s="260"/>
      <c r="AD3362"/>
      <c r="AE3362"/>
      <c r="AF3362"/>
      <c r="AG3362"/>
    </row>
    <row r="3363" spans="14:33" ht="12" hidden="1" customHeight="1">
      <c r="N3363" s="239"/>
      <c r="O3363" s="225"/>
      <c r="P3363" s="260"/>
      <c r="Q3363" s="258"/>
      <c r="R3363" s="260"/>
      <c r="S3363" s="260"/>
      <c r="T3363" s="260"/>
      <c r="U3363" s="260"/>
      <c r="V3363" s="260"/>
      <c r="W3363" s="260"/>
      <c r="X3363" s="260"/>
      <c r="Y3363" s="260"/>
      <c r="Z3363" s="260"/>
      <c r="AA3363" s="260"/>
      <c r="AB3363" s="260"/>
      <c r="AC3363" s="260"/>
      <c r="AD3363"/>
      <c r="AE3363"/>
      <c r="AF3363"/>
      <c r="AG3363"/>
    </row>
    <row r="3364" spans="14:33" ht="12" hidden="1" customHeight="1">
      <c r="N3364" s="239"/>
      <c r="O3364" s="225"/>
      <c r="P3364" s="260"/>
      <c r="Q3364" s="258"/>
      <c r="R3364" s="260"/>
      <c r="S3364" s="260"/>
      <c r="T3364" s="260"/>
      <c r="U3364" s="260"/>
      <c r="V3364" s="260"/>
      <c r="W3364" s="260"/>
      <c r="X3364" s="260"/>
      <c r="Y3364" s="260"/>
      <c r="Z3364" s="260"/>
      <c r="AA3364" s="260"/>
      <c r="AB3364" s="260"/>
      <c r="AC3364" s="260"/>
      <c r="AD3364"/>
      <c r="AE3364"/>
      <c r="AF3364"/>
      <c r="AG3364"/>
    </row>
    <row r="3365" spans="14:33" ht="12" hidden="1" customHeight="1">
      <c r="N3365" s="239"/>
      <c r="O3365" s="225"/>
      <c r="P3365" s="260"/>
      <c r="Q3365" s="258"/>
      <c r="R3365" s="260"/>
      <c r="S3365" s="260"/>
      <c r="T3365" s="260"/>
      <c r="U3365" s="260"/>
      <c r="V3365" s="260"/>
      <c r="W3365" s="260"/>
      <c r="X3365" s="260"/>
      <c r="Y3365" s="260"/>
      <c r="Z3365" s="260"/>
      <c r="AA3365" s="260"/>
      <c r="AB3365" s="260"/>
      <c r="AC3365" s="260"/>
      <c r="AD3365"/>
      <c r="AE3365"/>
      <c r="AF3365"/>
      <c r="AG3365"/>
    </row>
    <row r="3366" spans="14:33" ht="12" hidden="1" customHeight="1">
      <c r="N3366" s="239"/>
      <c r="O3366" s="225"/>
      <c r="P3366" s="260"/>
      <c r="Q3366" s="258"/>
      <c r="R3366" s="260"/>
      <c r="S3366" s="260"/>
      <c r="T3366" s="260"/>
      <c r="U3366" s="260"/>
      <c r="V3366" s="260"/>
      <c r="W3366" s="260"/>
      <c r="X3366" s="260"/>
      <c r="Y3366" s="260"/>
      <c r="Z3366" s="260"/>
      <c r="AA3366" s="260"/>
      <c r="AB3366" s="260"/>
      <c r="AC3366" s="260"/>
      <c r="AD3366"/>
      <c r="AE3366"/>
      <c r="AF3366"/>
      <c r="AG3366"/>
    </row>
    <row r="3367" spans="14:33" ht="12" hidden="1" customHeight="1">
      <c r="N3367" s="239"/>
      <c r="O3367" s="225"/>
      <c r="P3367" s="260"/>
      <c r="Q3367" s="258"/>
      <c r="R3367" s="260"/>
      <c r="S3367" s="260"/>
      <c r="T3367" s="260"/>
      <c r="U3367" s="260"/>
      <c r="V3367" s="260"/>
      <c r="W3367" s="260"/>
      <c r="X3367" s="260"/>
      <c r="Y3367" s="260"/>
      <c r="Z3367" s="260"/>
      <c r="AA3367" s="260"/>
      <c r="AB3367" s="260"/>
      <c r="AC3367" s="260"/>
      <c r="AD3367"/>
      <c r="AE3367"/>
      <c r="AF3367"/>
      <c r="AG3367"/>
    </row>
    <row r="3368" spans="14:33" ht="12" hidden="1" customHeight="1">
      <c r="N3368" s="239"/>
      <c r="O3368" s="225"/>
      <c r="P3368" s="260"/>
      <c r="Q3368" s="258"/>
      <c r="R3368" s="260"/>
      <c r="S3368" s="260"/>
      <c r="T3368" s="260"/>
      <c r="U3368" s="260"/>
      <c r="V3368" s="260"/>
      <c r="W3368" s="260"/>
      <c r="X3368" s="260"/>
      <c r="Y3368" s="260"/>
      <c r="Z3368" s="260"/>
      <c r="AA3368" s="260"/>
      <c r="AB3368" s="260"/>
      <c r="AC3368" s="260"/>
      <c r="AD3368"/>
      <c r="AE3368"/>
      <c r="AF3368"/>
      <c r="AG3368"/>
    </row>
    <row r="3369" spans="14:33" ht="12" hidden="1" customHeight="1">
      <c r="N3369" s="239"/>
      <c r="O3369" s="225"/>
      <c r="P3369" s="260"/>
      <c r="Q3369" s="258"/>
      <c r="R3369" s="260"/>
      <c r="S3369" s="260"/>
      <c r="T3369" s="260"/>
      <c r="U3369" s="260"/>
      <c r="V3369" s="260"/>
      <c r="W3369" s="260"/>
      <c r="X3369" s="260"/>
      <c r="Y3369" s="260"/>
      <c r="Z3369" s="260"/>
      <c r="AA3369" s="260"/>
      <c r="AB3369" s="260"/>
      <c r="AC3369" s="260"/>
      <c r="AD3369"/>
      <c r="AE3369"/>
      <c r="AF3369"/>
      <c r="AG3369"/>
    </row>
    <row r="3370" spans="14:33" ht="12" hidden="1" customHeight="1">
      <c r="N3370" s="239"/>
      <c r="O3370" s="225"/>
      <c r="P3370" s="260"/>
      <c r="Q3370" s="258"/>
      <c r="R3370" s="260"/>
      <c r="S3370" s="260"/>
      <c r="T3370" s="260"/>
      <c r="U3370" s="260"/>
      <c r="V3370" s="260"/>
      <c r="W3370" s="260"/>
      <c r="X3370" s="260"/>
      <c r="Y3370" s="260"/>
      <c r="Z3370" s="260"/>
      <c r="AA3370" s="260"/>
      <c r="AB3370" s="260"/>
      <c r="AC3370" s="260"/>
      <c r="AD3370"/>
      <c r="AE3370"/>
      <c r="AF3370"/>
      <c r="AG3370"/>
    </row>
    <row r="3371" spans="14:33" ht="12" hidden="1" customHeight="1">
      <c r="N3371" s="239"/>
      <c r="O3371" s="225"/>
      <c r="P3371" s="260"/>
      <c r="Q3371" s="258"/>
      <c r="R3371" s="260"/>
      <c r="S3371" s="260"/>
      <c r="T3371" s="260"/>
      <c r="U3371" s="260"/>
      <c r="V3371" s="260"/>
      <c r="W3371" s="260"/>
      <c r="X3371" s="260"/>
      <c r="Y3371" s="260"/>
      <c r="Z3371" s="260"/>
      <c r="AA3371" s="260"/>
      <c r="AB3371" s="260"/>
      <c r="AC3371" s="260"/>
      <c r="AD3371"/>
      <c r="AE3371"/>
      <c r="AF3371"/>
      <c r="AG3371"/>
    </row>
    <row r="3372" spans="14:33" ht="12" hidden="1" customHeight="1">
      <c r="N3372" s="239"/>
      <c r="O3372" s="225"/>
      <c r="P3372" s="260"/>
      <c r="Q3372" s="258"/>
      <c r="R3372" s="260"/>
      <c r="S3372" s="260"/>
      <c r="T3372" s="260"/>
      <c r="U3372" s="260"/>
      <c r="V3372" s="260"/>
      <c r="W3372" s="260"/>
      <c r="X3372" s="260"/>
      <c r="Y3372" s="260"/>
      <c r="Z3372" s="260"/>
      <c r="AA3372" s="260"/>
      <c r="AB3372" s="260"/>
      <c r="AC3372" s="260"/>
      <c r="AD3372"/>
      <c r="AE3372"/>
      <c r="AF3372"/>
      <c r="AG3372"/>
    </row>
    <row r="3373" spans="14:33" ht="12" hidden="1" customHeight="1">
      <c r="N3373" s="239"/>
      <c r="O3373" s="225"/>
      <c r="P3373" s="260"/>
      <c r="Q3373" s="258"/>
      <c r="R3373" s="260"/>
      <c r="S3373" s="260"/>
      <c r="T3373" s="260"/>
      <c r="U3373" s="260"/>
      <c r="V3373" s="260"/>
      <c r="W3373" s="260"/>
      <c r="X3373" s="260"/>
      <c r="Y3373" s="260"/>
      <c r="Z3373" s="260"/>
      <c r="AA3373" s="260"/>
      <c r="AB3373" s="260"/>
      <c r="AC3373" s="260"/>
      <c r="AD3373"/>
      <c r="AE3373"/>
      <c r="AF3373"/>
      <c r="AG3373"/>
    </row>
    <row r="3374" spans="14:33" ht="12" hidden="1" customHeight="1">
      <c r="N3374" s="239"/>
      <c r="O3374" s="225"/>
      <c r="P3374" s="260"/>
      <c r="Q3374" s="258"/>
      <c r="R3374" s="260"/>
      <c r="S3374" s="260"/>
      <c r="T3374" s="260"/>
      <c r="U3374" s="260"/>
      <c r="V3374" s="260"/>
      <c r="W3374" s="260"/>
      <c r="X3374" s="260"/>
      <c r="Y3374" s="260"/>
      <c r="Z3374" s="260"/>
      <c r="AA3374" s="260"/>
      <c r="AB3374" s="260"/>
      <c r="AC3374" s="260"/>
      <c r="AD3374"/>
      <c r="AE3374"/>
      <c r="AF3374"/>
      <c r="AG3374"/>
    </row>
    <row r="3375" spans="14:33" ht="12" hidden="1" customHeight="1">
      <c r="N3375" s="239"/>
      <c r="O3375" s="225"/>
      <c r="P3375" s="260"/>
      <c r="Q3375" s="258"/>
      <c r="R3375" s="260"/>
      <c r="S3375" s="260"/>
      <c r="T3375" s="260"/>
      <c r="U3375" s="260"/>
      <c r="V3375" s="260"/>
      <c r="W3375" s="260"/>
      <c r="X3375" s="260"/>
      <c r="Y3375" s="260"/>
      <c r="Z3375" s="260"/>
      <c r="AA3375" s="260"/>
      <c r="AB3375" s="260"/>
      <c r="AC3375" s="260"/>
      <c r="AD3375"/>
      <c r="AE3375"/>
      <c r="AF3375"/>
      <c r="AG3375"/>
    </row>
    <row r="3376" spans="14:33" ht="12" hidden="1" customHeight="1">
      <c r="N3376" s="239"/>
      <c r="O3376" s="225"/>
      <c r="P3376" s="260"/>
      <c r="Q3376" s="258"/>
      <c r="R3376" s="260"/>
      <c r="S3376" s="260"/>
      <c r="T3376" s="260"/>
      <c r="U3376" s="260"/>
      <c r="V3376" s="260"/>
      <c r="W3376" s="260"/>
      <c r="X3376" s="260"/>
      <c r="Y3376" s="260"/>
      <c r="Z3376" s="260"/>
      <c r="AA3376" s="260"/>
      <c r="AB3376" s="260"/>
      <c r="AC3376" s="260"/>
      <c r="AD3376"/>
      <c r="AE3376"/>
      <c r="AF3376"/>
      <c r="AG3376"/>
    </row>
    <row r="3377" spans="14:33" ht="12" hidden="1" customHeight="1">
      <c r="N3377" s="239"/>
      <c r="O3377" s="225"/>
      <c r="P3377" s="260"/>
      <c r="Q3377" s="258"/>
      <c r="R3377" s="260"/>
      <c r="S3377" s="260"/>
      <c r="T3377" s="260"/>
      <c r="U3377" s="260"/>
      <c r="V3377" s="260"/>
      <c r="W3377" s="260"/>
      <c r="X3377" s="260"/>
      <c r="Y3377" s="260"/>
      <c r="Z3377" s="260"/>
      <c r="AA3377" s="260"/>
      <c r="AB3377" s="260"/>
      <c r="AC3377" s="260"/>
      <c r="AD3377"/>
      <c r="AE3377"/>
      <c r="AF3377"/>
      <c r="AG3377"/>
    </row>
    <row r="3378" spans="14:33" ht="12" hidden="1" customHeight="1">
      <c r="N3378" s="239"/>
      <c r="O3378" s="225"/>
      <c r="P3378" s="260"/>
      <c r="Q3378" s="258"/>
      <c r="R3378" s="260"/>
      <c r="S3378" s="260"/>
      <c r="T3378" s="260"/>
      <c r="U3378" s="260"/>
      <c r="V3378" s="260"/>
      <c r="W3378" s="260"/>
      <c r="X3378" s="260"/>
      <c r="Y3378" s="260"/>
      <c r="Z3378" s="260"/>
      <c r="AA3378" s="260"/>
      <c r="AB3378" s="260"/>
      <c r="AC3378" s="260"/>
      <c r="AD3378"/>
      <c r="AE3378"/>
      <c r="AF3378"/>
      <c r="AG3378"/>
    </row>
    <row r="3379" spans="14:33" ht="12" hidden="1" customHeight="1">
      <c r="N3379" s="239"/>
      <c r="O3379" s="225"/>
      <c r="P3379" s="260"/>
      <c r="Q3379" s="258"/>
      <c r="R3379" s="260"/>
      <c r="S3379" s="260"/>
      <c r="T3379" s="260"/>
      <c r="U3379" s="260"/>
      <c r="V3379" s="260"/>
      <c r="W3379" s="260"/>
      <c r="X3379" s="260"/>
      <c r="Y3379" s="260"/>
      <c r="Z3379" s="260"/>
      <c r="AA3379" s="260"/>
      <c r="AB3379" s="260"/>
      <c r="AC3379" s="260"/>
      <c r="AD3379"/>
      <c r="AE3379"/>
      <c r="AF3379"/>
      <c r="AG3379"/>
    </row>
    <row r="3380" spans="14:33" ht="12" hidden="1" customHeight="1">
      <c r="N3380" s="239"/>
      <c r="O3380" s="225"/>
      <c r="P3380" s="260"/>
      <c r="Q3380" s="258"/>
      <c r="R3380" s="260"/>
      <c r="S3380" s="260"/>
      <c r="T3380" s="260"/>
      <c r="U3380" s="260"/>
      <c r="V3380" s="260"/>
      <c r="W3380" s="260"/>
      <c r="X3380" s="260"/>
      <c r="Y3380" s="260"/>
      <c r="Z3380" s="260"/>
      <c r="AA3380" s="260"/>
      <c r="AB3380" s="260"/>
      <c r="AC3380" s="260"/>
      <c r="AD3380"/>
      <c r="AE3380"/>
      <c r="AF3380"/>
      <c r="AG3380"/>
    </row>
    <row r="3381" spans="14:33" ht="12" hidden="1" customHeight="1">
      <c r="N3381" s="239"/>
      <c r="O3381" s="225"/>
      <c r="P3381" s="260"/>
      <c r="Q3381" s="258"/>
      <c r="R3381" s="260"/>
      <c r="S3381" s="260"/>
      <c r="T3381" s="260"/>
      <c r="U3381" s="260"/>
      <c r="V3381" s="260"/>
      <c r="W3381" s="260"/>
      <c r="X3381" s="260"/>
      <c r="Y3381" s="260"/>
      <c r="Z3381" s="260"/>
      <c r="AA3381" s="260"/>
      <c r="AB3381" s="260"/>
      <c r="AC3381" s="260"/>
      <c r="AD3381"/>
      <c r="AE3381"/>
      <c r="AF3381"/>
      <c r="AG3381"/>
    </row>
    <row r="3382" spans="14:33" ht="12" hidden="1" customHeight="1">
      <c r="N3382" s="239"/>
      <c r="O3382" s="225"/>
      <c r="P3382" s="260"/>
      <c r="Q3382" s="258"/>
      <c r="R3382" s="260"/>
      <c r="S3382" s="260"/>
      <c r="T3382" s="260"/>
      <c r="U3382" s="260"/>
      <c r="V3382" s="260"/>
      <c r="W3382" s="260"/>
      <c r="X3382" s="260"/>
      <c r="Y3382" s="260"/>
      <c r="Z3382" s="260"/>
      <c r="AA3382" s="260"/>
      <c r="AB3382" s="260"/>
      <c r="AC3382" s="260"/>
      <c r="AD3382"/>
      <c r="AE3382"/>
      <c r="AF3382"/>
      <c r="AG3382"/>
    </row>
    <row r="3383" spans="14:33" ht="12" hidden="1" customHeight="1">
      <c r="N3383" s="239"/>
      <c r="O3383" s="225"/>
      <c r="P3383" s="260"/>
      <c r="Q3383" s="258"/>
      <c r="R3383" s="260"/>
      <c r="S3383" s="260"/>
      <c r="T3383" s="260"/>
      <c r="U3383" s="260"/>
      <c r="V3383" s="260"/>
      <c r="W3383" s="260"/>
      <c r="X3383" s="260"/>
      <c r="Y3383" s="260"/>
      <c r="Z3383" s="260"/>
      <c r="AA3383" s="260"/>
      <c r="AB3383" s="260"/>
      <c r="AC3383" s="260"/>
      <c r="AD3383"/>
      <c r="AE3383"/>
      <c r="AF3383"/>
      <c r="AG3383"/>
    </row>
    <row r="3384" spans="14:33" ht="12" hidden="1" customHeight="1">
      <c r="N3384" s="239"/>
      <c r="O3384" s="225"/>
      <c r="P3384" s="260"/>
      <c r="Q3384" s="258"/>
      <c r="R3384" s="260"/>
      <c r="S3384" s="260"/>
      <c r="T3384" s="260"/>
      <c r="U3384" s="260"/>
      <c r="V3384" s="260"/>
      <c r="W3384" s="260"/>
      <c r="X3384" s="260"/>
      <c r="Y3384" s="260"/>
      <c r="Z3384" s="260"/>
      <c r="AA3384" s="260"/>
      <c r="AB3384" s="260"/>
      <c r="AC3384" s="260"/>
      <c r="AD3384"/>
      <c r="AE3384"/>
      <c r="AF3384"/>
      <c r="AG3384"/>
    </row>
    <row r="3385" spans="14:33" ht="12" hidden="1" customHeight="1">
      <c r="N3385" s="239"/>
      <c r="O3385" s="225"/>
      <c r="P3385" s="260"/>
      <c r="Q3385" s="258"/>
      <c r="R3385" s="260"/>
      <c r="S3385" s="260"/>
      <c r="T3385" s="260"/>
      <c r="U3385" s="260"/>
      <c r="V3385" s="260"/>
      <c r="W3385" s="260"/>
      <c r="X3385" s="260"/>
      <c r="Y3385" s="260"/>
      <c r="Z3385" s="260"/>
      <c r="AA3385" s="260"/>
      <c r="AB3385" s="260"/>
      <c r="AC3385" s="260"/>
      <c r="AD3385"/>
      <c r="AE3385"/>
      <c r="AF3385"/>
      <c r="AG3385"/>
    </row>
    <row r="3386" spans="14:33" ht="12" hidden="1" customHeight="1">
      <c r="N3386" s="239"/>
      <c r="O3386" s="225"/>
      <c r="P3386" s="260"/>
      <c r="Q3386" s="258"/>
      <c r="R3386" s="260"/>
      <c r="S3386" s="260"/>
      <c r="T3386" s="260"/>
      <c r="U3386" s="260"/>
      <c r="V3386" s="260"/>
      <c r="W3386" s="260"/>
      <c r="X3386" s="260"/>
      <c r="Y3386" s="260"/>
      <c r="Z3386" s="260"/>
      <c r="AA3386" s="260"/>
      <c r="AB3386" s="260"/>
      <c r="AC3386" s="260"/>
      <c r="AD3386"/>
      <c r="AE3386"/>
      <c r="AF3386"/>
      <c r="AG3386"/>
    </row>
    <row r="3387" spans="14:33" ht="12" hidden="1" customHeight="1">
      <c r="N3387" s="239"/>
      <c r="O3387" s="225"/>
      <c r="P3387" s="260"/>
      <c r="Q3387" s="258"/>
      <c r="R3387" s="260"/>
      <c r="S3387" s="260"/>
      <c r="T3387" s="260"/>
      <c r="U3387" s="260"/>
      <c r="V3387" s="260"/>
      <c r="W3387" s="260"/>
      <c r="X3387" s="260"/>
      <c r="Y3387" s="260"/>
      <c r="Z3387" s="260"/>
      <c r="AA3387" s="260"/>
      <c r="AB3387" s="260"/>
      <c r="AC3387" s="260"/>
      <c r="AD3387"/>
      <c r="AE3387"/>
      <c r="AF3387"/>
      <c r="AG3387"/>
    </row>
    <row r="3388" spans="14:33" ht="12" hidden="1" customHeight="1">
      <c r="N3388" s="239"/>
      <c r="O3388" s="225"/>
      <c r="P3388" s="260"/>
      <c r="Q3388" s="258"/>
      <c r="R3388" s="260"/>
      <c r="S3388" s="260"/>
      <c r="T3388" s="260"/>
      <c r="U3388" s="260"/>
      <c r="V3388" s="260"/>
      <c r="W3388" s="260"/>
      <c r="X3388" s="260"/>
      <c r="Y3388" s="260"/>
      <c r="Z3388" s="260"/>
      <c r="AA3388" s="260"/>
      <c r="AB3388" s="260"/>
      <c r="AC3388" s="260"/>
      <c r="AD3388"/>
      <c r="AE3388"/>
      <c r="AF3388"/>
      <c r="AG3388"/>
    </row>
    <row r="3389" spans="14:33" ht="12" hidden="1" customHeight="1">
      <c r="N3389" s="239"/>
      <c r="O3389" s="225"/>
      <c r="P3389" s="260"/>
      <c r="Q3389" s="258"/>
      <c r="R3389" s="260"/>
      <c r="S3389" s="260"/>
      <c r="T3389" s="260"/>
      <c r="U3389" s="260"/>
      <c r="V3389" s="260"/>
      <c r="W3389" s="260"/>
      <c r="X3389" s="260"/>
      <c r="Y3389" s="260"/>
      <c r="Z3389" s="260"/>
      <c r="AA3389" s="260"/>
      <c r="AB3389" s="260"/>
      <c r="AC3389" s="260"/>
      <c r="AD3389"/>
      <c r="AE3389"/>
      <c r="AF3389"/>
      <c r="AG3389"/>
    </row>
    <row r="3390" spans="14:33" ht="12" hidden="1" customHeight="1">
      <c r="N3390" s="239"/>
      <c r="O3390" s="225"/>
      <c r="P3390" s="260"/>
      <c r="Q3390" s="258"/>
      <c r="R3390" s="260"/>
      <c r="S3390" s="260"/>
      <c r="T3390" s="260"/>
      <c r="U3390" s="260"/>
      <c r="V3390" s="260"/>
      <c r="W3390" s="260"/>
      <c r="X3390" s="260"/>
      <c r="Y3390" s="260"/>
      <c r="Z3390" s="260"/>
      <c r="AA3390" s="260"/>
      <c r="AB3390" s="260"/>
      <c r="AC3390" s="260"/>
      <c r="AD3390"/>
      <c r="AE3390"/>
      <c r="AF3390"/>
      <c r="AG3390"/>
    </row>
    <row r="3391" spans="14:33" ht="12" hidden="1" customHeight="1">
      <c r="N3391" s="239"/>
      <c r="O3391" s="225"/>
      <c r="P3391" s="260"/>
      <c r="Q3391" s="258"/>
      <c r="R3391" s="260"/>
      <c r="S3391" s="260"/>
      <c r="T3391" s="260"/>
      <c r="U3391" s="260"/>
      <c r="V3391" s="260"/>
      <c r="W3391" s="260"/>
      <c r="X3391" s="260"/>
      <c r="Y3391" s="260"/>
      <c r="Z3391" s="260"/>
      <c r="AA3391" s="260"/>
      <c r="AB3391" s="260"/>
      <c r="AC3391" s="260"/>
      <c r="AD3391"/>
      <c r="AE3391"/>
      <c r="AF3391"/>
      <c r="AG3391"/>
    </row>
    <row r="3392" spans="14:33" ht="12" hidden="1" customHeight="1">
      <c r="N3392" s="239"/>
      <c r="O3392" s="225"/>
      <c r="P3392" s="260"/>
      <c r="Q3392" s="258"/>
      <c r="R3392" s="260"/>
      <c r="S3392" s="260"/>
      <c r="T3392" s="260"/>
      <c r="U3392" s="260"/>
      <c r="V3392" s="260"/>
      <c r="W3392" s="260"/>
      <c r="X3392" s="260"/>
      <c r="Y3392" s="260"/>
      <c r="Z3392" s="260"/>
      <c r="AA3392" s="260"/>
      <c r="AB3392" s="260"/>
      <c r="AC3392" s="260"/>
      <c r="AD3392"/>
      <c r="AE3392"/>
      <c r="AF3392"/>
      <c r="AG3392"/>
    </row>
    <row r="3393" spans="14:33" ht="12" hidden="1" customHeight="1">
      <c r="N3393" s="239"/>
      <c r="O3393" s="225"/>
      <c r="P3393" s="260"/>
      <c r="Q3393" s="258"/>
      <c r="R3393" s="260"/>
      <c r="S3393" s="260"/>
      <c r="T3393" s="260"/>
      <c r="U3393" s="260"/>
      <c r="V3393" s="260"/>
      <c r="W3393" s="260"/>
      <c r="X3393" s="260"/>
      <c r="Y3393" s="260"/>
      <c r="Z3393" s="260"/>
      <c r="AA3393" s="260"/>
      <c r="AB3393" s="260"/>
      <c r="AC3393" s="260"/>
      <c r="AD3393"/>
      <c r="AE3393"/>
      <c r="AF3393"/>
      <c r="AG3393"/>
    </row>
    <row r="3394" spans="14:33" ht="12" hidden="1" customHeight="1">
      <c r="N3394" s="239"/>
      <c r="O3394" s="225"/>
      <c r="P3394" s="260"/>
      <c r="Q3394" s="258"/>
      <c r="R3394" s="260"/>
      <c r="S3394" s="260"/>
      <c r="T3394" s="260"/>
      <c r="U3394" s="260"/>
      <c r="V3394" s="260"/>
      <c r="W3394" s="260"/>
      <c r="X3394" s="260"/>
      <c r="Y3394" s="260"/>
      <c r="Z3394" s="260"/>
      <c r="AA3394" s="260"/>
      <c r="AB3394" s="260"/>
      <c r="AC3394" s="260"/>
      <c r="AD3394"/>
      <c r="AE3394"/>
      <c r="AF3394"/>
      <c r="AG3394"/>
    </row>
    <row r="3395" spans="14:33" ht="12" hidden="1" customHeight="1">
      <c r="N3395" s="239"/>
      <c r="O3395" s="225"/>
      <c r="P3395" s="260"/>
      <c r="Q3395" s="258"/>
      <c r="R3395" s="260"/>
      <c r="S3395" s="260"/>
      <c r="T3395" s="260"/>
      <c r="U3395" s="260"/>
      <c r="V3395" s="260"/>
      <c r="W3395" s="260"/>
      <c r="X3395" s="260"/>
      <c r="Y3395" s="260"/>
      <c r="Z3395" s="260"/>
      <c r="AA3395" s="260"/>
      <c r="AB3395" s="260"/>
      <c r="AC3395" s="260"/>
      <c r="AD3395"/>
      <c r="AE3395"/>
      <c r="AF3395"/>
      <c r="AG3395"/>
    </row>
    <row r="3396" spans="14:33" ht="12" hidden="1" customHeight="1">
      <c r="N3396" s="239"/>
      <c r="O3396" s="225"/>
      <c r="P3396" s="260"/>
      <c r="Q3396" s="258"/>
      <c r="R3396" s="260"/>
      <c r="S3396" s="260"/>
      <c r="T3396" s="260"/>
      <c r="U3396" s="260"/>
      <c r="V3396" s="260"/>
      <c r="W3396" s="260"/>
      <c r="X3396" s="260"/>
      <c r="Y3396" s="260"/>
      <c r="Z3396" s="260"/>
      <c r="AA3396" s="260"/>
      <c r="AB3396" s="260"/>
      <c r="AC3396" s="260"/>
      <c r="AD3396"/>
      <c r="AE3396"/>
      <c r="AF3396"/>
      <c r="AG3396"/>
    </row>
    <row r="3397" spans="14:33" ht="12" hidden="1" customHeight="1">
      <c r="N3397" s="239"/>
      <c r="O3397" s="225"/>
      <c r="P3397" s="260"/>
      <c r="Q3397" s="258"/>
      <c r="R3397" s="260"/>
      <c r="S3397" s="260"/>
      <c r="T3397" s="260"/>
      <c r="U3397" s="260"/>
      <c r="V3397" s="260"/>
      <c r="W3397" s="260"/>
      <c r="X3397" s="260"/>
      <c r="Y3397" s="260"/>
      <c r="Z3397" s="260"/>
      <c r="AA3397" s="260"/>
      <c r="AB3397" s="260"/>
      <c r="AC3397" s="260"/>
      <c r="AD3397"/>
      <c r="AE3397"/>
      <c r="AF3397"/>
      <c r="AG3397"/>
    </row>
    <row r="3398" spans="14:33" ht="12" hidden="1" customHeight="1">
      <c r="N3398" s="239"/>
      <c r="O3398" s="225"/>
      <c r="P3398" s="260"/>
      <c r="Q3398" s="258"/>
      <c r="R3398" s="260"/>
      <c r="S3398" s="260"/>
      <c r="T3398" s="260"/>
      <c r="U3398" s="260"/>
      <c r="V3398" s="260"/>
      <c r="W3398" s="260"/>
      <c r="X3398" s="260"/>
      <c r="Y3398" s="260"/>
      <c r="Z3398" s="260"/>
      <c r="AA3398" s="260"/>
      <c r="AB3398" s="260"/>
      <c r="AC3398" s="260"/>
      <c r="AD3398"/>
      <c r="AE3398"/>
      <c r="AF3398"/>
      <c r="AG3398"/>
    </row>
    <row r="3399" spans="14:33" ht="12" hidden="1" customHeight="1">
      <c r="N3399" s="239"/>
      <c r="O3399" s="225"/>
      <c r="P3399" s="260"/>
      <c r="Q3399" s="258"/>
      <c r="R3399" s="260"/>
      <c r="S3399" s="260"/>
      <c r="T3399" s="260"/>
      <c r="U3399" s="260"/>
      <c r="V3399" s="260"/>
      <c r="W3399" s="260"/>
      <c r="X3399" s="260"/>
      <c r="Y3399" s="260"/>
      <c r="Z3399" s="260"/>
      <c r="AA3399" s="260"/>
      <c r="AB3399" s="260"/>
      <c r="AC3399" s="260"/>
      <c r="AD3399"/>
      <c r="AE3399"/>
      <c r="AF3399"/>
      <c r="AG3399"/>
    </row>
    <row r="3400" spans="14:33" ht="12" hidden="1" customHeight="1">
      <c r="N3400" s="239"/>
      <c r="O3400" s="225"/>
      <c r="P3400" s="260"/>
      <c r="Q3400" s="258"/>
      <c r="R3400" s="260"/>
      <c r="S3400" s="260"/>
      <c r="T3400" s="260"/>
      <c r="U3400" s="260"/>
      <c r="V3400" s="260"/>
      <c r="W3400" s="260"/>
      <c r="X3400" s="260"/>
      <c r="Y3400" s="260"/>
      <c r="Z3400" s="260"/>
      <c r="AA3400" s="260"/>
      <c r="AB3400" s="260"/>
      <c r="AC3400" s="260"/>
      <c r="AD3400"/>
      <c r="AE3400"/>
      <c r="AF3400"/>
      <c r="AG3400"/>
    </row>
    <row r="3401" spans="14:33" ht="12" hidden="1" customHeight="1">
      <c r="N3401" s="239"/>
      <c r="O3401" s="225"/>
      <c r="P3401" s="260"/>
      <c r="Q3401" s="258"/>
      <c r="R3401" s="260"/>
      <c r="S3401" s="260"/>
      <c r="T3401" s="260"/>
      <c r="U3401" s="260"/>
      <c r="V3401" s="260"/>
      <c r="W3401" s="260"/>
      <c r="X3401" s="260"/>
      <c r="Y3401" s="260"/>
      <c r="Z3401" s="260"/>
      <c r="AA3401" s="260"/>
      <c r="AB3401" s="260"/>
      <c r="AC3401" s="260"/>
      <c r="AD3401"/>
      <c r="AE3401"/>
      <c r="AF3401"/>
      <c r="AG3401"/>
    </row>
    <row r="3402" spans="14:33" ht="12" hidden="1" customHeight="1">
      <c r="N3402" s="239"/>
      <c r="O3402" s="225"/>
      <c r="P3402" s="260"/>
      <c r="Q3402" s="258"/>
      <c r="R3402" s="260"/>
      <c r="S3402" s="260"/>
      <c r="T3402" s="260"/>
      <c r="U3402" s="260"/>
      <c r="V3402" s="260"/>
      <c r="W3402" s="260"/>
      <c r="X3402" s="260"/>
      <c r="Y3402" s="260"/>
      <c r="Z3402" s="260"/>
      <c r="AA3402" s="260"/>
      <c r="AB3402" s="260"/>
      <c r="AC3402" s="260"/>
      <c r="AD3402"/>
      <c r="AE3402"/>
      <c r="AF3402"/>
      <c r="AG3402"/>
    </row>
    <row r="3403" spans="14:33" ht="12" hidden="1" customHeight="1">
      <c r="N3403" s="239"/>
      <c r="O3403" s="225"/>
      <c r="P3403" s="260"/>
      <c r="Q3403" s="258"/>
      <c r="R3403" s="260"/>
      <c r="S3403" s="260"/>
      <c r="T3403" s="260"/>
      <c r="U3403" s="260"/>
      <c r="V3403" s="260"/>
      <c r="W3403" s="260"/>
      <c r="X3403" s="260"/>
      <c r="Y3403" s="260"/>
      <c r="Z3403" s="260"/>
      <c r="AA3403" s="260"/>
      <c r="AB3403" s="260"/>
      <c r="AC3403" s="260"/>
      <c r="AD3403"/>
      <c r="AE3403"/>
      <c r="AF3403"/>
      <c r="AG3403"/>
    </row>
    <row r="3404" spans="14:33" ht="12" hidden="1" customHeight="1">
      <c r="N3404" s="239"/>
      <c r="O3404" s="225"/>
      <c r="P3404" s="260"/>
      <c r="Q3404" s="258"/>
      <c r="R3404" s="260"/>
      <c r="S3404" s="260"/>
      <c r="T3404" s="260"/>
      <c r="U3404" s="260"/>
      <c r="V3404" s="260"/>
      <c r="W3404" s="260"/>
      <c r="X3404" s="260"/>
      <c r="Y3404" s="260"/>
      <c r="Z3404" s="260"/>
      <c r="AA3404" s="260"/>
      <c r="AB3404" s="260"/>
      <c r="AC3404" s="260"/>
      <c r="AD3404"/>
      <c r="AE3404"/>
      <c r="AF3404"/>
      <c r="AG3404"/>
    </row>
    <row r="3405" spans="14:33" ht="12" hidden="1" customHeight="1">
      <c r="N3405" s="239"/>
      <c r="O3405" s="225"/>
      <c r="P3405" s="260"/>
      <c r="Q3405" s="258"/>
      <c r="R3405" s="260"/>
      <c r="S3405" s="260"/>
      <c r="T3405" s="260"/>
      <c r="U3405" s="260"/>
      <c r="V3405" s="260"/>
      <c r="W3405" s="260"/>
      <c r="X3405" s="260"/>
      <c r="Y3405" s="260"/>
      <c r="Z3405" s="260"/>
      <c r="AA3405" s="260"/>
      <c r="AB3405" s="260"/>
      <c r="AC3405" s="260"/>
      <c r="AD3405"/>
      <c r="AE3405"/>
      <c r="AF3405"/>
      <c r="AG3405"/>
    </row>
    <row r="3406" spans="14:33" ht="12" hidden="1" customHeight="1">
      <c r="N3406" s="239"/>
      <c r="O3406" s="225"/>
      <c r="P3406" s="260"/>
      <c r="Q3406" s="258"/>
      <c r="R3406" s="260"/>
      <c r="S3406" s="260"/>
      <c r="T3406" s="260"/>
      <c r="U3406" s="260"/>
      <c r="V3406" s="260"/>
      <c r="W3406" s="260"/>
      <c r="X3406" s="260"/>
      <c r="Y3406" s="260"/>
      <c r="Z3406" s="260"/>
      <c r="AA3406" s="260"/>
      <c r="AB3406" s="260"/>
      <c r="AC3406" s="260"/>
      <c r="AD3406"/>
      <c r="AE3406"/>
      <c r="AF3406"/>
      <c r="AG3406"/>
    </row>
    <row r="3407" spans="14:33" ht="12" hidden="1" customHeight="1">
      <c r="N3407" s="239"/>
      <c r="O3407" s="225"/>
      <c r="P3407" s="260"/>
      <c r="Q3407" s="258"/>
      <c r="R3407" s="260"/>
      <c r="S3407" s="260"/>
      <c r="T3407" s="260"/>
      <c r="U3407" s="260"/>
      <c r="V3407" s="260"/>
      <c r="W3407" s="260"/>
      <c r="X3407" s="260"/>
      <c r="Y3407" s="260"/>
      <c r="Z3407" s="260"/>
      <c r="AA3407" s="260"/>
      <c r="AB3407" s="260"/>
      <c r="AC3407" s="260"/>
      <c r="AD3407"/>
      <c r="AE3407"/>
      <c r="AF3407"/>
      <c r="AG3407"/>
    </row>
    <row r="3408" spans="14:33" ht="12" hidden="1" customHeight="1">
      <c r="N3408" s="239"/>
      <c r="O3408" s="225"/>
      <c r="P3408" s="260"/>
      <c r="Q3408" s="258"/>
      <c r="R3408" s="260"/>
      <c r="S3408" s="260"/>
      <c r="T3408" s="260"/>
      <c r="U3408" s="260"/>
      <c r="V3408" s="260"/>
      <c r="W3408" s="260"/>
      <c r="X3408" s="260"/>
      <c r="Y3408" s="260"/>
      <c r="Z3408" s="260"/>
      <c r="AA3408" s="260"/>
      <c r="AB3408" s="260"/>
      <c r="AC3408" s="260"/>
      <c r="AD3408"/>
      <c r="AE3408"/>
      <c r="AF3408"/>
      <c r="AG3408"/>
    </row>
    <row r="3409" spans="14:33" ht="12" hidden="1" customHeight="1">
      <c r="N3409" s="239"/>
      <c r="O3409" s="225"/>
      <c r="P3409" s="260"/>
      <c r="Q3409" s="258"/>
      <c r="R3409" s="260"/>
      <c r="S3409" s="260"/>
      <c r="T3409" s="260"/>
      <c r="U3409" s="260"/>
      <c r="V3409" s="260"/>
      <c r="W3409" s="260"/>
      <c r="X3409" s="260"/>
      <c r="Y3409" s="260"/>
      <c r="Z3409" s="260"/>
      <c r="AA3409" s="260"/>
      <c r="AB3409" s="260"/>
      <c r="AC3409" s="260"/>
      <c r="AD3409"/>
      <c r="AE3409"/>
      <c r="AF3409"/>
      <c r="AG3409"/>
    </row>
    <row r="3410" spans="14:33" ht="12" hidden="1" customHeight="1">
      <c r="N3410" s="239"/>
      <c r="O3410" s="225"/>
      <c r="P3410" s="260"/>
      <c r="Q3410" s="258"/>
      <c r="R3410" s="260"/>
      <c r="S3410" s="260"/>
      <c r="T3410" s="260"/>
      <c r="U3410" s="260"/>
      <c r="V3410" s="260"/>
      <c r="W3410" s="260"/>
      <c r="X3410" s="260"/>
      <c r="Y3410" s="260"/>
      <c r="Z3410" s="260"/>
      <c r="AA3410" s="260"/>
      <c r="AB3410" s="260"/>
      <c r="AC3410" s="260"/>
      <c r="AD3410"/>
      <c r="AE3410"/>
      <c r="AF3410"/>
      <c r="AG3410"/>
    </row>
    <row r="3411" spans="14:33" ht="12" hidden="1" customHeight="1">
      <c r="N3411" s="239"/>
      <c r="O3411" s="225"/>
      <c r="P3411" s="260"/>
      <c r="Q3411" s="258"/>
      <c r="R3411" s="260"/>
      <c r="S3411" s="260"/>
      <c r="T3411" s="260"/>
      <c r="U3411" s="260"/>
      <c r="V3411" s="260"/>
      <c r="W3411" s="260"/>
      <c r="X3411" s="260"/>
      <c r="Y3411" s="260"/>
      <c r="Z3411" s="260"/>
      <c r="AA3411" s="260"/>
      <c r="AB3411" s="260"/>
      <c r="AC3411" s="260"/>
      <c r="AD3411"/>
      <c r="AE3411"/>
      <c r="AF3411"/>
      <c r="AG3411"/>
    </row>
    <row r="3412" spans="14:33" ht="12" hidden="1" customHeight="1">
      <c r="N3412" s="239"/>
      <c r="O3412" s="225"/>
      <c r="P3412" s="260"/>
      <c r="Q3412" s="258"/>
      <c r="R3412" s="260"/>
      <c r="S3412" s="260"/>
      <c r="T3412" s="260"/>
      <c r="U3412" s="260"/>
      <c r="V3412" s="260"/>
      <c r="W3412" s="260"/>
      <c r="X3412" s="260"/>
      <c r="Y3412" s="260"/>
      <c r="Z3412" s="260"/>
      <c r="AA3412" s="260"/>
      <c r="AB3412" s="260"/>
      <c r="AC3412" s="260"/>
      <c r="AD3412"/>
      <c r="AE3412"/>
      <c r="AF3412"/>
      <c r="AG3412"/>
    </row>
    <row r="3413" spans="14:33" ht="12" hidden="1" customHeight="1">
      <c r="N3413" s="239"/>
      <c r="O3413" s="225"/>
      <c r="P3413" s="260"/>
      <c r="Q3413" s="258"/>
      <c r="R3413" s="260"/>
      <c r="S3413" s="260"/>
      <c r="T3413" s="260"/>
      <c r="U3413" s="260"/>
      <c r="V3413" s="260"/>
      <c r="W3413" s="260"/>
      <c r="X3413" s="260"/>
      <c r="Y3413" s="260"/>
      <c r="Z3413" s="260"/>
      <c r="AA3413" s="260"/>
      <c r="AB3413" s="260"/>
      <c r="AC3413" s="260"/>
      <c r="AD3413"/>
      <c r="AE3413"/>
      <c r="AF3413"/>
      <c r="AG3413"/>
    </row>
    <row r="3414" spans="14:33" ht="12" hidden="1" customHeight="1">
      <c r="N3414" s="239"/>
      <c r="O3414" s="225"/>
      <c r="P3414" s="260"/>
      <c r="Q3414" s="258"/>
      <c r="R3414" s="260"/>
      <c r="S3414" s="260"/>
      <c r="T3414" s="260"/>
      <c r="U3414" s="260"/>
      <c r="V3414" s="260"/>
      <c r="W3414" s="260"/>
      <c r="X3414" s="260"/>
      <c r="Y3414" s="260"/>
      <c r="Z3414" s="260"/>
      <c r="AA3414" s="260"/>
      <c r="AB3414" s="260"/>
      <c r="AC3414" s="260"/>
      <c r="AD3414"/>
      <c r="AE3414"/>
      <c r="AF3414"/>
      <c r="AG3414"/>
    </row>
    <row r="3415" spans="14:33" ht="12" hidden="1" customHeight="1">
      <c r="N3415" s="239"/>
      <c r="O3415" s="225"/>
      <c r="P3415" s="260"/>
      <c r="Q3415" s="258"/>
      <c r="R3415" s="260"/>
      <c r="S3415" s="260"/>
      <c r="T3415" s="260"/>
      <c r="U3415" s="260"/>
      <c r="V3415" s="260"/>
      <c r="W3415" s="260"/>
      <c r="X3415" s="260"/>
      <c r="Y3415" s="260"/>
      <c r="Z3415" s="260"/>
      <c r="AA3415" s="260"/>
      <c r="AB3415" s="260"/>
      <c r="AC3415" s="260"/>
      <c r="AD3415"/>
      <c r="AE3415"/>
      <c r="AF3415"/>
      <c r="AG3415"/>
    </row>
    <row r="3416" spans="14:33" ht="12" hidden="1" customHeight="1">
      <c r="N3416" s="239"/>
      <c r="O3416" s="225"/>
      <c r="P3416" s="260"/>
      <c r="Q3416" s="258"/>
      <c r="R3416" s="260"/>
      <c r="S3416" s="260"/>
      <c r="T3416" s="260"/>
      <c r="U3416" s="260"/>
      <c r="V3416" s="260"/>
      <c r="W3416" s="260"/>
      <c r="X3416" s="260"/>
      <c r="Y3416" s="260"/>
      <c r="Z3416" s="260"/>
      <c r="AA3416" s="260"/>
      <c r="AB3416" s="260"/>
      <c r="AC3416" s="260"/>
      <c r="AD3416"/>
      <c r="AE3416"/>
      <c r="AF3416"/>
      <c r="AG3416"/>
    </row>
    <row r="3417" spans="14:33" ht="12" hidden="1" customHeight="1">
      <c r="N3417" s="239"/>
      <c r="O3417" s="225"/>
      <c r="P3417" s="260"/>
      <c r="Q3417" s="258"/>
      <c r="R3417" s="260"/>
      <c r="S3417" s="260"/>
      <c r="T3417" s="260"/>
      <c r="U3417" s="260"/>
      <c r="V3417" s="260"/>
      <c r="W3417" s="260"/>
      <c r="X3417" s="260"/>
      <c r="Y3417" s="260"/>
      <c r="Z3417" s="260"/>
      <c r="AA3417" s="260"/>
      <c r="AB3417" s="260"/>
      <c r="AC3417" s="260"/>
      <c r="AD3417"/>
      <c r="AE3417"/>
      <c r="AF3417"/>
      <c r="AG3417"/>
    </row>
    <row r="3418" spans="14:33" ht="12" hidden="1" customHeight="1">
      <c r="N3418" s="239"/>
      <c r="O3418" s="225"/>
      <c r="P3418" s="260"/>
      <c r="Q3418" s="258"/>
      <c r="R3418" s="260"/>
      <c r="S3418" s="260"/>
      <c r="T3418" s="260"/>
      <c r="U3418" s="260"/>
      <c r="V3418" s="260"/>
      <c r="W3418" s="260"/>
      <c r="X3418" s="260"/>
      <c r="Y3418" s="260"/>
      <c r="Z3418" s="260"/>
      <c r="AA3418" s="260"/>
      <c r="AB3418" s="260"/>
      <c r="AC3418" s="260"/>
      <c r="AD3418"/>
      <c r="AE3418"/>
      <c r="AF3418"/>
      <c r="AG3418"/>
    </row>
    <row r="3419" spans="14:33" ht="12" hidden="1" customHeight="1">
      <c r="N3419" s="239"/>
      <c r="O3419" s="225"/>
      <c r="P3419" s="260"/>
      <c r="Q3419" s="258"/>
      <c r="R3419" s="260"/>
      <c r="S3419" s="260"/>
      <c r="T3419" s="260"/>
      <c r="U3419" s="260"/>
      <c r="V3419" s="260"/>
      <c r="W3419" s="260"/>
      <c r="X3419" s="260"/>
      <c r="Y3419" s="260"/>
      <c r="Z3419" s="260"/>
      <c r="AA3419" s="260"/>
      <c r="AB3419" s="260"/>
      <c r="AC3419" s="260"/>
      <c r="AD3419"/>
      <c r="AE3419"/>
      <c r="AF3419"/>
      <c r="AG3419"/>
    </row>
    <row r="3420" spans="14:33" ht="12" hidden="1" customHeight="1">
      <c r="N3420" s="239"/>
      <c r="O3420" s="225"/>
      <c r="P3420" s="260"/>
      <c r="Q3420" s="258"/>
      <c r="R3420" s="260"/>
      <c r="S3420" s="260"/>
      <c r="T3420" s="260"/>
      <c r="U3420" s="260"/>
      <c r="V3420" s="260"/>
      <c r="W3420" s="260"/>
      <c r="X3420" s="260"/>
      <c r="Y3420" s="260"/>
      <c r="Z3420" s="260"/>
      <c r="AA3420" s="260"/>
      <c r="AB3420" s="260"/>
      <c r="AC3420" s="260"/>
      <c r="AD3420"/>
      <c r="AE3420"/>
      <c r="AF3420"/>
      <c r="AG3420"/>
    </row>
    <row r="3421" spans="14:33" ht="12" hidden="1" customHeight="1">
      <c r="N3421" s="239"/>
      <c r="O3421" s="225"/>
      <c r="P3421" s="260"/>
      <c r="Q3421" s="258"/>
      <c r="R3421" s="260"/>
      <c r="S3421" s="260"/>
      <c r="T3421" s="260"/>
      <c r="U3421" s="260"/>
      <c r="V3421" s="260"/>
      <c r="W3421" s="260"/>
      <c r="X3421" s="260"/>
      <c r="Y3421" s="260"/>
      <c r="Z3421" s="260"/>
      <c r="AA3421" s="260"/>
      <c r="AB3421" s="260"/>
      <c r="AC3421" s="260"/>
      <c r="AD3421"/>
      <c r="AE3421"/>
      <c r="AF3421"/>
      <c r="AG3421"/>
    </row>
    <row r="3422" spans="14:33" ht="12" hidden="1" customHeight="1">
      <c r="N3422" s="239"/>
      <c r="O3422" s="225"/>
      <c r="P3422" s="260"/>
      <c r="Q3422" s="258"/>
      <c r="R3422" s="260"/>
      <c r="S3422" s="260"/>
      <c r="T3422" s="260"/>
      <c r="U3422" s="260"/>
      <c r="V3422" s="260"/>
      <c r="W3422" s="260"/>
      <c r="X3422" s="260"/>
      <c r="Y3422" s="260"/>
      <c r="Z3422" s="260"/>
      <c r="AA3422" s="260"/>
      <c r="AB3422" s="260"/>
      <c r="AC3422" s="260"/>
      <c r="AD3422"/>
      <c r="AE3422"/>
      <c r="AF3422"/>
      <c r="AG3422"/>
    </row>
    <row r="3423" spans="14:33" ht="12" hidden="1" customHeight="1">
      <c r="N3423" s="239"/>
      <c r="O3423" s="225"/>
      <c r="P3423" s="260"/>
      <c r="Q3423" s="258"/>
      <c r="R3423" s="260"/>
      <c r="S3423" s="260"/>
      <c r="T3423" s="260"/>
      <c r="U3423" s="260"/>
      <c r="V3423" s="260"/>
      <c r="W3423" s="260"/>
      <c r="X3423" s="260"/>
      <c r="Y3423" s="260"/>
      <c r="Z3423" s="260"/>
      <c r="AA3423" s="260"/>
      <c r="AB3423" s="260"/>
      <c r="AC3423" s="260"/>
      <c r="AD3423"/>
      <c r="AE3423"/>
      <c r="AF3423"/>
      <c r="AG3423"/>
    </row>
    <row r="3424" spans="14:33" ht="12" hidden="1" customHeight="1">
      <c r="N3424" s="239"/>
      <c r="O3424" s="225"/>
      <c r="P3424" s="260"/>
      <c r="Q3424" s="258"/>
      <c r="R3424" s="260"/>
      <c r="S3424" s="260"/>
      <c r="T3424" s="260"/>
      <c r="U3424" s="260"/>
      <c r="V3424" s="260"/>
      <c r="W3424" s="260"/>
      <c r="X3424" s="260"/>
      <c r="Y3424" s="260"/>
      <c r="Z3424" s="260"/>
      <c r="AA3424" s="260"/>
      <c r="AB3424" s="260"/>
      <c r="AC3424" s="260"/>
      <c r="AD3424"/>
      <c r="AE3424"/>
      <c r="AF3424"/>
      <c r="AG3424"/>
    </row>
    <row r="3425" spans="14:33" ht="12" hidden="1" customHeight="1">
      <c r="N3425" s="239"/>
      <c r="O3425" s="225"/>
      <c r="P3425" s="260"/>
      <c r="Q3425" s="258"/>
      <c r="R3425" s="260"/>
      <c r="S3425" s="260"/>
      <c r="T3425" s="260"/>
      <c r="U3425" s="260"/>
      <c r="V3425" s="260"/>
      <c r="W3425" s="260"/>
      <c r="X3425" s="260"/>
      <c r="Y3425" s="260"/>
      <c r="Z3425" s="260"/>
      <c r="AA3425" s="260"/>
      <c r="AB3425" s="260"/>
      <c r="AC3425" s="260"/>
      <c r="AD3425"/>
      <c r="AE3425"/>
      <c r="AF3425"/>
      <c r="AG3425"/>
    </row>
    <row r="3426" spans="14:33" ht="12" hidden="1" customHeight="1">
      <c r="N3426" s="239"/>
      <c r="O3426" s="225"/>
      <c r="P3426" s="260"/>
      <c r="Q3426" s="258"/>
      <c r="R3426" s="260"/>
      <c r="S3426" s="260"/>
      <c r="T3426" s="260"/>
      <c r="U3426" s="260"/>
      <c r="V3426" s="260"/>
      <c r="W3426" s="260"/>
      <c r="X3426" s="260"/>
      <c r="Y3426" s="260"/>
      <c r="Z3426" s="260"/>
      <c r="AA3426" s="260"/>
      <c r="AB3426" s="260"/>
      <c r="AC3426" s="260"/>
      <c r="AD3426"/>
      <c r="AE3426"/>
      <c r="AF3426"/>
      <c r="AG3426"/>
    </row>
    <row r="3427" spans="14:33" ht="12" hidden="1" customHeight="1">
      <c r="N3427" s="239"/>
      <c r="O3427" s="225"/>
      <c r="P3427" s="260"/>
      <c r="Q3427" s="258"/>
      <c r="R3427" s="260"/>
      <c r="S3427" s="260"/>
      <c r="T3427" s="260"/>
      <c r="U3427" s="260"/>
      <c r="V3427" s="260"/>
      <c r="W3427" s="260"/>
      <c r="X3427" s="260"/>
      <c r="Y3427" s="260"/>
      <c r="Z3427" s="260"/>
      <c r="AA3427" s="260"/>
      <c r="AB3427" s="260"/>
      <c r="AC3427" s="260"/>
      <c r="AD3427"/>
      <c r="AE3427"/>
      <c r="AF3427"/>
      <c r="AG3427"/>
    </row>
    <row r="3428" spans="14:33" ht="12" hidden="1" customHeight="1">
      <c r="N3428" s="239"/>
      <c r="O3428" s="225"/>
      <c r="P3428" s="260"/>
      <c r="Q3428" s="258"/>
      <c r="R3428" s="260"/>
      <c r="S3428" s="260"/>
      <c r="T3428" s="260"/>
      <c r="U3428" s="260"/>
      <c r="V3428" s="260"/>
      <c r="W3428" s="260"/>
      <c r="X3428" s="260"/>
      <c r="Y3428" s="260"/>
      <c r="Z3428" s="260"/>
      <c r="AA3428" s="260"/>
      <c r="AB3428" s="260"/>
      <c r="AC3428" s="260"/>
      <c r="AD3428"/>
      <c r="AE3428"/>
      <c r="AF3428"/>
      <c r="AG3428"/>
    </row>
    <row r="3429" spans="14:33" ht="12" hidden="1" customHeight="1">
      <c r="N3429" s="239"/>
      <c r="O3429" s="225"/>
      <c r="P3429" s="260"/>
      <c r="Q3429" s="258"/>
      <c r="R3429" s="260"/>
      <c r="S3429" s="260"/>
      <c r="T3429" s="260"/>
      <c r="U3429" s="260"/>
      <c r="V3429" s="260"/>
      <c r="W3429" s="260"/>
      <c r="X3429" s="260"/>
      <c r="Y3429" s="260"/>
      <c r="Z3429" s="260"/>
      <c r="AA3429" s="260"/>
      <c r="AB3429" s="260"/>
      <c r="AC3429" s="260"/>
      <c r="AD3429"/>
      <c r="AE3429"/>
      <c r="AF3429"/>
      <c r="AG3429"/>
    </row>
    <row r="3430" spans="14:33" ht="12" hidden="1" customHeight="1">
      <c r="N3430" s="239"/>
      <c r="O3430" s="225"/>
      <c r="P3430" s="260"/>
      <c r="Q3430" s="258"/>
      <c r="R3430" s="260"/>
      <c r="S3430" s="260"/>
      <c r="T3430" s="260"/>
      <c r="U3430" s="260"/>
      <c r="V3430" s="260"/>
      <c r="W3430" s="260"/>
      <c r="X3430" s="260"/>
      <c r="Y3430" s="260"/>
      <c r="Z3430" s="260"/>
      <c r="AA3430" s="260"/>
      <c r="AB3430" s="260"/>
      <c r="AC3430" s="260"/>
      <c r="AD3430"/>
      <c r="AE3430"/>
      <c r="AF3430"/>
      <c r="AG3430"/>
    </row>
    <row r="3431" spans="14:33" ht="12" hidden="1" customHeight="1">
      <c r="N3431" s="239"/>
      <c r="O3431" s="225"/>
      <c r="P3431" s="260"/>
      <c r="Q3431" s="258"/>
      <c r="R3431" s="260"/>
      <c r="S3431" s="260"/>
      <c r="T3431" s="260"/>
      <c r="U3431" s="260"/>
      <c r="V3431" s="260"/>
      <c r="W3431" s="260"/>
      <c r="X3431" s="260"/>
      <c r="Y3431" s="260"/>
      <c r="Z3431" s="260"/>
      <c r="AA3431" s="260"/>
      <c r="AB3431" s="260"/>
      <c r="AC3431" s="260"/>
      <c r="AD3431"/>
      <c r="AE3431"/>
      <c r="AF3431"/>
      <c r="AG3431"/>
    </row>
    <row r="3432" spans="14:33" ht="12" hidden="1" customHeight="1">
      <c r="N3432" s="239"/>
      <c r="O3432" s="225"/>
      <c r="P3432" s="260"/>
      <c r="Q3432" s="258"/>
      <c r="R3432" s="260"/>
      <c r="S3432" s="260"/>
      <c r="T3432" s="260"/>
      <c r="U3432" s="260"/>
      <c r="V3432" s="260"/>
      <c r="W3432" s="260"/>
      <c r="X3432" s="260"/>
      <c r="Y3432" s="260"/>
      <c r="Z3432" s="260"/>
      <c r="AA3432" s="260"/>
      <c r="AB3432" s="260"/>
      <c r="AC3432" s="260"/>
      <c r="AD3432"/>
      <c r="AE3432"/>
      <c r="AF3432"/>
      <c r="AG3432"/>
    </row>
    <row r="3433" spans="14:33" ht="12" hidden="1" customHeight="1">
      <c r="N3433" s="239"/>
      <c r="O3433" s="225"/>
      <c r="P3433" s="260"/>
      <c r="Q3433" s="258"/>
      <c r="R3433" s="260"/>
      <c r="S3433" s="260"/>
      <c r="T3433" s="260"/>
      <c r="U3433" s="260"/>
      <c r="V3433" s="260"/>
      <c r="W3433" s="260"/>
      <c r="X3433" s="260"/>
      <c r="Y3433" s="260"/>
      <c r="Z3433" s="260"/>
      <c r="AA3433" s="260"/>
      <c r="AB3433" s="260"/>
      <c r="AC3433" s="260"/>
      <c r="AD3433"/>
      <c r="AE3433"/>
      <c r="AF3433"/>
      <c r="AG3433"/>
    </row>
    <row r="3434" spans="14:33" ht="12" hidden="1" customHeight="1">
      <c r="N3434" s="239"/>
      <c r="O3434" s="225"/>
      <c r="P3434" s="260"/>
      <c r="Q3434" s="258"/>
      <c r="R3434" s="260"/>
      <c r="S3434" s="260"/>
      <c r="T3434" s="260"/>
      <c r="U3434" s="260"/>
      <c r="V3434" s="260"/>
      <c r="W3434" s="260"/>
      <c r="X3434" s="260"/>
      <c r="Y3434" s="260"/>
      <c r="Z3434" s="260"/>
      <c r="AA3434" s="260"/>
      <c r="AB3434" s="260"/>
      <c r="AC3434" s="260"/>
      <c r="AD3434"/>
      <c r="AE3434"/>
      <c r="AF3434"/>
      <c r="AG3434"/>
    </row>
    <row r="3435" spans="14:33" ht="12" hidden="1" customHeight="1">
      <c r="N3435" s="239"/>
      <c r="O3435" s="225"/>
      <c r="P3435" s="260"/>
      <c r="Q3435" s="258"/>
      <c r="R3435" s="260"/>
      <c r="S3435" s="260"/>
      <c r="T3435" s="260"/>
      <c r="U3435" s="260"/>
      <c r="V3435" s="260"/>
      <c r="W3435" s="260"/>
      <c r="X3435" s="260"/>
      <c r="Y3435" s="260"/>
      <c r="Z3435" s="260"/>
      <c r="AA3435" s="260"/>
      <c r="AB3435" s="260"/>
      <c r="AC3435" s="260"/>
      <c r="AD3435"/>
      <c r="AE3435"/>
      <c r="AF3435"/>
      <c r="AG3435"/>
    </row>
    <row r="3436" spans="14:33" ht="12" hidden="1" customHeight="1">
      <c r="N3436" s="239"/>
      <c r="O3436" s="225"/>
      <c r="P3436" s="260"/>
      <c r="Q3436" s="258"/>
      <c r="R3436" s="260"/>
      <c r="S3436" s="260"/>
      <c r="T3436" s="260"/>
      <c r="U3436" s="260"/>
      <c r="V3436" s="260"/>
      <c r="W3436" s="260"/>
      <c r="X3436" s="260"/>
      <c r="Y3436" s="260"/>
      <c r="Z3436" s="260"/>
      <c r="AA3436" s="260"/>
      <c r="AB3436" s="260"/>
      <c r="AC3436" s="260"/>
      <c r="AD3436"/>
      <c r="AE3436"/>
      <c r="AF3436"/>
      <c r="AG3436"/>
    </row>
    <row r="3437" spans="14:33" ht="12" hidden="1" customHeight="1">
      <c r="N3437" s="239"/>
      <c r="O3437" s="225"/>
      <c r="P3437" s="260"/>
      <c r="Q3437" s="258"/>
      <c r="R3437" s="260"/>
      <c r="S3437" s="260"/>
      <c r="T3437" s="260"/>
      <c r="U3437" s="260"/>
      <c r="V3437" s="260"/>
      <c r="W3437" s="260"/>
      <c r="X3437" s="260"/>
      <c r="Y3437" s="260"/>
      <c r="Z3437" s="260"/>
      <c r="AA3437" s="260"/>
      <c r="AB3437" s="260"/>
      <c r="AC3437" s="260"/>
      <c r="AD3437"/>
      <c r="AE3437"/>
      <c r="AF3437"/>
      <c r="AG3437"/>
    </row>
    <row r="3438" spans="14:33" ht="12" hidden="1" customHeight="1">
      <c r="N3438" s="239"/>
      <c r="O3438" s="225"/>
      <c r="P3438" s="260"/>
      <c r="Q3438" s="258"/>
      <c r="R3438" s="260"/>
      <c r="S3438" s="260"/>
      <c r="T3438" s="260"/>
      <c r="U3438" s="260"/>
      <c r="V3438" s="260"/>
      <c r="W3438" s="260"/>
      <c r="X3438" s="260"/>
      <c r="Y3438" s="260"/>
      <c r="Z3438" s="260"/>
      <c r="AA3438" s="260"/>
      <c r="AB3438" s="260"/>
      <c r="AC3438" s="260"/>
      <c r="AD3438"/>
      <c r="AE3438"/>
      <c r="AF3438"/>
      <c r="AG3438"/>
    </row>
    <row r="3439" spans="14:33" ht="12" hidden="1" customHeight="1">
      <c r="N3439" s="239"/>
      <c r="O3439" s="225"/>
      <c r="P3439" s="260"/>
      <c r="Q3439" s="258"/>
      <c r="R3439" s="260"/>
      <c r="S3439" s="260"/>
      <c r="T3439" s="260"/>
      <c r="U3439" s="260"/>
      <c r="V3439" s="260"/>
      <c r="W3439" s="260"/>
      <c r="X3439" s="260"/>
      <c r="Y3439" s="260"/>
      <c r="Z3439" s="260"/>
      <c r="AA3439" s="260"/>
      <c r="AB3439" s="260"/>
      <c r="AC3439" s="260"/>
      <c r="AD3439"/>
      <c r="AE3439"/>
      <c r="AF3439"/>
      <c r="AG3439"/>
    </row>
    <row r="3440" spans="14:33" ht="12" hidden="1" customHeight="1">
      <c r="N3440" s="239"/>
      <c r="O3440" s="225"/>
      <c r="P3440" s="260"/>
      <c r="Q3440" s="258"/>
      <c r="R3440" s="260"/>
      <c r="S3440" s="260"/>
      <c r="T3440" s="260"/>
      <c r="U3440" s="260"/>
      <c r="V3440" s="260"/>
      <c r="W3440" s="260"/>
      <c r="X3440" s="260"/>
      <c r="Y3440" s="260"/>
      <c r="Z3440" s="260"/>
      <c r="AA3440" s="260"/>
      <c r="AB3440" s="260"/>
      <c r="AC3440" s="260"/>
      <c r="AD3440"/>
      <c r="AE3440"/>
      <c r="AF3440"/>
      <c r="AG3440"/>
    </row>
    <row r="3441" spans="14:33" ht="12" hidden="1" customHeight="1">
      <c r="N3441" s="239"/>
      <c r="O3441" s="225"/>
      <c r="P3441" s="260"/>
      <c r="Q3441" s="258"/>
      <c r="R3441" s="260"/>
      <c r="S3441" s="260"/>
      <c r="T3441" s="260"/>
      <c r="U3441" s="260"/>
      <c r="V3441" s="260"/>
      <c r="W3441" s="260"/>
      <c r="X3441" s="260"/>
      <c r="Y3441" s="260"/>
      <c r="Z3441" s="260"/>
      <c r="AA3441" s="260"/>
      <c r="AB3441" s="260"/>
      <c r="AC3441" s="260"/>
      <c r="AD3441"/>
      <c r="AE3441"/>
      <c r="AF3441"/>
      <c r="AG3441"/>
    </row>
    <row r="3442" spans="14:33" ht="12" hidden="1" customHeight="1">
      <c r="N3442" s="239"/>
      <c r="O3442" s="225"/>
      <c r="P3442" s="260"/>
      <c r="Q3442" s="258"/>
      <c r="R3442" s="260"/>
      <c r="S3442" s="260"/>
      <c r="T3442" s="260"/>
      <c r="U3442" s="260"/>
      <c r="V3442" s="260"/>
      <c r="W3442" s="260"/>
      <c r="X3442" s="260"/>
      <c r="Y3442" s="260"/>
      <c r="Z3442" s="260"/>
      <c r="AA3442" s="260"/>
      <c r="AB3442" s="260"/>
      <c r="AC3442" s="260"/>
      <c r="AD3442"/>
      <c r="AE3442"/>
      <c r="AF3442"/>
      <c r="AG3442"/>
    </row>
    <row r="3443" spans="14:33" ht="12" hidden="1" customHeight="1">
      <c r="N3443" s="239"/>
      <c r="O3443" s="225"/>
      <c r="P3443" s="260"/>
      <c r="Q3443" s="258"/>
      <c r="R3443" s="260"/>
      <c r="S3443" s="260"/>
      <c r="T3443" s="260"/>
      <c r="U3443" s="260"/>
      <c r="V3443" s="260"/>
      <c r="W3443" s="260"/>
      <c r="X3443" s="260"/>
      <c r="Y3443" s="260"/>
      <c r="Z3443" s="260"/>
      <c r="AA3443" s="260"/>
      <c r="AB3443" s="260"/>
      <c r="AC3443" s="260"/>
      <c r="AD3443"/>
      <c r="AE3443"/>
      <c r="AF3443"/>
      <c r="AG3443"/>
    </row>
    <row r="3444" spans="14:33" ht="12" hidden="1" customHeight="1">
      <c r="N3444" s="239"/>
      <c r="O3444" s="225"/>
      <c r="P3444" s="260"/>
      <c r="Q3444" s="258"/>
      <c r="R3444" s="260"/>
      <c r="S3444" s="260"/>
      <c r="T3444" s="260"/>
      <c r="U3444" s="260"/>
      <c r="V3444" s="260"/>
      <c r="W3444" s="260"/>
      <c r="X3444" s="260"/>
      <c r="Y3444" s="260"/>
      <c r="Z3444" s="260"/>
      <c r="AA3444" s="260"/>
      <c r="AB3444" s="260"/>
      <c r="AC3444" s="260"/>
      <c r="AD3444"/>
      <c r="AE3444"/>
      <c r="AF3444"/>
      <c r="AG3444"/>
    </row>
    <row r="3445" spans="14:33" ht="12" hidden="1" customHeight="1">
      <c r="N3445" s="239"/>
      <c r="O3445" s="225"/>
      <c r="P3445" s="260"/>
      <c r="Q3445" s="258"/>
      <c r="R3445" s="260"/>
      <c r="S3445" s="260"/>
      <c r="T3445" s="260"/>
      <c r="U3445" s="260"/>
      <c r="V3445" s="260"/>
      <c r="W3445" s="260"/>
      <c r="X3445" s="260"/>
      <c r="Y3445" s="260"/>
      <c r="Z3445" s="260"/>
      <c r="AA3445" s="260"/>
      <c r="AB3445" s="260"/>
      <c r="AC3445" s="260"/>
      <c r="AD3445"/>
      <c r="AE3445"/>
      <c r="AF3445"/>
      <c r="AG3445"/>
    </row>
    <row r="3446" spans="14:33" ht="12" hidden="1" customHeight="1">
      <c r="N3446" s="239"/>
      <c r="O3446" s="225"/>
      <c r="P3446" s="260"/>
      <c r="Q3446" s="258"/>
      <c r="R3446" s="260"/>
      <c r="S3446" s="260"/>
      <c r="T3446" s="260"/>
      <c r="U3446" s="260"/>
      <c r="V3446" s="260"/>
      <c r="W3446" s="260"/>
      <c r="X3446" s="260"/>
      <c r="Y3446" s="260"/>
      <c r="Z3446" s="260"/>
      <c r="AA3446" s="260"/>
      <c r="AB3446" s="260"/>
      <c r="AC3446" s="260"/>
      <c r="AD3446"/>
      <c r="AE3446"/>
      <c r="AF3446"/>
      <c r="AG3446"/>
    </row>
    <row r="3447" spans="14:33" ht="12" hidden="1" customHeight="1">
      <c r="N3447" s="239"/>
      <c r="O3447" s="225"/>
      <c r="P3447" s="260"/>
      <c r="Q3447" s="258"/>
      <c r="R3447" s="260"/>
      <c r="S3447" s="260"/>
      <c r="T3447" s="260"/>
      <c r="U3447" s="260"/>
      <c r="V3447" s="260"/>
      <c r="W3447" s="260"/>
      <c r="X3447" s="260"/>
      <c r="Y3447" s="260"/>
      <c r="Z3447" s="260"/>
      <c r="AA3447" s="260"/>
      <c r="AB3447" s="260"/>
      <c r="AC3447" s="260"/>
      <c r="AD3447"/>
      <c r="AE3447"/>
      <c r="AF3447"/>
      <c r="AG3447"/>
    </row>
    <row r="3448" spans="14:33" ht="12" hidden="1" customHeight="1">
      <c r="N3448" s="239"/>
      <c r="O3448" s="225"/>
      <c r="P3448" s="260"/>
      <c r="Q3448" s="258"/>
      <c r="R3448" s="260"/>
      <c r="S3448" s="260"/>
      <c r="T3448" s="260"/>
      <c r="U3448" s="260"/>
      <c r="V3448" s="260"/>
      <c r="W3448" s="260"/>
      <c r="X3448" s="260"/>
      <c r="Y3448" s="260"/>
      <c r="Z3448" s="260"/>
      <c r="AA3448" s="260"/>
      <c r="AB3448" s="260"/>
      <c r="AC3448" s="260"/>
      <c r="AD3448"/>
      <c r="AE3448"/>
      <c r="AF3448"/>
      <c r="AG3448"/>
    </row>
    <row r="3449" spans="14:33" ht="12" hidden="1" customHeight="1">
      <c r="N3449" s="239"/>
      <c r="O3449" s="225"/>
      <c r="P3449" s="260"/>
      <c r="Q3449" s="258"/>
      <c r="R3449" s="260"/>
      <c r="S3449" s="260"/>
      <c r="T3449" s="260"/>
      <c r="U3449" s="260"/>
      <c r="V3449" s="260"/>
      <c r="W3449" s="260"/>
      <c r="X3449" s="260"/>
      <c r="Y3449" s="260"/>
      <c r="Z3449" s="260"/>
      <c r="AA3449" s="260"/>
      <c r="AB3449" s="260"/>
      <c r="AC3449" s="260"/>
      <c r="AD3449"/>
      <c r="AE3449"/>
      <c r="AF3449"/>
      <c r="AG3449"/>
    </row>
    <row r="3450" spans="14:33" ht="12" hidden="1" customHeight="1">
      <c r="N3450" s="239"/>
      <c r="O3450" s="225"/>
      <c r="P3450" s="260"/>
      <c r="Q3450" s="258"/>
      <c r="R3450" s="260"/>
      <c r="S3450" s="260"/>
      <c r="T3450" s="260"/>
      <c r="U3450" s="260"/>
      <c r="V3450" s="260"/>
      <c r="W3450" s="260"/>
      <c r="X3450" s="260"/>
      <c r="Y3450" s="260"/>
      <c r="Z3450" s="260"/>
      <c r="AA3450" s="260"/>
      <c r="AB3450" s="260"/>
      <c r="AC3450" s="260"/>
      <c r="AD3450"/>
      <c r="AE3450"/>
      <c r="AF3450"/>
      <c r="AG3450"/>
    </row>
    <row r="3451" spans="14:33" ht="12" hidden="1" customHeight="1">
      <c r="N3451" s="239"/>
      <c r="O3451" s="225"/>
      <c r="P3451" s="260"/>
      <c r="Q3451" s="258"/>
      <c r="R3451" s="260"/>
      <c r="S3451" s="260"/>
      <c r="T3451" s="260"/>
      <c r="U3451" s="260"/>
      <c r="V3451" s="260"/>
      <c r="W3451" s="260"/>
      <c r="X3451" s="260"/>
      <c r="Y3451" s="260"/>
      <c r="Z3451" s="260"/>
      <c r="AA3451" s="260"/>
      <c r="AB3451" s="260"/>
      <c r="AC3451" s="260"/>
      <c r="AD3451"/>
      <c r="AE3451"/>
      <c r="AF3451"/>
      <c r="AG3451"/>
    </row>
    <row r="3452" spans="14:33" ht="12" hidden="1" customHeight="1">
      <c r="N3452" s="239"/>
      <c r="O3452" s="225"/>
      <c r="P3452" s="260"/>
      <c r="Q3452" s="258"/>
      <c r="R3452" s="260"/>
      <c r="S3452" s="260"/>
      <c r="T3452" s="260"/>
      <c r="U3452" s="260"/>
      <c r="V3452" s="260"/>
      <c r="W3452" s="260"/>
      <c r="X3452" s="260"/>
      <c r="Y3452" s="260"/>
      <c r="Z3452" s="260"/>
      <c r="AA3452" s="260"/>
      <c r="AB3452" s="260"/>
      <c r="AC3452" s="260"/>
      <c r="AD3452"/>
      <c r="AE3452"/>
      <c r="AF3452"/>
      <c r="AG3452"/>
    </row>
    <row r="3453" spans="14:33" ht="12" hidden="1" customHeight="1">
      <c r="N3453" s="239"/>
      <c r="O3453" s="225"/>
      <c r="P3453" s="260"/>
      <c r="Q3453" s="258"/>
      <c r="R3453" s="260"/>
      <c r="S3453" s="260"/>
      <c r="T3453" s="260"/>
      <c r="U3453" s="260"/>
      <c r="V3453" s="260"/>
      <c r="W3453" s="260"/>
      <c r="X3453" s="260"/>
      <c r="Y3453" s="260"/>
      <c r="Z3453" s="260"/>
      <c r="AA3453" s="260"/>
      <c r="AB3453" s="260"/>
      <c r="AC3453" s="260"/>
      <c r="AD3453"/>
      <c r="AE3453"/>
      <c r="AF3453"/>
      <c r="AG3453"/>
    </row>
    <row r="3454" spans="14:33" ht="12" hidden="1" customHeight="1">
      <c r="N3454" s="239"/>
      <c r="O3454" s="225"/>
      <c r="P3454" s="260"/>
      <c r="Q3454" s="258"/>
      <c r="R3454" s="260"/>
      <c r="S3454" s="260"/>
      <c r="T3454" s="260"/>
      <c r="U3454" s="260"/>
      <c r="V3454" s="260"/>
      <c r="W3454" s="260"/>
      <c r="X3454" s="260"/>
      <c r="Y3454" s="260"/>
      <c r="Z3454" s="260"/>
      <c r="AA3454" s="260"/>
      <c r="AB3454" s="260"/>
      <c r="AC3454" s="260"/>
      <c r="AD3454"/>
      <c r="AE3454"/>
      <c r="AF3454"/>
      <c r="AG3454"/>
    </row>
    <row r="3455" spans="14:33" ht="12" hidden="1" customHeight="1">
      <c r="N3455" s="239"/>
      <c r="O3455" s="225"/>
      <c r="P3455" s="260"/>
      <c r="Q3455" s="258"/>
      <c r="R3455" s="260"/>
      <c r="S3455" s="260"/>
      <c r="T3455" s="260"/>
      <c r="U3455" s="260"/>
      <c r="V3455" s="260"/>
      <c r="W3455" s="260"/>
      <c r="X3455" s="260"/>
      <c r="Y3455" s="260"/>
      <c r="Z3455" s="260"/>
      <c r="AA3455" s="260"/>
      <c r="AB3455" s="260"/>
      <c r="AC3455" s="260"/>
      <c r="AD3455"/>
      <c r="AE3455"/>
      <c r="AF3455"/>
      <c r="AG3455"/>
    </row>
    <row r="3456" spans="14:33" ht="12" hidden="1" customHeight="1">
      <c r="N3456" s="239"/>
      <c r="O3456" s="225"/>
      <c r="P3456" s="260"/>
      <c r="Q3456" s="258"/>
      <c r="R3456" s="260"/>
      <c r="S3456" s="260"/>
      <c r="T3456" s="260"/>
      <c r="U3456" s="260"/>
      <c r="V3456" s="260"/>
      <c r="W3456" s="260"/>
      <c r="X3456" s="260"/>
      <c r="Y3456" s="260"/>
      <c r="Z3456" s="260"/>
      <c r="AA3456" s="260"/>
      <c r="AB3456" s="260"/>
      <c r="AC3456" s="260"/>
      <c r="AD3456"/>
      <c r="AE3456"/>
      <c r="AF3456"/>
      <c r="AG3456"/>
    </row>
    <row r="3457" spans="14:33" ht="12" hidden="1" customHeight="1">
      <c r="N3457" s="239"/>
      <c r="O3457" s="225"/>
      <c r="P3457" s="260"/>
      <c r="Q3457" s="258"/>
      <c r="R3457" s="260"/>
      <c r="S3457" s="260"/>
      <c r="T3457" s="260"/>
      <c r="U3457" s="260"/>
      <c r="V3457" s="260"/>
      <c r="W3457" s="260"/>
      <c r="X3457" s="260"/>
      <c r="Y3457" s="260"/>
      <c r="Z3457" s="260"/>
      <c r="AA3457" s="260"/>
      <c r="AB3457" s="260"/>
      <c r="AC3457" s="260"/>
      <c r="AD3457"/>
      <c r="AE3457"/>
      <c r="AF3457"/>
      <c r="AG3457"/>
    </row>
    <row r="3458" spans="14:33" ht="12" hidden="1" customHeight="1">
      <c r="N3458" s="239"/>
      <c r="O3458" s="225"/>
      <c r="P3458" s="260"/>
      <c r="Q3458" s="258"/>
      <c r="R3458" s="260"/>
      <c r="S3458" s="260"/>
      <c r="T3458" s="260"/>
      <c r="U3458" s="260"/>
      <c r="V3458" s="260"/>
      <c r="W3458" s="260"/>
      <c r="X3458" s="260"/>
      <c r="Y3458" s="260"/>
      <c r="Z3458" s="260"/>
      <c r="AA3458" s="260"/>
      <c r="AB3458" s="260"/>
      <c r="AC3458" s="260"/>
      <c r="AD3458"/>
      <c r="AE3458"/>
      <c r="AF3458"/>
      <c r="AG3458"/>
    </row>
    <row r="3459" spans="14:33" ht="12" hidden="1" customHeight="1">
      <c r="N3459" s="239"/>
      <c r="O3459" s="225"/>
      <c r="P3459" s="260"/>
      <c r="Q3459" s="258"/>
      <c r="R3459" s="260"/>
      <c r="S3459" s="260"/>
      <c r="T3459" s="260"/>
      <c r="U3459" s="260"/>
      <c r="V3459" s="260"/>
      <c r="W3459" s="260"/>
      <c r="X3459" s="260"/>
      <c r="Y3459" s="260"/>
      <c r="Z3459" s="260"/>
      <c r="AA3459" s="260"/>
      <c r="AB3459" s="260"/>
      <c r="AC3459" s="260"/>
      <c r="AD3459"/>
      <c r="AE3459"/>
      <c r="AF3459"/>
      <c r="AG3459"/>
    </row>
    <row r="3460" spans="14:33" ht="12" hidden="1" customHeight="1">
      <c r="N3460" s="239"/>
      <c r="O3460" s="225"/>
      <c r="P3460" s="260"/>
      <c r="Q3460" s="258"/>
      <c r="R3460" s="260"/>
      <c r="S3460" s="260"/>
      <c r="T3460" s="260"/>
      <c r="U3460" s="260"/>
      <c r="V3460" s="260"/>
      <c r="W3460" s="260"/>
      <c r="X3460" s="260"/>
      <c r="Y3460" s="260"/>
      <c r="Z3460" s="260"/>
      <c r="AA3460" s="260"/>
      <c r="AB3460" s="260"/>
      <c r="AC3460" s="260"/>
      <c r="AD3460"/>
      <c r="AE3460"/>
      <c r="AF3460"/>
      <c r="AG3460"/>
    </row>
    <row r="3461" spans="14:33" ht="12" hidden="1" customHeight="1">
      <c r="N3461" s="239"/>
      <c r="O3461" s="225"/>
      <c r="P3461" s="260"/>
      <c r="Q3461" s="258"/>
      <c r="R3461" s="260"/>
      <c r="S3461" s="260"/>
      <c r="T3461" s="260"/>
      <c r="U3461" s="260"/>
      <c r="V3461" s="260"/>
      <c r="W3461" s="260"/>
      <c r="X3461" s="260"/>
      <c r="Y3461" s="260"/>
      <c r="Z3461" s="260"/>
      <c r="AA3461" s="260"/>
      <c r="AB3461" s="260"/>
      <c r="AC3461" s="260"/>
      <c r="AD3461"/>
      <c r="AE3461"/>
      <c r="AF3461"/>
      <c r="AG3461"/>
    </row>
    <row r="3462" spans="14:33" ht="12" hidden="1" customHeight="1">
      <c r="N3462" s="239"/>
      <c r="O3462" s="225"/>
      <c r="P3462" s="260"/>
      <c r="Q3462" s="258"/>
      <c r="R3462" s="260"/>
      <c r="S3462" s="260"/>
      <c r="T3462" s="260"/>
      <c r="U3462" s="260"/>
      <c r="V3462" s="260"/>
      <c r="W3462" s="260"/>
      <c r="X3462" s="260"/>
      <c r="Y3462" s="260"/>
      <c r="Z3462" s="260"/>
      <c r="AA3462" s="260"/>
      <c r="AB3462" s="260"/>
      <c r="AC3462" s="260"/>
      <c r="AD3462"/>
      <c r="AE3462"/>
      <c r="AF3462"/>
      <c r="AG3462"/>
    </row>
    <row r="3463" spans="14:33" ht="12" hidden="1" customHeight="1">
      <c r="N3463" s="239"/>
      <c r="O3463" s="225"/>
      <c r="P3463" s="260"/>
      <c r="Q3463" s="258"/>
      <c r="R3463" s="260"/>
      <c r="S3463" s="260"/>
      <c r="T3463" s="260"/>
      <c r="U3463" s="260"/>
      <c r="V3463" s="260"/>
      <c r="W3463" s="260"/>
      <c r="X3463" s="260"/>
      <c r="Y3463" s="260"/>
      <c r="Z3463" s="260"/>
      <c r="AA3463" s="260"/>
      <c r="AB3463" s="260"/>
      <c r="AC3463" s="260"/>
      <c r="AD3463"/>
      <c r="AE3463"/>
      <c r="AF3463"/>
      <c r="AG3463"/>
    </row>
    <row r="3464" spans="14:33" ht="12" hidden="1" customHeight="1">
      <c r="N3464" s="239"/>
      <c r="O3464" s="225"/>
      <c r="P3464" s="260"/>
      <c r="Q3464" s="258"/>
      <c r="R3464" s="260"/>
      <c r="S3464" s="260"/>
      <c r="T3464" s="260"/>
      <c r="U3464" s="260"/>
      <c r="V3464" s="260"/>
      <c r="W3464" s="260"/>
      <c r="X3464" s="260"/>
      <c r="Y3464" s="260"/>
      <c r="Z3464" s="260"/>
      <c r="AA3464" s="260"/>
      <c r="AB3464" s="260"/>
      <c r="AC3464" s="260"/>
      <c r="AD3464"/>
      <c r="AE3464"/>
      <c r="AF3464"/>
      <c r="AG3464"/>
    </row>
    <row r="3465" spans="14:33" ht="12" hidden="1" customHeight="1">
      <c r="N3465" s="239"/>
      <c r="O3465" s="225"/>
      <c r="P3465" s="260"/>
      <c r="Q3465" s="258"/>
      <c r="R3465" s="260"/>
      <c r="S3465" s="260"/>
      <c r="T3465" s="260"/>
      <c r="U3465" s="260"/>
      <c r="V3465" s="260"/>
      <c r="W3465" s="260"/>
      <c r="X3465" s="260"/>
      <c r="Y3465" s="260"/>
      <c r="Z3465" s="260"/>
      <c r="AA3465" s="260"/>
      <c r="AB3465" s="260"/>
      <c r="AC3465" s="260"/>
      <c r="AD3465"/>
      <c r="AE3465"/>
      <c r="AF3465"/>
      <c r="AG3465"/>
    </row>
    <row r="3466" spans="14:33" ht="12" hidden="1" customHeight="1">
      <c r="N3466" s="239"/>
      <c r="O3466" s="225"/>
      <c r="P3466" s="260"/>
      <c r="Q3466" s="258"/>
      <c r="R3466" s="260"/>
      <c r="S3466" s="260"/>
      <c r="T3466" s="260"/>
      <c r="U3466" s="260"/>
      <c r="V3466" s="260"/>
      <c r="W3466" s="260"/>
      <c r="X3466" s="260"/>
      <c r="Y3466" s="260"/>
      <c r="Z3466" s="260"/>
      <c r="AA3466" s="260"/>
      <c r="AB3466" s="260"/>
      <c r="AC3466" s="260"/>
      <c r="AD3466"/>
      <c r="AE3466"/>
      <c r="AF3466"/>
      <c r="AG3466"/>
    </row>
    <row r="3467" spans="14:33" ht="12" hidden="1" customHeight="1">
      <c r="N3467" s="239"/>
      <c r="O3467" s="225"/>
      <c r="P3467" s="260"/>
      <c r="Q3467" s="258"/>
      <c r="R3467" s="260"/>
      <c r="S3467" s="260"/>
      <c r="T3467" s="260"/>
      <c r="U3467" s="260"/>
      <c r="V3467" s="260"/>
      <c r="W3467" s="260"/>
      <c r="X3467" s="260"/>
      <c r="Y3467" s="260"/>
      <c r="Z3467" s="260"/>
      <c r="AA3467" s="260"/>
      <c r="AB3467" s="260"/>
      <c r="AC3467" s="260"/>
      <c r="AD3467"/>
      <c r="AE3467"/>
      <c r="AF3467"/>
      <c r="AG3467"/>
    </row>
    <row r="3468" spans="14:33" ht="12" hidden="1" customHeight="1">
      <c r="N3468" s="239"/>
      <c r="O3468" s="225"/>
      <c r="P3468" s="260"/>
      <c r="Q3468" s="258"/>
      <c r="R3468" s="260"/>
      <c r="S3468" s="260"/>
      <c r="T3468" s="260"/>
      <c r="U3468" s="260"/>
      <c r="V3468" s="260"/>
      <c r="W3468" s="260"/>
      <c r="X3468" s="260"/>
      <c r="Y3468" s="260"/>
      <c r="Z3468" s="260"/>
      <c r="AA3468" s="260"/>
      <c r="AB3468" s="260"/>
      <c r="AC3468" s="260"/>
      <c r="AD3468"/>
      <c r="AE3468"/>
      <c r="AF3468"/>
      <c r="AG3468"/>
    </row>
    <row r="3469" spans="14:33" ht="12" hidden="1" customHeight="1">
      <c r="N3469" s="239"/>
      <c r="O3469" s="225"/>
      <c r="P3469" s="260"/>
      <c r="Q3469" s="258"/>
      <c r="R3469" s="260"/>
      <c r="S3469" s="260"/>
      <c r="T3469" s="260"/>
      <c r="U3469" s="260"/>
      <c r="V3469" s="260"/>
      <c r="W3469" s="260"/>
      <c r="X3469" s="260"/>
      <c r="Y3469" s="260"/>
      <c r="Z3469" s="260"/>
      <c r="AA3469" s="260"/>
      <c r="AB3469" s="260"/>
      <c r="AC3469" s="260"/>
      <c r="AD3469"/>
      <c r="AE3469"/>
      <c r="AF3469"/>
      <c r="AG3469"/>
    </row>
    <row r="3470" spans="14:33" ht="12" hidden="1" customHeight="1">
      <c r="N3470" s="239"/>
      <c r="O3470" s="225"/>
      <c r="P3470" s="260"/>
      <c r="Q3470" s="258"/>
      <c r="R3470" s="260"/>
      <c r="S3470" s="260"/>
      <c r="T3470" s="260"/>
      <c r="U3470" s="260"/>
      <c r="V3470" s="260"/>
      <c r="W3470" s="260"/>
      <c r="X3470" s="260"/>
      <c r="Y3470" s="260"/>
      <c r="Z3470" s="260"/>
      <c r="AA3470" s="260"/>
      <c r="AB3470" s="260"/>
      <c r="AC3470" s="260"/>
      <c r="AD3470"/>
      <c r="AE3470"/>
      <c r="AF3470"/>
      <c r="AG3470"/>
    </row>
    <row r="3471" spans="14:33" ht="12" hidden="1" customHeight="1">
      <c r="N3471" s="239"/>
      <c r="O3471" s="225"/>
      <c r="P3471" s="260"/>
      <c r="Q3471" s="258"/>
      <c r="R3471" s="260"/>
      <c r="S3471" s="260"/>
      <c r="T3471" s="260"/>
      <c r="U3471" s="260"/>
      <c r="V3471" s="260"/>
      <c r="W3471" s="260"/>
      <c r="X3471" s="260"/>
      <c r="Y3471" s="260"/>
      <c r="Z3471" s="260"/>
      <c r="AA3471" s="260"/>
      <c r="AB3471" s="260"/>
      <c r="AC3471" s="260"/>
      <c r="AD3471"/>
      <c r="AE3471"/>
      <c r="AF3471"/>
      <c r="AG3471"/>
    </row>
    <row r="3472" spans="14:33" ht="12" hidden="1" customHeight="1">
      <c r="N3472" s="239"/>
      <c r="O3472" s="225"/>
      <c r="P3472" s="260"/>
      <c r="Q3472" s="258"/>
      <c r="R3472" s="260"/>
      <c r="S3472" s="260"/>
      <c r="T3472" s="260"/>
      <c r="U3472" s="260"/>
      <c r="V3472" s="260"/>
      <c r="W3472" s="260"/>
      <c r="X3472" s="260"/>
      <c r="Y3472" s="260"/>
      <c r="Z3472" s="260"/>
      <c r="AA3472" s="260"/>
      <c r="AB3472" s="260"/>
      <c r="AC3472" s="260"/>
      <c r="AD3472"/>
      <c r="AE3472"/>
      <c r="AF3472"/>
      <c r="AG3472"/>
    </row>
    <row r="3473" spans="14:33" ht="12" hidden="1" customHeight="1">
      <c r="N3473" s="239"/>
      <c r="O3473" s="225"/>
      <c r="P3473" s="260"/>
      <c r="Q3473" s="258"/>
      <c r="R3473" s="260"/>
      <c r="S3473" s="260"/>
      <c r="T3473" s="260"/>
      <c r="U3473" s="260"/>
      <c r="V3473" s="260"/>
      <c r="W3473" s="260"/>
      <c r="X3473" s="260"/>
      <c r="Y3473" s="260"/>
      <c r="Z3473" s="260"/>
      <c r="AA3473" s="260"/>
      <c r="AB3473" s="260"/>
      <c r="AC3473" s="260"/>
      <c r="AD3473"/>
      <c r="AE3473"/>
      <c r="AF3473"/>
      <c r="AG3473"/>
    </row>
    <row r="3474" spans="14:33" ht="12" hidden="1" customHeight="1">
      <c r="N3474" s="239"/>
      <c r="O3474" s="225"/>
      <c r="P3474" s="260"/>
      <c r="Q3474" s="258"/>
      <c r="R3474" s="260"/>
      <c r="S3474" s="260"/>
      <c r="T3474" s="260"/>
      <c r="U3474" s="260"/>
      <c r="V3474" s="260"/>
      <c r="W3474" s="260"/>
      <c r="X3474" s="260"/>
      <c r="Y3474" s="260"/>
      <c r="Z3474" s="260"/>
      <c r="AA3474" s="260"/>
      <c r="AB3474" s="260"/>
      <c r="AC3474" s="260"/>
      <c r="AD3474"/>
      <c r="AE3474"/>
      <c r="AF3474"/>
      <c r="AG3474"/>
    </row>
    <row r="3475" spans="14:33" ht="12" hidden="1" customHeight="1">
      <c r="N3475" s="239"/>
      <c r="O3475" s="225"/>
      <c r="P3475" s="260"/>
      <c r="Q3475" s="258"/>
      <c r="R3475" s="260"/>
      <c r="S3475" s="260"/>
      <c r="T3475" s="260"/>
      <c r="U3475" s="260"/>
      <c r="V3475" s="260"/>
      <c r="W3475" s="260"/>
      <c r="X3475" s="260"/>
      <c r="Y3475" s="260"/>
      <c r="Z3475" s="260"/>
      <c r="AA3475" s="260"/>
      <c r="AB3475" s="260"/>
      <c r="AC3475" s="260"/>
      <c r="AD3475"/>
      <c r="AE3475"/>
      <c r="AF3475"/>
      <c r="AG3475"/>
    </row>
    <row r="3476" spans="14:33" ht="12" hidden="1" customHeight="1">
      <c r="N3476" s="239"/>
      <c r="O3476" s="225"/>
      <c r="P3476" s="260"/>
      <c r="Q3476" s="258"/>
      <c r="R3476" s="260"/>
      <c r="S3476" s="260"/>
      <c r="T3476" s="260"/>
      <c r="U3476" s="260"/>
      <c r="V3476" s="260"/>
      <c r="W3476" s="260"/>
      <c r="X3476" s="260"/>
      <c r="Y3476" s="260"/>
      <c r="Z3476" s="260"/>
      <c r="AA3476" s="260"/>
      <c r="AB3476" s="260"/>
      <c r="AC3476" s="260"/>
      <c r="AD3476"/>
      <c r="AE3476"/>
      <c r="AF3476"/>
      <c r="AG3476"/>
    </row>
    <row r="3477" spans="14:33" ht="12" hidden="1" customHeight="1">
      <c r="N3477" s="239"/>
      <c r="O3477" s="225"/>
      <c r="P3477" s="260"/>
      <c r="Q3477" s="258"/>
      <c r="R3477" s="260"/>
      <c r="S3477" s="260"/>
      <c r="T3477" s="260"/>
      <c r="U3477" s="260"/>
      <c r="V3477" s="260"/>
      <c r="W3477" s="260"/>
      <c r="X3477" s="260"/>
      <c r="Y3477" s="260"/>
      <c r="Z3477" s="260"/>
      <c r="AA3477" s="260"/>
      <c r="AB3477" s="260"/>
      <c r="AC3477" s="260"/>
      <c r="AD3477"/>
      <c r="AE3477"/>
      <c r="AF3477"/>
      <c r="AG3477"/>
    </row>
    <row r="3478" spans="14:33" ht="12" hidden="1" customHeight="1">
      <c r="N3478" s="239"/>
      <c r="O3478" s="225"/>
      <c r="P3478" s="260"/>
      <c r="Q3478" s="258"/>
      <c r="R3478" s="260"/>
      <c r="S3478" s="260"/>
      <c r="T3478" s="260"/>
      <c r="U3478" s="260"/>
      <c r="V3478" s="260"/>
      <c r="W3478" s="260"/>
      <c r="X3478" s="260"/>
      <c r="Y3478" s="260"/>
      <c r="Z3478" s="260"/>
      <c r="AA3478" s="260"/>
      <c r="AB3478" s="260"/>
      <c r="AC3478" s="260"/>
      <c r="AD3478"/>
      <c r="AE3478"/>
      <c r="AF3478"/>
      <c r="AG3478"/>
    </row>
    <row r="3479" spans="14:33" ht="12" hidden="1" customHeight="1">
      <c r="N3479" s="239"/>
      <c r="O3479" s="225"/>
      <c r="P3479" s="260"/>
      <c r="Q3479" s="258"/>
      <c r="R3479" s="260"/>
      <c r="S3479" s="260"/>
      <c r="T3479" s="260"/>
      <c r="U3479" s="260"/>
      <c r="V3479" s="260"/>
      <c r="W3479" s="260"/>
      <c r="X3479" s="260"/>
      <c r="Y3479" s="260"/>
      <c r="Z3479" s="260"/>
      <c r="AA3479" s="260"/>
      <c r="AB3479" s="260"/>
      <c r="AC3479" s="260"/>
      <c r="AD3479"/>
      <c r="AE3479"/>
      <c r="AF3479"/>
      <c r="AG3479"/>
    </row>
    <row r="3480" spans="14:33" ht="12" hidden="1" customHeight="1">
      <c r="N3480" s="239"/>
      <c r="O3480" s="225"/>
      <c r="P3480" s="260"/>
      <c r="Q3480" s="258"/>
      <c r="R3480" s="260"/>
      <c r="S3480" s="260"/>
      <c r="T3480" s="260"/>
      <c r="U3480" s="260"/>
      <c r="V3480" s="260"/>
      <c r="W3480" s="260"/>
      <c r="X3480" s="260"/>
      <c r="Y3480" s="260"/>
      <c r="Z3480" s="260"/>
      <c r="AA3480" s="260"/>
      <c r="AB3480" s="260"/>
      <c r="AC3480" s="260"/>
      <c r="AD3480"/>
      <c r="AE3480"/>
      <c r="AF3480"/>
      <c r="AG3480"/>
    </row>
    <row r="3481" spans="14:33" ht="12" hidden="1" customHeight="1">
      <c r="N3481" s="239"/>
      <c r="O3481" s="225"/>
      <c r="P3481" s="260"/>
      <c r="Q3481" s="258"/>
      <c r="R3481" s="260"/>
      <c r="S3481" s="260"/>
      <c r="T3481" s="260"/>
      <c r="U3481" s="260"/>
      <c r="V3481" s="260"/>
      <c r="W3481" s="260"/>
      <c r="X3481" s="260"/>
      <c r="Y3481" s="260"/>
      <c r="Z3481" s="260"/>
      <c r="AA3481" s="260"/>
      <c r="AB3481" s="260"/>
      <c r="AC3481" s="260"/>
      <c r="AD3481"/>
      <c r="AE3481"/>
      <c r="AF3481"/>
      <c r="AG3481"/>
    </row>
    <row r="3482" spans="14:33" ht="12" hidden="1" customHeight="1">
      <c r="N3482" s="239"/>
      <c r="O3482" s="225"/>
      <c r="P3482" s="260"/>
      <c r="Q3482" s="258"/>
      <c r="R3482" s="260"/>
      <c r="S3482" s="260"/>
      <c r="T3482" s="260"/>
      <c r="U3482" s="260"/>
      <c r="V3482" s="260"/>
      <c r="W3482" s="260"/>
      <c r="X3482" s="260"/>
      <c r="Y3482" s="260"/>
      <c r="Z3482" s="260"/>
      <c r="AA3482" s="260"/>
      <c r="AB3482" s="260"/>
      <c r="AC3482" s="260"/>
      <c r="AD3482"/>
      <c r="AE3482"/>
      <c r="AF3482"/>
      <c r="AG3482"/>
    </row>
    <row r="3483" spans="14:33" ht="12" hidden="1" customHeight="1">
      <c r="N3483" s="239"/>
      <c r="O3483" s="225"/>
      <c r="P3483" s="260"/>
      <c r="Q3483" s="258"/>
      <c r="R3483" s="260"/>
      <c r="S3483" s="260"/>
      <c r="T3483" s="260"/>
      <c r="U3483" s="260"/>
      <c r="V3483" s="260"/>
      <c r="W3483" s="260"/>
      <c r="X3483" s="260"/>
      <c r="Y3483" s="260"/>
      <c r="Z3483" s="260"/>
      <c r="AA3483" s="260"/>
      <c r="AB3483" s="260"/>
      <c r="AC3483" s="260"/>
      <c r="AD3483"/>
      <c r="AE3483"/>
      <c r="AF3483"/>
      <c r="AG3483"/>
    </row>
    <row r="3484" spans="14:33" ht="12" hidden="1" customHeight="1">
      <c r="N3484" s="239"/>
      <c r="O3484" s="225"/>
      <c r="P3484" s="260"/>
      <c r="Q3484" s="258"/>
      <c r="R3484" s="260"/>
      <c r="S3484" s="260"/>
      <c r="T3484" s="260"/>
      <c r="U3484" s="260"/>
      <c r="V3484" s="260"/>
      <c r="W3484" s="260"/>
      <c r="X3484" s="260"/>
      <c r="Y3484" s="260"/>
      <c r="Z3484" s="260"/>
      <c r="AA3484" s="260"/>
      <c r="AB3484" s="260"/>
      <c r="AC3484" s="260"/>
      <c r="AD3484"/>
      <c r="AE3484"/>
      <c r="AF3484"/>
      <c r="AG3484"/>
    </row>
    <row r="3485" spans="14:33" ht="12" hidden="1" customHeight="1">
      <c r="N3485" s="239"/>
      <c r="O3485" s="225"/>
      <c r="P3485" s="260"/>
      <c r="Q3485" s="258"/>
      <c r="R3485" s="260"/>
      <c r="S3485" s="260"/>
      <c r="T3485" s="260"/>
      <c r="U3485" s="260"/>
      <c r="V3485" s="260"/>
      <c r="W3485" s="260"/>
      <c r="X3485" s="260"/>
      <c r="Y3485" s="260"/>
      <c r="Z3485" s="260"/>
      <c r="AA3485" s="260"/>
      <c r="AB3485" s="260"/>
      <c r="AC3485" s="260"/>
      <c r="AD3485"/>
      <c r="AE3485"/>
      <c r="AF3485"/>
      <c r="AG3485"/>
    </row>
    <row r="3486" spans="14:33" ht="12" hidden="1" customHeight="1">
      <c r="N3486" s="239"/>
      <c r="O3486" s="225"/>
      <c r="P3486" s="260"/>
      <c r="Q3486" s="258"/>
      <c r="R3486" s="260"/>
      <c r="S3486" s="260"/>
      <c r="T3486" s="260"/>
      <c r="U3486" s="260"/>
      <c r="V3486" s="260"/>
      <c r="W3486" s="260"/>
      <c r="X3486" s="260"/>
      <c r="Y3486" s="260"/>
      <c r="Z3486" s="260"/>
      <c r="AA3486" s="260"/>
      <c r="AB3486" s="260"/>
      <c r="AC3486" s="260"/>
      <c r="AD3486"/>
      <c r="AE3486"/>
      <c r="AF3486"/>
      <c r="AG3486"/>
    </row>
    <row r="3487" spans="14:33" ht="12" hidden="1" customHeight="1">
      <c r="N3487" s="239"/>
      <c r="O3487" s="225"/>
      <c r="P3487" s="260"/>
      <c r="Q3487" s="258"/>
      <c r="R3487" s="260"/>
      <c r="S3487" s="260"/>
      <c r="T3487" s="260"/>
      <c r="U3487" s="260"/>
      <c r="V3487" s="260"/>
      <c r="W3487" s="260"/>
      <c r="X3487" s="260"/>
      <c r="Y3487" s="260"/>
      <c r="Z3487" s="260"/>
      <c r="AA3487" s="260"/>
      <c r="AB3487" s="260"/>
      <c r="AC3487" s="260"/>
      <c r="AD3487"/>
      <c r="AE3487"/>
      <c r="AF3487"/>
      <c r="AG3487"/>
    </row>
    <row r="3488" spans="14:33" ht="12" hidden="1" customHeight="1">
      <c r="N3488" s="239"/>
      <c r="O3488" s="225"/>
      <c r="P3488" s="260"/>
      <c r="Q3488" s="258"/>
      <c r="R3488" s="260"/>
      <c r="S3488" s="260"/>
      <c r="T3488" s="260"/>
      <c r="U3488" s="260"/>
      <c r="V3488" s="260"/>
      <c r="W3488" s="260"/>
      <c r="X3488" s="260"/>
      <c r="Y3488" s="260"/>
      <c r="Z3488" s="260"/>
      <c r="AA3488" s="260"/>
      <c r="AB3488" s="260"/>
      <c r="AC3488" s="260"/>
      <c r="AD3488"/>
      <c r="AE3488"/>
      <c r="AF3488"/>
      <c r="AG3488"/>
    </row>
    <row r="3489" spans="14:33" ht="12" hidden="1" customHeight="1">
      <c r="N3489" s="239"/>
      <c r="O3489" s="225"/>
      <c r="P3489" s="260"/>
      <c r="Q3489" s="258"/>
      <c r="R3489" s="260"/>
      <c r="S3489" s="260"/>
      <c r="T3489" s="260"/>
      <c r="U3489" s="260"/>
      <c r="V3489" s="260"/>
      <c r="W3489" s="260"/>
      <c r="X3489" s="260"/>
      <c r="Y3489" s="260"/>
      <c r="Z3489" s="260"/>
      <c r="AA3489" s="260"/>
      <c r="AB3489" s="260"/>
      <c r="AC3489" s="260"/>
      <c r="AD3489"/>
      <c r="AE3489"/>
      <c r="AF3489"/>
      <c r="AG3489"/>
    </row>
    <row r="3490" spans="14:33" ht="12" hidden="1" customHeight="1">
      <c r="N3490" s="239"/>
      <c r="O3490" s="225"/>
      <c r="P3490" s="260"/>
      <c r="Q3490" s="258"/>
      <c r="R3490" s="260"/>
      <c r="S3490" s="260"/>
      <c r="T3490" s="260"/>
      <c r="U3490" s="260"/>
      <c r="V3490" s="260"/>
      <c r="W3490" s="260"/>
      <c r="X3490" s="260"/>
      <c r="Y3490" s="260"/>
      <c r="Z3490" s="260"/>
      <c r="AA3490" s="260"/>
      <c r="AB3490" s="260"/>
      <c r="AC3490" s="260"/>
      <c r="AD3490"/>
      <c r="AE3490"/>
      <c r="AF3490"/>
      <c r="AG3490"/>
    </row>
    <row r="3491" spans="14:33" ht="12" hidden="1" customHeight="1">
      <c r="N3491" s="239"/>
      <c r="O3491" s="225"/>
      <c r="P3491" s="260"/>
      <c r="Q3491" s="258"/>
      <c r="R3491" s="260"/>
      <c r="S3491" s="260"/>
      <c r="T3491" s="260"/>
      <c r="U3491" s="260"/>
      <c r="V3491" s="260"/>
      <c r="W3491" s="260"/>
      <c r="X3491" s="260"/>
      <c r="Y3491" s="260"/>
      <c r="Z3491" s="260"/>
      <c r="AA3491" s="260"/>
      <c r="AB3491" s="260"/>
      <c r="AC3491" s="260"/>
      <c r="AD3491"/>
      <c r="AE3491"/>
      <c r="AF3491"/>
      <c r="AG3491"/>
    </row>
    <row r="3492" spans="14:33" ht="12" hidden="1" customHeight="1">
      <c r="N3492" s="239"/>
      <c r="O3492" s="225"/>
      <c r="P3492" s="260"/>
      <c r="Q3492" s="258"/>
      <c r="R3492" s="260"/>
      <c r="S3492" s="260"/>
      <c r="T3492" s="260"/>
      <c r="U3492" s="260"/>
      <c r="V3492" s="260"/>
      <c r="W3492" s="260"/>
      <c r="X3492" s="260"/>
      <c r="Y3492" s="260"/>
      <c r="Z3492" s="260"/>
      <c r="AA3492" s="260"/>
      <c r="AB3492" s="260"/>
      <c r="AC3492" s="260"/>
      <c r="AD3492"/>
      <c r="AE3492"/>
      <c r="AF3492"/>
      <c r="AG3492"/>
    </row>
    <row r="3493" spans="14:33" ht="12" hidden="1" customHeight="1">
      <c r="N3493" s="239"/>
      <c r="O3493" s="225"/>
      <c r="P3493" s="260"/>
      <c r="Q3493" s="258"/>
      <c r="R3493" s="260"/>
      <c r="S3493" s="260"/>
      <c r="T3493" s="260"/>
      <c r="U3493" s="260"/>
      <c r="V3493" s="260"/>
      <c r="W3493" s="260"/>
      <c r="X3493" s="260"/>
      <c r="Y3493" s="260"/>
      <c r="Z3493" s="260"/>
      <c r="AA3493" s="260"/>
      <c r="AB3493" s="260"/>
      <c r="AC3493" s="260"/>
      <c r="AD3493"/>
      <c r="AE3493"/>
      <c r="AF3493"/>
      <c r="AG3493"/>
    </row>
    <row r="3494" spans="14:33" ht="12" hidden="1" customHeight="1">
      <c r="N3494" s="239"/>
      <c r="O3494" s="225"/>
      <c r="P3494" s="260"/>
      <c r="Q3494" s="258"/>
      <c r="R3494" s="260"/>
      <c r="S3494" s="260"/>
      <c r="T3494" s="260"/>
      <c r="U3494" s="260"/>
      <c r="V3494" s="260"/>
      <c r="W3494" s="260"/>
      <c r="X3494" s="260"/>
      <c r="Y3494" s="260"/>
      <c r="Z3494" s="260"/>
      <c r="AA3494" s="260"/>
      <c r="AB3494" s="260"/>
      <c r="AC3494" s="260"/>
      <c r="AD3494"/>
      <c r="AE3494"/>
      <c r="AF3494"/>
      <c r="AG3494"/>
    </row>
    <row r="3495" spans="14:33" ht="12" hidden="1" customHeight="1">
      <c r="N3495" s="239"/>
      <c r="O3495" s="225"/>
      <c r="P3495" s="260"/>
      <c r="Q3495" s="258"/>
      <c r="R3495" s="260"/>
      <c r="S3495" s="260"/>
      <c r="T3495" s="260"/>
      <c r="U3495" s="260"/>
      <c r="V3495" s="260"/>
      <c r="W3495" s="260"/>
      <c r="X3495" s="260"/>
      <c r="Y3495" s="260"/>
      <c r="Z3495" s="260"/>
      <c r="AA3495" s="260"/>
      <c r="AB3495" s="260"/>
      <c r="AC3495" s="260"/>
      <c r="AD3495"/>
      <c r="AE3495"/>
      <c r="AF3495"/>
      <c r="AG3495"/>
    </row>
    <row r="3496" spans="14:33" ht="12" hidden="1" customHeight="1">
      <c r="N3496" s="239"/>
      <c r="O3496" s="225"/>
      <c r="P3496" s="260"/>
      <c r="Q3496" s="258"/>
      <c r="R3496" s="260"/>
      <c r="S3496" s="260"/>
      <c r="T3496" s="260"/>
      <c r="U3496" s="260"/>
      <c r="V3496" s="260"/>
      <c r="W3496" s="260"/>
      <c r="X3496" s="260"/>
      <c r="Y3496" s="260"/>
      <c r="Z3496" s="260"/>
      <c r="AA3496" s="260"/>
      <c r="AB3496" s="260"/>
      <c r="AC3496" s="260"/>
      <c r="AD3496"/>
      <c r="AE3496"/>
      <c r="AF3496"/>
      <c r="AG3496"/>
    </row>
    <row r="3497" spans="14:33" ht="12" hidden="1" customHeight="1">
      <c r="N3497" s="239"/>
      <c r="O3497" s="225"/>
      <c r="P3497" s="260"/>
      <c r="Q3497" s="258"/>
      <c r="R3497" s="260"/>
      <c r="S3497" s="260"/>
      <c r="T3497" s="260"/>
      <c r="U3497" s="260"/>
      <c r="V3497" s="260"/>
      <c r="W3497" s="260"/>
      <c r="X3497" s="260"/>
      <c r="Y3497" s="260"/>
      <c r="Z3497" s="260"/>
      <c r="AA3497" s="260"/>
      <c r="AB3497" s="260"/>
      <c r="AC3497" s="260"/>
      <c r="AD3497"/>
      <c r="AE3497"/>
      <c r="AF3497"/>
      <c r="AG3497"/>
    </row>
    <row r="3498" spans="14:33" ht="12" hidden="1" customHeight="1">
      <c r="N3498" s="239"/>
      <c r="O3498" s="225"/>
      <c r="P3498" s="260"/>
      <c r="Q3498" s="258"/>
      <c r="R3498" s="260"/>
      <c r="S3498" s="260"/>
      <c r="T3498" s="260"/>
      <c r="U3498" s="260"/>
      <c r="V3498" s="260"/>
      <c r="W3498" s="260"/>
      <c r="X3498" s="260"/>
      <c r="Y3498" s="260"/>
      <c r="Z3498" s="260"/>
      <c r="AA3498" s="260"/>
      <c r="AB3498" s="260"/>
      <c r="AC3498" s="260"/>
      <c r="AD3498"/>
      <c r="AE3498"/>
      <c r="AF3498"/>
      <c r="AG3498"/>
    </row>
    <row r="3499" spans="14:33" ht="12" hidden="1" customHeight="1">
      <c r="N3499" s="239"/>
      <c r="O3499" s="225"/>
      <c r="P3499" s="260"/>
      <c r="Q3499" s="258"/>
      <c r="R3499" s="260"/>
      <c r="S3499" s="260"/>
      <c r="T3499" s="260"/>
      <c r="U3499" s="260"/>
      <c r="V3499" s="260"/>
      <c r="W3499" s="260"/>
      <c r="X3499" s="260"/>
      <c r="Y3499" s="260"/>
      <c r="Z3499" s="260"/>
      <c r="AA3499" s="260"/>
      <c r="AB3499" s="260"/>
      <c r="AC3499" s="260"/>
      <c r="AD3499"/>
      <c r="AE3499"/>
      <c r="AF3499"/>
      <c r="AG3499"/>
    </row>
    <row r="3500" spans="14:33" ht="12" hidden="1" customHeight="1">
      <c r="N3500" s="239"/>
      <c r="O3500" s="225"/>
      <c r="P3500" s="260"/>
      <c r="Q3500" s="258"/>
      <c r="R3500" s="260"/>
      <c r="S3500" s="260"/>
      <c r="T3500" s="260"/>
      <c r="U3500" s="260"/>
      <c r="V3500" s="260"/>
      <c r="W3500" s="260"/>
      <c r="X3500" s="260"/>
      <c r="Y3500" s="260"/>
      <c r="Z3500" s="260"/>
      <c r="AA3500" s="260"/>
      <c r="AB3500" s="260"/>
      <c r="AC3500" s="260"/>
      <c r="AD3500"/>
      <c r="AE3500"/>
      <c r="AF3500"/>
      <c r="AG3500"/>
    </row>
    <row r="3501" spans="14:33" ht="12" hidden="1" customHeight="1">
      <c r="N3501" s="239"/>
      <c r="O3501" s="225"/>
      <c r="P3501" s="260"/>
      <c r="Q3501" s="258"/>
      <c r="R3501" s="260"/>
      <c r="S3501" s="260"/>
      <c r="T3501" s="260"/>
      <c r="U3501" s="260"/>
      <c r="V3501" s="260"/>
      <c r="W3501" s="260"/>
      <c r="X3501" s="260"/>
      <c r="Y3501" s="260"/>
      <c r="Z3501" s="260"/>
      <c r="AA3501" s="260"/>
      <c r="AB3501" s="260"/>
      <c r="AC3501" s="260"/>
      <c r="AD3501"/>
      <c r="AE3501"/>
      <c r="AF3501"/>
      <c r="AG3501"/>
    </row>
    <row r="3502" spans="14:33" ht="12" hidden="1" customHeight="1">
      <c r="N3502" s="239"/>
      <c r="O3502" s="225"/>
      <c r="P3502" s="260"/>
      <c r="Q3502" s="258"/>
      <c r="R3502" s="260"/>
      <c r="S3502" s="260"/>
      <c r="T3502" s="260"/>
      <c r="U3502" s="260"/>
      <c r="V3502" s="260"/>
      <c r="W3502" s="260"/>
      <c r="X3502" s="260"/>
      <c r="Y3502" s="260"/>
      <c r="Z3502" s="260"/>
      <c r="AA3502" s="260"/>
      <c r="AB3502" s="260"/>
      <c r="AC3502" s="260"/>
      <c r="AD3502"/>
      <c r="AE3502"/>
      <c r="AF3502"/>
      <c r="AG3502"/>
    </row>
    <row r="3503" spans="14:33" ht="12" hidden="1" customHeight="1">
      <c r="N3503" s="239"/>
      <c r="O3503" s="225"/>
      <c r="P3503" s="260"/>
      <c r="Q3503" s="258"/>
      <c r="R3503" s="260"/>
      <c r="S3503" s="260"/>
      <c r="T3503" s="260"/>
      <c r="U3503" s="260"/>
      <c r="V3503" s="260"/>
      <c r="W3503" s="260"/>
      <c r="X3503" s="260"/>
      <c r="Y3503" s="260"/>
      <c r="Z3503" s="260"/>
      <c r="AA3503" s="260"/>
      <c r="AB3503" s="260"/>
      <c r="AC3503" s="260"/>
      <c r="AD3503"/>
      <c r="AE3503"/>
      <c r="AF3503"/>
      <c r="AG3503"/>
    </row>
    <row r="3504" spans="14:33" ht="12" hidden="1" customHeight="1">
      <c r="N3504" s="239"/>
      <c r="O3504" s="225"/>
      <c r="P3504" s="260"/>
      <c r="Q3504" s="258"/>
      <c r="R3504" s="260"/>
      <c r="S3504" s="260"/>
      <c r="T3504" s="260"/>
      <c r="U3504" s="260"/>
      <c r="V3504" s="260"/>
      <c r="W3504" s="260"/>
      <c r="X3504" s="260"/>
      <c r="Y3504" s="260"/>
      <c r="Z3504" s="260"/>
      <c r="AA3504" s="260"/>
      <c r="AB3504" s="260"/>
      <c r="AC3504" s="260"/>
      <c r="AD3504"/>
      <c r="AE3504"/>
      <c r="AF3504"/>
      <c r="AG3504"/>
    </row>
    <row r="3505" spans="14:33" ht="12" hidden="1" customHeight="1">
      <c r="N3505" s="239"/>
      <c r="O3505" s="225"/>
      <c r="P3505" s="260"/>
      <c r="Q3505" s="258"/>
      <c r="R3505" s="260"/>
      <c r="S3505" s="260"/>
      <c r="T3505" s="260"/>
      <c r="U3505" s="260"/>
      <c r="V3505" s="260"/>
      <c r="W3505" s="260"/>
      <c r="X3505" s="260"/>
      <c r="Y3505" s="260"/>
      <c r="Z3505" s="260"/>
      <c r="AA3505" s="260"/>
      <c r="AB3505" s="260"/>
      <c r="AC3505" s="260"/>
      <c r="AD3505"/>
      <c r="AE3505"/>
      <c r="AF3505"/>
      <c r="AG3505"/>
    </row>
    <row r="3506" spans="14:33" ht="12" hidden="1" customHeight="1">
      <c r="N3506" s="239"/>
      <c r="O3506" s="225"/>
      <c r="P3506" s="260"/>
      <c r="Q3506" s="258"/>
      <c r="R3506" s="260"/>
      <c r="S3506" s="260"/>
      <c r="T3506" s="260"/>
      <c r="U3506" s="260"/>
      <c r="V3506" s="260"/>
      <c r="W3506" s="260"/>
      <c r="X3506" s="260"/>
      <c r="Y3506" s="260"/>
      <c r="Z3506" s="260"/>
      <c r="AA3506" s="260"/>
      <c r="AB3506" s="260"/>
      <c r="AC3506" s="260"/>
      <c r="AD3506"/>
      <c r="AE3506"/>
      <c r="AF3506"/>
      <c r="AG3506"/>
    </row>
    <row r="3507" spans="14:33" ht="12" hidden="1" customHeight="1">
      <c r="N3507" s="239"/>
      <c r="O3507" s="225"/>
      <c r="P3507" s="260"/>
      <c r="Q3507" s="258"/>
      <c r="R3507" s="260"/>
      <c r="S3507" s="260"/>
      <c r="T3507" s="260"/>
      <c r="U3507" s="260"/>
      <c r="V3507" s="260"/>
      <c r="W3507" s="260"/>
      <c r="X3507" s="260"/>
      <c r="Y3507" s="260"/>
      <c r="Z3507" s="260"/>
      <c r="AA3507" s="260"/>
      <c r="AB3507" s="260"/>
      <c r="AC3507" s="260"/>
      <c r="AD3507"/>
      <c r="AE3507"/>
      <c r="AF3507"/>
      <c r="AG3507"/>
    </row>
    <row r="3508" spans="14:33" ht="12" hidden="1" customHeight="1">
      <c r="N3508" s="239"/>
      <c r="O3508" s="225"/>
      <c r="P3508" s="260"/>
      <c r="Q3508" s="258"/>
      <c r="R3508" s="260"/>
      <c r="S3508" s="260"/>
      <c r="T3508" s="260"/>
      <c r="U3508" s="260"/>
      <c r="V3508" s="260"/>
      <c r="W3508" s="260"/>
      <c r="X3508" s="260"/>
      <c r="Y3508" s="260"/>
      <c r="Z3508" s="260"/>
      <c r="AA3508" s="260"/>
      <c r="AB3508" s="260"/>
      <c r="AC3508" s="260"/>
      <c r="AD3508"/>
      <c r="AE3508"/>
      <c r="AF3508"/>
      <c r="AG3508"/>
    </row>
    <row r="3509" spans="14:33" ht="12" hidden="1" customHeight="1">
      <c r="N3509" s="239"/>
      <c r="O3509" s="225"/>
      <c r="P3509" s="260"/>
      <c r="Q3509" s="258"/>
      <c r="R3509" s="260"/>
      <c r="S3509" s="260"/>
      <c r="T3509" s="260"/>
      <c r="U3509" s="260"/>
      <c r="V3509" s="260"/>
      <c r="W3509" s="260"/>
      <c r="X3509" s="260"/>
      <c r="Y3509" s="260"/>
      <c r="Z3509" s="260"/>
      <c r="AA3509" s="260"/>
      <c r="AB3509" s="260"/>
      <c r="AC3509" s="260"/>
      <c r="AD3509"/>
      <c r="AE3509"/>
      <c r="AF3509"/>
      <c r="AG3509"/>
    </row>
    <row r="3510" spans="14:33" ht="12" hidden="1" customHeight="1">
      <c r="N3510" s="239"/>
      <c r="O3510" s="225"/>
      <c r="P3510" s="260"/>
      <c r="Q3510" s="258"/>
      <c r="R3510" s="260"/>
      <c r="S3510" s="260"/>
      <c r="T3510" s="260"/>
      <c r="U3510" s="260"/>
      <c r="V3510" s="260"/>
      <c r="W3510" s="260"/>
      <c r="X3510" s="260"/>
      <c r="Y3510" s="260"/>
      <c r="Z3510" s="260"/>
      <c r="AA3510" s="260"/>
      <c r="AB3510" s="260"/>
      <c r="AC3510" s="260"/>
      <c r="AD3510"/>
      <c r="AE3510"/>
      <c r="AF3510"/>
      <c r="AG3510"/>
    </row>
    <row r="3511" spans="14:33" ht="12" hidden="1" customHeight="1">
      <c r="N3511" s="239"/>
      <c r="O3511" s="225"/>
      <c r="P3511" s="260"/>
      <c r="Q3511" s="258"/>
      <c r="R3511" s="260"/>
      <c r="S3511" s="260"/>
      <c r="T3511" s="260"/>
      <c r="U3511" s="260"/>
      <c r="V3511" s="260"/>
      <c r="W3511" s="260"/>
      <c r="X3511" s="260"/>
      <c r="Y3511" s="260"/>
      <c r="Z3511" s="260"/>
      <c r="AA3511" s="260"/>
      <c r="AB3511" s="260"/>
      <c r="AC3511" s="260"/>
      <c r="AD3511"/>
      <c r="AE3511"/>
      <c r="AF3511"/>
      <c r="AG3511"/>
    </row>
    <row r="3512" spans="14:33" ht="12" hidden="1" customHeight="1">
      <c r="N3512" s="239"/>
      <c r="O3512" s="225"/>
      <c r="P3512" s="260"/>
      <c r="Q3512" s="258"/>
      <c r="R3512" s="260"/>
      <c r="S3512" s="260"/>
      <c r="T3512" s="260"/>
      <c r="U3512" s="260"/>
      <c r="V3512" s="260"/>
      <c r="W3512" s="260"/>
      <c r="X3512" s="260"/>
      <c r="Y3512" s="260"/>
      <c r="Z3512" s="260"/>
      <c r="AA3512" s="260"/>
      <c r="AB3512" s="260"/>
      <c r="AC3512" s="260"/>
      <c r="AD3512"/>
      <c r="AE3512"/>
      <c r="AF3512"/>
      <c r="AG3512"/>
    </row>
    <row r="3513" spans="14:33" ht="12" hidden="1" customHeight="1">
      <c r="N3513" s="239"/>
      <c r="O3513" s="225"/>
      <c r="P3513" s="260"/>
      <c r="Q3513" s="258"/>
      <c r="R3513" s="260"/>
      <c r="S3513" s="260"/>
      <c r="T3513" s="260"/>
      <c r="U3513" s="260"/>
      <c r="V3513" s="260"/>
      <c r="W3513" s="260"/>
      <c r="X3513" s="260"/>
      <c r="Y3513" s="260"/>
      <c r="Z3513" s="260"/>
      <c r="AA3513" s="260"/>
      <c r="AB3513" s="260"/>
      <c r="AC3513" s="260"/>
      <c r="AD3513"/>
      <c r="AE3513"/>
      <c r="AF3513"/>
      <c r="AG3513"/>
    </row>
    <row r="3514" spans="14:33" ht="12" hidden="1" customHeight="1">
      <c r="N3514" s="239"/>
      <c r="O3514" s="225"/>
      <c r="P3514" s="260"/>
      <c r="Q3514" s="258"/>
      <c r="R3514" s="260"/>
      <c r="S3514" s="260"/>
      <c r="T3514" s="260"/>
      <c r="U3514" s="260"/>
      <c r="V3514" s="260"/>
      <c r="W3514" s="260"/>
      <c r="X3514" s="260"/>
      <c r="Y3514" s="260"/>
      <c r="Z3514" s="260"/>
      <c r="AA3514" s="260"/>
      <c r="AB3514" s="260"/>
      <c r="AC3514" s="260"/>
      <c r="AD3514"/>
      <c r="AE3514"/>
      <c r="AF3514"/>
      <c r="AG3514"/>
    </row>
    <row r="3515" spans="14:33" ht="12" hidden="1" customHeight="1">
      <c r="N3515" s="239"/>
      <c r="O3515" s="225"/>
      <c r="P3515" s="260"/>
      <c r="Q3515" s="258"/>
      <c r="R3515" s="260"/>
      <c r="S3515" s="260"/>
      <c r="T3515" s="260"/>
      <c r="U3515" s="260"/>
      <c r="V3515" s="260"/>
      <c r="W3515" s="260"/>
      <c r="X3515" s="260"/>
      <c r="Y3515" s="260"/>
      <c r="Z3515" s="260"/>
      <c r="AA3515" s="260"/>
      <c r="AB3515" s="260"/>
      <c r="AC3515" s="260"/>
      <c r="AD3515"/>
      <c r="AE3515"/>
      <c r="AF3515"/>
      <c r="AG3515"/>
    </row>
    <row r="3516" spans="14:33" ht="12" hidden="1" customHeight="1">
      <c r="N3516" s="239"/>
      <c r="O3516" s="225"/>
      <c r="P3516" s="260"/>
      <c r="Q3516" s="258"/>
      <c r="R3516" s="260"/>
      <c r="S3516" s="260"/>
      <c r="T3516" s="260"/>
      <c r="U3516" s="260"/>
      <c r="V3516" s="260"/>
      <c r="W3516" s="260"/>
      <c r="X3516" s="260"/>
      <c r="Y3516" s="260"/>
      <c r="Z3516" s="260"/>
      <c r="AA3516" s="260"/>
      <c r="AB3516" s="260"/>
      <c r="AC3516" s="260"/>
      <c r="AD3516"/>
      <c r="AE3516"/>
      <c r="AF3516"/>
      <c r="AG3516"/>
    </row>
    <row r="3517" spans="14:33" ht="12" hidden="1" customHeight="1">
      <c r="N3517" s="239"/>
      <c r="O3517" s="225"/>
      <c r="P3517" s="260"/>
      <c r="Q3517" s="258"/>
      <c r="R3517" s="260"/>
      <c r="S3517" s="260"/>
      <c r="T3517" s="260"/>
      <c r="U3517" s="260"/>
      <c r="V3517" s="260"/>
      <c r="W3517" s="260"/>
      <c r="X3517" s="260"/>
      <c r="Y3517" s="260"/>
      <c r="Z3517" s="260"/>
      <c r="AA3517" s="260"/>
      <c r="AB3517" s="260"/>
      <c r="AC3517" s="260"/>
      <c r="AD3517"/>
      <c r="AE3517"/>
      <c r="AF3517"/>
      <c r="AG3517"/>
    </row>
    <row r="3518" spans="14:33" ht="12" hidden="1" customHeight="1">
      <c r="N3518" s="239"/>
      <c r="O3518" s="225"/>
      <c r="P3518" s="260"/>
      <c r="Q3518" s="258"/>
      <c r="R3518" s="260"/>
      <c r="S3518" s="260"/>
      <c r="T3518" s="260"/>
      <c r="U3518" s="260"/>
      <c r="V3518" s="260"/>
      <c r="W3518" s="260"/>
      <c r="X3518" s="260"/>
      <c r="Y3518" s="260"/>
      <c r="Z3518" s="260"/>
      <c r="AA3518" s="260"/>
      <c r="AB3518" s="260"/>
      <c r="AC3518" s="260"/>
      <c r="AD3518"/>
      <c r="AE3518"/>
      <c r="AF3518"/>
      <c r="AG3518"/>
    </row>
    <row r="3519" spans="14:33" ht="12" hidden="1" customHeight="1">
      <c r="N3519" s="239"/>
      <c r="O3519" s="225"/>
      <c r="P3519" s="260"/>
      <c r="Q3519" s="258"/>
      <c r="R3519" s="260"/>
      <c r="S3519" s="260"/>
      <c r="T3519" s="260"/>
      <c r="U3519" s="260"/>
      <c r="V3519" s="260"/>
      <c r="W3519" s="260"/>
      <c r="X3519" s="260"/>
      <c r="Y3519" s="260"/>
      <c r="Z3519" s="260"/>
      <c r="AA3519" s="260"/>
      <c r="AB3519" s="260"/>
      <c r="AC3519" s="260"/>
      <c r="AD3519"/>
      <c r="AE3519"/>
      <c r="AF3519"/>
      <c r="AG3519"/>
    </row>
    <row r="3520" spans="14:33" ht="12" hidden="1" customHeight="1">
      <c r="N3520" s="239"/>
      <c r="O3520" s="225"/>
      <c r="P3520" s="260"/>
      <c r="Q3520" s="258"/>
      <c r="R3520" s="260"/>
      <c r="S3520" s="260"/>
      <c r="T3520" s="260"/>
      <c r="U3520" s="260"/>
      <c r="V3520" s="260"/>
      <c r="W3520" s="260"/>
      <c r="X3520" s="260"/>
      <c r="Y3520" s="260"/>
      <c r="Z3520" s="260"/>
      <c r="AA3520" s="260"/>
      <c r="AB3520" s="260"/>
      <c r="AC3520" s="260"/>
      <c r="AD3520"/>
      <c r="AE3520"/>
      <c r="AF3520"/>
      <c r="AG3520"/>
    </row>
    <row r="3521" spans="14:33" ht="12" hidden="1" customHeight="1">
      <c r="N3521" s="239"/>
      <c r="O3521" s="225"/>
      <c r="P3521" s="260"/>
      <c r="Q3521" s="258"/>
      <c r="R3521" s="260"/>
      <c r="S3521" s="260"/>
      <c r="T3521" s="260"/>
      <c r="U3521" s="260"/>
      <c r="V3521" s="260"/>
      <c r="W3521" s="260"/>
      <c r="X3521" s="260"/>
      <c r="Y3521" s="260"/>
      <c r="Z3521" s="260"/>
      <c r="AA3521" s="260"/>
      <c r="AB3521" s="260"/>
      <c r="AC3521" s="260"/>
      <c r="AD3521"/>
      <c r="AE3521"/>
      <c r="AF3521"/>
      <c r="AG3521"/>
    </row>
    <row r="3522" spans="14:33" ht="12" hidden="1" customHeight="1">
      <c r="N3522" s="239"/>
      <c r="O3522" s="225"/>
      <c r="P3522" s="260"/>
      <c r="Q3522" s="258"/>
      <c r="R3522" s="260"/>
      <c r="S3522" s="260"/>
      <c r="T3522" s="260"/>
      <c r="U3522" s="260"/>
      <c r="V3522" s="260"/>
      <c r="W3522" s="260"/>
      <c r="X3522" s="260"/>
      <c r="Y3522" s="260"/>
      <c r="Z3522" s="260"/>
      <c r="AA3522" s="260"/>
      <c r="AB3522" s="260"/>
      <c r="AC3522" s="260"/>
      <c r="AD3522"/>
      <c r="AE3522"/>
      <c r="AF3522"/>
      <c r="AG3522"/>
    </row>
    <row r="3523" spans="14:33" ht="12" hidden="1" customHeight="1">
      <c r="N3523" s="239"/>
      <c r="O3523" s="225"/>
      <c r="P3523" s="260"/>
      <c r="Q3523" s="258"/>
      <c r="R3523" s="260"/>
      <c r="S3523" s="260"/>
      <c r="T3523" s="260"/>
      <c r="U3523" s="260"/>
      <c r="V3523" s="260"/>
      <c r="W3523" s="260"/>
      <c r="X3523" s="260"/>
      <c r="Y3523" s="260"/>
      <c r="Z3523" s="260"/>
      <c r="AA3523" s="260"/>
      <c r="AB3523" s="260"/>
      <c r="AC3523" s="260"/>
      <c r="AD3523"/>
      <c r="AE3523"/>
      <c r="AF3523"/>
      <c r="AG3523"/>
    </row>
    <row r="3524" spans="14:33" ht="12" hidden="1" customHeight="1">
      <c r="N3524" s="239"/>
      <c r="O3524" s="225"/>
      <c r="P3524" s="260"/>
      <c r="Q3524" s="258"/>
      <c r="R3524" s="260"/>
      <c r="S3524" s="260"/>
      <c r="T3524" s="260"/>
      <c r="U3524" s="260"/>
      <c r="V3524" s="260"/>
      <c r="W3524" s="260"/>
      <c r="X3524" s="260"/>
      <c r="Y3524" s="260"/>
      <c r="Z3524" s="260"/>
      <c r="AA3524" s="260"/>
      <c r="AB3524" s="260"/>
      <c r="AC3524" s="260"/>
      <c r="AD3524"/>
      <c r="AE3524"/>
      <c r="AF3524"/>
      <c r="AG3524"/>
    </row>
    <row r="3525" spans="14:33" ht="12" hidden="1" customHeight="1">
      <c r="N3525" s="239"/>
      <c r="O3525" s="225"/>
      <c r="P3525" s="260"/>
      <c r="Q3525" s="258"/>
      <c r="R3525" s="260"/>
      <c r="S3525" s="260"/>
      <c r="T3525" s="260"/>
      <c r="U3525" s="260"/>
      <c r="V3525" s="260"/>
      <c r="W3525" s="260"/>
      <c r="X3525" s="260"/>
      <c r="Y3525" s="260"/>
      <c r="Z3525" s="260"/>
      <c r="AA3525" s="260"/>
      <c r="AB3525" s="260"/>
      <c r="AC3525" s="260"/>
      <c r="AD3525"/>
      <c r="AE3525"/>
      <c r="AF3525"/>
      <c r="AG3525"/>
    </row>
    <row r="3526" spans="14:33" ht="12" hidden="1" customHeight="1">
      <c r="N3526" s="239"/>
      <c r="O3526" s="225"/>
      <c r="P3526" s="260"/>
      <c r="Q3526" s="258"/>
      <c r="R3526" s="260"/>
      <c r="S3526" s="260"/>
      <c r="T3526" s="260"/>
      <c r="U3526" s="260"/>
      <c r="V3526" s="260"/>
      <c r="W3526" s="260"/>
      <c r="X3526" s="260"/>
      <c r="Y3526" s="260"/>
      <c r="Z3526" s="260"/>
      <c r="AA3526" s="260"/>
      <c r="AB3526" s="260"/>
      <c r="AC3526" s="260"/>
      <c r="AD3526"/>
      <c r="AE3526"/>
      <c r="AF3526"/>
      <c r="AG3526"/>
    </row>
    <row r="3527" spans="14:33" ht="12" hidden="1" customHeight="1">
      <c r="N3527" s="239"/>
      <c r="O3527" s="225"/>
      <c r="P3527" s="260"/>
      <c r="Q3527" s="258"/>
      <c r="R3527" s="260"/>
      <c r="S3527" s="260"/>
      <c r="T3527" s="260"/>
      <c r="U3527" s="260"/>
      <c r="V3527" s="260"/>
      <c r="W3527" s="260"/>
      <c r="X3527" s="260"/>
      <c r="Y3527" s="260"/>
      <c r="Z3527" s="260"/>
      <c r="AA3527" s="260"/>
      <c r="AB3527" s="260"/>
      <c r="AC3527" s="260"/>
      <c r="AD3527"/>
      <c r="AE3527"/>
      <c r="AF3527"/>
      <c r="AG3527"/>
    </row>
    <row r="3528" spans="14:33" ht="12" hidden="1" customHeight="1">
      <c r="N3528" s="239"/>
      <c r="O3528" s="225"/>
      <c r="P3528" s="260"/>
      <c r="Q3528" s="258"/>
      <c r="R3528" s="260"/>
      <c r="S3528" s="260"/>
      <c r="T3528" s="260"/>
      <c r="U3528" s="260"/>
      <c r="V3528" s="260"/>
      <c r="W3528" s="260"/>
      <c r="X3528" s="260"/>
      <c r="Y3528" s="260"/>
      <c r="Z3528" s="260"/>
      <c r="AA3528" s="260"/>
      <c r="AB3528" s="260"/>
      <c r="AC3528" s="260"/>
      <c r="AD3528"/>
      <c r="AE3528"/>
      <c r="AF3528"/>
      <c r="AG3528"/>
    </row>
    <row r="3529" spans="14:33" ht="12" hidden="1" customHeight="1">
      <c r="N3529" s="239"/>
      <c r="O3529" s="225"/>
      <c r="P3529" s="260"/>
      <c r="Q3529" s="258"/>
      <c r="R3529" s="260"/>
      <c r="S3529" s="260"/>
      <c r="T3529" s="260"/>
      <c r="U3529" s="260"/>
      <c r="V3529" s="260"/>
      <c r="W3529" s="260"/>
      <c r="X3529" s="260"/>
      <c r="Y3529" s="260"/>
      <c r="Z3529" s="260"/>
      <c r="AA3529" s="260"/>
      <c r="AB3529" s="260"/>
      <c r="AC3529" s="260"/>
      <c r="AD3529"/>
      <c r="AE3529"/>
      <c r="AF3529"/>
      <c r="AG3529"/>
    </row>
    <row r="3530" spans="14:33" ht="12" hidden="1" customHeight="1">
      <c r="N3530" s="239"/>
      <c r="O3530" s="225"/>
      <c r="P3530" s="260"/>
      <c r="Q3530" s="258"/>
      <c r="R3530" s="260"/>
      <c r="S3530" s="260"/>
      <c r="T3530" s="260"/>
      <c r="U3530" s="260"/>
      <c r="V3530" s="260"/>
      <c r="W3530" s="260"/>
      <c r="X3530" s="260"/>
      <c r="Y3530" s="260"/>
      <c r="Z3530" s="260"/>
      <c r="AA3530" s="260"/>
      <c r="AB3530" s="260"/>
      <c r="AC3530" s="260"/>
      <c r="AD3530"/>
      <c r="AE3530"/>
      <c r="AF3530"/>
      <c r="AG3530"/>
    </row>
    <row r="3531" spans="14:33" ht="12" hidden="1" customHeight="1">
      <c r="N3531" s="239"/>
      <c r="O3531" s="225"/>
      <c r="P3531" s="260"/>
      <c r="Q3531" s="258"/>
      <c r="R3531" s="260"/>
      <c r="S3531" s="260"/>
      <c r="T3531" s="260"/>
      <c r="U3531" s="260"/>
      <c r="V3531" s="260"/>
      <c r="W3531" s="260"/>
      <c r="X3531" s="260"/>
      <c r="Y3531" s="260"/>
      <c r="Z3531" s="260"/>
      <c r="AA3531" s="260"/>
      <c r="AB3531" s="260"/>
      <c r="AC3531" s="260"/>
      <c r="AD3531"/>
      <c r="AE3531"/>
      <c r="AF3531"/>
      <c r="AG3531"/>
    </row>
    <row r="3532" spans="14:33" ht="12" hidden="1" customHeight="1">
      <c r="N3532" s="239"/>
      <c r="O3532" s="225"/>
      <c r="P3532" s="260"/>
      <c r="Q3532" s="258"/>
      <c r="R3532" s="260"/>
      <c r="S3532" s="260"/>
      <c r="T3532" s="260"/>
      <c r="U3532" s="260"/>
      <c r="V3532" s="260"/>
      <c r="W3532" s="260"/>
      <c r="X3532" s="260"/>
      <c r="Y3532" s="260"/>
      <c r="Z3532" s="260"/>
      <c r="AA3532" s="260"/>
      <c r="AB3532" s="260"/>
      <c r="AC3532" s="260"/>
      <c r="AD3532"/>
      <c r="AE3532"/>
      <c r="AF3532"/>
      <c r="AG3532"/>
    </row>
    <row r="3533" spans="14:33" ht="12" hidden="1" customHeight="1">
      <c r="N3533" s="239"/>
      <c r="O3533" s="225"/>
      <c r="P3533" s="260"/>
      <c r="Q3533" s="258"/>
      <c r="R3533" s="260"/>
      <c r="S3533" s="260"/>
      <c r="T3533" s="260"/>
      <c r="U3533" s="260"/>
      <c r="V3533" s="260"/>
      <c r="W3533" s="260"/>
      <c r="X3533" s="260"/>
      <c r="Y3533" s="260"/>
      <c r="Z3533" s="260"/>
      <c r="AA3533" s="260"/>
      <c r="AB3533" s="260"/>
      <c r="AC3533" s="260"/>
      <c r="AD3533"/>
      <c r="AE3533"/>
      <c r="AF3533"/>
      <c r="AG3533"/>
    </row>
    <row r="3534" spans="14:33" ht="12" hidden="1" customHeight="1">
      <c r="N3534" s="239"/>
      <c r="O3534" s="225"/>
      <c r="P3534" s="260"/>
      <c r="Q3534" s="258"/>
      <c r="R3534" s="260"/>
      <c r="S3534" s="260"/>
      <c r="T3534" s="260"/>
      <c r="U3534" s="260"/>
      <c r="V3534" s="260"/>
      <c r="W3534" s="260"/>
      <c r="X3534" s="260"/>
      <c r="Y3534" s="260"/>
      <c r="Z3534" s="260"/>
      <c r="AA3534" s="260"/>
      <c r="AB3534" s="260"/>
      <c r="AC3534" s="260"/>
      <c r="AD3534"/>
      <c r="AE3534"/>
      <c r="AF3534"/>
      <c r="AG3534"/>
    </row>
    <row r="3535" spans="14:33" ht="12" hidden="1" customHeight="1">
      <c r="N3535" s="239"/>
      <c r="O3535" s="225"/>
      <c r="P3535" s="260"/>
      <c r="Q3535" s="258"/>
      <c r="R3535" s="260"/>
      <c r="S3535" s="260"/>
      <c r="T3535" s="260"/>
      <c r="U3535" s="260"/>
      <c r="V3535" s="260"/>
      <c r="W3535" s="260"/>
      <c r="X3535" s="260"/>
      <c r="Y3535" s="260"/>
      <c r="Z3535" s="260"/>
      <c r="AA3535" s="260"/>
      <c r="AB3535" s="260"/>
      <c r="AC3535" s="260"/>
      <c r="AD3535"/>
      <c r="AE3535"/>
      <c r="AF3535"/>
      <c r="AG3535"/>
    </row>
    <row r="3536" spans="14:33" ht="12" hidden="1" customHeight="1">
      <c r="N3536" s="239"/>
      <c r="O3536" s="225"/>
      <c r="P3536" s="260"/>
      <c r="Q3536" s="258"/>
      <c r="R3536" s="260"/>
      <c r="S3536" s="260"/>
      <c r="T3536" s="260"/>
      <c r="U3536" s="260"/>
      <c r="V3536" s="260"/>
      <c r="W3536" s="260"/>
      <c r="X3536" s="260"/>
      <c r="Y3536" s="260"/>
      <c r="Z3536" s="260"/>
      <c r="AA3536" s="260"/>
      <c r="AB3536" s="260"/>
      <c r="AC3536" s="260"/>
      <c r="AD3536"/>
      <c r="AE3536"/>
      <c r="AF3536"/>
      <c r="AG3536"/>
    </row>
    <row r="3537" spans="14:33" ht="12" hidden="1" customHeight="1">
      <c r="N3537" s="239"/>
      <c r="O3537" s="225"/>
      <c r="P3537" s="260"/>
      <c r="Q3537" s="258"/>
      <c r="R3537" s="260"/>
      <c r="S3537" s="260"/>
      <c r="T3537" s="260"/>
      <c r="U3537" s="260"/>
      <c r="V3537" s="260"/>
      <c r="W3537" s="260"/>
      <c r="X3537" s="260"/>
      <c r="Y3537" s="260"/>
      <c r="Z3537" s="260"/>
      <c r="AA3537" s="260"/>
      <c r="AB3537" s="260"/>
      <c r="AC3537" s="260"/>
      <c r="AD3537"/>
      <c r="AE3537"/>
      <c r="AF3537"/>
      <c r="AG3537"/>
    </row>
    <row r="3538" spans="14:33" ht="12" hidden="1" customHeight="1">
      <c r="N3538" s="239"/>
      <c r="O3538" s="225"/>
      <c r="P3538" s="260"/>
      <c r="Q3538" s="258"/>
      <c r="R3538" s="260"/>
      <c r="S3538" s="260"/>
      <c r="T3538" s="260"/>
      <c r="U3538" s="260"/>
      <c r="V3538" s="260"/>
      <c r="W3538" s="260"/>
      <c r="X3538" s="260"/>
      <c r="Y3538" s="260"/>
      <c r="Z3538" s="260"/>
      <c r="AA3538" s="260"/>
      <c r="AB3538" s="260"/>
      <c r="AC3538" s="260"/>
      <c r="AD3538"/>
      <c r="AE3538"/>
      <c r="AF3538"/>
      <c r="AG3538"/>
    </row>
    <row r="3539" spans="14:33" ht="12" hidden="1" customHeight="1">
      <c r="N3539" s="239"/>
      <c r="O3539" s="225"/>
      <c r="P3539" s="260"/>
      <c r="Q3539" s="258"/>
      <c r="R3539" s="260"/>
      <c r="S3539" s="260"/>
      <c r="T3539" s="260"/>
      <c r="U3539" s="260"/>
      <c r="V3539" s="260"/>
      <c r="W3539" s="260"/>
      <c r="X3539" s="260"/>
      <c r="Y3539" s="260"/>
      <c r="Z3539" s="260"/>
      <c r="AA3539" s="260"/>
      <c r="AB3539" s="260"/>
      <c r="AC3539" s="260"/>
      <c r="AD3539"/>
      <c r="AE3539"/>
      <c r="AF3539"/>
      <c r="AG3539"/>
    </row>
    <row r="3540" spans="14:33" ht="12" hidden="1" customHeight="1">
      <c r="N3540" s="239"/>
      <c r="O3540" s="225"/>
      <c r="P3540" s="260"/>
      <c r="Q3540" s="258"/>
      <c r="R3540" s="260"/>
      <c r="S3540" s="260"/>
      <c r="T3540" s="260"/>
      <c r="U3540" s="260"/>
      <c r="V3540" s="260"/>
      <c r="W3540" s="260"/>
      <c r="X3540" s="260"/>
      <c r="Y3540" s="260"/>
      <c r="Z3540" s="260"/>
      <c r="AA3540" s="260"/>
      <c r="AB3540" s="260"/>
      <c r="AC3540" s="260"/>
      <c r="AD3540"/>
      <c r="AE3540"/>
      <c r="AF3540"/>
      <c r="AG3540"/>
    </row>
    <row r="3541" spans="14:33" ht="12" hidden="1" customHeight="1">
      <c r="N3541" s="239"/>
      <c r="O3541" s="225"/>
      <c r="P3541" s="260"/>
      <c r="Q3541" s="258"/>
      <c r="R3541" s="260"/>
      <c r="S3541" s="260"/>
      <c r="T3541" s="260"/>
      <c r="U3541" s="260"/>
      <c r="V3541" s="260"/>
      <c r="W3541" s="260"/>
      <c r="X3541" s="260"/>
      <c r="Y3541" s="260"/>
      <c r="Z3541" s="260"/>
      <c r="AA3541" s="260"/>
      <c r="AB3541" s="260"/>
      <c r="AC3541" s="260"/>
      <c r="AD3541"/>
      <c r="AE3541"/>
      <c r="AF3541"/>
      <c r="AG3541"/>
    </row>
    <row r="3542" spans="14:33" ht="12" hidden="1" customHeight="1">
      <c r="N3542" s="239"/>
      <c r="O3542" s="225"/>
      <c r="P3542" s="260"/>
      <c r="Q3542" s="258"/>
      <c r="R3542" s="260"/>
      <c r="S3542" s="260"/>
      <c r="T3542" s="260"/>
      <c r="U3542" s="260"/>
      <c r="V3542" s="260"/>
      <c r="W3542" s="260"/>
      <c r="X3542" s="260"/>
      <c r="Y3542" s="260"/>
      <c r="Z3542" s="260"/>
      <c r="AA3542" s="260"/>
      <c r="AB3542" s="260"/>
      <c r="AC3542" s="260"/>
      <c r="AD3542"/>
      <c r="AE3542"/>
      <c r="AF3542"/>
      <c r="AG3542"/>
    </row>
    <row r="3543" spans="14:33" ht="12" hidden="1" customHeight="1">
      <c r="N3543" s="239"/>
      <c r="O3543" s="225"/>
      <c r="P3543" s="260"/>
      <c r="Q3543" s="258"/>
      <c r="R3543" s="260"/>
      <c r="S3543" s="260"/>
      <c r="T3543" s="260"/>
      <c r="U3543" s="260"/>
      <c r="V3543" s="260"/>
      <c r="W3543" s="260"/>
      <c r="X3543" s="260"/>
      <c r="Y3543" s="260"/>
      <c r="Z3543" s="260"/>
      <c r="AA3543" s="260"/>
      <c r="AB3543" s="260"/>
      <c r="AC3543" s="260"/>
      <c r="AD3543"/>
      <c r="AE3543"/>
      <c r="AF3543"/>
      <c r="AG3543"/>
    </row>
    <row r="3544" spans="14:33" ht="12" hidden="1" customHeight="1">
      <c r="N3544" s="239"/>
      <c r="O3544" s="225"/>
      <c r="P3544" s="260"/>
      <c r="Q3544" s="258"/>
      <c r="R3544" s="260"/>
      <c r="S3544" s="260"/>
      <c r="T3544" s="260"/>
      <c r="U3544" s="260"/>
      <c r="V3544" s="260"/>
      <c r="W3544" s="260"/>
      <c r="X3544" s="260"/>
      <c r="Y3544" s="260"/>
      <c r="Z3544" s="260"/>
      <c r="AA3544" s="260"/>
      <c r="AB3544" s="260"/>
      <c r="AC3544" s="260"/>
      <c r="AD3544"/>
      <c r="AE3544"/>
      <c r="AF3544"/>
      <c r="AG3544"/>
    </row>
    <row r="3545" spans="14:33" ht="12" hidden="1" customHeight="1">
      <c r="N3545" s="239"/>
      <c r="O3545" s="225"/>
      <c r="P3545" s="260"/>
      <c r="Q3545" s="258"/>
      <c r="R3545" s="260"/>
      <c r="S3545" s="260"/>
      <c r="T3545" s="260"/>
      <c r="U3545" s="260"/>
      <c r="V3545" s="260"/>
      <c r="W3545" s="260"/>
      <c r="X3545" s="260"/>
      <c r="Y3545" s="260"/>
      <c r="Z3545" s="260"/>
      <c r="AA3545" s="260"/>
      <c r="AB3545" s="260"/>
      <c r="AC3545" s="260"/>
      <c r="AD3545"/>
      <c r="AE3545"/>
      <c r="AF3545"/>
      <c r="AG3545"/>
    </row>
    <row r="3546" spans="14:33" ht="12" hidden="1" customHeight="1">
      <c r="N3546" s="239"/>
      <c r="O3546" s="225"/>
      <c r="P3546" s="260"/>
      <c r="Q3546" s="258"/>
      <c r="R3546" s="260"/>
      <c r="S3546" s="260"/>
      <c r="T3546" s="260"/>
      <c r="U3546" s="260"/>
      <c r="V3546" s="260"/>
      <c r="W3546" s="260"/>
      <c r="X3546" s="260"/>
      <c r="Y3546" s="260"/>
      <c r="Z3546" s="260"/>
      <c r="AA3546" s="260"/>
      <c r="AB3546" s="260"/>
      <c r="AC3546" s="260"/>
      <c r="AD3546"/>
      <c r="AE3546"/>
      <c r="AF3546"/>
      <c r="AG3546"/>
    </row>
    <row r="3547" spans="14:33" ht="12" hidden="1" customHeight="1">
      <c r="N3547" s="239"/>
      <c r="O3547" s="225"/>
      <c r="P3547" s="260"/>
      <c r="Q3547" s="258"/>
      <c r="R3547" s="260"/>
      <c r="S3547" s="260"/>
      <c r="T3547" s="260"/>
      <c r="U3547" s="260"/>
      <c r="V3547" s="260"/>
      <c r="W3547" s="260"/>
      <c r="X3547" s="260"/>
      <c r="Y3547" s="260"/>
      <c r="Z3547" s="260"/>
      <c r="AA3547" s="260"/>
      <c r="AB3547" s="260"/>
      <c r="AC3547" s="260"/>
      <c r="AD3547"/>
      <c r="AE3547"/>
      <c r="AF3547"/>
      <c r="AG3547"/>
    </row>
    <row r="3548" spans="14:33" ht="12" hidden="1" customHeight="1">
      <c r="N3548" s="239"/>
      <c r="O3548" s="225"/>
      <c r="P3548" s="260"/>
      <c r="Q3548" s="258"/>
      <c r="R3548" s="260"/>
      <c r="S3548" s="260"/>
      <c r="T3548" s="260"/>
      <c r="U3548" s="260"/>
      <c r="V3548" s="260"/>
      <c r="W3548" s="260"/>
      <c r="X3548" s="260"/>
      <c r="Y3548" s="260"/>
      <c r="Z3548" s="260"/>
      <c r="AA3548" s="260"/>
      <c r="AB3548" s="260"/>
      <c r="AC3548" s="260"/>
      <c r="AD3548"/>
      <c r="AE3548"/>
      <c r="AF3548"/>
      <c r="AG3548"/>
    </row>
    <row r="3549" spans="14:33" ht="12" hidden="1" customHeight="1">
      <c r="N3549" s="239"/>
      <c r="O3549" s="225"/>
      <c r="P3549" s="260"/>
      <c r="Q3549" s="258"/>
      <c r="R3549" s="260"/>
      <c r="S3549" s="260"/>
      <c r="T3549" s="260"/>
      <c r="U3549" s="260"/>
      <c r="V3549" s="260"/>
      <c r="W3549" s="260"/>
      <c r="X3549" s="260"/>
      <c r="Y3549" s="260"/>
      <c r="Z3549" s="260"/>
      <c r="AA3549" s="260"/>
      <c r="AB3549" s="260"/>
      <c r="AC3549" s="260"/>
      <c r="AD3549"/>
      <c r="AE3549"/>
      <c r="AF3549"/>
      <c r="AG3549"/>
    </row>
    <row r="3550" spans="14:33" ht="12" hidden="1" customHeight="1">
      <c r="N3550" s="239"/>
      <c r="O3550" s="225"/>
      <c r="P3550" s="260"/>
      <c r="Q3550" s="258"/>
      <c r="R3550" s="260"/>
      <c r="S3550" s="260"/>
      <c r="T3550" s="260"/>
      <c r="U3550" s="260"/>
      <c r="V3550" s="260"/>
      <c r="W3550" s="260"/>
      <c r="X3550" s="260"/>
      <c r="Y3550" s="260"/>
      <c r="Z3550" s="260"/>
      <c r="AA3550" s="260"/>
      <c r="AB3550" s="260"/>
      <c r="AC3550" s="260"/>
      <c r="AD3550"/>
      <c r="AE3550"/>
      <c r="AF3550"/>
      <c r="AG3550"/>
    </row>
    <row r="3551" spans="14:33" ht="12" hidden="1" customHeight="1">
      <c r="N3551" s="239"/>
      <c r="O3551" s="225"/>
      <c r="P3551" s="260"/>
      <c r="Q3551" s="258"/>
      <c r="R3551" s="260"/>
      <c r="S3551" s="260"/>
      <c r="T3551" s="260"/>
      <c r="U3551" s="260"/>
      <c r="V3551" s="260"/>
      <c r="W3551" s="260"/>
      <c r="X3551" s="260"/>
      <c r="Y3551" s="260"/>
      <c r="Z3551" s="260"/>
      <c r="AA3551" s="260"/>
      <c r="AB3551" s="260"/>
      <c r="AC3551" s="260"/>
      <c r="AD3551"/>
      <c r="AE3551"/>
      <c r="AF3551"/>
      <c r="AG3551"/>
    </row>
    <row r="3552" spans="14:33" ht="12" hidden="1" customHeight="1">
      <c r="N3552" s="239"/>
      <c r="O3552" s="225"/>
      <c r="P3552" s="260"/>
      <c r="Q3552" s="258"/>
      <c r="R3552" s="260"/>
      <c r="S3552" s="260"/>
      <c r="T3552" s="260"/>
      <c r="U3552" s="260"/>
      <c r="V3552" s="260"/>
      <c r="W3552" s="260"/>
      <c r="X3552" s="260"/>
      <c r="Y3552" s="260"/>
      <c r="Z3552" s="260"/>
      <c r="AA3552" s="260"/>
      <c r="AB3552" s="260"/>
      <c r="AC3552" s="260"/>
      <c r="AD3552"/>
      <c r="AE3552"/>
      <c r="AF3552"/>
      <c r="AG3552"/>
    </row>
    <row r="3553" spans="14:33" ht="12" hidden="1" customHeight="1">
      <c r="N3553" s="239"/>
      <c r="O3553" s="225"/>
      <c r="P3553" s="260"/>
      <c r="Q3553" s="258"/>
      <c r="R3553" s="260"/>
      <c r="S3553" s="260"/>
      <c r="T3553" s="260"/>
      <c r="U3553" s="260"/>
      <c r="V3553" s="260"/>
      <c r="W3553" s="260"/>
      <c r="X3553" s="260"/>
      <c r="Y3553" s="260"/>
      <c r="Z3553" s="260"/>
      <c r="AA3553" s="260"/>
      <c r="AB3553" s="260"/>
      <c r="AC3553" s="260"/>
      <c r="AD3553"/>
      <c r="AE3553"/>
      <c r="AF3553"/>
      <c r="AG3553"/>
    </row>
    <row r="3554" spans="14:33" ht="12" hidden="1" customHeight="1">
      <c r="N3554" s="239"/>
      <c r="O3554" s="225"/>
      <c r="P3554" s="260"/>
      <c r="Q3554" s="258"/>
      <c r="R3554" s="260"/>
      <c r="S3554" s="260"/>
      <c r="T3554" s="260"/>
      <c r="U3554" s="260"/>
      <c r="V3554" s="260"/>
      <c r="W3554" s="260"/>
      <c r="X3554" s="260"/>
      <c r="Y3554" s="260"/>
      <c r="Z3554" s="260"/>
      <c r="AA3554" s="260"/>
      <c r="AB3554" s="260"/>
      <c r="AC3554" s="260"/>
      <c r="AD3554"/>
      <c r="AE3554"/>
      <c r="AF3554"/>
      <c r="AG3554"/>
    </row>
    <row r="3555" spans="14:33" ht="12" hidden="1" customHeight="1">
      <c r="N3555" s="239"/>
      <c r="O3555" s="225"/>
      <c r="P3555" s="260"/>
      <c r="Q3555" s="258"/>
      <c r="R3555" s="260"/>
      <c r="S3555" s="260"/>
      <c r="T3555" s="260"/>
      <c r="U3555" s="260"/>
      <c r="V3555" s="260"/>
      <c r="W3555" s="260"/>
      <c r="X3555" s="260"/>
      <c r="Y3555" s="260"/>
      <c r="Z3555" s="260"/>
      <c r="AA3555" s="260"/>
      <c r="AB3555" s="260"/>
      <c r="AC3555" s="260"/>
      <c r="AD3555"/>
      <c r="AE3555"/>
      <c r="AF3555"/>
      <c r="AG3555"/>
    </row>
    <row r="3556" spans="14:33" ht="12" hidden="1" customHeight="1">
      <c r="N3556" s="239"/>
      <c r="O3556" s="225"/>
      <c r="P3556" s="260"/>
      <c r="Q3556" s="258"/>
      <c r="R3556" s="260"/>
      <c r="S3556" s="260"/>
      <c r="T3556" s="260"/>
      <c r="U3556" s="260"/>
      <c r="V3556" s="260"/>
      <c r="W3556" s="260"/>
      <c r="X3556" s="260"/>
      <c r="Y3556" s="260"/>
      <c r="Z3556" s="260"/>
      <c r="AA3556" s="260"/>
      <c r="AB3556" s="260"/>
      <c r="AC3556" s="260"/>
      <c r="AD3556"/>
      <c r="AE3556"/>
      <c r="AF3556"/>
      <c r="AG3556"/>
    </row>
    <row r="3557" spans="14:33" ht="12" hidden="1" customHeight="1">
      <c r="N3557" s="239"/>
      <c r="O3557" s="225"/>
      <c r="P3557" s="260"/>
      <c r="Q3557" s="258"/>
      <c r="R3557" s="260"/>
      <c r="S3557" s="260"/>
      <c r="T3557" s="260"/>
      <c r="U3557" s="260"/>
      <c r="V3557" s="260"/>
      <c r="W3557" s="260"/>
      <c r="X3557" s="260"/>
      <c r="Y3557" s="260"/>
      <c r="Z3557" s="260"/>
      <c r="AA3557" s="260"/>
      <c r="AB3557" s="260"/>
      <c r="AC3557" s="260"/>
      <c r="AD3557"/>
      <c r="AE3557"/>
      <c r="AF3557"/>
      <c r="AG3557"/>
    </row>
    <row r="3558" spans="14:33" ht="12" hidden="1" customHeight="1">
      <c r="N3558" s="239"/>
      <c r="O3558" s="225"/>
      <c r="P3558" s="260"/>
      <c r="Q3558" s="258"/>
      <c r="R3558" s="260"/>
      <c r="S3558" s="260"/>
      <c r="T3558" s="260"/>
      <c r="U3558" s="260"/>
      <c r="V3558" s="260"/>
      <c r="W3558" s="260"/>
      <c r="X3558" s="260"/>
      <c r="Y3558" s="260"/>
      <c r="Z3558" s="260"/>
      <c r="AA3558" s="260"/>
      <c r="AB3558" s="260"/>
      <c r="AC3558" s="260"/>
      <c r="AD3558"/>
      <c r="AE3558"/>
      <c r="AF3558"/>
      <c r="AG3558"/>
    </row>
    <row r="3559" spans="14:33" ht="12" hidden="1" customHeight="1">
      <c r="N3559" s="239"/>
      <c r="O3559" s="225"/>
      <c r="P3559" s="260"/>
      <c r="Q3559" s="258"/>
      <c r="R3559" s="260"/>
      <c r="S3559" s="260"/>
      <c r="T3559" s="260"/>
      <c r="U3559" s="260"/>
      <c r="V3559" s="260"/>
      <c r="W3559" s="260"/>
      <c r="X3559" s="260"/>
      <c r="Y3559" s="260"/>
      <c r="Z3559" s="260"/>
      <c r="AA3559" s="260"/>
      <c r="AB3559" s="260"/>
      <c r="AC3559" s="260"/>
      <c r="AD3559"/>
      <c r="AE3559"/>
      <c r="AF3559"/>
      <c r="AG3559"/>
    </row>
    <row r="3560" spans="14:33" ht="12" hidden="1" customHeight="1">
      <c r="N3560" s="239"/>
      <c r="O3560" s="225"/>
      <c r="P3560" s="260"/>
      <c r="Q3560" s="258"/>
      <c r="R3560" s="260"/>
      <c r="S3560" s="260"/>
      <c r="T3560" s="260"/>
      <c r="U3560" s="260"/>
      <c r="V3560" s="260"/>
      <c r="W3560" s="260"/>
      <c r="X3560" s="260"/>
      <c r="Y3560" s="260"/>
      <c r="Z3560" s="260"/>
      <c r="AA3560" s="260"/>
      <c r="AB3560" s="260"/>
      <c r="AC3560" s="260"/>
      <c r="AD3560"/>
      <c r="AE3560"/>
      <c r="AF3560"/>
      <c r="AG3560"/>
    </row>
    <row r="3561" spans="14:33" ht="12" hidden="1" customHeight="1">
      <c r="N3561" s="239"/>
      <c r="O3561" s="225"/>
      <c r="P3561" s="260"/>
      <c r="Q3561" s="258"/>
      <c r="R3561" s="260"/>
      <c r="S3561" s="260"/>
      <c r="T3561" s="260"/>
      <c r="U3561" s="260"/>
      <c r="V3561" s="260"/>
      <c r="W3561" s="260"/>
      <c r="X3561" s="260"/>
      <c r="Y3561" s="260"/>
      <c r="Z3561" s="260"/>
      <c r="AA3561" s="260"/>
      <c r="AB3561" s="260"/>
      <c r="AC3561" s="260"/>
      <c r="AD3561"/>
      <c r="AE3561"/>
      <c r="AF3561"/>
      <c r="AG3561"/>
    </row>
    <row r="3562" spans="14:33" ht="12" hidden="1" customHeight="1">
      <c r="N3562" s="239"/>
      <c r="O3562" s="225"/>
      <c r="P3562" s="260"/>
      <c r="Q3562" s="258"/>
      <c r="R3562" s="260"/>
      <c r="S3562" s="260"/>
      <c r="T3562" s="260"/>
      <c r="U3562" s="260"/>
      <c r="V3562" s="260"/>
      <c r="W3562" s="260"/>
      <c r="X3562" s="260"/>
      <c r="Y3562" s="260"/>
      <c r="Z3562" s="260"/>
      <c r="AA3562" s="260"/>
      <c r="AB3562" s="260"/>
      <c r="AC3562" s="260"/>
      <c r="AD3562"/>
      <c r="AE3562"/>
      <c r="AF3562"/>
      <c r="AG3562"/>
    </row>
    <row r="3563" spans="14:33" ht="12" hidden="1" customHeight="1">
      <c r="N3563" s="239"/>
      <c r="O3563" s="225"/>
      <c r="P3563" s="260"/>
      <c r="Q3563" s="258"/>
      <c r="R3563" s="260"/>
      <c r="S3563" s="260"/>
      <c r="T3563" s="260"/>
      <c r="U3563" s="260"/>
      <c r="V3563" s="260"/>
      <c r="W3563" s="260"/>
      <c r="X3563" s="260"/>
      <c r="Y3563" s="260"/>
      <c r="Z3563" s="260"/>
      <c r="AA3563" s="260"/>
      <c r="AB3563" s="260"/>
      <c r="AC3563" s="260"/>
      <c r="AD3563"/>
      <c r="AE3563"/>
      <c r="AF3563"/>
      <c r="AG3563"/>
    </row>
    <row r="3564" spans="14:33" ht="12" hidden="1" customHeight="1">
      <c r="N3564" s="239"/>
      <c r="O3564" s="225"/>
      <c r="P3564" s="260"/>
      <c r="Q3564" s="258"/>
      <c r="R3564" s="260"/>
      <c r="S3564" s="260"/>
      <c r="T3564" s="260"/>
      <c r="U3564" s="260"/>
      <c r="V3564" s="260"/>
      <c r="W3564" s="260"/>
      <c r="X3564" s="260"/>
      <c r="Y3564" s="260"/>
      <c r="Z3564" s="260"/>
      <c r="AA3564" s="260"/>
      <c r="AB3564" s="260"/>
      <c r="AC3564" s="260"/>
      <c r="AD3564"/>
      <c r="AE3564"/>
      <c r="AF3564"/>
      <c r="AG3564"/>
    </row>
    <row r="3565" spans="14:33" ht="12" hidden="1" customHeight="1">
      <c r="N3565" s="239"/>
      <c r="O3565" s="225"/>
      <c r="P3565" s="260"/>
      <c r="Q3565" s="258"/>
      <c r="R3565" s="260"/>
      <c r="S3565" s="260"/>
      <c r="T3565" s="260"/>
      <c r="U3565" s="260"/>
      <c r="V3565" s="260"/>
      <c r="W3565" s="260"/>
      <c r="X3565" s="260"/>
      <c r="Y3565" s="260"/>
      <c r="Z3565" s="260"/>
      <c r="AA3565" s="260"/>
      <c r="AB3565" s="260"/>
      <c r="AC3565" s="260"/>
      <c r="AD3565"/>
      <c r="AE3565"/>
      <c r="AF3565"/>
      <c r="AG3565"/>
    </row>
    <row r="3566" spans="14:33" ht="12" hidden="1" customHeight="1">
      <c r="N3566" s="239"/>
      <c r="O3566" s="225"/>
      <c r="P3566" s="260"/>
      <c r="Q3566" s="258"/>
      <c r="R3566" s="260"/>
      <c r="S3566" s="260"/>
      <c r="T3566" s="260"/>
      <c r="U3566" s="260"/>
      <c r="V3566" s="260"/>
      <c r="W3566" s="260"/>
      <c r="X3566" s="260"/>
      <c r="Y3566" s="260"/>
      <c r="Z3566" s="260"/>
      <c r="AA3566" s="260"/>
      <c r="AB3566" s="260"/>
      <c r="AC3566" s="260"/>
      <c r="AD3566"/>
      <c r="AE3566"/>
      <c r="AF3566"/>
      <c r="AG3566"/>
    </row>
    <row r="3567" spans="14:33" ht="12" hidden="1" customHeight="1">
      <c r="N3567" s="239"/>
      <c r="O3567" s="225"/>
      <c r="P3567" s="260"/>
      <c r="Q3567" s="258"/>
      <c r="R3567" s="260"/>
      <c r="S3567" s="260"/>
      <c r="T3567" s="260"/>
      <c r="U3567" s="260"/>
      <c r="V3567" s="260"/>
      <c r="W3567" s="260"/>
      <c r="X3567" s="260"/>
      <c r="Y3567" s="260"/>
      <c r="Z3567" s="260"/>
      <c r="AA3567" s="260"/>
      <c r="AB3567" s="260"/>
      <c r="AC3567" s="260"/>
      <c r="AD3567"/>
      <c r="AE3567"/>
      <c r="AF3567"/>
      <c r="AG3567"/>
    </row>
    <row r="3568" spans="14:33" ht="12" hidden="1" customHeight="1">
      <c r="N3568" s="239"/>
      <c r="O3568" s="225"/>
      <c r="P3568" s="260"/>
      <c r="Q3568" s="258"/>
      <c r="R3568" s="260"/>
      <c r="S3568" s="260"/>
      <c r="T3568" s="260"/>
      <c r="U3568" s="260"/>
      <c r="V3568" s="260"/>
      <c r="W3568" s="260"/>
      <c r="X3568" s="260"/>
      <c r="Y3568" s="260"/>
      <c r="Z3568" s="260"/>
      <c r="AA3568" s="260"/>
      <c r="AB3568" s="260"/>
      <c r="AC3568" s="260"/>
      <c r="AD3568"/>
      <c r="AE3568"/>
      <c r="AF3568"/>
      <c r="AG3568"/>
    </row>
    <row r="3569" spans="14:33" ht="12" hidden="1" customHeight="1">
      <c r="N3569" s="239"/>
      <c r="O3569" s="225"/>
      <c r="P3569" s="260"/>
      <c r="Q3569" s="258"/>
      <c r="R3569" s="260"/>
      <c r="S3569" s="260"/>
      <c r="T3569" s="260"/>
      <c r="U3569" s="260"/>
      <c r="V3569" s="260"/>
      <c r="W3569" s="260"/>
      <c r="X3569" s="260"/>
      <c r="Y3569" s="260"/>
      <c r="Z3569" s="260"/>
      <c r="AA3569" s="260"/>
      <c r="AB3569" s="260"/>
      <c r="AC3569" s="260"/>
      <c r="AD3569"/>
      <c r="AE3569"/>
      <c r="AF3569"/>
      <c r="AG3569"/>
    </row>
    <row r="3570" spans="14:33" ht="12" hidden="1" customHeight="1">
      <c r="N3570" s="239"/>
      <c r="O3570" s="225"/>
      <c r="P3570" s="260"/>
      <c r="Q3570" s="258"/>
      <c r="R3570" s="260"/>
      <c r="S3570" s="260"/>
      <c r="T3570" s="260"/>
      <c r="U3570" s="260"/>
      <c r="V3570" s="260"/>
      <c r="W3570" s="260"/>
      <c r="X3570" s="260"/>
      <c r="Y3570" s="260"/>
      <c r="Z3570" s="260"/>
      <c r="AA3570" s="260"/>
      <c r="AB3570" s="260"/>
      <c r="AC3570" s="260"/>
      <c r="AD3570"/>
      <c r="AE3570"/>
      <c r="AF3570"/>
      <c r="AG3570"/>
    </row>
    <row r="3571" spans="14:33" ht="12" hidden="1" customHeight="1">
      <c r="N3571" s="239"/>
      <c r="O3571" s="225"/>
      <c r="P3571" s="260"/>
      <c r="Q3571" s="258"/>
      <c r="R3571" s="260"/>
      <c r="S3571" s="260"/>
      <c r="T3571" s="260"/>
      <c r="U3571" s="260"/>
      <c r="V3571" s="260"/>
      <c r="W3571" s="260"/>
      <c r="X3571" s="260"/>
      <c r="Y3571" s="260"/>
      <c r="Z3571" s="260"/>
      <c r="AA3571" s="260"/>
      <c r="AB3571" s="260"/>
      <c r="AC3571" s="260"/>
      <c r="AD3571"/>
      <c r="AE3571"/>
      <c r="AF3571"/>
      <c r="AG3571"/>
    </row>
    <row r="3572" spans="14:33" ht="12" hidden="1" customHeight="1">
      <c r="N3572" s="239"/>
      <c r="O3572" s="225"/>
      <c r="P3572" s="260"/>
      <c r="Q3572" s="258"/>
      <c r="R3572" s="260"/>
      <c r="S3572" s="260"/>
      <c r="T3572" s="260"/>
      <c r="U3572" s="260"/>
      <c r="V3572" s="260"/>
      <c r="W3572" s="260"/>
      <c r="X3572" s="260"/>
      <c r="Y3572" s="260"/>
      <c r="Z3572" s="260"/>
      <c r="AA3572" s="260"/>
      <c r="AB3572" s="260"/>
      <c r="AC3572" s="260"/>
      <c r="AD3572"/>
      <c r="AE3572"/>
      <c r="AF3572"/>
      <c r="AG3572"/>
    </row>
    <row r="3573" spans="14:33" ht="12" hidden="1" customHeight="1">
      <c r="N3573" s="239"/>
      <c r="O3573" s="225"/>
      <c r="P3573" s="260"/>
      <c r="Q3573" s="258"/>
      <c r="R3573" s="260"/>
      <c r="S3573" s="260"/>
      <c r="T3573" s="260"/>
      <c r="U3573" s="260"/>
      <c r="V3573" s="260"/>
      <c r="W3573" s="260"/>
      <c r="X3573" s="260"/>
      <c r="Y3573" s="260"/>
      <c r="Z3573" s="260"/>
      <c r="AA3573" s="260"/>
      <c r="AB3573" s="260"/>
      <c r="AC3573" s="260"/>
      <c r="AD3573"/>
      <c r="AE3573"/>
      <c r="AF3573"/>
      <c r="AG3573"/>
    </row>
    <row r="3574" spans="14:33" ht="12" hidden="1" customHeight="1">
      <c r="N3574" s="239"/>
      <c r="O3574" s="225"/>
      <c r="P3574" s="260"/>
      <c r="Q3574" s="258"/>
      <c r="R3574" s="260"/>
      <c r="S3574" s="260"/>
      <c r="T3574" s="260"/>
      <c r="U3574" s="260"/>
      <c r="V3574" s="260"/>
      <c r="W3574" s="260"/>
      <c r="X3574" s="260"/>
      <c r="Y3574" s="260"/>
      <c r="Z3574" s="260"/>
      <c r="AA3574" s="260"/>
      <c r="AB3574" s="260"/>
      <c r="AC3574" s="260"/>
      <c r="AD3574"/>
      <c r="AE3574"/>
      <c r="AF3574"/>
      <c r="AG3574"/>
    </row>
    <row r="3575" spans="14:33" ht="12" hidden="1" customHeight="1">
      <c r="N3575" s="239"/>
      <c r="O3575" s="225"/>
      <c r="P3575" s="260"/>
      <c r="Q3575" s="258"/>
      <c r="R3575" s="260"/>
      <c r="S3575" s="260"/>
      <c r="T3575" s="260"/>
      <c r="U3575" s="260"/>
      <c r="V3575" s="260"/>
      <c r="W3575" s="260"/>
      <c r="X3575" s="260"/>
      <c r="Y3575" s="260"/>
      <c r="Z3575" s="260"/>
      <c r="AA3575" s="260"/>
      <c r="AB3575" s="260"/>
      <c r="AC3575" s="260"/>
      <c r="AD3575"/>
      <c r="AE3575"/>
      <c r="AF3575"/>
      <c r="AG3575"/>
    </row>
    <row r="3576" spans="14:33" ht="12" hidden="1" customHeight="1">
      <c r="N3576" s="239"/>
      <c r="O3576" s="225"/>
      <c r="P3576" s="260"/>
      <c r="Q3576" s="258"/>
      <c r="R3576" s="260"/>
      <c r="S3576" s="260"/>
      <c r="T3576" s="260"/>
      <c r="U3576" s="260"/>
      <c r="V3576" s="260"/>
      <c r="W3576" s="260"/>
      <c r="X3576" s="260"/>
      <c r="Y3576" s="260"/>
      <c r="Z3576" s="260"/>
      <c r="AA3576" s="260"/>
      <c r="AB3576" s="260"/>
      <c r="AC3576" s="260"/>
      <c r="AD3576"/>
      <c r="AE3576"/>
      <c r="AF3576"/>
      <c r="AG3576"/>
    </row>
    <row r="3577" spans="14:33" ht="12" hidden="1" customHeight="1">
      <c r="N3577" s="239"/>
      <c r="O3577" s="225"/>
      <c r="P3577" s="260"/>
      <c r="Q3577" s="258"/>
      <c r="R3577" s="260"/>
      <c r="S3577" s="260"/>
      <c r="T3577" s="260"/>
      <c r="U3577" s="260"/>
      <c r="V3577" s="260"/>
      <c r="W3577" s="260"/>
      <c r="X3577" s="260"/>
      <c r="Y3577" s="260"/>
      <c r="Z3577" s="260"/>
      <c r="AA3577" s="260"/>
      <c r="AB3577" s="260"/>
      <c r="AC3577" s="260"/>
      <c r="AD3577"/>
      <c r="AE3577"/>
      <c r="AF3577"/>
      <c r="AG3577"/>
    </row>
    <row r="3578" spans="14:33" ht="12" hidden="1" customHeight="1">
      <c r="N3578" s="239"/>
      <c r="O3578" s="225"/>
      <c r="P3578" s="260"/>
      <c r="Q3578" s="258"/>
      <c r="R3578" s="260"/>
      <c r="S3578" s="260"/>
      <c r="T3578" s="260"/>
      <c r="U3578" s="260"/>
      <c r="V3578" s="260"/>
      <c r="W3578" s="260"/>
      <c r="X3578" s="260"/>
      <c r="Y3578" s="260"/>
      <c r="Z3578" s="260"/>
      <c r="AA3578" s="260"/>
      <c r="AB3578" s="260"/>
      <c r="AC3578" s="260"/>
      <c r="AD3578"/>
      <c r="AE3578"/>
      <c r="AF3578"/>
      <c r="AG3578"/>
    </row>
    <row r="3579" spans="14:33" ht="12" hidden="1" customHeight="1">
      <c r="N3579" s="239"/>
      <c r="O3579" s="225"/>
      <c r="P3579" s="260"/>
      <c r="Q3579" s="258"/>
      <c r="R3579" s="260"/>
      <c r="S3579" s="260"/>
      <c r="T3579" s="260"/>
      <c r="U3579" s="260"/>
      <c r="V3579" s="260"/>
      <c r="W3579" s="260"/>
      <c r="X3579" s="260"/>
      <c r="Y3579" s="260"/>
      <c r="Z3579" s="260"/>
      <c r="AA3579" s="260"/>
      <c r="AB3579" s="260"/>
      <c r="AC3579" s="260"/>
      <c r="AD3579"/>
      <c r="AE3579"/>
      <c r="AF3579"/>
      <c r="AG3579"/>
    </row>
    <row r="3580" spans="14:33" ht="12" hidden="1" customHeight="1">
      <c r="N3580" s="239"/>
      <c r="O3580" s="225"/>
      <c r="P3580" s="260"/>
      <c r="Q3580" s="258"/>
      <c r="R3580" s="260"/>
      <c r="S3580" s="260"/>
      <c r="T3580" s="260"/>
      <c r="U3580" s="260"/>
      <c r="V3580" s="260"/>
      <c r="W3580" s="260"/>
      <c r="X3580" s="260"/>
      <c r="Y3580" s="260"/>
      <c r="Z3580" s="260"/>
      <c r="AA3580" s="260"/>
      <c r="AB3580" s="260"/>
      <c r="AC3580" s="260"/>
      <c r="AD3580"/>
      <c r="AE3580"/>
      <c r="AF3580"/>
      <c r="AG3580"/>
    </row>
    <row r="3581" spans="14:33" ht="12" hidden="1" customHeight="1">
      <c r="N3581" s="239"/>
      <c r="O3581" s="225"/>
      <c r="P3581" s="260"/>
      <c r="Q3581" s="258"/>
      <c r="R3581" s="260"/>
      <c r="S3581" s="260"/>
      <c r="T3581" s="260"/>
      <c r="U3581" s="260"/>
      <c r="V3581" s="260"/>
      <c r="W3581" s="260"/>
      <c r="X3581" s="260"/>
      <c r="Y3581" s="260"/>
      <c r="Z3581" s="260"/>
      <c r="AA3581" s="260"/>
      <c r="AB3581" s="260"/>
      <c r="AC3581" s="260"/>
      <c r="AD3581"/>
      <c r="AE3581"/>
      <c r="AF3581"/>
      <c r="AG3581"/>
    </row>
    <row r="3582" spans="14:33" ht="12" hidden="1" customHeight="1">
      <c r="N3582" s="239"/>
      <c r="O3582" s="225"/>
      <c r="P3582" s="260"/>
      <c r="Q3582" s="258"/>
      <c r="R3582" s="260"/>
      <c r="S3582" s="260"/>
      <c r="T3582" s="260"/>
      <c r="U3582" s="260"/>
      <c r="V3582" s="260"/>
      <c r="W3582" s="260"/>
      <c r="X3582" s="260"/>
      <c r="Y3582" s="260"/>
      <c r="Z3582" s="260"/>
      <c r="AA3582" s="260"/>
      <c r="AB3582" s="260"/>
      <c r="AC3582" s="260"/>
      <c r="AD3582"/>
      <c r="AE3582"/>
      <c r="AF3582"/>
      <c r="AG3582"/>
    </row>
    <row r="3583" spans="14:33" ht="12" hidden="1" customHeight="1">
      <c r="N3583" s="239"/>
      <c r="O3583" s="225"/>
      <c r="P3583" s="260"/>
      <c r="Q3583" s="258"/>
      <c r="R3583" s="260"/>
      <c r="S3583" s="260"/>
      <c r="T3583" s="260"/>
      <c r="U3583" s="260"/>
      <c r="V3583" s="260"/>
      <c r="W3583" s="260"/>
      <c r="X3583" s="260"/>
      <c r="Y3583" s="260"/>
      <c r="Z3583" s="260"/>
      <c r="AA3583" s="260"/>
      <c r="AB3583" s="260"/>
      <c r="AC3583" s="260"/>
      <c r="AD3583"/>
      <c r="AE3583"/>
      <c r="AF3583"/>
      <c r="AG3583"/>
    </row>
    <row r="3584" spans="14:33" ht="12" hidden="1" customHeight="1">
      <c r="N3584" s="239"/>
      <c r="O3584" s="225"/>
      <c r="P3584" s="260"/>
      <c r="Q3584" s="258"/>
      <c r="R3584" s="260"/>
      <c r="S3584" s="260"/>
      <c r="T3584" s="260"/>
      <c r="U3584" s="260"/>
      <c r="V3584" s="260"/>
      <c r="W3584" s="260"/>
      <c r="X3584" s="260"/>
      <c r="Y3584" s="260"/>
      <c r="Z3584" s="260"/>
      <c r="AA3584" s="260"/>
      <c r="AB3584" s="260"/>
      <c r="AC3584" s="260"/>
      <c r="AD3584"/>
      <c r="AE3584"/>
      <c r="AF3584"/>
      <c r="AG3584"/>
    </row>
    <row r="3585" spans="14:33" ht="12" hidden="1" customHeight="1">
      <c r="N3585" s="239"/>
      <c r="O3585" s="225"/>
      <c r="P3585" s="260"/>
      <c r="Q3585" s="258"/>
      <c r="R3585" s="260"/>
      <c r="S3585" s="260"/>
      <c r="T3585" s="260"/>
      <c r="U3585" s="260"/>
      <c r="V3585" s="260"/>
      <c r="W3585" s="260"/>
      <c r="X3585" s="260"/>
      <c r="Y3585" s="260"/>
      <c r="Z3585" s="260"/>
      <c r="AA3585" s="260"/>
      <c r="AB3585" s="260"/>
      <c r="AC3585" s="260"/>
      <c r="AD3585"/>
      <c r="AE3585"/>
      <c r="AF3585"/>
      <c r="AG3585"/>
    </row>
    <row r="3586" spans="14:33" ht="12" hidden="1" customHeight="1">
      <c r="N3586" s="239"/>
      <c r="O3586" s="225"/>
      <c r="P3586" s="260"/>
      <c r="Q3586" s="258"/>
      <c r="R3586" s="260"/>
      <c r="S3586" s="260"/>
      <c r="T3586" s="260"/>
      <c r="U3586" s="260"/>
      <c r="V3586" s="260"/>
      <c r="W3586" s="260"/>
      <c r="X3586" s="260"/>
      <c r="Y3586" s="260"/>
      <c r="Z3586" s="260"/>
      <c r="AA3586" s="260"/>
      <c r="AB3586" s="260"/>
      <c r="AC3586" s="260"/>
      <c r="AD3586"/>
      <c r="AE3586"/>
      <c r="AF3586"/>
      <c r="AG3586"/>
    </row>
    <row r="3587" spans="14:33" ht="12" hidden="1" customHeight="1">
      <c r="N3587" s="239"/>
      <c r="O3587" s="225"/>
      <c r="P3587" s="260"/>
      <c r="Q3587" s="258"/>
      <c r="R3587" s="260"/>
      <c r="S3587" s="260"/>
      <c r="T3587" s="260"/>
      <c r="U3587" s="260"/>
      <c r="V3587" s="260"/>
      <c r="W3587" s="260"/>
      <c r="X3587" s="260"/>
      <c r="Y3587" s="260"/>
      <c r="Z3587" s="260"/>
      <c r="AA3587" s="260"/>
      <c r="AB3587" s="260"/>
      <c r="AC3587" s="260"/>
      <c r="AD3587"/>
      <c r="AE3587"/>
      <c r="AF3587"/>
      <c r="AG3587"/>
    </row>
    <row r="3588" spans="14:33" ht="12" hidden="1" customHeight="1">
      <c r="N3588" s="239"/>
      <c r="O3588" s="225"/>
      <c r="P3588" s="260"/>
      <c r="Q3588" s="258"/>
      <c r="R3588" s="260"/>
      <c r="S3588" s="260"/>
      <c r="T3588" s="260"/>
      <c r="U3588" s="260"/>
      <c r="V3588" s="260"/>
      <c r="W3588" s="260"/>
      <c r="X3588" s="260"/>
      <c r="Y3588" s="260"/>
      <c r="Z3588" s="260"/>
      <c r="AA3588" s="260"/>
      <c r="AB3588" s="260"/>
      <c r="AC3588" s="260"/>
      <c r="AD3588"/>
      <c r="AE3588"/>
      <c r="AF3588"/>
      <c r="AG3588"/>
    </row>
    <row r="3589" spans="14:33" ht="12" hidden="1" customHeight="1">
      <c r="N3589" s="239"/>
      <c r="O3589" s="225"/>
      <c r="P3589" s="260"/>
      <c r="Q3589" s="258"/>
      <c r="R3589" s="260"/>
      <c r="S3589" s="260"/>
      <c r="T3589" s="260"/>
      <c r="U3589" s="260"/>
      <c r="V3589" s="260"/>
      <c r="W3589" s="260"/>
      <c r="X3589" s="260"/>
      <c r="Y3589" s="260"/>
      <c r="Z3589" s="260"/>
      <c r="AA3589" s="260"/>
      <c r="AB3589" s="260"/>
      <c r="AC3589" s="260"/>
      <c r="AD3589"/>
      <c r="AE3589"/>
      <c r="AF3589"/>
      <c r="AG3589"/>
    </row>
    <row r="3590" spans="14:33" ht="12" hidden="1" customHeight="1">
      <c r="N3590" s="239"/>
      <c r="O3590" s="225"/>
      <c r="P3590" s="260"/>
      <c r="Q3590" s="258"/>
      <c r="R3590" s="260"/>
      <c r="S3590" s="260"/>
      <c r="T3590" s="260"/>
      <c r="U3590" s="260"/>
      <c r="V3590" s="260"/>
      <c r="W3590" s="260"/>
      <c r="X3590" s="260"/>
      <c r="Y3590" s="260"/>
      <c r="Z3590" s="260"/>
      <c r="AA3590" s="260"/>
      <c r="AB3590" s="260"/>
      <c r="AC3590" s="260"/>
      <c r="AD3590"/>
      <c r="AE3590"/>
      <c r="AF3590"/>
      <c r="AG3590"/>
    </row>
    <row r="3591" spans="14:33" ht="12" hidden="1" customHeight="1">
      <c r="N3591" s="239"/>
      <c r="O3591" s="225"/>
      <c r="P3591" s="260"/>
      <c r="Q3591" s="258"/>
      <c r="R3591" s="260"/>
      <c r="S3591" s="260"/>
      <c r="T3591" s="260"/>
      <c r="U3591" s="260"/>
      <c r="V3591" s="260"/>
      <c r="W3591" s="260"/>
      <c r="X3591" s="260"/>
      <c r="Y3591" s="260"/>
      <c r="Z3591" s="260"/>
      <c r="AA3591" s="260"/>
      <c r="AB3591" s="260"/>
      <c r="AC3591" s="260"/>
      <c r="AD3591"/>
      <c r="AE3591"/>
      <c r="AF3591"/>
      <c r="AG3591"/>
    </row>
    <row r="3592" spans="14:33" ht="12" hidden="1" customHeight="1">
      <c r="N3592" s="239"/>
      <c r="O3592" s="225"/>
      <c r="P3592" s="260"/>
      <c r="Q3592" s="258"/>
      <c r="R3592" s="260"/>
      <c r="S3592" s="260"/>
      <c r="T3592" s="260"/>
      <c r="U3592" s="260"/>
      <c r="V3592" s="260"/>
      <c r="W3592" s="260"/>
      <c r="X3592" s="260"/>
      <c r="Y3592" s="260"/>
      <c r="Z3592" s="260"/>
      <c r="AA3592" s="260"/>
      <c r="AB3592" s="260"/>
      <c r="AC3592" s="260"/>
      <c r="AD3592"/>
      <c r="AE3592"/>
      <c r="AF3592"/>
      <c r="AG3592"/>
    </row>
    <row r="3593" spans="14:33" ht="12" hidden="1" customHeight="1">
      <c r="N3593" s="239"/>
      <c r="O3593" s="225"/>
      <c r="P3593" s="260"/>
      <c r="Q3593" s="258"/>
      <c r="R3593" s="260"/>
      <c r="S3593" s="260"/>
      <c r="T3593" s="260"/>
      <c r="U3593" s="260"/>
      <c r="V3593" s="260"/>
      <c r="W3593" s="260"/>
      <c r="X3593" s="260"/>
      <c r="Y3593" s="260"/>
      <c r="Z3593" s="260"/>
      <c r="AA3593" s="260"/>
      <c r="AB3593" s="260"/>
      <c r="AC3593" s="260"/>
      <c r="AD3593"/>
      <c r="AE3593"/>
      <c r="AF3593"/>
      <c r="AG3593"/>
    </row>
    <row r="3594" spans="14:33" ht="12" hidden="1" customHeight="1">
      <c r="N3594" s="239"/>
      <c r="O3594" s="225"/>
      <c r="P3594" s="260"/>
      <c r="Q3594" s="258"/>
      <c r="R3594" s="260"/>
      <c r="S3594" s="260"/>
      <c r="T3594" s="260"/>
      <c r="U3594" s="260"/>
      <c r="V3594" s="260"/>
      <c r="W3594" s="260"/>
      <c r="X3594" s="260"/>
      <c r="Y3594" s="260"/>
      <c r="Z3594" s="260"/>
      <c r="AA3594" s="260"/>
      <c r="AB3594" s="260"/>
      <c r="AC3594" s="260"/>
      <c r="AD3594"/>
      <c r="AE3594"/>
      <c r="AF3594"/>
      <c r="AG3594"/>
    </row>
    <row r="3595" spans="14:33" ht="12" hidden="1" customHeight="1">
      <c r="N3595" s="239"/>
      <c r="O3595" s="225"/>
      <c r="P3595" s="260"/>
      <c r="Q3595" s="258"/>
      <c r="R3595" s="260"/>
      <c r="S3595" s="260"/>
      <c r="T3595" s="260"/>
      <c r="U3595" s="260"/>
      <c r="V3595" s="260"/>
      <c r="W3595" s="260"/>
      <c r="X3595" s="260"/>
      <c r="Y3595" s="260"/>
      <c r="Z3595" s="260"/>
      <c r="AA3595" s="260"/>
      <c r="AB3595" s="260"/>
      <c r="AC3595" s="260"/>
      <c r="AD3595"/>
      <c r="AE3595"/>
      <c r="AF3595"/>
      <c r="AG3595"/>
    </row>
    <row r="3596" spans="14:33" ht="12" hidden="1" customHeight="1">
      <c r="N3596" s="239"/>
      <c r="O3596" s="225"/>
      <c r="P3596" s="260"/>
      <c r="Q3596" s="258"/>
      <c r="R3596" s="260"/>
      <c r="S3596" s="260"/>
      <c r="T3596" s="260"/>
      <c r="U3596" s="260"/>
      <c r="V3596" s="260"/>
      <c r="W3596" s="260"/>
      <c r="X3596" s="260"/>
      <c r="Y3596" s="260"/>
      <c r="Z3596" s="260"/>
      <c r="AA3596" s="260"/>
      <c r="AB3596" s="260"/>
      <c r="AC3596" s="260"/>
      <c r="AD3596"/>
      <c r="AE3596"/>
      <c r="AF3596"/>
      <c r="AG3596"/>
    </row>
    <row r="3597" spans="14:33" ht="12" hidden="1" customHeight="1">
      <c r="N3597" s="239"/>
      <c r="O3597" s="225"/>
      <c r="P3597" s="260"/>
      <c r="Q3597" s="258"/>
      <c r="R3597" s="260"/>
      <c r="S3597" s="260"/>
      <c r="T3597" s="260"/>
      <c r="U3597" s="260"/>
      <c r="V3597" s="260"/>
      <c r="W3597" s="260"/>
      <c r="X3597" s="260"/>
      <c r="Y3597" s="260"/>
      <c r="Z3597" s="260"/>
      <c r="AA3597" s="260"/>
      <c r="AB3597" s="260"/>
      <c r="AC3597" s="260"/>
      <c r="AD3597"/>
      <c r="AE3597"/>
      <c r="AF3597"/>
      <c r="AG3597"/>
    </row>
    <row r="3598" spans="14:33" ht="12" hidden="1" customHeight="1">
      <c r="N3598" s="239"/>
      <c r="O3598" s="225"/>
      <c r="P3598" s="260"/>
      <c r="Q3598" s="258"/>
      <c r="R3598" s="260"/>
      <c r="S3598" s="260"/>
      <c r="T3598" s="260"/>
      <c r="U3598" s="260"/>
      <c r="V3598" s="260"/>
      <c r="W3598" s="260"/>
      <c r="X3598" s="260"/>
      <c r="Y3598" s="260"/>
      <c r="Z3598" s="260"/>
      <c r="AA3598" s="260"/>
      <c r="AB3598" s="260"/>
      <c r="AC3598" s="260"/>
      <c r="AD3598"/>
      <c r="AE3598"/>
      <c r="AF3598"/>
      <c r="AG3598"/>
    </row>
    <row r="3599" spans="14:33" ht="12" hidden="1" customHeight="1">
      <c r="N3599" s="239"/>
      <c r="O3599" s="225"/>
      <c r="P3599" s="260"/>
      <c r="Q3599" s="258"/>
      <c r="R3599" s="260"/>
      <c r="S3599" s="260"/>
      <c r="T3599" s="260"/>
      <c r="U3599" s="260"/>
      <c r="V3599" s="260"/>
      <c r="W3599" s="260"/>
      <c r="X3599" s="260"/>
      <c r="Y3599" s="260"/>
      <c r="Z3599" s="260"/>
      <c r="AA3599" s="260"/>
      <c r="AB3599" s="260"/>
      <c r="AC3599" s="260"/>
      <c r="AD3599"/>
      <c r="AE3599"/>
      <c r="AF3599"/>
      <c r="AG3599"/>
    </row>
    <row r="3600" spans="14:33" ht="12" hidden="1" customHeight="1">
      <c r="N3600" s="239"/>
      <c r="O3600" s="225"/>
      <c r="P3600" s="260"/>
      <c r="Q3600" s="258"/>
      <c r="R3600" s="260"/>
      <c r="S3600" s="260"/>
      <c r="T3600" s="260"/>
      <c r="U3600" s="260"/>
      <c r="V3600" s="260"/>
      <c r="W3600" s="260"/>
      <c r="X3600" s="260"/>
      <c r="Y3600" s="260"/>
      <c r="Z3600" s="260"/>
      <c r="AA3600" s="260"/>
      <c r="AB3600" s="260"/>
      <c r="AC3600" s="260"/>
      <c r="AD3600"/>
      <c r="AE3600"/>
      <c r="AF3600"/>
      <c r="AG3600"/>
    </row>
    <row r="3601" spans="14:33" ht="12" hidden="1" customHeight="1">
      <c r="N3601" s="239"/>
      <c r="O3601" s="225"/>
      <c r="P3601" s="260"/>
      <c r="Q3601" s="258"/>
      <c r="R3601" s="260"/>
      <c r="S3601" s="260"/>
      <c r="T3601" s="260"/>
      <c r="U3601" s="260"/>
      <c r="V3601" s="260"/>
      <c r="W3601" s="260"/>
      <c r="X3601" s="260"/>
      <c r="Y3601" s="260"/>
      <c r="Z3601" s="260"/>
      <c r="AA3601" s="260"/>
      <c r="AB3601" s="260"/>
      <c r="AC3601" s="260"/>
      <c r="AD3601"/>
      <c r="AE3601"/>
      <c r="AF3601"/>
      <c r="AG3601"/>
    </row>
    <row r="3602" spans="14:33" ht="12" hidden="1" customHeight="1">
      <c r="N3602" s="239"/>
      <c r="O3602" s="225"/>
      <c r="P3602" s="260"/>
      <c r="Q3602" s="258"/>
      <c r="R3602" s="260"/>
      <c r="S3602" s="260"/>
      <c r="T3602" s="260"/>
      <c r="U3602" s="260"/>
      <c r="V3602" s="260"/>
      <c r="W3602" s="260"/>
      <c r="X3602" s="260"/>
      <c r="Y3602" s="260"/>
      <c r="Z3602" s="260"/>
      <c r="AA3602" s="260"/>
      <c r="AB3602" s="260"/>
      <c r="AC3602" s="260"/>
      <c r="AD3602"/>
      <c r="AE3602"/>
      <c r="AF3602"/>
      <c r="AG3602"/>
    </row>
    <row r="3603" spans="14:33" ht="12" hidden="1" customHeight="1">
      <c r="N3603" s="239"/>
      <c r="O3603" s="225"/>
      <c r="P3603" s="260"/>
      <c r="Q3603" s="258"/>
      <c r="R3603" s="260"/>
      <c r="S3603" s="260"/>
      <c r="T3603" s="260"/>
      <c r="U3603" s="260"/>
      <c r="V3603" s="260"/>
      <c r="W3603" s="260"/>
      <c r="X3603" s="260"/>
      <c r="Y3603" s="260"/>
      <c r="Z3603" s="260"/>
      <c r="AA3603" s="260"/>
      <c r="AB3603" s="260"/>
      <c r="AC3603" s="260"/>
      <c r="AD3603"/>
      <c r="AE3603"/>
      <c r="AF3603"/>
      <c r="AG3603"/>
    </row>
    <row r="3604" spans="14:33" ht="12" hidden="1" customHeight="1">
      <c r="N3604" s="239"/>
      <c r="O3604" s="225"/>
      <c r="P3604" s="260"/>
      <c r="Q3604" s="258"/>
      <c r="R3604" s="260"/>
      <c r="S3604" s="260"/>
      <c r="T3604" s="260"/>
      <c r="U3604" s="260"/>
      <c r="V3604" s="260"/>
      <c r="W3604" s="260"/>
      <c r="X3604" s="260"/>
      <c r="Y3604" s="260"/>
      <c r="Z3604" s="260"/>
      <c r="AA3604" s="260"/>
      <c r="AB3604" s="260"/>
      <c r="AC3604" s="260"/>
      <c r="AD3604"/>
      <c r="AE3604"/>
      <c r="AF3604"/>
      <c r="AG3604"/>
    </row>
    <row r="3605" spans="14:33" ht="12" hidden="1" customHeight="1">
      <c r="N3605" s="239"/>
      <c r="O3605" s="225"/>
      <c r="P3605" s="260"/>
      <c r="Q3605" s="258"/>
      <c r="R3605" s="260"/>
      <c r="S3605" s="260"/>
      <c r="T3605" s="260"/>
      <c r="U3605" s="260"/>
      <c r="V3605" s="260"/>
      <c r="W3605" s="260"/>
      <c r="X3605" s="260"/>
      <c r="Y3605" s="260"/>
      <c r="Z3605" s="260"/>
      <c r="AA3605" s="260"/>
      <c r="AB3605" s="260"/>
      <c r="AC3605" s="260"/>
      <c r="AD3605"/>
      <c r="AE3605"/>
      <c r="AF3605"/>
      <c r="AG3605"/>
    </row>
    <row r="3606" spans="14:33" ht="12" hidden="1" customHeight="1">
      <c r="N3606" s="239"/>
      <c r="O3606" s="225"/>
      <c r="P3606" s="260"/>
      <c r="Q3606" s="258"/>
      <c r="R3606" s="260"/>
      <c r="S3606" s="260"/>
      <c r="T3606" s="260"/>
      <c r="U3606" s="260"/>
      <c r="V3606" s="260"/>
      <c r="W3606" s="260"/>
      <c r="X3606" s="260"/>
      <c r="Y3606" s="260"/>
      <c r="Z3606" s="260"/>
      <c r="AA3606" s="260"/>
      <c r="AB3606" s="260"/>
      <c r="AC3606" s="260"/>
      <c r="AD3606"/>
      <c r="AE3606"/>
      <c r="AF3606"/>
      <c r="AG3606"/>
    </row>
    <row r="3607" spans="14:33" ht="12" hidden="1" customHeight="1">
      <c r="N3607" s="239"/>
      <c r="O3607" s="225"/>
      <c r="P3607" s="260"/>
      <c r="Q3607" s="258"/>
      <c r="R3607" s="260"/>
      <c r="S3607" s="260"/>
      <c r="T3607" s="260"/>
      <c r="U3607" s="260"/>
      <c r="V3607" s="260"/>
      <c r="W3607" s="260"/>
      <c r="X3607" s="260"/>
      <c r="Y3607" s="260"/>
      <c r="Z3607" s="260"/>
      <c r="AA3607" s="260"/>
      <c r="AB3607" s="260"/>
      <c r="AC3607" s="260"/>
      <c r="AD3607"/>
      <c r="AE3607"/>
      <c r="AF3607"/>
      <c r="AG3607"/>
    </row>
    <row r="3608" spans="14:33" ht="12" hidden="1" customHeight="1">
      <c r="N3608" s="239"/>
      <c r="O3608" s="225"/>
      <c r="P3608" s="260"/>
      <c r="Q3608" s="258"/>
      <c r="R3608" s="260"/>
      <c r="S3608" s="260"/>
      <c r="T3608" s="260"/>
      <c r="U3608" s="260"/>
      <c r="V3608" s="260"/>
      <c r="W3608" s="260"/>
      <c r="X3608" s="260"/>
      <c r="Y3608" s="260"/>
      <c r="Z3608" s="260"/>
      <c r="AA3608" s="260"/>
      <c r="AB3608" s="260"/>
      <c r="AC3608" s="260"/>
      <c r="AD3608"/>
      <c r="AE3608"/>
      <c r="AF3608"/>
      <c r="AG3608"/>
    </row>
    <row r="3609" spans="14:33" ht="12" hidden="1" customHeight="1">
      <c r="N3609" s="239"/>
      <c r="O3609" s="225"/>
      <c r="P3609" s="260"/>
      <c r="Q3609" s="258"/>
      <c r="R3609" s="260"/>
      <c r="S3609" s="260"/>
      <c r="T3609" s="260"/>
      <c r="U3609" s="260"/>
      <c r="V3609" s="260"/>
      <c r="W3609" s="260"/>
      <c r="X3609" s="260"/>
      <c r="Y3609" s="260"/>
      <c r="Z3609" s="260"/>
      <c r="AA3609" s="260"/>
      <c r="AB3609" s="260"/>
      <c r="AC3609" s="260"/>
      <c r="AD3609"/>
      <c r="AE3609"/>
      <c r="AF3609"/>
      <c r="AG3609"/>
    </row>
    <row r="3610" spans="14:33" ht="12" hidden="1" customHeight="1">
      <c r="N3610" s="239"/>
      <c r="O3610" s="225"/>
      <c r="P3610" s="260"/>
      <c r="Q3610" s="258"/>
      <c r="R3610" s="260"/>
      <c r="S3610" s="260"/>
      <c r="T3610" s="260"/>
      <c r="U3610" s="260"/>
      <c r="V3610" s="260"/>
      <c r="W3610" s="260"/>
      <c r="X3610" s="260"/>
      <c r="Y3610" s="260"/>
      <c r="Z3610" s="260"/>
      <c r="AA3610" s="260"/>
      <c r="AB3610" s="260"/>
      <c r="AC3610" s="260"/>
      <c r="AD3610"/>
      <c r="AE3610"/>
      <c r="AF3610"/>
      <c r="AG3610"/>
    </row>
    <row r="3611" spans="14:33" ht="12" hidden="1" customHeight="1">
      <c r="N3611" s="239"/>
      <c r="O3611" s="225"/>
      <c r="P3611" s="260"/>
      <c r="Q3611" s="258"/>
      <c r="R3611" s="260"/>
      <c r="S3611" s="260"/>
      <c r="T3611" s="260"/>
      <c r="U3611" s="260"/>
      <c r="V3611" s="260"/>
      <c r="W3611" s="260"/>
      <c r="X3611" s="260"/>
      <c r="Y3611" s="260"/>
      <c r="Z3611" s="260"/>
      <c r="AA3611" s="260"/>
      <c r="AB3611" s="260"/>
      <c r="AC3611" s="260"/>
      <c r="AD3611"/>
      <c r="AE3611"/>
      <c r="AF3611"/>
      <c r="AG3611"/>
    </row>
    <row r="3612" spans="14:33" ht="12" hidden="1" customHeight="1">
      <c r="N3612" s="239"/>
      <c r="O3612" s="225"/>
      <c r="P3612" s="260"/>
      <c r="Q3612" s="258"/>
      <c r="R3612" s="260"/>
      <c r="S3612" s="260"/>
      <c r="T3612" s="260"/>
      <c r="U3612" s="260"/>
      <c r="V3612" s="260"/>
      <c r="W3612" s="260"/>
      <c r="X3612" s="260"/>
      <c r="Y3612" s="260"/>
      <c r="Z3612" s="260"/>
      <c r="AA3612" s="260"/>
      <c r="AB3612" s="260"/>
      <c r="AC3612" s="260"/>
      <c r="AD3612"/>
      <c r="AE3612"/>
      <c r="AF3612"/>
      <c r="AG3612"/>
    </row>
    <row r="3613" spans="14:33" ht="12" hidden="1" customHeight="1">
      <c r="N3613" s="239"/>
      <c r="O3613" s="225"/>
      <c r="P3613" s="260"/>
      <c r="Q3613" s="258"/>
      <c r="R3613" s="260"/>
      <c r="S3613" s="260"/>
      <c r="T3613" s="260"/>
      <c r="U3613" s="260"/>
      <c r="V3613" s="260"/>
      <c r="W3613" s="260"/>
      <c r="X3613" s="260"/>
      <c r="Y3613" s="260"/>
      <c r="Z3613" s="260"/>
      <c r="AA3613" s="260"/>
      <c r="AB3613" s="260"/>
      <c r="AC3613" s="260"/>
      <c r="AD3613"/>
      <c r="AE3613"/>
      <c r="AF3613"/>
      <c r="AG3613"/>
    </row>
    <row r="3614" spans="14:33" ht="12" hidden="1" customHeight="1">
      <c r="N3614" s="239"/>
      <c r="O3614" s="225"/>
      <c r="P3614" s="260"/>
      <c r="Q3614" s="258"/>
      <c r="R3614" s="260"/>
      <c r="S3614" s="260"/>
      <c r="T3614" s="260"/>
      <c r="U3614" s="260"/>
      <c r="V3614" s="260"/>
      <c r="W3614" s="260"/>
      <c r="X3614" s="260"/>
      <c r="Y3614" s="260"/>
      <c r="Z3614" s="260"/>
      <c r="AA3614" s="260"/>
      <c r="AB3614" s="260"/>
      <c r="AC3614" s="260"/>
      <c r="AD3614"/>
      <c r="AE3614"/>
      <c r="AF3614"/>
      <c r="AG3614"/>
    </row>
    <row r="3615" spans="14:33" ht="12" hidden="1" customHeight="1">
      <c r="N3615" s="239"/>
      <c r="O3615" s="225"/>
      <c r="P3615" s="260"/>
      <c r="Q3615" s="258"/>
      <c r="R3615" s="260"/>
      <c r="S3615" s="260"/>
      <c r="T3615" s="260"/>
      <c r="U3615" s="260"/>
      <c r="V3615" s="260"/>
      <c r="W3615" s="260"/>
      <c r="X3615" s="260"/>
      <c r="Y3615" s="260"/>
      <c r="Z3615" s="260"/>
      <c r="AA3615" s="260"/>
      <c r="AB3615" s="260"/>
      <c r="AC3615" s="260"/>
      <c r="AD3615"/>
      <c r="AE3615"/>
      <c r="AF3615"/>
      <c r="AG3615"/>
    </row>
    <row r="3616" spans="14:33" ht="12" hidden="1" customHeight="1">
      <c r="N3616" s="239"/>
      <c r="O3616" s="225"/>
      <c r="P3616" s="260"/>
      <c r="Q3616" s="258"/>
      <c r="R3616" s="260"/>
      <c r="S3616" s="260"/>
      <c r="T3616" s="260"/>
      <c r="U3616" s="260"/>
      <c r="V3616" s="260"/>
      <c r="W3616" s="260"/>
      <c r="X3616" s="260"/>
      <c r="Y3616" s="260"/>
      <c r="Z3616" s="260"/>
      <c r="AA3616" s="260"/>
      <c r="AB3616" s="260"/>
      <c r="AC3616" s="260"/>
      <c r="AD3616"/>
      <c r="AE3616"/>
      <c r="AF3616"/>
      <c r="AG3616"/>
    </row>
    <row r="3617" spans="14:33" ht="12" hidden="1" customHeight="1">
      <c r="N3617" s="239"/>
      <c r="O3617" s="225"/>
      <c r="P3617" s="260"/>
      <c r="Q3617" s="258"/>
      <c r="R3617" s="260"/>
      <c r="S3617" s="260"/>
      <c r="T3617" s="260"/>
      <c r="U3617" s="260"/>
      <c r="V3617" s="260"/>
      <c r="W3617" s="260"/>
      <c r="X3617" s="260"/>
      <c r="Y3617" s="260"/>
      <c r="Z3617" s="260"/>
      <c r="AA3617" s="260"/>
      <c r="AB3617" s="260"/>
      <c r="AC3617" s="260"/>
      <c r="AD3617"/>
      <c r="AE3617"/>
      <c r="AF3617"/>
      <c r="AG3617"/>
    </row>
    <row r="3618" spans="14:33" ht="12" hidden="1" customHeight="1">
      <c r="N3618" s="239"/>
      <c r="O3618" s="225"/>
      <c r="P3618" s="260"/>
      <c r="Q3618" s="258"/>
      <c r="R3618" s="260"/>
      <c r="S3618" s="260"/>
      <c r="T3618" s="260"/>
      <c r="U3618" s="260"/>
      <c r="V3618" s="260"/>
      <c r="W3618" s="260"/>
      <c r="X3618" s="260"/>
      <c r="Y3618" s="260"/>
      <c r="Z3618" s="260"/>
      <c r="AA3618" s="260"/>
      <c r="AB3618" s="260"/>
      <c r="AC3618" s="260"/>
      <c r="AD3618"/>
      <c r="AE3618"/>
      <c r="AF3618"/>
      <c r="AG3618"/>
    </row>
    <row r="3619" spans="14:33" ht="12" hidden="1" customHeight="1">
      <c r="N3619" s="239"/>
      <c r="O3619" s="225"/>
      <c r="P3619" s="260"/>
      <c r="Q3619" s="258"/>
      <c r="R3619" s="260"/>
      <c r="S3619" s="260"/>
      <c r="T3619" s="260"/>
      <c r="U3619" s="260"/>
      <c r="V3619" s="260"/>
      <c r="W3619" s="260"/>
      <c r="X3619" s="260"/>
      <c r="Y3619" s="260"/>
      <c r="Z3619" s="260"/>
      <c r="AA3619" s="260"/>
      <c r="AB3619" s="260"/>
      <c r="AC3619" s="260"/>
      <c r="AD3619"/>
      <c r="AE3619"/>
      <c r="AF3619"/>
      <c r="AG3619"/>
    </row>
    <row r="3620" spans="14:33" ht="12" hidden="1" customHeight="1">
      <c r="N3620" s="239"/>
      <c r="O3620" s="225"/>
      <c r="P3620" s="260"/>
      <c r="Q3620" s="258"/>
      <c r="R3620" s="260"/>
      <c r="S3620" s="260"/>
      <c r="T3620" s="260"/>
      <c r="U3620" s="260"/>
      <c r="V3620" s="260"/>
      <c r="W3620" s="260"/>
      <c r="X3620" s="260"/>
      <c r="Y3620" s="260"/>
      <c r="Z3620" s="260"/>
      <c r="AA3620" s="260"/>
      <c r="AB3620" s="260"/>
      <c r="AC3620" s="260"/>
      <c r="AD3620"/>
      <c r="AE3620"/>
      <c r="AF3620"/>
      <c r="AG3620"/>
    </row>
    <row r="3621" spans="14:33" ht="12" hidden="1" customHeight="1">
      <c r="N3621" s="239"/>
      <c r="O3621" s="225"/>
      <c r="P3621" s="260"/>
      <c r="Q3621" s="258"/>
      <c r="R3621" s="260"/>
      <c r="S3621" s="260"/>
      <c r="T3621" s="260"/>
      <c r="U3621" s="260"/>
      <c r="V3621" s="260"/>
      <c r="W3621" s="260"/>
      <c r="X3621" s="260"/>
      <c r="Y3621" s="260"/>
      <c r="Z3621" s="260"/>
      <c r="AA3621" s="260"/>
      <c r="AB3621" s="260"/>
      <c r="AC3621" s="260"/>
      <c r="AD3621"/>
      <c r="AE3621"/>
      <c r="AF3621"/>
      <c r="AG3621"/>
    </row>
    <row r="3622" spans="14:33" ht="12" hidden="1" customHeight="1">
      <c r="N3622" s="239"/>
      <c r="O3622" s="225"/>
      <c r="P3622" s="260"/>
      <c r="Q3622" s="258"/>
      <c r="R3622" s="260"/>
      <c r="S3622" s="260"/>
      <c r="T3622" s="260"/>
      <c r="U3622" s="260"/>
      <c r="V3622" s="260"/>
      <c r="W3622" s="260"/>
      <c r="X3622" s="260"/>
      <c r="Y3622" s="260"/>
      <c r="Z3622" s="260"/>
      <c r="AA3622" s="260"/>
      <c r="AB3622" s="260"/>
      <c r="AC3622" s="260"/>
      <c r="AD3622"/>
      <c r="AE3622"/>
      <c r="AF3622"/>
      <c r="AG3622"/>
    </row>
    <row r="3623" spans="14:33" ht="12" hidden="1" customHeight="1">
      <c r="N3623" s="239"/>
      <c r="O3623" s="225"/>
      <c r="P3623" s="260"/>
      <c r="Q3623" s="258"/>
      <c r="R3623" s="260"/>
      <c r="S3623" s="260"/>
      <c r="T3623" s="260"/>
      <c r="U3623" s="260"/>
      <c r="V3623" s="260"/>
      <c r="W3623" s="260"/>
      <c r="X3623" s="260"/>
      <c r="Y3623" s="260"/>
      <c r="Z3623" s="260"/>
      <c r="AA3623" s="260"/>
      <c r="AB3623" s="260"/>
      <c r="AC3623" s="260"/>
      <c r="AD3623"/>
      <c r="AE3623"/>
      <c r="AF3623"/>
      <c r="AG3623"/>
    </row>
    <row r="3624" spans="14:33" ht="12" hidden="1" customHeight="1">
      <c r="N3624" s="239"/>
      <c r="O3624" s="225"/>
      <c r="P3624" s="260"/>
      <c r="Q3624" s="258"/>
      <c r="R3624" s="260"/>
      <c r="S3624" s="260"/>
      <c r="T3624" s="260"/>
      <c r="U3624" s="260"/>
      <c r="V3624" s="260"/>
      <c r="W3624" s="260"/>
      <c r="X3624" s="260"/>
      <c r="Y3624" s="260"/>
      <c r="Z3624" s="260"/>
      <c r="AA3624" s="260"/>
      <c r="AB3624" s="260"/>
      <c r="AC3624" s="260"/>
      <c r="AD3624"/>
      <c r="AE3624"/>
      <c r="AF3624"/>
      <c r="AG3624"/>
    </row>
    <row r="3625" spans="14:33" ht="12" hidden="1" customHeight="1">
      <c r="N3625" s="239"/>
      <c r="O3625" s="225"/>
      <c r="P3625" s="260"/>
      <c r="Q3625" s="258"/>
      <c r="R3625" s="260"/>
      <c r="S3625" s="260"/>
      <c r="T3625" s="260"/>
      <c r="U3625" s="260"/>
      <c r="V3625" s="260"/>
      <c r="W3625" s="260"/>
      <c r="X3625" s="260"/>
      <c r="Y3625" s="260"/>
      <c r="Z3625" s="260"/>
      <c r="AA3625" s="260"/>
      <c r="AB3625" s="260"/>
      <c r="AC3625" s="260"/>
      <c r="AD3625"/>
      <c r="AE3625"/>
      <c r="AF3625"/>
      <c r="AG3625"/>
    </row>
    <row r="3626" spans="14:33" ht="12" hidden="1" customHeight="1">
      <c r="N3626" s="239"/>
      <c r="O3626" s="225"/>
      <c r="P3626" s="260"/>
      <c r="Q3626" s="258"/>
      <c r="R3626" s="260"/>
      <c r="S3626" s="260"/>
      <c r="T3626" s="260"/>
      <c r="U3626" s="260"/>
      <c r="V3626" s="260"/>
      <c r="W3626" s="260"/>
      <c r="X3626" s="260"/>
      <c r="Y3626" s="260"/>
      <c r="Z3626" s="260"/>
      <c r="AA3626" s="260"/>
      <c r="AB3626" s="260"/>
      <c r="AC3626" s="260"/>
      <c r="AD3626"/>
      <c r="AE3626"/>
      <c r="AF3626"/>
      <c r="AG3626"/>
    </row>
    <row r="3627" spans="14:33" ht="12" hidden="1" customHeight="1">
      <c r="N3627" s="239"/>
      <c r="O3627" s="225"/>
      <c r="P3627" s="260"/>
      <c r="Q3627" s="258"/>
      <c r="R3627" s="260"/>
      <c r="S3627" s="260"/>
      <c r="T3627" s="260"/>
      <c r="U3627" s="260"/>
      <c r="V3627" s="260"/>
      <c r="W3627" s="260"/>
      <c r="X3627" s="260"/>
      <c r="Y3627" s="260"/>
      <c r="Z3627" s="260"/>
      <c r="AA3627" s="260"/>
      <c r="AB3627" s="260"/>
      <c r="AC3627" s="260"/>
      <c r="AD3627"/>
      <c r="AE3627"/>
      <c r="AF3627"/>
      <c r="AG3627"/>
    </row>
    <row r="3628" spans="14:33" ht="12" hidden="1" customHeight="1">
      <c r="N3628" s="239"/>
      <c r="O3628" s="225"/>
      <c r="P3628" s="260"/>
      <c r="Q3628" s="258"/>
      <c r="R3628" s="260"/>
      <c r="S3628" s="260"/>
      <c r="T3628" s="260"/>
      <c r="U3628" s="260"/>
      <c r="V3628" s="260"/>
      <c r="W3628" s="260"/>
      <c r="X3628" s="260"/>
      <c r="Y3628" s="260"/>
      <c r="Z3628" s="260"/>
      <c r="AA3628" s="260"/>
      <c r="AB3628" s="260"/>
      <c r="AC3628" s="260"/>
      <c r="AD3628"/>
      <c r="AE3628"/>
      <c r="AF3628"/>
      <c r="AG3628"/>
    </row>
    <row r="3629" spans="14:33" ht="12" hidden="1" customHeight="1">
      <c r="N3629" s="239"/>
      <c r="O3629" s="225"/>
      <c r="P3629" s="260"/>
      <c r="Q3629" s="258"/>
      <c r="R3629" s="260"/>
      <c r="S3629" s="260"/>
      <c r="T3629" s="260"/>
      <c r="U3629" s="260"/>
      <c r="V3629" s="260"/>
      <c r="W3629" s="260"/>
      <c r="X3629" s="260"/>
      <c r="Y3629" s="260"/>
      <c r="Z3629" s="260"/>
      <c r="AA3629" s="260"/>
      <c r="AB3629" s="260"/>
      <c r="AC3629" s="260"/>
      <c r="AD3629"/>
      <c r="AE3629"/>
      <c r="AF3629"/>
      <c r="AG3629"/>
    </row>
    <row r="3630" spans="14:33" ht="12" hidden="1" customHeight="1">
      <c r="N3630" s="239"/>
      <c r="O3630" s="225"/>
      <c r="P3630" s="260"/>
      <c r="Q3630" s="258"/>
      <c r="R3630" s="260"/>
      <c r="S3630" s="260"/>
      <c r="T3630" s="260"/>
      <c r="U3630" s="260"/>
      <c r="V3630" s="260"/>
      <c r="W3630" s="260"/>
      <c r="X3630" s="260"/>
      <c r="Y3630" s="260"/>
      <c r="Z3630" s="260"/>
      <c r="AA3630" s="260"/>
      <c r="AB3630" s="260"/>
      <c r="AC3630" s="260"/>
      <c r="AD3630"/>
      <c r="AE3630"/>
      <c r="AF3630"/>
      <c r="AG3630"/>
    </row>
    <row r="3631" spans="14:33" ht="12" hidden="1" customHeight="1">
      <c r="N3631" s="239"/>
      <c r="O3631" s="225"/>
      <c r="P3631" s="260"/>
      <c r="Q3631" s="258"/>
      <c r="R3631" s="260"/>
      <c r="S3631" s="260"/>
      <c r="T3631" s="260"/>
      <c r="U3631" s="260"/>
      <c r="V3631" s="260"/>
      <c r="W3631" s="260"/>
      <c r="X3631" s="260"/>
      <c r="Y3631" s="260"/>
      <c r="Z3631" s="260"/>
      <c r="AA3631" s="260"/>
      <c r="AB3631" s="260"/>
      <c r="AC3631" s="260"/>
      <c r="AD3631"/>
      <c r="AE3631"/>
      <c r="AF3631"/>
      <c r="AG3631"/>
    </row>
    <row r="3632" spans="14:33" ht="12" hidden="1" customHeight="1">
      <c r="N3632" s="239"/>
      <c r="O3632" s="225"/>
      <c r="P3632" s="260"/>
      <c r="Q3632" s="258"/>
      <c r="R3632" s="260"/>
      <c r="S3632" s="260"/>
      <c r="T3632" s="260"/>
      <c r="U3632" s="260"/>
      <c r="V3632" s="260"/>
      <c r="W3632" s="260"/>
      <c r="X3632" s="260"/>
      <c r="Y3632" s="260"/>
      <c r="Z3632" s="260"/>
      <c r="AA3632" s="260"/>
      <c r="AB3632" s="260"/>
      <c r="AC3632" s="260"/>
      <c r="AD3632"/>
      <c r="AE3632"/>
      <c r="AF3632"/>
      <c r="AG3632"/>
    </row>
    <row r="3633" spans="14:33" ht="12" hidden="1" customHeight="1">
      <c r="N3633" s="239"/>
      <c r="O3633" s="225"/>
      <c r="P3633" s="260"/>
      <c r="Q3633" s="258"/>
      <c r="R3633" s="260"/>
      <c r="S3633" s="260"/>
      <c r="T3633" s="260"/>
      <c r="U3633" s="260"/>
      <c r="V3633" s="260"/>
      <c r="W3633" s="260"/>
      <c r="X3633" s="260"/>
      <c r="Y3633" s="260"/>
      <c r="Z3633" s="260"/>
      <c r="AA3633" s="260"/>
      <c r="AB3633" s="260"/>
      <c r="AC3633" s="260"/>
      <c r="AD3633"/>
      <c r="AE3633"/>
      <c r="AF3633"/>
      <c r="AG3633"/>
    </row>
    <row r="3634" spans="14:33" ht="12" hidden="1" customHeight="1">
      <c r="N3634" s="239"/>
      <c r="O3634" s="225"/>
      <c r="P3634" s="260"/>
      <c r="Q3634" s="258"/>
      <c r="R3634" s="260"/>
      <c r="S3634" s="260"/>
      <c r="T3634" s="260"/>
      <c r="U3634" s="260"/>
      <c r="V3634" s="260"/>
      <c r="W3634" s="260"/>
      <c r="X3634" s="260"/>
      <c r="Y3634" s="260"/>
      <c r="Z3634" s="260"/>
      <c r="AA3634" s="260"/>
      <c r="AB3634" s="260"/>
      <c r="AC3634" s="260"/>
      <c r="AD3634"/>
      <c r="AE3634"/>
      <c r="AF3634"/>
      <c r="AG3634"/>
    </row>
    <row r="3635" spans="14:33" ht="12" hidden="1" customHeight="1">
      <c r="N3635" s="239"/>
      <c r="O3635" s="225"/>
      <c r="P3635" s="260"/>
      <c r="Q3635" s="258"/>
      <c r="R3635" s="260"/>
      <c r="S3635" s="260"/>
      <c r="T3635" s="260"/>
      <c r="U3635" s="260"/>
      <c r="V3635" s="260"/>
      <c r="W3635" s="260"/>
      <c r="X3635" s="260"/>
      <c r="Y3635" s="260"/>
      <c r="Z3635" s="260"/>
      <c r="AA3635" s="260"/>
      <c r="AB3635" s="260"/>
      <c r="AC3635" s="260"/>
      <c r="AD3635"/>
      <c r="AE3635"/>
      <c r="AF3635"/>
      <c r="AG3635"/>
    </row>
    <row r="3636" spans="14:33" ht="12" hidden="1" customHeight="1">
      <c r="N3636" s="239"/>
      <c r="O3636" s="225"/>
      <c r="P3636" s="260"/>
      <c r="Q3636" s="258"/>
      <c r="R3636" s="260"/>
      <c r="S3636" s="260"/>
      <c r="T3636" s="260"/>
      <c r="U3636" s="260"/>
      <c r="V3636" s="260"/>
      <c r="W3636" s="260"/>
      <c r="X3636" s="260"/>
      <c r="Y3636" s="260"/>
      <c r="Z3636" s="260"/>
      <c r="AA3636" s="260"/>
      <c r="AB3636" s="260"/>
      <c r="AC3636" s="260"/>
      <c r="AD3636"/>
      <c r="AE3636"/>
      <c r="AF3636"/>
      <c r="AG3636"/>
    </row>
    <row r="3637" spans="14:33" ht="12" hidden="1" customHeight="1">
      <c r="N3637" s="239"/>
      <c r="O3637" s="225"/>
      <c r="P3637" s="260"/>
      <c r="Q3637" s="258"/>
      <c r="R3637" s="260"/>
      <c r="S3637" s="260"/>
      <c r="T3637" s="260"/>
      <c r="U3637" s="260"/>
      <c r="V3637" s="260"/>
      <c r="W3637" s="260"/>
      <c r="X3637" s="260"/>
      <c r="Y3637" s="260"/>
      <c r="Z3637" s="260"/>
      <c r="AA3637" s="260"/>
      <c r="AB3637" s="260"/>
      <c r="AC3637" s="260"/>
      <c r="AD3637"/>
      <c r="AE3637"/>
      <c r="AF3637"/>
      <c r="AG3637"/>
    </row>
    <row r="3638" spans="14:33" ht="12" hidden="1" customHeight="1">
      <c r="N3638" s="239"/>
      <c r="O3638" s="225"/>
      <c r="P3638" s="260"/>
      <c r="Q3638" s="258"/>
      <c r="R3638" s="260"/>
      <c r="S3638" s="260"/>
      <c r="T3638" s="260"/>
      <c r="U3638" s="260"/>
      <c r="V3638" s="260"/>
      <c r="W3638" s="260"/>
      <c r="X3638" s="260"/>
      <c r="Y3638" s="260"/>
      <c r="Z3638" s="260"/>
      <c r="AA3638" s="260"/>
      <c r="AB3638" s="260"/>
      <c r="AC3638" s="260"/>
      <c r="AD3638"/>
      <c r="AE3638"/>
      <c r="AF3638"/>
      <c r="AG3638"/>
    </row>
    <row r="3639" spans="14:33" ht="12" hidden="1" customHeight="1">
      <c r="N3639" s="239"/>
      <c r="O3639" s="225"/>
      <c r="P3639" s="260"/>
      <c r="Q3639" s="258"/>
      <c r="R3639" s="260"/>
      <c r="S3639" s="260"/>
      <c r="T3639" s="260"/>
      <c r="U3639" s="260"/>
      <c r="V3639" s="260"/>
      <c r="W3639" s="260"/>
      <c r="X3639" s="260"/>
      <c r="Y3639" s="260"/>
      <c r="Z3639" s="260"/>
      <c r="AA3639" s="260"/>
      <c r="AB3639" s="260"/>
      <c r="AC3639" s="260"/>
      <c r="AD3639"/>
      <c r="AE3639"/>
      <c r="AF3639"/>
      <c r="AG3639"/>
    </row>
    <row r="3640" spans="14:33" ht="12" hidden="1" customHeight="1">
      <c r="N3640" s="239"/>
      <c r="O3640" s="225"/>
      <c r="P3640" s="260"/>
      <c r="Q3640" s="258"/>
      <c r="R3640" s="260"/>
      <c r="S3640" s="260"/>
      <c r="T3640" s="260"/>
      <c r="U3640" s="260"/>
      <c r="V3640" s="260"/>
      <c r="W3640" s="260"/>
      <c r="X3640" s="260"/>
      <c r="Y3640" s="260"/>
      <c r="Z3640" s="260"/>
      <c r="AA3640" s="260"/>
      <c r="AB3640" s="260"/>
      <c r="AC3640" s="260"/>
      <c r="AD3640"/>
      <c r="AE3640"/>
      <c r="AF3640"/>
      <c r="AG3640"/>
    </row>
    <row r="3641" spans="14:33" ht="12" hidden="1" customHeight="1">
      <c r="N3641" s="239"/>
      <c r="O3641" s="225"/>
      <c r="P3641" s="260"/>
      <c r="Q3641" s="258"/>
      <c r="R3641" s="260"/>
      <c r="S3641" s="260"/>
      <c r="T3641" s="260"/>
      <c r="U3641" s="260"/>
      <c r="V3641" s="260"/>
      <c r="W3641" s="260"/>
      <c r="X3641" s="260"/>
      <c r="Y3641" s="260"/>
      <c r="Z3641" s="260"/>
      <c r="AA3641" s="260"/>
      <c r="AB3641" s="260"/>
      <c r="AC3641" s="260"/>
      <c r="AD3641"/>
      <c r="AE3641"/>
      <c r="AF3641"/>
      <c r="AG3641"/>
    </row>
    <row r="3642" spans="14:33" ht="12" hidden="1" customHeight="1">
      <c r="N3642" s="239"/>
      <c r="O3642" s="225"/>
      <c r="P3642" s="260"/>
      <c r="Q3642" s="258"/>
      <c r="R3642" s="260"/>
      <c r="S3642" s="260"/>
      <c r="T3642" s="260"/>
      <c r="U3642" s="260"/>
      <c r="V3642" s="260"/>
      <c r="W3642" s="260"/>
      <c r="X3642" s="260"/>
      <c r="Y3642" s="260"/>
      <c r="Z3642" s="260"/>
      <c r="AA3642" s="260"/>
      <c r="AB3642" s="260"/>
      <c r="AC3642" s="260"/>
      <c r="AD3642"/>
      <c r="AE3642"/>
      <c r="AF3642"/>
      <c r="AG3642"/>
    </row>
    <row r="3643" spans="14:33" ht="12" hidden="1" customHeight="1">
      <c r="N3643" s="239"/>
      <c r="O3643" s="225"/>
      <c r="P3643" s="260"/>
      <c r="Q3643" s="258"/>
      <c r="R3643" s="260"/>
      <c r="S3643" s="260"/>
      <c r="T3643" s="260"/>
      <c r="U3643" s="260"/>
      <c r="V3643" s="260"/>
      <c r="W3643" s="260"/>
      <c r="X3643" s="260"/>
      <c r="Y3643" s="260"/>
      <c r="Z3643" s="260"/>
      <c r="AA3643" s="260"/>
      <c r="AB3643" s="260"/>
      <c r="AC3643" s="260"/>
      <c r="AD3643"/>
      <c r="AE3643"/>
      <c r="AF3643"/>
      <c r="AG3643"/>
    </row>
    <row r="3644" spans="14:33" ht="12" hidden="1" customHeight="1">
      <c r="N3644" s="239"/>
      <c r="O3644" s="225"/>
      <c r="P3644" s="260"/>
      <c r="Q3644" s="258"/>
      <c r="R3644" s="260"/>
      <c r="S3644" s="260"/>
      <c r="T3644" s="260"/>
      <c r="U3644" s="260"/>
      <c r="V3644" s="260"/>
      <c r="W3644" s="260"/>
      <c r="X3644" s="260"/>
      <c r="Y3644" s="260"/>
      <c r="Z3644" s="260"/>
      <c r="AA3644" s="260"/>
      <c r="AB3644" s="260"/>
      <c r="AC3644" s="260"/>
      <c r="AD3644"/>
      <c r="AE3644"/>
      <c r="AF3644"/>
      <c r="AG3644"/>
    </row>
    <row r="3645" spans="14:33" ht="12" hidden="1" customHeight="1">
      <c r="N3645" s="239"/>
      <c r="O3645" s="225"/>
      <c r="P3645" s="260"/>
      <c r="Q3645" s="258"/>
      <c r="R3645" s="260"/>
      <c r="S3645" s="260"/>
      <c r="T3645" s="260"/>
      <c r="U3645" s="260"/>
      <c r="V3645" s="260"/>
      <c r="W3645" s="260"/>
      <c r="X3645" s="260"/>
      <c r="Y3645" s="260"/>
      <c r="Z3645" s="260"/>
      <c r="AA3645" s="260"/>
      <c r="AB3645" s="260"/>
      <c r="AC3645" s="260"/>
      <c r="AD3645"/>
      <c r="AE3645"/>
      <c r="AF3645"/>
      <c r="AG3645"/>
    </row>
    <row r="3646" spans="14:33" ht="12" hidden="1" customHeight="1">
      <c r="N3646" s="239"/>
      <c r="O3646" s="225"/>
      <c r="P3646" s="260"/>
      <c r="Q3646" s="258"/>
      <c r="R3646" s="260"/>
      <c r="S3646" s="260"/>
      <c r="T3646" s="260"/>
      <c r="U3646" s="260"/>
      <c r="V3646" s="260"/>
      <c r="W3646" s="260"/>
      <c r="X3646" s="260"/>
      <c r="Y3646" s="260"/>
      <c r="Z3646" s="260"/>
      <c r="AA3646" s="260"/>
      <c r="AB3646" s="260"/>
      <c r="AC3646" s="260"/>
      <c r="AD3646"/>
      <c r="AE3646"/>
      <c r="AF3646"/>
      <c r="AG3646"/>
    </row>
    <row r="3647" spans="14:33" ht="12" hidden="1" customHeight="1">
      <c r="N3647" s="239"/>
      <c r="O3647" s="225"/>
      <c r="P3647" s="260"/>
      <c r="Q3647" s="258"/>
      <c r="R3647" s="260"/>
      <c r="S3647" s="260"/>
      <c r="T3647" s="260"/>
      <c r="U3647" s="260"/>
      <c r="V3647" s="260"/>
      <c r="W3647" s="260"/>
      <c r="X3647" s="260"/>
      <c r="Y3647" s="260"/>
      <c r="Z3647" s="260"/>
      <c r="AA3647" s="260"/>
      <c r="AB3647" s="260"/>
      <c r="AC3647" s="260"/>
      <c r="AD3647"/>
      <c r="AE3647"/>
      <c r="AF3647"/>
      <c r="AG3647"/>
    </row>
    <row r="3648" spans="14:33" ht="12" hidden="1" customHeight="1">
      <c r="N3648" s="239"/>
      <c r="O3648" s="225"/>
      <c r="P3648" s="260"/>
      <c r="Q3648" s="258"/>
      <c r="R3648" s="260"/>
      <c r="S3648" s="260"/>
      <c r="T3648" s="260"/>
      <c r="U3648" s="260"/>
      <c r="V3648" s="260"/>
      <c r="W3648" s="260"/>
      <c r="X3648" s="260"/>
      <c r="Y3648" s="260"/>
      <c r="Z3648" s="260"/>
      <c r="AA3648" s="260"/>
      <c r="AB3648" s="260"/>
      <c r="AC3648" s="260"/>
      <c r="AD3648"/>
      <c r="AE3648"/>
      <c r="AF3648"/>
      <c r="AG3648"/>
    </row>
    <row r="3649" spans="13:33" ht="12" hidden="1" customHeight="1">
      <c r="N3649" s="239"/>
      <c r="O3649" s="225"/>
      <c r="P3649" s="260"/>
      <c r="Q3649" s="258"/>
      <c r="R3649" s="260"/>
      <c r="S3649" s="260"/>
      <c r="T3649" s="260"/>
      <c r="U3649" s="260"/>
      <c r="V3649" s="260"/>
      <c r="W3649" s="260"/>
      <c r="X3649" s="260"/>
      <c r="Y3649" s="260"/>
      <c r="Z3649" s="260"/>
      <c r="AA3649" s="260"/>
      <c r="AB3649" s="260"/>
      <c r="AC3649" s="260"/>
      <c r="AD3649"/>
      <c r="AE3649"/>
      <c r="AF3649"/>
      <c r="AG3649"/>
    </row>
    <row r="3650" spans="13:33" ht="12" hidden="1" customHeight="1">
      <c r="N3650" s="239"/>
      <c r="O3650" s="225"/>
      <c r="P3650" s="260"/>
      <c r="Q3650" s="258"/>
      <c r="R3650" s="260"/>
      <c r="S3650" s="260"/>
      <c r="T3650" s="260"/>
      <c r="U3650" s="260"/>
      <c r="V3650" s="260"/>
      <c r="W3650" s="260"/>
      <c r="X3650" s="260"/>
      <c r="Y3650" s="260"/>
      <c r="Z3650" s="260"/>
      <c r="AA3650" s="260"/>
      <c r="AB3650" s="260"/>
      <c r="AC3650" s="260"/>
      <c r="AD3650"/>
      <c r="AE3650"/>
      <c r="AF3650"/>
      <c r="AG3650"/>
    </row>
    <row r="3651" spans="13:33" ht="12" hidden="1" customHeight="1">
      <c r="N3651" s="239"/>
      <c r="O3651" s="225"/>
      <c r="P3651" s="260"/>
      <c r="Q3651" s="258"/>
      <c r="R3651" s="260"/>
      <c r="S3651" s="260"/>
      <c r="T3651" s="260"/>
      <c r="U3651" s="260"/>
      <c r="V3651" s="260"/>
      <c r="W3651" s="260"/>
      <c r="X3651" s="260"/>
      <c r="Y3651" s="260"/>
      <c r="Z3651" s="260"/>
      <c r="AA3651" s="260"/>
      <c r="AB3651" s="260"/>
      <c r="AC3651" s="260"/>
      <c r="AD3651"/>
      <c r="AE3651"/>
      <c r="AF3651"/>
      <c r="AG3651"/>
    </row>
    <row r="3652" spans="13:33" ht="12" hidden="1" customHeight="1">
      <c r="N3652" s="239"/>
      <c r="O3652" s="225"/>
      <c r="P3652" s="260"/>
      <c r="Q3652" s="258"/>
      <c r="R3652" s="260"/>
      <c r="S3652" s="260"/>
      <c r="T3652" s="260"/>
      <c r="U3652" s="260"/>
      <c r="V3652" s="260"/>
      <c r="W3652" s="260"/>
      <c r="X3652" s="260"/>
      <c r="Y3652" s="260"/>
      <c r="Z3652" s="260"/>
      <c r="AA3652" s="260"/>
      <c r="AB3652" s="260"/>
      <c r="AC3652" s="260"/>
      <c r="AD3652"/>
      <c r="AE3652"/>
      <c r="AF3652"/>
      <c r="AG3652"/>
    </row>
    <row r="3653" spans="13:33" ht="12" hidden="1" customHeight="1">
      <c r="N3653" s="239"/>
      <c r="O3653" s="225"/>
      <c r="P3653" s="260"/>
      <c r="Q3653" s="258"/>
      <c r="R3653" s="260"/>
      <c r="S3653" s="260"/>
      <c r="T3653" s="260"/>
      <c r="U3653" s="260"/>
      <c r="V3653" s="260"/>
      <c r="W3653" s="260"/>
      <c r="X3653" s="260"/>
      <c r="Y3653" s="260"/>
      <c r="Z3653" s="260"/>
      <c r="AA3653" s="260"/>
      <c r="AB3653" s="260"/>
      <c r="AC3653" s="260"/>
      <c r="AD3653"/>
      <c r="AE3653"/>
      <c r="AF3653"/>
      <c r="AG3653"/>
    </row>
    <row r="3654" spans="13:33" ht="12" hidden="1" customHeight="1">
      <c r="N3654" s="239"/>
      <c r="O3654" s="225"/>
      <c r="P3654" s="260"/>
      <c r="Q3654" s="258"/>
      <c r="R3654" s="260"/>
      <c r="S3654" s="260"/>
      <c r="T3654" s="260"/>
      <c r="U3654" s="260"/>
      <c r="V3654" s="260"/>
      <c r="W3654" s="260"/>
      <c r="X3654" s="260"/>
      <c r="Y3654" s="260"/>
      <c r="Z3654" s="260"/>
      <c r="AA3654" s="260"/>
      <c r="AB3654" s="260"/>
      <c r="AC3654" s="260"/>
      <c r="AD3654"/>
      <c r="AE3654"/>
      <c r="AF3654"/>
      <c r="AG3654"/>
    </row>
    <row r="3655" spans="13:33" ht="12" hidden="1" customHeight="1">
      <c r="N3655" s="239"/>
      <c r="O3655" s="225"/>
      <c r="P3655" s="260"/>
      <c r="Q3655" s="258"/>
      <c r="R3655" s="260"/>
      <c r="S3655" s="260"/>
      <c r="T3655" s="260"/>
      <c r="U3655" s="260"/>
      <c r="V3655" s="260"/>
      <c r="W3655" s="260"/>
      <c r="X3655" s="260"/>
      <c r="Y3655" s="260"/>
      <c r="Z3655" s="260"/>
      <c r="AA3655" s="260"/>
      <c r="AB3655" s="260"/>
      <c r="AC3655" s="260"/>
      <c r="AD3655"/>
      <c r="AE3655"/>
      <c r="AF3655"/>
      <c r="AG3655"/>
    </row>
    <row r="3656" spans="13:33" ht="12" hidden="1" customHeight="1">
      <c r="N3656" s="239"/>
      <c r="O3656" s="225"/>
      <c r="P3656" s="260"/>
      <c r="Q3656" s="258"/>
      <c r="R3656" s="260"/>
      <c r="S3656" s="260"/>
      <c r="T3656" s="260"/>
      <c r="U3656" s="260"/>
      <c r="V3656" s="260"/>
      <c r="W3656" s="260"/>
      <c r="X3656" s="260"/>
      <c r="Y3656" s="260"/>
      <c r="Z3656" s="260"/>
      <c r="AA3656" s="260"/>
      <c r="AB3656" s="260"/>
      <c r="AC3656" s="260"/>
      <c r="AD3656"/>
      <c r="AE3656"/>
      <c r="AF3656"/>
      <c r="AG3656"/>
    </row>
    <row r="3657" spans="13:33" ht="12" hidden="1" customHeight="1">
      <c r="N3657" s="239"/>
      <c r="O3657" s="225"/>
      <c r="P3657" s="260"/>
      <c r="Q3657" s="258"/>
      <c r="R3657" s="260"/>
      <c r="S3657" s="260"/>
      <c r="T3657" s="260"/>
      <c r="U3657" s="260"/>
      <c r="V3657" s="260"/>
      <c r="W3657" s="260"/>
      <c r="X3657" s="260"/>
      <c r="Y3657" s="260"/>
      <c r="Z3657" s="260"/>
      <c r="AA3657" s="260"/>
      <c r="AB3657" s="260"/>
      <c r="AC3657" s="260"/>
      <c r="AD3657"/>
      <c r="AE3657"/>
      <c r="AF3657"/>
      <c r="AG3657"/>
    </row>
    <row r="3658" spans="13:33" ht="12" hidden="1" customHeight="1">
      <c r="N3658" s="239"/>
      <c r="O3658" s="225"/>
      <c r="P3658" s="260"/>
      <c r="Q3658" s="258"/>
      <c r="R3658" s="260"/>
      <c r="S3658" s="260"/>
      <c r="T3658" s="260"/>
      <c r="U3658" s="260"/>
      <c r="V3658" s="260"/>
      <c r="W3658" s="260"/>
      <c r="X3658" s="260"/>
      <c r="Y3658" s="260"/>
      <c r="Z3658" s="260"/>
      <c r="AA3658" s="260"/>
      <c r="AB3658" s="260"/>
      <c r="AC3658" s="260"/>
      <c r="AD3658"/>
      <c r="AE3658"/>
      <c r="AF3658"/>
      <c r="AG3658"/>
    </row>
    <row r="3659" spans="13:33" ht="12" hidden="1" customHeight="1">
      <c r="M3659"/>
      <c r="N3659" s="239"/>
      <c r="O3659" s="225"/>
      <c r="P3659" s="260"/>
      <c r="Q3659" s="258"/>
      <c r="R3659" s="260"/>
      <c r="S3659" s="260"/>
      <c r="T3659" s="260"/>
      <c r="U3659" s="260"/>
      <c r="V3659" s="260"/>
      <c r="W3659" s="260"/>
      <c r="X3659" s="260"/>
      <c r="Y3659" s="260"/>
      <c r="Z3659" s="260"/>
      <c r="AA3659" s="260"/>
      <c r="AB3659" s="260"/>
      <c r="AC3659" s="260"/>
      <c r="AD3659"/>
      <c r="AE3659"/>
      <c r="AF3659"/>
      <c r="AG3659"/>
    </row>
    <row r="3660" spans="13:33" ht="12" hidden="1" customHeight="1">
      <c r="M3660"/>
      <c r="N3660" s="239"/>
      <c r="O3660" s="225"/>
      <c r="P3660" s="260"/>
      <c r="Q3660" s="258"/>
      <c r="R3660" s="260"/>
      <c r="S3660" s="260"/>
      <c r="T3660" s="260"/>
      <c r="U3660" s="260"/>
      <c r="V3660" s="260"/>
      <c r="W3660" s="260"/>
      <c r="X3660" s="260"/>
      <c r="Y3660" s="260"/>
      <c r="Z3660" s="260"/>
      <c r="AA3660" s="260"/>
      <c r="AB3660" s="260"/>
      <c r="AC3660" s="260"/>
      <c r="AD3660"/>
      <c r="AE3660"/>
      <c r="AF3660"/>
      <c r="AG3660"/>
    </row>
    <row r="3661" spans="13:33" ht="12" hidden="1" customHeight="1">
      <c r="M3661"/>
      <c r="N3661" s="239"/>
      <c r="O3661" s="225"/>
      <c r="P3661" s="260"/>
      <c r="Q3661" s="258"/>
      <c r="R3661" s="260"/>
      <c r="S3661" s="260"/>
      <c r="T3661" s="260"/>
      <c r="U3661" s="260"/>
      <c r="V3661" s="260"/>
      <c r="W3661" s="260"/>
      <c r="X3661" s="260"/>
      <c r="Y3661" s="260"/>
      <c r="Z3661" s="260"/>
      <c r="AA3661" s="260"/>
      <c r="AB3661" s="260"/>
      <c r="AC3661" s="260"/>
      <c r="AD3661"/>
      <c r="AE3661"/>
      <c r="AF3661"/>
      <c r="AG3661"/>
    </row>
    <row r="3662" spans="13:33" ht="12" hidden="1" customHeight="1">
      <c r="M3662"/>
      <c r="N3662" s="239"/>
      <c r="O3662" s="225"/>
      <c r="P3662" s="260"/>
      <c r="Q3662" s="258"/>
      <c r="R3662" s="260"/>
      <c r="S3662" s="260"/>
      <c r="T3662" s="260"/>
      <c r="U3662" s="260"/>
      <c r="V3662" s="260"/>
      <c r="W3662" s="260"/>
      <c r="X3662" s="260"/>
      <c r="Y3662" s="260"/>
      <c r="Z3662" s="260"/>
      <c r="AA3662" s="260"/>
      <c r="AB3662" s="260"/>
      <c r="AC3662" s="260"/>
      <c r="AD3662"/>
      <c r="AE3662"/>
      <c r="AF3662"/>
      <c r="AG3662"/>
    </row>
    <row r="3663" spans="13:33" ht="12" hidden="1" customHeight="1">
      <c r="M3663"/>
      <c r="N3663" s="239"/>
      <c r="O3663" s="225"/>
      <c r="P3663" s="260"/>
      <c r="Q3663" s="258"/>
      <c r="R3663" s="260"/>
      <c r="S3663" s="260"/>
      <c r="T3663" s="260"/>
      <c r="U3663" s="260"/>
      <c r="V3663" s="260"/>
      <c r="W3663" s="260"/>
      <c r="X3663" s="260"/>
      <c r="Y3663" s="260"/>
      <c r="Z3663" s="260"/>
      <c r="AA3663" s="260"/>
      <c r="AB3663" s="260"/>
      <c r="AC3663" s="260"/>
      <c r="AD3663"/>
      <c r="AE3663"/>
      <c r="AF3663"/>
      <c r="AG3663"/>
    </row>
    <row r="3664" spans="13:33" ht="12" hidden="1" customHeight="1">
      <c r="M3664"/>
      <c r="N3664" s="239"/>
      <c r="O3664" s="225"/>
      <c r="P3664" s="260"/>
      <c r="Q3664" s="258"/>
      <c r="R3664" s="260"/>
      <c r="S3664" s="260"/>
      <c r="T3664" s="260"/>
      <c r="U3664" s="260"/>
      <c r="V3664" s="260"/>
      <c r="W3664" s="260"/>
      <c r="X3664" s="260"/>
      <c r="Y3664" s="260"/>
      <c r="Z3664" s="260"/>
      <c r="AA3664" s="260"/>
      <c r="AB3664" s="260"/>
      <c r="AC3664" s="260"/>
      <c r="AD3664"/>
      <c r="AE3664"/>
      <c r="AF3664"/>
      <c r="AG3664"/>
    </row>
    <row r="3665" spans="13:33" ht="12" hidden="1" customHeight="1">
      <c r="M3665"/>
      <c r="N3665" s="239"/>
      <c r="O3665" s="225"/>
      <c r="P3665" s="260"/>
      <c r="Q3665" s="258"/>
      <c r="R3665" s="260"/>
      <c r="S3665" s="260"/>
      <c r="T3665" s="260"/>
      <c r="U3665" s="260"/>
      <c r="V3665" s="260"/>
      <c r="W3665" s="260"/>
      <c r="X3665" s="260"/>
      <c r="Y3665" s="260"/>
      <c r="Z3665" s="260"/>
      <c r="AA3665" s="260"/>
      <c r="AB3665" s="260"/>
      <c r="AC3665" s="260"/>
      <c r="AD3665"/>
      <c r="AE3665"/>
      <c r="AF3665"/>
      <c r="AG3665"/>
    </row>
    <row r="3666" spans="13:33" ht="12" hidden="1" customHeight="1">
      <c r="M3666"/>
      <c r="N3666" s="239"/>
      <c r="O3666" s="225"/>
      <c r="P3666" s="260"/>
      <c r="Q3666" s="258"/>
      <c r="R3666" s="260"/>
      <c r="S3666" s="260"/>
      <c r="T3666" s="260"/>
      <c r="U3666" s="260"/>
      <c r="V3666" s="260"/>
      <c r="W3666" s="260"/>
      <c r="X3666" s="260"/>
      <c r="Y3666" s="260"/>
      <c r="Z3666" s="260"/>
      <c r="AA3666" s="260"/>
      <c r="AB3666" s="260"/>
      <c r="AC3666" s="260"/>
      <c r="AD3666"/>
      <c r="AE3666"/>
      <c r="AF3666"/>
      <c r="AG3666"/>
    </row>
    <row r="3667" spans="13:33" ht="12" hidden="1" customHeight="1">
      <c r="M3667"/>
      <c r="N3667" s="239"/>
      <c r="O3667" s="225"/>
      <c r="P3667" s="260"/>
      <c r="Q3667" s="258"/>
      <c r="R3667" s="260"/>
      <c r="S3667" s="260"/>
      <c r="T3667" s="260"/>
      <c r="U3667" s="260"/>
      <c r="V3667" s="260"/>
      <c r="W3667" s="260"/>
      <c r="X3667" s="260"/>
      <c r="Y3667" s="260"/>
      <c r="Z3667" s="260"/>
      <c r="AA3667" s="260"/>
      <c r="AB3667" s="260"/>
      <c r="AC3667" s="260"/>
      <c r="AD3667"/>
      <c r="AE3667"/>
      <c r="AF3667"/>
      <c r="AG3667"/>
    </row>
    <row r="3668" spans="13:33" ht="12" hidden="1" customHeight="1">
      <c r="M3668"/>
      <c r="N3668" s="239"/>
      <c r="O3668" s="225"/>
      <c r="P3668" s="260"/>
      <c r="Q3668" s="258"/>
      <c r="R3668" s="260"/>
      <c r="S3668" s="260"/>
      <c r="T3668" s="260"/>
      <c r="U3668" s="260"/>
      <c r="V3668" s="260"/>
      <c r="W3668" s="260"/>
      <c r="X3668" s="260"/>
      <c r="Y3668" s="260"/>
      <c r="Z3668" s="260"/>
      <c r="AA3668" s="260"/>
      <c r="AB3668" s="260"/>
      <c r="AC3668" s="260"/>
      <c r="AD3668"/>
      <c r="AE3668"/>
      <c r="AF3668"/>
      <c r="AG3668"/>
    </row>
    <row r="3669" spans="13:33" ht="12" hidden="1" customHeight="1">
      <c r="M3669"/>
      <c r="N3669" s="239"/>
      <c r="O3669" s="225"/>
      <c r="P3669" s="260"/>
      <c r="Q3669" s="258"/>
      <c r="R3669" s="260"/>
      <c r="S3669" s="260"/>
      <c r="T3669" s="260"/>
      <c r="U3669" s="260"/>
      <c r="V3669" s="260"/>
      <c r="W3669" s="260"/>
      <c r="X3669" s="260"/>
      <c r="Y3669" s="260"/>
      <c r="Z3669" s="260"/>
      <c r="AA3669" s="260"/>
      <c r="AB3669" s="260"/>
      <c r="AC3669" s="260"/>
      <c r="AD3669"/>
      <c r="AE3669"/>
      <c r="AF3669"/>
      <c r="AG3669"/>
    </row>
    <row r="3670" spans="13:33" ht="12" hidden="1" customHeight="1">
      <c r="M3670"/>
      <c r="N3670" s="239"/>
      <c r="O3670" s="225"/>
      <c r="P3670" s="260"/>
      <c r="Q3670" s="258"/>
      <c r="R3670" s="260"/>
      <c r="S3670" s="260"/>
      <c r="T3670" s="260"/>
      <c r="U3670" s="260"/>
      <c r="V3670" s="260"/>
      <c r="W3670" s="260"/>
      <c r="X3670" s="260"/>
      <c r="Y3670" s="260"/>
      <c r="Z3670" s="260"/>
      <c r="AA3670" s="260"/>
      <c r="AB3670" s="260"/>
      <c r="AC3670" s="260"/>
      <c r="AD3670"/>
      <c r="AE3670"/>
      <c r="AF3670"/>
      <c r="AG3670"/>
    </row>
    <row r="3671" spans="13:33" ht="12" hidden="1" customHeight="1">
      <c r="M3671"/>
      <c r="N3671" s="239"/>
      <c r="O3671" s="225"/>
      <c r="P3671" s="260"/>
      <c r="Q3671" s="258"/>
      <c r="R3671" s="260"/>
      <c r="S3671" s="260"/>
      <c r="T3671" s="260"/>
      <c r="U3671" s="260"/>
      <c r="V3671" s="260"/>
      <c r="W3671" s="260"/>
      <c r="X3671" s="260"/>
      <c r="Y3671" s="260"/>
      <c r="Z3671" s="260"/>
      <c r="AA3671" s="260"/>
      <c r="AB3671" s="260"/>
      <c r="AC3671" s="260"/>
      <c r="AD3671"/>
      <c r="AE3671"/>
      <c r="AF3671"/>
      <c r="AG3671"/>
    </row>
    <row r="3672" spans="13:33" ht="12" hidden="1" customHeight="1">
      <c r="M3672"/>
      <c r="N3672" s="239"/>
      <c r="O3672" s="225"/>
      <c r="P3672" s="260"/>
      <c r="Q3672" s="258"/>
      <c r="R3672" s="260"/>
      <c r="S3672" s="260"/>
      <c r="T3672" s="260"/>
      <c r="U3672" s="260"/>
      <c r="V3672" s="260"/>
      <c r="W3672" s="260"/>
      <c r="X3672" s="260"/>
      <c r="Y3672" s="260"/>
      <c r="Z3672" s="260"/>
      <c r="AA3672" s="260"/>
      <c r="AB3672" s="260"/>
      <c r="AC3672" s="260"/>
      <c r="AD3672"/>
      <c r="AE3672"/>
      <c r="AF3672"/>
      <c r="AG3672"/>
    </row>
    <row r="3673" spans="13:33" ht="12" hidden="1" customHeight="1">
      <c r="M3673"/>
      <c r="N3673" s="239"/>
      <c r="O3673" s="225"/>
      <c r="P3673" s="260"/>
      <c r="Q3673" s="258"/>
      <c r="R3673" s="260"/>
      <c r="S3673" s="260"/>
      <c r="T3673" s="260"/>
      <c r="U3673" s="260"/>
      <c r="V3673" s="260"/>
      <c r="W3673" s="260"/>
      <c r="X3673" s="260"/>
      <c r="Y3673" s="260"/>
      <c r="Z3673" s="260"/>
      <c r="AA3673" s="260"/>
      <c r="AB3673" s="260"/>
      <c r="AC3673" s="260"/>
      <c r="AD3673"/>
      <c r="AE3673"/>
      <c r="AF3673"/>
      <c r="AG3673"/>
    </row>
    <row r="3674" spans="13:33" ht="12" hidden="1" customHeight="1">
      <c r="M3674"/>
      <c r="N3674" s="239"/>
      <c r="O3674" s="225"/>
      <c r="P3674" s="260"/>
      <c r="Q3674" s="258"/>
      <c r="R3674" s="260"/>
      <c r="S3674" s="260"/>
      <c r="T3674" s="260"/>
      <c r="U3674" s="260"/>
      <c r="V3674" s="260"/>
      <c r="W3674" s="260"/>
      <c r="X3674" s="260"/>
      <c r="Y3674" s="260"/>
      <c r="Z3674" s="260"/>
      <c r="AA3674" s="260"/>
      <c r="AB3674" s="260"/>
      <c r="AC3674" s="260"/>
      <c r="AD3674"/>
      <c r="AE3674"/>
      <c r="AF3674"/>
      <c r="AG3674"/>
    </row>
    <row r="3675" spans="13:33" ht="12" hidden="1" customHeight="1">
      <c r="M3675"/>
      <c r="N3675" s="239"/>
      <c r="O3675" s="225"/>
      <c r="P3675" s="260"/>
      <c r="Q3675" s="258"/>
      <c r="R3675" s="260"/>
      <c r="S3675" s="260"/>
      <c r="T3675" s="260"/>
      <c r="U3675" s="260"/>
      <c r="V3675" s="260"/>
      <c r="W3675" s="260"/>
      <c r="X3675" s="260"/>
      <c r="Y3675" s="260"/>
      <c r="Z3675" s="260"/>
      <c r="AA3675" s="260"/>
      <c r="AB3675" s="260"/>
      <c r="AC3675" s="260"/>
      <c r="AD3675"/>
      <c r="AE3675"/>
      <c r="AF3675"/>
      <c r="AG3675"/>
    </row>
    <row r="3676" spans="13:33" ht="12" hidden="1" customHeight="1">
      <c r="M3676"/>
      <c r="N3676" s="239"/>
      <c r="O3676" s="225"/>
      <c r="P3676" s="260"/>
      <c r="Q3676" s="258"/>
      <c r="R3676" s="260"/>
      <c r="S3676" s="260"/>
      <c r="T3676" s="260"/>
      <c r="U3676" s="260"/>
      <c r="V3676" s="260"/>
      <c r="W3676" s="260"/>
      <c r="X3676" s="260"/>
      <c r="Y3676" s="260"/>
      <c r="Z3676" s="260"/>
      <c r="AA3676" s="260"/>
      <c r="AB3676" s="260"/>
      <c r="AC3676" s="260"/>
      <c r="AD3676"/>
      <c r="AE3676"/>
      <c r="AF3676"/>
      <c r="AG3676"/>
    </row>
    <row r="3677" spans="13:33" ht="12" hidden="1" customHeight="1">
      <c r="M3677"/>
      <c r="N3677" s="239"/>
      <c r="O3677" s="225"/>
      <c r="P3677" s="260"/>
      <c r="Q3677" s="258"/>
      <c r="R3677" s="260"/>
      <c r="S3677" s="260"/>
      <c r="T3677" s="260"/>
      <c r="U3677" s="260"/>
      <c r="V3677" s="260"/>
      <c r="W3677" s="260"/>
      <c r="X3677" s="260"/>
      <c r="Y3677" s="260"/>
      <c r="Z3677" s="260"/>
      <c r="AA3677" s="260"/>
      <c r="AB3677" s="260"/>
      <c r="AC3677" s="260"/>
      <c r="AD3677"/>
      <c r="AE3677"/>
      <c r="AF3677"/>
      <c r="AG3677"/>
    </row>
    <row r="3678" spans="13:33" ht="12" hidden="1" customHeight="1">
      <c r="M3678"/>
      <c r="N3678" s="239"/>
      <c r="O3678" s="225"/>
      <c r="P3678" s="260"/>
      <c r="Q3678" s="258"/>
      <c r="R3678" s="260"/>
      <c r="S3678" s="260"/>
      <c r="T3678" s="260"/>
      <c r="U3678" s="260"/>
      <c r="V3678" s="260"/>
      <c r="W3678" s="260"/>
      <c r="X3678" s="260"/>
      <c r="Y3678" s="260"/>
      <c r="Z3678" s="260"/>
      <c r="AA3678" s="260"/>
      <c r="AB3678" s="260"/>
      <c r="AC3678" s="260"/>
      <c r="AD3678"/>
      <c r="AE3678"/>
      <c r="AF3678"/>
      <c r="AG3678"/>
    </row>
    <row r="3679" spans="13:33" ht="12" hidden="1" customHeight="1">
      <c r="M3679"/>
      <c r="N3679" s="239"/>
      <c r="O3679" s="225"/>
      <c r="P3679" s="260"/>
      <c r="Q3679" s="258"/>
      <c r="R3679" s="260"/>
      <c r="S3679" s="260"/>
      <c r="T3679" s="260"/>
      <c r="U3679" s="260"/>
      <c r="V3679" s="260"/>
      <c r="W3679" s="260"/>
      <c r="X3679" s="260"/>
      <c r="Y3679" s="260"/>
      <c r="Z3679" s="260"/>
      <c r="AA3679" s="260"/>
      <c r="AB3679" s="260"/>
      <c r="AC3679" s="260"/>
      <c r="AD3679"/>
      <c r="AE3679"/>
      <c r="AF3679"/>
      <c r="AG3679"/>
    </row>
    <row r="3680" spans="13:33" ht="12" hidden="1" customHeight="1">
      <c r="M3680"/>
      <c r="N3680" s="239"/>
      <c r="O3680" s="225"/>
      <c r="P3680" s="260"/>
      <c r="Q3680" s="258"/>
      <c r="R3680" s="260"/>
      <c r="S3680" s="260"/>
      <c r="T3680" s="260"/>
      <c r="U3680" s="260"/>
      <c r="V3680" s="260"/>
      <c r="W3680" s="260"/>
      <c r="X3680" s="260"/>
      <c r="Y3680" s="260"/>
      <c r="Z3680" s="260"/>
      <c r="AA3680" s="260"/>
      <c r="AB3680" s="260"/>
      <c r="AC3680" s="260"/>
      <c r="AD3680"/>
      <c r="AE3680"/>
      <c r="AF3680"/>
      <c r="AG3680"/>
    </row>
    <row r="3681" spans="13:33" ht="12" hidden="1" customHeight="1">
      <c r="M3681"/>
      <c r="N3681" s="239"/>
      <c r="O3681" s="225"/>
      <c r="P3681" s="260"/>
      <c r="Q3681" s="258"/>
      <c r="R3681" s="260"/>
      <c r="S3681" s="260"/>
      <c r="T3681" s="260"/>
      <c r="U3681" s="260"/>
      <c r="V3681" s="260"/>
      <c r="W3681" s="260"/>
      <c r="X3681" s="260"/>
      <c r="Y3681" s="260"/>
      <c r="Z3681" s="260"/>
      <c r="AA3681" s="260"/>
      <c r="AB3681" s="260"/>
      <c r="AC3681" s="260"/>
      <c r="AD3681"/>
      <c r="AE3681"/>
      <c r="AF3681"/>
      <c r="AG3681"/>
    </row>
    <row r="3682" spans="13:33" ht="12" hidden="1" customHeight="1">
      <c r="M3682"/>
      <c r="N3682" s="239"/>
      <c r="O3682" s="225"/>
      <c r="P3682" s="260"/>
      <c r="Q3682" s="258"/>
      <c r="R3682" s="260"/>
      <c r="S3682" s="260"/>
      <c r="T3682" s="260"/>
      <c r="U3682" s="260"/>
      <c r="V3682" s="260"/>
      <c r="W3682" s="260"/>
      <c r="X3682" s="260"/>
      <c r="Y3682" s="260"/>
      <c r="Z3682" s="260"/>
      <c r="AA3682" s="260"/>
      <c r="AB3682" s="260"/>
      <c r="AC3682" s="260"/>
      <c r="AD3682"/>
      <c r="AE3682"/>
      <c r="AF3682"/>
      <c r="AG3682"/>
    </row>
    <row r="3683" spans="13:33" ht="12" hidden="1" customHeight="1">
      <c r="M3683"/>
      <c r="N3683" s="239"/>
      <c r="O3683" s="225"/>
      <c r="P3683" s="260"/>
      <c r="Q3683" s="258"/>
      <c r="R3683" s="260"/>
      <c r="S3683" s="260"/>
      <c r="T3683" s="260"/>
      <c r="U3683" s="260"/>
      <c r="V3683" s="260"/>
      <c r="W3683" s="260"/>
      <c r="X3683" s="260"/>
      <c r="Y3683" s="260"/>
      <c r="Z3683" s="260"/>
      <c r="AA3683" s="260"/>
      <c r="AB3683" s="260"/>
      <c r="AC3683" s="260"/>
      <c r="AD3683"/>
      <c r="AE3683"/>
      <c r="AF3683"/>
      <c r="AG3683"/>
    </row>
    <row r="3684" spans="13:33" ht="12" hidden="1" customHeight="1">
      <c r="M3684"/>
      <c r="N3684" s="239"/>
      <c r="O3684" s="225"/>
      <c r="P3684" s="260"/>
      <c r="Q3684" s="258"/>
      <c r="R3684" s="260"/>
      <c r="S3684" s="260"/>
      <c r="T3684" s="260"/>
      <c r="U3684" s="260"/>
      <c r="V3684" s="260"/>
      <c r="W3684" s="260"/>
      <c r="X3684" s="260"/>
      <c r="Y3684" s="260"/>
      <c r="Z3684" s="260"/>
      <c r="AA3684" s="260"/>
      <c r="AB3684" s="260"/>
      <c r="AC3684" s="260"/>
      <c r="AD3684"/>
      <c r="AE3684"/>
      <c r="AF3684"/>
      <c r="AG3684"/>
    </row>
    <row r="3685" spans="13:33" ht="12" hidden="1" customHeight="1">
      <c r="M3685"/>
      <c r="N3685" s="239"/>
      <c r="O3685" s="225"/>
      <c r="P3685" s="260"/>
      <c r="Q3685" s="258"/>
      <c r="R3685" s="260"/>
      <c r="S3685" s="260"/>
      <c r="T3685" s="260"/>
      <c r="U3685" s="260"/>
      <c r="V3685" s="260"/>
      <c r="W3685" s="260"/>
      <c r="X3685" s="260"/>
      <c r="Y3685" s="260"/>
      <c r="Z3685" s="260"/>
      <c r="AA3685" s="260"/>
      <c r="AB3685" s="260"/>
      <c r="AC3685" s="260"/>
      <c r="AD3685"/>
      <c r="AE3685"/>
      <c r="AF3685"/>
      <c r="AG3685"/>
    </row>
    <row r="3686" spans="13:33" ht="12" hidden="1" customHeight="1">
      <c r="M3686"/>
      <c r="N3686" s="239"/>
      <c r="O3686" s="225"/>
      <c r="P3686" s="260"/>
      <c r="Q3686" s="258"/>
      <c r="R3686" s="260"/>
      <c r="S3686" s="260"/>
      <c r="T3686" s="260"/>
      <c r="U3686" s="260"/>
      <c r="V3686" s="260"/>
      <c r="W3686" s="260"/>
      <c r="X3686" s="260"/>
      <c r="Y3686" s="260"/>
      <c r="Z3686" s="260"/>
      <c r="AA3686" s="260"/>
      <c r="AB3686" s="260"/>
      <c r="AC3686" s="260"/>
      <c r="AD3686"/>
      <c r="AE3686"/>
      <c r="AF3686"/>
      <c r="AG3686"/>
    </row>
    <row r="3687" spans="13:33" ht="12" hidden="1" customHeight="1">
      <c r="M3687"/>
      <c r="N3687" s="239"/>
      <c r="O3687" s="225"/>
      <c r="P3687" s="260"/>
      <c r="Q3687" s="258"/>
      <c r="R3687" s="260"/>
      <c r="S3687" s="260"/>
      <c r="T3687" s="260"/>
      <c r="U3687" s="260"/>
      <c r="V3687" s="260"/>
      <c r="W3687" s="260"/>
      <c r="X3687" s="260"/>
      <c r="Y3687" s="260"/>
      <c r="Z3687" s="260"/>
      <c r="AA3687" s="260"/>
      <c r="AB3687" s="260"/>
      <c r="AC3687" s="260"/>
      <c r="AD3687"/>
      <c r="AE3687"/>
      <c r="AF3687"/>
      <c r="AG3687"/>
    </row>
    <row r="3688" spans="13:33" ht="12" hidden="1" customHeight="1">
      <c r="M3688"/>
      <c r="N3688" s="239"/>
      <c r="O3688" s="225"/>
      <c r="P3688" s="260"/>
      <c r="Q3688" s="258"/>
      <c r="R3688" s="260"/>
      <c r="S3688" s="260"/>
      <c r="T3688" s="260"/>
      <c r="U3688" s="260"/>
      <c r="V3688" s="260"/>
      <c r="W3688" s="260"/>
      <c r="X3688" s="260"/>
      <c r="Y3688" s="260"/>
      <c r="Z3688" s="260"/>
      <c r="AA3688" s="260"/>
      <c r="AB3688" s="260"/>
      <c r="AC3688" s="260"/>
      <c r="AD3688"/>
      <c r="AE3688"/>
      <c r="AF3688"/>
      <c r="AG3688"/>
    </row>
    <row r="3689" spans="13:33" ht="12" hidden="1" customHeight="1">
      <c r="M3689"/>
      <c r="N3689" s="239"/>
      <c r="O3689" s="225"/>
      <c r="P3689" s="260"/>
      <c r="Q3689" s="258"/>
      <c r="R3689" s="260"/>
      <c r="S3689" s="260"/>
      <c r="T3689" s="260"/>
      <c r="U3689" s="260"/>
      <c r="V3689" s="260"/>
      <c r="W3689" s="260"/>
      <c r="X3689" s="260"/>
      <c r="Y3689" s="260"/>
      <c r="Z3689" s="260"/>
      <c r="AA3689" s="260"/>
      <c r="AB3689" s="260"/>
      <c r="AC3689" s="260"/>
      <c r="AD3689"/>
      <c r="AE3689"/>
      <c r="AF3689"/>
      <c r="AG3689"/>
    </row>
    <row r="3690" spans="13:33" ht="12" hidden="1" customHeight="1">
      <c r="M3690"/>
      <c r="N3690" s="239"/>
      <c r="O3690" s="225"/>
      <c r="P3690" s="260"/>
      <c r="Q3690" s="258"/>
      <c r="R3690" s="260"/>
      <c r="S3690" s="260"/>
      <c r="T3690" s="260"/>
      <c r="U3690" s="260"/>
      <c r="V3690" s="260"/>
      <c r="W3690" s="260"/>
      <c r="X3690" s="260"/>
      <c r="Y3690" s="260"/>
      <c r="Z3690" s="260"/>
      <c r="AA3690" s="260"/>
      <c r="AB3690" s="260"/>
      <c r="AC3690" s="260"/>
      <c r="AD3690"/>
      <c r="AE3690"/>
      <c r="AF3690"/>
      <c r="AG3690"/>
    </row>
    <row r="3691" spans="13:33" ht="12" hidden="1" customHeight="1">
      <c r="M3691"/>
      <c r="N3691" s="239"/>
      <c r="O3691" s="225"/>
      <c r="P3691" s="260"/>
      <c r="Q3691" s="258"/>
      <c r="R3691" s="260"/>
      <c r="S3691" s="260"/>
      <c r="T3691" s="260"/>
      <c r="U3691" s="260"/>
      <c r="V3691" s="260"/>
      <c r="W3691" s="260"/>
      <c r="X3691" s="260"/>
      <c r="Y3691" s="260"/>
      <c r="Z3691" s="260"/>
      <c r="AA3691" s="260"/>
      <c r="AB3691" s="260"/>
      <c r="AC3691" s="260"/>
      <c r="AD3691"/>
      <c r="AE3691"/>
      <c r="AF3691"/>
      <c r="AG3691"/>
    </row>
    <row r="3692" spans="13:33" ht="12" hidden="1" customHeight="1">
      <c r="M3692"/>
      <c r="N3692" s="239"/>
      <c r="O3692" s="225"/>
      <c r="P3692" s="260"/>
      <c r="Q3692" s="258"/>
      <c r="R3692" s="260"/>
      <c r="S3692" s="260"/>
      <c r="T3692" s="260"/>
      <c r="U3692" s="260"/>
      <c r="V3692" s="260"/>
      <c r="W3692" s="260"/>
      <c r="X3692" s="260"/>
      <c r="Y3692" s="260"/>
      <c r="Z3692" s="260"/>
      <c r="AA3692" s="260"/>
      <c r="AB3692" s="260"/>
      <c r="AC3692" s="260"/>
      <c r="AD3692"/>
      <c r="AE3692"/>
      <c r="AF3692"/>
      <c r="AG3692"/>
    </row>
    <row r="3693" spans="13:33" ht="12" hidden="1" customHeight="1">
      <c r="M3693"/>
      <c r="N3693" s="239"/>
      <c r="O3693" s="225"/>
      <c r="P3693" s="260"/>
      <c r="Q3693" s="258"/>
      <c r="R3693" s="260"/>
      <c r="S3693" s="260"/>
      <c r="T3693" s="260"/>
      <c r="U3693" s="260"/>
      <c r="V3693" s="260"/>
      <c r="W3693" s="260"/>
      <c r="X3693" s="260"/>
      <c r="Y3693" s="260"/>
      <c r="Z3693" s="260"/>
      <c r="AA3693" s="260"/>
      <c r="AB3693" s="260"/>
      <c r="AC3693" s="260"/>
      <c r="AD3693"/>
      <c r="AE3693"/>
      <c r="AF3693"/>
      <c r="AG3693"/>
    </row>
    <row r="3694" spans="13:33" ht="12" hidden="1" customHeight="1">
      <c r="M3694"/>
      <c r="N3694" s="239"/>
      <c r="O3694" s="225"/>
      <c r="P3694" s="260"/>
      <c r="Q3694" s="258"/>
      <c r="R3694" s="260"/>
      <c r="S3694" s="260"/>
      <c r="T3694" s="260"/>
      <c r="U3694" s="260"/>
      <c r="V3694" s="260"/>
      <c r="W3694" s="260"/>
      <c r="X3694" s="260"/>
      <c r="Y3694" s="260"/>
      <c r="Z3694" s="260"/>
      <c r="AA3694" s="260"/>
      <c r="AB3694" s="260"/>
      <c r="AC3694" s="260"/>
      <c r="AD3694"/>
      <c r="AE3694"/>
      <c r="AF3694"/>
      <c r="AG3694"/>
    </row>
    <row r="3695" spans="13:33" ht="12" hidden="1" customHeight="1">
      <c r="M3695"/>
      <c r="N3695" s="239"/>
      <c r="O3695" s="225"/>
      <c r="P3695" s="260"/>
      <c r="Q3695" s="258"/>
      <c r="R3695" s="260"/>
      <c r="S3695" s="260"/>
      <c r="T3695" s="260"/>
      <c r="U3695" s="260"/>
      <c r="V3695" s="260"/>
      <c r="W3695" s="260"/>
      <c r="X3695" s="260"/>
      <c r="Y3695" s="260"/>
      <c r="Z3695" s="260"/>
      <c r="AA3695" s="260"/>
      <c r="AB3695" s="260"/>
      <c r="AC3695" s="260"/>
      <c r="AD3695"/>
      <c r="AE3695"/>
      <c r="AF3695"/>
      <c r="AG3695"/>
    </row>
    <row r="3696" spans="13:33" ht="12" hidden="1" customHeight="1">
      <c r="M3696"/>
      <c r="N3696" s="239"/>
      <c r="O3696" s="225"/>
      <c r="P3696" s="260"/>
      <c r="Q3696" s="258"/>
      <c r="R3696" s="260"/>
      <c r="S3696" s="260"/>
      <c r="T3696" s="260"/>
      <c r="U3696" s="260"/>
      <c r="V3696" s="260"/>
      <c r="W3696" s="260"/>
      <c r="X3696" s="260"/>
      <c r="Y3696" s="260"/>
      <c r="Z3696" s="260"/>
      <c r="AA3696" s="260"/>
      <c r="AB3696" s="260"/>
      <c r="AC3696" s="260"/>
      <c r="AD3696"/>
      <c r="AE3696"/>
      <c r="AF3696"/>
      <c r="AG3696"/>
    </row>
    <row r="3697" spans="13:33" ht="12" hidden="1" customHeight="1">
      <c r="M3697"/>
      <c r="N3697" s="239"/>
      <c r="O3697" s="225"/>
      <c r="P3697" s="260"/>
      <c r="Q3697" s="258"/>
      <c r="R3697" s="260"/>
      <c r="S3697" s="260"/>
      <c r="T3697" s="260"/>
      <c r="U3697" s="260"/>
      <c r="V3697" s="260"/>
      <c r="W3697" s="260"/>
      <c r="X3697" s="260"/>
      <c r="Y3697" s="260"/>
      <c r="Z3697" s="260"/>
      <c r="AA3697" s="260"/>
      <c r="AB3697" s="260"/>
      <c r="AC3697" s="260"/>
      <c r="AD3697"/>
      <c r="AE3697"/>
      <c r="AF3697"/>
      <c r="AG3697"/>
    </row>
    <row r="3698" spans="13:33" ht="12" hidden="1" customHeight="1">
      <c r="M3698"/>
      <c r="N3698" s="239"/>
      <c r="O3698" s="225"/>
      <c r="P3698" s="260"/>
      <c r="Q3698" s="258"/>
      <c r="R3698" s="260"/>
      <c r="S3698" s="260"/>
      <c r="T3698" s="260"/>
      <c r="U3698" s="260"/>
      <c r="V3698" s="260"/>
      <c r="W3698" s="260"/>
      <c r="X3698" s="260"/>
      <c r="Y3698" s="260"/>
      <c r="Z3698" s="260"/>
      <c r="AA3698" s="260"/>
      <c r="AB3698" s="260"/>
      <c r="AC3698" s="260"/>
      <c r="AD3698"/>
      <c r="AE3698"/>
      <c r="AF3698"/>
      <c r="AG3698"/>
    </row>
    <row r="3699" spans="13:33" ht="12" hidden="1" customHeight="1">
      <c r="M3699"/>
      <c r="N3699" s="239"/>
      <c r="O3699" s="225"/>
      <c r="P3699" s="260"/>
      <c r="Q3699" s="258"/>
      <c r="R3699" s="260"/>
      <c r="S3699" s="260"/>
      <c r="T3699" s="260"/>
      <c r="U3699" s="260"/>
      <c r="V3699" s="260"/>
      <c r="W3699" s="260"/>
      <c r="X3699" s="260"/>
      <c r="Y3699" s="260"/>
      <c r="Z3699" s="260"/>
      <c r="AA3699" s="260"/>
      <c r="AB3699" s="260"/>
      <c r="AC3699" s="260"/>
      <c r="AD3699"/>
      <c r="AE3699"/>
      <c r="AF3699"/>
      <c r="AG3699"/>
    </row>
    <row r="3700" spans="13:33" ht="12" hidden="1" customHeight="1">
      <c r="M3700"/>
      <c r="N3700" s="239"/>
      <c r="O3700" s="225"/>
      <c r="P3700" s="260"/>
      <c r="Q3700" s="258"/>
      <c r="R3700" s="260"/>
      <c r="S3700" s="260"/>
      <c r="T3700" s="260"/>
      <c r="U3700" s="260"/>
      <c r="V3700" s="260"/>
      <c r="W3700" s="260"/>
      <c r="X3700" s="260"/>
      <c r="Y3700" s="260"/>
      <c r="Z3700" s="260"/>
      <c r="AA3700" s="260"/>
      <c r="AB3700" s="260"/>
      <c r="AC3700" s="260"/>
      <c r="AD3700"/>
      <c r="AE3700"/>
      <c r="AF3700"/>
      <c r="AG3700"/>
    </row>
    <row r="3701" spans="13:33" ht="12" hidden="1" customHeight="1">
      <c r="M3701"/>
      <c r="N3701" s="239"/>
      <c r="O3701" s="225"/>
      <c r="P3701" s="260"/>
      <c r="Q3701" s="258"/>
      <c r="R3701" s="260"/>
      <c r="S3701" s="260"/>
      <c r="T3701" s="260"/>
      <c r="U3701" s="260"/>
      <c r="V3701" s="260"/>
      <c r="W3701" s="260"/>
      <c r="X3701" s="260"/>
      <c r="Y3701" s="260"/>
      <c r="Z3701" s="260"/>
      <c r="AA3701" s="260"/>
      <c r="AB3701" s="260"/>
      <c r="AC3701" s="260"/>
      <c r="AD3701"/>
      <c r="AE3701"/>
      <c r="AF3701"/>
      <c r="AG3701"/>
    </row>
    <row r="3702" spans="13:33" ht="12" hidden="1" customHeight="1">
      <c r="M3702"/>
      <c r="N3702" s="239"/>
      <c r="O3702" s="225"/>
      <c r="P3702" s="260"/>
      <c r="Q3702" s="258"/>
      <c r="R3702" s="260"/>
      <c r="S3702" s="260"/>
      <c r="T3702" s="260"/>
      <c r="U3702" s="260"/>
      <c r="V3702" s="260"/>
      <c r="W3702" s="260"/>
      <c r="X3702" s="260"/>
      <c r="Y3702" s="260"/>
      <c r="Z3702" s="260"/>
      <c r="AA3702" s="260"/>
      <c r="AB3702" s="260"/>
      <c r="AC3702" s="260"/>
      <c r="AD3702"/>
      <c r="AE3702"/>
      <c r="AF3702"/>
      <c r="AG3702"/>
    </row>
    <row r="3703" spans="13:33" ht="12" hidden="1" customHeight="1">
      <c r="M3703"/>
      <c r="N3703" s="239"/>
      <c r="O3703" s="225"/>
      <c r="P3703" s="260"/>
      <c r="Q3703" s="258"/>
      <c r="R3703" s="260"/>
      <c r="S3703" s="260"/>
      <c r="T3703" s="260"/>
      <c r="U3703" s="260"/>
      <c r="V3703" s="260"/>
      <c r="W3703" s="260"/>
      <c r="X3703" s="260"/>
      <c r="Y3703" s="260"/>
      <c r="Z3703" s="260"/>
      <c r="AA3703" s="260"/>
      <c r="AB3703" s="260"/>
      <c r="AC3703" s="260"/>
      <c r="AD3703"/>
      <c r="AE3703"/>
      <c r="AF3703"/>
      <c r="AG3703"/>
    </row>
    <row r="3704" spans="13:33" ht="12" hidden="1" customHeight="1">
      <c r="M3704"/>
      <c r="N3704" s="239"/>
      <c r="O3704" s="225"/>
      <c r="P3704" s="260"/>
      <c r="Q3704" s="258"/>
      <c r="R3704" s="260"/>
      <c r="S3704" s="260"/>
      <c r="T3704" s="260"/>
      <c r="U3704" s="260"/>
      <c r="V3704" s="260"/>
      <c r="W3704" s="260"/>
      <c r="X3704" s="260"/>
      <c r="Y3704" s="260"/>
      <c r="Z3704" s="260"/>
      <c r="AA3704" s="260"/>
      <c r="AB3704" s="260"/>
      <c r="AC3704" s="260"/>
      <c r="AD3704"/>
      <c r="AE3704"/>
      <c r="AF3704"/>
      <c r="AG3704"/>
    </row>
    <row r="3705" spans="13:33" ht="12" hidden="1" customHeight="1">
      <c r="M3705"/>
      <c r="N3705" s="239"/>
      <c r="O3705" s="225"/>
      <c r="P3705" s="260"/>
      <c r="Q3705" s="258"/>
      <c r="R3705" s="260"/>
      <c r="S3705" s="260"/>
      <c r="T3705" s="260"/>
      <c r="U3705" s="260"/>
      <c r="V3705" s="260"/>
      <c r="W3705" s="260"/>
      <c r="X3705" s="260"/>
      <c r="Y3705" s="260"/>
      <c r="Z3705" s="260"/>
      <c r="AA3705" s="260"/>
      <c r="AB3705" s="260"/>
      <c r="AC3705" s="260"/>
      <c r="AD3705"/>
      <c r="AE3705"/>
      <c r="AF3705"/>
      <c r="AG3705"/>
    </row>
    <row r="3706" spans="13:33" ht="12" hidden="1" customHeight="1">
      <c r="M3706"/>
      <c r="N3706" s="239"/>
      <c r="O3706" s="225"/>
      <c r="P3706" s="260"/>
      <c r="Q3706" s="258"/>
      <c r="R3706" s="260"/>
      <c r="S3706" s="260"/>
      <c r="T3706" s="260"/>
      <c r="U3706" s="260"/>
      <c r="V3706" s="260"/>
      <c r="W3706" s="260"/>
      <c r="X3706" s="260"/>
      <c r="Y3706" s="260"/>
      <c r="Z3706" s="260"/>
      <c r="AA3706" s="260"/>
      <c r="AB3706" s="260"/>
      <c r="AC3706" s="260"/>
      <c r="AD3706"/>
      <c r="AE3706"/>
      <c r="AF3706"/>
      <c r="AG3706"/>
    </row>
    <row r="3707" spans="13:33" ht="12" hidden="1" customHeight="1">
      <c r="M3707"/>
      <c r="N3707" s="239"/>
      <c r="O3707" s="225"/>
      <c r="P3707" s="260"/>
      <c r="Q3707" s="258"/>
      <c r="R3707" s="260"/>
      <c r="S3707" s="260"/>
      <c r="T3707" s="260"/>
      <c r="U3707" s="260"/>
      <c r="V3707" s="260"/>
      <c r="W3707" s="260"/>
      <c r="X3707" s="260"/>
      <c r="Y3707" s="260"/>
      <c r="Z3707" s="260"/>
      <c r="AA3707" s="260"/>
      <c r="AB3707" s="260"/>
      <c r="AC3707" s="260"/>
      <c r="AD3707"/>
      <c r="AE3707"/>
      <c r="AF3707"/>
      <c r="AG3707"/>
    </row>
    <row r="3708" spans="13:33" ht="12" hidden="1" customHeight="1">
      <c r="M3708"/>
      <c r="N3708" s="239"/>
      <c r="O3708" s="225"/>
      <c r="P3708" s="260"/>
      <c r="Q3708" s="258"/>
      <c r="R3708" s="260"/>
      <c r="S3708" s="260"/>
      <c r="T3708" s="260"/>
      <c r="U3708" s="260"/>
      <c r="V3708" s="260"/>
      <c r="W3708" s="260"/>
      <c r="X3708" s="260"/>
      <c r="Y3708" s="260"/>
      <c r="Z3708" s="260"/>
      <c r="AA3708" s="260"/>
      <c r="AB3708" s="260"/>
      <c r="AC3708" s="260"/>
      <c r="AD3708"/>
      <c r="AE3708"/>
      <c r="AF3708"/>
      <c r="AG3708"/>
    </row>
    <row r="3709" spans="13:33" ht="12" hidden="1" customHeight="1">
      <c r="M3709"/>
      <c r="N3709" s="239"/>
      <c r="O3709" s="225"/>
      <c r="P3709" s="260"/>
      <c r="Q3709" s="258"/>
      <c r="R3709" s="260"/>
      <c r="S3709" s="260"/>
      <c r="T3709" s="260"/>
      <c r="U3709" s="260"/>
      <c r="V3709" s="260"/>
      <c r="W3709" s="260"/>
      <c r="X3709" s="260"/>
      <c r="Y3709" s="260"/>
      <c r="Z3709" s="260"/>
      <c r="AA3709" s="260"/>
      <c r="AB3709" s="260"/>
      <c r="AC3709" s="260"/>
      <c r="AD3709"/>
      <c r="AE3709"/>
      <c r="AF3709"/>
      <c r="AG3709"/>
    </row>
    <row r="3710" spans="13:33" ht="12" hidden="1" customHeight="1">
      <c r="M3710"/>
      <c r="N3710" s="239"/>
      <c r="O3710" s="225"/>
      <c r="P3710" s="260"/>
      <c r="Q3710" s="258"/>
      <c r="R3710" s="260"/>
      <c r="S3710" s="260"/>
      <c r="T3710" s="260"/>
      <c r="U3710" s="260"/>
      <c r="V3710" s="260"/>
      <c r="W3710" s="260"/>
      <c r="X3710" s="260"/>
      <c r="Y3710" s="260"/>
      <c r="Z3710" s="260"/>
      <c r="AA3710" s="260"/>
      <c r="AB3710" s="260"/>
      <c r="AC3710" s="260"/>
      <c r="AD3710"/>
      <c r="AE3710"/>
      <c r="AF3710"/>
      <c r="AG3710"/>
    </row>
    <row r="3711" spans="13:33" ht="12" hidden="1" customHeight="1">
      <c r="M3711"/>
      <c r="N3711" s="239"/>
      <c r="O3711" s="225"/>
      <c r="P3711" s="260"/>
      <c r="Q3711" s="258"/>
      <c r="R3711" s="260"/>
      <c r="S3711" s="260"/>
      <c r="T3711" s="260"/>
      <c r="U3711" s="260"/>
      <c r="V3711" s="260"/>
      <c r="W3711" s="260"/>
      <c r="X3711" s="260"/>
      <c r="Y3711" s="260"/>
      <c r="Z3711" s="260"/>
      <c r="AA3711" s="260"/>
      <c r="AB3711" s="260"/>
      <c r="AC3711" s="260"/>
      <c r="AD3711"/>
      <c r="AE3711"/>
      <c r="AF3711"/>
      <c r="AG3711"/>
    </row>
    <row r="3712" spans="13:33" ht="12" hidden="1" customHeight="1">
      <c r="M3712"/>
      <c r="N3712" s="239"/>
      <c r="O3712" s="225"/>
      <c r="P3712" s="260"/>
      <c r="Q3712" s="258"/>
      <c r="R3712" s="260"/>
      <c r="S3712" s="260"/>
      <c r="T3712" s="260"/>
      <c r="U3712" s="260"/>
      <c r="V3712" s="260"/>
      <c r="W3712" s="260"/>
      <c r="X3712" s="260"/>
      <c r="Y3712" s="260"/>
      <c r="Z3712" s="260"/>
      <c r="AA3712" s="260"/>
      <c r="AB3712" s="260"/>
      <c r="AC3712" s="260"/>
      <c r="AD3712"/>
      <c r="AE3712"/>
      <c r="AF3712"/>
      <c r="AG3712"/>
    </row>
    <row r="3713" spans="13:33" ht="12" hidden="1" customHeight="1">
      <c r="M3713"/>
      <c r="N3713" s="239"/>
      <c r="O3713" s="225"/>
      <c r="P3713" s="260"/>
      <c r="Q3713" s="258"/>
      <c r="R3713" s="260"/>
      <c r="S3713" s="260"/>
      <c r="T3713" s="260"/>
      <c r="U3713" s="260"/>
      <c r="V3713" s="260"/>
      <c r="W3713" s="260"/>
      <c r="X3713" s="260"/>
      <c r="Y3713" s="260"/>
      <c r="Z3713" s="260"/>
      <c r="AA3713" s="260"/>
      <c r="AB3713" s="260"/>
      <c r="AC3713" s="260"/>
      <c r="AD3713"/>
      <c r="AE3713"/>
      <c r="AF3713"/>
      <c r="AG3713"/>
    </row>
    <row r="3714" spans="13:33" ht="12" hidden="1" customHeight="1">
      <c r="M3714"/>
      <c r="N3714" s="239"/>
      <c r="O3714" s="225"/>
      <c r="P3714" s="260"/>
      <c r="Q3714" s="258"/>
      <c r="R3714" s="260"/>
      <c r="S3714" s="260"/>
      <c r="T3714" s="260"/>
      <c r="U3714" s="260"/>
      <c r="V3714" s="260"/>
      <c r="W3714" s="260"/>
      <c r="X3714" s="260"/>
      <c r="Y3714" s="260"/>
      <c r="Z3714" s="260"/>
      <c r="AA3714" s="260"/>
      <c r="AB3714" s="260"/>
      <c r="AC3714" s="260"/>
      <c r="AD3714"/>
      <c r="AE3714"/>
      <c r="AF3714"/>
      <c r="AG3714"/>
    </row>
    <row r="3715" spans="13:33" ht="12" hidden="1" customHeight="1">
      <c r="M3715"/>
      <c r="N3715" s="239"/>
      <c r="O3715" s="225"/>
      <c r="P3715" s="260"/>
      <c r="Q3715" s="258"/>
      <c r="R3715" s="260"/>
      <c r="S3715" s="260"/>
      <c r="T3715" s="260"/>
      <c r="U3715" s="260"/>
      <c r="V3715" s="260"/>
      <c r="W3715" s="260"/>
      <c r="X3715" s="260"/>
      <c r="Y3715" s="260"/>
      <c r="Z3715" s="260"/>
      <c r="AA3715" s="260"/>
      <c r="AB3715" s="260"/>
      <c r="AC3715" s="260"/>
      <c r="AD3715"/>
      <c r="AE3715"/>
      <c r="AF3715"/>
      <c r="AG3715"/>
    </row>
    <row r="3716" spans="13:33" ht="12" hidden="1" customHeight="1">
      <c r="M3716"/>
      <c r="N3716" s="239"/>
      <c r="O3716" s="225"/>
      <c r="P3716" s="260"/>
      <c r="Q3716" s="258"/>
      <c r="R3716" s="260"/>
      <c r="S3716" s="260"/>
      <c r="T3716" s="260"/>
      <c r="U3716" s="260"/>
      <c r="V3716" s="260"/>
      <c r="W3716" s="260"/>
      <c r="X3716" s="260"/>
      <c r="Y3716" s="260"/>
      <c r="Z3716" s="260"/>
      <c r="AA3716" s="260"/>
      <c r="AB3716" s="260"/>
      <c r="AC3716" s="260"/>
      <c r="AD3716"/>
      <c r="AE3716"/>
      <c r="AF3716"/>
      <c r="AG3716"/>
    </row>
    <row r="3717" spans="13:33" ht="12" hidden="1" customHeight="1">
      <c r="M3717"/>
      <c r="N3717" s="239"/>
      <c r="O3717" s="225"/>
      <c r="P3717" s="260"/>
      <c r="Q3717" s="258"/>
      <c r="R3717" s="260"/>
      <c r="S3717" s="260"/>
      <c r="T3717" s="260"/>
      <c r="U3717" s="260"/>
      <c r="V3717" s="260"/>
      <c r="W3717" s="260"/>
      <c r="X3717" s="260"/>
      <c r="Y3717" s="260"/>
      <c r="Z3717" s="260"/>
      <c r="AA3717" s="260"/>
      <c r="AB3717" s="260"/>
      <c r="AC3717" s="260"/>
      <c r="AD3717"/>
      <c r="AE3717"/>
      <c r="AF3717"/>
      <c r="AG3717"/>
    </row>
    <row r="3718" spans="13:33" ht="12" hidden="1" customHeight="1">
      <c r="M3718"/>
      <c r="N3718" s="239"/>
      <c r="O3718" s="225"/>
      <c r="P3718" s="260"/>
      <c r="Q3718" s="258"/>
      <c r="R3718" s="260"/>
      <c r="S3718" s="260"/>
      <c r="T3718" s="260"/>
      <c r="U3718" s="260"/>
      <c r="V3718" s="260"/>
      <c r="W3718" s="260"/>
      <c r="X3718" s="260"/>
      <c r="Y3718" s="260"/>
      <c r="Z3718" s="260"/>
      <c r="AA3718" s="260"/>
      <c r="AB3718" s="260"/>
      <c r="AC3718" s="260"/>
      <c r="AD3718"/>
      <c r="AE3718"/>
      <c r="AF3718"/>
      <c r="AG3718"/>
    </row>
    <row r="3719" spans="13:33" ht="12" hidden="1" customHeight="1">
      <c r="M3719"/>
      <c r="N3719" s="239"/>
      <c r="O3719" s="225"/>
      <c r="P3719" s="260"/>
      <c r="Q3719" s="258"/>
      <c r="R3719" s="260"/>
      <c r="S3719" s="260"/>
      <c r="T3719" s="260"/>
      <c r="U3719" s="260"/>
      <c r="V3719" s="260"/>
      <c r="W3719" s="260"/>
      <c r="X3719" s="260"/>
      <c r="Y3719" s="260"/>
      <c r="Z3719" s="260"/>
      <c r="AA3719" s="260"/>
      <c r="AB3719" s="260"/>
      <c r="AC3719" s="260"/>
      <c r="AD3719"/>
      <c r="AE3719"/>
      <c r="AF3719"/>
      <c r="AG3719"/>
    </row>
    <row r="3720" spans="13:33" ht="12" hidden="1" customHeight="1">
      <c r="M3720"/>
      <c r="N3720" s="239"/>
      <c r="O3720" s="225"/>
      <c r="P3720" s="260"/>
      <c r="Q3720" s="258"/>
      <c r="R3720" s="260"/>
      <c r="S3720" s="260"/>
      <c r="T3720" s="260"/>
      <c r="U3720" s="260"/>
      <c r="V3720" s="260"/>
      <c r="W3720" s="260"/>
      <c r="X3720" s="260"/>
      <c r="Y3720" s="260"/>
      <c r="Z3720" s="260"/>
      <c r="AA3720" s="260"/>
      <c r="AB3720" s="260"/>
      <c r="AC3720" s="260"/>
      <c r="AD3720"/>
      <c r="AE3720"/>
      <c r="AF3720"/>
      <c r="AG3720"/>
    </row>
    <row r="3721" spans="13:33" ht="12" hidden="1" customHeight="1">
      <c r="M3721"/>
      <c r="N3721" s="239"/>
      <c r="O3721" s="225"/>
      <c r="P3721" s="260"/>
      <c r="Q3721" s="258"/>
      <c r="R3721" s="260"/>
      <c r="S3721" s="260"/>
      <c r="T3721" s="260"/>
      <c r="U3721" s="260"/>
      <c r="V3721" s="260"/>
      <c r="W3721" s="260"/>
      <c r="X3721" s="260"/>
      <c r="Y3721" s="260"/>
      <c r="Z3721" s="260"/>
      <c r="AA3721" s="260"/>
      <c r="AB3721" s="260"/>
      <c r="AC3721" s="260"/>
      <c r="AD3721"/>
      <c r="AE3721"/>
      <c r="AF3721"/>
      <c r="AG3721"/>
    </row>
    <row r="3722" spans="13:33" ht="12" hidden="1" customHeight="1">
      <c r="M3722"/>
      <c r="N3722" s="239"/>
      <c r="O3722" s="225"/>
      <c r="P3722" s="260"/>
      <c r="Q3722" s="258"/>
      <c r="R3722" s="260"/>
      <c r="S3722" s="260"/>
      <c r="T3722" s="260"/>
      <c r="U3722" s="260"/>
      <c r="V3722" s="260"/>
      <c r="W3722" s="260"/>
      <c r="X3722" s="260"/>
      <c r="Y3722" s="260"/>
      <c r="Z3722" s="260"/>
      <c r="AA3722" s="260"/>
      <c r="AB3722" s="260"/>
      <c r="AC3722" s="260"/>
      <c r="AD3722"/>
      <c r="AE3722"/>
      <c r="AF3722"/>
      <c r="AG3722"/>
    </row>
    <row r="3723" spans="13:33" ht="12" hidden="1" customHeight="1">
      <c r="M3723"/>
      <c r="N3723" s="239"/>
      <c r="O3723" s="225"/>
      <c r="P3723" s="260"/>
      <c r="Q3723" s="258"/>
      <c r="R3723" s="260"/>
      <c r="S3723" s="260"/>
      <c r="T3723" s="260"/>
      <c r="U3723" s="260"/>
      <c r="V3723" s="260"/>
      <c r="W3723" s="260"/>
      <c r="X3723" s="260"/>
      <c r="Y3723" s="260"/>
      <c r="Z3723" s="260"/>
      <c r="AA3723" s="260"/>
      <c r="AB3723" s="260"/>
      <c r="AC3723" s="260"/>
      <c r="AD3723"/>
      <c r="AE3723"/>
      <c r="AF3723"/>
      <c r="AG3723"/>
    </row>
    <row r="3724" spans="13:33" ht="12" hidden="1" customHeight="1">
      <c r="M3724"/>
      <c r="N3724" s="239"/>
      <c r="O3724" s="225"/>
      <c r="P3724" s="260"/>
      <c r="Q3724" s="258"/>
      <c r="R3724" s="260"/>
      <c r="S3724" s="260"/>
      <c r="T3724" s="260"/>
      <c r="U3724" s="260"/>
      <c r="V3724" s="260"/>
      <c r="W3724" s="260"/>
      <c r="X3724" s="260"/>
      <c r="Y3724" s="260"/>
      <c r="Z3724" s="260"/>
      <c r="AA3724" s="260"/>
      <c r="AB3724" s="260"/>
      <c r="AC3724" s="260"/>
      <c r="AD3724"/>
      <c r="AE3724"/>
      <c r="AF3724"/>
      <c r="AG3724"/>
    </row>
    <row r="3725" spans="13:33" ht="12" hidden="1" customHeight="1">
      <c r="M3725"/>
      <c r="N3725" s="239"/>
      <c r="O3725" s="225"/>
      <c r="P3725" s="260"/>
      <c r="Q3725" s="258"/>
      <c r="R3725" s="260"/>
      <c r="S3725" s="260"/>
      <c r="T3725" s="260"/>
      <c r="U3725" s="260"/>
      <c r="V3725" s="260"/>
      <c r="W3725" s="260"/>
      <c r="X3725" s="260"/>
      <c r="Y3725" s="260"/>
      <c r="Z3725" s="260"/>
      <c r="AA3725" s="260"/>
      <c r="AB3725" s="260"/>
      <c r="AC3725" s="260"/>
      <c r="AD3725"/>
      <c r="AE3725"/>
      <c r="AF3725"/>
      <c r="AG3725"/>
    </row>
    <row r="3726" spans="13:33" ht="12" hidden="1" customHeight="1">
      <c r="M3726"/>
      <c r="N3726" s="239"/>
      <c r="O3726" s="225"/>
      <c r="P3726" s="260"/>
      <c r="Q3726" s="258"/>
      <c r="R3726" s="260"/>
      <c r="S3726" s="260"/>
      <c r="T3726" s="260"/>
      <c r="U3726" s="260"/>
      <c r="V3726" s="260"/>
      <c r="W3726" s="260"/>
      <c r="X3726" s="260"/>
      <c r="Y3726" s="260"/>
      <c r="Z3726" s="260"/>
      <c r="AA3726" s="260"/>
      <c r="AB3726" s="260"/>
      <c r="AC3726" s="260"/>
      <c r="AD3726"/>
      <c r="AE3726"/>
      <c r="AF3726"/>
      <c r="AG3726"/>
    </row>
    <row r="3727" spans="13:33" ht="12" hidden="1" customHeight="1">
      <c r="M3727"/>
      <c r="N3727" s="239"/>
      <c r="O3727" s="225"/>
      <c r="P3727" s="260"/>
      <c r="Q3727" s="258"/>
      <c r="R3727" s="260"/>
      <c r="S3727" s="260"/>
      <c r="T3727" s="260"/>
      <c r="U3727" s="260"/>
      <c r="V3727" s="260"/>
      <c r="W3727" s="260"/>
      <c r="X3727" s="260"/>
      <c r="Y3727" s="260"/>
      <c r="Z3727" s="260"/>
      <c r="AA3727" s="260"/>
      <c r="AB3727" s="260"/>
      <c r="AC3727" s="260"/>
      <c r="AD3727"/>
      <c r="AE3727"/>
      <c r="AF3727"/>
      <c r="AG3727"/>
    </row>
    <row r="3728" spans="13:33" ht="12" hidden="1" customHeight="1">
      <c r="M3728"/>
      <c r="N3728" s="239"/>
      <c r="O3728" s="225"/>
      <c r="P3728" s="260"/>
      <c r="Q3728" s="258"/>
      <c r="R3728" s="260"/>
      <c r="S3728" s="260"/>
      <c r="T3728" s="260"/>
      <c r="U3728" s="260"/>
      <c r="V3728" s="260"/>
      <c r="W3728" s="260"/>
      <c r="X3728" s="260"/>
      <c r="Y3728" s="260"/>
      <c r="Z3728" s="260"/>
      <c r="AA3728" s="260"/>
      <c r="AB3728" s="260"/>
      <c r="AC3728" s="260"/>
      <c r="AD3728"/>
      <c r="AE3728"/>
      <c r="AF3728"/>
      <c r="AG3728"/>
    </row>
    <row r="3729" spans="13:33" ht="12" hidden="1" customHeight="1">
      <c r="M3729"/>
      <c r="N3729" s="239"/>
      <c r="O3729" s="225"/>
      <c r="P3729" s="260"/>
      <c r="Q3729" s="258"/>
      <c r="R3729" s="260"/>
      <c r="S3729" s="260"/>
      <c r="T3729" s="260"/>
      <c r="U3729" s="260"/>
      <c r="V3729" s="260"/>
      <c r="W3729" s="260"/>
      <c r="X3729" s="260"/>
      <c r="Y3729" s="260"/>
      <c r="Z3729" s="260"/>
      <c r="AA3729" s="260"/>
      <c r="AB3729" s="260"/>
      <c r="AC3729" s="260"/>
      <c r="AD3729"/>
      <c r="AE3729"/>
      <c r="AF3729"/>
      <c r="AG3729"/>
    </row>
    <row r="3730" spans="13:33" ht="12" hidden="1" customHeight="1">
      <c r="M3730"/>
      <c r="N3730" s="239"/>
      <c r="O3730" s="225"/>
      <c r="P3730" s="260"/>
      <c r="Q3730" s="258"/>
      <c r="R3730" s="260"/>
      <c r="S3730" s="260"/>
      <c r="T3730" s="260"/>
      <c r="U3730" s="260"/>
      <c r="V3730" s="260"/>
      <c r="W3730" s="260"/>
      <c r="X3730" s="260"/>
      <c r="Y3730" s="260"/>
      <c r="Z3730" s="260"/>
      <c r="AA3730" s="260"/>
      <c r="AB3730" s="260"/>
      <c r="AC3730" s="260"/>
      <c r="AD3730"/>
      <c r="AE3730"/>
      <c r="AF3730"/>
      <c r="AG3730"/>
    </row>
    <row r="3731" spans="13:33" ht="12" hidden="1" customHeight="1">
      <c r="M3731"/>
      <c r="N3731" s="239"/>
      <c r="O3731" s="225"/>
      <c r="P3731" s="260"/>
      <c r="Q3731" s="258"/>
      <c r="R3731" s="260"/>
      <c r="S3731" s="260"/>
      <c r="T3731" s="260"/>
      <c r="U3731" s="260"/>
      <c r="V3731" s="260"/>
      <c r="W3731" s="260"/>
      <c r="X3731" s="260"/>
      <c r="Y3731" s="260"/>
      <c r="Z3731" s="260"/>
      <c r="AA3731" s="260"/>
      <c r="AB3731" s="260"/>
      <c r="AC3731" s="260"/>
      <c r="AD3731"/>
      <c r="AE3731"/>
      <c r="AF3731"/>
      <c r="AG3731"/>
    </row>
    <row r="3732" spans="13:33" ht="12" hidden="1" customHeight="1">
      <c r="M3732"/>
      <c r="N3732" s="239"/>
      <c r="O3732" s="225"/>
      <c r="P3732" s="260"/>
      <c r="Q3732" s="258"/>
      <c r="R3732" s="260"/>
      <c r="S3732" s="260"/>
      <c r="T3732" s="260"/>
      <c r="U3732" s="260"/>
      <c r="V3732" s="260"/>
      <c r="W3732" s="260"/>
      <c r="X3732" s="260"/>
      <c r="Y3732" s="260"/>
      <c r="Z3732" s="260"/>
      <c r="AA3732" s="260"/>
      <c r="AB3732" s="260"/>
      <c r="AC3732" s="260"/>
      <c r="AD3732"/>
      <c r="AE3732"/>
      <c r="AF3732"/>
      <c r="AG3732"/>
    </row>
    <row r="3733" spans="13:33" ht="12" hidden="1" customHeight="1">
      <c r="M3733"/>
      <c r="N3733" s="239"/>
      <c r="O3733" s="225"/>
      <c r="P3733" s="260"/>
      <c r="Q3733" s="258"/>
      <c r="R3733" s="260"/>
      <c r="S3733" s="260"/>
      <c r="T3733" s="260"/>
      <c r="U3733" s="260"/>
      <c r="V3733" s="260"/>
      <c r="W3733" s="260"/>
      <c r="X3733" s="260"/>
      <c r="Y3733" s="260"/>
      <c r="Z3733" s="260"/>
      <c r="AA3733" s="260"/>
      <c r="AB3733" s="260"/>
      <c r="AC3733" s="260"/>
      <c r="AD3733"/>
      <c r="AE3733"/>
      <c r="AF3733"/>
      <c r="AG3733"/>
    </row>
    <row r="3734" spans="13:33" ht="12" hidden="1" customHeight="1">
      <c r="M3734"/>
      <c r="N3734" s="239"/>
      <c r="O3734" s="225"/>
      <c r="P3734" s="260"/>
      <c r="Q3734" s="258"/>
      <c r="R3734" s="260"/>
      <c r="S3734" s="260"/>
      <c r="T3734" s="260"/>
      <c r="U3734" s="260"/>
      <c r="V3734" s="260"/>
      <c r="W3734" s="260"/>
      <c r="X3734" s="260"/>
      <c r="Y3734" s="260"/>
      <c r="Z3734" s="260"/>
      <c r="AA3734" s="260"/>
      <c r="AB3734" s="260"/>
      <c r="AC3734" s="260"/>
      <c r="AD3734"/>
      <c r="AE3734"/>
      <c r="AF3734"/>
      <c r="AG3734"/>
    </row>
    <row r="3735" spans="13:33" ht="12" hidden="1" customHeight="1">
      <c r="M3735"/>
      <c r="N3735" s="239"/>
      <c r="O3735" s="225"/>
      <c r="P3735" s="260"/>
      <c r="Q3735" s="258"/>
      <c r="R3735" s="260"/>
      <c r="S3735" s="260"/>
      <c r="T3735" s="260"/>
      <c r="U3735" s="260"/>
      <c r="V3735" s="260"/>
      <c r="W3735" s="260"/>
      <c r="X3735" s="260"/>
      <c r="Y3735" s="260"/>
      <c r="Z3735" s="260"/>
      <c r="AA3735" s="260"/>
      <c r="AB3735" s="260"/>
      <c r="AC3735" s="260"/>
      <c r="AD3735"/>
      <c r="AE3735"/>
      <c r="AF3735"/>
      <c r="AG3735"/>
    </row>
    <row r="3736" spans="13:33" ht="12" hidden="1" customHeight="1">
      <c r="M3736"/>
      <c r="N3736" s="239"/>
      <c r="O3736" s="225"/>
      <c r="P3736" s="260"/>
      <c r="Q3736" s="258"/>
      <c r="R3736" s="260"/>
      <c r="S3736" s="260"/>
      <c r="T3736" s="260"/>
      <c r="U3736" s="260"/>
      <c r="V3736" s="260"/>
      <c r="W3736" s="260"/>
      <c r="X3736" s="260"/>
      <c r="Y3736" s="260"/>
      <c r="Z3736" s="260"/>
      <c r="AA3736" s="260"/>
      <c r="AB3736" s="260"/>
      <c r="AC3736" s="260"/>
      <c r="AD3736"/>
      <c r="AE3736"/>
      <c r="AF3736"/>
      <c r="AG3736"/>
    </row>
    <row r="3737" spans="13:33" ht="12" hidden="1" customHeight="1">
      <c r="M3737"/>
      <c r="N3737" s="239"/>
      <c r="O3737" s="225"/>
      <c r="P3737" s="260"/>
      <c r="Q3737" s="258"/>
      <c r="R3737" s="260"/>
      <c r="S3737" s="260"/>
      <c r="T3737" s="260"/>
      <c r="U3737" s="260"/>
      <c r="V3737" s="260"/>
      <c r="W3737" s="260"/>
      <c r="X3737" s="260"/>
      <c r="Y3737" s="260"/>
      <c r="Z3737" s="260"/>
      <c r="AA3737" s="260"/>
      <c r="AB3737" s="260"/>
      <c r="AC3737" s="260"/>
      <c r="AD3737"/>
      <c r="AE3737"/>
      <c r="AF3737"/>
      <c r="AG3737"/>
    </row>
    <row r="3738" spans="13:33" ht="12" hidden="1" customHeight="1">
      <c r="M3738"/>
      <c r="N3738" s="239"/>
      <c r="O3738" s="225"/>
      <c r="P3738" s="260"/>
      <c r="Q3738" s="258"/>
      <c r="R3738" s="260"/>
      <c r="S3738" s="260"/>
      <c r="T3738" s="260"/>
      <c r="U3738" s="260"/>
      <c r="V3738" s="260"/>
      <c r="W3738" s="260"/>
      <c r="X3738" s="260"/>
      <c r="Y3738" s="260"/>
      <c r="Z3738" s="260"/>
      <c r="AA3738" s="260"/>
      <c r="AB3738" s="260"/>
      <c r="AC3738" s="260"/>
      <c r="AD3738"/>
      <c r="AE3738"/>
      <c r="AF3738"/>
      <c r="AG3738"/>
    </row>
    <row r="3739" spans="13:33" ht="12" hidden="1" customHeight="1">
      <c r="M3739"/>
      <c r="N3739" s="239"/>
      <c r="O3739" s="225"/>
      <c r="P3739" s="260"/>
      <c r="Q3739" s="258"/>
      <c r="R3739" s="260"/>
      <c r="S3739" s="260"/>
      <c r="T3739" s="260"/>
      <c r="U3739" s="260"/>
      <c r="V3739" s="260"/>
      <c r="W3739" s="260"/>
      <c r="X3739" s="260"/>
      <c r="Y3739" s="260"/>
      <c r="Z3739" s="260"/>
      <c r="AA3739" s="260"/>
      <c r="AB3739" s="260"/>
      <c r="AC3739" s="260"/>
      <c r="AD3739"/>
      <c r="AE3739"/>
      <c r="AF3739"/>
      <c r="AG3739"/>
    </row>
    <row r="3740" spans="13:33" ht="12" hidden="1" customHeight="1">
      <c r="M3740"/>
      <c r="N3740" s="239"/>
      <c r="O3740" s="225"/>
      <c r="P3740" s="260"/>
      <c r="Q3740" s="258"/>
      <c r="R3740" s="260"/>
      <c r="S3740" s="260"/>
      <c r="T3740" s="260"/>
      <c r="U3740" s="260"/>
      <c r="V3740" s="260"/>
      <c r="W3740" s="260"/>
      <c r="X3740" s="260"/>
      <c r="Y3740" s="260"/>
      <c r="Z3740" s="260"/>
      <c r="AA3740" s="260"/>
      <c r="AB3740" s="260"/>
      <c r="AC3740" s="260"/>
      <c r="AD3740"/>
      <c r="AE3740"/>
      <c r="AF3740"/>
      <c r="AG3740"/>
    </row>
    <row r="3741" spans="13:33" ht="12" hidden="1" customHeight="1">
      <c r="M3741"/>
      <c r="N3741" s="239"/>
      <c r="O3741" s="225"/>
      <c r="P3741" s="260"/>
      <c r="Q3741" s="258"/>
      <c r="R3741" s="260"/>
      <c r="S3741" s="260"/>
      <c r="T3741" s="260"/>
      <c r="U3741" s="260"/>
      <c r="V3741" s="260"/>
      <c r="W3741" s="260"/>
      <c r="X3741" s="260"/>
      <c r="Y3741" s="260"/>
      <c r="Z3741" s="260"/>
      <c r="AA3741" s="260"/>
      <c r="AB3741" s="260"/>
      <c r="AC3741" s="260"/>
      <c r="AD3741"/>
      <c r="AE3741"/>
      <c r="AF3741"/>
      <c r="AG3741"/>
    </row>
    <row r="3742" spans="13:33" ht="12" hidden="1" customHeight="1">
      <c r="M3742"/>
      <c r="N3742" s="239"/>
      <c r="O3742" s="225"/>
      <c r="P3742" s="260"/>
      <c r="Q3742" s="258"/>
      <c r="R3742" s="260"/>
      <c r="S3742" s="260"/>
      <c r="T3742" s="260"/>
      <c r="U3742" s="260"/>
      <c r="V3742" s="260"/>
      <c r="W3742" s="260"/>
      <c r="X3742" s="260"/>
      <c r="Y3742" s="260"/>
      <c r="Z3742" s="260"/>
      <c r="AA3742" s="260"/>
      <c r="AB3742" s="260"/>
      <c r="AC3742" s="260"/>
      <c r="AD3742"/>
      <c r="AE3742"/>
      <c r="AF3742"/>
      <c r="AG3742"/>
    </row>
    <row r="3743" spans="13:33" ht="12" hidden="1" customHeight="1">
      <c r="M3743"/>
      <c r="N3743" s="239"/>
      <c r="O3743" s="225"/>
      <c r="P3743" s="260"/>
      <c r="Q3743" s="258"/>
      <c r="R3743" s="260"/>
      <c r="S3743" s="260"/>
      <c r="T3743" s="260"/>
      <c r="U3743" s="260"/>
      <c r="V3743" s="260"/>
      <c r="W3743" s="260"/>
      <c r="X3743" s="260"/>
      <c r="Y3743" s="260"/>
      <c r="Z3743" s="260"/>
      <c r="AA3743" s="260"/>
      <c r="AB3743" s="260"/>
      <c r="AC3743" s="260"/>
      <c r="AD3743"/>
      <c r="AE3743"/>
      <c r="AF3743"/>
      <c r="AG3743"/>
    </row>
    <row r="3744" spans="13:33" ht="12" hidden="1" customHeight="1">
      <c r="M3744"/>
      <c r="N3744" s="239"/>
      <c r="O3744" s="225"/>
      <c r="P3744" s="260"/>
      <c r="Q3744" s="258"/>
      <c r="R3744" s="260"/>
      <c r="S3744" s="260"/>
      <c r="T3744" s="260"/>
      <c r="U3744" s="260"/>
      <c r="V3744" s="260"/>
      <c r="W3744" s="260"/>
      <c r="X3744" s="260"/>
      <c r="Y3744" s="260"/>
      <c r="Z3744" s="260"/>
      <c r="AA3744" s="260"/>
      <c r="AB3744" s="260"/>
      <c r="AC3744" s="260"/>
      <c r="AD3744"/>
      <c r="AE3744"/>
      <c r="AF3744"/>
      <c r="AG3744"/>
    </row>
    <row r="3745" spans="13:33" ht="12" hidden="1" customHeight="1">
      <c r="M3745"/>
      <c r="N3745" s="239"/>
      <c r="O3745" s="225"/>
      <c r="P3745" s="260"/>
      <c r="Q3745" s="258"/>
      <c r="R3745" s="260"/>
      <c r="S3745" s="260"/>
      <c r="T3745" s="260"/>
      <c r="U3745" s="260"/>
      <c r="V3745" s="260"/>
      <c r="W3745" s="260"/>
      <c r="X3745" s="260"/>
      <c r="Y3745" s="260"/>
      <c r="Z3745" s="260"/>
      <c r="AA3745" s="260"/>
      <c r="AB3745" s="260"/>
      <c r="AC3745" s="260"/>
      <c r="AD3745"/>
      <c r="AE3745"/>
      <c r="AF3745"/>
      <c r="AG3745"/>
    </row>
    <row r="3746" spans="13:33" ht="12" hidden="1" customHeight="1">
      <c r="M3746"/>
      <c r="N3746" s="239"/>
      <c r="O3746" s="225"/>
      <c r="P3746" s="260"/>
      <c r="Q3746" s="258"/>
      <c r="R3746" s="260"/>
      <c r="S3746" s="260"/>
      <c r="T3746" s="260"/>
      <c r="U3746" s="260"/>
      <c r="V3746" s="260"/>
      <c r="W3746" s="260"/>
      <c r="X3746" s="260"/>
      <c r="Y3746" s="260"/>
      <c r="Z3746" s="260"/>
      <c r="AA3746" s="260"/>
      <c r="AB3746" s="260"/>
      <c r="AC3746" s="260"/>
      <c r="AD3746"/>
      <c r="AE3746"/>
      <c r="AF3746"/>
      <c r="AG3746"/>
    </row>
    <row r="3747" spans="13:33" ht="12" hidden="1" customHeight="1">
      <c r="M3747"/>
      <c r="N3747" s="239"/>
      <c r="O3747" s="225"/>
      <c r="P3747" s="260"/>
      <c r="Q3747" s="258"/>
      <c r="R3747" s="260"/>
      <c r="S3747" s="260"/>
      <c r="T3747" s="260"/>
      <c r="U3747" s="260"/>
      <c r="V3747" s="260"/>
      <c r="W3747" s="260"/>
      <c r="X3747" s="260"/>
      <c r="Y3747" s="260"/>
      <c r="Z3747" s="260"/>
      <c r="AA3747" s="260"/>
      <c r="AB3747" s="260"/>
      <c r="AC3747" s="260"/>
      <c r="AD3747"/>
      <c r="AE3747"/>
      <c r="AF3747"/>
      <c r="AG3747"/>
    </row>
    <row r="3748" spans="13:33" ht="12" hidden="1" customHeight="1">
      <c r="M3748"/>
      <c r="N3748" s="239"/>
      <c r="O3748" s="225"/>
      <c r="P3748" s="260"/>
      <c r="Q3748" s="258"/>
      <c r="R3748" s="260"/>
      <c r="S3748" s="260"/>
      <c r="T3748" s="260"/>
      <c r="U3748" s="260"/>
      <c r="V3748" s="260"/>
      <c r="W3748" s="260"/>
      <c r="X3748" s="260"/>
      <c r="Y3748" s="260"/>
      <c r="Z3748" s="260"/>
      <c r="AA3748" s="260"/>
      <c r="AB3748" s="260"/>
      <c r="AC3748" s="260"/>
      <c r="AD3748"/>
      <c r="AE3748"/>
      <c r="AF3748"/>
      <c r="AG3748"/>
    </row>
    <row r="3749" spans="13:33" ht="12" hidden="1" customHeight="1">
      <c r="M3749"/>
      <c r="N3749" s="239"/>
      <c r="O3749" s="225"/>
      <c r="P3749" s="260"/>
      <c r="Q3749" s="258"/>
      <c r="R3749" s="260"/>
      <c r="S3749" s="260"/>
      <c r="T3749" s="260"/>
      <c r="U3749" s="260"/>
      <c r="V3749" s="260"/>
      <c r="W3749" s="260"/>
      <c r="X3749" s="260"/>
      <c r="Y3749" s="260"/>
      <c r="Z3749" s="260"/>
      <c r="AA3749" s="260"/>
      <c r="AB3749" s="260"/>
      <c r="AC3749" s="260"/>
      <c r="AD3749"/>
      <c r="AE3749"/>
      <c r="AF3749"/>
      <c r="AG3749"/>
    </row>
    <row r="3750" spans="13:33" ht="12" hidden="1" customHeight="1">
      <c r="M3750"/>
      <c r="N3750" s="239"/>
      <c r="O3750" s="225"/>
      <c r="P3750" s="260"/>
      <c r="Q3750" s="258"/>
      <c r="R3750" s="260"/>
      <c r="S3750" s="260"/>
      <c r="T3750" s="260"/>
      <c r="U3750" s="260"/>
      <c r="V3750" s="260"/>
      <c r="W3750" s="260"/>
      <c r="X3750" s="260"/>
      <c r="Y3750" s="260"/>
      <c r="Z3750" s="260"/>
      <c r="AA3750" s="260"/>
      <c r="AB3750" s="260"/>
      <c r="AC3750" s="260"/>
      <c r="AD3750"/>
      <c r="AE3750"/>
      <c r="AF3750"/>
      <c r="AG3750"/>
    </row>
    <row r="3751" spans="13:33" ht="12" hidden="1" customHeight="1">
      <c r="M3751"/>
      <c r="N3751" s="239"/>
      <c r="O3751" s="225"/>
      <c r="P3751" s="260"/>
      <c r="Q3751" s="258"/>
      <c r="R3751" s="260"/>
      <c r="S3751" s="260"/>
      <c r="T3751" s="260"/>
      <c r="U3751" s="260"/>
      <c r="V3751" s="260"/>
      <c r="W3751" s="260"/>
      <c r="X3751" s="260"/>
      <c r="Y3751" s="260"/>
      <c r="Z3751" s="260"/>
      <c r="AA3751" s="260"/>
      <c r="AB3751" s="260"/>
      <c r="AC3751" s="260"/>
      <c r="AD3751"/>
      <c r="AE3751"/>
      <c r="AF3751"/>
      <c r="AG3751"/>
    </row>
    <row r="3752" spans="13:33" ht="12" hidden="1" customHeight="1">
      <c r="M3752"/>
      <c r="N3752" s="239"/>
      <c r="O3752" s="225"/>
      <c r="P3752" s="260"/>
      <c r="Q3752" s="258"/>
      <c r="R3752" s="260"/>
      <c r="S3752" s="260"/>
      <c r="T3752" s="260"/>
      <c r="U3752" s="260"/>
      <c r="V3752" s="260"/>
      <c r="W3752" s="260"/>
      <c r="X3752" s="260"/>
      <c r="Y3752" s="260"/>
      <c r="Z3752" s="260"/>
      <c r="AA3752" s="260"/>
      <c r="AB3752" s="260"/>
      <c r="AC3752" s="260"/>
      <c r="AD3752"/>
      <c r="AE3752"/>
      <c r="AF3752"/>
      <c r="AG3752"/>
    </row>
    <row r="3753" spans="13:33" ht="12" hidden="1" customHeight="1">
      <c r="M3753"/>
      <c r="N3753" s="239"/>
      <c r="O3753" s="225"/>
      <c r="P3753" s="260"/>
      <c r="Q3753" s="258"/>
      <c r="R3753" s="260"/>
      <c r="S3753" s="260"/>
      <c r="T3753" s="260"/>
      <c r="U3753" s="260"/>
      <c r="V3753" s="260"/>
      <c r="W3753" s="260"/>
      <c r="X3753" s="260"/>
      <c r="Y3753" s="260"/>
      <c r="Z3753" s="260"/>
      <c r="AA3753" s="260"/>
      <c r="AB3753" s="260"/>
      <c r="AC3753" s="260"/>
      <c r="AD3753"/>
      <c r="AE3753"/>
      <c r="AF3753"/>
      <c r="AG3753"/>
    </row>
    <row r="3754" spans="13:33" ht="12" hidden="1" customHeight="1">
      <c r="M3754"/>
      <c r="N3754" s="239"/>
      <c r="O3754" s="225"/>
      <c r="P3754" s="260"/>
      <c r="Q3754" s="258"/>
      <c r="R3754" s="260"/>
      <c r="S3754" s="260"/>
      <c r="T3754" s="260"/>
      <c r="U3754" s="260"/>
      <c r="V3754" s="260"/>
      <c r="W3754" s="260"/>
      <c r="X3754" s="260"/>
      <c r="Y3754" s="260"/>
      <c r="Z3754" s="260"/>
      <c r="AA3754" s="260"/>
      <c r="AB3754" s="260"/>
      <c r="AC3754" s="260"/>
      <c r="AD3754"/>
      <c r="AE3754"/>
      <c r="AF3754"/>
      <c r="AG3754"/>
    </row>
    <row r="3755" spans="13:33" ht="12" hidden="1" customHeight="1">
      <c r="M3755"/>
      <c r="N3755" s="239"/>
      <c r="O3755" s="225"/>
      <c r="P3755" s="260"/>
      <c r="Q3755" s="258"/>
      <c r="R3755" s="260"/>
      <c r="S3755" s="260"/>
      <c r="T3755" s="260"/>
      <c r="U3755" s="260"/>
      <c r="V3755" s="260"/>
      <c r="W3755" s="260"/>
      <c r="X3755" s="260"/>
      <c r="Y3755" s="260"/>
      <c r="Z3755" s="260"/>
      <c r="AA3755" s="260"/>
      <c r="AB3755" s="260"/>
      <c r="AC3755" s="260"/>
      <c r="AD3755"/>
      <c r="AE3755"/>
      <c r="AF3755"/>
      <c r="AG3755"/>
    </row>
    <row r="3756" spans="13:33" ht="12" hidden="1" customHeight="1">
      <c r="M3756"/>
      <c r="N3756" s="239"/>
      <c r="O3756" s="225"/>
      <c r="P3756" s="260"/>
      <c r="Q3756" s="258"/>
      <c r="R3756" s="260"/>
      <c r="S3756" s="260"/>
      <c r="T3756" s="260"/>
      <c r="U3756" s="260"/>
      <c r="V3756" s="260"/>
      <c r="W3756" s="260"/>
      <c r="X3756" s="260"/>
      <c r="Y3756" s="260"/>
      <c r="Z3756" s="260"/>
      <c r="AA3756" s="260"/>
      <c r="AB3756" s="260"/>
      <c r="AC3756" s="260"/>
      <c r="AD3756"/>
      <c r="AE3756"/>
      <c r="AF3756"/>
      <c r="AG3756"/>
    </row>
    <row r="3757" spans="13:33" ht="12" hidden="1" customHeight="1">
      <c r="M3757"/>
      <c r="N3757" s="239"/>
      <c r="O3757" s="225"/>
      <c r="P3757" s="260"/>
      <c r="Q3757" s="258"/>
      <c r="R3757" s="260"/>
      <c r="S3757" s="260"/>
      <c r="T3757" s="260"/>
      <c r="U3757" s="260"/>
      <c r="V3757" s="260"/>
      <c r="W3757" s="260"/>
      <c r="X3757" s="260"/>
      <c r="Y3757" s="260"/>
      <c r="Z3757" s="260"/>
      <c r="AA3757" s="260"/>
      <c r="AB3757" s="260"/>
      <c r="AC3757" s="260"/>
      <c r="AD3757"/>
      <c r="AE3757"/>
      <c r="AF3757"/>
      <c r="AG3757"/>
    </row>
    <row r="3758" spans="13:33" ht="12" hidden="1" customHeight="1">
      <c r="M3758"/>
      <c r="N3758" s="239"/>
      <c r="O3758" s="225"/>
      <c r="P3758" s="260"/>
      <c r="Q3758" s="258"/>
      <c r="R3758" s="260"/>
      <c r="S3758" s="260"/>
      <c r="T3758" s="260"/>
      <c r="U3758" s="260"/>
      <c r="V3758" s="260"/>
      <c r="W3758" s="260"/>
      <c r="X3758" s="260"/>
      <c r="Y3758" s="260"/>
      <c r="Z3758" s="260"/>
      <c r="AA3758" s="260"/>
      <c r="AB3758" s="260"/>
      <c r="AC3758" s="260"/>
      <c r="AD3758"/>
      <c r="AE3758"/>
      <c r="AF3758"/>
      <c r="AG3758"/>
    </row>
    <row r="3759" spans="13:33" ht="12" hidden="1" customHeight="1">
      <c r="M3759"/>
      <c r="N3759" s="239"/>
      <c r="O3759" s="225"/>
      <c r="P3759" s="260"/>
      <c r="Q3759" s="258"/>
      <c r="R3759" s="260"/>
      <c r="S3759" s="260"/>
      <c r="T3759" s="260"/>
      <c r="U3759" s="260"/>
      <c r="V3759" s="260"/>
      <c r="W3759" s="260"/>
      <c r="X3759" s="260"/>
      <c r="Y3759" s="260"/>
      <c r="Z3759" s="260"/>
      <c r="AA3759" s="260"/>
      <c r="AB3759" s="260"/>
      <c r="AC3759" s="260"/>
      <c r="AD3759"/>
      <c r="AE3759"/>
      <c r="AF3759"/>
      <c r="AG3759"/>
    </row>
    <row r="3760" spans="13:33" ht="12" hidden="1" customHeight="1">
      <c r="M3760"/>
      <c r="N3760" s="239"/>
      <c r="O3760" s="225"/>
      <c r="P3760" s="260"/>
      <c r="Q3760" s="258"/>
      <c r="R3760" s="260"/>
      <c r="S3760" s="260"/>
      <c r="T3760" s="260"/>
      <c r="U3760" s="260"/>
      <c r="V3760" s="260"/>
      <c r="W3760" s="260"/>
      <c r="X3760" s="260"/>
      <c r="Y3760" s="260"/>
      <c r="Z3760" s="260"/>
      <c r="AA3760" s="260"/>
      <c r="AB3760" s="260"/>
      <c r="AC3760" s="260"/>
      <c r="AD3760"/>
      <c r="AE3760"/>
      <c r="AF3760"/>
      <c r="AG3760"/>
    </row>
    <row r="3761" spans="13:33" ht="12" hidden="1" customHeight="1">
      <c r="M3761"/>
      <c r="N3761" s="239"/>
      <c r="O3761" s="225"/>
      <c r="P3761" s="260"/>
      <c r="Q3761" s="258"/>
      <c r="R3761" s="260"/>
      <c r="S3761" s="260"/>
      <c r="T3761" s="260"/>
      <c r="U3761" s="260"/>
      <c r="V3761" s="260"/>
      <c r="W3761" s="260"/>
      <c r="X3761" s="260"/>
      <c r="Y3761" s="260"/>
      <c r="Z3761" s="260"/>
      <c r="AA3761" s="260"/>
      <c r="AB3761" s="260"/>
      <c r="AC3761" s="260"/>
      <c r="AD3761"/>
      <c r="AE3761"/>
      <c r="AF3761"/>
      <c r="AG3761"/>
    </row>
    <row r="3762" spans="13:33" ht="12" hidden="1" customHeight="1">
      <c r="M3762"/>
      <c r="N3762" s="239"/>
      <c r="O3762" s="225"/>
      <c r="P3762" s="260"/>
      <c r="Q3762" s="258"/>
      <c r="R3762" s="260"/>
      <c r="S3762" s="260"/>
      <c r="T3762" s="260"/>
      <c r="U3762" s="260"/>
      <c r="V3762" s="260"/>
      <c r="W3762" s="260"/>
      <c r="X3762" s="260"/>
      <c r="Y3762" s="260"/>
      <c r="Z3762" s="260"/>
      <c r="AA3762" s="260"/>
      <c r="AB3762" s="260"/>
      <c r="AC3762" s="260"/>
      <c r="AD3762"/>
      <c r="AE3762"/>
      <c r="AF3762"/>
      <c r="AG3762"/>
    </row>
    <row r="3763" spans="13:33" ht="12" hidden="1" customHeight="1">
      <c r="M3763"/>
      <c r="N3763" s="239"/>
      <c r="O3763" s="225"/>
      <c r="P3763" s="260"/>
      <c r="Q3763" s="258"/>
      <c r="R3763" s="260"/>
      <c r="S3763" s="260"/>
      <c r="T3763" s="260"/>
      <c r="U3763" s="260"/>
      <c r="V3763" s="260"/>
      <c r="W3763" s="260"/>
      <c r="X3763" s="260"/>
      <c r="Y3763" s="260"/>
      <c r="Z3763" s="260"/>
      <c r="AA3763" s="260"/>
      <c r="AB3763" s="260"/>
      <c r="AC3763" s="260"/>
      <c r="AD3763"/>
      <c r="AE3763"/>
      <c r="AF3763"/>
      <c r="AG3763"/>
    </row>
    <row r="3764" spans="13:33" ht="12" hidden="1" customHeight="1">
      <c r="M3764"/>
      <c r="N3764" s="239"/>
      <c r="O3764" s="225"/>
      <c r="P3764" s="260"/>
      <c r="Q3764" s="258"/>
      <c r="R3764" s="260"/>
      <c r="S3764" s="260"/>
      <c r="T3764" s="260"/>
      <c r="U3764" s="260"/>
      <c r="V3764" s="260"/>
      <c r="W3764" s="260"/>
      <c r="X3764" s="260"/>
      <c r="Y3764" s="260"/>
      <c r="Z3764" s="260"/>
      <c r="AA3764" s="260"/>
      <c r="AB3764" s="260"/>
      <c r="AC3764" s="260"/>
      <c r="AD3764"/>
      <c r="AE3764"/>
      <c r="AF3764"/>
      <c r="AG3764"/>
    </row>
    <row r="3765" spans="13:33" ht="12" hidden="1" customHeight="1">
      <c r="M3765"/>
      <c r="N3765" s="239"/>
      <c r="O3765" s="225"/>
      <c r="P3765" s="260"/>
      <c r="Q3765" s="258"/>
      <c r="R3765" s="260"/>
      <c r="S3765" s="260"/>
      <c r="T3765" s="260"/>
      <c r="U3765" s="260"/>
      <c r="V3765" s="260"/>
      <c r="W3765" s="260"/>
      <c r="X3765" s="260"/>
      <c r="Y3765" s="260"/>
      <c r="Z3765" s="260"/>
      <c r="AA3765" s="260"/>
      <c r="AB3765" s="260"/>
      <c r="AC3765" s="260"/>
      <c r="AD3765"/>
      <c r="AE3765"/>
      <c r="AF3765"/>
      <c r="AG3765"/>
    </row>
    <row r="3766" spans="13:33" ht="12" hidden="1" customHeight="1">
      <c r="M3766"/>
      <c r="N3766" s="239"/>
      <c r="O3766" s="225"/>
      <c r="P3766" s="260"/>
      <c r="Q3766" s="258"/>
      <c r="R3766" s="260"/>
      <c r="S3766" s="260"/>
      <c r="T3766" s="260"/>
      <c r="U3766" s="260"/>
      <c r="V3766" s="260"/>
      <c r="W3766" s="260"/>
      <c r="X3766" s="260"/>
      <c r="Y3766" s="260"/>
      <c r="Z3766" s="260"/>
      <c r="AA3766" s="260"/>
      <c r="AB3766" s="260"/>
      <c r="AC3766" s="260"/>
      <c r="AD3766"/>
      <c r="AE3766"/>
      <c r="AF3766"/>
      <c r="AG3766"/>
    </row>
    <row r="3767" spans="13:33" ht="12" hidden="1" customHeight="1">
      <c r="M3767"/>
      <c r="N3767" s="239"/>
      <c r="O3767" s="225"/>
      <c r="P3767" s="260"/>
      <c r="Q3767" s="258"/>
      <c r="R3767" s="260"/>
      <c r="S3767" s="260"/>
      <c r="T3767" s="260"/>
      <c r="U3767" s="260"/>
      <c r="V3767" s="260"/>
      <c r="W3767" s="260"/>
      <c r="X3767" s="260"/>
      <c r="Y3767" s="260"/>
      <c r="Z3767" s="260"/>
      <c r="AA3767" s="260"/>
      <c r="AB3767" s="260"/>
      <c r="AC3767" s="260"/>
      <c r="AD3767"/>
      <c r="AE3767"/>
      <c r="AF3767"/>
      <c r="AG3767"/>
    </row>
    <row r="3768" spans="13:33" ht="12" hidden="1" customHeight="1">
      <c r="M3768"/>
      <c r="N3768" s="239"/>
      <c r="O3768" s="225"/>
      <c r="P3768" s="260"/>
      <c r="Q3768" s="258"/>
      <c r="R3768" s="260"/>
      <c r="S3768" s="260"/>
      <c r="T3768" s="260"/>
      <c r="U3768" s="260"/>
      <c r="V3768" s="260"/>
      <c r="W3768" s="260"/>
      <c r="X3768" s="260"/>
      <c r="Y3768" s="260"/>
      <c r="Z3768" s="260"/>
      <c r="AA3768" s="260"/>
      <c r="AB3768" s="260"/>
      <c r="AC3768" s="260"/>
      <c r="AD3768"/>
      <c r="AE3768"/>
      <c r="AF3768"/>
      <c r="AG3768"/>
    </row>
    <row r="3769" spans="13:33" ht="12" hidden="1" customHeight="1">
      <c r="M3769"/>
      <c r="N3769" s="239"/>
      <c r="O3769" s="225"/>
      <c r="P3769" s="260"/>
      <c r="Q3769" s="258"/>
      <c r="R3769" s="260"/>
      <c r="S3769" s="260"/>
      <c r="T3769" s="260"/>
      <c r="U3769" s="260"/>
      <c r="V3769" s="260"/>
      <c r="W3769" s="260"/>
      <c r="X3769" s="260"/>
      <c r="Y3769" s="260"/>
      <c r="Z3769" s="260"/>
      <c r="AA3769" s="260"/>
      <c r="AB3769" s="260"/>
      <c r="AC3769" s="260"/>
      <c r="AD3769"/>
      <c r="AE3769"/>
      <c r="AF3769"/>
      <c r="AG3769"/>
    </row>
    <row r="3770" spans="13:33" ht="12" hidden="1" customHeight="1">
      <c r="M3770"/>
      <c r="N3770" s="239"/>
      <c r="O3770" s="225"/>
      <c r="P3770" s="260"/>
      <c r="Q3770" s="258"/>
      <c r="R3770" s="260"/>
      <c r="S3770" s="260"/>
      <c r="T3770" s="260"/>
      <c r="U3770" s="260"/>
      <c r="V3770" s="260"/>
      <c r="W3770" s="260"/>
      <c r="X3770" s="260"/>
      <c r="Y3770" s="260"/>
      <c r="Z3770" s="260"/>
      <c r="AA3770" s="260"/>
      <c r="AB3770" s="260"/>
      <c r="AC3770" s="260"/>
      <c r="AD3770"/>
      <c r="AE3770"/>
      <c r="AF3770"/>
      <c r="AG3770"/>
    </row>
    <row r="3771" spans="13:33" ht="12" hidden="1" customHeight="1">
      <c r="M3771"/>
      <c r="N3771" s="239"/>
      <c r="O3771" s="225"/>
      <c r="P3771" s="260"/>
      <c r="Q3771" s="258"/>
      <c r="R3771" s="260"/>
      <c r="S3771" s="260"/>
      <c r="T3771" s="260"/>
      <c r="U3771" s="260"/>
      <c r="V3771" s="260"/>
      <c r="W3771" s="260"/>
      <c r="X3771" s="260"/>
      <c r="Y3771" s="260"/>
      <c r="Z3771" s="260"/>
      <c r="AA3771" s="260"/>
      <c r="AB3771" s="260"/>
      <c r="AC3771" s="260"/>
      <c r="AD3771"/>
      <c r="AE3771"/>
      <c r="AF3771"/>
      <c r="AG3771"/>
    </row>
    <row r="3772" spans="13:33" ht="12" hidden="1" customHeight="1">
      <c r="M3772"/>
      <c r="N3772" s="239"/>
      <c r="O3772" s="225"/>
      <c r="P3772" s="260"/>
      <c r="Q3772" s="258"/>
      <c r="R3772" s="260"/>
      <c r="S3772" s="260"/>
      <c r="T3772" s="260"/>
      <c r="U3772" s="260"/>
      <c r="V3772" s="260"/>
      <c r="W3772" s="260"/>
      <c r="X3772" s="260"/>
      <c r="Y3772" s="260"/>
      <c r="Z3772" s="260"/>
      <c r="AA3772" s="260"/>
      <c r="AB3772" s="260"/>
      <c r="AC3772" s="260"/>
      <c r="AD3772"/>
      <c r="AE3772"/>
      <c r="AF3772"/>
      <c r="AG3772"/>
    </row>
    <row r="3773" spans="13:33" ht="12" hidden="1" customHeight="1">
      <c r="M3773"/>
      <c r="N3773" s="239"/>
      <c r="O3773" s="225"/>
      <c r="P3773" s="260"/>
      <c r="Q3773" s="258"/>
      <c r="R3773" s="260"/>
      <c r="S3773" s="260"/>
      <c r="T3773" s="260"/>
      <c r="U3773" s="260"/>
      <c r="V3773" s="260"/>
      <c r="W3773" s="260"/>
      <c r="X3773" s="260"/>
      <c r="Y3773" s="260"/>
      <c r="Z3773" s="260"/>
      <c r="AA3773" s="260"/>
      <c r="AB3773" s="260"/>
      <c r="AC3773" s="260"/>
      <c r="AD3773"/>
      <c r="AE3773"/>
      <c r="AF3773"/>
      <c r="AG3773"/>
    </row>
    <row r="3774" spans="13:33" ht="12" hidden="1" customHeight="1">
      <c r="M3774"/>
      <c r="N3774" s="239"/>
      <c r="O3774" s="225"/>
      <c r="P3774" s="260"/>
      <c r="Q3774" s="258"/>
      <c r="R3774" s="260"/>
      <c r="S3774" s="260"/>
      <c r="T3774" s="260"/>
      <c r="U3774" s="260"/>
      <c r="V3774" s="260"/>
      <c r="W3774" s="260"/>
      <c r="X3774" s="260"/>
      <c r="Y3774" s="260"/>
      <c r="Z3774" s="260"/>
      <c r="AA3774" s="260"/>
      <c r="AB3774" s="260"/>
      <c r="AC3774" s="260"/>
      <c r="AD3774"/>
      <c r="AE3774"/>
      <c r="AF3774"/>
      <c r="AG3774"/>
    </row>
    <row r="3775" spans="13:33" ht="12" hidden="1" customHeight="1">
      <c r="M3775"/>
      <c r="N3775" s="239"/>
      <c r="O3775" s="225"/>
      <c r="P3775" s="260"/>
      <c r="Q3775" s="258"/>
      <c r="R3775" s="260"/>
      <c r="S3775" s="260"/>
      <c r="T3775" s="260"/>
      <c r="U3775" s="260"/>
      <c r="V3775" s="260"/>
      <c r="W3775" s="260"/>
      <c r="X3775" s="260"/>
      <c r="Y3775" s="260"/>
      <c r="Z3775" s="260"/>
      <c r="AA3775" s="260"/>
      <c r="AB3775" s="260"/>
      <c r="AC3775" s="260"/>
      <c r="AD3775"/>
      <c r="AE3775"/>
      <c r="AF3775"/>
      <c r="AG3775"/>
    </row>
    <row r="3776" spans="13:33" ht="12" hidden="1" customHeight="1">
      <c r="M3776"/>
      <c r="N3776" s="239"/>
      <c r="O3776" s="225"/>
      <c r="P3776" s="260"/>
      <c r="Q3776" s="258"/>
      <c r="R3776" s="260"/>
      <c r="S3776" s="260"/>
      <c r="T3776" s="260"/>
      <c r="U3776" s="260"/>
      <c r="V3776" s="260"/>
      <c r="W3776" s="260"/>
      <c r="X3776" s="260"/>
      <c r="Y3776" s="260"/>
      <c r="Z3776" s="260"/>
      <c r="AA3776" s="260"/>
      <c r="AB3776" s="260"/>
      <c r="AC3776" s="260"/>
      <c r="AD3776"/>
      <c r="AE3776"/>
      <c r="AF3776"/>
      <c r="AG3776"/>
    </row>
    <row r="3777" spans="13:33" ht="12" hidden="1" customHeight="1">
      <c r="M3777"/>
      <c r="N3777" s="239"/>
      <c r="O3777" s="225"/>
      <c r="P3777" s="260"/>
      <c r="Q3777" s="258"/>
      <c r="R3777" s="260"/>
      <c r="S3777" s="260"/>
      <c r="T3777" s="260"/>
      <c r="U3777" s="260"/>
      <c r="V3777" s="260"/>
      <c r="W3777" s="260"/>
      <c r="X3777" s="260"/>
      <c r="Y3777" s="260"/>
      <c r="Z3777" s="260"/>
      <c r="AA3777" s="260"/>
      <c r="AB3777" s="260"/>
      <c r="AC3777" s="260"/>
      <c r="AD3777"/>
      <c r="AE3777"/>
      <c r="AF3777"/>
      <c r="AG3777"/>
    </row>
    <row r="3778" spans="13:33" ht="12" hidden="1" customHeight="1">
      <c r="M3778"/>
      <c r="N3778" s="239"/>
      <c r="O3778" s="225"/>
      <c r="P3778" s="260"/>
      <c r="Q3778" s="258"/>
      <c r="R3778" s="260"/>
      <c r="S3778" s="260"/>
      <c r="T3778" s="260"/>
      <c r="U3778" s="260"/>
      <c r="V3778" s="260"/>
      <c r="W3778" s="260"/>
      <c r="X3778" s="260"/>
      <c r="Y3778" s="260"/>
      <c r="Z3778" s="260"/>
      <c r="AA3778" s="260"/>
      <c r="AB3778" s="260"/>
      <c r="AC3778" s="260"/>
      <c r="AD3778"/>
      <c r="AE3778"/>
      <c r="AF3778"/>
      <c r="AG3778"/>
    </row>
    <row r="3779" spans="13:33" ht="12" hidden="1" customHeight="1">
      <c r="M3779"/>
      <c r="N3779" s="239"/>
      <c r="O3779" s="225"/>
      <c r="P3779" s="260"/>
      <c r="Q3779" s="258"/>
      <c r="R3779" s="260"/>
      <c r="S3779" s="260"/>
      <c r="T3779" s="260"/>
      <c r="U3779" s="260"/>
      <c r="V3779" s="260"/>
      <c r="W3779" s="260"/>
      <c r="X3779" s="260"/>
      <c r="Y3779" s="260"/>
      <c r="Z3779" s="260"/>
      <c r="AA3779" s="260"/>
      <c r="AB3779" s="260"/>
      <c r="AC3779" s="260"/>
      <c r="AD3779"/>
      <c r="AE3779"/>
      <c r="AF3779"/>
      <c r="AG3779"/>
    </row>
    <row r="3780" spans="13:33" ht="12" hidden="1" customHeight="1">
      <c r="M3780"/>
      <c r="N3780" s="239"/>
      <c r="O3780" s="225"/>
      <c r="P3780" s="260"/>
      <c r="Q3780" s="258"/>
      <c r="R3780" s="260"/>
      <c r="S3780" s="260"/>
      <c r="T3780" s="260"/>
      <c r="U3780" s="260"/>
      <c r="V3780" s="260"/>
      <c r="W3780" s="260"/>
      <c r="X3780" s="260"/>
      <c r="Y3780" s="260"/>
      <c r="Z3780" s="260"/>
      <c r="AA3780" s="260"/>
      <c r="AB3780" s="260"/>
      <c r="AC3780" s="260"/>
      <c r="AD3780"/>
      <c r="AE3780"/>
      <c r="AF3780"/>
      <c r="AG3780"/>
    </row>
    <row r="3781" spans="13:33" ht="12" hidden="1" customHeight="1">
      <c r="M3781"/>
      <c r="N3781" s="239"/>
      <c r="O3781" s="225"/>
      <c r="P3781" s="260"/>
      <c r="Q3781" s="258"/>
      <c r="R3781" s="260"/>
      <c r="S3781" s="260"/>
      <c r="T3781" s="260"/>
      <c r="U3781" s="260"/>
      <c r="V3781" s="260"/>
      <c r="W3781" s="260"/>
      <c r="X3781" s="260"/>
      <c r="Y3781" s="260"/>
      <c r="Z3781" s="260"/>
      <c r="AA3781" s="260"/>
      <c r="AB3781" s="260"/>
      <c r="AC3781" s="260"/>
      <c r="AD3781"/>
      <c r="AE3781"/>
      <c r="AF3781"/>
      <c r="AG3781"/>
    </row>
    <row r="3782" spans="13:33" ht="12" customHeight="1">
      <c r="M3782"/>
      <c r="N3782" s="236" t="s">
        <v>2985</v>
      </c>
      <c r="O3782" s="225" t="s">
        <v>2986</v>
      </c>
      <c r="P3782" s="257"/>
      <c r="Q3782" s="258"/>
      <c r="R3782" s="260"/>
      <c r="S3782" s="260"/>
      <c r="T3782" s="260"/>
      <c r="U3782" s="260"/>
      <c r="V3782" s="260"/>
      <c r="W3782" s="262">
        <f>'ТС.РО 01.01 - 30.06'!W3782*W3956</f>
        <v>0</v>
      </c>
      <c r="X3782" s="260"/>
      <c r="Y3782" s="260"/>
      <c r="Z3782" s="262">
        <f>'ТС.РО 01.07 - 31.08'!Z3782*Z3956</f>
        <v>0</v>
      </c>
      <c r="AA3782" s="260"/>
      <c r="AB3782" s="260"/>
      <c r="AC3782" s="262">
        <f>'ТС.РО 01.09 - 31.12'!AC3782*AC3956</f>
        <v>0</v>
      </c>
      <c r="AD3782"/>
      <c r="AE3782"/>
      <c r="AF3782"/>
      <c r="AG3782"/>
    </row>
    <row r="3783" spans="13:33" ht="12" customHeight="1">
      <c r="M3783"/>
      <c r="N3783" s="236" t="s">
        <v>2987</v>
      </c>
      <c r="O3783" s="225" t="s">
        <v>2988</v>
      </c>
      <c r="P3783" s="257"/>
      <c r="Q3783" s="258"/>
      <c r="R3783" s="260"/>
      <c r="S3783" s="260"/>
      <c r="T3783" s="260"/>
      <c r="U3783" s="260"/>
      <c r="V3783" s="260"/>
      <c r="W3783" s="262">
        <f>'ТС.РО 01.01 - 30.06'!W3783*W3956</f>
        <v>0</v>
      </c>
      <c r="X3783" s="260"/>
      <c r="Y3783" s="260"/>
      <c r="Z3783" s="262">
        <f>'ТС.РО 01.07 - 31.08'!Z3783*Z3956</f>
        <v>0</v>
      </c>
      <c r="AA3783" s="260"/>
      <c r="AB3783" s="260"/>
      <c r="AC3783" s="262">
        <f>'ТС.РО 01.09 - 31.12'!AC3783*AC3956</f>
        <v>0</v>
      </c>
      <c r="AD3783"/>
      <c r="AE3783"/>
      <c r="AF3783"/>
      <c r="AG3783"/>
    </row>
    <row r="3784" spans="13:33" ht="12" customHeight="1">
      <c r="M3784"/>
      <c r="N3784" s="239"/>
      <c r="O3784" s="226"/>
      <c r="P3784" s="260"/>
      <c r="Q3784" s="258"/>
      <c r="R3784" s="260"/>
      <c r="S3784" s="260"/>
      <c r="T3784" s="260"/>
      <c r="U3784" s="260"/>
      <c r="V3784" s="260"/>
      <c r="W3784" s="260"/>
      <c r="X3784" s="260"/>
      <c r="Y3784" s="260"/>
      <c r="Z3784" s="260"/>
      <c r="AA3784" s="260"/>
      <c r="AB3784" s="260"/>
      <c r="AC3784" s="260"/>
      <c r="AD3784"/>
      <c r="AE3784"/>
      <c r="AF3784"/>
      <c r="AG3784"/>
    </row>
    <row r="3785" spans="13:33" ht="12" hidden="1" customHeight="1">
      <c r="M3785"/>
      <c r="N3785" s="239"/>
      <c r="O3785" s="227"/>
      <c r="P3785" s="260"/>
      <c r="Q3785" s="258"/>
      <c r="R3785" s="260"/>
      <c r="S3785" s="260"/>
      <c r="T3785" s="260"/>
      <c r="U3785" s="260"/>
      <c r="V3785" s="260"/>
      <c r="W3785" s="260"/>
      <c r="X3785" s="260"/>
      <c r="Y3785" s="260"/>
      <c r="Z3785" s="260"/>
      <c r="AA3785" s="260"/>
      <c r="AB3785" s="260"/>
      <c r="AC3785" s="260"/>
      <c r="AD3785"/>
      <c r="AE3785"/>
      <c r="AF3785"/>
      <c r="AG3785"/>
    </row>
    <row r="3786" spans="13:33" ht="12" hidden="1" customHeight="1">
      <c r="M3786"/>
      <c r="N3786" s="239"/>
      <c r="O3786" s="227"/>
      <c r="P3786" s="260"/>
      <c r="Q3786" s="258"/>
      <c r="R3786" s="260"/>
      <c r="S3786" s="260"/>
      <c r="T3786" s="260"/>
      <c r="U3786" s="260"/>
      <c r="V3786" s="260"/>
      <c r="W3786" s="260"/>
      <c r="X3786" s="260"/>
      <c r="Y3786" s="260"/>
      <c r="Z3786" s="260"/>
      <c r="AA3786" s="260"/>
      <c r="AB3786" s="260"/>
      <c r="AC3786" s="260"/>
      <c r="AD3786"/>
      <c r="AE3786"/>
      <c r="AF3786"/>
      <c r="AG3786"/>
    </row>
    <row r="3787" spans="13:33" ht="12" hidden="1" customHeight="1">
      <c r="M3787"/>
      <c r="N3787" s="239"/>
      <c r="O3787" s="226"/>
      <c r="P3787" s="260"/>
      <c r="Q3787" s="258"/>
      <c r="R3787" s="260"/>
      <c r="S3787" s="260"/>
      <c r="T3787" s="260"/>
      <c r="U3787" s="260"/>
      <c r="V3787" s="260"/>
      <c r="W3787" s="260"/>
      <c r="X3787" s="260"/>
      <c r="Y3787" s="260"/>
      <c r="Z3787" s="260"/>
      <c r="AA3787" s="260"/>
      <c r="AB3787" s="260"/>
      <c r="AC3787" s="260"/>
      <c r="AD3787"/>
      <c r="AE3787"/>
      <c r="AF3787"/>
      <c r="AG3787"/>
    </row>
    <row r="3788" spans="13:33" ht="12" hidden="1" customHeight="1">
      <c r="M3788"/>
      <c r="N3788" s="239"/>
      <c r="O3788" s="227"/>
      <c r="P3788" s="260"/>
      <c r="Q3788" s="258"/>
      <c r="R3788" s="260"/>
      <c r="S3788" s="260"/>
      <c r="T3788" s="260"/>
      <c r="U3788" s="260"/>
      <c r="V3788" s="260"/>
      <c r="W3788" s="260"/>
      <c r="X3788" s="260"/>
      <c r="Y3788" s="260"/>
      <c r="Z3788" s="260"/>
      <c r="AA3788" s="260"/>
      <c r="AB3788" s="260"/>
      <c r="AC3788" s="260"/>
      <c r="AD3788"/>
      <c r="AE3788"/>
      <c r="AF3788"/>
      <c r="AG3788"/>
    </row>
    <row r="3789" spans="13:33" ht="12" hidden="1" customHeight="1">
      <c r="M3789"/>
      <c r="N3789" s="239"/>
      <c r="O3789" s="227"/>
      <c r="P3789" s="260"/>
      <c r="Q3789" s="258"/>
      <c r="R3789" s="260"/>
      <c r="S3789" s="260"/>
      <c r="T3789" s="260"/>
      <c r="U3789" s="260"/>
      <c r="V3789" s="260"/>
      <c r="W3789" s="260"/>
      <c r="X3789" s="260"/>
      <c r="Y3789" s="260"/>
      <c r="Z3789" s="260"/>
      <c r="AA3789" s="260"/>
      <c r="AB3789" s="260"/>
      <c r="AC3789" s="260"/>
      <c r="AD3789"/>
      <c r="AE3789"/>
      <c r="AF3789"/>
      <c r="AG3789"/>
    </row>
    <row r="3790" spans="13:33" ht="12" hidden="1" customHeight="1">
      <c r="M3790"/>
      <c r="N3790" s="239"/>
      <c r="O3790" s="226"/>
      <c r="P3790" s="260"/>
      <c r="Q3790" s="258"/>
      <c r="R3790" s="260"/>
      <c r="S3790" s="260"/>
      <c r="T3790" s="260"/>
      <c r="U3790" s="260"/>
      <c r="V3790" s="260"/>
      <c r="W3790" s="260"/>
      <c r="X3790" s="260"/>
      <c r="Y3790" s="260"/>
      <c r="Z3790" s="260"/>
      <c r="AA3790" s="260"/>
      <c r="AB3790" s="260"/>
      <c r="AC3790" s="260"/>
      <c r="AD3790"/>
      <c r="AE3790"/>
      <c r="AF3790"/>
      <c r="AG3790"/>
    </row>
    <row r="3791" spans="13:33" ht="12" hidden="1" customHeight="1">
      <c r="M3791"/>
      <c r="N3791" s="239"/>
      <c r="O3791" s="225"/>
      <c r="P3791" s="260"/>
      <c r="Q3791" s="258"/>
      <c r="R3791" s="260"/>
      <c r="S3791" s="260"/>
      <c r="T3791" s="260"/>
      <c r="U3791" s="260"/>
      <c r="V3791" s="260"/>
      <c r="W3791" s="260"/>
      <c r="X3791" s="260"/>
      <c r="Y3791" s="260"/>
      <c r="Z3791" s="260"/>
      <c r="AA3791" s="260"/>
      <c r="AB3791" s="260"/>
      <c r="AC3791" s="260"/>
      <c r="AD3791"/>
      <c r="AE3791"/>
      <c r="AF3791"/>
      <c r="AG3791"/>
    </row>
    <row r="3792" spans="13:33" ht="12" hidden="1" customHeight="1">
      <c r="M3792"/>
      <c r="N3792" s="239"/>
      <c r="O3792" s="225"/>
      <c r="P3792" s="260"/>
      <c r="Q3792" s="258"/>
      <c r="R3792" s="260"/>
      <c r="S3792" s="260"/>
      <c r="T3792" s="260"/>
      <c r="U3792" s="260"/>
      <c r="V3792" s="260"/>
      <c r="W3792" s="260"/>
      <c r="X3792" s="260"/>
      <c r="Y3792" s="260"/>
      <c r="Z3792" s="260"/>
      <c r="AA3792" s="260"/>
      <c r="AB3792" s="260"/>
      <c r="AC3792" s="260"/>
      <c r="AD3792"/>
      <c r="AE3792"/>
      <c r="AF3792"/>
      <c r="AG3792"/>
    </row>
    <row r="3793" spans="13:33" ht="12" hidden="1" customHeight="1">
      <c r="M3793"/>
      <c r="N3793" s="239"/>
      <c r="O3793" s="225"/>
      <c r="P3793" s="260"/>
      <c r="Q3793" s="258"/>
      <c r="R3793" s="260"/>
      <c r="S3793" s="260"/>
      <c r="T3793" s="260"/>
      <c r="U3793" s="260"/>
      <c r="V3793" s="260"/>
      <c r="W3793" s="260"/>
      <c r="X3793" s="260"/>
      <c r="Y3793" s="260"/>
      <c r="Z3793" s="260"/>
      <c r="AA3793" s="260"/>
      <c r="AB3793" s="260"/>
      <c r="AC3793" s="260"/>
      <c r="AD3793"/>
      <c r="AE3793"/>
      <c r="AF3793"/>
      <c r="AG3793"/>
    </row>
    <row r="3794" spans="13:33" ht="12" hidden="1" customHeight="1">
      <c r="M3794"/>
      <c r="N3794" s="239"/>
      <c r="O3794" s="225"/>
      <c r="P3794" s="260"/>
      <c r="Q3794" s="258"/>
      <c r="R3794" s="260"/>
      <c r="S3794" s="260"/>
      <c r="T3794" s="260"/>
      <c r="U3794" s="260"/>
      <c r="V3794" s="260"/>
      <c r="W3794" s="260"/>
      <c r="X3794" s="260"/>
      <c r="Y3794" s="260"/>
      <c r="Z3794" s="260"/>
      <c r="AA3794" s="260"/>
      <c r="AB3794" s="260"/>
      <c r="AC3794" s="260"/>
      <c r="AD3794"/>
      <c r="AE3794"/>
      <c r="AF3794"/>
      <c r="AG3794"/>
    </row>
    <row r="3795" spans="13:33" ht="12" hidden="1" customHeight="1">
      <c r="M3795"/>
      <c r="N3795" s="239"/>
      <c r="O3795" s="225"/>
      <c r="P3795" s="260"/>
      <c r="Q3795" s="258"/>
      <c r="R3795" s="260"/>
      <c r="S3795" s="260"/>
      <c r="T3795" s="260"/>
      <c r="U3795" s="260"/>
      <c r="V3795" s="260"/>
      <c r="W3795" s="260"/>
      <c r="X3795" s="260"/>
      <c r="Y3795" s="260"/>
      <c r="Z3795" s="260"/>
      <c r="AA3795" s="260"/>
      <c r="AB3795" s="260"/>
      <c r="AC3795" s="260"/>
      <c r="AD3795"/>
      <c r="AE3795"/>
      <c r="AF3795"/>
      <c r="AG3795"/>
    </row>
    <row r="3796" spans="13:33" ht="12" hidden="1" customHeight="1">
      <c r="M3796"/>
      <c r="N3796" s="239"/>
      <c r="O3796" s="225"/>
      <c r="P3796" s="260"/>
      <c r="Q3796" s="258"/>
      <c r="R3796" s="260"/>
      <c r="S3796" s="260"/>
      <c r="T3796" s="260"/>
      <c r="U3796" s="260"/>
      <c r="V3796" s="260"/>
      <c r="W3796" s="260"/>
      <c r="X3796" s="260"/>
      <c r="Y3796" s="260"/>
      <c r="Z3796" s="260"/>
      <c r="AA3796" s="260"/>
      <c r="AB3796" s="260"/>
      <c r="AC3796" s="260"/>
      <c r="AD3796"/>
      <c r="AE3796"/>
      <c r="AF3796"/>
      <c r="AG3796"/>
    </row>
    <row r="3797" spans="13:33" ht="12" hidden="1" customHeight="1">
      <c r="M3797"/>
      <c r="N3797" s="239"/>
      <c r="O3797" s="225"/>
      <c r="P3797" s="260"/>
      <c r="Q3797" s="258"/>
      <c r="R3797" s="260"/>
      <c r="S3797" s="260"/>
      <c r="T3797" s="260"/>
      <c r="U3797" s="260"/>
      <c r="V3797" s="260"/>
      <c r="W3797" s="260"/>
      <c r="X3797" s="260"/>
      <c r="Y3797" s="260"/>
      <c r="Z3797" s="260"/>
      <c r="AA3797" s="260"/>
      <c r="AB3797" s="260"/>
      <c r="AC3797" s="260"/>
      <c r="AD3797"/>
      <c r="AE3797"/>
      <c r="AF3797"/>
      <c r="AG3797"/>
    </row>
    <row r="3798" spans="13:33" ht="12" hidden="1" customHeight="1">
      <c r="M3798"/>
      <c r="N3798" s="239"/>
      <c r="O3798" s="225"/>
      <c r="P3798" s="260"/>
      <c r="Q3798" s="258"/>
      <c r="R3798" s="260"/>
      <c r="S3798" s="260"/>
      <c r="T3798" s="260"/>
      <c r="U3798" s="260"/>
      <c r="V3798" s="260"/>
      <c r="W3798" s="260"/>
      <c r="X3798" s="260"/>
      <c r="Y3798" s="260"/>
      <c r="Z3798" s="260"/>
      <c r="AA3798" s="260"/>
      <c r="AB3798" s="260"/>
      <c r="AC3798" s="260"/>
      <c r="AD3798"/>
      <c r="AE3798"/>
      <c r="AF3798"/>
      <c r="AG3798"/>
    </row>
    <row r="3799" spans="13:33" ht="12" hidden="1" customHeight="1">
      <c r="M3799"/>
      <c r="N3799" s="239"/>
      <c r="O3799" s="225"/>
      <c r="P3799" s="260"/>
      <c r="Q3799" s="258"/>
      <c r="R3799" s="260"/>
      <c r="S3799" s="260"/>
      <c r="T3799" s="260"/>
      <c r="U3799" s="260"/>
      <c r="V3799" s="260"/>
      <c r="W3799" s="260"/>
      <c r="X3799" s="260"/>
      <c r="Y3799" s="260"/>
      <c r="Z3799" s="260"/>
      <c r="AA3799" s="260"/>
      <c r="AB3799" s="260"/>
      <c r="AC3799" s="260"/>
      <c r="AD3799"/>
      <c r="AE3799"/>
      <c r="AF3799"/>
      <c r="AG3799"/>
    </row>
    <row r="3800" spans="13:33" ht="12" hidden="1" customHeight="1">
      <c r="M3800"/>
      <c r="N3800" s="239"/>
      <c r="O3800" s="225"/>
      <c r="P3800" s="260"/>
      <c r="Q3800" s="258"/>
      <c r="R3800" s="260"/>
      <c r="S3800" s="260"/>
      <c r="T3800" s="260"/>
      <c r="U3800" s="260"/>
      <c r="V3800" s="260"/>
      <c r="W3800" s="260"/>
      <c r="X3800" s="260"/>
      <c r="Y3800" s="260"/>
      <c r="Z3800" s="260"/>
      <c r="AA3800" s="260"/>
      <c r="AB3800" s="260"/>
      <c r="AC3800" s="260"/>
      <c r="AD3800"/>
      <c r="AE3800"/>
      <c r="AF3800"/>
      <c r="AG3800"/>
    </row>
    <row r="3801" spans="13:33" ht="12" hidden="1" customHeight="1">
      <c r="M3801"/>
      <c r="N3801" s="239"/>
      <c r="O3801" s="225"/>
      <c r="P3801" s="260"/>
      <c r="Q3801" s="258"/>
      <c r="R3801" s="260"/>
      <c r="S3801" s="260"/>
      <c r="T3801" s="260"/>
      <c r="U3801" s="260"/>
      <c r="V3801" s="260"/>
      <c r="W3801" s="260"/>
      <c r="X3801" s="260"/>
      <c r="Y3801" s="260"/>
      <c r="Z3801" s="260"/>
      <c r="AA3801" s="260"/>
      <c r="AB3801" s="260"/>
      <c r="AC3801" s="260"/>
      <c r="AD3801"/>
      <c r="AE3801"/>
      <c r="AF3801"/>
      <c r="AG3801"/>
    </row>
    <row r="3802" spans="13:33" ht="12" hidden="1" customHeight="1">
      <c r="M3802"/>
      <c r="N3802" s="239"/>
      <c r="O3802" s="225"/>
      <c r="P3802" s="260"/>
      <c r="Q3802" s="258"/>
      <c r="R3802" s="260"/>
      <c r="S3802" s="260"/>
      <c r="T3802" s="260"/>
      <c r="U3802" s="260"/>
      <c r="V3802" s="260"/>
      <c r="W3802" s="260"/>
      <c r="X3802" s="260"/>
      <c r="Y3802" s="260"/>
      <c r="Z3802" s="260"/>
      <c r="AA3802" s="260"/>
      <c r="AB3802" s="260"/>
      <c r="AC3802" s="260"/>
      <c r="AD3802"/>
      <c r="AE3802"/>
      <c r="AF3802"/>
      <c r="AG3802"/>
    </row>
    <row r="3803" spans="13:33" ht="12" hidden="1" customHeight="1">
      <c r="M3803"/>
      <c r="N3803" s="239"/>
      <c r="O3803" s="225"/>
      <c r="P3803" s="260"/>
      <c r="Q3803" s="258"/>
      <c r="R3803" s="260"/>
      <c r="S3803" s="260"/>
      <c r="T3803" s="260"/>
      <c r="U3803" s="260"/>
      <c r="V3803" s="260"/>
      <c r="W3803" s="260"/>
      <c r="X3803" s="260"/>
      <c r="Y3803" s="260"/>
      <c r="Z3803" s="260"/>
      <c r="AA3803" s="260"/>
      <c r="AB3803" s="260"/>
      <c r="AC3803" s="260"/>
      <c r="AD3803"/>
      <c r="AE3803"/>
      <c r="AF3803"/>
      <c r="AG3803"/>
    </row>
    <row r="3804" spans="13:33" ht="12" hidden="1" customHeight="1">
      <c r="M3804"/>
      <c r="N3804" s="239"/>
      <c r="O3804" s="225"/>
      <c r="P3804" s="260"/>
      <c r="Q3804" s="258"/>
      <c r="R3804" s="260"/>
      <c r="S3804" s="260"/>
      <c r="T3804" s="260"/>
      <c r="U3804" s="260"/>
      <c r="V3804" s="260"/>
      <c r="W3804" s="260"/>
      <c r="X3804" s="260"/>
      <c r="Y3804" s="260"/>
      <c r="Z3804" s="260"/>
      <c r="AA3804" s="260"/>
      <c r="AB3804" s="260"/>
      <c r="AC3804" s="260"/>
      <c r="AD3804"/>
      <c r="AE3804"/>
      <c r="AF3804"/>
      <c r="AG3804"/>
    </row>
    <row r="3805" spans="13:33" ht="12" hidden="1" customHeight="1">
      <c r="M3805"/>
      <c r="N3805" s="239"/>
      <c r="O3805" s="225"/>
      <c r="P3805" s="260"/>
      <c r="Q3805" s="258"/>
      <c r="R3805" s="260"/>
      <c r="S3805" s="260"/>
      <c r="T3805" s="260"/>
      <c r="U3805" s="260"/>
      <c r="V3805" s="260"/>
      <c r="W3805" s="260"/>
      <c r="X3805" s="260"/>
      <c r="Y3805" s="260"/>
      <c r="Z3805" s="260"/>
      <c r="AA3805" s="260"/>
      <c r="AB3805" s="260"/>
      <c r="AC3805" s="260"/>
      <c r="AD3805"/>
      <c r="AE3805"/>
      <c r="AF3805"/>
      <c r="AG3805"/>
    </row>
    <row r="3806" spans="13:33" ht="12" hidden="1" customHeight="1">
      <c r="M3806"/>
      <c r="N3806" s="239"/>
      <c r="O3806" s="225"/>
      <c r="P3806" s="260"/>
      <c r="Q3806" s="258"/>
      <c r="R3806" s="260"/>
      <c r="S3806" s="260"/>
      <c r="T3806" s="260"/>
      <c r="U3806" s="260"/>
      <c r="V3806" s="260"/>
      <c r="W3806" s="260"/>
      <c r="X3806" s="260"/>
      <c r="Y3806" s="260"/>
      <c r="Z3806" s="260"/>
      <c r="AA3806" s="260"/>
      <c r="AB3806" s="260"/>
      <c r="AC3806" s="260"/>
      <c r="AD3806"/>
      <c r="AE3806"/>
      <c r="AF3806"/>
      <c r="AG3806"/>
    </row>
    <row r="3807" spans="13:33" ht="12" customHeight="1">
      <c r="M3807"/>
      <c r="N3807" s="239"/>
      <c r="O3807" s="225"/>
      <c r="P3807" s="260"/>
      <c r="Q3807" s="258"/>
      <c r="R3807" s="260"/>
      <c r="S3807" s="260"/>
      <c r="T3807" s="260"/>
      <c r="U3807" s="260"/>
      <c r="V3807" s="260"/>
      <c r="W3807" s="260"/>
      <c r="X3807" s="260"/>
      <c r="Y3807" s="260"/>
      <c r="Z3807" s="260"/>
      <c r="AA3807" s="260"/>
      <c r="AB3807" s="260"/>
      <c r="AC3807" s="260"/>
      <c r="AD3807"/>
      <c r="AE3807"/>
      <c r="AF3807"/>
      <c r="AG3807"/>
    </row>
    <row r="3808" spans="13:33" ht="12" customHeight="1">
      <c r="M3808"/>
      <c r="N3808" s="239"/>
      <c r="O3808" s="225"/>
      <c r="P3808" s="260"/>
      <c r="Q3808" s="258"/>
      <c r="R3808" s="260"/>
      <c r="S3808" s="260"/>
      <c r="T3808" s="260"/>
      <c r="U3808" s="260"/>
      <c r="V3808" s="260"/>
      <c r="W3808" s="260"/>
      <c r="X3808" s="260"/>
      <c r="Y3808" s="260"/>
      <c r="Z3808" s="260"/>
      <c r="AA3808" s="260"/>
      <c r="AB3808" s="260"/>
      <c r="AC3808" s="260"/>
      <c r="AD3808"/>
      <c r="AE3808"/>
      <c r="AF3808"/>
      <c r="AG3808"/>
    </row>
    <row r="3809" spans="13:33" ht="12" customHeight="1">
      <c r="M3809"/>
      <c r="N3809" s="234" t="s">
        <v>769</v>
      </c>
      <c r="O3809" s="235" t="s">
        <v>2991</v>
      </c>
      <c r="P3809" s="257"/>
      <c r="Q3809" s="258"/>
      <c r="R3809" s="260"/>
      <c r="S3809" s="260"/>
      <c r="T3809" s="260"/>
      <c r="U3809" s="260"/>
      <c r="V3809" s="260"/>
      <c r="W3809" s="262">
        <f>'ТС.РО 01.01 - 30.06'!W3809*W3956</f>
        <v>0</v>
      </c>
      <c r="X3809" s="260"/>
      <c r="Y3809" s="260"/>
      <c r="Z3809" s="262">
        <f>'ТС.РО 01.07 - 31.08'!Z3809*Z3956</f>
        <v>0</v>
      </c>
      <c r="AA3809" s="260"/>
      <c r="AB3809" s="260"/>
      <c r="AC3809" s="262">
        <f>'ТС.РО 01.09 - 31.12'!AC3809*AC3956</f>
        <v>0</v>
      </c>
      <c r="AD3809"/>
      <c r="AE3809"/>
      <c r="AF3809"/>
      <c r="AG3809"/>
    </row>
    <row r="3810" spans="13:33" ht="12" customHeight="1">
      <c r="M3810"/>
      <c r="N3810" s="240" t="s">
        <v>770</v>
      </c>
      <c r="O3810" s="241" t="s">
        <v>2992</v>
      </c>
      <c r="P3810" s="257"/>
      <c r="Q3810" s="258"/>
      <c r="R3810" s="260"/>
      <c r="S3810" s="260"/>
      <c r="T3810" s="260"/>
      <c r="U3810" s="260"/>
      <c r="V3810" s="260"/>
      <c r="W3810" s="262">
        <f>'ТС.РО 01.01 - 30.06'!W3810*W3956</f>
        <v>0</v>
      </c>
      <c r="X3810" s="260"/>
      <c r="Y3810" s="260"/>
      <c r="Z3810" s="262">
        <f>'ТС.РО 01.07 - 31.08'!Z3810*Z3956</f>
        <v>0</v>
      </c>
      <c r="AA3810" s="260"/>
      <c r="AB3810" s="260"/>
      <c r="AC3810" s="262">
        <f>'ТС.РО 01.09 - 31.12'!AC3810*AC3956</f>
        <v>0</v>
      </c>
      <c r="AD3810"/>
      <c r="AE3810"/>
      <c r="AF3810"/>
      <c r="AG3810"/>
    </row>
    <row r="3811" spans="13:33" ht="12" customHeight="1">
      <c r="M3811"/>
      <c r="N3811" s="236" t="s">
        <v>2993</v>
      </c>
      <c r="O3811" s="225" t="s">
        <v>2994</v>
      </c>
      <c r="P3811" s="257"/>
      <c r="Q3811" s="258"/>
      <c r="R3811" s="260"/>
      <c r="S3811" s="260"/>
      <c r="T3811" s="260"/>
      <c r="U3811" s="260"/>
      <c r="V3811" s="260"/>
      <c r="W3811" s="262">
        <f>'ТС.РО 01.01 - 30.06'!W3811*W3956</f>
        <v>0</v>
      </c>
      <c r="X3811" s="260"/>
      <c r="Y3811" s="260"/>
      <c r="Z3811" s="262">
        <f>'ТС.РО 01.07 - 31.08'!Z3811*Z3956</f>
        <v>0</v>
      </c>
      <c r="AA3811" s="260"/>
      <c r="AB3811" s="260"/>
      <c r="AC3811" s="262">
        <f>'ТС.РО 01.09 - 31.12'!AC3811*AC3956</f>
        <v>0</v>
      </c>
      <c r="AD3811"/>
      <c r="AE3811"/>
      <c r="AF3811"/>
      <c r="AG3811"/>
    </row>
    <row r="3812" spans="13:33" ht="12" customHeight="1">
      <c r="M3812"/>
      <c r="N3812" s="236" t="s">
        <v>2995</v>
      </c>
      <c r="O3812" s="482" t="s">
        <v>2791</v>
      </c>
      <c r="P3812" s="257"/>
      <c r="Q3812" s="258"/>
      <c r="R3812" s="260"/>
      <c r="S3812" s="260"/>
      <c r="T3812" s="260"/>
      <c r="U3812" s="260"/>
      <c r="V3812" s="260"/>
      <c r="W3812" s="262">
        <f>'ТС.РО 01.01 - 30.06'!W3812*W3956</f>
        <v>0</v>
      </c>
      <c r="X3812" s="260"/>
      <c r="Y3812" s="260"/>
      <c r="Z3812" s="262">
        <f>'ТС.РО 01.07 - 31.08'!Z3812*Z3956</f>
        <v>0</v>
      </c>
      <c r="AA3812" s="260"/>
      <c r="AB3812" s="260"/>
      <c r="AC3812" s="262">
        <f>'ТС.РО 01.09 - 31.12'!AC3812*AC3956</f>
        <v>0</v>
      </c>
      <c r="AD3812"/>
      <c r="AE3812"/>
      <c r="AF3812"/>
      <c r="AG3812"/>
    </row>
    <row r="3813" spans="13:33" ht="12" customHeight="1">
      <c r="M3813"/>
      <c r="N3813" s="236" t="s">
        <v>2996</v>
      </c>
      <c r="O3813" s="243" t="s">
        <v>130</v>
      </c>
      <c r="P3813" s="257"/>
      <c r="Q3813" s="258"/>
      <c r="R3813" s="260"/>
      <c r="S3813" s="260"/>
      <c r="T3813" s="260"/>
      <c r="U3813" s="260"/>
      <c r="V3813" s="260"/>
      <c r="W3813" s="262">
        <f>'ТС.РО 01.01 - 30.06'!W3813*W3956</f>
        <v>0</v>
      </c>
      <c r="X3813" s="260"/>
      <c r="Y3813" s="260"/>
      <c r="Z3813" s="262">
        <f>'ТС.РО 01.07 - 31.08'!Z3813*Z3956</f>
        <v>0</v>
      </c>
      <c r="AA3813" s="260"/>
      <c r="AB3813" s="260"/>
      <c r="AC3813" s="262">
        <f>'ТС.РО 01.09 - 31.12'!AC3813*AC3956</f>
        <v>0</v>
      </c>
      <c r="AD3813"/>
      <c r="AE3813"/>
      <c r="AF3813"/>
      <c r="AG3813"/>
    </row>
    <row r="3814" spans="13:33" ht="12" customHeight="1">
      <c r="M3814"/>
      <c r="N3814" s="236" t="s">
        <v>2997</v>
      </c>
      <c r="O3814" s="243" t="s">
        <v>131</v>
      </c>
      <c r="P3814" s="257"/>
      <c r="Q3814" s="258"/>
      <c r="R3814" s="260"/>
      <c r="S3814" s="260"/>
      <c r="T3814" s="260"/>
      <c r="U3814" s="260"/>
      <c r="V3814" s="260"/>
      <c r="W3814" s="262">
        <f>'ТС.РО 01.01 - 30.06'!W3814*W3956</f>
        <v>0</v>
      </c>
      <c r="X3814" s="260"/>
      <c r="Y3814" s="260"/>
      <c r="Z3814" s="262">
        <f>'ТС.РО 01.07 - 31.08'!Z3814*Z3956</f>
        <v>0</v>
      </c>
      <c r="AA3814" s="260"/>
      <c r="AB3814" s="260"/>
      <c r="AC3814" s="262">
        <f>'ТС.РО 01.09 - 31.12'!AC3814*AC3956</f>
        <v>0</v>
      </c>
      <c r="AD3814"/>
      <c r="AE3814"/>
      <c r="AF3814"/>
      <c r="AG3814"/>
    </row>
    <row r="3815" spans="13:33" ht="12" customHeight="1">
      <c r="M3815"/>
      <c r="N3815" s="236"/>
      <c r="O3815" s="243"/>
      <c r="P3815" s="260"/>
      <c r="Q3815" s="258"/>
      <c r="R3815" s="260"/>
      <c r="S3815" s="260"/>
      <c r="T3815" s="260"/>
      <c r="U3815" s="260"/>
      <c r="V3815" s="260"/>
      <c r="W3815" s="260"/>
      <c r="X3815" s="260"/>
      <c r="Y3815" s="260"/>
      <c r="Z3815" s="260"/>
      <c r="AA3815" s="260"/>
      <c r="AB3815" s="260"/>
      <c r="AC3815" s="260"/>
      <c r="AD3815"/>
      <c r="AE3815"/>
      <c r="AF3815"/>
      <c r="AG3815"/>
    </row>
    <row r="3816" spans="13:33" ht="12" customHeight="1">
      <c r="M3816"/>
      <c r="N3816" s="236" t="s">
        <v>2998</v>
      </c>
      <c r="O3816" s="482" t="s">
        <v>755</v>
      </c>
      <c r="P3816" s="257"/>
      <c r="Q3816" s="258"/>
      <c r="R3816" s="260"/>
      <c r="S3816" s="260"/>
      <c r="T3816" s="260"/>
      <c r="U3816" s="260"/>
      <c r="V3816" s="260"/>
      <c r="W3816" s="262">
        <f>'ТС.РО 01.01 - 30.06'!W3816*W3956</f>
        <v>0</v>
      </c>
      <c r="X3816" s="260"/>
      <c r="Y3816" s="260"/>
      <c r="Z3816" s="262">
        <f>'ТС.РО 01.07 - 31.08'!Z3816*Z3956</f>
        <v>0</v>
      </c>
      <c r="AA3816" s="260"/>
      <c r="AB3816" s="260"/>
      <c r="AC3816" s="262">
        <f>'ТС.РО 01.09 - 31.12'!AC3816*AC3956</f>
        <v>0</v>
      </c>
      <c r="AD3816"/>
      <c r="AE3816"/>
      <c r="AF3816"/>
      <c r="AG3816"/>
    </row>
    <row r="3817" spans="13:33" ht="12" customHeight="1">
      <c r="M3817"/>
      <c r="N3817" s="436" t="s">
        <v>198</v>
      </c>
      <c r="O3817" s="243" t="s">
        <v>130</v>
      </c>
      <c r="P3817" s="257"/>
      <c r="Q3817" s="258"/>
      <c r="R3817" s="260"/>
      <c r="S3817" s="260"/>
      <c r="T3817" s="260"/>
      <c r="U3817" s="260"/>
      <c r="V3817" s="260"/>
      <c r="W3817" s="262">
        <f>'ТС.РО 01.01 - 30.06'!W3817*W3956</f>
        <v>0</v>
      </c>
      <c r="X3817" s="260"/>
      <c r="Y3817" s="260"/>
      <c r="Z3817" s="262">
        <f>'ТС.РО 01.07 - 31.08'!Z3817*Z3956</f>
        <v>0</v>
      </c>
      <c r="AA3817" s="260"/>
      <c r="AB3817" s="260"/>
      <c r="AC3817" s="262">
        <f>'ТС.РО 01.09 - 31.12'!AC3817*AC3956</f>
        <v>0</v>
      </c>
      <c r="AD3817"/>
      <c r="AE3817"/>
      <c r="AF3817"/>
      <c r="AG3817"/>
    </row>
    <row r="3818" spans="13:33" ht="12" customHeight="1">
      <c r="M3818"/>
      <c r="N3818" s="436" t="s">
        <v>199</v>
      </c>
      <c r="O3818" s="243" t="s">
        <v>131</v>
      </c>
      <c r="P3818" s="257"/>
      <c r="Q3818" s="258"/>
      <c r="R3818" s="260"/>
      <c r="S3818" s="260"/>
      <c r="T3818" s="260"/>
      <c r="U3818" s="260"/>
      <c r="V3818" s="260"/>
      <c r="W3818" s="262">
        <f>'ТС.РО 01.01 - 30.06'!W3818*W3956</f>
        <v>0</v>
      </c>
      <c r="X3818" s="260"/>
      <c r="Y3818" s="260"/>
      <c r="Z3818" s="262">
        <f>'ТС.РО 01.07 - 31.08'!Z3818*Z3956</f>
        <v>0</v>
      </c>
      <c r="AA3818" s="260"/>
      <c r="AB3818" s="260"/>
      <c r="AC3818" s="262">
        <f>'ТС.РО 01.09 - 31.12'!AC3818*AC3956</f>
        <v>0</v>
      </c>
      <c r="AD3818"/>
      <c r="AE3818"/>
      <c r="AF3818"/>
      <c r="AG3818"/>
    </row>
    <row r="3819" spans="13:33" ht="12" customHeight="1">
      <c r="M3819"/>
      <c r="N3819" s="436"/>
      <c r="O3819" s="243"/>
      <c r="P3819" s="260"/>
      <c r="Q3819" s="258"/>
      <c r="R3819" s="260"/>
      <c r="S3819" s="260"/>
      <c r="T3819" s="260"/>
      <c r="U3819" s="260"/>
      <c r="V3819" s="260"/>
      <c r="W3819" s="260"/>
      <c r="X3819" s="260"/>
      <c r="Y3819" s="260"/>
      <c r="Z3819" s="260"/>
      <c r="AA3819" s="260"/>
      <c r="AB3819" s="260"/>
      <c r="AC3819" s="260"/>
      <c r="AD3819"/>
      <c r="AE3819"/>
      <c r="AF3819"/>
      <c r="AG3819"/>
    </row>
    <row r="3820" spans="13:33" ht="12" customHeight="1">
      <c r="M3820"/>
      <c r="N3820" s="236" t="s">
        <v>2999</v>
      </c>
      <c r="O3820" s="482" t="s">
        <v>2792</v>
      </c>
      <c r="P3820" s="257"/>
      <c r="Q3820" s="258"/>
      <c r="R3820" s="260"/>
      <c r="S3820" s="260"/>
      <c r="T3820" s="260"/>
      <c r="U3820" s="260"/>
      <c r="V3820" s="260"/>
      <c r="W3820" s="262">
        <f>'ТС.РО 01.01 - 30.06'!W3820*W3956</f>
        <v>0</v>
      </c>
      <c r="X3820" s="260"/>
      <c r="Y3820" s="260"/>
      <c r="Z3820" s="262">
        <f>'ТС.РО 01.07 - 31.08'!Z3820*Z3956</f>
        <v>0</v>
      </c>
      <c r="AA3820" s="260"/>
      <c r="AB3820" s="260"/>
      <c r="AC3820" s="262">
        <f>'ТС.РО 01.09 - 31.12'!AC3820*AC3956</f>
        <v>0</v>
      </c>
      <c r="AD3820"/>
      <c r="AE3820"/>
      <c r="AF3820"/>
      <c r="AG3820"/>
    </row>
    <row r="3821" spans="13:33" ht="12" customHeight="1">
      <c r="M3821"/>
      <c r="N3821" s="236" t="s">
        <v>3000</v>
      </c>
      <c r="O3821" s="243" t="s">
        <v>130</v>
      </c>
      <c r="P3821" s="257"/>
      <c r="Q3821" s="258"/>
      <c r="R3821" s="260"/>
      <c r="S3821" s="260"/>
      <c r="T3821" s="260"/>
      <c r="U3821" s="260"/>
      <c r="V3821" s="260"/>
      <c r="W3821" s="262">
        <f>'ТС.РО 01.01 - 30.06'!W3821*W3956</f>
        <v>0</v>
      </c>
      <c r="X3821" s="260"/>
      <c r="Y3821" s="260"/>
      <c r="Z3821" s="262">
        <f>'ТС.РО 01.07 - 31.08'!Z3821*Z3956</f>
        <v>0</v>
      </c>
      <c r="AA3821" s="260"/>
      <c r="AB3821" s="260"/>
      <c r="AC3821" s="262">
        <f>'ТС.РО 01.09 - 31.12'!AC3821*AC3956</f>
        <v>0</v>
      </c>
      <c r="AD3821"/>
      <c r="AE3821"/>
      <c r="AF3821"/>
      <c r="AG3821"/>
    </row>
    <row r="3822" spans="13:33" ht="12" customHeight="1">
      <c r="M3822"/>
      <c r="N3822" s="236" t="s">
        <v>3001</v>
      </c>
      <c r="O3822" s="243" t="s">
        <v>131</v>
      </c>
      <c r="P3822" s="257"/>
      <c r="Q3822" s="258"/>
      <c r="R3822" s="260"/>
      <c r="S3822" s="260"/>
      <c r="T3822" s="260"/>
      <c r="U3822" s="260"/>
      <c r="V3822" s="260"/>
      <c r="W3822" s="262">
        <f>'ТС.РО 01.01 - 30.06'!W3822*W3956</f>
        <v>0</v>
      </c>
      <c r="X3822" s="260"/>
      <c r="Y3822" s="260"/>
      <c r="Z3822" s="262">
        <f>'ТС.РО 01.07 - 31.08'!Z3822*Z3956</f>
        <v>0</v>
      </c>
      <c r="AA3822" s="260"/>
      <c r="AB3822" s="260"/>
      <c r="AC3822" s="262">
        <f>'ТС.РО 01.09 - 31.12'!AC3822*AC3956</f>
        <v>0</v>
      </c>
      <c r="AD3822"/>
      <c r="AE3822"/>
      <c r="AF3822"/>
      <c r="AG3822"/>
    </row>
    <row r="3823" spans="13:33" ht="12" customHeight="1">
      <c r="M3823"/>
      <c r="N3823" s="236" t="s">
        <v>200</v>
      </c>
      <c r="O3823" s="243" t="s">
        <v>118</v>
      </c>
      <c r="P3823" s="257"/>
      <c r="Q3823" s="258"/>
      <c r="R3823" s="260"/>
      <c r="S3823" s="260"/>
      <c r="T3823" s="260"/>
      <c r="U3823" s="260"/>
      <c r="V3823" s="260"/>
      <c r="W3823" s="262">
        <f>'ТС.РО 01.01 - 30.06'!W3823*W3956</f>
        <v>0</v>
      </c>
      <c r="X3823" s="260"/>
      <c r="Y3823" s="260"/>
      <c r="Z3823" s="262">
        <f>'ТС.РО 01.07 - 31.08'!Z3823*Z3956</f>
        <v>0</v>
      </c>
      <c r="AA3823" s="260"/>
      <c r="AB3823" s="260"/>
      <c r="AC3823" s="262">
        <f>'ТС.РО 01.09 - 31.12'!AC3823*AC3956</f>
        <v>0</v>
      </c>
      <c r="AD3823"/>
      <c r="AE3823"/>
      <c r="AF3823"/>
      <c r="AG3823"/>
    </row>
    <row r="3824" spans="13:33" ht="12" customHeight="1">
      <c r="M3824"/>
      <c r="N3824" s="236" t="s">
        <v>3002</v>
      </c>
      <c r="O3824" s="482" t="s">
        <v>756</v>
      </c>
      <c r="P3824" s="257"/>
      <c r="Q3824" s="258"/>
      <c r="R3824" s="260"/>
      <c r="S3824" s="260"/>
      <c r="T3824" s="260"/>
      <c r="U3824" s="260"/>
      <c r="V3824" s="260"/>
      <c r="W3824" s="262">
        <f>'ТС.РО 01.01 - 30.06'!W3824*W3956</f>
        <v>0</v>
      </c>
      <c r="X3824" s="260"/>
      <c r="Y3824" s="260"/>
      <c r="Z3824" s="262">
        <f>'ТС.РО 01.07 - 31.08'!Z3824*Z3956</f>
        <v>0</v>
      </c>
      <c r="AA3824" s="260"/>
      <c r="AB3824" s="260"/>
      <c r="AC3824" s="262">
        <f>'ТС.РО 01.09 - 31.12'!AC3824*AC3956</f>
        <v>0</v>
      </c>
      <c r="AD3824"/>
      <c r="AE3824"/>
      <c r="AF3824"/>
      <c r="AG3824"/>
    </row>
    <row r="3825" spans="13:33" ht="12" customHeight="1">
      <c r="M3825"/>
      <c r="N3825" s="436" t="s">
        <v>201</v>
      </c>
      <c r="O3825" s="243" t="s">
        <v>130</v>
      </c>
      <c r="P3825" s="257"/>
      <c r="Q3825" s="258"/>
      <c r="R3825" s="260"/>
      <c r="S3825" s="260"/>
      <c r="T3825" s="260"/>
      <c r="U3825" s="260"/>
      <c r="V3825" s="260"/>
      <c r="W3825" s="262">
        <f>'ТС.РО 01.01 - 30.06'!W3825*W3956</f>
        <v>0</v>
      </c>
      <c r="X3825" s="260"/>
      <c r="Y3825" s="260"/>
      <c r="Z3825" s="262">
        <f>'ТС.РО 01.07 - 31.08'!Z3825*Z3956</f>
        <v>0</v>
      </c>
      <c r="AA3825" s="260"/>
      <c r="AB3825" s="260"/>
      <c r="AC3825" s="262">
        <f>'ТС.РО 01.09 - 31.12'!AC3825*AC3956</f>
        <v>0</v>
      </c>
      <c r="AD3825"/>
      <c r="AE3825"/>
      <c r="AF3825"/>
      <c r="AG3825"/>
    </row>
    <row r="3826" spans="13:33" ht="12" customHeight="1">
      <c r="M3826"/>
      <c r="N3826" s="436" t="s">
        <v>202</v>
      </c>
      <c r="O3826" s="243" t="s">
        <v>131</v>
      </c>
      <c r="P3826" s="257"/>
      <c r="Q3826" s="258"/>
      <c r="R3826" s="260"/>
      <c r="S3826" s="260"/>
      <c r="T3826" s="260"/>
      <c r="U3826" s="260"/>
      <c r="V3826" s="260"/>
      <c r="W3826" s="262">
        <f>'ТС.РО 01.01 - 30.06'!W3826*W3956</f>
        <v>0</v>
      </c>
      <c r="X3826" s="260"/>
      <c r="Y3826" s="260"/>
      <c r="Z3826" s="262">
        <f>'ТС.РО 01.07 - 31.08'!Z3826*Z3956</f>
        <v>0</v>
      </c>
      <c r="AA3826" s="260"/>
      <c r="AB3826" s="260"/>
      <c r="AC3826" s="262">
        <f>'ТС.РО 01.09 - 31.12'!AC3826*AC3956</f>
        <v>0</v>
      </c>
      <c r="AD3826"/>
      <c r="AE3826"/>
      <c r="AF3826"/>
      <c r="AG3826"/>
    </row>
    <row r="3827" spans="13:33" ht="12" customHeight="1">
      <c r="M3827"/>
      <c r="N3827" s="436" t="s">
        <v>203</v>
      </c>
      <c r="O3827" s="243" t="s">
        <v>118</v>
      </c>
      <c r="P3827" s="257"/>
      <c r="Q3827" s="258"/>
      <c r="R3827" s="260"/>
      <c r="S3827" s="260"/>
      <c r="T3827" s="260"/>
      <c r="U3827" s="260"/>
      <c r="V3827" s="260"/>
      <c r="W3827" s="262">
        <f>'ТС.РО 01.01 - 30.06'!W3827*W3956</f>
        <v>0</v>
      </c>
      <c r="X3827" s="260"/>
      <c r="Y3827" s="260"/>
      <c r="Z3827" s="262">
        <f>'ТС.РО 01.07 - 31.08'!Z3827*Z3956</f>
        <v>0</v>
      </c>
      <c r="AA3827" s="260"/>
      <c r="AB3827" s="260"/>
      <c r="AC3827" s="262">
        <f>'ТС.РО 01.09 - 31.12'!AC3827*AC3956</f>
        <v>0</v>
      </c>
      <c r="AD3827"/>
      <c r="AE3827"/>
      <c r="AF3827"/>
      <c r="AG3827"/>
    </row>
    <row r="3828" spans="13:33" ht="12" customHeight="1">
      <c r="M3828"/>
      <c r="N3828" s="234" t="s">
        <v>3003</v>
      </c>
      <c r="O3828" s="225" t="s">
        <v>3004</v>
      </c>
      <c r="P3828" s="257"/>
      <c r="Q3828" s="258"/>
      <c r="R3828" s="260"/>
      <c r="S3828" s="260"/>
      <c r="T3828" s="260"/>
      <c r="U3828" s="260"/>
      <c r="V3828" s="260"/>
      <c r="W3828" s="262">
        <f>'ТС.РО 01.01 - 30.06'!W3828*W3956</f>
        <v>0</v>
      </c>
      <c r="X3828" s="260"/>
      <c r="Y3828" s="260"/>
      <c r="Z3828" s="262">
        <f>'ТС.РО 01.07 - 31.08'!Z3828*Z3956</f>
        <v>0</v>
      </c>
      <c r="AA3828" s="260"/>
      <c r="AB3828" s="260"/>
      <c r="AC3828" s="262">
        <f>'ТС.РО 01.09 - 31.12'!AC3828*AC3956</f>
        <v>0</v>
      </c>
      <c r="AD3828"/>
      <c r="AE3828"/>
      <c r="AF3828"/>
      <c r="AG3828"/>
    </row>
    <row r="3829" spans="13:33" ht="12" customHeight="1">
      <c r="M3829"/>
      <c r="N3829" s="234" t="s">
        <v>3006</v>
      </c>
      <c r="O3829" s="225" t="s">
        <v>3007</v>
      </c>
      <c r="P3829" s="257"/>
      <c r="Q3829" s="258"/>
      <c r="R3829" s="260"/>
      <c r="S3829" s="260"/>
      <c r="T3829" s="260"/>
      <c r="U3829" s="260"/>
      <c r="V3829" s="260"/>
      <c r="W3829" s="262">
        <f>'ТС.РО 01.01 - 30.06'!W3829*W3956</f>
        <v>0</v>
      </c>
      <c r="X3829" s="260"/>
      <c r="Y3829" s="260"/>
      <c r="Z3829" s="262">
        <f>'ТС.РО 01.07 - 31.08'!Z3829*Z3956</f>
        <v>0</v>
      </c>
      <c r="AA3829" s="260"/>
      <c r="AB3829" s="260"/>
      <c r="AC3829" s="262">
        <f>'ТС.РО 01.09 - 31.12'!AC3829*AC3956</f>
        <v>0</v>
      </c>
      <c r="AD3829"/>
      <c r="AE3829"/>
      <c r="AF3829"/>
      <c r="AG3829"/>
    </row>
    <row r="3830" spans="13:33" ht="12" customHeight="1">
      <c r="M3830"/>
      <c r="N3830" s="236" t="s">
        <v>3008</v>
      </c>
      <c r="O3830" s="242" t="s">
        <v>2986</v>
      </c>
      <c r="P3830" s="257"/>
      <c r="Q3830" s="258"/>
      <c r="R3830" s="260"/>
      <c r="S3830" s="260"/>
      <c r="T3830" s="260"/>
      <c r="U3830" s="260"/>
      <c r="V3830" s="260"/>
      <c r="W3830" s="262">
        <f>'ТС.РО 01.01 - 30.06'!W3830*W3956</f>
        <v>0</v>
      </c>
      <c r="X3830" s="260"/>
      <c r="Y3830" s="260"/>
      <c r="Z3830" s="262">
        <f>'ТС.РО 01.07 - 31.08'!Z3830*Z3956</f>
        <v>0</v>
      </c>
      <c r="AA3830" s="260"/>
      <c r="AB3830" s="260"/>
      <c r="AC3830" s="262">
        <f>'ТС.РО 01.09 - 31.12'!AC3830*AC3956</f>
        <v>0</v>
      </c>
      <c r="AD3830"/>
      <c r="AE3830"/>
      <c r="AF3830"/>
      <c r="AG3830"/>
    </row>
    <row r="3831" spans="13:33" ht="12" customHeight="1">
      <c r="M3831"/>
      <c r="N3831" s="236" t="s">
        <v>3009</v>
      </c>
      <c r="O3831" s="242" t="s">
        <v>2988</v>
      </c>
      <c r="P3831" s="257"/>
      <c r="Q3831" s="258"/>
      <c r="R3831" s="260"/>
      <c r="S3831" s="260"/>
      <c r="T3831" s="260"/>
      <c r="U3831" s="260"/>
      <c r="V3831" s="260"/>
      <c r="W3831" s="262">
        <f>'ТС.РО 01.01 - 30.06'!W3831*W3956</f>
        <v>0</v>
      </c>
      <c r="X3831" s="260"/>
      <c r="Y3831" s="260"/>
      <c r="Z3831" s="262">
        <f>'ТС.РО 01.07 - 31.08'!Z3831*Z3956</f>
        <v>0</v>
      </c>
      <c r="AA3831" s="260"/>
      <c r="AB3831" s="260"/>
      <c r="AC3831" s="262">
        <f>'ТС.РО 01.09 - 31.12'!AC3831*AC3956</f>
        <v>0</v>
      </c>
      <c r="AD3831"/>
      <c r="AE3831"/>
      <c r="AF3831"/>
      <c r="AG3831"/>
    </row>
    <row r="3832" spans="13:33" ht="12" customHeight="1">
      <c r="M3832"/>
      <c r="N3832" s="236" t="s">
        <v>3010</v>
      </c>
      <c r="O3832" s="242" t="s">
        <v>3011</v>
      </c>
      <c r="P3832" s="257"/>
      <c r="Q3832" s="258"/>
      <c r="R3832" s="260"/>
      <c r="S3832" s="260"/>
      <c r="T3832" s="260"/>
      <c r="U3832" s="260"/>
      <c r="V3832" s="260"/>
      <c r="W3832" s="262">
        <f>'ТС.РО 01.01 - 30.06'!W3832*W3956</f>
        <v>0</v>
      </c>
      <c r="X3832" s="260"/>
      <c r="Y3832" s="260"/>
      <c r="Z3832" s="262">
        <f>'ТС.РО 01.07 - 31.08'!Z3832*Z3956</f>
        <v>0</v>
      </c>
      <c r="AA3832" s="260"/>
      <c r="AB3832" s="260"/>
      <c r="AC3832" s="262">
        <f>'ТС.РО 01.09 - 31.12'!AC3832*AC3956</f>
        <v>0</v>
      </c>
      <c r="AD3832"/>
      <c r="AE3832"/>
      <c r="AF3832"/>
      <c r="AG3832"/>
    </row>
    <row r="3833" spans="13:33" ht="12" customHeight="1">
      <c r="M3833"/>
      <c r="N3833" s="236" t="s">
        <v>3012</v>
      </c>
      <c r="O3833" s="244" t="s">
        <v>2968</v>
      </c>
      <c r="P3833" s="257"/>
      <c r="Q3833" s="258"/>
      <c r="R3833" s="260"/>
      <c r="S3833" s="260"/>
      <c r="T3833" s="260"/>
      <c r="U3833" s="260"/>
      <c r="V3833" s="260"/>
      <c r="W3833" s="262">
        <f>'ТС.РО 01.01 - 30.06'!W3833*W3956</f>
        <v>0</v>
      </c>
      <c r="X3833" s="260"/>
      <c r="Y3833" s="260"/>
      <c r="Z3833" s="262">
        <f>'ТС.РО 01.07 - 31.08'!Z3833*Z3956</f>
        <v>0</v>
      </c>
      <c r="AA3833" s="260"/>
      <c r="AB3833" s="260"/>
      <c r="AC3833" s="262">
        <f>'ТС.РО 01.09 - 31.12'!AC3833*AC3956</f>
        <v>0</v>
      </c>
      <c r="AD3833"/>
      <c r="AE3833"/>
      <c r="AF3833"/>
      <c r="AG3833"/>
    </row>
    <row r="3834" spans="13:33" ht="12" customHeight="1">
      <c r="M3834"/>
      <c r="N3834" s="236" t="s">
        <v>3013</v>
      </c>
      <c r="O3834" s="244" t="s">
        <v>2986</v>
      </c>
      <c r="P3834" s="257"/>
      <c r="Q3834" s="258"/>
      <c r="R3834" s="260"/>
      <c r="S3834" s="260"/>
      <c r="T3834" s="260"/>
      <c r="U3834" s="260"/>
      <c r="V3834" s="260"/>
      <c r="W3834" s="262">
        <f>'ТС.РО 01.01 - 30.06'!W3834*W3956</f>
        <v>0</v>
      </c>
      <c r="X3834" s="260"/>
      <c r="Y3834" s="260"/>
      <c r="Z3834" s="262">
        <f>'ТС.РО 01.07 - 31.08'!Z3834*Z3956</f>
        <v>0</v>
      </c>
      <c r="AA3834" s="260"/>
      <c r="AB3834" s="260"/>
      <c r="AC3834" s="262">
        <f>'ТС.РО 01.09 - 31.12'!AC3834*AC3956</f>
        <v>0</v>
      </c>
      <c r="AD3834"/>
      <c r="AE3834"/>
      <c r="AF3834"/>
      <c r="AG3834"/>
    </row>
    <row r="3835" spans="13:33" ht="12" customHeight="1">
      <c r="M3835"/>
      <c r="N3835" s="236" t="s">
        <v>3014</v>
      </c>
      <c r="O3835" s="245" t="s">
        <v>3015</v>
      </c>
      <c r="P3835" s="257"/>
      <c r="Q3835" s="258"/>
      <c r="R3835" s="260"/>
      <c r="S3835" s="260"/>
      <c r="T3835" s="260"/>
      <c r="U3835" s="260"/>
      <c r="V3835" s="260"/>
      <c r="W3835" s="262">
        <f>'ТС.РО 01.01 - 30.06'!W3835*W3956</f>
        <v>0</v>
      </c>
      <c r="X3835" s="260"/>
      <c r="Y3835" s="260"/>
      <c r="Z3835" s="262">
        <f>'ТС.РО 01.07 - 31.08'!Z3835*Z3956</f>
        <v>0</v>
      </c>
      <c r="AA3835" s="260"/>
      <c r="AB3835" s="260"/>
      <c r="AC3835" s="262">
        <f>'ТС.РО 01.09 - 31.12'!AC3835*AC3956</f>
        <v>0</v>
      </c>
      <c r="AD3835"/>
      <c r="AE3835"/>
      <c r="AF3835"/>
      <c r="AG3835"/>
    </row>
    <row r="3836" spans="13:33" ht="12" customHeight="1">
      <c r="M3836"/>
      <c r="N3836" s="236" t="s">
        <v>3016</v>
      </c>
      <c r="O3836" s="244" t="s">
        <v>2970</v>
      </c>
      <c r="P3836" s="257"/>
      <c r="Q3836" s="258"/>
      <c r="R3836" s="260"/>
      <c r="S3836" s="260"/>
      <c r="T3836" s="260"/>
      <c r="U3836" s="260"/>
      <c r="V3836" s="260"/>
      <c r="W3836" s="262">
        <f>'ТС.РО 01.01 - 30.06'!W3836*W3956</f>
        <v>0</v>
      </c>
      <c r="X3836" s="260"/>
      <c r="Y3836" s="260"/>
      <c r="Z3836" s="262">
        <f>'ТС.РО 01.07 - 31.08'!Z3836*Z3956</f>
        <v>0</v>
      </c>
      <c r="AA3836" s="260"/>
      <c r="AB3836" s="260"/>
      <c r="AC3836" s="262">
        <f>'ТС.РО 01.09 - 31.12'!AC3836*AC3956</f>
        <v>0</v>
      </c>
      <c r="AD3836"/>
      <c r="AE3836"/>
      <c r="AF3836"/>
      <c r="AG3836"/>
    </row>
    <row r="3837" spans="13:33" ht="12" customHeight="1">
      <c r="M3837"/>
      <c r="N3837" s="236" t="s">
        <v>3017</v>
      </c>
      <c r="O3837" s="244" t="s">
        <v>3018</v>
      </c>
      <c r="P3837" s="257"/>
      <c r="Q3837" s="258"/>
      <c r="R3837" s="260"/>
      <c r="S3837" s="260"/>
      <c r="T3837" s="260"/>
      <c r="U3837" s="260"/>
      <c r="V3837" s="260"/>
      <c r="W3837" s="262">
        <f>'ТС.РО 01.01 - 30.06'!W3837*W3956</f>
        <v>0</v>
      </c>
      <c r="X3837" s="260"/>
      <c r="Y3837" s="260"/>
      <c r="Z3837" s="262">
        <f>'ТС.РО 01.07 - 31.08'!Z3837*Z3956</f>
        <v>0</v>
      </c>
      <c r="AA3837" s="260"/>
      <c r="AB3837" s="260"/>
      <c r="AC3837" s="262">
        <f>'ТС.РО 01.09 - 31.12'!AC3837*AC3956</f>
        <v>0</v>
      </c>
      <c r="AD3837"/>
      <c r="AE3837"/>
      <c r="AF3837"/>
      <c r="AG3837"/>
    </row>
    <row r="3838" spans="13:33" ht="12" customHeight="1">
      <c r="M3838"/>
      <c r="N3838" s="236" t="s">
        <v>3019</v>
      </c>
      <c r="O3838" s="242" t="s">
        <v>3020</v>
      </c>
      <c r="P3838" s="257"/>
      <c r="Q3838" s="258"/>
      <c r="R3838" s="260"/>
      <c r="S3838" s="260"/>
      <c r="T3838" s="260"/>
      <c r="U3838" s="260"/>
      <c r="V3838" s="260"/>
      <c r="W3838" s="262">
        <f>'ТС.РО 01.01 - 30.06'!W3838*W3956</f>
        <v>0</v>
      </c>
      <c r="X3838" s="260"/>
      <c r="Y3838" s="260"/>
      <c r="Z3838" s="262">
        <f>'ТС.РО 01.07 - 31.08'!Z3838*Z3956</f>
        <v>0</v>
      </c>
      <c r="AA3838" s="260"/>
      <c r="AB3838" s="260"/>
      <c r="AC3838" s="262">
        <f>'ТС.РО 01.09 - 31.12'!AC3838*AC3956</f>
        <v>0</v>
      </c>
      <c r="AD3838"/>
      <c r="AE3838"/>
      <c r="AF3838"/>
      <c r="AG3838"/>
    </row>
    <row r="3839" spans="13:33" ht="12" customHeight="1">
      <c r="M3839"/>
      <c r="N3839" s="236" t="s">
        <v>3021</v>
      </c>
      <c r="O3839" s="244" t="s">
        <v>2968</v>
      </c>
      <c r="P3839" s="257"/>
      <c r="Q3839" s="258"/>
      <c r="R3839" s="260"/>
      <c r="S3839" s="260"/>
      <c r="T3839" s="260"/>
      <c r="U3839" s="260"/>
      <c r="V3839" s="260"/>
      <c r="W3839" s="262">
        <f>'ТС.РО 01.01 - 30.06'!W3839*W3956</f>
        <v>0</v>
      </c>
      <c r="X3839" s="260"/>
      <c r="Y3839" s="260"/>
      <c r="Z3839" s="262">
        <f>'ТС.РО 01.07 - 31.08'!Z3839*Z3956</f>
        <v>0</v>
      </c>
      <c r="AA3839" s="260"/>
      <c r="AB3839" s="260"/>
      <c r="AC3839" s="262">
        <f>'ТС.РО 01.09 - 31.12'!AC3839*AC3956</f>
        <v>0</v>
      </c>
      <c r="AD3839"/>
      <c r="AE3839"/>
      <c r="AF3839"/>
      <c r="AG3839"/>
    </row>
    <row r="3840" spans="13:33" ht="12" customHeight="1">
      <c r="M3840"/>
      <c r="N3840" s="236" t="s">
        <v>3022</v>
      </c>
      <c r="O3840" s="244" t="s">
        <v>2986</v>
      </c>
      <c r="P3840" s="257"/>
      <c r="Q3840" s="258"/>
      <c r="R3840" s="260"/>
      <c r="S3840" s="260"/>
      <c r="T3840" s="260"/>
      <c r="U3840" s="260"/>
      <c r="V3840" s="260"/>
      <c r="W3840" s="262">
        <f>'ТС.РО 01.01 - 30.06'!W3840*W3956</f>
        <v>0</v>
      </c>
      <c r="X3840" s="260"/>
      <c r="Y3840" s="260"/>
      <c r="Z3840" s="262">
        <f>'ТС.РО 01.07 - 31.08'!Z3840*Z3956</f>
        <v>0</v>
      </c>
      <c r="AA3840" s="260"/>
      <c r="AB3840" s="260"/>
      <c r="AC3840" s="262">
        <f>'ТС.РО 01.09 - 31.12'!AC3840*AC3956</f>
        <v>0</v>
      </c>
      <c r="AD3840"/>
      <c r="AE3840"/>
      <c r="AF3840"/>
      <c r="AG3840"/>
    </row>
    <row r="3841" spans="13:33" ht="12" customHeight="1">
      <c r="M3841"/>
      <c r="N3841" s="236" t="s">
        <v>3023</v>
      </c>
      <c r="O3841" s="245" t="s">
        <v>3024</v>
      </c>
      <c r="P3841" s="257"/>
      <c r="Q3841" s="258"/>
      <c r="R3841" s="260"/>
      <c r="S3841" s="260"/>
      <c r="T3841" s="260"/>
      <c r="U3841" s="260"/>
      <c r="V3841" s="260"/>
      <c r="W3841" s="262">
        <f>'ТС.РО 01.01 - 30.06'!W3841*W3956</f>
        <v>0</v>
      </c>
      <c r="X3841" s="260"/>
      <c r="Y3841" s="260"/>
      <c r="Z3841" s="262">
        <f>'ТС.РО 01.07 - 31.08'!Z3841*Z3956</f>
        <v>0</v>
      </c>
      <c r="AA3841" s="260"/>
      <c r="AB3841" s="260"/>
      <c r="AC3841" s="262">
        <f>'ТС.РО 01.09 - 31.12'!AC3841*AC3956</f>
        <v>0</v>
      </c>
      <c r="AD3841"/>
      <c r="AE3841"/>
      <c r="AF3841"/>
      <c r="AG3841"/>
    </row>
    <row r="3842" spans="13:33" ht="12" customHeight="1">
      <c r="M3842"/>
      <c r="N3842" s="236" t="s">
        <v>3025</v>
      </c>
      <c r="O3842" s="244" t="s">
        <v>2970</v>
      </c>
      <c r="P3842" s="257"/>
      <c r="Q3842" s="258"/>
      <c r="R3842" s="260"/>
      <c r="S3842" s="260"/>
      <c r="T3842" s="260"/>
      <c r="U3842" s="260"/>
      <c r="V3842" s="260"/>
      <c r="W3842" s="262">
        <f>'ТС.РО 01.01 - 30.06'!W3842*W3956</f>
        <v>0</v>
      </c>
      <c r="X3842" s="260"/>
      <c r="Y3842" s="260"/>
      <c r="Z3842" s="262">
        <f>'ТС.РО 01.07 - 31.08'!Z3842*Z3956</f>
        <v>0</v>
      </c>
      <c r="AA3842" s="260"/>
      <c r="AB3842" s="260"/>
      <c r="AC3842" s="262">
        <f>'ТС.РО 01.09 - 31.12'!AC3842*AC3956</f>
        <v>0</v>
      </c>
      <c r="AD3842"/>
      <c r="AE3842"/>
      <c r="AF3842"/>
      <c r="AG3842"/>
    </row>
    <row r="3843" spans="13:33" ht="12" customHeight="1">
      <c r="M3843"/>
      <c r="N3843" s="236" t="s">
        <v>3026</v>
      </c>
      <c r="O3843" s="244" t="s">
        <v>3018</v>
      </c>
      <c r="P3843" s="257"/>
      <c r="Q3843" s="258"/>
      <c r="R3843" s="260"/>
      <c r="S3843" s="260"/>
      <c r="T3843" s="260"/>
      <c r="U3843" s="260"/>
      <c r="V3843" s="260"/>
      <c r="W3843" s="262">
        <f>'ТС.РО 01.01 - 30.06'!W3843*W3956</f>
        <v>0</v>
      </c>
      <c r="X3843" s="260"/>
      <c r="Y3843" s="260"/>
      <c r="Z3843" s="262">
        <f>'ТС.РО 01.07 - 31.08'!Z3843*Z3956</f>
        <v>0</v>
      </c>
      <c r="AA3843" s="260"/>
      <c r="AB3843" s="260"/>
      <c r="AC3843" s="262">
        <f>'ТС.РО 01.09 - 31.12'!AC3843*AC3956</f>
        <v>0</v>
      </c>
      <c r="AD3843"/>
      <c r="AE3843"/>
      <c r="AF3843"/>
      <c r="AG3843"/>
    </row>
    <row r="3844" spans="13:33" ht="12" customHeight="1">
      <c r="M3844"/>
      <c r="N3844" s="236" t="s">
        <v>3027</v>
      </c>
      <c r="O3844" s="242" t="s">
        <v>3028</v>
      </c>
      <c r="P3844" s="257"/>
      <c r="Q3844" s="258"/>
      <c r="R3844" s="260"/>
      <c r="S3844" s="260"/>
      <c r="T3844" s="260"/>
      <c r="U3844" s="260"/>
      <c r="V3844" s="260"/>
      <c r="W3844" s="262">
        <f>'ТС.РО 01.01 - 30.06'!W3844*W3956</f>
        <v>0</v>
      </c>
      <c r="X3844" s="260"/>
      <c r="Y3844" s="260"/>
      <c r="Z3844" s="262">
        <f>'ТС.РО 01.07 - 31.08'!Z3844*Z3956</f>
        <v>0</v>
      </c>
      <c r="AA3844" s="260"/>
      <c r="AB3844" s="260"/>
      <c r="AC3844" s="262">
        <f>'ТС.РО 01.09 - 31.12'!AC3844*AC3956</f>
        <v>0</v>
      </c>
      <c r="AD3844"/>
      <c r="AE3844"/>
      <c r="AF3844"/>
      <c r="AG3844"/>
    </row>
    <row r="3845" spans="13:33" ht="12" customHeight="1">
      <c r="M3845"/>
      <c r="N3845" s="236" t="s">
        <v>3029</v>
      </c>
      <c r="O3845" s="244" t="s">
        <v>2968</v>
      </c>
      <c r="P3845" s="257"/>
      <c r="Q3845" s="258"/>
      <c r="R3845" s="260"/>
      <c r="S3845" s="260"/>
      <c r="T3845" s="260"/>
      <c r="U3845" s="260"/>
      <c r="V3845" s="260"/>
      <c r="W3845" s="262">
        <f>'ТС.РО 01.01 - 30.06'!W3845*W3956</f>
        <v>0</v>
      </c>
      <c r="X3845" s="260"/>
      <c r="Y3845" s="260"/>
      <c r="Z3845" s="262">
        <f>'ТС.РО 01.07 - 31.08'!Z3845*Z3956</f>
        <v>0</v>
      </c>
      <c r="AA3845" s="260"/>
      <c r="AB3845" s="260"/>
      <c r="AC3845" s="262">
        <f>'ТС.РО 01.09 - 31.12'!AC3845*AC3956</f>
        <v>0</v>
      </c>
      <c r="AD3845"/>
      <c r="AE3845"/>
      <c r="AF3845"/>
      <c r="AG3845"/>
    </row>
    <row r="3846" spans="13:33" ht="12" customHeight="1">
      <c r="M3846"/>
      <c r="N3846" s="236" t="s">
        <v>3030</v>
      </c>
      <c r="O3846" s="244" t="s">
        <v>2986</v>
      </c>
      <c r="P3846" s="257"/>
      <c r="Q3846" s="258"/>
      <c r="R3846" s="260"/>
      <c r="S3846" s="260"/>
      <c r="T3846" s="260"/>
      <c r="U3846" s="260"/>
      <c r="V3846" s="260"/>
      <c r="W3846" s="262">
        <f>'ТС.РО 01.01 - 30.06'!W3846*W3956</f>
        <v>0</v>
      </c>
      <c r="X3846" s="260"/>
      <c r="Y3846" s="260"/>
      <c r="Z3846" s="262">
        <f>'ТС.РО 01.07 - 31.08'!Z3846*Z3956</f>
        <v>0</v>
      </c>
      <c r="AA3846" s="260"/>
      <c r="AB3846" s="260"/>
      <c r="AC3846" s="262">
        <f>'ТС.РО 01.09 - 31.12'!AC3846*AC3956</f>
        <v>0</v>
      </c>
      <c r="AD3846"/>
      <c r="AE3846"/>
      <c r="AF3846"/>
      <c r="AG3846"/>
    </row>
    <row r="3847" spans="13:33" ht="12" customHeight="1">
      <c r="M3847"/>
      <c r="N3847" s="236" t="s">
        <v>3031</v>
      </c>
      <c r="O3847" s="245" t="s">
        <v>3032</v>
      </c>
      <c r="P3847" s="257"/>
      <c r="Q3847" s="258"/>
      <c r="R3847" s="260"/>
      <c r="S3847" s="260"/>
      <c r="T3847" s="260"/>
      <c r="U3847" s="260"/>
      <c r="V3847" s="260"/>
      <c r="W3847" s="262">
        <f>'ТС.РО 01.01 - 30.06'!W3847*W3956</f>
        <v>0</v>
      </c>
      <c r="X3847" s="260"/>
      <c r="Y3847" s="260"/>
      <c r="Z3847" s="262">
        <f>'ТС.РО 01.07 - 31.08'!Z3847*Z3956</f>
        <v>0</v>
      </c>
      <c r="AA3847" s="260"/>
      <c r="AB3847" s="260"/>
      <c r="AC3847" s="262">
        <f>'ТС.РО 01.09 - 31.12'!AC3847*AC3956</f>
        <v>0</v>
      </c>
      <c r="AD3847"/>
      <c r="AE3847"/>
      <c r="AF3847"/>
      <c r="AG3847"/>
    </row>
    <row r="3848" spans="13:33" ht="12" customHeight="1">
      <c r="M3848"/>
      <c r="N3848" s="236" t="s">
        <v>3033</v>
      </c>
      <c r="O3848" s="244" t="s">
        <v>2970</v>
      </c>
      <c r="P3848" s="257"/>
      <c r="Q3848" s="258"/>
      <c r="R3848" s="260"/>
      <c r="S3848" s="260"/>
      <c r="T3848" s="260"/>
      <c r="U3848" s="260"/>
      <c r="V3848" s="260"/>
      <c r="W3848" s="262">
        <f>'ТС.РО 01.01 - 30.06'!W3848*W3956</f>
        <v>0</v>
      </c>
      <c r="X3848" s="260"/>
      <c r="Y3848" s="260"/>
      <c r="Z3848" s="262">
        <f>'ТС.РО 01.07 - 31.08'!Z3848*Z3956</f>
        <v>0</v>
      </c>
      <c r="AA3848" s="260"/>
      <c r="AB3848" s="260"/>
      <c r="AC3848" s="262">
        <f>'ТС.РО 01.09 - 31.12'!AC3848*AC3956</f>
        <v>0</v>
      </c>
      <c r="AD3848"/>
      <c r="AE3848"/>
      <c r="AF3848"/>
      <c r="AG3848"/>
    </row>
    <row r="3849" spans="13:33" ht="12" customHeight="1">
      <c r="M3849"/>
      <c r="N3849" s="236" t="s">
        <v>3034</v>
      </c>
      <c r="O3849" s="244" t="s">
        <v>3018</v>
      </c>
      <c r="P3849" s="257"/>
      <c r="Q3849" s="258"/>
      <c r="R3849" s="260"/>
      <c r="S3849" s="260"/>
      <c r="T3849" s="260"/>
      <c r="U3849" s="260"/>
      <c r="V3849" s="260"/>
      <c r="W3849" s="262">
        <f>'ТС.РО 01.01 - 30.06'!W3849*W3956</f>
        <v>0</v>
      </c>
      <c r="X3849" s="260"/>
      <c r="Y3849" s="260"/>
      <c r="Z3849" s="262">
        <f>'ТС.РО 01.07 - 31.08'!Z3849*Z3956</f>
        <v>0</v>
      </c>
      <c r="AA3849" s="260"/>
      <c r="AB3849" s="260"/>
      <c r="AC3849" s="262">
        <f>'ТС.РО 01.09 - 31.12'!AC3849*AC3956</f>
        <v>0</v>
      </c>
      <c r="AD3849"/>
      <c r="AE3849"/>
      <c r="AF3849"/>
      <c r="AG3849"/>
    </row>
    <row r="3850" spans="13:33" ht="12" customHeight="1">
      <c r="M3850"/>
      <c r="N3850" s="236" t="s">
        <v>3035</v>
      </c>
      <c r="O3850" s="242" t="s">
        <v>3036</v>
      </c>
      <c r="P3850" s="257"/>
      <c r="Q3850" s="258"/>
      <c r="R3850" s="260"/>
      <c r="S3850" s="260"/>
      <c r="T3850" s="260"/>
      <c r="U3850" s="260"/>
      <c r="V3850" s="260"/>
      <c r="W3850" s="262">
        <f>'ТС.РО 01.01 - 30.06'!W3850*W3956</f>
        <v>0</v>
      </c>
      <c r="X3850" s="260"/>
      <c r="Y3850" s="260"/>
      <c r="Z3850" s="262">
        <f>'ТС.РО 01.07 - 31.08'!Z3850*Z3956</f>
        <v>0</v>
      </c>
      <c r="AA3850" s="260"/>
      <c r="AB3850" s="260"/>
      <c r="AC3850" s="262">
        <f>'ТС.РО 01.09 - 31.12'!AC3850*AC3956</f>
        <v>0</v>
      </c>
      <c r="AD3850"/>
      <c r="AE3850"/>
      <c r="AF3850"/>
      <c r="AG3850"/>
    </row>
    <row r="3851" spans="13:33" ht="12" customHeight="1">
      <c r="M3851"/>
      <c r="N3851" s="236" t="s">
        <v>3037</v>
      </c>
      <c r="O3851" s="244" t="s">
        <v>2968</v>
      </c>
      <c r="P3851" s="257"/>
      <c r="Q3851" s="258"/>
      <c r="R3851" s="260"/>
      <c r="S3851" s="260"/>
      <c r="T3851" s="260"/>
      <c r="U3851" s="260"/>
      <c r="V3851" s="260"/>
      <c r="W3851" s="262">
        <f>'ТС.РО 01.01 - 30.06'!W3851*W3956</f>
        <v>0</v>
      </c>
      <c r="X3851" s="260"/>
      <c r="Y3851" s="260"/>
      <c r="Z3851" s="262">
        <f>'ТС.РО 01.07 - 31.08'!Z3851*Z3956</f>
        <v>0</v>
      </c>
      <c r="AA3851" s="260"/>
      <c r="AB3851" s="260"/>
      <c r="AC3851" s="262">
        <f>'ТС.РО 01.09 - 31.12'!AC3851*AC3956</f>
        <v>0</v>
      </c>
      <c r="AD3851"/>
      <c r="AE3851"/>
      <c r="AF3851"/>
      <c r="AG3851"/>
    </row>
    <row r="3852" spans="13:33" ht="12" customHeight="1">
      <c r="M3852"/>
      <c r="N3852" s="236" t="s">
        <v>3038</v>
      </c>
      <c r="O3852" s="244" t="s">
        <v>2986</v>
      </c>
      <c r="P3852" s="257"/>
      <c r="Q3852" s="258"/>
      <c r="R3852" s="260"/>
      <c r="S3852" s="260"/>
      <c r="T3852" s="260"/>
      <c r="U3852" s="260"/>
      <c r="V3852" s="260"/>
      <c r="W3852" s="262">
        <f>'ТС.РО 01.01 - 30.06'!W3852*W3956</f>
        <v>0</v>
      </c>
      <c r="X3852" s="260"/>
      <c r="Y3852" s="260"/>
      <c r="Z3852" s="262">
        <f>'ТС.РО 01.07 - 31.08'!Z3852*Z3956</f>
        <v>0</v>
      </c>
      <c r="AA3852" s="260"/>
      <c r="AB3852" s="260"/>
      <c r="AC3852" s="262">
        <f>'ТС.РО 01.09 - 31.12'!AC3852*AC3956</f>
        <v>0</v>
      </c>
      <c r="AD3852"/>
      <c r="AE3852"/>
      <c r="AF3852"/>
      <c r="AG3852"/>
    </row>
    <row r="3853" spans="13:33" ht="12" customHeight="1">
      <c r="M3853"/>
      <c r="N3853" s="236" t="s">
        <v>3039</v>
      </c>
      <c r="O3853" s="245" t="s">
        <v>3040</v>
      </c>
      <c r="P3853" s="257"/>
      <c r="Q3853" s="258"/>
      <c r="R3853" s="260"/>
      <c r="S3853" s="260"/>
      <c r="T3853" s="260"/>
      <c r="U3853" s="260"/>
      <c r="V3853" s="260"/>
      <c r="W3853" s="262">
        <f>'ТС.РО 01.01 - 30.06'!W3853*W3956</f>
        <v>0</v>
      </c>
      <c r="X3853" s="260"/>
      <c r="Y3853" s="260"/>
      <c r="Z3853" s="262">
        <f>'ТС.РО 01.07 - 31.08'!Z3853*Z3956</f>
        <v>0</v>
      </c>
      <c r="AA3853" s="260"/>
      <c r="AB3853" s="260"/>
      <c r="AC3853" s="262">
        <f>'ТС.РО 01.09 - 31.12'!AC3853*AC3956</f>
        <v>0</v>
      </c>
      <c r="AD3853"/>
      <c r="AE3853"/>
      <c r="AF3853"/>
      <c r="AG3853"/>
    </row>
    <row r="3854" spans="13:33" ht="12" customHeight="1">
      <c r="M3854"/>
      <c r="N3854" s="236" t="s">
        <v>3041</v>
      </c>
      <c r="O3854" s="244" t="s">
        <v>2970</v>
      </c>
      <c r="P3854" s="257"/>
      <c r="Q3854" s="258"/>
      <c r="R3854" s="260"/>
      <c r="S3854" s="260"/>
      <c r="T3854" s="260"/>
      <c r="U3854" s="260"/>
      <c r="V3854" s="260"/>
      <c r="W3854" s="262">
        <f>'ТС.РО 01.01 - 30.06'!W3854*W3956</f>
        <v>0</v>
      </c>
      <c r="X3854" s="260"/>
      <c r="Y3854" s="260"/>
      <c r="Z3854" s="262">
        <f>'ТС.РО 01.07 - 31.08'!Z3854*Z3956</f>
        <v>0</v>
      </c>
      <c r="AA3854" s="260"/>
      <c r="AB3854" s="260"/>
      <c r="AC3854" s="262">
        <f>'ТС.РО 01.09 - 31.12'!AC3854*AC3956</f>
        <v>0</v>
      </c>
      <c r="AD3854"/>
      <c r="AE3854"/>
      <c r="AF3854"/>
      <c r="AG3854"/>
    </row>
    <row r="3855" spans="13:33" ht="12" customHeight="1">
      <c r="M3855"/>
      <c r="N3855" s="236" t="s">
        <v>3042</v>
      </c>
      <c r="O3855" s="244" t="s">
        <v>3018</v>
      </c>
      <c r="P3855" s="257"/>
      <c r="Q3855" s="258"/>
      <c r="R3855" s="260"/>
      <c r="S3855" s="260"/>
      <c r="T3855" s="260"/>
      <c r="U3855" s="260"/>
      <c r="V3855" s="260"/>
      <c r="W3855" s="262">
        <f>'ТС.РО 01.01 - 30.06'!W3855*W3956</f>
        <v>0</v>
      </c>
      <c r="X3855" s="260"/>
      <c r="Y3855" s="260"/>
      <c r="Z3855" s="262">
        <f>'ТС.РО 01.07 - 31.08'!Z3855*Z3956</f>
        <v>0</v>
      </c>
      <c r="AA3855" s="260"/>
      <c r="AB3855" s="260"/>
      <c r="AC3855" s="262">
        <f>'ТС.РО 01.09 - 31.12'!AC3855*AC3956</f>
        <v>0</v>
      </c>
      <c r="AD3855"/>
      <c r="AE3855"/>
      <c r="AF3855"/>
      <c r="AG3855"/>
    </row>
    <row r="3856" spans="13:33" ht="12" customHeight="1">
      <c r="M3856"/>
      <c r="N3856" s="246" t="s">
        <v>771</v>
      </c>
      <c r="O3856" s="247" t="s">
        <v>3043</v>
      </c>
      <c r="P3856" s="257"/>
      <c r="Q3856" s="258"/>
      <c r="R3856" s="260"/>
      <c r="S3856" s="260"/>
      <c r="T3856" s="260"/>
      <c r="U3856" s="260"/>
      <c r="V3856" s="260"/>
      <c r="W3856" s="262">
        <f>'ТС.РО 01.01 - 30.06'!W3856*W3956</f>
        <v>0</v>
      </c>
      <c r="X3856" s="260"/>
      <c r="Y3856" s="260"/>
      <c r="Z3856" s="262">
        <f>'ТС.РО 01.07 - 31.08'!Z3856*Z3956</f>
        <v>0</v>
      </c>
      <c r="AA3856" s="260"/>
      <c r="AB3856" s="260"/>
      <c r="AC3856" s="262">
        <f>'ТС.РО 01.09 - 31.12'!AC3856*AC3956</f>
        <v>0</v>
      </c>
      <c r="AD3856"/>
      <c r="AE3856"/>
      <c r="AF3856"/>
      <c r="AG3856"/>
    </row>
    <row r="3857" spans="13:33" ht="12" customHeight="1">
      <c r="M3857"/>
      <c r="N3857" s="236" t="s">
        <v>772</v>
      </c>
      <c r="O3857" s="248" t="s">
        <v>3044</v>
      </c>
      <c r="P3857" s="257"/>
      <c r="Q3857" s="258"/>
      <c r="R3857" s="260"/>
      <c r="S3857" s="260"/>
      <c r="T3857" s="260"/>
      <c r="U3857" s="260"/>
      <c r="V3857" s="260"/>
      <c r="W3857" s="262">
        <f>'ТС.РО 01.01 - 30.06'!W3857*W3956</f>
        <v>0</v>
      </c>
      <c r="X3857" s="260"/>
      <c r="Y3857" s="260"/>
      <c r="Z3857" s="262">
        <f>'ТС.РО 01.07 - 31.08'!Z3857*Z3956</f>
        <v>0</v>
      </c>
      <c r="AA3857" s="260"/>
      <c r="AB3857" s="260"/>
      <c r="AC3857" s="262">
        <f>'ТС.РО 01.09 - 31.12'!AC3857*AC3956</f>
        <v>0</v>
      </c>
      <c r="AD3857"/>
      <c r="AE3857"/>
      <c r="AF3857"/>
      <c r="AG3857"/>
    </row>
    <row r="3858" spans="13:33" ht="12" customHeight="1">
      <c r="M3858"/>
      <c r="N3858" s="236" t="s">
        <v>773</v>
      </c>
      <c r="O3858" s="248" t="s">
        <v>3045</v>
      </c>
      <c r="P3858" s="257"/>
      <c r="Q3858" s="258"/>
      <c r="R3858" s="260"/>
      <c r="S3858" s="260"/>
      <c r="T3858" s="260"/>
      <c r="U3858" s="260"/>
      <c r="V3858" s="260"/>
      <c r="W3858" s="262">
        <f>'ТС.РО 01.01 - 30.06'!W3858*W3956</f>
        <v>0</v>
      </c>
      <c r="X3858" s="260"/>
      <c r="Y3858" s="260"/>
      <c r="Z3858" s="262">
        <f>'ТС.РО 01.07 - 31.08'!Z3858*Z3956</f>
        <v>0</v>
      </c>
      <c r="AA3858" s="260"/>
      <c r="AB3858" s="260"/>
      <c r="AC3858" s="262">
        <f>'ТС.РО 01.09 - 31.12'!AC3858*AC3956</f>
        <v>0</v>
      </c>
      <c r="AD3858"/>
      <c r="AE3858"/>
      <c r="AF3858"/>
      <c r="AG3858"/>
    </row>
    <row r="3859" spans="13:33" ht="12" customHeight="1">
      <c r="M3859"/>
      <c r="N3859" s="236" t="s">
        <v>3046</v>
      </c>
      <c r="O3859" s="242" t="s">
        <v>2986</v>
      </c>
      <c r="P3859" s="257"/>
      <c r="Q3859" s="258"/>
      <c r="R3859" s="260"/>
      <c r="S3859" s="260"/>
      <c r="T3859" s="260"/>
      <c r="U3859" s="260"/>
      <c r="V3859" s="260"/>
      <c r="W3859" s="262">
        <f>'ТС.РО 01.01 - 30.06'!W3859*W3956</f>
        <v>0</v>
      </c>
      <c r="X3859" s="260"/>
      <c r="Y3859" s="260"/>
      <c r="Z3859" s="262">
        <f>'ТС.РО 01.07 - 31.08'!Z3859*Z3956</f>
        <v>0</v>
      </c>
      <c r="AA3859" s="260"/>
      <c r="AB3859" s="260"/>
      <c r="AC3859" s="262">
        <f>'ТС.РО 01.09 - 31.12'!AC3859*AC3956</f>
        <v>0</v>
      </c>
      <c r="AD3859"/>
      <c r="AE3859"/>
      <c r="AF3859"/>
      <c r="AG3859"/>
    </row>
    <row r="3860" spans="13:33" ht="12" customHeight="1">
      <c r="M3860"/>
      <c r="N3860" s="236" t="s">
        <v>3047</v>
      </c>
      <c r="O3860" s="242" t="s">
        <v>2988</v>
      </c>
      <c r="P3860" s="257"/>
      <c r="Q3860" s="258"/>
      <c r="R3860" s="260"/>
      <c r="S3860" s="260"/>
      <c r="T3860" s="260"/>
      <c r="U3860" s="260"/>
      <c r="V3860" s="260"/>
      <c r="W3860" s="262">
        <f>'ТС.РО 01.01 - 30.06'!W3860*W3956</f>
        <v>0</v>
      </c>
      <c r="X3860" s="260"/>
      <c r="Y3860" s="260"/>
      <c r="Z3860" s="262">
        <f>'ТС.РО 01.07 - 31.08'!Z3860*Z3956</f>
        <v>0</v>
      </c>
      <c r="AA3860" s="260"/>
      <c r="AB3860" s="260"/>
      <c r="AC3860" s="262">
        <f>'ТС.РО 01.09 - 31.12'!AC3860*AC3956</f>
        <v>0</v>
      </c>
      <c r="AD3860"/>
      <c r="AE3860"/>
      <c r="AF3860"/>
      <c r="AG3860"/>
    </row>
    <row r="3861" spans="13:33" ht="12" customHeight="1">
      <c r="M3861"/>
      <c r="N3861" s="236" t="s">
        <v>3048</v>
      </c>
      <c r="O3861" s="242" t="s">
        <v>3011</v>
      </c>
      <c r="P3861" s="257"/>
      <c r="Q3861" s="258"/>
      <c r="R3861" s="260"/>
      <c r="S3861" s="260"/>
      <c r="T3861" s="260"/>
      <c r="U3861" s="260"/>
      <c r="V3861" s="260"/>
      <c r="W3861" s="262">
        <f>'ТС.РО 01.01 - 30.06'!W3861*W3956</f>
        <v>0</v>
      </c>
      <c r="X3861" s="260"/>
      <c r="Y3861" s="260"/>
      <c r="Z3861" s="262">
        <f>'ТС.РО 01.07 - 31.08'!Z3861*Z3956</f>
        <v>0</v>
      </c>
      <c r="AA3861" s="260"/>
      <c r="AB3861" s="260"/>
      <c r="AC3861" s="262">
        <f>'ТС.РО 01.09 - 31.12'!AC3861*AC3956</f>
        <v>0</v>
      </c>
      <c r="AD3861"/>
      <c r="AE3861"/>
      <c r="AF3861"/>
      <c r="AG3861"/>
    </row>
    <row r="3862" spans="13:33" ht="12" customHeight="1">
      <c r="M3862"/>
      <c r="N3862" s="236" t="s">
        <v>3049</v>
      </c>
      <c r="O3862" s="244" t="s">
        <v>2968</v>
      </c>
      <c r="P3862" s="257"/>
      <c r="Q3862" s="258"/>
      <c r="R3862" s="260"/>
      <c r="S3862" s="260"/>
      <c r="T3862" s="260"/>
      <c r="U3862" s="260"/>
      <c r="V3862" s="260"/>
      <c r="W3862" s="262">
        <f>'ТС.РО 01.01 - 30.06'!W3862*W3956</f>
        <v>0</v>
      </c>
      <c r="X3862" s="260"/>
      <c r="Y3862" s="260"/>
      <c r="Z3862" s="262">
        <f>'ТС.РО 01.07 - 31.08'!Z3862*Z3956</f>
        <v>0</v>
      </c>
      <c r="AA3862" s="260"/>
      <c r="AB3862" s="260"/>
      <c r="AC3862" s="262">
        <f>'ТС.РО 01.09 - 31.12'!AC3862*AC3956</f>
        <v>0</v>
      </c>
      <c r="AD3862"/>
      <c r="AE3862"/>
      <c r="AF3862"/>
      <c r="AG3862"/>
    </row>
    <row r="3863" spans="13:33" ht="12" customHeight="1">
      <c r="M3863"/>
      <c r="N3863" s="236" t="s">
        <v>3050</v>
      </c>
      <c r="O3863" s="244" t="s">
        <v>2986</v>
      </c>
      <c r="P3863" s="257"/>
      <c r="Q3863" s="258"/>
      <c r="R3863" s="260"/>
      <c r="S3863" s="260"/>
      <c r="T3863" s="260"/>
      <c r="U3863" s="260"/>
      <c r="V3863" s="260"/>
      <c r="W3863" s="262">
        <f>'ТС.РО 01.01 - 30.06'!W3863*W3956</f>
        <v>0</v>
      </c>
      <c r="X3863" s="260"/>
      <c r="Y3863" s="260"/>
      <c r="Z3863" s="262">
        <f>'ТС.РО 01.07 - 31.08'!Z3863*Z3956</f>
        <v>0</v>
      </c>
      <c r="AA3863" s="260"/>
      <c r="AB3863" s="260"/>
      <c r="AC3863" s="262">
        <f>'ТС.РО 01.09 - 31.12'!AC3863*AC3956</f>
        <v>0</v>
      </c>
      <c r="AD3863"/>
      <c r="AE3863"/>
      <c r="AF3863"/>
      <c r="AG3863"/>
    </row>
    <row r="3864" spans="13:33" ht="12" customHeight="1">
      <c r="M3864"/>
      <c r="N3864" s="236" t="s">
        <v>3051</v>
      </c>
      <c r="O3864" s="245" t="s">
        <v>3015</v>
      </c>
      <c r="P3864" s="257"/>
      <c r="Q3864" s="258"/>
      <c r="R3864" s="260"/>
      <c r="S3864" s="260"/>
      <c r="T3864" s="260"/>
      <c r="U3864" s="260"/>
      <c r="V3864" s="260"/>
      <c r="W3864" s="262">
        <f>'ТС.РО 01.01 - 30.06'!W3864*W3956</f>
        <v>0</v>
      </c>
      <c r="X3864" s="260"/>
      <c r="Y3864" s="260"/>
      <c r="Z3864" s="262">
        <f>'ТС.РО 01.07 - 31.08'!Z3864*Z3956</f>
        <v>0</v>
      </c>
      <c r="AA3864" s="260"/>
      <c r="AB3864" s="260"/>
      <c r="AC3864" s="262">
        <f>'ТС.РО 01.09 - 31.12'!AC3864*AC3956</f>
        <v>0</v>
      </c>
      <c r="AD3864"/>
      <c r="AE3864"/>
      <c r="AF3864"/>
      <c r="AG3864"/>
    </row>
    <row r="3865" spans="13:33" ht="12" customHeight="1">
      <c r="M3865"/>
      <c r="N3865" s="236" t="s">
        <v>3052</v>
      </c>
      <c r="O3865" s="244" t="s">
        <v>2970</v>
      </c>
      <c r="P3865" s="257"/>
      <c r="Q3865" s="258"/>
      <c r="R3865" s="260"/>
      <c r="S3865" s="260"/>
      <c r="T3865" s="260"/>
      <c r="U3865" s="260"/>
      <c r="V3865" s="260"/>
      <c r="W3865" s="262">
        <f>'ТС.РО 01.01 - 30.06'!W3865*W3956</f>
        <v>0</v>
      </c>
      <c r="X3865" s="260"/>
      <c r="Y3865" s="260"/>
      <c r="Z3865" s="262">
        <f>'ТС.РО 01.07 - 31.08'!Z3865*Z3956</f>
        <v>0</v>
      </c>
      <c r="AA3865" s="260"/>
      <c r="AB3865" s="260"/>
      <c r="AC3865" s="262">
        <f>'ТС.РО 01.09 - 31.12'!AC3865*AC3956</f>
        <v>0</v>
      </c>
      <c r="AD3865"/>
      <c r="AE3865"/>
      <c r="AF3865"/>
      <c r="AG3865"/>
    </row>
    <row r="3866" spans="13:33" ht="12" customHeight="1">
      <c r="M3866"/>
      <c r="N3866" s="236" t="s">
        <v>3053</v>
      </c>
      <c r="O3866" s="244" t="s">
        <v>3018</v>
      </c>
      <c r="P3866" s="257"/>
      <c r="Q3866" s="258"/>
      <c r="R3866" s="260"/>
      <c r="S3866" s="260"/>
      <c r="T3866" s="260"/>
      <c r="U3866" s="260"/>
      <c r="V3866" s="260"/>
      <c r="W3866" s="262">
        <f>'ТС.РО 01.01 - 30.06'!W3866*W3956</f>
        <v>0</v>
      </c>
      <c r="X3866" s="260"/>
      <c r="Y3866" s="260"/>
      <c r="Z3866" s="262">
        <f>'ТС.РО 01.07 - 31.08'!Z3866*Z3956</f>
        <v>0</v>
      </c>
      <c r="AA3866" s="260"/>
      <c r="AB3866" s="260"/>
      <c r="AC3866" s="262">
        <f>'ТС.РО 01.09 - 31.12'!AC3866*AC3956</f>
        <v>0</v>
      </c>
      <c r="AD3866"/>
      <c r="AE3866"/>
      <c r="AF3866"/>
      <c r="AG3866"/>
    </row>
    <row r="3867" spans="13:33" ht="12" customHeight="1">
      <c r="M3867"/>
      <c r="N3867" s="236" t="s">
        <v>3054</v>
      </c>
      <c r="O3867" s="242" t="s">
        <v>3020</v>
      </c>
      <c r="P3867" s="257"/>
      <c r="Q3867" s="258"/>
      <c r="R3867" s="260"/>
      <c r="S3867" s="260"/>
      <c r="T3867" s="260"/>
      <c r="U3867" s="260"/>
      <c r="V3867" s="260"/>
      <c r="W3867" s="262">
        <f>'ТС.РО 01.01 - 30.06'!W3867*W3956</f>
        <v>0</v>
      </c>
      <c r="X3867" s="260"/>
      <c r="Y3867" s="260"/>
      <c r="Z3867" s="262">
        <f>'ТС.РО 01.07 - 31.08'!Z3867*Z3956</f>
        <v>0</v>
      </c>
      <c r="AA3867" s="260"/>
      <c r="AB3867" s="260"/>
      <c r="AC3867" s="262">
        <f>'ТС.РО 01.09 - 31.12'!AC3867*AC3956</f>
        <v>0</v>
      </c>
      <c r="AD3867"/>
      <c r="AE3867"/>
      <c r="AF3867"/>
      <c r="AG3867"/>
    </row>
    <row r="3868" spans="13:33" ht="12" customHeight="1">
      <c r="M3868"/>
      <c r="N3868" s="236" t="s">
        <v>3055</v>
      </c>
      <c r="O3868" s="244" t="s">
        <v>2968</v>
      </c>
      <c r="P3868" s="257"/>
      <c r="Q3868" s="258"/>
      <c r="R3868" s="260"/>
      <c r="S3868" s="260"/>
      <c r="T3868" s="260"/>
      <c r="U3868" s="260"/>
      <c r="V3868" s="260"/>
      <c r="W3868" s="262">
        <f>'ТС.РО 01.01 - 30.06'!W3868*W3956</f>
        <v>0</v>
      </c>
      <c r="X3868" s="260"/>
      <c r="Y3868" s="260"/>
      <c r="Z3868" s="262">
        <f>'ТС.РО 01.07 - 31.08'!Z3868*Z3956</f>
        <v>0</v>
      </c>
      <c r="AA3868" s="260"/>
      <c r="AB3868" s="260"/>
      <c r="AC3868" s="262">
        <f>'ТС.РО 01.09 - 31.12'!AC3868*AC3956</f>
        <v>0</v>
      </c>
      <c r="AD3868"/>
      <c r="AE3868"/>
      <c r="AF3868"/>
      <c r="AG3868"/>
    </row>
    <row r="3869" spans="13:33" ht="12" customHeight="1">
      <c r="M3869"/>
      <c r="N3869" s="236" t="s">
        <v>3056</v>
      </c>
      <c r="O3869" s="244" t="s">
        <v>2986</v>
      </c>
      <c r="P3869" s="257"/>
      <c r="Q3869" s="258"/>
      <c r="R3869" s="260"/>
      <c r="S3869" s="260"/>
      <c r="T3869" s="260"/>
      <c r="U3869" s="260"/>
      <c r="V3869" s="260"/>
      <c r="W3869" s="262">
        <f>'ТС.РО 01.01 - 30.06'!W3869*W3956</f>
        <v>0</v>
      </c>
      <c r="X3869" s="260"/>
      <c r="Y3869" s="260"/>
      <c r="Z3869" s="262">
        <f>'ТС.РО 01.07 - 31.08'!Z3869*Z3956</f>
        <v>0</v>
      </c>
      <c r="AA3869" s="260"/>
      <c r="AB3869" s="260"/>
      <c r="AC3869" s="262">
        <f>'ТС.РО 01.09 - 31.12'!AC3869*AC3956</f>
        <v>0</v>
      </c>
      <c r="AD3869"/>
      <c r="AE3869"/>
      <c r="AF3869"/>
      <c r="AG3869"/>
    </row>
    <row r="3870" spans="13:33" ht="12" customHeight="1">
      <c r="N3870" s="236" t="s">
        <v>3057</v>
      </c>
      <c r="O3870" s="245" t="s">
        <v>3024</v>
      </c>
      <c r="P3870" s="257"/>
      <c r="Q3870" s="258"/>
      <c r="R3870" s="260"/>
      <c r="S3870" s="260"/>
      <c r="T3870" s="260"/>
      <c r="U3870" s="260"/>
      <c r="V3870" s="260"/>
      <c r="W3870" s="262">
        <f>'ТС.РО 01.01 - 30.06'!W3870*W3956</f>
        <v>0</v>
      </c>
      <c r="X3870" s="260"/>
      <c r="Y3870" s="260"/>
      <c r="Z3870" s="262">
        <f>'ТС.РО 01.07 - 31.08'!Z3870*Z3956</f>
        <v>0</v>
      </c>
      <c r="AA3870" s="260"/>
      <c r="AB3870" s="260"/>
      <c r="AC3870" s="262">
        <f>'ТС.РО 01.09 - 31.12'!AC3870*AC3956</f>
        <v>0</v>
      </c>
      <c r="AD3870"/>
      <c r="AE3870"/>
      <c r="AF3870"/>
      <c r="AG3870"/>
    </row>
    <row r="3871" spans="13:33" ht="12" customHeight="1">
      <c r="N3871" s="236" t="s">
        <v>3058</v>
      </c>
      <c r="O3871" s="244" t="s">
        <v>2970</v>
      </c>
      <c r="P3871" s="257"/>
      <c r="Q3871" s="258"/>
      <c r="R3871" s="260"/>
      <c r="S3871" s="260"/>
      <c r="T3871" s="260"/>
      <c r="U3871" s="260"/>
      <c r="V3871" s="260"/>
      <c r="W3871" s="262">
        <f>'ТС.РО 01.01 - 30.06'!W3871*W3956</f>
        <v>0</v>
      </c>
      <c r="X3871" s="260"/>
      <c r="Y3871" s="260"/>
      <c r="Z3871" s="262">
        <f>'ТС.РО 01.07 - 31.08'!Z3871*Z3956</f>
        <v>0</v>
      </c>
      <c r="AA3871" s="260"/>
      <c r="AB3871" s="260"/>
      <c r="AC3871" s="262">
        <f>'ТС.РО 01.09 - 31.12'!AC3871*AC3956</f>
        <v>0</v>
      </c>
      <c r="AD3871"/>
      <c r="AE3871"/>
      <c r="AF3871"/>
      <c r="AG3871"/>
    </row>
    <row r="3872" spans="13:33" ht="12" customHeight="1">
      <c r="N3872" s="236" t="s">
        <v>3059</v>
      </c>
      <c r="O3872" s="244" t="s">
        <v>3018</v>
      </c>
      <c r="P3872" s="257"/>
      <c r="Q3872" s="258"/>
      <c r="R3872" s="260"/>
      <c r="S3872" s="260"/>
      <c r="T3872" s="260"/>
      <c r="U3872" s="260"/>
      <c r="V3872" s="260"/>
      <c r="W3872" s="262">
        <f>'ТС.РО 01.01 - 30.06'!W3872*W3956</f>
        <v>0</v>
      </c>
      <c r="X3872" s="260"/>
      <c r="Y3872" s="260"/>
      <c r="Z3872" s="262">
        <f>'ТС.РО 01.07 - 31.08'!Z3872*Z3956</f>
        <v>0</v>
      </c>
      <c r="AA3872" s="260"/>
      <c r="AB3872" s="260"/>
      <c r="AC3872" s="262">
        <f>'ТС.РО 01.09 - 31.12'!AC3872*AC3956</f>
        <v>0</v>
      </c>
      <c r="AD3872"/>
      <c r="AE3872"/>
      <c r="AF3872"/>
      <c r="AG3872"/>
    </row>
    <row r="3873" spans="14:33" ht="12" customHeight="1">
      <c r="N3873" s="236" t="s">
        <v>3060</v>
      </c>
      <c r="O3873" s="242" t="s">
        <v>3028</v>
      </c>
      <c r="P3873" s="257"/>
      <c r="Q3873" s="258"/>
      <c r="R3873" s="260"/>
      <c r="S3873" s="260"/>
      <c r="T3873" s="260"/>
      <c r="U3873" s="260"/>
      <c r="V3873" s="260"/>
      <c r="W3873" s="262">
        <f>'ТС.РО 01.01 - 30.06'!W3873*W3956</f>
        <v>0</v>
      </c>
      <c r="X3873" s="260"/>
      <c r="Y3873" s="260"/>
      <c r="Z3873" s="262">
        <f>'ТС.РО 01.07 - 31.08'!Z3873*Z3956</f>
        <v>0</v>
      </c>
      <c r="AA3873" s="260"/>
      <c r="AB3873" s="260"/>
      <c r="AC3873" s="262">
        <f>'ТС.РО 01.09 - 31.12'!AC3873*AC3956</f>
        <v>0</v>
      </c>
      <c r="AD3873"/>
      <c r="AE3873"/>
      <c r="AF3873"/>
      <c r="AG3873"/>
    </row>
    <row r="3874" spans="14:33" ht="12" customHeight="1">
      <c r="N3874" s="236" t="s">
        <v>3061</v>
      </c>
      <c r="O3874" s="244" t="s">
        <v>2968</v>
      </c>
      <c r="P3874" s="257"/>
      <c r="Q3874" s="258"/>
      <c r="R3874" s="260"/>
      <c r="S3874" s="260"/>
      <c r="T3874" s="260"/>
      <c r="U3874" s="260"/>
      <c r="V3874" s="260"/>
      <c r="W3874" s="262">
        <f>'ТС.РО 01.01 - 30.06'!W3874*W3956</f>
        <v>0</v>
      </c>
      <c r="X3874" s="260"/>
      <c r="Y3874" s="260"/>
      <c r="Z3874" s="262">
        <f>'ТС.РО 01.07 - 31.08'!Z3874*Z3956</f>
        <v>0</v>
      </c>
      <c r="AA3874" s="260"/>
      <c r="AB3874" s="260"/>
      <c r="AC3874" s="262">
        <f>'ТС.РО 01.09 - 31.12'!AC3874*AC3956</f>
        <v>0</v>
      </c>
      <c r="AD3874"/>
      <c r="AE3874"/>
      <c r="AF3874"/>
      <c r="AG3874"/>
    </row>
    <row r="3875" spans="14:33" ht="12" customHeight="1">
      <c r="N3875" s="236" t="s">
        <v>3062</v>
      </c>
      <c r="O3875" s="244" t="s">
        <v>2986</v>
      </c>
      <c r="P3875" s="257"/>
      <c r="Q3875" s="258"/>
      <c r="R3875" s="260"/>
      <c r="S3875" s="260"/>
      <c r="T3875" s="260"/>
      <c r="U3875" s="260"/>
      <c r="V3875" s="260"/>
      <c r="W3875" s="262">
        <f>'ТС.РО 01.01 - 30.06'!W3875*W3956</f>
        <v>0</v>
      </c>
      <c r="X3875" s="260"/>
      <c r="Y3875" s="260"/>
      <c r="Z3875" s="262">
        <f>'ТС.РО 01.07 - 31.08'!Z3875*Z3956</f>
        <v>0</v>
      </c>
      <c r="AA3875" s="260"/>
      <c r="AB3875" s="260"/>
      <c r="AC3875" s="262">
        <f>'ТС.РО 01.09 - 31.12'!AC3875*AC3956</f>
        <v>0</v>
      </c>
      <c r="AD3875"/>
      <c r="AE3875"/>
      <c r="AF3875"/>
      <c r="AG3875"/>
    </row>
    <row r="3876" spans="14:33" ht="12" customHeight="1">
      <c r="N3876" s="236" t="s">
        <v>3063</v>
      </c>
      <c r="O3876" s="245" t="s">
        <v>3032</v>
      </c>
      <c r="P3876" s="257"/>
      <c r="Q3876" s="258"/>
      <c r="R3876" s="260"/>
      <c r="S3876" s="260"/>
      <c r="T3876" s="260"/>
      <c r="U3876" s="260"/>
      <c r="V3876" s="260"/>
      <c r="W3876" s="262">
        <f>'ТС.РО 01.01 - 30.06'!W3876*W3956</f>
        <v>0</v>
      </c>
      <c r="X3876" s="260"/>
      <c r="Y3876" s="260"/>
      <c r="Z3876" s="262">
        <f>'ТС.РО 01.07 - 31.08'!Z3876*Z3956</f>
        <v>0</v>
      </c>
      <c r="AA3876" s="260"/>
      <c r="AB3876" s="260"/>
      <c r="AC3876" s="262">
        <f>'ТС.РО 01.09 - 31.12'!AC3876*AC3956</f>
        <v>0</v>
      </c>
      <c r="AD3876"/>
      <c r="AE3876"/>
      <c r="AF3876"/>
      <c r="AG3876"/>
    </row>
    <row r="3877" spans="14:33" ht="12" customHeight="1">
      <c r="N3877" s="236" t="s">
        <v>3064</v>
      </c>
      <c r="O3877" s="244" t="s">
        <v>2970</v>
      </c>
      <c r="P3877" s="257"/>
      <c r="Q3877" s="258"/>
      <c r="R3877" s="260"/>
      <c r="S3877" s="260"/>
      <c r="T3877" s="260"/>
      <c r="U3877" s="260"/>
      <c r="V3877" s="260"/>
      <c r="W3877" s="262">
        <f>'ТС.РО 01.01 - 30.06'!W3877*W3956</f>
        <v>0</v>
      </c>
      <c r="X3877" s="260"/>
      <c r="Y3877" s="260"/>
      <c r="Z3877" s="262">
        <f>'ТС.РО 01.07 - 31.08'!Z3877*Z3956</f>
        <v>0</v>
      </c>
      <c r="AA3877" s="260"/>
      <c r="AB3877" s="260"/>
      <c r="AC3877" s="262">
        <f>'ТС.РО 01.09 - 31.12'!AC3877*AC3956</f>
        <v>0</v>
      </c>
      <c r="AD3877"/>
      <c r="AE3877"/>
      <c r="AF3877"/>
      <c r="AG3877"/>
    </row>
    <row r="3878" spans="14:33" ht="12" customHeight="1">
      <c r="N3878" s="236" t="s">
        <v>3065</v>
      </c>
      <c r="O3878" s="244" t="s">
        <v>3018</v>
      </c>
      <c r="P3878" s="257"/>
      <c r="Q3878" s="258"/>
      <c r="R3878" s="260"/>
      <c r="S3878" s="260"/>
      <c r="T3878" s="260"/>
      <c r="U3878" s="260"/>
      <c r="V3878" s="260"/>
      <c r="W3878" s="262">
        <f>'ТС.РО 01.01 - 30.06'!W3878*W3956</f>
        <v>0</v>
      </c>
      <c r="X3878" s="260"/>
      <c r="Y3878" s="260"/>
      <c r="Z3878" s="262">
        <f>'ТС.РО 01.07 - 31.08'!Z3878*Z3956</f>
        <v>0</v>
      </c>
      <c r="AA3878" s="260"/>
      <c r="AB3878" s="260"/>
      <c r="AC3878" s="262">
        <f>'ТС.РО 01.09 - 31.12'!AC3878*AC3956</f>
        <v>0</v>
      </c>
      <c r="AD3878"/>
      <c r="AE3878"/>
      <c r="AF3878"/>
      <c r="AG3878"/>
    </row>
    <row r="3879" spans="14:33" ht="12" customHeight="1">
      <c r="N3879" s="236" t="s">
        <v>3066</v>
      </c>
      <c r="O3879" s="242" t="s">
        <v>3036</v>
      </c>
      <c r="P3879" s="257"/>
      <c r="Q3879" s="258"/>
      <c r="R3879" s="260"/>
      <c r="S3879" s="260"/>
      <c r="T3879" s="260"/>
      <c r="U3879" s="260"/>
      <c r="V3879" s="260"/>
      <c r="W3879" s="262">
        <f>'ТС.РО 01.01 - 30.06'!W3879*W3956</f>
        <v>0</v>
      </c>
      <c r="X3879" s="260"/>
      <c r="Y3879" s="260"/>
      <c r="Z3879" s="262">
        <f>'ТС.РО 01.07 - 31.08'!Z3879*Z3956</f>
        <v>0</v>
      </c>
      <c r="AA3879" s="260"/>
      <c r="AB3879" s="260"/>
      <c r="AC3879" s="262">
        <f>'ТС.РО 01.09 - 31.12'!AC3879*AC3956</f>
        <v>0</v>
      </c>
      <c r="AD3879"/>
      <c r="AE3879"/>
      <c r="AF3879"/>
      <c r="AG3879"/>
    </row>
    <row r="3880" spans="14:33" ht="12" customHeight="1">
      <c r="N3880" s="236" t="s">
        <v>3067</v>
      </c>
      <c r="O3880" s="244" t="s">
        <v>2968</v>
      </c>
      <c r="P3880" s="257"/>
      <c r="Q3880" s="258"/>
      <c r="R3880" s="260"/>
      <c r="S3880" s="260"/>
      <c r="T3880" s="260"/>
      <c r="U3880" s="260"/>
      <c r="V3880" s="260"/>
      <c r="W3880" s="262">
        <f>'ТС.РО 01.01 - 30.06'!W3880*W3956</f>
        <v>0</v>
      </c>
      <c r="X3880" s="260"/>
      <c r="Y3880" s="260"/>
      <c r="Z3880" s="262">
        <f>'ТС.РО 01.07 - 31.08'!Z3880*Z3956</f>
        <v>0</v>
      </c>
      <c r="AA3880" s="260"/>
      <c r="AB3880" s="260"/>
      <c r="AC3880" s="262">
        <f>'ТС.РО 01.09 - 31.12'!AC3880*AC3956</f>
        <v>0</v>
      </c>
      <c r="AD3880"/>
      <c r="AE3880"/>
      <c r="AF3880"/>
      <c r="AG3880"/>
    </row>
    <row r="3881" spans="14:33" ht="12" customHeight="1">
      <c r="N3881" s="236" t="s">
        <v>3068</v>
      </c>
      <c r="O3881" s="244" t="s">
        <v>2986</v>
      </c>
      <c r="P3881" s="257"/>
      <c r="Q3881" s="258"/>
      <c r="R3881" s="260"/>
      <c r="S3881" s="260"/>
      <c r="T3881" s="260"/>
      <c r="U3881" s="260"/>
      <c r="V3881" s="260"/>
      <c r="W3881" s="262">
        <f>'ТС.РО 01.01 - 30.06'!W3881*W3956</f>
        <v>0</v>
      </c>
      <c r="X3881" s="260"/>
      <c r="Y3881" s="260"/>
      <c r="Z3881" s="262">
        <f>'ТС.РО 01.07 - 31.08'!Z3881*Z3956</f>
        <v>0</v>
      </c>
      <c r="AA3881" s="260"/>
      <c r="AB3881" s="260"/>
      <c r="AC3881" s="262">
        <f>'ТС.РО 01.09 - 31.12'!AC3881*AC3956</f>
        <v>0</v>
      </c>
      <c r="AD3881"/>
      <c r="AE3881"/>
      <c r="AF3881"/>
      <c r="AG3881"/>
    </row>
    <row r="3882" spans="14:33" ht="12" customHeight="1">
      <c r="N3882" s="236" t="s">
        <v>3069</v>
      </c>
      <c r="O3882" s="245" t="s">
        <v>3040</v>
      </c>
      <c r="P3882" s="257"/>
      <c r="Q3882" s="258"/>
      <c r="R3882" s="260"/>
      <c r="S3882" s="260"/>
      <c r="T3882" s="260"/>
      <c r="U3882" s="260"/>
      <c r="V3882" s="260"/>
      <c r="W3882" s="262">
        <f>'ТС.РО 01.01 - 30.06'!W3882*W3956</f>
        <v>0</v>
      </c>
      <c r="X3882" s="260"/>
      <c r="Y3882" s="260"/>
      <c r="Z3882" s="262">
        <f>'ТС.РО 01.07 - 31.08'!Z3882*Z3956</f>
        <v>0</v>
      </c>
      <c r="AA3882" s="260"/>
      <c r="AB3882" s="260"/>
      <c r="AC3882" s="262">
        <f>'ТС.РО 01.09 - 31.12'!AC3882*AC3956</f>
        <v>0</v>
      </c>
      <c r="AD3882"/>
      <c r="AE3882"/>
      <c r="AF3882"/>
      <c r="AG3882"/>
    </row>
    <row r="3883" spans="14:33" ht="12" customHeight="1">
      <c r="N3883" s="236" t="s">
        <v>3070</v>
      </c>
      <c r="O3883" s="244" t="s">
        <v>2970</v>
      </c>
      <c r="P3883" s="257"/>
      <c r="Q3883" s="258"/>
      <c r="R3883" s="260"/>
      <c r="S3883" s="260"/>
      <c r="T3883" s="260"/>
      <c r="U3883" s="260"/>
      <c r="V3883" s="260"/>
      <c r="W3883" s="262">
        <f>'ТС.РО 01.01 - 30.06'!W3883*W3956</f>
        <v>0</v>
      </c>
      <c r="X3883" s="260"/>
      <c r="Y3883" s="260"/>
      <c r="Z3883" s="262">
        <f>'ТС.РО 01.07 - 31.08'!Z3883*Z3956</f>
        <v>0</v>
      </c>
      <c r="AA3883" s="260"/>
      <c r="AB3883" s="260"/>
      <c r="AC3883" s="262">
        <f>'ТС.РО 01.09 - 31.12'!AC3883*AC3956</f>
        <v>0</v>
      </c>
      <c r="AD3883"/>
      <c r="AE3883"/>
      <c r="AF3883"/>
      <c r="AG3883"/>
    </row>
    <row r="3884" spans="14:33" ht="12" customHeight="1">
      <c r="N3884" s="236" t="s">
        <v>3071</v>
      </c>
      <c r="O3884" s="244" t="s">
        <v>3018</v>
      </c>
      <c r="P3884" s="257"/>
      <c r="Q3884" s="258"/>
      <c r="R3884" s="260"/>
      <c r="S3884" s="260"/>
      <c r="T3884" s="260"/>
      <c r="U3884" s="260"/>
      <c r="V3884" s="260"/>
      <c r="W3884" s="262">
        <f>'ТС.РО 01.01 - 30.06'!W3884*W3956</f>
        <v>0</v>
      </c>
      <c r="X3884" s="260"/>
      <c r="Y3884" s="260"/>
      <c r="Z3884" s="262">
        <f>'ТС.РО 01.07 - 31.08'!Z3884*Z3956</f>
        <v>0</v>
      </c>
      <c r="AA3884" s="260"/>
      <c r="AB3884" s="260"/>
      <c r="AC3884" s="262">
        <f>'ТС.РО 01.09 - 31.12'!AC3884*AC3956</f>
        <v>0</v>
      </c>
      <c r="AD3884"/>
      <c r="AE3884"/>
      <c r="AF3884"/>
      <c r="AG3884"/>
    </row>
    <row r="3885" spans="14:33" ht="12" customHeight="1">
      <c r="N3885" s="234" t="s">
        <v>3072</v>
      </c>
      <c r="O3885" s="235" t="s">
        <v>799</v>
      </c>
      <c r="P3885" s="257"/>
      <c r="Q3885" s="258"/>
      <c r="R3885" s="260"/>
      <c r="S3885" s="260"/>
      <c r="T3885" s="260"/>
      <c r="U3885" s="260"/>
      <c r="V3885" s="260"/>
      <c r="W3885" s="262">
        <f>'ТС.РО 01.01 - 30.06'!W3885*W3956</f>
        <v>0</v>
      </c>
      <c r="X3885" s="260"/>
      <c r="Y3885" s="260"/>
      <c r="Z3885" s="262">
        <f>'ТС.РО 01.07 - 31.08'!Z3885*Z3956</f>
        <v>0</v>
      </c>
      <c r="AA3885" s="260"/>
      <c r="AB3885" s="260"/>
      <c r="AC3885" s="262">
        <f>'ТС.РО 01.09 - 31.12'!AC3885*AC3956</f>
        <v>0</v>
      </c>
      <c r="AD3885"/>
      <c r="AE3885"/>
      <c r="AF3885"/>
      <c r="AG3885"/>
    </row>
    <row r="3886" spans="14:33" ht="12" customHeight="1">
      <c r="N3886" s="279" t="s">
        <v>2793</v>
      </c>
      <c r="O3886" s="488" t="s">
        <v>2782</v>
      </c>
      <c r="P3886" s="257"/>
      <c r="Q3886" s="258"/>
      <c r="R3886" s="260"/>
      <c r="S3886" s="260"/>
      <c r="T3886" s="260"/>
      <c r="U3886" s="260"/>
      <c r="V3886" s="260"/>
      <c r="W3886" s="262">
        <f>'ТС.РО 01.01 - 30.06'!W3886*W3956</f>
        <v>0</v>
      </c>
      <c r="X3886" s="260"/>
      <c r="Y3886" s="260"/>
      <c r="Z3886" s="262">
        <f>'ТС.РО 01.07 - 31.08'!Z3886*Z3956</f>
        <v>0</v>
      </c>
      <c r="AA3886" s="260"/>
      <c r="AB3886" s="260"/>
      <c r="AC3886" s="262">
        <f>'ТС.РО 01.09 - 31.12'!AC3886*AC3956</f>
        <v>0</v>
      </c>
      <c r="AD3886"/>
      <c r="AE3886"/>
      <c r="AF3886"/>
      <c r="AG3886"/>
    </row>
    <row r="3887" spans="14:33" ht="12" customHeight="1">
      <c r="N3887" s="279" t="s">
        <v>2794</v>
      </c>
      <c r="O3887" s="488" t="s">
        <v>2783</v>
      </c>
      <c r="P3887" s="257"/>
      <c r="Q3887" s="258"/>
      <c r="R3887" s="260"/>
      <c r="S3887" s="260"/>
      <c r="T3887" s="260"/>
      <c r="U3887" s="260"/>
      <c r="V3887" s="260"/>
      <c r="W3887" s="262">
        <f>'ТС.РО 01.01 - 30.06'!W3887*W3956</f>
        <v>0</v>
      </c>
      <c r="X3887" s="260"/>
      <c r="Y3887" s="260"/>
      <c r="Z3887" s="262">
        <f>'ТС.РО 01.07 - 31.08'!Z3887*Z3956</f>
        <v>0</v>
      </c>
      <c r="AA3887" s="260"/>
      <c r="AB3887" s="260"/>
      <c r="AC3887" s="262">
        <f>'ТС.РО 01.09 - 31.12'!AC3887*AC3956</f>
        <v>0</v>
      </c>
      <c r="AD3887"/>
      <c r="AE3887"/>
      <c r="AF3887"/>
      <c r="AG3887"/>
    </row>
    <row r="3888" spans="14:33" ht="12" customHeight="1">
      <c r="N3888" s="279" t="s">
        <v>204</v>
      </c>
      <c r="O3888" s="488" t="s">
        <v>120</v>
      </c>
      <c r="P3888" s="263"/>
      <c r="Q3888" s="258"/>
      <c r="R3888" s="260"/>
      <c r="S3888" s="260"/>
      <c r="T3888" s="260"/>
      <c r="U3888" s="260"/>
      <c r="V3888" s="260"/>
      <c r="W3888" s="262">
        <f>'ТС.РО 01.01 - 30.06'!W3888*W3956</f>
        <v>0</v>
      </c>
      <c r="X3888" s="260"/>
      <c r="Y3888" s="260"/>
      <c r="Z3888" s="262">
        <f>'ТС.РО 01.07 - 31.08'!Z3888*Z3956</f>
        <v>0</v>
      </c>
      <c r="AA3888" s="260"/>
      <c r="AB3888" s="260"/>
      <c r="AC3888" s="262">
        <f>'ТС.РО 01.09 - 31.12'!AC3888*AC3956</f>
        <v>0</v>
      </c>
      <c r="AD3888"/>
      <c r="AE3888"/>
      <c r="AF3888"/>
      <c r="AG3888"/>
    </row>
    <row r="3889" spans="14:33" ht="12" customHeight="1">
      <c r="N3889" s="236" t="s">
        <v>75</v>
      </c>
      <c r="O3889" s="224" t="s">
        <v>1832</v>
      </c>
      <c r="P3889" s="257"/>
      <c r="Q3889" s="258"/>
      <c r="R3889" s="260"/>
      <c r="S3889" s="260"/>
      <c r="T3889" s="260"/>
      <c r="U3889" s="260"/>
      <c r="V3889" s="260"/>
      <c r="W3889" s="262">
        <f>'ТС.РО 01.01 - 30.06'!W3889*W3956</f>
        <v>0</v>
      </c>
      <c r="X3889" s="260"/>
      <c r="Y3889" s="260"/>
      <c r="Z3889" s="262">
        <f>'ТС.РО 01.07 - 31.08'!Z3889*Z3956</f>
        <v>0</v>
      </c>
      <c r="AA3889" s="260"/>
      <c r="AB3889" s="260"/>
      <c r="AC3889" s="262">
        <f>'ТС.РО 01.09 - 31.12'!AC3889*AC3956</f>
        <v>0</v>
      </c>
      <c r="AD3889"/>
      <c r="AE3889"/>
      <c r="AF3889"/>
      <c r="AG3889"/>
    </row>
    <row r="3890" spans="14:33" ht="12" customHeight="1">
      <c r="N3890" s="236" t="s">
        <v>1833</v>
      </c>
      <c r="O3890" s="225" t="s">
        <v>1834</v>
      </c>
      <c r="P3890" s="257"/>
      <c r="Q3890" s="258"/>
      <c r="R3890" s="260"/>
      <c r="S3890" s="260"/>
      <c r="T3890" s="260"/>
      <c r="U3890" s="260"/>
      <c r="V3890" s="260"/>
      <c r="W3890" s="262">
        <f>'ТС.РО 01.01 - 30.06'!W3890*W3956</f>
        <v>0</v>
      </c>
      <c r="X3890" s="260"/>
      <c r="Y3890" s="260"/>
      <c r="Z3890" s="262">
        <f>'ТС.РО 01.07 - 31.08'!Z3890*Z3956</f>
        <v>0</v>
      </c>
      <c r="AA3890" s="260"/>
      <c r="AB3890" s="260"/>
      <c r="AC3890" s="262">
        <f>'ТС.РО 01.09 - 31.12'!AC3890*AC3956</f>
        <v>0</v>
      </c>
      <c r="AD3890"/>
      <c r="AE3890"/>
      <c r="AF3890"/>
      <c r="AG3890"/>
    </row>
    <row r="3891" spans="14:33" ht="12" customHeight="1">
      <c r="N3891" s="236" t="s">
        <v>1835</v>
      </c>
      <c r="O3891" s="225" t="s">
        <v>1836</v>
      </c>
      <c r="P3891" s="257"/>
      <c r="Q3891" s="258"/>
      <c r="R3891" s="260"/>
      <c r="S3891" s="260"/>
      <c r="T3891" s="260"/>
      <c r="U3891" s="260"/>
      <c r="V3891" s="260"/>
      <c r="W3891" s="262">
        <f>'ТС.РО 01.01 - 30.06'!W3891*W3956</f>
        <v>0</v>
      </c>
      <c r="X3891" s="260"/>
      <c r="Y3891" s="260"/>
      <c r="Z3891" s="262">
        <f>'ТС.РО 01.07 - 31.08'!Z3891*Z3956</f>
        <v>0</v>
      </c>
      <c r="AA3891" s="260"/>
      <c r="AB3891" s="260"/>
      <c r="AC3891" s="262">
        <f>'ТС.РО 01.09 - 31.12'!AC3891*AC3956</f>
        <v>0</v>
      </c>
      <c r="AD3891"/>
      <c r="AE3891"/>
      <c r="AF3891"/>
      <c r="AG3891"/>
    </row>
    <row r="3892" spans="14:33" ht="12" customHeight="1">
      <c r="N3892" s="236" t="s">
        <v>208</v>
      </c>
      <c r="O3892" s="488" t="s">
        <v>119</v>
      </c>
      <c r="P3892" s="263"/>
      <c r="Q3892" s="258"/>
      <c r="R3892" s="260"/>
      <c r="S3892" s="260"/>
      <c r="T3892" s="260"/>
      <c r="U3892" s="260"/>
      <c r="V3892" s="260"/>
      <c r="W3892" s="262">
        <f>'ТС.РО 01.01 - 30.06'!W3892*W3956</f>
        <v>0</v>
      </c>
      <c r="X3892" s="260"/>
      <c r="Y3892" s="260"/>
      <c r="Z3892" s="262">
        <f>'ТС.РО 01.07 - 31.08'!Z3892*Z3956</f>
        <v>0</v>
      </c>
      <c r="AA3892" s="260"/>
      <c r="AB3892" s="260"/>
      <c r="AC3892" s="262">
        <f>'ТС.РО 01.09 - 31.12'!AC3892*AC3956</f>
        <v>0</v>
      </c>
      <c r="AD3892"/>
      <c r="AE3892"/>
      <c r="AF3892"/>
      <c r="AG3892"/>
    </row>
    <row r="3893" spans="14:33" ht="12" customHeight="1">
      <c r="N3893" s="236" t="s">
        <v>209</v>
      </c>
      <c r="O3893" s="488" t="s">
        <v>121</v>
      </c>
      <c r="P3893" s="263"/>
      <c r="Q3893" s="258"/>
      <c r="R3893" s="260"/>
      <c r="S3893" s="260"/>
      <c r="T3893" s="260"/>
      <c r="U3893" s="260"/>
      <c r="V3893" s="260"/>
      <c r="W3893" s="262">
        <f>'ТС.РО 01.01 - 30.06'!W3893*W3956</f>
        <v>0</v>
      </c>
      <c r="X3893" s="260"/>
      <c r="Y3893" s="260"/>
      <c r="Z3893" s="262">
        <f>'ТС.РО 01.07 - 31.08'!Z3893*Z3956</f>
        <v>0</v>
      </c>
      <c r="AA3893" s="260"/>
      <c r="AB3893" s="260"/>
      <c r="AC3893" s="262">
        <f>'ТС.РО 01.09 - 31.12'!AC3893*AC3956</f>
        <v>0</v>
      </c>
      <c r="AD3893"/>
      <c r="AE3893"/>
      <c r="AF3893"/>
      <c r="AG3893"/>
    </row>
    <row r="3894" spans="14:33" ht="12" customHeight="1">
      <c r="N3894" s="236" t="s">
        <v>210</v>
      </c>
      <c r="O3894" s="488" t="s">
        <v>122</v>
      </c>
      <c r="P3894" s="263"/>
      <c r="Q3894" s="258"/>
      <c r="R3894" s="260"/>
      <c r="S3894" s="260"/>
      <c r="T3894" s="260"/>
      <c r="U3894" s="260"/>
      <c r="V3894" s="260"/>
      <c r="W3894" s="262">
        <f>'ТС.РО 01.01 - 30.06'!W3894*W3956</f>
        <v>0</v>
      </c>
      <c r="X3894" s="260"/>
      <c r="Y3894" s="260"/>
      <c r="Z3894" s="262">
        <f>'ТС.РО 01.07 - 31.08'!Z3894*Z3956</f>
        <v>0</v>
      </c>
      <c r="AA3894" s="260"/>
      <c r="AB3894" s="260"/>
      <c r="AC3894" s="262">
        <f>'ТС.РО 01.09 - 31.12'!AC3894*AC3956</f>
        <v>0</v>
      </c>
      <c r="AD3894"/>
      <c r="AE3894"/>
      <c r="AF3894"/>
      <c r="AG3894"/>
    </row>
    <row r="3895" spans="14:33" ht="12" customHeight="1">
      <c r="N3895" s="236" t="s">
        <v>62</v>
      </c>
      <c r="O3895" s="224" t="s">
        <v>1838</v>
      </c>
      <c r="P3895" s="257"/>
      <c r="Q3895" s="258"/>
      <c r="R3895" s="260"/>
      <c r="S3895" s="260"/>
      <c r="T3895" s="260"/>
      <c r="U3895" s="260"/>
      <c r="V3895" s="260"/>
      <c r="W3895" s="262">
        <f>'ТС.РО 01.01 - 30.06'!W3895*W3956</f>
        <v>0</v>
      </c>
      <c r="X3895" s="260"/>
      <c r="Y3895" s="260"/>
      <c r="Z3895" s="262">
        <f>'ТС.РО 01.07 - 31.08'!Z3895*Z3956</f>
        <v>0</v>
      </c>
      <c r="AA3895" s="260"/>
      <c r="AB3895" s="260"/>
      <c r="AC3895" s="262">
        <f>'ТС.РО 01.09 - 31.12'!AC3895*AC3956</f>
        <v>0</v>
      </c>
      <c r="AD3895"/>
      <c r="AE3895"/>
      <c r="AF3895"/>
      <c r="AG3895"/>
    </row>
    <row r="3896" spans="14:33" ht="12" customHeight="1">
      <c r="N3896" s="236" t="s">
        <v>1837</v>
      </c>
      <c r="O3896" s="228" t="s">
        <v>1839</v>
      </c>
      <c r="P3896" s="257"/>
      <c r="Q3896" s="258"/>
      <c r="R3896" s="260"/>
      <c r="S3896" s="260"/>
      <c r="T3896" s="260"/>
      <c r="U3896" s="260"/>
      <c r="V3896" s="260"/>
      <c r="W3896" s="262">
        <f>'ТС.РО 01.01 - 30.06'!W3896*W3956</f>
        <v>0</v>
      </c>
      <c r="X3896" s="260"/>
      <c r="Y3896" s="260"/>
      <c r="Z3896" s="262">
        <f>'ТС.РО 01.07 - 31.08'!Z3896*Z3956</f>
        <v>0</v>
      </c>
      <c r="AA3896" s="260"/>
      <c r="AB3896" s="260"/>
      <c r="AC3896" s="262">
        <f>'ТС.РО 01.09 - 31.12'!AC3896*AC3956</f>
        <v>0</v>
      </c>
      <c r="AD3896"/>
      <c r="AE3896"/>
      <c r="AF3896"/>
      <c r="AG3896"/>
    </row>
    <row r="3897" spans="14:33" ht="12" customHeight="1">
      <c r="N3897" s="236" t="s">
        <v>1840</v>
      </c>
      <c r="O3897" s="228" t="s">
        <v>1841</v>
      </c>
      <c r="P3897" s="257"/>
      <c r="Q3897" s="258"/>
      <c r="R3897" s="260"/>
      <c r="S3897" s="260"/>
      <c r="T3897" s="260"/>
      <c r="U3897" s="260"/>
      <c r="V3897" s="260"/>
      <c r="W3897" s="262">
        <f>'ТС.РО 01.01 - 30.06'!W3897*W3956</f>
        <v>0</v>
      </c>
      <c r="X3897" s="260"/>
      <c r="Y3897" s="260"/>
      <c r="Z3897" s="262">
        <f>'ТС.РО 01.07 - 31.08'!Z3897*Z3956</f>
        <v>0</v>
      </c>
      <c r="AA3897" s="260"/>
      <c r="AB3897" s="260"/>
      <c r="AC3897" s="262">
        <f>'ТС.РО 01.09 - 31.12'!AC3897*AC3956</f>
        <v>0</v>
      </c>
      <c r="AD3897"/>
      <c r="AE3897"/>
      <c r="AF3897"/>
      <c r="AG3897"/>
    </row>
    <row r="3898" spans="14:33" ht="12" customHeight="1">
      <c r="N3898" s="236" t="s">
        <v>205</v>
      </c>
      <c r="O3898" s="488" t="s">
        <v>119</v>
      </c>
      <c r="P3898" s="263"/>
      <c r="Q3898" s="258"/>
      <c r="R3898" s="260"/>
      <c r="S3898" s="260"/>
      <c r="T3898" s="260"/>
      <c r="U3898" s="260"/>
      <c r="V3898" s="260"/>
      <c r="W3898" s="262">
        <f>'ТС.РО 01.01 - 30.06'!W3898*W3956</f>
        <v>0</v>
      </c>
      <c r="X3898" s="260"/>
      <c r="Y3898" s="260"/>
      <c r="Z3898" s="262">
        <f>'ТС.РО 01.07 - 31.08'!Z3898*Z3956</f>
        <v>0</v>
      </c>
      <c r="AA3898" s="260"/>
      <c r="AB3898" s="260"/>
      <c r="AC3898" s="262">
        <f>'ТС.РО 01.09 - 31.12'!AC3898*AC3956</f>
        <v>0</v>
      </c>
      <c r="AD3898"/>
      <c r="AE3898"/>
      <c r="AF3898"/>
      <c r="AG3898"/>
    </row>
    <row r="3899" spans="14:33" ht="12" customHeight="1">
      <c r="N3899" s="236" t="s">
        <v>206</v>
      </c>
      <c r="O3899" s="488" t="s">
        <v>121</v>
      </c>
      <c r="P3899" s="263"/>
      <c r="Q3899" s="258"/>
      <c r="R3899" s="260"/>
      <c r="S3899" s="260"/>
      <c r="T3899" s="260"/>
      <c r="U3899" s="260"/>
      <c r="V3899" s="260"/>
      <c r="W3899" s="262">
        <f>'ТС.РО 01.01 - 30.06'!W3899*W3956</f>
        <v>0</v>
      </c>
      <c r="X3899" s="260"/>
      <c r="Y3899" s="260"/>
      <c r="Z3899" s="262">
        <f>'ТС.РО 01.07 - 31.08'!Z3899*Z3956</f>
        <v>0</v>
      </c>
      <c r="AA3899" s="260"/>
      <c r="AB3899" s="260"/>
      <c r="AC3899" s="262">
        <f>'ТС.РО 01.09 - 31.12'!AC3899*AC3956</f>
        <v>0</v>
      </c>
      <c r="AD3899"/>
      <c r="AE3899"/>
      <c r="AF3899"/>
      <c r="AG3899"/>
    </row>
    <row r="3900" spans="14:33" ht="12" customHeight="1">
      <c r="N3900" s="236" t="s">
        <v>207</v>
      </c>
      <c r="O3900" s="488" t="s">
        <v>122</v>
      </c>
      <c r="P3900" s="263"/>
      <c r="Q3900" s="258"/>
      <c r="R3900" s="260"/>
      <c r="S3900" s="260"/>
      <c r="T3900" s="260"/>
      <c r="U3900" s="260"/>
      <c r="V3900" s="260"/>
      <c r="W3900" s="262">
        <f>'ТС.РО 01.01 - 30.06'!W3900*W3956</f>
        <v>0</v>
      </c>
      <c r="X3900" s="260"/>
      <c r="Y3900" s="260"/>
      <c r="Z3900" s="262">
        <f>'ТС.РО 01.07 - 31.08'!Z3900*Z3956</f>
        <v>0</v>
      </c>
      <c r="AA3900" s="260"/>
      <c r="AB3900" s="260"/>
      <c r="AC3900" s="262">
        <f>'ТС.РО 01.09 - 31.12'!AC3900*AC3956</f>
        <v>0</v>
      </c>
      <c r="AD3900"/>
      <c r="AE3900"/>
      <c r="AF3900"/>
      <c r="AG3900"/>
    </row>
    <row r="3901" spans="14:33" ht="12" customHeight="1">
      <c r="N3901" s="236" t="s">
        <v>68</v>
      </c>
      <c r="O3901" s="224" t="s">
        <v>1843</v>
      </c>
      <c r="P3901" s="257"/>
      <c r="Q3901" s="258"/>
      <c r="R3901" s="260"/>
      <c r="S3901" s="260"/>
      <c r="T3901" s="260"/>
      <c r="U3901" s="260"/>
      <c r="V3901" s="260"/>
      <c r="W3901" s="262">
        <f>'ТС.РО 01.01 - 30.06'!W3901*W3956</f>
        <v>0</v>
      </c>
      <c r="X3901" s="260"/>
      <c r="Y3901" s="260"/>
      <c r="Z3901" s="262">
        <f>'ТС.РО 01.07 - 31.08'!Z3901*Z3956</f>
        <v>0</v>
      </c>
      <c r="AA3901" s="260"/>
      <c r="AB3901" s="260"/>
      <c r="AC3901" s="262">
        <f>'ТС.РО 01.09 - 31.12'!AC3901*AC3956</f>
        <v>0</v>
      </c>
      <c r="AD3901"/>
      <c r="AE3901"/>
      <c r="AF3901"/>
      <c r="AG3901"/>
    </row>
    <row r="3902" spans="14:33" ht="12" customHeight="1">
      <c r="N3902" s="236" t="s">
        <v>71</v>
      </c>
      <c r="O3902" s="228" t="s">
        <v>1844</v>
      </c>
      <c r="P3902" s="257"/>
      <c r="Q3902" s="258"/>
      <c r="R3902" s="260"/>
      <c r="S3902" s="260"/>
      <c r="T3902" s="260"/>
      <c r="U3902" s="260"/>
      <c r="V3902" s="260"/>
      <c r="W3902" s="262">
        <f>'ТС.РО 01.01 - 30.06'!W3902*W3956</f>
        <v>0</v>
      </c>
      <c r="X3902" s="260"/>
      <c r="Y3902" s="260"/>
      <c r="Z3902" s="262">
        <f>'ТС.РО 01.07 - 31.08'!Z3902*Z3956</f>
        <v>0</v>
      </c>
      <c r="AA3902" s="260"/>
      <c r="AB3902" s="260"/>
      <c r="AC3902" s="262">
        <f>'ТС.РО 01.09 - 31.12'!AC3902*AC3956</f>
        <v>0</v>
      </c>
      <c r="AD3902"/>
      <c r="AE3902"/>
      <c r="AF3902"/>
      <c r="AG3902"/>
    </row>
    <row r="3903" spans="14:33" ht="12" customHeight="1">
      <c r="N3903" s="236" t="s">
        <v>1845</v>
      </c>
      <c r="O3903" s="228" t="s">
        <v>1846</v>
      </c>
      <c r="P3903" s="257"/>
      <c r="Q3903" s="258"/>
      <c r="R3903" s="260"/>
      <c r="S3903" s="260"/>
      <c r="T3903" s="260"/>
      <c r="U3903" s="260"/>
      <c r="V3903" s="260"/>
      <c r="W3903" s="262">
        <f>'ТС.РО 01.01 - 30.06'!W3903*W3956</f>
        <v>0</v>
      </c>
      <c r="X3903" s="260"/>
      <c r="Y3903" s="260"/>
      <c r="Z3903" s="262">
        <f>'ТС.РО 01.07 - 31.08'!Z3903*Z3956</f>
        <v>0</v>
      </c>
      <c r="AA3903" s="260"/>
      <c r="AB3903" s="260"/>
      <c r="AC3903" s="262">
        <f>'ТС.РО 01.09 - 31.12'!AC3903*AC3956</f>
        <v>0</v>
      </c>
      <c r="AD3903"/>
      <c r="AE3903"/>
      <c r="AF3903"/>
      <c r="AG3903"/>
    </row>
    <row r="3904" spans="14:33" ht="12" customHeight="1">
      <c r="N3904" s="236" t="s">
        <v>1848</v>
      </c>
      <c r="O3904" s="224" t="s">
        <v>1849</v>
      </c>
      <c r="P3904" s="257"/>
      <c r="Q3904" s="258"/>
      <c r="R3904" s="260"/>
      <c r="S3904" s="260"/>
      <c r="T3904" s="260"/>
      <c r="U3904" s="260"/>
      <c r="V3904" s="260"/>
      <c r="W3904" s="262">
        <f>'ТС.РО 01.01 - 30.06'!W3904*W3956</f>
        <v>0</v>
      </c>
      <c r="X3904" s="260"/>
      <c r="Y3904" s="260"/>
      <c r="Z3904" s="262">
        <f>'ТС.РО 01.07 - 31.08'!Z3904*Z3956</f>
        <v>0</v>
      </c>
      <c r="AA3904" s="260"/>
      <c r="AB3904" s="260"/>
      <c r="AC3904" s="262">
        <f>'ТС.РО 01.09 - 31.12'!AC3904*AC3956</f>
        <v>0</v>
      </c>
      <c r="AD3904"/>
      <c r="AE3904"/>
      <c r="AF3904"/>
      <c r="AG3904"/>
    </row>
    <row r="3905" spans="14:33" ht="12" customHeight="1">
      <c r="N3905" s="236" t="s">
        <v>1850</v>
      </c>
      <c r="O3905" s="228" t="s">
        <v>1851</v>
      </c>
      <c r="P3905" s="257"/>
      <c r="Q3905" s="258"/>
      <c r="R3905" s="260"/>
      <c r="S3905" s="260"/>
      <c r="T3905" s="260"/>
      <c r="U3905" s="260"/>
      <c r="V3905" s="260"/>
      <c r="W3905" s="262">
        <f>'ТС.РО 01.01 - 30.06'!W3905*W3956</f>
        <v>0</v>
      </c>
      <c r="X3905" s="260"/>
      <c r="Y3905" s="260"/>
      <c r="Z3905" s="262">
        <f>'ТС.РО 01.07 - 31.08'!Z3905*Z3956</f>
        <v>0</v>
      </c>
      <c r="AA3905" s="260"/>
      <c r="AB3905" s="260"/>
      <c r="AC3905" s="262">
        <f>'ТС.РО 01.09 - 31.12'!AC3905*AC3956</f>
        <v>0</v>
      </c>
      <c r="AD3905"/>
      <c r="AE3905"/>
      <c r="AF3905"/>
      <c r="AG3905"/>
    </row>
    <row r="3906" spans="14:33" ht="12" customHeight="1">
      <c r="N3906" s="236" t="s">
        <v>1852</v>
      </c>
      <c r="O3906" s="225" t="s">
        <v>1853</v>
      </c>
      <c r="P3906" s="257"/>
      <c r="Q3906" s="258"/>
      <c r="R3906" s="260"/>
      <c r="S3906" s="260"/>
      <c r="T3906" s="260"/>
      <c r="U3906" s="260"/>
      <c r="V3906" s="260"/>
      <c r="W3906" s="262">
        <f>'ТС.РО 01.01 - 30.06'!W3906*W3956</f>
        <v>0</v>
      </c>
      <c r="X3906" s="260"/>
      <c r="Y3906" s="260"/>
      <c r="Z3906" s="262">
        <f>'ТС.РО 01.07 - 31.08'!Z3906*Z3956</f>
        <v>0</v>
      </c>
      <c r="AA3906" s="260"/>
      <c r="AB3906" s="260"/>
      <c r="AC3906" s="262">
        <f>'ТС.РО 01.09 - 31.12'!AC3906*AC3956</f>
        <v>0</v>
      </c>
      <c r="AD3906"/>
      <c r="AE3906"/>
      <c r="AF3906"/>
      <c r="AG3906"/>
    </row>
    <row r="3907" spans="14:33" ht="12" customHeight="1">
      <c r="N3907" s="236" t="s">
        <v>1855</v>
      </c>
      <c r="O3907" s="224" t="s">
        <v>1856</v>
      </c>
      <c r="P3907" s="257"/>
      <c r="Q3907" s="258"/>
      <c r="R3907" s="260"/>
      <c r="S3907" s="260"/>
      <c r="T3907" s="260"/>
      <c r="U3907" s="260"/>
      <c r="V3907" s="260"/>
      <c r="W3907" s="262">
        <f>'ТС.РО 01.01 - 30.06'!W3907*W3956</f>
        <v>0</v>
      </c>
      <c r="X3907" s="260"/>
      <c r="Y3907" s="260"/>
      <c r="Z3907" s="262">
        <f>'ТС.РО 01.07 - 31.08'!Z3907*Z3956</f>
        <v>0</v>
      </c>
      <c r="AA3907" s="260"/>
      <c r="AB3907" s="260"/>
      <c r="AC3907" s="262">
        <f>'ТС.РО 01.09 - 31.12'!AC3907*AC3956</f>
        <v>0</v>
      </c>
      <c r="AD3907"/>
      <c r="AE3907"/>
      <c r="AF3907"/>
      <c r="AG3907"/>
    </row>
    <row r="3908" spans="14:33" ht="12" customHeight="1">
      <c r="N3908" s="236" t="s">
        <v>1857</v>
      </c>
      <c r="O3908" s="228" t="s">
        <v>2307</v>
      </c>
      <c r="P3908" s="257"/>
      <c r="Q3908" s="258"/>
      <c r="R3908" s="260"/>
      <c r="S3908" s="260"/>
      <c r="T3908" s="260"/>
      <c r="U3908" s="260"/>
      <c r="V3908" s="260"/>
      <c r="W3908" s="262">
        <f>'ТС.РО 01.01 - 30.06'!W3908*W3956</f>
        <v>0</v>
      </c>
      <c r="X3908" s="260"/>
      <c r="Y3908" s="260"/>
      <c r="Z3908" s="262">
        <f>'ТС.РО 01.07 - 31.08'!Z3908*Z3956</f>
        <v>0</v>
      </c>
      <c r="AA3908" s="260"/>
      <c r="AB3908" s="260"/>
      <c r="AC3908" s="262">
        <f>'ТС.РО 01.09 - 31.12'!AC3908*AC3956</f>
        <v>0</v>
      </c>
      <c r="AD3908"/>
      <c r="AE3908"/>
      <c r="AF3908"/>
      <c r="AG3908"/>
    </row>
    <row r="3909" spans="14:33" ht="12" customHeight="1">
      <c r="N3909" s="236" t="s">
        <v>1859</v>
      </c>
      <c r="O3909" s="225" t="s">
        <v>1860</v>
      </c>
      <c r="P3909" s="257"/>
      <c r="Q3909" s="258"/>
      <c r="R3909" s="260"/>
      <c r="S3909" s="260"/>
      <c r="T3909" s="260"/>
      <c r="U3909" s="260"/>
      <c r="V3909" s="260"/>
      <c r="W3909" s="262">
        <f>'ТС.РО 01.01 - 30.06'!W3909*W3956</f>
        <v>0</v>
      </c>
      <c r="X3909" s="260"/>
      <c r="Y3909" s="260"/>
      <c r="Z3909" s="262">
        <f>'ТС.РО 01.07 - 31.08'!Z3909*Z3956</f>
        <v>0</v>
      </c>
      <c r="AA3909" s="260"/>
      <c r="AB3909" s="260"/>
      <c r="AC3909" s="262">
        <f>'ТС.РО 01.09 - 31.12'!AC3909*AC3956</f>
        <v>0</v>
      </c>
      <c r="AD3909"/>
      <c r="AE3909"/>
      <c r="AF3909"/>
      <c r="AG3909"/>
    </row>
    <row r="3910" spans="14:33" ht="12" customHeight="1">
      <c r="N3910" s="234" t="s">
        <v>2412</v>
      </c>
      <c r="O3910" s="235" t="s">
        <v>2413</v>
      </c>
      <c r="P3910" s="257"/>
      <c r="Q3910" s="258"/>
      <c r="R3910" s="260"/>
      <c r="S3910" s="260"/>
      <c r="T3910" s="260"/>
      <c r="U3910" s="260"/>
      <c r="V3910" s="260"/>
      <c r="W3910" s="262">
        <f>'ТС.РО 01.01 - 30.06'!W3910*W3956</f>
        <v>0</v>
      </c>
      <c r="X3910" s="260"/>
      <c r="Y3910" s="260"/>
      <c r="Z3910" s="262">
        <f>'ТС.РО 01.07 - 31.08'!Z3910*Z3956</f>
        <v>0</v>
      </c>
      <c r="AA3910" s="260"/>
      <c r="AB3910" s="260"/>
      <c r="AC3910" s="262">
        <f>'ТС.РО 01.09 - 31.12'!AC3910*AC3956</f>
        <v>0</v>
      </c>
      <c r="AD3910"/>
      <c r="AE3910"/>
      <c r="AF3910"/>
      <c r="AG3910"/>
    </row>
    <row r="3911" spans="14:33" ht="12" customHeight="1">
      <c r="N3911" s="236" t="s">
        <v>2414</v>
      </c>
      <c r="O3911" s="224" t="s">
        <v>2415</v>
      </c>
      <c r="P3911" s="257"/>
      <c r="Q3911" s="258"/>
      <c r="R3911" s="260"/>
      <c r="S3911" s="260"/>
      <c r="T3911" s="260"/>
      <c r="U3911" s="260"/>
      <c r="V3911" s="260"/>
      <c r="W3911" s="262">
        <f>'ТС.РО 01.01 - 30.06'!W3911*W3956</f>
        <v>0</v>
      </c>
      <c r="X3911" s="260"/>
      <c r="Y3911" s="260"/>
      <c r="Z3911" s="262">
        <f>'ТС.РО 01.07 - 31.08'!Z3911*Z3956</f>
        <v>0</v>
      </c>
      <c r="AA3911" s="260"/>
      <c r="AB3911" s="260"/>
      <c r="AC3911" s="262">
        <f>'ТС.РО 01.09 - 31.12'!AC3911*AC3956</f>
        <v>0</v>
      </c>
      <c r="AD3911"/>
      <c r="AE3911"/>
      <c r="AF3911"/>
      <c r="AG3911"/>
    </row>
    <row r="3912" spans="14:33" ht="12" customHeight="1">
      <c r="N3912" s="236" t="s">
        <v>2416</v>
      </c>
      <c r="O3912" s="224" t="s">
        <v>2417</v>
      </c>
      <c r="P3912" s="257"/>
      <c r="Q3912" s="258"/>
      <c r="R3912" s="260"/>
      <c r="S3912" s="260"/>
      <c r="T3912" s="260"/>
      <c r="U3912" s="260"/>
      <c r="V3912" s="260"/>
      <c r="W3912" s="262">
        <f>'ТС.РО 01.01 - 30.06'!W3912*W3956</f>
        <v>0</v>
      </c>
      <c r="X3912" s="260"/>
      <c r="Y3912" s="260"/>
      <c r="Z3912" s="262">
        <f>'ТС.РО 01.07 - 31.08'!Z3912*Z3956</f>
        <v>0</v>
      </c>
      <c r="AA3912" s="260"/>
      <c r="AB3912" s="260"/>
      <c r="AC3912" s="262">
        <f>'ТС.РО 01.09 - 31.12'!AC3912*AC3956</f>
        <v>0</v>
      </c>
      <c r="AD3912"/>
      <c r="AE3912"/>
      <c r="AF3912"/>
      <c r="AG3912"/>
    </row>
    <row r="3913" spans="14:33" ht="12" customHeight="1">
      <c r="N3913" s="236" t="s">
        <v>2419</v>
      </c>
      <c r="O3913" s="224" t="s">
        <v>2420</v>
      </c>
      <c r="P3913" s="257"/>
      <c r="Q3913" s="258"/>
      <c r="R3913" s="260"/>
      <c r="S3913" s="260"/>
      <c r="T3913" s="260"/>
      <c r="U3913" s="260"/>
      <c r="V3913" s="260"/>
      <c r="W3913" s="262">
        <f>'ТС.РО 01.01 - 30.06'!W3913*W3956</f>
        <v>0</v>
      </c>
      <c r="X3913" s="260"/>
      <c r="Y3913" s="260"/>
      <c r="Z3913" s="262">
        <f>'ТС.РО 01.07 - 31.08'!Z3913*Z3956</f>
        <v>0</v>
      </c>
      <c r="AA3913" s="260"/>
      <c r="AB3913" s="260"/>
      <c r="AC3913" s="262">
        <f>'ТС.РО 01.09 - 31.12'!AC3913*AC3956</f>
        <v>0</v>
      </c>
      <c r="AD3913"/>
      <c r="AE3913"/>
      <c r="AF3913"/>
      <c r="AG3913"/>
    </row>
    <row r="3914" spans="14:33" ht="12" customHeight="1">
      <c r="N3914" s="236" t="s">
        <v>2422</v>
      </c>
      <c r="O3914" s="224" t="s">
        <v>2423</v>
      </c>
      <c r="P3914" s="257"/>
      <c r="Q3914" s="258"/>
      <c r="R3914" s="260"/>
      <c r="S3914" s="260"/>
      <c r="T3914" s="260"/>
      <c r="U3914" s="260"/>
      <c r="V3914" s="260"/>
      <c r="W3914" s="262">
        <f>'ТС.РО 01.01 - 30.06'!W3914*W3956</f>
        <v>0</v>
      </c>
      <c r="X3914" s="260"/>
      <c r="Y3914" s="260"/>
      <c r="Z3914" s="262">
        <f>'ТС.РО 01.07 - 31.08'!Z3914*Z3956</f>
        <v>0</v>
      </c>
      <c r="AA3914" s="260"/>
      <c r="AB3914" s="260"/>
      <c r="AC3914" s="262">
        <f>'ТС.РО 01.09 - 31.12'!AC3914*AC3956</f>
        <v>0</v>
      </c>
      <c r="AD3914"/>
      <c r="AE3914"/>
      <c r="AF3914"/>
      <c r="AG3914"/>
    </row>
    <row r="3915" spans="14:33" ht="12" customHeight="1">
      <c r="N3915" s="236" t="s">
        <v>2425</v>
      </c>
      <c r="O3915" s="224" t="s">
        <v>2426</v>
      </c>
      <c r="P3915" s="257"/>
      <c r="Q3915" s="258"/>
      <c r="R3915" s="260"/>
      <c r="S3915" s="260"/>
      <c r="T3915" s="260"/>
      <c r="U3915" s="260"/>
      <c r="V3915" s="260"/>
      <c r="W3915" s="262">
        <f>'ТС.РО 01.01 - 30.06'!W3915*W3956</f>
        <v>0</v>
      </c>
      <c r="X3915" s="260"/>
      <c r="Y3915" s="260"/>
      <c r="Z3915" s="262">
        <f>'ТС.РО 01.07 - 31.08'!Z3915*Z3956</f>
        <v>0</v>
      </c>
      <c r="AA3915" s="260"/>
      <c r="AB3915" s="260"/>
      <c r="AC3915" s="262">
        <f>'ТС.РО 01.09 - 31.12'!AC3915*AC3956</f>
        <v>0</v>
      </c>
      <c r="AD3915"/>
      <c r="AE3915"/>
      <c r="AF3915"/>
      <c r="AG3915"/>
    </row>
    <row r="3916" spans="14:33" ht="12" customHeight="1">
      <c r="N3916" s="236" t="s">
        <v>2427</v>
      </c>
      <c r="O3916" s="235" t="s">
        <v>2428</v>
      </c>
      <c r="P3916" s="257"/>
      <c r="Q3916" s="258"/>
      <c r="R3916" s="260"/>
      <c r="S3916" s="260"/>
      <c r="T3916" s="260"/>
      <c r="U3916" s="260"/>
      <c r="V3916" s="260"/>
      <c r="W3916" s="262">
        <f>'ТС.РО 01.01 - 30.06'!W3916*W3956</f>
        <v>0</v>
      </c>
      <c r="X3916" s="260"/>
      <c r="Y3916" s="260"/>
      <c r="Z3916" s="262">
        <f>'ТС.РО 01.07 - 31.08'!Z3916*Z3956</f>
        <v>0</v>
      </c>
      <c r="AA3916" s="260"/>
      <c r="AB3916" s="260"/>
      <c r="AC3916" s="262">
        <f>'ТС.РО 01.09 - 31.12'!AC3916*AC3956</f>
        <v>0</v>
      </c>
      <c r="AD3916"/>
      <c r="AE3916"/>
      <c r="AF3916"/>
      <c r="AG3916"/>
    </row>
    <row r="3917" spans="14:33" ht="12" customHeight="1">
      <c r="N3917" s="234" t="s">
        <v>2429</v>
      </c>
      <c r="O3917" s="224" t="s">
        <v>2430</v>
      </c>
      <c r="P3917" s="257"/>
      <c r="Q3917" s="258"/>
      <c r="R3917" s="260"/>
      <c r="S3917" s="260"/>
      <c r="T3917" s="260"/>
      <c r="U3917" s="260"/>
      <c r="V3917" s="260"/>
      <c r="W3917" s="262">
        <f>'ТС.РО 01.01 - 30.06'!W3917*W3956</f>
        <v>0</v>
      </c>
      <c r="X3917" s="260"/>
      <c r="Y3917" s="260"/>
      <c r="Z3917" s="262">
        <f>'ТС.РО 01.07 - 31.08'!Z3917*Z3956</f>
        <v>0</v>
      </c>
      <c r="AA3917" s="260"/>
      <c r="AB3917" s="260"/>
      <c r="AC3917" s="262">
        <f>'ТС.РО 01.09 - 31.12'!AC3917*AC3956</f>
        <v>0</v>
      </c>
      <c r="AD3917"/>
      <c r="AE3917"/>
      <c r="AF3917"/>
      <c r="AG3917"/>
    </row>
    <row r="3918" spans="14:33" ht="12" customHeight="1">
      <c r="N3918" s="234" t="s">
        <v>2431</v>
      </c>
      <c r="O3918" s="235" t="s">
        <v>2432</v>
      </c>
      <c r="P3918" s="257"/>
      <c r="Q3918" s="258"/>
      <c r="R3918" s="260"/>
      <c r="S3918" s="260"/>
      <c r="T3918" s="260"/>
      <c r="U3918" s="260"/>
      <c r="V3918" s="260"/>
      <c r="W3918" s="262">
        <f>'ТС.РО 01.01 - 30.06'!W3918*W3956</f>
        <v>0</v>
      </c>
      <c r="X3918" s="260"/>
      <c r="Y3918" s="260"/>
      <c r="Z3918" s="262">
        <f>'ТС.РО 01.07 - 31.08'!Z3918*Z3956</f>
        <v>0</v>
      </c>
      <c r="AA3918" s="260"/>
      <c r="AB3918" s="260"/>
      <c r="AC3918" s="262">
        <f>'ТС.РО 01.09 - 31.12'!AC3918*AC3956</f>
        <v>0</v>
      </c>
      <c r="AD3918"/>
      <c r="AE3918"/>
      <c r="AF3918"/>
      <c r="AG3918"/>
    </row>
    <row r="3919" spans="14:33" ht="12" customHeight="1">
      <c r="N3919" s="236" t="s">
        <v>1842</v>
      </c>
      <c r="O3919" s="224" t="s">
        <v>2433</v>
      </c>
      <c r="P3919" s="257"/>
      <c r="Q3919" s="258"/>
      <c r="R3919" s="260"/>
      <c r="S3919" s="260"/>
      <c r="T3919" s="260"/>
      <c r="U3919" s="260"/>
      <c r="V3919" s="260"/>
      <c r="W3919" s="262">
        <f>'ТС.РО 01.01 - 30.06'!W3919*W3956</f>
        <v>0</v>
      </c>
      <c r="X3919" s="260"/>
      <c r="Y3919" s="260"/>
      <c r="Z3919" s="262">
        <f>'ТС.РО 01.07 - 31.08'!Z3919*Z3956</f>
        <v>0</v>
      </c>
      <c r="AA3919" s="260"/>
      <c r="AB3919" s="260"/>
      <c r="AC3919" s="262">
        <f>'ТС.РО 01.09 - 31.12'!AC3919*AC3956</f>
        <v>0</v>
      </c>
      <c r="AD3919"/>
      <c r="AE3919"/>
      <c r="AF3919"/>
      <c r="AG3919"/>
    </row>
    <row r="3920" spans="14:33" ht="12" customHeight="1">
      <c r="N3920" s="236" t="s">
        <v>2418</v>
      </c>
      <c r="O3920" s="224" t="s">
        <v>2434</v>
      </c>
      <c r="P3920" s="257"/>
      <c r="Q3920" s="258"/>
      <c r="R3920" s="260"/>
      <c r="S3920" s="260"/>
      <c r="T3920" s="260"/>
      <c r="U3920" s="260"/>
      <c r="V3920" s="260"/>
      <c r="W3920" s="262">
        <f>'ТС.РО 01.01 - 30.06'!W3920*W3956</f>
        <v>0</v>
      </c>
      <c r="X3920" s="260"/>
      <c r="Y3920" s="260"/>
      <c r="Z3920" s="262">
        <f>'ТС.РО 01.07 - 31.08'!Z3920*Z3956</f>
        <v>0</v>
      </c>
      <c r="AA3920" s="260"/>
      <c r="AB3920" s="260"/>
      <c r="AC3920" s="262">
        <f>'ТС.РО 01.09 - 31.12'!AC3920*AC3956</f>
        <v>0</v>
      </c>
      <c r="AD3920"/>
      <c r="AE3920"/>
      <c r="AF3920"/>
      <c r="AG3920"/>
    </row>
    <row r="3921" spans="14:33" ht="12" customHeight="1">
      <c r="N3921" s="236" t="s">
        <v>2435</v>
      </c>
      <c r="O3921" s="224" t="s">
        <v>2436</v>
      </c>
      <c r="P3921" s="257"/>
      <c r="Q3921" s="258"/>
      <c r="R3921" s="260"/>
      <c r="S3921" s="260"/>
      <c r="T3921" s="260"/>
      <c r="U3921" s="260"/>
      <c r="V3921" s="260"/>
      <c r="W3921" s="262">
        <f>'ТС.РО 01.01 - 30.06'!W3921*W3956</f>
        <v>0</v>
      </c>
      <c r="X3921" s="260"/>
      <c r="Y3921" s="260"/>
      <c r="Z3921" s="262">
        <f>'ТС.РО 01.07 - 31.08'!Z3921*Z3956</f>
        <v>0</v>
      </c>
      <c r="AA3921" s="260"/>
      <c r="AB3921" s="260"/>
      <c r="AC3921" s="262">
        <f>'ТС.РО 01.09 - 31.12'!AC3921*AC3956</f>
        <v>0</v>
      </c>
      <c r="AD3921"/>
      <c r="AE3921"/>
      <c r="AF3921"/>
      <c r="AG3921"/>
    </row>
    <row r="3922" spans="14:33" ht="12" customHeight="1">
      <c r="N3922" s="236" t="s">
        <v>2437</v>
      </c>
      <c r="O3922" s="224" t="s">
        <v>2438</v>
      </c>
      <c r="P3922" s="257"/>
      <c r="Q3922" s="258"/>
      <c r="R3922" s="260"/>
      <c r="S3922" s="260"/>
      <c r="T3922" s="260"/>
      <c r="U3922" s="260"/>
      <c r="V3922" s="260"/>
      <c r="W3922" s="262">
        <f>'ТС.РО 01.01 - 30.06'!W3922*W3956</f>
        <v>0</v>
      </c>
      <c r="X3922" s="260"/>
      <c r="Y3922" s="260"/>
      <c r="Z3922" s="262">
        <f>'ТС.РО 01.07 - 31.08'!Z3922*Z3956</f>
        <v>0</v>
      </c>
      <c r="AA3922" s="260"/>
      <c r="AB3922" s="260"/>
      <c r="AC3922" s="262">
        <f>'ТС.РО 01.09 - 31.12'!AC3922*AC3956</f>
        <v>0</v>
      </c>
      <c r="AD3922"/>
      <c r="AE3922"/>
      <c r="AF3922"/>
      <c r="AG3922"/>
    </row>
    <row r="3923" spans="14:33" ht="12" customHeight="1">
      <c r="N3923" s="236" t="s">
        <v>2439</v>
      </c>
      <c r="O3923" s="224" t="s">
        <v>2440</v>
      </c>
      <c r="P3923" s="257"/>
      <c r="Q3923" s="258"/>
      <c r="R3923" s="260"/>
      <c r="S3923" s="260"/>
      <c r="T3923" s="260"/>
      <c r="U3923" s="260"/>
      <c r="V3923" s="260"/>
      <c r="W3923" s="262">
        <f>'ТС.РО 01.01 - 30.06'!W3923*W3956</f>
        <v>0</v>
      </c>
      <c r="X3923" s="260"/>
      <c r="Y3923" s="260"/>
      <c r="Z3923" s="262">
        <f>'ТС.РО 01.07 - 31.08'!Z3923*Z3956</f>
        <v>0</v>
      </c>
      <c r="AA3923" s="260"/>
      <c r="AB3923" s="260"/>
      <c r="AC3923" s="262">
        <f>'ТС.РО 01.09 - 31.12'!AC3923*AC3956</f>
        <v>0</v>
      </c>
      <c r="AD3923"/>
      <c r="AE3923"/>
      <c r="AF3923"/>
      <c r="AG3923"/>
    </row>
    <row r="3924" spans="14:33" ht="12" customHeight="1">
      <c r="N3924" s="236" t="s">
        <v>2441</v>
      </c>
      <c r="O3924" s="224" t="s">
        <v>2442</v>
      </c>
      <c r="P3924" s="257"/>
      <c r="Q3924" s="258"/>
      <c r="R3924" s="260"/>
      <c r="S3924" s="260"/>
      <c r="T3924" s="260"/>
      <c r="U3924" s="260"/>
      <c r="V3924" s="260"/>
      <c r="W3924" s="262">
        <f>'ТС.РО 01.01 - 30.06'!W3924*W3956</f>
        <v>0</v>
      </c>
      <c r="X3924" s="260"/>
      <c r="Y3924" s="260"/>
      <c r="Z3924" s="262">
        <f>'ТС.РО 01.07 - 31.08'!Z3924*Z3956</f>
        <v>0</v>
      </c>
      <c r="AA3924" s="260"/>
      <c r="AB3924" s="260"/>
      <c r="AC3924" s="262">
        <f>'ТС.РО 01.09 - 31.12'!AC3924*AC3956</f>
        <v>0</v>
      </c>
      <c r="AD3924"/>
      <c r="AE3924"/>
      <c r="AF3924"/>
      <c r="AG3924"/>
    </row>
    <row r="3925" spans="14:33" ht="12" customHeight="1">
      <c r="N3925" s="236" t="s">
        <v>2443</v>
      </c>
      <c r="O3925" s="224" t="s">
        <v>2444</v>
      </c>
      <c r="P3925" s="257"/>
      <c r="Q3925" s="258"/>
      <c r="R3925" s="260"/>
      <c r="S3925" s="260"/>
      <c r="T3925" s="260"/>
      <c r="U3925" s="260"/>
      <c r="V3925" s="260"/>
      <c r="W3925" s="262">
        <f>'ТС.РО 01.01 - 30.06'!W3925*W3956</f>
        <v>0</v>
      </c>
      <c r="X3925" s="260"/>
      <c r="Y3925" s="260"/>
      <c r="Z3925" s="262">
        <f>'ТС.РО 01.07 - 31.08'!Z3925*Z3956</f>
        <v>0</v>
      </c>
      <c r="AA3925" s="260"/>
      <c r="AB3925" s="260"/>
      <c r="AC3925" s="262">
        <f>'ТС.РО 01.09 - 31.12'!AC3925*AC3956</f>
        <v>0</v>
      </c>
      <c r="AD3925"/>
      <c r="AE3925"/>
      <c r="AF3925"/>
      <c r="AG3925"/>
    </row>
    <row r="3926" spans="14:33" ht="12" customHeight="1">
      <c r="N3926" s="236" t="s">
        <v>842</v>
      </c>
      <c r="O3926" s="224" t="s">
        <v>843</v>
      </c>
      <c r="P3926" s="257"/>
      <c r="Q3926" s="258"/>
      <c r="R3926" s="260"/>
      <c r="S3926" s="260"/>
      <c r="T3926" s="260"/>
      <c r="U3926" s="260"/>
      <c r="V3926" s="260"/>
      <c r="W3926" s="262">
        <f>'ТС.РО 01.01 - 30.06'!W3926*W3956</f>
        <v>0</v>
      </c>
      <c r="X3926" s="260"/>
      <c r="Y3926" s="260"/>
      <c r="Z3926" s="262">
        <f>'ТС.РО 01.07 - 31.08'!Z3926*Z3956</f>
        <v>0</v>
      </c>
      <c r="AA3926" s="260"/>
      <c r="AB3926" s="260"/>
      <c r="AC3926" s="262">
        <f>'ТС.РО 01.09 - 31.12'!AC3926*AC3956</f>
        <v>0</v>
      </c>
      <c r="AD3926"/>
      <c r="AE3926"/>
      <c r="AF3926"/>
      <c r="AG3926"/>
    </row>
    <row r="3927" spans="14:33" ht="12" customHeight="1">
      <c r="N3927" s="236" t="s">
        <v>845</v>
      </c>
      <c r="O3927" s="235" t="s">
        <v>846</v>
      </c>
      <c r="P3927" s="257"/>
      <c r="Q3927" s="258"/>
      <c r="R3927" s="260"/>
      <c r="S3927" s="260"/>
      <c r="T3927" s="260"/>
      <c r="U3927" s="260"/>
      <c r="V3927" s="260"/>
      <c r="W3927" s="262">
        <f>'ТС.РО 01.01 - 30.06'!W3927*W3956</f>
        <v>0</v>
      </c>
      <c r="X3927" s="260"/>
      <c r="Y3927" s="260"/>
      <c r="Z3927" s="262">
        <f>'ТС.РО 01.07 - 31.08'!Z3927*Z3956</f>
        <v>0</v>
      </c>
      <c r="AA3927" s="260"/>
      <c r="AB3927" s="260"/>
      <c r="AC3927" s="262">
        <f>'ТС.РО 01.09 - 31.12'!AC3927*AC3956</f>
        <v>0</v>
      </c>
      <c r="AD3927"/>
      <c r="AE3927"/>
      <c r="AF3927"/>
      <c r="AG3927"/>
    </row>
    <row r="3928" spans="14:33" ht="12" customHeight="1">
      <c r="N3928" s="475" t="s">
        <v>287</v>
      </c>
      <c r="O3928" s="476" t="s">
        <v>288</v>
      </c>
      <c r="P3928" s="257"/>
      <c r="Q3928" s="258"/>
      <c r="R3928" s="260"/>
      <c r="S3928" s="260"/>
      <c r="T3928" s="260"/>
      <c r="U3928" s="260"/>
      <c r="V3928" s="260"/>
      <c r="W3928" s="262">
        <f>'ТС.РО 01.01 - 30.06'!W3928*W3956</f>
        <v>0</v>
      </c>
      <c r="X3928" s="260"/>
      <c r="Y3928" s="260"/>
      <c r="Z3928" s="262">
        <f>'ТС.РО 01.07 - 31.08'!Z3928*Z3956</f>
        <v>0</v>
      </c>
      <c r="AA3928" s="260"/>
      <c r="AB3928" s="260"/>
      <c r="AC3928" s="262">
        <f>'ТС.РО 01.09 - 31.12'!AC3928*AC3956</f>
        <v>0</v>
      </c>
      <c r="AD3928"/>
      <c r="AE3928"/>
      <c r="AF3928"/>
      <c r="AG3928"/>
    </row>
    <row r="3929" spans="14:33" ht="12" customHeight="1">
      <c r="N3929" s="234" t="s">
        <v>1847</v>
      </c>
      <c r="O3929" s="224" t="s">
        <v>847</v>
      </c>
      <c r="P3929" s="257"/>
      <c r="Q3929" s="258"/>
      <c r="R3929" s="260"/>
      <c r="S3929" s="260"/>
      <c r="T3929" s="260"/>
      <c r="U3929" s="260"/>
      <c r="V3929" s="260"/>
      <c r="W3929" s="262">
        <f>'ТС.РО 01.01 - 30.06'!W3929*W3956</f>
        <v>0</v>
      </c>
      <c r="X3929" s="260"/>
      <c r="Y3929" s="260"/>
      <c r="Z3929" s="262">
        <f>'ТС.РО 01.07 - 31.08'!Z3929*Z3956</f>
        <v>0</v>
      </c>
      <c r="AA3929" s="260"/>
      <c r="AB3929" s="260"/>
      <c r="AC3929" s="262">
        <f>'ТС.РО 01.09 - 31.12'!AC3929*AC3956</f>
        <v>0</v>
      </c>
      <c r="AD3929"/>
      <c r="AE3929"/>
      <c r="AF3929"/>
      <c r="AG3929"/>
    </row>
    <row r="3930" spans="14:33" ht="12" customHeight="1">
      <c r="N3930" s="234" t="s">
        <v>1854</v>
      </c>
      <c r="O3930" s="224" t="s">
        <v>848</v>
      </c>
      <c r="P3930" s="257"/>
      <c r="Q3930" s="258"/>
      <c r="R3930" s="260"/>
      <c r="S3930" s="260"/>
      <c r="T3930" s="260"/>
      <c r="U3930" s="260"/>
      <c r="V3930" s="260"/>
      <c r="W3930" s="262">
        <f>'ТС.РО 01.01 - 30.06'!W3930*W3956</f>
        <v>0</v>
      </c>
      <c r="X3930" s="260"/>
      <c r="Y3930" s="260"/>
      <c r="Z3930" s="262">
        <f>'ТС.РО 01.07 - 31.08'!Z3930*Z3956</f>
        <v>0</v>
      </c>
      <c r="AA3930" s="260"/>
      <c r="AB3930" s="260"/>
      <c r="AC3930" s="262">
        <f>'ТС.РО 01.09 - 31.12'!AC3930*AC3956</f>
        <v>0</v>
      </c>
      <c r="AD3930"/>
      <c r="AE3930"/>
      <c r="AF3930"/>
      <c r="AG3930"/>
    </row>
    <row r="3931" spans="14:33" ht="12" customHeight="1">
      <c r="N3931" s="234" t="s">
        <v>2421</v>
      </c>
      <c r="O3931" s="224" t="s">
        <v>849</v>
      </c>
      <c r="P3931" s="257"/>
      <c r="Q3931" s="258"/>
      <c r="R3931" s="260"/>
      <c r="S3931" s="260"/>
      <c r="T3931" s="260"/>
      <c r="U3931" s="260"/>
      <c r="V3931" s="260"/>
      <c r="W3931" s="262">
        <f>'ТС.РО 01.01 - 30.06'!W3931*W3956</f>
        <v>0</v>
      </c>
      <c r="X3931" s="260"/>
      <c r="Y3931" s="260"/>
      <c r="Z3931" s="262">
        <f>'ТС.РО 01.07 - 31.08'!Z3931*Z3956</f>
        <v>0</v>
      </c>
      <c r="AA3931" s="260"/>
      <c r="AB3931" s="260"/>
      <c r="AC3931" s="262">
        <f>'ТС.РО 01.09 - 31.12'!AC3931*AC3956</f>
        <v>0</v>
      </c>
      <c r="AD3931"/>
      <c r="AE3931"/>
      <c r="AF3931"/>
      <c r="AG3931"/>
    </row>
    <row r="3932" spans="14:33" ht="12" customHeight="1">
      <c r="N3932" s="236" t="s">
        <v>3005</v>
      </c>
      <c r="O3932" s="235" t="s">
        <v>851</v>
      </c>
      <c r="P3932" s="257"/>
      <c r="Q3932" s="258"/>
      <c r="R3932" s="260"/>
      <c r="S3932" s="260"/>
      <c r="T3932" s="260"/>
      <c r="U3932" s="260"/>
      <c r="V3932" s="260"/>
      <c r="W3932" s="262">
        <f>'ТС.РО 01.01 - 30.06'!W3932*W3956</f>
        <v>0</v>
      </c>
      <c r="X3932" s="260"/>
      <c r="Y3932" s="260"/>
      <c r="Z3932" s="262">
        <f>'ТС.РО 01.07 - 31.08'!Z3932*Z3956</f>
        <v>0</v>
      </c>
      <c r="AA3932" s="260"/>
      <c r="AB3932" s="260"/>
      <c r="AC3932" s="262">
        <f>'ТС.РО 01.09 - 31.12'!AC3932*AC3956</f>
        <v>0</v>
      </c>
      <c r="AD3932"/>
      <c r="AE3932"/>
      <c r="AF3932"/>
      <c r="AG3932"/>
    </row>
    <row r="3933" spans="14:33" ht="12" customHeight="1">
      <c r="N3933" s="236"/>
      <c r="O3933" s="224"/>
      <c r="P3933" s="260"/>
      <c r="Q3933" s="258"/>
      <c r="R3933" s="260"/>
      <c r="S3933" s="260"/>
      <c r="T3933" s="260"/>
      <c r="U3933" s="260"/>
      <c r="V3933" s="260"/>
      <c r="W3933" s="262">
        <f>'ТС.РО 01.01 - 30.06'!W3933*W3956</f>
        <v>0</v>
      </c>
      <c r="X3933" s="260"/>
      <c r="Y3933" s="260"/>
      <c r="Z3933" s="262">
        <f>'ТС.РО 01.07 - 31.08'!Z3933*Z3956</f>
        <v>0</v>
      </c>
      <c r="AA3933" s="260"/>
      <c r="AB3933" s="260"/>
      <c r="AC3933" s="262">
        <f>'ТС.РО 01.09 - 31.12'!AC3933*AC3956</f>
        <v>0</v>
      </c>
      <c r="AD3933"/>
      <c r="AE3933"/>
      <c r="AF3933"/>
      <c r="AG3933"/>
    </row>
    <row r="3934" spans="14:33" ht="12" customHeight="1">
      <c r="N3934" s="236"/>
      <c r="O3934" s="224"/>
      <c r="P3934" s="260"/>
      <c r="Q3934" s="258"/>
      <c r="R3934" s="260"/>
      <c r="S3934" s="260"/>
      <c r="T3934" s="260"/>
      <c r="U3934" s="260"/>
      <c r="V3934" s="260"/>
      <c r="W3934" s="262">
        <f>'ТС.РО 01.01 - 30.06'!W3934*W3956</f>
        <v>0</v>
      </c>
      <c r="X3934" s="260"/>
      <c r="Y3934" s="260"/>
      <c r="Z3934" s="262">
        <f>'ТС.РО 01.07 - 31.08'!Z3934*Z3956</f>
        <v>0</v>
      </c>
      <c r="AA3934" s="260"/>
      <c r="AB3934" s="260"/>
      <c r="AC3934" s="262">
        <f>'ТС.РО 01.09 - 31.12'!AC3934*AC3956</f>
        <v>0</v>
      </c>
      <c r="AD3934"/>
      <c r="AE3934"/>
      <c r="AF3934"/>
      <c r="AG3934"/>
    </row>
    <row r="3935" spans="14:33" ht="12" customHeight="1">
      <c r="N3935" s="236" t="s">
        <v>844</v>
      </c>
      <c r="O3935" s="235" t="s">
        <v>853</v>
      </c>
      <c r="P3935" s="257"/>
      <c r="Q3935" s="258"/>
      <c r="R3935" s="260"/>
      <c r="S3935" s="260"/>
      <c r="T3935" s="260"/>
      <c r="U3935" s="260"/>
      <c r="V3935" s="260"/>
      <c r="W3935" s="262">
        <f>'ТС.РО 01.01 - 30.06'!W3935*W3956</f>
        <v>0</v>
      </c>
      <c r="X3935" s="260"/>
      <c r="Y3935" s="260"/>
      <c r="Z3935" s="262">
        <f>'ТС.РО 01.07 - 31.08'!Z3935*Z3956</f>
        <v>0</v>
      </c>
      <c r="AA3935" s="260"/>
      <c r="AB3935" s="260"/>
      <c r="AC3935" s="262">
        <f>'ТС.РО 01.09 - 31.12'!AC3935*AC3956</f>
        <v>0</v>
      </c>
      <c r="AD3935"/>
      <c r="AE3935"/>
      <c r="AF3935"/>
      <c r="AG3935"/>
    </row>
    <row r="3936" spans="14:33" ht="12" customHeight="1">
      <c r="N3936" s="234" t="s">
        <v>854</v>
      </c>
      <c r="O3936" s="205" t="s">
        <v>76</v>
      </c>
      <c r="P3936" s="257"/>
      <c r="Q3936" s="258"/>
      <c r="R3936" s="260"/>
      <c r="S3936" s="260"/>
      <c r="T3936" s="260"/>
      <c r="U3936" s="260"/>
      <c r="V3936" s="260"/>
      <c r="W3936" s="262">
        <f>'ТС.РО 01.01 - 30.06'!W3936*W3956</f>
        <v>0</v>
      </c>
      <c r="X3936" s="260"/>
      <c r="Y3936" s="260"/>
      <c r="Z3936" s="262">
        <f>'ТС.РО 01.07 - 31.08'!Z3936*Z3956</f>
        <v>0</v>
      </c>
      <c r="AA3936" s="260"/>
      <c r="AB3936" s="260"/>
      <c r="AC3936" s="262">
        <f>'ТС.РО 01.09 - 31.12'!AC3936*AC3956</f>
        <v>0</v>
      </c>
      <c r="AD3936"/>
      <c r="AE3936"/>
      <c r="AF3936"/>
      <c r="AG3936"/>
    </row>
    <row r="3937" spans="14:33" ht="12" customHeight="1">
      <c r="N3937" s="236" t="s">
        <v>850</v>
      </c>
      <c r="O3937" s="235" t="s">
        <v>856</v>
      </c>
      <c r="P3937" s="257"/>
      <c r="Q3937" s="258"/>
      <c r="R3937" s="260"/>
      <c r="S3937" s="260"/>
      <c r="T3937" s="260"/>
      <c r="U3937" s="260"/>
      <c r="V3937" s="260"/>
      <c r="W3937" s="262">
        <f>'ТС.РО 01.01 - 30.06'!W3937*W3956</f>
        <v>0</v>
      </c>
      <c r="X3937" s="260"/>
      <c r="Y3937" s="260"/>
      <c r="Z3937" s="262">
        <f>'ТС.РО 01.07 - 31.08'!Z3937*Z3956</f>
        <v>0</v>
      </c>
      <c r="AA3937" s="260"/>
      <c r="AB3937" s="260"/>
      <c r="AC3937" s="262">
        <f>'ТС.РО 01.09 - 31.12'!AC3937*AC3956</f>
        <v>0</v>
      </c>
      <c r="AD3937"/>
      <c r="AE3937"/>
      <c r="AF3937"/>
      <c r="AG3937"/>
    </row>
    <row r="3938" spans="14:33" ht="12" customHeight="1">
      <c r="N3938" s="236" t="s">
        <v>858</v>
      </c>
      <c r="O3938" s="205" t="s">
        <v>859</v>
      </c>
      <c r="P3938" s="257"/>
      <c r="Q3938" s="258"/>
      <c r="R3938" s="260"/>
      <c r="S3938" s="260"/>
      <c r="T3938" s="260"/>
      <c r="U3938" s="260"/>
      <c r="V3938" s="260"/>
      <c r="W3938" s="262">
        <f>'ТС.РО 01.01 - 30.06'!W3938*W3956</f>
        <v>0</v>
      </c>
      <c r="X3938" s="260"/>
      <c r="Y3938" s="260"/>
      <c r="Z3938" s="262">
        <f>'ТС.РО 01.07 - 31.08'!Z3938*Z3956</f>
        <v>0</v>
      </c>
      <c r="AA3938" s="260"/>
      <c r="AB3938" s="260"/>
      <c r="AC3938" s="262">
        <f>'ТС.РО 01.09 - 31.12'!AC3938*AC3956</f>
        <v>0</v>
      </c>
      <c r="AD3938"/>
      <c r="AE3938"/>
      <c r="AF3938"/>
      <c r="AG3938"/>
    </row>
    <row r="3939" spans="14:33" ht="12" customHeight="1">
      <c r="N3939" s="236" t="s">
        <v>861</v>
      </c>
      <c r="O3939" s="205" t="s">
        <v>862</v>
      </c>
      <c r="P3939" s="257"/>
      <c r="Q3939" s="258"/>
      <c r="R3939" s="260"/>
      <c r="S3939" s="260"/>
      <c r="T3939" s="260"/>
      <c r="U3939" s="260"/>
      <c r="V3939" s="260"/>
      <c r="W3939" s="262">
        <f>'ТС.РО 01.01 - 30.06'!W3939*W3956</f>
        <v>0</v>
      </c>
      <c r="X3939" s="260"/>
      <c r="Y3939" s="260"/>
      <c r="Z3939" s="262">
        <f>'ТС.РО 01.07 - 31.08'!Z3939*Z3956</f>
        <v>0</v>
      </c>
      <c r="AA3939" s="260"/>
      <c r="AB3939" s="260"/>
      <c r="AC3939" s="262">
        <f>'ТС.РО 01.09 - 31.12'!AC3939*AC3956</f>
        <v>0</v>
      </c>
      <c r="AD3939"/>
      <c r="AE3939"/>
      <c r="AF3939"/>
      <c r="AG3939"/>
    </row>
    <row r="3940" spans="14:33" ht="12" customHeight="1">
      <c r="N3940" s="236" t="s">
        <v>863</v>
      </c>
      <c r="O3940" s="205" t="s">
        <v>864</v>
      </c>
      <c r="P3940" s="257"/>
      <c r="Q3940" s="258"/>
      <c r="R3940" s="260"/>
      <c r="S3940" s="260"/>
      <c r="T3940" s="260"/>
      <c r="U3940" s="260"/>
      <c r="V3940" s="260"/>
      <c r="W3940" s="262">
        <f>'ТС.РО 01.01 - 30.06'!W3940*W3956</f>
        <v>0</v>
      </c>
      <c r="X3940" s="260"/>
      <c r="Y3940" s="260"/>
      <c r="Z3940" s="262">
        <f>'ТС.РО 01.07 - 31.08'!Z3940*Z3956</f>
        <v>0</v>
      </c>
      <c r="AA3940" s="260"/>
      <c r="AB3940" s="260"/>
      <c r="AC3940" s="262">
        <f>'ТС.РО 01.09 - 31.12'!AC3940*AC3956</f>
        <v>0</v>
      </c>
      <c r="AD3940"/>
      <c r="AE3940"/>
      <c r="AF3940"/>
      <c r="AG3940"/>
    </row>
    <row r="3941" spans="14:33" ht="12" customHeight="1">
      <c r="N3941" s="236" t="s">
        <v>865</v>
      </c>
      <c r="O3941" s="205" t="s">
        <v>866</v>
      </c>
      <c r="P3941" s="257"/>
      <c r="Q3941" s="258"/>
      <c r="R3941" s="260"/>
      <c r="S3941" s="260"/>
      <c r="T3941" s="260"/>
      <c r="U3941" s="260"/>
      <c r="V3941" s="260"/>
      <c r="W3941" s="262">
        <f>'ТС.РО 01.01 - 30.06'!W3941*W3956</f>
        <v>0</v>
      </c>
      <c r="X3941" s="260"/>
      <c r="Y3941" s="260"/>
      <c r="Z3941" s="262">
        <f>'ТС.РО 01.07 - 31.08'!Z3941*Z3956</f>
        <v>0</v>
      </c>
      <c r="AA3941" s="260"/>
      <c r="AB3941" s="260"/>
      <c r="AC3941" s="262">
        <f>'ТС.РО 01.09 - 31.12'!AC3941*AC3956</f>
        <v>0</v>
      </c>
      <c r="AD3941"/>
      <c r="AE3941"/>
      <c r="AF3941"/>
      <c r="AG3941"/>
    </row>
    <row r="3942" spans="14:33" ht="12" customHeight="1">
      <c r="N3942" s="236" t="s">
        <v>867</v>
      </c>
      <c r="O3942" s="205" t="s">
        <v>868</v>
      </c>
      <c r="P3942" s="257"/>
      <c r="Q3942" s="258"/>
      <c r="R3942" s="260"/>
      <c r="S3942" s="260"/>
      <c r="T3942" s="260"/>
      <c r="U3942" s="260"/>
      <c r="V3942" s="260"/>
      <c r="W3942" s="262">
        <f>'ТС.РО 01.01 - 30.06'!W3942*W3956</f>
        <v>0</v>
      </c>
      <c r="X3942" s="260"/>
      <c r="Y3942" s="260"/>
      <c r="Z3942" s="262">
        <f>'ТС.РО 01.07 - 31.08'!Z3942*Z3956</f>
        <v>0</v>
      </c>
      <c r="AA3942" s="260"/>
      <c r="AB3942" s="260"/>
      <c r="AC3942" s="262">
        <f>'ТС.РО 01.09 - 31.12'!AC3942*AC3956</f>
        <v>0</v>
      </c>
      <c r="AD3942"/>
      <c r="AE3942"/>
      <c r="AF3942"/>
      <c r="AG3942"/>
    </row>
    <row r="3943" spans="14:33" ht="12" customHeight="1">
      <c r="N3943" s="236" t="s">
        <v>869</v>
      </c>
      <c r="O3943" s="229" t="s">
        <v>870</v>
      </c>
      <c r="P3943" s="257"/>
      <c r="Q3943" s="258"/>
      <c r="R3943" s="260"/>
      <c r="S3943" s="260"/>
      <c r="T3943" s="260"/>
      <c r="U3943" s="260"/>
      <c r="V3943" s="260"/>
      <c r="W3943" s="262">
        <f>'ТС.РО 01.01 - 30.06'!W3943*W3956</f>
        <v>0</v>
      </c>
      <c r="X3943" s="260"/>
      <c r="Y3943" s="260"/>
      <c r="Z3943" s="262">
        <f>'ТС.РО 01.07 - 31.08'!Z3943*Z3956</f>
        <v>0</v>
      </c>
      <c r="AA3943" s="260"/>
      <c r="AB3943" s="260"/>
      <c r="AC3943" s="262">
        <f>'ТС.РО 01.09 - 31.12'!AC3943*AC3956</f>
        <v>0</v>
      </c>
      <c r="AD3943"/>
      <c r="AE3943"/>
      <c r="AF3943"/>
      <c r="AG3943"/>
    </row>
    <row r="3944" spans="14:33" ht="12" customHeight="1">
      <c r="N3944" s="236" t="s">
        <v>871</v>
      </c>
      <c r="O3944" s="229" t="s">
        <v>872</v>
      </c>
      <c r="P3944" s="257"/>
      <c r="Q3944" s="258"/>
      <c r="R3944" s="260"/>
      <c r="S3944" s="260"/>
      <c r="T3944" s="260"/>
      <c r="U3944" s="260"/>
      <c r="V3944" s="260"/>
      <c r="W3944" s="262">
        <f>'ТС.РО 01.01 - 30.06'!W3944*W3956</f>
        <v>0</v>
      </c>
      <c r="X3944" s="260"/>
      <c r="Y3944" s="260"/>
      <c r="Z3944" s="262">
        <f>'ТС.РО 01.07 - 31.08'!Z3944*Z3956</f>
        <v>0</v>
      </c>
      <c r="AA3944" s="260"/>
      <c r="AB3944" s="260"/>
      <c r="AC3944" s="262">
        <f>'ТС.РО 01.09 - 31.12'!AC3944*AC3956</f>
        <v>0</v>
      </c>
      <c r="AD3944"/>
      <c r="AE3944"/>
      <c r="AF3944"/>
      <c r="AG3944"/>
    </row>
    <row r="3945" spans="14:33" ht="12" customHeight="1">
      <c r="N3945" s="236" t="s">
        <v>873</v>
      </c>
      <c r="O3945" s="229" t="s">
        <v>874</v>
      </c>
      <c r="P3945" s="257"/>
      <c r="Q3945" s="258"/>
      <c r="R3945" s="260"/>
      <c r="S3945" s="260"/>
      <c r="T3945" s="260"/>
      <c r="U3945" s="260"/>
      <c r="V3945" s="260"/>
      <c r="W3945" s="262">
        <f>'ТС.РО 01.01 - 30.06'!W3945*W3956</f>
        <v>0</v>
      </c>
      <c r="X3945" s="260"/>
      <c r="Y3945" s="260"/>
      <c r="Z3945" s="262">
        <f>'ТС.РО 01.07 - 31.08'!Z3945*Z3956</f>
        <v>0</v>
      </c>
      <c r="AA3945" s="260"/>
      <c r="AB3945" s="260"/>
      <c r="AC3945" s="262">
        <f>'ТС.РО 01.09 - 31.12'!AC3945*AC3956</f>
        <v>0</v>
      </c>
      <c r="AD3945"/>
      <c r="AE3945"/>
      <c r="AF3945"/>
      <c r="AG3945"/>
    </row>
    <row r="3946" spans="14:33" ht="12" customHeight="1">
      <c r="N3946" s="234" t="s">
        <v>852</v>
      </c>
      <c r="O3946" s="249" t="s">
        <v>875</v>
      </c>
      <c r="P3946" s="257"/>
      <c r="Q3946" s="258"/>
      <c r="R3946" s="260"/>
      <c r="S3946" s="260"/>
      <c r="T3946" s="260"/>
      <c r="U3946" s="260"/>
      <c r="V3946" s="260"/>
      <c r="W3946" s="262">
        <f>'ТС.РО 01.01 - 30.06'!W3946*W3956</f>
        <v>0</v>
      </c>
      <c r="X3946" s="260"/>
      <c r="Y3946" s="260"/>
      <c r="Z3946" s="262">
        <f>'ТС.РО 01.07 - 31.08'!Z3946*Z3956</f>
        <v>0</v>
      </c>
      <c r="AA3946" s="260"/>
      <c r="AB3946" s="260"/>
      <c r="AC3946" s="262">
        <f>'ТС.РО 01.09 - 31.12'!AC3946*AC3956</f>
        <v>0</v>
      </c>
      <c r="AD3946"/>
      <c r="AE3946"/>
      <c r="AF3946"/>
      <c r="AG3946"/>
    </row>
    <row r="3947" spans="14:33" ht="12" customHeight="1">
      <c r="N3947" s="236" t="s">
        <v>877</v>
      </c>
      <c r="O3947" s="205" t="s">
        <v>878</v>
      </c>
      <c r="P3947" s="257"/>
      <c r="Q3947" s="258"/>
      <c r="R3947" s="260"/>
      <c r="S3947" s="260"/>
      <c r="T3947" s="260"/>
      <c r="U3947" s="260"/>
      <c r="V3947" s="260"/>
      <c r="W3947" s="262">
        <f>'ТС.РО 01.01 - 30.06'!W3947*W3956</f>
        <v>0</v>
      </c>
      <c r="X3947" s="260"/>
      <c r="Y3947" s="260"/>
      <c r="Z3947" s="262">
        <f>'ТС.РО 01.07 - 31.08'!Z3947*Z3956</f>
        <v>0</v>
      </c>
      <c r="AA3947" s="260"/>
      <c r="AB3947" s="260"/>
      <c r="AC3947" s="262">
        <f>'ТС.РО 01.09 - 31.12'!AC3947*AC3956</f>
        <v>0</v>
      </c>
      <c r="AD3947"/>
      <c r="AE3947"/>
      <c r="AF3947"/>
      <c r="AG3947"/>
    </row>
    <row r="3948" spans="14:33" ht="12" customHeight="1">
      <c r="N3948" s="236" t="s">
        <v>879</v>
      </c>
      <c r="O3948" s="205" t="s">
        <v>880</v>
      </c>
      <c r="P3948" s="257"/>
      <c r="Q3948" s="258"/>
      <c r="R3948" s="260"/>
      <c r="S3948" s="260"/>
      <c r="T3948" s="260"/>
      <c r="U3948" s="260"/>
      <c r="V3948" s="260"/>
      <c r="W3948" s="262">
        <f>'ТС.РО 01.01 - 30.06'!W3948*W3956</f>
        <v>0</v>
      </c>
      <c r="X3948" s="260"/>
      <c r="Y3948" s="260"/>
      <c r="Z3948" s="262">
        <f>'ТС.РО 01.07 - 31.08'!Z3948*Z3956</f>
        <v>0</v>
      </c>
      <c r="AA3948" s="260"/>
      <c r="AB3948" s="260"/>
      <c r="AC3948" s="262">
        <f>'ТС.РО 01.09 - 31.12'!AC3948*AC3956</f>
        <v>0</v>
      </c>
      <c r="AD3948"/>
      <c r="AE3948"/>
      <c r="AF3948"/>
      <c r="AG3948"/>
    </row>
    <row r="3949" spans="14:33" ht="12" customHeight="1">
      <c r="N3949" s="236" t="s">
        <v>855</v>
      </c>
      <c r="O3949" s="250" t="s">
        <v>2480</v>
      </c>
      <c r="P3949" s="257"/>
      <c r="Q3949" s="258"/>
      <c r="R3949" s="260"/>
      <c r="S3949" s="260"/>
      <c r="T3949" s="260"/>
      <c r="U3949" s="260"/>
      <c r="V3949" s="260"/>
      <c r="W3949" s="262">
        <f>'ТС.РО 01.01 - 30.06'!W3949*W3956</f>
        <v>0</v>
      </c>
      <c r="X3949" s="260"/>
      <c r="Y3949" s="260"/>
      <c r="Z3949" s="262">
        <f>'ТС.РО 01.07 - 31.08'!Z3949*Z3956</f>
        <v>0</v>
      </c>
      <c r="AA3949" s="260"/>
      <c r="AB3949" s="260"/>
      <c r="AC3949" s="262">
        <f>'ТС.РО 01.09 - 31.12'!AC3949*AC3956</f>
        <v>0</v>
      </c>
      <c r="AD3949"/>
      <c r="AE3949"/>
      <c r="AF3949"/>
      <c r="AG3949"/>
    </row>
    <row r="3950" spans="14:33" ht="12" customHeight="1">
      <c r="N3950" s="236" t="s">
        <v>876</v>
      </c>
      <c r="O3950" s="250" t="s">
        <v>2481</v>
      </c>
      <c r="P3950" s="257"/>
      <c r="Q3950" s="258"/>
      <c r="R3950" s="260"/>
      <c r="S3950" s="260"/>
      <c r="T3950" s="260"/>
      <c r="U3950" s="260"/>
      <c r="V3950" s="260"/>
      <c r="W3950" s="262">
        <f>'ТС.РО 01.01 - 30.06'!W3950*W3956</f>
        <v>0</v>
      </c>
      <c r="X3950" s="260"/>
      <c r="Y3950" s="260"/>
      <c r="Z3950" s="262">
        <f>'ТС.РО 01.07 - 31.08'!Z3950*Z3956</f>
        <v>0</v>
      </c>
      <c r="AA3950" s="260"/>
      <c r="AB3950" s="260"/>
      <c r="AC3950" s="262">
        <f>'ТС.РО 01.09 - 31.12'!AC3950*AC3956</f>
        <v>0</v>
      </c>
      <c r="AD3950"/>
      <c r="AE3950"/>
      <c r="AF3950"/>
      <c r="AG3950"/>
    </row>
    <row r="3951" spans="14:33" ht="12" customHeight="1">
      <c r="N3951" s="236" t="s">
        <v>881</v>
      </c>
      <c r="O3951" s="250" t="s">
        <v>2565</v>
      </c>
      <c r="P3951" s="257"/>
      <c r="Q3951" s="258"/>
      <c r="R3951" s="260"/>
      <c r="S3951" s="260"/>
      <c r="T3951" s="260"/>
      <c r="U3951" s="260"/>
      <c r="V3951" s="260"/>
      <c r="W3951" s="262">
        <f>'ТС.РО 01.01 - 30.06'!W3951*W3956</f>
        <v>0</v>
      </c>
      <c r="X3951" s="260"/>
      <c r="Y3951" s="260"/>
      <c r="Z3951" s="262">
        <f>'ТС.РО 01.07 - 31.08'!Z3951*Z3956</f>
        <v>0</v>
      </c>
      <c r="AA3951" s="260"/>
      <c r="AB3951" s="260"/>
      <c r="AC3951" s="262">
        <f>'ТС.РО 01.09 - 31.12'!AC3951*AC3956</f>
        <v>0</v>
      </c>
      <c r="AD3951"/>
      <c r="AE3951"/>
      <c r="AF3951"/>
      <c r="AG3951"/>
    </row>
    <row r="3952" spans="14:33" ht="12" customHeight="1">
      <c r="N3952" s="236" t="s">
        <v>2451</v>
      </c>
      <c r="O3952" s="205" t="str">
        <f>"Товарная продукция на реализацию потребителям без учёта НДС на " &amp; N3092</f>
        <v>Товарная продукция на реализацию потребителям без учёта НДС на TBD</v>
      </c>
      <c r="P3952" s="257"/>
      <c r="Q3952" s="258"/>
      <c r="R3952" s="260"/>
      <c r="S3952" s="260"/>
      <c r="T3952" s="260"/>
      <c r="U3952" s="260"/>
      <c r="V3952" s="260"/>
      <c r="W3952" s="262">
        <f>'ТС.РО 01.01 - 30.06'!W3952*W3956</f>
        <v>0</v>
      </c>
      <c r="X3952" s="260"/>
      <c r="Y3952" s="260"/>
      <c r="Z3952" s="262">
        <f>'ТС.РО 01.07 - 31.08'!Z3952*Z3956</f>
        <v>0</v>
      </c>
      <c r="AA3952" s="260"/>
      <c r="AB3952" s="260"/>
      <c r="AC3952" s="262">
        <f>'ТС.РО 01.09 - 31.12'!AC3952*AC3956</f>
        <v>0</v>
      </c>
      <c r="AD3952"/>
      <c r="AE3952"/>
      <c r="AF3952"/>
      <c r="AG3952"/>
    </row>
    <row r="3953" spans="14:33" ht="12" customHeight="1">
      <c r="N3953" s="236" t="s">
        <v>882</v>
      </c>
      <c r="O3953" s="250" t="s">
        <v>2566</v>
      </c>
      <c r="P3953" s="257"/>
      <c r="Q3953" s="258"/>
      <c r="R3953" s="260"/>
      <c r="S3953" s="260"/>
      <c r="T3953" s="260"/>
      <c r="U3953" s="260"/>
      <c r="V3953" s="260"/>
      <c r="W3953" s="262">
        <f>'ТС.РО 01.01 - 30.06'!W3953*W3956</f>
        <v>0</v>
      </c>
      <c r="X3953" s="260"/>
      <c r="Y3953" s="260"/>
      <c r="Z3953" s="262">
        <f>'ТС.РО 01.07 - 31.08'!Z3953*Z3956</f>
        <v>0</v>
      </c>
      <c r="AA3953" s="260"/>
      <c r="AB3953" s="260"/>
      <c r="AC3953" s="262">
        <f>'ТС.РО 01.09 - 31.12'!AC3953*AC3956</f>
        <v>0</v>
      </c>
      <c r="AD3953"/>
      <c r="AE3953"/>
      <c r="AF3953"/>
      <c r="AG3953"/>
    </row>
    <row r="3954" spans="14:33" ht="48" customHeight="1">
      <c r="N3954" s="236" t="s">
        <v>2460</v>
      </c>
      <c r="O3954" s="325" t="s">
        <v>336</v>
      </c>
      <c r="P3954" s="257"/>
      <c r="Q3954" s="258"/>
      <c r="R3954" s="260"/>
      <c r="S3954" s="260"/>
      <c r="T3954" s="260"/>
      <c r="U3954" s="260"/>
      <c r="V3954" s="260"/>
      <c r="W3954" s="262">
        <f>'ТС.РО 01.01 - 30.06'!W3954</f>
        <v>0</v>
      </c>
      <c r="X3954" s="260"/>
      <c r="Y3954" s="260"/>
      <c r="Z3954" s="262">
        <f>'ТС.РО 01.07 - 31.08'!Z3954</f>
        <v>0</v>
      </c>
      <c r="AA3954" s="260"/>
      <c r="AB3954" s="260"/>
      <c r="AC3954" s="262">
        <f>'ТС.РО 01.09 - 31.12'!AC3954</f>
        <v>0</v>
      </c>
      <c r="AD3954"/>
      <c r="AE3954"/>
      <c r="AF3954"/>
      <c r="AG3954"/>
    </row>
    <row r="3955" spans="14:33" ht="48" customHeight="1">
      <c r="N3955" s="236" t="s">
        <v>2483</v>
      </c>
      <c r="O3955" s="483" t="s">
        <v>337</v>
      </c>
      <c r="P3955" s="257"/>
      <c r="Q3955" s="258"/>
      <c r="R3955" s="260"/>
      <c r="S3955" s="260"/>
      <c r="T3955" s="260"/>
      <c r="U3955" s="260"/>
      <c r="V3955" s="260"/>
      <c r="W3955" s="262">
        <f>'ТС.РО 01.01 - 30.06'!W3955</f>
        <v>0</v>
      </c>
      <c r="X3955" s="260"/>
      <c r="Y3955" s="260"/>
      <c r="Z3955" s="262">
        <f>'ТС.РО 01.07 - 31.08'!Z3955</f>
        <v>0</v>
      </c>
      <c r="AA3955" s="260"/>
      <c r="AB3955" s="260"/>
      <c r="AC3955" s="262">
        <f>'ТС.РО 01.09 - 31.12'!AC3955</f>
        <v>0</v>
      </c>
      <c r="AD3955"/>
      <c r="AE3955"/>
      <c r="AF3955"/>
      <c r="AG3955"/>
    </row>
    <row r="3956" spans="14:33" ht="12" customHeight="1">
      <c r="N3956" s="236" t="s">
        <v>2484</v>
      </c>
      <c r="O3956" s="235" t="s">
        <v>2967</v>
      </c>
      <c r="P3956" s="254"/>
      <c r="Q3956" s="258"/>
      <c r="R3956" s="260"/>
      <c r="S3956" s="260"/>
      <c r="T3956" s="260"/>
      <c r="U3956" s="260"/>
      <c r="V3956" s="260"/>
      <c r="W3956" s="257">
        <f>IF(W3954=0,0,W3955/W3954)</f>
        <v>0</v>
      </c>
      <c r="X3956" s="260"/>
      <c r="Y3956" s="260"/>
      <c r="Z3956" s="257">
        <f>IF(Z3954=0,0,Z3955/Z3954)</f>
        <v>0</v>
      </c>
      <c r="AA3956" s="260"/>
      <c r="AB3956" s="260"/>
      <c r="AC3956" s="257">
        <f>IF(AC3954=0,0,AC3955/AC3954)</f>
        <v>0</v>
      </c>
      <c r="AD3956"/>
      <c r="AE3956"/>
      <c r="AF3956"/>
      <c r="AG3956"/>
    </row>
    <row r="3957" spans="14:33" ht="54" customHeight="1">
      <c r="N3957" s="436" t="s">
        <v>3083</v>
      </c>
      <c r="O3957" s="500" t="s">
        <v>2302</v>
      </c>
      <c r="P3957" s="257"/>
      <c r="Q3957" s="258"/>
      <c r="R3957" s="260"/>
      <c r="S3957" s="260"/>
      <c r="T3957" s="260"/>
      <c r="U3957" s="260"/>
      <c r="V3957" s="260"/>
      <c r="W3957" s="262">
        <f>'ТС.РО 01.01 - 30.06'!W3957</f>
        <v>0</v>
      </c>
      <c r="X3957" s="260"/>
      <c r="Y3957" s="260"/>
      <c r="Z3957" s="262">
        <f>'ТС.РО 01.07 - 31.08'!Z3957</f>
        <v>0</v>
      </c>
      <c r="AA3957" s="260"/>
      <c r="AB3957" s="260"/>
      <c r="AC3957" s="262">
        <f>'ТС.РО 01.09 - 31.12'!AC3957</f>
        <v>0</v>
      </c>
      <c r="AD3957"/>
      <c r="AE3957"/>
      <c r="AF3957"/>
      <c r="AG3957"/>
    </row>
    <row r="3958" spans="14:33" ht="12" customHeight="1">
      <c r="N3958" s="236" t="s">
        <v>2485</v>
      </c>
      <c r="O3958" s="235" t="s">
        <v>2486</v>
      </c>
      <c r="P3958" s="257"/>
      <c r="Q3958" s="258"/>
      <c r="R3958" s="260"/>
      <c r="S3958" s="260"/>
      <c r="T3958" s="260"/>
      <c r="U3958" s="260"/>
      <c r="V3958" s="260"/>
      <c r="W3958" s="262">
        <f>'ТС.РО 01.01 - 30.06'!W3958*W3956</f>
        <v>0</v>
      </c>
      <c r="X3958" s="260"/>
      <c r="Y3958" s="260"/>
      <c r="Z3958" s="262">
        <f>'ТС.РО 01.07 - 31.08'!Z3958*Z3956</f>
        <v>0</v>
      </c>
      <c r="AA3958" s="260"/>
      <c r="AB3958" s="260"/>
      <c r="AC3958" s="262">
        <f>'ТС.РО 01.09 - 31.12'!AC3958*AC3956</f>
        <v>0</v>
      </c>
      <c r="AD3958"/>
      <c r="AE3958"/>
      <c r="AF3958"/>
      <c r="AG3958"/>
    </row>
    <row r="3959" spans="14:33" ht="12" customHeight="1">
      <c r="N3959" s="236" t="s">
        <v>2490</v>
      </c>
      <c r="O3959" s="230" t="str">
        <f>"Товарная продукция на реализацию потребителям без учёта НДС, исходя из утверждённых тарифов на " &amp; N3092</f>
        <v>Товарная продукция на реализацию потребителям без учёта НДС, исходя из утверждённых тарифов на TBD</v>
      </c>
      <c r="P3959" s="257"/>
      <c r="Q3959" s="258"/>
      <c r="R3959" s="260"/>
      <c r="S3959" s="260"/>
      <c r="T3959" s="260"/>
      <c r="U3959" s="260"/>
      <c r="V3959" s="260"/>
      <c r="W3959" s="262">
        <f>'ТС.РО 01.01 - 30.06'!W3959*W3956</f>
        <v>0</v>
      </c>
      <c r="X3959" s="260"/>
      <c r="Y3959" s="260"/>
      <c r="Z3959" s="262">
        <f>'ТС.РО 01.07 - 31.08'!Z3959*Z3956</f>
        <v>0</v>
      </c>
      <c r="AA3959" s="260"/>
      <c r="AB3959" s="260"/>
      <c r="AC3959" s="262">
        <f>'ТС.РО 01.09 - 31.12'!AC3959*AC3956</f>
        <v>0</v>
      </c>
      <c r="AD3959"/>
      <c r="AE3959"/>
      <c r="AF3959"/>
      <c r="AG3959"/>
    </row>
    <row r="3960" spans="14:33" ht="12" customHeight="1">
      <c r="N3960" s="236" t="s">
        <v>2491</v>
      </c>
      <c r="O3960" s="230" t="str">
        <f>"Полезный отпуск продукции на реализацию потребителям (Гкал) на " &amp; N3092</f>
        <v>Полезный отпуск продукции на реализацию потребителям (Гкал) на TBD</v>
      </c>
      <c r="P3960" s="257"/>
      <c r="Q3960" s="258"/>
      <c r="R3960" s="260"/>
      <c r="S3960" s="260"/>
      <c r="T3960" s="260"/>
      <c r="U3960" s="260"/>
      <c r="V3960" s="260"/>
      <c r="W3960" s="262">
        <f>'ТС.РО 01.01 - 30.06'!W3960*W3956</f>
        <v>0</v>
      </c>
      <c r="X3960" s="260"/>
      <c r="Y3960" s="260"/>
      <c r="Z3960" s="262">
        <f>'ТС.РО 01.07 - 31.08'!Z3960*Z3956</f>
        <v>0</v>
      </c>
      <c r="AA3960" s="260"/>
      <c r="AB3960" s="260"/>
      <c r="AC3960" s="262">
        <f>'ТС.РО 01.09 - 31.12'!AC3960*AC3956</f>
        <v>0</v>
      </c>
      <c r="AD3960"/>
      <c r="AE3960"/>
      <c r="AF3960"/>
      <c r="AG3960"/>
    </row>
    <row r="3961" spans="14:33" ht="12" customHeight="1">
      <c r="N3961" s="236" t="s">
        <v>2492</v>
      </c>
      <c r="O3961" s="230" t="str">
        <f>"Организации-перепродавцы / энергоснабжающие организации на " &amp; N3092</f>
        <v>Организации-перепродавцы / энергоснабжающие организации на TBD</v>
      </c>
      <c r="P3961" s="257"/>
      <c r="Q3961" s="258"/>
      <c r="R3961" s="260"/>
      <c r="S3961" s="260"/>
      <c r="T3961" s="260"/>
      <c r="U3961" s="260"/>
      <c r="V3961" s="260"/>
      <c r="W3961" s="262">
        <f>'ТС.РО 01.01 - 30.06'!W3961*W3956</f>
        <v>0</v>
      </c>
      <c r="X3961" s="260"/>
      <c r="Y3961" s="260"/>
      <c r="Z3961" s="262">
        <f>'ТС.РО 01.07 - 31.08'!Z3961*Z3956</f>
        <v>0</v>
      </c>
      <c r="AA3961" s="260"/>
      <c r="AB3961" s="260"/>
      <c r="AC3961" s="262">
        <f>'ТС.РО 01.09 - 31.12'!AC3961*AC3956</f>
        <v>0</v>
      </c>
      <c r="AD3961"/>
      <c r="AE3961"/>
      <c r="AF3961"/>
      <c r="AG3961"/>
    </row>
    <row r="3962" spans="14:33" ht="12" customHeight="1">
      <c r="N3962" s="239" t="str">
        <f>N3961 &amp; ".1"</f>
        <v>22.1.1</v>
      </c>
      <c r="O3962" s="231" t="str">
        <f>"средневзвешенный тариф (" &amp; TRANSMISSION_TARIFF &amp; " - передача, руб./Гкал - остальные)"</f>
        <v>средневзвешенный тариф (руб/куб.м - передача, руб./Гкал - остальные)</v>
      </c>
      <c r="P3962" s="254"/>
      <c r="Q3962" s="258"/>
      <c r="R3962" s="260"/>
      <c r="S3962" s="260"/>
      <c r="T3962" s="260"/>
      <c r="U3962" s="260"/>
      <c r="V3962" s="260"/>
      <c r="W3962" s="262">
        <f>'ТС.РО 01.01 - 30.06'!W3962*W3956</f>
        <v>0</v>
      </c>
      <c r="X3962" s="260"/>
      <c r="Y3962" s="260"/>
      <c r="Z3962" s="262">
        <f>'ТС.РО 01.07 - 31.08'!Z3962*Z3956</f>
        <v>0</v>
      </c>
      <c r="AA3962" s="260"/>
      <c r="AB3962" s="260"/>
      <c r="AC3962" s="262">
        <f>'ТС.РО 01.09 - 31.12'!AC3962*AC3956</f>
        <v>0</v>
      </c>
      <c r="AD3962"/>
      <c r="AE3962"/>
      <c r="AF3962"/>
      <c r="AG3962"/>
    </row>
    <row r="3963" spans="14:33" ht="12" customHeight="1">
      <c r="N3963" s="239" t="str">
        <f>N3961 &amp; ".2"</f>
        <v>22.1.2</v>
      </c>
      <c r="O3963" s="231" t="s">
        <v>2493</v>
      </c>
      <c r="P3963" s="257"/>
      <c r="Q3963" s="258"/>
      <c r="R3963" s="260"/>
      <c r="S3963" s="260"/>
      <c r="T3963" s="260"/>
      <c r="U3963" s="260"/>
      <c r="V3963" s="260"/>
      <c r="W3963" s="262">
        <f>'ТС.РО 01.01 - 30.06'!W3963*W3956</f>
        <v>0</v>
      </c>
      <c r="X3963" s="260"/>
      <c r="Y3963" s="260"/>
      <c r="Z3963" s="262">
        <f>'ТС.РО 01.07 - 31.08'!Z3963*Z3956</f>
        <v>0</v>
      </c>
      <c r="AA3963" s="260"/>
      <c r="AB3963" s="260"/>
      <c r="AC3963" s="262">
        <f>'ТС.РО 01.09 - 31.12'!AC3963*AC3956</f>
        <v>0</v>
      </c>
      <c r="AD3963"/>
      <c r="AE3963"/>
      <c r="AF3963"/>
      <c r="AG3963"/>
    </row>
    <row r="3964" spans="14:33" ht="12" customHeight="1">
      <c r="N3964" s="236" t="s">
        <v>2494</v>
      </c>
      <c r="O3964" s="230" t="str">
        <f>"Бюджетные потребители на " &amp; N3092</f>
        <v>Бюджетные потребители на TBD</v>
      </c>
      <c r="P3964" s="257"/>
      <c r="Q3964" s="258"/>
      <c r="R3964" s="260"/>
      <c r="S3964" s="260"/>
      <c r="T3964" s="260"/>
      <c r="U3964" s="260"/>
      <c r="V3964" s="260"/>
      <c r="W3964" s="262">
        <f>'ТС.РО 01.01 - 30.06'!W3964*W3956</f>
        <v>0</v>
      </c>
      <c r="X3964" s="260"/>
      <c r="Y3964" s="260"/>
      <c r="Z3964" s="262">
        <f>'ТС.РО 01.07 - 31.08'!Z3964*Z3956</f>
        <v>0</v>
      </c>
      <c r="AA3964" s="260"/>
      <c r="AB3964" s="260"/>
      <c r="AC3964" s="262">
        <f>'ТС.РО 01.09 - 31.12'!AC3964*AC3956</f>
        <v>0</v>
      </c>
      <c r="AD3964"/>
      <c r="AE3964"/>
      <c r="AF3964"/>
      <c r="AG3964"/>
    </row>
    <row r="3965" spans="14:33" ht="12" customHeight="1">
      <c r="N3965" s="239" t="str">
        <f>N3964 &amp; ".1"</f>
        <v>22.2.1</v>
      </c>
      <c r="O3965" s="231" t="str">
        <f>"средневзвешенный тариф (" &amp; TRANSMISSION_TARIFF &amp; " - передача, руб./Гкал - остальные)"</f>
        <v>средневзвешенный тариф (руб/куб.м - передача, руб./Гкал - остальные)</v>
      </c>
      <c r="P3965" s="254"/>
      <c r="Q3965" s="258"/>
      <c r="R3965" s="260"/>
      <c r="S3965" s="260"/>
      <c r="T3965" s="260"/>
      <c r="U3965" s="260"/>
      <c r="V3965" s="260"/>
      <c r="W3965" s="262">
        <f>'ТС.РО 01.01 - 30.06'!W3965*W3956</f>
        <v>0</v>
      </c>
      <c r="X3965" s="260"/>
      <c r="Y3965" s="260"/>
      <c r="Z3965" s="262">
        <f>'ТС.РО 01.07 - 31.08'!Z3965*Z3956</f>
        <v>0</v>
      </c>
      <c r="AA3965" s="260"/>
      <c r="AB3965" s="260"/>
      <c r="AC3965" s="262">
        <f>'ТС.РО 01.09 - 31.12'!AC3965*AC3956</f>
        <v>0</v>
      </c>
      <c r="AD3965"/>
      <c r="AE3965"/>
      <c r="AF3965"/>
      <c r="AG3965"/>
    </row>
    <row r="3966" spans="14:33" ht="12" customHeight="1">
      <c r="N3966" s="239" t="str">
        <f>N3964 &amp; ".2"</f>
        <v>22.2.2</v>
      </c>
      <c r="O3966" s="231" t="s">
        <v>2493</v>
      </c>
      <c r="P3966" s="257"/>
      <c r="Q3966" s="258"/>
      <c r="R3966" s="260"/>
      <c r="S3966" s="260"/>
      <c r="T3966" s="260"/>
      <c r="U3966" s="260"/>
      <c r="V3966" s="260"/>
      <c r="W3966" s="262">
        <f>'ТС.РО 01.01 - 30.06'!W3966*W3956</f>
        <v>0</v>
      </c>
      <c r="X3966" s="260"/>
      <c r="Y3966" s="260"/>
      <c r="Z3966" s="262">
        <f>'ТС.РО 01.07 - 31.08'!Z3966*Z3956</f>
        <v>0</v>
      </c>
      <c r="AA3966" s="260"/>
      <c r="AB3966" s="260"/>
      <c r="AC3966" s="262">
        <f>'ТС.РО 01.09 - 31.12'!AC3966*AC3956</f>
        <v>0</v>
      </c>
      <c r="AD3966"/>
      <c r="AE3966"/>
      <c r="AF3966"/>
      <c r="AG3966"/>
    </row>
    <row r="3967" spans="14:33" ht="12" customHeight="1">
      <c r="N3967" s="236" t="s">
        <v>2495</v>
      </c>
      <c r="O3967" s="230" t="str">
        <f>"Население на " &amp; N3092</f>
        <v>Население на TBD</v>
      </c>
      <c r="P3967" s="257"/>
      <c r="Q3967" s="258"/>
      <c r="R3967" s="260"/>
      <c r="S3967" s="260"/>
      <c r="T3967" s="260"/>
      <c r="U3967" s="260"/>
      <c r="V3967" s="260"/>
      <c r="W3967" s="262">
        <f>'ТС.РО 01.01 - 30.06'!W3967*W3956</f>
        <v>0</v>
      </c>
      <c r="X3967" s="260"/>
      <c r="Y3967" s="260"/>
      <c r="Z3967" s="262">
        <f>'ТС.РО 01.07 - 31.08'!Z3967*Z3956</f>
        <v>0</v>
      </c>
      <c r="AA3967" s="260"/>
      <c r="AB3967" s="260"/>
      <c r="AC3967" s="262">
        <f>'ТС.РО 01.09 - 31.12'!AC3967*AC3956</f>
        <v>0</v>
      </c>
      <c r="AD3967"/>
      <c r="AE3967"/>
      <c r="AF3967"/>
      <c r="AG3967"/>
    </row>
    <row r="3968" spans="14:33" ht="12" customHeight="1">
      <c r="N3968" s="239" t="str">
        <f>N3967 &amp; ".1"</f>
        <v>22.3.1</v>
      </c>
      <c r="O3968" s="231" t="str">
        <f>"средневзвешенный тариф (" &amp; TRANSMISSION_TARIFF &amp; " - передача, руб./Гкал - остальные)"</f>
        <v>средневзвешенный тариф (руб/куб.м - передача, руб./Гкал - остальные)</v>
      </c>
      <c r="P3968" s="254"/>
      <c r="Q3968" s="258"/>
      <c r="R3968" s="260"/>
      <c r="S3968" s="260"/>
      <c r="T3968" s="260"/>
      <c r="U3968" s="260"/>
      <c r="V3968" s="260"/>
      <c r="W3968" s="262">
        <f>'ТС.РО 01.01 - 30.06'!W3968*W3956</f>
        <v>0</v>
      </c>
      <c r="X3968" s="260"/>
      <c r="Y3968" s="260"/>
      <c r="Z3968" s="262">
        <f>'ТС.РО 01.07 - 31.08'!Z3968*Z3956</f>
        <v>0</v>
      </c>
      <c r="AA3968" s="260"/>
      <c r="AB3968" s="260"/>
      <c r="AC3968" s="262">
        <f>'ТС.РО 01.09 - 31.12'!AC3968*AC3956</f>
        <v>0</v>
      </c>
      <c r="AD3968"/>
      <c r="AE3968"/>
      <c r="AF3968"/>
      <c r="AG3968"/>
    </row>
    <row r="3969" spans="14:33" ht="12" customHeight="1">
      <c r="N3969" s="239" t="str">
        <f>N3967 &amp; ".2"</f>
        <v>22.3.2</v>
      </c>
      <c r="O3969" s="231" t="s">
        <v>2493</v>
      </c>
      <c r="P3969" s="257"/>
      <c r="Q3969" s="258"/>
      <c r="R3969" s="260"/>
      <c r="S3969" s="260"/>
      <c r="T3969" s="260"/>
      <c r="U3969" s="260"/>
      <c r="V3969" s="260"/>
      <c r="W3969" s="262">
        <f>'ТС.РО 01.01 - 30.06'!W3969*W3956</f>
        <v>0</v>
      </c>
      <c r="X3969" s="260"/>
      <c r="Y3969" s="260"/>
      <c r="Z3969" s="262">
        <f>'ТС.РО 01.07 - 31.08'!Z3969*Z3956</f>
        <v>0</v>
      </c>
      <c r="AA3969" s="260"/>
      <c r="AB3969" s="260"/>
      <c r="AC3969" s="262">
        <f>'ТС.РО 01.09 - 31.12'!AC3969*AC3956</f>
        <v>0</v>
      </c>
      <c r="AD3969"/>
      <c r="AE3969"/>
      <c r="AF3969"/>
      <c r="AG3969"/>
    </row>
    <row r="3970" spans="14:33" ht="12" customHeight="1">
      <c r="N3970" s="236" t="s">
        <v>2496</v>
      </c>
      <c r="O3970" s="230" t="str">
        <f>"Прочие на " &amp; N3092</f>
        <v>Прочие на TBD</v>
      </c>
      <c r="P3970" s="257"/>
      <c r="Q3970" s="258"/>
      <c r="R3970" s="260"/>
      <c r="S3970" s="260"/>
      <c r="T3970" s="260"/>
      <c r="U3970" s="260"/>
      <c r="V3970" s="260"/>
      <c r="W3970" s="262">
        <f>'ТС.РО 01.01 - 30.06'!W3970*W3956</f>
        <v>0</v>
      </c>
      <c r="X3970" s="260"/>
      <c r="Y3970" s="260"/>
      <c r="Z3970" s="262">
        <f>'ТС.РО 01.07 - 31.08'!Z3970*Z3956</f>
        <v>0</v>
      </c>
      <c r="AA3970" s="260"/>
      <c r="AB3970" s="260"/>
      <c r="AC3970" s="262">
        <f>'ТС.РО 01.09 - 31.12'!AC3970*AC3956</f>
        <v>0</v>
      </c>
      <c r="AD3970"/>
      <c r="AE3970"/>
      <c r="AF3970"/>
      <c r="AG3970"/>
    </row>
    <row r="3971" spans="14:33" ht="12" customHeight="1">
      <c r="N3971" s="239" t="str">
        <f>N3970 &amp; ".1"</f>
        <v>22.4.1</v>
      </c>
      <c r="O3971" s="231" t="str">
        <f>"средневзвешенный тариф (" &amp; TRANSMISSION_TARIFF &amp; " - передача, руб./Гкал - остальные)"</f>
        <v>средневзвешенный тариф (руб/куб.м - передача, руб./Гкал - остальные)</v>
      </c>
      <c r="P3971" s="254"/>
      <c r="Q3971" s="258"/>
      <c r="R3971" s="260"/>
      <c r="S3971" s="260"/>
      <c r="T3971" s="260"/>
      <c r="U3971" s="260"/>
      <c r="V3971" s="260"/>
      <c r="W3971" s="262">
        <f>'ТС.РО 01.01 - 30.06'!W3971*W3956</f>
        <v>0</v>
      </c>
      <c r="X3971" s="260"/>
      <c r="Y3971" s="260"/>
      <c r="Z3971" s="262">
        <f>'ТС.РО 01.07 - 31.08'!Z3971*Z3956</f>
        <v>0</v>
      </c>
      <c r="AA3971" s="260"/>
      <c r="AB3971" s="260"/>
      <c r="AC3971" s="262">
        <f>'ТС.РО 01.09 - 31.12'!AC3971*AC3956</f>
        <v>0</v>
      </c>
      <c r="AD3971"/>
      <c r="AE3971"/>
      <c r="AF3971"/>
      <c r="AG3971"/>
    </row>
    <row r="3972" spans="14:33" ht="12" customHeight="1">
      <c r="N3972" s="239" t="str">
        <f>N3970 &amp; ".2"</f>
        <v>22.4.2</v>
      </c>
      <c r="O3972" s="231" t="s">
        <v>2493</v>
      </c>
      <c r="P3972" s="257"/>
      <c r="Q3972" s="258"/>
      <c r="R3972" s="260"/>
      <c r="S3972" s="260"/>
      <c r="T3972" s="260"/>
      <c r="U3972" s="260"/>
      <c r="V3972" s="260"/>
      <c r="W3972" s="262">
        <f>'ТС.РО 01.01 - 30.06'!W3972*W3956</f>
        <v>0</v>
      </c>
      <c r="X3972" s="260"/>
      <c r="Y3972" s="260"/>
      <c r="Z3972" s="262">
        <f>'ТС.РО 01.07 - 31.08'!Z3972*Z3956</f>
        <v>0</v>
      </c>
      <c r="AA3972" s="260"/>
      <c r="AB3972" s="260"/>
      <c r="AC3972" s="262">
        <f>'ТС.РО 01.09 - 31.12'!AC3972*AC3956</f>
        <v>0</v>
      </c>
      <c r="AD3972"/>
      <c r="AE3972"/>
      <c r="AF3972"/>
      <c r="AG3972"/>
    </row>
    <row r="3973" spans="14:33" ht="12" customHeight="1">
      <c r="N3973" s="283"/>
      <c r="O3973" s="284"/>
      <c r="P3973" s="285"/>
      <c r="Q3973" s="258"/>
      <c r="R3973" s="260"/>
      <c r="S3973" s="260"/>
      <c r="T3973" s="260"/>
      <c r="U3973" s="260"/>
      <c r="V3973" s="260"/>
      <c r="W3973" s="260"/>
      <c r="X3973" s="260"/>
      <c r="Y3973" s="260"/>
      <c r="Z3973" s="260"/>
      <c r="AA3973" s="260"/>
      <c r="AB3973" s="260"/>
      <c r="AC3973" s="260"/>
      <c r="AD3973"/>
      <c r="AE3973"/>
      <c r="AF3973"/>
      <c r="AG3973"/>
    </row>
    <row r="3974" spans="14:33" ht="12" hidden="1" customHeight="1">
      <c r="N3974" s="283"/>
      <c r="O3974" s="284"/>
      <c r="P3974" s="285"/>
      <c r="Q3974" s="258"/>
      <c r="R3974" s="260"/>
      <c r="S3974" s="260"/>
      <c r="T3974" s="260"/>
      <c r="U3974" s="260"/>
      <c r="V3974" s="260"/>
      <c r="W3974" s="260"/>
      <c r="X3974" s="260"/>
      <c r="Y3974" s="260"/>
      <c r="Z3974" s="260"/>
      <c r="AA3974" s="260"/>
      <c r="AB3974" s="260"/>
      <c r="AC3974" s="260"/>
      <c r="AD3974"/>
      <c r="AE3974"/>
      <c r="AF3974"/>
      <c r="AG3974"/>
    </row>
    <row r="3975" spans="14:33" ht="12" hidden="1" customHeight="1">
      <c r="N3975" s="283"/>
      <c r="O3975" s="284"/>
      <c r="P3975" s="285"/>
      <c r="Q3975" s="258"/>
      <c r="R3975" s="260"/>
      <c r="S3975" s="260"/>
      <c r="T3975" s="260"/>
      <c r="U3975" s="260"/>
      <c r="V3975" s="260"/>
      <c r="W3975" s="260"/>
      <c r="X3975" s="260"/>
      <c r="Y3975" s="260"/>
      <c r="Z3975" s="260"/>
      <c r="AA3975" s="260"/>
      <c r="AB3975" s="260"/>
      <c r="AC3975" s="260"/>
      <c r="AD3975"/>
      <c r="AE3975"/>
      <c r="AF3975"/>
      <c r="AG3975"/>
    </row>
    <row r="3976" spans="14:33" ht="12" hidden="1" customHeight="1">
      <c r="N3976" s="283"/>
      <c r="O3976" s="284"/>
      <c r="P3976" s="285"/>
      <c r="Q3976" s="258"/>
      <c r="R3976" s="260"/>
      <c r="S3976" s="260"/>
      <c r="T3976" s="260"/>
      <c r="U3976" s="260"/>
      <c r="V3976" s="260"/>
      <c r="W3976" s="260"/>
      <c r="X3976" s="260"/>
      <c r="Y3976" s="260"/>
      <c r="Z3976" s="260"/>
      <c r="AA3976" s="260"/>
      <c r="AB3976" s="260"/>
      <c r="AC3976" s="260"/>
      <c r="AD3976"/>
      <c r="AE3976"/>
      <c r="AF3976"/>
      <c r="AG3976"/>
    </row>
    <row r="3977" spans="14:33" ht="12" hidden="1" customHeight="1">
      <c r="N3977" s="283"/>
      <c r="O3977" s="284"/>
      <c r="P3977" s="285"/>
      <c r="Q3977" s="258"/>
      <c r="R3977" s="260"/>
      <c r="S3977" s="260"/>
      <c r="T3977" s="260"/>
      <c r="U3977" s="260"/>
      <c r="V3977" s="260"/>
      <c r="W3977" s="260"/>
      <c r="X3977" s="260"/>
      <c r="Y3977" s="260"/>
      <c r="Z3977" s="260"/>
      <c r="AA3977" s="260"/>
      <c r="AB3977" s="260"/>
      <c r="AC3977" s="260"/>
      <c r="AD3977"/>
      <c r="AE3977"/>
      <c r="AF3977"/>
      <c r="AG3977"/>
    </row>
    <row r="3978" spans="14:33" ht="12" hidden="1" customHeight="1">
      <c r="N3978" s="283"/>
      <c r="O3978" s="284"/>
      <c r="P3978" s="285"/>
      <c r="Q3978" s="258"/>
      <c r="R3978" s="260"/>
      <c r="S3978" s="260"/>
      <c r="T3978" s="260"/>
      <c r="U3978" s="260"/>
      <c r="V3978" s="260"/>
      <c r="W3978" s="260"/>
      <c r="X3978" s="260"/>
      <c r="Y3978" s="260"/>
      <c r="Z3978" s="260"/>
      <c r="AA3978" s="260"/>
      <c r="AB3978" s="260"/>
      <c r="AC3978" s="260"/>
      <c r="AD3978"/>
      <c r="AE3978"/>
      <c r="AF3978"/>
      <c r="AG3978"/>
    </row>
    <row r="3979" spans="14:33" ht="12" hidden="1" customHeight="1">
      <c r="N3979" s="283"/>
      <c r="O3979" s="284"/>
      <c r="P3979" s="285"/>
      <c r="Q3979" s="258"/>
      <c r="R3979" s="260"/>
      <c r="S3979" s="260"/>
      <c r="T3979" s="260"/>
      <c r="U3979" s="260"/>
      <c r="V3979" s="260"/>
      <c r="W3979" s="260"/>
      <c r="X3979" s="260"/>
      <c r="Y3979" s="260"/>
      <c r="Z3979" s="260"/>
      <c r="AA3979" s="260"/>
      <c r="AB3979" s="260"/>
      <c r="AC3979" s="260"/>
      <c r="AD3979"/>
      <c r="AE3979"/>
      <c r="AF3979"/>
      <c r="AG3979"/>
    </row>
    <row r="3980" spans="14:33" ht="12" hidden="1" customHeight="1">
      <c r="N3980" s="283"/>
      <c r="O3980" s="284"/>
      <c r="P3980" s="285"/>
      <c r="Q3980" s="258"/>
      <c r="R3980" s="260"/>
      <c r="S3980" s="260"/>
      <c r="T3980" s="260"/>
      <c r="U3980" s="260"/>
      <c r="V3980" s="260"/>
      <c r="W3980" s="260"/>
      <c r="X3980" s="260"/>
      <c r="Y3980" s="260"/>
      <c r="Z3980" s="260"/>
      <c r="AA3980" s="260"/>
      <c r="AB3980" s="260"/>
      <c r="AC3980" s="260"/>
      <c r="AD3980"/>
      <c r="AE3980"/>
      <c r="AF3980"/>
      <c r="AG3980"/>
    </row>
    <row r="3981" spans="14:33" ht="12" hidden="1" customHeight="1">
      <c r="N3981" s="283"/>
      <c r="O3981" s="284"/>
      <c r="P3981" s="285"/>
      <c r="Q3981" s="258"/>
      <c r="R3981" s="260"/>
      <c r="S3981" s="260"/>
      <c r="T3981" s="260"/>
      <c r="U3981" s="260"/>
      <c r="V3981" s="260"/>
      <c r="W3981" s="260"/>
      <c r="X3981" s="260"/>
      <c r="Y3981" s="260"/>
      <c r="Z3981" s="260"/>
      <c r="AA3981" s="260"/>
      <c r="AB3981" s="260"/>
      <c r="AC3981" s="260"/>
      <c r="AD3981"/>
      <c r="AE3981"/>
      <c r="AF3981"/>
      <c r="AG3981"/>
    </row>
    <row r="3982" spans="14:33" ht="12" hidden="1" customHeight="1">
      <c r="N3982" s="283"/>
      <c r="O3982" s="284"/>
      <c r="P3982" s="285"/>
      <c r="Q3982" s="258"/>
      <c r="R3982" s="260"/>
      <c r="S3982" s="260"/>
      <c r="T3982" s="260"/>
      <c r="U3982" s="260"/>
      <c r="V3982" s="260"/>
      <c r="W3982" s="260"/>
      <c r="X3982" s="260"/>
      <c r="Y3982" s="260"/>
      <c r="Z3982" s="260"/>
      <c r="AA3982" s="260"/>
      <c r="AB3982" s="260"/>
      <c r="AC3982" s="260"/>
      <c r="AD3982"/>
      <c r="AE3982"/>
      <c r="AF3982"/>
      <c r="AG3982"/>
    </row>
    <row r="3983" spans="14:33" ht="12" hidden="1" customHeight="1">
      <c r="N3983" s="283"/>
      <c r="O3983" s="284"/>
      <c r="P3983" s="285"/>
      <c r="Q3983" s="258"/>
      <c r="R3983" s="260"/>
      <c r="S3983" s="260"/>
      <c r="T3983" s="260"/>
      <c r="U3983" s="260"/>
      <c r="V3983" s="260"/>
      <c r="W3983" s="260"/>
      <c r="X3983" s="260"/>
      <c r="Y3983" s="260"/>
      <c r="Z3983" s="260"/>
      <c r="AA3983" s="260"/>
      <c r="AB3983" s="260"/>
      <c r="AC3983" s="260"/>
      <c r="AD3983"/>
      <c r="AE3983"/>
      <c r="AF3983"/>
      <c r="AG3983"/>
    </row>
    <row r="3984" spans="14:33" ht="12" hidden="1" customHeight="1">
      <c r="N3984" s="283"/>
      <c r="O3984" s="284"/>
      <c r="P3984" s="285"/>
      <c r="Q3984" s="258"/>
      <c r="R3984" s="260"/>
      <c r="S3984" s="260"/>
      <c r="T3984" s="260"/>
      <c r="U3984" s="260"/>
      <c r="V3984" s="260"/>
      <c r="W3984" s="260"/>
      <c r="X3984" s="260"/>
      <c r="Y3984" s="260"/>
      <c r="Z3984" s="260"/>
      <c r="AA3984" s="260"/>
      <c r="AB3984" s="260"/>
      <c r="AC3984" s="260"/>
      <c r="AD3984"/>
      <c r="AE3984"/>
      <c r="AF3984"/>
      <c r="AG3984"/>
    </row>
    <row r="3985" spans="14:33" ht="12" hidden="1" customHeight="1">
      <c r="N3985" s="283"/>
      <c r="O3985" s="284"/>
      <c r="P3985" s="285"/>
      <c r="Q3985" s="258"/>
      <c r="R3985" s="260"/>
      <c r="S3985" s="260"/>
      <c r="T3985" s="260"/>
      <c r="U3985" s="260"/>
      <c r="V3985" s="260"/>
      <c r="W3985" s="260"/>
      <c r="X3985" s="260"/>
      <c r="Y3985" s="260"/>
      <c r="Z3985" s="260"/>
      <c r="AA3985" s="260"/>
      <c r="AB3985" s="260"/>
      <c r="AC3985" s="260"/>
      <c r="AD3985"/>
      <c r="AE3985"/>
      <c r="AF3985"/>
      <c r="AG3985"/>
    </row>
    <row r="3986" spans="14:33" ht="12" hidden="1" customHeight="1">
      <c r="N3986" s="283"/>
      <c r="O3986" s="284"/>
      <c r="P3986" s="285"/>
      <c r="Q3986" s="258"/>
      <c r="R3986" s="260"/>
      <c r="S3986" s="260"/>
      <c r="T3986" s="260"/>
      <c r="U3986" s="260"/>
      <c r="V3986" s="260"/>
      <c r="W3986" s="260"/>
      <c r="X3986" s="260"/>
      <c r="Y3986" s="260"/>
      <c r="Z3986" s="260"/>
      <c r="AA3986" s="260"/>
      <c r="AB3986" s="260"/>
      <c r="AC3986" s="260"/>
      <c r="AD3986"/>
      <c r="AE3986"/>
      <c r="AF3986"/>
      <c r="AG3986"/>
    </row>
    <row r="3987" spans="14:33" ht="12" hidden="1" customHeight="1">
      <c r="N3987" s="283"/>
      <c r="O3987" s="284"/>
      <c r="P3987" s="285"/>
      <c r="Q3987" s="258"/>
      <c r="R3987" s="260"/>
      <c r="S3987" s="260"/>
      <c r="T3987" s="260"/>
      <c r="U3987" s="260"/>
      <c r="V3987" s="260"/>
      <c r="W3987" s="260"/>
      <c r="X3987" s="260"/>
      <c r="Y3987" s="260"/>
      <c r="Z3987" s="260"/>
      <c r="AA3987" s="260"/>
      <c r="AB3987" s="260"/>
      <c r="AC3987" s="260"/>
      <c r="AD3987"/>
      <c r="AE3987"/>
      <c r="AF3987"/>
      <c r="AG3987"/>
    </row>
    <row r="3988" spans="14:33" ht="12" hidden="1" customHeight="1">
      <c r="N3988" s="283"/>
      <c r="O3988" s="284"/>
      <c r="P3988" s="285"/>
      <c r="Q3988" s="258"/>
      <c r="R3988" s="260"/>
      <c r="S3988" s="260"/>
      <c r="T3988" s="260"/>
      <c r="U3988" s="260"/>
      <c r="V3988" s="260"/>
      <c r="W3988" s="260"/>
      <c r="X3988" s="260"/>
      <c r="Y3988" s="260"/>
      <c r="Z3988" s="260"/>
      <c r="AA3988" s="260"/>
      <c r="AB3988" s="260"/>
      <c r="AC3988" s="260"/>
      <c r="AD3988"/>
      <c r="AE3988"/>
      <c r="AF3988"/>
      <c r="AG3988"/>
    </row>
    <row r="3989" spans="14:33" ht="12" hidden="1" customHeight="1">
      <c r="N3989" s="283"/>
      <c r="O3989" s="284"/>
      <c r="P3989" s="285"/>
      <c r="Q3989" s="258"/>
      <c r="R3989" s="260"/>
      <c r="S3989" s="260"/>
      <c r="T3989" s="260"/>
      <c r="U3989" s="260"/>
      <c r="V3989" s="260"/>
      <c r="W3989" s="260"/>
      <c r="X3989" s="260"/>
      <c r="Y3989" s="260"/>
      <c r="Z3989" s="260"/>
      <c r="AA3989" s="260"/>
      <c r="AB3989" s="260"/>
      <c r="AC3989" s="260"/>
      <c r="AD3989"/>
      <c r="AE3989"/>
      <c r="AF3989"/>
      <c r="AG3989"/>
    </row>
    <row r="3990" spans="14:33" ht="12" hidden="1" customHeight="1">
      <c r="N3990" s="283"/>
      <c r="O3990" s="284"/>
      <c r="P3990" s="285"/>
      <c r="Q3990" s="258"/>
      <c r="R3990" s="260"/>
      <c r="S3990" s="260"/>
      <c r="T3990" s="260"/>
      <c r="U3990" s="260"/>
      <c r="V3990" s="260"/>
      <c r="W3990" s="260"/>
      <c r="X3990" s="260"/>
      <c r="Y3990" s="260"/>
      <c r="Z3990" s="260"/>
      <c r="AA3990" s="260"/>
      <c r="AB3990" s="260"/>
      <c r="AC3990" s="260"/>
      <c r="AD3990"/>
      <c r="AE3990"/>
      <c r="AF3990"/>
      <c r="AG3990"/>
    </row>
    <row r="3991" spans="14:33" ht="12" hidden="1" customHeight="1">
      <c r="N3991" s="283"/>
      <c r="O3991" s="284"/>
      <c r="P3991" s="285"/>
      <c r="Q3991" s="258"/>
      <c r="R3991" s="260"/>
      <c r="S3991" s="260"/>
      <c r="T3991" s="260"/>
      <c r="U3991" s="260"/>
      <c r="V3991" s="260"/>
      <c r="W3991" s="260"/>
      <c r="X3991" s="260"/>
      <c r="Y3991" s="260"/>
      <c r="Z3991" s="260"/>
      <c r="AA3991" s="260"/>
      <c r="AB3991" s="260"/>
      <c r="AC3991" s="260"/>
      <c r="AD3991"/>
      <c r="AE3991"/>
      <c r="AF3991"/>
      <c r="AG3991"/>
    </row>
    <row r="3992" spans="14:33" ht="12" hidden="1" customHeight="1">
      <c r="N3992" s="283"/>
      <c r="O3992" s="284"/>
      <c r="P3992" s="285"/>
      <c r="Q3992" s="258"/>
      <c r="R3992" s="260"/>
      <c r="S3992" s="260"/>
      <c r="T3992" s="260"/>
      <c r="U3992" s="260"/>
      <c r="V3992" s="260"/>
      <c r="W3992" s="260"/>
      <c r="X3992" s="260"/>
      <c r="Y3992" s="260"/>
      <c r="Z3992" s="260"/>
      <c r="AA3992" s="260"/>
      <c r="AB3992" s="260"/>
      <c r="AC3992" s="260"/>
      <c r="AD3992"/>
      <c r="AE3992"/>
      <c r="AF3992"/>
      <c r="AG3992"/>
    </row>
    <row r="3993" spans="14:33" ht="12" hidden="1" customHeight="1">
      <c r="N3993" s="283"/>
      <c r="O3993" s="284"/>
      <c r="P3993" s="285"/>
      <c r="Q3993" s="258"/>
      <c r="R3993" s="260"/>
      <c r="S3993" s="260"/>
      <c r="T3993" s="260"/>
      <c r="U3993" s="260"/>
      <c r="V3993" s="260"/>
      <c r="W3993" s="260"/>
      <c r="X3993" s="260"/>
      <c r="Y3993" s="260"/>
      <c r="Z3993" s="260"/>
      <c r="AA3993" s="260"/>
      <c r="AB3993" s="260"/>
      <c r="AC3993" s="260"/>
      <c r="AD3993"/>
      <c r="AE3993"/>
      <c r="AF3993"/>
      <c r="AG3993"/>
    </row>
    <row r="3994" spans="14:33" ht="12" hidden="1" customHeight="1">
      <c r="N3994" s="283"/>
      <c r="O3994" s="284"/>
      <c r="P3994" s="285"/>
      <c r="Q3994" s="258"/>
      <c r="R3994" s="260"/>
      <c r="S3994" s="260"/>
      <c r="T3994" s="260"/>
      <c r="U3994" s="260"/>
      <c r="V3994" s="260"/>
      <c r="W3994" s="260"/>
      <c r="X3994" s="260"/>
      <c r="Y3994" s="260"/>
      <c r="Z3994" s="260"/>
      <c r="AA3994" s="260"/>
      <c r="AB3994" s="260"/>
      <c r="AC3994" s="260"/>
      <c r="AD3994"/>
      <c r="AE3994"/>
      <c r="AF3994"/>
      <c r="AG3994"/>
    </row>
    <row r="3995" spans="14:33" ht="12" hidden="1" customHeight="1">
      <c r="N3995" s="283"/>
      <c r="O3995" s="284"/>
      <c r="P3995" s="285"/>
      <c r="Q3995" s="258"/>
      <c r="R3995" s="260"/>
      <c r="S3995" s="260"/>
      <c r="T3995" s="260"/>
      <c r="U3995" s="260"/>
      <c r="V3995" s="260"/>
      <c r="W3995" s="260"/>
      <c r="X3995" s="260"/>
      <c r="Y3995" s="260"/>
      <c r="Z3995" s="260"/>
      <c r="AA3995" s="260"/>
      <c r="AB3995" s="260"/>
      <c r="AC3995" s="260"/>
      <c r="AD3995"/>
      <c r="AE3995"/>
      <c r="AF3995"/>
      <c r="AG3995"/>
    </row>
    <row r="3996" spans="14:33" ht="12" hidden="1" customHeight="1">
      <c r="N3996" s="283"/>
      <c r="O3996" s="284"/>
      <c r="P3996" s="285"/>
      <c r="Q3996" s="258"/>
      <c r="R3996" s="260"/>
      <c r="S3996" s="260"/>
      <c r="T3996" s="260"/>
      <c r="U3996" s="260"/>
      <c r="V3996" s="260"/>
      <c r="W3996" s="260"/>
      <c r="X3996" s="260"/>
      <c r="Y3996" s="260"/>
      <c r="Z3996" s="260"/>
      <c r="AA3996" s="260"/>
      <c r="AB3996" s="260"/>
      <c r="AC3996" s="260"/>
      <c r="AD3996"/>
      <c r="AE3996"/>
      <c r="AF3996"/>
      <c r="AG3996"/>
    </row>
    <row r="3997" spans="14:33" ht="12" hidden="1" customHeight="1">
      <c r="N3997" s="283"/>
      <c r="O3997" s="284"/>
      <c r="P3997" s="285"/>
      <c r="Q3997" s="258"/>
      <c r="R3997" s="260"/>
      <c r="S3997" s="260"/>
      <c r="T3997" s="260"/>
      <c r="U3997" s="260"/>
      <c r="V3997" s="260"/>
      <c r="W3997" s="260"/>
      <c r="X3997" s="260"/>
      <c r="Y3997" s="260"/>
      <c r="Z3997" s="260"/>
      <c r="AA3997" s="260"/>
      <c r="AB3997" s="260"/>
      <c r="AC3997" s="260"/>
      <c r="AD3997"/>
      <c r="AE3997"/>
      <c r="AF3997"/>
      <c r="AG3997"/>
    </row>
    <row r="3998" spans="14:33" ht="12" hidden="1" customHeight="1">
      <c r="N3998" s="283"/>
      <c r="O3998" s="284"/>
      <c r="P3998" s="285"/>
      <c r="Q3998" s="258"/>
      <c r="R3998" s="260"/>
      <c r="S3998" s="260"/>
      <c r="T3998" s="260"/>
      <c r="U3998" s="260"/>
      <c r="V3998" s="260"/>
      <c r="W3998" s="260"/>
      <c r="X3998" s="260"/>
      <c r="Y3998" s="260"/>
      <c r="Z3998" s="260"/>
      <c r="AA3998" s="260"/>
      <c r="AB3998" s="260"/>
      <c r="AC3998" s="260"/>
      <c r="AD3998"/>
      <c r="AE3998"/>
      <c r="AF3998"/>
      <c r="AG3998"/>
    </row>
    <row r="3999" spans="14:33" ht="12" hidden="1" customHeight="1">
      <c r="N3999" s="283"/>
      <c r="O3999" s="284"/>
      <c r="P3999" s="285"/>
      <c r="Q3999" s="258"/>
      <c r="R3999" s="260"/>
      <c r="S3999" s="260"/>
      <c r="T3999" s="260"/>
      <c r="U3999" s="260"/>
      <c r="V3999" s="260"/>
      <c r="W3999" s="260"/>
      <c r="X3999" s="260"/>
      <c r="Y3999" s="260"/>
      <c r="Z3999" s="260"/>
      <c r="AA3999" s="260"/>
      <c r="AB3999" s="260"/>
      <c r="AC3999" s="260"/>
      <c r="AD3999"/>
      <c r="AE3999"/>
      <c r="AF3999"/>
      <c r="AG3999"/>
    </row>
    <row r="4000" spans="14:33" ht="12" hidden="1" customHeight="1">
      <c r="N4000" s="283"/>
      <c r="O4000" s="284"/>
      <c r="P4000" s="285"/>
      <c r="Q4000" s="258"/>
      <c r="R4000" s="260"/>
      <c r="S4000" s="260"/>
      <c r="T4000" s="260"/>
      <c r="U4000" s="260"/>
      <c r="V4000" s="260"/>
      <c r="W4000" s="260"/>
      <c r="X4000" s="260"/>
      <c r="Y4000" s="260"/>
      <c r="Z4000" s="260"/>
      <c r="AA4000" s="260"/>
      <c r="AB4000" s="260"/>
      <c r="AC4000" s="260"/>
      <c r="AD4000"/>
      <c r="AE4000"/>
      <c r="AF4000"/>
      <c r="AG4000"/>
    </row>
    <row r="4001" spans="14:33" ht="12" hidden="1" customHeight="1">
      <c r="N4001" s="283"/>
      <c r="O4001" s="284"/>
      <c r="P4001" s="285"/>
      <c r="Q4001" s="258"/>
      <c r="R4001" s="260"/>
      <c r="S4001" s="260"/>
      <c r="T4001" s="260"/>
      <c r="U4001" s="260"/>
      <c r="V4001" s="260"/>
      <c r="W4001" s="260"/>
      <c r="X4001" s="260"/>
      <c r="Y4001" s="260"/>
      <c r="Z4001" s="260"/>
      <c r="AA4001" s="260"/>
      <c r="AB4001" s="260"/>
      <c r="AC4001" s="260"/>
      <c r="AD4001"/>
      <c r="AE4001"/>
      <c r="AF4001"/>
      <c r="AG4001"/>
    </row>
    <row r="4002" spans="14:33" ht="12" hidden="1" customHeight="1">
      <c r="N4002" s="283"/>
      <c r="O4002" s="284"/>
      <c r="P4002" s="285"/>
      <c r="Q4002" s="258"/>
      <c r="R4002" s="260"/>
      <c r="S4002" s="260"/>
      <c r="T4002" s="260"/>
      <c r="U4002" s="260"/>
      <c r="V4002" s="260"/>
      <c r="W4002" s="260"/>
      <c r="X4002" s="260"/>
      <c r="Y4002" s="260"/>
      <c r="Z4002" s="260"/>
      <c r="AA4002" s="260"/>
      <c r="AB4002" s="260"/>
      <c r="AC4002" s="260"/>
      <c r="AD4002"/>
      <c r="AE4002"/>
      <c r="AF4002"/>
      <c r="AG4002"/>
    </row>
    <row r="4003" spans="14:33" ht="12" hidden="1" customHeight="1">
      <c r="N4003" s="283"/>
      <c r="O4003" s="284"/>
      <c r="P4003" s="285"/>
      <c r="Q4003" s="258"/>
      <c r="R4003" s="260"/>
      <c r="S4003" s="260"/>
      <c r="T4003" s="260"/>
      <c r="U4003" s="260"/>
      <c r="V4003" s="260"/>
      <c r="W4003" s="260"/>
      <c r="X4003" s="260"/>
      <c r="Y4003" s="260"/>
      <c r="Z4003" s="260"/>
      <c r="AA4003" s="260"/>
      <c r="AB4003" s="260"/>
      <c r="AC4003" s="260"/>
      <c r="AD4003"/>
      <c r="AE4003"/>
      <c r="AF4003"/>
      <c r="AG4003"/>
    </row>
    <row r="4004" spans="14:33" ht="12" hidden="1" customHeight="1">
      <c r="N4004" s="283"/>
      <c r="O4004" s="284"/>
      <c r="P4004" s="285"/>
      <c r="Q4004" s="258"/>
      <c r="R4004" s="260"/>
      <c r="S4004" s="260"/>
      <c r="T4004" s="260"/>
      <c r="U4004" s="260"/>
      <c r="V4004" s="260"/>
      <c r="W4004" s="260"/>
      <c r="X4004" s="260"/>
      <c r="Y4004" s="260"/>
      <c r="Z4004" s="260"/>
      <c r="AA4004" s="260"/>
      <c r="AB4004" s="260"/>
      <c r="AC4004" s="260"/>
      <c r="AD4004"/>
      <c r="AE4004"/>
      <c r="AF4004"/>
      <c r="AG4004"/>
    </row>
    <row r="4005" spans="14:33" ht="12" hidden="1" customHeight="1">
      <c r="N4005" s="283"/>
      <c r="O4005" s="284"/>
      <c r="P4005" s="285"/>
      <c r="Q4005" s="258"/>
      <c r="R4005" s="260"/>
      <c r="S4005" s="260"/>
      <c r="T4005" s="260"/>
      <c r="U4005" s="260"/>
      <c r="V4005" s="260"/>
      <c r="W4005" s="260"/>
      <c r="X4005" s="260"/>
      <c r="Y4005" s="260"/>
      <c r="Z4005" s="260"/>
      <c r="AA4005" s="260"/>
      <c r="AB4005" s="260"/>
      <c r="AC4005" s="260"/>
      <c r="AD4005"/>
      <c r="AE4005"/>
      <c r="AF4005"/>
      <c r="AG4005"/>
    </row>
    <row r="4006" spans="14:33" ht="12" hidden="1" customHeight="1">
      <c r="N4006" s="283"/>
      <c r="O4006" s="284"/>
      <c r="P4006" s="285"/>
      <c r="Q4006" s="258"/>
      <c r="R4006" s="260"/>
      <c r="S4006" s="260"/>
      <c r="T4006" s="260"/>
      <c r="U4006" s="260"/>
      <c r="V4006" s="260"/>
      <c r="W4006" s="260"/>
      <c r="X4006" s="260"/>
      <c r="Y4006" s="260"/>
      <c r="Z4006" s="260"/>
      <c r="AA4006" s="260"/>
      <c r="AB4006" s="260"/>
      <c r="AC4006" s="260"/>
      <c r="AD4006"/>
      <c r="AE4006"/>
      <c r="AF4006"/>
      <c r="AG4006"/>
    </row>
    <row r="4007" spans="14:33" ht="12" hidden="1" customHeight="1">
      <c r="N4007" s="283"/>
      <c r="O4007" s="284"/>
      <c r="P4007" s="285"/>
      <c r="Q4007" s="258"/>
      <c r="R4007" s="260"/>
      <c r="S4007" s="260"/>
      <c r="T4007" s="260"/>
      <c r="U4007" s="260"/>
      <c r="V4007" s="260"/>
      <c r="W4007" s="260"/>
      <c r="X4007" s="260"/>
      <c r="Y4007" s="260"/>
      <c r="Z4007" s="260"/>
      <c r="AA4007" s="260"/>
      <c r="AB4007" s="260"/>
      <c r="AC4007" s="260"/>
      <c r="AD4007"/>
      <c r="AE4007"/>
      <c r="AF4007"/>
      <c r="AG4007"/>
    </row>
    <row r="4008" spans="14:33" ht="12" hidden="1" customHeight="1">
      <c r="N4008" s="283"/>
      <c r="O4008" s="284"/>
      <c r="P4008" s="285"/>
      <c r="Q4008" s="258"/>
      <c r="R4008" s="260"/>
      <c r="S4008" s="260"/>
      <c r="T4008" s="260"/>
      <c r="U4008" s="260"/>
      <c r="V4008" s="260"/>
      <c r="W4008" s="260"/>
      <c r="X4008" s="260"/>
      <c r="Y4008" s="260"/>
      <c r="Z4008" s="260"/>
      <c r="AA4008" s="260"/>
      <c r="AB4008" s="260"/>
      <c r="AC4008" s="260"/>
      <c r="AD4008"/>
      <c r="AE4008"/>
      <c r="AF4008"/>
      <c r="AG4008"/>
    </row>
    <row r="4009" spans="14:33" ht="12" hidden="1" customHeight="1">
      <c r="N4009" s="283"/>
      <c r="O4009" s="284"/>
      <c r="P4009" s="285"/>
      <c r="Q4009" s="258"/>
      <c r="R4009" s="260"/>
      <c r="S4009" s="260"/>
      <c r="T4009" s="260"/>
      <c r="U4009" s="260"/>
      <c r="V4009" s="260"/>
      <c r="W4009" s="260"/>
      <c r="X4009" s="260"/>
      <c r="Y4009" s="260"/>
      <c r="Z4009" s="260"/>
      <c r="AA4009" s="260"/>
      <c r="AB4009" s="260"/>
      <c r="AC4009" s="260"/>
      <c r="AD4009"/>
      <c r="AE4009"/>
      <c r="AF4009"/>
      <c r="AG4009"/>
    </row>
    <row r="4010" spans="14:33" ht="12" hidden="1" customHeight="1">
      <c r="N4010" s="283"/>
      <c r="O4010" s="284"/>
      <c r="P4010" s="285"/>
      <c r="Q4010" s="258"/>
      <c r="R4010" s="260"/>
      <c r="S4010" s="260"/>
      <c r="T4010" s="260"/>
      <c r="U4010" s="260"/>
      <c r="V4010" s="260"/>
      <c r="W4010" s="260"/>
      <c r="X4010" s="260"/>
      <c r="Y4010" s="260"/>
      <c r="Z4010" s="260"/>
      <c r="AA4010" s="260"/>
      <c r="AB4010" s="260"/>
      <c r="AC4010" s="260"/>
      <c r="AD4010"/>
      <c r="AE4010"/>
      <c r="AF4010"/>
      <c r="AG4010"/>
    </row>
    <row r="4011" spans="14:33" ht="12" hidden="1" customHeight="1">
      <c r="N4011" s="283"/>
      <c r="O4011" s="284"/>
      <c r="P4011" s="285"/>
      <c r="Q4011" s="258"/>
      <c r="R4011" s="260"/>
      <c r="S4011" s="260"/>
      <c r="T4011" s="260"/>
      <c r="U4011" s="260"/>
      <c r="V4011" s="260"/>
      <c r="W4011" s="260"/>
      <c r="X4011" s="260"/>
      <c r="Y4011" s="260"/>
      <c r="Z4011" s="260"/>
      <c r="AA4011" s="260"/>
      <c r="AB4011" s="260"/>
      <c r="AC4011" s="260"/>
      <c r="AD4011"/>
      <c r="AE4011"/>
      <c r="AF4011"/>
      <c r="AG4011"/>
    </row>
    <row r="4012" spans="14:33" ht="12" hidden="1" customHeight="1">
      <c r="N4012" s="283"/>
      <c r="O4012" s="284"/>
      <c r="P4012" s="285"/>
      <c r="Q4012" s="258"/>
      <c r="R4012" s="260"/>
      <c r="S4012" s="260"/>
      <c r="T4012" s="260"/>
      <c r="U4012" s="260"/>
      <c r="V4012" s="260"/>
      <c r="W4012" s="260"/>
      <c r="X4012" s="260"/>
      <c r="Y4012" s="260"/>
      <c r="Z4012" s="260"/>
      <c r="AA4012" s="260"/>
      <c r="AB4012" s="260"/>
      <c r="AC4012" s="260"/>
      <c r="AD4012"/>
      <c r="AE4012"/>
      <c r="AF4012"/>
      <c r="AG4012"/>
    </row>
    <row r="4013" spans="14:33" ht="12" hidden="1" customHeight="1">
      <c r="N4013" s="283"/>
      <c r="O4013" s="284"/>
      <c r="P4013" s="285"/>
      <c r="Q4013" s="258"/>
      <c r="R4013" s="260"/>
      <c r="S4013" s="260"/>
      <c r="T4013" s="260"/>
      <c r="U4013" s="260"/>
      <c r="V4013" s="260"/>
      <c r="W4013" s="260"/>
      <c r="X4013" s="260"/>
      <c r="Y4013" s="260"/>
      <c r="Z4013" s="260"/>
      <c r="AA4013" s="260"/>
      <c r="AB4013" s="260"/>
      <c r="AC4013" s="260"/>
      <c r="AD4013"/>
      <c r="AE4013"/>
      <c r="AF4013"/>
      <c r="AG4013"/>
    </row>
    <row r="4014" spans="14:33" ht="12" hidden="1" customHeight="1">
      <c r="N4014" s="283"/>
      <c r="O4014" s="284"/>
      <c r="P4014" s="285"/>
      <c r="Q4014" s="258"/>
      <c r="R4014" s="260"/>
      <c r="S4014" s="260"/>
      <c r="T4014" s="260"/>
      <c r="U4014" s="260"/>
      <c r="V4014" s="260"/>
      <c r="W4014" s="260"/>
      <c r="X4014" s="260"/>
      <c r="Y4014" s="260"/>
      <c r="Z4014" s="260"/>
      <c r="AA4014" s="260"/>
      <c r="AB4014" s="260"/>
      <c r="AC4014" s="260"/>
      <c r="AD4014"/>
      <c r="AE4014"/>
      <c r="AF4014"/>
      <c r="AG4014"/>
    </row>
    <row r="4015" spans="14:33" ht="12" hidden="1" customHeight="1">
      <c r="N4015" s="283"/>
      <c r="O4015" s="284"/>
      <c r="P4015" s="285"/>
      <c r="Q4015" s="258"/>
      <c r="R4015" s="260"/>
      <c r="S4015" s="260"/>
      <c r="T4015" s="260"/>
      <c r="U4015" s="260"/>
      <c r="V4015" s="260"/>
      <c r="W4015" s="260"/>
      <c r="X4015" s="260"/>
      <c r="Y4015" s="260"/>
      <c r="Z4015" s="260"/>
      <c r="AA4015" s="260"/>
      <c r="AB4015" s="260"/>
      <c r="AC4015" s="260"/>
      <c r="AD4015"/>
      <c r="AE4015"/>
      <c r="AF4015"/>
      <c r="AG4015"/>
    </row>
    <row r="4016" spans="14:33" ht="12" hidden="1" customHeight="1">
      <c r="N4016" s="283"/>
      <c r="O4016" s="284"/>
      <c r="P4016" s="285"/>
      <c r="Q4016" s="258"/>
      <c r="R4016" s="260"/>
      <c r="S4016" s="260"/>
      <c r="T4016" s="260"/>
      <c r="U4016" s="260"/>
      <c r="V4016" s="260"/>
      <c r="W4016" s="260"/>
      <c r="X4016" s="260"/>
      <c r="Y4016" s="260"/>
      <c r="Z4016" s="260"/>
      <c r="AA4016" s="260"/>
      <c r="AB4016" s="260"/>
      <c r="AC4016" s="260"/>
      <c r="AD4016"/>
      <c r="AE4016"/>
      <c r="AF4016"/>
      <c r="AG4016"/>
    </row>
    <row r="4017" spans="13:33" ht="12" hidden="1" customHeight="1">
      <c r="N4017" s="283"/>
      <c r="O4017" s="284"/>
      <c r="P4017" s="285"/>
      <c r="Q4017" s="258"/>
      <c r="R4017" s="260"/>
      <c r="S4017" s="260"/>
      <c r="T4017" s="260"/>
      <c r="U4017" s="260"/>
      <c r="V4017" s="260"/>
      <c r="W4017" s="260"/>
      <c r="X4017" s="260"/>
      <c r="Y4017" s="260"/>
      <c r="Z4017" s="260"/>
      <c r="AA4017" s="260"/>
      <c r="AB4017" s="260"/>
      <c r="AC4017" s="260"/>
      <c r="AD4017"/>
      <c r="AE4017"/>
      <c r="AF4017"/>
      <c r="AG4017"/>
    </row>
    <row r="4018" spans="13:33" ht="12" hidden="1" customHeight="1">
      <c r="N4018" s="283"/>
      <c r="O4018" s="284"/>
      <c r="P4018" s="285"/>
      <c r="Q4018" s="258"/>
      <c r="R4018" s="260"/>
      <c r="S4018" s="260"/>
      <c r="T4018" s="260"/>
      <c r="U4018" s="260"/>
      <c r="V4018" s="260"/>
      <c r="W4018" s="260"/>
      <c r="X4018" s="260"/>
      <c r="Y4018" s="260"/>
      <c r="Z4018" s="260"/>
      <c r="AA4018" s="260"/>
      <c r="AB4018" s="260"/>
      <c r="AC4018" s="260"/>
      <c r="AD4018"/>
      <c r="AE4018"/>
      <c r="AF4018"/>
      <c r="AG4018"/>
    </row>
    <row r="4019" spans="13:33" ht="12" hidden="1" customHeight="1">
      <c r="N4019" s="283"/>
      <c r="O4019" s="284"/>
      <c r="P4019" s="285"/>
      <c r="Q4019" s="258"/>
      <c r="R4019" s="260"/>
      <c r="S4019" s="260"/>
      <c r="T4019" s="260"/>
      <c r="U4019" s="260"/>
      <c r="V4019" s="260"/>
      <c r="W4019" s="260"/>
      <c r="X4019" s="260"/>
      <c r="Y4019" s="260"/>
      <c r="Z4019" s="260"/>
      <c r="AA4019" s="260"/>
      <c r="AB4019" s="260"/>
      <c r="AC4019" s="260"/>
      <c r="AD4019"/>
      <c r="AE4019"/>
      <c r="AF4019"/>
      <c r="AG4019"/>
    </row>
    <row r="4020" spans="13:33" ht="12" hidden="1" customHeight="1">
      <c r="N4020" s="283"/>
      <c r="O4020" s="284"/>
      <c r="P4020" s="285"/>
      <c r="Q4020" s="258"/>
      <c r="R4020" s="260"/>
      <c r="S4020" s="260"/>
      <c r="T4020" s="260"/>
      <c r="U4020" s="260"/>
      <c r="V4020" s="260"/>
      <c r="W4020" s="260"/>
      <c r="X4020" s="260"/>
      <c r="Y4020" s="260"/>
      <c r="Z4020" s="260"/>
      <c r="AA4020" s="260"/>
      <c r="AB4020" s="260"/>
      <c r="AC4020" s="260"/>
      <c r="AD4020"/>
      <c r="AE4020"/>
      <c r="AF4020"/>
      <c r="AG4020"/>
    </row>
    <row r="4021" spans="13:33" ht="12" hidden="1" customHeight="1">
      <c r="N4021" s="283"/>
      <c r="O4021" s="284"/>
      <c r="P4021" s="285"/>
      <c r="Q4021" s="258"/>
      <c r="R4021" s="260"/>
      <c r="S4021" s="260"/>
      <c r="T4021" s="260"/>
      <c r="U4021" s="260"/>
      <c r="V4021" s="260"/>
      <c r="W4021" s="260"/>
      <c r="X4021" s="260"/>
      <c r="Y4021" s="260"/>
      <c r="Z4021" s="260"/>
      <c r="AA4021" s="260"/>
      <c r="AB4021" s="260"/>
      <c r="AC4021" s="260"/>
      <c r="AD4021"/>
      <c r="AE4021"/>
      <c r="AF4021"/>
      <c r="AG4021"/>
    </row>
    <row r="4022" spans="13:33" ht="12" hidden="1" customHeight="1">
      <c r="N4022" s="283"/>
      <c r="O4022" s="284"/>
      <c r="P4022" s="285"/>
      <c r="Q4022" s="258"/>
      <c r="R4022" s="260"/>
      <c r="S4022" s="260"/>
      <c r="T4022" s="260"/>
      <c r="U4022" s="260"/>
      <c r="V4022" s="260"/>
      <c r="W4022" s="260"/>
      <c r="X4022" s="260"/>
      <c r="Y4022" s="260"/>
      <c r="Z4022" s="260"/>
      <c r="AA4022" s="260"/>
      <c r="AB4022" s="260"/>
      <c r="AC4022" s="260"/>
      <c r="AD4022"/>
      <c r="AE4022"/>
      <c r="AF4022"/>
      <c r="AG4022"/>
    </row>
    <row r="4023" spans="13:33" ht="12" hidden="1" customHeight="1">
      <c r="N4023" s="283"/>
      <c r="O4023" s="284"/>
      <c r="P4023" s="285"/>
      <c r="Q4023" s="258"/>
      <c r="R4023" s="260"/>
      <c r="S4023" s="260"/>
      <c r="T4023" s="260"/>
      <c r="U4023" s="260"/>
      <c r="V4023" s="260"/>
      <c r="W4023" s="260"/>
      <c r="X4023" s="260"/>
      <c r="Y4023" s="260"/>
      <c r="Z4023" s="260"/>
      <c r="AA4023" s="260"/>
      <c r="AB4023" s="260"/>
      <c r="AC4023" s="260"/>
      <c r="AD4023"/>
      <c r="AE4023"/>
      <c r="AF4023"/>
      <c r="AG4023"/>
    </row>
    <row r="4024" spans="13:33" ht="12" hidden="1" customHeight="1">
      <c r="N4024" s="283"/>
      <c r="O4024" s="284"/>
      <c r="P4024" s="285"/>
      <c r="Q4024" s="258"/>
      <c r="R4024" s="260"/>
      <c r="S4024" s="260"/>
      <c r="T4024" s="260"/>
      <c r="U4024" s="260"/>
      <c r="V4024" s="260"/>
      <c r="W4024" s="260"/>
      <c r="X4024" s="260"/>
      <c r="Y4024" s="260"/>
      <c r="Z4024" s="260"/>
      <c r="AA4024" s="260"/>
      <c r="AB4024" s="260"/>
      <c r="AC4024" s="260"/>
      <c r="AD4024"/>
      <c r="AE4024"/>
      <c r="AF4024"/>
      <c r="AG4024"/>
    </row>
    <row r="4025" spans="13:33" hidden="1">
      <c r="M4025"/>
      <c r="N4025" s="302"/>
      <c r="O4025" s="303"/>
      <c r="P4025" s="285"/>
      <c r="Q4025" s="320"/>
      <c r="R4025" s="260"/>
      <c r="S4025" s="260"/>
      <c r="T4025" s="260"/>
      <c r="U4025" s="260"/>
      <c r="V4025" s="260"/>
      <c r="W4025" s="264"/>
      <c r="X4025" s="260"/>
      <c r="Y4025" s="260"/>
      <c r="Z4025" s="264"/>
      <c r="AA4025" s="260"/>
      <c r="AB4025" s="260"/>
      <c r="AC4025" s="264"/>
      <c r="AD4025"/>
      <c r="AE4025"/>
      <c r="AF4025"/>
      <c r="AG4025"/>
    </row>
    <row r="4026" spans="13:33" hidden="1">
      <c r="M4026"/>
      <c r="N4026" s="302"/>
      <c r="O4026" s="303"/>
      <c r="P4026" s="285"/>
      <c r="Q4026" s="320"/>
      <c r="R4026" s="323"/>
      <c r="S4026" s="323"/>
      <c r="T4026" s="260"/>
      <c r="U4026" s="323"/>
      <c r="V4026" s="323"/>
      <c r="W4026" s="334"/>
      <c r="X4026" s="323"/>
      <c r="Y4026" s="323"/>
      <c r="Z4026" s="334"/>
      <c r="AA4026" s="323"/>
      <c r="AB4026" s="323"/>
      <c r="AC4026" s="334"/>
      <c r="AD4026"/>
      <c r="AE4026"/>
      <c r="AF4026"/>
      <c r="AG4026"/>
    </row>
    <row r="4027" spans="13:33" hidden="1">
      <c r="M4027"/>
      <c r="N4027" s="302"/>
      <c r="O4027" s="303"/>
      <c r="P4027" s="285"/>
      <c r="Q4027" s="320"/>
      <c r="R4027" s="323"/>
      <c r="S4027" s="323"/>
      <c r="T4027" s="260"/>
      <c r="U4027" s="323"/>
      <c r="V4027" s="323"/>
      <c r="W4027" s="334"/>
      <c r="X4027" s="323"/>
      <c r="Y4027" s="323"/>
      <c r="Z4027" s="334"/>
      <c r="AA4027" s="323"/>
      <c r="AB4027" s="323"/>
      <c r="AC4027" s="334"/>
      <c r="AD4027"/>
      <c r="AE4027"/>
      <c r="AF4027"/>
      <c r="AG4027"/>
    </row>
    <row r="4028" spans="13:33" ht="12" hidden="1" customHeight="1">
      <c r="M4028"/>
      <c r="N4028" s="302"/>
      <c r="O4028" s="303"/>
      <c r="P4028" s="285"/>
      <c r="Q4028" s="258"/>
      <c r="R4028" s="323"/>
      <c r="S4028" s="323"/>
      <c r="T4028" s="260"/>
      <c r="U4028" s="323"/>
      <c r="V4028" s="323"/>
      <c r="W4028" s="324"/>
      <c r="X4028" s="323"/>
      <c r="Y4028" s="323"/>
      <c r="Z4028" s="324"/>
      <c r="AA4028" s="323"/>
      <c r="AB4028" s="323"/>
      <c r="AC4028" s="324"/>
      <c r="AD4028"/>
      <c r="AE4028"/>
      <c r="AF4028"/>
      <c r="AG4028"/>
    </row>
    <row r="4029" spans="13:33" ht="12" hidden="1" customHeight="1">
      <c r="N4029" s="302"/>
      <c r="O4029" s="303"/>
      <c r="P4029" s="285"/>
      <c r="Q4029" s="258"/>
      <c r="R4029" s="260"/>
      <c r="S4029" s="260"/>
      <c r="T4029" s="260"/>
      <c r="U4029" s="260"/>
      <c r="V4029" s="260"/>
      <c r="W4029" s="278"/>
      <c r="X4029" s="260"/>
      <c r="Y4029" s="260"/>
      <c r="Z4029" s="278"/>
      <c r="AA4029" s="260"/>
      <c r="AB4029" s="260"/>
      <c r="AC4029" s="278"/>
      <c r="AD4029"/>
      <c r="AE4029"/>
      <c r="AF4029"/>
      <c r="AG4029"/>
    </row>
    <row r="4030" spans="13:33" ht="12" hidden="1" customHeight="1">
      <c r="N4030" s="302"/>
      <c r="O4030" s="303"/>
      <c r="P4030" s="285"/>
      <c r="Q4030" s="258"/>
      <c r="R4030" s="260"/>
      <c r="S4030" s="260"/>
      <c r="T4030" s="260"/>
      <c r="U4030" s="260"/>
      <c r="V4030" s="260"/>
      <c r="W4030" s="278"/>
      <c r="X4030" s="260"/>
      <c r="Y4030" s="260"/>
      <c r="Z4030" s="278"/>
      <c r="AA4030" s="260"/>
      <c r="AB4030" s="260"/>
      <c r="AC4030" s="278"/>
      <c r="AD4030"/>
      <c r="AE4030"/>
      <c r="AF4030"/>
      <c r="AG4030"/>
    </row>
    <row r="4031" spans="13:33" ht="12" hidden="1" customHeight="1">
      <c r="N4031" s="302"/>
      <c r="O4031" s="303"/>
      <c r="P4031" s="285"/>
      <c r="Q4031" s="258"/>
      <c r="R4031" s="260"/>
      <c r="S4031" s="260"/>
      <c r="T4031" s="260"/>
      <c r="U4031" s="260"/>
      <c r="V4031" s="260"/>
      <c r="W4031" s="278"/>
      <c r="X4031" s="260"/>
      <c r="Y4031" s="260"/>
      <c r="Z4031" s="278"/>
      <c r="AA4031" s="260"/>
      <c r="AB4031" s="260"/>
      <c r="AC4031" s="278"/>
      <c r="AD4031"/>
      <c r="AE4031"/>
      <c r="AF4031"/>
      <c r="AG4031"/>
    </row>
    <row r="4032" spans="13:33" ht="12" hidden="1" customHeight="1">
      <c r="N4032" s="302"/>
      <c r="O4032" s="303"/>
      <c r="P4032" s="285"/>
      <c r="Q4032" s="258"/>
      <c r="R4032" s="260"/>
      <c r="S4032" s="260"/>
      <c r="T4032" s="260"/>
      <c r="U4032" s="260"/>
      <c r="V4032" s="260"/>
      <c r="W4032" s="278"/>
      <c r="X4032" s="260"/>
      <c r="Y4032" s="260"/>
      <c r="Z4032" s="278"/>
      <c r="AA4032" s="260"/>
      <c r="AB4032" s="260"/>
      <c r="AC4032" s="278"/>
      <c r="AD4032"/>
      <c r="AE4032"/>
      <c r="AF4032"/>
      <c r="AG4032"/>
    </row>
    <row r="4033" spans="14:33" ht="12" hidden="1" customHeight="1">
      <c r="N4033" s="302"/>
      <c r="O4033" s="303"/>
      <c r="P4033" s="285"/>
      <c r="Q4033" s="258"/>
      <c r="R4033" s="260"/>
      <c r="S4033" s="260"/>
      <c r="T4033" s="260"/>
      <c r="U4033" s="260"/>
      <c r="V4033" s="260"/>
      <c r="W4033" s="278"/>
      <c r="X4033" s="260"/>
      <c r="Y4033" s="260"/>
      <c r="Z4033" s="278"/>
      <c r="AA4033" s="260"/>
      <c r="AB4033" s="260"/>
      <c r="AC4033" s="278"/>
      <c r="AD4033"/>
      <c r="AE4033"/>
      <c r="AF4033"/>
      <c r="AG4033"/>
    </row>
    <row r="4034" spans="14:33" ht="12" hidden="1" customHeight="1">
      <c r="N4034" s="302"/>
      <c r="O4034" s="303"/>
      <c r="P4034" s="285"/>
      <c r="Q4034" s="258"/>
      <c r="R4034" s="260"/>
      <c r="S4034" s="260"/>
      <c r="T4034" s="260"/>
      <c r="U4034" s="260"/>
      <c r="V4034" s="260"/>
      <c r="W4034" s="255"/>
      <c r="X4034" s="260"/>
      <c r="Y4034" s="260"/>
      <c r="Z4034" s="255"/>
      <c r="AA4034" s="260"/>
      <c r="AB4034" s="260"/>
      <c r="AC4034" s="255"/>
      <c r="AD4034"/>
      <c r="AE4034"/>
      <c r="AF4034"/>
      <c r="AG4034"/>
    </row>
    <row r="4035" spans="14:33" hidden="1">
      <c r="N4035" s="302"/>
      <c r="O4035" s="303"/>
      <c r="P4035" s="285"/>
      <c r="Q4035" s="258"/>
      <c r="R4035" s="260"/>
      <c r="S4035" s="260"/>
      <c r="T4035" s="260"/>
      <c r="U4035" s="260"/>
      <c r="V4035" s="260"/>
      <c r="W4035" s="255"/>
      <c r="X4035" s="260"/>
      <c r="Y4035" s="260"/>
      <c r="Z4035" s="255"/>
      <c r="AA4035" s="260"/>
      <c r="AB4035" s="260"/>
      <c r="AC4035" s="255"/>
      <c r="AD4035"/>
      <c r="AE4035"/>
      <c r="AF4035"/>
      <c r="AG4035"/>
    </row>
    <row r="4036" spans="14:33" hidden="1">
      <c r="N4036" s="302"/>
      <c r="O4036" s="303"/>
      <c r="P4036" s="285"/>
      <c r="Q4036" s="258"/>
      <c r="R4036" s="260"/>
      <c r="S4036" s="260"/>
      <c r="T4036" s="260"/>
      <c r="U4036" s="260"/>
      <c r="V4036" s="260"/>
      <c r="W4036" s="255"/>
      <c r="X4036" s="260"/>
      <c r="Y4036" s="260"/>
      <c r="Z4036" s="255"/>
      <c r="AA4036" s="260"/>
      <c r="AB4036" s="260"/>
      <c r="AC4036" s="255"/>
      <c r="AD4036"/>
      <c r="AE4036"/>
      <c r="AF4036"/>
      <c r="AG4036"/>
    </row>
    <row r="4037" spans="14:33" hidden="1">
      <c r="N4037" s="302"/>
      <c r="O4037" s="303"/>
      <c r="P4037" s="285"/>
      <c r="Q4037" s="258"/>
      <c r="R4037" s="260"/>
      <c r="S4037" s="260"/>
      <c r="T4037" s="260"/>
      <c r="U4037" s="260"/>
      <c r="V4037" s="260"/>
      <c r="W4037" s="255"/>
      <c r="X4037" s="260"/>
      <c r="Y4037" s="260"/>
      <c r="Z4037" s="255"/>
      <c r="AA4037" s="260"/>
      <c r="AB4037" s="260"/>
      <c r="AC4037" s="255"/>
      <c r="AD4037"/>
      <c r="AE4037"/>
      <c r="AF4037"/>
      <c r="AG4037"/>
    </row>
    <row r="4038" spans="14:33" hidden="1">
      <c r="N4038" s="302"/>
      <c r="O4038" s="303"/>
      <c r="P4038" s="285"/>
      <c r="Q4038" s="258"/>
      <c r="R4038" s="260"/>
      <c r="S4038" s="260"/>
      <c r="T4038" s="260"/>
      <c r="U4038" s="260"/>
      <c r="V4038" s="260"/>
      <c r="W4038" s="255"/>
      <c r="X4038" s="260"/>
      <c r="Y4038" s="260"/>
      <c r="Z4038" s="255"/>
      <c r="AA4038" s="260"/>
      <c r="AB4038" s="260"/>
      <c r="AC4038" s="255"/>
      <c r="AD4038"/>
      <c r="AE4038"/>
      <c r="AF4038"/>
      <c r="AG4038"/>
    </row>
    <row r="4039" spans="14:33" hidden="1">
      <c r="N4039" s="302"/>
      <c r="O4039" s="303"/>
      <c r="P4039" s="285"/>
      <c r="Q4039" s="258"/>
      <c r="R4039" s="260"/>
      <c r="S4039" s="260"/>
      <c r="T4039" s="260"/>
      <c r="U4039" s="260"/>
      <c r="V4039" s="260"/>
      <c r="W4039" s="255"/>
      <c r="X4039" s="260"/>
      <c r="Y4039" s="260"/>
      <c r="Z4039" s="255"/>
      <c r="AA4039" s="260"/>
      <c r="AB4039" s="260"/>
      <c r="AC4039" s="255"/>
      <c r="AD4039"/>
      <c r="AE4039"/>
      <c r="AF4039"/>
      <c r="AG4039"/>
    </row>
    <row r="4040" spans="14:33" hidden="1">
      <c r="N4040" s="302"/>
      <c r="O4040" s="303"/>
      <c r="P4040" s="285"/>
      <c r="Q4040" s="258"/>
      <c r="R4040" s="260"/>
      <c r="S4040" s="260"/>
      <c r="T4040" s="260"/>
      <c r="U4040" s="260"/>
      <c r="V4040" s="260"/>
      <c r="W4040" s="255"/>
      <c r="X4040" s="260"/>
      <c r="Y4040" s="260"/>
      <c r="Z4040" s="255"/>
      <c r="AA4040" s="260"/>
      <c r="AB4040" s="260"/>
      <c r="AC4040" s="255"/>
      <c r="AD4040"/>
      <c r="AE4040"/>
      <c r="AF4040"/>
      <c r="AG4040"/>
    </row>
    <row r="4041" spans="14:33" hidden="1">
      <c r="N4041" s="302"/>
      <c r="O4041" s="303"/>
      <c r="P4041" s="285"/>
      <c r="Q4041" s="258"/>
      <c r="R4041" s="260"/>
      <c r="S4041" s="260"/>
      <c r="T4041" s="260"/>
      <c r="U4041" s="260"/>
      <c r="V4041" s="260"/>
      <c r="W4041" s="255"/>
      <c r="X4041" s="260"/>
      <c r="Y4041" s="260"/>
      <c r="Z4041" s="255"/>
      <c r="AA4041" s="260"/>
      <c r="AB4041" s="260"/>
      <c r="AC4041" s="255"/>
      <c r="AD4041"/>
      <c r="AE4041"/>
      <c r="AF4041"/>
      <c r="AG4041"/>
    </row>
    <row r="4042" spans="14:33" hidden="1">
      <c r="N4042" s="302"/>
      <c r="O4042" s="303"/>
      <c r="P4042" s="285"/>
      <c r="Q4042" s="258"/>
      <c r="R4042" s="260"/>
      <c r="S4042" s="260"/>
      <c r="T4042" s="260"/>
      <c r="U4042" s="260"/>
      <c r="V4042" s="260"/>
      <c r="W4042" s="255"/>
      <c r="X4042" s="260"/>
      <c r="Y4042" s="260"/>
      <c r="Z4042" s="255"/>
      <c r="AA4042" s="260"/>
      <c r="AB4042" s="260"/>
      <c r="AC4042" s="255"/>
      <c r="AD4042"/>
      <c r="AE4042"/>
      <c r="AF4042"/>
      <c r="AG4042"/>
    </row>
    <row r="4043" spans="14:33" hidden="1">
      <c r="N4043" s="302"/>
      <c r="O4043" s="303"/>
      <c r="P4043" s="285"/>
      <c r="Q4043" s="258"/>
      <c r="R4043" s="260"/>
      <c r="S4043" s="260"/>
      <c r="T4043" s="260"/>
      <c r="U4043" s="260"/>
      <c r="V4043" s="260"/>
      <c r="W4043" s="255"/>
      <c r="X4043" s="260"/>
      <c r="Y4043" s="260"/>
      <c r="Z4043" s="255"/>
      <c r="AA4043" s="260"/>
      <c r="AB4043" s="260"/>
      <c r="AC4043" s="255"/>
      <c r="AD4043"/>
      <c r="AE4043"/>
      <c r="AF4043"/>
      <c r="AG4043"/>
    </row>
    <row r="4044" spans="14:33" hidden="1">
      <c r="N4044" s="302"/>
      <c r="O4044" s="303"/>
      <c r="P4044" s="285"/>
      <c r="Q4044" s="258"/>
      <c r="R4044" s="260"/>
      <c r="S4044" s="260"/>
      <c r="T4044" s="260"/>
      <c r="U4044" s="260"/>
      <c r="V4044" s="260"/>
      <c r="W4044" s="255"/>
      <c r="X4044" s="260"/>
      <c r="Y4044" s="260"/>
      <c r="Z4044" s="255"/>
      <c r="AA4044" s="260"/>
      <c r="AB4044" s="260"/>
      <c r="AC4044" s="255"/>
      <c r="AD4044"/>
      <c r="AE4044"/>
      <c r="AF4044"/>
      <c r="AG4044"/>
    </row>
    <row r="4045" spans="14:33" ht="14.25" hidden="1" customHeight="1">
      <c r="N4045" s="302"/>
      <c r="O4045" s="303"/>
      <c r="P4045" s="285"/>
      <c r="Q4045" s="258"/>
      <c r="R4045" s="260"/>
      <c r="S4045" s="260"/>
      <c r="T4045" s="260"/>
      <c r="U4045" s="260"/>
      <c r="V4045" s="260"/>
      <c r="W4045" s="255"/>
      <c r="X4045" s="260"/>
      <c r="Y4045" s="260"/>
      <c r="Z4045" s="255"/>
      <c r="AA4045" s="260"/>
      <c r="AB4045" s="260"/>
      <c r="AC4045" s="255"/>
      <c r="AD4045"/>
      <c r="AE4045"/>
      <c r="AF4045"/>
      <c r="AG4045"/>
    </row>
    <row r="4046" spans="14:33" hidden="1">
      <c r="N4046" s="302"/>
      <c r="O4046" s="303"/>
      <c r="P4046" s="285"/>
      <c r="Q4046" s="258"/>
      <c r="R4046" s="260"/>
      <c r="S4046" s="260"/>
      <c r="T4046" s="260"/>
      <c r="U4046" s="260"/>
      <c r="V4046" s="260"/>
      <c r="W4046" s="255"/>
      <c r="X4046" s="260"/>
      <c r="Y4046" s="260"/>
      <c r="Z4046" s="255"/>
      <c r="AA4046" s="260"/>
      <c r="AB4046" s="260"/>
      <c r="AC4046" s="255"/>
      <c r="AD4046"/>
      <c r="AE4046"/>
      <c r="AF4046"/>
      <c r="AG4046"/>
    </row>
    <row r="4047" spans="14:33" hidden="1">
      <c r="N4047" s="302"/>
      <c r="O4047" s="303"/>
      <c r="P4047" s="285"/>
      <c r="Q4047" s="258"/>
      <c r="R4047" s="260"/>
      <c r="S4047" s="260"/>
      <c r="T4047" s="260"/>
      <c r="U4047" s="260"/>
      <c r="V4047" s="260"/>
      <c r="W4047" s="255"/>
      <c r="X4047" s="260"/>
      <c r="Y4047" s="260"/>
      <c r="Z4047" s="255"/>
      <c r="AA4047" s="260"/>
      <c r="AB4047" s="260"/>
      <c r="AC4047" s="255"/>
      <c r="AD4047"/>
      <c r="AE4047"/>
      <c r="AF4047"/>
      <c r="AG4047"/>
    </row>
    <row r="4048" spans="14:33" hidden="1">
      <c r="N4048" s="302"/>
      <c r="O4048" s="303"/>
      <c r="P4048" s="285"/>
      <c r="Q4048" s="258"/>
      <c r="R4048" s="260"/>
      <c r="S4048" s="260"/>
      <c r="T4048" s="260"/>
      <c r="U4048" s="260"/>
      <c r="V4048" s="260"/>
      <c r="W4048" s="255"/>
      <c r="X4048" s="260"/>
      <c r="Y4048" s="260"/>
      <c r="Z4048" s="255"/>
      <c r="AA4048" s="260"/>
      <c r="AB4048" s="260"/>
      <c r="AC4048" s="255"/>
      <c r="AD4048"/>
      <c r="AE4048"/>
      <c r="AF4048"/>
      <c r="AG4048"/>
    </row>
    <row r="4049" spans="14:33" hidden="1">
      <c r="N4049" s="302"/>
      <c r="O4049" s="303"/>
      <c r="P4049" s="285"/>
      <c r="Q4049" s="258"/>
      <c r="R4049" s="260"/>
      <c r="S4049" s="260"/>
      <c r="T4049" s="260"/>
      <c r="U4049" s="260"/>
      <c r="V4049" s="260"/>
      <c r="W4049" s="255"/>
      <c r="X4049" s="260"/>
      <c r="Y4049" s="260"/>
      <c r="Z4049" s="255"/>
      <c r="AA4049" s="260"/>
      <c r="AB4049" s="260"/>
      <c r="AC4049" s="255"/>
      <c r="AD4049"/>
      <c r="AE4049"/>
      <c r="AF4049"/>
      <c r="AG4049"/>
    </row>
    <row r="4050" spans="14:33" hidden="1">
      <c r="N4050" s="302"/>
      <c r="O4050" s="303"/>
      <c r="P4050" s="285"/>
      <c r="Q4050" s="258"/>
      <c r="R4050" s="260"/>
      <c r="S4050" s="260"/>
      <c r="T4050" s="260"/>
      <c r="U4050" s="260"/>
      <c r="V4050" s="260"/>
      <c r="W4050" s="255"/>
      <c r="X4050" s="260"/>
      <c r="Y4050" s="260"/>
      <c r="Z4050" s="255"/>
      <c r="AA4050" s="260"/>
      <c r="AB4050" s="260"/>
      <c r="AC4050" s="255"/>
      <c r="AD4050"/>
      <c r="AE4050"/>
      <c r="AF4050"/>
      <c r="AG4050"/>
    </row>
    <row r="4051" spans="14:33" hidden="1">
      <c r="N4051" s="302"/>
      <c r="O4051" s="303"/>
      <c r="P4051" s="285"/>
      <c r="Q4051" s="258"/>
      <c r="R4051" s="260"/>
      <c r="S4051" s="260"/>
      <c r="T4051" s="260"/>
      <c r="U4051" s="260"/>
      <c r="V4051" s="260"/>
      <c r="W4051" s="255"/>
      <c r="X4051" s="260"/>
      <c r="Y4051" s="260"/>
      <c r="Z4051" s="255"/>
      <c r="AA4051" s="260"/>
      <c r="AB4051" s="260"/>
      <c r="AC4051" s="255"/>
      <c r="AD4051"/>
      <c r="AE4051"/>
      <c r="AF4051"/>
      <c r="AG4051"/>
    </row>
    <row r="4052" spans="14:33" hidden="1">
      <c r="N4052" s="302"/>
      <c r="O4052" s="303"/>
      <c r="P4052" s="285"/>
      <c r="Q4052" s="258"/>
      <c r="R4052" s="260"/>
      <c r="S4052" s="260"/>
      <c r="T4052" s="260"/>
      <c r="U4052" s="260"/>
      <c r="V4052" s="260"/>
      <c r="W4052" s="255"/>
      <c r="X4052" s="260"/>
      <c r="Y4052" s="260"/>
      <c r="Z4052" s="255"/>
      <c r="AA4052" s="260"/>
      <c r="AB4052" s="260"/>
      <c r="AC4052" s="255"/>
      <c r="AD4052"/>
      <c r="AE4052"/>
      <c r="AF4052"/>
      <c r="AG4052"/>
    </row>
    <row r="4053" spans="14:33" hidden="1">
      <c r="N4053" s="302"/>
      <c r="O4053" s="303"/>
      <c r="P4053" s="285"/>
      <c r="Q4053" s="258"/>
      <c r="R4053" s="260"/>
      <c r="S4053" s="260"/>
      <c r="T4053" s="260"/>
      <c r="U4053" s="260"/>
      <c r="V4053" s="260"/>
      <c r="W4053" s="255"/>
      <c r="X4053" s="260"/>
      <c r="Y4053" s="260"/>
      <c r="Z4053" s="255"/>
      <c r="AA4053" s="260"/>
      <c r="AB4053" s="260"/>
      <c r="AC4053" s="255"/>
      <c r="AD4053"/>
      <c r="AE4053"/>
      <c r="AF4053"/>
      <c r="AG4053"/>
    </row>
    <row r="4054" spans="14:33" hidden="1">
      <c r="N4054" s="302"/>
      <c r="O4054" s="303"/>
      <c r="P4054" s="285"/>
      <c r="Q4054" s="258"/>
      <c r="R4054" s="260"/>
      <c r="S4054" s="260"/>
      <c r="T4054" s="260"/>
      <c r="U4054" s="260"/>
      <c r="V4054" s="260"/>
      <c r="W4054" s="255"/>
      <c r="X4054" s="260"/>
      <c r="Y4054" s="260"/>
      <c r="Z4054" s="255"/>
      <c r="AA4054" s="260"/>
      <c r="AB4054" s="260"/>
      <c r="AC4054" s="255"/>
      <c r="AD4054"/>
      <c r="AE4054"/>
      <c r="AF4054"/>
      <c r="AG4054"/>
    </row>
    <row r="4055" spans="14:33" hidden="1">
      <c r="N4055" s="302"/>
      <c r="O4055" s="303"/>
      <c r="P4055" s="285"/>
      <c r="Q4055" s="258"/>
      <c r="R4055" s="260"/>
      <c r="S4055" s="260"/>
      <c r="T4055" s="260"/>
      <c r="U4055" s="260"/>
      <c r="V4055" s="260"/>
      <c r="W4055" s="255"/>
      <c r="X4055" s="260"/>
      <c r="Y4055" s="260"/>
      <c r="Z4055" s="255"/>
      <c r="AA4055" s="260"/>
      <c r="AB4055" s="260"/>
      <c r="AC4055" s="255"/>
      <c r="AD4055"/>
      <c r="AE4055"/>
      <c r="AF4055"/>
      <c r="AG4055"/>
    </row>
    <row r="4056" spans="14:33" hidden="1">
      <c r="N4056" s="302"/>
      <c r="O4056" s="303"/>
      <c r="P4056" s="285"/>
      <c r="Q4056" s="258"/>
      <c r="R4056" s="260"/>
      <c r="S4056" s="260"/>
      <c r="T4056" s="260"/>
      <c r="U4056" s="260"/>
      <c r="V4056" s="260"/>
      <c r="W4056" s="255"/>
      <c r="X4056" s="260"/>
      <c r="Y4056" s="260"/>
      <c r="Z4056" s="255"/>
      <c r="AA4056" s="260"/>
      <c r="AB4056" s="260"/>
      <c r="AC4056" s="255"/>
      <c r="AD4056"/>
      <c r="AE4056"/>
      <c r="AF4056"/>
      <c r="AG4056"/>
    </row>
    <row r="4057" spans="14:33" ht="11.25" hidden="1" customHeight="1">
      <c r="N4057" s="302"/>
      <c r="O4057" s="303"/>
      <c r="P4057" s="285"/>
      <c r="Q4057" s="258"/>
      <c r="R4057" s="260"/>
      <c r="S4057" s="260"/>
      <c r="T4057" s="260"/>
      <c r="U4057" s="260"/>
      <c r="V4057" s="260"/>
      <c r="W4057" s="255"/>
      <c r="X4057" s="260"/>
      <c r="Y4057" s="260"/>
      <c r="Z4057" s="255"/>
      <c r="AA4057" s="260"/>
      <c r="AB4057" s="260"/>
      <c r="AC4057" s="255"/>
      <c r="AD4057"/>
      <c r="AE4057"/>
      <c r="AF4057"/>
      <c r="AG4057"/>
    </row>
    <row r="4058" spans="14:33" ht="11.25" hidden="1" customHeight="1">
      <c r="N4058" s="302"/>
      <c r="O4058" s="303"/>
      <c r="P4058" s="285"/>
      <c r="Q4058" s="258"/>
      <c r="R4058" s="260"/>
      <c r="S4058" s="260"/>
      <c r="T4058" s="260"/>
      <c r="U4058" s="260"/>
      <c r="V4058" s="260"/>
      <c r="W4058" s="255"/>
      <c r="X4058" s="260"/>
      <c r="Y4058" s="260"/>
      <c r="Z4058" s="255"/>
      <c r="AA4058" s="260"/>
      <c r="AB4058" s="260"/>
      <c r="AC4058" s="255"/>
      <c r="AD4058"/>
      <c r="AE4058"/>
      <c r="AF4058"/>
      <c r="AG4058"/>
    </row>
    <row r="4059" spans="14:33" ht="11.25" hidden="1" customHeight="1">
      <c r="N4059" s="302"/>
      <c r="O4059" s="303"/>
      <c r="P4059" s="285"/>
      <c r="Q4059" s="258"/>
      <c r="R4059" s="260"/>
      <c r="S4059" s="260"/>
      <c r="T4059" s="260"/>
      <c r="U4059" s="260"/>
      <c r="V4059" s="260"/>
      <c r="W4059" s="255"/>
      <c r="X4059" s="260"/>
      <c r="Y4059" s="260"/>
      <c r="Z4059" s="255"/>
      <c r="AA4059" s="260"/>
      <c r="AB4059" s="260"/>
      <c r="AC4059" s="255"/>
      <c r="AD4059"/>
      <c r="AE4059"/>
      <c r="AF4059"/>
      <c r="AG4059"/>
    </row>
    <row r="4060" spans="14:33" ht="11.25" hidden="1" customHeight="1">
      <c r="N4060" s="302"/>
      <c r="O4060" s="303"/>
      <c r="P4060" s="285"/>
      <c r="Q4060" s="258"/>
      <c r="R4060" s="260"/>
      <c r="S4060" s="260"/>
      <c r="T4060" s="260"/>
      <c r="U4060" s="260"/>
      <c r="V4060" s="260"/>
      <c r="W4060" s="255"/>
      <c r="X4060" s="260"/>
      <c r="Y4060" s="260"/>
      <c r="Z4060" s="255"/>
      <c r="AA4060" s="260"/>
      <c r="AB4060" s="260"/>
      <c r="AC4060" s="255"/>
      <c r="AD4060"/>
      <c r="AE4060"/>
      <c r="AF4060"/>
      <c r="AG4060"/>
    </row>
    <row r="4061" spans="14:33" ht="11.25" hidden="1" customHeight="1">
      <c r="N4061" s="302"/>
      <c r="O4061" s="303"/>
      <c r="P4061" s="285"/>
      <c r="Q4061" s="258"/>
      <c r="R4061" s="287"/>
      <c r="S4061" s="260"/>
      <c r="T4061" s="260"/>
      <c r="U4061" s="260"/>
      <c r="V4061" s="260"/>
      <c r="W4061" s="255"/>
      <c r="X4061" s="260"/>
      <c r="Y4061" s="260"/>
      <c r="Z4061" s="255"/>
      <c r="AA4061" s="260"/>
      <c r="AB4061" s="260"/>
      <c r="AC4061" s="255"/>
      <c r="AD4061"/>
      <c r="AE4061"/>
      <c r="AF4061"/>
      <c r="AG4061"/>
    </row>
    <row r="4062" spans="14:33" ht="11.25" hidden="1" customHeight="1">
      <c r="N4062" s="302"/>
      <c r="O4062" s="303"/>
      <c r="P4062" s="285"/>
      <c r="Q4062" s="258"/>
      <c r="R4062" s="287"/>
      <c r="S4062" s="260"/>
      <c r="T4062" s="285"/>
      <c r="U4062" s="260"/>
      <c r="V4062" s="260"/>
      <c r="W4062" s="255"/>
      <c r="X4062" s="260"/>
      <c r="Y4062" s="260"/>
      <c r="Z4062" s="255"/>
      <c r="AA4062" s="260"/>
      <c r="AB4062" s="260"/>
      <c r="AC4062" s="255"/>
      <c r="AD4062"/>
      <c r="AE4062"/>
      <c r="AF4062"/>
      <c r="AG4062"/>
    </row>
    <row r="4063" spans="14:33" ht="12" hidden="1" customHeight="1">
      <c r="N4063" s="302"/>
      <c r="O4063" s="303"/>
      <c r="P4063" s="285"/>
      <c r="Q4063" s="258"/>
      <c r="R4063" s="260"/>
      <c r="S4063" s="260"/>
      <c r="T4063" s="285"/>
      <c r="U4063" s="260"/>
      <c r="V4063" s="260"/>
      <c r="W4063" s="255"/>
      <c r="X4063" s="260"/>
      <c r="Y4063" s="260"/>
      <c r="Z4063" s="255"/>
      <c r="AA4063" s="260"/>
      <c r="AB4063" s="260"/>
      <c r="AC4063" s="255"/>
      <c r="AD4063"/>
      <c r="AE4063"/>
      <c r="AF4063"/>
      <c r="AG4063"/>
    </row>
    <row r="4064" spans="14:33" ht="12" hidden="1" customHeight="1">
      <c r="N4064" s="302"/>
      <c r="O4064" s="303"/>
      <c r="P4064" s="285"/>
      <c r="Q4064" s="258"/>
      <c r="R4064" s="260"/>
      <c r="S4064" s="260"/>
      <c r="T4064" s="285"/>
      <c r="U4064" s="260"/>
      <c r="V4064" s="260"/>
      <c r="W4064" s="255"/>
      <c r="X4064" s="260"/>
      <c r="Y4064" s="260"/>
      <c r="Z4064" s="255"/>
      <c r="AA4064" s="260"/>
      <c r="AB4064" s="260"/>
      <c r="AC4064" s="255"/>
      <c r="AD4064"/>
      <c r="AE4064"/>
      <c r="AF4064"/>
      <c r="AG4064"/>
    </row>
    <row r="4065" spans="14:33" hidden="1">
      <c r="N4065" s="302"/>
      <c r="O4065" s="303"/>
      <c r="P4065" s="285"/>
      <c r="Q4065" s="258"/>
      <c r="R4065" s="260"/>
      <c r="S4065" s="260"/>
      <c r="T4065" s="285"/>
      <c r="U4065" s="260"/>
      <c r="V4065" s="260"/>
      <c r="W4065" s="255"/>
      <c r="X4065" s="260"/>
      <c r="Y4065" s="260"/>
      <c r="Z4065" s="255"/>
      <c r="AA4065" s="260"/>
      <c r="AB4065" s="260"/>
      <c r="AC4065" s="255"/>
      <c r="AD4065"/>
      <c r="AE4065"/>
      <c r="AF4065"/>
      <c r="AG4065"/>
    </row>
    <row r="4066" spans="14:33" hidden="1">
      <c r="N4066" s="302"/>
      <c r="O4066" s="303"/>
      <c r="P4066" s="285"/>
      <c r="Q4066" s="258"/>
      <c r="R4066" s="260"/>
      <c r="S4066" s="260"/>
      <c r="T4066" s="285"/>
      <c r="U4066" s="260"/>
      <c r="V4066" s="260"/>
      <c r="W4066" s="255"/>
      <c r="X4066" s="260"/>
      <c r="Y4066" s="260"/>
      <c r="Z4066" s="255"/>
      <c r="AA4066" s="260"/>
      <c r="AB4066" s="260"/>
      <c r="AC4066" s="255"/>
      <c r="AD4066"/>
      <c r="AE4066"/>
      <c r="AF4066"/>
      <c r="AG4066"/>
    </row>
    <row r="4067" spans="14:33" hidden="1">
      <c r="N4067" s="302"/>
      <c r="O4067" s="303"/>
      <c r="P4067" s="285"/>
      <c r="Q4067" s="258"/>
      <c r="R4067" s="260"/>
      <c r="S4067" s="260"/>
      <c r="T4067" s="285"/>
      <c r="U4067" s="260"/>
      <c r="V4067" s="260"/>
      <c r="W4067" s="255"/>
      <c r="X4067" s="260"/>
      <c r="Y4067" s="260"/>
      <c r="Z4067" s="255"/>
      <c r="AA4067" s="260"/>
      <c r="AB4067" s="260"/>
      <c r="AC4067" s="255"/>
      <c r="AD4067"/>
      <c r="AE4067"/>
      <c r="AF4067"/>
      <c r="AG4067"/>
    </row>
    <row r="4068" spans="14:33" hidden="1">
      <c r="N4068" s="302"/>
      <c r="O4068" s="303"/>
      <c r="P4068" s="285"/>
      <c r="Q4068" s="258"/>
      <c r="R4068" s="260"/>
      <c r="S4068" s="260"/>
      <c r="T4068" s="285"/>
      <c r="U4068" s="260"/>
      <c r="V4068" s="260"/>
      <c r="W4068" s="255"/>
      <c r="X4068" s="260"/>
      <c r="Y4068" s="260"/>
      <c r="Z4068" s="255"/>
      <c r="AA4068" s="260"/>
      <c r="AB4068" s="260"/>
      <c r="AC4068" s="255"/>
      <c r="AD4068"/>
      <c r="AE4068"/>
      <c r="AF4068"/>
      <c r="AG4068"/>
    </row>
    <row r="4069" spans="14:33" hidden="1">
      <c r="N4069" s="302"/>
      <c r="O4069" s="303"/>
      <c r="P4069" s="285"/>
      <c r="Q4069" s="258"/>
      <c r="R4069" s="260"/>
      <c r="S4069" s="260"/>
      <c r="T4069" s="285"/>
      <c r="U4069" s="260"/>
      <c r="V4069" s="260"/>
      <c r="W4069" s="255"/>
      <c r="X4069" s="260"/>
      <c r="Y4069" s="260"/>
      <c r="Z4069" s="255"/>
      <c r="AA4069" s="260"/>
      <c r="AB4069" s="260"/>
      <c r="AC4069" s="255"/>
      <c r="AD4069"/>
      <c r="AE4069"/>
      <c r="AF4069"/>
      <c r="AG4069"/>
    </row>
    <row r="4070" spans="14:33" hidden="1">
      <c r="N4070" s="302"/>
      <c r="O4070" s="303"/>
      <c r="P4070" s="285"/>
      <c r="Q4070" s="258"/>
      <c r="R4070" s="260"/>
      <c r="S4070" s="260"/>
      <c r="T4070" s="285"/>
      <c r="U4070" s="260"/>
      <c r="V4070" s="260"/>
      <c r="W4070" s="255"/>
      <c r="X4070" s="260"/>
      <c r="Y4070" s="260"/>
      <c r="Z4070" s="255"/>
      <c r="AA4070" s="260"/>
      <c r="AB4070" s="260"/>
      <c r="AC4070" s="255"/>
      <c r="AD4070"/>
      <c r="AE4070"/>
      <c r="AF4070"/>
      <c r="AG4070"/>
    </row>
    <row r="4071" spans="14:33" hidden="1">
      <c r="N4071" s="302"/>
      <c r="O4071" s="303"/>
      <c r="P4071" s="285"/>
      <c r="Q4071" s="258"/>
      <c r="R4071" s="260"/>
      <c r="S4071" s="260"/>
      <c r="T4071" s="285"/>
      <c r="U4071" s="260"/>
      <c r="V4071" s="260"/>
      <c r="W4071" s="255"/>
      <c r="X4071" s="260"/>
      <c r="Y4071" s="260"/>
      <c r="Z4071" s="255"/>
      <c r="AA4071" s="260"/>
      <c r="AB4071" s="260"/>
      <c r="AC4071" s="255"/>
      <c r="AD4071"/>
      <c r="AE4071"/>
      <c r="AF4071"/>
      <c r="AG4071"/>
    </row>
    <row r="4072" spans="14:33" hidden="1">
      <c r="N4072" s="283"/>
      <c r="O4072" s="284"/>
      <c r="P4072" s="285"/>
      <c r="Q4072" s="258"/>
      <c r="R4072" s="260"/>
      <c r="S4072" s="260"/>
      <c r="T4072" s="285"/>
      <c r="U4072" s="260"/>
      <c r="V4072" s="260"/>
      <c r="W4072" s="255"/>
      <c r="X4072" s="260"/>
      <c r="Y4072" s="260"/>
      <c r="Z4072" s="255"/>
      <c r="AA4072" s="260"/>
      <c r="AB4072" s="260"/>
      <c r="AC4072" s="255"/>
      <c r="AD4072"/>
      <c r="AE4072"/>
      <c r="AF4072"/>
      <c r="AG4072"/>
    </row>
    <row r="4073" spans="14:33" hidden="1">
      <c r="N4073" s="283"/>
      <c r="O4073" s="284"/>
      <c r="P4073" s="285"/>
      <c r="Q4073" s="258"/>
      <c r="R4073" s="260"/>
      <c r="S4073" s="260"/>
      <c r="T4073" s="285"/>
      <c r="U4073" s="260"/>
      <c r="V4073" s="260"/>
      <c r="W4073" s="255"/>
      <c r="X4073" s="260"/>
      <c r="Y4073" s="260"/>
      <c r="Z4073" s="255"/>
      <c r="AA4073" s="260"/>
      <c r="AB4073" s="260"/>
      <c r="AC4073" s="255"/>
      <c r="AD4073"/>
      <c r="AE4073"/>
      <c r="AF4073"/>
      <c r="AG4073"/>
    </row>
    <row r="4074" spans="14:33" hidden="1">
      <c r="N4074" s="283"/>
      <c r="O4074" s="284"/>
      <c r="P4074" s="285"/>
      <c r="Q4074" s="258"/>
      <c r="R4074" s="260"/>
      <c r="S4074" s="260"/>
      <c r="T4074" s="285"/>
      <c r="U4074" s="260"/>
      <c r="V4074" s="260"/>
      <c r="W4074" s="255"/>
      <c r="X4074" s="260"/>
      <c r="Y4074" s="260"/>
      <c r="Z4074" s="255"/>
      <c r="AA4074" s="260"/>
      <c r="AB4074" s="260"/>
      <c r="AC4074" s="255"/>
      <c r="AD4074"/>
      <c r="AE4074"/>
      <c r="AF4074"/>
      <c r="AG4074"/>
    </row>
    <row r="4075" spans="14:33" hidden="1">
      <c r="N4075" s="283"/>
      <c r="O4075" s="284"/>
      <c r="P4075" s="285"/>
      <c r="Q4075" s="258"/>
      <c r="R4075" s="260"/>
      <c r="S4075" s="260"/>
      <c r="T4075" s="285"/>
      <c r="U4075" s="260"/>
      <c r="V4075" s="260"/>
      <c r="W4075" s="255"/>
      <c r="X4075" s="260"/>
      <c r="Y4075" s="260"/>
      <c r="Z4075" s="255"/>
      <c r="AA4075" s="260"/>
      <c r="AB4075" s="260"/>
      <c r="AC4075" s="255"/>
      <c r="AD4075"/>
      <c r="AE4075"/>
      <c r="AF4075"/>
      <c r="AG4075"/>
    </row>
    <row r="4076" spans="14:33" hidden="1">
      <c r="N4076" s="283"/>
      <c r="O4076" s="284"/>
      <c r="P4076" s="285"/>
      <c r="Q4076" s="258"/>
      <c r="R4076" s="260"/>
      <c r="S4076" s="260"/>
      <c r="T4076" s="285"/>
      <c r="U4076" s="260"/>
      <c r="V4076" s="260"/>
      <c r="W4076" s="255"/>
      <c r="X4076" s="260"/>
      <c r="Y4076" s="260"/>
      <c r="Z4076" s="255"/>
      <c r="AA4076" s="260"/>
      <c r="AB4076" s="260"/>
      <c r="AC4076" s="255"/>
      <c r="AD4076"/>
      <c r="AE4076"/>
      <c r="AF4076"/>
      <c r="AG4076"/>
    </row>
    <row r="4077" spans="14:33" hidden="1">
      <c r="N4077" s="283"/>
      <c r="O4077" s="284"/>
      <c r="P4077" s="285"/>
      <c r="Q4077" s="258"/>
      <c r="R4077" s="260"/>
      <c r="S4077" s="260"/>
      <c r="T4077" s="285"/>
      <c r="U4077" s="260"/>
      <c r="V4077" s="260"/>
      <c r="W4077" s="255"/>
      <c r="X4077" s="260"/>
      <c r="Y4077" s="260"/>
      <c r="Z4077" s="255"/>
      <c r="AA4077" s="260"/>
      <c r="AB4077" s="260"/>
      <c r="AC4077" s="255"/>
      <c r="AD4077"/>
      <c r="AE4077"/>
      <c r="AF4077"/>
      <c r="AG4077"/>
    </row>
    <row r="4078" spans="14:33" hidden="1">
      <c r="N4078" s="283"/>
      <c r="O4078" s="284"/>
      <c r="P4078" s="285"/>
      <c r="Q4078" s="258"/>
      <c r="R4078" s="260"/>
      <c r="S4078" s="260"/>
      <c r="T4078" s="285"/>
      <c r="U4078" s="260"/>
      <c r="V4078" s="260"/>
      <c r="W4078" s="255"/>
      <c r="X4078" s="260"/>
      <c r="Y4078" s="260"/>
      <c r="Z4078" s="255"/>
      <c r="AA4078" s="260"/>
      <c r="AB4078" s="260"/>
      <c r="AC4078" s="255"/>
      <c r="AD4078"/>
      <c r="AE4078"/>
      <c r="AF4078"/>
      <c r="AG4078"/>
    </row>
    <row r="4079" spans="14:33" hidden="1">
      <c r="N4079" s="283"/>
      <c r="O4079" s="284"/>
      <c r="P4079" s="285"/>
      <c r="Q4079" s="258"/>
      <c r="R4079" s="260"/>
      <c r="S4079" s="260"/>
      <c r="T4079" s="285"/>
      <c r="U4079" s="260"/>
      <c r="V4079" s="260"/>
      <c r="W4079" s="255"/>
      <c r="X4079" s="260"/>
      <c r="Y4079" s="260"/>
      <c r="Z4079" s="255"/>
      <c r="AA4079" s="260"/>
      <c r="AB4079" s="260"/>
      <c r="AC4079" s="255"/>
      <c r="AD4079"/>
      <c r="AE4079"/>
      <c r="AF4079"/>
      <c r="AG4079"/>
    </row>
    <row r="4080" spans="14:33" hidden="1">
      <c r="N4080" s="283"/>
      <c r="O4080" s="284"/>
      <c r="P4080" s="285"/>
      <c r="Q4080" s="258"/>
      <c r="R4080" s="260"/>
      <c r="S4080" s="260"/>
      <c r="T4080" s="285"/>
      <c r="U4080" s="260"/>
      <c r="V4080" s="260"/>
      <c r="W4080" s="255"/>
      <c r="X4080" s="260"/>
      <c r="Y4080" s="260"/>
      <c r="Z4080" s="255"/>
      <c r="AA4080" s="260"/>
      <c r="AB4080" s="260"/>
      <c r="AC4080" s="255"/>
      <c r="AD4080"/>
      <c r="AE4080"/>
      <c r="AF4080"/>
      <c r="AG4080"/>
    </row>
    <row r="4081" spans="14:33">
      <c r="N4081" s="283"/>
      <c r="O4081" s="284"/>
      <c r="P4081" s="285"/>
      <c r="Q4081" s="258"/>
      <c r="R4081" s="260"/>
      <c r="S4081" s="260"/>
      <c r="T4081" s="285"/>
      <c r="U4081" s="260"/>
      <c r="V4081" s="260"/>
      <c r="W4081" s="255"/>
      <c r="X4081" s="260"/>
      <c r="Y4081" s="260"/>
      <c r="Z4081" s="255"/>
      <c r="AA4081" s="260"/>
      <c r="AB4081" s="260"/>
      <c r="AC4081" s="255"/>
      <c r="AD4081"/>
      <c r="AE4081"/>
      <c r="AF4081"/>
      <c r="AG4081"/>
    </row>
    <row r="4082" spans="14:33" ht="0.75" customHeight="1">
      <c r="N4082" s="283"/>
      <c r="O4082" s="215"/>
      <c r="P4082" s="286"/>
      <c r="Q4082" s="265"/>
      <c r="R4082" s="287"/>
      <c r="S4082" s="260"/>
      <c r="T4082" s="285"/>
      <c r="U4082" s="260"/>
      <c r="V4082" s="260"/>
      <c r="W4082" s="255"/>
      <c r="X4082" s="260"/>
      <c r="Y4082" s="260"/>
      <c r="Z4082" s="255"/>
      <c r="AA4082" s="260"/>
      <c r="AB4082" s="260"/>
      <c r="AC4082" s="260"/>
      <c r="AD4082"/>
      <c r="AE4082"/>
      <c r="AF4082"/>
      <c r="AG4082"/>
    </row>
    <row r="4083" spans="14:33" ht="11.25" customHeight="1">
      <c r="AD4083"/>
      <c r="AE4083"/>
      <c r="AF4083"/>
      <c r="AG4083"/>
    </row>
    <row r="4084" spans="14:33">
      <c r="AD4084"/>
      <c r="AE4084"/>
      <c r="AF4084"/>
      <c r="AG4084"/>
    </row>
    <row r="4085" spans="14:33">
      <c r="AD4085"/>
      <c r="AE4085"/>
      <c r="AF4085"/>
      <c r="AG4085"/>
    </row>
    <row r="4086" spans="14:33">
      <c r="AD4086"/>
      <c r="AE4086"/>
      <c r="AF4086"/>
      <c r="AG4086"/>
    </row>
    <row r="4087" spans="14:33">
      <c r="AD4087"/>
      <c r="AE4087"/>
      <c r="AF4087"/>
      <c r="AG4087"/>
    </row>
    <row r="4088" spans="14:33">
      <c r="AD4088"/>
      <c r="AE4088"/>
      <c r="AF4088"/>
      <c r="AG4088"/>
    </row>
    <row r="4089" spans="14:33">
      <c r="AD4089"/>
      <c r="AE4089"/>
      <c r="AF4089"/>
      <c r="AG4089"/>
    </row>
    <row r="4102" spans="1:33">
      <c r="Y4102" s="316"/>
      <c r="Z4102" s="316"/>
      <c r="AA4102" s="316"/>
      <c r="AB4102" s="316"/>
      <c r="AC4102" s="316"/>
      <c r="AF4102"/>
      <c r="AG4102"/>
    </row>
    <row r="4103" spans="1:33">
      <c r="Y4103" s="316"/>
      <c r="Z4103" s="316"/>
      <c r="AA4103" s="316"/>
      <c r="AB4103" s="316"/>
      <c r="AC4103" s="316"/>
      <c r="AF4103"/>
      <c r="AG4103"/>
    </row>
    <row r="4104" spans="1:33">
      <c r="O4104" s="60"/>
      <c r="R4104" s="815" t="s">
        <v>3078</v>
      </c>
      <c r="S4104" s="815"/>
      <c r="T4104" s="815"/>
      <c r="Y4104" s="316"/>
      <c r="Z4104" s="316"/>
      <c r="AA4104" s="316"/>
      <c r="AB4104" s="316"/>
      <c r="AC4104" s="316"/>
      <c r="AF4104"/>
      <c r="AG4104"/>
    </row>
    <row r="4105" spans="1:33">
      <c r="M4105" s="316"/>
      <c r="R4105" s="815" t="s">
        <v>3079</v>
      </c>
      <c r="S4105" s="815"/>
      <c r="T4105" s="815"/>
      <c r="U4105" s="815" t="s">
        <v>1894</v>
      </c>
      <c r="V4105" s="815"/>
      <c r="W4105" s="815"/>
      <c r="Y4105" s="316"/>
      <c r="Z4105" s="316"/>
      <c r="AA4105" s="815" t="s">
        <v>1891</v>
      </c>
      <c r="AB4105" s="815"/>
      <c r="AC4105" s="815"/>
      <c r="AF4105"/>
      <c r="AG4105"/>
    </row>
    <row r="4106" spans="1:33" customFormat="1" ht="11.25" customHeight="1">
      <c r="M4106" s="317"/>
      <c r="R4106" s="815" t="s">
        <v>3080</v>
      </c>
      <c r="S4106" s="815"/>
      <c r="T4106" s="815"/>
      <c r="U4106" s="815" t="s">
        <v>1895</v>
      </c>
      <c r="V4106" s="815"/>
      <c r="W4106" s="815"/>
      <c r="Y4106" s="317"/>
      <c r="Z4106" s="317"/>
      <c r="AA4106" s="815" t="s">
        <v>1892</v>
      </c>
      <c r="AB4106" s="815"/>
      <c r="AC4106" s="815"/>
    </row>
    <row r="4107" spans="1:33" customFormat="1" ht="11.25" customHeight="1">
      <c r="M4107" s="317"/>
      <c r="R4107" s="815" t="s">
        <v>3081</v>
      </c>
      <c r="S4107" s="815"/>
      <c r="T4107" s="815"/>
      <c r="U4107" s="815" t="s">
        <v>1896</v>
      </c>
      <c r="V4107" s="815"/>
      <c r="W4107" s="815"/>
      <c r="Y4107" s="317"/>
      <c r="Z4107" s="317"/>
      <c r="AA4107" s="815" t="s">
        <v>1893</v>
      </c>
      <c r="AB4107" s="815"/>
      <c r="AC4107" s="815"/>
    </row>
    <row r="4108" spans="1:33" customFormat="1">
      <c r="M4108" s="317"/>
      <c r="Q4108" s="317"/>
      <c r="R4108" s="626"/>
      <c r="S4108" s="626"/>
      <c r="T4108" s="626"/>
      <c r="U4108" s="626"/>
      <c r="V4108" s="626"/>
      <c r="W4108" s="626"/>
      <c r="X4108" s="626"/>
      <c r="Y4108" s="626"/>
      <c r="Z4108" s="626"/>
      <c r="AA4108" s="626"/>
      <c r="AB4108" s="626"/>
      <c r="AC4108" s="626"/>
    </row>
    <row r="4109" spans="1:33" s="314" customFormat="1" ht="12" customHeight="1">
      <c r="A4109"/>
      <c r="B4109"/>
      <c r="C4109"/>
      <c r="D4109"/>
      <c r="E4109"/>
      <c r="F4109"/>
      <c r="G4109"/>
      <c r="H4109"/>
      <c r="I4109"/>
      <c r="J4109"/>
      <c r="K4109"/>
      <c r="L4109"/>
      <c r="M4109" s="311"/>
      <c r="N4109" s="434"/>
      <c r="O4109" s="315"/>
      <c r="P4109" s="309"/>
      <c r="Q4109" s="311"/>
      <c r="R4109" s="624"/>
      <c r="S4109" s="624"/>
      <c r="T4109" s="624"/>
      <c r="U4109" s="624"/>
      <c r="V4109" s="624"/>
      <c r="W4109" s="624"/>
      <c r="X4109" s="627"/>
      <c r="Y4109" s="627"/>
      <c r="Z4109" s="628"/>
      <c r="AA4109" s="628"/>
      <c r="AB4109" s="628"/>
      <c r="AC4109" s="628"/>
      <c r="AF4109"/>
      <c r="AG4109"/>
    </row>
    <row r="4110" spans="1:33" s="47" customFormat="1" ht="12.75">
      <c r="A4110"/>
      <c r="B4110"/>
      <c r="C4110"/>
      <c r="D4110"/>
      <c r="E4110"/>
      <c r="F4110"/>
      <c r="G4110"/>
      <c r="H4110"/>
      <c r="I4110"/>
      <c r="J4110"/>
      <c r="K4110"/>
      <c r="L4110"/>
      <c r="M4110" s="200"/>
      <c r="N4110" s="817"/>
      <c r="O4110" s="818"/>
      <c r="P4110" s="818"/>
      <c r="Q4110" s="317"/>
      <c r="R4110" s="625" t="str">
        <f>R4112 &amp; ".1"</f>
        <v>.1</v>
      </c>
      <c r="S4110" s="625" t="str">
        <f>R4112 &amp; ".2"</f>
        <v>.2</v>
      </c>
      <c r="T4110" s="625" t="str">
        <f>R4112 &amp; ".0"</f>
        <v>.0</v>
      </c>
      <c r="U4110" s="625" t="str">
        <f>U4112 &amp; ".1"</f>
        <v>.1</v>
      </c>
      <c r="V4110" s="625" t="str">
        <f>U4112 &amp; ".2"</f>
        <v>.2</v>
      </c>
      <c r="W4110" s="625" t="str">
        <f>U4112 &amp; ".0"</f>
        <v>.0</v>
      </c>
      <c r="X4110" s="627"/>
      <c r="Y4110" s="627"/>
      <c r="Z4110" s="628"/>
      <c r="AA4110" s="625" t="str">
        <f>AA4112 &amp; ".1"</f>
        <v>.1</v>
      </c>
      <c r="AB4110" s="625" t="str">
        <f>AA4112 &amp; ".2"</f>
        <v>.2</v>
      </c>
      <c r="AC4110" s="625" t="str">
        <f>AA4112 &amp; ".0"</f>
        <v>.0</v>
      </c>
      <c r="AD4110" s="314"/>
      <c r="AE4110" s="314"/>
      <c r="AF4110"/>
      <c r="AG4110"/>
    </row>
    <row r="4111" spans="1:33" s="200" customFormat="1" ht="12" customHeight="1">
      <c r="A4111"/>
      <c r="B4111"/>
      <c r="C4111"/>
      <c r="D4111"/>
      <c r="E4111"/>
      <c r="F4111"/>
      <c r="G4111"/>
      <c r="H4111"/>
      <c r="I4111"/>
      <c r="J4111"/>
      <c r="K4111"/>
      <c r="L4111"/>
      <c r="N4111" s="430" t="s">
        <v>1742</v>
      </c>
      <c r="O4111" s="209"/>
      <c r="P4111" s="214"/>
      <c r="Q4111" s="201"/>
      <c r="R4111" s="814" t="s">
        <v>719</v>
      </c>
      <c r="S4111" s="814"/>
      <c r="T4111" s="814"/>
      <c r="U4111" s="814" t="s">
        <v>719</v>
      </c>
      <c r="V4111" s="814"/>
      <c r="W4111" s="814"/>
      <c r="X4111" s="168" t="s">
        <v>720</v>
      </c>
      <c r="AA4111" s="814" t="s">
        <v>719</v>
      </c>
      <c r="AB4111" s="814"/>
      <c r="AC4111" s="814"/>
      <c r="AF4111"/>
      <c r="AG4111"/>
    </row>
    <row r="4112" spans="1:33" s="47" customFormat="1" ht="12" customHeight="1">
      <c r="A4112"/>
      <c r="B4112"/>
      <c r="C4112"/>
      <c r="D4112"/>
      <c r="E4112"/>
      <c r="F4112"/>
      <c r="G4112"/>
      <c r="H4112"/>
      <c r="I4112"/>
      <c r="J4112"/>
      <c r="K4112"/>
      <c r="L4112"/>
      <c r="M4112" s="50"/>
      <c r="N4112" s="802" t="s">
        <v>641</v>
      </c>
      <c r="O4112" s="804" t="s">
        <v>787</v>
      </c>
      <c r="P4112" s="821" t="s">
        <v>284</v>
      </c>
      <c r="Q4112" s="206">
        <v>0</v>
      </c>
      <c r="R4112" s="808"/>
      <c r="S4112" s="809"/>
      <c r="T4112" s="810"/>
      <c r="U4112" s="808"/>
      <c r="V4112" s="809"/>
      <c r="W4112" s="810"/>
      <c r="X4112" s="206"/>
      <c r="Y4112" s="203"/>
      <c r="Z4112" s="48"/>
      <c r="AA4112" s="808"/>
      <c r="AB4112" s="809"/>
      <c r="AC4112" s="810"/>
      <c r="AF4112"/>
      <c r="AG4112"/>
    </row>
    <row r="4113" spans="1:33" s="47" customFormat="1">
      <c r="A4113"/>
      <c r="B4113"/>
      <c r="C4113"/>
      <c r="D4113"/>
      <c r="E4113"/>
      <c r="F4113"/>
      <c r="G4113"/>
      <c r="H4113"/>
      <c r="I4113"/>
      <c r="J4113"/>
      <c r="K4113"/>
      <c r="L4113"/>
      <c r="M4113" s="50"/>
      <c r="N4113" s="802"/>
      <c r="O4113" s="804"/>
      <c r="P4113" s="804"/>
      <c r="Q4113" s="207"/>
      <c r="R4113" s="796"/>
      <c r="S4113" s="797"/>
      <c r="T4113" s="798"/>
      <c r="U4113" s="796"/>
      <c r="V4113" s="797"/>
      <c r="W4113" s="798"/>
      <c r="X4113" s="207"/>
      <c r="Y4113" s="203"/>
      <c r="Z4113" s="48"/>
      <c r="AA4113" s="796"/>
      <c r="AB4113" s="797"/>
      <c r="AC4113" s="798"/>
      <c r="AF4113"/>
      <c r="AG4113"/>
    </row>
    <row r="4114" spans="1:33" s="121" customFormat="1">
      <c r="A4114"/>
      <c r="B4114"/>
      <c r="C4114"/>
      <c r="D4114"/>
      <c r="E4114"/>
      <c r="F4114"/>
      <c r="G4114"/>
      <c r="H4114"/>
      <c r="I4114"/>
      <c r="J4114"/>
      <c r="K4114"/>
      <c r="L4114"/>
      <c r="M4114" s="50"/>
      <c r="N4114" s="256"/>
      <c r="O4114" s="256"/>
      <c r="P4114" s="253"/>
      <c r="Q4114" s="207"/>
      <c r="R4114" s="796"/>
      <c r="S4114" s="797"/>
      <c r="T4114" s="798"/>
      <c r="U4114" s="796"/>
      <c r="V4114" s="797"/>
      <c r="W4114" s="798"/>
      <c r="X4114" s="207"/>
      <c r="Y4114" s="202"/>
      <c r="Z4114" s="318"/>
      <c r="AA4114" s="796"/>
      <c r="AB4114" s="797"/>
      <c r="AC4114" s="798"/>
      <c r="AF4114"/>
      <c r="AG4114"/>
    </row>
    <row r="4115" spans="1:33" s="121" customFormat="1">
      <c r="A4115"/>
      <c r="B4115"/>
      <c r="C4115"/>
      <c r="D4115"/>
      <c r="E4115"/>
      <c r="F4115"/>
      <c r="G4115"/>
      <c r="H4115"/>
      <c r="I4115"/>
      <c r="J4115"/>
      <c r="K4115"/>
      <c r="L4115"/>
      <c r="M4115" s="50"/>
      <c r="N4115" s="256"/>
      <c r="O4115" s="256"/>
      <c r="P4115" s="253"/>
      <c r="Q4115" s="207"/>
      <c r="R4115" s="796"/>
      <c r="S4115" s="797"/>
      <c r="T4115" s="798"/>
      <c r="U4115" s="796"/>
      <c r="V4115" s="797"/>
      <c r="W4115" s="798"/>
      <c r="X4115" s="207"/>
      <c r="Y4115" s="202"/>
      <c r="Z4115" s="318"/>
      <c r="AA4115" s="796"/>
      <c r="AB4115" s="797"/>
      <c r="AC4115" s="798"/>
      <c r="AF4115"/>
      <c r="AG4115"/>
    </row>
    <row r="4116" spans="1:33" s="121" customFormat="1">
      <c r="A4116"/>
      <c r="B4116"/>
      <c r="C4116"/>
      <c r="D4116"/>
      <c r="E4116"/>
      <c r="F4116"/>
      <c r="G4116"/>
      <c r="H4116"/>
      <c r="I4116"/>
      <c r="J4116"/>
      <c r="K4116"/>
      <c r="L4116"/>
      <c r="M4116" s="50"/>
      <c r="N4116" s="256"/>
      <c r="O4116" s="256"/>
      <c r="P4116" s="253"/>
      <c r="Q4116" s="207"/>
      <c r="R4116" s="252"/>
      <c r="S4116" s="252"/>
      <c r="T4116" s="252"/>
      <c r="U4116" s="252"/>
      <c r="V4116" s="252"/>
      <c r="W4116" s="252"/>
      <c r="X4116" s="207"/>
      <c r="Y4116" s="202"/>
      <c r="Z4116" s="318"/>
      <c r="AA4116" s="252"/>
      <c r="AB4116" s="252"/>
      <c r="AC4116" s="252"/>
      <c r="AF4116"/>
      <c r="AG4116"/>
    </row>
    <row r="4117" spans="1:33" s="121" customFormat="1" ht="11.25" hidden="1" customHeight="1">
      <c r="A4117"/>
      <c r="B4117"/>
      <c r="C4117"/>
      <c r="D4117"/>
      <c r="E4117"/>
      <c r="F4117"/>
      <c r="G4117"/>
      <c r="H4117"/>
      <c r="I4117"/>
      <c r="J4117"/>
      <c r="K4117"/>
      <c r="L4117"/>
      <c r="M4117" s="50"/>
      <c r="N4117" s="256"/>
      <c r="O4117" s="256"/>
      <c r="P4117" s="253"/>
      <c r="Q4117" s="207"/>
      <c r="R4117" s="252"/>
      <c r="S4117" s="252"/>
      <c r="T4117" s="252"/>
      <c r="U4117" s="252"/>
      <c r="V4117" s="252"/>
      <c r="W4117" s="252"/>
      <c r="X4117" s="207"/>
      <c r="Y4117" s="202"/>
      <c r="Z4117" s="318"/>
      <c r="AA4117" s="252"/>
      <c r="AB4117" s="252"/>
      <c r="AC4117" s="252"/>
      <c r="AF4117"/>
      <c r="AG4117"/>
    </row>
    <row r="4118" spans="1:33" s="121" customFormat="1" ht="11.25" hidden="1" customHeight="1">
      <c r="A4118"/>
      <c r="B4118"/>
      <c r="C4118"/>
      <c r="D4118"/>
      <c r="E4118"/>
      <c r="F4118"/>
      <c r="G4118"/>
      <c r="H4118"/>
      <c r="I4118"/>
      <c r="J4118"/>
      <c r="K4118"/>
      <c r="L4118"/>
      <c r="M4118" s="50"/>
      <c r="N4118" s="256"/>
      <c r="O4118" s="256"/>
      <c r="P4118" s="253"/>
      <c r="Q4118" s="207"/>
      <c r="R4118" s="252"/>
      <c r="S4118" s="252"/>
      <c r="T4118" s="252"/>
      <c r="U4118" s="252"/>
      <c r="V4118" s="252"/>
      <c r="W4118" s="252"/>
      <c r="X4118" s="207"/>
      <c r="Y4118" s="202"/>
      <c r="Z4118" s="318"/>
      <c r="AA4118" s="252"/>
      <c r="AB4118" s="252"/>
      <c r="AC4118" s="252"/>
      <c r="AF4118"/>
      <c r="AG4118"/>
    </row>
    <row r="4119" spans="1:33" s="121" customFormat="1" ht="11.25" hidden="1" customHeight="1">
      <c r="A4119"/>
      <c r="B4119"/>
      <c r="C4119"/>
      <c r="D4119"/>
      <c r="E4119"/>
      <c r="F4119"/>
      <c r="G4119"/>
      <c r="H4119"/>
      <c r="I4119"/>
      <c r="J4119"/>
      <c r="K4119"/>
      <c r="L4119"/>
      <c r="M4119" s="50"/>
      <c r="N4119" s="256"/>
      <c r="O4119" s="256"/>
      <c r="P4119" s="253"/>
      <c r="Q4119" s="207"/>
      <c r="R4119" s="252"/>
      <c r="S4119" s="252"/>
      <c r="T4119" s="252"/>
      <c r="U4119" s="252"/>
      <c r="V4119" s="252"/>
      <c r="W4119" s="252"/>
      <c r="X4119" s="207"/>
      <c r="Y4119" s="202"/>
      <c r="Z4119" s="318"/>
      <c r="AA4119" s="252"/>
      <c r="AB4119" s="252"/>
      <c r="AC4119" s="252"/>
      <c r="AF4119"/>
      <c r="AG4119"/>
    </row>
    <row r="4120" spans="1:33" s="121" customFormat="1" ht="11.25" hidden="1" customHeight="1">
      <c r="A4120"/>
      <c r="B4120"/>
      <c r="C4120"/>
      <c r="D4120"/>
      <c r="E4120"/>
      <c r="F4120"/>
      <c r="G4120"/>
      <c r="H4120"/>
      <c r="I4120"/>
      <c r="J4120"/>
      <c r="K4120"/>
      <c r="L4120"/>
      <c r="M4120" s="50"/>
      <c r="N4120" s="256"/>
      <c r="O4120" s="256"/>
      <c r="P4120" s="253"/>
      <c r="Q4120" s="207"/>
      <c r="R4120" s="252"/>
      <c r="S4120" s="252"/>
      <c r="T4120" s="252"/>
      <c r="U4120" s="252"/>
      <c r="V4120" s="252"/>
      <c r="W4120" s="252"/>
      <c r="X4120" s="207"/>
      <c r="Y4120" s="202"/>
      <c r="Z4120" s="318"/>
      <c r="AA4120" s="252"/>
      <c r="AB4120" s="252"/>
      <c r="AC4120" s="252"/>
      <c r="AF4120"/>
      <c r="AG4120"/>
    </row>
    <row r="4121" spans="1:33" s="121" customFormat="1" ht="11.25" hidden="1" customHeight="1">
      <c r="A4121"/>
      <c r="B4121"/>
      <c r="C4121"/>
      <c r="D4121"/>
      <c r="E4121"/>
      <c r="F4121"/>
      <c r="G4121"/>
      <c r="H4121"/>
      <c r="I4121"/>
      <c r="J4121"/>
      <c r="K4121"/>
      <c r="L4121"/>
      <c r="M4121" s="50"/>
      <c r="N4121" s="256"/>
      <c r="O4121" s="256"/>
      <c r="P4121" s="253"/>
      <c r="Q4121" s="207"/>
      <c r="R4121" s="252"/>
      <c r="S4121" s="252"/>
      <c r="T4121" s="252"/>
      <c r="U4121" s="252"/>
      <c r="V4121" s="252"/>
      <c r="W4121" s="252"/>
      <c r="X4121" s="207"/>
      <c r="Y4121" s="202"/>
      <c r="Z4121" s="318"/>
      <c r="AA4121" s="252"/>
      <c r="AB4121" s="252"/>
      <c r="AC4121" s="252"/>
      <c r="AF4121"/>
      <c r="AG4121"/>
    </row>
    <row r="4122" spans="1:33" s="121" customFormat="1" ht="11.25" hidden="1" customHeight="1">
      <c r="A4122"/>
      <c r="B4122"/>
      <c r="C4122"/>
      <c r="D4122"/>
      <c r="E4122"/>
      <c r="F4122"/>
      <c r="G4122"/>
      <c r="H4122"/>
      <c r="I4122"/>
      <c r="J4122"/>
      <c r="K4122"/>
      <c r="L4122"/>
      <c r="M4122" s="50"/>
      <c r="N4122" s="256"/>
      <c r="O4122" s="256"/>
      <c r="P4122" s="253"/>
      <c r="Q4122" s="207"/>
      <c r="R4122" s="252"/>
      <c r="S4122" s="252"/>
      <c r="T4122" s="252"/>
      <c r="U4122" s="252"/>
      <c r="V4122" s="252"/>
      <c r="W4122" s="252"/>
      <c r="X4122" s="207"/>
      <c r="Y4122" s="202"/>
      <c r="Z4122" s="318"/>
      <c r="AA4122" s="252"/>
      <c r="AB4122" s="252"/>
      <c r="AC4122" s="252"/>
      <c r="AF4122"/>
      <c r="AG4122"/>
    </row>
    <row r="4123" spans="1:33" s="121" customFormat="1" ht="11.25" hidden="1" customHeight="1">
      <c r="A4123"/>
      <c r="B4123"/>
      <c r="C4123"/>
      <c r="D4123"/>
      <c r="E4123"/>
      <c r="F4123"/>
      <c r="G4123"/>
      <c r="H4123"/>
      <c r="I4123"/>
      <c r="J4123"/>
      <c r="K4123"/>
      <c r="L4123"/>
      <c r="M4123" s="50"/>
      <c r="N4123" s="256"/>
      <c r="O4123" s="256"/>
      <c r="P4123" s="253"/>
      <c r="Q4123" s="207"/>
      <c r="R4123" s="252"/>
      <c r="S4123" s="252"/>
      <c r="T4123" s="252"/>
      <c r="U4123" s="252"/>
      <c r="V4123" s="252"/>
      <c r="W4123" s="252"/>
      <c r="X4123" s="207"/>
      <c r="Y4123" s="202"/>
      <c r="Z4123" s="318"/>
      <c r="AA4123" s="252"/>
      <c r="AB4123" s="252"/>
      <c r="AC4123" s="252"/>
      <c r="AF4123"/>
      <c r="AG4123"/>
    </row>
    <row r="4124" spans="1:33" s="121" customFormat="1" ht="11.25" hidden="1" customHeight="1">
      <c r="A4124"/>
      <c r="B4124"/>
      <c r="C4124"/>
      <c r="D4124"/>
      <c r="E4124"/>
      <c r="F4124"/>
      <c r="G4124"/>
      <c r="H4124"/>
      <c r="I4124"/>
      <c r="J4124"/>
      <c r="K4124"/>
      <c r="L4124"/>
      <c r="M4124" s="50"/>
      <c r="N4124" s="256"/>
      <c r="O4124" s="256"/>
      <c r="P4124" s="253"/>
      <c r="Q4124" s="207"/>
      <c r="R4124" s="252"/>
      <c r="S4124" s="252"/>
      <c r="T4124" s="252"/>
      <c r="U4124" s="252"/>
      <c r="V4124" s="252"/>
      <c r="W4124" s="252"/>
      <c r="X4124" s="207"/>
      <c r="Y4124" s="202"/>
      <c r="Z4124" s="318"/>
      <c r="AA4124" s="252"/>
      <c r="AB4124" s="252"/>
      <c r="AC4124" s="252"/>
      <c r="AF4124"/>
      <c r="AG4124"/>
    </row>
    <row r="4125" spans="1:33" s="121" customFormat="1" ht="11.25" hidden="1" customHeight="1">
      <c r="A4125"/>
      <c r="B4125"/>
      <c r="C4125"/>
      <c r="D4125"/>
      <c r="E4125"/>
      <c r="F4125"/>
      <c r="G4125"/>
      <c r="H4125"/>
      <c r="I4125"/>
      <c r="J4125"/>
      <c r="K4125"/>
      <c r="L4125"/>
      <c r="M4125" s="50"/>
      <c r="N4125" s="256"/>
      <c r="O4125" s="256"/>
      <c r="P4125" s="253"/>
      <c r="Q4125" s="207"/>
      <c r="R4125" s="252"/>
      <c r="S4125" s="252"/>
      <c r="T4125" s="252"/>
      <c r="U4125" s="252"/>
      <c r="V4125" s="252"/>
      <c r="W4125" s="252"/>
      <c r="X4125" s="207"/>
      <c r="Y4125" s="202"/>
      <c r="Z4125" s="318"/>
      <c r="AA4125" s="252"/>
      <c r="AB4125" s="252"/>
      <c r="AC4125" s="252"/>
      <c r="AF4125"/>
      <c r="AG4125"/>
    </row>
    <row r="4126" spans="1:33" s="121" customFormat="1" ht="11.25" hidden="1" customHeight="1">
      <c r="A4126"/>
      <c r="B4126"/>
      <c r="C4126"/>
      <c r="D4126"/>
      <c r="E4126"/>
      <c r="F4126"/>
      <c r="G4126"/>
      <c r="H4126"/>
      <c r="I4126"/>
      <c r="J4126"/>
      <c r="K4126"/>
      <c r="L4126"/>
      <c r="M4126" s="50"/>
      <c r="N4126" s="256"/>
      <c r="O4126" s="256"/>
      <c r="P4126" s="253"/>
      <c r="Q4126" s="207"/>
      <c r="R4126" s="252"/>
      <c r="S4126" s="252"/>
      <c r="T4126" s="252"/>
      <c r="U4126" s="252"/>
      <c r="V4126" s="252"/>
      <c r="W4126" s="252"/>
      <c r="X4126" s="207"/>
      <c r="Y4126" s="202"/>
      <c r="Z4126" s="318"/>
      <c r="AA4126" s="252"/>
      <c r="AB4126" s="252"/>
      <c r="AC4126" s="252"/>
      <c r="AF4126"/>
      <c r="AG4126"/>
    </row>
    <row r="4127" spans="1:33" s="121" customFormat="1">
      <c r="A4127"/>
      <c r="B4127"/>
      <c r="C4127"/>
      <c r="D4127"/>
      <c r="E4127"/>
      <c r="F4127"/>
      <c r="G4127"/>
      <c r="H4127"/>
      <c r="I4127"/>
      <c r="J4127"/>
      <c r="K4127"/>
      <c r="L4127"/>
      <c r="M4127" s="50"/>
      <c r="N4127" s="256"/>
      <c r="O4127" s="256"/>
      <c r="P4127" s="253"/>
      <c r="Q4127" s="207"/>
      <c r="R4127" s="252"/>
      <c r="S4127" s="252"/>
      <c r="T4127" s="252"/>
      <c r="U4127" s="252"/>
      <c r="V4127" s="252"/>
      <c r="W4127" s="252"/>
      <c r="X4127" s="207"/>
      <c r="Y4127" s="202"/>
      <c r="Z4127" s="318"/>
      <c r="AA4127" s="252"/>
      <c r="AB4127" s="252"/>
      <c r="AC4127" s="252"/>
      <c r="AF4127"/>
      <c r="AG4127"/>
    </row>
    <row r="4128" spans="1:33" s="47" customFormat="1" ht="22.5">
      <c r="A4128"/>
      <c r="B4128"/>
      <c r="C4128"/>
      <c r="D4128"/>
      <c r="E4128"/>
      <c r="F4128"/>
      <c r="G4128"/>
      <c r="H4128"/>
      <c r="I4128"/>
      <c r="J4128"/>
      <c r="K4128"/>
      <c r="L4128"/>
      <c r="M4128" s="820"/>
      <c r="N4128" s="449" t="s">
        <v>753</v>
      </c>
      <c r="O4128" s="450" t="s">
        <v>211</v>
      </c>
      <c r="P4128" s="473" t="s">
        <v>786</v>
      </c>
      <c r="Q4128" s="258"/>
      <c r="R4128" s="259"/>
      <c r="S4128" s="259"/>
      <c r="T4128" s="452">
        <f>SUM(T4129:T4130,T4148:T4160)</f>
        <v>0</v>
      </c>
      <c r="U4128" s="252"/>
      <c r="V4128" s="252"/>
      <c r="W4128" s="452">
        <f>SUM(W4129:W4130,W4148:W4160)</f>
        <v>0</v>
      </c>
      <c r="X4128" s="258"/>
      <c r="Y4128" s="202"/>
      <c r="Z4128" s="48"/>
      <c r="AA4128" s="252"/>
      <c r="AB4128" s="252"/>
      <c r="AC4128" s="452">
        <f>SUM(AC4129:AC4130,AC4148:AC4160)</f>
        <v>0</v>
      </c>
      <c r="AF4128"/>
      <c r="AG4128"/>
    </row>
    <row r="4129" spans="1:33" s="47" customFormat="1">
      <c r="A4129"/>
      <c r="B4129"/>
      <c r="C4129"/>
      <c r="D4129"/>
      <c r="E4129"/>
      <c r="F4129"/>
      <c r="G4129"/>
      <c r="H4129"/>
      <c r="I4129"/>
      <c r="J4129"/>
      <c r="K4129"/>
      <c r="L4129"/>
      <c r="M4129" s="820"/>
      <c r="N4129" s="451" t="s">
        <v>766</v>
      </c>
      <c r="O4129" s="453" t="s">
        <v>78</v>
      </c>
      <c r="P4129" s="473" t="s">
        <v>786</v>
      </c>
      <c r="Q4129" s="258"/>
      <c r="R4129" s="259"/>
      <c r="S4129" s="259"/>
      <c r="T4129" s="260"/>
      <c r="U4129" s="252"/>
      <c r="V4129" s="252"/>
      <c r="W4129" s="452">
        <f>W4396+W4568+W4667+W4766</f>
        <v>0</v>
      </c>
      <c r="X4129" s="258"/>
      <c r="Y4129" s="202"/>
      <c r="Z4129" s="48"/>
      <c r="AA4129" s="252"/>
      <c r="AB4129" s="252"/>
      <c r="AC4129" s="452">
        <f>AC4396+AC4568+AC4667+AC4766</f>
        <v>0</v>
      </c>
      <c r="AF4129"/>
      <c r="AG4129"/>
    </row>
    <row r="4130" spans="1:33" s="47" customFormat="1">
      <c r="A4130"/>
      <c r="B4130"/>
      <c r="C4130"/>
      <c r="D4130"/>
      <c r="E4130"/>
      <c r="F4130"/>
      <c r="G4130"/>
      <c r="H4130"/>
      <c r="I4130"/>
      <c r="J4130"/>
      <c r="K4130"/>
      <c r="L4130"/>
      <c r="M4130" s="820"/>
      <c r="N4130" s="451" t="s">
        <v>768</v>
      </c>
      <c r="O4130" s="454" t="s">
        <v>212</v>
      </c>
      <c r="P4130" s="473" t="s">
        <v>786</v>
      </c>
      <c r="Q4130" s="258"/>
      <c r="R4130" s="259"/>
      <c r="S4130" s="259"/>
      <c r="T4130" s="260"/>
      <c r="U4130" s="252"/>
      <c r="V4130" s="252"/>
      <c r="W4130" s="452">
        <f>SUM(W4131:W4147)</f>
        <v>0</v>
      </c>
      <c r="X4130" s="258"/>
      <c r="Y4130" s="202"/>
      <c r="Z4130" s="48"/>
      <c r="AA4130" s="252"/>
      <c r="AB4130" s="252"/>
      <c r="AC4130" s="452">
        <f>SUM(AC4131:AC4147)</f>
        <v>0</v>
      </c>
      <c r="AF4130"/>
      <c r="AG4130"/>
    </row>
    <row r="4131" spans="1:33" s="47" customFormat="1">
      <c r="A4131"/>
      <c r="B4131"/>
      <c r="C4131"/>
      <c r="D4131"/>
      <c r="E4131"/>
      <c r="F4131"/>
      <c r="G4131"/>
      <c r="H4131"/>
      <c r="I4131"/>
      <c r="J4131"/>
      <c r="K4131"/>
      <c r="L4131"/>
      <c r="M4131" s="820"/>
      <c r="N4131" s="451" t="s">
        <v>132</v>
      </c>
      <c r="O4131" s="455" t="s">
        <v>79</v>
      </c>
      <c r="P4131" s="473" t="s">
        <v>786</v>
      </c>
      <c r="Q4131" s="258"/>
      <c r="R4131" s="259"/>
      <c r="S4131" s="259"/>
      <c r="T4131" s="260"/>
      <c r="U4131" s="252"/>
      <c r="V4131" s="252"/>
      <c r="W4131" s="452">
        <f>W4398+W4447+W4455+W4463</f>
        <v>0</v>
      </c>
      <c r="X4131" s="258"/>
      <c r="Y4131" s="202"/>
      <c r="Z4131" s="48"/>
      <c r="AA4131" s="252"/>
      <c r="AB4131" s="252"/>
      <c r="AC4131" s="452">
        <f>AC4398+AC4447+AC4455+AC4463</f>
        <v>0</v>
      </c>
      <c r="AF4131"/>
      <c r="AG4131"/>
    </row>
    <row r="4132" spans="1:33" s="47" customFormat="1" hidden="1">
      <c r="A4132"/>
      <c r="B4132"/>
      <c r="C4132"/>
      <c r="D4132"/>
      <c r="E4132"/>
      <c r="F4132"/>
      <c r="G4132"/>
      <c r="H4132"/>
      <c r="I4132"/>
      <c r="J4132"/>
      <c r="K4132"/>
      <c r="L4132"/>
      <c r="M4132" s="820"/>
      <c r="N4132" s="451"/>
      <c r="O4132" s="455"/>
      <c r="P4132" s="473"/>
      <c r="Q4132" s="258"/>
      <c r="R4132" s="259"/>
      <c r="S4132" s="259"/>
      <c r="T4132" s="260"/>
      <c r="U4132" s="252"/>
      <c r="V4132" s="252"/>
      <c r="W4132" s="456"/>
      <c r="X4132" s="258"/>
      <c r="Y4132" s="202"/>
      <c r="Z4132" s="48"/>
      <c r="AA4132" s="252"/>
      <c r="AB4132" s="252"/>
      <c r="AC4132" s="456"/>
      <c r="AF4132"/>
      <c r="AG4132"/>
    </row>
    <row r="4133" spans="1:33" s="47" customFormat="1" hidden="1">
      <c r="A4133"/>
      <c r="B4133"/>
      <c r="C4133"/>
      <c r="D4133"/>
      <c r="E4133"/>
      <c r="F4133"/>
      <c r="G4133"/>
      <c r="H4133"/>
      <c r="I4133"/>
      <c r="J4133"/>
      <c r="K4133"/>
      <c r="L4133"/>
      <c r="M4133" s="820"/>
      <c r="N4133" s="451"/>
      <c r="O4133" s="455"/>
      <c r="P4133" s="473"/>
      <c r="Q4133" s="258"/>
      <c r="R4133" s="259"/>
      <c r="S4133" s="259"/>
      <c r="T4133" s="260"/>
      <c r="U4133" s="252"/>
      <c r="V4133" s="252"/>
      <c r="W4133" s="456"/>
      <c r="X4133" s="258"/>
      <c r="Y4133" s="202"/>
      <c r="Z4133" s="48"/>
      <c r="AA4133" s="252"/>
      <c r="AB4133" s="252"/>
      <c r="AC4133" s="456"/>
      <c r="AF4133"/>
      <c r="AG4133"/>
    </row>
    <row r="4134" spans="1:33" s="47" customFormat="1" hidden="1">
      <c r="A4134"/>
      <c r="B4134"/>
      <c r="C4134"/>
      <c r="D4134"/>
      <c r="E4134"/>
      <c r="F4134"/>
      <c r="G4134"/>
      <c r="H4134"/>
      <c r="I4134"/>
      <c r="J4134"/>
      <c r="K4134"/>
      <c r="L4134"/>
      <c r="M4134" s="820"/>
      <c r="N4134" s="451"/>
      <c r="O4134" s="455"/>
      <c r="P4134" s="473"/>
      <c r="Q4134" s="258"/>
      <c r="R4134" s="259"/>
      <c r="S4134" s="259"/>
      <c r="T4134" s="260"/>
      <c r="U4134" s="252"/>
      <c r="V4134" s="252"/>
      <c r="W4134" s="456"/>
      <c r="X4134" s="258"/>
      <c r="Y4134" s="202"/>
      <c r="Z4134" s="48"/>
      <c r="AA4134" s="252"/>
      <c r="AB4134" s="252"/>
      <c r="AC4134" s="456"/>
      <c r="AF4134"/>
      <c r="AG4134"/>
    </row>
    <row r="4135" spans="1:33" s="47" customFormat="1" hidden="1">
      <c r="A4135"/>
      <c r="B4135"/>
      <c r="C4135"/>
      <c r="D4135"/>
      <c r="E4135"/>
      <c r="F4135"/>
      <c r="G4135"/>
      <c r="H4135"/>
      <c r="I4135"/>
      <c r="J4135"/>
      <c r="K4135"/>
      <c r="L4135"/>
      <c r="M4135" s="820"/>
      <c r="N4135" s="451"/>
      <c r="O4135" s="455"/>
      <c r="P4135" s="473"/>
      <c r="Q4135" s="258"/>
      <c r="R4135" s="259"/>
      <c r="S4135" s="259"/>
      <c r="T4135" s="260"/>
      <c r="U4135" s="252"/>
      <c r="V4135" s="252"/>
      <c r="W4135" s="456"/>
      <c r="X4135" s="258"/>
      <c r="Y4135" s="202"/>
      <c r="Z4135" s="48"/>
      <c r="AA4135" s="252"/>
      <c r="AB4135" s="252"/>
      <c r="AC4135" s="456"/>
      <c r="AF4135"/>
      <c r="AG4135"/>
    </row>
    <row r="4136" spans="1:33" s="47" customFormat="1" hidden="1">
      <c r="A4136"/>
      <c r="B4136"/>
      <c r="C4136"/>
      <c r="D4136"/>
      <c r="E4136"/>
      <c r="F4136"/>
      <c r="G4136"/>
      <c r="H4136"/>
      <c r="I4136"/>
      <c r="J4136"/>
      <c r="K4136"/>
      <c r="L4136"/>
      <c r="M4136" s="820"/>
      <c r="N4136" s="451"/>
      <c r="O4136" s="455"/>
      <c r="P4136" s="473"/>
      <c r="Q4136" s="258"/>
      <c r="R4136" s="259"/>
      <c r="S4136" s="259"/>
      <c r="T4136" s="260"/>
      <c r="U4136" s="252"/>
      <c r="V4136" s="252"/>
      <c r="W4136" s="456"/>
      <c r="X4136" s="258"/>
      <c r="Y4136" s="202"/>
      <c r="Z4136" s="48"/>
      <c r="AA4136" s="252"/>
      <c r="AB4136" s="252"/>
      <c r="AC4136" s="456"/>
      <c r="AF4136"/>
      <c r="AG4136"/>
    </row>
    <row r="4137" spans="1:33" s="47" customFormat="1" hidden="1">
      <c r="A4137"/>
      <c r="B4137"/>
      <c r="C4137"/>
      <c r="D4137"/>
      <c r="E4137"/>
      <c r="F4137"/>
      <c r="G4137"/>
      <c r="H4137"/>
      <c r="I4137"/>
      <c r="J4137"/>
      <c r="K4137"/>
      <c r="L4137"/>
      <c r="M4137" s="820"/>
      <c r="N4137" s="451"/>
      <c r="O4137" s="455"/>
      <c r="P4137" s="473"/>
      <c r="Q4137" s="258"/>
      <c r="R4137" s="259"/>
      <c r="S4137" s="259"/>
      <c r="T4137" s="260"/>
      <c r="U4137" s="252"/>
      <c r="V4137" s="252"/>
      <c r="W4137" s="456"/>
      <c r="X4137" s="258"/>
      <c r="Y4137" s="202"/>
      <c r="Z4137" s="48"/>
      <c r="AA4137" s="252"/>
      <c r="AB4137" s="252"/>
      <c r="AC4137" s="456"/>
      <c r="AF4137"/>
      <c r="AG4137"/>
    </row>
    <row r="4138" spans="1:33" s="47" customFormat="1" hidden="1">
      <c r="A4138"/>
      <c r="B4138"/>
      <c r="C4138"/>
      <c r="D4138"/>
      <c r="E4138"/>
      <c r="F4138"/>
      <c r="G4138"/>
      <c r="H4138"/>
      <c r="I4138"/>
      <c r="J4138"/>
      <c r="K4138"/>
      <c r="L4138"/>
      <c r="M4138" s="820"/>
      <c r="N4138" s="451"/>
      <c r="O4138" s="455"/>
      <c r="P4138" s="473"/>
      <c r="Q4138" s="258"/>
      <c r="R4138" s="259"/>
      <c r="S4138" s="259"/>
      <c r="T4138" s="260"/>
      <c r="U4138" s="252"/>
      <c r="V4138" s="252"/>
      <c r="W4138" s="456"/>
      <c r="X4138" s="258"/>
      <c r="Y4138" s="202"/>
      <c r="Z4138" s="48"/>
      <c r="AA4138" s="252"/>
      <c r="AB4138" s="252"/>
      <c r="AC4138" s="456"/>
      <c r="AF4138"/>
      <c r="AG4138"/>
    </row>
    <row r="4139" spans="1:33" s="47" customFormat="1">
      <c r="A4139"/>
      <c r="B4139"/>
      <c r="C4139"/>
      <c r="D4139"/>
      <c r="E4139"/>
      <c r="F4139"/>
      <c r="G4139"/>
      <c r="H4139"/>
      <c r="I4139"/>
      <c r="J4139"/>
      <c r="K4139"/>
      <c r="L4139"/>
      <c r="M4139" s="820"/>
      <c r="N4139" s="451" t="s">
        <v>80</v>
      </c>
      <c r="O4139" s="455" t="s">
        <v>81</v>
      </c>
      <c r="P4139" s="473" t="s">
        <v>786</v>
      </c>
      <c r="Q4139" s="258"/>
      <c r="R4139" s="259"/>
      <c r="S4139" s="259"/>
      <c r="T4139" s="260"/>
      <c r="U4139" s="252"/>
      <c r="V4139" s="252"/>
      <c r="W4139" s="452">
        <f>W4406+W4482+W4490+W4498</f>
        <v>0</v>
      </c>
      <c r="X4139" s="258"/>
      <c r="Y4139" s="202"/>
      <c r="Z4139" s="48"/>
      <c r="AA4139" s="252"/>
      <c r="AB4139" s="252"/>
      <c r="AC4139" s="452">
        <f>AC4406+AC4482+AC4490+AC4498</f>
        <v>0</v>
      </c>
      <c r="AF4139"/>
      <c r="AG4139"/>
    </row>
    <row r="4140" spans="1:33" s="47" customFormat="1" hidden="1">
      <c r="A4140"/>
      <c r="B4140"/>
      <c r="C4140"/>
      <c r="D4140"/>
      <c r="E4140"/>
      <c r="F4140"/>
      <c r="G4140"/>
      <c r="H4140"/>
      <c r="I4140"/>
      <c r="J4140"/>
      <c r="K4140"/>
      <c r="L4140"/>
      <c r="M4140" s="820"/>
      <c r="N4140" s="451"/>
      <c r="O4140" s="455"/>
      <c r="P4140" s="473"/>
      <c r="Q4140" s="258"/>
      <c r="R4140" s="259"/>
      <c r="S4140" s="259"/>
      <c r="T4140" s="260"/>
      <c r="U4140" s="252"/>
      <c r="V4140" s="252"/>
      <c r="W4140" s="456"/>
      <c r="X4140" s="258"/>
      <c r="Y4140" s="202"/>
      <c r="Z4140" s="48"/>
      <c r="AA4140" s="252"/>
      <c r="AB4140" s="252"/>
      <c r="AC4140" s="456"/>
      <c r="AF4140"/>
      <c r="AG4140"/>
    </row>
    <row r="4141" spans="1:33" s="47" customFormat="1" hidden="1">
      <c r="A4141"/>
      <c r="B4141"/>
      <c r="C4141"/>
      <c r="D4141"/>
      <c r="E4141"/>
      <c r="F4141"/>
      <c r="G4141"/>
      <c r="H4141"/>
      <c r="I4141"/>
      <c r="J4141"/>
      <c r="K4141"/>
      <c r="L4141"/>
      <c r="M4141" s="820"/>
      <c r="N4141" s="451"/>
      <c r="O4141" s="455"/>
      <c r="P4141" s="473"/>
      <c r="Q4141" s="258"/>
      <c r="R4141" s="259"/>
      <c r="S4141" s="259"/>
      <c r="T4141" s="260"/>
      <c r="U4141" s="252"/>
      <c r="V4141" s="252"/>
      <c r="W4141" s="456"/>
      <c r="X4141" s="258"/>
      <c r="Y4141" s="202"/>
      <c r="Z4141" s="48"/>
      <c r="AA4141" s="252"/>
      <c r="AB4141" s="252"/>
      <c r="AC4141" s="456"/>
      <c r="AF4141"/>
      <c r="AG4141"/>
    </row>
    <row r="4142" spans="1:33" s="47" customFormat="1" hidden="1">
      <c r="A4142"/>
      <c r="B4142"/>
      <c r="C4142"/>
      <c r="D4142"/>
      <c r="E4142"/>
      <c r="F4142"/>
      <c r="G4142"/>
      <c r="H4142"/>
      <c r="I4142"/>
      <c r="J4142"/>
      <c r="K4142"/>
      <c r="L4142"/>
      <c r="M4142" s="820"/>
      <c r="N4142" s="451"/>
      <c r="O4142" s="455"/>
      <c r="P4142" s="473"/>
      <c r="Q4142" s="258"/>
      <c r="R4142" s="259"/>
      <c r="S4142" s="259"/>
      <c r="T4142" s="260"/>
      <c r="U4142" s="252"/>
      <c r="V4142" s="252"/>
      <c r="W4142" s="456"/>
      <c r="X4142" s="258"/>
      <c r="Y4142" s="202"/>
      <c r="Z4142" s="48"/>
      <c r="AA4142" s="252"/>
      <c r="AB4142" s="252"/>
      <c r="AC4142" s="456"/>
      <c r="AF4142"/>
      <c r="AG4142"/>
    </row>
    <row r="4143" spans="1:33" s="47" customFormat="1" hidden="1">
      <c r="A4143"/>
      <c r="B4143"/>
      <c r="C4143"/>
      <c r="D4143"/>
      <c r="E4143"/>
      <c r="F4143"/>
      <c r="G4143"/>
      <c r="H4143"/>
      <c r="I4143"/>
      <c r="J4143"/>
      <c r="K4143"/>
      <c r="L4143"/>
      <c r="M4143" s="820"/>
      <c r="N4143" s="451"/>
      <c r="O4143" s="455"/>
      <c r="P4143" s="473"/>
      <c r="Q4143" s="258"/>
      <c r="R4143" s="259"/>
      <c r="S4143" s="259"/>
      <c r="T4143" s="260"/>
      <c r="U4143" s="252"/>
      <c r="V4143" s="252"/>
      <c r="W4143" s="456"/>
      <c r="X4143" s="258"/>
      <c r="Y4143" s="202"/>
      <c r="Z4143" s="48"/>
      <c r="AA4143" s="252"/>
      <c r="AB4143" s="252"/>
      <c r="AC4143" s="456"/>
      <c r="AF4143"/>
      <c r="AG4143"/>
    </row>
    <row r="4144" spans="1:33" s="47" customFormat="1" hidden="1">
      <c r="A4144"/>
      <c r="B4144"/>
      <c r="C4144"/>
      <c r="D4144"/>
      <c r="E4144"/>
      <c r="F4144"/>
      <c r="G4144"/>
      <c r="H4144"/>
      <c r="I4144"/>
      <c r="J4144"/>
      <c r="K4144"/>
      <c r="L4144"/>
      <c r="M4144" s="820"/>
      <c r="N4144" s="451"/>
      <c r="O4144" s="455"/>
      <c r="P4144" s="473"/>
      <c r="Q4144" s="258"/>
      <c r="R4144" s="259"/>
      <c r="S4144" s="259"/>
      <c r="T4144" s="260"/>
      <c r="U4144" s="252"/>
      <c r="V4144" s="252"/>
      <c r="W4144" s="456"/>
      <c r="X4144" s="258"/>
      <c r="Y4144" s="202"/>
      <c r="Z4144" s="48"/>
      <c r="AA4144" s="252"/>
      <c r="AB4144" s="252"/>
      <c r="AC4144" s="456"/>
      <c r="AF4144"/>
      <c r="AG4144"/>
    </row>
    <row r="4145" spans="1:33" s="47" customFormat="1" hidden="1">
      <c r="A4145"/>
      <c r="B4145"/>
      <c r="C4145"/>
      <c r="D4145"/>
      <c r="E4145"/>
      <c r="F4145"/>
      <c r="G4145"/>
      <c r="H4145"/>
      <c r="I4145"/>
      <c r="J4145"/>
      <c r="K4145"/>
      <c r="L4145"/>
      <c r="M4145" s="820"/>
      <c r="N4145" s="451"/>
      <c r="O4145" s="455"/>
      <c r="P4145" s="473"/>
      <c r="Q4145" s="258"/>
      <c r="R4145" s="259"/>
      <c r="S4145" s="259"/>
      <c r="T4145" s="260"/>
      <c r="U4145" s="252"/>
      <c r="V4145" s="252"/>
      <c r="W4145" s="456"/>
      <c r="X4145" s="258"/>
      <c r="Y4145" s="202"/>
      <c r="Z4145" s="48"/>
      <c r="AA4145" s="252"/>
      <c r="AB4145" s="252"/>
      <c r="AC4145" s="456"/>
      <c r="AF4145"/>
      <c r="AG4145"/>
    </row>
    <row r="4146" spans="1:33" s="47" customFormat="1" hidden="1">
      <c r="A4146"/>
      <c r="B4146"/>
      <c r="C4146"/>
      <c r="D4146"/>
      <c r="E4146"/>
      <c r="F4146"/>
      <c r="G4146"/>
      <c r="H4146"/>
      <c r="I4146"/>
      <c r="J4146"/>
      <c r="K4146"/>
      <c r="L4146"/>
      <c r="M4146" s="820"/>
      <c r="N4146" s="451"/>
      <c r="O4146" s="455"/>
      <c r="P4146" s="473"/>
      <c r="Q4146" s="258"/>
      <c r="R4146" s="259"/>
      <c r="S4146" s="259"/>
      <c r="T4146" s="260"/>
      <c r="U4146" s="252"/>
      <c r="V4146" s="252"/>
      <c r="W4146" s="456"/>
      <c r="X4146" s="258"/>
      <c r="Y4146" s="202"/>
      <c r="Z4146" s="48"/>
      <c r="AA4146" s="252"/>
      <c r="AB4146" s="252"/>
      <c r="AC4146" s="456"/>
      <c r="AF4146"/>
      <c r="AG4146"/>
    </row>
    <row r="4147" spans="1:33" s="47" customFormat="1">
      <c r="A4147"/>
      <c r="B4147"/>
      <c r="C4147"/>
      <c r="D4147"/>
      <c r="E4147"/>
      <c r="F4147"/>
      <c r="G4147"/>
      <c r="H4147"/>
      <c r="I4147"/>
      <c r="J4147"/>
      <c r="K4147"/>
      <c r="L4147"/>
      <c r="M4147" s="820"/>
      <c r="N4147" s="451" t="s">
        <v>82</v>
      </c>
      <c r="O4147" s="455" t="s">
        <v>83</v>
      </c>
      <c r="P4147" s="473" t="s">
        <v>786</v>
      </c>
      <c r="Q4147" s="258"/>
      <c r="R4147" s="259"/>
      <c r="S4147" s="259"/>
      <c r="T4147" s="260"/>
      <c r="U4147" s="252"/>
      <c r="V4147" s="252"/>
      <c r="W4147" s="452">
        <f>W4414</f>
        <v>0</v>
      </c>
      <c r="X4147" s="258"/>
      <c r="Y4147" s="202"/>
      <c r="Z4147" s="48"/>
      <c r="AA4147" s="252"/>
      <c r="AB4147" s="252"/>
      <c r="AC4147" s="452">
        <f>AC4414</f>
        <v>0</v>
      </c>
      <c r="AF4147"/>
      <c r="AG4147"/>
    </row>
    <row r="4148" spans="1:33" s="47" customFormat="1">
      <c r="A4148"/>
      <c r="B4148"/>
      <c r="C4148"/>
      <c r="D4148"/>
      <c r="E4148"/>
      <c r="F4148"/>
      <c r="G4148"/>
      <c r="H4148"/>
      <c r="I4148"/>
      <c r="J4148"/>
      <c r="K4148"/>
      <c r="L4148"/>
      <c r="M4148" s="820"/>
      <c r="N4148" s="451" t="s">
        <v>84</v>
      </c>
      <c r="O4148" s="457" t="s">
        <v>85</v>
      </c>
      <c r="P4148" s="473" t="s">
        <v>786</v>
      </c>
      <c r="Q4148" s="258"/>
      <c r="R4148" s="259"/>
      <c r="S4148" s="259"/>
      <c r="T4148" s="260"/>
      <c r="U4148" s="252"/>
      <c r="V4148" s="252"/>
      <c r="W4148" s="452">
        <f t="shared" ref="W4148:W4157" si="0">W4415+W4587+W4686+W4785</f>
        <v>0</v>
      </c>
      <c r="X4148" s="258"/>
      <c r="Y4148" s="202"/>
      <c r="Z4148" s="48"/>
      <c r="AA4148" s="252"/>
      <c r="AB4148" s="252"/>
      <c r="AC4148" s="452">
        <f t="shared" ref="AC4148:AC4157" si="1">AC4415+AC4587+AC4686+AC4785</f>
        <v>0</v>
      </c>
      <c r="AF4148"/>
      <c r="AG4148"/>
    </row>
    <row r="4149" spans="1:33" s="47" customFormat="1">
      <c r="A4149"/>
      <c r="B4149"/>
      <c r="C4149"/>
      <c r="D4149"/>
      <c r="E4149"/>
      <c r="F4149"/>
      <c r="G4149"/>
      <c r="H4149"/>
      <c r="I4149"/>
      <c r="J4149"/>
      <c r="K4149"/>
      <c r="L4149"/>
      <c r="M4149" s="820"/>
      <c r="N4149" s="451" t="s">
        <v>86</v>
      </c>
      <c r="O4149" s="457" t="s">
        <v>87</v>
      </c>
      <c r="P4149" s="473" t="s">
        <v>786</v>
      </c>
      <c r="Q4149" s="258"/>
      <c r="R4149" s="259"/>
      <c r="S4149" s="259"/>
      <c r="T4149" s="260"/>
      <c r="U4149" s="252"/>
      <c r="V4149" s="252"/>
      <c r="W4149" s="452">
        <f t="shared" si="0"/>
        <v>0</v>
      </c>
      <c r="X4149" s="258"/>
      <c r="Y4149" s="202"/>
      <c r="Z4149" s="48"/>
      <c r="AA4149" s="252"/>
      <c r="AB4149" s="252"/>
      <c r="AC4149" s="452">
        <f t="shared" si="1"/>
        <v>0</v>
      </c>
      <c r="AF4149"/>
      <c r="AG4149"/>
    </row>
    <row r="4150" spans="1:33" s="47" customFormat="1">
      <c r="A4150"/>
      <c r="B4150"/>
      <c r="C4150"/>
      <c r="D4150"/>
      <c r="E4150"/>
      <c r="F4150"/>
      <c r="G4150"/>
      <c r="H4150"/>
      <c r="I4150"/>
      <c r="J4150"/>
      <c r="K4150"/>
      <c r="L4150"/>
      <c r="M4150" s="820"/>
      <c r="N4150" s="451" t="s">
        <v>88</v>
      </c>
      <c r="O4150" s="457" t="s">
        <v>89</v>
      </c>
      <c r="P4150" s="473" t="s">
        <v>786</v>
      </c>
      <c r="Q4150" s="258"/>
      <c r="R4150" s="259"/>
      <c r="S4150" s="259"/>
      <c r="T4150" s="260"/>
      <c r="U4150" s="252"/>
      <c r="V4150" s="252"/>
      <c r="W4150" s="452">
        <f t="shared" si="0"/>
        <v>0</v>
      </c>
      <c r="X4150" s="258"/>
      <c r="Y4150" s="202"/>
      <c r="Z4150" s="48"/>
      <c r="AA4150" s="252"/>
      <c r="AB4150" s="252"/>
      <c r="AC4150" s="452">
        <f t="shared" si="1"/>
        <v>0</v>
      </c>
      <c r="AF4150"/>
      <c r="AG4150"/>
    </row>
    <row r="4151" spans="1:33" s="47" customFormat="1">
      <c r="A4151"/>
      <c r="B4151"/>
      <c r="C4151"/>
      <c r="D4151"/>
      <c r="E4151"/>
      <c r="F4151"/>
      <c r="G4151"/>
      <c r="H4151"/>
      <c r="I4151"/>
      <c r="J4151"/>
      <c r="K4151"/>
      <c r="L4151"/>
      <c r="M4151" s="820"/>
      <c r="N4151" s="451" t="s">
        <v>90</v>
      </c>
      <c r="O4151" s="457" t="s">
        <v>91</v>
      </c>
      <c r="P4151" s="473" t="s">
        <v>786</v>
      </c>
      <c r="Q4151" s="258"/>
      <c r="R4151" s="259"/>
      <c r="S4151" s="259"/>
      <c r="T4151" s="260"/>
      <c r="U4151" s="252"/>
      <c r="V4151" s="252"/>
      <c r="W4151" s="452">
        <f t="shared" si="0"/>
        <v>0</v>
      </c>
      <c r="X4151" s="258"/>
      <c r="Y4151" s="202"/>
      <c r="Z4151" s="48"/>
      <c r="AA4151" s="252"/>
      <c r="AB4151" s="252"/>
      <c r="AC4151" s="452">
        <f t="shared" si="1"/>
        <v>0</v>
      </c>
      <c r="AF4151"/>
      <c r="AG4151"/>
    </row>
    <row r="4152" spans="1:33" s="47" customFormat="1">
      <c r="A4152"/>
      <c r="B4152"/>
      <c r="C4152"/>
      <c r="D4152"/>
      <c r="E4152"/>
      <c r="F4152"/>
      <c r="G4152"/>
      <c r="H4152"/>
      <c r="I4152"/>
      <c r="J4152"/>
      <c r="K4152"/>
      <c r="L4152"/>
      <c r="M4152" s="820"/>
      <c r="N4152" s="451" t="s">
        <v>92</v>
      </c>
      <c r="O4152" s="457" t="s">
        <v>93</v>
      </c>
      <c r="P4152" s="473" t="s">
        <v>786</v>
      </c>
      <c r="Q4152" s="258"/>
      <c r="R4152" s="259"/>
      <c r="S4152" s="259"/>
      <c r="T4152" s="260"/>
      <c r="U4152" s="252"/>
      <c r="V4152" s="252"/>
      <c r="W4152" s="452">
        <f t="shared" si="0"/>
        <v>0</v>
      </c>
      <c r="X4152" s="258"/>
      <c r="Y4152" s="202"/>
      <c r="Z4152" s="48"/>
      <c r="AA4152" s="252"/>
      <c r="AB4152" s="252"/>
      <c r="AC4152" s="452">
        <f t="shared" si="1"/>
        <v>0</v>
      </c>
      <c r="AF4152"/>
      <c r="AG4152"/>
    </row>
    <row r="4153" spans="1:33" s="47" customFormat="1">
      <c r="A4153"/>
      <c r="B4153"/>
      <c r="C4153"/>
      <c r="D4153"/>
      <c r="E4153"/>
      <c r="F4153"/>
      <c r="G4153"/>
      <c r="H4153"/>
      <c r="I4153"/>
      <c r="J4153"/>
      <c r="K4153"/>
      <c r="L4153"/>
      <c r="M4153" s="820"/>
      <c r="N4153" s="451" t="s">
        <v>94</v>
      </c>
      <c r="O4153" s="457" t="s">
        <v>95</v>
      </c>
      <c r="P4153" s="473" t="s">
        <v>786</v>
      </c>
      <c r="Q4153" s="258"/>
      <c r="R4153" s="259"/>
      <c r="S4153" s="259"/>
      <c r="T4153" s="260"/>
      <c r="U4153" s="252"/>
      <c r="V4153" s="252"/>
      <c r="W4153" s="452">
        <f t="shared" si="0"/>
        <v>0</v>
      </c>
      <c r="X4153" s="258"/>
      <c r="Y4153" s="202"/>
      <c r="Z4153" s="48"/>
      <c r="AA4153" s="252"/>
      <c r="AB4153" s="252"/>
      <c r="AC4153" s="452">
        <f t="shared" si="1"/>
        <v>0</v>
      </c>
      <c r="AF4153"/>
      <c r="AG4153"/>
    </row>
    <row r="4154" spans="1:33" s="47" customFormat="1">
      <c r="A4154"/>
      <c r="B4154"/>
      <c r="C4154"/>
      <c r="D4154"/>
      <c r="E4154"/>
      <c r="F4154"/>
      <c r="G4154"/>
      <c r="H4154"/>
      <c r="I4154"/>
      <c r="J4154"/>
      <c r="K4154"/>
      <c r="L4154"/>
      <c r="M4154" s="820"/>
      <c r="N4154" s="451" t="s">
        <v>2975</v>
      </c>
      <c r="O4154" s="457" t="s">
        <v>2976</v>
      </c>
      <c r="P4154" s="473" t="s">
        <v>786</v>
      </c>
      <c r="Q4154" s="258"/>
      <c r="R4154" s="259"/>
      <c r="S4154" s="259"/>
      <c r="T4154" s="260"/>
      <c r="U4154" s="252"/>
      <c r="V4154" s="252"/>
      <c r="W4154" s="452">
        <f t="shared" si="0"/>
        <v>0</v>
      </c>
      <c r="X4154" s="258"/>
      <c r="Y4154" s="202"/>
      <c r="Z4154" s="48"/>
      <c r="AA4154" s="252"/>
      <c r="AB4154" s="252"/>
      <c r="AC4154" s="452">
        <f t="shared" si="1"/>
        <v>0</v>
      </c>
      <c r="AF4154"/>
      <c r="AG4154"/>
    </row>
    <row r="4155" spans="1:33" s="47" customFormat="1">
      <c r="A4155"/>
      <c r="B4155"/>
      <c r="C4155"/>
      <c r="D4155"/>
      <c r="E4155"/>
      <c r="F4155"/>
      <c r="G4155"/>
      <c r="H4155"/>
      <c r="I4155"/>
      <c r="J4155"/>
      <c r="K4155"/>
      <c r="L4155"/>
      <c r="M4155" s="820"/>
      <c r="N4155" s="451" t="s">
        <v>2977</v>
      </c>
      <c r="O4155" s="457" t="s">
        <v>2978</v>
      </c>
      <c r="P4155" s="473" t="s">
        <v>786</v>
      </c>
      <c r="Q4155" s="258"/>
      <c r="R4155" s="259"/>
      <c r="S4155" s="259"/>
      <c r="T4155" s="260"/>
      <c r="U4155" s="252"/>
      <c r="V4155" s="252"/>
      <c r="W4155" s="452">
        <f t="shared" si="0"/>
        <v>0</v>
      </c>
      <c r="X4155" s="258"/>
      <c r="Y4155" s="202"/>
      <c r="Z4155" s="48"/>
      <c r="AA4155" s="252"/>
      <c r="AB4155" s="252"/>
      <c r="AC4155" s="452">
        <f t="shared" si="1"/>
        <v>0</v>
      </c>
      <c r="AF4155"/>
      <c r="AG4155"/>
    </row>
    <row r="4156" spans="1:33" s="47" customFormat="1">
      <c r="A4156"/>
      <c r="B4156"/>
      <c r="C4156"/>
      <c r="D4156"/>
      <c r="E4156"/>
      <c r="F4156"/>
      <c r="G4156"/>
      <c r="H4156"/>
      <c r="I4156"/>
      <c r="J4156"/>
      <c r="K4156"/>
      <c r="L4156"/>
      <c r="M4156" s="820"/>
      <c r="N4156" s="451" t="s">
        <v>2979</v>
      </c>
      <c r="O4156" s="457" t="s">
        <v>2980</v>
      </c>
      <c r="P4156" s="473" t="s">
        <v>786</v>
      </c>
      <c r="Q4156" s="258"/>
      <c r="R4156" s="259"/>
      <c r="S4156" s="259"/>
      <c r="T4156" s="260"/>
      <c r="U4156" s="252"/>
      <c r="V4156" s="252"/>
      <c r="W4156" s="452">
        <f t="shared" si="0"/>
        <v>0</v>
      </c>
      <c r="X4156" s="258"/>
      <c r="Y4156" s="202"/>
      <c r="Z4156" s="48"/>
      <c r="AA4156" s="252"/>
      <c r="AB4156" s="252"/>
      <c r="AC4156" s="452">
        <f t="shared" si="1"/>
        <v>0</v>
      </c>
      <c r="AF4156"/>
      <c r="AG4156"/>
    </row>
    <row r="4157" spans="1:33" s="47" customFormat="1">
      <c r="A4157"/>
      <c r="B4157"/>
      <c r="C4157"/>
      <c r="D4157"/>
      <c r="E4157"/>
      <c r="F4157"/>
      <c r="G4157"/>
      <c r="H4157"/>
      <c r="I4157"/>
      <c r="J4157"/>
      <c r="K4157"/>
      <c r="L4157"/>
      <c r="M4157" s="820"/>
      <c r="N4157" s="451" t="s">
        <v>2981</v>
      </c>
      <c r="O4157" s="457" t="s">
        <v>2982</v>
      </c>
      <c r="P4157" s="473" t="s">
        <v>786</v>
      </c>
      <c r="Q4157" s="258"/>
      <c r="R4157" s="259"/>
      <c r="S4157" s="259"/>
      <c r="T4157" s="260"/>
      <c r="U4157" s="252"/>
      <c r="V4157" s="252"/>
      <c r="W4157" s="452">
        <f t="shared" si="0"/>
        <v>0</v>
      </c>
      <c r="X4157" s="258"/>
      <c r="Y4157" s="202"/>
      <c r="Z4157" s="48"/>
      <c r="AA4157" s="252"/>
      <c r="AB4157" s="252"/>
      <c r="AC4157" s="452">
        <f t="shared" si="1"/>
        <v>0</v>
      </c>
      <c r="AF4157"/>
      <c r="AG4157"/>
    </row>
    <row r="4158" spans="1:33" s="47" customFormat="1">
      <c r="A4158"/>
      <c r="B4158"/>
      <c r="C4158"/>
      <c r="D4158"/>
      <c r="E4158"/>
      <c r="F4158"/>
      <c r="G4158"/>
      <c r="H4158"/>
      <c r="I4158"/>
      <c r="J4158"/>
      <c r="K4158"/>
      <c r="L4158"/>
      <c r="M4158" s="820"/>
      <c r="N4158" s="451" t="s">
        <v>2983</v>
      </c>
      <c r="O4158" s="224" t="s">
        <v>2984</v>
      </c>
      <c r="P4158" s="473" t="s">
        <v>786</v>
      </c>
      <c r="Q4158" s="258"/>
      <c r="R4158" s="259"/>
      <c r="S4158" s="259"/>
      <c r="T4158" s="260"/>
      <c r="U4158" s="252"/>
      <c r="V4158" s="252"/>
      <c r="W4158" s="452">
        <f>SUM(W4803,W4806,W4809,W4812,W4815,W4818,W4821,W4824)</f>
        <v>0</v>
      </c>
      <c r="X4158" s="258"/>
      <c r="Y4158" s="202"/>
      <c r="Z4158" s="48"/>
      <c r="AA4158" s="252"/>
      <c r="AB4158" s="252"/>
      <c r="AC4158" s="452">
        <f>SUM(AC4803,AC4806,AC4809,AC4812,AC4815,AC4818,AC4821,AC4824)</f>
        <v>0</v>
      </c>
      <c r="AF4158"/>
      <c r="AG4158"/>
    </row>
    <row r="4159" spans="1:33" s="47" customFormat="1">
      <c r="A4159"/>
      <c r="B4159"/>
      <c r="C4159"/>
      <c r="D4159"/>
      <c r="E4159"/>
      <c r="F4159"/>
      <c r="G4159"/>
      <c r="H4159"/>
      <c r="I4159"/>
      <c r="J4159"/>
      <c r="K4159"/>
      <c r="L4159"/>
      <c r="M4159" s="820"/>
      <c r="N4159" s="451" t="s">
        <v>2989</v>
      </c>
      <c r="O4159" s="224" t="s">
        <v>2990</v>
      </c>
      <c r="P4159" s="473" t="s">
        <v>786</v>
      </c>
      <c r="Q4159" s="258"/>
      <c r="R4159" s="259"/>
      <c r="S4159" s="259"/>
      <c r="T4159" s="260"/>
      <c r="U4159" s="252"/>
      <c r="V4159" s="252"/>
      <c r="W4159" s="458"/>
      <c r="X4159" s="258"/>
      <c r="Y4159" s="202"/>
      <c r="Z4159" s="48"/>
      <c r="AA4159" s="252"/>
      <c r="AB4159" s="252"/>
      <c r="AC4159" s="458"/>
      <c r="AF4159"/>
      <c r="AG4159"/>
    </row>
    <row r="4160" spans="1:33" s="47" customFormat="1">
      <c r="A4160"/>
      <c r="B4160"/>
      <c r="C4160"/>
      <c r="D4160"/>
      <c r="E4160"/>
      <c r="F4160"/>
      <c r="G4160"/>
      <c r="H4160"/>
      <c r="I4160"/>
      <c r="J4160"/>
      <c r="K4160"/>
      <c r="L4160"/>
      <c r="M4160" s="820"/>
      <c r="N4160" s="451" t="s">
        <v>292</v>
      </c>
      <c r="O4160" s="442" t="s">
        <v>291</v>
      </c>
      <c r="P4160" s="473" t="s">
        <v>786</v>
      </c>
      <c r="Q4160" s="258"/>
      <c r="R4160" s="259"/>
      <c r="S4160" s="259"/>
      <c r="T4160" s="260"/>
      <c r="U4160" s="252"/>
      <c r="V4160" s="252"/>
      <c r="W4160" s="452">
        <f>W4427+W4599+W4698+W4797</f>
        <v>0</v>
      </c>
      <c r="X4160" s="258"/>
      <c r="Y4160" s="202"/>
      <c r="Z4160" s="48"/>
      <c r="AA4160" s="252"/>
      <c r="AB4160" s="252"/>
      <c r="AC4160" s="452">
        <f>AC4427+AC4599+AC4698+AC4797</f>
        <v>0</v>
      </c>
      <c r="AF4160"/>
      <c r="AG4160"/>
    </row>
    <row r="4161" spans="1:33" s="47" customFormat="1">
      <c r="A4161"/>
      <c r="B4161"/>
      <c r="C4161"/>
      <c r="D4161"/>
      <c r="E4161"/>
      <c r="F4161"/>
      <c r="G4161"/>
      <c r="H4161"/>
      <c r="I4161"/>
      <c r="J4161"/>
      <c r="K4161"/>
      <c r="L4161"/>
      <c r="M4161" s="820"/>
      <c r="N4161" s="449" t="s">
        <v>257</v>
      </c>
      <c r="O4161" s="450" t="s">
        <v>213</v>
      </c>
      <c r="P4161" s="473" t="s">
        <v>214</v>
      </c>
      <c r="Q4161" s="258"/>
      <c r="R4161" s="259"/>
      <c r="S4161" s="259"/>
      <c r="T4161" s="260"/>
      <c r="U4161" s="252"/>
      <c r="V4161" s="252"/>
      <c r="W4161" s="459">
        <f>IF(W4227=0,0,W4128/W4227)</f>
        <v>0</v>
      </c>
      <c r="X4161" s="258"/>
      <c r="Y4161" s="202"/>
      <c r="Z4161" s="48"/>
      <c r="AA4161" s="252"/>
      <c r="AB4161" s="252"/>
      <c r="AC4161" s="459">
        <f>IF(AC4227=0,0,AC4128/AC4227)</f>
        <v>0</v>
      </c>
      <c r="AF4161"/>
      <c r="AG4161"/>
    </row>
    <row r="4162" spans="1:33" s="47" customFormat="1">
      <c r="A4162"/>
      <c r="B4162"/>
      <c r="C4162"/>
      <c r="D4162"/>
      <c r="E4162"/>
      <c r="F4162"/>
      <c r="G4162"/>
      <c r="H4162"/>
      <c r="I4162"/>
      <c r="J4162"/>
      <c r="K4162"/>
      <c r="L4162"/>
      <c r="M4162" s="820"/>
      <c r="N4162" s="461" t="str">
        <f>N4161 &amp; ".1"</f>
        <v>4.0.1.1.1</v>
      </c>
      <c r="O4162" s="453" t="s">
        <v>78</v>
      </c>
      <c r="P4162" s="473" t="s">
        <v>214</v>
      </c>
      <c r="Q4162" s="258"/>
      <c r="R4162" s="259"/>
      <c r="S4162" s="259"/>
      <c r="T4162" s="260"/>
      <c r="U4162" s="252"/>
      <c r="V4162" s="252"/>
      <c r="W4162" s="459">
        <f>IF(W4228=0,0,W4129/W4228)</f>
        <v>0</v>
      </c>
      <c r="X4162" s="258"/>
      <c r="Y4162" s="202"/>
      <c r="Z4162" s="48"/>
      <c r="AA4162" s="252"/>
      <c r="AB4162" s="252"/>
      <c r="AC4162" s="459">
        <f>IF(AC4228=0,0,AC4129/AC4228)</f>
        <v>0</v>
      </c>
      <c r="AF4162"/>
      <c r="AG4162"/>
    </row>
    <row r="4163" spans="1:33" s="47" customFormat="1">
      <c r="A4163"/>
      <c r="B4163"/>
      <c r="C4163"/>
      <c r="D4163"/>
      <c r="E4163"/>
      <c r="F4163"/>
      <c r="G4163"/>
      <c r="H4163"/>
      <c r="I4163"/>
      <c r="J4163"/>
      <c r="K4163"/>
      <c r="L4163"/>
      <c r="M4163" s="820"/>
      <c r="N4163" s="461" t="str">
        <f>N4161 &amp; ".2"</f>
        <v>4.0.1.1.2</v>
      </c>
      <c r="O4163" s="454" t="s">
        <v>212</v>
      </c>
      <c r="P4163" s="473" t="s">
        <v>214</v>
      </c>
      <c r="Q4163" s="258"/>
      <c r="R4163" s="259"/>
      <c r="S4163" s="259"/>
      <c r="T4163" s="260"/>
      <c r="U4163" s="252"/>
      <c r="V4163" s="252"/>
      <c r="W4163" s="459">
        <f>IF(W4229=0,0,W4130/W4229)</f>
        <v>0</v>
      </c>
      <c r="X4163" s="258"/>
      <c r="Y4163" s="202"/>
      <c r="Z4163" s="48"/>
      <c r="AA4163" s="252"/>
      <c r="AB4163" s="252"/>
      <c r="AC4163" s="459">
        <f>IF(AC4229=0,0,AC4130/AC4229)</f>
        <v>0</v>
      </c>
      <c r="AF4163"/>
      <c r="AG4163"/>
    </row>
    <row r="4164" spans="1:33" s="47" customFormat="1">
      <c r="A4164"/>
      <c r="B4164"/>
      <c r="C4164"/>
      <c r="D4164"/>
      <c r="E4164"/>
      <c r="F4164"/>
      <c r="G4164"/>
      <c r="H4164"/>
      <c r="I4164"/>
      <c r="J4164"/>
      <c r="K4164"/>
      <c r="L4164"/>
      <c r="M4164" s="820"/>
      <c r="N4164" s="461" t="str">
        <f>N4161 &amp; ".2.1"</f>
        <v>4.0.1.1.2.1</v>
      </c>
      <c r="O4164" s="455" t="s">
        <v>79</v>
      </c>
      <c r="P4164" s="473" t="s">
        <v>214</v>
      </c>
      <c r="Q4164" s="258"/>
      <c r="R4164" s="259"/>
      <c r="S4164" s="259"/>
      <c r="T4164" s="260"/>
      <c r="U4164" s="252"/>
      <c r="V4164" s="252"/>
      <c r="W4164" s="459">
        <f>IF(W4230=0,0,W4131/W4230)</f>
        <v>0</v>
      </c>
      <c r="X4164" s="258"/>
      <c r="Y4164" s="202"/>
      <c r="Z4164" s="48"/>
      <c r="AA4164" s="252"/>
      <c r="AB4164" s="252"/>
      <c r="AC4164" s="459">
        <f>IF(AC4230=0,0,AC4131/AC4230)</f>
        <v>0</v>
      </c>
      <c r="AF4164"/>
      <c r="AG4164"/>
    </row>
    <row r="4165" spans="1:33" s="47" customFormat="1" hidden="1">
      <c r="A4165"/>
      <c r="B4165"/>
      <c r="C4165"/>
      <c r="D4165"/>
      <c r="E4165"/>
      <c r="F4165"/>
      <c r="G4165"/>
      <c r="H4165"/>
      <c r="I4165"/>
      <c r="J4165"/>
      <c r="K4165"/>
      <c r="L4165"/>
      <c r="M4165" s="820"/>
      <c r="N4165" s="451"/>
      <c r="O4165" s="455"/>
      <c r="P4165" s="473"/>
      <c r="Q4165" s="258"/>
      <c r="R4165" s="259"/>
      <c r="S4165" s="259"/>
      <c r="T4165" s="260"/>
      <c r="U4165" s="252"/>
      <c r="V4165" s="252"/>
      <c r="W4165" s="456"/>
      <c r="X4165" s="258"/>
      <c r="Y4165" s="202"/>
      <c r="Z4165" s="48"/>
      <c r="AA4165" s="252"/>
      <c r="AB4165" s="252"/>
      <c r="AC4165" s="456"/>
      <c r="AF4165"/>
      <c r="AG4165"/>
    </row>
    <row r="4166" spans="1:33" s="47" customFormat="1" hidden="1">
      <c r="A4166"/>
      <c r="B4166"/>
      <c r="C4166"/>
      <c r="D4166"/>
      <c r="E4166"/>
      <c r="F4166"/>
      <c r="G4166"/>
      <c r="H4166"/>
      <c r="I4166"/>
      <c r="J4166"/>
      <c r="K4166"/>
      <c r="L4166"/>
      <c r="M4166" s="820"/>
      <c r="N4166" s="451"/>
      <c r="O4166" s="455"/>
      <c r="P4166" s="473"/>
      <c r="Q4166" s="258"/>
      <c r="R4166" s="259"/>
      <c r="S4166" s="259"/>
      <c r="T4166" s="260"/>
      <c r="U4166" s="252"/>
      <c r="V4166" s="252"/>
      <c r="W4166" s="456"/>
      <c r="X4166" s="258"/>
      <c r="Y4166" s="202"/>
      <c r="Z4166" s="48"/>
      <c r="AA4166" s="252"/>
      <c r="AB4166" s="252"/>
      <c r="AC4166" s="456"/>
      <c r="AF4166"/>
      <c r="AG4166"/>
    </row>
    <row r="4167" spans="1:33" s="47" customFormat="1" hidden="1">
      <c r="A4167"/>
      <c r="B4167"/>
      <c r="C4167"/>
      <c r="D4167"/>
      <c r="E4167"/>
      <c r="F4167"/>
      <c r="G4167"/>
      <c r="H4167"/>
      <c r="I4167"/>
      <c r="J4167"/>
      <c r="K4167"/>
      <c r="L4167"/>
      <c r="M4167" s="820"/>
      <c r="N4167" s="451"/>
      <c r="O4167" s="455"/>
      <c r="P4167" s="473"/>
      <c r="Q4167" s="258"/>
      <c r="R4167" s="259"/>
      <c r="S4167" s="259"/>
      <c r="T4167" s="260"/>
      <c r="U4167" s="252"/>
      <c r="V4167" s="252"/>
      <c r="W4167" s="456"/>
      <c r="X4167" s="258"/>
      <c r="Y4167" s="202"/>
      <c r="Z4167" s="48"/>
      <c r="AA4167" s="252"/>
      <c r="AB4167" s="252"/>
      <c r="AC4167" s="456"/>
      <c r="AF4167"/>
      <c r="AG4167"/>
    </row>
    <row r="4168" spans="1:33" s="47" customFormat="1" hidden="1">
      <c r="A4168"/>
      <c r="B4168"/>
      <c r="C4168"/>
      <c r="D4168"/>
      <c r="E4168"/>
      <c r="F4168"/>
      <c r="G4168"/>
      <c r="H4168"/>
      <c r="I4168"/>
      <c r="J4168"/>
      <c r="K4168"/>
      <c r="L4168"/>
      <c r="M4168" s="820"/>
      <c r="N4168" s="451"/>
      <c r="O4168" s="455"/>
      <c r="P4168" s="473"/>
      <c r="Q4168" s="258"/>
      <c r="R4168" s="259"/>
      <c r="S4168" s="259"/>
      <c r="T4168" s="260"/>
      <c r="U4168" s="252"/>
      <c r="V4168" s="252"/>
      <c r="W4168" s="456"/>
      <c r="X4168" s="258"/>
      <c r="Y4168" s="202"/>
      <c r="Z4168" s="48"/>
      <c r="AA4168" s="252"/>
      <c r="AB4168" s="252"/>
      <c r="AC4168" s="456"/>
      <c r="AF4168"/>
      <c r="AG4168"/>
    </row>
    <row r="4169" spans="1:33" s="47" customFormat="1" hidden="1">
      <c r="A4169"/>
      <c r="B4169"/>
      <c r="C4169"/>
      <c r="D4169"/>
      <c r="E4169"/>
      <c r="F4169"/>
      <c r="G4169"/>
      <c r="H4169"/>
      <c r="I4169"/>
      <c r="J4169"/>
      <c r="K4169"/>
      <c r="L4169"/>
      <c r="M4169" s="820"/>
      <c r="N4169" s="451"/>
      <c r="O4169" s="455"/>
      <c r="P4169" s="473"/>
      <c r="Q4169" s="258"/>
      <c r="R4169" s="259"/>
      <c r="S4169" s="259"/>
      <c r="T4169" s="260"/>
      <c r="U4169" s="252"/>
      <c r="V4169" s="252"/>
      <c r="W4169" s="456"/>
      <c r="X4169" s="258"/>
      <c r="Y4169" s="202"/>
      <c r="Z4169" s="48"/>
      <c r="AA4169" s="252"/>
      <c r="AB4169" s="252"/>
      <c r="AC4169" s="456"/>
      <c r="AF4169"/>
      <c r="AG4169"/>
    </row>
    <row r="4170" spans="1:33" s="47" customFormat="1" hidden="1">
      <c r="A4170"/>
      <c r="B4170"/>
      <c r="C4170"/>
      <c r="D4170"/>
      <c r="E4170"/>
      <c r="F4170"/>
      <c r="G4170"/>
      <c r="H4170"/>
      <c r="I4170"/>
      <c r="J4170"/>
      <c r="K4170"/>
      <c r="L4170"/>
      <c r="M4170" s="820"/>
      <c r="N4170" s="451"/>
      <c r="O4170" s="455"/>
      <c r="P4170" s="473"/>
      <c r="Q4170" s="258"/>
      <c r="R4170" s="259"/>
      <c r="S4170" s="259"/>
      <c r="T4170" s="260"/>
      <c r="U4170" s="252"/>
      <c r="V4170" s="252"/>
      <c r="W4170" s="456"/>
      <c r="X4170" s="258"/>
      <c r="Y4170" s="202"/>
      <c r="Z4170" s="48"/>
      <c r="AA4170" s="252"/>
      <c r="AB4170" s="252"/>
      <c r="AC4170" s="456"/>
      <c r="AF4170"/>
      <c r="AG4170"/>
    </row>
    <row r="4171" spans="1:33" s="47" customFormat="1" hidden="1">
      <c r="A4171"/>
      <c r="B4171"/>
      <c r="C4171"/>
      <c r="D4171"/>
      <c r="E4171"/>
      <c r="F4171"/>
      <c r="G4171"/>
      <c r="H4171"/>
      <c r="I4171"/>
      <c r="J4171"/>
      <c r="K4171"/>
      <c r="L4171"/>
      <c r="M4171" s="820"/>
      <c r="N4171" s="451"/>
      <c r="O4171" s="455"/>
      <c r="P4171" s="473"/>
      <c r="Q4171" s="258"/>
      <c r="R4171" s="259"/>
      <c r="S4171" s="259"/>
      <c r="T4171" s="260"/>
      <c r="U4171" s="252"/>
      <c r="V4171" s="252"/>
      <c r="W4171" s="456"/>
      <c r="X4171" s="258"/>
      <c r="Y4171" s="202"/>
      <c r="Z4171" s="48"/>
      <c r="AA4171" s="252"/>
      <c r="AB4171" s="252"/>
      <c r="AC4171" s="456"/>
      <c r="AF4171"/>
      <c r="AG4171"/>
    </row>
    <row r="4172" spans="1:33" s="47" customFormat="1">
      <c r="A4172"/>
      <c r="B4172"/>
      <c r="C4172"/>
      <c r="D4172"/>
      <c r="E4172"/>
      <c r="F4172"/>
      <c r="G4172"/>
      <c r="H4172"/>
      <c r="I4172"/>
      <c r="J4172"/>
      <c r="K4172"/>
      <c r="L4172"/>
      <c r="M4172" s="820"/>
      <c r="N4172" s="461" t="str">
        <f>N4161 &amp; ".2.2"</f>
        <v>4.0.1.1.2.2</v>
      </c>
      <c r="O4172" s="455" t="s">
        <v>81</v>
      </c>
      <c r="P4172" s="473" t="s">
        <v>214</v>
      </c>
      <c r="Q4172" s="258"/>
      <c r="R4172" s="259"/>
      <c r="S4172" s="259"/>
      <c r="T4172" s="260"/>
      <c r="U4172" s="252"/>
      <c r="V4172" s="252"/>
      <c r="W4172" s="459">
        <f>IF(W4238=0,0,W4139/W4238)</f>
        <v>0</v>
      </c>
      <c r="X4172" s="258"/>
      <c r="Y4172" s="202"/>
      <c r="Z4172" s="48"/>
      <c r="AA4172" s="252"/>
      <c r="AB4172" s="252"/>
      <c r="AC4172" s="459">
        <f>IF(AC4238=0,0,AC4139/AC4238)</f>
        <v>0</v>
      </c>
      <c r="AF4172"/>
      <c r="AG4172"/>
    </row>
    <row r="4173" spans="1:33" s="47" customFormat="1" hidden="1">
      <c r="A4173"/>
      <c r="B4173"/>
      <c r="C4173"/>
      <c r="D4173"/>
      <c r="E4173"/>
      <c r="F4173"/>
      <c r="G4173"/>
      <c r="H4173"/>
      <c r="I4173"/>
      <c r="J4173"/>
      <c r="K4173"/>
      <c r="L4173"/>
      <c r="M4173" s="820"/>
      <c r="N4173" s="451"/>
      <c r="O4173" s="455"/>
      <c r="P4173" s="473"/>
      <c r="Q4173" s="258"/>
      <c r="R4173" s="259"/>
      <c r="S4173" s="259"/>
      <c r="T4173" s="260"/>
      <c r="U4173" s="252"/>
      <c r="V4173" s="252"/>
      <c r="W4173" s="456"/>
      <c r="X4173" s="258"/>
      <c r="Y4173" s="202"/>
      <c r="Z4173" s="48"/>
      <c r="AA4173" s="252"/>
      <c r="AB4173" s="252"/>
      <c r="AC4173" s="456"/>
      <c r="AF4173"/>
      <c r="AG4173"/>
    </row>
    <row r="4174" spans="1:33" s="47" customFormat="1" hidden="1">
      <c r="A4174"/>
      <c r="B4174"/>
      <c r="C4174"/>
      <c r="D4174"/>
      <c r="E4174"/>
      <c r="F4174"/>
      <c r="G4174"/>
      <c r="H4174"/>
      <c r="I4174"/>
      <c r="J4174"/>
      <c r="K4174"/>
      <c r="L4174"/>
      <c r="M4174" s="820"/>
      <c r="N4174" s="451"/>
      <c r="O4174" s="455"/>
      <c r="P4174" s="473"/>
      <c r="Q4174" s="258"/>
      <c r="R4174" s="259"/>
      <c r="S4174" s="259"/>
      <c r="T4174" s="260"/>
      <c r="U4174" s="252"/>
      <c r="V4174" s="252"/>
      <c r="W4174" s="456"/>
      <c r="X4174" s="258"/>
      <c r="Y4174" s="202"/>
      <c r="Z4174" s="48"/>
      <c r="AA4174" s="252"/>
      <c r="AB4174" s="252"/>
      <c r="AC4174" s="456"/>
      <c r="AF4174"/>
      <c r="AG4174"/>
    </row>
    <row r="4175" spans="1:33" s="47" customFormat="1" hidden="1">
      <c r="A4175"/>
      <c r="B4175"/>
      <c r="C4175"/>
      <c r="D4175"/>
      <c r="E4175"/>
      <c r="F4175"/>
      <c r="G4175"/>
      <c r="H4175"/>
      <c r="I4175"/>
      <c r="J4175"/>
      <c r="K4175"/>
      <c r="L4175"/>
      <c r="M4175" s="820"/>
      <c r="N4175" s="451"/>
      <c r="O4175" s="455"/>
      <c r="P4175" s="473"/>
      <c r="Q4175" s="258"/>
      <c r="R4175" s="259"/>
      <c r="S4175" s="259"/>
      <c r="T4175" s="260"/>
      <c r="U4175" s="252"/>
      <c r="V4175" s="252"/>
      <c r="W4175" s="456"/>
      <c r="X4175" s="258"/>
      <c r="Y4175" s="202"/>
      <c r="Z4175" s="48"/>
      <c r="AA4175" s="252"/>
      <c r="AB4175" s="252"/>
      <c r="AC4175" s="456"/>
      <c r="AF4175"/>
      <c r="AG4175"/>
    </row>
    <row r="4176" spans="1:33" s="47" customFormat="1" hidden="1">
      <c r="A4176"/>
      <c r="B4176"/>
      <c r="C4176"/>
      <c r="D4176"/>
      <c r="E4176"/>
      <c r="F4176"/>
      <c r="G4176"/>
      <c r="H4176"/>
      <c r="I4176"/>
      <c r="J4176"/>
      <c r="K4176"/>
      <c r="L4176"/>
      <c r="M4176" s="820"/>
      <c r="N4176" s="451"/>
      <c r="O4176" s="455"/>
      <c r="P4176" s="473"/>
      <c r="Q4176" s="258"/>
      <c r="R4176" s="259"/>
      <c r="S4176" s="259"/>
      <c r="T4176" s="260"/>
      <c r="U4176" s="252"/>
      <c r="V4176" s="252"/>
      <c r="W4176" s="456"/>
      <c r="X4176" s="258"/>
      <c r="Y4176" s="202"/>
      <c r="Z4176" s="48"/>
      <c r="AA4176" s="252"/>
      <c r="AB4176" s="252"/>
      <c r="AC4176" s="456"/>
      <c r="AF4176"/>
      <c r="AG4176"/>
    </row>
    <row r="4177" spans="1:33" s="47" customFormat="1" hidden="1">
      <c r="A4177"/>
      <c r="B4177"/>
      <c r="C4177"/>
      <c r="D4177"/>
      <c r="E4177"/>
      <c r="F4177"/>
      <c r="G4177"/>
      <c r="H4177"/>
      <c r="I4177"/>
      <c r="J4177"/>
      <c r="K4177"/>
      <c r="L4177"/>
      <c r="M4177" s="820"/>
      <c r="N4177" s="451"/>
      <c r="O4177" s="455"/>
      <c r="P4177" s="473"/>
      <c r="Q4177" s="258"/>
      <c r="R4177" s="259"/>
      <c r="S4177" s="259"/>
      <c r="T4177" s="260"/>
      <c r="U4177" s="252"/>
      <c r="V4177" s="252"/>
      <c r="W4177" s="456"/>
      <c r="X4177" s="258"/>
      <c r="Y4177" s="202"/>
      <c r="Z4177" s="48"/>
      <c r="AA4177" s="252"/>
      <c r="AB4177" s="252"/>
      <c r="AC4177" s="456"/>
      <c r="AF4177"/>
      <c r="AG4177"/>
    </row>
    <row r="4178" spans="1:33" s="47" customFormat="1" hidden="1">
      <c r="A4178"/>
      <c r="B4178"/>
      <c r="C4178"/>
      <c r="D4178"/>
      <c r="E4178"/>
      <c r="F4178"/>
      <c r="G4178"/>
      <c r="H4178"/>
      <c r="I4178"/>
      <c r="J4178"/>
      <c r="K4178"/>
      <c r="L4178"/>
      <c r="M4178" s="820"/>
      <c r="N4178" s="451"/>
      <c r="O4178" s="455"/>
      <c r="P4178" s="473"/>
      <c r="Q4178" s="258"/>
      <c r="R4178" s="259"/>
      <c r="S4178" s="259"/>
      <c r="T4178" s="260"/>
      <c r="U4178" s="252"/>
      <c r="V4178" s="252"/>
      <c r="W4178" s="456"/>
      <c r="X4178" s="258"/>
      <c r="Y4178" s="202"/>
      <c r="Z4178" s="48"/>
      <c r="AA4178" s="252"/>
      <c r="AB4178" s="252"/>
      <c r="AC4178" s="456"/>
      <c r="AF4178"/>
      <c r="AG4178"/>
    </row>
    <row r="4179" spans="1:33" s="47" customFormat="1" hidden="1">
      <c r="A4179"/>
      <c r="B4179"/>
      <c r="C4179"/>
      <c r="D4179"/>
      <c r="E4179"/>
      <c r="F4179"/>
      <c r="G4179"/>
      <c r="H4179"/>
      <c r="I4179"/>
      <c r="J4179"/>
      <c r="K4179"/>
      <c r="L4179"/>
      <c r="M4179" s="820"/>
      <c r="N4179" s="451"/>
      <c r="O4179" s="455"/>
      <c r="P4179" s="473"/>
      <c r="Q4179" s="258"/>
      <c r="R4179" s="259"/>
      <c r="S4179" s="259"/>
      <c r="T4179" s="260"/>
      <c r="U4179" s="252"/>
      <c r="V4179" s="252"/>
      <c r="W4179" s="456"/>
      <c r="X4179" s="258"/>
      <c r="Y4179" s="202"/>
      <c r="Z4179" s="48"/>
      <c r="AA4179" s="252"/>
      <c r="AB4179" s="252"/>
      <c r="AC4179" s="456"/>
      <c r="AF4179"/>
      <c r="AG4179"/>
    </row>
    <row r="4180" spans="1:33" s="47" customFormat="1">
      <c r="A4180"/>
      <c r="B4180"/>
      <c r="C4180"/>
      <c r="D4180"/>
      <c r="E4180"/>
      <c r="F4180"/>
      <c r="G4180"/>
      <c r="H4180"/>
      <c r="I4180"/>
      <c r="J4180"/>
      <c r="K4180"/>
      <c r="L4180"/>
      <c r="M4180" s="820"/>
      <c r="N4180" s="461" t="str">
        <f>N4161 &amp; ".2.3"</f>
        <v>4.0.1.1.2.3</v>
      </c>
      <c r="O4180" s="455" t="s">
        <v>83</v>
      </c>
      <c r="P4180" s="473" t="s">
        <v>214</v>
      </c>
      <c r="Q4180" s="258"/>
      <c r="R4180" s="259"/>
      <c r="S4180" s="259"/>
      <c r="T4180" s="260"/>
      <c r="U4180" s="252"/>
      <c r="V4180" s="252"/>
      <c r="W4180" s="459">
        <f t="shared" ref="W4180:W4190" si="2">IF(W4246=0,0,W4147/W4246)</f>
        <v>0</v>
      </c>
      <c r="X4180" s="258"/>
      <c r="Y4180" s="202"/>
      <c r="Z4180" s="48"/>
      <c r="AA4180" s="252"/>
      <c r="AB4180" s="252"/>
      <c r="AC4180" s="459">
        <f t="shared" ref="AC4180:AC4190" si="3">IF(AC4246=0,0,AC4147/AC4246)</f>
        <v>0</v>
      </c>
      <c r="AF4180"/>
      <c r="AG4180"/>
    </row>
    <row r="4181" spans="1:33" s="47" customFormat="1">
      <c r="A4181"/>
      <c r="B4181"/>
      <c r="C4181"/>
      <c r="D4181"/>
      <c r="E4181"/>
      <c r="F4181"/>
      <c r="G4181"/>
      <c r="H4181"/>
      <c r="I4181"/>
      <c r="J4181"/>
      <c r="K4181"/>
      <c r="L4181"/>
      <c r="M4181" s="820"/>
      <c r="N4181" s="461" t="str">
        <f>N4161 &amp; ".3"</f>
        <v>4.0.1.1.3</v>
      </c>
      <c r="O4181" s="457" t="s">
        <v>85</v>
      </c>
      <c r="P4181" s="473" t="s">
        <v>214</v>
      </c>
      <c r="Q4181" s="258"/>
      <c r="R4181" s="259"/>
      <c r="S4181" s="259"/>
      <c r="T4181" s="260"/>
      <c r="U4181" s="252"/>
      <c r="V4181" s="252"/>
      <c r="W4181" s="460">
        <f t="shared" si="2"/>
        <v>0</v>
      </c>
      <c r="X4181" s="258"/>
      <c r="Y4181" s="202"/>
      <c r="Z4181" s="48"/>
      <c r="AA4181" s="252"/>
      <c r="AB4181" s="252"/>
      <c r="AC4181" s="460">
        <f t="shared" si="3"/>
        <v>0</v>
      </c>
      <c r="AF4181"/>
      <c r="AG4181"/>
    </row>
    <row r="4182" spans="1:33" s="47" customFormat="1">
      <c r="A4182"/>
      <c r="B4182"/>
      <c r="C4182"/>
      <c r="D4182"/>
      <c r="E4182"/>
      <c r="F4182"/>
      <c r="G4182"/>
      <c r="H4182"/>
      <c r="I4182"/>
      <c r="J4182"/>
      <c r="K4182"/>
      <c r="L4182"/>
      <c r="M4182" s="820"/>
      <c r="N4182" s="461" t="str">
        <f>N4161 &amp; ".4"</f>
        <v>4.0.1.1.4</v>
      </c>
      <c r="O4182" s="457" t="s">
        <v>87</v>
      </c>
      <c r="P4182" s="473" t="s">
        <v>214</v>
      </c>
      <c r="Q4182" s="258"/>
      <c r="R4182" s="259"/>
      <c r="S4182" s="259"/>
      <c r="T4182" s="260"/>
      <c r="U4182" s="252"/>
      <c r="V4182" s="252"/>
      <c r="W4182" s="460">
        <f t="shared" si="2"/>
        <v>0</v>
      </c>
      <c r="X4182" s="258"/>
      <c r="Y4182" s="202"/>
      <c r="Z4182" s="48"/>
      <c r="AA4182" s="252"/>
      <c r="AB4182" s="252"/>
      <c r="AC4182" s="460">
        <f t="shared" si="3"/>
        <v>0</v>
      </c>
      <c r="AF4182"/>
      <c r="AG4182"/>
    </row>
    <row r="4183" spans="1:33" s="47" customFormat="1">
      <c r="A4183"/>
      <c r="B4183"/>
      <c r="C4183"/>
      <c r="D4183"/>
      <c r="E4183"/>
      <c r="F4183"/>
      <c r="G4183"/>
      <c r="H4183"/>
      <c r="I4183"/>
      <c r="J4183"/>
      <c r="K4183"/>
      <c r="L4183"/>
      <c r="M4183" s="820"/>
      <c r="N4183" s="461" t="str">
        <f>N4161&amp;".5"</f>
        <v>4.0.1.1.5</v>
      </c>
      <c r="O4183" s="457" t="s">
        <v>89</v>
      </c>
      <c r="P4183" s="473" t="s">
        <v>214</v>
      </c>
      <c r="Q4183" s="258"/>
      <c r="R4183" s="259"/>
      <c r="S4183" s="259"/>
      <c r="T4183" s="260"/>
      <c r="U4183" s="252"/>
      <c r="V4183" s="252"/>
      <c r="W4183" s="460">
        <f t="shared" si="2"/>
        <v>0</v>
      </c>
      <c r="X4183" s="258"/>
      <c r="Y4183" s="202"/>
      <c r="Z4183" s="48"/>
      <c r="AA4183" s="252"/>
      <c r="AB4183" s="252"/>
      <c r="AC4183" s="460">
        <f t="shared" si="3"/>
        <v>0</v>
      </c>
      <c r="AF4183"/>
      <c r="AG4183"/>
    </row>
    <row r="4184" spans="1:33" s="47" customFormat="1">
      <c r="A4184"/>
      <c r="B4184"/>
      <c r="C4184"/>
      <c r="D4184"/>
      <c r="E4184"/>
      <c r="F4184"/>
      <c r="G4184"/>
      <c r="H4184"/>
      <c r="I4184"/>
      <c r="J4184"/>
      <c r="K4184"/>
      <c r="L4184"/>
      <c r="M4184" s="820"/>
      <c r="N4184" s="461" t="str">
        <f>N4161 &amp; ".6"</f>
        <v>4.0.1.1.6</v>
      </c>
      <c r="O4184" s="457" t="s">
        <v>91</v>
      </c>
      <c r="P4184" s="473" t="s">
        <v>214</v>
      </c>
      <c r="Q4184" s="258"/>
      <c r="R4184" s="259"/>
      <c r="S4184" s="259"/>
      <c r="T4184" s="260"/>
      <c r="U4184" s="252"/>
      <c r="V4184" s="252"/>
      <c r="W4184" s="460">
        <f t="shared" si="2"/>
        <v>0</v>
      </c>
      <c r="X4184" s="258"/>
      <c r="Y4184" s="202"/>
      <c r="Z4184" s="48"/>
      <c r="AA4184" s="252"/>
      <c r="AB4184" s="252"/>
      <c r="AC4184" s="460">
        <f t="shared" si="3"/>
        <v>0</v>
      </c>
      <c r="AF4184"/>
      <c r="AG4184"/>
    </row>
    <row r="4185" spans="1:33" s="47" customFormat="1">
      <c r="A4185"/>
      <c r="B4185"/>
      <c r="C4185"/>
      <c r="D4185"/>
      <c r="E4185"/>
      <c r="F4185"/>
      <c r="G4185"/>
      <c r="H4185"/>
      <c r="I4185"/>
      <c r="J4185"/>
      <c r="K4185"/>
      <c r="L4185"/>
      <c r="M4185" s="820"/>
      <c r="N4185" s="461" t="str">
        <f>N4161 &amp; ".7"</f>
        <v>4.0.1.1.7</v>
      </c>
      <c r="O4185" s="457" t="s">
        <v>93</v>
      </c>
      <c r="P4185" s="473" t="s">
        <v>214</v>
      </c>
      <c r="Q4185" s="258"/>
      <c r="R4185" s="259"/>
      <c r="S4185" s="259"/>
      <c r="T4185" s="260"/>
      <c r="U4185" s="252"/>
      <c r="V4185" s="252"/>
      <c r="W4185" s="460">
        <f t="shared" si="2"/>
        <v>0</v>
      </c>
      <c r="X4185" s="258"/>
      <c r="Y4185" s="202"/>
      <c r="Z4185" s="48"/>
      <c r="AA4185" s="252"/>
      <c r="AB4185" s="252"/>
      <c r="AC4185" s="460">
        <f t="shared" si="3"/>
        <v>0</v>
      </c>
      <c r="AF4185"/>
      <c r="AG4185"/>
    </row>
    <row r="4186" spans="1:33" s="47" customFormat="1">
      <c r="A4186"/>
      <c r="B4186"/>
      <c r="C4186"/>
      <c r="D4186"/>
      <c r="E4186"/>
      <c r="F4186"/>
      <c r="G4186"/>
      <c r="H4186"/>
      <c r="I4186"/>
      <c r="J4186"/>
      <c r="K4186"/>
      <c r="L4186"/>
      <c r="M4186" s="820"/>
      <c r="N4186" s="461" t="str">
        <f>N4161 &amp; ".8"</f>
        <v>4.0.1.1.8</v>
      </c>
      <c r="O4186" s="457" t="s">
        <v>95</v>
      </c>
      <c r="P4186" s="473" t="s">
        <v>214</v>
      </c>
      <c r="Q4186" s="258"/>
      <c r="R4186" s="259"/>
      <c r="S4186" s="259"/>
      <c r="T4186" s="260"/>
      <c r="U4186" s="252"/>
      <c r="V4186" s="252"/>
      <c r="W4186" s="460">
        <f t="shared" si="2"/>
        <v>0</v>
      </c>
      <c r="X4186" s="258"/>
      <c r="Y4186" s="202"/>
      <c r="Z4186" s="48"/>
      <c r="AA4186" s="252"/>
      <c r="AB4186" s="252"/>
      <c r="AC4186" s="460">
        <f t="shared" si="3"/>
        <v>0</v>
      </c>
      <c r="AF4186"/>
      <c r="AG4186"/>
    </row>
    <row r="4187" spans="1:33" s="47" customFormat="1">
      <c r="A4187"/>
      <c r="B4187"/>
      <c r="C4187"/>
      <c r="D4187"/>
      <c r="E4187"/>
      <c r="F4187"/>
      <c r="G4187"/>
      <c r="H4187"/>
      <c r="I4187"/>
      <c r="J4187"/>
      <c r="K4187"/>
      <c r="L4187"/>
      <c r="M4187" s="820"/>
      <c r="N4187" s="461" t="str">
        <f>N4161 &amp; ".9"</f>
        <v>4.0.1.1.9</v>
      </c>
      <c r="O4187" s="457" t="s">
        <v>2976</v>
      </c>
      <c r="P4187" s="473" t="s">
        <v>214</v>
      </c>
      <c r="Q4187" s="258"/>
      <c r="R4187" s="259"/>
      <c r="S4187" s="259"/>
      <c r="T4187" s="260"/>
      <c r="U4187" s="252"/>
      <c r="V4187" s="252"/>
      <c r="W4187" s="460">
        <f t="shared" si="2"/>
        <v>0</v>
      </c>
      <c r="X4187" s="258"/>
      <c r="Y4187" s="202"/>
      <c r="Z4187" s="48"/>
      <c r="AA4187" s="252"/>
      <c r="AB4187" s="252"/>
      <c r="AC4187" s="460">
        <f t="shared" si="3"/>
        <v>0</v>
      </c>
      <c r="AF4187"/>
      <c r="AG4187"/>
    </row>
    <row r="4188" spans="1:33" s="47" customFormat="1">
      <c r="A4188"/>
      <c r="B4188"/>
      <c r="C4188"/>
      <c r="D4188"/>
      <c r="E4188"/>
      <c r="F4188"/>
      <c r="G4188"/>
      <c r="H4188"/>
      <c r="I4188"/>
      <c r="J4188"/>
      <c r="K4188"/>
      <c r="L4188"/>
      <c r="M4188" s="820"/>
      <c r="N4188" s="461" t="str">
        <f>N4161 &amp; ".10"</f>
        <v>4.0.1.1.10</v>
      </c>
      <c r="O4188" s="457" t="s">
        <v>2978</v>
      </c>
      <c r="P4188" s="473" t="s">
        <v>214</v>
      </c>
      <c r="Q4188" s="258"/>
      <c r="R4188" s="259"/>
      <c r="S4188" s="259"/>
      <c r="T4188" s="260"/>
      <c r="U4188" s="252"/>
      <c r="V4188" s="252"/>
      <c r="W4188" s="460">
        <f t="shared" si="2"/>
        <v>0</v>
      </c>
      <c r="X4188" s="258"/>
      <c r="Y4188" s="202"/>
      <c r="Z4188" s="48"/>
      <c r="AA4188" s="252"/>
      <c r="AB4188" s="252"/>
      <c r="AC4188" s="460">
        <f t="shared" si="3"/>
        <v>0</v>
      </c>
      <c r="AF4188"/>
      <c r="AG4188"/>
    </row>
    <row r="4189" spans="1:33" s="47" customFormat="1">
      <c r="A4189"/>
      <c r="B4189"/>
      <c r="C4189"/>
      <c r="D4189"/>
      <c r="E4189"/>
      <c r="F4189"/>
      <c r="G4189"/>
      <c r="H4189"/>
      <c r="I4189"/>
      <c r="J4189"/>
      <c r="K4189"/>
      <c r="L4189"/>
      <c r="M4189" s="820"/>
      <c r="N4189" s="461" t="str">
        <f>N4161 &amp; ".11"</f>
        <v>4.0.1.1.11</v>
      </c>
      <c r="O4189" s="457" t="s">
        <v>2980</v>
      </c>
      <c r="P4189" s="473" t="s">
        <v>214</v>
      </c>
      <c r="Q4189" s="258"/>
      <c r="R4189" s="259"/>
      <c r="S4189" s="259"/>
      <c r="T4189" s="260"/>
      <c r="U4189" s="252"/>
      <c r="V4189" s="252"/>
      <c r="W4189" s="460">
        <f t="shared" si="2"/>
        <v>0</v>
      </c>
      <c r="X4189" s="258"/>
      <c r="Y4189" s="202"/>
      <c r="Z4189" s="48"/>
      <c r="AA4189" s="252"/>
      <c r="AB4189" s="252"/>
      <c r="AC4189" s="460">
        <f t="shared" si="3"/>
        <v>0</v>
      </c>
      <c r="AF4189"/>
      <c r="AG4189"/>
    </row>
    <row r="4190" spans="1:33" s="47" customFormat="1">
      <c r="A4190"/>
      <c r="B4190"/>
      <c r="C4190"/>
      <c r="D4190"/>
      <c r="E4190"/>
      <c r="F4190"/>
      <c r="G4190"/>
      <c r="H4190"/>
      <c r="I4190"/>
      <c r="J4190"/>
      <c r="K4190"/>
      <c r="L4190"/>
      <c r="M4190" s="820"/>
      <c r="N4190" s="461" t="str">
        <f>N4161 &amp; ".12"</f>
        <v>4.0.1.1.12</v>
      </c>
      <c r="O4190" s="457" t="s">
        <v>2982</v>
      </c>
      <c r="P4190" s="473" t="s">
        <v>214</v>
      </c>
      <c r="Q4190" s="258"/>
      <c r="R4190" s="259"/>
      <c r="S4190" s="259"/>
      <c r="T4190" s="260"/>
      <c r="U4190" s="252"/>
      <c r="V4190" s="252"/>
      <c r="W4190" s="460">
        <f t="shared" si="2"/>
        <v>0</v>
      </c>
      <c r="X4190" s="258"/>
      <c r="Y4190" s="202"/>
      <c r="Z4190" s="48"/>
      <c r="AA4190" s="252"/>
      <c r="AB4190" s="252"/>
      <c r="AC4190" s="460">
        <f t="shared" si="3"/>
        <v>0</v>
      </c>
      <c r="AF4190"/>
      <c r="AG4190"/>
    </row>
    <row r="4191" spans="1:33" s="47" customFormat="1" hidden="1">
      <c r="A4191"/>
      <c r="B4191"/>
      <c r="C4191"/>
      <c r="D4191"/>
      <c r="E4191"/>
      <c r="F4191"/>
      <c r="G4191"/>
      <c r="H4191"/>
      <c r="I4191"/>
      <c r="J4191"/>
      <c r="K4191"/>
      <c r="L4191"/>
      <c r="M4191" s="820"/>
      <c r="N4191" s="451"/>
      <c r="O4191" s="455"/>
      <c r="P4191" s="473"/>
      <c r="Q4191" s="258"/>
      <c r="R4191" s="259"/>
      <c r="S4191" s="259"/>
      <c r="T4191" s="260"/>
      <c r="U4191" s="252"/>
      <c r="V4191" s="252"/>
      <c r="W4191" s="456"/>
      <c r="X4191" s="258"/>
      <c r="Y4191" s="202"/>
      <c r="Z4191" s="48"/>
      <c r="AA4191" s="252"/>
      <c r="AB4191" s="252"/>
      <c r="AC4191" s="456"/>
      <c r="AF4191"/>
      <c r="AG4191"/>
    </row>
    <row r="4192" spans="1:33" s="47" customFormat="1" hidden="1">
      <c r="A4192"/>
      <c r="B4192"/>
      <c r="C4192"/>
      <c r="D4192"/>
      <c r="E4192"/>
      <c r="F4192"/>
      <c r="G4192"/>
      <c r="H4192"/>
      <c r="I4192"/>
      <c r="J4192"/>
      <c r="K4192"/>
      <c r="L4192"/>
      <c r="M4192" s="820"/>
      <c r="N4192" s="451"/>
      <c r="O4192" s="455"/>
      <c r="P4192" s="473"/>
      <c r="Q4192" s="258"/>
      <c r="R4192" s="259"/>
      <c r="S4192" s="259"/>
      <c r="T4192" s="260"/>
      <c r="U4192" s="252"/>
      <c r="V4192" s="252"/>
      <c r="W4192" s="456"/>
      <c r="X4192" s="258"/>
      <c r="Y4192" s="202"/>
      <c r="Z4192" s="48"/>
      <c r="AA4192" s="252"/>
      <c r="AB4192" s="252"/>
      <c r="AC4192" s="456"/>
      <c r="AF4192"/>
      <c r="AG4192"/>
    </row>
    <row r="4193" spans="1:33" s="47" customFormat="1">
      <c r="A4193"/>
      <c r="B4193"/>
      <c r="C4193"/>
      <c r="D4193"/>
      <c r="E4193"/>
      <c r="F4193"/>
      <c r="G4193"/>
      <c r="H4193"/>
      <c r="I4193"/>
      <c r="J4193"/>
      <c r="K4193"/>
      <c r="L4193"/>
      <c r="M4193" s="820"/>
      <c r="N4193" s="461" t="str">
        <f>N4161 &amp; ".15"</f>
        <v>4.0.1.1.15</v>
      </c>
      <c r="O4193" s="457" t="s">
        <v>291</v>
      </c>
      <c r="P4193" s="473" t="s">
        <v>214</v>
      </c>
      <c r="Q4193" s="258"/>
      <c r="R4193" s="259"/>
      <c r="S4193" s="259"/>
      <c r="T4193" s="260"/>
      <c r="U4193" s="252"/>
      <c r="V4193" s="252"/>
      <c r="W4193" s="460">
        <f>IF(W4259=0,0,W4160/W4259)</f>
        <v>0</v>
      </c>
      <c r="X4193" s="258"/>
      <c r="Y4193" s="202"/>
      <c r="Z4193" s="48"/>
      <c r="AA4193" s="252"/>
      <c r="AB4193" s="252"/>
      <c r="AC4193" s="460">
        <f>IF(AC4259=0,0,AC4160/AC4259)</f>
        <v>0</v>
      </c>
      <c r="AF4193"/>
      <c r="AG4193"/>
    </row>
    <row r="4194" spans="1:33" s="47" customFormat="1">
      <c r="A4194"/>
      <c r="B4194"/>
      <c r="C4194"/>
      <c r="D4194"/>
      <c r="E4194"/>
      <c r="F4194"/>
      <c r="G4194"/>
      <c r="H4194"/>
      <c r="I4194"/>
      <c r="J4194"/>
      <c r="K4194"/>
      <c r="L4194"/>
      <c r="M4194" s="820"/>
      <c r="N4194" s="449" t="s">
        <v>258</v>
      </c>
      <c r="O4194" s="450" t="s">
        <v>215</v>
      </c>
      <c r="P4194" s="473"/>
      <c r="Q4194" s="258"/>
      <c r="R4194" s="259"/>
      <c r="S4194" s="259"/>
      <c r="T4194" s="260"/>
      <c r="U4194" s="252"/>
      <c r="V4194" s="252"/>
      <c r="W4194" s="456"/>
      <c r="X4194" s="258"/>
      <c r="Y4194" s="202"/>
      <c r="Z4194" s="48"/>
      <c r="AA4194" s="252"/>
      <c r="AB4194" s="252"/>
      <c r="AC4194" s="456"/>
      <c r="AF4194"/>
      <c r="AG4194"/>
    </row>
    <row r="4195" spans="1:33" s="47" customFormat="1">
      <c r="A4195"/>
      <c r="B4195"/>
      <c r="C4195"/>
      <c r="D4195"/>
      <c r="E4195"/>
      <c r="F4195"/>
      <c r="G4195"/>
      <c r="H4195"/>
      <c r="I4195"/>
      <c r="J4195"/>
      <c r="K4195"/>
      <c r="L4195"/>
      <c r="M4195" s="820"/>
      <c r="N4195" s="461" t="str">
        <f>N4194 &amp; ".1"</f>
        <v>4.0.1.2.1</v>
      </c>
      <c r="O4195" s="453" t="s">
        <v>78</v>
      </c>
      <c r="P4195" s="473" t="s">
        <v>216</v>
      </c>
      <c r="Q4195" s="258"/>
      <c r="R4195" s="259"/>
      <c r="S4195" s="259"/>
      <c r="T4195" s="260"/>
      <c r="U4195" s="252"/>
      <c r="V4195" s="252"/>
      <c r="W4195" s="452">
        <f>W4363+W4502+W4601+W4700</f>
        <v>0</v>
      </c>
      <c r="X4195" s="258"/>
      <c r="Y4195" s="202"/>
      <c r="Z4195" s="48"/>
      <c r="AA4195" s="252"/>
      <c r="AB4195" s="252"/>
      <c r="AC4195" s="452">
        <f>AC4363+AC4502+AC4601+AC4700</f>
        <v>0</v>
      </c>
      <c r="AF4195"/>
      <c r="AG4195"/>
    </row>
    <row r="4196" spans="1:33" s="47" customFormat="1" ht="12.75">
      <c r="A4196"/>
      <c r="B4196"/>
      <c r="C4196"/>
      <c r="D4196"/>
      <c r="E4196"/>
      <c r="F4196"/>
      <c r="G4196"/>
      <c r="H4196"/>
      <c r="I4196"/>
      <c r="J4196"/>
      <c r="K4196"/>
      <c r="L4196"/>
      <c r="M4196" s="820"/>
      <c r="N4196" s="461" t="str">
        <f>N4194 &amp; ".2"</f>
        <v>4.0.1.2.2</v>
      </c>
      <c r="O4196" s="454" t="s">
        <v>212</v>
      </c>
      <c r="P4196" s="473" t="s">
        <v>285</v>
      </c>
      <c r="Q4196" s="258"/>
      <c r="R4196" s="259"/>
      <c r="S4196" s="259"/>
      <c r="T4196" s="260"/>
      <c r="U4196" s="252"/>
      <c r="V4196" s="252"/>
      <c r="W4196" s="452">
        <f>IF(W4328=0,0,W4130/W4328*1000)</f>
        <v>0</v>
      </c>
      <c r="X4196" s="258"/>
      <c r="Y4196" s="202"/>
      <c r="Z4196" s="48"/>
      <c r="AA4196" s="252"/>
      <c r="AB4196" s="252"/>
      <c r="AC4196" s="452">
        <f>IF(AC4328=0,0,AC4130/AC4328*1000)</f>
        <v>0</v>
      </c>
      <c r="AF4196"/>
      <c r="AG4196"/>
    </row>
    <row r="4197" spans="1:33" s="47" customFormat="1" ht="12.75">
      <c r="A4197"/>
      <c r="B4197"/>
      <c r="C4197"/>
      <c r="D4197"/>
      <c r="E4197"/>
      <c r="F4197"/>
      <c r="G4197"/>
      <c r="H4197"/>
      <c r="I4197"/>
      <c r="J4197"/>
      <c r="K4197"/>
      <c r="L4197"/>
      <c r="M4197" s="820"/>
      <c r="N4197" s="461" t="str">
        <f>N4194 &amp; ".2.1"</f>
        <v>4.0.1.2.2.1</v>
      </c>
      <c r="O4197" s="455" t="s">
        <v>79</v>
      </c>
      <c r="P4197" s="473" t="s">
        <v>285</v>
      </c>
      <c r="Q4197" s="258"/>
      <c r="R4197" s="259"/>
      <c r="S4197" s="259"/>
      <c r="T4197" s="260"/>
      <c r="U4197" s="252"/>
      <c r="V4197" s="252"/>
      <c r="W4197" s="452">
        <f>IF(W4329=0,0,W4131/W4329*1000)</f>
        <v>0</v>
      </c>
      <c r="X4197" s="258"/>
      <c r="Y4197" s="202"/>
      <c r="Z4197" s="48"/>
      <c r="AA4197" s="252"/>
      <c r="AB4197" s="252"/>
      <c r="AC4197" s="452">
        <f>IF(AC4329=0,0,AC4131/AC4329*1000)</f>
        <v>0</v>
      </c>
      <c r="AF4197"/>
      <c r="AG4197"/>
    </row>
    <row r="4198" spans="1:33" s="47" customFormat="1" hidden="1">
      <c r="A4198"/>
      <c r="B4198"/>
      <c r="C4198"/>
      <c r="D4198"/>
      <c r="E4198"/>
      <c r="F4198"/>
      <c r="G4198"/>
      <c r="H4198"/>
      <c r="I4198"/>
      <c r="J4198"/>
      <c r="K4198"/>
      <c r="L4198"/>
      <c r="M4198" s="820"/>
      <c r="N4198" s="451"/>
      <c r="O4198" s="455"/>
      <c r="P4198" s="473"/>
      <c r="Q4198" s="258"/>
      <c r="R4198" s="259"/>
      <c r="S4198" s="259"/>
      <c r="T4198" s="260"/>
      <c r="U4198" s="252"/>
      <c r="V4198" s="252"/>
      <c r="W4198" s="456"/>
      <c r="X4198" s="258"/>
      <c r="Y4198" s="202"/>
      <c r="Z4198" s="48"/>
      <c r="AA4198" s="252"/>
      <c r="AB4198" s="252"/>
      <c r="AC4198" s="456"/>
      <c r="AF4198"/>
      <c r="AG4198"/>
    </row>
    <row r="4199" spans="1:33" s="47" customFormat="1" hidden="1">
      <c r="A4199"/>
      <c r="B4199"/>
      <c r="C4199"/>
      <c r="D4199"/>
      <c r="E4199"/>
      <c r="F4199"/>
      <c r="G4199"/>
      <c r="H4199"/>
      <c r="I4199"/>
      <c r="J4199"/>
      <c r="K4199"/>
      <c r="L4199"/>
      <c r="M4199" s="820"/>
      <c r="N4199" s="451"/>
      <c r="O4199" s="455"/>
      <c r="P4199" s="473"/>
      <c r="Q4199" s="258"/>
      <c r="R4199" s="259"/>
      <c r="S4199" s="259"/>
      <c r="T4199" s="260"/>
      <c r="U4199" s="252"/>
      <c r="V4199" s="252"/>
      <c r="W4199" s="456"/>
      <c r="X4199" s="258"/>
      <c r="Y4199" s="202"/>
      <c r="Z4199" s="48"/>
      <c r="AA4199" s="252"/>
      <c r="AB4199" s="252"/>
      <c r="AC4199" s="456"/>
      <c r="AF4199"/>
      <c r="AG4199"/>
    </row>
    <row r="4200" spans="1:33" s="47" customFormat="1" hidden="1">
      <c r="A4200"/>
      <c r="B4200"/>
      <c r="C4200"/>
      <c r="D4200"/>
      <c r="E4200"/>
      <c r="F4200"/>
      <c r="G4200"/>
      <c r="H4200"/>
      <c r="I4200"/>
      <c r="J4200"/>
      <c r="K4200"/>
      <c r="L4200"/>
      <c r="M4200" s="820"/>
      <c r="N4200" s="451"/>
      <c r="O4200" s="455"/>
      <c r="P4200" s="473"/>
      <c r="Q4200" s="258"/>
      <c r="R4200" s="259"/>
      <c r="S4200" s="259"/>
      <c r="T4200" s="260"/>
      <c r="U4200" s="252"/>
      <c r="V4200" s="252"/>
      <c r="W4200" s="456"/>
      <c r="X4200" s="258"/>
      <c r="Y4200" s="202"/>
      <c r="Z4200" s="48"/>
      <c r="AA4200" s="252"/>
      <c r="AB4200" s="252"/>
      <c r="AC4200" s="456"/>
      <c r="AF4200"/>
      <c r="AG4200"/>
    </row>
    <row r="4201" spans="1:33" s="47" customFormat="1" hidden="1">
      <c r="A4201"/>
      <c r="B4201"/>
      <c r="C4201"/>
      <c r="D4201"/>
      <c r="E4201"/>
      <c r="F4201"/>
      <c r="G4201"/>
      <c r="H4201"/>
      <c r="I4201"/>
      <c r="J4201"/>
      <c r="K4201"/>
      <c r="L4201"/>
      <c r="M4201" s="820"/>
      <c r="N4201" s="451"/>
      <c r="O4201" s="455"/>
      <c r="P4201" s="473"/>
      <c r="Q4201" s="258"/>
      <c r="R4201" s="259"/>
      <c r="S4201" s="259"/>
      <c r="T4201" s="260"/>
      <c r="U4201" s="252"/>
      <c r="V4201" s="252"/>
      <c r="W4201" s="456"/>
      <c r="X4201" s="258"/>
      <c r="Y4201" s="202"/>
      <c r="Z4201" s="48"/>
      <c r="AA4201" s="252"/>
      <c r="AB4201" s="252"/>
      <c r="AC4201" s="456"/>
      <c r="AF4201"/>
      <c r="AG4201"/>
    </row>
    <row r="4202" spans="1:33" s="47" customFormat="1" hidden="1">
      <c r="A4202"/>
      <c r="B4202"/>
      <c r="C4202"/>
      <c r="D4202"/>
      <c r="E4202"/>
      <c r="F4202"/>
      <c r="G4202"/>
      <c r="H4202"/>
      <c r="I4202"/>
      <c r="J4202"/>
      <c r="K4202"/>
      <c r="L4202"/>
      <c r="M4202" s="820"/>
      <c r="N4202" s="451"/>
      <c r="O4202" s="455"/>
      <c r="P4202" s="473"/>
      <c r="Q4202" s="258"/>
      <c r="R4202" s="259"/>
      <c r="S4202" s="259"/>
      <c r="T4202" s="260"/>
      <c r="U4202" s="252"/>
      <c r="V4202" s="252"/>
      <c r="W4202" s="456"/>
      <c r="X4202" s="258"/>
      <c r="Y4202" s="202"/>
      <c r="Z4202" s="48"/>
      <c r="AA4202" s="252"/>
      <c r="AB4202" s="252"/>
      <c r="AC4202" s="456"/>
      <c r="AF4202"/>
      <c r="AG4202"/>
    </row>
    <row r="4203" spans="1:33" s="47" customFormat="1" hidden="1">
      <c r="A4203"/>
      <c r="B4203"/>
      <c r="C4203"/>
      <c r="D4203"/>
      <c r="E4203"/>
      <c r="F4203"/>
      <c r="G4203"/>
      <c r="H4203"/>
      <c r="I4203"/>
      <c r="J4203"/>
      <c r="K4203"/>
      <c r="L4203"/>
      <c r="M4203" s="820"/>
      <c r="N4203" s="451"/>
      <c r="O4203" s="455"/>
      <c r="P4203" s="473"/>
      <c r="Q4203" s="258"/>
      <c r="R4203" s="259"/>
      <c r="S4203" s="259"/>
      <c r="T4203" s="260"/>
      <c r="U4203" s="252"/>
      <c r="V4203" s="252"/>
      <c r="W4203" s="456"/>
      <c r="X4203" s="258"/>
      <c r="Y4203" s="202"/>
      <c r="Z4203" s="48"/>
      <c r="AA4203" s="252"/>
      <c r="AB4203" s="252"/>
      <c r="AC4203" s="456"/>
      <c r="AF4203"/>
      <c r="AG4203"/>
    </row>
    <row r="4204" spans="1:33" s="47" customFormat="1" hidden="1">
      <c r="A4204"/>
      <c r="B4204"/>
      <c r="C4204"/>
      <c r="D4204"/>
      <c r="E4204"/>
      <c r="F4204"/>
      <c r="G4204"/>
      <c r="H4204"/>
      <c r="I4204"/>
      <c r="J4204"/>
      <c r="K4204"/>
      <c r="L4204"/>
      <c r="M4204" s="820"/>
      <c r="N4204" s="451"/>
      <c r="O4204" s="455"/>
      <c r="P4204" s="473"/>
      <c r="Q4204" s="258"/>
      <c r="R4204" s="259"/>
      <c r="S4204" s="259"/>
      <c r="T4204" s="260"/>
      <c r="U4204" s="252"/>
      <c r="V4204" s="252"/>
      <c r="W4204" s="456"/>
      <c r="X4204" s="258"/>
      <c r="Y4204" s="202"/>
      <c r="Z4204" s="48"/>
      <c r="AA4204" s="252"/>
      <c r="AB4204" s="252"/>
      <c r="AC4204" s="456"/>
      <c r="AF4204"/>
      <c r="AG4204"/>
    </row>
    <row r="4205" spans="1:33" s="47" customFormat="1" ht="12.75">
      <c r="A4205"/>
      <c r="B4205"/>
      <c r="C4205"/>
      <c r="D4205"/>
      <c r="E4205"/>
      <c r="F4205"/>
      <c r="G4205"/>
      <c r="H4205"/>
      <c r="I4205"/>
      <c r="J4205"/>
      <c r="K4205"/>
      <c r="L4205"/>
      <c r="M4205" s="820"/>
      <c r="N4205" s="461" t="str">
        <f>N4194 &amp; ".2.2"</f>
        <v>4.0.1.2.2.2</v>
      </c>
      <c r="O4205" s="455" t="s">
        <v>81</v>
      </c>
      <c r="P4205" s="473" t="s">
        <v>285</v>
      </c>
      <c r="Q4205" s="258"/>
      <c r="R4205" s="259"/>
      <c r="S4205" s="259"/>
      <c r="T4205" s="260"/>
      <c r="U4205" s="252"/>
      <c r="V4205" s="252"/>
      <c r="W4205" s="452">
        <f>IF(W4337=0,0,W4139/W4337*1000)</f>
        <v>0</v>
      </c>
      <c r="X4205" s="258"/>
      <c r="Y4205" s="202"/>
      <c r="Z4205" s="48"/>
      <c r="AA4205" s="252"/>
      <c r="AB4205" s="252"/>
      <c r="AC4205" s="452">
        <f>IF(AC4337=0,0,AC4139/AC4337*1000)</f>
        <v>0</v>
      </c>
      <c r="AF4205"/>
      <c r="AG4205"/>
    </row>
    <row r="4206" spans="1:33" s="47" customFormat="1" hidden="1">
      <c r="A4206"/>
      <c r="B4206"/>
      <c r="C4206"/>
      <c r="D4206"/>
      <c r="E4206"/>
      <c r="F4206"/>
      <c r="G4206"/>
      <c r="H4206"/>
      <c r="I4206"/>
      <c r="J4206"/>
      <c r="K4206"/>
      <c r="L4206"/>
      <c r="M4206" s="820"/>
      <c r="N4206" s="451"/>
      <c r="O4206" s="455"/>
      <c r="P4206" s="473"/>
      <c r="Q4206" s="258"/>
      <c r="R4206" s="259"/>
      <c r="S4206" s="259"/>
      <c r="T4206" s="260"/>
      <c r="U4206" s="252"/>
      <c r="V4206" s="252"/>
      <c r="W4206" s="456"/>
      <c r="X4206" s="258"/>
      <c r="Y4206" s="202"/>
      <c r="Z4206" s="48"/>
      <c r="AA4206" s="252"/>
      <c r="AB4206" s="252"/>
      <c r="AC4206" s="456"/>
      <c r="AF4206"/>
      <c r="AG4206"/>
    </row>
    <row r="4207" spans="1:33" s="47" customFormat="1" hidden="1">
      <c r="A4207"/>
      <c r="B4207"/>
      <c r="C4207"/>
      <c r="D4207"/>
      <c r="E4207"/>
      <c r="F4207"/>
      <c r="G4207"/>
      <c r="H4207"/>
      <c r="I4207"/>
      <c r="J4207"/>
      <c r="K4207"/>
      <c r="L4207"/>
      <c r="M4207" s="820"/>
      <c r="N4207" s="451"/>
      <c r="O4207" s="455"/>
      <c r="P4207" s="473"/>
      <c r="Q4207" s="258"/>
      <c r="R4207" s="259"/>
      <c r="S4207" s="259"/>
      <c r="T4207" s="260"/>
      <c r="U4207" s="252"/>
      <c r="V4207" s="252"/>
      <c r="W4207" s="456"/>
      <c r="X4207" s="258"/>
      <c r="Y4207" s="202"/>
      <c r="Z4207" s="48"/>
      <c r="AA4207" s="252"/>
      <c r="AB4207" s="252"/>
      <c r="AC4207" s="456"/>
      <c r="AF4207"/>
      <c r="AG4207"/>
    </row>
    <row r="4208" spans="1:33" s="47" customFormat="1" hidden="1">
      <c r="A4208"/>
      <c r="B4208"/>
      <c r="C4208"/>
      <c r="D4208"/>
      <c r="E4208"/>
      <c r="F4208"/>
      <c r="G4208"/>
      <c r="H4208"/>
      <c r="I4208"/>
      <c r="J4208"/>
      <c r="K4208"/>
      <c r="L4208"/>
      <c r="M4208" s="820"/>
      <c r="N4208" s="451"/>
      <c r="O4208" s="455"/>
      <c r="P4208" s="473"/>
      <c r="Q4208" s="258"/>
      <c r="R4208" s="259"/>
      <c r="S4208" s="259"/>
      <c r="T4208" s="260"/>
      <c r="U4208" s="252"/>
      <c r="V4208" s="252"/>
      <c r="W4208" s="456"/>
      <c r="X4208" s="258"/>
      <c r="Y4208" s="202"/>
      <c r="Z4208" s="48"/>
      <c r="AA4208" s="252"/>
      <c r="AB4208" s="252"/>
      <c r="AC4208" s="456"/>
      <c r="AF4208"/>
      <c r="AG4208"/>
    </row>
    <row r="4209" spans="1:33" s="47" customFormat="1" hidden="1">
      <c r="A4209"/>
      <c r="B4209"/>
      <c r="C4209"/>
      <c r="D4209"/>
      <c r="E4209"/>
      <c r="F4209"/>
      <c r="G4209"/>
      <c r="H4209"/>
      <c r="I4209"/>
      <c r="J4209"/>
      <c r="K4209"/>
      <c r="L4209"/>
      <c r="M4209" s="820"/>
      <c r="N4209" s="451"/>
      <c r="O4209" s="455"/>
      <c r="P4209" s="473"/>
      <c r="Q4209" s="258"/>
      <c r="R4209" s="259"/>
      <c r="S4209" s="259"/>
      <c r="T4209" s="260"/>
      <c r="U4209" s="252"/>
      <c r="V4209" s="252"/>
      <c r="W4209" s="456"/>
      <c r="X4209" s="258"/>
      <c r="Y4209" s="202"/>
      <c r="Z4209" s="48"/>
      <c r="AA4209" s="252"/>
      <c r="AB4209" s="252"/>
      <c r="AC4209" s="456"/>
      <c r="AF4209"/>
      <c r="AG4209"/>
    </row>
    <row r="4210" spans="1:33" s="47" customFormat="1" hidden="1">
      <c r="A4210"/>
      <c r="B4210"/>
      <c r="C4210"/>
      <c r="D4210"/>
      <c r="E4210"/>
      <c r="F4210"/>
      <c r="G4210"/>
      <c r="H4210"/>
      <c r="I4210"/>
      <c r="J4210"/>
      <c r="K4210"/>
      <c r="L4210"/>
      <c r="M4210" s="820"/>
      <c r="N4210" s="451"/>
      <c r="O4210" s="455"/>
      <c r="P4210" s="473"/>
      <c r="Q4210" s="258"/>
      <c r="R4210" s="259"/>
      <c r="S4210" s="259"/>
      <c r="T4210" s="260"/>
      <c r="U4210" s="252"/>
      <c r="V4210" s="252"/>
      <c r="W4210" s="456"/>
      <c r="X4210" s="258"/>
      <c r="Y4210" s="202"/>
      <c r="Z4210" s="48"/>
      <c r="AA4210" s="252"/>
      <c r="AB4210" s="252"/>
      <c r="AC4210" s="456"/>
      <c r="AF4210"/>
      <c r="AG4210"/>
    </row>
    <row r="4211" spans="1:33" s="47" customFormat="1" hidden="1">
      <c r="A4211"/>
      <c r="B4211"/>
      <c r="C4211"/>
      <c r="D4211"/>
      <c r="E4211"/>
      <c r="F4211"/>
      <c r="G4211"/>
      <c r="H4211"/>
      <c r="I4211"/>
      <c r="J4211"/>
      <c r="K4211"/>
      <c r="L4211"/>
      <c r="M4211" s="820"/>
      <c r="N4211" s="451"/>
      <c r="O4211" s="455"/>
      <c r="P4211" s="473"/>
      <c r="Q4211" s="258"/>
      <c r="R4211" s="259"/>
      <c r="S4211" s="259"/>
      <c r="T4211" s="260"/>
      <c r="U4211" s="252"/>
      <c r="V4211" s="252"/>
      <c r="W4211" s="456"/>
      <c r="X4211" s="258"/>
      <c r="Y4211" s="202"/>
      <c r="Z4211" s="48"/>
      <c r="AA4211" s="252"/>
      <c r="AB4211" s="252"/>
      <c r="AC4211" s="456"/>
      <c r="AF4211"/>
      <c r="AG4211"/>
    </row>
    <row r="4212" spans="1:33" s="47" customFormat="1" hidden="1">
      <c r="A4212"/>
      <c r="B4212"/>
      <c r="C4212"/>
      <c r="D4212"/>
      <c r="E4212"/>
      <c r="F4212"/>
      <c r="G4212"/>
      <c r="H4212"/>
      <c r="I4212"/>
      <c r="J4212"/>
      <c r="K4212"/>
      <c r="L4212"/>
      <c r="M4212" s="820"/>
      <c r="N4212" s="451"/>
      <c r="O4212" s="455"/>
      <c r="P4212" s="473"/>
      <c r="Q4212" s="258"/>
      <c r="R4212" s="259"/>
      <c r="S4212" s="259"/>
      <c r="T4212" s="260"/>
      <c r="U4212" s="252"/>
      <c r="V4212" s="252"/>
      <c r="W4212" s="456"/>
      <c r="X4212" s="258"/>
      <c r="Y4212" s="202"/>
      <c r="Z4212" s="48"/>
      <c r="AA4212" s="252"/>
      <c r="AB4212" s="252"/>
      <c r="AC4212" s="456"/>
      <c r="AF4212"/>
      <c r="AG4212"/>
    </row>
    <row r="4213" spans="1:33" s="47" customFormat="1" ht="12.75">
      <c r="A4213"/>
      <c r="B4213"/>
      <c r="C4213"/>
      <c r="D4213"/>
      <c r="E4213"/>
      <c r="F4213"/>
      <c r="G4213"/>
      <c r="H4213"/>
      <c r="I4213"/>
      <c r="J4213"/>
      <c r="K4213"/>
      <c r="L4213"/>
      <c r="M4213" s="820"/>
      <c r="N4213" s="461" t="str">
        <f>N4194 &amp; ".2.3"</f>
        <v>4.0.1.2.2.3</v>
      </c>
      <c r="O4213" s="455" t="s">
        <v>83</v>
      </c>
      <c r="P4213" s="473" t="s">
        <v>285</v>
      </c>
      <c r="Q4213" s="258"/>
      <c r="R4213" s="259"/>
      <c r="S4213" s="259"/>
      <c r="T4213" s="260"/>
      <c r="U4213" s="252"/>
      <c r="V4213" s="252"/>
      <c r="W4213" s="452">
        <f>IF(W4345=0,0,W4147/W4345*1000)</f>
        <v>0</v>
      </c>
      <c r="X4213" s="258"/>
      <c r="Y4213" s="202"/>
      <c r="Z4213" s="48"/>
      <c r="AA4213" s="252"/>
      <c r="AB4213" s="252"/>
      <c r="AC4213" s="452">
        <f>IF(AC4345=0,0,AC4147/AC4345*1000)</f>
        <v>0</v>
      </c>
      <c r="AF4213"/>
      <c r="AG4213"/>
    </row>
    <row r="4214" spans="1:33" s="47" customFormat="1">
      <c r="A4214"/>
      <c r="B4214"/>
      <c r="C4214"/>
      <c r="D4214"/>
      <c r="E4214"/>
      <c r="F4214"/>
      <c r="G4214"/>
      <c r="H4214"/>
      <c r="I4214"/>
      <c r="J4214"/>
      <c r="K4214"/>
      <c r="L4214"/>
      <c r="M4214" s="820"/>
      <c r="N4214" s="461" t="str">
        <f>N4194 &amp; ".3"</f>
        <v>4.0.1.2.3</v>
      </c>
      <c r="O4214" s="457" t="s">
        <v>85</v>
      </c>
      <c r="P4214" s="473" t="s">
        <v>216</v>
      </c>
      <c r="Q4214" s="258"/>
      <c r="R4214" s="259"/>
      <c r="S4214" s="259"/>
      <c r="T4214" s="260"/>
      <c r="U4214" s="252"/>
      <c r="V4214" s="252"/>
      <c r="W4214" s="452">
        <f t="shared" ref="W4214:W4223" si="4">W4382+W4521+W4620+W4719</f>
        <v>0</v>
      </c>
      <c r="X4214" s="258"/>
      <c r="Y4214" s="202"/>
      <c r="Z4214" s="48"/>
      <c r="AA4214" s="252"/>
      <c r="AB4214" s="252"/>
      <c r="AC4214" s="452">
        <f t="shared" ref="AC4214:AC4223" si="5">AC4382+AC4521+AC4620+AC4719</f>
        <v>0</v>
      </c>
      <c r="AF4214"/>
      <c r="AG4214"/>
    </row>
    <row r="4215" spans="1:33" s="47" customFormat="1">
      <c r="A4215"/>
      <c r="B4215"/>
      <c r="C4215"/>
      <c r="D4215"/>
      <c r="E4215"/>
      <c r="F4215"/>
      <c r="G4215"/>
      <c r="H4215"/>
      <c r="I4215"/>
      <c r="J4215"/>
      <c r="K4215"/>
      <c r="L4215"/>
      <c r="M4215" s="820"/>
      <c r="N4215" s="461" t="str">
        <f>N4194 &amp; ".4"</f>
        <v>4.0.1.2.4</v>
      </c>
      <c r="O4215" s="457" t="s">
        <v>87</v>
      </c>
      <c r="P4215" s="473" t="s">
        <v>216</v>
      </c>
      <c r="Q4215" s="258"/>
      <c r="R4215" s="259"/>
      <c r="S4215" s="259"/>
      <c r="T4215" s="260"/>
      <c r="U4215" s="252"/>
      <c r="V4215" s="252"/>
      <c r="W4215" s="452">
        <f t="shared" si="4"/>
        <v>0</v>
      </c>
      <c r="X4215" s="258"/>
      <c r="Y4215" s="202"/>
      <c r="Z4215" s="48"/>
      <c r="AA4215" s="252"/>
      <c r="AB4215" s="252"/>
      <c r="AC4215" s="452">
        <f t="shared" si="5"/>
        <v>0</v>
      </c>
      <c r="AF4215"/>
      <c r="AG4215"/>
    </row>
    <row r="4216" spans="1:33" s="47" customFormat="1">
      <c r="A4216"/>
      <c r="B4216"/>
      <c r="C4216"/>
      <c r="D4216"/>
      <c r="E4216"/>
      <c r="F4216"/>
      <c r="G4216"/>
      <c r="H4216"/>
      <c r="I4216"/>
      <c r="J4216"/>
      <c r="K4216"/>
      <c r="L4216"/>
      <c r="M4216" s="820"/>
      <c r="N4216" s="461" t="str">
        <f>N4194&amp;".5"</f>
        <v>4.0.1.2.5</v>
      </c>
      <c r="O4216" s="457" t="s">
        <v>89</v>
      </c>
      <c r="P4216" s="473" t="s">
        <v>216</v>
      </c>
      <c r="Q4216" s="258"/>
      <c r="R4216" s="259"/>
      <c r="S4216" s="259"/>
      <c r="T4216" s="260"/>
      <c r="U4216" s="252"/>
      <c r="V4216" s="252"/>
      <c r="W4216" s="452">
        <f t="shared" si="4"/>
        <v>0</v>
      </c>
      <c r="X4216" s="258"/>
      <c r="Y4216" s="202"/>
      <c r="Z4216" s="48"/>
      <c r="AA4216" s="252"/>
      <c r="AB4216" s="252"/>
      <c r="AC4216" s="452">
        <f t="shared" si="5"/>
        <v>0</v>
      </c>
      <c r="AF4216"/>
      <c r="AG4216"/>
    </row>
    <row r="4217" spans="1:33" s="47" customFormat="1">
      <c r="A4217"/>
      <c r="B4217"/>
      <c r="C4217"/>
      <c r="D4217"/>
      <c r="E4217"/>
      <c r="F4217"/>
      <c r="G4217"/>
      <c r="H4217"/>
      <c r="I4217"/>
      <c r="J4217"/>
      <c r="K4217"/>
      <c r="L4217"/>
      <c r="M4217" s="820"/>
      <c r="N4217" s="461" t="str">
        <f>N4194 &amp; ".6"</f>
        <v>4.0.1.2.6</v>
      </c>
      <c r="O4217" s="457" t="s">
        <v>91</v>
      </c>
      <c r="P4217" s="473" t="s">
        <v>216</v>
      </c>
      <c r="Q4217" s="258"/>
      <c r="R4217" s="259"/>
      <c r="S4217" s="259"/>
      <c r="T4217" s="260"/>
      <c r="U4217" s="252"/>
      <c r="V4217" s="252"/>
      <c r="W4217" s="452">
        <f t="shared" si="4"/>
        <v>0</v>
      </c>
      <c r="X4217" s="258"/>
      <c r="Y4217" s="202"/>
      <c r="Z4217" s="48"/>
      <c r="AA4217" s="252"/>
      <c r="AB4217" s="252"/>
      <c r="AC4217" s="452">
        <f t="shared" si="5"/>
        <v>0</v>
      </c>
      <c r="AF4217"/>
      <c r="AG4217"/>
    </row>
    <row r="4218" spans="1:33" s="47" customFormat="1">
      <c r="A4218"/>
      <c r="B4218"/>
      <c r="C4218"/>
      <c r="D4218"/>
      <c r="E4218"/>
      <c r="F4218"/>
      <c r="G4218"/>
      <c r="H4218"/>
      <c r="I4218"/>
      <c r="J4218"/>
      <c r="K4218"/>
      <c r="L4218"/>
      <c r="M4218" s="820"/>
      <c r="N4218" s="461" t="str">
        <f>N4194 &amp; ".7"</f>
        <v>4.0.1.2.7</v>
      </c>
      <c r="O4218" s="457" t="s">
        <v>93</v>
      </c>
      <c r="P4218" s="473" t="s">
        <v>216</v>
      </c>
      <c r="Q4218" s="258"/>
      <c r="R4218" s="259"/>
      <c r="S4218" s="259"/>
      <c r="T4218" s="260"/>
      <c r="U4218" s="252"/>
      <c r="V4218" s="252"/>
      <c r="W4218" s="452">
        <f t="shared" si="4"/>
        <v>0</v>
      </c>
      <c r="X4218" s="258"/>
      <c r="Y4218" s="202"/>
      <c r="Z4218" s="48"/>
      <c r="AA4218" s="252"/>
      <c r="AB4218" s="252"/>
      <c r="AC4218" s="452">
        <f t="shared" si="5"/>
        <v>0</v>
      </c>
      <c r="AF4218"/>
      <c r="AG4218"/>
    </row>
    <row r="4219" spans="1:33" s="47" customFormat="1">
      <c r="A4219"/>
      <c r="B4219"/>
      <c r="C4219"/>
      <c r="D4219"/>
      <c r="E4219"/>
      <c r="F4219"/>
      <c r="G4219"/>
      <c r="H4219"/>
      <c r="I4219"/>
      <c r="J4219"/>
      <c r="K4219"/>
      <c r="L4219"/>
      <c r="M4219" s="820"/>
      <c r="N4219" s="461" t="str">
        <f>N4194 &amp; ".8"</f>
        <v>4.0.1.2.8</v>
      </c>
      <c r="O4219" s="457" t="s">
        <v>95</v>
      </c>
      <c r="P4219" s="473" t="s">
        <v>216</v>
      </c>
      <c r="Q4219" s="258"/>
      <c r="R4219" s="259"/>
      <c r="S4219" s="259"/>
      <c r="T4219" s="260"/>
      <c r="U4219" s="252"/>
      <c r="V4219" s="252"/>
      <c r="W4219" s="452">
        <f t="shared" si="4"/>
        <v>0</v>
      </c>
      <c r="X4219" s="258"/>
      <c r="Y4219" s="202"/>
      <c r="Z4219" s="48"/>
      <c r="AA4219" s="252"/>
      <c r="AB4219" s="252"/>
      <c r="AC4219" s="452">
        <f t="shared" si="5"/>
        <v>0</v>
      </c>
      <c r="AF4219"/>
      <c r="AG4219"/>
    </row>
    <row r="4220" spans="1:33" s="47" customFormat="1">
      <c r="A4220"/>
      <c r="B4220"/>
      <c r="C4220"/>
      <c r="D4220"/>
      <c r="E4220"/>
      <c r="F4220"/>
      <c r="G4220"/>
      <c r="H4220"/>
      <c r="I4220"/>
      <c r="J4220"/>
      <c r="K4220"/>
      <c r="L4220"/>
      <c r="M4220" s="820"/>
      <c r="N4220" s="461" t="str">
        <f>N4194 &amp; ".9"</f>
        <v>4.0.1.2.9</v>
      </c>
      <c r="O4220" s="457" t="s">
        <v>2976</v>
      </c>
      <c r="P4220" s="473" t="s">
        <v>216</v>
      </c>
      <c r="Q4220" s="258"/>
      <c r="R4220" s="259"/>
      <c r="S4220" s="259"/>
      <c r="T4220" s="260"/>
      <c r="U4220" s="252"/>
      <c r="V4220" s="252"/>
      <c r="W4220" s="452">
        <f t="shared" si="4"/>
        <v>0</v>
      </c>
      <c r="X4220" s="258"/>
      <c r="Y4220" s="202"/>
      <c r="Z4220" s="48"/>
      <c r="AA4220" s="252"/>
      <c r="AB4220" s="252"/>
      <c r="AC4220" s="452">
        <f t="shared" si="5"/>
        <v>0</v>
      </c>
      <c r="AF4220"/>
      <c r="AG4220"/>
    </row>
    <row r="4221" spans="1:33" s="47" customFormat="1">
      <c r="A4221"/>
      <c r="B4221"/>
      <c r="C4221"/>
      <c r="D4221"/>
      <c r="E4221"/>
      <c r="F4221"/>
      <c r="G4221"/>
      <c r="H4221"/>
      <c r="I4221"/>
      <c r="J4221"/>
      <c r="K4221"/>
      <c r="L4221"/>
      <c r="M4221" s="820"/>
      <c r="N4221" s="461" t="str">
        <f>N4194 &amp; ".10"</f>
        <v>4.0.1.2.10</v>
      </c>
      <c r="O4221" s="457" t="s">
        <v>2978</v>
      </c>
      <c r="P4221" s="473" t="s">
        <v>216</v>
      </c>
      <c r="Q4221" s="258"/>
      <c r="R4221" s="259"/>
      <c r="S4221" s="259"/>
      <c r="T4221" s="260"/>
      <c r="U4221" s="252"/>
      <c r="V4221" s="252"/>
      <c r="W4221" s="452">
        <f t="shared" si="4"/>
        <v>0</v>
      </c>
      <c r="X4221" s="258"/>
      <c r="Y4221" s="202"/>
      <c r="Z4221" s="48"/>
      <c r="AA4221" s="252"/>
      <c r="AB4221" s="252"/>
      <c r="AC4221" s="452">
        <f t="shared" si="5"/>
        <v>0</v>
      </c>
      <c r="AF4221"/>
      <c r="AG4221"/>
    </row>
    <row r="4222" spans="1:33" s="47" customFormat="1">
      <c r="A4222"/>
      <c r="B4222"/>
      <c r="C4222"/>
      <c r="D4222"/>
      <c r="E4222"/>
      <c r="F4222"/>
      <c r="G4222"/>
      <c r="H4222"/>
      <c r="I4222"/>
      <c r="J4222"/>
      <c r="K4222"/>
      <c r="L4222"/>
      <c r="M4222" s="820"/>
      <c r="N4222" s="461" t="str">
        <f>N4194 &amp; ".11"</f>
        <v>4.0.1.2.11</v>
      </c>
      <c r="O4222" s="457" t="s">
        <v>2980</v>
      </c>
      <c r="P4222" s="473" t="s">
        <v>216</v>
      </c>
      <c r="Q4222" s="258"/>
      <c r="R4222" s="259"/>
      <c r="S4222" s="259"/>
      <c r="T4222" s="260"/>
      <c r="U4222" s="252"/>
      <c r="V4222" s="252"/>
      <c r="W4222" s="452">
        <f t="shared" si="4"/>
        <v>0</v>
      </c>
      <c r="X4222" s="258"/>
      <c r="Y4222" s="202"/>
      <c r="Z4222" s="48"/>
      <c r="AA4222" s="252"/>
      <c r="AB4222" s="252"/>
      <c r="AC4222" s="452">
        <f t="shared" si="5"/>
        <v>0</v>
      </c>
      <c r="AF4222"/>
      <c r="AG4222"/>
    </row>
    <row r="4223" spans="1:33" s="47" customFormat="1">
      <c r="A4223"/>
      <c r="B4223"/>
      <c r="C4223"/>
      <c r="D4223"/>
      <c r="E4223"/>
      <c r="F4223"/>
      <c r="G4223"/>
      <c r="H4223"/>
      <c r="I4223"/>
      <c r="J4223"/>
      <c r="K4223"/>
      <c r="L4223"/>
      <c r="M4223" s="820"/>
      <c r="N4223" s="461" t="str">
        <f>N4194 &amp; ".12"</f>
        <v>4.0.1.2.12</v>
      </c>
      <c r="O4223" s="457" t="s">
        <v>2982</v>
      </c>
      <c r="P4223" s="473" t="s">
        <v>216</v>
      </c>
      <c r="Q4223" s="258"/>
      <c r="R4223" s="259"/>
      <c r="S4223" s="259"/>
      <c r="T4223" s="260"/>
      <c r="U4223" s="252"/>
      <c r="V4223" s="252"/>
      <c r="W4223" s="452">
        <f t="shared" si="4"/>
        <v>0</v>
      </c>
      <c r="X4223" s="258"/>
      <c r="Y4223" s="202"/>
      <c r="Z4223" s="48"/>
      <c r="AA4223" s="252"/>
      <c r="AB4223" s="252"/>
      <c r="AC4223" s="452">
        <f t="shared" si="5"/>
        <v>0</v>
      </c>
      <c r="AF4223"/>
      <c r="AG4223"/>
    </row>
    <row r="4224" spans="1:33" s="47" customFormat="1" hidden="1">
      <c r="A4224"/>
      <c r="B4224"/>
      <c r="C4224"/>
      <c r="D4224"/>
      <c r="E4224"/>
      <c r="F4224"/>
      <c r="G4224"/>
      <c r="H4224"/>
      <c r="I4224"/>
      <c r="J4224"/>
      <c r="K4224"/>
      <c r="L4224"/>
      <c r="M4224" s="820"/>
      <c r="N4224" s="451"/>
      <c r="O4224" s="455"/>
      <c r="P4224" s="473"/>
      <c r="Q4224" s="258"/>
      <c r="R4224" s="259"/>
      <c r="S4224" s="259"/>
      <c r="T4224" s="260"/>
      <c r="U4224" s="252"/>
      <c r="V4224" s="252"/>
      <c r="W4224" s="456"/>
      <c r="X4224" s="258"/>
      <c r="Y4224" s="202"/>
      <c r="Z4224" s="48"/>
      <c r="AA4224" s="252"/>
      <c r="AB4224" s="252"/>
      <c r="AC4224" s="456"/>
      <c r="AF4224"/>
      <c r="AG4224"/>
    </row>
    <row r="4225" spans="1:33" s="47" customFormat="1" hidden="1">
      <c r="A4225"/>
      <c r="B4225"/>
      <c r="C4225"/>
      <c r="D4225"/>
      <c r="E4225"/>
      <c r="F4225"/>
      <c r="G4225"/>
      <c r="H4225"/>
      <c r="I4225"/>
      <c r="J4225"/>
      <c r="K4225"/>
      <c r="L4225"/>
      <c r="M4225" s="820"/>
      <c r="N4225" s="451"/>
      <c r="O4225" s="455"/>
      <c r="P4225" s="473"/>
      <c r="Q4225" s="258"/>
      <c r="R4225" s="259"/>
      <c r="S4225" s="259"/>
      <c r="T4225" s="260"/>
      <c r="U4225" s="252"/>
      <c r="V4225" s="252"/>
      <c r="W4225" s="456"/>
      <c r="X4225" s="258"/>
      <c r="Y4225" s="202"/>
      <c r="Z4225" s="48"/>
      <c r="AA4225" s="252"/>
      <c r="AB4225" s="252"/>
      <c r="AC4225" s="456"/>
      <c r="AF4225"/>
      <c r="AG4225"/>
    </row>
    <row r="4226" spans="1:33" s="47" customFormat="1">
      <c r="A4226"/>
      <c r="B4226"/>
      <c r="C4226"/>
      <c r="D4226"/>
      <c r="E4226"/>
      <c r="F4226"/>
      <c r="G4226"/>
      <c r="H4226"/>
      <c r="I4226"/>
      <c r="J4226"/>
      <c r="K4226"/>
      <c r="L4226"/>
      <c r="M4226" s="820"/>
      <c r="N4226" s="461" t="str">
        <f>N4194 &amp; ".15"</f>
        <v>4.0.1.2.15</v>
      </c>
      <c r="O4226" s="457" t="s">
        <v>291</v>
      </c>
      <c r="P4226" s="473" t="s">
        <v>216</v>
      </c>
      <c r="Q4226" s="258"/>
      <c r="R4226" s="259"/>
      <c r="S4226" s="259"/>
      <c r="T4226" s="260"/>
      <c r="U4226" s="252"/>
      <c r="V4226" s="252"/>
      <c r="W4226" s="452">
        <f>W4394+W4533+W4632+W4731</f>
        <v>0</v>
      </c>
      <c r="X4226" s="258"/>
      <c r="Y4226" s="202"/>
      <c r="Z4226" s="48"/>
      <c r="AA4226" s="252"/>
      <c r="AB4226" s="252"/>
      <c r="AC4226" s="452">
        <f>AC4394+AC4533+AC4632+AC4731</f>
        <v>0</v>
      </c>
      <c r="AF4226"/>
      <c r="AG4226"/>
    </row>
    <row r="4227" spans="1:33" s="47" customFormat="1">
      <c r="A4227"/>
      <c r="B4227"/>
      <c r="C4227"/>
      <c r="D4227"/>
      <c r="E4227"/>
      <c r="F4227"/>
      <c r="G4227"/>
      <c r="H4227"/>
      <c r="I4227"/>
      <c r="J4227"/>
      <c r="K4227"/>
      <c r="L4227"/>
      <c r="M4227" s="820"/>
      <c r="N4227" s="449" t="s">
        <v>259</v>
      </c>
      <c r="O4227" s="463" t="s">
        <v>217</v>
      </c>
      <c r="P4227" s="473" t="s">
        <v>218</v>
      </c>
      <c r="Q4227" s="258"/>
      <c r="R4227" s="259"/>
      <c r="S4227" s="259"/>
      <c r="T4227" s="260"/>
      <c r="U4227" s="252"/>
      <c r="V4227" s="252"/>
      <c r="W4227" s="452">
        <f>SUM(W4228,W4229,W4247:W4256,W4259)</f>
        <v>0</v>
      </c>
      <c r="X4227" s="258"/>
      <c r="Y4227" s="202"/>
      <c r="Z4227" s="48"/>
      <c r="AA4227" s="252"/>
      <c r="AB4227" s="252"/>
      <c r="AC4227" s="452">
        <f>SUM(AC4228,AC4229,AC4247:AC4256,AC4259)</f>
        <v>0</v>
      </c>
      <c r="AF4227"/>
      <c r="AG4227"/>
    </row>
    <row r="4228" spans="1:33" s="47" customFormat="1">
      <c r="A4228"/>
      <c r="B4228"/>
      <c r="C4228"/>
      <c r="D4228"/>
      <c r="E4228"/>
      <c r="F4228"/>
      <c r="G4228"/>
      <c r="H4228"/>
      <c r="I4228"/>
      <c r="J4228"/>
      <c r="K4228"/>
      <c r="L4228"/>
      <c r="M4228" s="820"/>
      <c r="N4228" s="461" t="str">
        <f>N4227 &amp; ".1"</f>
        <v>4.0.1.3.1</v>
      </c>
      <c r="O4228" s="453" t="s">
        <v>78</v>
      </c>
      <c r="P4228" s="473" t="s">
        <v>218</v>
      </c>
      <c r="Q4228" s="258"/>
      <c r="R4228" s="259"/>
      <c r="S4228" s="259"/>
      <c r="T4228" s="260"/>
      <c r="U4228" s="252"/>
      <c r="V4228" s="252"/>
      <c r="W4228" s="460">
        <f>W4294*W4327</f>
        <v>0</v>
      </c>
      <c r="X4228" s="258"/>
      <c r="Y4228" s="202"/>
      <c r="Z4228" s="48"/>
      <c r="AA4228" s="252"/>
      <c r="AB4228" s="252"/>
      <c r="AC4228" s="460">
        <f>AC4294*AC4327</f>
        <v>0</v>
      </c>
      <c r="AF4228"/>
      <c r="AG4228"/>
    </row>
    <row r="4229" spans="1:33" s="47" customFormat="1">
      <c r="A4229"/>
      <c r="B4229"/>
      <c r="C4229"/>
      <c r="D4229"/>
      <c r="E4229"/>
      <c r="F4229"/>
      <c r="G4229"/>
      <c r="H4229"/>
      <c r="I4229"/>
      <c r="J4229"/>
      <c r="K4229"/>
      <c r="L4229"/>
      <c r="M4229" s="820"/>
      <c r="N4229" s="461" t="str">
        <f>N4227 &amp; ".2"</f>
        <v>4.0.1.3.2</v>
      </c>
      <c r="O4229" s="454" t="s">
        <v>212</v>
      </c>
      <c r="P4229" s="473" t="s">
        <v>218</v>
      </c>
      <c r="Q4229" s="258"/>
      <c r="R4229" s="259"/>
      <c r="S4229" s="259"/>
      <c r="T4229" s="260"/>
      <c r="U4229" s="252"/>
      <c r="V4229" s="252"/>
      <c r="W4229" s="452">
        <f>SUM(W4230:W4246)</f>
        <v>0</v>
      </c>
      <c r="X4229" s="258"/>
      <c r="Y4229" s="202"/>
      <c r="Z4229" s="48"/>
      <c r="AA4229" s="252"/>
      <c r="AB4229" s="252"/>
      <c r="AC4229" s="452">
        <f>SUM(AC4230:AC4246)</f>
        <v>0</v>
      </c>
      <c r="AF4229"/>
      <c r="AG4229"/>
    </row>
    <row r="4230" spans="1:33" s="47" customFormat="1">
      <c r="A4230"/>
      <c r="B4230"/>
      <c r="C4230"/>
      <c r="D4230"/>
      <c r="E4230"/>
      <c r="F4230"/>
      <c r="G4230"/>
      <c r="H4230"/>
      <c r="I4230"/>
      <c r="J4230"/>
      <c r="K4230"/>
      <c r="L4230"/>
      <c r="M4230" s="820"/>
      <c r="N4230" s="461" t="str">
        <f>N4227 &amp; ".2.1"</f>
        <v>4.0.1.3.2.1</v>
      </c>
      <c r="O4230" s="455" t="s">
        <v>79</v>
      </c>
      <c r="P4230" s="473" t="s">
        <v>218</v>
      </c>
      <c r="Q4230" s="258"/>
      <c r="R4230" s="259"/>
      <c r="S4230" s="259"/>
      <c r="T4230" s="260"/>
      <c r="U4230" s="252"/>
      <c r="V4230" s="252"/>
      <c r="W4230" s="460">
        <f>W4296*W4329</f>
        <v>0</v>
      </c>
      <c r="X4230" s="258"/>
      <c r="Y4230" s="202"/>
      <c r="Z4230" s="48"/>
      <c r="AA4230" s="252"/>
      <c r="AB4230" s="252"/>
      <c r="AC4230" s="460">
        <f>AC4296*AC4329</f>
        <v>0</v>
      </c>
      <c r="AF4230"/>
      <c r="AG4230"/>
    </row>
    <row r="4231" spans="1:33" s="47" customFormat="1" hidden="1">
      <c r="A4231"/>
      <c r="B4231"/>
      <c r="C4231"/>
      <c r="D4231"/>
      <c r="E4231"/>
      <c r="F4231"/>
      <c r="G4231"/>
      <c r="H4231"/>
      <c r="I4231"/>
      <c r="J4231"/>
      <c r="K4231"/>
      <c r="L4231"/>
      <c r="M4231" s="820"/>
      <c r="N4231" s="451"/>
      <c r="O4231" s="455"/>
      <c r="P4231" s="473"/>
      <c r="Q4231" s="258"/>
      <c r="R4231" s="259"/>
      <c r="S4231" s="259"/>
      <c r="T4231" s="260"/>
      <c r="U4231" s="252"/>
      <c r="V4231" s="252"/>
      <c r="W4231" s="456"/>
      <c r="X4231" s="258"/>
      <c r="Y4231" s="202"/>
      <c r="Z4231" s="48"/>
      <c r="AA4231" s="252"/>
      <c r="AB4231" s="252"/>
      <c r="AC4231" s="456"/>
      <c r="AF4231"/>
      <c r="AG4231"/>
    </row>
    <row r="4232" spans="1:33" s="47" customFormat="1" hidden="1">
      <c r="A4232"/>
      <c r="B4232"/>
      <c r="C4232"/>
      <c r="D4232"/>
      <c r="E4232"/>
      <c r="F4232"/>
      <c r="G4232"/>
      <c r="H4232"/>
      <c r="I4232"/>
      <c r="J4232"/>
      <c r="K4232"/>
      <c r="L4232"/>
      <c r="M4232" s="820"/>
      <c r="N4232" s="451"/>
      <c r="O4232" s="455"/>
      <c r="P4232" s="473"/>
      <c r="Q4232" s="258"/>
      <c r="R4232" s="259"/>
      <c r="S4232" s="259"/>
      <c r="T4232" s="260"/>
      <c r="U4232" s="252"/>
      <c r="V4232" s="252"/>
      <c r="W4232" s="456"/>
      <c r="X4232" s="258"/>
      <c r="Y4232" s="202"/>
      <c r="Z4232" s="48"/>
      <c r="AA4232" s="252"/>
      <c r="AB4232" s="252"/>
      <c r="AC4232" s="456"/>
      <c r="AF4232"/>
      <c r="AG4232"/>
    </row>
    <row r="4233" spans="1:33" s="47" customFormat="1" hidden="1">
      <c r="A4233"/>
      <c r="B4233"/>
      <c r="C4233"/>
      <c r="D4233"/>
      <c r="E4233"/>
      <c r="F4233"/>
      <c r="G4233"/>
      <c r="H4233"/>
      <c r="I4233"/>
      <c r="J4233"/>
      <c r="K4233"/>
      <c r="L4233"/>
      <c r="M4233" s="820"/>
      <c r="N4233" s="451"/>
      <c r="O4233" s="455"/>
      <c r="P4233" s="473"/>
      <c r="Q4233" s="258"/>
      <c r="R4233" s="259"/>
      <c r="S4233" s="259"/>
      <c r="T4233" s="260"/>
      <c r="U4233" s="252"/>
      <c r="V4233" s="252"/>
      <c r="W4233" s="456"/>
      <c r="X4233" s="258"/>
      <c r="Y4233" s="202"/>
      <c r="Z4233" s="48"/>
      <c r="AA4233" s="252"/>
      <c r="AB4233" s="252"/>
      <c r="AC4233" s="456"/>
      <c r="AF4233"/>
      <c r="AG4233"/>
    </row>
    <row r="4234" spans="1:33" s="47" customFormat="1" hidden="1">
      <c r="A4234"/>
      <c r="B4234"/>
      <c r="C4234"/>
      <c r="D4234"/>
      <c r="E4234"/>
      <c r="F4234"/>
      <c r="G4234"/>
      <c r="H4234"/>
      <c r="I4234"/>
      <c r="J4234"/>
      <c r="K4234"/>
      <c r="L4234"/>
      <c r="M4234" s="820"/>
      <c r="N4234" s="451"/>
      <c r="O4234" s="455"/>
      <c r="P4234" s="473"/>
      <c r="Q4234" s="258"/>
      <c r="R4234" s="259"/>
      <c r="S4234" s="259"/>
      <c r="T4234" s="260"/>
      <c r="U4234" s="252"/>
      <c r="V4234" s="252"/>
      <c r="W4234" s="456"/>
      <c r="X4234" s="258"/>
      <c r="Y4234" s="202"/>
      <c r="Z4234" s="48"/>
      <c r="AA4234" s="252"/>
      <c r="AB4234" s="252"/>
      <c r="AC4234" s="456"/>
      <c r="AF4234"/>
      <c r="AG4234"/>
    </row>
    <row r="4235" spans="1:33" s="47" customFormat="1" hidden="1">
      <c r="A4235"/>
      <c r="B4235"/>
      <c r="C4235"/>
      <c r="D4235"/>
      <c r="E4235"/>
      <c r="F4235"/>
      <c r="G4235"/>
      <c r="H4235"/>
      <c r="I4235"/>
      <c r="J4235"/>
      <c r="K4235"/>
      <c r="L4235"/>
      <c r="M4235" s="820"/>
      <c r="N4235" s="451"/>
      <c r="O4235" s="455"/>
      <c r="P4235" s="473"/>
      <c r="Q4235" s="258"/>
      <c r="R4235" s="259"/>
      <c r="S4235" s="259"/>
      <c r="T4235" s="260"/>
      <c r="U4235" s="252"/>
      <c r="V4235" s="252"/>
      <c r="W4235" s="456"/>
      <c r="X4235" s="258"/>
      <c r="Y4235" s="202"/>
      <c r="Z4235" s="48"/>
      <c r="AA4235" s="252"/>
      <c r="AB4235" s="252"/>
      <c r="AC4235" s="456"/>
      <c r="AF4235"/>
      <c r="AG4235"/>
    </row>
    <row r="4236" spans="1:33" s="47" customFormat="1" hidden="1">
      <c r="A4236"/>
      <c r="B4236"/>
      <c r="C4236"/>
      <c r="D4236"/>
      <c r="E4236"/>
      <c r="F4236"/>
      <c r="G4236"/>
      <c r="H4236"/>
      <c r="I4236"/>
      <c r="J4236"/>
      <c r="K4236"/>
      <c r="L4236"/>
      <c r="M4236" s="820"/>
      <c r="N4236" s="451"/>
      <c r="O4236" s="455"/>
      <c r="P4236" s="473"/>
      <c r="Q4236" s="258"/>
      <c r="R4236" s="259"/>
      <c r="S4236" s="259"/>
      <c r="T4236" s="260"/>
      <c r="U4236" s="252"/>
      <c r="V4236" s="252"/>
      <c r="W4236" s="456"/>
      <c r="X4236" s="258"/>
      <c r="Y4236" s="202"/>
      <c r="Z4236" s="48"/>
      <c r="AA4236" s="252"/>
      <c r="AB4236" s="252"/>
      <c r="AC4236" s="456"/>
      <c r="AF4236"/>
      <c r="AG4236"/>
    </row>
    <row r="4237" spans="1:33" s="47" customFormat="1" hidden="1">
      <c r="A4237"/>
      <c r="B4237"/>
      <c r="C4237"/>
      <c r="D4237"/>
      <c r="E4237"/>
      <c r="F4237"/>
      <c r="G4237"/>
      <c r="H4237"/>
      <c r="I4237"/>
      <c r="J4237"/>
      <c r="K4237"/>
      <c r="L4237"/>
      <c r="M4237" s="820"/>
      <c r="N4237" s="451"/>
      <c r="O4237" s="455"/>
      <c r="P4237" s="473"/>
      <c r="Q4237" s="258"/>
      <c r="R4237" s="259"/>
      <c r="S4237" s="259"/>
      <c r="T4237" s="260"/>
      <c r="U4237" s="252"/>
      <c r="V4237" s="252"/>
      <c r="W4237" s="456"/>
      <c r="X4237" s="258"/>
      <c r="Y4237" s="202"/>
      <c r="Z4237" s="48"/>
      <c r="AA4237" s="252"/>
      <c r="AB4237" s="252"/>
      <c r="AC4237" s="456"/>
      <c r="AF4237"/>
      <c r="AG4237"/>
    </row>
    <row r="4238" spans="1:33" s="47" customFormat="1">
      <c r="A4238"/>
      <c r="B4238"/>
      <c r="C4238"/>
      <c r="D4238"/>
      <c r="E4238"/>
      <c r="F4238"/>
      <c r="G4238"/>
      <c r="H4238"/>
      <c r="I4238"/>
      <c r="J4238"/>
      <c r="K4238"/>
      <c r="L4238"/>
      <c r="M4238" s="820"/>
      <c r="N4238" s="461" t="str">
        <f>N4227 &amp; ".2.2"</f>
        <v>4.0.1.3.2.2</v>
      </c>
      <c r="O4238" s="455" t="s">
        <v>81</v>
      </c>
      <c r="P4238" s="473" t="s">
        <v>218</v>
      </c>
      <c r="Q4238" s="258"/>
      <c r="R4238" s="259"/>
      <c r="S4238" s="259"/>
      <c r="T4238" s="260"/>
      <c r="U4238" s="252"/>
      <c r="V4238" s="252"/>
      <c r="W4238" s="460">
        <f>W4304*W4337</f>
        <v>0</v>
      </c>
      <c r="X4238" s="258"/>
      <c r="Y4238" s="202"/>
      <c r="Z4238" s="48"/>
      <c r="AA4238" s="252"/>
      <c r="AB4238" s="252"/>
      <c r="AC4238" s="460">
        <f>AC4304*AC4337</f>
        <v>0</v>
      </c>
      <c r="AF4238"/>
      <c r="AG4238"/>
    </row>
    <row r="4239" spans="1:33" s="47" customFormat="1" hidden="1">
      <c r="A4239"/>
      <c r="B4239"/>
      <c r="C4239"/>
      <c r="D4239"/>
      <c r="E4239"/>
      <c r="F4239"/>
      <c r="G4239"/>
      <c r="H4239"/>
      <c r="I4239"/>
      <c r="J4239"/>
      <c r="K4239"/>
      <c r="L4239"/>
      <c r="M4239" s="820"/>
      <c r="N4239" s="451"/>
      <c r="O4239" s="455"/>
      <c r="P4239" s="473"/>
      <c r="Q4239" s="258"/>
      <c r="R4239" s="259"/>
      <c r="S4239" s="259"/>
      <c r="T4239" s="260"/>
      <c r="U4239" s="252"/>
      <c r="V4239" s="252"/>
      <c r="W4239" s="456"/>
      <c r="X4239" s="258"/>
      <c r="Y4239" s="202"/>
      <c r="Z4239" s="48"/>
      <c r="AA4239" s="252"/>
      <c r="AB4239" s="252"/>
      <c r="AC4239" s="456"/>
      <c r="AF4239"/>
      <c r="AG4239"/>
    </row>
    <row r="4240" spans="1:33" s="47" customFormat="1" hidden="1">
      <c r="A4240"/>
      <c r="B4240"/>
      <c r="C4240"/>
      <c r="D4240"/>
      <c r="E4240"/>
      <c r="F4240"/>
      <c r="G4240"/>
      <c r="H4240"/>
      <c r="I4240"/>
      <c r="J4240"/>
      <c r="K4240"/>
      <c r="L4240"/>
      <c r="M4240" s="820"/>
      <c r="N4240" s="451"/>
      <c r="O4240" s="455"/>
      <c r="P4240" s="473"/>
      <c r="Q4240" s="258"/>
      <c r="R4240" s="259"/>
      <c r="S4240" s="259"/>
      <c r="T4240" s="260"/>
      <c r="U4240" s="252"/>
      <c r="V4240" s="252"/>
      <c r="W4240" s="456"/>
      <c r="X4240" s="258"/>
      <c r="Y4240" s="202"/>
      <c r="Z4240" s="48"/>
      <c r="AA4240" s="252"/>
      <c r="AB4240" s="252"/>
      <c r="AC4240" s="456"/>
      <c r="AF4240"/>
      <c r="AG4240"/>
    </row>
    <row r="4241" spans="1:33" s="47" customFormat="1" hidden="1">
      <c r="A4241"/>
      <c r="B4241"/>
      <c r="C4241"/>
      <c r="D4241"/>
      <c r="E4241"/>
      <c r="F4241"/>
      <c r="G4241"/>
      <c r="H4241"/>
      <c r="I4241"/>
      <c r="J4241"/>
      <c r="K4241"/>
      <c r="L4241"/>
      <c r="M4241" s="820"/>
      <c r="N4241" s="451"/>
      <c r="O4241" s="455"/>
      <c r="P4241" s="473"/>
      <c r="Q4241" s="258"/>
      <c r="R4241" s="259"/>
      <c r="S4241" s="259"/>
      <c r="T4241" s="260"/>
      <c r="U4241" s="252"/>
      <c r="V4241" s="252"/>
      <c r="W4241" s="456"/>
      <c r="X4241" s="258"/>
      <c r="Y4241" s="202"/>
      <c r="Z4241" s="48"/>
      <c r="AA4241" s="252"/>
      <c r="AB4241" s="252"/>
      <c r="AC4241" s="456"/>
      <c r="AF4241"/>
      <c r="AG4241"/>
    </row>
    <row r="4242" spans="1:33" s="47" customFormat="1" hidden="1">
      <c r="A4242"/>
      <c r="B4242"/>
      <c r="C4242"/>
      <c r="D4242"/>
      <c r="E4242"/>
      <c r="F4242"/>
      <c r="G4242"/>
      <c r="H4242"/>
      <c r="I4242"/>
      <c r="J4242"/>
      <c r="K4242"/>
      <c r="L4242"/>
      <c r="M4242" s="820"/>
      <c r="N4242" s="451"/>
      <c r="O4242" s="455"/>
      <c r="P4242" s="473"/>
      <c r="Q4242" s="258"/>
      <c r="R4242" s="259"/>
      <c r="S4242" s="259"/>
      <c r="T4242" s="260"/>
      <c r="U4242" s="252"/>
      <c r="V4242" s="252"/>
      <c r="W4242" s="456"/>
      <c r="X4242" s="258"/>
      <c r="Y4242" s="202"/>
      <c r="Z4242" s="48"/>
      <c r="AA4242" s="252"/>
      <c r="AB4242" s="252"/>
      <c r="AC4242" s="456"/>
      <c r="AF4242"/>
      <c r="AG4242"/>
    </row>
    <row r="4243" spans="1:33" s="47" customFormat="1" hidden="1">
      <c r="A4243"/>
      <c r="B4243"/>
      <c r="C4243"/>
      <c r="D4243"/>
      <c r="E4243"/>
      <c r="F4243"/>
      <c r="G4243"/>
      <c r="H4243"/>
      <c r="I4243"/>
      <c r="J4243"/>
      <c r="K4243"/>
      <c r="L4243"/>
      <c r="M4243" s="820"/>
      <c r="N4243" s="451"/>
      <c r="O4243" s="455"/>
      <c r="P4243" s="473"/>
      <c r="Q4243" s="258"/>
      <c r="R4243" s="259"/>
      <c r="S4243" s="259"/>
      <c r="T4243" s="260"/>
      <c r="U4243" s="252"/>
      <c r="V4243" s="252"/>
      <c r="W4243" s="456"/>
      <c r="X4243" s="258"/>
      <c r="Y4243" s="202"/>
      <c r="Z4243" s="48"/>
      <c r="AA4243" s="252"/>
      <c r="AB4243" s="252"/>
      <c r="AC4243" s="456"/>
      <c r="AF4243"/>
      <c r="AG4243"/>
    </row>
    <row r="4244" spans="1:33" s="47" customFormat="1" hidden="1">
      <c r="A4244"/>
      <c r="B4244"/>
      <c r="C4244"/>
      <c r="D4244"/>
      <c r="E4244"/>
      <c r="F4244"/>
      <c r="G4244"/>
      <c r="H4244"/>
      <c r="I4244"/>
      <c r="J4244"/>
      <c r="K4244"/>
      <c r="L4244"/>
      <c r="M4244" s="820"/>
      <c r="N4244" s="451"/>
      <c r="O4244" s="455"/>
      <c r="P4244" s="473"/>
      <c r="Q4244" s="258"/>
      <c r="R4244" s="259"/>
      <c r="S4244" s="259"/>
      <c r="T4244" s="260"/>
      <c r="U4244" s="252"/>
      <c r="V4244" s="252"/>
      <c r="W4244" s="456"/>
      <c r="X4244" s="258"/>
      <c r="Y4244" s="202"/>
      <c r="Z4244" s="48"/>
      <c r="AA4244" s="252"/>
      <c r="AB4244" s="252"/>
      <c r="AC4244" s="456"/>
      <c r="AF4244"/>
      <c r="AG4244"/>
    </row>
    <row r="4245" spans="1:33" s="47" customFormat="1" hidden="1">
      <c r="A4245"/>
      <c r="B4245"/>
      <c r="C4245"/>
      <c r="D4245"/>
      <c r="E4245"/>
      <c r="F4245"/>
      <c r="G4245"/>
      <c r="H4245"/>
      <c r="I4245"/>
      <c r="J4245"/>
      <c r="K4245"/>
      <c r="L4245"/>
      <c r="M4245" s="820"/>
      <c r="N4245" s="451"/>
      <c r="O4245" s="455"/>
      <c r="P4245" s="473"/>
      <c r="Q4245" s="258"/>
      <c r="R4245" s="259"/>
      <c r="S4245" s="259"/>
      <c r="T4245" s="260"/>
      <c r="U4245" s="252"/>
      <c r="V4245" s="252"/>
      <c r="W4245" s="456"/>
      <c r="X4245" s="258"/>
      <c r="Y4245" s="202"/>
      <c r="Z4245" s="48"/>
      <c r="AA4245" s="252"/>
      <c r="AB4245" s="252"/>
      <c r="AC4245" s="456"/>
      <c r="AF4245"/>
      <c r="AG4245"/>
    </row>
    <row r="4246" spans="1:33" s="47" customFormat="1">
      <c r="A4246"/>
      <c r="B4246"/>
      <c r="C4246"/>
      <c r="D4246"/>
      <c r="E4246"/>
      <c r="F4246"/>
      <c r="G4246"/>
      <c r="H4246"/>
      <c r="I4246"/>
      <c r="J4246"/>
      <c r="K4246"/>
      <c r="L4246"/>
      <c r="M4246" s="820"/>
      <c r="N4246" s="461" t="str">
        <f>N4227 &amp; ".2.3"</f>
        <v>4.0.1.3.2.3</v>
      </c>
      <c r="O4246" s="455" t="s">
        <v>83</v>
      </c>
      <c r="P4246" s="473" t="s">
        <v>218</v>
      </c>
      <c r="Q4246" s="258"/>
      <c r="R4246" s="259"/>
      <c r="S4246" s="259"/>
      <c r="T4246" s="260"/>
      <c r="U4246" s="252"/>
      <c r="V4246" s="252"/>
      <c r="W4246" s="460">
        <f t="shared" ref="W4246:W4256" si="6">W4312*W4345</f>
        <v>0</v>
      </c>
      <c r="X4246" s="258"/>
      <c r="Y4246" s="202"/>
      <c r="Z4246" s="48"/>
      <c r="AA4246" s="252"/>
      <c r="AB4246" s="252"/>
      <c r="AC4246" s="460">
        <f t="shared" ref="AC4246:AC4256" si="7">AC4312*AC4345</f>
        <v>0</v>
      </c>
      <c r="AF4246"/>
      <c r="AG4246"/>
    </row>
    <row r="4247" spans="1:33" s="47" customFormat="1">
      <c r="A4247"/>
      <c r="B4247"/>
      <c r="C4247"/>
      <c r="D4247"/>
      <c r="E4247"/>
      <c r="F4247"/>
      <c r="G4247"/>
      <c r="H4247"/>
      <c r="I4247"/>
      <c r="J4247"/>
      <c r="K4247"/>
      <c r="L4247"/>
      <c r="M4247" s="820"/>
      <c r="N4247" s="461" t="str">
        <f>N4227 &amp; ".3"</f>
        <v>4.0.1.3.3</v>
      </c>
      <c r="O4247" s="457" t="s">
        <v>85</v>
      </c>
      <c r="P4247" s="473" t="s">
        <v>218</v>
      </c>
      <c r="Q4247" s="258"/>
      <c r="R4247" s="259"/>
      <c r="S4247" s="259"/>
      <c r="T4247" s="260"/>
      <c r="U4247" s="252"/>
      <c r="V4247" s="252"/>
      <c r="W4247" s="460">
        <f t="shared" si="6"/>
        <v>0</v>
      </c>
      <c r="X4247" s="258"/>
      <c r="Y4247" s="202"/>
      <c r="Z4247" s="48"/>
      <c r="AA4247" s="252"/>
      <c r="AB4247" s="252"/>
      <c r="AC4247" s="460">
        <f t="shared" si="7"/>
        <v>0</v>
      </c>
      <c r="AF4247"/>
      <c r="AG4247"/>
    </row>
    <row r="4248" spans="1:33" s="47" customFormat="1">
      <c r="A4248"/>
      <c r="B4248"/>
      <c r="C4248"/>
      <c r="D4248"/>
      <c r="E4248"/>
      <c r="F4248"/>
      <c r="G4248"/>
      <c r="H4248"/>
      <c r="I4248"/>
      <c r="J4248"/>
      <c r="K4248"/>
      <c r="L4248"/>
      <c r="M4248" s="820"/>
      <c r="N4248" s="461" t="str">
        <f>N4227 &amp; ".4"</f>
        <v>4.0.1.3.4</v>
      </c>
      <c r="O4248" s="457" t="s">
        <v>87</v>
      </c>
      <c r="P4248" s="473" t="s">
        <v>218</v>
      </c>
      <c r="Q4248" s="258"/>
      <c r="R4248" s="259"/>
      <c r="S4248" s="259"/>
      <c r="T4248" s="260"/>
      <c r="U4248" s="252"/>
      <c r="V4248" s="252"/>
      <c r="W4248" s="460">
        <f t="shared" si="6"/>
        <v>0</v>
      </c>
      <c r="X4248" s="258"/>
      <c r="Y4248" s="202"/>
      <c r="Z4248" s="48"/>
      <c r="AA4248" s="252"/>
      <c r="AB4248" s="252"/>
      <c r="AC4248" s="460">
        <f t="shared" si="7"/>
        <v>0</v>
      </c>
      <c r="AF4248"/>
      <c r="AG4248"/>
    </row>
    <row r="4249" spans="1:33" s="47" customFormat="1">
      <c r="A4249"/>
      <c r="B4249"/>
      <c r="C4249"/>
      <c r="D4249"/>
      <c r="E4249"/>
      <c r="F4249"/>
      <c r="G4249"/>
      <c r="H4249"/>
      <c r="I4249"/>
      <c r="J4249"/>
      <c r="K4249"/>
      <c r="L4249"/>
      <c r="M4249" s="820"/>
      <c r="N4249" s="461" t="str">
        <f>N4227&amp;".5"</f>
        <v>4.0.1.3.5</v>
      </c>
      <c r="O4249" s="457" t="s">
        <v>89</v>
      </c>
      <c r="P4249" s="473" t="s">
        <v>218</v>
      </c>
      <c r="Q4249" s="258"/>
      <c r="R4249" s="259"/>
      <c r="S4249" s="259"/>
      <c r="T4249" s="260"/>
      <c r="U4249" s="252"/>
      <c r="V4249" s="252"/>
      <c r="W4249" s="460">
        <f t="shared" si="6"/>
        <v>0</v>
      </c>
      <c r="X4249" s="258"/>
      <c r="Y4249" s="202"/>
      <c r="Z4249" s="48"/>
      <c r="AA4249" s="252"/>
      <c r="AB4249" s="252"/>
      <c r="AC4249" s="460">
        <f t="shared" si="7"/>
        <v>0</v>
      </c>
      <c r="AF4249"/>
      <c r="AG4249"/>
    </row>
    <row r="4250" spans="1:33" s="47" customFormat="1">
      <c r="A4250"/>
      <c r="B4250"/>
      <c r="C4250"/>
      <c r="D4250"/>
      <c r="E4250"/>
      <c r="F4250"/>
      <c r="G4250"/>
      <c r="H4250"/>
      <c r="I4250"/>
      <c r="J4250"/>
      <c r="K4250"/>
      <c r="L4250"/>
      <c r="M4250" s="820"/>
      <c r="N4250" s="461" t="str">
        <f>N4227 &amp; ".6"</f>
        <v>4.0.1.3.6</v>
      </c>
      <c r="O4250" s="457" t="s">
        <v>91</v>
      </c>
      <c r="P4250" s="473" t="s">
        <v>218</v>
      </c>
      <c r="Q4250" s="258"/>
      <c r="R4250" s="259"/>
      <c r="S4250" s="259"/>
      <c r="T4250" s="260"/>
      <c r="U4250" s="252"/>
      <c r="V4250" s="252"/>
      <c r="W4250" s="460">
        <f t="shared" si="6"/>
        <v>0</v>
      </c>
      <c r="X4250" s="258"/>
      <c r="Y4250" s="202"/>
      <c r="Z4250" s="48"/>
      <c r="AA4250" s="252"/>
      <c r="AB4250" s="252"/>
      <c r="AC4250" s="460">
        <f t="shared" si="7"/>
        <v>0</v>
      </c>
      <c r="AF4250"/>
      <c r="AG4250"/>
    </row>
    <row r="4251" spans="1:33" s="47" customFormat="1">
      <c r="A4251"/>
      <c r="B4251"/>
      <c r="C4251"/>
      <c r="D4251"/>
      <c r="E4251"/>
      <c r="F4251"/>
      <c r="G4251"/>
      <c r="H4251"/>
      <c r="I4251"/>
      <c r="J4251"/>
      <c r="K4251"/>
      <c r="L4251"/>
      <c r="M4251" s="820"/>
      <c r="N4251" s="461" t="str">
        <f>N4227 &amp; ".7"</f>
        <v>4.0.1.3.7</v>
      </c>
      <c r="O4251" s="457" t="s">
        <v>93</v>
      </c>
      <c r="P4251" s="473" t="s">
        <v>218</v>
      </c>
      <c r="Q4251" s="258"/>
      <c r="R4251" s="259"/>
      <c r="S4251" s="259"/>
      <c r="T4251" s="260"/>
      <c r="U4251" s="252"/>
      <c r="V4251" s="252"/>
      <c r="W4251" s="460">
        <f t="shared" si="6"/>
        <v>0</v>
      </c>
      <c r="X4251" s="258"/>
      <c r="Y4251" s="202"/>
      <c r="Z4251" s="48"/>
      <c r="AA4251" s="252"/>
      <c r="AB4251" s="252"/>
      <c r="AC4251" s="460">
        <f t="shared" si="7"/>
        <v>0</v>
      </c>
      <c r="AF4251"/>
      <c r="AG4251"/>
    </row>
    <row r="4252" spans="1:33" s="47" customFormat="1">
      <c r="A4252"/>
      <c r="B4252"/>
      <c r="C4252"/>
      <c r="D4252"/>
      <c r="E4252"/>
      <c r="F4252"/>
      <c r="G4252"/>
      <c r="H4252"/>
      <c r="I4252"/>
      <c r="J4252"/>
      <c r="K4252"/>
      <c r="L4252"/>
      <c r="M4252" s="820"/>
      <c r="N4252" s="461" t="str">
        <f>N4227 &amp; ".8"</f>
        <v>4.0.1.3.8</v>
      </c>
      <c r="O4252" s="457" t="s">
        <v>95</v>
      </c>
      <c r="P4252" s="473" t="s">
        <v>218</v>
      </c>
      <c r="Q4252" s="258"/>
      <c r="R4252" s="259"/>
      <c r="S4252" s="259"/>
      <c r="T4252" s="260"/>
      <c r="U4252" s="252"/>
      <c r="V4252" s="252"/>
      <c r="W4252" s="460">
        <f t="shared" si="6"/>
        <v>0</v>
      </c>
      <c r="X4252" s="258"/>
      <c r="Y4252" s="202"/>
      <c r="Z4252" s="48"/>
      <c r="AA4252" s="252"/>
      <c r="AB4252" s="252"/>
      <c r="AC4252" s="460">
        <f t="shared" si="7"/>
        <v>0</v>
      </c>
      <c r="AF4252"/>
      <c r="AG4252"/>
    </row>
    <row r="4253" spans="1:33" s="47" customFormat="1">
      <c r="A4253"/>
      <c r="B4253"/>
      <c r="C4253"/>
      <c r="D4253"/>
      <c r="E4253"/>
      <c r="F4253"/>
      <c r="G4253"/>
      <c r="H4253"/>
      <c r="I4253"/>
      <c r="J4253"/>
      <c r="K4253"/>
      <c r="L4253"/>
      <c r="M4253" s="820"/>
      <c r="N4253" s="461" t="str">
        <f>N4227 &amp; ".9"</f>
        <v>4.0.1.3.9</v>
      </c>
      <c r="O4253" s="457" t="s">
        <v>2976</v>
      </c>
      <c r="P4253" s="473" t="s">
        <v>218</v>
      </c>
      <c r="Q4253" s="258"/>
      <c r="R4253" s="259"/>
      <c r="S4253" s="259"/>
      <c r="T4253" s="260"/>
      <c r="U4253" s="252"/>
      <c r="V4253" s="252"/>
      <c r="W4253" s="460">
        <f t="shared" si="6"/>
        <v>0</v>
      </c>
      <c r="X4253" s="258"/>
      <c r="Y4253" s="202"/>
      <c r="Z4253" s="48"/>
      <c r="AA4253" s="252"/>
      <c r="AB4253" s="252"/>
      <c r="AC4253" s="460">
        <f t="shared" si="7"/>
        <v>0</v>
      </c>
      <c r="AF4253"/>
      <c r="AG4253"/>
    </row>
    <row r="4254" spans="1:33" s="47" customFormat="1">
      <c r="A4254"/>
      <c r="B4254"/>
      <c r="C4254"/>
      <c r="D4254"/>
      <c r="E4254"/>
      <c r="F4254"/>
      <c r="G4254"/>
      <c r="H4254"/>
      <c r="I4254"/>
      <c r="J4254"/>
      <c r="K4254"/>
      <c r="L4254"/>
      <c r="M4254" s="820"/>
      <c r="N4254" s="461" t="str">
        <f>N4227 &amp; ".10"</f>
        <v>4.0.1.3.10</v>
      </c>
      <c r="O4254" s="457" t="s">
        <v>2978</v>
      </c>
      <c r="P4254" s="473" t="s">
        <v>218</v>
      </c>
      <c r="Q4254" s="258"/>
      <c r="R4254" s="259"/>
      <c r="S4254" s="259"/>
      <c r="T4254" s="260"/>
      <c r="U4254" s="252"/>
      <c r="V4254" s="252"/>
      <c r="W4254" s="460">
        <f t="shared" si="6"/>
        <v>0</v>
      </c>
      <c r="X4254" s="258"/>
      <c r="Y4254" s="202"/>
      <c r="Z4254" s="48"/>
      <c r="AA4254" s="252"/>
      <c r="AB4254" s="252"/>
      <c r="AC4254" s="460">
        <f t="shared" si="7"/>
        <v>0</v>
      </c>
      <c r="AF4254"/>
      <c r="AG4254"/>
    </row>
    <row r="4255" spans="1:33" s="47" customFormat="1">
      <c r="A4255"/>
      <c r="B4255"/>
      <c r="C4255"/>
      <c r="D4255"/>
      <c r="E4255"/>
      <c r="F4255"/>
      <c r="G4255"/>
      <c r="H4255"/>
      <c r="I4255"/>
      <c r="J4255"/>
      <c r="K4255"/>
      <c r="L4255"/>
      <c r="M4255" s="820"/>
      <c r="N4255" s="461" t="str">
        <f>N4227 &amp; ".11"</f>
        <v>4.0.1.3.11</v>
      </c>
      <c r="O4255" s="457" t="s">
        <v>2980</v>
      </c>
      <c r="P4255" s="473" t="s">
        <v>218</v>
      </c>
      <c r="Q4255" s="258"/>
      <c r="R4255" s="259"/>
      <c r="S4255" s="259"/>
      <c r="T4255" s="260"/>
      <c r="U4255" s="252"/>
      <c r="V4255" s="252"/>
      <c r="W4255" s="460">
        <f t="shared" si="6"/>
        <v>0</v>
      </c>
      <c r="X4255" s="258"/>
      <c r="Y4255" s="202"/>
      <c r="Z4255" s="48"/>
      <c r="AA4255" s="252"/>
      <c r="AB4255" s="252"/>
      <c r="AC4255" s="460">
        <f t="shared" si="7"/>
        <v>0</v>
      </c>
      <c r="AF4255"/>
      <c r="AG4255"/>
    </row>
    <row r="4256" spans="1:33" s="47" customFormat="1">
      <c r="A4256"/>
      <c r="B4256"/>
      <c r="C4256"/>
      <c r="D4256"/>
      <c r="E4256"/>
      <c r="F4256"/>
      <c r="G4256"/>
      <c r="H4256"/>
      <c r="I4256"/>
      <c r="J4256"/>
      <c r="K4256"/>
      <c r="L4256"/>
      <c r="M4256" s="820"/>
      <c r="N4256" s="461" t="str">
        <f>N4227 &amp; ".12"</f>
        <v>4.0.1.3.12</v>
      </c>
      <c r="O4256" s="457" t="s">
        <v>2982</v>
      </c>
      <c r="P4256" s="473" t="s">
        <v>218</v>
      </c>
      <c r="Q4256" s="258"/>
      <c r="R4256" s="259"/>
      <c r="S4256" s="259"/>
      <c r="T4256" s="260"/>
      <c r="U4256" s="252"/>
      <c r="V4256" s="252"/>
      <c r="W4256" s="460">
        <f t="shared" si="6"/>
        <v>0</v>
      </c>
      <c r="X4256" s="258"/>
      <c r="Y4256" s="202"/>
      <c r="Z4256" s="48"/>
      <c r="AA4256" s="252"/>
      <c r="AB4256" s="252"/>
      <c r="AC4256" s="460">
        <f t="shared" si="7"/>
        <v>0</v>
      </c>
      <c r="AF4256"/>
      <c r="AG4256"/>
    </row>
    <row r="4257" spans="1:33" s="47" customFormat="1" hidden="1">
      <c r="A4257"/>
      <c r="B4257"/>
      <c r="C4257"/>
      <c r="D4257"/>
      <c r="E4257"/>
      <c r="F4257"/>
      <c r="G4257"/>
      <c r="H4257"/>
      <c r="I4257"/>
      <c r="J4257"/>
      <c r="K4257"/>
      <c r="L4257"/>
      <c r="M4257" s="820"/>
      <c r="N4257" s="451"/>
      <c r="O4257" s="455"/>
      <c r="P4257" s="473"/>
      <c r="Q4257" s="258"/>
      <c r="R4257" s="259"/>
      <c r="S4257" s="259"/>
      <c r="T4257" s="260"/>
      <c r="U4257" s="252"/>
      <c r="V4257" s="252"/>
      <c r="W4257" s="456"/>
      <c r="X4257" s="258"/>
      <c r="Y4257" s="202"/>
      <c r="Z4257" s="48"/>
      <c r="AA4257" s="252"/>
      <c r="AB4257" s="252"/>
      <c r="AC4257" s="456"/>
      <c r="AF4257"/>
      <c r="AG4257"/>
    </row>
    <row r="4258" spans="1:33" s="47" customFormat="1" hidden="1">
      <c r="A4258"/>
      <c r="B4258"/>
      <c r="C4258"/>
      <c r="D4258"/>
      <c r="E4258"/>
      <c r="F4258"/>
      <c r="G4258"/>
      <c r="H4258"/>
      <c r="I4258"/>
      <c r="J4258"/>
      <c r="K4258"/>
      <c r="L4258"/>
      <c r="M4258" s="820"/>
      <c r="N4258" s="451"/>
      <c r="O4258" s="455"/>
      <c r="P4258" s="473"/>
      <c r="Q4258" s="258"/>
      <c r="R4258" s="259"/>
      <c r="S4258" s="259"/>
      <c r="T4258" s="260"/>
      <c r="U4258" s="252"/>
      <c r="V4258" s="252"/>
      <c r="W4258" s="456"/>
      <c r="X4258" s="258"/>
      <c r="Y4258" s="202"/>
      <c r="Z4258" s="48"/>
      <c r="AA4258" s="252"/>
      <c r="AB4258" s="252"/>
      <c r="AC4258" s="456"/>
      <c r="AF4258"/>
      <c r="AG4258"/>
    </row>
    <row r="4259" spans="1:33" s="47" customFormat="1">
      <c r="A4259"/>
      <c r="B4259"/>
      <c r="C4259"/>
      <c r="D4259"/>
      <c r="E4259"/>
      <c r="F4259"/>
      <c r="G4259"/>
      <c r="H4259"/>
      <c r="I4259"/>
      <c r="J4259"/>
      <c r="K4259"/>
      <c r="L4259"/>
      <c r="M4259" s="820"/>
      <c r="N4259" s="461" t="str">
        <f>N4227 &amp; ".15"</f>
        <v>4.0.1.3.15</v>
      </c>
      <c r="O4259" s="457" t="s">
        <v>291</v>
      </c>
      <c r="P4259" s="473" t="s">
        <v>218</v>
      </c>
      <c r="Q4259" s="258"/>
      <c r="R4259" s="259"/>
      <c r="S4259" s="259"/>
      <c r="T4259" s="260"/>
      <c r="U4259" s="252"/>
      <c r="V4259" s="252"/>
      <c r="W4259" s="460">
        <f>W4325*W4358</f>
        <v>0</v>
      </c>
      <c r="X4259" s="258"/>
      <c r="Y4259" s="202"/>
      <c r="Z4259" s="48"/>
      <c r="AA4259" s="252"/>
      <c r="AB4259" s="252"/>
      <c r="AC4259" s="460">
        <f>AC4325*AC4358</f>
        <v>0</v>
      </c>
      <c r="AF4259"/>
      <c r="AG4259"/>
    </row>
    <row r="4260" spans="1:33" s="47" customFormat="1">
      <c r="A4260"/>
      <c r="B4260"/>
      <c r="C4260"/>
      <c r="D4260"/>
      <c r="E4260"/>
      <c r="F4260"/>
      <c r="G4260"/>
      <c r="H4260"/>
      <c r="I4260"/>
      <c r="J4260"/>
      <c r="K4260"/>
      <c r="L4260"/>
      <c r="M4260" s="820"/>
      <c r="N4260" s="449" t="s">
        <v>260</v>
      </c>
      <c r="O4260" s="463" t="s">
        <v>219</v>
      </c>
      <c r="P4260" s="473" t="s">
        <v>220</v>
      </c>
      <c r="Q4260" s="258"/>
      <c r="R4260" s="259"/>
      <c r="S4260" s="259"/>
      <c r="T4260" s="260"/>
      <c r="U4260" s="252"/>
      <c r="V4260" s="252"/>
      <c r="W4260" s="452">
        <f>SUM(W4261,W4262,W4280:W4289,W4292)</f>
        <v>0</v>
      </c>
      <c r="X4260" s="258"/>
      <c r="Y4260" s="202"/>
      <c r="Z4260" s="48"/>
      <c r="AA4260" s="252"/>
      <c r="AB4260" s="252"/>
      <c r="AC4260" s="452">
        <f>SUM(AC4261,AC4262,AC4280:AC4289,AC4292)</f>
        <v>0</v>
      </c>
      <c r="AF4260"/>
      <c r="AG4260"/>
    </row>
    <row r="4261" spans="1:33" s="47" customFormat="1">
      <c r="A4261"/>
      <c r="B4261"/>
      <c r="C4261"/>
      <c r="D4261"/>
      <c r="E4261"/>
      <c r="F4261"/>
      <c r="G4261"/>
      <c r="H4261"/>
      <c r="I4261"/>
      <c r="J4261"/>
      <c r="K4261"/>
      <c r="L4261"/>
      <c r="M4261" s="820"/>
      <c r="N4261" s="461" t="str">
        <f>N4260 &amp; ".1"</f>
        <v>4.0.1.4.1</v>
      </c>
      <c r="O4261" s="453" t="s">
        <v>78</v>
      </c>
      <c r="P4261" s="473" t="s">
        <v>220</v>
      </c>
      <c r="Q4261" s="258"/>
      <c r="R4261" s="259"/>
      <c r="S4261" s="259"/>
      <c r="T4261" s="260"/>
      <c r="U4261" s="252"/>
      <c r="V4261" s="252"/>
      <c r="W4261" s="464">
        <f>IF(W4227=0,0,W4228/W4227*100)</f>
        <v>0</v>
      </c>
      <c r="X4261" s="258"/>
      <c r="Y4261" s="202"/>
      <c r="Z4261" s="48"/>
      <c r="AA4261" s="252"/>
      <c r="AB4261" s="252"/>
      <c r="AC4261" s="464">
        <f>IF(AC4227=0,0,AC4228/AC4227*100)</f>
        <v>0</v>
      </c>
      <c r="AF4261"/>
      <c r="AG4261"/>
    </row>
    <row r="4262" spans="1:33" s="47" customFormat="1">
      <c r="A4262"/>
      <c r="B4262"/>
      <c r="C4262"/>
      <c r="D4262"/>
      <c r="E4262"/>
      <c r="F4262"/>
      <c r="G4262"/>
      <c r="H4262"/>
      <c r="I4262"/>
      <c r="J4262"/>
      <c r="K4262"/>
      <c r="L4262"/>
      <c r="M4262" s="820"/>
      <c r="N4262" s="461" t="str">
        <f>N4260 &amp; ".2"</f>
        <v>4.0.1.4.2</v>
      </c>
      <c r="O4262" s="454" t="s">
        <v>212</v>
      </c>
      <c r="P4262" s="473" t="s">
        <v>220</v>
      </c>
      <c r="Q4262" s="258"/>
      <c r="R4262" s="259"/>
      <c r="S4262" s="259"/>
      <c r="T4262" s="260"/>
      <c r="U4262" s="252"/>
      <c r="V4262" s="252"/>
      <c r="W4262" s="452">
        <f>SUM(W4263:W4279)</f>
        <v>0</v>
      </c>
      <c r="X4262" s="258"/>
      <c r="Y4262" s="202"/>
      <c r="Z4262" s="48"/>
      <c r="AA4262" s="252"/>
      <c r="AB4262" s="252"/>
      <c r="AC4262" s="452">
        <f>SUM(AC4263:AC4279)</f>
        <v>0</v>
      </c>
      <c r="AF4262"/>
      <c r="AG4262"/>
    </row>
    <row r="4263" spans="1:33" s="47" customFormat="1">
      <c r="A4263"/>
      <c r="B4263"/>
      <c r="C4263"/>
      <c r="D4263"/>
      <c r="E4263"/>
      <c r="F4263"/>
      <c r="G4263"/>
      <c r="H4263"/>
      <c r="I4263"/>
      <c r="J4263"/>
      <c r="K4263"/>
      <c r="L4263"/>
      <c r="M4263" s="820"/>
      <c r="N4263" s="461" t="str">
        <f>N4260 &amp; ".2.1"</f>
        <v>4.0.1.4.2.1</v>
      </c>
      <c r="O4263" s="455" t="s">
        <v>79</v>
      </c>
      <c r="P4263" s="473" t="s">
        <v>220</v>
      </c>
      <c r="Q4263" s="258"/>
      <c r="R4263" s="259"/>
      <c r="S4263" s="259"/>
      <c r="T4263" s="260"/>
      <c r="U4263" s="252"/>
      <c r="V4263" s="252"/>
      <c r="W4263" s="464">
        <f>IF(W4227=0,0,W4230/W4227*100)</f>
        <v>0</v>
      </c>
      <c r="X4263" s="258"/>
      <c r="Y4263" s="202"/>
      <c r="Z4263" s="48"/>
      <c r="AA4263" s="252"/>
      <c r="AB4263" s="252"/>
      <c r="AC4263" s="464">
        <f>IF(AC4227=0,0,AC4230/AC4227*100)</f>
        <v>0</v>
      </c>
      <c r="AF4263"/>
      <c r="AG4263"/>
    </row>
    <row r="4264" spans="1:33" s="47" customFormat="1" hidden="1">
      <c r="A4264"/>
      <c r="B4264"/>
      <c r="C4264"/>
      <c r="D4264"/>
      <c r="E4264"/>
      <c r="F4264"/>
      <c r="G4264"/>
      <c r="H4264"/>
      <c r="I4264"/>
      <c r="J4264"/>
      <c r="K4264"/>
      <c r="L4264"/>
      <c r="M4264" s="820"/>
      <c r="N4264" s="451"/>
      <c r="O4264" s="455"/>
      <c r="P4264" s="473"/>
      <c r="Q4264" s="258"/>
      <c r="R4264" s="259"/>
      <c r="S4264" s="259"/>
      <c r="T4264" s="260"/>
      <c r="U4264" s="252"/>
      <c r="V4264" s="252"/>
      <c r="W4264" s="456"/>
      <c r="X4264" s="258"/>
      <c r="Y4264" s="202"/>
      <c r="Z4264" s="48"/>
      <c r="AA4264" s="252"/>
      <c r="AB4264" s="252"/>
      <c r="AC4264" s="456"/>
      <c r="AF4264"/>
      <c r="AG4264"/>
    </row>
    <row r="4265" spans="1:33" s="47" customFormat="1" hidden="1">
      <c r="A4265"/>
      <c r="B4265"/>
      <c r="C4265"/>
      <c r="D4265"/>
      <c r="E4265"/>
      <c r="F4265"/>
      <c r="G4265"/>
      <c r="H4265"/>
      <c r="I4265"/>
      <c r="J4265"/>
      <c r="K4265"/>
      <c r="L4265"/>
      <c r="M4265" s="820"/>
      <c r="N4265" s="451"/>
      <c r="O4265" s="455"/>
      <c r="P4265" s="473"/>
      <c r="Q4265" s="258"/>
      <c r="R4265" s="259"/>
      <c r="S4265" s="259"/>
      <c r="T4265" s="260"/>
      <c r="U4265" s="252"/>
      <c r="V4265" s="252"/>
      <c r="W4265" s="456"/>
      <c r="X4265" s="258"/>
      <c r="Y4265" s="202"/>
      <c r="Z4265" s="48"/>
      <c r="AA4265" s="252"/>
      <c r="AB4265" s="252"/>
      <c r="AC4265" s="456"/>
      <c r="AF4265"/>
      <c r="AG4265"/>
    </row>
    <row r="4266" spans="1:33" s="47" customFormat="1" hidden="1">
      <c r="A4266"/>
      <c r="B4266"/>
      <c r="C4266"/>
      <c r="D4266"/>
      <c r="E4266"/>
      <c r="F4266"/>
      <c r="G4266"/>
      <c r="H4266"/>
      <c r="I4266"/>
      <c r="J4266"/>
      <c r="K4266"/>
      <c r="L4266"/>
      <c r="M4266" s="820"/>
      <c r="N4266" s="451"/>
      <c r="O4266" s="455"/>
      <c r="P4266" s="473"/>
      <c r="Q4266" s="258"/>
      <c r="R4266" s="259"/>
      <c r="S4266" s="259"/>
      <c r="T4266" s="260"/>
      <c r="U4266" s="252"/>
      <c r="V4266" s="252"/>
      <c r="W4266" s="456"/>
      <c r="X4266" s="258"/>
      <c r="Y4266" s="202"/>
      <c r="Z4266" s="48"/>
      <c r="AA4266" s="252"/>
      <c r="AB4266" s="252"/>
      <c r="AC4266" s="456"/>
      <c r="AF4266"/>
      <c r="AG4266"/>
    </row>
    <row r="4267" spans="1:33" s="47" customFormat="1" hidden="1">
      <c r="A4267"/>
      <c r="B4267"/>
      <c r="C4267"/>
      <c r="D4267"/>
      <c r="E4267"/>
      <c r="F4267"/>
      <c r="G4267"/>
      <c r="H4267"/>
      <c r="I4267"/>
      <c r="J4267"/>
      <c r="K4267"/>
      <c r="L4267"/>
      <c r="M4267" s="820"/>
      <c r="N4267" s="451"/>
      <c r="O4267" s="455"/>
      <c r="P4267" s="473"/>
      <c r="Q4267" s="258"/>
      <c r="R4267" s="259"/>
      <c r="S4267" s="259"/>
      <c r="T4267" s="260"/>
      <c r="U4267" s="252"/>
      <c r="V4267" s="252"/>
      <c r="W4267" s="456"/>
      <c r="X4267" s="258"/>
      <c r="Y4267" s="202"/>
      <c r="Z4267" s="48"/>
      <c r="AA4267" s="252"/>
      <c r="AB4267" s="252"/>
      <c r="AC4267" s="456"/>
      <c r="AF4267"/>
      <c r="AG4267"/>
    </row>
    <row r="4268" spans="1:33" s="47" customFormat="1" hidden="1">
      <c r="A4268"/>
      <c r="B4268"/>
      <c r="C4268"/>
      <c r="D4268"/>
      <c r="E4268"/>
      <c r="F4268"/>
      <c r="G4268"/>
      <c r="H4268"/>
      <c r="I4268"/>
      <c r="J4268"/>
      <c r="K4268"/>
      <c r="L4268"/>
      <c r="M4268" s="820"/>
      <c r="N4268" s="451"/>
      <c r="O4268" s="455"/>
      <c r="P4268" s="473"/>
      <c r="Q4268" s="258"/>
      <c r="R4268" s="259"/>
      <c r="S4268" s="259"/>
      <c r="T4268" s="260"/>
      <c r="U4268" s="252"/>
      <c r="V4268" s="252"/>
      <c r="W4268" s="456"/>
      <c r="X4268" s="258"/>
      <c r="Y4268" s="202"/>
      <c r="Z4268" s="48"/>
      <c r="AA4268" s="252"/>
      <c r="AB4268" s="252"/>
      <c r="AC4268" s="456"/>
      <c r="AF4268"/>
      <c r="AG4268"/>
    </row>
    <row r="4269" spans="1:33" s="47" customFormat="1" hidden="1">
      <c r="A4269"/>
      <c r="B4269"/>
      <c r="C4269"/>
      <c r="D4269"/>
      <c r="E4269"/>
      <c r="F4269"/>
      <c r="G4269"/>
      <c r="H4269"/>
      <c r="I4269"/>
      <c r="J4269"/>
      <c r="K4269"/>
      <c r="L4269"/>
      <c r="M4269" s="820"/>
      <c r="N4269" s="451"/>
      <c r="O4269" s="455"/>
      <c r="P4269" s="473"/>
      <c r="Q4269" s="258"/>
      <c r="R4269" s="259"/>
      <c r="S4269" s="259"/>
      <c r="T4269" s="260"/>
      <c r="U4269" s="252"/>
      <c r="V4269" s="252"/>
      <c r="W4269" s="456"/>
      <c r="X4269" s="258"/>
      <c r="Y4269" s="202"/>
      <c r="Z4269" s="48"/>
      <c r="AA4269" s="252"/>
      <c r="AB4269" s="252"/>
      <c r="AC4269" s="456"/>
      <c r="AF4269"/>
      <c r="AG4269"/>
    </row>
    <row r="4270" spans="1:33" s="47" customFormat="1" hidden="1">
      <c r="A4270"/>
      <c r="B4270"/>
      <c r="C4270"/>
      <c r="D4270"/>
      <c r="E4270"/>
      <c r="F4270"/>
      <c r="G4270"/>
      <c r="H4270"/>
      <c r="I4270"/>
      <c r="J4270"/>
      <c r="K4270"/>
      <c r="L4270"/>
      <c r="M4270" s="820"/>
      <c r="N4270" s="451"/>
      <c r="O4270" s="455"/>
      <c r="P4270" s="473"/>
      <c r="Q4270" s="258"/>
      <c r="R4270" s="259"/>
      <c r="S4270" s="259"/>
      <c r="T4270" s="260"/>
      <c r="U4270" s="252"/>
      <c r="V4270" s="252"/>
      <c r="W4270" s="456"/>
      <c r="X4270" s="258"/>
      <c r="Y4270" s="202"/>
      <c r="Z4270" s="48"/>
      <c r="AA4270" s="252"/>
      <c r="AB4270" s="252"/>
      <c r="AC4270" s="456"/>
      <c r="AF4270"/>
      <c r="AG4270"/>
    </row>
    <row r="4271" spans="1:33" s="47" customFormat="1">
      <c r="A4271"/>
      <c r="B4271"/>
      <c r="C4271"/>
      <c r="D4271"/>
      <c r="E4271"/>
      <c r="F4271"/>
      <c r="G4271"/>
      <c r="H4271"/>
      <c r="I4271"/>
      <c r="J4271"/>
      <c r="K4271"/>
      <c r="L4271"/>
      <c r="M4271" s="820"/>
      <c r="N4271" s="461" t="str">
        <f>N4260 &amp; ".2.2"</f>
        <v>4.0.1.4.2.2</v>
      </c>
      <c r="O4271" s="455" t="s">
        <v>81</v>
      </c>
      <c r="P4271" s="473" t="s">
        <v>220</v>
      </c>
      <c r="Q4271" s="258"/>
      <c r="R4271" s="259"/>
      <c r="S4271" s="259"/>
      <c r="T4271" s="260"/>
      <c r="U4271" s="252"/>
      <c r="V4271" s="252"/>
      <c r="W4271" s="464">
        <f>IF(W4227=0,0,W4238/W4227*100)</f>
        <v>0</v>
      </c>
      <c r="X4271" s="258"/>
      <c r="Y4271" s="202"/>
      <c r="Z4271" s="48"/>
      <c r="AA4271" s="252"/>
      <c r="AB4271" s="252"/>
      <c r="AC4271" s="464">
        <f>IF(AC4227=0,0,AC4238/AC4227*100)</f>
        <v>0</v>
      </c>
      <c r="AF4271"/>
      <c r="AG4271"/>
    </row>
    <row r="4272" spans="1:33" s="47" customFormat="1" hidden="1">
      <c r="A4272"/>
      <c r="B4272"/>
      <c r="C4272"/>
      <c r="D4272"/>
      <c r="E4272"/>
      <c r="F4272"/>
      <c r="G4272"/>
      <c r="H4272"/>
      <c r="I4272"/>
      <c r="J4272"/>
      <c r="K4272"/>
      <c r="L4272"/>
      <c r="M4272" s="820"/>
      <c r="N4272" s="451"/>
      <c r="O4272" s="455"/>
      <c r="P4272" s="473"/>
      <c r="Q4272" s="258"/>
      <c r="R4272" s="259"/>
      <c r="S4272" s="259"/>
      <c r="T4272" s="260"/>
      <c r="U4272" s="252"/>
      <c r="V4272" s="252"/>
      <c r="W4272" s="456"/>
      <c r="X4272" s="258"/>
      <c r="Y4272" s="202"/>
      <c r="Z4272" s="48"/>
      <c r="AA4272" s="252"/>
      <c r="AB4272" s="252"/>
      <c r="AC4272" s="456"/>
      <c r="AF4272"/>
      <c r="AG4272"/>
    </row>
    <row r="4273" spans="1:33" s="47" customFormat="1" hidden="1">
      <c r="A4273"/>
      <c r="B4273"/>
      <c r="C4273"/>
      <c r="D4273"/>
      <c r="E4273"/>
      <c r="F4273"/>
      <c r="G4273"/>
      <c r="H4273"/>
      <c r="I4273"/>
      <c r="J4273"/>
      <c r="K4273"/>
      <c r="L4273"/>
      <c r="M4273" s="820"/>
      <c r="N4273" s="451"/>
      <c r="O4273" s="455"/>
      <c r="P4273" s="473"/>
      <c r="Q4273" s="258"/>
      <c r="R4273" s="259"/>
      <c r="S4273" s="259"/>
      <c r="T4273" s="260"/>
      <c r="U4273" s="252"/>
      <c r="V4273" s="252"/>
      <c r="W4273" s="456"/>
      <c r="X4273" s="258"/>
      <c r="Y4273" s="202"/>
      <c r="Z4273" s="48"/>
      <c r="AA4273" s="252"/>
      <c r="AB4273" s="252"/>
      <c r="AC4273" s="456"/>
      <c r="AF4273"/>
      <c r="AG4273"/>
    </row>
    <row r="4274" spans="1:33" s="47" customFormat="1" hidden="1">
      <c r="A4274"/>
      <c r="B4274"/>
      <c r="C4274"/>
      <c r="D4274"/>
      <c r="E4274"/>
      <c r="F4274"/>
      <c r="G4274"/>
      <c r="H4274"/>
      <c r="I4274"/>
      <c r="J4274"/>
      <c r="K4274"/>
      <c r="L4274"/>
      <c r="M4274" s="820"/>
      <c r="N4274" s="451"/>
      <c r="O4274" s="455"/>
      <c r="P4274" s="473"/>
      <c r="Q4274" s="258"/>
      <c r="R4274" s="259"/>
      <c r="S4274" s="259"/>
      <c r="T4274" s="260"/>
      <c r="U4274" s="252"/>
      <c r="V4274" s="252"/>
      <c r="W4274" s="456"/>
      <c r="X4274" s="258"/>
      <c r="Y4274" s="202"/>
      <c r="Z4274" s="48"/>
      <c r="AA4274" s="252"/>
      <c r="AB4274" s="252"/>
      <c r="AC4274" s="456"/>
      <c r="AF4274"/>
      <c r="AG4274"/>
    </row>
    <row r="4275" spans="1:33" s="47" customFormat="1" hidden="1">
      <c r="A4275"/>
      <c r="B4275"/>
      <c r="C4275"/>
      <c r="D4275"/>
      <c r="E4275"/>
      <c r="F4275"/>
      <c r="G4275"/>
      <c r="H4275"/>
      <c r="I4275"/>
      <c r="J4275"/>
      <c r="K4275"/>
      <c r="L4275"/>
      <c r="M4275" s="820"/>
      <c r="N4275" s="451"/>
      <c r="O4275" s="455"/>
      <c r="P4275" s="473"/>
      <c r="Q4275" s="258"/>
      <c r="R4275" s="259"/>
      <c r="S4275" s="259"/>
      <c r="T4275" s="260"/>
      <c r="U4275" s="252"/>
      <c r="V4275" s="252"/>
      <c r="W4275" s="456"/>
      <c r="X4275" s="258"/>
      <c r="Y4275" s="202"/>
      <c r="Z4275" s="48"/>
      <c r="AA4275" s="252"/>
      <c r="AB4275" s="252"/>
      <c r="AC4275" s="456"/>
      <c r="AF4275"/>
      <c r="AG4275"/>
    </row>
    <row r="4276" spans="1:33" s="47" customFormat="1" hidden="1">
      <c r="A4276"/>
      <c r="B4276"/>
      <c r="C4276"/>
      <c r="D4276"/>
      <c r="E4276"/>
      <c r="F4276"/>
      <c r="G4276"/>
      <c r="H4276"/>
      <c r="I4276"/>
      <c r="J4276"/>
      <c r="K4276"/>
      <c r="L4276"/>
      <c r="M4276" s="820"/>
      <c r="N4276" s="451"/>
      <c r="O4276" s="455"/>
      <c r="P4276" s="473"/>
      <c r="Q4276" s="258"/>
      <c r="R4276" s="259"/>
      <c r="S4276" s="259"/>
      <c r="T4276" s="260"/>
      <c r="U4276" s="252"/>
      <c r="V4276" s="252"/>
      <c r="W4276" s="456"/>
      <c r="X4276" s="258"/>
      <c r="Y4276" s="202"/>
      <c r="Z4276" s="48"/>
      <c r="AA4276" s="252"/>
      <c r="AB4276" s="252"/>
      <c r="AC4276" s="456"/>
      <c r="AF4276"/>
      <c r="AG4276"/>
    </row>
    <row r="4277" spans="1:33" s="47" customFormat="1" hidden="1">
      <c r="A4277"/>
      <c r="B4277"/>
      <c r="C4277"/>
      <c r="D4277"/>
      <c r="E4277"/>
      <c r="F4277"/>
      <c r="G4277"/>
      <c r="H4277"/>
      <c r="I4277"/>
      <c r="J4277"/>
      <c r="K4277"/>
      <c r="L4277"/>
      <c r="M4277" s="820"/>
      <c r="N4277" s="451"/>
      <c r="O4277" s="455"/>
      <c r="P4277" s="473"/>
      <c r="Q4277" s="258"/>
      <c r="R4277" s="259"/>
      <c r="S4277" s="259"/>
      <c r="T4277" s="260"/>
      <c r="U4277" s="252"/>
      <c r="V4277" s="252"/>
      <c r="W4277" s="456"/>
      <c r="X4277" s="258"/>
      <c r="Y4277" s="202"/>
      <c r="Z4277" s="48"/>
      <c r="AA4277" s="252"/>
      <c r="AB4277" s="252"/>
      <c r="AC4277" s="456"/>
      <c r="AF4277"/>
      <c r="AG4277"/>
    </row>
    <row r="4278" spans="1:33" s="47" customFormat="1" hidden="1">
      <c r="A4278"/>
      <c r="B4278"/>
      <c r="C4278"/>
      <c r="D4278"/>
      <c r="E4278"/>
      <c r="F4278"/>
      <c r="G4278"/>
      <c r="H4278"/>
      <c r="I4278"/>
      <c r="J4278"/>
      <c r="K4278"/>
      <c r="L4278"/>
      <c r="M4278" s="820"/>
      <c r="N4278" s="451"/>
      <c r="O4278" s="455"/>
      <c r="P4278" s="473"/>
      <c r="Q4278" s="258"/>
      <c r="R4278" s="259"/>
      <c r="S4278" s="259"/>
      <c r="T4278" s="260"/>
      <c r="U4278" s="252"/>
      <c r="V4278" s="252"/>
      <c r="W4278" s="456"/>
      <c r="X4278" s="258"/>
      <c r="Y4278" s="202"/>
      <c r="Z4278" s="48"/>
      <c r="AA4278" s="252"/>
      <c r="AB4278" s="252"/>
      <c r="AC4278" s="456"/>
      <c r="AF4278"/>
      <c r="AG4278"/>
    </row>
    <row r="4279" spans="1:33" s="47" customFormat="1">
      <c r="A4279"/>
      <c r="B4279"/>
      <c r="C4279"/>
      <c r="D4279"/>
      <c r="E4279"/>
      <c r="F4279"/>
      <c r="G4279"/>
      <c r="H4279"/>
      <c r="I4279"/>
      <c r="J4279"/>
      <c r="K4279"/>
      <c r="L4279"/>
      <c r="M4279" s="820"/>
      <c r="N4279" s="461" t="str">
        <f>N4260 &amp; ".2.3"</f>
        <v>4.0.1.4.2.3</v>
      </c>
      <c r="O4279" s="455" t="s">
        <v>83</v>
      </c>
      <c r="P4279" s="473" t="s">
        <v>220</v>
      </c>
      <c r="Q4279" s="258"/>
      <c r="R4279" s="259"/>
      <c r="S4279" s="259"/>
      <c r="T4279" s="260"/>
      <c r="U4279" s="252"/>
      <c r="V4279" s="252"/>
      <c r="W4279" s="464">
        <f>IF(W4227=0,0,W4246/W4227*100)</f>
        <v>0</v>
      </c>
      <c r="X4279" s="258"/>
      <c r="Y4279" s="202"/>
      <c r="Z4279" s="48"/>
      <c r="AA4279" s="252"/>
      <c r="AB4279" s="252"/>
      <c r="AC4279" s="464">
        <f>IF(AC4227=0,0,AC4246/AC4227*100)</f>
        <v>0</v>
      </c>
      <c r="AF4279"/>
      <c r="AG4279"/>
    </row>
    <row r="4280" spans="1:33" s="47" customFormat="1">
      <c r="A4280"/>
      <c r="B4280"/>
      <c r="C4280"/>
      <c r="D4280"/>
      <c r="E4280"/>
      <c r="F4280"/>
      <c r="G4280"/>
      <c r="H4280"/>
      <c r="I4280"/>
      <c r="J4280"/>
      <c r="K4280"/>
      <c r="L4280"/>
      <c r="M4280" s="820"/>
      <c r="N4280" s="461" t="str">
        <f>N4260 &amp; ".3"</f>
        <v>4.0.1.4.3</v>
      </c>
      <c r="O4280" s="457" t="s">
        <v>85</v>
      </c>
      <c r="P4280" s="473" t="s">
        <v>220</v>
      </c>
      <c r="Q4280" s="258"/>
      <c r="R4280" s="259"/>
      <c r="S4280" s="259"/>
      <c r="T4280" s="260"/>
      <c r="U4280" s="252"/>
      <c r="V4280" s="252"/>
      <c r="W4280" s="460">
        <f>IF(W4227=0,0,W4247/W4227*100)</f>
        <v>0</v>
      </c>
      <c r="X4280" s="258"/>
      <c r="Y4280" s="202"/>
      <c r="Z4280" s="48"/>
      <c r="AA4280" s="252"/>
      <c r="AB4280" s="252"/>
      <c r="AC4280" s="460">
        <f>IF(AC4227=0,0,AC4247/AC4227*100)</f>
        <v>0</v>
      </c>
      <c r="AF4280"/>
      <c r="AG4280"/>
    </row>
    <row r="4281" spans="1:33" s="47" customFormat="1">
      <c r="A4281"/>
      <c r="B4281"/>
      <c r="C4281"/>
      <c r="D4281"/>
      <c r="E4281"/>
      <c r="F4281"/>
      <c r="G4281"/>
      <c r="H4281"/>
      <c r="I4281"/>
      <c r="J4281"/>
      <c r="K4281"/>
      <c r="L4281"/>
      <c r="M4281" s="820"/>
      <c r="N4281" s="461" t="str">
        <f>N4260 &amp; ".4"</f>
        <v>4.0.1.4.4</v>
      </c>
      <c r="O4281" s="457" t="s">
        <v>87</v>
      </c>
      <c r="P4281" s="473" t="s">
        <v>220</v>
      </c>
      <c r="Q4281" s="258"/>
      <c r="R4281" s="259"/>
      <c r="S4281" s="259"/>
      <c r="T4281" s="260"/>
      <c r="U4281" s="252"/>
      <c r="V4281" s="252"/>
      <c r="W4281" s="460">
        <f>IF(W4227=0,0,W4248/W4227*100)</f>
        <v>0</v>
      </c>
      <c r="X4281" s="258"/>
      <c r="Y4281" s="202"/>
      <c r="Z4281" s="48"/>
      <c r="AA4281" s="252"/>
      <c r="AB4281" s="252"/>
      <c r="AC4281" s="460">
        <f>IF(AC4227=0,0,AC4248/AC4227*100)</f>
        <v>0</v>
      </c>
      <c r="AF4281"/>
      <c r="AG4281"/>
    </row>
    <row r="4282" spans="1:33" s="47" customFormat="1">
      <c r="A4282"/>
      <c r="B4282"/>
      <c r="C4282"/>
      <c r="D4282"/>
      <c r="E4282"/>
      <c r="F4282"/>
      <c r="G4282"/>
      <c r="H4282"/>
      <c r="I4282"/>
      <c r="J4282"/>
      <c r="K4282"/>
      <c r="L4282"/>
      <c r="M4282" s="820"/>
      <c r="N4282" s="461" t="str">
        <f>N4260&amp;".5"</f>
        <v>4.0.1.4.5</v>
      </c>
      <c r="O4282" s="457" t="s">
        <v>89</v>
      </c>
      <c r="P4282" s="473" t="s">
        <v>220</v>
      </c>
      <c r="Q4282" s="258"/>
      <c r="R4282" s="259"/>
      <c r="S4282" s="259"/>
      <c r="T4282" s="260"/>
      <c r="U4282" s="252"/>
      <c r="V4282" s="252"/>
      <c r="W4282" s="460">
        <f>IF(W4227=0,0,W4249/W4227*100)</f>
        <v>0</v>
      </c>
      <c r="X4282" s="258"/>
      <c r="Y4282" s="202"/>
      <c r="Z4282" s="48"/>
      <c r="AA4282" s="252"/>
      <c r="AB4282" s="252"/>
      <c r="AC4282" s="460">
        <f>IF(AC4227=0,0,AC4249/AC4227*100)</f>
        <v>0</v>
      </c>
      <c r="AF4282"/>
      <c r="AG4282"/>
    </row>
    <row r="4283" spans="1:33" s="47" customFormat="1">
      <c r="A4283"/>
      <c r="B4283"/>
      <c r="C4283"/>
      <c r="D4283"/>
      <c r="E4283"/>
      <c r="F4283"/>
      <c r="G4283"/>
      <c r="H4283"/>
      <c r="I4283"/>
      <c r="J4283"/>
      <c r="K4283"/>
      <c r="L4283"/>
      <c r="M4283" s="820"/>
      <c r="N4283" s="461" t="str">
        <f>N4260 &amp; ".6"</f>
        <v>4.0.1.4.6</v>
      </c>
      <c r="O4283" s="457" t="s">
        <v>91</v>
      </c>
      <c r="P4283" s="473" t="s">
        <v>220</v>
      </c>
      <c r="Q4283" s="258"/>
      <c r="R4283" s="259"/>
      <c r="S4283" s="259"/>
      <c r="T4283" s="260"/>
      <c r="U4283" s="252"/>
      <c r="V4283" s="252"/>
      <c r="W4283" s="460">
        <f>IF(W4227=0,0,W4250/W4227*100)</f>
        <v>0</v>
      </c>
      <c r="X4283" s="258"/>
      <c r="Y4283" s="202"/>
      <c r="Z4283" s="48"/>
      <c r="AA4283" s="252"/>
      <c r="AB4283" s="252"/>
      <c r="AC4283" s="460">
        <f>IF(AC4227=0,0,AC4250/AC4227*100)</f>
        <v>0</v>
      </c>
      <c r="AF4283"/>
      <c r="AG4283"/>
    </row>
    <row r="4284" spans="1:33" s="47" customFormat="1">
      <c r="A4284"/>
      <c r="B4284"/>
      <c r="C4284"/>
      <c r="D4284"/>
      <c r="E4284"/>
      <c r="F4284"/>
      <c r="G4284"/>
      <c r="H4284"/>
      <c r="I4284"/>
      <c r="J4284"/>
      <c r="K4284"/>
      <c r="L4284"/>
      <c r="M4284" s="820"/>
      <c r="N4284" s="461" t="str">
        <f>N4260 &amp; ".7"</f>
        <v>4.0.1.4.7</v>
      </c>
      <c r="O4284" s="457" t="s">
        <v>93</v>
      </c>
      <c r="P4284" s="473" t="s">
        <v>220</v>
      </c>
      <c r="Q4284" s="258"/>
      <c r="R4284" s="259"/>
      <c r="S4284" s="259"/>
      <c r="T4284" s="260"/>
      <c r="U4284" s="252"/>
      <c r="V4284" s="252"/>
      <c r="W4284" s="460">
        <f>IF(W4227=0,0,W4251/W4227*100)</f>
        <v>0</v>
      </c>
      <c r="X4284" s="258"/>
      <c r="Y4284" s="202"/>
      <c r="Z4284" s="48"/>
      <c r="AA4284" s="252"/>
      <c r="AB4284" s="252"/>
      <c r="AC4284" s="460">
        <f>IF(AC4227=0,0,AC4251/AC4227*100)</f>
        <v>0</v>
      </c>
      <c r="AF4284"/>
      <c r="AG4284"/>
    </row>
    <row r="4285" spans="1:33" s="47" customFormat="1">
      <c r="A4285"/>
      <c r="B4285"/>
      <c r="C4285"/>
      <c r="D4285"/>
      <c r="E4285"/>
      <c r="F4285"/>
      <c r="G4285"/>
      <c r="H4285"/>
      <c r="I4285"/>
      <c r="J4285"/>
      <c r="K4285"/>
      <c r="L4285"/>
      <c r="M4285" s="820"/>
      <c r="N4285" s="461" t="str">
        <f>N4260 &amp; ".8"</f>
        <v>4.0.1.4.8</v>
      </c>
      <c r="O4285" s="457" t="s">
        <v>95</v>
      </c>
      <c r="P4285" s="473" t="s">
        <v>220</v>
      </c>
      <c r="Q4285" s="258"/>
      <c r="R4285" s="259"/>
      <c r="S4285" s="259"/>
      <c r="T4285" s="260"/>
      <c r="U4285" s="252"/>
      <c r="V4285" s="252"/>
      <c r="W4285" s="460">
        <f>IF(W4227=0,0,W4252/W4227*100)</f>
        <v>0</v>
      </c>
      <c r="X4285" s="258"/>
      <c r="Y4285" s="202"/>
      <c r="Z4285" s="48"/>
      <c r="AA4285" s="252"/>
      <c r="AB4285" s="252"/>
      <c r="AC4285" s="460">
        <f>IF(AC4227=0,0,AC4252/AC4227*100)</f>
        <v>0</v>
      </c>
      <c r="AF4285"/>
      <c r="AG4285"/>
    </row>
    <row r="4286" spans="1:33" s="47" customFormat="1">
      <c r="A4286"/>
      <c r="B4286"/>
      <c r="C4286"/>
      <c r="D4286"/>
      <c r="E4286"/>
      <c r="F4286"/>
      <c r="G4286"/>
      <c r="H4286"/>
      <c r="I4286"/>
      <c r="J4286"/>
      <c r="K4286"/>
      <c r="L4286"/>
      <c r="M4286" s="820"/>
      <c r="N4286" s="461" t="str">
        <f>N4260 &amp; ".9"</f>
        <v>4.0.1.4.9</v>
      </c>
      <c r="O4286" s="457" t="s">
        <v>2976</v>
      </c>
      <c r="P4286" s="473" t="s">
        <v>220</v>
      </c>
      <c r="Q4286" s="258"/>
      <c r="R4286" s="259"/>
      <c r="S4286" s="259"/>
      <c r="T4286" s="260"/>
      <c r="U4286" s="252"/>
      <c r="V4286" s="252"/>
      <c r="W4286" s="460">
        <f>IF(W4227=0,0,W4253/W4227*100)</f>
        <v>0</v>
      </c>
      <c r="X4286" s="258"/>
      <c r="Y4286" s="202"/>
      <c r="Z4286" s="48"/>
      <c r="AA4286" s="252"/>
      <c r="AB4286" s="252"/>
      <c r="AC4286" s="460">
        <f>IF(AC4227=0,0,AC4253/AC4227*100)</f>
        <v>0</v>
      </c>
      <c r="AF4286"/>
      <c r="AG4286"/>
    </row>
    <row r="4287" spans="1:33" s="47" customFormat="1">
      <c r="A4287"/>
      <c r="B4287"/>
      <c r="C4287"/>
      <c r="D4287"/>
      <c r="E4287"/>
      <c r="F4287"/>
      <c r="G4287"/>
      <c r="H4287"/>
      <c r="I4287"/>
      <c r="J4287"/>
      <c r="K4287"/>
      <c r="L4287"/>
      <c r="M4287" s="820"/>
      <c r="N4287" s="461" t="str">
        <f>N4260 &amp; ".10"</f>
        <v>4.0.1.4.10</v>
      </c>
      <c r="O4287" s="457" t="s">
        <v>2978</v>
      </c>
      <c r="P4287" s="473" t="s">
        <v>220</v>
      </c>
      <c r="Q4287" s="258"/>
      <c r="R4287" s="259"/>
      <c r="S4287" s="259"/>
      <c r="T4287" s="260"/>
      <c r="U4287" s="252"/>
      <c r="V4287" s="252"/>
      <c r="W4287" s="460">
        <f>IF(W4227=0,0,W4254/W4227*100)</f>
        <v>0</v>
      </c>
      <c r="X4287" s="258"/>
      <c r="Y4287" s="202"/>
      <c r="Z4287" s="48"/>
      <c r="AA4287" s="252"/>
      <c r="AB4287" s="252"/>
      <c r="AC4287" s="460">
        <f>IF(AC4227=0,0,AC4254/AC4227*100)</f>
        <v>0</v>
      </c>
      <c r="AF4287"/>
      <c r="AG4287"/>
    </row>
    <row r="4288" spans="1:33" s="47" customFormat="1">
      <c r="A4288"/>
      <c r="B4288"/>
      <c r="C4288"/>
      <c r="D4288"/>
      <c r="E4288"/>
      <c r="F4288"/>
      <c r="G4288"/>
      <c r="H4288"/>
      <c r="I4288"/>
      <c r="J4288"/>
      <c r="K4288"/>
      <c r="L4288"/>
      <c r="M4288" s="820"/>
      <c r="N4288" s="461" t="str">
        <f>N4260 &amp; ".11"</f>
        <v>4.0.1.4.11</v>
      </c>
      <c r="O4288" s="457" t="s">
        <v>2980</v>
      </c>
      <c r="P4288" s="473" t="s">
        <v>220</v>
      </c>
      <c r="Q4288" s="258"/>
      <c r="R4288" s="259"/>
      <c r="S4288" s="259"/>
      <c r="T4288" s="260"/>
      <c r="U4288" s="252"/>
      <c r="V4288" s="252"/>
      <c r="W4288" s="460">
        <f>IF(W4227=0,0,W4255/W4227*100)</f>
        <v>0</v>
      </c>
      <c r="X4288" s="258"/>
      <c r="Y4288" s="202"/>
      <c r="Z4288" s="48"/>
      <c r="AA4288" s="252"/>
      <c r="AB4288" s="252"/>
      <c r="AC4288" s="460">
        <f>IF(AC4227=0,0,AC4255/AC4227*100)</f>
        <v>0</v>
      </c>
      <c r="AF4288"/>
      <c r="AG4288"/>
    </row>
    <row r="4289" spans="1:33" s="47" customFormat="1">
      <c r="A4289"/>
      <c r="B4289"/>
      <c r="C4289"/>
      <c r="D4289"/>
      <c r="E4289"/>
      <c r="F4289"/>
      <c r="G4289"/>
      <c r="H4289"/>
      <c r="I4289"/>
      <c r="J4289"/>
      <c r="K4289"/>
      <c r="L4289"/>
      <c r="M4289" s="820"/>
      <c r="N4289" s="461" t="str">
        <f>N4260 &amp; ".12"</f>
        <v>4.0.1.4.12</v>
      </c>
      <c r="O4289" s="457" t="s">
        <v>2982</v>
      </c>
      <c r="P4289" s="473" t="s">
        <v>220</v>
      </c>
      <c r="Q4289" s="258"/>
      <c r="R4289" s="259"/>
      <c r="S4289" s="259"/>
      <c r="T4289" s="260"/>
      <c r="U4289" s="252"/>
      <c r="V4289" s="252"/>
      <c r="W4289" s="460">
        <f>IF(W4227=0,0,W4256/W4227*100)</f>
        <v>0</v>
      </c>
      <c r="X4289" s="258"/>
      <c r="Y4289" s="202"/>
      <c r="Z4289" s="48"/>
      <c r="AA4289" s="252"/>
      <c r="AB4289" s="252"/>
      <c r="AC4289" s="460">
        <f>IF(AC4227=0,0,AC4256/AC4227*100)</f>
        <v>0</v>
      </c>
      <c r="AF4289"/>
      <c r="AG4289"/>
    </row>
    <row r="4290" spans="1:33" s="47" customFormat="1" hidden="1">
      <c r="A4290"/>
      <c r="B4290"/>
      <c r="C4290"/>
      <c r="D4290"/>
      <c r="E4290"/>
      <c r="F4290"/>
      <c r="G4290"/>
      <c r="H4290"/>
      <c r="I4290"/>
      <c r="J4290"/>
      <c r="K4290"/>
      <c r="L4290"/>
      <c r="M4290" s="820"/>
      <c r="N4290" s="451"/>
      <c r="O4290" s="455"/>
      <c r="P4290" s="473"/>
      <c r="Q4290" s="258"/>
      <c r="R4290" s="259"/>
      <c r="S4290" s="259"/>
      <c r="T4290" s="260"/>
      <c r="U4290" s="252"/>
      <c r="V4290" s="252"/>
      <c r="W4290" s="456"/>
      <c r="X4290" s="258"/>
      <c r="Y4290" s="202"/>
      <c r="Z4290" s="48"/>
      <c r="AA4290" s="252"/>
      <c r="AB4290" s="252"/>
      <c r="AC4290" s="456"/>
      <c r="AF4290"/>
      <c r="AG4290"/>
    </row>
    <row r="4291" spans="1:33" s="47" customFormat="1" hidden="1">
      <c r="A4291"/>
      <c r="B4291"/>
      <c r="C4291"/>
      <c r="D4291"/>
      <c r="E4291"/>
      <c r="F4291"/>
      <c r="G4291"/>
      <c r="H4291"/>
      <c r="I4291"/>
      <c r="J4291"/>
      <c r="K4291"/>
      <c r="L4291"/>
      <c r="M4291" s="820"/>
      <c r="N4291" s="451"/>
      <c r="O4291" s="455"/>
      <c r="P4291" s="473"/>
      <c r="Q4291" s="258"/>
      <c r="R4291" s="259"/>
      <c r="S4291" s="259"/>
      <c r="T4291" s="260"/>
      <c r="U4291" s="252"/>
      <c r="V4291" s="252"/>
      <c r="W4291" s="456"/>
      <c r="X4291" s="258"/>
      <c r="Y4291" s="202"/>
      <c r="Z4291" s="48"/>
      <c r="AA4291" s="252"/>
      <c r="AB4291" s="252"/>
      <c r="AC4291" s="456"/>
      <c r="AF4291"/>
      <c r="AG4291"/>
    </row>
    <row r="4292" spans="1:33" s="47" customFormat="1">
      <c r="A4292"/>
      <c r="B4292"/>
      <c r="C4292"/>
      <c r="D4292"/>
      <c r="E4292"/>
      <c r="F4292"/>
      <c r="G4292"/>
      <c r="H4292"/>
      <c r="I4292"/>
      <c r="J4292"/>
      <c r="K4292"/>
      <c r="L4292"/>
      <c r="M4292" s="820"/>
      <c r="N4292" s="461" t="str">
        <f>N4260 &amp; ".15"</f>
        <v>4.0.1.4.15</v>
      </c>
      <c r="O4292" s="457" t="s">
        <v>291</v>
      </c>
      <c r="P4292" s="473" t="s">
        <v>220</v>
      </c>
      <c r="Q4292" s="258"/>
      <c r="R4292" s="259"/>
      <c r="S4292" s="259"/>
      <c r="T4292" s="260"/>
      <c r="U4292" s="252"/>
      <c r="V4292" s="252"/>
      <c r="W4292" s="460">
        <f>IF(W4227=0,0,W4259/W4227*100)</f>
        <v>0</v>
      </c>
      <c r="X4292" s="258"/>
      <c r="Y4292" s="202"/>
      <c r="Z4292" s="48"/>
      <c r="AA4292" s="252"/>
      <c r="AB4292" s="252"/>
      <c r="AC4292" s="460">
        <f>IF(AC4227=0,0,AC4259/AC4227*100)</f>
        <v>0</v>
      </c>
      <c r="AF4292"/>
      <c r="AG4292"/>
    </row>
    <row r="4293" spans="1:33" s="47" customFormat="1">
      <c r="A4293"/>
      <c r="B4293"/>
      <c r="C4293"/>
      <c r="D4293"/>
      <c r="E4293"/>
      <c r="F4293"/>
      <c r="G4293"/>
      <c r="H4293"/>
      <c r="I4293"/>
      <c r="J4293"/>
      <c r="K4293"/>
      <c r="L4293"/>
      <c r="M4293" s="820"/>
      <c r="N4293" s="449" t="s">
        <v>261</v>
      </c>
      <c r="O4293" s="463" t="s">
        <v>221</v>
      </c>
      <c r="P4293" s="473"/>
      <c r="Q4293" s="258"/>
      <c r="R4293" s="259"/>
      <c r="S4293" s="259"/>
      <c r="T4293" s="260"/>
      <c r="U4293" s="252"/>
      <c r="V4293" s="252"/>
      <c r="W4293" s="456"/>
      <c r="X4293" s="258"/>
      <c r="Y4293" s="202"/>
      <c r="Z4293" s="48"/>
      <c r="AA4293" s="252"/>
      <c r="AB4293" s="252"/>
      <c r="AC4293" s="456"/>
      <c r="AF4293"/>
      <c r="AG4293"/>
    </row>
    <row r="4294" spans="1:33" s="47" customFormat="1">
      <c r="A4294"/>
      <c r="B4294"/>
      <c r="C4294"/>
      <c r="D4294"/>
      <c r="E4294"/>
      <c r="F4294"/>
      <c r="G4294"/>
      <c r="H4294"/>
      <c r="I4294"/>
      <c r="J4294"/>
      <c r="K4294"/>
      <c r="L4294"/>
      <c r="M4294" s="820"/>
      <c r="N4294" s="461" t="str">
        <f>N4293 &amp; ".1"</f>
        <v>4.0.1.5.1</v>
      </c>
      <c r="O4294" s="453" t="s">
        <v>78</v>
      </c>
      <c r="P4294" s="473"/>
      <c r="Q4294" s="258"/>
      <c r="R4294" s="259"/>
      <c r="S4294" s="259"/>
      <c r="T4294" s="260"/>
      <c r="U4294" s="252"/>
      <c r="V4294" s="252"/>
      <c r="W4294" s="465"/>
      <c r="X4294" s="258"/>
      <c r="Y4294" s="202"/>
      <c r="Z4294" s="48"/>
      <c r="AA4294" s="252"/>
      <c r="AB4294" s="252"/>
      <c r="AC4294" s="465"/>
      <c r="AF4294"/>
      <c r="AG4294"/>
    </row>
    <row r="4295" spans="1:33" s="47" customFormat="1">
      <c r="A4295"/>
      <c r="B4295"/>
      <c r="C4295"/>
      <c r="D4295"/>
      <c r="E4295"/>
      <c r="F4295"/>
      <c r="G4295"/>
      <c r="H4295"/>
      <c r="I4295"/>
      <c r="J4295"/>
      <c r="K4295"/>
      <c r="L4295"/>
      <c r="M4295" s="820"/>
      <c r="N4295" s="461" t="str">
        <f>N4293 &amp; ".2"</f>
        <v>4.0.1.5.2</v>
      </c>
      <c r="O4295" s="454" t="s">
        <v>212</v>
      </c>
      <c r="P4295" s="473"/>
      <c r="Q4295" s="258"/>
      <c r="R4295" s="259"/>
      <c r="S4295" s="259"/>
      <c r="T4295" s="260"/>
      <c r="U4295" s="252"/>
      <c r="V4295" s="252"/>
      <c r="W4295" s="452">
        <f>IF(W4328=0,0,W4229/W4328)</f>
        <v>0</v>
      </c>
      <c r="X4295" s="258"/>
      <c r="Y4295" s="202"/>
      <c r="Z4295" s="48"/>
      <c r="AA4295" s="252"/>
      <c r="AB4295" s="252"/>
      <c r="AC4295" s="452">
        <f>IF(AC4328=0,0,AC4229/AC4328)</f>
        <v>0</v>
      </c>
      <c r="AF4295"/>
      <c r="AG4295"/>
    </row>
    <row r="4296" spans="1:33" s="47" customFormat="1">
      <c r="A4296"/>
      <c r="B4296"/>
      <c r="C4296"/>
      <c r="D4296"/>
      <c r="E4296"/>
      <c r="F4296"/>
      <c r="G4296"/>
      <c r="H4296"/>
      <c r="I4296"/>
      <c r="J4296"/>
      <c r="K4296"/>
      <c r="L4296"/>
      <c r="M4296" s="820"/>
      <c r="N4296" s="461" t="str">
        <f>N4293 &amp; ".2.1"</f>
        <v>4.0.1.5.2.1</v>
      </c>
      <c r="O4296" s="455" t="s">
        <v>79</v>
      </c>
      <c r="P4296" s="473"/>
      <c r="Q4296" s="258"/>
      <c r="R4296" s="259"/>
      <c r="S4296" s="259"/>
      <c r="T4296" s="260"/>
      <c r="U4296" s="252"/>
      <c r="V4296" s="252"/>
      <c r="W4296" s="465"/>
      <c r="X4296" s="258"/>
      <c r="Y4296" s="202"/>
      <c r="Z4296" s="48"/>
      <c r="AA4296" s="252"/>
      <c r="AB4296" s="252"/>
      <c r="AC4296" s="465"/>
      <c r="AF4296"/>
      <c r="AG4296"/>
    </row>
    <row r="4297" spans="1:33" s="47" customFormat="1" hidden="1">
      <c r="A4297"/>
      <c r="B4297"/>
      <c r="C4297"/>
      <c r="D4297"/>
      <c r="E4297"/>
      <c r="F4297"/>
      <c r="G4297"/>
      <c r="H4297"/>
      <c r="I4297"/>
      <c r="J4297"/>
      <c r="K4297"/>
      <c r="L4297"/>
      <c r="M4297" s="820"/>
      <c r="N4297" s="451"/>
      <c r="O4297" s="455"/>
      <c r="P4297" s="473"/>
      <c r="Q4297" s="258"/>
      <c r="R4297" s="259"/>
      <c r="S4297" s="259"/>
      <c r="T4297" s="260"/>
      <c r="U4297" s="252"/>
      <c r="V4297" s="252"/>
      <c r="W4297" s="456"/>
      <c r="X4297" s="258"/>
      <c r="Y4297" s="202"/>
      <c r="Z4297" s="48"/>
      <c r="AA4297" s="252"/>
      <c r="AB4297" s="252"/>
      <c r="AC4297" s="456"/>
      <c r="AF4297"/>
      <c r="AG4297"/>
    </row>
    <row r="4298" spans="1:33" s="47" customFormat="1" hidden="1">
      <c r="A4298"/>
      <c r="B4298"/>
      <c r="C4298"/>
      <c r="D4298"/>
      <c r="E4298"/>
      <c r="F4298"/>
      <c r="G4298"/>
      <c r="H4298"/>
      <c r="I4298"/>
      <c r="J4298"/>
      <c r="K4298"/>
      <c r="L4298"/>
      <c r="M4298" s="820"/>
      <c r="N4298" s="451"/>
      <c r="O4298" s="455"/>
      <c r="P4298" s="473"/>
      <c r="Q4298" s="258"/>
      <c r="R4298" s="259"/>
      <c r="S4298" s="259"/>
      <c r="T4298" s="260"/>
      <c r="U4298" s="252"/>
      <c r="V4298" s="252"/>
      <c r="W4298" s="456"/>
      <c r="X4298" s="258"/>
      <c r="Y4298" s="202"/>
      <c r="Z4298" s="48"/>
      <c r="AA4298" s="252"/>
      <c r="AB4298" s="252"/>
      <c r="AC4298" s="456"/>
      <c r="AF4298"/>
      <c r="AG4298"/>
    </row>
    <row r="4299" spans="1:33" s="47" customFormat="1" hidden="1">
      <c r="A4299"/>
      <c r="B4299"/>
      <c r="C4299"/>
      <c r="D4299"/>
      <c r="E4299"/>
      <c r="F4299"/>
      <c r="G4299"/>
      <c r="H4299"/>
      <c r="I4299"/>
      <c r="J4299"/>
      <c r="K4299"/>
      <c r="L4299"/>
      <c r="M4299" s="820"/>
      <c r="N4299" s="451"/>
      <c r="O4299" s="455"/>
      <c r="P4299" s="473"/>
      <c r="Q4299" s="258"/>
      <c r="R4299" s="259"/>
      <c r="S4299" s="259"/>
      <c r="T4299" s="260"/>
      <c r="U4299" s="252"/>
      <c r="V4299" s="252"/>
      <c r="W4299" s="456"/>
      <c r="X4299" s="258"/>
      <c r="Y4299" s="202"/>
      <c r="Z4299" s="48"/>
      <c r="AA4299" s="252"/>
      <c r="AB4299" s="252"/>
      <c r="AC4299" s="456"/>
      <c r="AF4299"/>
      <c r="AG4299"/>
    </row>
    <row r="4300" spans="1:33" s="47" customFormat="1" hidden="1">
      <c r="A4300"/>
      <c r="B4300"/>
      <c r="C4300"/>
      <c r="D4300"/>
      <c r="E4300"/>
      <c r="F4300"/>
      <c r="G4300"/>
      <c r="H4300"/>
      <c r="I4300"/>
      <c r="J4300"/>
      <c r="K4300"/>
      <c r="L4300"/>
      <c r="M4300" s="820"/>
      <c r="N4300" s="451"/>
      <c r="O4300" s="455"/>
      <c r="P4300" s="473"/>
      <c r="Q4300" s="258"/>
      <c r="R4300" s="259"/>
      <c r="S4300" s="259"/>
      <c r="T4300" s="260"/>
      <c r="U4300" s="252"/>
      <c r="V4300" s="252"/>
      <c r="W4300" s="456"/>
      <c r="X4300" s="258"/>
      <c r="Y4300" s="202"/>
      <c r="Z4300" s="48"/>
      <c r="AA4300" s="252"/>
      <c r="AB4300" s="252"/>
      <c r="AC4300" s="456"/>
      <c r="AF4300"/>
      <c r="AG4300"/>
    </row>
    <row r="4301" spans="1:33" s="47" customFormat="1" hidden="1">
      <c r="A4301"/>
      <c r="B4301"/>
      <c r="C4301"/>
      <c r="D4301"/>
      <c r="E4301"/>
      <c r="F4301"/>
      <c r="G4301"/>
      <c r="H4301"/>
      <c r="I4301"/>
      <c r="J4301"/>
      <c r="K4301"/>
      <c r="L4301"/>
      <c r="M4301" s="820"/>
      <c r="N4301" s="451"/>
      <c r="O4301" s="455"/>
      <c r="P4301" s="473"/>
      <c r="Q4301" s="258"/>
      <c r="R4301" s="259"/>
      <c r="S4301" s="259"/>
      <c r="T4301" s="260"/>
      <c r="U4301" s="252"/>
      <c r="V4301" s="252"/>
      <c r="W4301" s="456"/>
      <c r="X4301" s="258"/>
      <c r="Y4301" s="202"/>
      <c r="Z4301" s="48"/>
      <c r="AA4301" s="252"/>
      <c r="AB4301" s="252"/>
      <c r="AC4301" s="456"/>
      <c r="AF4301"/>
      <c r="AG4301"/>
    </row>
    <row r="4302" spans="1:33" s="47" customFormat="1" hidden="1">
      <c r="A4302"/>
      <c r="B4302"/>
      <c r="C4302"/>
      <c r="D4302"/>
      <c r="E4302"/>
      <c r="F4302"/>
      <c r="G4302"/>
      <c r="H4302"/>
      <c r="I4302"/>
      <c r="J4302"/>
      <c r="K4302"/>
      <c r="L4302"/>
      <c r="M4302" s="820"/>
      <c r="N4302" s="451"/>
      <c r="O4302" s="455"/>
      <c r="P4302" s="473"/>
      <c r="Q4302" s="258"/>
      <c r="R4302" s="259"/>
      <c r="S4302" s="259"/>
      <c r="T4302" s="260"/>
      <c r="U4302" s="252"/>
      <c r="V4302" s="252"/>
      <c r="W4302" s="456"/>
      <c r="X4302" s="258"/>
      <c r="Y4302" s="202"/>
      <c r="Z4302" s="48"/>
      <c r="AA4302" s="252"/>
      <c r="AB4302" s="252"/>
      <c r="AC4302" s="456"/>
      <c r="AF4302"/>
      <c r="AG4302"/>
    </row>
    <row r="4303" spans="1:33" s="47" customFormat="1" hidden="1">
      <c r="A4303"/>
      <c r="B4303"/>
      <c r="C4303"/>
      <c r="D4303"/>
      <c r="E4303"/>
      <c r="F4303"/>
      <c r="G4303"/>
      <c r="H4303"/>
      <c r="I4303"/>
      <c r="J4303"/>
      <c r="K4303"/>
      <c r="L4303"/>
      <c r="M4303" s="820"/>
      <c r="N4303" s="451"/>
      <c r="O4303" s="455"/>
      <c r="P4303" s="473"/>
      <c r="Q4303" s="258"/>
      <c r="R4303" s="259"/>
      <c r="S4303" s="259"/>
      <c r="T4303" s="260"/>
      <c r="U4303" s="252"/>
      <c r="V4303" s="252"/>
      <c r="W4303" s="456"/>
      <c r="X4303" s="258"/>
      <c r="Y4303" s="202"/>
      <c r="Z4303" s="48"/>
      <c r="AA4303" s="252"/>
      <c r="AB4303" s="252"/>
      <c r="AC4303" s="456"/>
      <c r="AF4303"/>
      <c r="AG4303"/>
    </row>
    <row r="4304" spans="1:33" s="47" customFormat="1">
      <c r="A4304"/>
      <c r="B4304"/>
      <c r="C4304"/>
      <c r="D4304"/>
      <c r="E4304"/>
      <c r="F4304"/>
      <c r="G4304"/>
      <c r="H4304"/>
      <c r="I4304"/>
      <c r="J4304"/>
      <c r="K4304"/>
      <c r="L4304"/>
      <c r="M4304" s="820"/>
      <c r="N4304" s="461" t="str">
        <f>N4293 &amp; ".2.2"</f>
        <v>4.0.1.5.2.2</v>
      </c>
      <c r="O4304" s="455" t="s">
        <v>81</v>
      </c>
      <c r="P4304" s="473"/>
      <c r="Q4304" s="258"/>
      <c r="R4304" s="259"/>
      <c r="S4304" s="259"/>
      <c r="T4304" s="260"/>
      <c r="U4304" s="252"/>
      <c r="V4304" s="252"/>
      <c r="W4304" s="465"/>
      <c r="X4304" s="258"/>
      <c r="Y4304" s="202"/>
      <c r="Z4304" s="48"/>
      <c r="AA4304" s="252"/>
      <c r="AB4304" s="252"/>
      <c r="AC4304" s="465"/>
      <c r="AF4304"/>
      <c r="AG4304"/>
    </row>
    <row r="4305" spans="1:33" s="47" customFormat="1" hidden="1">
      <c r="A4305"/>
      <c r="B4305"/>
      <c r="C4305"/>
      <c r="D4305"/>
      <c r="E4305"/>
      <c r="F4305"/>
      <c r="G4305"/>
      <c r="H4305"/>
      <c r="I4305"/>
      <c r="J4305"/>
      <c r="K4305"/>
      <c r="L4305"/>
      <c r="M4305" s="820"/>
      <c r="N4305" s="451"/>
      <c r="O4305" s="455"/>
      <c r="P4305" s="473"/>
      <c r="Q4305" s="258"/>
      <c r="R4305" s="259"/>
      <c r="S4305" s="259"/>
      <c r="T4305" s="260"/>
      <c r="U4305" s="252"/>
      <c r="V4305" s="252"/>
      <c r="W4305" s="456"/>
      <c r="X4305" s="258"/>
      <c r="Y4305" s="202"/>
      <c r="Z4305" s="48"/>
      <c r="AA4305" s="252"/>
      <c r="AB4305" s="252"/>
      <c r="AC4305" s="456"/>
      <c r="AF4305"/>
      <c r="AG4305"/>
    </row>
    <row r="4306" spans="1:33" s="47" customFormat="1" hidden="1">
      <c r="A4306"/>
      <c r="B4306"/>
      <c r="C4306"/>
      <c r="D4306"/>
      <c r="E4306"/>
      <c r="F4306"/>
      <c r="G4306"/>
      <c r="H4306"/>
      <c r="I4306"/>
      <c r="J4306"/>
      <c r="K4306"/>
      <c r="L4306"/>
      <c r="M4306" s="820"/>
      <c r="N4306" s="451"/>
      <c r="O4306" s="455"/>
      <c r="P4306" s="473"/>
      <c r="Q4306" s="258"/>
      <c r="R4306" s="259"/>
      <c r="S4306" s="259"/>
      <c r="T4306" s="260"/>
      <c r="U4306" s="252"/>
      <c r="V4306" s="252"/>
      <c r="W4306" s="456"/>
      <c r="X4306" s="258"/>
      <c r="Y4306" s="202"/>
      <c r="Z4306" s="48"/>
      <c r="AA4306" s="252"/>
      <c r="AB4306" s="252"/>
      <c r="AC4306" s="456"/>
      <c r="AF4306"/>
      <c r="AG4306"/>
    </row>
    <row r="4307" spans="1:33" s="47" customFormat="1" hidden="1">
      <c r="A4307"/>
      <c r="B4307"/>
      <c r="C4307"/>
      <c r="D4307"/>
      <c r="E4307"/>
      <c r="F4307"/>
      <c r="G4307"/>
      <c r="H4307"/>
      <c r="I4307"/>
      <c r="J4307"/>
      <c r="K4307"/>
      <c r="L4307"/>
      <c r="M4307" s="820"/>
      <c r="N4307" s="451"/>
      <c r="O4307" s="455"/>
      <c r="P4307" s="473"/>
      <c r="Q4307" s="258"/>
      <c r="R4307" s="259"/>
      <c r="S4307" s="259"/>
      <c r="T4307" s="260"/>
      <c r="U4307" s="252"/>
      <c r="V4307" s="252"/>
      <c r="W4307" s="456"/>
      <c r="X4307" s="258"/>
      <c r="Y4307" s="202"/>
      <c r="Z4307" s="48"/>
      <c r="AA4307" s="252"/>
      <c r="AB4307" s="252"/>
      <c r="AC4307" s="456"/>
      <c r="AF4307"/>
      <c r="AG4307"/>
    </row>
    <row r="4308" spans="1:33" s="47" customFormat="1" hidden="1">
      <c r="A4308"/>
      <c r="B4308"/>
      <c r="C4308"/>
      <c r="D4308"/>
      <c r="E4308"/>
      <c r="F4308"/>
      <c r="G4308"/>
      <c r="H4308"/>
      <c r="I4308"/>
      <c r="J4308"/>
      <c r="K4308"/>
      <c r="L4308"/>
      <c r="M4308" s="820"/>
      <c r="N4308" s="451"/>
      <c r="O4308" s="455"/>
      <c r="P4308" s="473"/>
      <c r="Q4308" s="258"/>
      <c r="R4308" s="259"/>
      <c r="S4308" s="259"/>
      <c r="T4308" s="260"/>
      <c r="U4308" s="252"/>
      <c r="V4308" s="252"/>
      <c r="W4308" s="456"/>
      <c r="X4308" s="258"/>
      <c r="Y4308" s="202"/>
      <c r="Z4308" s="48"/>
      <c r="AA4308" s="252"/>
      <c r="AB4308" s="252"/>
      <c r="AC4308" s="456"/>
      <c r="AF4308"/>
      <c r="AG4308"/>
    </row>
    <row r="4309" spans="1:33" s="47" customFormat="1" hidden="1">
      <c r="A4309"/>
      <c r="B4309"/>
      <c r="C4309"/>
      <c r="D4309"/>
      <c r="E4309"/>
      <c r="F4309"/>
      <c r="G4309"/>
      <c r="H4309"/>
      <c r="I4309"/>
      <c r="J4309"/>
      <c r="K4309"/>
      <c r="L4309"/>
      <c r="M4309" s="820"/>
      <c r="N4309" s="451"/>
      <c r="O4309" s="455"/>
      <c r="P4309" s="473"/>
      <c r="Q4309" s="258"/>
      <c r="R4309" s="259"/>
      <c r="S4309" s="259"/>
      <c r="T4309" s="260"/>
      <c r="U4309" s="252"/>
      <c r="V4309" s="252"/>
      <c r="W4309" s="456"/>
      <c r="X4309" s="258"/>
      <c r="Y4309" s="202"/>
      <c r="Z4309" s="48"/>
      <c r="AA4309" s="252"/>
      <c r="AB4309" s="252"/>
      <c r="AC4309" s="456"/>
      <c r="AF4309"/>
      <c r="AG4309"/>
    </row>
    <row r="4310" spans="1:33" s="47" customFormat="1" hidden="1">
      <c r="A4310"/>
      <c r="B4310"/>
      <c r="C4310"/>
      <c r="D4310"/>
      <c r="E4310"/>
      <c r="F4310"/>
      <c r="G4310"/>
      <c r="H4310"/>
      <c r="I4310"/>
      <c r="J4310"/>
      <c r="K4310"/>
      <c r="L4310"/>
      <c r="M4310" s="820"/>
      <c r="N4310" s="451"/>
      <c r="O4310" s="455"/>
      <c r="P4310" s="473"/>
      <c r="Q4310" s="258"/>
      <c r="R4310" s="259"/>
      <c r="S4310" s="259"/>
      <c r="T4310" s="260"/>
      <c r="U4310" s="252"/>
      <c r="V4310" s="252"/>
      <c r="W4310" s="456"/>
      <c r="X4310" s="258"/>
      <c r="Y4310" s="202"/>
      <c r="Z4310" s="48"/>
      <c r="AA4310" s="252"/>
      <c r="AB4310" s="252"/>
      <c r="AC4310" s="456"/>
      <c r="AF4310"/>
      <c r="AG4310"/>
    </row>
    <row r="4311" spans="1:33" s="47" customFormat="1" hidden="1">
      <c r="A4311"/>
      <c r="B4311"/>
      <c r="C4311"/>
      <c r="D4311"/>
      <c r="E4311"/>
      <c r="F4311"/>
      <c r="G4311"/>
      <c r="H4311"/>
      <c r="I4311"/>
      <c r="J4311"/>
      <c r="K4311"/>
      <c r="L4311"/>
      <c r="M4311" s="820"/>
      <c r="N4311" s="451"/>
      <c r="O4311" s="455"/>
      <c r="P4311" s="473"/>
      <c r="Q4311" s="258"/>
      <c r="R4311" s="259"/>
      <c r="S4311" s="259"/>
      <c r="T4311" s="260"/>
      <c r="U4311" s="252"/>
      <c r="V4311" s="252"/>
      <c r="W4311" s="456"/>
      <c r="X4311" s="258"/>
      <c r="Y4311" s="202"/>
      <c r="Z4311" s="48"/>
      <c r="AA4311" s="252"/>
      <c r="AB4311" s="252"/>
      <c r="AC4311" s="456"/>
      <c r="AF4311"/>
      <c r="AG4311"/>
    </row>
    <row r="4312" spans="1:33" s="47" customFormat="1">
      <c r="A4312"/>
      <c r="B4312"/>
      <c r="C4312"/>
      <c r="D4312"/>
      <c r="E4312"/>
      <c r="F4312"/>
      <c r="G4312"/>
      <c r="H4312"/>
      <c r="I4312"/>
      <c r="J4312"/>
      <c r="K4312"/>
      <c r="L4312"/>
      <c r="M4312" s="820"/>
      <c r="N4312" s="461" t="str">
        <f>N4293 &amp; ".2.3"</f>
        <v>4.0.1.5.2.3</v>
      </c>
      <c r="O4312" s="455" t="s">
        <v>83</v>
      </c>
      <c r="P4312" s="473"/>
      <c r="Q4312" s="258"/>
      <c r="R4312" s="259"/>
      <c r="S4312" s="259"/>
      <c r="T4312" s="260"/>
      <c r="U4312" s="252"/>
      <c r="V4312" s="252"/>
      <c r="W4312" s="465"/>
      <c r="X4312" s="258"/>
      <c r="Y4312" s="202"/>
      <c r="Z4312" s="48"/>
      <c r="AA4312" s="252"/>
      <c r="AB4312" s="252"/>
      <c r="AC4312" s="465"/>
      <c r="AF4312"/>
      <c r="AG4312"/>
    </row>
    <row r="4313" spans="1:33" s="47" customFormat="1">
      <c r="A4313"/>
      <c r="B4313"/>
      <c r="C4313"/>
      <c r="D4313"/>
      <c r="E4313"/>
      <c r="F4313"/>
      <c r="G4313"/>
      <c r="H4313"/>
      <c r="I4313"/>
      <c r="J4313"/>
      <c r="K4313"/>
      <c r="L4313"/>
      <c r="M4313" s="820"/>
      <c r="N4313" s="461" t="str">
        <f>N4293 &amp; ".3"</f>
        <v>4.0.1.5.3</v>
      </c>
      <c r="O4313" s="457" t="s">
        <v>85</v>
      </c>
      <c r="P4313" s="473"/>
      <c r="Q4313" s="258"/>
      <c r="R4313" s="259"/>
      <c r="S4313" s="259"/>
      <c r="T4313" s="260"/>
      <c r="U4313" s="252"/>
      <c r="V4313" s="252"/>
      <c r="W4313" s="465"/>
      <c r="X4313" s="258"/>
      <c r="Y4313" s="202"/>
      <c r="Z4313" s="48"/>
      <c r="AA4313" s="252"/>
      <c r="AB4313" s="252"/>
      <c r="AC4313" s="465"/>
      <c r="AF4313"/>
      <c r="AG4313"/>
    </row>
    <row r="4314" spans="1:33" s="47" customFormat="1">
      <c r="A4314"/>
      <c r="B4314"/>
      <c r="C4314"/>
      <c r="D4314"/>
      <c r="E4314"/>
      <c r="F4314"/>
      <c r="G4314"/>
      <c r="H4314"/>
      <c r="I4314"/>
      <c r="J4314"/>
      <c r="K4314"/>
      <c r="L4314"/>
      <c r="M4314" s="820"/>
      <c r="N4314" s="461" t="str">
        <f>N4293 &amp; ".4"</f>
        <v>4.0.1.5.4</v>
      </c>
      <c r="O4314" s="457" t="s">
        <v>87</v>
      </c>
      <c r="P4314" s="473"/>
      <c r="Q4314" s="258"/>
      <c r="R4314" s="259"/>
      <c r="S4314" s="259"/>
      <c r="T4314" s="260"/>
      <c r="U4314" s="252"/>
      <c r="V4314" s="252"/>
      <c r="W4314" s="465"/>
      <c r="X4314" s="258"/>
      <c r="Y4314" s="202"/>
      <c r="Z4314" s="48"/>
      <c r="AA4314" s="252"/>
      <c r="AB4314" s="252"/>
      <c r="AC4314" s="465"/>
      <c r="AF4314"/>
      <c r="AG4314"/>
    </row>
    <row r="4315" spans="1:33" s="47" customFormat="1">
      <c r="A4315"/>
      <c r="B4315"/>
      <c r="C4315"/>
      <c r="D4315"/>
      <c r="E4315"/>
      <c r="F4315"/>
      <c r="G4315"/>
      <c r="H4315"/>
      <c r="I4315"/>
      <c r="J4315"/>
      <c r="K4315"/>
      <c r="L4315"/>
      <c r="M4315" s="820"/>
      <c r="N4315" s="461" t="str">
        <f>N4293&amp;".5"</f>
        <v>4.0.1.5.5</v>
      </c>
      <c r="O4315" s="457" t="s">
        <v>89</v>
      </c>
      <c r="P4315" s="473"/>
      <c r="Q4315" s="258"/>
      <c r="R4315" s="259"/>
      <c r="S4315" s="259"/>
      <c r="T4315" s="260"/>
      <c r="U4315" s="252"/>
      <c r="V4315" s="252"/>
      <c r="W4315" s="465"/>
      <c r="X4315" s="258"/>
      <c r="Y4315" s="202"/>
      <c r="Z4315" s="48"/>
      <c r="AA4315" s="252"/>
      <c r="AB4315" s="252"/>
      <c r="AC4315" s="465"/>
      <c r="AF4315"/>
      <c r="AG4315"/>
    </row>
    <row r="4316" spans="1:33" s="47" customFormat="1">
      <c r="A4316"/>
      <c r="B4316"/>
      <c r="C4316"/>
      <c r="D4316"/>
      <c r="E4316"/>
      <c r="F4316"/>
      <c r="G4316"/>
      <c r="H4316"/>
      <c r="I4316"/>
      <c r="J4316"/>
      <c r="K4316"/>
      <c r="L4316"/>
      <c r="M4316" s="820"/>
      <c r="N4316" s="461" t="str">
        <f>N4293 &amp; ".6"</f>
        <v>4.0.1.5.6</v>
      </c>
      <c r="O4316" s="457" t="s">
        <v>91</v>
      </c>
      <c r="P4316" s="473"/>
      <c r="Q4316" s="258"/>
      <c r="R4316" s="259"/>
      <c r="S4316" s="259"/>
      <c r="T4316" s="260"/>
      <c r="U4316" s="252"/>
      <c r="V4316" s="252"/>
      <c r="W4316" s="465"/>
      <c r="X4316" s="258"/>
      <c r="Y4316" s="202"/>
      <c r="Z4316" s="48"/>
      <c r="AA4316" s="252"/>
      <c r="AB4316" s="252"/>
      <c r="AC4316" s="465"/>
      <c r="AF4316"/>
      <c r="AG4316"/>
    </row>
    <row r="4317" spans="1:33" s="47" customFormat="1">
      <c r="A4317"/>
      <c r="B4317"/>
      <c r="C4317"/>
      <c r="D4317"/>
      <c r="E4317"/>
      <c r="F4317"/>
      <c r="G4317"/>
      <c r="H4317"/>
      <c r="I4317"/>
      <c r="J4317"/>
      <c r="K4317"/>
      <c r="L4317"/>
      <c r="M4317" s="820"/>
      <c r="N4317" s="461" t="str">
        <f>N4293 &amp; ".7"</f>
        <v>4.0.1.5.7</v>
      </c>
      <c r="O4317" s="457" t="s">
        <v>93</v>
      </c>
      <c r="P4317" s="473"/>
      <c r="Q4317" s="258"/>
      <c r="R4317" s="259"/>
      <c r="S4317" s="259"/>
      <c r="T4317" s="260"/>
      <c r="U4317" s="252"/>
      <c r="V4317" s="252"/>
      <c r="W4317" s="465"/>
      <c r="X4317" s="258"/>
      <c r="Y4317" s="202"/>
      <c r="Z4317" s="48"/>
      <c r="AA4317" s="252"/>
      <c r="AB4317" s="252"/>
      <c r="AC4317" s="465"/>
      <c r="AF4317"/>
      <c r="AG4317"/>
    </row>
    <row r="4318" spans="1:33" s="47" customFormat="1">
      <c r="A4318"/>
      <c r="B4318"/>
      <c r="C4318"/>
      <c r="D4318"/>
      <c r="E4318"/>
      <c r="F4318"/>
      <c r="G4318"/>
      <c r="H4318"/>
      <c r="I4318"/>
      <c r="J4318"/>
      <c r="K4318"/>
      <c r="L4318"/>
      <c r="M4318" s="820"/>
      <c r="N4318" s="461" t="str">
        <f>N4293 &amp; ".8"</f>
        <v>4.0.1.5.8</v>
      </c>
      <c r="O4318" s="457" t="s">
        <v>95</v>
      </c>
      <c r="P4318" s="473"/>
      <c r="Q4318" s="258"/>
      <c r="R4318" s="259"/>
      <c r="S4318" s="259"/>
      <c r="T4318" s="260"/>
      <c r="U4318" s="252"/>
      <c r="V4318" s="252"/>
      <c r="W4318" s="465"/>
      <c r="X4318" s="258"/>
      <c r="Y4318" s="202"/>
      <c r="Z4318" s="48"/>
      <c r="AA4318" s="252"/>
      <c r="AB4318" s="252"/>
      <c r="AC4318" s="465"/>
      <c r="AF4318"/>
      <c r="AG4318"/>
    </row>
    <row r="4319" spans="1:33" s="47" customFormat="1">
      <c r="A4319"/>
      <c r="B4319"/>
      <c r="C4319"/>
      <c r="D4319"/>
      <c r="E4319"/>
      <c r="F4319"/>
      <c r="G4319"/>
      <c r="H4319"/>
      <c r="I4319"/>
      <c r="J4319"/>
      <c r="K4319"/>
      <c r="L4319"/>
      <c r="M4319" s="820"/>
      <c r="N4319" s="461" t="str">
        <f>N4293 &amp; ".9"</f>
        <v>4.0.1.5.9</v>
      </c>
      <c r="O4319" s="457" t="s">
        <v>2976</v>
      </c>
      <c r="P4319" s="473"/>
      <c r="Q4319" s="258"/>
      <c r="R4319" s="259"/>
      <c r="S4319" s="259"/>
      <c r="T4319" s="260"/>
      <c r="U4319" s="252"/>
      <c r="V4319" s="252"/>
      <c r="W4319" s="465"/>
      <c r="X4319" s="258"/>
      <c r="Y4319" s="202"/>
      <c r="Z4319" s="48"/>
      <c r="AA4319" s="252"/>
      <c r="AB4319" s="252"/>
      <c r="AC4319" s="465"/>
      <c r="AF4319"/>
      <c r="AG4319"/>
    </row>
    <row r="4320" spans="1:33" s="47" customFormat="1">
      <c r="A4320"/>
      <c r="B4320"/>
      <c r="C4320"/>
      <c r="D4320"/>
      <c r="E4320"/>
      <c r="F4320"/>
      <c r="G4320"/>
      <c r="H4320"/>
      <c r="I4320"/>
      <c r="J4320"/>
      <c r="K4320"/>
      <c r="L4320"/>
      <c r="M4320" s="820"/>
      <c r="N4320" s="461" t="str">
        <f>N4293 &amp; ".10"</f>
        <v>4.0.1.5.10</v>
      </c>
      <c r="O4320" s="457" t="s">
        <v>2978</v>
      </c>
      <c r="P4320" s="473"/>
      <c r="Q4320" s="258"/>
      <c r="R4320" s="259"/>
      <c r="S4320" s="259"/>
      <c r="T4320" s="260"/>
      <c r="U4320" s="252"/>
      <c r="V4320" s="252"/>
      <c r="W4320" s="465"/>
      <c r="X4320" s="258"/>
      <c r="Y4320" s="202"/>
      <c r="Z4320" s="48"/>
      <c r="AA4320" s="252"/>
      <c r="AB4320" s="252"/>
      <c r="AC4320" s="465"/>
      <c r="AF4320"/>
      <c r="AG4320"/>
    </row>
    <row r="4321" spans="1:33" s="47" customFormat="1">
      <c r="A4321"/>
      <c r="B4321"/>
      <c r="C4321"/>
      <c r="D4321"/>
      <c r="E4321"/>
      <c r="F4321"/>
      <c r="G4321"/>
      <c r="H4321"/>
      <c r="I4321"/>
      <c r="J4321"/>
      <c r="K4321"/>
      <c r="L4321"/>
      <c r="M4321" s="820"/>
      <c r="N4321" s="461" t="str">
        <f>N4293 &amp; ".11"</f>
        <v>4.0.1.5.11</v>
      </c>
      <c r="O4321" s="457" t="s">
        <v>2980</v>
      </c>
      <c r="P4321" s="473"/>
      <c r="Q4321" s="258"/>
      <c r="R4321" s="259"/>
      <c r="S4321" s="259"/>
      <c r="T4321" s="260"/>
      <c r="U4321" s="252"/>
      <c r="V4321" s="252"/>
      <c r="W4321" s="465"/>
      <c r="X4321" s="258"/>
      <c r="Y4321" s="202"/>
      <c r="Z4321" s="48"/>
      <c r="AA4321" s="252"/>
      <c r="AB4321" s="252"/>
      <c r="AC4321" s="465"/>
      <c r="AF4321"/>
      <c r="AG4321"/>
    </row>
    <row r="4322" spans="1:33" s="47" customFormat="1">
      <c r="A4322"/>
      <c r="B4322"/>
      <c r="C4322"/>
      <c r="D4322"/>
      <c r="E4322"/>
      <c r="F4322"/>
      <c r="G4322"/>
      <c r="H4322"/>
      <c r="I4322"/>
      <c r="J4322"/>
      <c r="K4322"/>
      <c r="L4322"/>
      <c r="M4322" s="820"/>
      <c r="N4322" s="461" t="str">
        <f>N4293 &amp; ".12"</f>
        <v>4.0.1.5.12</v>
      </c>
      <c r="O4322" s="457" t="s">
        <v>2982</v>
      </c>
      <c r="P4322" s="473"/>
      <c r="Q4322" s="258"/>
      <c r="R4322" s="259"/>
      <c r="S4322" s="259"/>
      <c r="T4322" s="260"/>
      <c r="U4322" s="252"/>
      <c r="V4322" s="252"/>
      <c r="W4322" s="465"/>
      <c r="X4322" s="258"/>
      <c r="Y4322" s="202"/>
      <c r="Z4322" s="48"/>
      <c r="AA4322" s="252"/>
      <c r="AB4322" s="252"/>
      <c r="AC4322" s="465"/>
      <c r="AF4322"/>
      <c r="AG4322"/>
    </row>
    <row r="4323" spans="1:33" s="47" customFormat="1" hidden="1">
      <c r="A4323"/>
      <c r="B4323"/>
      <c r="C4323"/>
      <c r="D4323"/>
      <c r="E4323"/>
      <c r="F4323"/>
      <c r="G4323"/>
      <c r="H4323"/>
      <c r="I4323"/>
      <c r="J4323"/>
      <c r="K4323"/>
      <c r="L4323"/>
      <c r="M4323" s="820"/>
      <c r="N4323" s="451"/>
      <c r="O4323" s="455"/>
      <c r="P4323" s="473"/>
      <c r="Q4323" s="258"/>
      <c r="R4323" s="259"/>
      <c r="S4323" s="259"/>
      <c r="T4323" s="260"/>
      <c r="U4323" s="252"/>
      <c r="V4323" s="252"/>
      <c r="W4323" s="456"/>
      <c r="X4323" s="258"/>
      <c r="Y4323" s="202"/>
      <c r="Z4323" s="48"/>
      <c r="AA4323" s="252"/>
      <c r="AB4323" s="252"/>
      <c r="AC4323" s="456"/>
      <c r="AF4323"/>
      <c r="AG4323"/>
    </row>
    <row r="4324" spans="1:33" s="47" customFormat="1" hidden="1">
      <c r="A4324"/>
      <c r="B4324"/>
      <c r="C4324"/>
      <c r="D4324"/>
      <c r="E4324"/>
      <c r="F4324"/>
      <c r="G4324"/>
      <c r="H4324"/>
      <c r="I4324"/>
      <c r="J4324"/>
      <c r="K4324"/>
      <c r="L4324"/>
      <c r="M4324" s="820"/>
      <c r="N4324" s="451"/>
      <c r="O4324" s="455"/>
      <c r="P4324" s="473"/>
      <c r="Q4324" s="258"/>
      <c r="R4324" s="259"/>
      <c r="S4324" s="259"/>
      <c r="T4324" s="260"/>
      <c r="U4324" s="252"/>
      <c r="V4324" s="252"/>
      <c r="W4324" s="456"/>
      <c r="X4324" s="258"/>
      <c r="Y4324" s="202"/>
      <c r="Z4324" s="48"/>
      <c r="AA4324" s="252"/>
      <c r="AB4324" s="252"/>
      <c r="AC4324" s="456"/>
      <c r="AF4324"/>
      <c r="AG4324"/>
    </row>
    <row r="4325" spans="1:33" s="47" customFormat="1">
      <c r="A4325"/>
      <c r="B4325"/>
      <c r="C4325"/>
      <c r="D4325"/>
      <c r="E4325"/>
      <c r="F4325"/>
      <c r="G4325"/>
      <c r="H4325"/>
      <c r="I4325"/>
      <c r="J4325"/>
      <c r="K4325"/>
      <c r="L4325"/>
      <c r="M4325" s="820"/>
      <c r="N4325" s="461" t="str">
        <f>N4293 &amp; ".15"</f>
        <v>4.0.1.5.15</v>
      </c>
      <c r="O4325" s="457" t="s">
        <v>291</v>
      </c>
      <c r="P4325" s="473"/>
      <c r="Q4325" s="258"/>
      <c r="R4325" s="259"/>
      <c r="S4325" s="259"/>
      <c r="T4325" s="260"/>
      <c r="U4325" s="252"/>
      <c r="V4325" s="252"/>
      <c r="W4325" s="465"/>
      <c r="X4325" s="258"/>
      <c r="Y4325" s="202"/>
      <c r="Z4325" s="48"/>
      <c r="AA4325" s="252"/>
      <c r="AB4325" s="252"/>
      <c r="AC4325" s="465"/>
      <c r="AF4325"/>
      <c r="AG4325"/>
    </row>
    <row r="4326" spans="1:33" s="47" customFormat="1">
      <c r="A4326"/>
      <c r="B4326"/>
      <c r="C4326"/>
      <c r="D4326"/>
      <c r="E4326"/>
      <c r="F4326"/>
      <c r="G4326"/>
      <c r="H4326"/>
      <c r="I4326"/>
      <c r="J4326"/>
      <c r="K4326"/>
      <c r="L4326"/>
      <c r="M4326" s="820"/>
      <c r="N4326" s="449" t="s">
        <v>262</v>
      </c>
      <c r="O4326" s="450" t="s">
        <v>222</v>
      </c>
      <c r="P4326" s="473"/>
      <c r="Q4326" s="258"/>
      <c r="R4326" s="259"/>
      <c r="S4326" s="259"/>
      <c r="T4326" s="260"/>
      <c r="U4326" s="252"/>
      <c r="V4326" s="252"/>
      <c r="W4326" s="456"/>
      <c r="X4326" s="258"/>
      <c r="Y4326" s="202"/>
      <c r="Z4326" s="48"/>
      <c r="AA4326" s="252"/>
      <c r="AB4326" s="252"/>
      <c r="AC4326" s="456"/>
      <c r="AF4326"/>
      <c r="AG4326"/>
    </row>
    <row r="4327" spans="1:33" s="47" customFormat="1">
      <c r="A4327"/>
      <c r="B4327"/>
      <c r="C4327"/>
      <c r="D4327"/>
      <c r="E4327"/>
      <c r="F4327"/>
      <c r="G4327"/>
      <c r="H4327"/>
      <c r="I4327"/>
      <c r="J4327"/>
      <c r="K4327"/>
      <c r="L4327"/>
      <c r="M4327" s="820"/>
      <c r="N4327" s="461" t="str">
        <f>N4326 &amp; ".1"</f>
        <v>4.0.1.6.1</v>
      </c>
      <c r="O4327" s="453" t="s">
        <v>78</v>
      </c>
      <c r="P4327" s="473" t="s">
        <v>223</v>
      </c>
      <c r="Q4327" s="258"/>
      <c r="R4327" s="259"/>
      <c r="S4327" s="259"/>
      <c r="T4327" s="260"/>
      <c r="U4327" s="252"/>
      <c r="V4327" s="252"/>
      <c r="W4327" s="465"/>
      <c r="X4327" s="258"/>
      <c r="Y4327" s="202"/>
      <c r="Z4327" s="48"/>
      <c r="AA4327" s="252"/>
      <c r="AB4327" s="252"/>
      <c r="AC4327" s="465"/>
      <c r="AF4327"/>
      <c r="AG4327"/>
    </row>
    <row r="4328" spans="1:33" s="47" customFormat="1" ht="12.75">
      <c r="A4328"/>
      <c r="B4328"/>
      <c r="C4328"/>
      <c r="D4328"/>
      <c r="E4328"/>
      <c r="F4328"/>
      <c r="G4328"/>
      <c r="H4328"/>
      <c r="I4328"/>
      <c r="J4328"/>
      <c r="K4328"/>
      <c r="L4328"/>
      <c r="M4328" s="820"/>
      <c r="N4328" s="461" t="str">
        <f>N4326 &amp; ".2"</f>
        <v>4.0.1.6.2</v>
      </c>
      <c r="O4328" s="454" t="s">
        <v>212</v>
      </c>
      <c r="P4328" s="473" t="s">
        <v>286</v>
      </c>
      <c r="Q4328" s="258"/>
      <c r="R4328" s="259"/>
      <c r="S4328" s="259"/>
      <c r="T4328" s="260"/>
      <c r="U4328" s="252"/>
      <c r="V4328" s="252"/>
      <c r="W4328" s="452">
        <f>SUM(W4329,W4337,W4345)</f>
        <v>0</v>
      </c>
      <c r="X4328" s="258"/>
      <c r="Y4328" s="202"/>
      <c r="Z4328" s="48"/>
      <c r="AA4328" s="252"/>
      <c r="AB4328" s="252"/>
      <c r="AC4328" s="452">
        <f>SUM(AC4329,AC4337,AC4345)</f>
        <v>0</v>
      </c>
      <c r="AF4328"/>
      <c r="AG4328"/>
    </row>
    <row r="4329" spans="1:33" s="47" customFormat="1" ht="12.75">
      <c r="A4329"/>
      <c r="B4329"/>
      <c r="C4329"/>
      <c r="D4329"/>
      <c r="E4329"/>
      <c r="F4329"/>
      <c r="G4329"/>
      <c r="H4329"/>
      <c r="I4329"/>
      <c r="J4329"/>
      <c r="K4329"/>
      <c r="L4329"/>
      <c r="M4329" s="820"/>
      <c r="N4329" s="461" t="str">
        <f>N4326 &amp; ".2.1"</f>
        <v>4.0.1.6.2.1</v>
      </c>
      <c r="O4329" s="455" t="s">
        <v>79</v>
      </c>
      <c r="P4329" s="473" t="s">
        <v>286</v>
      </c>
      <c r="Q4329" s="258"/>
      <c r="R4329" s="259"/>
      <c r="S4329" s="259"/>
      <c r="T4329" s="260"/>
      <c r="U4329" s="252"/>
      <c r="V4329" s="252"/>
      <c r="W4329" s="452">
        <f>SUM(W4330:W4336)</f>
        <v>0</v>
      </c>
      <c r="X4329" s="258"/>
      <c r="Y4329" s="202"/>
      <c r="Z4329" s="48"/>
      <c r="AA4329" s="252"/>
      <c r="AB4329" s="252"/>
      <c r="AC4329" s="452">
        <f>SUM(AC4330:AC4336)</f>
        <v>0</v>
      </c>
      <c r="AF4329"/>
      <c r="AG4329"/>
    </row>
    <row r="4330" spans="1:33" s="47" customFormat="1" ht="12.75">
      <c r="A4330"/>
      <c r="B4330"/>
      <c r="C4330"/>
      <c r="D4330"/>
      <c r="E4330"/>
      <c r="F4330"/>
      <c r="G4330"/>
      <c r="H4330"/>
      <c r="I4330"/>
      <c r="J4330"/>
      <c r="K4330"/>
      <c r="L4330"/>
      <c r="M4330" s="820"/>
      <c r="N4330" s="461" t="str">
        <f>N4329 &amp; ".1"</f>
        <v>4.0.1.6.2.1.1</v>
      </c>
      <c r="O4330" s="242" t="s">
        <v>2510</v>
      </c>
      <c r="P4330" s="473" t="s">
        <v>286</v>
      </c>
      <c r="Q4330" s="258"/>
      <c r="R4330" s="259"/>
      <c r="S4330" s="259"/>
      <c r="T4330" s="260"/>
      <c r="U4330" s="252"/>
      <c r="V4330" s="252"/>
      <c r="W4330" s="465"/>
      <c r="X4330" s="258"/>
      <c r="Y4330" s="202"/>
      <c r="Z4330" s="48"/>
      <c r="AA4330" s="252"/>
      <c r="AB4330" s="252"/>
      <c r="AC4330" s="465"/>
      <c r="AF4330"/>
      <c r="AG4330"/>
    </row>
    <row r="4331" spans="1:33" s="47" customFormat="1" ht="12.75">
      <c r="A4331"/>
      <c r="B4331"/>
      <c r="C4331"/>
      <c r="D4331"/>
      <c r="E4331"/>
      <c r="F4331"/>
      <c r="G4331"/>
      <c r="H4331"/>
      <c r="I4331"/>
      <c r="J4331"/>
      <c r="K4331"/>
      <c r="L4331"/>
      <c r="M4331" s="820"/>
      <c r="N4331" s="461" t="str">
        <f>N4329 &amp; ".2"</f>
        <v>4.0.1.6.2.1.2</v>
      </c>
      <c r="O4331" s="242" t="s">
        <v>2785</v>
      </c>
      <c r="P4331" s="473" t="s">
        <v>286</v>
      </c>
      <c r="Q4331" s="258"/>
      <c r="R4331" s="259"/>
      <c r="S4331" s="259"/>
      <c r="T4331" s="260"/>
      <c r="U4331" s="252"/>
      <c r="V4331" s="252"/>
      <c r="W4331" s="465"/>
      <c r="X4331" s="258"/>
      <c r="Y4331" s="202"/>
      <c r="Z4331" s="48"/>
      <c r="AA4331" s="252"/>
      <c r="AB4331" s="252"/>
      <c r="AC4331" s="465"/>
      <c r="AF4331"/>
      <c r="AG4331"/>
    </row>
    <row r="4332" spans="1:33" s="47" customFormat="1" ht="12.75">
      <c r="A4332"/>
      <c r="B4332"/>
      <c r="C4332"/>
      <c r="D4332"/>
      <c r="E4332"/>
      <c r="F4332"/>
      <c r="G4332"/>
      <c r="H4332"/>
      <c r="I4332"/>
      <c r="J4332"/>
      <c r="K4332"/>
      <c r="L4332"/>
      <c r="M4332" s="820"/>
      <c r="N4332" s="461" t="str">
        <f>N4329 &amp; ".3"</f>
        <v>4.0.1.6.2.1.3</v>
      </c>
      <c r="O4332" s="242" t="s">
        <v>2786</v>
      </c>
      <c r="P4332" s="473" t="s">
        <v>286</v>
      </c>
      <c r="Q4332" s="258"/>
      <c r="R4332" s="259"/>
      <c r="S4332" s="259"/>
      <c r="T4332" s="260"/>
      <c r="U4332" s="252"/>
      <c r="V4332" s="252"/>
      <c r="W4332" s="465"/>
      <c r="X4332" s="258"/>
      <c r="Y4332" s="202"/>
      <c r="Z4332" s="48"/>
      <c r="AA4332" s="252"/>
      <c r="AB4332" s="252"/>
      <c r="AC4332" s="465"/>
      <c r="AF4332"/>
      <c r="AG4332"/>
    </row>
    <row r="4333" spans="1:33" s="47" customFormat="1" ht="12.75">
      <c r="A4333"/>
      <c r="B4333"/>
      <c r="C4333"/>
      <c r="D4333"/>
      <c r="E4333"/>
      <c r="F4333"/>
      <c r="G4333"/>
      <c r="H4333"/>
      <c r="I4333"/>
      <c r="J4333"/>
      <c r="K4333"/>
      <c r="L4333"/>
      <c r="M4333" s="820"/>
      <c r="N4333" s="461" t="str">
        <f>N4329 &amp; ".4"</f>
        <v>4.0.1.6.2.1.4</v>
      </c>
      <c r="O4333" s="242" t="s">
        <v>2787</v>
      </c>
      <c r="P4333" s="473" t="s">
        <v>286</v>
      </c>
      <c r="Q4333" s="258"/>
      <c r="R4333" s="259"/>
      <c r="S4333" s="259"/>
      <c r="T4333" s="260"/>
      <c r="U4333" s="252"/>
      <c r="V4333" s="252"/>
      <c r="W4333" s="465"/>
      <c r="X4333" s="258"/>
      <c r="Y4333" s="202"/>
      <c r="Z4333" s="48"/>
      <c r="AA4333" s="252"/>
      <c r="AB4333" s="252"/>
      <c r="AC4333" s="465"/>
      <c r="AF4333"/>
      <c r="AG4333"/>
    </row>
    <row r="4334" spans="1:33" s="47" customFormat="1" ht="12.75">
      <c r="A4334"/>
      <c r="B4334"/>
      <c r="C4334"/>
      <c r="D4334"/>
      <c r="E4334"/>
      <c r="F4334"/>
      <c r="G4334"/>
      <c r="H4334"/>
      <c r="I4334"/>
      <c r="J4334"/>
      <c r="K4334"/>
      <c r="L4334"/>
      <c r="M4334" s="820"/>
      <c r="N4334" s="461" t="str">
        <f>N4329 &amp; ".5"</f>
        <v>4.0.1.6.2.1.5</v>
      </c>
      <c r="O4334" s="242" t="s">
        <v>2788</v>
      </c>
      <c r="P4334" s="473" t="s">
        <v>286</v>
      </c>
      <c r="Q4334" s="258"/>
      <c r="R4334" s="259"/>
      <c r="S4334" s="259"/>
      <c r="T4334" s="260"/>
      <c r="U4334" s="252"/>
      <c r="V4334" s="252"/>
      <c r="W4334" s="465"/>
      <c r="X4334" s="258"/>
      <c r="Y4334" s="202"/>
      <c r="Z4334" s="48"/>
      <c r="AA4334" s="252"/>
      <c r="AB4334" s="252"/>
      <c r="AC4334" s="465"/>
      <c r="AF4334"/>
      <c r="AG4334"/>
    </row>
    <row r="4335" spans="1:33" s="47" customFormat="1" ht="12.75">
      <c r="A4335"/>
      <c r="B4335"/>
      <c r="C4335"/>
      <c r="D4335"/>
      <c r="E4335"/>
      <c r="F4335"/>
      <c r="G4335"/>
      <c r="H4335"/>
      <c r="I4335"/>
      <c r="J4335"/>
      <c r="K4335"/>
      <c r="L4335"/>
      <c r="M4335" s="820"/>
      <c r="N4335" s="461" t="str">
        <f>N4329 &amp; ".6"</f>
        <v>4.0.1.6.2.1.6</v>
      </c>
      <c r="O4335" s="242" t="s">
        <v>2789</v>
      </c>
      <c r="P4335" s="473" t="s">
        <v>286</v>
      </c>
      <c r="Q4335" s="258"/>
      <c r="R4335" s="259"/>
      <c r="S4335" s="259"/>
      <c r="T4335" s="260"/>
      <c r="U4335" s="252"/>
      <c r="V4335" s="252"/>
      <c r="W4335" s="465"/>
      <c r="X4335" s="258"/>
      <c r="Y4335" s="202"/>
      <c r="Z4335" s="48"/>
      <c r="AA4335" s="252"/>
      <c r="AB4335" s="252"/>
      <c r="AC4335" s="465"/>
      <c r="AF4335"/>
      <c r="AG4335"/>
    </row>
    <row r="4336" spans="1:33" s="47" customFormat="1" ht="12.75">
      <c r="A4336"/>
      <c r="B4336"/>
      <c r="C4336"/>
      <c r="D4336"/>
      <c r="E4336"/>
      <c r="F4336"/>
      <c r="G4336"/>
      <c r="H4336"/>
      <c r="I4336"/>
      <c r="J4336"/>
      <c r="K4336"/>
      <c r="L4336"/>
      <c r="M4336" s="820"/>
      <c r="N4336" s="461" t="str">
        <f>N4329 &amp; ".7"</f>
        <v>4.0.1.6.2.1.7</v>
      </c>
      <c r="O4336" s="635" t="s">
        <v>2177</v>
      </c>
      <c r="P4336" s="473" t="s">
        <v>286</v>
      </c>
      <c r="Q4336" s="258"/>
      <c r="R4336" s="259"/>
      <c r="S4336" s="259"/>
      <c r="T4336" s="260"/>
      <c r="U4336" s="252"/>
      <c r="V4336" s="252"/>
      <c r="W4336" s="465"/>
      <c r="X4336" s="258"/>
      <c r="Y4336" s="202"/>
      <c r="Z4336" s="48"/>
      <c r="AA4336" s="252"/>
      <c r="AB4336" s="252"/>
      <c r="AC4336" s="465"/>
      <c r="AF4336"/>
      <c r="AG4336"/>
    </row>
    <row r="4337" spans="1:33" s="47" customFormat="1" ht="12.75">
      <c r="A4337"/>
      <c r="B4337"/>
      <c r="C4337"/>
      <c r="D4337"/>
      <c r="E4337"/>
      <c r="F4337"/>
      <c r="G4337"/>
      <c r="H4337"/>
      <c r="I4337"/>
      <c r="J4337"/>
      <c r="K4337"/>
      <c r="L4337"/>
      <c r="M4337" s="820"/>
      <c r="N4337" s="461" t="str">
        <f>N4326 &amp; ".2.2"</f>
        <v>4.0.1.6.2.2</v>
      </c>
      <c r="O4337" s="455" t="s">
        <v>81</v>
      </c>
      <c r="P4337" s="473" t="s">
        <v>286</v>
      </c>
      <c r="Q4337" s="258"/>
      <c r="R4337" s="259"/>
      <c r="S4337" s="259"/>
      <c r="T4337" s="260"/>
      <c r="U4337" s="252"/>
      <c r="V4337" s="252"/>
      <c r="W4337" s="452">
        <f>SUM(W4338:W4344)</f>
        <v>0</v>
      </c>
      <c r="X4337" s="258"/>
      <c r="Y4337" s="202"/>
      <c r="Z4337" s="48"/>
      <c r="AA4337" s="252"/>
      <c r="AB4337" s="252"/>
      <c r="AC4337" s="452">
        <f>SUM(AC4338:AC4344)</f>
        <v>0</v>
      </c>
      <c r="AF4337"/>
      <c r="AG4337"/>
    </row>
    <row r="4338" spans="1:33" s="47" customFormat="1" ht="12.75">
      <c r="A4338"/>
      <c r="B4338"/>
      <c r="C4338"/>
      <c r="D4338"/>
      <c r="E4338"/>
      <c r="F4338"/>
      <c r="G4338"/>
      <c r="H4338"/>
      <c r="I4338"/>
      <c r="J4338"/>
      <c r="K4338"/>
      <c r="L4338"/>
      <c r="M4338" s="820"/>
      <c r="N4338" s="461" t="str">
        <f>N4337 &amp; ".1"</f>
        <v>4.0.1.6.2.2.1</v>
      </c>
      <c r="O4338" s="242" t="s">
        <v>2510</v>
      </c>
      <c r="P4338" s="473" t="s">
        <v>286</v>
      </c>
      <c r="Q4338" s="258"/>
      <c r="R4338" s="259"/>
      <c r="S4338" s="259"/>
      <c r="T4338" s="260"/>
      <c r="U4338" s="252"/>
      <c r="V4338" s="252"/>
      <c r="W4338" s="465"/>
      <c r="X4338" s="258"/>
      <c r="Y4338" s="202"/>
      <c r="Z4338" s="48"/>
      <c r="AA4338" s="252"/>
      <c r="AB4338" s="252"/>
      <c r="AC4338" s="465"/>
      <c r="AF4338"/>
      <c r="AG4338"/>
    </row>
    <row r="4339" spans="1:33" s="47" customFormat="1" ht="12.75">
      <c r="A4339"/>
      <c r="B4339"/>
      <c r="C4339"/>
      <c r="D4339"/>
      <c r="E4339"/>
      <c r="F4339"/>
      <c r="G4339"/>
      <c r="H4339"/>
      <c r="I4339"/>
      <c r="J4339"/>
      <c r="K4339"/>
      <c r="L4339"/>
      <c r="M4339" s="820"/>
      <c r="N4339" s="461" t="str">
        <f>N4337 &amp; ".2"</f>
        <v>4.0.1.6.2.2.2</v>
      </c>
      <c r="O4339" s="242" t="s">
        <v>2785</v>
      </c>
      <c r="P4339" s="473" t="s">
        <v>286</v>
      </c>
      <c r="Q4339" s="258"/>
      <c r="R4339" s="259"/>
      <c r="S4339" s="259"/>
      <c r="T4339" s="260"/>
      <c r="U4339" s="252"/>
      <c r="V4339" s="252"/>
      <c r="W4339" s="465"/>
      <c r="X4339" s="258"/>
      <c r="Y4339" s="202"/>
      <c r="Z4339" s="48"/>
      <c r="AA4339" s="252"/>
      <c r="AB4339" s="252"/>
      <c r="AC4339" s="465"/>
      <c r="AF4339"/>
      <c r="AG4339"/>
    </row>
    <row r="4340" spans="1:33" s="47" customFormat="1" ht="12.75">
      <c r="A4340"/>
      <c r="B4340"/>
      <c r="C4340"/>
      <c r="D4340"/>
      <c r="E4340"/>
      <c r="F4340"/>
      <c r="G4340"/>
      <c r="H4340"/>
      <c r="I4340"/>
      <c r="J4340"/>
      <c r="K4340"/>
      <c r="L4340"/>
      <c r="M4340" s="820"/>
      <c r="N4340" s="461" t="str">
        <f>N4337 &amp; ".3"</f>
        <v>4.0.1.6.2.2.3</v>
      </c>
      <c r="O4340" s="242" t="s">
        <v>2786</v>
      </c>
      <c r="P4340" s="473" t="s">
        <v>286</v>
      </c>
      <c r="Q4340" s="258"/>
      <c r="R4340" s="259"/>
      <c r="S4340" s="259"/>
      <c r="T4340" s="260"/>
      <c r="U4340" s="252"/>
      <c r="V4340" s="252"/>
      <c r="W4340" s="465"/>
      <c r="X4340" s="258"/>
      <c r="Y4340" s="202"/>
      <c r="Z4340" s="48"/>
      <c r="AA4340" s="252"/>
      <c r="AB4340" s="252"/>
      <c r="AC4340" s="465"/>
      <c r="AF4340"/>
      <c r="AG4340"/>
    </row>
    <row r="4341" spans="1:33" s="47" customFormat="1" ht="12.75">
      <c r="A4341"/>
      <c r="B4341"/>
      <c r="C4341"/>
      <c r="D4341"/>
      <c r="E4341"/>
      <c r="F4341"/>
      <c r="G4341"/>
      <c r="H4341"/>
      <c r="I4341"/>
      <c r="J4341"/>
      <c r="K4341"/>
      <c r="L4341"/>
      <c r="M4341" s="820"/>
      <c r="N4341" s="461" t="str">
        <f>N4337 &amp; ".4"</f>
        <v>4.0.1.6.2.2.4</v>
      </c>
      <c r="O4341" s="242" t="s">
        <v>2787</v>
      </c>
      <c r="P4341" s="473" t="s">
        <v>286</v>
      </c>
      <c r="Q4341" s="258"/>
      <c r="R4341" s="259"/>
      <c r="S4341" s="259"/>
      <c r="T4341" s="260"/>
      <c r="U4341" s="252"/>
      <c r="V4341" s="252"/>
      <c r="W4341" s="465"/>
      <c r="X4341" s="258"/>
      <c r="Y4341" s="202"/>
      <c r="Z4341" s="48"/>
      <c r="AA4341" s="252"/>
      <c r="AB4341" s="252"/>
      <c r="AC4341" s="465"/>
      <c r="AF4341"/>
      <c r="AG4341"/>
    </row>
    <row r="4342" spans="1:33" s="47" customFormat="1" ht="12.75">
      <c r="A4342"/>
      <c r="B4342"/>
      <c r="C4342"/>
      <c r="D4342"/>
      <c r="E4342"/>
      <c r="F4342"/>
      <c r="G4342"/>
      <c r="H4342"/>
      <c r="I4342"/>
      <c r="J4342"/>
      <c r="K4342"/>
      <c r="L4342"/>
      <c r="M4342" s="820"/>
      <c r="N4342" s="461" t="str">
        <f>N4337 &amp; ".5"</f>
        <v>4.0.1.6.2.2.5</v>
      </c>
      <c r="O4342" s="242" t="s">
        <v>2788</v>
      </c>
      <c r="P4342" s="473" t="s">
        <v>286</v>
      </c>
      <c r="Q4342" s="258"/>
      <c r="R4342" s="259"/>
      <c r="S4342" s="259"/>
      <c r="T4342" s="260"/>
      <c r="U4342" s="252"/>
      <c r="V4342" s="252"/>
      <c r="W4342" s="465"/>
      <c r="X4342" s="258"/>
      <c r="Y4342" s="202"/>
      <c r="Z4342" s="48"/>
      <c r="AA4342" s="252"/>
      <c r="AB4342" s="252"/>
      <c r="AC4342" s="465"/>
      <c r="AF4342"/>
      <c r="AG4342"/>
    </row>
    <row r="4343" spans="1:33" s="47" customFormat="1" ht="12.75">
      <c r="A4343"/>
      <c r="B4343"/>
      <c r="C4343"/>
      <c r="D4343"/>
      <c r="E4343"/>
      <c r="F4343"/>
      <c r="G4343"/>
      <c r="H4343"/>
      <c r="I4343"/>
      <c r="J4343"/>
      <c r="K4343"/>
      <c r="L4343"/>
      <c r="M4343" s="820"/>
      <c r="N4343" s="461" t="str">
        <f>N4337 &amp; ".6"</f>
        <v>4.0.1.6.2.2.6</v>
      </c>
      <c r="O4343" s="242" t="s">
        <v>2789</v>
      </c>
      <c r="P4343" s="473" t="s">
        <v>286</v>
      </c>
      <c r="Q4343" s="258"/>
      <c r="R4343" s="259"/>
      <c r="S4343" s="259"/>
      <c r="T4343" s="260"/>
      <c r="U4343" s="252"/>
      <c r="V4343" s="252"/>
      <c r="W4343" s="465"/>
      <c r="X4343" s="258"/>
      <c r="Y4343" s="202"/>
      <c r="Z4343" s="48"/>
      <c r="AA4343" s="252"/>
      <c r="AB4343" s="252"/>
      <c r="AC4343" s="465"/>
      <c r="AF4343"/>
      <c r="AG4343"/>
    </row>
    <row r="4344" spans="1:33" s="47" customFormat="1" ht="12.75">
      <c r="A4344"/>
      <c r="B4344"/>
      <c r="C4344"/>
      <c r="D4344"/>
      <c r="E4344"/>
      <c r="F4344"/>
      <c r="G4344"/>
      <c r="H4344"/>
      <c r="I4344"/>
      <c r="J4344"/>
      <c r="K4344"/>
      <c r="L4344"/>
      <c r="M4344" s="820"/>
      <c r="N4344" s="461" t="str">
        <f>N4337 &amp; ".7"</f>
        <v>4.0.1.6.2.2.7</v>
      </c>
      <c r="O4344" s="635" t="s">
        <v>2177</v>
      </c>
      <c r="P4344" s="473" t="s">
        <v>286</v>
      </c>
      <c r="Q4344" s="258"/>
      <c r="R4344" s="259"/>
      <c r="S4344" s="259"/>
      <c r="T4344" s="260"/>
      <c r="U4344" s="252"/>
      <c r="V4344" s="252"/>
      <c r="W4344" s="465"/>
      <c r="X4344" s="258"/>
      <c r="Y4344" s="202"/>
      <c r="Z4344" s="48"/>
      <c r="AA4344" s="252"/>
      <c r="AB4344" s="252"/>
      <c r="AC4344" s="465"/>
      <c r="AF4344"/>
      <c r="AG4344"/>
    </row>
    <row r="4345" spans="1:33" s="47" customFormat="1" ht="12.75">
      <c r="A4345"/>
      <c r="B4345"/>
      <c r="C4345"/>
      <c r="D4345"/>
      <c r="E4345"/>
      <c r="F4345"/>
      <c r="G4345"/>
      <c r="H4345"/>
      <c r="I4345"/>
      <c r="J4345"/>
      <c r="K4345"/>
      <c r="L4345"/>
      <c r="M4345" s="820"/>
      <c r="N4345" s="461" t="str">
        <f>N4326 &amp; ".2.3"</f>
        <v>4.0.1.6.2.3</v>
      </c>
      <c r="O4345" s="455" t="s">
        <v>83</v>
      </c>
      <c r="P4345" s="473" t="s">
        <v>286</v>
      </c>
      <c r="Q4345" s="258"/>
      <c r="R4345" s="259"/>
      <c r="S4345" s="259"/>
      <c r="T4345" s="260"/>
      <c r="U4345" s="252"/>
      <c r="V4345" s="252"/>
      <c r="W4345" s="465"/>
      <c r="X4345" s="258"/>
      <c r="Y4345" s="202"/>
      <c r="Z4345" s="48"/>
      <c r="AA4345" s="252"/>
      <c r="AB4345" s="252"/>
      <c r="AC4345" s="465"/>
      <c r="AF4345"/>
      <c r="AG4345"/>
    </row>
    <row r="4346" spans="1:33" s="47" customFormat="1">
      <c r="A4346"/>
      <c r="B4346"/>
      <c r="C4346"/>
      <c r="D4346"/>
      <c r="E4346"/>
      <c r="F4346"/>
      <c r="G4346"/>
      <c r="H4346"/>
      <c r="I4346"/>
      <c r="J4346"/>
      <c r="K4346"/>
      <c r="L4346"/>
      <c r="M4346" s="820"/>
      <c r="N4346" s="461" t="str">
        <f>N4326 &amp; ".3"</f>
        <v>4.0.1.6.3</v>
      </c>
      <c r="O4346" s="457" t="s">
        <v>85</v>
      </c>
      <c r="P4346" s="473" t="s">
        <v>223</v>
      </c>
      <c r="Q4346" s="258"/>
      <c r="R4346" s="259"/>
      <c r="S4346" s="259"/>
      <c r="T4346" s="260"/>
      <c r="U4346" s="252"/>
      <c r="V4346" s="252"/>
      <c r="W4346" s="465"/>
      <c r="X4346" s="258"/>
      <c r="Y4346" s="202"/>
      <c r="Z4346" s="48"/>
      <c r="AA4346" s="252"/>
      <c r="AB4346" s="252"/>
      <c r="AC4346" s="465"/>
      <c r="AF4346"/>
      <c r="AG4346"/>
    </row>
    <row r="4347" spans="1:33" s="47" customFormat="1">
      <c r="A4347"/>
      <c r="B4347"/>
      <c r="C4347"/>
      <c r="D4347"/>
      <c r="E4347"/>
      <c r="F4347"/>
      <c r="G4347"/>
      <c r="H4347"/>
      <c r="I4347"/>
      <c r="J4347"/>
      <c r="K4347"/>
      <c r="L4347"/>
      <c r="M4347" s="820"/>
      <c r="N4347" s="461" t="str">
        <f>N4326 &amp; ".4"</f>
        <v>4.0.1.6.4</v>
      </c>
      <c r="O4347" s="457" t="s">
        <v>87</v>
      </c>
      <c r="P4347" s="473" t="s">
        <v>223</v>
      </c>
      <c r="Q4347" s="258"/>
      <c r="R4347" s="259"/>
      <c r="S4347" s="259"/>
      <c r="T4347" s="260"/>
      <c r="U4347" s="252"/>
      <c r="V4347" s="252"/>
      <c r="W4347" s="465"/>
      <c r="X4347" s="258"/>
      <c r="Y4347" s="202"/>
      <c r="Z4347" s="48"/>
      <c r="AA4347" s="252"/>
      <c r="AB4347" s="252"/>
      <c r="AC4347" s="465"/>
      <c r="AF4347"/>
      <c r="AG4347"/>
    </row>
    <row r="4348" spans="1:33" s="47" customFormat="1">
      <c r="A4348"/>
      <c r="B4348"/>
      <c r="C4348"/>
      <c r="D4348"/>
      <c r="E4348"/>
      <c r="F4348"/>
      <c r="G4348"/>
      <c r="H4348"/>
      <c r="I4348"/>
      <c r="J4348"/>
      <c r="K4348"/>
      <c r="L4348"/>
      <c r="M4348" s="820"/>
      <c r="N4348" s="461" t="str">
        <f>N4326&amp;".5"</f>
        <v>4.0.1.6.5</v>
      </c>
      <c r="O4348" s="457" t="s">
        <v>89</v>
      </c>
      <c r="P4348" s="473" t="s">
        <v>223</v>
      </c>
      <c r="Q4348" s="258"/>
      <c r="R4348" s="259"/>
      <c r="S4348" s="259"/>
      <c r="T4348" s="260"/>
      <c r="U4348" s="252"/>
      <c r="V4348" s="252"/>
      <c r="W4348" s="465"/>
      <c r="X4348" s="258"/>
      <c r="Y4348" s="202"/>
      <c r="Z4348" s="48"/>
      <c r="AA4348" s="252"/>
      <c r="AB4348" s="252"/>
      <c r="AC4348" s="465"/>
      <c r="AF4348"/>
      <c r="AG4348"/>
    </row>
    <row r="4349" spans="1:33" s="47" customFormat="1">
      <c r="A4349"/>
      <c r="B4349"/>
      <c r="C4349"/>
      <c r="D4349"/>
      <c r="E4349"/>
      <c r="F4349"/>
      <c r="G4349"/>
      <c r="H4349"/>
      <c r="I4349"/>
      <c r="J4349"/>
      <c r="K4349"/>
      <c r="L4349"/>
      <c r="M4349" s="820"/>
      <c r="N4349" s="461" t="str">
        <f>N4326 &amp; ".6"</f>
        <v>4.0.1.6.6</v>
      </c>
      <c r="O4349" s="457" t="s">
        <v>91</v>
      </c>
      <c r="P4349" s="473" t="s">
        <v>223</v>
      </c>
      <c r="Q4349" s="258"/>
      <c r="R4349" s="259"/>
      <c r="S4349" s="259"/>
      <c r="T4349" s="260"/>
      <c r="U4349" s="252"/>
      <c r="V4349" s="252"/>
      <c r="W4349" s="465"/>
      <c r="X4349" s="258"/>
      <c r="Y4349" s="202"/>
      <c r="Z4349" s="48"/>
      <c r="AA4349" s="252"/>
      <c r="AB4349" s="252"/>
      <c r="AC4349" s="465"/>
      <c r="AF4349"/>
      <c r="AG4349"/>
    </row>
    <row r="4350" spans="1:33" s="47" customFormat="1">
      <c r="A4350"/>
      <c r="B4350"/>
      <c r="C4350"/>
      <c r="D4350"/>
      <c r="E4350"/>
      <c r="F4350"/>
      <c r="G4350"/>
      <c r="H4350"/>
      <c r="I4350"/>
      <c r="J4350"/>
      <c r="K4350"/>
      <c r="L4350"/>
      <c r="M4350" s="820"/>
      <c r="N4350" s="461" t="str">
        <f>N4326 &amp; ".7"</f>
        <v>4.0.1.6.7</v>
      </c>
      <c r="O4350" s="457" t="s">
        <v>93</v>
      </c>
      <c r="P4350" s="473" t="s">
        <v>223</v>
      </c>
      <c r="Q4350" s="258"/>
      <c r="R4350" s="259"/>
      <c r="S4350" s="259"/>
      <c r="T4350" s="260"/>
      <c r="U4350" s="252"/>
      <c r="V4350" s="252"/>
      <c r="W4350" s="465"/>
      <c r="X4350" s="258"/>
      <c r="Y4350" s="202"/>
      <c r="Z4350" s="48"/>
      <c r="AA4350" s="252"/>
      <c r="AB4350" s="252"/>
      <c r="AC4350" s="465"/>
      <c r="AF4350"/>
      <c r="AG4350"/>
    </row>
    <row r="4351" spans="1:33" s="47" customFormat="1">
      <c r="A4351"/>
      <c r="B4351"/>
      <c r="C4351"/>
      <c r="D4351"/>
      <c r="E4351"/>
      <c r="F4351"/>
      <c r="G4351"/>
      <c r="H4351"/>
      <c r="I4351"/>
      <c r="J4351"/>
      <c r="K4351"/>
      <c r="L4351"/>
      <c r="M4351" s="820"/>
      <c r="N4351" s="461" t="str">
        <f>N4326 &amp; ".8"</f>
        <v>4.0.1.6.8</v>
      </c>
      <c r="O4351" s="457" t="s">
        <v>95</v>
      </c>
      <c r="P4351" s="473" t="s">
        <v>223</v>
      </c>
      <c r="Q4351" s="258"/>
      <c r="R4351" s="259"/>
      <c r="S4351" s="259"/>
      <c r="T4351" s="260"/>
      <c r="U4351" s="252"/>
      <c r="V4351" s="252"/>
      <c r="W4351" s="465"/>
      <c r="X4351" s="258"/>
      <c r="Y4351" s="202"/>
      <c r="Z4351" s="48"/>
      <c r="AA4351" s="252"/>
      <c r="AB4351" s="252"/>
      <c r="AC4351" s="465"/>
      <c r="AF4351"/>
      <c r="AG4351"/>
    </row>
    <row r="4352" spans="1:33" s="47" customFormat="1">
      <c r="A4352"/>
      <c r="B4352"/>
      <c r="C4352"/>
      <c r="D4352"/>
      <c r="E4352"/>
      <c r="F4352"/>
      <c r="G4352"/>
      <c r="H4352"/>
      <c r="I4352"/>
      <c r="J4352"/>
      <c r="K4352"/>
      <c r="L4352"/>
      <c r="M4352" s="820"/>
      <c r="N4352" s="461" t="str">
        <f>N4326 &amp; ".9"</f>
        <v>4.0.1.6.9</v>
      </c>
      <c r="O4352" s="457" t="s">
        <v>2976</v>
      </c>
      <c r="P4352" s="473" t="s">
        <v>223</v>
      </c>
      <c r="Q4352" s="258"/>
      <c r="R4352" s="259"/>
      <c r="S4352" s="259"/>
      <c r="T4352" s="260"/>
      <c r="U4352" s="252"/>
      <c r="V4352" s="252"/>
      <c r="W4352" s="465"/>
      <c r="X4352" s="258"/>
      <c r="Y4352" s="202"/>
      <c r="Z4352" s="48"/>
      <c r="AA4352" s="252"/>
      <c r="AB4352" s="252"/>
      <c r="AC4352" s="465"/>
      <c r="AF4352"/>
      <c r="AG4352"/>
    </row>
    <row r="4353" spans="1:33" s="47" customFormat="1">
      <c r="A4353"/>
      <c r="B4353"/>
      <c r="C4353"/>
      <c r="D4353"/>
      <c r="E4353"/>
      <c r="F4353"/>
      <c r="G4353"/>
      <c r="H4353"/>
      <c r="I4353"/>
      <c r="J4353"/>
      <c r="K4353"/>
      <c r="L4353"/>
      <c r="M4353" s="820"/>
      <c r="N4353" s="461" t="str">
        <f>N4326 &amp; ".10"</f>
        <v>4.0.1.6.10</v>
      </c>
      <c r="O4353" s="457" t="s">
        <v>2978</v>
      </c>
      <c r="P4353" s="473" t="s">
        <v>223</v>
      </c>
      <c r="Q4353" s="258"/>
      <c r="R4353" s="259"/>
      <c r="S4353" s="259"/>
      <c r="T4353" s="260"/>
      <c r="U4353" s="252"/>
      <c r="V4353" s="252"/>
      <c r="W4353" s="465"/>
      <c r="X4353" s="258"/>
      <c r="Y4353" s="202"/>
      <c r="Z4353" s="48"/>
      <c r="AA4353" s="252"/>
      <c r="AB4353" s="252"/>
      <c r="AC4353" s="465"/>
      <c r="AF4353"/>
      <c r="AG4353"/>
    </row>
    <row r="4354" spans="1:33" s="47" customFormat="1">
      <c r="A4354"/>
      <c r="B4354"/>
      <c r="C4354"/>
      <c r="D4354"/>
      <c r="E4354"/>
      <c r="F4354"/>
      <c r="G4354"/>
      <c r="H4354"/>
      <c r="I4354"/>
      <c r="J4354"/>
      <c r="K4354"/>
      <c r="L4354"/>
      <c r="M4354" s="820"/>
      <c r="N4354" s="461" t="str">
        <f>N4326 &amp; ".11"</f>
        <v>4.0.1.6.11</v>
      </c>
      <c r="O4354" s="457" t="s">
        <v>2980</v>
      </c>
      <c r="P4354" s="473" t="s">
        <v>223</v>
      </c>
      <c r="Q4354" s="258"/>
      <c r="R4354" s="259"/>
      <c r="S4354" s="259"/>
      <c r="T4354" s="260"/>
      <c r="U4354" s="252"/>
      <c r="V4354" s="252"/>
      <c r="W4354" s="465"/>
      <c r="X4354" s="258"/>
      <c r="Y4354" s="202"/>
      <c r="Z4354" s="48"/>
      <c r="AA4354" s="252"/>
      <c r="AB4354" s="252"/>
      <c r="AC4354" s="465"/>
      <c r="AF4354"/>
      <c r="AG4354"/>
    </row>
    <row r="4355" spans="1:33" s="47" customFormat="1">
      <c r="A4355"/>
      <c r="B4355"/>
      <c r="C4355"/>
      <c r="D4355"/>
      <c r="E4355"/>
      <c r="F4355"/>
      <c r="G4355"/>
      <c r="H4355"/>
      <c r="I4355"/>
      <c r="J4355"/>
      <c r="K4355"/>
      <c r="L4355"/>
      <c r="M4355" s="820"/>
      <c r="N4355" s="461" t="str">
        <f>N4326 &amp; ".12"</f>
        <v>4.0.1.6.12</v>
      </c>
      <c r="O4355" s="457" t="s">
        <v>2982</v>
      </c>
      <c r="P4355" s="473" t="s">
        <v>223</v>
      </c>
      <c r="Q4355" s="258"/>
      <c r="R4355" s="259"/>
      <c r="S4355" s="259"/>
      <c r="T4355" s="260"/>
      <c r="U4355" s="252"/>
      <c r="V4355" s="252"/>
      <c r="W4355" s="465"/>
      <c r="X4355" s="258"/>
      <c r="Y4355" s="202"/>
      <c r="Z4355" s="48"/>
      <c r="AA4355" s="252"/>
      <c r="AB4355" s="252"/>
      <c r="AC4355" s="465"/>
      <c r="AF4355"/>
      <c r="AG4355"/>
    </row>
    <row r="4356" spans="1:33" s="47" customFormat="1" hidden="1">
      <c r="A4356"/>
      <c r="B4356"/>
      <c r="C4356"/>
      <c r="D4356"/>
      <c r="E4356"/>
      <c r="F4356"/>
      <c r="G4356"/>
      <c r="H4356"/>
      <c r="I4356"/>
      <c r="J4356"/>
      <c r="K4356"/>
      <c r="L4356"/>
      <c r="M4356" s="820"/>
      <c r="N4356" s="451"/>
      <c r="O4356" s="455"/>
      <c r="P4356" s="473"/>
      <c r="Q4356" s="258"/>
      <c r="R4356" s="259"/>
      <c r="S4356" s="259"/>
      <c r="T4356" s="260"/>
      <c r="U4356" s="252"/>
      <c r="V4356" s="252"/>
      <c r="W4356" s="456"/>
      <c r="X4356" s="258"/>
      <c r="Y4356" s="202"/>
      <c r="Z4356" s="48"/>
      <c r="AA4356" s="252"/>
      <c r="AB4356" s="252"/>
      <c r="AC4356" s="456"/>
      <c r="AF4356"/>
      <c r="AG4356"/>
    </row>
    <row r="4357" spans="1:33" s="47" customFormat="1" hidden="1">
      <c r="A4357"/>
      <c r="B4357"/>
      <c r="C4357"/>
      <c r="D4357"/>
      <c r="E4357"/>
      <c r="F4357"/>
      <c r="G4357"/>
      <c r="H4357"/>
      <c r="I4357"/>
      <c r="J4357"/>
      <c r="K4357"/>
      <c r="L4357"/>
      <c r="M4357" s="820"/>
      <c r="N4357" s="451"/>
      <c r="O4357" s="455"/>
      <c r="P4357" s="473"/>
      <c r="Q4357" s="258"/>
      <c r="R4357" s="259"/>
      <c r="S4357" s="259"/>
      <c r="T4357" s="260"/>
      <c r="U4357" s="252"/>
      <c r="V4357" s="252"/>
      <c r="W4357" s="456"/>
      <c r="X4357" s="258"/>
      <c r="Y4357" s="202"/>
      <c r="Z4357" s="48"/>
      <c r="AA4357" s="252"/>
      <c r="AB4357" s="252"/>
      <c r="AC4357" s="456"/>
      <c r="AF4357"/>
      <c r="AG4357"/>
    </row>
    <row r="4358" spans="1:33" s="47" customFormat="1">
      <c r="A4358"/>
      <c r="B4358"/>
      <c r="C4358"/>
      <c r="D4358"/>
      <c r="E4358"/>
      <c r="F4358"/>
      <c r="G4358"/>
      <c r="H4358"/>
      <c r="I4358"/>
      <c r="J4358"/>
      <c r="K4358"/>
      <c r="L4358"/>
      <c r="M4358" s="820"/>
      <c r="N4358" s="461" t="str">
        <f>N4327 &amp; ".15"</f>
        <v>4.0.1.6.1.15</v>
      </c>
      <c r="O4358" s="457" t="s">
        <v>291</v>
      </c>
      <c r="P4358" s="473" t="s">
        <v>223</v>
      </c>
      <c r="Q4358" s="258"/>
      <c r="R4358" s="259"/>
      <c r="S4358" s="259"/>
      <c r="T4358" s="260"/>
      <c r="U4358" s="252"/>
      <c r="V4358" s="252"/>
      <c r="W4358" s="465"/>
      <c r="X4358" s="258"/>
      <c r="Y4358" s="202"/>
      <c r="Z4358" s="48"/>
      <c r="AA4358" s="252"/>
      <c r="AB4358" s="252"/>
      <c r="AC4358" s="465"/>
      <c r="AF4358"/>
      <c r="AG4358"/>
    </row>
    <row r="4359" spans="1:33" s="47" customFormat="1" hidden="1">
      <c r="A4359"/>
      <c r="B4359"/>
      <c r="C4359"/>
      <c r="D4359"/>
      <c r="E4359"/>
      <c r="F4359"/>
      <c r="G4359"/>
      <c r="H4359"/>
      <c r="I4359"/>
      <c r="J4359"/>
      <c r="K4359"/>
      <c r="L4359"/>
      <c r="M4359" s="820"/>
      <c r="N4359" s="451"/>
      <c r="O4359" s="455"/>
      <c r="P4359" s="473"/>
      <c r="Q4359" s="258"/>
      <c r="R4359" s="259"/>
      <c r="S4359" s="259"/>
      <c r="T4359" s="260"/>
      <c r="U4359" s="252"/>
      <c r="V4359" s="252"/>
      <c r="W4359" s="456"/>
      <c r="X4359" s="258"/>
      <c r="Y4359" s="202"/>
      <c r="Z4359" s="48"/>
      <c r="AA4359" s="252"/>
      <c r="AB4359" s="252"/>
      <c r="AC4359" s="456"/>
      <c r="AF4359"/>
      <c r="AG4359"/>
    </row>
    <row r="4360" spans="1:33" s="47" customFormat="1">
      <c r="A4360"/>
      <c r="B4360"/>
      <c r="C4360"/>
      <c r="D4360"/>
      <c r="E4360"/>
      <c r="F4360"/>
      <c r="G4360"/>
      <c r="H4360"/>
      <c r="I4360"/>
      <c r="J4360"/>
      <c r="K4360"/>
      <c r="L4360"/>
      <c r="M4360" s="820"/>
      <c r="N4360" s="468"/>
      <c r="O4360" s="467" t="s">
        <v>224</v>
      </c>
      <c r="P4360" s="474"/>
      <c r="Q4360" s="258"/>
      <c r="R4360" s="259"/>
      <c r="S4360" s="259"/>
      <c r="T4360" s="260"/>
      <c r="U4360" s="252"/>
      <c r="V4360" s="252"/>
      <c r="W4360" s="456"/>
      <c r="X4360" s="258"/>
      <c r="Y4360" s="202"/>
      <c r="Z4360" s="48"/>
      <c r="AA4360" s="252"/>
      <c r="AB4360" s="252"/>
      <c r="AC4360" s="456"/>
      <c r="AF4360"/>
      <c r="AG4360"/>
    </row>
    <row r="4361" spans="1:33" s="47" customFormat="1" hidden="1">
      <c r="A4361"/>
      <c r="B4361"/>
      <c r="C4361"/>
      <c r="D4361"/>
      <c r="E4361"/>
      <c r="F4361"/>
      <c r="G4361"/>
      <c r="H4361"/>
      <c r="I4361"/>
      <c r="J4361"/>
      <c r="K4361"/>
      <c r="L4361"/>
      <c r="M4361" s="820"/>
      <c r="N4361" s="461"/>
      <c r="O4361" s="457"/>
      <c r="P4361" s="473"/>
      <c r="Q4361" s="258"/>
      <c r="R4361" s="259"/>
      <c r="S4361" s="259"/>
      <c r="T4361" s="260"/>
      <c r="U4361" s="252"/>
      <c r="V4361" s="252"/>
      <c r="W4361" s="456"/>
      <c r="X4361" s="258"/>
      <c r="Y4361" s="202"/>
      <c r="Z4361" s="48"/>
      <c r="AA4361" s="252"/>
      <c r="AB4361" s="252"/>
      <c r="AC4361" s="456"/>
      <c r="AF4361"/>
      <c r="AG4361"/>
    </row>
    <row r="4362" spans="1:33" s="47" customFormat="1">
      <c r="A4362"/>
      <c r="B4362"/>
      <c r="C4362"/>
      <c r="D4362"/>
      <c r="E4362"/>
      <c r="F4362"/>
      <c r="G4362"/>
      <c r="H4362"/>
      <c r="I4362"/>
      <c r="J4362"/>
      <c r="K4362"/>
      <c r="L4362"/>
      <c r="M4362" s="820"/>
      <c r="N4362" s="449" t="s">
        <v>263</v>
      </c>
      <c r="O4362" s="450" t="s">
        <v>225</v>
      </c>
      <c r="P4362" s="473"/>
      <c r="Q4362" s="258"/>
      <c r="R4362" s="259"/>
      <c r="S4362" s="259"/>
      <c r="T4362" s="260"/>
      <c r="U4362" s="252"/>
      <c r="V4362" s="252"/>
      <c r="W4362" s="456"/>
      <c r="X4362" s="258"/>
      <c r="Y4362" s="202"/>
      <c r="Z4362" s="48"/>
      <c r="AA4362" s="252"/>
      <c r="AB4362" s="252"/>
      <c r="AC4362" s="456"/>
      <c r="AF4362"/>
      <c r="AG4362"/>
    </row>
    <row r="4363" spans="1:33" s="47" customFormat="1">
      <c r="A4363"/>
      <c r="B4363"/>
      <c r="C4363"/>
      <c r="D4363"/>
      <c r="E4363"/>
      <c r="F4363"/>
      <c r="G4363"/>
      <c r="H4363"/>
      <c r="I4363"/>
      <c r="J4363"/>
      <c r="K4363"/>
      <c r="L4363"/>
      <c r="M4363" s="820"/>
      <c r="N4363" s="461" t="str">
        <f>N4362 &amp; ".1"</f>
        <v>4.0.2.1.1</v>
      </c>
      <c r="O4363" s="466" t="s">
        <v>78</v>
      </c>
      <c r="P4363" s="473" t="s">
        <v>216</v>
      </c>
      <c r="Q4363" s="258"/>
      <c r="R4363" s="259"/>
      <c r="S4363" s="259"/>
      <c r="T4363" s="260"/>
      <c r="U4363" s="252"/>
      <c r="V4363" s="252"/>
      <c r="W4363" s="465"/>
      <c r="X4363" s="258"/>
      <c r="Y4363" s="202"/>
      <c r="Z4363" s="48"/>
      <c r="AA4363" s="252"/>
      <c r="AB4363" s="252"/>
      <c r="AC4363" s="465"/>
      <c r="AF4363"/>
      <c r="AG4363"/>
    </row>
    <row r="4364" spans="1:33" s="47" customFormat="1" ht="12.75">
      <c r="A4364"/>
      <c r="B4364"/>
      <c r="C4364"/>
      <c r="D4364"/>
      <c r="E4364"/>
      <c r="F4364"/>
      <c r="G4364"/>
      <c r="H4364"/>
      <c r="I4364"/>
      <c r="J4364"/>
      <c r="K4364"/>
      <c r="L4364"/>
      <c r="M4364" s="820"/>
      <c r="N4364" s="461" t="str">
        <f>N4362 &amp; ".2"</f>
        <v>4.0.2.1.2</v>
      </c>
      <c r="O4364" s="454" t="s">
        <v>212</v>
      </c>
      <c r="P4364" s="473" t="s">
        <v>285</v>
      </c>
      <c r="Q4364" s="258"/>
      <c r="R4364" s="259"/>
      <c r="S4364" s="259"/>
      <c r="T4364" s="260"/>
      <c r="U4364" s="252"/>
      <c r="V4364" s="252"/>
      <c r="W4364" s="452">
        <f>IF(W4328=0,0,W4397/W4328*1000)</f>
        <v>0</v>
      </c>
      <c r="X4364" s="258"/>
      <c r="Y4364" s="202"/>
      <c r="Z4364" s="48"/>
      <c r="AA4364" s="252"/>
      <c r="AB4364" s="252"/>
      <c r="AC4364" s="452">
        <f>IF(AC4328=0,0,AC4397/AC4328*1000)</f>
        <v>0</v>
      </c>
      <c r="AF4364"/>
      <c r="AG4364"/>
    </row>
    <row r="4365" spans="1:33" s="47" customFormat="1" ht="12.75">
      <c r="A4365"/>
      <c r="B4365"/>
      <c r="C4365"/>
      <c r="D4365"/>
      <c r="E4365"/>
      <c r="F4365"/>
      <c r="G4365"/>
      <c r="H4365"/>
      <c r="I4365"/>
      <c r="J4365"/>
      <c r="K4365"/>
      <c r="L4365"/>
      <c r="M4365" s="820"/>
      <c r="N4365" s="461" t="str">
        <f>N4362 &amp; ".2.1"</f>
        <v>4.0.2.1.2.1</v>
      </c>
      <c r="O4365" s="455" t="s">
        <v>79</v>
      </c>
      <c r="P4365" s="473" t="s">
        <v>285</v>
      </c>
      <c r="Q4365" s="258"/>
      <c r="R4365" s="259"/>
      <c r="S4365" s="259"/>
      <c r="T4365" s="260"/>
      <c r="U4365" s="252"/>
      <c r="V4365" s="252"/>
      <c r="W4365" s="465"/>
      <c r="X4365" s="258"/>
      <c r="Y4365" s="202"/>
      <c r="Z4365" s="48"/>
      <c r="AA4365" s="252"/>
      <c r="AB4365" s="252"/>
      <c r="AC4365" s="465"/>
      <c r="AF4365"/>
      <c r="AG4365"/>
    </row>
    <row r="4366" spans="1:33" s="47" customFormat="1" hidden="1">
      <c r="A4366"/>
      <c r="B4366"/>
      <c r="C4366"/>
      <c r="D4366"/>
      <c r="E4366"/>
      <c r="F4366"/>
      <c r="G4366"/>
      <c r="H4366"/>
      <c r="I4366"/>
      <c r="J4366"/>
      <c r="K4366"/>
      <c r="L4366"/>
      <c r="M4366" s="820"/>
      <c r="N4366" s="451"/>
      <c r="O4366" s="455"/>
      <c r="P4366" s="473"/>
      <c r="Q4366" s="258"/>
      <c r="R4366" s="259"/>
      <c r="S4366" s="259"/>
      <c r="T4366" s="260"/>
      <c r="U4366" s="252"/>
      <c r="V4366" s="252"/>
      <c r="W4366" s="456"/>
      <c r="X4366" s="258"/>
      <c r="Y4366" s="202"/>
      <c r="Z4366" s="48"/>
      <c r="AA4366" s="252"/>
      <c r="AB4366" s="252"/>
      <c r="AC4366" s="456"/>
      <c r="AF4366"/>
      <c r="AG4366"/>
    </row>
    <row r="4367" spans="1:33" s="47" customFormat="1" hidden="1">
      <c r="A4367"/>
      <c r="B4367"/>
      <c r="C4367"/>
      <c r="D4367"/>
      <c r="E4367"/>
      <c r="F4367"/>
      <c r="G4367"/>
      <c r="H4367"/>
      <c r="I4367"/>
      <c r="J4367"/>
      <c r="K4367"/>
      <c r="L4367"/>
      <c r="M4367" s="820"/>
      <c r="N4367" s="451"/>
      <c r="O4367" s="455"/>
      <c r="P4367" s="473"/>
      <c r="Q4367" s="258"/>
      <c r="R4367" s="259"/>
      <c r="S4367" s="259"/>
      <c r="T4367" s="260"/>
      <c r="U4367" s="252"/>
      <c r="V4367" s="252"/>
      <c r="W4367" s="456"/>
      <c r="X4367" s="258"/>
      <c r="Y4367" s="202"/>
      <c r="Z4367" s="48"/>
      <c r="AA4367" s="252"/>
      <c r="AB4367" s="252"/>
      <c r="AC4367" s="456"/>
      <c r="AF4367"/>
      <c r="AG4367"/>
    </row>
    <row r="4368" spans="1:33" s="47" customFormat="1" hidden="1">
      <c r="A4368"/>
      <c r="B4368"/>
      <c r="C4368"/>
      <c r="D4368"/>
      <c r="E4368"/>
      <c r="F4368"/>
      <c r="G4368"/>
      <c r="H4368"/>
      <c r="I4368"/>
      <c r="J4368"/>
      <c r="K4368"/>
      <c r="L4368"/>
      <c r="M4368" s="820"/>
      <c r="N4368" s="451"/>
      <c r="O4368" s="455"/>
      <c r="P4368" s="473"/>
      <c r="Q4368" s="258"/>
      <c r="R4368" s="259"/>
      <c r="S4368" s="259"/>
      <c r="T4368" s="260"/>
      <c r="U4368" s="252"/>
      <c r="V4368" s="252"/>
      <c r="W4368" s="456"/>
      <c r="X4368" s="258"/>
      <c r="Y4368" s="202"/>
      <c r="Z4368" s="48"/>
      <c r="AA4368" s="252"/>
      <c r="AB4368" s="252"/>
      <c r="AC4368" s="456"/>
      <c r="AF4368"/>
      <c r="AG4368"/>
    </row>
    <row r="4369" spans="1:33" s="47" customFormat="1" hidden="1">
      <c r="A4369"/>
      <c r="B4369"/>
      <c r="C4369"/>
      <c r="D4369"/>
      <c r="E4369"/>
      <c r="F4369"/>
      <c r="G4369"/>
      <c r="H4369"/>
      <c r="I4369"/>
      <c r="J4369"/>
      <c r="K4369"/>
      <c r="L4369"/>
      <c r="M4369" s="820"/>
      <c r="N4369" s="451"/>
      <c r="O4369" s="455"/>
      <c r="P4369" s="473"/>
      <c r="Q4369" s="258"/>
      <c r="R4369" s="259"/>
      <c r="S4369" s="259"/>
      <c r="T4369" s="260"/>
      <c r="U4369" s="252"/>
      <c r="V4369" s="252"/>
      <c r="W4369" s="456"/>
      <c r="X4369" s="258"/>
      <c r="Y4369" s="202"/>
      <c r="Z4369" s="48"/>
      <c r="AA4369" s="252"/>
      <c r="AB4369" s="252"/>
      <c r="AC4369" s="456"/>
      <c r="AF4369"/>
      <c r="AG4369"/>
    </row>
    <row r="4370" spans="1:33" s="47" customFormat="1" hidden="1">
      <c r="A4370"/>
      <c r="B4370"/>
      <c r="C4370"/>
      <c r="D4370"/>
      <c r="E4370"/>
      <c r="F4370"/>
      <c r="G4370"/>
      <c r="H4370"/>
      <c r="I4370"/>
      <c r="J4370"/>
      <c r="K4370"/>
      <c r="L4370"/>
      <c r="M4370" s="820"/>
      <c r="N4370" s="451"/>
      <c r="O4370" s="455"/>
      <c r="P4370" s="473"/>
      <c r="Q4370" s="258"/>
      <c r="R4370" s="259"/>
      <c r="S4370" s="259"/>
      <c r="T4370" s="260"/>
      <c r="U4370" s="252"/>
      <c r="V4370" s="252"/>
      <c r="W4370" s="456"/>
      <c r="X4370" s="258"/>
      <c r="Y4370" s="202"/>
      <c r="Z4370" s="48"/>
      <c r="AA4370" s="252"/>
      <c r="AB4370" s="252"/>
      <c r="AC4370" s="456"/>
      <c r="AF4370"/>
      <c r="AG4370"/>
    </row>
    <row r="4371" spans="1:33" s="47" customFormat="1" hidden="1">
      <c r="A4371"/>
      <c r="B4371"/>
      <c r="C4371"/>
      <c r="D4371"/>
      <c r="E4371"/>
      <c r="F4371"/>
      <c r="G4371"/>
      <c r="H4371"/>
      <c r="I4371"/>
      <c r="J4371"/>
      <c r="K4371"/>
      <c r="L4371"/>
      <c r="M4371" s="820"/>
      <c r="N4371" s="451"/>
      <c r="O4371" s="455"/>
      <c r="P4371" s="473"/>
      <c r="Q4371" s="258"/>
      <c r="R4371" s="259"/>
      <c r="S4371" s="259"/>
      <c r="T4371" s="260"/>
      <c r="U4371" s="252"/>
      <c r="V4371" s="252"/>
      <c r="W4371" s="456"/>
      <c r="X4371" s="258"/>
      <c r="Y4371" s="202"/>
      <c r="Z4371" s="48"/>
      <c r="AA4371" s="252"/>
      <c r="AB4371" s="252"/>
      <c r="AC4371" s="456"/>
      <c r="AF4371"/>
      <c r="AG4371"/>
    </row>
    <row r="4372" spans="1:33" s="47" customFormat="1" hidden="1">
      <c r="A4372"/>
      <c r="B4372"/>
      <c r="C4372"/>
      <c r="D4372"/>
      <c r="E4372"/>
      <c r="F4372"/>
      <c r="G4372"/>
      <c r="H4372"/>
      <c r="I4372"/>
      <c r="J4372"/>
      <c r="K4372"/>
      <c r="L4372"/>
      <c r="M4372" s="820"/>
      <c r="N4372" s="451"/>
      <c r="O4372" s="455"/>
      <c r="P4372" s="473"/>
      <c r="Q4372" s="258"/>
      <c r="R4372" s="259"/>
      <c r="S4372" s="259"/>
      <c r="T4372" s="260"/>
      <c r="U4372" s="252"/>
      <c r="V4372" s="252"/>
      <c r="W4372" s="456"/>
      <c r="X4372" s="258"/>
      <c r="Y4372" s="202"/>
      <c r="Z4372" s="48"/>
      <c r="AA4372" s="252"/>
      <c r="AB4372" s="252"/>
      <c r="AC4372" s="456"/>
      <c r="AF4372"/>
      <c r="AG4372"/>
    </row>
    <row r="4373" spans="1:33" s="47" customFormat="1" ht="12.75">
      <c r="A4373"/>
      <c r="B4373"/>
      <c r="C4373"/>
      <c r="D4373"/>
      <c r="E4373"/>
      <c r="F4373"/>
      <c r="G4373"/>
      <c r="H4373"/>
      <c r="I4373"/>
      <c r="J4373"/>
      <c r="K4373"/>
      <c r="L4373"/>
      <c r="M4373" s="820"/>
      <c r="N4373" s="461" t="str">
        <f>N4362 &amp; ".2.2"</f>
        <v>4.0.2.1.2.2</v>
      </c>
      <c r="O4373" s="455" t="s">
        <v>81</v>
      </c>
      <c r="P4373" s="473" t="s">
        <v>285</v>
      </c>
      <c r="Q4373" s="258"/>
      <c r="R4373" s="259"/>
      <c r="S4373" s="259"/>
      <c r="T4373" s="260"/>
      <c r="U4373" s="252"/>
      <c r="V4373" s="252"/>
      <c r="W4373" s="465"/>
      <c r="X4373" s="258"/>
      <c r="Y4373" s="202"/>
      <c r="Z4373" s="48"/>
      <c r="AA4373" s="252"/>
      <c r="AB4373" s="252"/>
      <c r="AC4373" s="465"/>
      <c r="AF4373"/>
      <c r="AG4373"/>
    </row>
    <row r="4374" spans="1:33" s="47" customFormat="1" hidden="1">
      <c r="A4374"/>
      <c r="B4374"/>
      <c r="C4374"/>
      <c r="D4374"/>
      <c r="E4374"/>
      <c r="F4374"/>
      <c r="G4374"/>
      <c r="H4374"/>
      <c r="I4374"/>
      <c r="J4374"/>
      <c r="K4374"/>
      <c r="L4374"/>
      <c r="M4374" s="820"/>
      <c r="N4374" s="451"/>
      <c r="O4374" s="455"/>
      <c r="P4374" s="473"/>
      <c r="Q4374" s="258"/>
      <c r="R4374" s="259"/>
      <c r="S4374" s="259"/>
      <c r="T4374" s="260"/>
      <c r="U4374" s="252"/>
      <c r="V4374" s="252"/>
      <c r="W4374" s="456"/>
      <c r="X4374" s="258"/>
      <c r="Y4374" s="202"/>
      <c r="Z4374" s="48"/>
      <c r="AA4374" s="252"/>
      <c r="AB4374" s="252"/>
      <c r="AC4374" s="456"/>
      <c r="AF4374"/>
      <c r="AG4374"/>
    </row>
    <row r="4375" spans="1:33" s="47" customFormat="1" hidden="1">
      <c r="A4375"/>
      <c r="B4375"/>
      <c r="C4375"/>
      <c r="D4375"/>
      <c r="E4375"/>
      <c r="F4375"/>
      <c r="G4375"/>
      <c r="H4375"/>
      <c r="I4375"/>
      <c r="J4375"/>
      <c r="K4375"/>
      <c r="L4375"/>
      <c r="M4375" s="820"/>
      <c r="N4375" s="451"/>
      <c r="O4375" s="455"/>
      <c r="P4375" s="473"/>
      <c r="Q4375" s="258"/>
      <c r="R4375" s="259"/>
      <c r="S4375" s="259"/>
      <c r="T4375" s="260"/>
      <c r="U4375" s="252"/>
      <c r="V4375" s="252"/>
      <c r="W4375" s="456"/>
      <c r="X4375" s="258"/>
      <c r="Y4375" s="202"/>
      <c r="Z4375" s="48"/>
      <c r="AA4375" s="252"/>
      <c r="AB4375" s="252"/>
      <c r="AC4375" s="456"/>
      <c r="AF4375"/>
      <c r="AG4375"/>
    </row>
    <row r="4376" spans="1:33" s="47" customFormat="1" hidden="1">
      <c r="A4376"/>
      <c r="B4376"/>
      <c r="C4376"/>
      <c r="D4376"/>
      <c r="E4376"/>
      <c r="F4376"/>
      <c r="G4376"/>
      <c r="H4376"/>
      <c r="I4376"/>
      <c r="J4376"/>
      <c r="K4376"/>
      <c r="L4376"/>
      <c r="M4376" s="820"/>
      <c r="N4376" s="451"/>
      <c r="O4376" s="455"/>
      <c r="P4376" s="473"/>
      <c r="Q4376" s="258"/>
      <c r="R4376" s="259"/>
      <c r="S4376" s="259"/>
      <c r="T4376" s="260"/>
      <c r="U4376" s="252"/>
      <c r="V4376" s="252"/>
      <c r="W4376" s="456"/>
      <c r="X4376" s="258"/>
      <c r="Y4376" s="202"/>
      <c r="Z4376" s="48"/>
      <c r="AA4376" s="252"/>
      <c r="AB4376" s="252"/>
      <c r="AC4376" s="456"/>
      <c r="AF4376"/>
      <c r="AG4376"/>
    </row>
    <row r="4377" spans="1:33" s="47" customFormat="1" hidden="1">
      <c r="A4377"/>
      <c r="B4377"/>
      <c r="C4377"/>
      <c r="D4377"/>
      <c r="E4377"/>
      <c r="F4377"/>
      <c r="G4377"/>
      <c r="H4377"/>
      <c r="I4377"/>
      <c r="J4377"/>
      <c r="K4377"/>
      <c r="L4377"/>
      <c r="M4377" s="820"/>
      <c r="N4377" s="451"/>
      <c r="O4377" s="455"/>
      <c r="P4377" s="473"/>
      <c r="Q4377" s="258"/>
      <c r="R4377" s="259"/>
      <c r="S4377" s="259"/>
      <c r="T4377" s="260"/>
      <c r="U4377" s="252"/>
      <c r="V4377" s="252"/>
      <c r="W4377" s="456"/>
      <c r="X4377" s="258"/>
      <c r="Y4377" s="202"/>
      <c r="Z4377" s="48"/>
      <c r="AA4377" s="252"/>
      <c r="AB4377" s="252"/>
      <c r="AC4377" s="456"/>
      <c r="AF4377"/>
      <c r="AG4377"/>
    </row>
    <row r="4378" spans="1:33" s="47" customFormat="1" hidden="1">
      <c r="A4378"/>
      <c r="B4378"/>
      <c r="C4378"/>
      <c r="D4378"/>
      <c r="E4378"/>
      <c r="F4378"/>
      <c r="G4378"/>
      <c r="H4378"/>
      <c r="I4378"/>
      <c r="J4378"/>
      <c r="K4378"/>
      <c r="L4378"/>
      <c r="M4378" s="820"/>
      <c r="N4378" s="451"/>
      <c r="O4378" s="455"/>
      <c r="P4378" s="473"/>
      <c r="Q4378" s="258"/>
      <c r="R4378" s="259"/>
      <c r="S4378" s="259"/>
      <c r="T4378" s="260"/>
      <c r="U4378" s="252"/>
      <c r="V4378" s="252"/>
      <c r="W4378" s="456"/>
      <c r="X4378" s="258"/>
      <c r="Y4378" s="202"/>
      <c r="Z4378" s="48"/>
      <c r="AA4378" s="252"/>
      <c r="AB4378" s="252"/>
      <c r="AC4378" s="456"/>
      <c r="AF4378"/>
      <c r="AG4378"/>
    </row>
    <row r="4379" spans="1:33" s="47" customFormat="1" hidden="1">
      <c r="A4379"/>
      <c r="B4379"/>
      <c r="C4379"/>
      <c r="D4379"/>
      <c r="E4379"/>
      <c r="F4379"/>
      <c r="G4379"/>
      <c r="H4379"/>
      <c r="I4379"/>
      <c r="J4379"/>
      <c r="K4379"/>
      <c r="L4379"/>
      <c r="M4379" s="820"/>
      <c r="N4379" s="451"/>
      <c r="O4379" s="455"/>
      <c r="P4379" s="473"/>
      <c r="Q4379" s="258"/>
      <c r="R4379" s="259"/>
      <c r="S4379" s="259"/>
      <c r="T4379" s="260"/>
      <c r="U4379" s="252"/>
      <c r="V4379" s="252"/>
      <c r="W4379" s="456"/>
      <c r="X4379" s="258"/>
      <c r="Y4379" s="202"/>
      <c r="Z4379" s="48"/>
      <c r="AA4379" s="252"/>
      <c r="AB4379" s="252"/>
      <c r="AC4379" s="456"/>
      <c r="AF4379"/>
      <c r="AG4379"/>
    </row>
    <row r="4380" spans="1:33" s="47" customFormat="1" hidden="1">
      <c r="A4380"/>
      <c r="B4380"/>
      <c r="C4380"/>
      <c r="D4380"/>
      <c r="E4380"/>
      <c r="F4380"/>
      <c r="G4380"/>
      <c r="H4380"/>
      <c r="I4380"/>
      <c r="J4380"/>
      <c r="K4380"/>
      <c r="L4380"/>
      <c r="M4380" s="820"/>
      <c r="N4380" s="451"/>
      <c r="O4380" s="455"/>
      <c r="P4380" s="473"/>
      <c r="Q4380" s="258"/>
      <c r="R4380" s="259"/>
      <c r="S4380" s="259"/>
      <c r="T4380" s="260"/>
      <c r="U4380" s="252"/>
      <c r="V4380" s="252"/>
      <c r="W4380" s="456"/>
      <c r="X4380" s="258"/>
      <c r="Y4380" s="202"/>
      <c r="Z4380" s="48"/>
      <c r="AA4380" s="252"/>
      <c r="AB4380" s="252"/>
      <c r="AC4380" s="456"/>
      <c r="AF4380"/>
      <c r="AG4380"/>
    </row>
    <row r="4381" spans="1:33" s="47" customFormat="1" ht="12.75">
      <c r="A4381"/>
      <c r="B4381"/>
      <c r="C4381"/>
      <c r="D4381"/>
      <c r="E4381"/>
      <c r="F4381"/>
      <c r="G4381"/>
      <c r="H4381"/>
      <c r="I4381"/>
      <c r="J4381"/>
      <c r="K4381"/>
      <c r="L4381"/>
      <c r="M4381" s="820"/>
      <c r="N4381" s="461" t="str">
        <f>N4362 &amp; ".2.3"</f>
        <v>4.0.2.1.2.3</v>
      </c>
      <c r="O4381" s="455" t="s">
        <v>83</v>
      </c>
      <c r="P4381" s="473" t="s">
        <v>285</v>
      </c>
      <c r="Q4381" s="258"/>
      <c r="R4381" s="259"/>
      <c r="S4381" s="259"/>
      <c r="T4381" s="260"/>
      <c r="U4381" s="252"/>
      <c r="V4381" s="252"/>
      <c r="W4381" s="465"/>
      <c r="X4381" s="258"/>
      <c r="Y4381" s="202"/>
      <c r="Z4381" s="48"/>
      <c r="AA4381" s="252"/>
      <c r="AB4381" s="252"/>
      <c r="AC4381" s="465"/>
      <c r="AF4381"/>
      <c r="AG4381"/>
    </row>
    <row r="4382" spans="1:33" s="47" customFormat="1">
      <c r="A4382"/>
      <c r="B4382"/>
      <c r="C4382"/>
      <c r="D4382"/>
      <c r="E4382"/>
      <c r="F4382"/>
      <c r="G4382"/>
      <c r="H4382"/>
      <c r="I4382"/>
      <c r="J4382"/>
      <c r="K4382"/>
      <c r="L4382"/>
      <c r="M4382" s="820"/>
      <c r="N4382" s="461" t="str">
        <f>N4362 &amp; ".3"</f>
        <v>4.0.2.1.3</v>
      </c>
      <c r="O4382" s="457" t="s">
        <v>85</v>
      </c>
      <c r="P4382" s="473" t="s">
        <v>216</v>
      </c>
      <c r="Q4382" s="258"/>
      <c r="R4382" s="259"/>
      <c r="S4382" s="259"/>
      <c r="T4382" s="260"/>
      <c r="U4382" s="252"/>
      <c r="V4382" s="252"/>
      <c r="W4382" s="465"/>
      <c r="X4382" s="258"/>
      <c r="Y4382" s="202"/>
      <c r="Z4382" s="48"/>
      <c r="AA4382" s="252"/>
      <c r="AB4382" s="252"/>
      <c r="AC4382" s="465"/>
      <c r="AF4382"/>
      <c r="AG4382"/>
    </row>
    <row r="4383" spans="1:33" s="47" customFormat="1">
      <c r="A4383"/>
      <c r="B4383"/>
      <c r="C4383"/>
      <c r="D4383"/>
      <c r="E4383"/>
      <c r="F4383"/>
      <c r="G4383"/>
      <c r="H4383"/>
      <c r="I4383"/>
      <c r="J4383"/>
      <c r="K4383"/>
      <c r="L4383"/>
      <c r="M4383" s="820"/>
      <c r="N4383" s="461" t="str">
        <f>N4362 &amp; ".4"</f>
        <v>4.0.2.1.4</v>
      </c>
      <c r="O4383" s="457" t="s">
        <v>87</v>
      </c>
      <c r="P4383" s="473" t="s">
        <v>216</v>
      </c>
      <c r="Q4383" s="258"/>
      <c r="R4383" s="259"/>
      <c r="S4383" s="259"/>
      <c r="T4383" s="260"/>
      <c r="U4383" s="252"/>
      <c r="V4383" s="252"/>
      <c r="W4383" s="465"/>
      <c r="X4383" s="258"/>
      <c r="Y4383" s="202"/>
      <c r="Z4383" s="48"/>
      <c r="AA4383" s="252"/>
      <c r="AB4383" s="252"/>
      <c r="AC4383" s="465"/>
      <c r="AF4383"/>
      <c r="AG4383"/>
    </row>
    <row r="4384" spans="1:33" s="47" customFormat="1">
      <c r="A4384"/>
      <c r="B4384"/>
      <c r="C4384"/>
      <c r="D4384"/>
      <c r="E4384"/>
      <c r="F4384"/>
      <c r="G4384"/>
      <c r="H4384"/>
      <c r="I4384"/>
      <c r="J4384"/>
      <c r="K4384"/>
      <c r="L4384"/>
      <c r="M4384" s="820"/>
      <c r="N4384" s="461" t="str">
        <f>N4362&amp;".5"</f>
        <v>4.0.2.1.5</v>
      </c>
      <c r="O4384" s="457" t="s">
        <v>89</v>
      </c>
      <c r="P4384" s="473" t="s">
        <v>216</v>
      </c>
      <c r="Q4384" s="258"/>
      <c r="R4384" s="259"/>
      <c r="S4384" s="259"/>
      <c r="T4384" s="260"/>
      <c r="U4384" s="252"/>
      <c r="V4384" s="252"/>
      <c r="W4384" s="465"/>
      <c r="X4384" s="258"/>
      <c r="Y4384" s="202"/>
      <c r="Z4384" s="48"/>
      <c r="AA4384" s="252"/>
      <c r="AB4384" s="252"/>
      <c r="AC4384" s="465"/>
      <c r="AF4384"/>
      <c r="AG4384"/>
    </row>
    <row r="4385" spans="1:33" s="47" customFormat="1">
      <c r="A4385"/>
      <c r="B4385"/>
      <c r="C4385"/>
      <c r="D4385"/>
      <c r="E4385"/>
      <c r="F4385"/>
      <c r="G4385"/>
      <c r="H4385"/>
      <c r="I4385"/>
      <c r="J4385"/>
      <c r="K4385"/>
      <c r="L4385"/>
      <c r="M4385" s="820"/>
      <c r="N4385" s="461" t="str">
        <f>N4362 &amp; ".6"</f>
        <v>4.0.2.1.6</v>
      </c>
      <c r="O4385" s="457" t="s">
        <v>91</v>
      </c>
      <c r="P4385" s="473" t="s">
        <v>216</v>
      </c>
      <c r="Q4385" s="258"/>
      <c r="R4385" s="259"/>
      <c r="S4385" s="259"/>
      <c r="T4385" s="260"/>
      <c r="U4385" s="252"/>
      <c r="V4385" s="252"/>
      <c r="W4385" s="465"/>
      <c r="X4385" s="258"/>
      <c r="Y4385" s="202"/>
      <c r="Z4385" s="48"/>
      <c r="AA4385" s="252"/>
      <c r="AB4385" s="252"/>
      <c r="AC4385" s="465"/>
      <c r="AF4385"/>
      <c r="AG4385"/>
    </row>
    <row r="4386" spans="1:33" s="47" customFormat="1">
      <c r="A4386"/>
      <c r="B4386"/>
      <c r="C4386"/>
      <c r="D4386"/>
      <c r="E4386"/>
      <c r="F4386"/>
      <c r="G4386"/>
      <c r="H4386"/>
      <c r="I4386"/>
      <c r="J4386"/>
      <c r="K4386"/>
      <c r="L4386"/>
      <c r="M4386" s="820"/>
      <c r="N4386" s="461" t="str">
        <f>N4362 &amp; ".7"</f>
        <v>4.0.2.1.7</v>
      </c>
      <c r="O4386" s="457" t="s">
        <v>93</v>
      </c>
      <c r="P4386" s="473" t="s">
        <v>216</v>
      </c>
      <c r="Q4386" s="258"/>
      <c r="R4386" s="259"/>
      <c r="S4386" s="259"/>
      <c r="T4386" s="260"/>
      <c r="U4386" s="252"/>
      <c r="V4386" s="252"/>
      <c r="W4386" s="465"/>
      <c r="X4386" s="258"/>
      <c r="Y4386" s="202"/>
      <c r="Z4386" s="48"/>
      <c r="AA4386" s="252"/>
      <c r="AB4386" s="252"/>
      <c r="AC4386" s="465"/>
      <c r="AF4386"/>
      <c r="AG4386"/>
    </row>
    <row r="4387" spans="1:33" s="47" customFormat="1">
      <c r="A4387"/>
      <c r="B4387"/>
      <c r="C4387"/>
      <c r="D4387"/>
      <c r="E4387"/>
      <c r="F4387"/>
      <c r="G4387"/>
      <c r="H4387"/>
      <c r="I4387"/>
      <c r="J4387"/>
      <c r="K4387"/>
      <c r="L4387"/>
      <c r="M4387" s="820"/>
      <c r="N4387" s="461" t="str">
        <f>N4362 &amp; ".8"</f>
        <v>4.0.2.1.8</v>
      </c>
      <c r="O4387" s="457" t="s">
        <v>95</v>
      </c>
      <c r="P4387" s="473" t="s">
        <v>216</v>
      </c>
      <c r="Q4387" s="258"/>
      <c r="R4387" s="259"/>
      <c r="S4387" s="259"/>
      <c r="T4387" s="260"/>
      <c r="U4387" s="252"/>
      <c r="V4387" s="252"/>
      <c r="W4387" s="465"/>
      <c r="X4387" s="258"/>
      <c r="Y4387" s="202"/>
      <c r="Z4387" s="48"/>
      <c r="AA4387" s="252"/>
      <c r="AB4387" s="252"/>
      <c r="AC4387" s="465"/>
      <c r="AF4387"/>
      <c r="AG4387"/>
    </row>
    <row r="4388" spans="1:33" s="47" customFormat="1">
      <c r="A4388"/>
      <c r="B4388"/>
      <c r="C4388"/>
      <c r="D4388"/>
      <c r="E4388"/>
      <c r="F4388"/>
      <c r="G4388"/>
      <c r="H4388"/>
      <c r="I4388"/>
      <c r="J4388"/>
      <c r="K4388"/>
      <c r="L4388"/>
      <c r="M4388" s="820"/>
      <c r="N4388" s="461" t="str">
        <f>N4362 &amp; ".9"</f>
        <v>4.0.2.1.9</v>
      </c>
      <c r="O4388" s="457" t="s">
        <v>2976</v>
      </c>
      <c r="P4388" s="473" t="s">
        <v>216</v>
      </c>
      <c r="Q4388" s="258"/>
      <c r="R4388" s="259"/>
      <c r="S4388" s="259"/>
      <c r="T4388" s="260"/>
      <c r="U4388" s="252"/>
      <c r="V4388" s="252"/>
      <c r="W4388" s="465"/>
      <c r="X4388" s="258"/>
      <c r="Y4388" s="202"/>
      <c r="Z4388" s="48"/>
      <c r="AA4388" s="252"/>
      <c r="AB4388" s="252"/>
      <c r="AC4388" s="465"/>
      <c r="AF4388"/>
      <c r="AG4388"/>
    </row>
    <row r="4389" spans="1:33" s="47" customFormat="1">
      <c r="A4389"/>
      <c r="B4389"/>
      <c r="C4389"/>
      <c r="D4389"/>
      <c r="E4389"/>
      <c r="F4389"/>
      <c r="G4389"/>
      <c r="H4389"/>
      <c r="I4389"/>
      <c r="J4389"/>
      <c r="K4389"/>
      <c r="L4389"/>
      <c r="M4389" s="820"/>
      <c r="N4389" s="461" t="str">
        <f>N4362 &amp; ".10"</f>
        <v>4.0.2.1.10</v>
      </c>
      <c r="O4389" s="457" t="s">
        <v>2978</v>
      </c>
      <c r="P4389" s="473" t="s">
        <v>216</v>
      </c>
      <c r="Q4389" s="258"/>
      <c r="R4389" s="259"/>
      <c r="S4389" s="259"/>
      <c r="T4389" s="260"/>
      <c r="U4389" s="252"/>
      <c r="V4389" s="252"/>
      <c r="W4389" s="465"/>
      <c r="X4389" s="258"/>
      <c r="Y4389" s="202"/>
      <c r="Z4389" s="48"/>
      <c r="AA4389" s="252"/>
      <c r="AB4389" s="252"/>
      <c r="AC4389" s="465"/>
      <c r="AF4389"/>
      <c r="AG4389"/>
    </row>
    <row r="4390" spans="1:33" s="47" customFormat="1">
      <c r="A4390"/>
      <c r="B4390"/>
      <c r="C4390"/>
      <c r="D4390"/>
      <c r="E4390"/>
      <c r="F4390"/>
      <c r="G4390"/>
      <c r="H4390"/>
      <c r="I4390"/>
      <c r="J4390"/>
      <c r="K4390"/>
      <c r="L4390"/>
      <c r="M4390" s="820"/>
      <c r="N4390" s="461" t="str">
        <f>N4362 &amp; ".11"</f>
        <v>4.0.2.1.11</v>
      </c>
      <c r="O4390" s="457" t="s">
        <v>2980</v>
      </c>
      <c r="P4390" s="473" t="s">
        <v>216</v>
      </c>
      <c r="Q4390" s="258"/>
      <c r="R4390" s="259"/>
      <c r="S4390" s="259"/>
      <c r="T4390" s="260"/>
      <c r="U4390" s="252"/>
      <c r="V4390" s="252"/>
      <c r="W4390" s="465"/>
      <c r="X4390" s="258"/>
      <c r="Y4390" s="202"/>
      <c r="Z4390" s="48"/>
      <c r="AA4390" s="252"/>
      <c r="AB4390" s="252"/>
      <c r="AC4390" s="465"/>
      <c r="AF4390"/>
      <c r="AG4390"/>
    </row>
    <row r="4391" spans="1:33" s="47" customFormat="1">
      <c r="A4391"/>
      <c r="B4391"/>
      <c r="C4391"/>
      <c r="D4391"/>
      <c r="E4391"/>
      <c r="F4391"/>
      <c r="G4391"/>
      <c r="H4391"/>
      <c r="I4391"/>
      <c r="J4391"/>
      <c r="K4391"/>
      <c r="L4391"/>
      <c r="M4391" s="820"/>
      <c r="N4391" s="461" t="str">
        <f>N4362 &amp; ".12"</f>
        <v>4.0.2.1.12</v>
      </c>
      <c r="O4391" s="457" t="s">
        <v>2982</v>
      </c>
      <c r="P4391" s="473" t="s">
        <v>216</v>
      </c>
      <c r="Q4391" s="258"/>
      <c r="R4391" s="259"/>
      <c r="S4391" s="259"/>
      <c r="T4391" s="260"/>
      <c r="U4391" s="252"/>
      <c r="V4391" s="252"/>
      <c r="W4391" s="465"/>
      <c r="X4391" s="258"/>
      <c r="Y4391" s="202"/>
      <c r="Z4391" s="48"/>
      <c r="AA4391" s="252"/>
      <c r="AB4391" s="252"/>
      <c r="AC4391" s="465"/>
      <c r="AF4391"/>
      <c r="AG4391"/>
    </row>
    <row r="4392" spans="1:33" s="47" customFormat="1" hidden="1">
      <c r="A4392"/>
      <c r="B4392"/>
      <c r="C4392"/>
      <c r="D4392"/>
      <c r="E4392"/>
      <c r="F4392"/>
      <c r="G4392"/>
      <c r="H4392"/>
      <c r="I4392"/>
      <c r="J4392"/>
      <c r="K4392"/>
      <c r="L4392"/>
      <c r="M4392" s="820"/>
      <c r="N4392" s="451"/>
      <c r="O4392" s="455"/>
      <c r="P4392" s="473"/>
      <c r="Q4392" s="258"/>
      <c r="R4392" s="259"/>
      <c r="S4392" s="259"/>
      <c r="T4392" s="260"/>
      <c r="U4392" s="252"/>
      <c r="V4392" s="252"/>
      <c r="W4392" s="456"/>
      <c r="X4392" s="258"/>
      <c r="Y4392" s="202"/>
      <c r="Z4392" s="48"/>
      <c r="AA4392" s="252"/>
      <c r="AB4392" s="252"/>
      <c r="AC4392" s="456"/>
      <c r="AF4392"/>
      <c r="AG4392"/>
    </row>
    <row r="4393" spans="1:33" s="47" customFormat="1" hidden="1">
      <c r="A4393"/>
      <c r="B4393"/>
      <c r="C4393"/>
      <c r="D4393"/>
      <c r="E4393"/>
      <c r="F4393"/>
      <c r="G4393"/>
      <c r="H4393"/>
      <c r="I4393"/>
      <c r="J4393"/>
      <c r="K4393"/>
      <c r="L4393"/>
      <c r="M4393" s="820"/>
      <c r="N4393" s="451"/>
      <c r="O4393" s="455"/>
      <c r="P4393" s="473"/>
      <c r="Q4393" s="258"/>
      <c r="R4393" s="259"/>
      <c r="S4393" s="259"/>
      <c r="T4393" s="260"/>
      <c r="U4393" s="252"/>
      <c r="V4393" s="252"/>
      <c r="W4393" s="456"/>
      <c r="X4393" s="258"/>
      <c r="Y4393" s="202"/>
      <c r="Z4393" s="48"/>
      <c r="AA4393" s="252"/>
      <c r="AB4393" s="252"/>
      <c r="AC4393" s="456"/>
      <c r="AF4393"/>
      <c r="AG4393"/>
    </row>
    <row r="4394" spans="1:33" s="47" customFormat="1">
      <c r="A4394"/>
      <c r="B4394"/>
      <c r="C4394"/>
      <c r="D4394"/>
      <c r="E4394"/>
      <c r="F4394"/>
      <c r="G4394"/>
      <c r="H4394"/>
      <c r="I4394"/>
      <c r="J4394"/>
      <c r="K4394"/>
      <c r="L4394"/>
      <c r="M4394" s="820"/>
      <c r="N4394" s="461" t="str">
        <f>N4362 &amp; ".15"</f>
        <v>4.0.2.1.15</v>
      </c>
      <c r="O4394" s="457" t="s">
        <v>291</v>
      </c>
      <c r="P4394" s="473" t="s">
        <v>216</v>
      </c>
      <c r="Q4394" s="258"/>
      <c r="R4394" s="259"/>
      <c r="S4394" s="259"/>
      <c r="T4394" s="260"/>
      <c r="U4394" s="252"/>
      <c r="V4394" s="252"/>
      <c r="W4394" s="465"/>
      <c r="X4394" s="258"/>
      <c r="Y4394" s="202"/>
      <c r="Z4394" s="48"/>
      <c r="AA4394" s="252"/>
      <c r="AB4394" s="252"/>
      <c r="AC4394" s="465"/>
      <c r="AF4394"/>
      <c r="AG4394"/>
    </row>
    <row r="4395" spans="1:33" s="47" customFormat="1">
      <c r="A4395"/>
      <c r="B4395"/>
      <c r="C4395"/>
      <c r="D4395"/>
      <c r="E4395"/>
      <c r="F4395"/>
      <c r="G4395"/>
      <c r="H4395"/>
      <c r="I4395"/>
      <c r="J4395"/>
      <c r="K4395"/>
      <c r="L4395"/>
      <c r="M4395" s="820"/>
      <c r="N4395" s="449" t="s">
        <v>264</v>
      </c>
      <c r="O4395" s="450" t="s">
        <v>226</v>
      </c>
      <c r="P4395" s="473" t="s">
        <v>786</v>
      </c>
      <c r="Q4395" s="258"/>
      <c r="R4395" s="259"/>
      <c r="S4395" s="259"/>
      <c r="T4395" s="260"/>
      <c r="U4395" s="252"/>
      <c r="V4395" s="252"/>
      <c r="W4395" s="452">
        <f>SUM(W4396,W4397,W4415:W4424,W4427)</f>
        <v>0</v>
      </c>
      <c r="X4395" s="258"/>
      <c r="Y4395" s="202"/>
      <c r="Z4395" s="48"/>
      <c r="AA4395" s="252"/>
      <c r="AB4395" s="252"/>
      <c r="AC4395" s="452">
        <f>SUM(AC4396,AC4397,AC4415:AC4424,AC4427)</f>
        <v>0</v>
      </c>
      <c r="AF4395"/>
      <c r="AG4395"/>
    </row>
    <row r="4396" spans="1:33" s="47" customFormat="1">
      <c r="A4396"/>
      <c r="B4396"/>
      <c r="C4396"/>
      <c r="D4396"/>
      <c r="E4396"/>
      <c r="F4396"/>
      <c r="G4396"/>
      <c r="H4396"/>
      <c r="I4396"/>
      <c r="J4396"/>
      <c r="K4396"/>
      <c r="L4396"/>
      <c r="M4396" s="820"/>
      <c r="N4396" s="461" t="str">
        <f>N4395 &amp; ".1"</f>
        <v>4.0.2.2.1</v>
      </c>
      <c r="O4396" s="453" t="s">
        <v>78</v>
      </c>
      <c r="P4396" s="473" t="s">
        <v>786</v>
      </c>
      <c r="Q4396" s="258"/>
      <c r="R4396" s="259"/>
      <c r="S4396" s="259"/>
      <c r="T4396" s="260"/>
      <c r="U4396" s="252"/>
      <c r="V4396" s="252"/>
      <c r="W4396" s="460">
        <f>W4363*W4327/1000</f>
        <v>0</v>
      </c>
      <c r="X4396" s="258"/>
      <c r="Y4396" s="202"/>
      <c r="Z4396" s="48"/>
      <c r="AA4396" s="252"/>
      <c r="AB4396" s="252"/>
      <c r="AC4396" s="460">
        <f>AC4363*AC4327/1000</f>
        <v>0</v>
      </c>
      <c r="AF4396"/>
      <c r="AG4396"/>
    </row>
    <row r="4397" spans="1:33" s="47" customFormat="1">
      <c r="A4397"/>
      <c r="B4397"/>
      <c r="C4397"/>
      <c r="D4397"/>
      <c r="E4397"/>
      <c r="F4397"/>
      <c r="G4397"/>
      <c r="H4397"/>
      <c r="I4397"/>
      <c r="J4397"/>
      <c r="K4397"/>
      <c r="L4397"/>
      <c r="M4397" s="820"/>
      <c r="N4397" s="461" t="str">
        <f>N4395 &amp; ".2"</f>
        <v>4.0.2.2.2</v>
      </c>
      <c r="O4397" s="454" t="s">
        <v>212</v>
      </c>
      <c r="P4397" s="473" t="s">
        <v>786</v>
      </c>
      <c r="Q4397" s="258"/>
      <c r="R4397" s="259"/>
      <c r="S4397" s="259"/>
      <c r="T4397" s="260"/>
      <c r="U4397" s="252"/>
      <c r="V4397" s="252"/>
      <c r="W4397" s="452">
        <f>SUM(W4398:W4414)</f>
        <v>0</v>
      </c>
      <c r="X4397" s="258"/>
      <c r="Y4397" s="202"/>
      <c r="Z4397" s="48"/>
      <c r="AA4397" s="252"/>
      <c r="AB4397" s="252"/>
      <c r="AC4397" s="452">
        <f>SUM(AC4398:AC4414)</f>
        <v>0</v>
      </c>
      <c r="AF4397"/>
      <c r="AG4397"/>
    </row>
    <row r="4398" spans="1:33" s="47" customFormat="1">
      <c r="A4398"/>
      <c r="B4398"/>
      <c r="C4398"/>
      <c r="D4398"/>
      <c r="E4398"/>
      <c r="F4398"/>
      <c r="G4398"/>
      <c r="H4398"/>
      <c r="I4398"/>
      <c r="J4398"/>
      <c r="K4398"/>
      <c r="L4398"/>
      <c r="M4398" s="820"/>
      <c r="N4398" s="461" t="str">
        <f>N4395 &amp; ".2.1"</f>
        <v>4.0.2.2.2.1</v>
      </c>
      <c r="O4398" s="455" t="s">
        <v>79</v>
      </c>
      <c r="P4398" s="473" t="s">
        <v>786</v>
      </c>
      <c r="Q4398" s="258"/>
      <c r="R4398" s="259"/>
      <c r="S4398" s="259"/>
      <c r="T4398" s="260"/>
      <c r="U4398" s="252"/>
      <c r="V4398" s="252"/>
      <c r="W4398" s="460">
        <f>W4365*W4329/1000</f>
        <v>0</v>
      </c>
      <c r="X4398" s="258"/>
      <c r="Y4398" s="202"/>
      <c r="Z4398" s="48"/>
      <c r="AA4398" s="252"/>
      <c r="AB4398" s="252"/>
      <c r="AC4398" s="460">
        <f>AC4365*AC4329/1000</f>
        <v>0</v>
      </c>
      <c r="AF4398"/>
      <c r="AG4398"/>
    </row>
    <row r="4399" spans="1:33" s="47" customFormat="1" hidden="1">
      <c r="A4399"/>
      <c r="B4399"/>
      <c r="C4399"/>
      <c r="D4399"/>
      <c r="E4399"/>
      <c r="F4399"/>
      <c r="G4399"/>
      <c r="H4399"/>
      <c r="I4399"/>
      <c r="J4399"/>
      <c r="K4399"/>
      <c r="L4399"/>
      <c r="M4399" s="820"/>
      <c r="N4399" s="451"/>
      <c r="O4399" s="455"/>
      <c r="P4399" s="473"/>
      <c r="Q4399" s="258"/>
      <c r="R4399" s="259"/>
      <c r="S4399" s="259"/>
      <c r="T4399" s="260"/>
      <c r="U4399" s="252"/>
      <c r="V4399" s="252"/>
      <c r="W4399" s="456"/>
      <c r="X4399" s="258"/>
      <c r="Y4399" s="202"/>
      <c r="Z4399" s="48"/>
      <c r="AA4399" s="252"/>
      <c r="AB4399" s="252"/>
      <c r="AC4399" s="456"/>
      <c r="AF4399"/>
      <c r="AG4399"/>
    </row>
    <row r="4400" spans="1:33" s="47" customFormat="1" hidden="1">
      <c r="A4400"/>
      <c r="B4400"/>
      <c r="C4400"/>
      <c r="D4400"/>
      <c r="E4400"/>
      <c r="F4400"/>
      <c r="G4400"/>
      <c r="H4400"/>
      <c r="I4400"/>
      <c r="J4400"/>
      <c r="K4400"/>
      <c r="L4400"/>
      <c r="M4400" s="820"/>
      <c r="N4400" s="451"/>
      <c r="O4400" s="455"/>
      <c r="P4400" s="473"/>
      <c r="Q4400" s="258"/>
      <c r="R4400" s="259"/>
      <c r="S4400" s="259"/>
      <c r="T4400" s="260"/>
      <c r="U4400" s="252"/>
      <c r="V4400" s="252"/>
      <c r="W4400" s="456"/>
      <c r="X4400" s="258"/>
      <c r="Y4400" s="202"/>
      <c r="Z4400" s="48"/>
      <c r="AA4400" s="252"/>
      <c r="AB4400" s="252"/>
      <c r="AC4400" s="456"/>
      <c r="AF4400"/>
      <c r="AG4400"/>
    </row>
    <row r="4401" spans="1:33" s="47" customFormat="1" hidden="1">
      <c r="A4401"/>
      <c r="B4401"/>
      <c r="C4401"/>
      <c r="D4401"/>
      <c r="E4401"/>
      <c r="F4401"/>
      <c r="G4401"/>
      <c r="H4401"/>
      <c r="I4401"/>
      <c r="J4401"/>
      <c r="K4401"/>
      <c r="L4401"/>
      <c r="M4401" s="820"/>
      <c r="N4401" s="451"/>
      <c r="O4401" s="455"/>
      <c r="P4401" s="473"/>
      <c r="Q4401" s="258"/>
      <c r="R4401" s="259"/>
      <c r="S4401" s="259"/>
      <c r="T4401" s="260"/>
      <c r="U4401" s="252"/>
      <c r="V4401" s="252"/>
      <c r="W4401" s="456"/>
      <c r="X4401" s="258"/>
      <c r="Y4401" s="202"/>
      <c r="Z4401" s="48"/>
      <c r="AA4401" s="252"/>
      <c r="AB4401" s="252"/>
      <c r="AC4401" s="456"/>
      <c r="AF4401"/>
      <c r="AG4401"/>
    </row>
    <row r="4402" spans="1:33" s="47" customFormat="1" hidden="1">
      <c r="A4402"/>
      <c r="B4402"/>
      <c r="C4402"/>
      <c r="D4402"/>
      <c r="E4402"/>
      <c r="F4402"/>
      <c r="G4402"/>
      <c r="H4402"/>
      <c r="I4402"/>
      <c r="J4402"/>
      <c r="K4402"/>
      <c r="L4402"/>
      <c r="M4402" s="820"/>
      <c r="N4402" s="451"/>
      <c r="O4402" s="455"/>
      <c r="P4402" s="473"/>
      <c r="Q4402" s="258"/>
      <c r="R4402" s="259"/>
      <c r="S4402" s="259"/>
      <c r="T4402" s="260"/>
      <c r="U4402" s="252"/>
      <c r="V4402" s="252"/>
      <c r="W4402" s="456"/>
      <c r="X4402" s="258"/>
      <c r="Y4402" s="202"/>
      <c r="Z4402" s="48"/>
      <c r="AA4402" s="252"/>
      <c r="AB4402" s="252"/>
      <c r="AC4402" s="456"/>
      <c r="AF4402"/>
      <c r="AG4402"/>
    </row>
    <row r="4403" spans="1:33" s="47" customFormat="1" hidden="1">
      <c r="A4403"/>
      <c r="B4403"/>
      <c r="C4403"/>
      <c r="D4403"/>
      <c r="E4403"/>
      <c r="F4403"/>
      <c r="G4403"/>
      <c r="H4403"/>
      <c r="I4403"/>
      <c r="J4403"/>
      <c r="K4403"/>
      <c r="L4403"/>
      <c r="M4403" s="820"/>
      <c r="N4403" s="451"/>
      <c r="O4403" s="455"/>
      <c r="P4403" s="473"/>
      <c r="Q4403" s="258"/>
      <c r="R4403" s="259"/>
      <c r="S4403" s="259"/>
      <c r="T4403" s="260"/>
      <c r="U4403" s="252"/>
      <c r="V4403" s="252"/>
      <c r="W4403" s="456"/>
      <c r="X4403" s="258"/>
      <c r="Y4403" s="202"/>
      <c r="Z4403" s="48"/>
      <c r="AA4403" s="252"/>
      <c r="AB4403" s="252"/>
      <c r="AC4403" s="456"/>
      <c r="AF4403"/>
      <c r="AG4403"/>
    </row>
    <row r="4404" spans="1:33" s="47" customFormat="1" hidden="1">
      <c r="A4404"/>
      <c r="B4404"/>
      <c r="C4404"/>
      <c r="D4404"/>
      <c r="E4404"/>
      <c r="F4404"/>
      <c r="G4404"/>
      <c r="H4404"/>
      <c r="I4404"/>
      <c r="J4404"/>
      <c r="K4404"/>
      <c r="L4404"/>
      <c r="M4404" s="820"/>
      <c r="N4404" s="451"/>
      <c r="O4404" s="455"/>
      <c r="P4404" s="473"/>
      <c r="Q4404" s="258"/>
      <c r="R4404" s="259"/>
      <c r="S4404" s="259"/>
      <c r="T4404" s="260"/>
      <c r="U4404" s="252"/>
      <c r="V4404" s="252"/>
      <c r="W4404" s="456"/>
      <c r="X4404" s="258"/>
      <c r="Y4404" s="202"/>
      <c r="Z4404" s="48"/>
      <c r="AA4404" s="252"/>
      <c r="AB4404" s="252"/>
      <c r="AC4404" s="456"/>
      <c r="AF4404"/>
      <c r="AG4404"/>
    </row>
    <row r="4405" spans="1:33" s="47" customFormat="1" hidden="1">
      <c r="A4405"/>
      <c r="B4405"/>
      <c r="C4405"/>
      <c r="D4405"/>
      <c r="E4405"/>
      <c r="F4405"/>
      <c r="G4405"/>
      <c r="H4405"/>
      <c r="I4405"/>
      <c r="J4405"/>
      <c r="K4405"/>
      <c r="L4405"/>
      <c r="M4405" s="820"/>
      <c r="N4405" s="451"/>
      <c r="O4405" s="455"/>
      <c r="P4405" s="473"/>
      <c r="Q4405" s="258"/>
      <c r="R4405" s="259"/>
      <c r="S4405" s="259"/>
      <c r="T4405" s="260"/>
      <c r="U4405" s="252"/>
      <c r="V4405" s="252"/>
      <c r="W4405" s="456"/>
      <c r="X4405" s="258"/>
      <c r="Y4405" s="202"/>
      <c r="Z4405" s="48"/>
      <c r="AA4405" s="252"/>
      <c r="AB4405" s="252"/>
      <c r="AC4405" s="456"/>
      <c r="AF4405"/>
      <c r="AG4405"/>
    </row>
    <row r="4406" spans="1:33" s="47" customFormat="1">
      <c r="A4406"/>
      <c r="B4406"/>
      <c r="C4406"/>
      <c r="D4406"/>
      <c r="E4406"/>
      <c r="F4406"/>
      <c r="G4406"/>
      <c r="H4406"/>
      <c r="I4406"/>
      <c r="J4406"/>
      <c r="K4406"/>
      <c r="L4406"/>
      <c r="M4406" s="820"/>
      <c r="N4406" s="461" t="str">
        <f>N4395 &amp; ".2.2"</f>
        <v>4.0.2.2.2.2</v>
      </c>
      <c r="O4406" s="455" t="s">
        <v>81</v>
      </c>
      <c r="P4406" s="473" t="s">
        <v>786</v>
      </c>
      <c r="Q4406" s="258"/>
      <c r="R4406" s="259"/>
      <c r="S4406" s="259"/>
      <c r="T4406" s="260"/>
      <c r="U4406" s="252"/>
      <c r="V4406" s="252"/>
      <c r="W4406" s="460">
        <f>W4373*W4337/1000</f>
        <v>0</v>
      </c>
      <c r="X4406" s="258"/>
      <c r="Y4406" s="202"/>
      <c r="Z4406" s="48"/>
      <c r="AA4406" s="252"/>
      <c r="AB4406" s="252"/>
      <c r="AC4406" s="460">
        <f>AC4373*AC4337/1000</f>
        <v>0</v>
      </c>
      <c r="AF4406"/>
      <c r="AG4406"/>
    </row>
    <row r="4407" spans="1:33" s="47" customFormat="1" hidden="1">
      <c r="A4407"/>
      <c r="B4407"/>
      <c r="C4407"/>
      <c r="D4407"/>
      <c r="E4407"/>
      <c r="F4407"/>
      <c r="G4407"/>
      <c r="H4407"/>
      <c r="I4407"/>
      <c r="J4407"/>
      <c r="K4407"/>
      <c r="L4407"/>
      <c r="M4407" s="820"/>
      <c r="N4407" s="451"/>
      <c r="O4407" s="455"/>
      <c r="P4407" s="473"/>
      <c r="Q4407" s="258"/>
      <c r="R4407" s="259"/>
      <c r="S4407" s="259"/>
      <c r="T4407" s="260"/>
      <c r="U4407" s="252"/>
      <c r="V4407" s="252"/>
      <c r="W4407" s="456"/>
      <c r="X4407" s="258"/>
      <c r="Y4407" s="202"/>
      <c r="Z4407" s="48"/>
      <c r="AA4407" s="252"/>
      <c r="AB4407" s="252"/>
      <c r="AC4407" s="456"/>
      <c r="AF4407"/>
      <c r="AG4407"/>
    </row>
    <row r="4408" spans="1:33" s="47" customFormat="1" hidden="1">
      <c r="A4408"/>
      <c r="B4408"/>
      <c r="C4408"/>
      <c r="D4408"/>
      <c r="E4408"/>
      <c r="F4408"/>
      <c r="G4408"/>
      <c r="H4408"/>
      <c r="I4408"/>
      <c r="J4408"/>
      <c r="K4408"/>
      <c r="L4408"/>
      <c r="M4408" s="820"/>
      <c r="N4408" s="451"/>
      <c r="O4408" s="455"/>
      <c r="P4408" s="473"/>
      <c r="Q4408" s="258"/>
      <c r="R4408" s="259"/>
      <c r="S4408" s="259"/>
      <c r="T4408" s="260"/>
      <c r="U4408" s="252"/>
      <c r="V4408" s="252"/>
      <c r="W4408" s="456"/>
      <c r="X4408" s="258"/>
      <c r="Y4408" s="202"/>
      <c r="Z4408" s="48"/>
      <c r="AA4408" s="252"/>
      <c r="AB4408" s="252"/>
      <c r="AC4408" s="456"/>
      <c r="AF4408"/>
      <c r="AG4408"/>
    </row>
    <row r="4409" spans="1:33" s="47" customFormat="1" hidden="1">
      <c r="A4409"/>
      <c r="B4409"/>
      <c r="C4409"/>
      <c r="D4409"/>
      <c r="E4409"/>
      <c r="F4409"/>
      <c r="G4409"/>
      <c r="H4409"/>
      <c r="I4409"/>
      <c r="J4409"/>
      <c r="K4409"/>
      <c r="L4409"/>
      <c r="M4409" s="820"/>
      <c r="N4409" s="451"/>
      <c r="O4409" s="455"/>
      <c r="P4409" s="473"/>
      <c r="Q4409" s="258"/>
      <c r="R4409" s="259"/>
      <c r="S4409" s="259"/>
      <c r="T4409" s="260"/>
      <c r="U4409" s="252"/>
      <c r="V4409" s="252"/>
      <c r="W4409" s="456"/>
      <c r="X4409" s="258"/>
      <c r="Y4409" s="202"/>
      <c r="Z4409" s="48"/>
      <c r="AA4409" s="252"/>
      <c r="AB4409" s="252"/>
      <c r="AC4409" s="456"/>
      <c r="AF4409"/>
      <c r="AG4409"/>
    </row>
    <row r="4410" spans="1:33" s="47" customFormat="1" hidden="1">
      <c r="A4410"/>
      <c r="B4410"/>
      <c r="C4410"/>
      <c r="D4410"/>
      <c r="E4410"/>
      <c r="F4410"/>
      <c r="G4410"/>
      <c r="H4410"/>
      <c r="I4410"/>
      <c r="J4410"/>
      <c r="K4410"/>
      <c r="L4410"/>
      <c r="M4410" s="820"/>
      <c r="N4410" s="451"/>
      <c r="O4410" s="455"/>
      <c r="P4410" s="473"/>
      <c r="Q4410" s="258"/>
      <c r="R4410" s="259"/>
      <c r="S4410" s="259"/>
      <c r="T4410" s="260"/>
      <c r="U4410" s="252"/>
      <c r="V4410" s="252"/>
      <c r="W4410" s="456"/>
      <c r="X4410" s="258"/>
      <c r="Y4410" s="202"/>
      <c r="Z4410" s="48"/>
      <c r="AA4410" s="252"/>
      <c r="AB4410" s="252"/>
      <c r="AC4410" s="456"/>
      <c r="AF4410"/>
      <c r="AG4410"/>
    </row>
    <row r="4411" spans="1:33" s="47" customFormat="1" hidden="1">
      <c r="A4411"/>
      <c r="B4411"/>
      <c r="C4411"/>
      <c r="D4411"/>
      <c r="E4411"/>
      <c r="F4411"/>
      <c r="G4411"/>
      <c r="H4411"/>
      <c r="I4411"/>
      <c r="J4411"/>
      <c r="K4411"/>
      <c r="L4411"/>
      <c r="M4411" s="820"/>
      <c r="N4411" s="451"/>
      <c r="O4411" s="455"/>
      <c r="P4411" s="473"/>
      <c r="Q4411" s="258"/>
      <c r="R4411" s="259"/>
      <c r="S4411" s="259"/>
      <c r="T4411" s="260"/>
      <c r="U4411" s="252"/>
      <c r="V4411" s="252"/>
      <c r="W4411" s="456"/>
      <c r="X4411" s="258"/>
      <c r="Y4411" s="202"/>
      <c r="Z4411" s="48"/>
      <c r="AA4411" s="252"/>
      <c r="AB4411" s="252"/>
      <c r="AC4411" s="456"/>
      <c r="AF4411"/>
      <c r="AG4411"/>
    </row>
    <row r="4412" spans="1:33" s="47" customFormat="1" hidden="1">
      <c r="A4412"/>
      <c r="B4412"/>
      <c r="C4412"/>
      <c r="D4412"/>
      <c r="E4412"/>
      <c r="F4412"/>
      <c r="G4412"/>
      <c r="H4412"/>
      <c r="I4412"/>
      <c r="J4412"/>
      <c r="K4412"/>
      <c r="L4412"/>
      <c r="M4412" s="820"/>
      <c r="N4412" s="451"/>
      <c r="O4412" s="455"/>
      <c r="P4412" s="473"/>
      <c r="Q4412" s="258"/>
      <c r="R4412" s="259"/>
      <c r="S4412" s="259"/>
      <c r="T4412" s="260"/>
      <c r="U4412" s="252"/>
      <c r="V4412" s="252"/>
      <c r="W4412" s="456"/>
      <c r="X4412" s="258"/>
      <c r="Y4412" s="202"/>
      <c r="Z4412" s="48"/>
      <c r="AA4412" s="252"/>
      <c r="AB4412" s="252"/>
      <c r="AC4412" s="456"/>
      <c r="AF4412"/>
      <c r="AG4412"/>
    </row>
    <row r="4413" spans="1:33" s="47" customFormat="1" hidden="1">
      <c r="A4413"/>
      <c r="B4413"/>
      <c r="C4413"/>
      <c r="D4413"/>
      <c r="E4413"/>
      <c r="F4413"/>
      <c r="G4413"/>
      <c r="H4413"/>
      <c r="I4413"/>
      <c r="J4413"/>
      <c r="K4413"/>
      <c r="L4413"/>
      <c r="M4413" s="820"/>
      <c r="N4413" s="451"/>
      <c r="O4413" s="455"/>
      <c r="P4413" s="473"/>
      <c r="Q4413" s="258"/>
      <c r="R4413" s="259"/>
      <c r="S4413" s="259"/>
      <c r="T4413" s="260"/>
      <c r="U4413" s="252"/>
      <c r="V4413" s="252"/>
      <c r="W4413" s="456"/>
      <c r="X4413" s="258"/>
      <c r="Y4413" s="202"/>
      <c r="Z4413" s="48"/>
      <c r="AA4413" s="252"/>
      <c r="AB4413" s="252"/>
      <c r="AC4413" s="456"/>
      <c r="AF4413"/>
      <c r="AG4413"/>
    </row>
    <row r="4414" spans="1:33" s="47" customFormat="1">
      <c r="A4414"/>
      <c r="B4414"/>
      <c r="C4414"/>
      <c r="D4414"/>
      <c r="E4414"/>
      <c r="F4414"/>
      <c r="G4414"/>
      <c r="H4414"/>
      <c r="I4414"/>
      <c r="J4414"/>
      <c r="K4414"/>
      <c r="L4414"/>
      <c r="M4414" s="820"/>
      <c r="N4414" s="461" t="str">
        <f>N4395 &amp; ".2.3"</f>
        <v>4.0.2.2.2.3</v>
      </c>
      <c r="O4414" s="455" t="s">
        <v>83</v>
      </c>
      <c r="P4414" s="473" t="s">
        <v>786</v>
      </c>
      <c r="Q4414" s="258"/>
      <c r="R4414" s="259"/>
      <c r="S4414" s="259"/>
      <c r="T4414" s="260"/>
      <c r="U4414" s="252"/>
      <c r="V4414" s="252"/>
      <c r="W4414" s="460">
        <f t="shared" ref="W4414:W4424" si="8">W4381*W4345/1000</f>
        <v>0</v>
      </c>
      <c r="X4414" s="258"/>
      <c r="Y4414" s="202"/>
      <c r="Z4414" s="48"/>
      <c r="AA4414" s="252"/>
      <c r="AB4414" s="252"/>
      <c r="AC4414" s="460">
        <f t="shared" ref="AC4414:AC4424" si="9">AC4381*AC4345/1000</f>
        <v>0</v>
      </c>
      <c r="AF4414"/>
      <c r="AG4414"/>
    </row>
    <row r="4415" spans="1:33" s="47" customFormat="1">
      <c r="A4415"/>
      <c r="B4415"/>
      <c r="C4415"/>
      <c r="D4415"/>
      <c r="E4415"/>
      <c r="F4415"/>
      <c r="G4415"/>
      <c r="H4415"/>
      <c r="I4415"/>
      <c r="J4415"/>
      <c r="K4415"/>
      <c r="L4415"/>
      <c r="M4415" s="820"/>
      <c r="N4415" s="461" t="str">
        <f>N4395 &amp; ".3"</f>
        <v>4.0.2.2.3</v>
      </c>
      <c r="O4415" s="457" t="s">
        <v>85</v>
      </c>
      <c r="P4415" s="473" t="s">
        <v>786</v>
      </c>
      <c r="Q4415" s="258"/>
      <c r="R4415" s="259"/>
      <c r="S4415" s="259"/>
      <c r="T4415" s="260"/>
      <c r="U4415" s="252"/>
      <c r="V4415" s="252"/>
      <c r="W4415" s="460">
        <f t="shared" si="8"/>
        <v>0</v>
      </c>
      <c r="X4415" s="258"/>
      <c r="Y4415" s="202"/>
      <c r="Z4415" s="48"/>
      <c r="AA4415" s="252"/>
      <c r="AB4415" s="252"/>
      <c r="AC4415" s="460">
        <f t="shared" si="9"/>
        <v>0</v>
      </c>
      <c r="AF4415"/>
      <c r="AG4415"/>
    </row>
    <row r="4416" spans="1:33" s="47" customFormat="1">
      <c r="A4416"/>
      <c r="B4416"/>
      <c r="C4416"/>
      <c r="D4416"/>
      <c r="E4416"/>
      <c r="F4416"/>
      <c r="G4416"/>
      <c r="H4416"/>
      <c r="I4416"/>
      <c r="J4416"/>
      <c r="K4416"/>
      <c r="L4416"/>
      <c r="M4416" s="820"/>
      <c r="N4416" s="461" t="str">
        <f>N4395 &amp; ".4"</f>
        <v>4.0.2.2.4</v>
      </c>
      <c r="O4416" s="457" t="s">
        <v>87</v>
      </c>
      <c r="P4416" s="473" t="s">
        <v>786</v>
      </c>
      <c r="Q4416" s="258"/>
      <c r="R4416" s="259"/>
      <c r="S4416" s="259"/>
      <c r="T4416" s="260"/>
      <c r="U4416" s="252"/>
      <c r="V4416" s="252"/>
      <c r="W4416" s="460">
        <f t="shared" si="8"/>
        <v>0</v>
      </c>
      <c r="X4416" s="258"/>
      <c r="Y4416" s="202"/>
      <c r="Z4416" s="48"/>
      <c r="AA4416" s="252"/>
      <c r="AB4416" s="252"/>
      <c r="AC4416" s="460">
        <f t="shared" si="9"/>
        <v>0</v>
      </c>
      <c r="AF4416"/>
      <c r="AG4416"/>
    </row>
    <row r="4417" spans="1:33" s="47" customFormat="1">
      <c r="A4417"/>
      <c r="B4417"/>
      <c r="C4417"/>
      <c r="D4417"/>
      <c r="E4417"/>
      <c r="F4417"/>
      <c r="G4417"/>
      <c r="H4417"/>
      <c r="I4417"/>
      <c r="J4417"/>
      <c r="K4417"/>
      <c r="L4417"/>
      <c r="M4417" s="820"/>
      <c r="N4417" s="461" t="str">
        <f>N4395&amp;".5"</f>
        <v>4.0.2.2.5</v>
      </c>
      <c r="O4417" s="457" t="s">
        <v>89</v>
      </c>
      <c r="P4417" s="473" t="s">
        <v>786</v>
      </c>
      <c r="Q4417" s="258"/>
      <c r="R4417" s="259"/>
      <c r="S4417" s="259"/>
      <c r="T4417" s="260"/>
      <c r="U4417" s="252"/>
      <c r="V4417" s="252"/>
      <c r="W4417" s="460">
        <f t="shared" si="8"/>
        <v>0</v>
      </c>
      <c r="X4417" s="258"/>
      <c r="Y4417" s="202"/>
      <c r="Z4417" s="48"/>
      <c r="AA4417" s="252"/>
      <c r="AB4417" s="252"/>
      <c r="AC4417" s="460">
        <f t="shared" si="9"/>
        <v>0</v>
      </c>
      <c r="AF4417"/>
      <c r="AG4417"/>
    </row>
    <row r="4418" spans="1:33" s="47" customFormat="1">
      <c r="A4418"/>
      <c r="B4418"/>
      <c r="C4418"/>
      <c r="D4418"/>
      <c r="E4418"/>
      <c r="F4418"/>
      <c r="G4418"/>
      <c r="H4418"/>
      <c r="I4418"/>
      <c r="J4418"/>
      <c r="K4418"/>
      <c r="L4418"/>
      <c r="M4418" s="820"/>
      <c r="N4418" s="461" t="str">
        <f>N4395 &amp; ".6"</f>
        <v>4.0.2.2.6</v>
      </c>
      <c r="O4418" s="457" t="s">
        <v>91</v>
      </c>
      <c r="P4418" s="473" t="s">
        <v>786</v>
      </c>
      <c r="Q4418" s="258"/>
      <c r="R4418" s="259"/>
      <c r="S4418" s="259"/>
      <c r="T4418" s="260"/>
      <c r="U4418" s="252"/>
      <c r="V4418" s="252"/>
      <c r="W4418" s="460">
        <f t="shared" si="8"/>
        <v>0</v>
      </c>
      <c r="X4418" s="258"/>
      <c r="Y4418" s="202"/>
      <c r="Z4418" s="48"/>
      <c r="AA4418" s="252"/>
      <c r="AB4418" s="252"/>
      <c r="AC4418" s="460">
        <f t="shared" si="9"/>
        <v>0</v>
      </c>
      <c r="AF4418"/>
      <c r="AG4418"/>
    </row>
    <row r="4419" spans="1:33" s="47" customFormat="1">
      <c r="A4419"/>
      <c r="B4419"/>
      <c r="C4419"/>
      <c r="D4419"/>
      <c r="E4419"/>
      <c r="F4419"/>
      <c r="G4419"/>
      <c r="H4419"/>
      <c r="I4419"/>
      <c r="J4419"/>
      <c r="K4419"/>
      <c r="L4419"/>
      <c r="M4419" s="820"/>
      <c r="N4419" s="461" t="str">
        <f>N4395 &amp; ".7"</f>
        <v>4.0.2.2.7</v>
      </c>
      <c r="O4419" s="457" t="s">
        <v>93</v>
      </c>
      <c r="P4419" s="473" t="s">
        <v>786</v>
      </c>
      <c r="Q4419" s="258"/>
      <c r="R4419" s="259"/>
      <c r="S4419" s="259"/>
      <c r="T4419" s="260"/>
      <c r="U4419" s="252"/>
      <c r="V4419" s="252"/>
      <c r="W4419" s="460">
        <f t="shared" si="8"/>
        <v>0</v>
      </c>
      <c r="X4419" s="258"/>
      <c r="Y4419" s="202"/>
      <c r="Z4419" s="48"/>
      <c r="AA4419" s="252"/>
      <c r="AB4419" s="252"/>
      <c r="AC4419" s="460">
        <f t="shared" si="9"/>
        <v>0</v>
      </c>
      <c r="AF4419"/>
      <c r="AG4419"/>
    </row>
    <row r="4420" spans="1:33" s="47" customFormat="1">
      <c r="A4420"/>
      <c r="B4420"/>
      <c r="C4420"/>
      <c r="D4420"/>
      <c r="E4420"/>
      <c r="F4420"/>
      <c r="G4420"/>
      <c r="H4420"/>
      <c r="I4420"/>
      <c r="J4420"/>
      <c r="K4420"/>
      <c r="L4420"/>
      <c r="M4420" s="820"/>
      <c r="N4420" s="461" t="str">
        <f>N4395 &amp; ".8"</f>
        <v>4.0.2.2.8</v>
      </c>
      <c r="O4420" s="457" t="s">
        <v>95</v>
      </c>
      <c r="P4420" s="473" t="s">
        <v>786</v>
      </c>
      <c r="Q4420" s="258"/>
      <c r="R4420" s="259"/>
      <c r="S4420" s="259"/>
      <c r="T4420" s="260"/>
      <c r="U4420" s="252"/>
      <c r="V4420" s="252"/>
      <c r="W4420" s="460">
        <f t="shared" si="8"/>
        <v>0</v>
      </c>
      <c r="X4420" s="258"/>
      <c r="Y4420" s="202"/>
      <c r="Z4420" s="48"/>
      <c r="AA4420" s="252"/>
      <c r="AB4420" s="252"/>
      <c r="AC4420" s="460">
        <f t="shared" si="9"/>
        <v>0</v>
      </c>
      <c r="AF4420"/>
      <c r="AG4420"/>
    </row>
    <row r="4421" spans="1:33" s="47" customFormat="1">
      <c r="A4421"/>
      <c r="B4421"/>
      <c r="C4421"/>
      <c r="D4421"/>
      <c r="E4421"/>
      <c r="F4421"/>
      <c r="G4421"/>
      <c r="H4421"/>
      <c r="I4421"/>
      <c r="J4421"/>
      <c r="K4421"/>
      <c r="L4421"/>
      <c r="M4421" s="820"/>
      <c r="N4421" s="461" t="str">
        <f>N4395 &amp; ".9"</f>
        <v>4.0.2.2.9</v>
      </c>
      <c r="O4421" s="457" t="s">
        <v>2976</v>
      </c>
      <c r="P4421" s="473" t="s">
        <v>786</v>
      </c>
      <c r="Q4421" s="258"/>
      <c r="R4421" s="259"/>
      <c r="S4421" s="259"/>
      <c r="T4421" s="260"/>
      <c r="U4421" s="252"/>
      <c r="V4421" s="252"/>
      <c r="W4421" s="460">
        <f t="shared" si="8"/>
        <v>0</v>
      </c>
      <c r="X4421" s="258"/>
      <c r="Y4421" s="202"/>
      <c r="Z4421" s="48"/>
      <c r="AA4421" s="252"/>
      <c r="AB4421" s="252"/>
      <c r="AC4421" s="460">
        <f t="shared" si="9"/>
        <v>0</v>
      </c>
      <c r="AF4421"/>
      <c r="AG4421"/>
    </row>
    <row r="4422" spans="1:33" s="47" customFormat="1">
      <c r="A4422"/>
      <c r="B4422"/>
      <c r="C4422"/>
      <c r="D4422"/>
      <c r="E4422"/>
      <c r="F4422"/>
      <c r="G4422"/>
      <c r="H4422"/>
      <c r="I4422"/>
      <c r="J4422"/>
      <c r="K4422"/>
      <c r="L4422"/>
      <c r="M4422" s="820"/>
      <c r="N4422" s="461" t="str">
        <f>N4395 &amp; ".10"</f>
        <v>4.0.2.2.10</v>
      </c>
      <c r="O4422" s="457" t="s">
        <v>2978</v>
      </c>
      <c r="P4422" s="473" t="s">
        <v>786</v>
      </c>
      <c r="Q4422" s="258"/>
      <c r="R4422" s="259"/>
      <c r="S4422" s="259"/>
      <c r="T4422" s="260"/>
      <c r="U4422" s="252"/>
      <c r="V4422" s="252"/>
      <c r="W4422" s="460">
        <f t="shared" si="8"/>
        <v>0</v>
      </c>
      <c r="X4422" s="258"/>
      <c r="Y4422" s="202"/>
      <c r="Z4422" s="48"/>
      <c r="AA4422" s="252"/>
      <c r="AB4422" s="252"/>
      <c r="AC4422" s="460">
        <f t="shared" si="9"/>
        <v>0</v>
      </c>
      <c r="AF4422"/>
      <c r="AG4422"/>
    </row>
    <row r="4423" spans="1:33" s="47" customFormat="1">
      <c r="A4423"/>
      <c r="B4423"/>
      <c r="C4423"/>
      <c r="D4423"/>
      <c r="E4423"/>
      <c r="F4423"/>
      <c r="G4423"/>
      <c r="H4423"/>
      <c r="I4423"/>
      <c r="J4423"/>
      <c r="K4423"/>
      <c r="L4423"/>
      <c r="M4423" s="820"/>
      <c r="N4423" s="461" t="str">
        <f>N4395 &amp; ".11"</f>
        <v>4.0.2.2.11</v>
      </c>
      <c r="O4423" s="457" t="s">
        <v>2980</v>
      </c>
      <c r="P4423" s="473" t="s">
        <v>786</v>
      </c>
      <c r="Q4423" s="258"/>
      <c r="R4423" s="259"/>
      <c r="S4423" s="259"/>
      <c r="T4423" s="260"/>
      <c r="U4423" s="252"/>
      <c r="V4423" s="252"/>
      <c r="W4423" s="460">
        <f t="shared" si="8"/>
        <v>0</v>
      </c>
      <c r="X4423" s="258"/>
      <c r="Y4423" s="202"/>
      <c r="Z4423" s="48"/>
      <c r="AA4423" s="252"/>
      <c r="AB4423" s="252"/>
      <c r="AC4423" s="460">
        <f t="shared" si="9"/>
        <v>0</v>
      </c>
      <c r="AF4423"/>
      <c r="AG4423"/>
    </row>
    <row r="4424" spans="1:33" s="47" customFormat="1">
      <c r="A4424"/>
      <c r="B4424"/>
      <c r="C4424"/>
      <c r="D4424"/>
      <c r="E4424"/>
      <c r="F4424"/>
      <c r="G4424"/>
      <c r="H4424"/>
      <c r="I4424"/>
      <c r="J4424"/>
      <c r="K4424"/>
      <c r="L4424"/>
      <c r="M4424" s="820"/>
      <c r="N4424" s="461" t="str">
        <f>N4395 &amp; ".12"</f>
        <v>4.0.2.2.12</v>
      </c>
      <c r="O4424" s="457" t="s">
        <v>2982</v>
      </c>
      <c r="P4424" s="473" t="s">
        <v>786</v>
      </c>
      <c r="Q4424" s="258"/>
      <c r="R4424" s="259"/>
      <c r="S4424" s="259"/>
      <c r="T4424" s="260"/>
      <c r="U4424" s="252"/>
      <c r="V4424" s="252"/>
      <c r="W4424" s="460">
        <f t="shared" si="8"/>
        <v>0</v>
      </c>
      <c r="X4424" s="258"/>
      <c r="Y4424" s="202"/>
      <c r="Z4424" s="48"/>
      <c r="AA4424" s="252"/>
      <c r="AB4424" s="252"/>
      <c r="AC4424" s="460">
        <f t="shared" si="9"/>
        <v>0</v>
      </c>
      <c r="AF4424"/>
      <c r="AG4424"/>
    </row>
    <row r="4425" spans="1:33" s="47" customFormat="1" hidden="1">
      <c r="A4425"/>
      <c r="B4425"/>
      <c r="C4425"/>
      <c r="D4425"/>
      <c r="E4425"/>
      <c r="F4425"/>
      <c r="G4425"/>
      <c r="H4425"/>
      <c r="I4425"/>
      <c r="J4425"/>
      <c r="K4425"/>
      <c r="L4425"/>
      <c r="M4425" s="820"/>
      <c r="N4425" s="451"/>
      <c r="O4425" s="455"/>
      <c r="P4425" s="473"/>
      <c r="Q4425" s="258"/>
      <c r="R4425" s="259"/>
      <c r="S4425" s="259"/>
      <c r="T4425" s="260"/>
      <c r="U4425" s="252"/>
      <c r="V4425" s="252"/>
      <c r="W4425" s="456"/>
      <c r="X4425" s="258"/>
      <c r="Y4425" s="202"/>
      <c r="Z4425" s="48"/>
      <c r="AA4425" s="252"/>
      <c r="AB4425" s="252"/>
      <c r="AC4425" s="456"/>
      <c r="AF4425"/>
      <c r="AG4425"/>
    </row>
    <row r="4426" spans="1:33" s="47" customFormat="1" hidden="1">
      <c r="A4426"/>
      <c r="B4426"/>
      <c r="C4426"/>
      <c r="D4426"/>
      <c r="E4426"/>
      <c r="F4426"/>
      <c r="G4426"/>
      <c r="H4426"/>
      <c r="I4426"/>
      <c r="J4426"/>
      <c r="K4426"/>
      <c r="L4426"/>
      <c r="M4426" s="820"/>
      <c r="N4426" s="451"/>
      <c r="O4426" s="455"/>
      <c r="P4426" s="473"/>
      <c r="Q4426" s="258"/>
      <c r="R4426" s="259"/>
      <c r="S4426" s="259"/>
      <c r="T4426" s="260"/>
      <c r="U4426" s="252"/>
      <c r="V4426" s="252"/>
      <c r="W4426" s="456"/>
      <c r="X4426" s="258"/>
      <c r="Y4426" s="202"/>
      <c r="Z4426" s="48"/>
      <c r="AA4426" s="252"/>
      <c r="AB4426" s="252"/>
      <c r="AC4426" s="456"/>
      <c r="AF4426"/>
      <c r="AG4426"/>
    </row>
    <row r="4427" spans="1:33" s="47" customFormat="1">
      <c r="A4427"/>
      <c r="B4427"/>
      <c r="C4427"/>
      <c r="D4427"/>
      <c r="E4427"/>
      <c r="F4427"/>
      <c r="G4427"/>
      <c r="H4427"/>
      <c r="I4427"/>
      <c r="J4427"/>
      <c r="K4427"/>
      <c r="L4427"/>
      <c r="M4427" s="820"/>
      <c r="N4427" s="461" t="str">
        <f>N4395 &amp; ".15"</f>
        <v>4.0.2.2.15</v>
      </c>
      <c r="O4427" s="457" t="s">
        <v>291</v>
      </c>
      <c r="P4427" s="473" t="s">
        <v>786</v>
      </c>
      <c r="Q4427" s="258"/>
      <c r="R4427" s="259"/>
      <c r="S4427" s="259"/>
      <c r="T4427" s="260"/>
      <c r="U4427" s="252"/>
      <c r="V4427" s="252"/>
      <c r="W4427" s="460">
        <f>W4394*W4358/1000</f>
        <v>0</v>
      </c>
      <c r="X4427" s="258"/>
      <c r="Y4427" s="202"/>
      <c r="Z4427" s="48"/>
      <c r="AA4427" s="252"/>
      <c r="AB4427" s="252"/>
      <c r="AC4427" s="460">
        <f>AC4394*AC4358/1000</f>
        <v>0</v>
      </c>
      <c r="AF4427"/>
      <c r="AG4427"/>
    </row>
    <row r="4428" spans="1:33" s="47" customFormat="1" hidden="1">
      <c r="A4428"/>
      <c r="B4428"/>
      <c r="C4428"/>
      <c r="D4428"/>
      <c r="E4428"/>
      <c r="F4428"/>
      <c r="G4428"/>
      <c r="H4428"/>
      <c r="I4428"/>
      <c r="J4428"/>
      <c r="K4428"/>
      <c r="L4428"/>
      <c r="M4428" s="820"/>
      <c r="N4428" s="451"/>
      <c r="O4428" s="455"/>
      <c r="P4428" s="473"/>
      <c r="Q4428" s="258"/>
      <c r="R4428" s="259"/>
      <c r="S4428" s="259"/>
      <c r="T4428" s="260"/>
      <c r="U4428" s="252"/>
      <c r="V4428" s="252"/>
      <c r="W4428" s="456"/>
      <c r="X4428" s="258"/>
      <c r="Y4428" s="202"/>
      <c r="Z4428" s="48"/>
      <c r="AA4428" s="252"/>
      <c r="AB4428" s="252"/>
      <c r="AC4428" s="456"/>
      <c r="AF4428"/>
      <c r="AG4428"/>
    </row>
    <row r="4429" spans="1:33" s="47" customFormat="1">
      <c r="A4429"/>
      <c r="B4429"/>
      <c r="C4429"/>
      <c r="D4429"/>
      <c r="E4429"/>
      <c r="F4429"/>
      <c r="G4429"/>
      <c r="H4429"/>
      <c r="I4429"/>
      <c r="J4429"/>
      <c r="K4429"/>
      <c r="L4429"/>
      <c r="M4429" s="820"/>
      <c r="N4429" s="468"/>
      <c r="O4429" s="467" t="s">
        <v>227</v>
      </c>
      <c r="P4429" s="474"/>
      <c r="Q4429" s="258"/>
      <c r="R4429" s="259"/>
      <c r="S4429" s="259"/>
      <c r="T4429" s="260"/>
      <c r="U4429" s="252"/>
      <c r="V4429" s="252"/>
      <c r="W4429" s="456"/>
      <c r="X4429" s="258"/>
      <c r="Y4429" s="202"/>
      <c r="Z4429" s="48"/>
      <c r="AA4429" s="252"/>
      <c r="AB4429" s="252"/>
      <c r="AC4429" s="456"/>
      <c r="AF4429"/>
      <c r="AG4429"/>
    </row>
    <row r="4430" spans="1:33" s="47" customFormat="1" hidden="1">
      <c r="A4430"/>
      <c r="B4430"/>
      <c r="C4430"/>
      <c r="D4430"/>
      <c r="E4430"/>
      <c r="F4430"/>
      <c r="G4430"/>
      <c r="H4430"/>
      <c r="I4430"/>
      <c r="J4430"/>
      <c r="K4430"/>
      <c r="L4430"/>
      <c r="M4430" s="820"/>
      <c r="N4430" s="461"/>
      <c r="O4430" s="457"/>
      <c r="P4430" s="473"/>
      <c r="Q4430" s="258"/>
      <c r="R4430" s="259"/>
      <c r="S4430" s="259"/>
      <c r="T4430" s="260"/>
      <c r="U4430" s="252"/>
      <c r="V4430" s="252"/>
      <c r="W4430" s="456"/>
      <c r="X4430" s="258"/>
      <c r="Y4430" s="202"/>
      <c r="Z4430" s="48"/>
      <c r="AA4430" s="252"/>
      <c r="AB4430" s="252"/>
      <c r="AC4430" s="456"/>
      <c r="AF4430"/>
      <c r="AG4430"/>
    </row>
    <row r="4431" spans="1:33" s="47" customFormat="1" ht="22.5">
      <c r="A4431"/>
      <c r="B4431"/>
      <c r="C4431"/>
      <c r="D4431"/>
      <c r="E4431"/>
      <c r="F4431"/>
      <c r="G4431"/>
      <c r="H4431"/>
      <c r="I4431"/>
      <c r="J4431"/>
      <c r="K4431"/>
      <c r="L4431"/>
      <c r="M4431" s="820"/>
      <c r="N4431" s="449" t="s">
        <v>265</v>
      </c>
      <c r="O4431" s="450" t="s">
        <v>228</v>
      </c>
      <c r="P4431" s="473"/>
      <c r="Q4431" s="258"/>
      <c r="R4431" s="259"/>
      <c r="S4431" s="259"/>
      <c r="T4431" s="260"/>
      <c r="U4431" s="252"/>
      <c r="V4431" s="252"/>
      <c r="W4431" s="456"/>
      <c r="X4431" s="258"/>
      <c r="Y4431" s="202"/>
      <c r="Z4431" s="48"/>
      <c r="AA4431" s="252"/>
      <c r="AB4431" s="252"/>
      <c r="AC4431" s="456"/>
      <c r="AF4431"/>
      <c r="AG4431"/>
    </row>
    <row r="4432" spans="1:33" s="47" customFormat="1" ht="12.75">
      <c r="A4432"/>
      <c r="B4432"/>
      <c r="C4432"/>
      <c r="D4432"/>
      <c r="E4432"/>
      <c r="F4432"/>
      <c r="G4432"/>
      <c r="H4432"/>
      <c r="I4432"/>
      <c r="J4432"/>
      <c r="K4432"/>
      <c r="L4432"/>
      <c r="M4432" s="820"/>
      <c r="N4432" s="461" t="str">
        <f>N4431 &amp; ".1"</f>
        <v>4.0.3.1.1.1.1</v>
      </c>
      <c r="O4432" s="448" t="s">
        <v>2504</v>
      </c>
      <c r="P4432" s="473" t="s">
        <v>285</v>
      </c>
      <c r="Q4432" s="258"/>
      <c r="R4432" s="259"/>
      <c r="S4432" s="259"/>
      <c r="T4432" s="260"/>
      <c r="U4432" s="252"/>
      <c r="V4432" s="252"/>
      <c r="W4432" s="465"/>
      <c r="X4432" s="258"/>
      <c r="Y4432" s="202"/>
      <c r="Z4432" s="48"/>
      <c r="AA4432" s="252"/>
      <c r="AB4432" s="252"/>
      <c r="AC4432" s="456"/>
      <c r="AF4432"/>
      <c r="AG4432"/>
    </row>
    <row r="4433" spans="1:33" s="47" customFormat="1" ht="12.75">
      <c r="A4433"/>
      <c r="B4433"/>
      <c r="C4433"/>
      <c r="D4433"/>
      <c r="E4433"/>
      <c r="F4433"/>
      <c r="G4433"/>
      <c r="H4433"/>
      <c r="I4433"/>
      <c r="J4433"/>
      <c r="K4433"/>
      <c r="L4433"/>
      <c r="M4433" s="820"/>
      <c r="N4433" s="461" t="str">
        <f>N4431 &amp; ".2"</f>
        <v>4.0.3.1.1.1.2</v>
      </c>
      <c r="O4433" s="448" t="s">
        <v>2505</v>
      </c>
      <c r="P4433" s="473" t="s">
        <v>285</v>
      </c>
      <c r="Q4433" s="258"/>
      <c r="R4433" s="259"/>
      <c r="S4433" s="259"/>
      <c r="T4433" s="260"/>
      <c r="U4433" s="252"/>
      <c r="V4433" s="252"/>
      <c r="W4433" s="465"/>
      <c r="X4433" s="258"/>
      <c r="Y4433" s="202"/>
      <c r="Z4433" s="48"/>
      <c r="AA4433" s="252"/>
      <c r="AB4433" s="252"/>
      <c r="AC4433" s="456"/>
      <c r="AF4433"/>
      <c r="AG4433"/>
    </row>
    <row r="4434" spans="1:33" s="47" customFormat="1" ht="12.75">
      <c r="A4434"/>
      <c r="B4434"/>
      <c r="C4434"/>
      <c r="D4434"/>
      <c r="E4434"/>
      <c r="F4434"/>
      <c r="G4434"/>
      <c r="H4434"/>
      <c r="I4434"/>
      <c r="J4434"/>
      <c r="K4434"/>
      <c r="L4434"/>
      <c r="M4434" s="820"/>
      <c r="N4434" s="461" t="str">
        <f>N4431 &amp; ".3"</f>
        <v>4.0.3.1.1.1.3</v>
      </c>
      <c r="O4434" s="448" t="s">
        <v>2506</v>
      </c>
      <c r="P4434" s="473" t="s">
        <v>285</v>
      </c>
      <c r="Q4434" s="258"/>
      <c r="R4434" s="259"/>
      <c r="S4434" s="259"/>
      <c r="T4434" s="260"/>
      <c r="U4434" s="252"/>
      <c r="V4434" s="252"/>
      <c r="W4434" s="465"/>
      <c r="X4434" s="258"/>
      <c r="Y4434" s="202"/>
      <c r="Z4434" s="48"/>
      <c r="AA4434" s="252"/>
      <c r="AB4434" s="252"/>
      <c r="AC4434" s="456"/>
      <c r="AF4434"/>
      <c r="AG4434"/>
    </row>
    <row r="4435" spans="1:33" s="47" customFormat="1" ht="12.75">
      <c r="A4435"/>
      <c r="B4435"/>
      <c r="C4435"/>
      <c r="D4435"/>
      <c r="E4435"/>
      <c r="F4435"/>
      <c r="G4435"/>
      <c r="H4435"/>
      <c r="I4435"/>
      <c r="J4435"/>
      <c r="K4435"/>
      <c r="L4435"/>
      <c r="M4435" s="820"/>
      <c r="N4435" s="461" t="str">
        <f>N4431 &amp; ".4"</f>
        <v>4.0.3.1.1.1.4</v>
      </c>
      <c r="O4435" s="448" t="s">
        <v>2507</v>
      </c>
      <c r="P4435" s="473" t="s">
        <v>285</v>
      </c>
      <c r="Q4435" s="258"/>
      <c r="R4435" s="259"/>
      <c r="S4435" s="259"/>
      <c r="T4435" s="260"/>
      <c r="U4435" s="252"/>
      <c r="V4435" s="252"/>
      <c r="W4435" s="465"/>
      <c r="X4435" s="258"/>
      <c r="Y4435" s="202"/>
      <c r="Z4435" s="48"/>
      <c r="AA4435" s="252"/>
      <c r="AB4435" s="252"/>
      <c r="AC4435" s="456"/>
      <c r="AF4435"/>
      <c r="AG4435"/>
    </row>
    <row r="4436" spans="1:33" s="47" customFormat="1" ht="12.75">
      <c r="A4436"/>
      <c r="B4436"/>
      <c r="C4436"/>
      <c r="D4436"/>
      <c r="E4436"/>
      <c r="F4436"/>
      <c r="G4436"/>
      <c r="H4436"/>
      <c r="I4436"/>
      <c r="J4436"/>
      <c r="K4436"/>
      <c r="L4436"/>
      <c r="M4436" s="820"/>
      <c r="N4436" s="461" t="str">
        <f>N4431 &amp; ".5"</f>
        <v>4.0.3.1.1.1.5</v>
      </c>
      <c r="O4436" s="448" t="s">
        <v>2508</v>
      </c>
      <c r="P4436" s="473" t="s">
        <v>285</v>
      </c>
      <c r="Q4436" s="258"/>
      <c r="R4436" s="259"/>
      <c r="S4436" s="259"/>
      <c r="T4436" s="260"/>
      <c r="U4436" s="252"/>
      <c r="V4436" s="252"/>
      <c r="W4436" s="465"/>
      <c r="X4436" s="258"/>
      <c r="Y4436" s="202"/>
      <c r="Z4436" s="48"/>
      <c r="AA4436" s="252"/>
      <c r="AB4436" s="252"/>
      <c r="AC4436" s="456"/>
      <c r="AF4436"/>
      <c r="AG4436"/>
    </row>
    <row r="4437" spans="1:33" s="47" customFormat="1" ht="12.75">
      <c r="A4437"/>
      <c r="B4437"/>
      <c r="C4437"/>
      <c r="D4437"/>
      <c r="E4437"/>
      <c r="F4437"/>
      <c r="G4437"/>
      <c r="H4437"/>
      <c r="I4437"/>
      <c r="J4437"/>
      <c r="K4437"/>
      <c r="L4437"/>
      <c r="M4437" s="820"/>
      <c r="N4437" s="461" t="str">
        <f>N4431 &amp; ".6"</f>
        <v>4.0.3.1.1.1.6</v>
      </c>
      <c r="O4437" s="448" t="s">
        <v>2509</v>
      </c>
      <c r="P4437" s="473" t="s">
        <v>285</v>
      </c>
      <c r="Q4437" s="258"/>
      <c r="R4437" s="259"/>
      <c r="S4437" s="259"/>
      <c r="T4437" s="260"/>
      <c r="U4437" s="252"/>
      <c r="V4437" s="252"/>
      <c r="W4437" s="465"/>
      <c r="X4437" s="258"/>
      <c r="Y4437" s="202"/>
      <c r="Z4437" s="48"/>
      <c r="AA4437" s="252"/>
      <c r="AB4437" s="252"/>
      <c r="AC4437" s="456"/>
      <c r="AF4437"/>
      <c r="AG4437"/>
    </row>
    <row r="4438" spans="1:33" s="47" customFormat="1" ht="12.75">
      <c r="A4438"/>
      <c r="B4438"/>
      <c r="C4438"/>
      <c r="D4438"/>
      <c r="E4438"/>
      <c r="F4438"/>
      <c r="G4438"/>
      <c r="H4438"/>
      <c r="I4438"/>
      <c r="J4438"/>
      <c r="K4438"/>
      <c r="L4438"/>
      <c r="M4438" s="820"/>
      <c r="N4438" s="461" t="str">
        <f>N4431 &amp; ".7"</f>
        <v>4.0.3.1.1.1.7</v>
      </c>
      <c r="O4438" s="448" t="s">
        <v>2178</v>
      </c>
      <c r="P4438" s="473" t="s">
        <v>285</v>
      </c>
      <c r="Q4438" s="258"/>
      <c r="R4438" s="259"/>
      <c r="S4438" s="259"/>
      <c r="T4438" s="260"/>
      <c r="U4438" s="252"/>
      <c r="V4438" s="252"/>
      <c r="W4438" s="465"/>
      <c r="X4438" s="258"/>
      <c r="Y4438" s="202"/>
      <c r="Z4438" s="48"/>
      <c r="AA4438" s="252"/>
      <c r="AB4438" s="252"/>
      <c r="AC4438" s="456"/>
      <c r="AF4438"/>
      <c r="AG4438"/>
    </row>
    <row r="4439" spans="1:33" s="47" customFormat="1" ht="22.5">
      <c r="A4439"/>
      <c r="B4439"/>
      <c r="C4439"/>
      <c r="D4439"/>
      <c r="E4439"/>
      <c r="F4439"/>
      <c r="G4439"/>
      <c r="H4439"/>
      <c r="I4439"/>
      <c r="J4439"/>
      <c r="K4439"/>
      <c r="L4439"/>
      <c r="M4439" s="820"/>
      <c r="N4439" s="449" t="s">
        <v>266</v>
      </c>
      <c r="O4439" s="450" t="s">
        <v>229</v>
      </c>
      <c r="P4439" s="473"/>
      <c r="Q4439" s="258"/>
      <c r="R4439" s="259"/>
      <c r="S4439" s="259"/>
      <c r="T4439" s="260"/>
      <c r="U4439" s="252"/>
      <c r="V4439" s="252"/>
      <c r="W4439" s="456"/>
      <c r="X4439" s="258"/>
      <c r="Y4439" s="202"/>
      <c r="Z4439" s="48"/>
      <c r="AA4439" s="252"/>
      <c r="AB4439" s="252"/>
      <c r="AC4439" s="456"/>
      <c r="AF4439"/>
      <c r="AG4439"/>
    </row>
    <row r="4440" spans="1:33" s="47" customFormat="1" ht="12.75">
      <c r="A4440"/>
      <c r="B4440"/>
      <c r="C4440"/>
      <c r="D4440"/>
      <c r="E4440"/>
      <c r="F4440"/>
      <c r="G4440"/>
      <c r="H4440"/>
      <c r="I4440"/>
      <c r="J4440"/>
      <c r="K4440"/>
      <c r="L4440"/>
      <c r="M4440" s="820"/>
      <c r="N4440" s="461" t="str">
        <f>N4439 &amp; ".1"</f>
        <v>4.0.3.1.1.2.1</v>
      </c>
      <c r="O4440" s="448" t="s">
        <v>2504</v>
      </c>
      <c r="P4440" s="473" t="s">
        <v>285</v>
      </c>
      <c r="Q4440" s="258"/>
      <c r="R4440" s="259"/>
      <c r="S4440" s="259"/>
      <c r="T4440" s="260"/>
      <c r="U4440" s="252"/>
      <c r="V4440" s="252"/>
      <c r="W4440" s="465"/>
      <c r="X4440" s="258"/>
      <c r="Y4440" s="202"/>
      <c r="Z4440" s="48"/>
      <c r="AA4440" s="252"/>
      <c r="AB4440" s="252"/>
      <c r="AC4440" s="456"/>
      <c r="AF4440"/>
      <c r="AG4440"/>
    </row>
    <row r="4441" spans="1:33" s="47" customFormat="1" ht="12.75">
      <c r="A4441"/>
      <c r="B4441"/>
      <c r="C4441"/>
      <c r="D4441"/>
      <c r="E4441"/>
      <c r="F4441"/>
      <c r="G4441"/>
      <c r="H4441"/>
      <c r="I4441"/>
      <c r="J4441"/>
      <c r="K4441"/>
      <c r="L4441"/>
      <c r="M4441" s="820"/>
      <c r="N4441" s="461" t="str">
        <f>N4439 &amp; ".2"</f>
        <v>4.0.3.1.1.2.2</v>
      </c>
      <c r="O4441" s="448" t="s">
        <v>2505</v>
      </c>
      <c r="P4441" s="473" t="s">
        <v>285</v>
      </c>
      <c r="Q4441" s="258"/>
      <c r="R4441" s="259"/>
      <c r="S4441" s="259"/>
      <c r="T4441" s="260"/>
      <c r="U4441" s="252"/>
      <c r="V4441" s="252"/>
      <c r="W4441" s="465"/>
      <c r="X4441" s="258"/>
      <c r="Y4441" s="202"/>
      <c r="Z4441" s="48"/>
      <c r="AA4441" s="252"/>
      <c r="AB4441" s="252"/>
      <c r="AC4441" s="456"/>
      <c r="AF4441"/>
      <c r="AG4441"/>
    </row>
    <row r="4442" spans="1:33" s="47" customFormat="1" ht="12.75">
      <c r="A4442"/>
      <c r="B4442"/>
      <c r="C4442"/>
      <c r="D4442"/>
      <c r="E4442"/>
      <c r="F4442"/>
      <c r="G4442"/>
      <c r="H4442"/>
      <c r="I4442"/>
      <c r="J4442"/>
      <c r="K4442"/>
      <c r="L4442"/>
      <c r="M4442" s="820"/>
      <c r="N4442" s="461" t="str">
        <f>N4439 &amp; ".3"</f>
        <v>4.0.3.1.1.2.3</v>
      </c>
      <c r="O4442" s="448" t="s">
        <v>2506</v>
      </c>
      <c r="P4442" s="473" t="s">
        <v>285</v>
      </c>
      <c r="Q4442" s="258"/>
      <c r="R4442" s="259"/>
      <c r="S4442" s="259"/>
      <c r="T4442" s="260"/>
      <c r="U4442" s="252"/>
      <c r="V4442" s="252"/>
      <c r="W4442" s="465"/>
      <c r="X4442" s="258"/>
      <c r="Y4442" s="202"/>
      <c r="Z4442" s="48"/>
      <c r="AA4442" s="252"/>
      <c r="AB4442" s="252"/>
      <c r="AC4442" s="456"/>
      <c r="AF4442"/>
      <c r="AG4442"/>
    </row>
    <row r="4443" spans="1:33" s="47" customFormat="1" ht="12.75">
      <c r="A4443"/>
      <c r="B4443"/>
      <c r="C4443"/>
      <c r="D4443"/>
      <c r="E4443"/>
      <c r="F4443"/>
      <c r="G4443"/>
      <c r="H4443"/>
      <c r="I4443"/>
      <c r="J4443"/>
      <c r="K4443"/>
      <c r="L4443"/>
      <c r="M4443" s="820"/>
      <c r="N4443" s="461" t="str">
        <f>N4439 &amp; ".4"</f>
        <v>4.0.3.1.1.2.4</v>
      </c>
      <c r="O4443" s="448" t="s">
        <v>2507</v>
      </c>
      <c r="P4443" s="473" t="s">
        <v>285</v>
      </c>
      <c r="Q4443" s="258"/>
      <c r="R4443" s="259"/>
      <c r="S4443" s="259"/>
      <c r="T4443" s="260"/>
      <c r="U4443" s="252"/>
      <c r="V4443" s="252"/>
      <c r="W4443" s="465"/>
      <c r="X4443" s="258"/>
      <c r="Y4443" s="202"/>
      <c r="Z4443" s="48"/>
      <c r="AA4443" s="252"/>
      <c r="AB4443" s="252"/>
      <c r="AC4443" s="456"/>
      <c r="AF4443"/>
      <c r="AG4443"/>
    </row>
    <row r="4444" spans="1:33" s="47" customFormat="1" ht="12.75">
      <c r="A4444"/>
      <c r="B4444"/>
      <c r="C4444"/>
      <c r="D4444"/>
      <c r="E4444"/>
      <c r="F4444"/>
      <c r="G4444"/>
      <c r="H4444"/>
      <c r="I4444"/>
      <c r="J4444"/>
      <c r="K4444"/>
      <c r="L4444"/>
      <c r="M4444" s="820"/>
      <c r="N4444" s="461" t="str">
        <f>N4439 &amp; ".5"</f>
        <v>4.0.3.1.1.2.5</v>
      </c>
      <c r="O4444" s="448" t="s">
        <v>2508</v>
      </c>
      <c r="P4444" s="473" t="s">
        <v>285</v>
      </c>
      <c r="Q4444" s="258"/>
      <c r="R4444" s="259"/>
      <c r="S4444" s="259"/>
      <c r="T4444" s="260"/>
      <c r="U4444" s="252"/>
      <c r="V4444" s="252"/>
      <c r="W4444" s="465"/>
      <c r="X4444" s="258"/>
      <c r="Y4444" s="202"/>
      <c r="Z4444" s="48"/>
      <c r="AA4444" s="252"/>
      <c r="AB4444" s="252"/>
      <c r="AC4444" s="456"/>
      <c r="AF4444"/>
      <c r="AG4444"/>
    </row>
    <row r="4445" spans="1:33" s="47" customFormat="1" ht="12.75">
      <c r="A4445"/>
      <c r="B4445"/>
      <c r="C4445"/>
      <c r="D4445"/>
      <c r="E4445"/>
      <c r="F4445"/>
      <c r="G4445"/>
      <c r="H4445"/>
      <c r="I4445"/>
      <c r="J4445"/>
      <c r="K4445"/>
      <c r="L4445"/>
      <c r="M4445" s="820"/>
      <c r="N4445" s="461" t="str">
        <f>N4439 &amp; ".6"</f>
        <v>4.0.3.1.1.2.6</v>
      </c>
      <c r="O4445" s="448" t="s">
        <v>2509</v>
      </c>
      <c r="P4445" s="473" t="s">
        <v>285</v>
      </c>
      <c r="Q4445" s="258"/>
      <c r="R4445" s="259"/>
      <c r="S4445" s="259"/>
      <c r="T4445" s="260"/>
      <c r="U4445" s="252"/>
      <c r="V4445" s="252"/>
      <c r="W4445" s="465"/>
      <c r="X4445" s="258"/>
      <c r="Y4445" s="202"/>
      <c r="Z4445" s="48"/>
      <c r="AA4445" s="252"/>
      <c r="AB4445" s="252"/>
      <c r="AC4445" s="456"/>
      <c r="AF4445"/>
      <c r="AG4445"/>
    </row>
    <row r="4446" spans="1:33" s="47" customFormat="1" ht="12.75">
      <c r="A4446"/>
      <c r="B4446"/>
      <c r="C4446"/>
      <c r="D4446"/>
      <c r="E4446"/>
      <c r="F4446"/>
      <c r="G4446"/>
      <c r="H4446"/>
      <c r="I4446"/>
      <c r="J4446"/>
      <c r="K4446"/>
      <c r="L4446"/>
      <c r="M4446" s="820"/>
      <c r="N4446" s="461" t="str">
        <f>N4439 &amp; ".7"</f>
        <v>4.0.3.1.1.2.7</v>
      </c>
      <c r="O4446" s="448" t="s">
        <v>2178</v>
      </c>
      <c r="P4446" s="473" t="s">
        <v>285</v>
      </c>
      <c r="Q4446" s="258"/>
      <c r="R4446" s="259"/>
      <c r="S4446" s="259"/>
      <c r="T4446" s="260"/>
      <c r="U4446" s="252"/>
      <c r="V4446" s="252"/>
      <c r="W4446" s="465"/>
      <c r="X4446" s="258"/>
      <c r="Y4446" s="202"/>
      <c r="Z4446" s="48"/>
      <c r="AA4446" s="252"/>
      <c r="AB4446" s="252"/>
      <c r="AC4446" s="456"/>
      <c r="AF4446"/>
      <c r="AG4446"/>
    </row>
    <row r="4447" spans="1:33" s="47" customFormat="1" ht="22.5">
      <c r="A4447"/>
      <c r="B4447"/>
      <c r="C4447"/>
      <c r="D4447"/>
      <c r="E4447"/>
      <c r="F4447"/>
      <c r="G4447"/>
      <c r="H4447"/>
      <c r="I4447"/>
      <c r="J4447"/>
      <c r="K4447"/>
      <c r="L4447"/>
      <c r="M4447" s="820"/>
      <c r="N4447" s="449" t="s">
        <v>267</v>
      </c>
      <c r="O4447" s="450" t="s">
        <v>230</v>
      </c>
      <c r="P4447" s="473" t="s">
        <v>786</v>
      </c>
      <c r="Q4447" s="258"/>
      <c r="R4447" s="259"/>
      <c r="S4447" s="259"/>
      <c r="T4447" s="260"/>
      <c r="U4447" s="252"/>
      <c r="V4447" s="252"/>
      <c r="W4447" s="452">
        <f>SUM(W4448:W4454)</f>
        <v>0</v>
      </c>
      <c r="X4447" s="258"/>
      <c r="Y4447" s="202"/>
      <c r="Z4447" s="48"/>
      <c r="AA4447" s="252"/>
      <c r="AB4447" s="252"/>
      <c r="AC4447" s="452">
        <f>SUM(AC4448:AC4454)</f>
        <v>0</v>
      </c>
      <c r="AF4447"/>
      <c r="AG4447"/>
    </row>
    <row r="4448" spans="1:33" s="47" customFormat="1" ht="12.75">
      <c r="A4448"/>
      <c r="B4448"/>
      <c r="C4448"/>
      <c r="D4448"/>
      <c r="E4448"/>
      <c r="F4448"/>
      <c r="G4448"/>
      <c r="H4448"/>
      <c r="I4448"/>
      <c r="J4448"/>
      <c r="K4448"/>
      <c r="L4448"/>
      <c r="M4448" s="820"/>
      <c r="N4448" s="461" t="str">
        <f>N4447 &amp; ".1"</f>
        <v>4.0.3.1.1.3.1</v>
      </c>
      <c r="O4448" s="448" t="s">
        <v>2504</v>
      </c>
      <c r="P4448" s="473" t="s">
        <v>786</v>
      </c>
      <c r="Q4448" s="258"/>
      <c r="R4448" s="259"/>
      <c r="S4448" s="259"/>
      <c r="T4448" s="260"/>
      <c r="U4448" s="252"/>
      <c r="V4448" s="252"/>
      <c r="W4448" s="452">
        <f t="shared" ref="W4448:W4454" si="10">W4432*W4330/1000</f>
        <v>0</v>
      </c>
      <c r="X4448" s="258"/>
      <c r="Y4448" s="202"/>
      <c r="Z4448" s="48"/>
      <c r="AA4448" s="252"/>
      <c r="AB4448" s="252"/>
      <c r="AC4448" s="465"/>
      <c r="AF4448"/>
      <c r="AG4448"/>
    </row>
    <row r="4449" spans="1:33" s="47" customFormat="1" ht="12.75">
      <c r="A4449"/>
      <c r="B4449"/>
      <c r="C4449"/>
      <c r="D4449"/>
      <c r="E4449"/>
      <c r="F4449"/>
      <c r="G4449"/>
      <c r="H4449"/>
      <c r="I4449"/>
      <c r="J4449"/>
      <c r="K4449"/>
      <c r="L4449"/>
      <c r="M4449" s="820"/>
      <c r="N4449" s="461" t="str">
        <f>N4447 &amp; ".2"</f>
        <v>4.0.3.1.1.3.2</v>
      </c>
      <c r="O4449" s="448" t="s">
        <v>2505</v>
      </c>
      <c r="P4449" s="473" t="s">
        <v>786</v>
      </c>
      <c r="Q4449" s="258"/>
      <c r="R4449" s="259"/>
      <c r="S4449" s="259"/>
      <c r="T4449" s="260"/>
      <c r="U4449" s="252"/>
      <c r="V4449" s="252"/>
      <c r="W4449" s="452">
        <f t="shared" si="10"/>
        <v>0</v>
      </c>
      <c r="X4449" s="258"/>
      <c r="Y4449" s="202"/>
      <c r="Z4449" s="48"/>
      <c r="AA4449" s="252"/>
      <c r="AB4449" s="252"/>
      <c r="AC4449" s="465"/>
      <c r="AF4449"/>
      <c r="AG4449"/>
    </row>
    <row r="4450" spans="1:33" s="47" customFormat="1" ht="12.75">
      <c r="A4450"/>
      <c r="B4450"/>
      <c r="C4450"/>
      <c r="D4450"/>
      <c r="E4450"/>
      <c r="F4450"/>
      <c r="G4450"/>
      <c r="H4450"/>
      <c r="I4450"/>
      <c r="J4450"/>
      <c r="K4450"/>
      <c r="L4450"/>
      <c r="M4450" s="820"/>
      <c r="N4450" s="461" t="str">
        <f>N4447 &amp; ".3"</f>
        <v>4.0.3.1.1.3.3</v>
      </c>
      <c r="O4450" s="448" t="s">
        <v>2506</v>
      </c>
      <c r="P4450" s="473" t="s">
        <v>786</v>
      </c>
      <c r="Q4450" s="258"/>
      <c r="R4450" s="259"/>
      <c r="S4450" s="259"/>
      <c r="T4450" s="260"/>
      <c r="U4450" s="252"/>
      <c r="V4450" s="252"/>
      <c r="W4450" s="452">
        <f t="shared" si="10"/>
        <v>0</v>
      </c>
      <c r="X4450" s="258"/>
      <c r="Y4450" s="202"/>
      <c r="Z4450" s="48"/>
      <c r="AA4450" s="252"/>
      <c r="AB4450" s="252"/>
      <c r="AC4450" s="465"/>
      <c r="AF4450"/>
      <c r="AG4450"/>
    </row>
    <row r="4451" spans="1:33" s="47" customFormat="1" ht="12.75">
      <c r="A4451"/>
      <c r="B4451"/>
      <c r="C4451"/>
      <c r="D4451"/>
      <c r="E4451"/>
      <c r="F4451"/>
      <c r="G4451"/>
      <c r="H4451"/>
      <c r="I4451"/>
      <c r="J4451"/>
      <c r="K4451"/>
      <c r="L4451"/>
      <c r="M4451" s="820"/>
      <c r="N4451" s="461" t="str">
        <f>N4447 &amp; ".4"</f>
        <v>4.0.3.1.1.3.4</v>
      </c>
      <c r="O4451" s="448" t="s">
        <v>2507</v>
      </c>
      <c r="P4451" s="473" t="s">
        <v>786</v>
      </c>
      <c r="Q4451" s="258"/>
      <c r="R4451" s="259"/>
      <c r="S4451" s="259"/>
      <c r="T4451" s="260"/>
      <c r="U4451" s="252"/>
      <c r="V4451" s="252"/>
      <c r="W4451" s="452">
        <f t="shared" si="10"/>
        <v>0</v>
      </c>
      <c r="X4451" s="258"/>
      <c r="Y4451" s="202"/>
      <c r="Z4451" s="48"/>
      <c r="AA4451" s="252"/>
      <c r="AB4451" s="252"/>
      <c r="AC4451" s="465"/>
      <c r="AF4451"/>
      <c r="AG4451"/>
    </row>
    <row r="4452" spans="1:33" s="47" customFormat="1" ht="12.75">
      <c r="A4452"/>
      <c r="B4452"/>
      <c r="C4452"/>
      <c r="D4452"/>
      <c r="E4452"/>
      <c r="F4452"/>
      <c r="G4452"/>
      <c r="H4452"/>
      <c r="I4452"/>
      <c r="J4452"/>
      <c r="K4452"/>
      <c r="L4452"/>
      <c r="M4452" s="820"/>
      <c r="N4452" s="461" t="str">
        <f>N4447 &amp; ".5"</f>
        <v>4.0.3.1.1.3.5</v>
      </c>
      <c r="O4452" s="448" t="s">
        <v>2508</v>
      </c>
      <c r="P4452" s="473" t="s">
        <v>786</v>
      </c>
      <c r="Q4452" s="258"/>
      <c r="R4452" s="259"/>
      <c r="S4452" s="259"/>
      <c r="T4452" s="260"/>
      <c r="U4452" s="252"/>
      <c r="V4452" s="252"/>
      <c r="W4452" s="452">
        <f t="shared" si="10"/>
        <v>0</v>
      </c>
      <c r="X4452" s="258"/>
      <c r="Y4452" s="202"/>
      <c r="Z4452" s="48"/>
      <c r="AA4452" s="252"/>
      <c r="AB4452" s="252"/>
      <c r="AC4452" s="465"/>
      <c r="AF4452"/>
      <c r="AG4452"/>
    </row>
    <row r="4453" spans="1:33" s="47" customFormat="1" ht="12.75">
      <c r="A4453"/>
      <c r="B4453"/>
      <c r="C4453"/>
      <c r="D4453"/>
      <c r="E4453"/>
      <c r="F4453"/>
      <c r="G4453"/>
      <c r="H4453"/>
      <c r="I4453"/>
      <c r="J4453"/>
      <c r="K4453"/>
      <c r="L4453"/>
      <c r="M4453" s="820"/>
      <c r="N4453" s="461" t="str">
        <f>N4447 &amp; ".6"</f>
        <v>4.0.3.1.1.3.6</v>
      </c>
      <c r="O4453" s="448" t="s">
        <v>2509</v>
      </c>
      <c r="P4453" s="473" t="s">
        <v>786</v>
      </c>
      <c r="Q4453" s="258"/>
      <c r="R4453" s="259"/>
      <c r="S4453" s="259"/>
      <c r="T4453" s="260"/>
      <c r="U4453" s="252"/>
      <c r="V4453" s="252"/>
      <c r="W4453" s="452">
        <f t="shared" si="10"/>
        <v>0</v>
      </c>
      <c r="X4453" s="258"/>
      <c r="Y4453" s="202"/>
      <c r="Z4453" s="48"/>
      <c r="AA4453" s="252"/>
      <c r="AB4453" s="252"/>
      <c r="AC4453" s="465"/>
      <c r="AF4453"/>
      <c r="AG4453"/>
    </row>
    <row r="4454" spans="1:33" s="47" customFormat="1" ht="12.75">
      <c r="A4454"/>
      <c r="B4454"/>
      <c r="C4454"/>
      <c r="D4454"/>
      <c r="E4454"/>
      <c r="F4454"/>
      <c r="G4454"/>
      <c r="H4454"/>
      <c r="I4454"/>
      <c r="J4454"/>
      <c r="K4454"/>
      <c r="L4454"/>
      <c r="M4454" s="820"/>
      <c r="N4454" s="461" t="str">
        <f>N4447 &amp; ".7"</f>
        <v>4.0.3.1.1.3.7</v>
      </c>
      <c r="O4454" s="448" t="s">
        <v>2178</v>
      </c>
      <c r="P4454" s="473" t="s">
        <v>786</v>
      </c>
      <c r="Q4454" s="258"/>
      <c r="R4454" s="259"/>
      <c r="S4454" s="259"/>
      <c r="T4454" s="260"/>
      <c r="U4454" s="252"/>
      <c r="V4454" s="252"/>
      <c r="W4454" s="452">
        <f t="shared" si="10"/>
        <v>0</v>
      </c>
      <c r="X4454" s="258"/>
      <c r="Y4454" s="202"/>
      <c r="Z4454" s="48"/>
      <c r="AA4454" s="252"/>
      <c r="AB4454" s="252"/>
      <c r="AC4454" s="465"/>
      <c r="AF4454"/>
      <c r="AG4454"/>
    </row>
    <row r="4455" spans="1:33" s="47" customFormat="1" ht="22.5">
      <c r="A4455"/>
      <c r="B4455"/>
      <c r="C4455"/>
      <c r="D4455"/>
      <c r="E4455"/>
      <c r="F4455"/>
      <c r="G4455"/>
      <c r="H4455"/>
      <c r="I4455"/>
      <c r="J4455"/>
      <c r="K4455"/>
      <c r="L4455"/>
      <c r="M4455" s="820"/>
      <c r="N4455" s="449" t="s">
        <v>268</v>
      </c>
      <c r="O4455" s="450" t="s">
        <v>231</v>
      </c>
      <c r="P4455" s="473" t="s">
        <v>786</v>
      </c>
      <c r="Q4455" s="258"/>
      <c r="R4455" s="259"/>
      <c r="S4455" s="259"/>
      <c r="T4455" s="260"/>
      <c r="U4455" s="252"/>
      <c r="V4455" s="252"/>
      <c r="W4455" s="452">
        <f>SUM(W4456:W4462)</f>
        <v>0</v>
      </c>
      <c r="X4455" s="258"/>
      <c r="Y4455" s="202"/>
      <c r="Z4455" s="48"/>
      <c r="AA4455" s="252"/>
      <c r="AB4455" s="252"/>
      <c r="AC4455" s="452">
        <f>SUM(AC4456:AC4462)</f>
        <v>0</v>
      </c>
      <c r="AF4455"/>
      <c r="AG4455"/>
    </row>
    <row r="4456" spans="1:33" s="47" customFormat="1" ht="12.75">
      <c r="A4456"/>
      <c r="B4456"/>
      <c r="C4456"/>
      <c r="D4456"/>
      <c r="E4456"/>
      <c r="F4456"/>
      <c r="G4456"/>
      <c r="H4456"/>
      <c r="I4456"/>
      <c r="J4456"/>
      <c r="K4456"/>
      <c r="L4456"/>
      <c r="M4456" s="820"/>
      <c r="N4456" s="461" t="str">
        <f>N4455 &amp; ".1"</f>
        <v>4.0.3.1.1.4.1</v>
      </c>
      <c r="O4456" s="448" t="s">
        <v>2504</v>
      </c>
      <c r="P4456" s="473" t="s">
        <v>786</v>
      </c>
      <c r="Q4456" s="258"/>
      <c r="R4456" s="259"/>
      <c r="S4456" s="259"/>
      <c r="T4456" s="260"/>
      <c r="U4456" s="252"/>
      <c r="V4456" s="252"/>
      <c r="W4456" s="452">
        <f>W4440*W4330/1000</f>
        <v>0</v>
      </c>
      <c r="X4456" s="258"/>
      <c r="Y4456" s="202"/>
      <c r="Z4456" s="48"/>
      <c r="AA4456" s="252"/>
      <c r="AB4456" s="252"/>
      <c r="AC4456" s="465"/>
      <c r="AF4456"/>
      <c r="AG4456"/>
    </row>
    <row r="4457" spans="1:33" s="47" customFormat="1" ht="12.75">
      <c r="A4457"/>
      <c r="B4457"/>
      <c r="C4457"/>
      <c r="D4457"/>
      <c r="E4457"/>
      <c r="F4457"/>
      <c r="G4457"/>
      <c r="H4457"/>
      <c r="I4457"/>
      <c r="J4457"/>
      <c r="K4457"/>
      <c r="L4457"/>
      <c r="M4457" s="820"/>
      <c r="N4457" s="461" t="str">
        <f>N4455 &amp; ".2"</f>
        <v>4.0.3.1.1.4.2</v>
      </c>
      <c r="O4457" s="448" t="s">
        <v>2505</v>
      </c>
      <c r="P4457" s="473" t="s">
        <v>786</v>
      </c>
      <c r="Q4457" s="258"/>
      <c r="R4457" s="259"/>
      <c r="S4457" s="259"/>
      <c r="T4457" s="260"/>
      <c r="U4457" s="252"/>
      <c r="V4457" s="252"/>
      <c r="W4457" s="452">
        <f t="shared" ref="W4457:W4462" si="11">W4441*W4331/1000</f>
        <v>0</v>
      </c>
      <c r="X4457" s="258"/>
      <c r="Y4457" s="202"/>
      <c r="Z4457" s="48"/>
      <c r="AA4457" s="252"/>
      <c r="AB4457" s="252"/>
      <c r="AC4457" s="465"/>
      <c r="AF4457"/>
      <c r="AG4457"/>
    </row>
    <row r="4458" spans="1:33" s="47" customFormat="1" ht="12.75">
      <c r="A4458"/>
      <c r="B4458"/>
      <c r="C4458"/>
      <c r="D4458"/>
      <c r="E4458"/>
      <c r="F4458"/>
      <c r="G4458"/>
      <c r="H4458"/>
      <c r="I4458"/>
      <c r="J4458"/>
      <c r="K4458"/>
      <c r="L4458"/>
      <c r="M4458" s="820"/>
      <c r="N4458" s="461" t="str">
        <f>N4455 &amp; ".3"</f>
        <v>4.0.3.1.1.4.3</v>
      </c>
      <c r="O4458" s="448" t="s">
        <v>2506</v>
      </c>
      <c r="P4458" s="473" t="s">
        <v>786</v>
      </c>
      <c r="Q4458" s="258"/>
      <c r="R4458" s="259"/>
      <c r="S4458" s="259"/>
      <c r="T4458" s="260"/>
      <c r="U4458" s="252"/>
      <c r="V4458" s="252"/>
      <c r="W4458" s="452">
        <f t="shared" si="11"/>
        <v>0</v>
      </c>
      <c r="X4458" s="258"/>
      <c r="Y4458" s="202"/>
      <c r="Z4458" s="48"/>
      <c r="AA4458" s="252"/>
      <c r="AB4458" s="252"/>
      <c r="AC4458" s="465"/>
      <c r="AF4458"/>
      <c r="AG4458"/>
    </row>
    <row r="4459" spans="1:33" s="47" customFormat="1" ht="12.75">
      <c r="A4459"/>
      <c r="B4459"/>
      <c r="C4459"/>
      <c r="D4459"/>
      <c r="E4459"/>
      <c r="F4459"/>
      <c r="G4459"/>
      <c r="H4459"/>
      <c r="I4459"/>
      <c r="J4459"/>
      <c r="K4459"/>
      <c r="L4459"/>
      <c r="M4459" s="820"/>
      <c r="N4459" s="461" t="str">
        <f>N4455 &amp; ".4"</f>
        <v>4.0.3.1.1.4.4</v>
      </c>
      <c r="O4459" s="448" t="s">
        <v>2507</v>
      </c>
      <c r="P4459" s="473" t="s">
        <v>786</v>
      </c>
      <c r="Q4459" s="258"/>
      <c r="R4459" s="259"/>
      <c r="S4459" s="259"/>
      <c r="T4459" s="260"/>
      <c r="U4459" s="252"/>
      <c r="V4459" s="252"/>
      <c r="W4459" s="452">
        <f t="shared" si="11"/>
        <v>0</v>
      </c>
      <c r="X4459" s="258"/>
      <c r="Y4459" s="202"/>
      <c r="Z4459" s="48"/>
      <c r="AA4459" s="252"/>
      <c r="AB4459" s="252"/>
      <c r="AC4459" s="465"/>
      <c r="AF4459"/>
      <c r="AG4459"/>
    </row>
    <row r="4460" spans="1:33" s="47" customFormat="1" ht="12.75">
      <c r="A4460"/>
      <c r="B4460"/>
      <c r="C4460"/>
      <c r="D4460"/>
      <c r="E4460"/>
      <c r="F4460"/>
      <c r="G4460"/>
      <c r="H4460"/>
      <c r="I4460"/>
      <c r="J4460"/>
      <c r="K4460"/>
      <c r="L4460"/>
      <c r="M4460" s="820"/>
      <c r="N4460" s="461" t="str">
        <f>N4455 &amp; ".5"</f>
        <v>4.0.3.1.1.4.5</v>
      </c>
      <c r="O4460" s="448" t="s">
        <v>2508</v>
      </c>
      <c r="P4460" s="473" t="s">
        <v>786</v>
      </c>
      <c r="Q4460" s="258"/>
      <c r="R4460" s="259"/>
      <c r="S4460" s="259"/>
      <c r="T4460" s="260"/>
      <c r="U4460" s="252"/>
      <c r="V4460" s="252"/>
      <c r="W4460" s="452">
        <f t="shared" si="11"/>
        <v>0</v>
      </c>
      <c r="X4460" s="258"/>
      <c r="Y4460" s="202"/>
      <c r="Z4460" s="48"/>
      <c r="AA4460" s="252"/>
      <c r="AB4460" s="252"/>
      <c r="AC4460" s="465"/>
      <c r="AF4460"/>
      <c r="AG4460"/>
    </row>
    <row r="4461" spans="1:33" s="47" customFormat="1" ht="12.75">
      <c r="A4461"/>
      <c r="B4461"/>
      <c r="C4461"/>
      <c r="D4461"/>
      <c r="E4461"/>
      <c r="F4461"/>
      <c r="G4461"/>
      <c r="H4461"/>
      <c r="I4461"/>
      <c r="J4461"/>
      <c r="K4461"/>
      <c r="L4461"/>
      <c r="M4461" s="820"/>
      <c r="N4461" s="461" t="str">
        <f>N4455 &amp; ".6"</f>
        <v>4.0.3.1.1.4.6</v>
      </c>
      <c r="O4461" s="448" t="s">
        <v>2509</v>
      </c>
      <c r="P4461" s="473" t="s">
        <v>786</v>
      </c>
      <c r="Q4461" s="258"/>
      <c r="R4461" s="259"/>
      <c r="S4461" s="259"/>
      <c r="T4461" s="260"/>
      <c r="U4461" s="252"/>
      <c r="V4461" s="252"/>
      <c r="W4461" s="452">
        <f t="shared" si="11"/>
        <v>0</v>
      </c>
      <c r="X4461" s="258"/>
      <c r="Y4461" s="202"/>
      <c r="Z4461" s="48"/>
      <c r="AA4461" s="252"/>
      <c r="AB4461" s="252"/>
      <c r="AC4461" s="465"/>
      <c r="AF4461"/>
      <c r="AG4461"/>
    </row>
    <row r="4462" spans="1:33" s="47" customFormat="1" ht="12.75">
      <c r="A4462"/>
      <c r="B4462"/>
      <c r="C4462"/>
      <c r="D4462"/>
      <c r="E4462"/>
      <c r="F4462"/>
      <c r="G4462"/>
      <c r="H4462"/>
      <c r="I4462"/>
      <c r="J4462"/>
      <c r="K4462"/>
      <c r="L4462"/>
      <c r="M4462" s="820"/>
      <c r="N4462" s="461" t="str">
        <f>N4455 &amp; ".7"</f>
        <v>4.0.3.1.1.4.7</v>
      </c>
      <c r="O4462" s="448" t="s">
        <v>2178</v>
      </c>
      <c r="P4462" s="473" t="s">
        <v>786</v>
      </c>
      <c r="Q4462" s="258"/>
      <c r="R4462" s="259"/>
      <c r="S4462" s="259"/>
      <c r="T4462" s="260"/>
      <c r="U4462" s="252"/>
      <c r="V4462" s="252"/>
      <c r="W4462" s="452">
        <f t="shared" si="11"/>
        <v>0</v>
      </c>
      <c r="X4462" s="258"/>
      <c r="Y4462" s="202"/>
      <c r="Z4462" s="48"/>
      <c r="AA4462" s="252"/>
      <c r="AB4462" s="252"/>
      <c r="AC4462" s="465"/>
      <c r="AF4462"/>
      <c r="AG4462"/>
    </row>
    <row r="4463" spans="1:33" s="47" customFormat="1" ht="22.5">
      <c r="A4463"/>
      <c r="B4463"/>
      <c r="C4463"/>
      <c r="D4463"/>
      <c r="E4463"/>
      <c r="F4463"/>
      <c r="G4463"/>
      <c r="H4463"/>
      <c r="I4463"/>
      <c r="J4463"/>
      <c r="K4463"/>
      <c r="L4463"/>
      <c r="M4463" s="820"/>
      <c r="N4463" s="449" t="s">
        <v>269</v>
      </c>
      <c r="O4463" s="450" t="s">
        <v>232</v>
      </c>
      <c r="P4463" s="473" t="s">
        <v>786</v>
      </c>
      <c r="Q4463" s="258"/>
      <c r="R4463" s="259"/>
      <c r="S4463" s="259"/>
      <c r="T4463" s="260"/>
      <c r="U4463" s="252"/>
      <c r="V4463" s="252"/>
      <c r="W4463" s="465"/>
      <c r="X4463" s="258"/>
      <c r="Y4463" s="202"/>
      <c r="Z4463" s="48"/>
      <c r="AA4463" s="252"/>
      <c r="AB4463" s="252"/>
      <c r="AC4463" s="465"/>
      <c r="AF4463"/>
      <c r="AG4463"/>
    </row>
    <row r="4464" spans="1:33" s="47" customFormat="1" ht="12.75">
      <c r="A4464"/>
      <c r="B4464"/>
      <c r="C4464"/>
      <c r="D4464"/>
      <c r="E4464"/>
      <c r="F4464"/>
      <c r="G4464"/>
      <c r="H4464"/>
      <c r="I4464"/>
      <c r="J4464"/>
      <c r="K4464"/>
      <c r="L4464"/>
      <c r="M4464" s="820"/>
      <c r="N4464" s="461" t="str">
        <f>N4463 &amp; ".1"</f>
        <v>4.0.3.1.1.5.1</v>
      </c>
      <c r="O4464" s="225" t="s">
        <v>233</v>
      </c>
      <c r="P4464" s="473" t="s">
        <v>285</v>
      </c>
      <c r="Q4464" s="258"/>
      <c r="R4464" s="259"/>
      <c r="S4464" s="259"/>
      <c r="T4464" s="260"/>
      <c r="U4464" s="252"/>
      <c r="V4464" s="252"/>
      <c r="W4464" s="305">
        <f>IF(W4465=0,0,W4463/W4465*1000)</f>
        <v>0</v>
      </c>
      <c r="X4464" s="258"/>
      <c r="Y4464" s="202"/>
      <c r="Z4464" s="48"/>
      <c r="AA4464" s="252"/>
      <c r="AB4464" s="252"/>
      <c r="AC4464" s="305">
        <f>IF(AC4465=0,0,AC4463/AC4465*1000)</f>
        <v>0</v>
      </c>
      <c r="AF4464"/>
      <c r="AG4464"/>
    </row>
    <row r="4465" spans="1:33" s="47" customFormat="1" ht="12.75">
      <c r="A4465"/>
      <c r="B4465"/>
      <c r="C4465"/>
      <c r="D4465"/>
      <c r="E4465"/>
      <c r="F4465"/>
      <c r="G4465"/>
      <c r="H4465"/>
      <c r="I4465"/>
      <c r="J4465"/>
      <c r="K4465"/>
      <c r="L4465"/>
      <c r="M4465" s="820"/>
      <c r="N4465" s="461" t="str">
        <f>N4463 &amp; ".2"</f>
        <v>4.0.3.1.1.5.2</v>
      </c>
      <c r="O4465" s="225" t="s">
        <v>234</v>
      </c>
      <c r="P4465" s="473" t="s">
        <v>286</v>
      </c>
      <c r="Q4465" s="258"/>
      <c r="R4465" s="259"/>
      <c r="S4465" s="259"/>
      <c r="T4465" s="260"/>
      <c r="U4465" s="252"/>
      <c r="V4465" s="252"/>
      <c r="W4465" s="465"/>
      <c r="X4465" s="258"/>
      <c r="Y4465" s="202"/>
      <c r="Z4465" s="48"/>
      <c r="AA4465" s="252"/>
      <c r="AB4465" s="252"/>
      <c r="AC4465" s="465"/>
      <c r="AF4465"/>
      <c r="AG4465"/>
    </row>
    <row r="4466" spans="1:33" s="47" customFormat="1" ht="22.5">
      <c r="A4466"/>
      <c r="B4466"/>
      <c r="C4466"/>
      <c r="D4466"/>
      <c r="E4466"/>
      <c r="F4466"/>
      <c r="G4466"/>
      <c r="H4466"/>
      <c r="I4466"/>
      <c r="J4466"/>
      <c r="K4466"/>
      <c r="L4466"/>
      <c r="M4466" s="820"/>
      <c r="N4466" s="449" t="s">
        <v>270</v>
      </c>
      <c r="O4466" s="450" t="s">
        <v>235</v>
      </c>
      <c r="P4466" s="473"/>
      <c r="Q4466" s="258"/>
      <c r="R4466" s="259"/>
      <c r="S4466" s="259"/>
      <c r="T4466" s="260"/>
      <c r="U4466" s="252"/>
      <c r="V4466" s="252"/>
      <c r="W4466" s="456"/>
      <c r="X4466" s="258"/>
      <c r="Y4466" s="202"/>
      <c r="Z4466" s="48"/>
      <c r="AA4466" s="252"/>
      <c r="AB4466" s="252"/>
      <c r="AC4466" s="456"/>
      <c r="AF4466"/>
      <c r="AG4466"/>
    </row>
    <row r="4467" spans="1:33" s="47" customFormat="1" ht="12.75">
      <c r="A4467"/>
      <c r="B4467"/>
      <c r="C4467"/>
      <c r="D4467"/>
      <c r="E4467"/>
      <c r="F4467"/>
      <c r="G4467"/>
      <c r="H4467"/>
      <c r="I4467"/>
      <c r="J4467"/>
      <c r="K4467"/>
      <c r="L4467"/>
      <c r="M4467" s="820"/>
      <c r="N4467" s="461" t="str">
        <f>N4466 &amp; ".1"</f>
        <v>4.0.3.1.2.1.1</v>
      </c>
      <c r="O4467" s="448" t="s">
        <v>2504</v>
      </c>
      <c r="P4467" s="473" t="s">
        <v>285</v>
      </c>
      <c r="Q4467" s="258"/>
      <c r="R4467" s="259"/>
      <c r="S4467" s="259"/>
      <c r="T4467" s="260"/>
      <c r="U4467" s="252"/>
      <c r="V4467" s="252"/>
      <c r="W4467" s="465"/>
      <c r="X4467" s="258"/>
      <c r="Y4467" s="202"/>
      <c r="Z4467" s="48"/>
      <c r="AA4467" s="252"/>
      <c r="AB4467" s="252"/>
      <c r="AC4467" s="456"/>
      <c r="AF4467"/>
      <c r="AG4467"/>
    </row>
    <row r="4468" spans="1:33" s="47" customFormat="1" ht="12.75">
      <c r="A4468"/>
      <c r="B4468"/>
      <c r="C4468"/>
      <c r="D4468"/>
      <c r="E4468"/>
      <c r="F4468"/>
      <c r="G4468"/>
      <c r="H4468"/>
      <c r="I4468"/>
      <c r="J4468"/>
      <c r="K4468"/>
      <c r="L4468"/>
      <c r="M4468" s="820"/>
      <c r="N4468" s="461" t="str">
        <f>N4466 &amp; ".2"</f>
        <v>4.0.3.1.2.1.2</v>
      </c>
      <c r="O4468" s="448" t="s">
        <v>2505</v>
      </c>
      <c r="P4468" s="473" t="s">
        <v>285</v>
      </c>
      <c r="Q4468" s="258"/>
      <c r="R4468" s="259"/>
      <c r="S4468" s="259"/>
      <c r="T4468" s="260"/>
      <c r="U4468" s="252"/>
      <c r="V4468" s="252"/>
      <c r="W4468" s="465"/>
      <c r="X4468" s="258"/>
      <c r="Y4468" s="202"/>
      <c r="Z4468" s="48"/>
      <c r="AA4468" s="252"/>
      <c r="AB4468" s="252"/>
      <c r="AC4468" s="456"/>
      <c r="AF4468"/>
      <c r="AG4468"/>
    </row>
    <row r="4469" spans="1:33" s="47" customFormat="1" ht="12.75">
      <c r="A4469"/>
      <c r="B4469"/>
      <c r="C4469"/>
      <c r="D4469"/>
      <c r="E4469"/>
      <c r="F4469"/>
      <c r="G4469"/>
      <c r="H4469"/>
      <c r="I4469"/>
      <c r="J4469"/>
      <c r="K4469"/>
      <c r="L4469"/>
      <c r="M4469" s="820"/>
      <c r="N4469" s="461" t="str">
        <f>N4466 &amp; ".3"</f>
        <v>4.0.3.1.2.1.3</v>
      </c>
      <c r="O4469" s="448" t="s">
        <v>2506</v>
      </c>
      <c r="P4469" s="473" t="s">
        <v>285</v>
      </c>
      <c r="Q4469" s="258"/>
      <c r="R4469" s="259"/>
      <c r="S4469" s="259"/>
      <c r="T4469" s="260"/>
      <c r="U4469" s="252"/>
      <c r="V4469" s="252"/>
      <c r="W4469" s="465"/>
      <c r="X4469" s="258"/>
      <c r="Y4469" s="202"/>
      <c r="Z4469" s="48"/>
      <c r="AA4469" s="252"/>
      <c r="AB4469" s="252"/>
      <c r="AC4469" s="456"/>
      <c r="AF4469"/>
      <c r="AG4469"/>
    </row>
    <row r="4470" spans="1:33" s="47" customFormat="1" ht="12.75">
      <c r="A4470"/>
      <c r="B4470"/>
      <c r="C4470"/>
      <c r="D4470"/>
      <c r="E4470"/>
      <c r="F4470"/>
      <c r="G4470"/>
      <c r="H4470"/>
      <c r="I4470"/>
      <c r="J4470"/>
      <c r="K4470"/>
      <c r="L4470"/>
      <c r="M4470" s="820"/>
      <c r="N4470" s="461" t="str">
        <f>N4466 &amp; ".4"</f>
        <v>4.0.3.1.2.1.4</v>
      </c>
      <c r="O4470" s="448" t="s">
        <v>2507</v>
      </c>
      <c r="P4470" s="473" t="s">
        <v>285</v>
      </c>
      <c r="Q4470" s="258"/>
      <c r="R4470" s="259"/>
      <c r="S4470" s="259"/>
      <c r="T4470" s="260"/>
      <c r="U4470" s="252"/>
      <c r="V4470" s="252"/>
      <c r="W4470" s="465"/>
      <c r="X4470" s="258"/>
      <c r="Y4470" s="202"/>
      <c r="Z4470" s="48"/>
      <c r="AA4470" s="252"/>
      <c r="AB4470" s="252"/>
      <c r="AC4470" s="456"/>
      <c r="AF4470"/>
      <c r="AG4470"/>
    </row>
    <row r="4471" spans="1:33" s="47" customFormat="1" ht="12.75">
      <c r="A4471"/>
      <c r="B4471"/>
      <c r="C4471"/>
      <c r="D4471"/>
      <c r="E4471"/>
      <c r="F4471"/>
      <c r="G4471"/>
      <c r="H4471"/>
      <c r="I4471"/>
      <c r="J4471"/>
      <c r="K4471"/>
      <c r="L4471"/>
      <c r="M4471" s="820"/>
      <c r="N4471" s="461" t="str">
        <f>N4466 &amp; ".5"</f>
        <v>4.0.3.1.2.1.5</v>
      </c>
      <c r="O4471" s="448" t="s">
        <v>2508</v>
      </c>
      <c r="P4471" s="473" t="s">
        <v>285</v>
      </c>
      <c r="Q4471" s="258"/>
      <c r="R4471" s="259"/>
      <c r="S4471" s="259"/>
      <c r="T4471" s="260"/>
      <c r="U4471" s="252"/>
      <c r="V4471" s="252"/>
      <c r="W4471" s="465"/>
      <c r="X4471" s="258"/>
      <c r="Y4471" s="202"/>
      <c r="Z4471" s="48"/>
      <c r="AA4471" s="252"/>
      <c r="AB4471" s="252"/>
      <c r="AC4471" s="456"/>
      <c r="AF4471"/>
      <c r="AG4471"/>
    </row>
    <row r="4472" spans="1:33" s="47" customFormat="1" ht="12.75">
      <c r="A4472"/>
      <c r="B4472"/>
      <c r="C4472"/>
      <c r="D4472"/>
      <c r="E4472"/>
      <c r="F4472"/>
      <c r="G4472"/>
      <c r="H4472"/>
      <c r="I4472"/>
      <c r="J4472"/>
      <c r="K4472"/>
      <c r="L4472"/>
      <c r="M4472" s="820"/>
      <c r="N4472" s="461" t="str">
        <f>N4466 &amp; ".6"</f>
        <v>4.0.3.1.2.1.6</v>
      </c>
      <c r="O4472" s="448" t="s">
        <v>2509</v>
      </c>
      <c r="P4472" s="473" t="s">
        <v>285</v>
      </c>
      <c r="Q4472" s="258"/>
      <c r="R4472" s="259"/>
      <c r="S4472" s="259"/>
      <c r="T4472" s="260"/>
      <c r="U4472" s="252"/>
      <c r="V4472" s="252"/>
      <c r="W4472" s="465"/>
      <c r="X4472" s="258"/>
      <c r="Y4472" s="202"/>
      <c r="Z4472" s="48"/>
      <c r="AA4472" s="252"/>
      <c r="AB4472" s="252"/>
      <c r="AC4472" s="456"/>
      <c r="AF4472"/>
      <c r="AG4472"/>
    </row>
    <row r="4473" spans="1:33" s="47" customFormat="1" ht="12.75">
      <c r="A4473"/>
      <c r="B4473"/>
      <c r="C4473"/>
      <c r="D4473"/>
      <c r="E4473"/>
      <c r="F4473"/>
      <c r="G4473"/>
      <c r="H4473"/>
      <c r="I4473"/>
      <c r="J4473"/>
      <c r="K4473"/>
      <c r="L4473"/>
      <c r="M4473" s="820"/>
      <c r="N4473" s="461" t="str">
        <f>N4466 &amp; ".7"</f>
        <v>4.0.3.1.2.1.7</v>
      </c>
      <c r="O4473" s="448" t="s">
        <v>2178</v>
      </c>
      <c r="P4473" s="473" t="s">
        <v>285</v>
      </c>
      <c r="Q4473" s="258"/>
      <c r="R4473" s="259"/>
      <c r="S4473" s="259"/>
      <c r="T4473" s="260"/>
      <c r="U4473" s="252"/>
      <c r="V4473" s="252"/>
      <c r="W4473" s="465"/>
      <c r="X4473" s="258"/>
      <c r="Y4473" s="202"/>
      <c r="Z4473" s="48"/>
      <c r="AA4473" s="252"/>
      <c r="AB4473" s="252"/>
      <c r="AC4473" s="456"/>
      <c r="AF4473"/>
      <c r="AG4473"/>
    </row>
    <row r="4474" spans="1:33" s="47" customFormat="1" ht="22.5">
      <c r="A4474"/>
      <c r="B4474"/>
      <c r="C4474"/>
      <c r="D4474"/>
      <c r="E4474"/>
      <c r="F4474"/>
      <c r="G4474"/>
      <c r="H4474"/>
      <c r="I4474"/>
      <c r="J4474"/>
      <c r="K4474"/>
      <c r="L4474"/>
      <c r="M4474" s="820"/>
      <c r="N4474" s="449" t="s">
        <v>271</v>
      </c>
      <c r="O4474" s="450" t="s">
        <v>236</v>
      </c>
      <c r="P4474" s="473"/>
      <c r="Q4474" s="258"/>
      <c r="R4474" s="259"/>
      <c r="S4474" s="259"/>
      <c r="T4474" s="260"/>
      <c r="U4474" s="252"/>
      <c r="V4474" s="252"/>
      <c r="W4474" s="456"/>
      <c r="X4474" s="258"/>
      <c r="Y4474" s="202"/>
      <c r="Z4474" s="48"/>
      <c r="AA4474" s="252"/>
      <c r="AB4474" s="252"/>
      <c r="AC4474" s="456"/>
      <c r="AF4474"/>
      <c r="AG4474"/>
    </row>
    <row r="4475" spans="1:33" s="47" customFormat="1" ht="12.75">
      <c r="A4475"/>
      <c r="B4475"/>
      <c r="C4475"/>
      <c r="D4475"/>
      <c r="E4475"/>
      <c r="F4475"/>
      <c r="G4475"/>
      <c r="H4475"/>
      <c r="I4475"/>
      <c r="J4475"/>
      <c r="K4475"/>
      <c r="L4475"/>
      <c r="M4475" s="820"/>
      <c r="N4475" s="461" t="str">
        <f>N4474 &amp; ".1"</f>
        <v>4.0.3.1.2.2.1</v>
      </c>
      <c r="O4475" s="448" t="s">
        <v>2504</v>
      </c>
      <c r="P4475" s="473" t="s">
        <v>285</v>
      </c>
      <c r="Q4475" s="258"/>
      <c r="R4475" s="259"/>
      <c r="S4475" s="259"/>
      <c r="T4475" s="260"/>
      <c r="U4475" s="252"/>
      <c r="V4475" s="252"/>
      <c r="W4475" s="465"/>
      <c r="X4475" s="258"/>
      <c r="Y4475" s="202"/>
      <c r="Z4475" s="48"/>
      <c r="AA4475" s="252"/>
      <c r="AB4475" s="252"/>
      <c r="AC4475" s="456"/>
      <c r="AF4475"/>
      <c r="AG4475"/>
    </row>
    <row r="4476" spans="1:33" s="47" customFormat="1" ht="12.75">
      <c r="A4476"/>
      <c r="B4476"/>
      <c r="C4476"/>
      <c r="D4476"/>
      <c r="E4476"/>
      <c r="F4476"/>
      <c r="G4476"/>
      <c r="H4476"/>
      <c r="I4476"/>
      <c r="J4476"/>
      <c r="K4476"/>
      <c r="L4476"/>
      <c r="M4476" s="820"/>
      <c r="N4476" s="461" t="str">
        <f>N4474 &amp; ".2"</f>
        <v>4.0.3.1.2.2.2</v>
      </c>
      <c r="O4476" s="448" t="s">
        <v>2505</v>
      </c>
      <c r="P4476" s="473" t="s">
        <v>285</v>
      </c>
      <c r="Q4476" s="258"/>
      <c r="R4476" s="259"/>
      <c r="S4476" s="259"/>
      <c r="T4476" s="260"/>
      <c r="U4476" s="252"/>
      <c r="V4476" s="252"/>
      <c r="W4476" s="465"/>
      <c r="X4476" s="258"/>
      <c r="Y4476" s="202"/>
      <c r="Z4476" s="48"/>
      <c r="AA4476" s="252"/>
      <c r="AB4476" s="252"/>
      <c r="AC4476" s="456"/>
      <c r="AF4476"/>
      <c r="AG4476"/>
    </row>
    <row r="4477" spans="1:33" s="47" customFormat="1" ht="12.75">
      <c r="A4477"/>
      <c r="B4477"/>
      <c r="C4477"/>
      <c r="D4477"/>
      <c r="E4477"/>
      <c r="F4477"/>
      <c r="G4477"/>
      <c r="H4477"/>
      <c r="I4477"/>
      <c r="J4477"/>
      <c r="K4477"/>
      <c r="L4477"/>
      <c r="M4477" s="820"/>
      <c r="N4477" s="461" t="str">
        <f>N4474 &amp; ".3"</f>
        <v>4.0.3.1.2.2.3</v>
      </c>
      <c r="O4477" s="448" t="s">
        <v>2506</v>
      </c>
      <c r="P4477" s="473" t="s">
        <v>285</v>
      </c>
      <c r="Q4477" s="258"/>
      <c r="R4477" s="259"/>
      <c r="S4477" s="259"/>
      <c r="T4477" s="260"/>
      <c r="U4477" s="252"/>
      <c r="V4477" s="252"/>
      <c r="W4477" s="465"/>
      <c r="X4477" s="258"/>
      <c r="Y4477" s="202"/>
      <c r="Z4477" s="48"/>
      <c r="AA4477" s="252"/>
      <c r="AB4477" s="252"/>
      <c r="AC4477" s="456"/>
      <c r="AF4477"/>
      <c r="AG4477"/>
    </row>
    <row r="4478" spans="1:33" s="47" customFormat="1" ht="12.75">
      <c r="A4478"/>
      <c r="B4478"/>
      <c r="C4478"/>
      <c r="D4478"/>
      <c r="E4478"/>
      <c r="F4478"/>
      <c r="G4478"/>
      <c r="H4478"/>
      <c r="I4478"/>
      <c r="J4478"/>
      <c r="K4478"/>
      <c r="L4478"/>
      <c r="M4478" s="820"/>
      <c r="N4478" s="461" t="str">
        <f>N4474 &amp; ".4"</f>
        <v>4.0.3.1.2.2.4</v>
      </c>
      <c r="O4478" s="448" t="s">
        <v>2507</v>
      </c>
      <c r="P4478" s="473" t="s">
        <v>285</v>
      </c>
      <c r="Q4478" s="258"/>
      <c r="R4478" s="259"/>
      <c r="S4478" s="259"/>
      <c r="T4478" s="260"/>
      <c r="U4478" s="252"/>
      <c r="V4478" s="252"/>
      <c r="W4478" s="465"/>
      <c r="X4478" s="258"/>
      <c r="Y4478" s="202"/>
      <c r="Z4478" s="48"/>
      <c r="AA4478" s="252"/>
      <c r="AB4478" s="252"/>
      <c r="AC4478" s="456"/>
      <c r="AF4478"/>
      <c r="AG4478"/>
    </row>
    <row r="4479" spans="1:33" s="47" customFormat="1" ht="12.75">
      <c r="A4479"/>
      <c r="B4479"/>
      <c r="C4479"/>
      <c r="D4479"/>
      <c r="E4479"/>
      <c r="F4479"/>
      <c r="G4479"/>
      <c r="H4479"/>
      <c r="I4479"/>
      <c r="J4479"/>
      <c r="K4479"/>
      <c r="L4479"/>
      <c r="M4479" s="820"/>
      <c r="N4479" s="461" t="str">
        <f>N4474 &amp; ".5"</f>
        <v>4.0.3.1.2.2.5</v>
      </c>
      <c r="O4479" s="448" t="s">
        <v>2508</v>
      </c>
      <c r="P4479" s="473" t="s">
        <v>285</v>
      </c>
      <c r="Q4479" s="258"/>
      <c r="R4479" s="259"/>
      <c r="S4479" s="259"/>
      <c r="T4479" s="260"/>
      <c r="U4479" s="252"/>
      <c r="V4479" s="252"/>
      <c r="W4479" s="465"/>
      <c r="X4479" s="258"/>
      <c r="Y4479" s="202"/>
      <c r="Z4479" s="48"/>
      <c r="AA4479" s="252"/>
      <c r="AB4479" s="252"/>
      <c r="AC4479" s="456"/>
      <c r="AF4479"/>
      <c r="AG4479"/>
    </row>
    <row r="4480" spans="1:33" s="47" customFormat="1" ht="12.75">
      <c r="A4480"/>
      <c r="B4480"/>
      <c r="C4480"/>
      <c r="D4480"/>
      <c r="E4480"/>
      <c r="F4480"/>
      <c r="G4480"/>
      <c r="H4480"/>
      <c r="I4480"/>
      <c r="J4480"/>
      <c r="K4480"/>
      <c r="L4480"/>
      <c r="M4480" s="820"/>
      <c r="N4480" s="461" t="str">
        <f>N4474 &amp; ".6"</f>
        <v>4.0.3.1.2.2.6</v>
      </c>
      <c r="O4480" s="448" t="s">
        <v>2509</v>
      </c>
      <c r="P4480" s="473" t="s">
        <v>285</v>
      </c>
      <c r="Q4480" s="258"/>
      <c r="R4480" s="259"/>
      <c r="S4480" s="259"/>
      <c r="T4480" s="260"/>
      <c r="U4480" s="252"/>
      <c r="V4480" s="252"/>
      <c r="W4480" s="465"/>
      <c r="X4480" s="258"/>
      <c r="Y4480" s="202"/>
      <c r="Z4480" s="48"/>
      <c r="AA4480" s="252"/>
      <c r="AB4480" s="252"/>
      <c r="AC4480" s="456"/>
      <c r="AF4480"/>
      <c r="AG4480"/>
    </row>
    <row r="4481" spans="1:33" s="47" customFormat="1" ht="12.75">
      <c r="A4481"/>
      <c r="B4481"/>
      <c r="C4481"/>
      <c r="D4481"/>
      <c r="E4481"/>
      <c r="F4481"/>
      <c r="G4481"/>
      <c r="H4481"/>
      <c r="I4481"/>
      <c r="J4481"/>
      <c r="K4481"/>
      <c r="L4481"/>
      <c r="M4481" s="820"/>
      <c r="N4481" s="461" t="str">
        <f>N4474 &amp; ".7"</f>
        <v>4.0.3.1.2.2.7</v>
      </c>
      <c r="O4481" s="448" t="s">
        <v>2178</v>
      </c>
      <c r="P4481" s="473" t="s">
        <v>285</v>
      </c>
      <c r="Q4481" s="258"/>
      <c r="R4481" s="259"/>
      <c r="S4481" s="259"/>
      <c r="T4481" s="260"/>
      <c r="U4481" s="252"/>
      <c r="V4481" s="252"/>
      <c r="W4481" s="465"/>
      <c r="X4481" s="258"/>
      <c r="Y4481" s="202"/>
      <c r="Z4481" s="48"/>
      <c r="AA4481" s="252"/>
      <c r="AB4481" s="252"/>
      <c r="AC4481" s="456"/>
      <c r="AF4481"/>
      <c r="AG4481"/>
    </row>
    <row r="4482" spans="1:33" s="47" customFormat="1" ht="22.5">
      <c r="A4482"/>
      <c r="B4482"/>
      <c r="C4482"/>
      <c r="D4482"/>
      <c r="E4482"/>
      <c r="F4482"/>
      <c r="G4482"/>
      <c r="H4482"/>
      <c r="I4482"/>
      <c r="J4482"/>
      <c r="K4482"/>
      <c r="L4482"/>
      <c r="M4482" s="820"/>
      <c r="N4482" s="449" t="s">
        <v>272</v>
      </c>
      <c r="O4482" s="450" t="s">
        <v>237</v>
      </c>
      <c r="P4482" s="473" t="s">
        <v>786</v>
      </c>
      <c r="Q4482" s="258"/>
      <c r="R4482" s="259"/>
      <c r="S4482" s="259"/>
      <c r="T4482" s="260"/>
      <c r="U4482" s="252"/>
      <c r="V4482" s="252"/>
      <c r="W4482" s="452">
        <f>SUM(W4483:W4489)</f>
        <v>0</v>
      </c>
      <c r="X4482" s="258"/>
      <c r="Y4482" s="202"/>
      <c r="Z4482" s="48"/>
      <c r="AA4482" s="252"/>
      <c r="AB4482" s="252"/>
      <c r="AC4482" s="452">
        <f>SUM(AC4483:AC4489)</f>
        <v>0</v>
      </c>
      <c r="AF4482"/>
      <c r="AG4482"/>
    </row>
    <row r="4483" spans="1:33" s="47" customFormat="1" ht="12.75">
      <c r="A4483"/>
      <c r="B4483"/>
      <c r="C4483"/>
      <c r="D4483"/>
      <c r="E4483"/>
      <c r="F4483"/>
      <c r="G4483"/>
      <c r="H4483"/>
      <c r="I4483"/>
      <c r="J4483"/>
      <c r="K4483"/>
      <c r="L4483"/>
      <c r="M4483" s="820"/>
      <c r="N4483" s="461" t="str">
        <f>N4482 &amp; ".1"</f>
        <v>4.0.3.1.2.3.1</v>
      </c>
      <c r="O4483" s="448" t="s">
        <v>2504</v>
      </c>
      <c r="P4483" s="473" t="s">
        <v>786</v>
      </c>
      <c r="Q4483" s="258"/>
      <c r="R4483" s="259"/>
      <c r="S4483" s="259"/>
      <c r="T4483" s="260"/>
      <c r="U4483" s="252"/>
      <c r="V4483" s="252"/>
      <c r="W4483" s="452">
        <f>W4467*W4338/1000</f>
        <v>0</v>
      </c>
      <c r="X4483" s="258"/>
      <c r="Y4483" s="202"/>
      <c r="Z4483" s="48"/>
      <c r="AA4483" s="252"/>
      <c r="AB4483" s="252"/>
      <c r="AC4483" s="465"/>
      <c r="AF4483"/>
      <c r="AG4483"/>
    </row>
    <row r="4484" spans="1:33" s="47" customFormat="1" ht="12.75">
      <c r="A4484"/>
      <c r="B4484"/>
      <c r="C4484"/>
      <c r="D4484"/>
      <c r="E4484"/>
      <c r="F4484"/>
      <c r="G4484"/>
      <c r="H4484"/>
      <c r="I4484"/>
      <c r="J4484"/>
      <c r="K4484"/>
      <c r="L4484"/>
      <c r="M4484" s="820"/>
      <c r="N4484" s="461" t="str">
        <f>N4482 &amp; ".2"</f>
        <v>4.0.3.1.2.3.2</v>
      </c>
      <c r="O4484" s="448" t="s">
        <v>2505</v>
      </c>
      <c r="P4484" s="473" t="s">
        <v>786</v>
      </c>
      <c r="Q4484" s="258"/>
      <c r="R4484" s="259"/>
      <c r="S4484" s="259"/>
      <c r="T4484" s="260"/>
      <c r="U4484" s="252"/>
      <c r="V4484" s="252"/>
      <c r="W4484" s="452">
        <f t="shared" ref="W4484:W4489" si="12">W4468*W4339/1000</f>
        <v>0</v>
      </c>
      <c r="X4484" s="258"/>
      <c r="Y4484" s="202"/>
      <c r="Z4484" s="48"/>
      <c r="AA4484" s="252"/>
      <c r="AB4484" s="252"/>
      <c r="AC4484" s="465"/>
      <c r="AF4484"/>
      <c r="AG4484"/>
    </row>
    <row r="4485" spans="1:33" s="47" customFormat="1" ht="12.75">
      <c r="A4485"/>
      <c r="B4485"/>
      <c r="C4485"/>
      <c r="D4485"/>
      <c r="E4485"/>
      <c r="F4485"/>
      <c r="G4485"/>
      <c r="H4485"/>
      <c r="I4485"/>
      <c r="J4485"/>
      <c r="K4485"/>
      <c r="L4485"/>
      <c r="M4485" s="820"/>
      <c r="N4485" s="461" t="str">
        <f>N4482 &amp; ".3"</f>
        <v>4.0.3.1.2.3.3</v>
      </c>
      <c r="O4485" s="448" t="s">
        <v>2506</v>
      </c>
      <c r="P4485" s="473" t="s">
        <v>786</v>
      </c>
      <c r="Q4485" s="258"/>
      <c r="R4485" s="259"/>
      <c r="S4485" s="259"/>
      <c r="T4485" s="260"/>
      <c r="U4485" s="252"/>
      <c r="V4485" s="252"/>
      <c r="W4485" s="452">
        <f t="shared" si="12"/>
        <v>0</v>
      </c>
      <c r="X4485" s="258"/>
      <c r="Y4485" s="202"/>
      <c r="Z4485" s="48"/>
      <c r="AA4485" s="252"/>
      <c r="AB4485" s="252"/>
      <c r="AC4485" s="465"/>
      <c r="AF4485"/>
      <c r="AG4485"/>
    </row>
    <row r="4486" spans="1:33" s="47" customFormat="1" ht="12.75">
      <c r="A4486"/>
      <c r="B4486"/>
      <c r="C4486"/>
      <c r="D4486"/>
      <c r="E4486"/>
      <c r="F4486"/>
      <c r="G4486"/>
      <c r="H4486"/>
      <c r="I4486"/>
      <c r="J4486"/>
      <c r="K4486"/>
      <c r="L4486"/>
      <c r="M4486" s="820"/>
      <c r="N4486" s="461" t="str">
        <f>N4482 &amp; ".4"</f>
        <v>4.0.3.1.2.3.4</v>
      </c>
      <c r="O4486" s="448" t="s">
        <v>2507</v>
      </c>
      <c r="P4486" s="473" t="s">
        <v>786</v>
      </c>
      <c r="Q4486" s="258"/>
      <c r="R4486" s="259"/>
      <c r="S4486" s="259"/>
      <c r="T4486" s="260"/>
      <c r="U4486" s="252"/>
      <c r="V4486" s="252"/>
      <c r="W4486" s="452">
        <f t="shared" si="12"/>
        <v>0</v>
      </c>
      <c r="X4486" s="258"/>
      <c r="Y4486" s="202"/>
      <c r="Z4486" s="48"/>
      <c r="AA4486" s="252"/>
      <c r="AB4486" s="252"/>
      <c r="AC4486" s="465"/>
      <c r="AF4486"/>
      <c r="AG4486"/>
    </row>
    <row r="4487" spans="1:33" s="47" customFormat="1" ht="12.75">
      <c r="A4487"/>
      <c r="B4487"/>
      <c r="C4487"/>
      <c r="D4487"/>
      <c r="E4487"/>
      <c r="F4487"/>
      <c r="G4487"/>
      <c r="H4487"/>
      <c r="I4487"/>
      <c r="J4487"/>
      <c r="K4487"/>
      <c r="L4487"/>
      <c r="M4487" s="820"/>
      <c r="N4487" s="461" t="str">
        <f>N4482 &amp; ".5"</f>
        <v>4.0.3.1.2.3.5</v>
      </c>
      <c r="O4487" s="448" t="s">
        <v>2508</v>
      </c>
      <c r="P4487" s="473" t="s">
        <v>786</v>
      </c>
      <c r="Q4487" s="258"/>
      <c r="R4487" s="259"/>
      <c r="S4487" s="259"/>
      <c r="T4487" s="260"/>
      <c r="U4487" s="252"/>
      <c r="V4487" s="252"/>
      <c r="W4487" s="452">
        <f t="shared" si="12"/>
        <v>0</v>
      </c>
      <c r="X4487" s="258"/>
      <c r="Y4487" s="202"/>
      <c r="Z4487" s="48"/>
      <c r="AA4487" s="252"/>
      <c r="AB4487" s="252"/>
      <c r="AC4487" s="465"/>
      <c r="AF4487"/>
      <c r="AG4487"/>
    </row>
    <row r="4488" spans="1:33" s="47" customFormat="1" ht="12.75">
      <c r="A4488"/>
      <c r="B4488"/>
      <c r="C4488"/>
      <c r="D4488"/>
      <c r="E4488"/>
      <c r="F4488"/>
      <c r="G4488"/>
      <c r="H4488"/>
      <c r="I4488"/>
      <c r="J4488"/>
      <c r="K4488"/>
      <c r="L4488"/>
      <c r="M4488" s="820"/>
      <c r="N4488" s="461" t="str">
        <f>N4482 &amp; ".6"</f>
        <v>4.0.3.1.2.3.6</v>
      </c>
      <c r="O4488" s="448" t="s">
        <v>2509</v>
      </c>
      <c r="P4488" s="473" t="s">
        <v>786</v>
      </c>
      <c r="Q4488" s="258"/>
      <c r="R4488" s="259"/>
      <c r="S4488" s="259"/>
      <c r="T4488" s="260"/>
      <c r="U4488" s="252"/>
      <c r="V4488" s="252"/>
      <c r="W4488" s="452">
        <f t="shared" si="12"/>
        <v>0</v>
      </c>
      <c r="X4488" s="258"/>
      <c r="Y4488" s="202"/>
      <c r="Z4488" s="48"/>
      <c r="AA4488" s="252"/>
      <c r="AB4488" s="252"/>
      <c r="AC4488" s="465"/>
      <c r="AF4488"/>
      <c r="AG4488"/>
    </row>
    <row r="4489" spans="1:33" s="47" customFormat="1" ht="12.75">
      <c r="A4489"/>
      <c r="B4489"/>
      <c r="C4489"/>
      <c r="D4489"/>
      <c r="E4489"/>
      <c r="F4489"/>
      <c r="G4489"/>
      <c r="H4489"/>
      <c r="I4489"/>
      <c r="J4489"/>
      <c r="K4489"/>
      <c r="L4489"/>
      <c r="M4489" s="820"/>
      <c r="N4489" s="461" t="str">
        <f>N4482 &amp; ".7"</f>
        <v>4.0.3.1.2.3.7</v>
      </c>
      <c r="O4489" s="448" t="s">
        <v>2178</v>
      </c>
      <c r="P4489" s="473" t="s">
        <v>786</v>
      </c>
      <c r="Q4489" s="258"/>
      <c r="R4489" s="259"/>
      <c r="S4489" s="259"/>
      <c r="T4489" s="260"/>
      <c r="U4489" s="252"/>
      <c r="V4489" s="252"/>
      <c r="W4489" s="452">
        <f t="shared" si="12"/>
        <v>0</v>
      </c>
      <c r="X4489" s="258"/>
      <c r="Y4489" s="202"/>
      <c r="Z4489" s="48"/>
      <c r="AA4489" s="252"/>
      <c r="AB4489" s="252"/>
      <c r="AC4489" s="465"/>
      <c r="AF4489"/>
      <c r="AG4489"/>
    </row>
    <row r="4490" spans="1:33" s="47" customFormat="1" ht="22.5">
      <c r="A4490"/>
      <c r="B4490"/>
      <c r="C4490"/>
      <c r="D4490"/>
      <c r="E4490"/>
      <c r="F4490"/>
      <c r="G4490"/>
      <c r="H4490"/>
      <c r="I4490"/>
      <c r="J4490"/>
      <c r="K4490"/>
      <c r="L4490"/>
      <c r="M4490" s="820"/>
      <c r="N4490" s="449" t="s">
        <v>274</v>
      </c>
      <c r="O4490" s="450" t="s">
        <v>238</v>
      </c>
      <c r="P4490" s="473" t="s">
        <v>786</v>
      </c>
      <c r="Q4490" s="258"/>
      <c r="R4490" s="259"/>
      <c r="S4490" s="259"/>
      <c r="T4490" s="260"/>
      <c r="U4490" s="252"/>
      <c r="V4490" s="252"/>
      <c r="W4490" s="452">
        <f>SUM(W4491:W4497)</f>
        <v>0</v>
      </c>
      <c r="X4490" s="258"/>
      <c r="Y4490" s="202"/>
      <c r="Z4490" s="48"/>
      <c r="AA4490" s="252"/>
      <c r="AB4490" s="252"/>
      <c r="AC4490" s="452">
        <f>SUM(AC4491:AC4497)</f>
        <v>0</v>
      </c>
      <c r="AF4490"/>
      <c r="AG4490"/>
    </row>
    <row r="4491" spans="1:33" s="47" customFormat="1" ht="12.75">
      <c r="A4491"/>
      <c r="B4491"/>
      <c r="C4491"/>
      <c r="D4491"/>
      <c r="E4491"/>
      <c r="F4491"/>
      <c r="G4491"/>
      <c r="H4491"/>
      <c r="I4491"/>
      <c r="J4491"/>
      <c r="K4491"/>
      <c r="L4491"/>
      <c r="M4491" s="820"/>
      <c r="N4491" s="461" t="str">
        <f>N4490 &amp; ".1"</f>
        <v>4.0.3.1.2.4.1</v>
      </c>
      <c r="O4491" s="448" t="s">
        <v>2504</v>
      </c>
      <c r="P4491" s="473" t="s">
        <v>786</v>
      </c>
      <c r="Q4491" s="258"/>
      <c r="R4491" s="259"/>
      <c r="S4491" s="259"/>
      <c r="T4491" s="260"/>
      <c r="U4491" s="252"/>
      <c r="V4491" s="252"/>
      <c r="W4491" s="452">
        <f>W4475*W4338/1000</f>
        <v>0</v>
      </c>
      <c r="X4491" s="258"/>
      <c r="Y4491" s="202"/>
      <c r="Z4491" s="48"/>
      <c r="AA4491" s="252"/>
      <c r="AB4491" s="252"/>
      <c r="AC4491" s="465"/>
      <c r="AF4491"/>
      <c r="AG4491"/>
    </row>
    <row r="4492" spans="1:33" s="47" customFormat="1" ht="12.75">
      <c r="A4492"/>
      <c r="B4492"/>
      <c r="C4492"/>
      <c r="D4492"/>
      <c r="E4492"/>
      <c r="F4492"/>
      <c r="G4492"/>
      <c r="H4492"/>
      <c r="I4492"/>
      <c r="J4492"/>
      <c r="K4492"/>
      <c r="L4492"/>
      <c r="M4492" s="820"/>
      <c r="N4492" s="461" t="str">
        <f>N4490 &amp; ".2"</f>
        <v>4.0.3.1.2.4.2</v>
      </c>
      <c r="O4492" s="448" t="s">
        <v>2505</v>
      </c>
      <c r="P4492" s="473" t="s">
        <v>786</v>
      </c>
      <c r="Q4492" s="258"/>
      <c r="R4492" s="259"/>
      <c r="S4492" s="259"/>
      <c r="T4492" s="260"/>
      <c r="U4492" s="252"/>
      <c r="V4492" s="252"/>
      <c r="W4492" s="452">
        <f t="shared" ref="W4492:W4497" si="13">W4476*W4339/1000</f>
        <v>0</v>
      </c>
      <c r="X4492" s="258"/>
      <c r="Y4492" s="202"/>
      <c r="Z4492" s="48"/>
      <c r="AA4492" s="252"/>
      <c r="AB4492" s="252"/>
      <c r="AC4492" s="465"/>
      <c r="AF4492"/>
      <c r="AG4492"/>
    </row>
    <row r="4493" spans="1:33" s="47" customFormat="1" ht="12.75">
      <c r="A4493"/>
      <c r="B4493"/>
      <c r="C4493"/>
      <c r="D4493"/>
      <c r="E4493"/>
      <c r="F4493"/>
      <c r="G4493"/>
      <c r="H4493"/>
      <c r="I4493"/>
      <c r="J4493"/>
      <c r="K4493"/>
      <c r="L4493"/>
      <c r="M4493" s="820"/>
      <c r="N4493" s="461" t="str">
        <f>N4490 &amp; ".3"</f>
        <v>4.0.3.1.2.4.3</v>
      </c>
      <c r="O4493" s="448" t="s">
        <v>2506</v>
      </c>
      <c r="P4493" s="473" t="s">
        <v>786</v>
      </c>
      <c r="Q4493" s="258"/>
      <c r="R4493" s="259"/>
      <c r="S4493" s="259"/>
      <c r="T4493" s="260"/>
      <c r="U4493" s="252"/>
      <c r="V4493" s="252"/>
      <c r="W4493" s="452">
        <f t="shared" si="13"/>
        <v>0</v>
      </c>
      <c r="X4493" s="258"/>
      <c r="Y4493" s="202"/>
      <c r="Z4493" s="48"/>
      <c r="AA4493" s="252"/>
      <c r="AB4493" s="252"/>
      <c r="AC4493" s="465"/>
      <c r="AF4493"/>
      <c r="AG4493"/>
    </row>
    <row r="4494" spans="1:33" s="47" customFormat="1" ht="12.75">
      <c r="A4494"/>
      <c r="B4494"/>
      <c r="C4494"/>
      <c r="D4494"/>
      <c r="E4494"/>
      <c r="F4494"/>
      <c r="G4494"/>
      <c r="H4494"/>
      <c r="I4494"/>
      <c r="J4494"/>
      <c r="K4494"/>
      <c r="L4494"/>
      <c r="M4494" s="820"/>
      <c r="N4494" s="461" t="str">
        <f>N4490 &amp; ".4"</f>
        <v>4.0.3.1.2.4.4</v>
      </c>
      <c r="O4494" s="448" t="s">
        <v>2507</v>
      </c>
      <c r="P4494" s="473" t="s">
        <v>786</v>
      </c>
      <c r="Q4494" s="258"/>
      <c r="R4494" s="259"/>
      <c r="S4494" s="259"/>
      <c r="T4494" s="260"/>
      <c r="U4494" s="252"/>
      <c r="V4494" s="252"/>
      <c r="W4494" s="452">
        <f t="shared" si="13"/>
        <v>0</v>
      </c>
      <c r="X4494" s="258"/>
      <c r="Y4494" s="202"/>
      <c r="Z4494" s="48"/>
      <c r="AA4494" s="252"/>
      <c r="AB4494" s="252"/>
      <c r="AC4494" s="465"/>
      <c r="AF4494"/>
      <c r="AG4494"/>
    </row>
    <row r="4495" spans="1:33" s="47" customFormat="1" ht="12.75">
      <c r="A4495"/>
      <c r="B4495"/>
      <c r="C4495"/>
      <c r="D4495"/>
      <c r="E4495"/>
      <c r="F4495"/>
      <c r="G4495"/>
      <c r="H4495"/>
      <c r="I4495"/>
      <c r="J4495"/>
      <c r="K4495"/>
      <c r="L4495"/>
      <c r="M4495" s="820"/>
      <c r="N4495" s="461" t="str">
        <f>N4490 &amp; ".5"</f>
        <v>4.0.3.1.2.4.5</v>
      </c>
      <c r="O4495" s="448" t="s">
        <v>2508</v>
      </c>
      <c r="P4495" s="473" t="s">
        <v>786</v>
      </c>
      <c r="Q4495" s="258"/>
      <c r="R4495" s="259"/>
      <c r="S4495" s="259"/>
      <c r="T4495" s="260"/>
      <c r="U4495" s="252"/>
      <c r="V4495" s="252"/>
      <c r="W4495" s="452">
        <f t="shared" si="13"/>
        <v>0</v>
      </c>
      <c r="X4495" s="258"/>
      <c r="Y4495" s="202"/>
      <c r="Z4495" s="48"/>
      <c r="AA4495" s="252"/>
      <c r="AB4495" s="252"/>
      <c r="AC4495" s="465"/>
      <c r="AF4495"/>
      <c r="AG4495"/>
    </row>
    <row r="4496" spans="1:33" s="47" customFormat="1" ht="12.75">
      <c r="A4496"/>
      <c r="B4496"/>
      <c r="C4496"/>
      <c r="D4496"/>
      <c r="E4496"/>
      <c r="F4496"/>
      <c r="G4496"/>
      <c r="H4496"/>
      <c r="I4496"/>
      <c r="J4496"/>
      <c r="K4496"/>
      <c r="L4496"/>
      <c r="M4496" s="820"/>
      <c r="N4496" s="461" t="str">
        <f>N4490 &amp; ".6"</f>
        <v>4.0.3.1.2.4.6</v>
      </c>
      <c r="O4496" s="448" t="s">
        <v>2509</v>
      </c>
      <c r="P4496" s="473" t="s">
        <v>786</v>
      </c>
      <c r="Q4496" s="258"/>
      <c r="R4496" s="259"/>
      <c r="S4496" s="259"/>
      <c r="T4496" s="260"/>
      <c r="U4496" s="252"/>
      <c r="V4496" s="252"/>
      <c r="W4496" s="452">
        <f t="shared" si="13"/>
        <v>0</v>
      </c>
      <c r="X4496" s="258"/>
      <c r="Y4496" s="202"/>
      <c r="Z4496" s="48"/>
      <c r="AA4496" s="252"/>
      <c r="AB4496" s="252"/>
      <c r="AC4496" s="465"/>
      <c r="AF4496"/>
      <c r="AG4496"/>
    </row>
    <row r="4497" spans="1:33" s="47" customFormat="1" ht="12.75">
      <c r="A4497"/>
      <c r="B4497"/>
      <c r="C4497"/>
      <c r="D4497"/>
      <c r="E4497"/>
      <c r="F4497"/>
      <c r="G4497"/>
      <c r="H4497"/>
      <c r="I4497"/>
      <c r="J4497"/>
      <c r="K4497"/>
      <c r="L4497"/>
      <c r="M4497" s="820"/>
      <c r="N4497" s="461" t="str">
        <f>N4490 &amp; ".7"</f>
        <v>4.0.3.1.2.4.7</v>
      </c>
      <c r="O4497" s="448" t="s">
        <v>2178</v>
      </c>
      <c r="P4497" s="473" t="s">
        <v>786</v>
      </c>
      <c r="Q4497" s="258"/>
      <c r="R4497" s="259"/>
      <c r="S4497" s="259"/>
      <c r="T4497" s="260"/>
      <c r="U4497" s="252"/>
      <c r="V4497" s="252"/>
      <c r="W4497" s="452">
        <f t="shared" si="13"/>
        <v>0</v>
      </c>
      <c r="X4497" s="258"/>
      <c r="Y4497" s="202"/>
      <c r="Z4497" s="48"/>
      <c r="AA4497" s="252"/>
      <c r="AB4497" s="252"/>
      <c r="AC4497" s="465"/>
      <c r="AF4497"/>
      <c r="AG4497"/>
    </row>
    <row r="4498" spans="1:33" s="47" customFormat="1" ht="22.5">
      <c r="A4498"/>
      <c r="B4498"/>
      <c r="C4498"/>
      <c r="D4498"/>
      <c r="E4498"/>
      <c r="F4498"/>
      <c r="G4498"/>
      <c r="H4498"/>
      <c r="I4498"/>
      <c r="J4498"/>
      <c r="K4498"/>
      <c r="L4498"/>
      <c r="M4498" s="820"/>
      <c r="N4498" s="449" t="s">
        <v>273</v>
      </c>
      <c r="O4498" s="450" t="s">
        <v>239</v>
      </c>
      <c r="P4498" s="473" t="s">
        <v>786</v>
      </c>
      <c r="Q4498" s="258"/>
      <c r="R4498" s="259"/>
      <c r="S4498" s="259"/>
      <c r="T4498" s="260"/>
      <c r="U4498" s="252"/>
      <c r="V4498" s="252"/>
      <c r="W4498" s="465"/>
      <c r="X4498" s="258"/>
      <c r="Y4498" s="202"/>
      <c r="Z4498" s="48"/>
      <c r="AA4498" s="252"/>
      <c r="AB4498" s="252"/>
      <c r="AC4498" s="465"/>
      <c r="AF4498"/>
      <c r="AG4498"/>
    </row>
    <row r="4499" spans="1:33" s="47" customFormat="1" ht="12.75">
      <c r="A4499"/>
      <c r="B4499"/>
      <c r="C4499"/>
      <c r="D4499"/>
      <c r="E4499"/>
      <c r="F4499"/>
      <c r="G4499"/>
      <c r="H4499"/>
      <c r="I4499"/>
      <c r="J4499"/>
      <c r="K4499"/>
      <c r="L4499"/>
      <c r="M4499" s="820"/>
      <c r="N4499" s="461" t="str">
        <f>N4498 &amp; ".1"</f>
        <v>4.0.3.1.2.5.1</v>
      </c>
      <c r="O4499" s="225" t="s">
        <v>233</v>
      </c>
      <c r="P4499" s="473" t="s">
        <v>285</v>
      </c>
      <c r="Q4499" s="258"/>
      <c r="R4499" s="259"/>
      <c r="S4499" s="259"/>
      <c r="T4499" s="260"/>
      <c r="U4499" s="252"/>
      <c r="V4499" s="252"/>
      <c r="W4499" s="305">
        <f>IF(W4500=0,0,W4498/W4500*1000)</f>
        <v>0</v>
      </c>
      <c r="X4499" s="258"/>
      <c r="Y4499" s="202"/>
      <c r="Z4499" s="48"/>
      <c r="AA4499" s="252"/>
      <c r="AB4499" s="252"/>
      <c r="AC4499" s="305">
        <f>IF(AC4500=0,0,AC4498/AC4500*1000)</f>
        <v>0</v>
      </c>
      <c r="AF4499"/>
      <c r="AG4499"/>
    </row>
    <row r="4500" spans="1:33" s="47" customFormat="1" ht="12.75">
      <c r="A4500"/>
      <c r="B4500"/>
      <c r="C4500"/>
      <c r="D4500"/>
      <c r="E4500"/>
      <c r="F4500"/>
      <c r="G4500"/>
      <c r="H4500"/>
      <c r="I4500"/>
      <c r="J4500"/>
      <c r="K4500"/>
      <c r="L4500"/>
      <c r="M4500" s="820"/>
      <c r="N4500" s="461" t="str">
        <f>N4498 &amp; ".2"</f>
        <v>4.0.3.1.2.5.2</v>
      </c>
      <c r="O4500" s="225" t="s">
        <v>234</v>
      </c>
      <c r="P4500" s="473" t="s">
        <v>286</v>
      </c>
      <c r="Q4500" s="258"/>
      <c r="R4500" s="259"/>
      <c r="S4500" s="259"/>
      <c r="T4500" s="260"/>
      <c r="U4500" s="252"/>
      <c r="V4500" s="252"/>
      <c r="W4500" s="465"/>
      <c r="X4500" s="258"/>
      <c r="Y4500" s="202"/>
      <c r="Z4500" s="48"/>
      <c r="AA4500" s="252"/>
      <c r="AB4500" s="252"/>
      <c r="AC4500" s="465"/>
      <c r="AF4500"/>
      <c r="AG4500"/>
    </row>
    <row r="4501" spans="1:33" s="47" customFormat="1" ht="22.5">
      <c r="A4501"/>
      <c r="B4501"/>
      <c r="C4501"/>
      <c r="D4501"/>
      <c r="E4501"/>
      <c r="F4501"/>
      <c r="G4501"/>
      <c r="H4501"/>
      <c r="I4501"/>
      <c r="J4501"/>
      <c r="K4501"/>
      <c r="L4501"/>
      <c r="M4501" s="820"/>
      <c r="N4501" s="449" t="s">
        <v>277</v>
      </c>
      <c r="O4501" s="450" t="s">
        <v>240</v>
      </c>
      <c r="P4501" s="473"/>
      <c r="Q4501" s="258"/>
      <c r="R4501" s="259"/>
      <c r="S4501" s="259"/>
      <c r="T4501" s="260"/>
      <c r="U4501" s="252"/>
      <c r="V4501" s="252"/>
      <c r="W4501" s="456"/>
      <c r="X4501" s="258"/>
      <c r="Y4501" s="202"/>
      <c r="Z4501" s="48"/>
      <c r="AA4501" s="252"/>
      <c r="AB4501" s="252"/>
      <c r="AC4501" s="456"/>
      <c r="AF4501"/>
      <c r="AG4501"/>
    </row>
    <row r="4502" spans="1:33" s="47" customFormat="1">
      <c r="A4502"/>
      <c r="B4502"/>
      <c r="C4502"/>
      <c r="D4502"/>
      <c r="E4502"/>
      <c r="F4502"/>
      <c r="G4502"/>
      <c r="H4502"/>
      <c r="I4502"/>
      <c r="J4502"/>
      <c r="K4502"/>
      <c r="L4502"/>
      <c r="M4502" s="820"/>
      <c r="N4502" s="461" t="str">
        <f>N4501 &amp; ".1"</f>
        <v>4.0.3.2.1.1</v>
      </c>
      <c r="O4502" s="453" t="s">
        <v>78</v>
      </c>
      <c r="P4502" s="473" t="s">
        <v>216</v>
      </c>
      <c r="Q4502" s="258"/>
      <c r="R4502" s="259"/>
      <c r="S4502" s="259"/>
      <c r="T4502" s="260"/>
      <c r="U4502" s="252"/>
      <c r="V4502" s="252"/>
      <c r="W4502" s="465"/>
      <c r="X4502" s="258"/>
      <c r="Y4502" s="202"/>
      <c r="Z4502" s="48"/>
      <c r="AA4502" s="252"/>
      <c r="AB4502" s="252"/>
      <c r="AC4502" s="465"/>
      <c r="AF4502"/>
      <c r="AG4502"/>
    </row>
    <row r="4503" spans="1:33" s="47" customFormat="1" hidden="1">
      <c r="A4503"/>
      <c r="B4503"/>
      <c r="C4503"/>
      <c r="D4503"/>
      <c r="E4503"/>
      <c r="F4503"/>
      <c r="G4503"/>
      <c r="H4503"/>
      <c r="I4503"/>
      <c r="J4503"/>
      <c r="K4503"/>
      <c r="L4503"/>
      <c r="M4503" s="820"/>
      <c r="N4503" s="461"/>
      <c r="O4503" s="454"/>
      <c r="P4503" s="473"/>
      <c r="Q4503" s="258"/>
      <c r="R4503" s="259"/>
      <c r="S4503" s="259"/>
      <c r="T4503" s="260"/>
      <c r="U4503" s="252"/>
      <c r="V4503" s="252"/>
      <c r="W4503" s="456"/>
      <c r="X4503" s="258"/>
      <c r="Y4503" s="202"/>
      <c r="Z4503" s="48"/>
      <c r="AA4503" s="252"/>
      <c r="AB4503" s="252"/>
      <c r="AC4503" s="456"/>
      <c r="AF4503"/>
      <c r="AG4503"/>
    </row>
    <row r="4504" spans="1:33" s="47" customFormat="1" hidden="1">
      <c r="A4504"/>
      <c r="B4504"/>
      <c r="C4504"/>
      <c r="D4504"/>
      <c r="E4504"/>
      <c r="F4504"/>
      <c r="G4504"/>
      <c r="H4504"/>
      <c r="I4504"/>
      <c r="J4504"/>
      <c r="K4504"/>
      <c r="L4504"/>
      <c r="M4504" s="820"/>
      <c r="N4504" s="461"/>
      <c r="O4504" s="454"/>
      <c r="P4504" s="473"/>
      <c r="Q4504" s="258"/>
      <c r="R4504" s="259"/>
      <c r="S4504" s="259"/>
      <c r="T4504" s="260"/>
      <c r="U4504" s="252"/>
      <c r="V4504" s="252"/>
      <c r="W4504" s="456"/>
      <c r="X4504" s="258"/>
      <c r="Y4504" s="202"/>
      <c r="Z4504" s="48"/>
      <c r="AA4504" s="252"/>
      <c r="AB4504" s="252"/>
      <c r="AC4504" s="456"/>
      <c r="AF4504"/>
      <c r="AG4504"/>
    </row>
    <row r="4505" spans="1:33" s="47" customFormat="1" hidden="1">
      <c r="A4505"/>
      <c r="B4505"/>
      <c r="C4505"/>
      <c r="D4505"/>
      <c r="E4505"/>
      <c r="F4505"/>
      <c r="G4505"/>
      <c r="H4505"/>
      <c r="I4505"/>
      <c r="J4505"/>
      <c r="K4505"/>
      <c r="L4505"/>
      <c r="M4505" s="820"/>
      <c r="N4505" s="451"/>
      <c r="O4505" s="454"/>
      <c r="P4505" s="473"/>
      <c r="Q4505" s="258"/>
      <c r="R4505" s="259"/>
      <c r="S4505" s="259"/>
      <c r="T4505" s="260"/>
      <c r="U4505" s="252"/>
      <c r="V4505" s="252"/>
      <c r="W4505" s="456"/>
      <c r="X4505" s="258"/>
      <c r="Y4505" s="202"/>
      <c r="Z4505" s="48"/>
      <c r="AA4505" s="252"/>
      <c r="AB4505" s="252"/>
      <c r="AC4505" s="456"/>
      <c r="AF4505"/>
      <c r="AG4505"/>
    </row>
    <row r="4506" spans="1:33" s="47" customFormat="1" hidden="1">
      <c r="A4506"/>
      <c r="B4506"/>
      <c r="C4506"/>
      <c r="D4506"/>
      <c r="E4506"/>
      <c r="F4506"/>
      <c r="G4506"/>
      <c r="H4506"/>
      <c r="I4506"/>
      <c r="J4506"/>
      <c r="K4506"/>
      <c r="L4506"/>
      <c r="M4506" s="820"/>
      <c r="N4506" s="451"/>
      <c r="O4506" s="454"/>
      <c r="P4506" s="473"/>
      <c r="Q4506" s="258"/>
      <c r="R4506" s="259"/>
      <c r="S4506" s="259"/>
      <c r="T4506" s="260"/>
      <c r="U4506" s="252"/>
      <c r="V4506" s="252"/>
      <c r="W4506" s="456"/>
      <c r="X4506" s="258"/>
      <c r="Y4506" s="202"/>
      <c r="Z4506" s="48"/>
      <c r="AA4506" s="252"/>
      <c r="AB4506" s="252"/>
      <c r="AC4506" s="456"/>
      <c r="AF4506"/>
      <c r="AG4506"/>
    </row>
    <row r="4507" spans="1:33" s="47" customFormat="1" hidden="1">
      <c r="A4507"/>
      <c r="B4507"/>
      <c r="C4507"/>
      <c r="D4507"/>
      <c r="E4507"/>
      <c r="F4507"/>
      <c r="G4507"/>
      <c r="H4507"/>
      <c r="I4507"/>
      <c r="J4507"/>
      <c r="K4507"/>
      <c r="L4507"/>
      <c r="M4507" s="820"/>
      <c r="N4507" s="451"/>
      <c r="O4507" s="454"/>
      <c r="P4507" s="473"/>
      <c r="Q4507" s="258"/>
      <c r="R4507" s="259"/>
      <c r="S4507" s="259"/>
      <c r="T4507" s="260"/>
      <c r="U4507" s="252"/>
      <c r="V4507" s="252"/>
      <c r="W4507" s="456"/>
      <c r="X4507" s="258"/>
      <c r="Y4507" s="202"/>
      <c r="Z4507" s="48"/>
      <c r="AA4507" s="252"/>
      <c r="AB4507" s="252"/>
      <c r="AC4507" s="456"/>
      <c r="AF4507"/>
      <c r="AG4507"/>
    </row>
    <row r="4508" spans="1:33" s="47" customFormat="1" hidden="1">
      <c r="A4508"/>
      <c r="B4508"/>
      <c r="C4508"/>
      <c r="D4508"/>
      <c r="E4508"/>
      <c r="F4508"/>
      <c r="G4508"/>
      <c r="H4508"/>
      <c r="I4508"/>
      <c r="J4508"/>
      <c r="K4508"/>
      <c r="L4508"/>
      <c r="M4508" s="820"/>
      <c r="N4508" s="451"/>
      <c r="O4508" s="454"/>
      <c r="P4508" s="473"/>
      <c r="Q4508" s="258"/>
      <c r="R4508" s="259"/>
      <c r="S4508" s="259"/>
      <c r="T4508" s="260"/>
      <c r="U4508" s="252"/>
      <c r="V4508" s="252"/>
      <c r="W4508" s="456"/>
      <c r="X4508" s="258"/>
      <c r="Y4508" s="202"/>
      <c r="Z4508" s="48"/>
      <c r="AA4508" s="252"/>
      <c r="AB4508" s="252"/>
      <c r="AC4508" s="456"/>
      <c r="AF4508"/>
      <c r="AG4508"/>
    </row>
    <row r="4509" spans="1:33" s="47" customFormat="1" hidden="1">
      <c r="A4509"/>
      <c r="B4509"/>
      <c r="C4509"/>
      <c r="D4509"/>
      <c r="E4509"/>
      <c r="F4509"/>
      <c r="G4509"/>
      <c r="H4509"/>
      <c r="I4509"/>
      <c r="J4509"/>
      <c r="K4509"/>
      <c r="L4509"/>
      <c r="M4509" s="820"/>
      <c r="N4509" s="451"/>
      <c r="O4509" s="454"/>
      <c r="P4509" s="473"/>
      <c r="Q4509" s="258"/>
      <c r="R4509" s="259"/>
      <c r="S4509" s="259"/>
      <c r="T4509" s="260"/>
      <c r="U4509" s="252"/>
      <c r="V4509" s="252"/>
      <c r="W4509" s="456"/>
      <c r="X4509" s="258"/>
      <c r="Y4509" s="202"/>
      <c r="Z4509" s="48"/>
      <c r="AA4509" s="252"/>
      <c r="AB4509" s="252"/>
      <c r="AC4509" s="456"/>
      <c r="AF4509"/>
      <c r="AG4509"/>
    </row>
    <row r="4510" spans="1:33" s="47" customFormat="1" hidden="1">
      <c r="A4510"/>
      <c r="B4510"/>
      <c r="C4510"/>
      <c r="D4510"/>
      <c r="E4510"/>
      <c r="F4510"/>
      <c r="G4510"/>
      <c r="H4510"/>
      <c r="I4510"/>
      <c r="J4510"/>
      <c r="K4510"/>
      <c r="L4510"/>
      <c r="M4510" s="820"/>
      <c r="N4510" s="451"/>
      <c r="O4510" s="454"/>
      <c r="P4510" s="473"/>
      <c r="Q4510" s="258"/>
      <c r="R4510" s="259"/>
      <c r="S4510" s="259"/>
      <c r="T4510" s="260"/>
      <c r="U4510" s="252"/>
      <c r="V4510" s="252"/>
      <c r="W4510" s="456"/>
      <c r="X4510" s="258"/>
      <c r="Y4510" s="202"/>
      <c r="Z4510" s="48"/>
      <c r="AA4510" s="252"/>
      <c r="AB4510" s="252"/>
      <c r="AC4510" s="456"/>
      <c r="AF4510"/>
      <c r="AG4510"/>
    </row>
    <row r="4511" spans="1:33" s="47" customFormat="1" hidden="1">
      <c r="A4511"/>
      <c r="B4511"/>
      <c r="C4511"/>
      <c r="D4511"/>
      <c r="E4511"/>
      <c r="F4511"/>
      <c r="G4511"/>
      <c r="H4511"/>
      <c r="I4511"/>
      <c r="J4511"/>
      <c r="K4511"/>
      <c r="L4511"/>
      <c r="M4511" s="820"/>
      <c r="N4511" s="451"/>
      <c r="O4511" s="454"/>
      <c r="P4511" s="473"/>
      <c r="Q4511" s="258"/>
      <c r="R4511" s="259"/>
      <c r="S4511" s="259"/>
      <c r="T4511" s="260"/>
      <c r="U4511" s="252"/>
      <c r="V4511" s="252"/>
      <c r="W4511" s="456"/>
      <c r="X4511" s="258"/>
      <c r="Y4511" s="202"/>
      <c r="Z4511" s="48"/>
      <c r="AA4511" s="252"/>
      <c r="AB4511" s="252"/>
      <c r="AC4511" s="456"/>
      <c r="AF4511"/>
      <c r="AG4511"/>
    </row>
    <row r="4512" spans="1:33" s="47" customFormat="1" hidden="1">
      <c r="A4512"/>
      <c r="B4512"/>
      <c r="C4512"/>
      <c r="D4512"/>
      <c r="E4512"/>
      <c r="F4512"/>
      <c r="G4512"/>
      <c r="H4512"/>
      <c r="I4512"/>
      <c r="J4512"/>
      <c r="K4512"/>
      <c r="L4512"/>
      <c r="M4512" s="820"/>
      <c r="N4512" s="461"/>
      <c r="O4512" s="454"/>
      <c r="P4512" s="473"/>
      <c r="Q4512" s="258"/>
      <c r="R4512" s="259"/>
      <c r="S4512" s="259"/>
      <c r="T4512" s="260"/>
      <c r="U4512" s="252"/>
      <c r="V4512" s="252"/>
      <c r="W4512" s="456"/>
      <c r="X4512" s="258"/>
      <c r="Y4512" s="202"/>
      <c r="Z4512" s="48"/>
      <c r="AA4512" s="252"/>
      <c r="AB4512" s="252"/>
      <c r="AC4512" s="456"/>
      <c r="AF4512"/>
      <c r="AG4512"/>
    </row>
    <row r="4513" spans="1:33" s="47" customFormat="1" hidden="1">
      <c r="A4513"/>
      <c r="B4513"/>
      <c r="C4513"/>
      <c r="D4513"/>
      <c r="E4513"/>
      <c r="F4513"/>
      <c r="G4513"/>
      <c r="H4513"/>
      <c r="I4513"/>
      <c r="J4513"/>
      <c r="K4513"/>
      <c r="L4513"/>
      <c r="M4513" s="820"/>
      <c r="N4513" s="451"/>
      <c r="O4513" s="454"/>
      <c r="P4513" s="473"/>
      <c r="Q4513" s="258"/>
      <c r="R4513" s="259"/>
      <c r="S4513" s="259"/>
      <c r="T4513" s="260"/>
      <c r="U4513" s="252"/>
      <c r="V4513" s="252"/>
      <c r="W4513" s="456"/>
      <c r="X4513" s="258"/>
      <c r="Y4513" s="202"/>
      <c r="Z4513" s="48"/>
      <c r="AA4513" s="252"/>
      <c r="AB4513" s="252"/>
      <c r="AC4513" s="456"/>
      <c r="AF4513"/>
      <c r="AG4513"/>
    </row>
    <row r="4514" spans="1:33" s="47" customFormat="1" hidden="1">
      <c r="A4514"/>
      <c r="B4514"/>
      <c r="C4514"/>
      <c r="D4514"/>
      <c r="E4514"/>
      <c r="F4514"/>
      <c r="G4514"/>
      <c r="H4514"/>
      <c r="I4514"/>
      <c r="J4514"/>
      <c r="K4514"/>
      <c r="L4514"/>
      <c r="M4514" s="820"/>
      <c r="N4514" s="451"/>
      <c r="O4514" s="454"/>
      <c r="P4514" s="473"/>
      <c r="Q4514" s="258"/>
      <c r="R4514" s="259"/>
      <c r="S4514" s="259"/>
      <c r="T4514" s="260"/>
      <c r="U4514" s="252"/>
      <c r="V4514" s="252"/>
      <c r="W4514" s="456"/>
      <c r="X4514" s="258"/>
      <c r="Y4514" s="202"/>
      <c r="Z4514" s="48"/>
      <c r="AA4514" s="252"/>
      <c r="AB4514" s="252"/>
      <c r="AC4514" s="456"/>
      <c r="AF4514"/>
      <c r="AG4514"/>
    </row>
    <row r="4515" spans="1:33" s="47" customFormat="1" hidden="1">
      <c r="A4515"/>
      <c r="B4515"/>
      <c r="C4515"/>
      <c r="D4515"/>
      <c r="E4515"/>
      <c r="F4515"/>
      <c r="G4515"/>
      <c r="H4515"/>
      <c r="I4515"/>
      <c r="J4515"/>
      <c r="K4515"/>
      <c r="L4515"/>
      <c r="M4515" s="820"/>
      <c r="N4515" s="451"/>
      <c r="O4515" s="454"/>
      <c r="P4515" s="473"/>
      <c r="Q4515" s="258"/>
      <c r="R4515" s="259"/>
      <c r="S4515" s="259"/>
      <c r="T4515" s="260"/>
      <c r="U4515" s="252"/>
      <c r="V4515" s="252"/>
      <c r="W4515" s="456"/>
      <c r="X4515" s="258"/>
      <c r="Y4515" s="202"/>
      <c r="Z4515" s="48"/>
      <c r="AA4515" s="252"/>
      <c r="AB4515" s="252"/>
      <c r="AC4515" s="456"/>
      <c r="AF4515"/>
      <c r="AG4515"/>
    </row>
    <row r="4516" spans="1:33" s="47" customFormat="1" hidden="1">
      <c r="A4516"/>
      <c r="B4516"/>
      <c r="C4516"/>
      <c r="D4516"/>
      <c r="E4516"/>
      <c r="F4516"/>
      <c r="G4516"/>
      <c r="H4516"/>
      <c r="I4516"/>
      <c r="J4516"/>
      <c r="K4516"/>
      <c r="L4516"/>
      <c r="M4516" s="820"/>
      <c r="N4516" s="451"/>
      <c r="O4516" s="454"/>
      <c r="P4516" s="473"/>
      <c r="Q4516" s="258"/>
      <c r="R4516" s="259"/>
      <c r="S4516" s="259"/>
      <c r="T4516" s="260"/>
      <c r="U4516" s="252"/>
      <c r="V4516" s="252"/>
      <c r="W4516" s="456"/>
      <c r="X4516" s="258"/>
      <c r="Y4516" s="202"/>
      <c r="Z4516" s="48"/>
      <c r="AA4516" s="252"/>
      <c r="AB4516" s="252"/>
      <c r="AC4516" s="456"/>
      <c r="AF4516"/>
      <c r="AG4516"/>
    </row>
    <row r="4517" spans="1:33" s="47" customFormat="1" hidden="1">
      <c r="A4517"/>
      <c r="B4517"/>
      <c r="C4517"/>
      <c r="D4517"/>
      <c r="E4517"/>
      <c r="F4517"/>
      <c r="G4517"/>
      <c r="H4517"/>
      <c r="I4517"/>
      <c r="J4517"/>
      <c r="K4517"/>
      <c r="L4517"/>
      <c r="M4517" s="820"/>
      <c r="N4517" s="451"/>
      <c r="O4517" s="454"/>
      <c r="P4517" s="473"/>
      <c r="Q4517" s="258"/>
      <c r="R4517" s="259"/>
      <c r="S4517" s="259"/>
      <c r="T4517" s="260"/>
      <c r="U4517" s="252"/>
      <c r="V4517" s="252"/>
      <c r="W4517" s="456"/>
      <c r="X4517" s="258"/>
      <c r="Y4517" s="202"/>
      <c r="Z4517" s="48"/>
      <c r="AA4517" s="252"/>
      <c r="AB4517" s="252"/>
      <c r="AC4517" s="456"/>
      <c r="AF4517"/>
      <c r="AG4517"/>
    </row>
    <row r="4518" spans="1:33" s="47" customFormat="1" hidden="1">
      <c r="A4518"/>
      <c r="B4518"/>
      <c r="C4518"/>
      <c r="D4518"/>
      <c r="E4518"/>
      <c r="F4518"/>
      <c r="G4518"/>
      <c r="H4518"/>
      <c r="I4518"/>
      <c r="J4518"/>
      <c r="K4518"/>
      <c r="L4518"/>
      <c r="M4518" s="820"/>
      <c r="N4518" s="451"/>
      <c r="O4518" s="455"/>
      <c r="P4518" s="473"/>
      <c r="Q4518" s="258"/>
      <c r="R4518" s="259"/>
      <c r="S4518" s="259"/>
      <c r="T4518" s="260"/>
      <c r="U4518" s="252"/>
      <c r="V4518" s="252"/>
      <c r="W4518" s="456"/>
      <c r="X4518" s="258"/>
      <c r="Y4518" s="202"/>
      <c r="Z4518" s="48"/>
      <c r="AA4518" s="252"/>
      <c r="AB4518" s="252"/>
      <c r="AC4518" s="456"/>
      <c r="AF4518"/>
      <c r="AG4518"/>
    </row>
    <row r="4519" spans="1:33" s="47" customFormat="1" hidden="1">
      <c r="A4519"/>
      <c r="B4519"/>
      <c r="C4519"/>
      <c r="D4519"/>
      <c r="E4519"/>
      <c r="F4519"/>
      <c r="G4519"/>
      <c r="H4519"/>
      <c r="I4519"/>
      <c r="J4519"/>
      <c r="K4519"/>
      <c r="L4519"/>
      <c r="M4519" s="820"/>
      <c r="N4519" s="451"/>
      <c r="O4519" s="455"/>
      <c r="P4519" s="473"/>
      <c r="Q4519" s="258"/>
      <c r="R4519" s="259"/>
      <c r="S4519" s="259"/>
      <c r="T4519" s="260"/>
      <c r="U4519" s="252"/>
      <c r="V4519" s="252"/>
      <c r="W4519" s="456"/>
      <c r="X4519" s="258"/>
      <c r="Y4519" s="202"/>
      <c r="Z4519" s="48"/>
      <c r="AA4519" s="252"/>
      <c r="AB4519" s="252"/>
      <c r="AC4519" s="456"/>
      <c r="AF4519"/>
      <c r="AG4519"/>
    </row>
    <row r="4520" spans="1:33" s="47" customFormat="1" hidden="1">
      <c r="A4520"/>
      <c r="B4520"/>
      <c r="C4520"/>
      <c r="D4520"/>
      <c r="E4520"/>
      <c r="F4520"/>
      <c r="G4520"/>
      <c r="H4520"/>
      <c r="I4520"/>
      <c r="J4520"/>
      <c r="K4520"/>
      <c r="L4520"/>
      <c r="M4520" s="820"/>
      <c r="N4520" s="461"/>
      <c r="O4520" s="455"/>
      <c r="P4520" s="473"/>
      <c r="Q4520" s="258"/>
      <c r="R4520" s="259"/>
      <c r="S4520" s="259"/>
      <c r="T4520" s="260"/>
      <c r="U4520" s="252"/>
      <c r="V4520" s="252"/>
      <c r="W4520" s="456"/>
      <c r="X4520" s="258"/>
      <c r="Y4520" s="202"/>
      <c r="Z4520" s="48"/>
      <c r="AA4520" s="252"/>
      <c r="AB4520" s="252"/>
      <c r="AC4520" s="456"/>
      <c r="AF4520"/>
      <c r="AG4520"/>
    </row>
    <row r="4521" spans="1:33" s="47" customFormat="1">
      <c r="A4521"/>
      <c r="B4521"/>
      <c r="C4521"/>
      <c r="D4521"/>
      <c r="E4521"/>
      <c r="F4521"/>
      <c r="G4521"/>
      <c r="H4521"/>
      <c r="I4521"/>
      <c r="J4521"/>
      <c r="K4521"/>
      <c r="L4521"/>
      <c r="M4521" s="820"/>
      <c r="N4521" s="461" t="str">
        <f>N4501 &amp; ".3"</f>
        <v>4.0.3.2.1.3</v>
      </c>
      <c r="O4521" s="457" t="s">
        <v>85</v>
      </c>
      <c r="P4521" s="473" t="s">
        <v>216</v>
      </c>
      <c r="Q4521" s="258"/>
      <c r="R4521" s="259"/>
      <c r="S4521" s="259"/>
      <c r="T4521" s="260"/>
      <c r="U4521" s="252"/>
      <c r="V4521" s="252"/>
      <c r="W4521" s="465"/>
      <c r="X4521" s="258"/>
      <c r="Y4521" s="202"/>
      <c r="Z4521" s="48"/>
      <c r="AA4521" s="252"/>
      <c r="AB4521" s="252"/>
      <c r="AC4521" s="465"/>
      <c r="AF4521"/>
      <c r="AG4521"/>
    </row>
    <row r="4522" spans="1:33" s="47" customFormat="1">
      <c r="A4522"/>
      <c r="B4522"/>
      <c r="C4522"/>
      <c r="D4522"/>
      <c r="E4522"/>
      <c r="F4522"/>
      <c r="G4522"/>
      <c r="H4522"/>
      <c r="I4522"/>
      <c r="J4522"/>
      <c r="K4522"/>
      <c r="L4522"/>
      <c r="M4522" s="820"/>
      <c r="N4522" s="461" t="str">
        <f>N4501 &amp; ".4"</f>
        <v>4.0.3.2.1.4</v>
      </c>
      <c r="O4522" s="457" t="s">
        <v>87</v>
      </c>
      <c r="P4522" s="473" t="s">
        <v>216</v>
      </c>
      <c r="Q4522" s="258"/>
      <c r="R4522" s="259"/>
      <c r="S4522" s="259"/>
      <c r="T4522" s="260"/>
      <c r="U4522" s="252"/>
      <c r="V4522" s="252"/>
      <c r="W4522" s="465"/>
      <c r="X4522" s="258"/>
      <c r="Y4522" s="202"/>
      <c r="Z4522" s="48"/>
      <c r="AA4522" s="252"/>
      <c r="AB4522" s="252"/>
      <c r="AC4522" s="465"/>
      <c r="AF4522"/>
      <c r="AG4522"/>
    </row>
    <row r="4523" spans="1:33" s="47" customFormat="1">
      <c r="A4523"/>
      <c r="B4523"/>
      <c r="C4523"/>
      <c r="D4523"/>
      <c r="E4523"/>
      <c r="F4523"/>
      <c r="G4523"/>
      <c r="H4523"/>
      <c r="I4523"/>
      <c r="J4523"/>
      <c r="K4523"/>
      <c r="L4523"/>
      <c r="M4523" s="820"/>
      <c r="N4523" s="461" t="str">
        <f>N4501&amp;".5"</f>
        <v>4.0.3.2.1.5</v>
      </c>
      <c r="O4523" s="457" t="s">
        <v>89</v>
      </c>
      <c r="P4523" s="473" t="s">
        <v>216</v>
      </c>
      <c r="Q4523" s="258"/>
      <c r="R4523" s="259"/>
      <c r="S4523" s="259"/>
      <c r="T4523" s="260"/>
      <c r="U4523" s="252"/>
      <c r="V4523" s="252"/>
      <c r="W4523" s="465"/>
      <c r="X4523" s="258"/>
      <c r="Y4523" s="202"/>
      <c r="Z4523" s="48"/>
      <c r="AA4523" s="252"/>
      <c r="AB4523" s="252"/>
      <c r="AC4523" s="465"/>
      <c r="AF4523"/>
      <c r="AG4523"/>
    </row>
    <row r="4524" spans="1:33" s="47" customFormat="1">
      <c r="A4524"/>
      <c r="B4524"/>
      <c r="C4524"/>
      <c r="D4524"/>
      <c r="E4524"/>
      <c r="F4524"/>
      <c r="G4524"/>
      <c r="H4524"/>
      <c r="I4524"/>
      <c r="J4524"/>
      <c r="K4524"/>
      <c r="L4524"/>
      <c r="M4524" s="820"/>
      <c r="N4524" s="461" t="str">
        <f>N4501 &amp; ".6"</f>
        <v>4.0.3.2.1.6</v>
      </c>
      <c r="O4524" s="457" t="s">
        <v>91</v>
      </c>
      <c r="P4524" s="473" t="s">
        <v>216</v>
      </c>
      <c r="Q4524" s="258"/>
      <c r="R4524" s="259"/>
      <c r="S4524" s="259"/>
      <c r="T4524" s="260"/>
      <c r="U4524" s="252"/>
      <c r="V4524" s="252"/>
      <c r="W4524" s="465"/>
      <c r="X4524" s="258"/>
      <c r="Y4524" s="202"/>
      <c r="Z4524" s="48"/>
      <c r="AA4524" s="252"/>
      <c r="AB4524" s="252"/>
      <c r="AC4524" s="465"/>
      <c r="AF4524"/>
      <c r="AG4524"/>
    </row>
    <row r="4525" spans="1:33" s="47" customFormat="1">
      <c r="A4525"/>
      <c r="B4525"/>
      <c r="C4525"/>
      <c r="D4525"/>
      <c r="E4525"/>
      <c r="F4525"/>
      <c r="G4525"/>
      <c r="H4525"/>
      <c r="I4525"/>
      <c r="J4525"/>
      <c r="K4525"/>
      <c r="L4525"/>
      <c r="M4525" s="820"/>
      <c r="N4525" s="461" t="str">
        <f>N4501 &amp; ".7"</f>
        <v>4.0.3.2.1.7</v>
      </c>
      <c r="O4525" s="457" t="s">
        <v>93</v>
      </c>
      <c r="P4525" s="473" t="s">
        <v>216</v>
      </c>
      <c r="Q4525" s="258"/>
      <c r="R4525" s="259"/>
      <c r="S4525" s="259"/>
      <c r="T4525" s="260"/>
      <c r="U4525" s="252"/>
      <c r="V4525" s="252"/>
      <c r="W4525" s="465"/>
      <c r="X4525" s="258"/>
      <c r="Y4525" s="202"/>
      <c r="Z4525" s="48"/>
      <c r="AA4525" s="252"/>
      <c r="AB4525" s="252"/>
      <c r="AC4525" s="465"/>
      <c r="AF4525"/>
      <c r="AG4525"/>
    </row>
    <row r="4526" spans="1:33" s="47" customFormat="1">
      <c r="A4526"/>
      <c r="B4526"/>
      <c r="C4526"/>
      <c r="D4526"/>
      <c r="E4526"/>
      <c r="F4526"/>
      <c r="G4526"/>
      <c r="H4526"/>
      <c r="I4526"/>
      <c r="J4526"/>
      <c r="K4526"/>
      <c r="L4526"/>
      <c r="M4526" s="820"/>
      <c r="N4526" s="461" t="str">
        <f>N4501 &amp; ".8"</f>
        <v>4.0.3.2.1.8</v>
      </c>
      <c r="O4526" s="457" t="s">
        <v>95</v>
      </c>
      <c r="P4526" s="473" t="s">
        <v>216</v>
      </c>
      <c r="Q4526" s="258"/>
      <c r="R4526" s="259"/>
      <c r="S4526" s="259"/>
      <c r="T4526" s="260"/>
      <c r="U4526" s="252"/>
      <c r="V4526" s="252"/>
      <c r="W4526" s="465"/>
      <c r="X4526" s="258"/>
      <c r="Y4526" s="202"/>
      <c r="Z4526" s="48"/>
      <c r="AA4526" s="252"/>
      <c r="AB4526" s="252"/>
      <c r="AC4526" s="465"/>
      <c r="AF4526"/>
      <c r="AG4526"/>
    </row>
    <row r="4527" spans="1:33" s="47" customFormat="1">
      <c r="A4527"/>
      <c r="B4527"/>
      <c r="C4527"/>
      <c r="D4527"/>
      <c r="E4527"/>
      <c r="F4527"/>
      <c r="G4527"/>
      <c r="H4527"/>
      <c r="I4527"/>
      <c r="J4527"/>
      <c r="K4527"/>
      <c r="L4527"/>
      <c r="M4527" s="820"/>
      <c r="N4527" s="461" t="str">
        <f>N4501 &amp; ".9"</f>
        <v>4.0.3.2.1.9</v>
      </c>
      <c r="O4527" s="457" t="s">
        <v>2976</v>
      </c>
      <c r="P4527" s="473" t="s">
        <v>216</v>
      </c>
      <c r="Q4527" s="258"/>
      <c r="R4527" s="259"/>
      <c r="S4527" s="259"/>
      <c r="T4527" s="260"/>
      <c r="U4527" s="252"/>
      <c r="V4527" s="252"/>
      <c r="W4527" s="465"/>
      <c r="X4527" s="258"/>
      <c r="Y4527" s="202"/>
      <c r="Z4527" s="48"/>
      <c r="AA4527" s="252"/>
      <c r="AB4527" s="252"/>
      <c r="AC4527" s="465"/>
      <c r="AF4527"/>
      <c r="AG4527"/>
    </row>
    <row r="4528" spans="1:33" s="47" customFormat="1">
      <c r="A4528"/>
      <c r="B4528"/>
      <c r="C4528"/>
      <c r="D4528"/>
      <c r="E4528"/>
      <c r="F4528"/>
      <c r="G4528"/>
      <c r="H4528"/>
      <c r="I4528"/>
      <c r="J4528"/>
      <c r="K4528"/>
      <c r="L4528"/>
      <c r="M4528" s="820"/>
      <c r="N4528" s="461" t="str">
        <f>N4501 &amp; ".10"</f>
        <v>4.0.3.2.1.10</v>
      </c>
      <c r="O4528" s="457" t="s">
        <v>2978</v>
      </c>
      <c r="P4528" s="473" t="s">
        <v>216</v>
      </c>
      <c r="Q4528" s="258"/>
      <c r="R4528" s="259"/>
      <c r="S4528" s="259"/>
      <c r="T4528" s="260"/>
      <c r="U4528" s="252"/>
      <c r="V4528" s="252"/>
      <c r="W4528" s="465"/>
      <c r="X4528" s="258"/>
      <c r="Y4528" s="202"/>
      <c r="Z4528" s="48"/>
      <c r="AA4528" s="252"/>
      <c r="AB4528" s="252"/>
      <c r="AC4528" s="465"/>
      <c r="AF4528"/>
      <c r="AG4528"/>
    </row>
    <row r="4529" spans="1:33" s="47" customFormat="1">
      <c r="A4529"/>
      <c r="B4529"/>
      <c r="C4529"/>
      <c r="D4529"/>
      <c r="E4529"/>
      <c r="F4529"/>
      <c r="G4529"/>
      <c r="H4529"/>
      <c r="I4529"/>
      <c r="J4529"/>
      <c r="K4529"/>
      <c r="L4529"/>
      <c r="M4529" s="820"/>
      <c r="N4529" s="461" t="str">
        <f>N4501 &amp; ".11"</f>
        <v>4.0.3.2.1.11</v>
      </c>
      <c r="O4529" s="457" t="s">
        <v>2980</v>
      </c>
      <c r="P4529" s="473" t="s">
        <v>216</v>
      </c>
      <c r="Q4529" s="258"/>
      <c r="R4529" s="259"/>
      <c r="S4529" s="259"/>
      <c r="T4529" s="260"/>
      <c r="U4529" s="252"/>
      <c r="V4529" s="252"/>
      <c r="W4529" s="465"/>
      <c r="X4529" s="258"/>
      <c r="Y4529" s="202"/>
      <c r="Z4529" s="48"/>
      <c r="AA4529" s="252"/>
      <c r="AB4529" s="252"/>
      <c r="AC4529" s="465"/>
      <c r="AF4529"/>
      <c r="AG4529"/>
    </row>
    <row r="4530" spans="1:33" s="47" customFormat="1">
      <c r="A4530"/>
      <c r="B4530"/>
      <c r="C4530"/>
      <c r="D4530"/>
      <c r="E4530"/>
      <c r="F4530"/>
      <c r="G4530"/>
      <c r="H4530"/>
      <c r="I4530"/>
      <c r="J4530"/>
      <c r="K4530"/>
      <c r="L4530"/>
      <c r="M4530" s="820"/>
      <c r="N4530" s="461" t="str">
        <f>N4501 &amp; ".12"</f>
        <v>4.0.3.2.1.12</v>
      </c>
      <c r="O4530" s="457" t="s">
        <v>2982</v>
      </c>
      <c r="P4530" s="473" t="s">
        <v>216</v>
      </c>
      <c r="Q4530" s="258"/>
      <c r="R4530" s="259"/>
      <c r="S4530" s="259"/>
      <c r="T4530" s="260"/>
      <c r="U4530" s="252"/>
      <c r="V4530" s="252"/>
      <c r="W4530" s="465"/>
      <c r="X4530" s="258"/>
      <c r="Y4530" s="202"/>
      <c r="Z4530" s="48"/>
      <c r="AA4530" s="252"/>
      <c r="AB4530" s="252"/>
      <c r="AC4530" s="465"/>
      <c r="AF4530"/>
      <c r="AG4530"/>
    </row>
    <row r="4531" spans="1:33" s="47" customFormat="1" hidden="1">
      <c r="A4531"/>
      <c r="B4531"/>
      <c r="C4531"/>
      <c r="D4531"/>
      <c r="E4531"/>
      <c r="F4531"/>
      <c r="G4531"/>
      <c r="H4531"/>
      <c r="I4531"/>
      <c r="J4531"/>
      <c r="K4531"/>
      <c r="L4531"/>
      <c r="M4531" s="820"/>
      <c r="N4531" s="451"/>
      <c r="O4531" s="454"/>
      <c r="P4531" s="473"/>
      <c r="Q4531" s="258"/>
      <c r="R4531" s="259"/>
      <c r="S4531" s="259"/>
      <c r="T4531" s="260"/>
      <c r="U4531" s="252"/>
      <c r="V4531" s="252"/>
      <c r="W4531" s="456"/>
      <c r="X4531" s="258"/>
      <c r="Y4531" s="202"/>
      <c r="Z4531" s="48"/>
      <c r="AA4531" s="252"/>
      <c r="AB4531" s="252"/>
      <c r="AC4531" s="456"/>
      <c r="AF4531"/>
      <c r="AG4531"/>
    </row>
    <row r="4532" spans="1:33" s="47" customFormat="1" hidden="1">
      <c r="A4532"/>
      <c r="B4532"/>
      <c r="C4532"/>
      <c r="D4532"/>
      <c r="E4532"/>
      <c r="F4532"/>
      <c r="G4532"/>
      <c r="H4532"/>
      <c r="I4532"/>
      <c r="J4532"/>
      <c r="K4532"/>
      <c r="L4532"/>
      <c r="M4532" s="820"/>
      <c r="N4532" s="451"/>
      <c r="O4532" s="454"/>
      <c r="P4532" s="473"/>
      <c r="Q4532" s="258"/>
      <c r="R4532" s="259"/>
      <c r="S4532" s="259"/>
      <c r="T4532" s="260"/>
      <c r="U4532" s="252"/>
      <c r="V4532" s="252"/>
      <c r="W4532" s="456"/>
      <c r="X4532" s="258"/>
      <c r="Y4532" s="202"/>
      <c r="Z4532" s="48"/>
      <c r="AA4532" s="252"/>
      <c r="AB4532" s="252"/>
      <c r="AC4532" s="456"/>
      <c r="AF4532"/>
      <c r="AG4532"/>
    </row>
    <row r="4533" spans="1:33" s="47" customFormat="1">
      <c r="A4533"/>
      <c r="B4533"/>
      <c r="C4533"/>
      <c r="D4533"/>
      <c r="E4533"/>
      <c r="F4533"/>
      <c r="G4533"/>
      <c r="H4533"/>
      <c r="I4533"/>
      <c r="J4533"/>
      <c r="K4533"/>
      <c r="L4533"/>
      <c r="M4533" s="820"/>
      <c r="N4533" s="461" t="str">
        <f>N4501 &amp; ".15"</f>
        <v>4.0.3.2.1.15</v>
      </c>
      <c r="O4533" s="457" t="s">
        <v>291</v>
      </c>
      <c r="P4533" s="473" t="s">
        <v>216</v>
      </c>
      <c r="Q4533" s="258"/>
      <c r="R4533" s="259"/>
      <c r="S4533" s="259"/>
      <c r="T4533" s="260"/>
      <c r="U4533" s="252"/>
      <c r="V4533" s="252"/>
      <c r="W4533" s="465"/>
      <c r="X4533" s="258"/>
      <c r="Y4533" s="202"/>
      <c r="Z4533" s="48"/>
      <c r="AA4533" s="252"/>
      <c r="AB4533" s="252"/>
      <c r="AC4533" s="465"/>
      <c r="AF4533"/>
      <c r="AG4533"/>
    </row>
    <row r="4534" spans="1:33" s="47" customFormat="1" ht="22.5">
      <c r="A4534"/>
      <c r="B4534"/>
      <c r="C4534"/>
      <c r="D4534"/>
      <c r="E4534"/>
      <c r="F4534"/>
      <c r="G4534"/>
      <c r="H4534"/>
      <c r="I4534"/>
      <c r="J4534"/>
      <c r="K4534"/>
      <c r="L4534"/>
      <c r="M4534" s="820"/>
      <c r="N4534" s="449" t="s">
        <v>275</v>
      </c>
      <c r="O4534" s="450" t="s">
        <v>241</v>
      </c>
      <c r="P4534" s="473"/>
      <c r="Q4534" s="258"/>
      <c r="R4534" s="259"/>
      <c r="S4534" s="259"/>
      <c r="T4534" s="260"/>
      <c r="U4534" s="252"/>
      <c r="V4534" s="252"/>
      <c r="W4534" s="456"/>
      <c r="X4534" s="258"/>
      <c r="Y4534" s="202"/>
      <c r="Z4534" s="48"/>
      <c r="AA4534" s="252"/>
      <c r="AB4534" s="252"/>
      <c r="AC4534" s="456"/>
      <c r="AF4534"/>
      <c r="AG4534"/>
    </row>
    <row r="4535" spans="1:33" s="47" customFormat="1">
      <c r="A4535"/>
      <c r="B4535"/>
      <c r="C4535"/>
      <c r="D4535"/>
      <c r="E4535"/>
      <c r="F4535"/>
      <c r="G4535"/>
      <c r="H4535"/>
      <c r="I4535"/>
      <c r="J4535"/>
      <c r="K4535"/>
      <c r="L4535"/>
      <c r="M4535" s="820"/>
      <c r="N4535" s="461" t="str">
        <f>N4534 &amp; ".1"</f>
        <v>4.0.3.2.2.1</v>
      </c>
      <c r="O4535" s="453" t="s">
        <v>78</v>
      </c>
      <c r="P4535" s="473" t="s">
        <v>223</v>
      </c>
      <c r="Q4535" s="258"/>
      <c r="R4535" s="259"/>
      <c r="S4535" s="259"/>
      <c r="T4535" s="260"/>
      <c r="U4535" s="252"/>
      <c r="V4535" s="252"/>
      <c r="W4535" s="465"/>
      <c r="X4535" s="258"/>
      <c r="Y4535" s="202"/>
      <c r="Z4535" s="48"/>
      <c r="AA4535" s="252"/>
      <c r="AB4535" s="252"/>
      <c r="AC4535" s="465"/>
      <c r="AF4535"/>
      <c r="AG4535"/>
    </row>
    <row r="4536" spans="1:33" s="47" customFormat="1" hidden="1">
      <c r="A4536"/>
      <c r="B4536"/>
      <c r="C4536"/>
      <c r="D4536"/>
      <c r="E4536"/>
      <c r="F4536"/>
      <c r="G4536"/>
      <c r="H4536"/>
      <c r="I4536"/>
      <c r="J4536"/>
      <c r="K4536"/>
      <c r="L4536"/>
      <c r="M4536" s="820"/>
      <c r="N4536" s="461"/>
      <c r="O4536" s="454"/>
      <c r="P4536" s="473"/>
      <c r="Q4536" s="258"/>
      <c r="R4536" s="259"/>
      <c r="S4536" s="259"/>
      <c r="T4536" s="260"/>
      <c r="U4536" s="252"/>
      <c r="V4536" s="252"/>
      <c r="W4536" s="456"/>
      <c r="X4536" s="258"/>
      <c r="Y4536" s="202"/>
      <c r="Z4536" s="48"/>
      <c r="AA4536" s="252"/>
      <c r="AB4536" s="252"/>
      <c r="AC4536" s="456"/>
      <c r="AF4536"/>
      <c r="AG4536"/>
    </row>
    <row r="4537" spans="1:33" s="47" customFormat="1" hidden="1">
      <c r="A4537"/>
      <c r="B4537"/>
      <c r="C4537"/>
      <c r="D4537"/>
      <c r="E4537"/>
      <c r="F4537"/>
      <c r="G4537"/>
      <c r="H4537"/>
      <c r="I4537"/>
      <c r="J4537"/>
      <c r="K4537"/>
      <c r="L4537"/>
      <c r="M4537" s="820"/>
      <c r="N4537" s="461"/>
      <c r="O4537" s="454"/>
      <c r="P4537" s="473"/>
      <c r="Q4537" s="258"/>
      <c r="R4537" s="259"/>
      <c r="S4537" s="259"/>
      <c r="T4537" s="260"/>
      <c r="U4537" s="252"/>
      <c r="V4537" s="252"/>
      <c r="W4537" s="456"/>
      <c r="X4537" s="258"/>
      <c r="Y4537" s="202"/>
      <c r="Z4537" s="48"/>
      <c r="AA4537" s="252"/>
      <c r="AB4537" s="252"/>
      <c r="AC4537" s="456"/>
      <c r="AF4537"/>
      <c r="AG4537"/>
    </row>
    <row r="4538" spans="1:33" s="47" customFormat="1" hidden="1">
      <c r="A4538"/>
      <c r="B4538"/>
      <c r="C4538"/>
      <c r="D4538"/>
      <c r="E4538"/>
      <c r="F4538"/>
      <c r="G4538"/>
      <c r="H4538"/>
      <c r="I4538"/>
      <c r="J4538"/>
      <c r="K4538"/>
      <c r="L4538"/>
      <c r="M4538" s="820"/>
      <c r="N4538" s="451"/>
      <c r="O4538" s="454"/>
      <c r="P4538" s="473"/>
      <c r="Q4538" s="258"/>
      <c r="R4538" s="259"/>
      <c r="S4538" s="259"/>
      <c r="T4538" s="260"/>
      <c r="U4538" s="252"/>
      <c r="V4538" s="252"/>
      <c r="W4538" s="456"/>
      <c r="X4538" s="258"/>
      <c r="Y4538" s="202"/>
      <c r="Z4538" s="48"/>
      <c r="AA4538" s="252"/>
      <c r="AB4538" s="252"/>
      <c r="AC4538" s="456"/>
      <c r="AF4538"/>
      <c r="AG4538"/>
    </row>
    <row r="4539" spans="1:33" s="47" customFormat="1" hidden="1">
      <c r="A4539"/>
      <c r="B4539"/>
      <c r="C4539"/>
      <c r="D4539"/>
      <c r="E4539"/>
      <c r="F4539"/>
      <c r="G4539"/>
      <c r="H4539"/>
      <c r="I4539"/>
      <c r="J4539"/>
      <c r="K4539"/>
      <c r="L4539"/>
      <c r="M4539" s="820"/>
      <c r="N4539" s="451"/>
      <c r="O4539" s="454"/>
      <c r="P4539" s="473"/>
      <c r="Q4539" s="258"/>
      <c r="R4539" s="259"/>
      <c r="S4539" s="259"/>
      <c r="T4539" s="260"/>
      <c r="U4539" s="252"/>
      <c r="V4539" s="252"/>
      <c r="W4539" s="456"/>
      <c r="X4539" s="258"/>
      <c r="Y4539" s="202"/>
      <c r="Z4539" s="48"/>
      <c r="AA4539" s="252"/>
      <c r="AB4539" s="252"/>
      <c r="AC4539" s="456"/>
      <c r="AF4539"/>
      <c r="AG4539"/>
    </row>
    <row r="4540" spans="1:33" s="47" customFormat="1" hidden="1">
      <c r="A4540"/>
      <c r="B4540"/>
      <c r="C4540"/>
      <c r="D4540"/>
      <c r="E4540"/>
      <c r="F4540"/>
      <c r="G4540"/>
      <c r="H4540"/>
      <c r="I4540"/>
      <c r="J4540"/>
      <c r="K4540"/>
      <c r="L4540"/>
      <c r="M4540" s="820"/>
      <c r="N4540" s="451"/>
      <c r="O4540" s="454"/>
      <c r="P4540" s="473"/>
      <c r="Q4540" s="258"/>
      <c r="R4540" s="259"/>
      <c r="S4540" s="259"/>
      <c r="T4540" s="260"/>
      <c r="U4540" s="252"/>
      <c r="V4540" s="252"/>
      <c r="W4540" s="456"/>
      <c r="X4540" s="258"/>
      <c r="Y4540" s="202"/>
      <c r="Z4540" s="48"/>
      <c r="AA4540" s="252"/>
      <c r="AB4540" s="252"/>
      <c r="AC4540" s="456"/>
      <c r="AF4540"/>
      <c r="AG4540"/>
    </row>
    <row r="4541" spans="1:33" s="47" customFormat="1" hidden="1">
      <c r="A4541"/>
      <c r="B4541"/>
      <c r="C4541"/>
      <c r="D4541"/>
      <c r="E4541"/>
      <c r="F4541"/>
      <c r="G4541"/>
      <c r="H4541"/>
      <c r="I4541"/>
      <c r="J4541"/>
      <c r="K4541"/>
      <c r="L4541"/>
      <c r="M4541" s="820"/>
      <c r="N4541" s="451"/>
      <c r="O4541" s="454"/>
      <c r="P4541" s="473"/>
      <c r="Q4541" s="258"/>
      <c r="R4541" s="259"/>
      <c r="S4541" s="259"/>
      <c r="T4541" s="260"/>
      <c r="U4541" s="252"/>
      <c r="V4541" s="252"/>
      <c r="W4541" s="456"/>
      <c r="X4541" s="258"/>
      <c r="Y4541" s="202"/>
      <c r="Z4541" s="48"/>
      <c r="AA4541" s="252"/>
      <c r="AB4541" s="252"/>
      <c r="AC4541" s="456"/>
      <c r="AF4541"/>
      <c r="AG4541"/>
    </row>
    <row r="4542" spans="1:33" s="47" customFormat="1" hidden="1">
      <c r="A4542"/>
      <c r="B4542"/>
      <c r="C4542"/>
      <c r="D4542"/>
      <c r="E4542"/>
      <c r="F4542"/>
      <c r="G4542"/>
      <c r="H4542"/>
      <c r="I4542"/>
      <c r="J4542"/>
      <c r="K4542"/>
      <c r="L4542"/>
      <c r="M4542" s="820"/>
      <c r="N4542" s="451"/>
      <c r="O4542" s="454"/>
      <c r="P4542" s="473"/>
      <c r="Q4542" s="258"/>
      <c r="R4542" s="259"/>
      <c r="S4542" s="259"/>
      <c r="T4542" s="260"/>
      <c r="U4542" s="252"/>
      <c r="V4542" s="252"/>
      <c r="W4542" s="456"/>
      <c r="X4542" s="258"/>
      <c r="Y4542" s="202"/>
      <c r="Z4542" s="48"/>
      <c r="AA4542" s="252"/>
      <c r="AB4542" s="252"/>
      <c r="AC4542" s="456"/>
      <c r="AF4542"/>
      <c r="AG4542"/>
    </row>
    <row r="4543" spans="1:33" s="47" customFormat="1" hidden="1">
      <c r="A4543"/>
      <c r="B4543"/>
      <c r="C4543"/>
      <c r="D4543"/>
      <c r="E4543"/>
      <c r="F4543"/>
      <c r="G4543"/>
      <c r="H4543"/>
      <c r="I4543"/>
      <c r="J4543"/>
      <c r="K4543"/>
      <c r="L4543"/>
      <c r="M4543" s="820"/>
      <c r="N4543" s="451"/>
      <c r="O4543" s="454"/>
      <c r="P4543" s="473"/>
      <c r="Q4543" s="258"/>
      <c r="R4543" s="259"/>
      <c r="S4543" s="259"/>
      <c r="T4543" s="260"/>
      <c r="U4543" s="252"/>
      <c r="V4543" s="252"/>
      <c r="W4543" s="456"/>
      <c r="X4543" s="258"/>
      <c r="Y4543" s="202"/>
      <c r="Z4543" s="48"/>
      <c r="AA4543" s="252"/>
      <c r="AB4543" s="252"/>
      <c r="AC4543" s="456"/>
      <c r="AF4543"/>
      <c r="AG4543"/>
    </row>
    <row r="4544" spans="1:33" s="47" customFormat="1" hidden="1">
      <c r="A4544"/>
      <c r="B4544"/>
      <c r="C4544"/>
      <c r="D4544"/>
      <c r="E4544"/>
      <c r="F4544"/>
      <c r="G4544"/>
      <c r="H4544"/>
      <c r="I4544"/>
      <c r="J4544"/>
      <c r="K4544"/>
      <c r="L4544"/>
      <c r="M4544" s="820"/>
      <c r="N4544" s="451"/>
      <c r="O4544" s="454"/>
      <c r="P4544" s="473"/>
      <c r="Q4544" s="258"/>
      <c r="R4544" s="259"/>
      <c r="S4544" s="259"/>
      <c r="T4544" s="260"/>
      <c r="U4544" s="252"/>
      <c r="V4544" s="252"/>
      <c r="W4544" s="456"/>
      <c r="X4544" s="258"/>
      <c r="Y4544" s="202"/>
      <c r="Z4544" s="48"/>
      <c r="AA4544" s="252"/>
      <c r="AB4544" s="252"/>
      <c r="AC4544" s="456"/>
      <c r="AF4544"/>
      <c r="AG4544"/>
    </row>
    <row r="4545" spans="1:33" s="47" customFormat="1" hidden="1">
      <c r="A4545"/>
      <c r="B4545"/>
      <c r="C4545"/>
      <c r="D4545"/>
      <c r="E4545"/>
      <c r="F4545"/>
      <c r="G4545"/>
      <c r="H4545"/>
      <c r="I4545"/>
      <c r="J4545"/>
      <c r="K4545"/>
      <c r="L4545"/>
      <c r="M4545" s="820"/>
      <c r="N4545" s="461"/>
      <c r="O4545" s="454"/>
      <c r="P4545" s="473"/>
      <c r="Q4545" s="258"/>
      <c r="R4545" s="259"/>
      <c r="S4545" s="259"/>
      <c r="T4545" s="260"/>
      <c r="U4545" s="252"/>
      <c r="V4545" s="252"/>
      <c r="W4545" s="456"/>
      <c r="X4545" s="258"/>
      <c r="Y4545" s="202"/>
      <c r="Z4545" s="48"/>
      <c r="AA4545" s="252"/>
      <c r="AB4545" s="252"/>
      <c r="AC4545" s="456"/>
      <c r="AF4545"/>
      <c r="AG4545"/>
    </row>
    <row r="4546" spans="1:33" s="47" customFormat="1" hidden="1">
      <c r="A4546"/>
      <c r="B4546"/>
      <c r="C4546"/>
      <c r="D4546"/>
      <c r="E4546"/>
      <c r="F4546"/>
      <c r="G4546"/>
      <c r="H4546"/>
      <c r="I4546"/>
      <c r="J4546"/>
      <c r="K4546"/>
      <c r="L4546"/>
      <c r="M4546" s="820"/>
      <c r="N4546" s="451"/>
      <c r="O4546" s="454"/>
      <c r="P4546" s="473"/>
      <c r="Q4546" s="258"/>
      <c r="R4546" s="259"/>
      <c r="S4546" s="259"/>
      <c r="T4546" s="260"/>
      <c r="U4546" s="252"/>
      <c r="V4546" s="252"/>
      <c r="W4546" s="456"/>
      <c r="X4546" s="258"/>
      <c r="Y4546" s="202"/>
      <c r="Z4546" s="48"/>
      <c r="AA4546" s="252"/>
      <c r="AB4546" s="252"/>
      <c r="AC4546" s="456"/>
      <c r="AF4546"/>
      <c r="AG4546"/>
    </row>
    <row r="4547" spans="1:33" s="47" customFormat="1" hidden="1">
      <c r="A4547"/>
      <c r="B4547"/>
      <c r="C4547"/>
      <c r="D4547"/>
      <c r="E4547"/>
      <c r="F4547"/>
      <c r="G4547"/>
      <c r="H4547"/>
      <c r="I4547"/>
      <c r="J4547"/>
      <c r="K4547"/>
      <c r="L4547"/>
      <c r="M4547" s="820"/>
      <c r="N4547" s="451"/>
      <c r="O4547" s="454"/>
      <c r="P4547" s="473"/>
      <c r="Q4547" s="258"/>
      <c r="R4547" s="259"/>
      <c r="S4547" s="259"/>
      <c r="T4547" s="260"/>
      <c r="U4547" s="252"/>
      <c r="V4547" s="252"/>
      <c r="W4547" s="456"/>
      <c r="X4547" s="258"/>
      <c r="Y4547" s="202"/>
      <c r="Z4547" s="48"/>
      <c r="AA4547" s="252"/>
      <c r="AB4547" s="252"/>
      <c r="AC4547" s="456"/>
      <c r="AF4547"/>
      <c r="AG4547"/>
    </row>
    <row r="4548" spans="1:33" s="47" customFormat="1" hidden="1">
      <c r="A4548"/>
      <c r="B4548"/>
      <c r="C4548"/>
      <c r="D4548"/>
      <c r="E4548"/>
      <c r="F4548"/>
      <c r="G4548"/>
      <c r="H4548"/>
      <c r="I4548"/>
      <c r="J4548"/>
      <c r="K4548"/>
      <c r="L4548"/>
      <c r="M4548" s="820"/>
      <c r="N4548" s="451"/>
      <c r="O4548" s="454"/>
      <c r="P4548" s="473"/>
      <c r="Q4548" s="258"/>
      <c r="R4548" s="259"/>
      <c r="S4548" s="259"/>
      <c r="T4548" s="260"/>
      <c r="U4548" s="252"/>
      <c r="V4548" s="252"/>
      <c r="W4548" s="456"/>
      <c r="X4548" s="258"/>
      <c r="Y4548" s="202"/>
      <c r="Z4548" s="48"/>
      <c r="AA4548" s="252"/>
      <c r="AB4548" s="252"/>
      <c r="AC4548" s="456"/>
      <c r="AF4548"/>
      <c r="AG4548"/>
    </row>
    <row r="4549" spans="1:33" s="47" customFormat="1" hidden="1">
      <c r="A4549"/>
      <c r="B4549"/>
      <c r="C4549"/>
      <c r="D4549"/>
      <c r="E4549"/>
      <c r="F4549"/>
      <c r="G4549"/>
      <c r="H4549"/>
      <c r="I4549"/>
      <c r="J4549"/>
      <c r="K4549"/>
      <c r="L4549"/>
      <c r="M4549" s="820"/>
      <c r="N4549" s="451"/>
      <c r="O4549" s="454"/>
      <c r="P4549" s="473"/>
      <c r="Q4549" s="258"/>
      <c r="R4549" s="259"/>
      <c r="S4549" s="259"/>
      <c r="T4549" s="260"/>
      <c r="U4549" s="252"/>
      <c r="V4549" s="252"/>
      <c r="W4549" s="456"/>
      <c r="X4549" s="258"/>
      <c r="Y4549" s="202"/>
      <c r="Z4549" s="48"/>
      <c r="AA4549" s="252"/>
      <c r="AB4549" s="252"/>
      <c r="AC4549" s="456"/>
      <c r="AF4549"/>
      <c r="AG4549"/>
    </row>
    <row r="4550" spans="1:33" s="47" customFormat="1" hidden="1">
      <c r="A4550"/>
      <c r="B4550"/>
      <c r="C4550"/>
      <c r="D4550"/>
      <c r="E4550"/>
      <c r="F4550"/>
      <c r="G4550"/>
      <c r="H4550"/>
      <c r="I4550"/>
      <c r="J4550"/>
      <c r="K4550"/>
      <c r="L4550"/>
      <c r="M4550" s="820"/>
      <c r="N4550" s="451"/>
      <c r="O4550" s="454"/>
      <c r="P4550" s="473"/>
      <c r="Q4550" s="258"/>
      <c r="R4550" s="259"/>
      <c r="S4550" s="259"/>
      <c r="T4550" s="260"/>
      <c r="U4550" s="252"/>
      <c r="V4550" s="252"/>
      <c r="W4550" s="456"/>
      <c r="X4550" s="258"/>
      <c r="Y4550" s="202"/>
      <c r="Z4550" s="48"/>
      <c r="AA4550" s="252"/>
      <c r="AB4550" s="252"/>
      <c r="AC4550" s="456"/>
      <c r="AF4550"/>
      <c r="AG4550"/>
    </row>
    <row r="4551" spans="1:33" s="47" customFormat="1" hidden="1">
      <c r="A4551"/>
      <c r="B4551"/>
      <c r="C4551"/>
      <c r="D4551"/>
      <c r="E4551"/>
      <c r="F4551"/>
      <c r="G4551"/>
      <c r="H4551"/>
      <c r="I4551"/>
      <c r="J4551"/>
      <c r="K4551"/>
      <c r="L4551"/>
      <c r="M4551" s="820"/>
      <c r="N4551" s="451"/>
      <c r="O4551" s="455"/>
      <c r="P4551" s="473"/>
      <c r="Q4551" s="258"/>
      <c r="R4551" s="259"/>
      <c r="S4551" s="259"/>
      <c r="T4551" s="260"/>
      <c r="U4551" s="252"/>
      <c r="V4551" s="252"/>
      <c r="W4551" s="456"/>
      <c r="X4551" s="258"/>
      <c r="Y4551" s="202"/>
      <c r="Z4551" s="48"/>
      <c r="AA4551" s="252"/>
      <c r="AB4551" s="252"/>
      <c r="AC4551" s="456"/>
      <c r="AF4551"/>
      <c r="AG4551"/>
    </row>
    <row r="4552" spans="1:33" s="47" customFormat="1" hidden="1">
      <c r="A4552"/>
      <c r="B4552"/>
      <c r="C4552"/>
      <c r="D4552"/>
      <c r="E4552"/>
      <c r="F4552"/>
      <c r="G4552"/>
      <c r="H4552"/>
      <c r="I4552"/>
      <c r="J4552"/>
      <c r="K4552"/>
      <c r="L4552"/>
      <c r="M4552" s="820"/>
      <c r="N4552" s="451"/>
      <c r="O4552" s="455"/>
      <c r="P4552" s="473"/>
      <c r="Q4552" s="258"/>
      <c r="R4552" s="259"/>
      <c r="S4552" s="259"/>
      <c r="T4552" s="260"/>
      <c r="U4552" s="252"/>
      <c r="V4552" s="252"/>
      <c r="W4552" s="456"/>
      <c r="X4552" s="258"/>
      <c r="Y4552" s="202"/>
      <c r="Z4552" s="48"/>
      <c r="AA4552" s="252"/>
      <c r="AB4552" s="252"/>
      <c r="AC4552" s="456"/>
      <c r="AF4552"/>
      <c r="AG4552"/>
    </row>
    <row r="4553" spans="1:33" s="47" customFormat="1" hidden="1">
      <c r="A4553"/>
      <c r="B4553"/>
      <c r="C4553"/>
      <c r="D4553"/>
      <c r="E4553"/>
      <c r="F4553"/>
      <c r="G4553"/>
      <c r="H4553"/>
      <c r="I4553"/>
      <c r="J4553"/>
      <c r="K4553"/>
      <c r="L4553"/>
      <c r="M4553" s="820"/>
      <c r="N4553" s="461"/>
      <c r="O4553" s="455"/>
      <c r="P4553" s="473"/>
      <c r="Q4553" s="258"/>
      <c r="R4553" s="259"/>
      <c r="S4553" s="259"/>
      <c r="T4553" s="260"/>
      <c r="U4553" s="252"/>
      <c r="V4553" s="252"/>
      <c r="W4553" s="456"/>
      <c r="X4553" s="258"/>
      <c r="Y4553" s="202"/>
      <c r="Z4553" s="48"/>
      <c r="AA4553" s="252"/>
      <c r="AB4553" s="252"/>
      <c r="AC4553" s="456"/>
      <c r="AF4553"/>
      <c r="AG4553"/>
    </row>
    <row r="4554" spans="1:33" s="47" customFormat="1">
      <c r="A4554"/>
      <c r="B4554"/>
      <c r="C4554"/>
      <c r="D4554"/>
      <c r="E4554"/>
      <c r="F4554"/>
      <c r="G4554"/>
      <c r="H4554"/>
      <c r="I4554"/>
      <c r="J4554"/>
      <c r="K4554"/>
      <c r="L4554"/>
      <c r="M4554" s="820"/>
      <c r="N4554" s="461" t="str">
        <f>N4534 &amp; ".3"</f>
        <v>4.0.3.2.2.3</v>
      </c>
      <c r="O4554" s="457" t="s">
        <v>85</v>
      </c>
      <c r="P4554" s="473" t="s">
        <v>223</v>
      </c>
      <c r="Q4554" s="258"/>
      <c r="R4554" s="259"/>
      <c r="S4554" s="259"/>
      <c r="T4554" s="260"/>
      <c r="U4554" s="252"/>
      <c r="V4554" s="252"/>
      <c r="W4554" s="465"/>
      <c r="X4554" s="258"/>
      <c r="Y4554" s="202"/>
      <c r="Z4554" s="48"/>
      <c r="AA4554" s="252"/>
      <c r="AB4554" s="252"/>
      <c r="AC4554" s="465"/>
      <c r="AF4554"/>
      <c r="AG4554"/>
    </row>
    <row r="4555" spans="1:33" s="47" customFormat="1">
      <c r="A4555"/>
      <c r="B4555"/>
      <c r="C4555"/>
      <c r="D4555"/>
      <c r="E4555"/>
      <c r="F4555"/>
      <c r="G4555"/>
      <c r="H4555"/>
      <c r="I4555"/>
      <c r="J4555"/>
      <c r="K4555"/>
      <c r="L4555"/>
      <c r="M4555" s="820"/>
      <c r="N4555" s="461" t="str">
        <f>N4534 &amp; ".4"</f>
        <v>4.0.3.2.2.4</v>
      </c>
      <c r="O4555" s="457" t="s">
        <v>87</v>
      </c>
      <c r="P4555" s="473" t="s">
        <v>223</v>
      </c>
      <c r="Q4555" s="258"/>
      <c r="R4555" s="259"/>
      <c r="S4555" s="259"/>
      <c r="T4555" s="260"/>
      <c r="U4555" s="252"/>
      <c r="V4555" s="252"/>
      <c r="W4555" s="465"/>
      <c r="X4555" s="258"/>
      <c r="Y4555" s="202"/>
      <c r="Z4555" s="48"/>
      <c r="AA4555" s="252"/>
      <c r="AB4555" s="252"/>
      <c r="AC4555" s="465"/>
      <c r="AF4555"/>
      <c r="AG4555"/>
    </row>
    <row r="4556" spans="1:33" s="47" customFormat="1">
      <c r="A4556"/>
      <c r="B4556"/>
      <c r="C4556"/>
      <c r="D4556"/>
      <c r="E4556"/>
      <c r="F4556"/>
      <c r="G4556"/>
      <c r="H4556"/>
      <c r="I4556"/>
      <c r="J4556"/>
      <c r="K4556"/>
      <c r="L4556"/>
      <c r="M4556" s="820"/>
      <c r="N4556" s="461" t="str">
        <f>N4534&amp;".5"</f>
        <v>4.0.3.2.2.5</v>
      </c>
      <c r="O4556" s="457" t="s">
        <v>89</v>
      </c>
      <c r="P4556" s="473" t="s">
        <v>223</v>
      </c>
      <c r="Q4556" s="258"/>
      <c r="R4556" s="259"/>
      <c r="S4556" s="259"/>
      <c r="T4556" s="260"/>
      <c r="U4556" s="252"/>
      <c r="V4556" s="252"/>
      <c r="W4556" s="465"/>
      <c r="X4556" s="258"/>
      <c r="Y4556" s="202"/>
      <c r="Z4556" s="48"/>
      <c r="AA4556" s="252"/>
      <c r="AB4556" s="252"/>
      <c r="AC4556" s="465"/>
      <c r="AF4556"/>
      <c r="AG4556"/>
    </row>
    <row r="4557" spans="1:33" s="47" customFormat="1">
      <c r="A4557"/>
      <c r="B4557"/>
      <c r="C4557"/>
      <c r="D4557"/>
      <c r="E4557"/>
      <c r="F4557"/>
      <c r="G4557"/>
      <c r="H4557"/>
      <c r="I4557"/>
      <c r="J4557"/>
      <c r="K4557"/>
      <c r="L4557"/>
      <c r="M4557" s="820"/>
      <c r="N4557" s="461" t="str">
        <f>N4534 &amp; ".6"</f>
        <v>4.0.3.2.2.6</v>
      </c>
      <c r="O4557" s="457" t="s">
        <v>91</v>
      </c>
      <c r="P4557" s="473" t="s">
        <v>223</v>
      </c>
      <c r="Q4557" s="258"/>
      <c r="R4557" s="259"/>
      <c r="S4557" s="259"/>
      <c r="T4557" s="260"/>
      <c r="U4557" s="252"/>
      <c r="V4557" s="252"/>
      <c r="W4557" s="465"/>
      <c r="X4557" s="258"/>
      <c r="Y4557" s="202"/>
      <c r="Z4557" s="48"/>
      <c r="AA4557" s="252"/>
      <c r="AB4557" s="252"/>
      <c r="AC4557" s="465"/>
      <c r="AF4557"/>
      <c r="AG4557"/>
    </row>
    <row r="4558" spans="1:33" s="47" customFormat="1">
      <c r="A4558"/>
      <c r="B4558"/>
      <c r="C4558"/>
      <c r="D4558"/>
      <c r="E4558"/>
      <c r="F4558"/>
      <c r="G4558"/>
      <c r="H4558"/>
      <c r="I4558"/>
      <c r="J4558"/>
      <c r="K4558"/>
      <c r="L4558"/>
      <c r="M4558" s="820"/>
      <c r="N4558" s="461" t="str">
        <f>N4534 &amp; ".7"</f>
        <v>4.0.3.2.2.7</v>
      </c>
      <c r="O4558" s="457" t="s">
        <v>93</v>
      </c>
      <c r="P4558" s="473" t="s">
        <v>223</v>
      </c>
      <c r="Q4558" s="258"/>
      <c r="R4558" s="259"/>
      <c r="S4558" s="259"/>
      <c r="T4558" s="260"/>
      <c r="U4558" s="252"/>
      <c r="V4558" s="252"/>
      <c r="W4558" s="465"/>
      <c r="X4558" s="258"/>
      <c r="Y4558" s="202"/>
      <c r="Z4558" s="48"/>
      <c r="AA4558" s="252"/>
      <c r="AB4558" s="252"/>
      <c r="AC4558" s="465"/>
      <c r="AF4558"/>
      <c r="AG4558"/>
    </row>
    <row r="4559" spans="1:33" s="47" customFormat="1">
      <c r="A4559"/>
      <c r="B4559"/>
      <c r="C4559"/>
      <c r="D4559"/>
      <c r="E4559"/>
      <c r="F4559"/>
      <c r="G4559"/>
      <c r="H4559"/>
      <c r="I4559"/>
      <c r="J4559"/>
      <c r="K4559"/>
      <c r="L4559"/>
      <c r="M4559" s="820"/>
      <c r="N4559" s="461" t="str">
        <f>N4534 &amp; ".8"</f>
        <v>4.0.3.2.2.8</v>
      </c>
      <c r="O4559" s="457" t="s">
        <v>95</v>
      </c>
      <c r="P4559" s="473" t="s">
        <v>223</v>
      </c>
      <c r="Q4559" s="258"/>
      <c r="R4559" s="259"/>
      <c r="S4559" s="259"/>
      <c r="T4559" s="260"/>
      <c r="U4559" s="252"/>
      <c r="V4559" s="252"/>
      <c r="W4559" s="465"/>
      <c r="X4559" s="258"/>
      <c r="Y4559" s="202"/>
      <c r="Z4559" s="48"/>
      <c r="AA4559" s="252"/>
      <c r="AB4559" s="252"/>
      <c r="AC4559" s="465"/>
      <c r="AF4559"/>
      <c r="AG4559"/>
    </row>
    <row r="4560" spans="1:33" s="47" customFormat="1">
      <c r="A4560"/>
      <c r="B4560"/>
      <c r="C4560"/>
      <c r="D4560"/>
      <c r="E4560"/>
      <c r="F4560"/>
      <c r="G4560"/>
      <c r="H4560"/>
      <c r="I4560"/>
      <c r="J4560"/>
      <c r="K4560"/>
      <c r="L4560"/>
      <c r="M4560" s="820"/>
      <c r="N4560" s="461" t="str">
        <f>N4534 &amp; ".9"</f>
        <v>4.0.3.2.2.9</v>
      </c>
      <c r="O4560" s="457" t="s">
        <v>2976</v>
      </c>
      <c r="P4560" s="473" t="s">
        <v>223</v>
      </c>
      <c r="Q4560" s="258"/>
      <c r="R4560" s="259"/>
      <c r="S4560" s="259"/>
      <c r="T4560" s="260"/>
      <c r="U4560" s="252"/>
      <c r="V4560" s="252"/>
      <c r="W4560" s="465"/>
      <c r="X4560" s="258"/>
      <c r="Y4560" s="202"/>
      <c r="Z4560" s="48"/>
      <c r="AA4560" s="252"/>
      <c r="AB4560" s="252"/>
      <c r="AC4560" s="465"/>
      <c r="AF4560"/>
      <c r="AG4560"/>
    </row>
    <row r="4561" spans="1:33" s="47" customFormat="1">
      <c r="A4561"/>
      <c r="B4561"/>
      <c r="C4561"/>
      <c r="D4561"/>
      <c r="E4561"/>
      <c r="F4561"/>
      <c r="G4561"/>
      <c r="H4561"/>
      <c r="I4561"/>
      <c r="J4561"/>
      <c r="K4561"/>
      <c r="L4561"/>
      <c r="M4561" s="820"/>
      <c r="N4561" s="461" t="str">
        <f>N4534 &amp; ".10"</f>
        <v>4.0.3.2.2.10</v>
      </c>
      <c r="O4561" s="457" t="s">
        <v>2978</v>
      </c>
      <c r="P4561" s="473" t="s">
        <v>223</v>
      </c>
      <c r="Q4561" s="258"/>
      <c r="R4561" s="259"/>
      <c r="S4561" s="259"/>
      <c r="T4561" s="260"/>
      <c r="U4561" s="252"/>
      <c r="V4561" s="252"/>
      <c r="W4561" s="465"/>
      <c r="X4561" s="258"/>
      <c r="Y4561" s="202"/>
      <c r="Z4561" s="48"/>
      <c r="AA4561" s="252"/>
      <c r="AB4561" s="252"/>
      <c r="AC4561" s="465"/>
      <c r="AF4561"/>
      <c r="AG4561"/>
    </row>
    <row r="4562" spans="1:33" s="47" customFormat="1">
      <c r="A4562"/>
      <c r="B4562"/>
      <c r="C4562"/>
      <c r="D4562"/>
      <c r="E4562"/>
      <c r="F4562"/>
      <c r="G4562"/>
      <c r="H4562"/>
      <c r="I4562"/>
      <c r="J4562"/>
      <c r="K4562"/>
      <c r="L4562"/>
      <c r="M4562" s="820"/>
      <c r="N4562" s="461" t="str">
        <f>N4534 &amp; ".11"</f>
        <v>4.0.3.2.2.11</v>
      </c>
      <c r="O4562" s="457" t="s">
        <v>2980</v>
      </c>
      <c r="P4562" s="473" t="s">
        <v>223</v>
      </c>
      <c r="Q4562" s="258"/>
      <c r="R4562" s="259"/>
      <c r="S4562" s="259"/>
      <c r="T4562" s="260"/>
      <c r="U4562" s="252"/>
      <c r="V4562" s="252"/>
      <c r="W4562" s="465"/>
      <c r="X4562" s="258"/>
      <c r="Y4562" s="202"/>
      <c r="Z4562" s="48"/>
      <c r="AA4562" s="252"/>
      <c r="AB4562" s="252"/>
      <c r="AC4562" s="465"/>
      <c r="AF4562"/>
      <c r="AG4562"/>
    </row>
    <row r="4563" spans="1:33" s="47" customFormat="1">
      <c r="A4563"/>
      <c r="B4563"/>
      <c r="C4563"/>
      <c r="D4563"/>
      <c r="E4563"/>
      <c r="F4563"/>
      <c r="G4563"/>
      <c r="H4563"/>
      <c r="I4563"/>
      <c r="J4563"/>
      <c r="K4563"/>
      <c r="L4563"/>
      <c r="M4563" s="820"/>
      <c r="N4563" s="461" t="str">
        <f>N4534 &amp; ".12"</f>
        <v>4.0.3.2.2.12</v>
      </c>
      <c r="O4563" s="457" t="s">
        <v>2982</v>
      </c>
      <c r="P4563" s="473" t="s">
        <v>223</v>
      </c>
      <c r="Q4563" s="258"/>
      <c r="R4563" s="259"/>
      <c r="S4563" s="259"/>
      <c r="T4563" s="260"/>
      <c r="U4563" s="252"/>
      <c r="V4563" s="252"/>
      <c r="W4563" s="465"/>
      <c r="X4563" s="258"/>
      <c r="Y4563" s="202"/>
      <c r="Z4563" s="48"/>
      <c r="AA4563" s="252"/>
      <c r="AB4563" s="252"/>
      <c r="AC4563" s="465"/>
      <c r="AF4563"/>
      <c r="AG4563"/>
    </row>
    <row r="4564" spans="1:33" s="47" customFormat="1" hidden="1">
      <c r="A4564"/>
      <c r="B4564"/>
      <c r="C4564"/>
      <c r="D4564"/>
      <c r="E4564"/>
      <c r="F4564"/>
      <c r="G4564"/>
      <c r="H4564"/>
      <c r="I4564"/>
      <c r="J4564"/>
      <c r="K4564"/>
      <c r="L4564"/>
      <c r="M4564" s="820"/>
      <c r="N4564" s="451"/>
      <c r="O4564" s="454"/>
      <c r="P4564" s="473"/>
      <c r="Q4564" s="258"/>
      <c r="R4564" s="259"/>
      <c r="S4564" s="259"/>
      <c r="T4564" s="260"/>
      <c r="U4564" s="252"/>
      <c r="V4564" s="252"/>
      <c r="W4564" s="456"/>
      <c r="X4564" s="258"/>
      <c r="Y4564" s="202"/>
      <c r="Z4564" s="48"/>
      <c r="AA4564" s="252"/>
      <c r="AB4564" s="252"/>
      <c r="AC4564" s="456"/>
      <c r="AF4564"/>
      <c r="AG4564"/>
    </row>
    <row r="4565" spans="1:33" s="47" customFormat="1" hidden="1">
      <c r="A4565"/>
      <c r="B4565"/>
      <c r="C4565"/>
      <c r="D4565"/>
      <c r="E4565"/>
      <c r="F4565"/>
      <c r="G4565"/>
      <c r="H4565"/>
      <c r="I4565"/>
      <c r="J4565"/>
      <c r="K4565"/>
      <c r="L4565"/>
      <c r="M4565" s="820"/>
      <c r="N4565" s="451"/>
      <c r="O4565" s="454"/>
      <c r="P4565" s="473"/>
      <c r="Q4565" s="258"/>
      <c r="R4565" s="259"/>
      <c r="S4565" s="259"/>
      <c r="T4565" s="260"/>
      <c r="U4565" s="252"/>
      <c r="V4565" s="252"/>
      <c r="W4565" s="456"/>
      <c r="X4565" s="258"/>
      <c r="Y4565" s="202"/>
      <c r="Z4565" s="48"/>
      <c r="AA4565" s="252"/>
      <c r="AB4565" s="252"/>
      <c r="AC4565" s="456"/>
      <c r="AF4565"/>
      <c r="AG4565"/>
    </row>
    <row r="4566" spans="1:33" s="47" customFormat="1">
      <c r="A4566"/>
      <c r="B4566"/>
      <c r="C4566"/>
      <c r="D4566"/>
      <c r="E4566"/>
      <c r="F4566"/>
      <c r="G4566"/>
      <c r="H4566"/>
      <c r="I4566"/>
      <c r="J4566"/>
      <c r="K4566"/>
      <c r="L4566"/>
      <c r="M4566" s="820"/>
      <c r="N4566" s="461" t="str">
        <f>N4534 &amp; ".15"</f>
        <v>4.0.3.2.2.15</v>
      </c>
      <c r="O4566" s="457" t="s">
        <v>291</v>
      </c>
      <c r="P4566" s="473" t="s">
        <v>223</v>
      </c>
      <c r="Q4566" s="258"/>
      <c r="R4566" s="259"/>
      <c r="S4566" s="259"/>
      <c r="T4566" s="260"/>
      <c r="U4566" s="252"/>
      <c r="V4566" s="252"/>
      <c r="W4566" s="465"/>
      <c r="X4566" s="258"/>
      <c r="Y4566" s="202"/>
      <c r="Z4566" s="48"/>
      <c r="AA4566" s="252"/>
      <c r="AB4566" s="252"/>
      <c r="AC4566" s="465"/>
      <c r="AF4566"/>
      <c r="AG4566"/>
    </row>
    <row r="4567" spans="1:33" s="47" customFormat="1" ht="22.5">
      <c r="A4567"/>
      <c r="B4567"/>
      <c r="C4567"/>
      <c r="D4567"/>
      <c r="E4567"/>
      <c r="F4567"/>
      <c r="G4567"/>
      <c r="H4567"/>
      <c r="I4567"/>
      <c r="J4567"/>
      <c r="K4567"/>
      <c r="L4567"/>
      <c r="M4567" s="820"/>
      <c r="N4567" s="449" t="s">
        <v>276</v>
      </c>
      <c r="O4567" s="450" t="s">
        <v>242</v>
      </c>
      <c r="P4567" s="473" t="s">
        <v>786</v>
      </c>
      <c r="Q4567" s="258"/>
      <c r="R4567" s="259"/>
      <c r="S4567" s="259"/>
      <c r="T4567" s="260"/>
      <c r="U4567" s="252"/>
      <c r="V4567" s="252"/>
      <c r="W4567" s="452">
        <f>SUM(W4568,W4587:W4596,W4599)</f>
        <v>0</v>
      </c>
      <c r="X4567" s="258"/>
      <c r="Y4567" s="202"/>
      <c r="Z4567" s="48"/>
      <c r="AA4567" s="252"/>
      <c r="AB4567" s="252"/>
      <c r="AC4567" s="452">
        <f>SUM(AC4568,AC4587:AC4596,AC4599)</f>
        <v>0</v>
      </c>
      <c r="AF4567"/>
      <c r="AG4567"/>
    </row>
    <row r="4568" spans="1:33" s="47" customFormat="1">
      <c r="A4568"/>
      <c r="B4568"/>
      <c r="C4568"/>
      <c r="D4568"/>
      <c r="E4568"/>
      <c r="F4568"/>
      <c r="G4568"/>
      <c r="H4568"/>
      <c r="I4568"/>
      <c r="J4568"/>
      <c r="K4568"/>
      <c r="L4568"/>
      <c r="M4568" s="820"/>
      <c r="N4568" s="461" t="str">
        <f>N4567 &amp; ".1"</f>
        <v>4.0.3.2.3.1</v>
      </c>
      <c r="O4568" s="453" t="s">
        <v>78</v>
      </c>
      <c r="P4568" s="473" t="s">
        <v>786</v>
      </c>
      <c r="Q4568" s="258"/>
      <c r="R4568" s="259"/>
      <c r="S4568" s="259"/>
      <c r="T4568" s="260"/>
      <c r="U4568" s="252"/>
      <c r="V4568" s="252"/>
      <c r="W4568" s="460">
        <f>W4535*W4502/1000</f>
        <v>0</v>
      </c>
      <c r="X4568" s="258"/>
      <c r="Y4568" s="202"/>
      <c r="Z4568" s="48"/>
      <c r="AA4568" s="252"/>
      <c r="AB4568" s="252"/>
      <c r="AC4568" s="460">
        <f>AC4535*AC4502/1000</f>
        <v>0</v>
      </c>
      <c r="AF4568"/>
      <c r="AG4568"/>
    </row>
    <row r="4569" spans="1:33" s="47" customFormat="1" hidden="1">
      <c r="A4569"/>
      <c r="B4569"/>
      <c r="C4569"/>
      <c r="D4569"/>
      <c r="E4569"/>
      <c r="F4569"/>
      <c r="G4569"/>
      <c r="H4569"/>
      <c r="I4569"/>
      <c r="J4569"/>
      <c r="K4569"/>
      <c r="L4569"/>
      <c r="M4569" s="820"/>
      <c r="N4569" s="461"/>
      <c r="O4569" s="454"/>
      <c r="P4569" s="473"/>
      <c r="Q4569" s="258"/>
      <c r="R4569" s="259"/>
      <c r="S4569" s="259"/>
      <c r="T4569" s="260"/>
      <c r="U4569" s="252"/>
      <c r="V4569" s="252"/>
      <c r="W4569" s="456"/>
      <c r="X4569" s="258"/>
      <c r="Y4569" s="202"/>
      <c r="Z4569" s="48"/>
      <c r="AA4569" s="252"/>
      <c r="AB4569" s="252"/>
      <c r="AC4569" s="456"/>
      <c r="AF4569"/>
      <c r="AG4569"/>
    </row>
    <row r="4570" spans="1:33" s="47" customFormat="1" hidden="1">
      <c r="A4570"/>
      <c r="B4570"/>
      <c r="C4570"/>
      <c r="D4570"/>
      <c r="E4570"/>
      <c r="F4570"/>
      <c r="G4570"/>
      <c r="H4570"/>
      <c r="I4570"/>
      <c r="J4570"/>
      <c r="K4570"/>
      <c r="L4570"/>
      <c r="M4570" s="820"/>
      <c r="N4570" s="461"/>
      <c r="O4570" s="454"/>
      <c r="P4570" s="473"/>
      <c r="Q4570" s="258"/>
      <c r="R4570" s="259"/>
      <c r="S4570" s="259"/>
      <c r="T4570" s="260"/>
      <c r="U4570" s="252"/>
      <c r="V4570" s="252"/>
      <c r="W4570" s="456"/>
      <c r="X4570" s="258"/>
      <c r="Y4570" s="202"/>
      <c r="Z4570" s="48"/>
      <c r="AA4570" s="252"/>
      <c r="AB4570" s="252"/>
      <c r="AC4570" s="456"/>
      <c r="AF4570"/>
      <c r="AG4570"/>
    </row>
    <row r="4571" spans="1:33" s="47" customFormat="1" hidden="1">
      <c r="A4571"/>
      <c r="B4571"/>
      <c r="C4571"/>
      <c r="D4571"/>
      <c r="E4571"/>
      <c r="F4571"/>
      <c r="G4571"/>
      <c r="H4571"/>
      <c r="I4571"/>
      <c r="J4571"/>
      <c r="K4571"/>
      <c r="L4571"/>
      <c r="M4571" s="820"/>
      <c r="N4571" s="451"/>
      <c r="O4571" s="454"/>
      <c r="P4571" s="473"/>
      <c r="Q4571" s="258"/>
      <c r="R4571" s="259"/>
      <c r="S4571" s="259"/>
      <c r="T4571" s="260"/>
      <c r="U4571" s="252"/>
      <c r="V4571" s="252"/>
      <c r="W4571" s="456"/>
      <c r="X4571" s="258"/>
      <c r="Y4571" s="202"/>
      <c r="Z4571" s="48"/>
      <c r="AA4571" s="252"/>
      <c r="AB4571" s="252"/>
      <c r="AC4571" s="456"/>
      <c r="AF4571"/>
      <c r="AG4571"/>
    </row>
    <row r="4572" spans="1:33" s="47" customFormat="1" hidden="1">
      <c r="A4572"/>
      <c r="B4572"/>
      <c r="C4572"/>
      <c r="D4572"/>
      <c r="E4572"/>
      <c r="F4572"/>
      <c r="G4572"/>
      <c r="H4572"/>
      <c r="I4572"/>
      <c r="J4572"/>
      <c r="K4572"/>
      <c r="L4572"/>
      <c r="M4572" s="820"/>
      <c r="N4572" s="451"/>
      <c r="O4572" s="454"/>
      <c r="P4572" s="473"/>
      <c r="Q4572" s="258"/>
      <c r="R4572" s="259"/>
      <c r="S4572" s="259"/>
      <c r="T4572" s="260"/>
      <c r="U4572" s="252"/>
      <c r="V4572" s="252"/>
      <c r="W4572" s="456"/>
      <c r="X4572" s="258"/>
      <c r="Y4572" s="202"/>
      <c r="Z4572" s="48"/>
      <c r="AA4572" s="252"/>
      <c r="AB4572" s="252"/>
      <c r="AC4572" s="456"/>
      <c r="AF4572"/>
      <c r="AG4572"/>
    </row>
    <row r="4573" spans="1:33" s="47" customFormat="1" hidden="1">
      <c r="A4573"/>
      <c r="B4573"/>
      <c r="C4573"/>
      <c r="D4573"/>
      <c r="E4573"/>
      <c r="F4573"/>
      <c r="G4573"/>
      <c r="H4573"/>
      <c r="I4573"/>
      <c r="J4573"/>
      <c r="K4573"/>
      <c r="L4573"/>
      <c r="M4573" s="820"/>
      <c r="N4573" s="451"/>
      <c r="O4573" s="454"/>
      <c r="P4573" s="473"/>
      <c r="Q4573" s="258"/>
      <c r="R4573" s="259"/>
      <c r="S4573" s="259"/>
      <c r="T4573" s="260"/>
      <c r="U4573" s="252"/>
      <c r="V4573" s="252"/>
      <c r="W4573" s="456"/>
      <c r="X4573" s="258"/>
      <c r="Y4573" s="202"/>
      <c r="Z4573" s="48"/>
      <c r="AA4573" s="252"/>
      <c r="AB4573" s="252"/>
      <c r="AC4573" s="456"/>
      <c r="AF4573"/>
      <c r="AG4573"/>
    </row>
    <row r="4574" spans="1:33" s="47" customFormat="1" hidden="1">
      <c r="A4574"/>
      <c r="B4574"/>
      <c r="C4574"/>
      <c r="D4574"/>
      <c r="E4574"/>
      <c r="F4574"/>
      <c r="G4574"/>
      <c r="H4574"/>
      <c r="I4574"/>
      <c r="J4574"/>
      <c r="K4574"/>
      <c r="L4574"/>
      <c r="M4574" s="820"/>
      <c r="N4574" s="451"/>
      <c r="O4574" s="454"/>
      <c r="P4574" s="473"/>
      <c r="Q4574" s="258"/>
      <c r="R4574" s="259"/>
      <c r="S4574" s="259"/>
      <c r="T4574" s="260"/>
      <c r="U4574" s="252"/>
      <c r="V4574" s="252"/>
      <c r="W4574" s="456"/>
      <c r="X4574" s="258"/>
      <c r="Y4574" s="202"/>
      <c r="Z4574" s="48"/>
      <c r="AA4574" s="252"/>
      <c r="AB4574" s="252"/>
      <c r="AC4574" s="456"/>
      <c r="AF4574"/>
      <c r="AG4574"/>
    </row>
    <row r="4575" spans="1:33" s="47" customFormat="1" hidden="1">
      <c r="A4575"/>
      <c r="B4575"/>
      <c r="C4575"/>
      <c r="D4575"/>
      <c r="E4575"/>
      <c r="F4575"/>
      <c r="G4575"/>
      <c r="H4575"/>
      <c r="I4575"/>
      <c r="J4575"/>
      <c r="K4575"/>
      <c r="L4575"/>
      <c r="M4575" s="820"/>
      <c r="N4575" s="451"/>
      <c r="O4575" s="454"/>
      <c r="P4575" s="473"/>
      <c r="Q4575" s="258"/>
      <c r="R4575" s="259"/>
      <c r="S4575" s="259"/>
      <c r="T4575" s="260"/>
      <c r="U4575" s="252"/>
      <c r="V4575" s="252"/>
      <c r="W4575" s="456"/>
      <c r="X4575" s="258"/>
      <c r="Y4575" s="202"/>
      <c r="Z4575" s="48"/>
      <c r="AA4575" s="252"/>
      <c r="AB4575" s="252"/>
      <c r="AC4575" s="456"/>
      <c r="AF4575"/>
      <c r="AG4575"/>
    </row>
    <row r="4576" spans="1:33" s="47" customFormat="1" hidden="1">
      <c r="A4576"/>
      <c r="B4576"/>
      <c r="C4576"/>
      <c r="D4576"/>
      <c r="E4576"/>
      <c r="F4576"/>
      <c r="G4576"/>
      <c r="H4576"/>
      <c r="I4576"/>
      <c r="J4576"/>
      <c r="K4576"/>
      <c r="L4576"/>
      <c r="M4576" s="820"/>
      <c r="N4576" s="451"/>
      <c r="O4576" s="454"/>
      <c r="P4576" s="473"/>
      <c r="Q4576" s="258"/>
      <c r="R4576" s="259"/>
      <c r="S4576" s="259"/>
      <c r="T4576" s="260"/>
      <c r="U4576" s="252"/>
      <c r="V4576" s="252"/>
      <c r="W4576" s="456"/>
      <c r="X4576" s="258"/>
      <c r="Y4576" s="202"/>
      <c r="Z4576" s="48"/>
      <c r="AA4576" s="252"/>
      <c r="AB4576" s="252"/>
      <c r="AC4576" s="456"/>
      <c r="AF4576"/>
      <c r="AG4576"/>
    </row>
    <row r="4577" spans="1:33" s="47" customFormat="1" hidden="1">
      <c r="A4577"/>
      <c r="B4577"/>
      <c r="C4577"/>
      <c r="D4577"/>
      <c r="E4577"/>
      <c r="F4577"/>
      <c r="G4577"/>
      <c r="H4577"/>
      <c r="I4577"/>
      <c r="J4577"/>
      <c r="K4577"/>
      <c r="L4577"/>
      <c r="M4577" s="820"/>
      <c r="N4577" s="451"/>
      <c r="O4577" s="454"/>
      <c r="P4577" s="473"/>
      <c r="Q4577" s="258"/>
      <c r="R4577" s="259"/>
      <c r="S4577" s="259"/>
      <c r="T4577" s="260"/>
      <c r="U4577" s="252"/>
      <c r="V4577" s="252"/>
      <c r="W4577" s="456"/>
      <c r="X4577" s="258"/>
      <c r="Y4577" s="202"/>
      <c r="Z4577" s="48"/>
      <c r="AA4577" s="252"/>
      <c r="AB4577" s="252"/>
      <c r="AC4577" s="456"/>
      <c r="AF4577"/>
      <c r="AG4577"/>
    </row>
    <row r="4578" spans="1:33" s="47" customFormat="1" hidden="1">
      <c r="A4578"/>
      <c r="B4578"/>
      <c r="C4578"/>
      <c r="D4578"/>
      <c r="E4578"/>
      <c r="F4578"/>
      <c r="G4578"/>
      <c r="H4578"/>
      <c r="I4578"/>
      <c r="J4578"/>
      <c r="K4578"/>
      <c r="L4578"/>
      <c r="M4578" s="820"/>
      <c r="N4578" s="461"/>
      <c r="O4578" s="454"/>
      <c r="P4578" s="473"/>
      <c r="Q4578" s="258"/>
      <c r="R4578" s="259"/>
      <c r="S4578" s="259"/>
      <c r="T4578" s="260"/>
      <c r="U4578" s="252"/>
      <c r="V4578" s="252"/>
      <c r="W4578" s="456"/>
      <c r="X4578" s="258"/>
      <c r="Y4578" s="202"/>
      <c r="Z4578" s="48"/>
      <c r="AA4578" s="252"/>
      <c r="AB4578" s="252"/>
      <c r="AC4578" s="456"/>
      <c r="AF4578"/>
      <c r="AG4578"/>
    </row>
    <row r="4579" spans="1:33" s="47" customFormat="1" hidden="1">
      <c r="A4579"/>
      <c r="B4579"/>
      <c r="C4579"/>
      <c r="D4579"/>
      <c r="E4579"/>
      <c r="F4579"/>
      <c r="G4579"/>
      <c r="H4579"/>
      <c r="I4579"/>
      <c r="J4579"/>
      <c r="K4579"/>
      <c r="L4579"/>
      <c r="M4579" s="820"/>
      <c r="N4579" s="451"/>
      <c r="O4579" s="454"/>
      <c r="P4579" s="473"/>
      <c r="Q4579" s="258"/>
      <c r="R4579" s="259"/>
      <c r="S4579" s="259"/>
      <c r="T4579" s="260"/>
      <c r="U4579" s="252"/>
      <c r="V4579" s="252"/>
      <c r="W4579" s="456"/>
      <c r="X4579" s="258"/>
      <c r="Y4579" s="202"/>
      <c r="Z4579" s="48"/>
      <c r="AA4579" s="252"/>
      <c r="AB4579" s="252"/>
      <c r="AC4579" s="456"/>
      <c r="AF4579"/>
      <c r="AG4579"/>
    </row>
    <row r="4580" spans="1:33" s="47" customFormat="1" hidden="1">
      <c r="A4580"/>
      <c r="B4580"/>
      <c r="C4580"/>
      <c r="D4580"/>
      <c r="E4580"/>
      <c r="F4580"/>
      <c r="G4580"/>
      <c r="H4580"/>
      <c r="I4580"/>
      <c r="J4580"/>
      <c r="K4580"/>
      <c r="L4580"/>
      <c r="M4580" s="820"/>
      <c r="N4580" s="451"/>
      <c r="O4580" s="454"/>
      <c r="P4580" s="473"/>
      <c r="Q4580" s="258"/>
      <c r="R4580" s="259"/>
      <c r="S4580" s="259"/>
      <c r="T4580" s="260"/>
      <c r="U4580" s="252"/>
      <c r="V4580" s="252"/>
      <c r="W4580" s="456"/>
      <c r="X4580" s="258"/>
      <c r="Y4580" s="202"/>
      <c r="Z4580" s="48"/>
      <c r="AA4580" s="252"/>
      <c r="AB4580" s="252"/>
      <c r="AC4580" s="456"/>
      <c r="AF4580"/>
      <c r="AG4580"/>
    </row>
    <row r="4581" spans="1:33" s="47" customFormat="1" hidden="1">
      <c r="A4581"/>
      <c r="B4581"/>
      <c r="C4581"/>
      <c r="D4581"/>
      <c r="E4581"/>
      <c r="F4581"/>
      <c r="G4581"/>
      <c r="H4581"/>
      <c r="I4581"/>
      <c r="J4581"/>
      <c r="K4581"/>
      <c r="L4581"/>
      <c r="M4581" s="820"/>
      <c r="N4581" s="451"/>
      <c r="O4581" s="454"/>
      <c r="P4581" s="473"/>
      <c r="Q4581" s="258"/>
      <c r="R4581" s="259"/>
      <c r="S4581" s="259"/>
      <c r="T4581" s="260"/>
      <c r="U4581" s="252"/>
      <c r="V4581" s="252"/>
      <c r="W4581" s="456"/>
      <c r="X4581" s="258"/>
      <c r="Y4581" s="202"/>
      <c r="Z4581" s="48"/>
      <c r="AA4581" s="252"/>
      <c r="AB4581" s="252"/>
      <c r="AC4581" s="456"/>
      <c r="AF4581"/>
      <c r="AG4581"/>
    </row>
    <row r="4582" spans="1:33" s="47" customFormat="1" hidden="1">
      <c r="A4582"/>
      <c r="B4582"/>
      <c r="C4582"/>
      <c r="D4582"/>
      <c r="E4582"/>
      <c r="F4582"/>
      <c r="G4582"/>
      <c r="H4582"/>
      <c r="I4582"/>
      <c r="J4582"/>
      <c r="K4582"/>
      <c r="L4582"/>
      <c r="M4582" s="820"/>
      <c r="N4582" s="451"/>
      <c r="O4582" s="454"/>
      <c r="P4582" s="473"/>
      <c r="Q4582" s="258"/>
      <c r="R4582" s="259"/>
      <c r="S4582" s="259"/>
      <c r="T4582" s="260"/>
      <c r="U4582" s="252"/>
      <c r="V4582" s="252"/>
      <c r="W4582" s="456"/>
      <c r="X4582" s="258"/>
      <c r="Y4582" s="202"/>
      <c r="Z4582" s="48"/>
      <c r="AA4582" s="252"/>
      <c r="AB4582" s="252"/>
      <c r="AC4582" s="456"/>
      <c r="AF4582"/>
      <c r="AG4582"/>
    </row>
    <row r="4583" spans="1:33" s="47" customFormat="1" hidden="1">
      <c r="A4583"/>
      <c r="B4583"/>
      <c r="C4583"/>
      <c r="D4583"/>
      <c r="E4583"/>
      <c r="F4583"/>
      <c r="G4583"/>
      <c r="H4583"/>
      <c r="I4583"/>
      <c r="J4583"/>
      <c r="K4583"/>
      <c r="L4583"/>
      <c r="M4583" s="820"/>
      <c r="N4583" s="451"/>
      <c r="O4583" s="454"/>
      <c r="P4583" s="473"/>
      <c r="Q4583" s="258"/>
      <c r="R4583" s="259"/>
      <c r="S4583" s="259"/>
      <c r="T4583" s="260"/>
      <c r="U4583" s="252"/>
      <c r="V4583" s="252"/>
      <c r="W4583" s="456"/>
      <c r="X4583" s="258"/>
      <c r="Y4583" s="202"/>
      <c r="Z4583" s="48"/>
      <c r="AA4583" s="252"/>
      <c r="AB4583" s="252"/>
      <c r="AC4583" s="456"/>
      <c r="AF4583"/>
      <c r="AG4583"/>
    </row>
    <row r="4584" spans="1:33" s="47" customFormat="1" hidden="1">
      <c r="A4584"/>
      <c r="B4584"/>
      <c r="C4584"/>
      <c r="D4584"/>
      <c r="E4584"/>
      <c r="F4584"/>
      <c r="G4584"/>
      <c r="H4584"/>
      <c r="I4584"/>
      <c r="J4584"/>
      <c r="K4584"/>
      <c r="L4584"/>
      <c r="M4584" s="820"/>
      <c r="N4584" s="451"/>
      <c r="O4584" s="455"/>
      <c r="P4584" s="473"/>
      <c r="Q4584" s="258"/>
      <c r="R4584" s="259"/>
      <c r="S4584" s="259"/>
      <c r="T4584" s="260"/>
      <c r="U4584" s="252"/>
      <c r="V4584" s="252"/>
      <c r="W4584" s="456"/>
      <c r="X4584" s="258"/>
      <c r="Y4584" s="202"/>
      <c r="Z4584" s="48"/>
      <c r="AA4584" s="252"/>
      <c r="AB4584" s="252"/>
      <c r="AC4584" s="456"/>
      <c r="AF4584"/>
      <c r="AG4584"/>
    </row>
    <row r="4585" spans="1:33" s="47" customFormat="1" hidden="1">
      <c r="A4585"/>
      <c r="B4585"/>
      <c r="C4585"/>
      <c r="D4585"/>
      <c r="E4585"/>
      <c r="F4585"/>
      <c r="G4585"/>
      <c r="H4585"/>
      <c r="I4585"/>
      <c r="J4585"/>
      <c r="K4585"/>
      <c r="L4585"/>
      <c r="M4585" s="820"/>
      <c r="N4585" s="451"/>
      <c r="O4585" s="455"/>
      <c r="P4585" s="473"/>
      <c r="Q4585" s="258"/>
      <c r="R4585" s="259"/>
      <c r="S4585" s="259"/>
      <c r="T4585" s="260"/>
      <c r="U4585" s="252"/>
      <c r="V4585" s="252"/>
      <c r="W4585" s="456"/>
      <c r="X4585" s="258"/>
      <c r="Y4585" s="202"/>
      <c r="Z4585" s="48"/>
      <c r="AA4585" s="252"/>
      <c r="AB4585" s="252"/>
      <c r="AC4585" s="456"/>
      <c r="AF4585"/>
      <c r="AG4585"/>
    </row>
    <row r="4586" spans="1:33" s="47" customFormat="1" hidden="1">
      <c r="A4586"/>
      <c r="B4586"/>
      <c r="C4586"/>
      <c r="D4586"/>
      <c r="E4586"/>
      <c r="F4586"/>
      <c r="G4586"/>
      <c r="H4586"/>
      <c r="I4586"/>
      <c r="J4586"/>
      <c r="K4586"/>
      <c r="L4586"/>
      <c r="M4586" s="820"/>
      <c r="N4586" s="461"/>
      <c r="O4586" s="455"/>
      <c r="P4586" s="473"/>
      <c r="Q4586" s="258"/>
      <c r="R4586" s="259"/>
      <c r="S4586" s="259"/>
      <c r="T4586" s="260"/>
      <c r="U4586" s="252"/>
      <c r="V4586" s="252"/>
      <c r="W4586" s="456"/>
      <c r="X4586" s="258"/>
      <c r="Y4586" s="202"/>
      <c r="Z4586" s="48"/>
      <c r="AA4586" s="252"/>
      <c r="AB4586" s="252"/>
      <c r="AC4586" s="456"/>
      <c r="AF4586"/>
      <c r="AG4586"/>
    </row>
    <row r="4587" spans="1:33" s="47" customFormat="1">
      <c r="A4587"/>
      <c r="B4587"/>
      <c r="C4587"/>
      <c r="D4587"/>
      <c r="E4587"/>
      <c r="F4587"/>
      <c r="G4587"/>
      <c r="H4587"/>
      <c r="I4587"/>
      <c r="J4587"/>
      <c r="K4587"/>
      <c r="L4587"/>
      <c r="M4587" s="820"/>
      <c r="N4587" s="461" t="str">
        <f>N4567 &amp; ".3"</f>
        <v>4.0.3.2.3.3</v>
      </c>
      <c r="O4587" s="457" t="s">
        <v>85</v>
      </c>
      <c r="P4587" s="473" t="s">
        <v>786</v>
      </c>
      <c r="Q4587" s="258"/>
      <c r="R4587" s="259"/>
      <c r="S4587" s="259"/>
      <c r="T4587" s="260"/>
      <c r="U4587" s="252"/>
      <c r="V4587" s="252"/>
      <c r="W4587" s="460">
        <f t="shared" ref="W4587:W4596" si="14">W4554*W4521/1000</f>
        <v>0</v>
      </c>
      <c r="X4587" s="258"/>
      <c r="Y4587" s="202"/>
      <c r="Z4587" s="48"/>
      <c r="AA4587" s="252"/>
      <c r="AB4587" s="252"/>
      <c r="AC4587" s="460">
        <f t="shared" ref="AC4587:AC4596" si="15">AC4554*AC4521/1000</f>
        <v>0</v>
      </c>
      <c r="AF4587"/>
      <c r="AG4587"/>
    </row>
    <row r="4588" spans="1:33" s="47" customFormat="1">
      <c r="A4588"/>
      <c r="B4588"/>
      <c r="C4588"/>
      <c r="D4588"/>
      <c r="E4588"/>
      <c r="F4588"/>
      <c r="G4588"/>
      <c r="H4588"/>
      <c r="I4588"/>
      <c r="J4588"/>
      <c r="K4588"/>
      <c r="L4588"/>
      <c r="M4588" s="820"/>
      <c r="N4588" s="461" t="str">
        <f>N4567 &amp; ".4"</f>
        <v>4.0.3.2.3.4</v>
      </c>
      <c r="O4588" s="457" t="s">
        <v>87</v>
      </c>
      <c r="P4588" s="473" t="s">
        <v>786</v>
      </c>
      <c r="Q4588" s="258"/>
      <c r="R4588" s="259"/>
      <c r="S4588" s="259"/>
      <c r="T4588" s="260"/>
      <c r="U4588" s="252"/>
      <c r="V4588" s="252"/>
      <c r="W4588" s="460">
        <f t="shared" si="14"/>
        <v>0</v>
      </c>
      <c r="X4588" s="258"/>
      <c r="Y4588" s="202"/>
      <c r="Z4588" s="48"/>
      <c r="AA4588" s="252"/>
      <c r="AB4588" s="252"/>
      <c r="AC4588" s="460">
        <f t="shared" si="15"/>
        <v>0</v>
      </c>
      <c r="AF4588"/>
      <c r="AG4588"/>
    </row>
    <row r="4589" spans="1:33" s="47" customFormat="1">
      <c r="A4589"/>
      <c r="B4589"/>
      <c r="C4589"/>
      <c r="D4589"/>
      <c r="E4589"/>
      <c r="F4589"/>
      <c r="G4589"/>
      <c r="H4589"/>
      <c r="I4589"/>
      <c r="J4589"/>
      <c r="K4589"/>
      <c r="L4589"/>
      <c r="M4589" s="820"/>
      <c r="N4589" s="461" t="str">
        <f>N4567&amp;".5"</f>
        <v>4.0.3.2.3.5</v>
      </c>
      <c r="O4589" s="457" t="s">
        <v>89</v>
      </c>
      <c r="P4589" s="473" t="s">
        <v>786</v>
      </c>
      <c r="Q4589" s="258"/>
      <c r="R4589" s="259"/>
      <c r="S4589" s="259"/>
      <c r="T4589" s="260"/>
      <c r="U4589" s="252"/>
      <c r="V4589" s="252"/>
      <c r="W4589" s="460">
        <f t="shared" si="14"/>
        <v>0</v>
      </c>
      <c r="X4589" s="258"/>
      <c r="Y4589" s="202"/>
      <c r="Z4589" s="48"/>
      <c r="AA4589" s="252"/>
      <c r="AB4589" s="252"/>
      <c r="AC4589" s="460">
        <f t="shared" si="15"/>
        <v>0</v>
      </c>
      <c r="AF4589"/>
      <c r="AG4589"/>
    </row>
    <row r="4590" spans="1:33" s="47" customFormat="1">
      <c r="A4590"/>
      <c r="B4590"/>
      <c r="C4590"/>
      <c r="D4590"/>
      <c r="E4590"/>
      <c r="F4590"/>
      <c r="G4590"/>
      <c r="H4590"/>
      <c r="I4590"/>
      <c r="J4590"/>
      <c r="K4590"/>
      <c r="L4590"/>
      <c r="M4590" s="820"/>
      <c r="N4590" s="461" t="str">
        <f>N4567 &amp; ".6"</f>
        <v>4.0.3.2.3.6</v>
      </c>
      <c r="O4590" s="457" t="s">
        <v>91</v>
      </c>
      <c r="P4590" s="473" t="s">
        <v>786</v>
      </c>
      <c r="Q4590" s="258"/>
      <c r="R4590" s="259"/>
      <c r="S4590" s="259"/>
      <c r="T4590" s="260"/>
      <c r="U4590" s="252"/>
      <c r="V4590" s="252"/>
      <c r="W4590" s="460">
        <f t="shared" si="14"/>
        <v>0</v>
      </c>
      <c r="X4590" s="258"/>
      <c r="Y4590" s="202"/>
      <c r="Z4590" s="48"/>
      <c r="AA4590" s="252"/>
      <c r="AB4590" s="252"/>
      <c r="AC4590" s="460">
        <f t="shared" si="15"/>
        <v>0</v>
      </c>
      <c r="AF4590"/>
      <c r="AG4590"/>
    </row>
    <row r="4591" spans="1:33" s="47" customFormat="1">
      <c r="A4591"/>
      <c r="B4591"/>
      <c r="C4591"/>
      <c r="D4591"/>
      <c r="E4591"/>
      <c r="F4591"/>
      <c r="G4591"/>
      <c r="H4591"/>
      <c r="I4591"/>
      <c r="J4591"/>
      <c r="K4591"/>
      <c r="L4591"/>
      <c r="M4591" s="820"/>
      <c r="N4591" s="461" t="str">
        <f>N4567 &amp; ".7"</f>
        <v>4.0.3.2.3.7</v>
      </c>
      <c r="O4591" s="457" t="s">
        <v>93</v>
      </c>
      <c r="P4591" s="473" t="s">
        <v>786</v>
      </c>
      <c r="Q4591" s="258"/>
      <c r="R4591" s="259"/>
      <c r="S4591" s="259"/>
      <c r="T4591" s="260"/>
      <c r="U4591" s="252"/>
      <c r="V4591" s="252"/>
      <c r="W4591" s="460">
        <f t="shared" si="14"/>
        <v>0</v>
      </c>
      <c r="X4591" s="258"/>
      <c r="Y4591" s="202"/>
      <c r="Z4591" s="48"/>
      <c r="AA4591" s="252"/>
      <c r="AB4591" s="252"/>
      <c r="AC4591" s="460">
        <f t="shared" si="15"/>
        <v>0</v>
      </c>
      <c r="AF4591"/>
      <c r="AG4591"/>
    </row>
    <row r="4592" spans="1:33" s="47" customFormat="1">
      <c r="A4592"/>
      <c r="B4592"/>
      <c r="C4592"/>
      <c r="D4592"/>
      <c r="E4592"/>
      <c r="F4592"/>
      <c r="G4592"/>
      <c r="H4592"/>
      <c r="I4592"/>
      <c r="J4592"/>
      <c r="K4592"/>
      <c r="L4592"/>
      <c r="M4592" s="820"/>
      <c r="N4592" s="461" t="str">
        <f>N4567 &amp; ".8"</f>
        <v>4.0.3.2.3.8</v>
      </c>
      <c r="O4592" s="457" t="s">
        <v>95</v>
      </c>
      <c r="P4592" s="473" t="s">
        <v>786</v>
      </c>
      <c r="Q4592" s="258"/>
      <c r="R4592" s="259"/>
      <c r="S4592" s="259"/>
      <c r="T4592" s="260"/>
      <c r="U4592" s="252"/>
      <c r="V4592" s="252"/>
      <c r="W4592" s="460">
        <f t="shared" si="14"/>
        <v>0</v>
      </c>
      <c r="X4592" s="258"/>
      <c r="Y4592" s="202"/>
      <c r="Z4592" s="48"/>
      <c r="AA4592" s="252"/>
      <c r="AB4592" s="252"/>
      <c r="AC4592" s="460">
        <f t="shared" si="15"/>
        <v>0</v>
      </c>
      <c r="AF4592"/>
      <c r="AG4592"/>
    </row>
    <row r="4593" spans="1:33" s="47" customFormat="1">
      <c r="A4593"/>
      <c r="B4593"/>
      <c r="C4593"/>
      <c r="D4593"/>
      <c r="E4593"/>
      <c r="F4593"/>
      <c r="G4593"/>
      <c r="H4593"/>
      <c r="I4593"/>
      <c r="J4593"/>
      <c r="K4593"/>
      <c r="L4593"/>
      <c r="M4593" s="820"/>
      <c r="N4593" s="461" t="str">
        <f>N4567 &amp; ".9"</f>
        <v>4.0.3.2.3.9</v>
      </c>
      <c r="O4593" s="457" t="s">
        <v>2976</v>
      </c>
      <c r="P4593" s="473" t="s">
        <v>786</v>
      </c>
      <c r="Q4593" s="258"/>
      <c r="R4593" s="259"/>
      <c r="S4593" s="259"/>
      <c r="T4593" s="260"/>
      <c r="U4593" s="252"/>
      <c r="V4593" s="252"/>
      <c r="W4593" s="460">
        <f t="shared" si="14"/>
        <v>0</v>
      </c>
      <c r="X4593" s="258"/>
      <c r="Y4593" s="202"/>
      <c r="Z4593" s="48"/>
      <c r="AA4593" s="252"/>
      <c r="AB4593" s="252"/>
      <c r="AC4593" s="460">
        <f t="shared" si="15"/>
        <v>0</v>
      </c>
      <c r="AF4593"/>
      <c r="AG4593"/>
    </row>
    <row r="4594" spans="1:33" s="47" customFormat="1">
      <c r="A4594"/>
      <c r="B4594"/>
      <c r="C4594"/>
      <c r="D4594"/>
      <c r="E4594"/>
      <c r="F4594"/>
      <c r="G4594"/>
      <c r="H4594"/>
      <c r="I4594"/>
      <c r="J4594"/>
      <c r="K4594"/>
      <c r="L4594"/>
      <c r="M4594" s="820"/>
      <c r="N4594" s="461" t="str">
        <f>N4567 &amp; ".10"</f>
        <v>4.0.3.2.3.10</v>
      </c>
      <c r="O4594" s="457" t="s">
        <v>2978</v>
      </c>
      <c r="P4594" s="473" t="s">
        <v>786</v>
      </c>
      <c r="Q4594" s="258"/>
      <c r="R4594" s="259"/>
      <c r="S4594" s="259"/>
      <c r="T4594" s="260"/>
      <c r="U4594" s="252"/>
      <c r="V4594" s="252"/>
      <c r="W4594" s="460">
        <f t="shared" si="14"/>
        <v>0</v>
      </c>
      <c r="X4594" s="258"/>
      <c r="Y4594" s="202"/>
      <c r="Z4594" s="48"/>
      <c r="AA4594" s="252"/>
      <c r="AB4594" s="252"/>
      <c r="AC4594" s="460">
        <f t="shared" si="15"/>
        <v>0</v>
      </c>
      <c r="AF4594"/>
      <c r="AG4594"/>
    </row>
    <row r="4595" spans="1:33" s="47" customFormat="1">
      <c r="A4595"/>
      <c r="B4595"/>
      <c r="C4595"/>
      <c r="D4595"/>
      <c r="E4595"/>
      <c r="F4595"/>
      <c r="G4595"/>
      <c r="H4595"/>
      <c r="I4595"/>
      <c r="J4595"/>
      <c r="K4595"/>
      <c r="L4595"/>
      <c r="M4595" s="820"/>
      <c r="N4595" s="461" t="str">
        <f>N4567 &amp; ".11"</f>
        <v>4.0.3.2.3.11</v>
      </c>
      <c r="O4595" s="457" t="s">
        <v>2980</v>
      </c>
      <c r="P4595" s="473" t="s">
        <v>786</v>
      </c>
      <c r="Q4595" s="258"/>
      <c r="R4595" s="259"/>
      <c r="S4595" s="259"/>
      <c r="T4595" s="260"/>
      <c r="U4595" s="252"/>
      <c r="V4595" s="252"/>
      <c r="W4595" s="460">
        <f t="shared" si="14"/>
        <v>0</v>
      </c>
      <c r="X4595" s="258"/>
      <c r="Y4595" s="202"/>
      <c r="Z4595" s="48"/>
      <c r="AA4595" s="252"/>
      <c r="AB4595" s="252"/>
      <c r="AC4595" s="460">
        <f t="shared" si="15"/>
        <v>0</v>
      </c>
      <c r="AF4595"/>
      <c r="AG4595"/>
    </row>
    <row r="4596" spans="1:33" s="47" customFormat="1">
      <c r="A4596"/>
      <c r="B4596"/>
      <c r="C4596"/>
      <c r="D4596"/>
      <c r="E4596"/>
      <c r="F4596"/>
      <c r="G4596"/>
      <c r="H4596"/>
      <c r="I4596"/>
      <c r="J4596"/>
      <c r="K4596"/>
      <c r="L4596"/>
      <c r="M4596" s="820"/>
      <c r="N4596" s="461" t="str">
        <f>N4567 &amp; ".12"</f>
        <v>4.0.3.2.3.12</v>
      </c>
      <c r="O4596" s="457" t="s">
        <v>2982</v>
      </c>
      <c r="P4596" s="473" t="s">
        <v>786</v>
      </c>
      <c r="Q4596" s="258"/>
      <c r="R4596" s="259"/>
      <c r="S4596" s="259"/>
      <c r="T4596" s="260"/>
      <c r="U4596" s="252"/>
      <c r="V4596" s="252"/>
      <c r="W4596" s="460">
        <f t="shared" si="14"/>
        <v>0</v>
      </c>
      <c r="X4596" s="258"/>
      <c r="Y4596" s="202"/>
      <c r="Z4596" s="48"/>
      <c r="AA4596" s="252"/>
      <c r="AB4596" s="252"/>
      <c r="AC4596" s="460">
        <f t="shared" si="15"/>
        <v>0</v>
      </c>
      <c r="AF4596"/>
      <c r="AG4596"/>
    </row>
    <row r="4597" spans="1:33" s="47" customFormat="1" hidden="1">
      <c r="A4597"/>
      <c r="B4597"/>
      <c r="C4597"/>
      <c r="D4597"/>
      <c r="E4597"/>
      <c r="F4597"/>
      <c r="G4597"/>
      <c r="H4597"/>
      <c r="I4597"/>
      <c r="J4597"/>
      <c r="K4597"/>
      <c r="L4597"/>
      <c r="M4597" s="820"/>
      <c r="N4597" s="451"/>
      <c r="O4597" s="454"/>
      <c r="P4597" s="473"/>
      <c r="Q4597" s="258"/>
      <c r="R4597" s="259"/>
      <c r="S4597" s="259"/>
      <c r="T4597" s="260"/>
      <c r="U4597" s="252"/>
      <c r="V4597" s="252"/>
      <c r="W4597" s="456"/>
      <c r="X4597" s="258"/>
      <c r="Y4597" s="202"/>
      <c r="Z4597" s="48"/>
      <c r="AA4597" s="252"/>
      <c r="AB4597" s="252"/>
      <c r="AC4597" s="456"/>
      <c r="AF4597"/>
      <c r="AG4597"/>
    </row>
    <row r="4598" spans="1:33" s="47" customFormat="1" hidden="1">
      <c r="A4598"/>
      <c r="B4598"/>
      <c r="C4598"/>
      <c r="D4598"/>
      <c r="E4598"/>
      <c r="F4598"/>
      <c r="G4598"/>
      <c r="H4598"/>
      <c r="I4598"/>
      <c r="J4598"/>
      <c r="K4598"/>
      <c r="L4598"/>
      <c r="M4598" s="820"/>
      <c r="N4598" s="451"/>
      <c r="O4598" s="454"/>
      <c r="P4598" s="473"/>
      <c r="Q4598" s="258"/>
      <c r="R4598" s="259"/>
      <c r="S4598" s="259"/>
      <c r="T4598" s="260"/>
      <c r="U4598" s="252"/>
      <c r="V4598" s="252"/>
      <c r="W4598" s="456"/>
      <c r="X4598" s="258"/>
      <c r="Y4598" s="202"/>
      <c r="Z4598" s="48"/>
      <c r="AA4598" s="252"/>
      <c r="AB4598" s="252"/>
      <c r="AC4598" s="456"/>
      <c r="AF4598"/>
      <c r="AG4598"/>
    </row>
    <row r="4599" spans="1:33" s="47" customFormat="1">
      <c r="A4599"/>
      <c r="B4599"/>
      <c r="C4599"/>
      <c r="D4599"/>
      <c r="E4599"/>
      <c r="F4599"/>
      <c r="G4599"/>
      <c r="H4599"/>
      <c r="I4599"/>
      <c r="J4599"/>
      <c r="K4599"/>
      <c r="L4599"/>
      <c r="M4599" s="820"/>
      <c r="N4599" s="461" t="str">
        <f>N4567 &amp; ".15"</f>
        <v>4.0.3.2.3.15</v>
      </c>
      <c r="O4599" s="457" t="s">
        <v>291</v>
      </c>
      <c r="P4599" s="473" t="s">
        <v>786</v>
      </c>
      <c r="Q4599" s="258"/>
      <c r="R4599" s="259"/>
      <c r="S4599" s="259"/>
      <c r="T4599" s="260"/>
      <c r="U4599" s="252"/>
      <c r="V4599" s="252"/>
      <c r="W4599" s="460">
        <f>W4566*W4533/1000</f>
        <v>0</v>
      </c>
      <c r="X4599" s="258"/>
      <c r="Y4599" s="202"/>
      <c r="Z4599" s="48"/>
      <c r="AA4599" s="252"/>
      <c r="AB4599" s="252"/>
      <c r="AC4599" s="460">
        <f>AC4566*AC4533/1000</f>
        <v>0</v>
      </c>
      <c r="AF4599"/>
      <c r="AG4599"/>
    </row>
    <row r="4600" spans="1:33" s="47" customFormat="1" ht="22.5">
      <c r="A4600"/>
      <c r="B4600"/>
      <c r="C4600"/>
      <c r="D4600"/>
      <c r="E4600"/>
      <c r="F4600"/>
      <c r="G4600"/>
      <c r="H4600"/>
      <c r="I4600"/>
      <c r="J4600"/>
      <c r="K4600"/>
      <c r="L4600"/>
      <c r="M4600" s="820"/>
      <c r="N4600" s="449" t="s">
        <v>278</v>
      </c>
      <c r="O4600" s="450" t="s">
        <v>243</v>
      </c>
      <c r="P4600" s="473"/>
      <c r="Q4600" s="258"/>
      <c r="R4600" s="259"/>
      <c r="S4600" s="259"/>
      <c r="T4600" s="260"/>
      <c r="U4600" s="252"/>
      <c r="V4600" s="252"/>
      <c r="W4600" s="456"/>
      <c r="X4600" s="258"/>
      <c r="Y4600" s="202"/>
      <c r="Z4600" s="48"/>
      <c r="AA4600" s="252"/>
      <c r="AB4600" s="252"/>
      <c r="AC4600" s="456"/>
      <c r="AF4600"/>
      <c r="AG4600"/>
    </row>
    <row r="4601" spans="1:33" s="47" customFormat="1">
      <c r="A4601"/>
      <c r="B4601"/>
      <c r="C4601"/>
      <c r="D4601"/>
      <c r="E4601"/>
      <c r="F4601"/>
      <c r="G4601"/>
      <c r="H4601"/>
      <c r="I4601"/>
      <c r="J4601"/>
      <c r="K4601"/>
      <c r="L4601"/>
      <c r="M4601" s="820"/>
      <c r="N4601" s="461" t="str">
        <f>N4600 &amp; ".1"</f>
        <v>4.0.3.3.1.1</v>
      </c>
      <c r="O4601" s="453" t="s">
        <v>78</v>
      </c>
      <c r="P4601" s="473" t="s">
        <v>216</v>
      </c>
      <c r="Q4601" s="258"/>
      <c r="R4601" s="259"/>
      <c r="S4601" s="259"/>
      <c r="T4601" s="260"/>
      <c r="U4601" s="252"/>
      <c r="V4601" s="252"/>
      <c r="W4601" s="465"/>
      <c r="X4601" s="258"/>
      <c r="Y4601" s="202"/>
      <c r="Z4601" s="48"/>
      <c r="AA4601" s="252"/>
      <c r="AB4601" s="252"/>
      <c r="AC4601" s="465"/>
      <c r="AF4601"/>
      <c r="AG4601"/>
    </row>
    <row r="4602" spans="1:33" s="47" customFormat="1" hidden="1">
      <c r="A4602"/>
      <c r="B4602"/>
      <c r="C4602"/>
      <c r="D4602"/>
      <c r="E4602"/>
      <c r="F4602"/>
      <c r="G4602"/>
      <c r="H4602"/>
      <c r="I4602"/>
      <c r="J4602"/>
      <c r="K4602"/>
      <c r="L4602"/>
      <c r="M4602" s="820"/>
      <c r="N4602" s="461"/>
      <c r="O4602" s="454"/>
      <c r="P4602" s="473"/>
      <c r="Q4602" s="258"/>
      <c r="R4602" s="259"/>
      <c r="S4602" s="259"/>
      <c r="T4602" s="260"/>
      <c r="U4602" s="252"/>
      <c r="V4602" s="252"/>
      <c r="W4602" s="456"/>
      <c r="X4602" s="258"/>
      <c r="Y4602" s="202"/>
      <c r="Z4602" s="48"/>
      <c r="AA4602" s="252"/>
      <c r="AB4602" s="252"/>
      <c r="AC4602" s="456"/>
      <c r="AF4602"/>
      <c r="AG4602"/>
    </row>
    <row r="4603" spans="1:33" s="47" customFormat="1" hidden="1">
      <c r="A4603"/>
      <c r="B4603"/>
      <c r="C4603"/>
      <c r="D4603"/>
      <c r="E4603"/>
      <c r="F4603"/>
      <c r="G4603"/>
      <c r="H4603"/>
      <c r="I4603"/>
      <c r="J4603"/>
      <c r="K4603"/>
      <c r="L4603"/>
      <c r="M4603" s="820"/>
      <c r="N4603" s="461"/>
      <c r="O4603" s="454"/>
      <c r="P4603" s="473"/>
      <c r="Q4603" s="258"/>
      <c r="R4603" s="259"/>
      <c r="S4603" s="259"/>
      <c r="T4603" s="260"/>
      <c r="U4603" s="252"/>
      <c r="V4603" s="252"/>
      <c r="W4603" s="456"/>
      <c r="X4603" s="258"/>
      <c r="Y4603" s="202"/>
      <c r="Z4603" s="48"/>
      <c r="AA4603" s="252"/>
      <c r="AB4603" s="252"/>
      <c r="AC4603" s="456"/>
      <c r="AF4603"/>
      <c r="AG4603"/>
    </row>
    <row r="4604" spans="1:33" s="47" customFormat="1" hidden="1">
      <c r="A4604"/>
      <c r="B4604"/>
      <c r="C4604"/>
      <c r="D4604"/>
      <c r="E4604"/>
      <c r="F4604"/>
      <c r="G4604"/>
      <c r="H4604"/>
      <c r="I4604"/>
      <c r="J4604"/>
      <c r="K4604"/>
      <c r="L4604"/>
      <c r="M4604" s="820"/>
      <c r="N4604" s="451"/>
      <c r="O4604" s="454"/>
      <c r="P4604" s="473"/>
      <c r="Q4604" s="258"/>
      <c r="R4604" s="259"/>
      <c r="S4604" s="259"/>
      <c r="T4604" s="260"/>
      <c r="U4604" s="252"/>
      <c r="V4604" s="252"/>
      <c r="W4604" s="456"/>
      <c r="X4604" s="258"/>
      <c r="Y4604" s="202"/>
      <c r="Z4604" s="48"/>
      <c r="AA4604" s="252"/>
      <c r="AB4604" s="252"/>
      <c r="AC4604" s="456"/>
      <c r="AF4604"/>
      <c r="AG4604"/>
    </row>
    <row r="4605" spans="1:33" s="47" customFormat="1" hidden="1">
      <c r="A4605"/>
      <c r="B4605"/>
      <c r="C4605"/>
      <c r="D4605"/>
      <c r="E4605"/>
      <c r="F4605"/>
      <c r="G4605"/>
      <c r="H4605"/>
      <c r="I4605"/>
      <c r="J4605"/>
      <c r="K4605"/>
      <c r="L4605"/>
      <c r="M4605" s="820"/>
      <c r="N4605" s="451"/>
      <c r="O4605" s="454"/>
      <c r="P4605" s="473"/>
      <c r="Q4605" s="258"/>
      <c r="R4605" s="259"/>
      <c r="S4605" s="259"/>
      <c r="T4605" s="260"/>
      <c r="U4605" s="252"/>
      <c r="V4605" s="252"/>
      <c r="W4605" s="456"/>
      <c r="X4605" s="258"/>
      <c r="Y4605" s="202"/>
      <c r="Z4605" s="48"/>
      <c r="AA4605" s="252"/>
      <c r="AB4605" s="252"/>
      <c r="AC4605" s="456"/>
      <c r="AF4605"/>
      <c r="AG4605"/>
    </row>
    <row r="4606" spans="1:33" s="47" customFormat="1" hidden="1">
      <c r="A4606"/>
      <c r="B4606"/>
      <c r="C4606"/>
      <c r="D4606"/>
      <c r="E4606"/>
      <c r="F4606"/>
      <c r="G4606"/>
      <c r="H4606"/>
      <c r="I4606"/>
      <c r="J4606"/>
      <c r="K4606"/>
      <c r="L4606"/>
      <c r="M4606" s="820"/>
      <c r="N4606" s="451"/>
      <c r="O4606" s="454"/>
      <c r="P4606" s="473"/>
      <c r="Q4606" s="258"/>
      <c r="R4606" s="259"/>
      <c r="S4606" s="259"/>
      <c r="T4606" s="260"/>
      <c r="U4606" s="252"/>
      <c r="V4606" s="252"/>
      <c r="W4606" s="456"/>
      <c r="X4606" s="258"/>
      <c r="Y4606" s="202"/>
      <c r="Z4606" s="48"/>
      <c r="AA4606" s="252"/>
      <c r="AB4606" s="252"/>
      <c r="AC4606" s="456"/>
      <c r="AF4606"/>
      <c r="AG4606"/>
    </row>
    <row r="4607" spans="1:33" s="47" customFormat="1" hidden="1">
      <c r="A4607"/>
      <c r="B4607"/>
      <c r="C4607"/>
      <c r="D4607"/>
      <c r="E4607"/>
      <c r="F4607"/>
      <c r="G4607"/>
      <c r="H4607"/>
      <c r="I4607"/>
      <c r="J4607"/>
      <c r="K4607"/>
      <c r="L4607"/>
      <c r="M4607" s="820"/>
      <c r="N4607" s="451"/>
      <c r="O4607" s="454"/>
      <c r="P4607" s="473"/>
      <c r="Q4607" s="258"/>
      <c r="R4607" s="259"/>
      <c r="S4607" s="259"/>
      <c r="T4607" s="260"/>
      <c r="U4607" s="252"/>
      <c r="V4607" s="252"/>
      <c r="W4607" s="456"/>
      <c r="X4607" s="258"/>
      <c r="Y4607" s="202"/>
      <c r="Z4607" s="48"/>
      <c r="AA4607" s="252"/>
      <c r="AB4607" s="252"/>
      <c r="AC4607" s="456"/>
      <c r="AF4607"/>
      <c r="AG4607"/>
    </row>
    <row r="4608" spans="1:33" s="47" customFormat="1" hidden="1">
      <c r="A4608"/>
      <c r="B4608"/>
      <c r="C4608"/>
      <c r="D4608"/>
      <c r="E4608"/>
      <c r="F4608"/>
      <c r="G4608"/>
      <c r="H4608"/>
      <c r="I4608"/>
      <c r="J4608"/>
      <c r="K4608"/>
      <c r="L4608"/>
      <c r="M4608" s="820"/>
      <c r="N4608" s="451"/>
      <c r="O4608" s="454"/>
      <c r="P4608" s="473"/>
      <c r="Q4608" s="258"/>
      <c r="R4608" s="259"/>
      <c r="S4608" s="259"/>
      <c r="T4608" s="260"/>
      <c r="U4608" s="252"/>
      <c r="V4608" s="252"/>
      <c r="W4608" s="456"/>
      <c r="X4608" s="258"/>
      <c r="Y4608" s="202"/>
      <c r="Z4608" s="48"/>
      <c r="AA4608" s="252"/>
      <c r="AB4608" s="252"/>
      <c r="AC4608" s="456"/>
      <c r="AF4608"/>
      <c r="AG4608"/>
    </row>
    <row r="4609" spans="1:33" s="47" customFormat="1" hidden="1">
      <c r="A4609"/>
      <c r="B4609"/>
      <c r="C4609"/>
      <c r="D4609"/>
      <c r="E4609"/>
      <c r="F4609"/>
      <c r="G4609"/>
      <c r="H4609"/>
      <c r="I4609"/>
      <c r="J4609"/>
      <c r="K4609"/>
      <c r="L4609"/>
      <c r="M4609" s="820"/>
      <c r="N4609" s="451"/>
      <c r="O4609" s="454"/>
      <c r="P4609" s="473"/>
      <c r="Q4609" s="258"/>
      <c r="R4609" s="259"/>
      <c r="S4609" s="259"/>
      <c r="T4609" s="260"/>
      <c r="U4609" s="252"/>
      <c r="V4609" s="252"/>
      <c r="W4609" s="456"/>
      <c r="X4609" s="258"/>
      <c r="Y4609" s="202"/>
      <c r="Z4609" s="48"/>
      <c r="AA4609" s="252"/>
      <c r="AB4609" s="252"/>
      <c r="AC4609" s="456"/>
      <c r="AF4609"/>
      <c r="AG4609"/>
    </row>
    <row r="4610" spans="1:33" s="47" customFormat="1" hidden="1">
      <c r="A4610"/>
      <c r="B4610"/>
      <c r="C4610"/>
      <c r="D4610"/>
      <c r="E4610"/>
      <c r="F4610"/>
      <c r="G4610"/>
      <c r="H4610"/>
      <c r="I4610"/>
      <c r="J4610"/>
      <c r="K4610"/>
      <c r="L4610"/>
      <c r="M4610" s="820"/>
      <c r="N4610" s="451"/>
      <c r="O4610" s="454"/>
      <c r="P4610" s="473"/>
      <c r="Q4610" s="258"/>
      <c r="R4610" s="259"/>
      <c r="S4610" s="259"/>
      <c r="T4610" s="260"/>
      <c r="U4610" s="252"/>
      <c r="V4610" s="252"/>
      <c r="W4610" s="456"/>
      <c r="X4610" s="258"/>
      <c r="Y4610" s="202"/>
      <c r="Z4610" s="48"/>
      <c r="AA4610" s="252"/>
      <c r="AB4610" s="252"/>
      <c r="AC4610" s="456"/>
      <c r="AF4610"/>
      <c r="AG4610"/>
    </row>
    <row r="4611" spans="1:33" s="47" customFormat="1" hidden="1">
      <c r="A4611"/>
      <c r="B4611"/>
      <c r="C4611"/>
      <c r="D4611"/>
      <c r="E4611"/>
      <c r="F4611"/>
      <c r="G4611"/>
      <c r="H4611"/>
      <c r="I4611"/>
      <c r="J4611"/>
      <c r="K4611"/>
      <c r="L4611"/>
      <c r="M4611" s="820"/>
      <c r="N4611" s="461"/>
      <c r="O4611" s="454"/>
      <c r="P4611" s="473"/>
      <c r="Q4611" s="258"/>
      <c r="R4611" s="259"/>
      <c r="S4611" s="259"/>
      <c r="T4611" s="260"/>
      <c r="U4611" s="252"/>
      <c r="V4611" s="252"/>
      <c r="W4611" s="456"/>
      <c r="X4611" s="258"/>
      <c r="Y4611" s="202"/>
      <c r="Z4611" s="48"/>
      <c r="AA4611" s="252"/>
      <c r="AB4611" s="252"/>
      <c r="AC4611" s="456"/>
      <c r="AF4611"/>
      <c r="AG4611"/>
    </row>
    <row r="4612" spans="1:33" s="47" customFormat="1" hidden="1">
      <c r="A4612"/>
      <c r="B4612"/>
      <c r="C4612"/>
      <c r="D4612"/>
      <c r="E4612"/>
      <c r="F4612"/>
      <c r="G4612"/>
      <c r="H4612"/>
      <c r="I4612"/>
      <c r="J4612"/>
      <c r="K4612"/>
      <c r="L4612"/>
      <c r="M4612" s="820"/>
      <c r="N4612" s="451"/>
      <c r="O4612" s="454"/>
      <c r="P4612" s="473"/>
      <c r="Q4612" s="258"/>
      <c r="R4612" s="259"/>
      <c r="S4612" s="259"/>
      <c r="T4612" s="260"/>
      <c r="U4612" s="252"/>
      <c r="V4612" s="252"/>
      <c r="W4612" s="456"/>
      <c r="X4612" s="258"/>
      <c r="Y4612" s="202"/>
      <c r="Z4612" s="48"/>
      <c r="AA4612" s="252"/>
      <c r="AB4612" s="252"/>
      <c r="AC4612" s="456"/>
      <c r="AF4612"/>
      <c r="AG4612"/>
    </row>
    <row r="4613" spans="1:33" s="47" customFormat="1" hidden="1">
      <c r="A4613"/>
      <c r="B4613"/>
      <c r="C4613"/>
      <c r="D4613"/>
      <c r="E4613"/>
      <c r="F4613"/>
      <c r="G4613"/>
      <c r="H4613"/>
      <c r="I4613"/>
      <c r="J4613"/>
      <c r="K4613"/>
      <c r="L4613"/>
      <c r="M4613" s="820"/>
      <c r="N4613" s="451"/>
      <c r="O4613" s="454"/>
      <c r="P4613" s="473"/>
      <c r="Q4613" s="258"/>
      <c r="R4613" s="259"/>
      <c r="S4613" s="259"/>
      <c r="T4613" s="260"/>
      <c r="U4613" s="252"/>
      <c r="V4613" s="252"/>
      <c r="W4613" s="456"/>
      <c r="X4613" s="258"/>
      <c r="Y4613" s="202"/>
      <c r="Z4613" s="48"/>
      <c r="AA4613" s="252"/>
      <c r="AB4613" s="252"/>
      <c r="AC4613" s="456"/>
      <c r="AF4613"/>
      <c r="AG4613"/>
    </row>
    <row r="4614" spans="1:33" s="47" customFormat="1" hidden="1">
      <c r="A4614"/>
      <c r="B4614"/>
      <c r="C4614"/>
      <c r="D4614"/>
      <c r="E4614"/>
      <c r="F4614"/>
      <c r="G4614"/>
      <c r="H4614"/>
      <c r="I4614"/>
      <c r="J4614"/>
      <c r="K4614"/>
      <c r="L4614"/>
      <c r="M4614" s="820"/>
      <c r="N4614" s="451"/>
      <c r="O4614" s="454"/>
      <c r="P4614" s="473"/>
      <c r="Q4614" s="258"/>
      <c r="R4614" s="259"/>
      <c r="S4614" s="259"/>
      <c r="T4614" s="260"/>
      <c r="U4614" s="252"/>
      <c r="V4614" s="252"/>
      <c r="W4614" s="456"/>
      <c r="X4614" s="258"/>
      <c r="Y4614" s="202"/>
      <c r="Z4614" s="48"/>
      <c r="AA4614" s="252"/>
      <c r="AB4614" s="252"/>
      <c r="AC4614" s="456"/>
      <c r="AF4614"/>
      <c r="AG4614"/>
    </row>
    <row r="4615" spans="1:33" s="47" customFormat="1" hidden="1">
      <c r="A4615"/>
      <c r="B4615"/>
      <c r="C4615"/>
      <c r="D4615"/>
      <c r="E4615"/>
      <c r="F4615"/>
      <c r="G4615"/>
      <c r="H4615"/>
      <c r="I4615"/>
      <c r="J4615"/>
      <c r="K4615"/>
      <c r="L4615"/>
      <c r="M4615" s="820"/>
      <c r="N4615" s="451"/>
      <c r="O4615" s="454"/>
      <c r="P4615" s="473"/>
      <c r="Q4615" s="258"/>
      <c r="R4615" s="259"/>
      <c r="S4615" s="259"/>
      <c r="T4615" s="260"/>
      <c r="U4615" s="252"/>
      <c r="V4615" s="252"/>
      <c r="W4615" s="456"/>
      <c r="X4615" s="258"/>
      <c r="Y4615" s="202"/>
      <c r="Z4615" s="48"/>
      <c r="AA4615" s="252"/>
      <c r="AB4615" s="252"/>
      <c r="AC4615" s="456"/>
      <c r="AF4615"/>
      <c r="AG4615"/>
    </row>
    <row r="4616" spans="1:33" s="47" customFormat="1" hidden="1">
      <c r="A4616"/>
      <c r="B4616"/>
      <c r="C4616"/>
      <c r="D4616"/>
      <c r="E4616"/>
      <c r="F4616"/>
      <c r="G4616"/>
      <c r="H4616"/>
      <c r="I4616"/>
      <c r="J4616"/>
      <c r="K4616"/>
      <c r="L4616"/>
      <c r="M4616" s="820"/>
      <c r="N4616" s="451"/>
      <c r="O4616" s="454"/>
      <c r="P4616" s="473"/>
      <c r="Q4616" s="258"/>
      <c r="R4616" s="259"/>
      <c r="S4616" s="259"/>
      <c r="T4616" s="260"/>
      <c r="U4616" s="252"/>
      <c r="V4616" s="252"/>
      <c r="W4616" s="456"/>
      <c r="X4616" s="258"/>
      <c r="Y4616" s="202"/>
      <c r="Z4616" s="48"/>
      <c r="AA4616" s="252"/>
      <c r="AB4616" s="252"/>
      <c r="AC4616" s="456"/>
      <c r="AF4616"/>
      <c r="AG4616"/>
    </row>
    <row r="4617" spans="1:33" s="47" customFormat="1" hidden="1">
      <c r="A4617"/>
      <c r="B4617"/>
      <c r="C4617"/>
      <c r="D4617"/>
      <c r="E4617"/>
      <c r="F4617"/>
      <c r="G4617"/>
      <c r="H4617"/>
      <c r="I4617"/>
      <c r="J4617"/>
      <c r="K4617"/>
      <c r="L4617"/>
      <c r="M4617" s="820"/>
      <c r="N4617" s="451"/>
      <c r="O4617" s="455"/>
      <c r="P4617" s="473"/>
      <c r="Q4617" s="258"/>
      <c r="R4617" s="259"/>
      <c r="S4617" s="259"/>
      <c r="T4617" s="260"/>
      <c r="U4617" s="252"/>
      <c r="V4617" s="252"/>
      <c r="W4617" s="456"/>
      <c r="X4617" s="258"/>
      <c r="Y4617" s="202"/>
      <c r="Z4617" s="48"/>
      <c r="AA4617" s="252"/>
      <c r="AB4617" s="252"/>
      <c r="AC4617" s="456"/>
      <c r="AF4617"/>
      <c r="AG4617"/>
    </row>
    <row r="4618" spans="1:33" s="47" customFormat="1" hidden="1">
      <c r="A4618"/>
      <c r="B4618"/>
      <c r="C4618"/>
      <c r="D4618"/>
      <c r="E4618"/>
      <c r="F4618"/>
      <c r="G4618"/>
      <c r="H4618"/>
      <c r="I4618"/>
      <c r="J4618"/>
      <c r="K4618"/>
      <c r="L4618"/>
      <c r="M4618" s="820"/>
      <c r="N4618" s="451"/>
      <c r="O4618" s="455"/>
      <c r="P4618" s="473"/>
      <c r="Q4618" s="258"/>
      <c r="R4618" s="259"/>
      <c r="S4618" s="259"/>
      <c r="T4618" s="260"/>
      <c r="U4618" s="252"/>
      <c r="V4618" s="252"/>
      <c r="W4618" s="456"/>
      <c r="X4618" s="258"/>
      <c r="Y4618" s="202"/>
      <c r="Z4618" s="48"/>
      <c r="AA4618" s="252"/>
      <c r="AB4618" s="252"/>
      <c r="AC4618" s="456"/>
      <c r="AF4618"/>
      <c r="AG4618"/>
    </row>
    <row r="4619" spans="1:33" s="47" customFormat="1" hidden="1">
      <c r="A4619"/>
      <c r="B4619"/>
      <c r="C4619"/>
      <c r="D4619"/>
      <c r="E4619"/>
      <c r="F4619"/>
      <c r="G4619"/>
      <c r="H4619"/>
      <c r="I4619"/>
      <c r="J4619"/>
      <c r="K4619"/>
      <c r="L4619"/>
      <c r="M4619" s="820"/>
      <c r="N4619" s="461"/>
      <c r="O4619" s="455"/>
      <c r="P4619" s="473"/>
      <c r="Q4619" s="258"/>
      <c r="R4619" s="259"/>
      <c r="S4619" s="259"/>
      <c r="T4619" s="260"/>
      <c r="U4619" s="252"/>
      <c r="V4619" s="252"/>
      <c r="W4619" s="456"/>
      <c r="X4619" s="258"/>
      <c r="Y4619" s="202"/>
      <c r="Z4619" s="48"/>
      <c r="AA4619" s="252"/>
      <c r="AB4619" s="252"/>
      <c r="AC4619" s="456"/>
      <c r="AF4619"/>
      <c r="AG4619"/>
    </row>
    <row r="4620" spans="1:33" s="47" customFormat="1">
      <c r="A4620"/>
      <c r="B4620"/>
      <c r="C4620"/>
      <c r="D4620"/>
      <c r="E4620"/>
      <c r="F4620"/>
      <c r="G4620"/>
      <c r="H4620"/>
      <c r="I4620"/>
      <c r="J4620"/>
      <c r="K4620"/>
      <c r="L4620"/>
      <c r="M4620" s="820"/>
      <c r="N4620" s="461" t="str">
        <f>N4600 &amp; ".3"</f>
        <v>4.0.3.3.1.3</v>
      </c>
      <c r="O4620" s="457" t="s">
        <v>85</v>
      </c>
      <c r="P4620" s="473" t="s">
        <v>216</v>
      </c>
      <c r="Q4620" s="258"/>
      <c r="R4620" s="259"/>
      <c r="S4620" s="259"/>
      <c r="T4620" s="260"/>
      <c r="U4620" s="252"/>
      <c r="V4620" s="252"/>
      <c r="W4620" s="465"/>
      <c r="X4620" s="258"/>
      <c r="Y4620" s="202"/>
      <c r="Z4620" s="48"/>
      <c r="AA4620" s="252"/>
      <c r="AB4620" s="252"/>
      <c r="AC4620" s="465"/>
      <c r="AF4620"/>
      <c r="AG4620"/>
    </row>
    <row r="4621" spans="1:33" s="47" customFormat="1">
      <c r="A4621"/>
      <c r="B4621"/>
      <c r="C4621"/>
      <c r="D4621"/>
      <c r="E4621"/>
      <c r="F4621"/>
      <c r="G4621"/>
      <c r="H4621"/>
      <c r="I4621"/>
      <c r="J4621"/>
      <c r="K4621"/>
      <c r="L4621"/>
      <c r="M4621" s="820"/>
      <c r="N4621" s="461" t="str">
        <f>N4600 &amp; ".4"</f>
        <v>4.0.3.3.1.4</v>
      </c>
      <c r="O4621" s="457" t="s">
        <v>87</v>
      </c>
      <c r="P4621" s="473" t="s">
        <v>216</v>
      </c>
      <c r="Q4621" s="258"/>
      <c r="R4621" s="259"/>
      <c r="S4621" s="259"/>
      <c r="T4621" s="260"/>
      <c r="U4621" s="252"/>
      <c r="V4621" s="252"/>
      <c r="W4621" s="465"/>
      <c r="X4621" s="258"/>
      <c r="Y4621" s="202"/>
      <c r="Z4621" s="48"/>
      <c r="AA4621" s="252"/>
      <c r="AB4621" s="252"/>
      <c r="AC4621" s="465"/>
      <c r="AF4621"/>
      <c r="AG4621"/>
    </row>
    <row r="4622" spans="1:33" s="47" customFormat="1">
      <c r="A4622"/>
      <c r="B4622"/>
      <c r="C4622"/>
      <c r="D4622"/>
      <c r="E4622"/>
      <c r="F4622"/>
      <c r="G4622"/>
      <c r="H4622"/>
      <c r="I4622"/>
      <c r="J4622"/>
      <c r="K4622"/>
      <c r="L4622"/>
      <c r="M4622" s="820"/>
      <c r="N4622" s="461" t="str">
        <f>N4600&amp;".5"</f>
        <v>4.0.3.3.1.5</v>
      </c>
      <c r="O4622" s="457" t="s">
        <v>89</v>
      </c>
      <c r="P4622" s="473" t="s">
        <v>216</v>
      </c>
      <c r="Q4622" s="258"/>
      <c r="R4622" s="259"/>
      <c r="S4622" s="259"/>
      <c r="T4622" s="260"/>
      <c r="U4622" s="252"/>
      <c r="V4622" s="252"/>
      <c r="W4622" s="465"/>
      <c r="X4622" s="258"/>
      <c r="Y4622" s="202"/>
      <c r="Z4622" s="48"/>
      <c r="AA4622" s="252"/>
      <c r="AB4622" s="252"/>
      <c r="AC4622" s="465"/>
      <c r="AF4622"/>
      <c r="AG4622"/>
    </row>
    <row r="4623" spans="1:33" s="47" customFormat="1">
      <c r="A4623"/>
      <c r="B4623"/>
      <c r="C4623"/>
      <c r="D4623"/>
      <c r="E4623"/>
      <c r="F4623"/>
      <c r="G4623"/>
      <c r="H4623"/>
      <c r="I4623"/>
      <c r="J4623"/>
      <c r="K4623"/>
      <c r="L4623"/>
      <c r="M4623" s="820"/>
      <c r="N4623" s="461" t="str">
        <f>N4600 &amp; ".6"</f>
        <v>4.0.3.3.1.6</v>
      </c>
      <c r="O4623" s="457" t="s">
        <v>91</v>
      </c>
      <c r="P4623" s="473" t="s">
        <v>216</v>
      </c>
      <c r="Q4623" s="258"/>
      <c r="R4623" s="259"/>
      <c r="S4623" s="259"/>
      <c r="T4623" s="260"/>
      <c r="U4623" s="252"/>
      <c r="V4623" s="252"/>
      <c r="W4623" s="465"/>
      <c r="X4623" s="258"/>
      <c r="Y4623" s="202"/>
      <c r="Z4623" s="48"/>
      <c r="AA4623" s="252"/>
      <c r="AB4623" s="252"/>
      <c r="AC4623" s="465"/>
      <c r="AF4623"/>
      <c r="AG4623"/>
    </row>
    <row r="4624" spans="1:33" s="47" customFormat="1">
      <c r="A4624"/>
      <c r="B4624"/>
      <c r="C4624"/>
      <c r="D4624"/>
      <c r="E4624"/>
      <c r="F4624"/>
      <c r="G4624"/>
      <c r="H4624"/>
      <c r="I4624"/>
      <c r="J4624"/>
      <c r="K4624"/>
      <c r="L4624"/>
      <c r="M4624" s="820"/>
      <c r="N4624" s="461" t="str">
        <f>N4600 &amp; ".7"</f>
        <v>4.0.3.3.1.7</v>
      </c>
      <c r="O4624" s="457" t="s">
        <v>93</v>
      </c>
      <c r="P4624" s="473" t="s">
        <v>216</v>
      </c>
      <c r="Q4624" s="258"/>
      <c r="R4624" s="259"/>
      <c r="S4624" s="259"/>
      <c r="T4624" s="260"/>
      <c r="U4624" s="252"/>
      <c r="V4624" s="252"/>
      <c r="W4624" s="465"/>
      <c r="X4624" s="258"/>
      <c r="Y4624" s="202"/>
      <c r="Z4624" s="48"/>
      <c r="AA4624" s="252"/>
      <c r="AB4624" s="252"/>
      <c r="AC4624" s="465"/>
      <c r="AF4624"/>
      <c r="AG4624"/>
    </row>
    <row r="4625" spans="1:33" s="47" customFormat="1">
      <c r="A4625"/>
      <c r="B4625"/>
      <c r="C4625"/>
      <c r="D4625"/>
      <c r="E4625"/>
      <c r="F4625"/>
      <c r="G4625"/>
      <c r="H4625"/>
      <c r="I4625"/>
      <c r="J4625"/>
      <c r="K4625"/>
      <c r="L4625"/>
      <c r="M4625" s="820"/>
      <c r="N4625" s="461" t="str">
        <f>N4600 &amp; ".8"</f>
        <v>4.0.3.3.1.8</v>
      </c>
      <c r="O4625" s="457" t="s">
        <v>95</v>
      </c>
      <c r="P4625" s="473" t="s">
        <v>216</v>
      </c>
      <c r="Q4625" s="258"/>
      <c r="R4625" s="259"/>
      <c r="S4625" s="259"/>
      <c r="T4625" s="260"/>
      <c r="U4625" s="252"/>
      <c r="V4625" s="252"/>
      <c r="W4625" s="465"/>
      <c r="X4625" s="258"/>
      <c r="Y4625" s="202"/>
      <c r="Z4625" s="48"/>
      <c r="AA4625" s="252"/>
      <c r="AB4625" s="252"/>
      <c r="AC4625" s="465"/>
      <c r="AF4625"/>
      <c r="AG4625"/>
    </row>
    <row r="4626" spans="1:33" s="47" customFormat="1">
      <c r="A4626"/>
      <c r="B4626"/>
      <c r="C4626"/>
      <c r="D4626"/>
      <c r="E4626"/>
      <c r="F4626"/>
      <c r="G4626"/>
      <c r="H4626"/>
      <c r="I4626"/>
      <c r="J4626"/>
      <c r="K4626"/>
      <c r="L4626"/>
      <c r="M4626" s="820"/>
      <c r="N4626" s="461" t="str">
        <f>N4600 &amp; ".9"</f>
        <v>4.0.3.3.1.9</v>
      </c>
      <c r="O4626" s="457" t="s">
        <v>2976</v>
      </c>
      <c r="P4626" s="473" t="s">
        <v>216</v>
      </c>
      <c r="Q4626" s="258"/>
      <c r="R4626" s="259"/>
      <c r="S4626" s="259"/>
      <c r="T4626" s="260"/>
      <c r="U4626" s="252"/>
      <c r="V4626" s="252"/>
      <c r="W4626" s="465"/>
      <c r="X4626" s="258"/>
      <c r="Y4626" s="202"/>
      <c r="Z4626" s="48"/>
      <c r="AA4626" s="252"/>
      <c r="AB4626" s="252"/>
      <c r="AC4626" s="465"/>
      <c r="AF4626"/>
      <c r="AG4626"/>
    </row>
    <row r="4627" spans="1:33" s="47" customFormat="1">
      <c r="A4627"/>
      <c r="B4627"/>
      <c r="C4627"/>
      <c r="D4627"/>
      <c r="E4627"/>
      <c r="F4627"/>
      <c r="G4627"/>
      <c r="H4627"/>
      <c r="I4627"/>
      <c r="J4627"/>
      <c r="K4627"/>
      <c r="L4627"/>
      <c r="M4627" s="820"/>
      <c r="N4627" s="461" t="str">
        <f>N4600 &amp; ".10"</f>
        <v>4.0.3.3.1.10</v>
      </c>
      <c r="O4627" s="457" t="s">
        <v>2978</v>
      </c>
      <c r="P4627" s="473" t="s">
        <v>216</v>
      </c>
      <c r="Q4627" s="258"/>
      <c r="R4627" s="259"/>
      <c r="S4627" s="259"/>
      <c r="T4627" s="260"/>
      <c r="U4627" s="252"/>
      <c r="V4627" s="252"/>
      <c r="W4627" s="465"/>
      <c r="X4627" s="258"/>
      <c r="Y4627" s="202"/>
      <c r="Z4627" s="48"/>
      <c r="AA4627" s="252"/>
      <c r="AB4627" s="252"/>
      <c r="AC4627" s="465"/>
      <c r="AF4627"/>
      <c r="AG4627"/>
    </row>
    <row r="4628" spans="1:33" s="47" customFormat="1">
      <c r="A4628"/>
      <c r="B4628"/>
      <c r="C4628"/>
      <c r="D4628"/>
      <c r="E4628"/>
      <c r="F4628"/>
      <c r="G4628"/>
      <c r="H4628"/>
      <c r="I4628"/>
      <c r="J4628"/>
      <c r="K4628"/>
      <c r="L4628"/>
      <c r="M4628" s="820"/>
      <c r="N4628" s="461" t="str">
        <f>N4600 &amp; ".11"</f>
        <v>4.0.3.3.1.11</v>
      </c>
      <c r="O4628" s="457" t="s">
        <v>2980</v>
      </c>
      <c r="P4628" s="473" t="s">
        <v>216</v>
      </c>
      <c r="Q4628" s="258"/>
      <c r="R4628" s="259"/>
      <c r="S4628" s="259"/>
      <c r="T4628" s="260"/>
      <c r="U4628" s="252"/>
      <c r="V4628" s="252"/>
      <c r="W4628" s="465"/>
      <c r="X4628" s="258"/>
      <c r="Y4628" s="202"/>
      <c r="Z4628" s="48"/>
      <c r="AA4628" s="252"/>
      <c r="AB4628" s="252"/>
      <c r="AC4628" s="465"/>
      <c r="AF4628"/>
      <c r="AG4628"/>
    </row>
    <row r="4629" spans="1:33" s="47" customFormat="1">
      <c r="A4629"/>
      <c r="B4629"/>
      <c r="C4629"/>
      <c r="D4629"/>
      <c r="E4629"/>
      <c r="F4629"/>
      <c r="G4629"/>
      <c r="H4629"/>
      <c r="I4629"/>
      <c r="J4629"/>
      <c r="K4629"/>
      <c r="L4629"/>
      <c r="M4629" s="820"/>
      <c r="N4629" s="461" t="str">
        <f>N4600 &amp; ".12"</f>
        <v>4.0.3.3.1.12</v>
      </c>
      <c r="O4629" s="457" t="s">
        <v>2982</v>
      </c>
      <c r="P4629" s="473" t="s">
        <v>216</v>
      </c>
      <c r="Q4629" s="258"/>
      <c r="R4629" s="259"/>
      <c r="S4629" s="259"/>
      <c r="T4629" s="260"/>
      <c r="U4629" s="252"/>
      <c r="V4629" s="252"/>
      <c r="W4629" s="465"/>
      <c r="X4629" s="258"/>
      <c r="Y4629" s="202"/>
      <c r="Z4629" s="48"/>
      <c r="AA4629" s="252"/>
      <c r="AB4629" s="252"/>
      <c r="AC4629" s="465"/>
      <c r="AF4629"/>
      <c r="AG4629"/>
    </row>
    <row r="4630" spans="1:33" s="47" customFormat="1" hidden="1">
      <c r="A4630"/>
      <c r="B4630"/>
      <c r="C4630"/>
      <c r="D4630"/>
      <c r="E4630"/>
      <c r="F4630"/>
      <c r="G4630"/>
      <c r="H4630"/>
      <c r="I4630"/>
      <c r="J4630"/>
      <c r="K4630"/>
      <c r="L4630"/>
      <c r="M4630" s="820"/>
      <c r="N4630" s="451"/>
      <c r="O4630" s="454"/>
      <c r="P4630" s="473"/>
      <c r="Q4630" s="258"/>
      <c r="R4630" s="259"/>
      <c r="S4630" s="259"/>
      <c r="T4630" s="260"/>
      <c r="U4630" s="252"/>
      <c r="V4630" s="252"/>
      <c r="W4630" s="456"/>
      <c r="X4630" s="258"/>
      <c r="Y4630" s="202"/>
      <c r="Z4630" s="48"/>
      <c r="AA4630" s="252"/>
      <c r="AB4630" s="252"/>
      <c r="AC4630" s="456"/>
      <c r="AF4630"/>
      <c r="AG4630"/>
    </row>
    <row r="4631" spans="1:33" s="47" customFormat="1" hidden="1">
      <c r="A4631"/>
      <c r="B4631"/>
      <c r="C4631"/>
      <c r="D4631"/>
      <c r="E4631"/>
      <c r="F4631"/>
      <c r="G4631"/>
      <c r="H4631"/>
      <c r="I4631"/>
      <c r="J4631"/>
      <c r="K4631"/>
      <c r="L4631"/>
      <c r="M4631" s="820"/>
      <c r="N4631" s="451"/>
      <c r="O4631" s="454"/>
      <c r="P4631" s="473"/>
      <c r="Q4631" s="258"/>
      <c r="R4631" s="259"/>
      <c r="S4631" s="259"/>
      <c r="T4631" s="260"/>
      <c r="U4631" s="252"/>
      <c r="V4631" s="252"/>
      <c r="W4631" s="456"/>
      <c r="X4631" s="258"/>
      <c r="Y4631" s="202"/>
      <c r="Z4631" s="48"/>
      <c r="AA4631" s="252"/>
      <c r="AB4631" s="252"/>
      <c r="AC4631" s="456"/>
      <c r="AF4631"/>
      <c r="AG4631"/>
    </row>
    <row r="4632" spans="1:33" s="47" customFormat="1">
      <c r="A4632"/>
      <c r="B4632"/>
      <c r="C4632"/>
      <c r="D4632"/>
      <c r="E4632"/>
      <c r="F4632"/>
      <c r="G4632"/>
      <c r="H4632"/>
      <c r="I4632"/>
      <c r="J4632"/>
      <c r="K4632"/>
      <c r="L4632"/>
      <c r="M4632" s="820"/>
      <c r="N4632" s="461" t="str">
        <f>N4600 &amp; ".15"</f>
        <v>4.0.3.3.1.15</v>
      </c>
      <c r="O4632" s="457" t="s">
        <v>291</v>
      </c>
      <c r="P4632" s="473" t="s">
        <v>216</v>
      </c>
      <c r="Q4632" s="258"/>
      <c r="R4632" s="259"/>
      <c r="S4632" s="259"/>
      <c r="T4632" s="260"/>
      <c r="U4632" s="252"/>
      <c r="V4632" s="252"/>
      <c r="W4632" s="465"/>
      <c r="X4632" s="258"/>
      <c r="Y4632" s="202"/>
      <c r="Z4632" s="48"/>
      <c r="AA4632" s="252"/>
      <c r="AB4632" s="252"/>
      <c r="AC4632" s="465"/>
      <c r="AF4632"/>
      <c r="AG4632"/>
    </row>
    <row r="4633" spans="1:33" s="47" customFormat="1" ht="22.5">
      <c r="A4633"/>
      <c r="B4633"/>
      <c r="C4633"/>
      <c r="D4633"/>
      <c r="E4633"/>
      <c r="F4633"/>
      <c r="G4633"/>
      <c r="H4633"/>
      <c r="I4633"/>
      <c r="J4633"/>
      <c r="K4633"/>
      <c r="L4633"/>
      <c r="M4633" s="820"/>
      <c r="N4633" s="449" t="s">
        <v>279</v>
      </c>
      <c r="O4633" s="450" t="s">
        <v>244</v>
      </c>
      <c r="P4633" s="473"/>
      <c r="Q4633" s="258"/>
      <c r="R4633" s="259"/>
      <c r="S4633" s="259"/>
      <c r="T4633" s="260"/>
      <c r="U4633" s="252"/>
      <c r="V4633" s="252"/>
      <c r="W4633" s="456"/>
      <c r="X4633" s="258"/>
      <c r="Y4633" s="202"/>
      <c r="Z4633" s="48"/>
      <c r="AA4633" s="252"/>
      <c r="AB4633" s="252"/>
      <c r="AC4633" s="456"/>
      <c r="AF4633"/>
      <c r="AG4633"/>
    </row>
    <row r="4634" spans="1:33" s="47" customFormat="1">
      <c r="A4634"/>
      <c r="B4634"/>
      <c r="C4634"/>
      <c r="D4634"/>
      <c r="E4634"/>
      <c r="F4634"/>
      <c r="G4634"/>
      <c r="H4634"/>
      <c r="I4634"/>
      <c r="J4634"/>
      <c r="K4634"/>
      <c r="L4634"/>
      <c r="M4634" s="820"/>
      <c r="N4634" s="461" t="str">
        <f>N4633 &amp; ".1"</f>
        <v>4.0.3.3.2.1</v>
      </c>
      <c r="O4634" s="453" t="s">
        <v>78</v>
      </c>
      <c r="P4634" s="473" t="s">
        <v>223</v>
      </c>
      <c r="Q4634" s="258"/>
      <c r="R4634" s="259"/>
      <c r="S4634" s="259"/>
      <c r="T4634" s="260"/>
      <c r="U4634" s="252"/>
      <c r="V4634" s="252"/>
      <c r="W4634" s="465"/>
      <c r="X4634" s="258"/>
      <c r="Y4634" s="202"/>
      <c r="Z4634" s="48"/>
      <c r="AA4634" s="252"/>
      <c r="AB4634" s="252"/>
      <c r="AC4634" s="465"/>
      <c r="AF4634"/>
      <c r="AG4634"/>
    </row>
    <row r="4635" spans="1:33" s="47" customFormat="1" hidden="1">
      <c r="A4635"/>
      <c r="B4635"/>
      <c r="C4635"/>
      <c r="D4635"/>
      <c r="E4635"/>
      <c r="F4635"/>
      <c r="G4635"/>
      <c r="H4635"/>
      <c r="I4635"/>
      <c r="J4635"/>
      <c r="K4635"/>
      <c r="L4635"/>
      <c r="M4635" s="820"/>
      <c r="N4635" s="461"/>
      <c r="O4635" s="454"/>
      <c r="P4635" s="473"/>
      <c r="Q4635" s="258"/>
      <c r="R4635" s="259"/>
      <c r="S4635" s="259"/>
      <c r="T4635" s="260"/>
      <c r="U4635" s="252"/>
      <c r="V4635" s="252"/>
      <c r="W4635" s="456"/>
      <c r="X4635" s="258"/>
      <c r="Y4635" s="202"/>
      <c r="Z4635" s="48"/>
      <c r="AA4635" s="252"/>
      <c r="AB4635" s="252"/>
      <c r="AC4635" s="456"/>
      <c r="AF4635"/>
      <c r="AG4635"/>
    </row>
    <row r="4636" spans="1:33" s="47" customFormat="1" hidden="1">
      <c r="A4636"/>
      <c r="B4636"/>
      <c r="C4636"/>
      <c r="D4636"/>
      <c r="E4636"/>
      <c r="F4636"/>
      <c r="G4636"/>
      <c r="H4636"/>
      <c r="I4636"/>
      <c r="J4636"/>
      <c r="K4636"/>
      <c r="L4636"/>
      <c r="M4636" s="820"/>
      <c r="N4636" s="461"/>
      <c r="O4636" s="454"/>
      <c r="P4636" s="473"/>
      <c r="Q4636" s="258"/>
      <c r="R4636" s="259"/>
      <c r="S4636" s="259"/>
      <c r="T4636" s="260"/>
      <c r="U4636" s="252"/>
      <c r="V4636" s="252"/>
      <c r="W4636" s="456"/>
      <c r="X4636" s="258"/>
      <c r="Y4636" s="202"/>
      <c r="Z4636" s="48"/>
      <c r="AA4636" s="252"/>
      <c r="AB4636" s="252"/>
      <c r="AC4636" s="456"/>
      <c r="AF4636"/>
      <c r="AG4636"/>
    </row>
    <row r="4637" spans="1:33" s="47" customFormat="1" hidden="1">
      <c r="A4637"/>
      <c r="B4637"/>
      <c r="C4637"/>
      <c r="D4637"/>
      <c r="E4637"/>
      <c r="F4637"/>
      <c r="G4637"/>
      <c r="H4637"/>
      <c r="I4637"/>
      <c r="J4637"/>
      <c r="K4637"/>
      <c r="L4637"/>
      <c r="M4637" s="820"/>
      <c r="N4637" s="451"/>
      <c r="O4637" s="454"/>
      <c r="P4637" s="473"/>
      <c r="Q4637" s="258"/>
      <c r="R4637" s="259"/>
      <c r="S4637" s="259"/>
      <c r="T4637" s="260"/>
      <c r="U4637" s="252"/>
      <c r="V4637" s="252"/>
      <c r="W4637" s="456"/>
      <c r="X4637" s="258"/>
      <c r="Y4637" s="202"/>
      <c r="Z4637" s="48"/>
      <c r="AA4637" s="252"/>
      <c r="AB4637" s="252"/>
      <c r="AC4637" s="456"/>
      <c r="AF4637"/>
      <c r="AG4637"/>
    </row>
    <row r="4638" spans="1:33" s="47" customFormat="1" hidden="1">
      <c r="A4638"/>
      <c r="B4638"/>
      <c r="C4638"/>
      <c r="D4638"/>
      <c r="E4638"/>
      <c r="F4638"/>
      <c r="G4638"/>
      <c r="H4638"/>
      <c r="I4638"/>
      <c r="J4638"/>
      <c r="K4638"/>
      <c r="L4638"/>
      <c r="M4638" s="820"/>
      <c r="N4638" s="451"/>
      <c r="O4638" s="454"/>
      <c r="P4638" s="473"/>
      <c r="Q4638" s="258"/>
      <c r="R4638" s="259"/>
      <c r="S4638" s="259"/>
      <c r="T4638" s="260"/>
      <c r="U4638" s="252"/>
      <c r="V4638" s="252"/>
      <c r="W4638" s="456"/>
      <c r="X4638" s="258"/>
      <c r="Y4638" s="202"/>
      <c r="Z4638" s="48"/>
      <c r="AA4638" s="252"/>
      <c r="AB4638" s="252"/>
      <c r="AC4638" s="456"/>
      <c r="AF4638"/>
      <c r="AG4638"/>
    </row>
    <row r="4639" spans="1:33" s="47" customFormat="1" hidden="1">
      <c r="A4639"/>
      <c r="B4639"/>
      <c r="C4639"/>
      <c r="D4639"/>
      <c r="E4639"/>
      <c r="F4639"/>
      <c r="G4639"/>
      <c r="H4639"/>
      <c r="I4639"/>
      <c r="J4639"/>
      <c r="K4639"/>
      <c r="L4639"/>
      <c r="M4639" s="820"/>
      <c r="N4639" s="451"/>
      <c r="O4639" s="454"/>
      <c r="P4639" s="473"/>
      <c r="Q4639" s="258"/>
      <c r="R4639" s="259"/>
      <c r="S4639" s="259"/>
      <c r="T4639" s="260"/>
      <c r="U4639" s="252"/>
      <c r="V4639" s="252"/>
      <c r="W4639" s="456"/>
      <c r="X4639" s="258"/>
      <c r="Y4639" s="202"/>
      <c r="Z4639" s="48"/>
      <c r="AA4639" s="252"/>
      <c r="AB4639" s="252"/>
      <c r="AC4639" s="456"/>
      <c r="AF4639"/>
      <c r="AG4639"/>
    </row>
    <row r="4640" spans="1:33" s="47" customFormat="1" hidden="1">
      <c r="A4640"/>
      <c r="B4640"/>
      <c r="C4640"/>
      <c r="D4640"/>
      <c r="E4640"/>
      <c r="F4640"/>
      <c r="G4640"/>
      <c r="H4640"/>
      <c r="I4640"/>
      <c r="J4640"/>
      <c r="K4640"/>
      <c r="L4640"/>
      <c r="M4640" s="820"/>
      <c r="N4640" s="451"/>
      <c r="O4640" s="454"/>
      <c r="P4640" s="473"/>
      <c r="Q4640" s="258"/>
      <c r="R4640" s="259"/>
      <c r="S4640" s="259"/>
      <c r="T4640" s="260"/>
      <c r="U4640" s="252"/>
      <c r="V4640" s="252"/>
      <c r="W4640" s="456"/>
      <c r="X4640" s="258"/>
      <c r="Y4640" s="202"/>
      <c r="Z4640" s="48"/>
      <c r="AA4640" s="252"/>
      <c r="AB4640" s="252"/>
      <c r="AC4640" s="456"/>
      <c r="AF4640"/>
      <c r="AG4640"/>
    </row>
    <row r="4641" spans="1:33" s="47" customFormat="1" hidden="1">
      <c r="A4641"/>
      <c r="B4641"/>
      <c r="C4641"/>
      <c r="D4641"/>
      <c r="E4641"/>
      <c r="F4641"/>
      <c r="G4641"/>
      <c r="H4641"/>
      <c r="I4641"/>
      <c r="J4641"/>
      <c r="K4641"/>
      <c r="L4641"/>
      <c r="M4641" s="820"/>
      <c r="N4641" s="451"/>
      <c r="O4641" s="454"/>
      <c r="P4641" s="473"/>
      <c r="Q4641" s="258"/>
      <c r="R4641" s="259"/>
      <c r="S4641" s="259"/>
      <c r="T4641" s="260"/>
      <c r="U4641" s="252"/>
      <c r="V4641" s="252"/>
      <c r="W4641" s="456"/>
      <c r="X4641" s="258"/>
      <c r="Y4641" s="202"/>
      <c r="Z4641" s="48"/>
      <c r="AA4641" s="252"/>
      <c r="AB4641" s="252"/>
      <c r="AC4641" s="456"/>
      <c r="AF4641"/>
      <c r="AG4641"/>
    </row>
    <row r="4642" spans="1:33" s="47" customFormat="1" hidden="1">
      <c r="A4642"/>
      <c r="B4642"/>
      <c r="C4642"/>
      <c r="D4642"/>
      <c r="E4642"/>
      <c r="F4642"/>
      <c r="G4642"/>
      <c r="H4642"/>
      <c r="I4642"/>
      <c r="J4642"/>
      <c r="K4642"/>
      <c r="L4642"/>
      <c r="M4642" s="820"/>
      <c r="N4642" s="451"/>
      <c r="O4642" s="454"/>
      <c r="P4642" s="473"/>
      <c r="Q4642" s="258"/>
      <c r="R4642" s="259"/>
      <c r="S4642" s="259"/>
      <c r="T4642" s="260"/>
      <c r="U4642" s="252"/>
      <c r="V4642" s="252"/>
      <c r="W4642" s="456"/>
      <c r="X4642" s="258"/>
      <c r="Y4642" s="202"/>
      <c r="Z4642" s="48"/>
      <c r="AA4642" s="252"/>
      <c r="AB4642" s="252"/>
      <c r="AC4642" s="456"/>
      <c r="AF4642"/>
      <c r="AG4642"/>
    </row>
    <row r="4643" spans="1:33" s="47" customFormat="1" hidden="1">
      <c r="A4643"/>
      <c r="B4643"/>
      <c r="C4643"/>
      <c r="D4643"/>
      <c r="E4643"/>
      <c r="F4643"/>
      <c r="G4643"/>
      <c r="H4643"/>
      <c r="I4643"/>
      <c r="J4643"/>
      <c r="K4643"/>
      <c r="L4643"/>
      <c r="M4643" s="820"/>
      <c r="N4643" s="451"/>
      <c r="O4643" s="454"/>
      <c r="P4643" s="473"/>
      <c r="Q4643" s="258"/>
      <c r="R4643" s="259"/>
      <c r="S4643" s="259"/>
      <c r="T4643" s="260"/>
      <c r="U4643" s="252"/>
      <c r="V4643" s="252"/>
      <c r="W4643" s="456"/>
      <c r="X4643" s="258"/>
      <c r="Y4643" s="202"/>
      <c r="Z4643" s="48"/>
      <c r="AA4643" s="252"/>
      <c r="AB4643" s="252"/>
      <c r="AC4643" s="456"/>
      <c r="AF4643"/>
      <c r="AG4643"/>
    </row>
    <row r="4644" spans="1:33" s="47" customFormat="1" hidden="1">
      <c r="A4644"/>
      <c r="B4644"/>
      <c r="C4644"/>
      <c r="D4644"/>
      <c r="E4644"/>
      <c r="F4644"/>
      <c r="G4644"/>
      <c r="H4644"/>
      <c r="I4644"/>
      <c r="J4644"/>
      <c r="K4644"/>
      <c r="L4644"/>
      <c r="M4644" s="820"/>
      <c r="N4644" s="461"/>
      <c r="O4644" s="454"/>
      <c r="P4644" s="473"/>
      <c r="Q4644" s="258"/>
      <c r="R4644" s="259"/>
      <c r="S4644" s="259"/>
      <c r="T4644" s="260"/>
      <c r="U4644" s="252"/>
      <c r="V4644" s="252"/>
      <c r="W4644" s="456"/>
      <c r="X4644" s="258"/>
      <c r="Y4644" s="202"/>
      <c r="Z4644" s="48"/>
      <c r="AA4644" s="252"/>
      <c r="AB4644" s="252"/>
      <c r="AC4644" s="456"/>
      <c r="AF4644"/>
      <c r="AG4644"/>
    </row>
    <row r="4645" spans="1:33" s="47" customFormat="1" hidden="1">
      <c r="A4645"/>
      <c r="B4645"/>
      <c r="C4645"/>
      <c r="D4645"/>
      <c r="E4645"/>
      <c r="F4645"/>
      <c r="G4645"/>
      <c r="H4645"/>
      <c r="I4645"/>
      <c r="J4645"/>
      <c r="K4645"/>
      <c r="L4645"/>
      <c r="M4645" s="820"/>
      <c r="N4645" s="451"/>
      <c r="O4645" s="454"/>
      <c r="P4645" s="473"/>
      <c r="Q4645" s="258"/>
      <c r="R4645" s="259"/>
      <c r="S4645" s="259"/>
      <c r="T4645" s="260"/>
      <c r="U4645" s="252"/>
      <c r="V4645" s="252"/>
      <c r="W4645" s="456"/>
      <c r="X4645" s="258"/>
      <c r="Y4645" s="202"/>
      <c r="Z4645" s="48"/>
      <c r="AA4645" s="252"/>
      <c r="AB4645" s="252"/>
      <c r="AC4645" s="456"/>
      <c r="AF4645"/>
      <c r="AG4645"/>
    </row>
    <row r="4646" spans="1:33" s="47" customFormat="1" hidden="1">
      <c r="A4646"/>
      <c r="B4646"/>
      <c r="C4646"/>
      <c r="D4646"/>
      <c r="E4646"/>
      <c r="F4646"/>
      <c r="G4646"/>
      <c r="H4646"/>
      <c r="I4646"/>
      <c r="J4646"/>
      <c r="K4646"/>
      <c r="L4646"/>
      <c r="M4646" s="820"/>
      <c r="N4646" s="451"/>
      <c r="O4646" s="454"/>
      <c r="P4646" s="473"/>
      <c r="Q4646" s="258"/>
      <c r="R4646" s="259"/>
      <c r="S4646" s="259"/>
      <c r="T4646" s="260"/>
      <c r="U4646" s="252"/>
      <c r="V4646" s="252"/>
      <c r="W4646" s="456"/>
      <c r="X4646" s="258"/>
      <c r="Y4646" s="202"/>
      <c r="Z4646" s="48"/>
      <c r="AA4646" s="252"/>
      <c r="AB4646" s="252"/>
      <c r="AC4646" s="456"/>
      <c r="AF4646"/>
      <c r="AG4646"/>
    </row>
    <row r="4647" spans="1:33" s="47" customFormat="1" hidden="1">
      <c r="A4647"/>
      <c r="B4647"/>
      <c r="C4647"/>
      <c r="D4647"/>
      <c r="E4647"/>
      <c r="F4647"/>
      <c r="G4647"/>
      <c r="H4647"/>
      <c r="I4647"/>
      <c r="J4647"/>
      <c r="K4647"/>
      <c r="L4647"/>
      <c r="M4647" s="820"/>
      <c r="N4647" s="451"/>
      <c r="O4647" s="454"/>
      <c r="P4647" s="473"/>
      <c r="Q4647" s="258"/>
      <c r="R4647" s="259"/>
      <c r="S4647" s="259"/>
      <c r="T4647" s="260"/>
      <c r="U4647" s="252"/>
      <c r="V4647" s="252"/>
      <c r="W4647" s="456"/>
      <c r="X4647" s="258"/>
      <c r="Y4647" s="202"/>
      <c r="Z4647" s="48"/>
      <c r="AA4647" s="252"/>
      <c r="AB4647" s="252"/>
      <c r="AC4647" s="456"/>
      <c r="AF4647"/>
      <c r="AG4647"/>
    </row>
    <row r="4648" spans="1:33" s="47" customFormat="1" hidden="1">
      <c r="A4648"/>
      <c r="B4648"/>
      <c r="C4648"/>
      <c r="D4648"/>
      <c r="E4648"/>
      <c r="F4648"/>
      <c r="G4648"/>
      <c r="H4648"/>
      <c r="I4648"/>
      <c r="J4648"/>
      <c r="K4648"/>
      <c r="L4648"/>
      <c r="M4648" s="820"/>
      <c r="N4648" s="451"/>
      <c r="O4648" s="454"/>
      <c r="P4648" s="473"/>
      <c r="Q4648" s="258"/>
      <c r="R4648" s="259"/>
      <c r="S4648" s="259"/>
      <c r="T4648" s="260"/>
      <c r="U4648" s="252"/>
      <c r="V4648" s="252"/>
      <c r="W4648" s="456"/>
      <c r="X4648" s="258"/>
      <c r="Y4648" s="202"/>
      <c r="Z4648" s="48"/>
      <c r="AA4648" s="252"/>
      <c r="AB4648" s="252"/>
      <c r="AC4648" s="456"/>
      <c r="AF4648"/>
      <c r="AG4648"/>
    </row>
    <row r="4649" spans="1:33" s="47" customFormat="1" hidden="1">
      <c r="A4649"/>
      <c r="B4649"/>
      <c r="C4649"/>
      <c r="D4649"/>
      <c r="E4649"/>
      <c r="F4649"/>
      <c r="G4649"/>
      <c r="H4649"/>
      <c r="I4649"/>
      <c r="J4649"/>
      <c r="K4649"/>
      <c r="L4649"/>
      <c r="M4649" s="820"/>
      <c r="N4649" s="451"/>
      <c r="O4649" s="454"/>
      <c r="P4649" s="473"/>
      <c r="Q4649" s="258"/>
      <c r="R4649" s="259"/>
      <c r="S4649" s="259"/>
      <c r="T4649" s="260"/>
      <c r="U4649" s="252"/>
      <c r="V4649" s="252"/>
      <c r="W4649" s="456"/>
      <c r="X4649" s="258"/>
      <c r="Y4649" s="202"/>
      <c r="Z4649" s="48"/>
      <c r="AA4649" s="252"/>
      <c r="AB4649" s="252"/>
      <c r="AC4649" s="456"/>
      <c r="AF4649"/>
      <c r="AG4649"/>
    </row>
    <row r="4650" spans="1:33" s="47" customFormat="1" hidden="1">
      <c r="A4650"/>
      <c r="B4650"/>
      <c r="C4650"/>
      <c r="D4650"/>
      <c r="E4650"/>
      <c r="F4650"/>
      <c r="G4650"/>
      <c r="H4650"/>
      <c r="I4650"/>
      <c r="J4650"/>
      <c r="K4650"/>
      <c r="L4650"/>
      <c r="M4650" s="820"/>
      <c r="N4650" s="451"/>
      <c r="O4650" s="455"/>
      <c r="P4650" s="473"/>
      <c r="Q4650" s="258"/>
      <c r="R4650" s="259"/>
      <c r="S4650" s="259"/>
      <c r="T4650" s="260"/>
      <c r="U4650" s="252"/>
      <c r="V4650" s="252"/>
      <c r="W4650" s="456"/>
      <c r="X4650" s="258"/>
      <c r="Y4650" s="202"/>
      <c r="Z4650" s="48"/>
      <c r="AA4650" s="252"/>
      <c r="AB4650" s="252"/>
      <c r="AC4650" s="456"/>
      <c r="AF4650"/>
      <c r="AG4650"/>
    </row>
    <row r="4651" spans="1:33" s="47" customFormat="1" hidden="1">
      <c r="A4651"/>
      <c r="B4651"/>
      <c r="C4651"/>
      <c r="D4651"/>
      <c r="E4651"/>
      <c r="F4651"/>
      <c r="G4651"/>
      <c r="H4651"/>
      <c r="I4651"/>
      <c r="J4651"/>
      <c r="K4651"/>
      <c r="L4651"/>
      <c r="M4651" s="820"/>
      <c r="N4651" s="451"/>
      <c r="O4651" s="455"/>
      <c r="P4651" s="473"/>
      <c r="Q4651" s="258"/>
      <c r="R4651" s="259"/>
      <c r="S4651" s="259"/>
      <c r="T4651" s="260"/>
      <c r="U4651" s="252"/>
      <c r="V4651" s="252"/>
      <c r="W4651" s="456"/>
      <c r="X4651" s="258"/>
      <c r="Y4651" s="202"/>
      <c r="Z4651" s="48"/>
      <c r="AA4651" s="252"/>
      <c r="AB4651" s="252"/>
      <c r="AC4651" s="456"/>
      <c r="AF4651"/>
      <c r="AG4651"/>
    </row>
    <row r="4652" spans="1:33" s="47" customFormat="1" hidden="1">
      <c r="A4652"/>
      <c r="B4652"/>
      <c r="C4652"/>
      <c r="D4652"/>
      <c r="E4652"/>
      <c r="F4652"/>
      <c r="G4652"/>
      <c r="H4652"/>
      <c r="I4652"/>
      <c r="J4652"/>
      <c r="K4652"/>
      <c r="L4652"/>
      <c r="M4652" s="820"/>
      <c r="N4652" s="461"/>
      <c r="O4652" s="455"/>
      <c r="P4652" s="473"/>
      <c r="Q4652" s="258"/>
      <c r="R4652" s="259"/>
      <c r="S4652" s="259"/>
      <c r="T4652" s="260"/>
      <c r="U4652" s="252"/>
      <c r="V4652" s="252"/>
      <c r="W4652" s="456"/>
      <c r="X4652" s="258"/>
      <c r="Y4652" s="202"/>
      <c r="Z4652" s="48"/>
      <c r="AA4652" s="252"/>
      <c r="AB4652" s="252"/>
      <c r="AC4652" s="456"/>
      <c r="AF4652"/>
      <c r="AG4652"/>
    </row>
    <row r="4653" spans="1:33" s="47" customFormat="1">
      <c r="A4653"/>
      <c r="B4653"/>
      <c r="C4653"/>
      <c r="D4653"/>
      <c r="E4653"/>
      <c r="F4653"/>
      <c r="G4653"/>
      <c r="H4653"/>
      <c r="I4653"/>
      <c r="J4653"/>
      <c r="K4653"/>
      <c r="L4653"/>
      <c r="M4653" s="820"/>
      <c r="N4653" s="461" t="str">
        <f>N4633 &amp; ".3"</f>
        <v>4.0.3.3.2.3</v>
      </c>
      <c r="O4653" s="457" t="s">
        <v>85</v>
      </c>
      <c r="P4653" s="473" t="s">
        <v>223</v>
      </c>
      <c r="Q4653" s="258"/>
      <c r="R4653" s="259"/>
      <c r="S4653" s="259"/>
      <c r="T4653" s="260"/>
      <c r="U4653" s="252"/>
      <c r="V4653" s="252"/>
      <c r="W4653" s="465"/>
      <c r="X4653" s="258"/>
      <c r="Y4653" s="202"/>
      <c r="Z4653" s="48"/>
      <c r="AA4653" s="252"/>
      <c r="AB4653" s="252"/>
      <c r="AC4653" s="465"/>
      <c r="AF4653"/>
      <c r="AG4653"/>
    </row>
    <row r="4654" spans="1:33" s="47" customFormat="1">
      <c r="A4654"/>
      <c r="B4654"/>
      <c r="C4654"/>
      <c r="D4654"/>
      <c r="E4654"/>
      <c r="F4654"/>
      <c r="G4654"/>
      <c r="H4654"/>
      <c r="I4654"/>
      <c r="J4654"/>
      <c r="K4654"/>
      <c r="L4654"/>
      <c r="M4654" s="820"/>
      <c r="N4654" s="461" t="str">
        <f>N4633 &amp; ".4"</f>
        <v>4.0.3.3.2.4</v>
      </c>
      <c r="O4654" s="457" t="s">
        <v>87</v>
      </c>
      <c r="P4654" s="473" t="s">
        <v>223</v>
      </c>
      <c r="Q4654" s="258"/>
      <c r="R4654" s="259"/>
      <c r="S4654" s="259"/>
      <c r="T4654" s="260"/>
      <c r="U4654" s="252"/>
      <c r="V4654" s="252"/>
      <c r="W4654" s="465"/>
      <c r="X4654" s="258"/>
      <c r="Y4654" s="202"/>
      <c r="Z4654" s="48"/>
      <c r="AA4654" s="252"/>
      <c r="AB4654" s="252"/>
      <c r="AC4654" s="465"/>
      <c r="AF4654"/>
      <c r="AG4654"/>
    </row>
    <row r="4655" spans="1:33" s="47" customFormat="1">
      <c r="A4655"/>
      <c r="B4655"/>
      <c r="C4655"/>
      <c r="D4655"/>
      <c r="E4655"/>
      <c r="F4655"/>
      <c r="G4655"/>
      <c r="H4655"/>
      <c r="I4655"/>
      <c r="J4655"/>
      <c r="K4655"/>
      <c r="L4655"/>
      <c r="M4655" s="820"/>
      <c r="N4655" s="461" t="str">
        <f>N4633&amp;".5"</f>
        <v>4.0.3.3.2.5</v>
      </c>
      <c r="O4655" s="457" t="s">
        <v>89</v>
      </c>
      <c r="P4655" s="473" t="s">
        <v>223</v>
      </c>
      <c r="Q4655" s="258"/>
      <c r="R4655" s="259"/>
      <c r="S4655" s="259"/>
      <c r="T4655" s="260"/>
      <c r="U4655" s="252"/>
      <c r="V4655" s="252"/>
      <c r="W4655" s="465"/>
      <c r="X4655" s="258"/>
      <c r="Y4655" s="202"/>
      <c r="Z4655" s="48"/>
      <c r="AA4655" s="252"/>
      <c r="AB4655" s="252"/>
      <c r="AC4655" s="465"/>
      <c r="AF4655"/>
      <c r="AG4655"/>
    </row>
    <row r="4656" spans="1:33" s="47" customFormat="1">
      <c r="A4656"/>
      <c r="B4656"/>
      <c r="C4656"/>
      <c r="D4656"/>
      <c r="E4656"/>
      <c r="F4656"/>
      <c r="G4656"/>
      <c r="H4656"/>
      <c r="I4656"/>
      <c r="J4656"/>
      <c r="K4656"/>
      <c r="L4656"/>
      <c r="M4656" s="820"/>
      <c r="N4656" s="461" t="str">
        <f>N4633 &amp; ".6"</f>
        <v>4.0.3.3.2.6</v>
      </c>
      <c r="O4656" s="457" t="s">
        <v>91</v>
      </c>
      <c r="P4656" s="473" t="s">
        <v>223</v>
      </c>
      <c r="Q4656" s="258"/>
      <c r="R4656" s="259"/>
      <c r="S4656" s="259"/>
      <c r="T4656" s="260"/>
      <c r="U4656" s="252"/>
      <c r="V4656" s="252"/>
      <c r="W4656" s="465"/>
      <c r="X4656" s="258"/>
      <c r="Y4656" s="202"/>
      <c r="Z4656" s="48"/>
      <c r="AA4656" s="252"/>
      <c r="AB4656" s="252"/>
      <c r="AC4656" s="465"/>
      <c r="AF4656"/>
      <c r="AG4656"/>
    </row>
    <row r="4657" spans="1:33" s="47" customFormat="1">
      <c r="A4657"/>
      <c r="B4657"/>
      <c r="C4657"/>
      <c r="D4657"/>
      <c r="E4657"/>
      <c r="F4657"/>
      <c r="G4657"/>
      <c r="H4657"/>
      <c r="I4657"/>
      <c r="J4657"/>
      <c r="K4657"/>
      <c r="L4657"/>
      <c r="M4657" s="820"/>
      <c r="N4657" s="461" t="str">
        <f>N4633 &amp; ".7"</f>
        <v>4.0.3.3.2.7</v>
      </c>
      <c r="O4657" s="457" t="s">
        <v>93</v>
      </c>
      <c r="P4657" s="473" t="s">
        <v>223</v>
      </c>
      <c r="Q4657" s="258"/>
      <c r="R4657" s="259"/>
      <c r="S4657" s="259"/>
      <c r="T4657" s="260"/>
      <c r="U4657" s="252"/>
      <c r="V4657" s="252"/>
      <c r="W4657" s="465"/>
      <c r="X4657" s="258"/>
      <c r="Y4657" s="202"/>
      <c r="Z4657" s="48"/>
      <c r="AA4657" s="252"/>
      <c r="AB4657" s="252"/>
      <c r="AC4657" s="465"/>
      <c r="AF4657"/>
      <c r="AG4657"/>
    </row>
    <row r="4658" spans="1:33" s="47" customFormat="1">
      <c r="A4658"/>
      <c r="B4658"/>
      <c r="C4658"/>
      <c r="D4658"/>
      <c r="E4658"/>
      <c r="F4658"/>
      <c r="G4658"/>
      <c r="H4658"/>
      <c r="I4658"/>
      <c r="J4658"/>
      <c r="K4658"/>
      <c r="L4658"/>
      <c r="M4658" s="820"/>
      <c r="N4658" s="461" t="str">
        <f>N4633 &amp; ".8"</f>
        <v>4.0.3.3.2.8</v>
      </c>
      <c r="O4658" s="457" t="s">
        <v>95</v>
      </c>
      <c r="P4658" s="473" t="s">
        <v>223</v>
      </c>
      <c r="Q4658" s="258"/>
      <c r="R4658" s="259"/>
      <c r="S4658" s="259"/>
      <c r="T4658" s="260"/>
      <c r="U4658" s="252"/>
      <c r="V4658" s="252"/>
      <c r="W4658" s="465"/>
      <c r="X4658" s="258"/>
      <c r="Y4658" s="202"/>
      <c r="Z4658" s="48"/>
      <c r="AA4658" s="252"/>
      <c r="AB4658" s="252"/>
      <c r="AC4658" s="465"/>
      <c r="AF4658"/>
      <c r="AG4658"/>
    </row>
    <row r="4659" spans="1:33" s="47" customFormat="1">
      <c r="A4659"/>
      <c r="B4659"/>
      <c r="C4659"/>
      <c r="D4659"/>
      <c r="E4659"/>
      <c r="F4659"/>
      <c r="G4659"/>
      <c r="H4659"/>
      <c r="I4659"/>
      <c r="J4659"/>
      <c r="K4659"/>
      <c r="L4659"/>
      <c r="M4659" s="820"/>
      <c r="N4659" s="461" t="str">
        <f>N4633 &amp; ".9"</f>
        <v>4.0.3.3.2.9</v>
      </c>
      <c r="O4659" s="457" t="s">
        <v>2976</v>
      </c>
      <c r="P4659" s="473" t="s">
        <v>223</v>
      </c>
      <c r="Q4659" s="258"/>
      <c r="R4659" s="259"/>
      <c r="S4659" s="259"/>
      <c r="T4659" s="260"/>
      <c r="U4659" s="252"/>
      <c r="V4659" s="252"/>
      <c r="W4659" s="465"/>
      <c r="X4659" s="258"/>
      <c r="Y4659" s="202"/>
      <c r="Z4659" s="48"/>
      <c r="AA4659" s="252"/>
      <c r="AB4659" s="252"/>
      <c r="AC4659" s="465"/>
      <c r="AF4659"/>
      <c r="AG4659"/>
    </row>
    <row r="4660" spans="1:33" s="47" customFormat="1">
      <c r="A4660"/>
      <c r="B4660"/>
      <c r="C4660"/>
      <c r="D4660"/>
      <c r="E4660"/>
      <c r="F4660"/>
      <c r="G4660"/>
      <c r="H4660"/>
      <c r="I4660"/>
      <c r="J4660"/>
      <c r="K4660"/>
      <c r="L4660"/>
      <c r="M4660" s="820"/>
      <c r="N4660" s="461" t="str">
        <f>N4633 &amp; ".10"</f>
        <v>4.0.3.3.2.10</v>
      </c>
      <c r="O4660" s="457" t="s">
        <v>2978</v>
      </c>
      <c r="P4660" s="473" t="s">
        <v>223</v>
      </c>
      <c r="Q4660" s="258"/>
      <c r="R4660" s="259"/>
      <c r="S4660" s="259"/>
      <c r="T4660" s="260"/>
      <c r="U4660" s="252"/>
      <c r="V4660" s="252"/>
      <c r="W4660" s="465"/>
      <c r="X4660" s="258"/>
      <c r="Y4660" s="202"/>
      <c r="Z4660" s="48"/>
      <c r="AA4660" s="252"/>
      <c r="AB4660" s="252"/>
      <c r="AC4660" s="465"/>
      <c r="AF4660"/>
      <c r="AG4660"/>
    </row>
    <row r="4661" spans="1:33" s="47" customFormat="1">
      <c r="A4661"/>
      <c r="B4661"/>
      <c r="C4661"/>
      <c r="D4661"/>
      <c r="E4661"/>
      <c r="F4661"/>
      <c r="G4661"/>
      <c r="H4661"/>
      <c r="I4661"/>
      <c r="J4661"/>
      <c r="K4661"/>
      <c r="L4661"/>
      <c r="M4661" s="820"/>
      <c r="N4661" s="461" t="str">
        <f>N4633 &amp; ".11"</f>
        <v>4.0.3.3.2.11</v>
      </c>
      <c r="O4661" s="457" t="s">
        <v>2980</v>
      </c>
      <c r="P4661" s="473" t="s">
        <v>223</v>
      </c>
      <c r="Q4661" s="258"/>
      <c r="R4661" s="259"/>
      <c r="S4661" s="259"/>
      <c r="T4661" s="260"/>
      <c r="U4661" s="252"/>
      <c r="V4661" s="252"/>
      <c r="W4661" s="465"/>
      <c r="X4661" s="258"/>
      <c r="Y4661" s="202"/>
      <c r="Z4661" s="48"/>
      <c r="AA4661" s="252"/>
      <c r="AB4661" s="252"/>
      <c r="AC4661" s="465"/>
      <c r="AF4661"/>
      <c r="AG4661"/>
    </row>
    <row r="4662" spans="1:33" s="47" customFormat="1">
      <c r="A4662"/>
      <c r="B4662"/>
      <c r="C4662"/>
      <c r="D4662"/>
      <c r="E4662"/>
      <c r="F4662"/>
      <c r="G4662"/>
      <c r="H4662"/>
      <c r="I4662"/>
      <c r="J4662"/>
      <c r="K4662"/>
      <c r="L4662"/>
      <c r="M4662" s="820"/>
      <c r="N4662" s="461" t="str">
        <f>N4633 &amp; ".12"</f>
        <v>4.0.3.3.2.12</v>
      </c>
      <c r="O4662" s="457" t="s">
        <v>2982</v>
      </c>
      <c r="P4662" s="473" t="s">
        <v>223</v>
      </c>
      <c r="Q4662" s="258"/>
      <c r="R4662" s="259"/>
      <c r="S4662" s="259"/>
      <c r="T4662" s="260"/>
      <c r="U4662" s="252"/>
      <c r="V4662" s="252"/>
      <c r="W4662" s="465"/>
      <c r="X4662" s="258"/>
      <c r="Y4662" s="202"/>
      <c r="Z4662" s="48"/>
      <c r="AA4662" s="252"/>
      <c r="AB4662" s="252"/>
      <c r="AC4662" s="465"/>
      <c r="AF4662"/>
      <c r="AG4662"/>
    </row>
    <row r="4663" spans="1:33" s="47" customFormat="1" hidden="1">
      <c r="A4663"/>
      <c r="B4663"/>
      <c r="C4663"/>
      <c r="D4663"/>
      <c r="E4663"/>
      <c r="F4663"/>
      <c r="G4663"/>
      <c r="H4663"/>
      <c r="I4663"/>
      <c r="J4663"/>
      <c r="K4663"/>
      <c r="L4663"/>
      <c r="M4663" s="820"/>
      <c r="N4663" s="451"/>
      <c r="O4663" s="454"/>
      <c r="P4663" s="473"/>
      <c r="Q4663" s="258"/>
      <c r="R4663" s="259"/>
      <c r="S4663" s="259"/>
      <c r="T4663" s="260"/>
      <c r="U4663" s="252"/>
      <c r="V4663" s="252"/>
      <c r="W4663" s="456"/>
      <c r="X4663" s="258"/>
      <c r="Y4663" s="202"/>
      <c r="Z4663" s="48"/>
      <c r="AA4663" s="252"/>
      <c r="AB4663" s="252"/>
      <c r="AC4663" s="456"/>
      <c r="AF4663"/>
      <c r="AG4663"/>
    </row>
    <row r="4664" spans="1:33" s="47" customFormat="1" hidden="1">
      <c r="A4664"/>
      <c r="B4664"/>
      <c r="C4664"/>
      <c r="D4664"/>
      <c r="E4664"/>
      <c r="F4664"/>
      <c r="G4664"/>
      <c r="H4664"/>
      <c r="I4664"/>
      <c r="J4664"/>
      <c r="K4664"/>
      <c r="L4664"/>
      <c r="M4664" s="820"/>
      <c r="N4664" s="451"/>
      <c r="O4664" s="454"/>
      <c r="P4664" s="473"/>
      <c r="Q4664" s="258"/>
      <c r="R4664" s="259"/>
      <c r="S4664" s="259"/>
      <c r="T4664" s="260"/>
      <c r="U4664" s="252"/>
      <c r="V4664" s="252"/>
      <c r="W4664" s="456"/>
      <c r="X4664" s="258"/>
      <c r="Y4664" s="202"/>
      <c r="Z4664" s="48"/>
      <c r="AA4664" s="252"/>
      <c r="AB4664" s="252"/>
      <c r="AC4664" s="456"/>
      <c r="AF4664"/>
      <c r="AG4664"/>
    </row>
    <row r="4665" spans="1:33" s="47" customFormat="1">
      <c r="A4665"/>
      <c r="B4665"/>
      <c r="C4665"/>
      <c r="D4665"/>
      <c r="E4665"/>
      <c r="F4665"/>
      <c r="G4665"/>
      <c r="H4665"/>
      <c r="I4665"/>
      <c r="J4665"/>
      <c r="K4665"/>
      <c r="L4665"/>
      <c r="M4665" s="820"/>
      <c r="N4665" s="461" t="str">
        <f>N4633 &amp; ".15"</f>
        <v>4.0.3.3.2.15</v>
      </c>
      <c r="O4665" s="457" t="s">
        <v>291</v>
      </c>
      <c r="P4665" s="473" t="s">
        <v>223</v>
      </c>
      <c r="Q4665" s="258"/>
      <c r="R4665" s="259"/>
      <c r="S4665" s="259"/>
      <c r="T4665" s="260"/>
      <c r="U4665" s="252"/>
      <c r="V4665" s="252"/>
      <c r="W4665" s="465"/>
      <c r="X4665" s="258"/>
      <c r="Y4665" s="202"/>
      <c r="Z4665" s="48"/>
      <c r="AA4665" s="252"/>
      <c r="AB4665" s="252"/>
      <c r="AC4665" s="465"/>
      <c r="AF4665"/>
      <c r="AG4665"/>
    </row>
    <row r="4666" spans="1:33" s="47" customFormat="1" ht="22.5">
      <c r="A4666"/>
      <c r="B4666"/>
      <c r="C4666"/>
      <c r="D4666"/>
      <c r="E4666"/>
      <c r="F4666"/>
      <c r="G4666"/>
      <c r="H4666"/>
      <c r="I4666"/>
      <c r="J4666"/>
      <c r="K4666"/>
      <c r="L4666"/>
      <c r="M4666" s="820"/>
      <c r="N4666" s="449" t="s">
        <v>280</v>
      </c>
      <c r="O4666" s="450" t="s">
        <v>245</v>
      </c>
      <c r="P4666" s="473" t="s">
        <v>786</v>
      </c>
      <c r="Q4666" s="258"/>
      <c r="R4666" s="259"/>
      <c r="S4666" s="259"/>
      <c r="T4666" s="260"/>
      <c r="U4666" s="252"/>
      <c r="V4666" s="252"/>
      <c r="W4666" s="452">
        <f>SUM(W4667,W4686:W4695,W4698)</f>
        <v>0</v>
      </c>
      <c r="X4666" s="258"/>
      <c r="Y4666" s="202"/>
      <c r="Z4666" s="48"/>
      <c r="AA4666" s="252"/>
      <c r="AB4666" s="252"/>
      <c r="AC4666" s="452">
        <f>SUM(AC4667,AC4686:AC4695,AC4698)</f>
        <v>0</v>
      </c>
      <c r="AF4666"/>
      <c r="AG4666"/>
    </row>
    <row r="4667" spans="1:33" s="47" customFormat="1">
      <c r="A4667"/>
      <c r="B4667"/>
      <c r="C4667"/>
      <c r="D4667"/>
      <c r="E4667"/>
      <c r="F4667"/>
      <c r="G4667"/>
      <c r="H4667"/>
      <c r="I4667"/>
      <c r="J4667"/>
      <c r="K4667"/>
      <c r="L4667"/>
      <c r="M4667" s="820"/>
      <c r="N4667" s="461" t="str">
        <f>N4666 &amp; ".1"</f>
        <v>4.0.3.3.3.1</v>
      </c>
      <c r="O4667" s="453" t="s">
        <v>78</v>
      </c>
      <c r="P4667" s="473" t="s">
        <v>786</v>
      </c>
      <c r="Q4667" s="258"/>
      <c r="R4667" s="259"/>
      <c r="S4667" s="259"/>
      <c r="T4667" s="260"/>
      <c r="U4667" s="252"/>
      <c r="V4667" s="252"/>
      <c r="W4667" s="460">
        <f>W4634*W4601/1000</f>
        <v>0</v>
      </c>
      <c r="X4667" s="258"/>
      <c r="Y4667" s="202"/>
      <c r="Z4667" s="48"/>
      <c r="AA4667" s="252"/>
      <c r="AB4667" s="252"/>
      <c r="AC4667" s="460">
        <f>AC4634*AC4601/1000</f>
        <v>0</v>
      </c>
      <c r="AF4667"/>
      <c r="AG4667"/>
    </row>
    <row r="4668" spans="1:33" s="47" customFormat="1" hidden="1">
      <c r="A4668"/>
      <c r="B4668"/>
      <c r="C4668"/>
      <c r="D4668"/>
      <c r="E4668"/>
      <c r="F4668"/>
      <c r="G4668"/>
      <c r="H4668"/>
      <c r="I4668"/>
      <c r="J4668"/>
      <c r="K4668"/>
      <c r="L4668"/>
      <c r="M4668" s="820"/>
      <c r="N4668" s="461"/>
      <c r="O4668" s="454"/>
      <c r="P4668" s="473"/>
      <c r="Q4668" s="258"/>
      <c r="R4668" s="259"/>
      <c r="S4668" s="259"/>
      <c r="T4668" s="260"/>
      <c r="U4668" s="252"/>
      <c r="V4668" s="252"/>
      <c r="W4668" s="456"/>
      <c r="X4668" s="258"/>
      <c r="Y4668" s="202"/>
      <c r="Z4668" s="48"/>
      <c r="AA4668" s="252"/>
      <c r="AB4668" s="252"/>
      <c r="AC4668" s="456"/>
      <c r="AF4668"/>
      <c r="AG4668"/>
    </row>
    <row r="4669" spans="1:33" s="47" customFormat="1" hidden="1">
      <c r="A4669"/>
      <c r="B4669"/>
      <c r="C4669"/>
      <c r="D4669"/>
      <c r="E4669"/>
      <c r="F4669"/>
      <c r="G4669"/>
      <c r="H4669"/>
      <c r="I4669"/>
      <c r="J4669"/>
      <c r="K4669"/>
      <c r="L4669"/>
      <c r="M4669" s="820"/>
      <c r="N4669" s="461"/>
      <c r="O4669" s="454"/>
      <c r="P4669" s="473"/>
      <c r="Q4669" s="258"/>
      <c r="R4669" s="259"/>
      <c r="S4669" s="259"/>
      <c r="T4669" s="260"/>
      <c r="U4669" s="252"/>
      <c r="V4669" s="252"/>
      <c r="W4669" s="456"/>
      <c r="X4669" s="258"/>
      <c r="Y4669" s="202"/>
      <c r="Z4669" s="48"/>
      <c r="AA4669" s="252"/>
      <c r="AB4669" s="252"/>
      <c r="AC4669" s="456"/>
      <c r="AF4669"/>
      <c r="AG4669"/>
    </row>
    <row r="4670" spans="1:33" s="47" customFormat="1" hidden="1">
      <c r="A4670"/>
      <c r="B4670"/>
      <c r="C4670"/>
      <c r="D4670"/>
      <c r="E4670"/>
      <c r="F4670"/>
      <c r="G4670"/>
      <c r="H4670"/>
      <c r="I4670"/>
      <c r="J4670"/>
      <c r="K4670"/>
      <c r="L4670"/>
      <c r="M4670" s="820"/>
      <c r="N4670" s="451"/>
      <c r="O4670" s="454"/>
      <c r="P4670" s="473"/>
      <c r="Q4670" s="258"/>
      <c r="R4670" s="259"/>
      <c r="S4670" s="259"/>
      <c r="T4670" s="260"/>
      <c r="U4670" s="252"/>
      <c r="V4670" s="252"/>
      <c r="W4670" s="456"/>
      <c r="X4670" s="258"/>
      <c r="Y4670" s="202"/>
      <c r="Z4670" s="48"/>
      <c r="AA4670" s="252"/>
      <c r="AB4670" s="252"/>
      <c r="AC4670" s="456"/>
      <c r="AF4670"/>
      <c r="AG4670"/>
    </row>
    <row r="4671" spans="1:33" s="47" customFormat="1" hidden="1">
      <c r="A4671"/>
      <c r="B4671"/>
      <c r="C4671"/>
      <c r="D4671"/>
      <c r="E4671"/>
      <c r="F4671"/>
      <c r="G4671"/>
      <c r="H4671"/>
      <c r="I4671"/>
      <c r="J4671"/>
      <c r="K4671"/>
      <c r="L4671"/>
      <c r="M4671" s="820"/>
      <c r="N4671" s="451"/>
      <c r="O4671" s="454"/>
      <c r="P4671" s="473"/>
      <c r="Q4671" s="258"/>
      <c r="R4671" s="259"/>
      <c r="S4671" s="259"/>
      <c r="T4671" s="260"/>
      <c r="U4671" s="252"/>
      <c r="V4671" s="252"/>
      <c r="W4671" s="456"/>
      <c r="X4671" s="258"/>
      <c r="Y4671" s="202"/>
      <c r="Z4671" s="48"/>
      <c r="AA4671" s="252"/>
      <c r="AB4671" s="252"/>
      <c r="AC4671" s="456"/>
      <c r="AF4671"/>
      <c r="AG4671"/>
    </row>
    <row r="4672" spans="1:33" s="47" customFormat="1" hidden="1">
      <c r="A4672"/>
      <c r="B4672"/>
      <c r="C4672"/>
      <c r="D4672"/>
      <c r="E4672"/>
      <c r="F4672"/>
      <c r="G4672"/>
      <c r="H4672"/>
      <c r="I4672"/>
      <c r="J4672"/>
      <c r="K4672"/>
      <c r="L4672"/>
      <c r="M4672" s="820"/>
      <c r="N4672" s="451"/>
      <c r="O4672" s="454"/>
      <c r="P4672" s="473"/>
      <c r="Q4672" s="258"/>
      <c r="R4672" s="259"/>
      <c r="S4672" s="259"/>
      <c r="T4672" s="260"/>
      <c r="U4672" s="252"/>
      <c r="V4672" s="252"/>
      <c r="W4672" s="456"/>
      <c r="X4672" s="258"/>
      <c r="Y4672" s="202"/>
      <c r="Z4672" s="48"/>
      <c r="AA4672" s="252"/>
      <c r="AB4672" s="252"/>
      <c r="AC4672" s="456"/>
      <c r="AF4672"/>
      <c r="AG4672"/>
    </row>
    <row r="4673" spans="1:33" s="47" customFormat="1" hidden="1">
      <c r="A4673"/>
      <c r="B4673"/>
      <c r="C4673"/>
      <c r="D4673"/>
      <c r="E4673"/>
      <c r="F4673"/>
      <c r="G4673"/>
      <c r="H4673"/>
      <c r="I4673"/>
      <c r="J4673"/>
      <c r="K4673"/>
      <c r="L4673"/>
      <c r="M4673" s="820"/>
      <c r="N4673" s="451"/>
      <c r="O4673" s="454"/>
      <c r="P4673" s="473"/>
      <c r="Q4673" s="258"/>
      <c r="R4673" s="259"/>
      <c r="S4673" s="259"/>
      <c r="T4673" s="260"/>
      <c r="U4673" s="252"/>
      <c r="V4673" s="252"/>
      <c r="W4673" s="456"/>
      <c r="X4673" s="258"/>
      <c r="Y4673" s="202"/>
      <c r="Z4673" s="48"/>
      <c r="AA4673" s="252"/>
      <c r="AB4673" s="252"/>
      <c r="AC4673" s="456"/>
      <c r="AF4673"/>
      <c r="AG4673"/>
    </row>
    <row r="4674" spans="1:33" s="47" customFormat="1" hidden="1">
      <c r="A4674"/>
      <c r="B4674"/>
      <c r="C4674"/>
      <c r="D4674"/>
      <c r="E4674"/>
      <c r="F4674"/>
      <c r="G4674"/>
      <c r="H4674"/>
      <c r="I4674"/>
      <c r="J4674"/>
      <c r="K4674"/>
      <c r="L4674"/>
      <c r="M4674" s="820"/>
      <c r="N4674" s="451"/>
      <c r="O4674" s="454"/>
      <c r="P4674" s="473"/>
      <c r="Q4674" s="258"/>
      <c r="R4674" s="259"/>
      <c r="S4674" s="259"/>
      <c r="T4674" s="260"/>
      <c r="U4674" s="252"/>
      <c r="V4674" s="252"/>
      <c r="W4674" s="456"/>
      <c r="X4674" s="258"/>
      <c r="Y4674" s="202"/>
      <c r="Z4674" s="48"/>
      <c r="AA4674" s="252"/>
      <c r="AB4674" s="252"/>
      <c r="AC4674" s="456"/>
      <c r="AF4674"/>
      <c r="AG4674"/>
    </row>
    <row r="4675" spans="1:33" s="47" customFormat="1" hidden="1">
      <c r="A4675"/>
      <c r="B4675"/>
      <c r="C4675"/>
      <c r="D4675"/>
      <c r="E4675"/>
      <c r="F4675"/>
      <c r="G4675"/>
      <c r="H4675"/>
      <c r="I4675"/>
      <c r="J4675"/>
      <c r="K4675"/>
      <c r="L4675"/>
      <c r="M4675" s="820"/>
      <c r="N4675" s="451"/>
      <c r="O4675" s="454"/>
      <c r="P4675" s="473"/>
      <c r="Q4675" s="258"/>
      <c r="R4675" s="259"/>
      <c r="S4675" s="259"/>
      <c r="T4675" s="260"/>
      <c r="U4675" s="252"/>
      <c r="V4675" s="252"/>
      <c r="W4675" s="456"/>
      <c r="X4675" s="258"/>
      <c r="Y4675" s="202"/>
      <c r="Z4675" s="48"/>
      <c r="AA4675" s="252"/>
      <c r="AB4675" s="252"/>
      <c r="AC4675" s="456"/>
      <c r="AF4675"/>
      <c r="AG4675"/>
    </row>
    <row r="4676" spans="1:33" s="47" customFormat="1" hidden="1">
      <c r="A4676"/>
      <c r="B4676"/>
      <c r="C4676"/>
      <c r="D4676"/>
      <c r="E4676"/>
      <c r="F4676"/>
      <c r="G4676"/>
      <c r="H4676"/>
      <c r="I4676"/>
      <c r="J4676"/>
      <c r="K4676"/>
      <c r="L4676"/>
      <c r="M4676" s="820"/>
      <c r="N4676" s="451"/>
      <c r="O4676" s="454"/>
      <c r="P4676" s="473"/>
      <c r="Q4676" s="258"/>
      <c r="R4676" s="259"/>
      <c r="S4676" s="259"/>
      <c r="T4676" s="260"/>
      <c r="U4676" s="252"/>
      <c r="V4676" s="252"/>
      <c r="W4676" s="456"/>
      <c r="X4676" s="258"/>
      <c r="Y4676" s="202"/>
      <c r="Z4676" s="48"/>
      <c r="AA4676" s="252"/>
      <c r="AB4676" s="252"/>
      <c r="AC4676" s="456"/>
      <c r="AF4676"/>
      <c r="AG4676"/>
    </row>
    <row r="4677" spans="1:33" s="47" customFormat="1" hidden="1">
      <c r="A4677"/>
      <c r="B4677"/>
      <c r="C4677"/>
      <c r="D4677"/>
      <c r="E4677"/>
      <c r="F4677"/>
      <c r="G4677"/>
      <c r="H4677"/>
      <c r="I4677"/>
      <c r="J4677"/>
      <c r="K4677"/>
      <c r="L4677"/>
      <c r="M4677" s="820"/>
      <c r="N4677" s="461"/>
      <c r="O4677" s="454"/>
      <c r="P4677" s="473"/>
      <c r="Q4677" s="258"/>
      <c r="R4677" s="259"/>
      <c r="S4677" s="259"/>
      <c r="T4677" s="260"/>
      <c r="U4677" s="252"/>
      <c r="V4677" s="252"/>
      <c r="W4677" s="456"/>
      <c r="X4677" s="258"/>
      <c r="Y4677" s="202"/>
      <c r="Z4677" s="48"/>
      <c r="AA4677" s="252"/>
      <c r="AB4677" s="252"/>
      <c r="AC4677" s="456"/>
      <c r="AF4677"/>
      <c r="AG4677"/>
    </row>
    <row r="4678" spans="1:33" s="47" customFormat="1" hidden="1">
      <c r="A4678"/>
      <c r="B4678"/>
      <c r="C4678"/>
      <c r="D4678"/>
      <c r="E4678"/>
      <c r="F4678"/>
      <c r="G4678"/>
      <c r="H4678"/>
      <c r="I4678"/>
      <c r="J4678"/>
      <c r="K4678"/>
      <c r="L4678"/>
      <c r="M4678" s="820"/>
      <c r="N4678" s="451"/>
      <c r="O4678" s="454"/>
      <c r="P4678" s="473"/>
      <c r="Q4678" s="258"/>
      <c r="R4678" s="259"/>
      <c r="S4678" s="259"/>
      <c r="T4678" s="260"/>
      <c r="U4678" s="252"/>
      <c r="V4678" s="252"/>
      <c r="W4678" s="456"/>
      <c r="X4678" s="258"/>
      <c r="Y4678" s="202"/>
      <c r="Z4678" s="48"/>
      <c r="AA4678" s="252"/>
      <c r="AB4678" s="252"/>
      <c r="AC4678" s="456"/>
      <c r="AF4678"/>
      <c r="AG4678"/>
    </row>
    <row r="4679" spans="1:33" s="47" customFormat="1" hidden="1">
      <c r="A4679"/>
      <c r="B4679"/>
      <c r="C4679"/>
      <c r="D4679"/>
      <c r="E4679"/>
      <c r="F4679"/>
      <c r="G4679"/>
      <c r="H4679"/>
      <c r="I4679"/>
      <c r="J4679"/>
      <c r="K4679"/>
      <c r="L4679"/>
      <c r="M4679" s="820"/>
      <c r="N4679" s="451"/>
      <c r="O4679" s="454"/>
      <c r="P4679" s="473"/>
      <c r="Q4679" s="258"/>
      <c r="R4679" s="259"/>
      <c r="S4679" s="259"/>
      <c r="T4679" s="260"/>
      <c r="U4679" s="252"/>
      <c r="V4679" s="252"/>
      <c r="W4679" s="456"/>
      <c r="X4679" s="258"/>
      <c r="Y4679" s="202"/>
      <c r="Z4679" s="48"/>
      <c r="AA4679" s="252"/>
      <c r="AB4679" s="252"/>
      <c r="AC4679" s="456"/>
      <c r="AF4679"/>
      <c r="AG4679"/>
    </row>
    <row r="4680" spans="1:33" s="47" customFormat="1" hidden="1">
      <c r="A4680"/>
      <c r="B4680"/>
      <c r="C4680"/>
      <c r="D4680"/>
      <c r="E4680"/>
      <c r="F4680"/>
      <c r="G4680"/>
      <c r="H4680"/>
      <c r="I4680"/>
      <c r="J4680"/>
      <c r="K4680"/>
      <c r="L4680"/>
      <c r="M4680" s="820"/>
      <c r="N4680" s="451"/>
      <c r="O4680" s="454"/>
      <c r="P4680" s="473"/>
      <c r="Q4680" s="258"/>
      <c r="R4680" s="259"/>
      <c r="S4680" s="259"/>
      <c r="T4680" s="260"/>
      <c r="U4680" s="252"/>
      <c r="V4680" s="252"/>
      <c r="W4680" s="456"/>
      <c r="X4680" s="258"/>
      <c r="Y4680" s="202"/>
      <c r="Z4680" s="48"/>
      <c r="AA4680" s="252"/>
      <c r="AB4680" s="252"/>
      <c r="AC4680" s="456"/>
      <c r="AF4680"/>
      <c r="AG4680"/>
    </row>
    <row r="4681" spans="1:33" s="47" customFormat="1" hidden="1">
      <c r="A4681"/>
      <c r="B4681"/>
      <c r="C4681"/>
      <c r="D4681"/>
      <c r="E4681"/>
      <c r="F4681"/>
      <c r="G4681"/>
      <c r="H4681"/>
      <c r="I4681"/>
      <c r="J4681"/>
      <c r="K4681"/>
      <c r="L4681"/>
      <c r="M4681" s="820"/>
      <c r="N4681" s="451"/>
      <c r="O4681" s="454"/>
      <c r="P4681" s="473"/>
      <c r="Q4681" s="258"/>
      <c r="R4681" s="259"/>
      <c r="S4681" s="259"/>
      <c r="T4681" s="260"/>
      <c r="U4681" s="252"/>
      <c r="V4681" s="252"/>
      <c r="W4681" s="456"/>
      <c r="X4681" s="258"/>
      <c r="Y4681" s="202"/>
      <c r="Z4681" s="48"/>
      <c r="AA4681" s="252"/>
      <c r="AB4681" s="252"/>
      <c r="AC4681" s="456"/>
      <c r="AF4681"/>
      <c r="AG4681"/>
    </row>
    <row r="4682" spans="1:33" s="47" customFormat="1" hidden="1">
      <c r="A4682"/>
      <c r="B4682"/>
      <c r="C4682"/>
      <c r="D4682"/>
      <c r="E4682"/>
      <c r="F4682"/>
      <c r="G4682"/>
      <c r="H4682"/>
      <c r="I4682"/>
      <c r="J4682"/>
      <c r="K4682"/>
      <c r="L4682"/>
      <c r="M4682" s="820"/>
      <c r="N4682" s="451"/>
      <c r="O4682" s="454"/>
      <c r="P4682" s="473"/>
      <c r="Q4682" s="258"/>
      <c r="R4682" s="259"/>
      <c r="S4682" s="259"/>
      <c r="T4682" s="260"/>
      <c r="U4682" s="252"/>
      <c r="V4682" s="252"/>
      <c r="W4682" s="456"/>
      <c r="X4682" s="258"/>
      <c r="Y4682" s="202"/>
      <c r="Z4682" s="48"/>
      <c r="AA4682" s="252"/>
      <c r="AB4682" s="252"/>
      <c r="AC4682" s="456"/>
      <c r="AF4682"/>
      <c r="AG4682"/>
    </row>
    <row r="4683" spans="1:33" s="47" customFormat="1" hidden="1">
      <c r="A4683"/>
      <c r="B4683"/>
      <c r="C4683"/>
      <c r="D4683"/>
      <c r="E4683"/>
      <c r="F4683"/>
      <c r="G4683"/>
      <c r="H4683"/>
      <c r="I4683"/>
      <c r="J4683"/>
      <c r="K4683"/>
      <c r="L4683"/>
      <c r="M4683" s="820"/>
      <c r="N4683" s="451"/>
      <c r="O4683" s="455"/>
      <c r="P4683" s="473"/>
      <c r="Q4683" s="258"/>
      <c r="R4683" s="259"/>
      <c r="S4683" s="259"/>
      <c r="T4683" s="260"/>
      <c r="U4683" s="252"/>
      <c r="V4683" s="252"/>
      <c r="W4683" s="456"/>
      <c r="X4683" s="258"/>
      <c r="Y4683" s="202"/>
      <c r="Z4683" s="48"/>
      <c r="AA4683" s="252"/>
      <c r="AB4683" s="252"/>
      <c r="AC4683" s="456"/>
      <c r="AF4683"/>
      <c r="AG4683"/>
    </row>
    <row r="4684" spans="1:33" s="47" customFormat="1" hidden="1">
      <c r="A4684"/>
      <c r="B4684"/>
      <c r="C4684"/>
      <c r="D4684"/>
      <c r="E4684"/>
      <c r="F4684"/>
      <c r="G4684"/>
      <c r="H4684"/>
      <c r="I4684"/>
      <c r="J4684"/>
      <c r="K4684"/>
      <c r="L4684"/>
      <c r="M4684" s="820"/>
      <c r="N4684" s="451"/>
      <c r="O4684" s="455"/>
      <c r="P4684" s="473"/>
      <c r="Q4684" s="258"/>
      <c r="R4684" s="259"/>
      <c r="S4684" s="259"/>
      <c r="T4684" s="260"/>
      <c r="U4684" s="252"/>
      <c r="V4684" s="252"/>
      <c r="W4684" s="456"/>
      <c r="X4684" s="258"/>
      <c r="Y4684" s="202"/>
      <c r="Z4684" s="48"/>
      <c r="AA4684" s="252"/>
      <c r="AB4684" s="252"/>
      <c r="AC4684" s="456"/>
      <c r="AF4684"/>
      <c r="AG4684"/>
    </row>
    <row r="4685" spans="1:33" s="47" customFormat="1" hidden="1">
      <c r="A4685"/>
      <c r="B4685"/>
      <c r="C4685"/>
      <c r="D4685"/>
      <c r="E4685"/>
      <c r="F4685"/>
      <c r="G4685"/>
      <c r="H4685"/>
      <c r="I4685"/>
      <c r="J4685"/>
      <c r="K4685"/>
      <c r="L4685"/>
      <c r="M4685" s="820"/>
      <c r="N4685" s="461"/>
      <c r="O4685" s="455"/>
      <c r="P4685" s="473"/>
      <c r="Q4685" s="258"/>
      <c r="R4685" s="259"/>
      <c r="S4685" s="259"/>
      <c r="T4685" s="260"/>
      <c r="U4685" s="252"/>
      <c r="V4685" s="252"/>
      <c r="W4685" s="456"/>
      <c r="X4685" s="258"/>
      <c r="Y4685" s="202"/>
      <c r="Z4685" s="48"/>
      <c r="AA4685" s="252"/>
      <c r="AB4685" s="252"/>
      <c r="AC4685" s="456"/>
      <c r="AF4685"/>
      <c r="AG4685"/>
    </row>
    <row r="4686" spans="1:33" s="47" customFormat="1">
      <c r="A4686"/>
      <c r="B4686"/>
      <c r="C4686"/>
      <c r="D4686"/>
      <c r="E4686"/>
      <c r="F4686"/>
      <c r="G4686"/>
      <c r="H4686"/>
      <c r="I4686"/>
      <c r="J4686"/>
      <c r="K4686"/>
      <c r="L4686"/>
      <c r="M4686" s="820"/>
      <c r="N4686" s="461" t="str">
        <f>N4666 &amp; ".3"</f>
        <v>4.0.3.3.3.3</v>
      </c>
      <c r="O4686" s="457" t="s">
        <v>85</v>
      </c>
      <c r="P4686" s="473" t="s">
        <v>786</v>
      </c>
      <c r="Q4686" s="258"/>
      <c r="R4686" s="259"/>
      <c r="S4686" s="259"/>
      <c r="T4686" s="260"/>
      <c r="U4686" s="252"/>
      <c r="V4686" s="252"/>
      <c r="W4686" s="460">
        <f t="shared" ref="W4686:W4695" si="16">W4653*W4620/1000</f>
        <v>0</v>
      </c>
      <c r="X4686" s="258"/>
      <c r="Y4686" s="202"/>
      <c r="Z4686" s="48"/>
      <c r="AA4686" s="252"/>
      <c r="AB4686" s="252"/>
      <c r="AC4686" s="460">
        <f t="shared" ref="AC4686:AC4695" si="17">AC4653*AC4620/1000</f>
        <v>0</v>
      </c>
      <c r="AF4686"/>
      <c r="AG4686"/>
    </row>
    <row r="4687" spans="1:33" s="47" customFormat="1">
      <c r="A4687"/>
      <c r="B4687"/>
      <c r="C4687"/>
      <c r="D4687"/>
      <c r="E4687"/>
      <c r="F4687"/>
      <c r="G4687"/>
      <c r="H4687"/>
      <c r="I4687"/>
      <c r="J4687"/>
      <c r="K4687"/>
      <c r="L4687"/>
      <c r="M4687" s="820"/>
      <c r="N4687" s="461" t="str">
        <f>N4666 &amp; ".4"</f>
        <v>4.0.3.3.3.4</v>
      </c>
      <c r="O4687" s="457" t="s">
        <v>87</v>
      </c>
      <c r="P4687" s="473" t="s">
        <v>786</v>
      </c>
      <c r="Q4687" s="258"/>
      <c r="R4687" s="259"/>
      <c r="S4687" s="259"/>
      <c r="T4687" s="260"/>
      <c r="U4687" s="252"/>
      <c r="V4687" s="252"/>
      <c r="W4687" s="460">
        <f t="shared" si="16"/>
        <v>0</v>
      </c>
      <c r="X4687" s="258"/>
      <c r="Y4687" s="202"/>
      <c r="Z4687" s="48"/>
      <c r="AA4687" s="252"/>
      <c r="AB4687" s="252"/>
      <c r="AC4687" s="460">
        <f t="shared" si="17"/>
        <v>0</v>
      </c>
      <c r="AF4687"/>
      <c r="AG4687"/>
    </row>
    <row r="4688" spans="1:33" s="47" customFormat="1">
      <c r="A4688"/>
      <c r="B4688"/>
      <c r="C4688"/>
      <c r="D4688"/>
      <c r="E4688"/>
      <c r="F4688"/>
      <c r="G4688"/>
      <c r="H4688"/>
      <c r="I4688"/>
      <c r="J4688"/>
      <c r="K4688"/>
      <c r="L4688"/>
      <c r="M4688" s="820"/>
      <c r="N4688" s="461" t="str">
        <f>N4666&amp;".5"</f>
        <v>4.0.3.3.3.5</v>
      </c>
      <c r="O4688" s="457" t="s">
        <v>89</v>
      </c>
      <c r="P4688" s="473" t="s">
        <v>786</v>
      </c>
      <c r="Q4688" s="258"/>
      <c r="R4688" s="259"/>
      <c r="S4688" s="259"/>
      <c r="T4688" s="260"/>
      <c r="U4688" s="252"/>
      <c r="V4688" s="252"/>
      <c r="W4688" s="460">
        <f t="shared" si="16"/>
        <v>0</v>
      </c>
      <c r="X4688" s="258"/>
      <c r="Y4688" s="202"/>
      <c r="Z4688" s="48"/>
      <c r="AA4688" s="252"/>
      <c r="AB4688" s="252"/>
      <c r="AC4688" s="460">
        <f t="shared" si="17"/>
        <v>0</v>
      </c>
      <c r="AF4688"/>
      <c r="AG4688"/>
    </row>
    <row r="4689" spans="1:33" s="47" customFormat="1">
      <c r="A4689"/>
      <c r="B4689"/>
      <c r="C4689"/>
      <c r="D4689"/>
      <c r="E4689"/>
      <c r="F4689"/>
      <c r="G4689"/>
      <c r="H4689"/>
      <c r="I4689"/>
      <c r="J4689"/>
      <c r="K4689"/>
      <c r="L4689"/>
      <c r="M4689" s="820"/>
      <c r="N4689" s="461" t="str">
        <f>N4666 &amp; ".6"</f>
        <v>4.0.3.3.3.6</v>
      </c>
      <c r="O4689" s="457" t="s">
        <v>91</v>
      </c>
      <c r="P4689" s="473" t="s">
        <v>786</v>
      </c>
      <c r="Q4689" s="258"/>
      <c r="R4689" s="259"/>
      <c r="S4689" s="259"/>
      <c r="T4689" s="260"/>
      <c r="U4689" s="252"/>
      <c r="V4689" s="252"/>
      <c r="W4689" s="460">
        <f t="shared" si="16"/>
        <v>0</v>
      </c>
      <c r="X4689" s="258"/>
      <c r="Y4689" s="202"/>
      <c r="Z4689" s="48"/>
      <c r="AA4689" s="252"/>
      <c r="AB4689" s="252"/>
      <c r="AC4689" s="460">
        <f t="shared" si="17"/>
        <v>0</v>
      </c>
      <c r="AF4689"/>
      <c r="AG4689"/>
    </row>
    <row r="4690" spans="1:33" s="47" customFormat="1">
      <c r="A4690"/>
      <c r="B4690"/>
      <c r="C4690"/>
      <c r="D4690"/>
      <c r="E4690"/>
      <c r="F4690"/>
      <c r="G4690"/>
      <c r="H4690"/>
      <c r="I4690"/>
      <c r="J4690"/>
      <c r="K4690"/>
      <c r="L4690"/>
      <c r="M4690" s="820"/>
      <c r="N4690" s="461" t="str">
        <f>N4666 &amp; ".7"</f>
        <v>4.0.3.3.3.7</v>
      </c>
      <c r="O4690" s="457" t="s">
        <v>93</v>
      </c>
      <c r="P4690" s="473" t="s">
        <v>786</v>
      </c>
      <c r="Q4690" s="258"/>
      <c r="R4690" s="259"/>
      <c r="S4690" s="259"/>
      <c r="T4690" s="260"/>
      <c r="U4690" s="252"/>
      <c r="V4690" s="252"/>
      <c r="W4690" s="460">
        <f t="shared" si="16"/>
        <v>0</v>
      </c>
      <c r="X4690" s="258"/>
      <c r="Y4690" s="202"/>
      <c r="Z4690" s="48"/>
      <c r="AA4690" s="252"/>
      <c r="AB4690" s="252"/>
      <c r="AC4690" s="460">
        <f t="shared" si="17"/>
        <v>0</v>
      </c>
      <c r="AF4690"/>
      <c r="AG4690"/>
    </row>
    <row r="4691" spans="1:33" s="47" customFormat="1">
      <c r="A4691"/>
      <c r="B4691"/>
      <c r="C4691"/>
      <c r="D4691"/>
      <c r="E4691"/>
      <c r="F4691"/>
      <c r="G4691"/>
      <c r="H4691"/>
      <c r="I4691"/>
      <c r="J4691"/>
      <c r="K4691"/>
      <c r="L4691"/>
      <c r="M4691" s="820"/>
      <c r="N4691" s="461" t="str">
        <f>N4666 &amp; ".8"</f>
        <v>4.0.3.3.3.8</v>
      </c>
      <c r="O4691" s="457" t="s">
        <v>95</v>
      </c>
      <c r="P4691" s="473" t="s">
        <v>786</v>
      </c>
      <c r="Q4691" s="258"/>
      <c r="R4691" s="259"/>
      <c r="S4691" s="259"/>
      <c r="T4691" s="260"/>
      <c r="U4691" s="252"/>
      <c r="V4691" s="252"/>
      <c r="W4691" s="460">
        <f t="shared" si="16"/>
        <v>0</v>
      </c>
      <c r="X4691" s="258"/>
      <c r="Y4691" s="202"/>
      <c r="Z4691" s="48"/>
      <c r="AA4691" s="252"/>
      <c r="AB4691" s="252"/>
      <c r="AC4691" s="460">
        <f t="shared" si="17"/>
        <v>0</v>
      </c>
      <c r="AF4691"/>
      <c r="AG4691"/>
    </row>
    <row r="4692" spans="1:33" s="47" customFormat="1">
      <c r="A4692"/>
      <c r="B4692"/>
      <c r="C4692"/>
      <c r="D4692"/>
      <c r="E4692"/>
      <c r="F4692"/>
      <c r="G4692"/>
      <c r="H4692"/>
      <c r="I4692"/>
      <c r="J4692"/>
      <c r="K4692"/>
      <c r="L4692"/>
      <c r="M4692" s="820"/>
      <c r="N4692" s="461" t="str">
        <f>N4666 &amp; ".9"</f>
        <v>4.0.3.3.3.9</v>
      </c>
      <c r="O4692" s="457" t="s">
        <v>2976</v>
      </c>
      <c r="P4692" s="473" t="s">
        <v>786</v>
      </c>
      <c r="Q4692" s="258"/>
      <c r="R4692" s="259"/>
      <c r="S4692" s="259"/>
      <c r="T4692" s="260"/>
      <c r="U4692" s="252"/>
      <c r="V4692" s="252"/>
      <c r="W4692" s="460">
        <f t="shared" si="16"/>
        <v>0</v>
      </c>
      <c r="X4692" s="258"/>
      <c r="Y4692" s="202"/>
      <c r="Z4692" s="48"/>
      <c r="AA4692" s="252"/>
      <c r="AB4692" s="252"/>
      <c r="AC4692" s="460">
        <f t="shared" si="17"/>
        <v>0</v>
      </c>
      <c r="AF4692"/>
      <c r="AG4692"/>
    </row>
    <row r="4693" spans="1:33" s="47" customFormat="1">
      <c r="A4693"/>
      <c r="B4693"/>
      <c r="C4693"/>
      <c r="D4693"/>
      <c r="E4693"/>
      <c r="F4693"/>
      <c r="G4693"/>
      <c r="H4693"/>
      <c r="I4693"/>
      <c r="J4693"/>
      <c r="K4693"/>
      <c r="L4693"/>
      <c r="M4693" s="820"/>
      <c r="N4693" s="461" t="str">
        <f>N4666 &amp; ".10"</f>
        <v>4.0.3.3.3.10</v>
      </c>
      <c r="O4693" s="457" t="s">
        <v>2978</v>
      </c>
      <c r="P4693" s="473" t="s">
        <v>786</v>
      </c>
      <c r="Q4693" s="258"/>
      <c r="R4693" s="259"/>
      <c r="S4693" s="259"/>
      <c r="T4693" s="260"/>
      <c r="U4693" s="252"/>
      <c r="V4693" s="252"/>
      <c r="W4693" s="460">
        <f t="shared" si="16"/>
        <v>0</v>
      </c>
      <c r="X4693" s="258"/>
      <c r="Y4693" s="202"/>
      <c r="Z4693" s="48"/>
      <c r="AA4693" s="252"/>
      <c r="AB4693" s="252"/>
      <c r="AC4693" s="460">
        <f t="shared" si="17"/>
        <v>0</v>
      </c>
      <c r="AF4693"/>
      <c r="AG4693"/>
    </row>
    <row r="4694" spans="1:33" s="47" customFormat="1">
      <c r="A4694"/>
      <c r="B4694"/>
      <c r="C4694"/>
      <c r="D4694"/>
      <c r="E4694"/>
      <c r="F4694"/>
      <c r="G4694"/>
      <c r="H4694"/>
      <c r="I4694"/>
      <c r="J4694"/>
      <c r="K4694"/>
      <c r="L4694"/>
      <c r="M4694" s="820"/>
      <c r="N4694" s="461" t="str">
        <f>N4666 &amp; ".11"</f>
        <v>4.0.3.3.3.11</v>
      </c>
      <c r="O4694" s="457" t="s">
        <v>2980</v>
      </c>
      <c r="P4694" s="473" t="s">
        <v>786</v>
      </c>
      <c r="Q4694" s="258"/>
      <c r="R4694" s="259"/>
      <c r="S4694" s="259"/>
      <c r="T4694" s="260"/>
      <c r="U4694" s="252"/>
      <c r="V4694" s="252"/>
      <c r="W4694" s="460">
        <f t="shared" si="16"/>
        <v>0</v>
      </c>
      <c r="X4694" s="258"/>
      <c r="Y4694" s="202"/>
      <c r="Z4694" s="48"/>
      <c r="AA4694" s="252"/>
      <c r="AB4694" s="252"/>
      <c r="AC4694" s="460">
        <f t="shared" si="17"/>
        <v>0</v>
      </c>
      <c r="AF4694"/>
      <c r="AG4694"/>
    </row>
    <row r="4695" spans="1:33" s="47" customFormat="1">
      <c r="A4695"/>
      <c r="B4695"/>
      <c r="C4695"/>
      <c r="D4695"/>
      <c r="E4695"/>
      <c r="F4695"/>
      <c r="G4695"/>
      <c r="H4695"/>
      <c r="I4695"/>
      <c r="J4695"/>
      <c r="K4695"/>
      <c r="L4695"/>
      <c r="M4695" s="820"/>
      <c r="N4695" s="461" t="str">
        <f>N4666 &amp; ".12"</f>
        <v>4.0.3.3.3.12</v>
      </c>
      <c r="O4695" s="457" t="s">
        <v>2982</v>
      </c>
      <c r="P4695" s="473" t="s">
        <v>786</v>
      </c>
      <c r="Q4695" s="258"/>
      <c r="R4695" s="259"/>
      <c r="S4695" s="259"/>
      <c r="T4695" s="260"/>
      <c r="U4695" s="252"/>
      <c r="V4695" s="252"/>
      <c r="W4695" s="460">
        <f t="shared" si="16"/>
        <v>0</v>
      </c>
      <c r="X4695" s="258"/>
      <c r="Y4695" s="202"/>
      <c r="Z4695" s="48"/>
      <c r="AA4695" s="252"/>
      <c r="AB4695" s="252"/>
      <c r="AC4695" s="460">
        <f t="shared" si="17"/>
        <v>0</v>
      </c>
      <c r="AF4695"/>
      <c r="AG4695"/>
    </row>
    <row r="4696" spans="1:33" s="47" customFormat="1" hidden="1">
      <c r="A4696"/>
      <c r="B4696"/>
      <c r="C4696"/>
      <c r="D4696"/>
      <c r="E4696"/>
      <c r="F4696"/>
      <c r="G4696"/>
      <c r="H4696"/>
      <c r="I4696"/>
      <c r="J4696"/>
      <c r="K4696"/>
      <c r="L4696"/>
      <c r="M4696" s="820"/>
      <c r="N4696" s="451"/>
      <c r="O4696" s="454"/>
      <c r="P4696" s="473"/>
      <c r="Q4696" s="258"/>
      <c r="R4696" s="259"/>
      <c r="S4696" s="259"/>
      <c r="T4696" s="260"/>
      <c r="U4696" s="252"/>
      <c r="V4696" s="252"/>
      <c r="W4696" s="456"/>
      <c r="X4696" s="258"/>
      <c r="Y4696" s="202"/>
      <c r="Z4696" s="48"/>
      <c r="AA4696" s="252"/>
      <c r="AB4696" s="252"/>
      <c r="AC4696" s="456"/>
      <c r="AF4696"/>
      <c r="AG4696"/>
    </row>
    <row r="4697" spans="1:33" s="47" customFormat="1" hidden="1">
      <c r="A4697"/>
      <c r="B4697"/>
      <c r="C4697"/>
      <c r="D4697"/>
      <c r="E4697"/>
      <c r="F4697"/>
      <c r="G4697"/>
      <c r="H4697"/>
      <c r="I4697"/>
      <c r="J4697"/>
      <c r="K4697"/>
      <c r="L4697"/>
      <c r="M4697" s="820"/>
      <c r="N4697" s="451"/>
      <c r="O4697" s="454"/>
      <c r="P4697" s="473"/>
      <c r="Q4697" s="258"/>
      <c r="R4697" s="259"/>
      <c r="S4697" s="259"/>
      <c r="T4697" s="260"/>
      <c r="U4697" s="252"/>
      <c r="V4697" s="252"/>
      <c r="W4697" s="456"/>
      <c r="X4697" s="258"/>
      <c r="Y4697" s="202"/>
      <c r="Z4697" s="48"/>
      <c r="AA4697" s="252"/>
      <c r="AB4697" s="252"/>
      <c r="AC4697" s="456"/>
      <c r="AF4697"/>
      <c r="AG4697"/>
    </row>
    <row r="4698" spans="1:33" s="47" customFormat="1">
      <c r="A4698"/>
      <c r="B4698"/>
      <c r="C4698"/>
      <c r="D4698"/>
      <c r="E4698"/>
      <c r="F4698"/>
      <c r="G4698"/>
      <c r="H4698"/>
      <c r="I4698"/>
      <c r="J4698"/>
      <c r="K4698"/>
      <c r="L4698"/>
      <c r="M4698" s="820"/>
      <c r="N4698" s="461" t="str">
        <f>N4666 &amp; ".15"</f>
        <v>4.0.3.3.3.15</v>
      </c>
      <c r="O4698" s="457" t="s">
        <v>291</v>
      </c>
      <c r="P4698" s="473" t="s">
        <v>786</v>
      </c>
      <c r="Q4698" s="258"/>
      <c r="R4698" s="259"/>
      <c r="S4698" s="259"/>
      <c r="T4698" s="260"/>
      <c r="U4698" s="252"/>
      <c r="V4698" s="252"/>
      <c r="W4698" s="460">
        <f>W4665*W4632/1000</f>
        <v>0</v>
      </c>
      <c r="X4698" s="258"/>
      <c r="Y4698" s="202"/>
      <c r="Z4698" s="48"/>
      <c r="AA4698" s="252"/>
      <c r="AB4698" s="252"/>
      <c r="AC4698" s="460">
        <f>AC4665*AC4632/1000</f>
        <v>0</v>
      </c>
      <c r="AF4698"/>
      <c r="AG4698"/>
    </row>
    <row r="4699" spans="1:33" s="47" customFormat="1" ht="22.5">
      <c r="A4699"/>
      <c r="B4699"/>
      <c r="C4699"/>
      <c r="D4699"/>
      <c r="E4699"/>
      <c r="F4699"/>
      <c r="G4699"/>
      <c r="H4699"/>
      <c r="I4699"/>
      <c r="J4699"/>
      <c r="K4699"/>
      <c r="L4699"/>
      <c r="M4699" s="820"/>
      <c r="N4699" s="449" t="s">
        <v>281</v>
      </c>
      <c r="O4699" s="450" t="s">
        <v>246</v>
      </c>
      <c r="P4699" s="473"/>
      <c r="Q4699" s="258"/>
      <c r="R4699" s="259"/>
      <c r="S4699" s="259"/>
      <c r="T4699" s="260"/>
      <c r="U4699" s="252"/>
      <c r="V4699" s="252"/>
      <c r="W4699" s="456"/>
      <c r="X4699" s="258"/>
      <c r="Y4699" s="202"/>
      <c r="Z4699" s="48"/>
      <c r="AA4699" s="252"/>
      <c r="AB4699" s="252"/>
      <c r="AC4699" s="456"/>
      <c r="AF4699"/>
      <c r="AG4699"/>
    </row>
    <row r="4700" spans="1:33" s="47" customFormat="1">
      <c r="A4700"/>
      <c r="B4700"/>
      <c r="C4700"/>
      <c r="D4700"/>
      <c r="E4700"/>
      <c r="F4700"/>
      <c r="G4700"/>
      <c r="H4700"/>
      <c r="I4700"/>
      <c r="J4700"/>
      <c r="K4700"/>
      <c r="L4700"/>
      <c r="M4700" s="820"/>
      <c r="N4700" s="461" t="str">
        <f>N4699 &amp; ".1"</f>
        <v>4.0.3.4.1.1</v>
      </c>
      <c r="O4700" s="453" t="s">
        <v>78</v>
      </c>
      <c r="P4700" s="473" t="s">
        <v>216</v>
      </c>
      <c r="Q4700" s="258"/>
      <c r="R4700" s="259"/>
      <c r="S4700" s="259"/>
      <c r="T4700" s="260"/>
      <c r="U4700" s="252"/>
      <c r="V4700" s="252"/>
      <c r="W4700" s="465"/>
      <c r="X4700" s="258"/>
      <c r="Y4700" s="202"/>
      <c r="Z4700" s="48"/>
      <c r="AA4700" s="252"/>
      <c r="AB4700" s="252"/>
      <c r="AC4700" s="456"/>
      <c r="AF4700"/>
      <c r="AG4700"/>
    </row>
    <row r="4701" spans="1:33" s="47" customFormat="1" hidden="1">
      <c r="A4701"/>
      <c r="B4701"/>
      <c r="C4701"/>
      <c r="D4701"/>
      <c r="E4701"/>
      <c r="F4701"/>
      <c r="G4701"/>
      <c r="H4701"/>
      <c r="I4701"/>
      <c r="J4701"/>
      <c r="K4701"/>
      <c r="L4701"/>
      <c r="M4701" s="820"/>
      <c r="N4701" s="461"/>
      <c r="O4701" s="454"/>
      <c r="P4701" s="473"/>
      <c r="Q4701" s="258"/>
      <c r="R4701" s="259"/>
      <c r="S4701" s="259"/>
      <c r="T4701" s="260"/>
      <c r="U4701" s="252"/>
      <c r="V4701" s="252"/>
      <c r="W4701" s="456"/>
      <c r="X4701" s="258"/>
      <c r="Y4701" s="202"/>
      <c r="Z4701" s="48"/>
      <c r="AA4701" s="252"/>
      <c r="AB4701" s="252"/>
      <c r="AC4701" s="456"/>
      <c r="AF4701"/>
      <c r="AG4701"/>
    </row>
    <row r="4702" spans="1:33" s="47" customFormat="1" hidden="1">
      <c r="A4702"/>
      <c r="B4702"/>
      <c r="C4702"/>
      <c r="D4702"/>
      <c r="E4702"/>
      <c r="F4702"/>
      <c r="G4702"/>
      <c r="H4702"/>
      <c r="I4702"/>
      <c r="J4702"/>
      <c r="K4702"/>
      <c r="L4702"/>
      <c r="M4702" s="820"/>
      <c r="N4702" s="461"/>
      <c r="O4702" s="454"/>
      <c r="P4702" s="473"/>
      <c r="Q4702" s="258"/>
      <c r="R4702" s="259"/>
      <c r="S4702" s="259"/>
      <c r="T4702" s="260"/>
      <c r="U4702" s="252"/>
      <c r="V4702" s="252"/>
      <c r="W4702" s="456"/>
      <c r="X4702" s="258"/>
      <c r="Y4702" s="202"/>
      <c r="Z4702" s="48"/>
      <c r="AA4702" s="252"/>
      <c r="AB4702" s="252"/>
      <c r="AC4702" s="456"/>
      <c r="AF4702"/>
      <c r="AG4702"/>
    </row>
    <row r="4703" spans="1:33" s="47" customFormat="1" hidden="1">
      <c r="A4703"/>
      <c r="B4703"/>
      <c r="C4703"/>
      <c r="D4703"/>
      <c r="E4703"/>
      <c r="F4703"/>
      <c r="G4703"/>
      <c r="H4703"/>
      <c r="I4703"/>
      <c r="J4703"/>
      <c r="K4703"/>
      <c r="L4703"/>
      <c r="M4703" s="820"/>
      <c r="N4703" s="451"/>
      <c r="O4703" s="454"/>
      <c r="P4703" s="473"/>
      <c r="Q4703" s="258"/>
      <c r="R4703" s="259"/>
      <c r="S4703" s="259"/>
      <c r="T4703" s="260"/>
      <c r="U4703" s="252"/>
      <c r="V4703" s="252"/>
      <c r="W4703" s="456"/>
      <c r="X4703" s="258"/>
      <c r="Y4703" s="202"/>
      <c r="Z4703" s="48"/>
      <c r="AA4703" s="252"/>
      <c r="AB4703" s="252"/>
      <c r="AC4703" s="456"/>
      <c r="AF4703"/>
      <c r="AG4703"/>
    </row>
    <row r="4704" spans="1:33" s="47" customFormat="1" hidden="1">
      <c r="A4704"/>
      <c r="B4704"/>
      <c r="C4704"/>
      <c r="D4704"/>
      <c r="E4704"/>
      <c r="F4704"/>
      <c r="G4704"/>
      <c r="H4704"/>
      <c r="I4704"/>
      <c r="J4704"/>
      <c r="K4704"/>
      <c r="L4704"/>
      <c r="M4704" s="820"/>
      <c r="N4704" s="451"/>
      <c r="O4704" s="454"/>
      <c r="P4704" s="473"/>
      <c r="Q4704" s="258"/>
      <c r="R4704" s="259"/>
      <c r="S4704" s="259"/>
      <c r="T4704" s="260"/>
      <c r="U4704" s="252"/>
      <c r="V4704" s="252"/>
      <c r="W4704" s="456"/>
      <c r="X4704" s="258"/>
      <c r="Y4704" s="202"/>
      <c r="Z4704" s="48"/>
      <c r="AA4704" s="252"/>
      <c r="AB4704" s="252"/>
      <c r="AC4704" s="456"/>
      <c r="AF4704"/>
      <c r="AG4704"/>
    </row>
    <row r="4705" spans="1:33" s="47" customFormat="1" hidden="1">
      <c r="A4705"/>
      <c r="B4705"/>
      <c r="C4705"/>
      <c r="D4705"/>
      <c r="E4705"/>
      <c r="F4705"/>
      <c r="G4705"/>
      <c r="H4705"/>
      <c r="I4705"/>
      <c r="J4705"/>
      <c r="K4705"/>
      <c r="L4705"/>
      <c r="M4705" s="820"/>
      <c r="N4705" s="451"/>
      <c r="O4705" s="454"/>
      <c r="P4705" s="473"/>
      <c r="Q4705" s="258"/>
      <c r="R4705" s="259"/>
      <c r="S4705" s="259"/>
      <c r="T4705" s="260"/>
      <c r="U4705" s="252"/>
      <c r="V4705" s="252"/>
      <c r="W4705" s="456"/>
      <c r="X4705" s="258"/>
      <c r="Y4705" s="202"/>
      <c r="Z4705" s="48"/>
      <c r="AA4705" s="252"/>
      <c r="AB4705" s="252"/>
      <c r="AC4705" s="456"/>
      <c r="AF4705"/>
      <c r="AG4705"/>
    </row>
    <row r="4706" spans="1:33" s="47" customFormat="1" hidden="1">
      <c r="A4706"/>
      <c r="B4706"/>
      <c r="C4706"/>
      <c r="D4706"/>
      <c r="E4706"/>
      <c r="F4706"/>
      <c r="G4706"/>
      <c r="H4706"/>
      <c r="I4706"/>
      <c r="J4706"/>
      <c r="K4706"/>
      <c r="L4706"/>
      <c r="M4706" s="820"/>
      <c r="N4706" s="451"/>
      <c r="O4706" s="454"/>
      <c r="P4706" s="473"/>
      <c r="Q4706" s="258"/>
      <c r="R4706" s="259"/>
      <c r="S4706" s="259"/>
      <c r="T4706" s="260"/>
      <c r="U4706" s="252"/>
      <c r="V4706" s="252"/>
      <c r="W4706" s="456"/>
      <c r="X4706" s="258"/>
      <c r="Y4706" s="202"/>
      <c r="Z4706" s="48"/>
      <c r="AA4706" s="252"/>
      <c r="AB4706" s="252"/>
      <c r="AC4706" s="456"/>
      <c r="AF4706"/>
      <c r="AG4706"/>
    </row>
    <row r="4707" spans="1:33" s="47" customFormat="1" hidden="1">
      <c r="A4707"/>
      <c r="B4707"/>
      <c r="C4707"/>
      <c r="D4707"/>
      <c r="E4707"/>
      <c r="F4707"/>
      <c r="G4707"/>
      <c r="H4707"/>
      <c r="I4707"/>
      <c r="J4707"/>
      <c r="K4707"/>
      <c r="L4707"/>
      <c r="M4707" s="820"/>
      <c r="N4707" s="451"/>
      <c r="O4707" s="454"/>
      <c r="P4707" s="473"/>
      <c r="Q4707" s="258"/>
      <c r="R4707" s="259"/>
      <c r="S4707" s="259"/>
      <c r="T4707" s="260"/>
      <c r="U4707" s="252"/>
      <c r="V4707" s="252"/>
      <c r="W4707" s="456"/>
      <c r="X4707" s="258"/>
      <c r="Y4707" s="202"/>
      <c r="Z4707" s="48"/>
      <c r="AA4707" s="252"/>
      <c r="AB4707" s="252"/>
      <c r="AC4707" s="456"/>
      <c r="AF4707"/>
      <c r="AG4707"/>
    </row>
    <row r="4708" spans="1:33" s="47" customFormat="1" hidden="1">
      <c r="A4708"/>
      <c r="B4708"/>
      <c r="C4708"/>
      <c r="D4708"/>
      <c r="E4708"/>
      <c r="F4708"/>
      <c r="G4708"/>
      <c r="H4708"/>
      <c r="I4708"/>
      <c r="J4708"/>
      <c r="K4708"/>
      <c r="L4708"/>
      <c r="M4708" s="820"/>
      <c r="N4708" s="451"/>
      <c r="O4708" s="454"/>
      <c r="P4708" s="473"/>
      <c r="Q4708" s="258"/>
      <c r="R4708" s="259"/>
      <c r="S4708" s="259"/>
      <c r="T4708" s="260"/>
      <c r="U4708" s="252"/>
      <c r="V4708" s="252"/>
      <c r="W4708" s="456"/>
      <c r="X4708" s="258"/>
      <c r="Y4708" s="202"/>
      <c r="Z4708" s="48"/>
      <c r="AA4708" s="252"/>
      <c r="AB4708" s="252"/>
      <c r="AC4708" s="456"/>
      <c r="AF4708"/>
      <c r="AG4708"/>
    </row>
    <row r="4709" spans="1:33" s="47" customFormat="1" hidden="1">
      <c r="A4709"/>
      <c r="B4709"/>
      <c r="C4709"/>
      <c r="D4709"/>
      <c r="E4709"/>
      <c r="F4709"/>
      <c r="G4709"/>
      <c r="H4709"/>
      <c r="I4709"/>
      <c r="J4709"/>
      <c r="K4709"/>
      <c r="L4709"/>
      <c r="M4709" s="820"/>
      <c r="N4709" s="451"/>
      <c r="O4709" s="454"/>
      <c r="P4709" s="473"/>
      <c r="Q4709" s="258"/>
      <c r="R4709" s="259"/>
      <c r="S4709" s="259"/>
      <c r="T4709" s="260"/>
      <c r="U4709" s="252"/>
      <c r="V4709" s="252"/>
      <c r="W4709" s="456"/>
      <c r="X4709" s="258"/>
      <c r="Y4709" s="202"/>
      <c r="Z4709" s="48"/>
      <c r="AA4709" s="252"/>
      <c r="AB4709" s="252"/>
      <c r="AC4709" s="456"/>
      <c r="AF4709"/>
      <c r="AG4709"/>
    </row>
    <row r="4710" spans="1:33" s="47" customFormat="1" hidden="1">
      <c r="A4710"/>
      <c r="B4710"/>
      <c r="C4710"/>
      <c r="D4710"/>
      <c r="E4710"/>
      <c r="F4710"/>
      <c r="G4710"/>
      <c r="H4710"/>
      <c r="I4710"/>
      <c r="J4710"/>
      <c r="K4710"/>
      <c r="L4710"/>
      <c r="M4710" s="820"/>
      <c r="N4710" s="461"/>
      <c r="O4710" s="454"/>
      <c r="P4710" s="473"/>
      <c r="Q4710" s="258"/>
      <c r="R4710" s="259"/>
      <c r="S4710" s="259"/>
      <c r="T4710" s="260"/>
      <c r="U4710" s="252"/>
      <c r="V4710" s="252"/>
      <c r="W4710" s="456"/>
      <c r="X4710" s="258"/>
      <c r="Y4710" s="202"/>
      <c r="Z4710" s="48"/>
      <c r="AA4710" s="252"/>
      <c r="AB4710" s="252"/>
      <c r="AC4710" s="456"/>
      <c r="AF4710"/>
      <c r="AG4710"/>
    </row>
    <row r="4711" spans="1:33" s="47" customFormat="1" hidden="1">
      <c r="A4711"/>
      <c r="B4711"/>
      <c r="C4711"/>
      <c r="D4711"/>
      <c r="E4711"/>
      <c r="F4711"/>
      <c r="G4711"/>
      <c r="H4711"/>
      <c r="I4711"/>
      <c r="J4711"/>
      <c r="K4711"/>
      <c r="L4711"/>
      <c r="M4711" s="820"/>
      <c r="N4711" s="451"/>
      <c r="O4711" s="454"/>
      <c r="P4711" s="473"/>
      <c r="Q4711" s="258"/>
      <c r="R4711" s="259"/>
      <c r="S4711" s="259"/>
      <c r="T4711" s="260"/>
      <c r="U4711" s="252"/>
      <c r="V4711" s="252"/>
      <c r="W4711" s="456"/>
      <c r="X4711" s="258"/>
      <c r="Y4711" s="202"/>
      <c r="Z4711" s="48"/>
      <c r="AA4711" s="252"/>
      <c r="AB4711" s="252"/>
      <c r="AC4711" s="456"/>
      <c r="AF4711"/>
      <c r="AG4711"/>
    </row>
    <row r="4712" spans="1:33" s="47" customFormat="1" hidden="1">
      <c r="A4712"/>
      <c r="B4712"/>
      <c r="C4712"/>
      <c r="D4712"/>
      <c r="E4712"/>
      <c r="F4712"/>
      <c r="G4712"/>
      <c r="H4712"/>
      <c r="I4712"/>
      <c r="J4712"/>
      <c r="K4712"/>
      <c r="L4712"/>
      <c r="M4712" s="820"/>
      <c r="N4712" s="451"/>
      <c r="O4712" s="454"/>
      <c r="P4712" s="473"/>
      <c r="Q4712" s="258"/>
      <c r="R4712" s="259"/>
      <c r="S4712" s="259"/>
      <c r="T4712" s="260"/>
      <c r="U4712" s="252"/>
      <c r="V4712" s="252"/>
      <c r="W4712" s="456"/>
      <c r="X4712" s="258"/>
      <c r="Y4712" s="202"/>
      <c r="Z4712" s="48"/>
      <c r="AA4712" s="252"/>
      <c r="AB4712" s="252"/>
      <c r="AC4712" s="456"/>
      <c r="AF4712"/>
      <c r="AG4712"/>
    </row>
    <row r="4713" spans="1:33" s="47" customFormat="1" hidden="1">
      <c r="A4713"/>
      <c r="B4713"/>
      <c r="C4713"/>
      <c r="D4713"/>
      <c r="E4713"/>
      <c r="F4713"/>
      <c r="G4713"/>
      <c r="H4713"/>
      <c r="I4713"/>
      <c r="J4713"/>
      <c r="K4713"/>
      <c r="L4713"/>
      <c r="M4713" s="820"/>
      <c r="N4713" s="451"/>
      <c r="O4713" s="454"/>
      <c r="P4713" s="473"/>
      <c r="Q4713" s="258"/>
      <c r="R4713" s="259"/>
      <c r="S4713" s="259"/>
      <c r="T4713" s="260"/>
      <c r="U4713" s="252"/>
      <c r="V4713" s="252"/>
      <c r="W4713" s="456"/>
      <c r="X4713" s="258"/>
      <c r="Y4713" s="202"/>
      <c r="Z4713" s="48"/>
      <c r="AA4713" s="252"/>
      <c r="AB4713" s="252"/>
      <c r="AC4713" s="456"/>
      <c r="AF4713"/>
      <c r="AG4713"/>
    </row>
    <row r="4714" spans="1:33" s="47" customFormat="1" hidden="1">
      <c r="A4714"/>
      <c r="B4714"/>
      <c r="C4714"/>
      <c r="D4714"/>
      <c r="E4714"/>
      <c r="F4714"/>
      <c r="G4714"/>
      <c r="H4714"/>
      <c r="I4714"/>
      <c r="J4714"/>
      <c r="K4714"/>
      <c r="L4714"/>
      <c r="M4714" s="820"/>
      <c r="N4714" s="451"/>
      <c r="O4714" s="454"/>
      <c r="P4714" s="473"/>
      <c r="Q4714" s="258"/>
      <c r="R4714" s="259"/>
      <c r="S4714" s="259"/>
      <c r="T4714" s="260"/>
      <c r="U4714" s="252"/>
      <c r="V4714" s="252"/>
      <c r="W4714" s="456"/>
      <c r="X4714" s="258"/>
      <c r="Y4714" s="202"/>
      <c r="Z4714" s="48"/>
      <c r="AA4714" s="252"/>
      <c r="AB4714" s="252"/>
      <c r="AC4714" s="456"/>
      <c r="AF4714"/>
      <c r="AG4714"/>
    </row>
    <row r="4715" spans="1:33" s="47" customFormat="1" hidden="1">
      <c r="A4715"/>
      <c r="B4715"/>
      <c r="C4715"/>
      <c r="D4715"/>
      <c r="E4715"/>
      <c r="F4715"/>
      <c r="G4715"/>
      <c r="H4715"/>
      <c r="I4715"/>
      <c r="J4715"/>
      <c r="K4715"/>
      <c r="L4715"/>
      <c r="M4715" s="820"/>
      <c r="N4715" s="451"/>
      <c r="O4715" s="454"/>
      <c r="P4715" s="473"/>
      <c r="Q4715" s="258"/>
      <c r="R4715" s="259"/>
      <c r="S4715" s="259"/>
      <c r="T4715" s="260"/>
      <c r="U4715" s="252"/>
      <c r="V4715" s="252"/>
      <c r="W4715" s="456"/>
      <c r="X4715" s="258"/>
      <c r="Y4715" s="202"/>
      <c r="Z4715" s="48"/>
      <c r="AA4715" s="252"/>
      <c r="AB4715" s="252"/>
      <c r="AC4715" s="456"/>
      <c r="AF4715"/>
      <c r="AG4715"/>
    </row>
    <row r="4716" spans="1:33" s="47" customFormat="1" hidden="1">
      <c r="A4716"/>
      <c r="B4716"/>
      <c r="C4716"/>
      <c r="D4716"/>
      <c r="E4716"/>
      <c r="F4716"/>
      <c r="G4716"/>
      <c r="H4716"/>
      <c r="I4716"/>
      <c r="J4716"/>
      <c r="K4716"/>
      <c r="L4716"/>
      <c r="M4716" s="820"/>
      <c r="N4716" s="451"/>
      <c r="O4716" s="455"/>
      <c r="P4716" s="473"/>
      <c r="Q4716" s="258"/>
      <c r="R4716" s="259"/>
      <c r="S4716" s="259"/>
      <c r="T4716" s="260"/>
      <c r="U4716" s="252"/>
      <c r="V4716" s="252"/>
      <c r="W4716" s="456"/>
      <c r="X4716" s="258"/>
      <c r="Y4716" s="202"/>
      <c r="Z4716" s="48"/>
      <c r="AA4716" s="252"/>
      <c r="AB4716" s="252"/>
      <c r="AC4716" s="456"/>
      <c r="AF4716"/>
      <c r="AG4716"/>
    </row>
    <row r="4717" spans="1:33" s="47" customFormat="1" hidden="1">
      <c r="A4717"/>
      <c r="B4717"/>
      <c r="C4717"/>
      <c r="D4717"/>
      <c r="E4717"/>
      <c r="F4717"/>
      <c r="G4717"/>
      <c r="H4717"/>
      <c r="I4717"/>
      <c r="J4717"/>
      <c r="K4717"/>
      <c r="L4717"/>
      <c r="M4717" s="820"/>
      <c r="N4717" s="451"/>
      <c r="O4717" s="455"/>
      <c r="P4717" s="473"/>
      <c r="Q4717" s="258"/>
      <c r="R4717" s="259"/>
      <c r="S4717" s="259"/>
      <c r="T4717" s="260"/>
      <c r="U4717" s="252"/>
      <c r="V4717" s="252"/>
      <c r="W4717" s="456"/>
      <c r="X4717" s="258"/>
      <c r="Y4717" s="202"/>
      <c r="Z4717" s="48"/>
      <c r="AA4717" s="252"/>
      <c r="AB4717" s="252"/>
      <c r="AC4717" s="456"/>
      <c r="AF4717"/>
      <c r="AG4717"/>
    </row>
    <row r="4718" spans="1:33" s="47" customFormat="1" hidden="1">
      <c r="A4718"/>
      <c r="B4718"/>
      <c r="C4718"/>
      <c r="D4718"/>
      <c r="E4718"/>
      <c r="F4718"/>
      <c r="G4718"/>
      <c r="H4718"/>
      <c r="I4718"/>
      <c r="J4718"/>
      <c r="K4718"/>
      <c r="L4718"/>
      <c r="M4718" s="820"/>
      <c r="N4718" s="461"/>
      <c r="O4718" s="455"/>
      <c r="P4718" s="473"/>
      <c r="Q4718" s="258"/>
      <c r="R4718" s="259"/>
      <c r="S4718" s="259"/>
      <c r="T4718" s="260"/>
      <c r="U4718" s="252"/>
      <c r="V4718" s="252"/>
      <c r="W4718" s="456"/>
      <c r="X4718" s="258"/>
      <c r="Y4718" s="202"/>
      <c r="Z4718" s="48"/>
      <c r="AA4718" s="252"/>
      <c r="AB4718" s="252"/>
      <c r="AC4718" s="456"/>
      <c r="AF4718"/>
      <c r="AG4718"/>
    </row>
    <row r="4719" spans="1:33" s="47" customFormat="1">
      <c r="A4719"/>
      <c r="B4719"/>
      <c r="C4719"/>
      <c r="D4719"/>
      <c r="E4719"/>
      <c r="F4719"/>
      <c r="G4719"/>
      <c r="H4719"/>
      <c r="I4719"/>
      <c r="J4719"/>
      <c r="K4719"/>
      <c r="L4719"/>
      <c r="M4719" s="820"/>
      <c r="N4719" s="461" t="str">
        <f>N4699 &amp; ".3"</f>
        <v>4.0.3.4.1.3</v>
      </c>
      <c r="O4719" s="457" t="s">
        <v>85</v>
      </c>
      <c r="P4719" s="473" t="s">
        <v>216</v>
      </c>
      <c r="Q4719" s="258"/>
      <c r="R4719" s="259"/>
      <c r="S4719" s="259"/>
      <c r="T4719" s="260"/>
      <c r="U4719" s="252"/>
      <c r="V4719" s="252"/>
      <c r="W4719" s="465"/>
      <c r="X4719" s="258"/>
      <c r="Y4719" s="202"/>
      <c r="Z4719" s="48"/>
      <c r="AA4719" s="252"/>
      <c r="AB4719" s="252"/>
      <c r="AC4719" s="456"/>
      <c r="AF4719"/>
      <c r="AG4719"/>
    </row>
    <row r="4720" spans="1:33" s="47" customFormat="1">
      <c r="A4720"/>
      <c r="B4720"/>
      <c r="C4720"/>
      <c r="D4720"/>
      <c r="E4720"/>
      <c r="F4720"/>
      <c r="G4720"/>
      <c r="H4720"/>
      <c r="I4720"/>
      <c r="J4720"/>
      <c r="K4720"/>
      <c r="L4720"/>
      <c r="M4720" s="820"/>
      <c r="N4720" s="461" t="str">
        <f>N4699 &amp; ".4"</f>
        <v>4.0.3.4.1.4</v>
      </c>
      <c r="O4720" s="457" t="s">
        <v>87</v>
      </c>
      <c r="P4720" s="473" t="s">
        <v>216</v>
      </c>
      <c r="Q4720" s="258"/>
      <c r="R4720" s="259"/>
      <c r="S4720" s="259"/>
      <c r="T4720" s="260"/>
      <c r="U4720" s="252"/>
      <c r="V4720" s="252"/>
      <c r="W4720" s="465"/>
      <c r="X4720" s="258"/>
      <c r="Y4720" s="202"/>
      <c r="Z4720" s="48"/>
      <c r="AA4720" s="252"/>
      <c r="AB4720" s="252"/>
      <c r="AC4720" s="456"/>
      <c r="AF4720"/>
      <c r="AG4720"/>
    </row>
    <row r="4721" spans="1:33" s="47" customFormat="1">
      <c r="A4721"/>
      <c r="B4721"/>
      <c r="C4721"/>
      <c r="D4721"/>
      <c r="E4721"/>
      <c r="F4721"/>
      <c r="G4721"/>
      <c r="H4721"/>
      <c r="I4721"/>
      <c r="J4721"/>
      <c r="K4721"/>
      <c r="L4721"/>
      <c r="M4721" s="820"/>
      <c r="N4721" s="461" t="str">
        <f>N4699&amp;".5"</f>
        <v>4.0.3.4.1.5</v>
      </c>
      <c r="O4721" s="457" t="s">
        <v>89</v>
      </c>
      <c r="P4721" s="473" t="s">
        <v>216</v>
      </c>
      <c r="Q4721" s="258"/>
      <c r="R4721" s="259"/>
      <c r="S4721" s="259"/>
      <c r="T4721" s="260"/>
      <c r="U4721" s="252"/>
      <c r="V4721" s="252"/>
      <c r="W4721" s="465"/>
      <c r="X4721" s="258"/>
      <c r="Y4721" s="202"/>
      <c r="Z4721" s="48"/>
      <c r="AA4721" s="252"/>
      <c r="AB4721" s="252"/>
      <c r="AC4721" s="456"/>
      <c r="AF4721"/>
      <c r="AG4721"/>
    </row>
    <row r="4722" spans="1:33" s="47" customFormat="1">
      <c r="A4722"/>
      <c r="B4722"/>
      <c r="C4722"/>
      <c r="D4722"/>
      <c r="E4722"/>
      <c r="F4722"/>
      <c r="G4722"/>
      <c r="H4722"/>
      <c r="I4722"/>
      <c r="J4722"/>
      <c r="K4722"/>
      <c r="L4722"/>
      <c r="M4722" s="820"/>
      <c r="N4722" s="461" t="str">
        <f>N4699 &amp; ".6"</f>
        <v>4.0.3.4.1.6</v>
      </c>
      <c r="O4722" s="457" t="s">
        <v>91</v>
      </c>
      <c r="P4722" s="473" t="s">
        <v>216</v>
      </c>
      <c r="Q4722" s="258"/>
      <c r="R4722" s="259"/>
      <c r="S4722" s="259"/>
      <c r="T4722" s="260"/>
      <c r="U4722" s="252"/>
      <c r="V4722" s="252"/>
      <c r="W4722" s="465"/>
      <c r="X4722" s="258"/>
      <c r="Y4722" s="202"/>
      <c r="Z4722" s="48"/>
      <c r="AA4722" s="252"/>
      <c r="AB4722" s="252"/>
      <c r="AC4722" s="456"/>
      <c r="AF4722"/>
      <c r="AG4722"/>
    </row>
    <row r="4723" spans="1:33" s="47" customFormat="1">
      <c r="A4723"/>
      <c r="B4723"/>
      <c r="C4723"/>
      <c r="D4723"/>
      <c r="E4723"/>
      <c r="F4723"/>
      <c r="G4723"/>
      <c r="H4723"/>
      <c r="I4723"/>
      <c r="J4723"/>
      <c r="K4723"/>
      <c r="L4723"/>
      <c r="M4723" s="820"/>
      <c r="N4723" s="461" t="str">
        <f>N4699 &amp; ".7"</f>
        <v>4.0.3.4.1.7</v>
      </c>
      <c r="O4723" s="457" t="s">
        <v>93</v>
      </c>
      <c r="P4723" s="473" t="s">
        <v>216</v>
      </c>
      <c r="Q4723" s="258"/>
      <c r="R4723" s="259"/>
      <c r="S4723" s="259"/>
      <c r="T4723" s="260"/>
      <c r="U4723" s="252"/>
      <c r="V4723" s="252"/>
      <c r="W4723" s="465"/>
      <c r="X4723" s="258"/>
      <c r="Y4723" s="202"/>
      <c r="Z4723" s="48"/>
      <c r="AA4723" s="252"/>
      <c r="AB4723" s="252"/>
      <c r="AC4723" s="456"/>
      <c r="AF4723"/>
      <c r="AG4723"/>
    </row>
    <row r="4724" spans="1:33" s="47" customFormat="1">
      <c r="A4724"/>
      <c r="B4724"/>
      <c r="C4724"/>
      <c r="D4724"/>
      <c r="E4724"/>
      <c r="F4724"/>
      <c r="G4724"/>
      <c r="H4724"/>
      <c r="I4724"/>
      <c r="J4724"/>
      <c r="K4724"/>
      <c r="L4724"/>
      <c r="M4724" s="820"/>
      <c r="N4724" s="461" t="str">
        <f>N4699 &amp; ".8"</f>
        <v>4.0.3.4.1.8</v>
      </c>
      <c r="O4724" s="457" t="s">
        <v>95</v>
      </c>
      <c r="P4724" s="473" t="s">
        <v>216</v>
      </c>
      <c r="Q4724" s="258"/>
      <c r="R4724" s="259"/>
      <c r="S4724" s="259"/>
      <c r="T4724" s="260"/>
      <c r="U4724" s="252"/>
      <c r="V4724" s="252"/>
      <c r="W4724" s="465"/>
      <c r="X4724" s="258"/>
      <c r="Y4724" s="202"/>
      <c r="Z4724" s="48"/>
      <c r="AA4724" s="252"/>
      <c r="AB4724" s="252"/>
      <c r="AC4724" s="456"/>
      <c r="AF4724"/>
      <c r="AG4724"/>
    </row>
    <row r="4725" spans="1:33" s="47" customFormat="1">
      <c r="A4725"/>
      <c r="B4725"/>
      <c r="C4725"/>
      <c r="D4725"/>
      <c r="E4725"/>
      <c r="F4725"/>
      <c r="G4725"/>
      <c r="H4725"/>
      <c r="I4725"/>
      <c r="J4725"/>
      <c r="K4725"/>
      <c r="L4725"/>
      <c r="M4725" s="820"/>
      <c r="N4725" s="461" t="str">
        <f>N4699 &amp; ".9"</f>
        <v>4.0.3.4.1.9</v>
      </c>
      <c r="O4725" s="457" t="s">
        <v>2976</v>
      </c>
      <c r="P4725" s="473" t="s">
        <v>216</v>
      </c>
      <c r="Q4725" s="258"/>
      <c r="R4725" s="259"/>
      <c r="S4725" s="259"/>
      <c r="T4725" s="260"/>
      <c r="U4725" s="252"/>
      <c r="V4725" s="252"/>
      <c r="W4725" s="465"/>
      <c r="X4725" s="258"/>
      <c r="Y4725" s="202"/>
      <c r="Z4725" s="48"/>
      <c r="AA4725" s="252"/>
      <c r="AB4725" s="252"/>
      <c r="AC4725" s="456"/>
      <c r="AF4725"/>
      <c r="AG4725"/>
    </row>
    <row r="4726" spans="1:33" s="47" customFormat="1">
      <c r="A4726"/>
      <c r="B4726"/>
      <c r="C4726"/>
      <c r="D4726"/>
      <c r="E4726"/>
      <c r="F4726"/>
      <c r="G4726"/>
      <c r="H4726"/>
      <c r="I4726"/>
      <c r="J4726"/>
      <c r="K4726"/>
      <c r="L4726"/>
      <c r="M4726" s="820"/>
      <c r="N4726" s="461" t="str">
        <f>N4699 &amp; ".10"</f>
        <v>4.0.3.4.1.10</v>
      </c>
      <c r="O4726" s="457" t="s">
        <v>2978</v>
      </c>
      <c r="P4726" s="473" t="s">
        <v>216</v>
      </c>
      <c r="Q4726" s="258"/>
      <c r="R4726" s="259"/>
      <c r="S4726" s="259"/>
      <c r="T4726" s="260"/>
      <c r="U4726" s="252"/>
      <c r="V4726" s="252"/>
      <c r="W4726" s="465"/>
      <c r="X4726" s="258"/>
      <c r="Y4726" s="202"/>
      <c r="Z4726" s="48"/>
      <c r="AA4726" s="252"/>
      <c r="AB4726" s="252"/>
      <c r="AC4726" s="456"/>
      <c r="AF4726"/>
      <c r="AG4726"/>
    </row>
    <row r="4727" spans="1:33" s="47" customFormat="1">
      <c r="A4727"/>
      <c r="B4727"/>
      <c r="C4727"/>
      <c r="D4727"/>
      <c r="E4727"/>
      <c r="F4727"/>
      <c r="G4727"/>
      <c r="H4727"/>
      <c r="I4727"/>
      <c r="J4727"/>
      <c r="K4727"/>
      <c r="L4727"/>
      <c r="M4727" s="820"/>
      <c r="N4727" s="461" t="str">
        <f>N4699 &amp; ".11"</f>
        <v>4.0.3.4.1.11</v>
      </c>
      <c r="O4727" s="457" t="s">
        <v>2980</v>
      </c>
      <c r="P4727" s="473" t="s">
        <v>216</v>
      </c>
      <c r="Q4727" s="258"/>
      <c r="R4727" s="259"/>
      <c r="S4727" s="259"/>
      <c r="T4727" s="260"/>
      <c r="U4727" s="252"/>
      <c r="V4727" s="252"/>
      <c r="W4727" s="465"/>
      <c r="X4727" s="258"/>
      <c r="Y4727" s="202"/>
      <c r="Z4727" s="48"/>
      <c r="AA4727" s="252"/>
      <c r="AB4727" s="252"/>
      <c r="AC4727" s="456"/>
      <c r="AF4727"/>
      <c r="AG4727"/>
    </row>
    <row r="4728" spans="1:33" s="47" customFormat="1">
      <c r="A4728"/>
      <c r="B4728"/>
      <c r="C4728"/>
      <c r="D4728"/>
      <c r="E4728"/>
      <c r="F4728"/>
      <c r="G4728"/>
      <c r="H4728"/>
      <c r="I4728"/>
      <c r="J4728"/>
      <c r="K4728"/>
      <c r="L4728"/>
      <c r="M4728" s="820"/>
      <c r="N4728" s="461" t="str">
        <f>N4699 &amp; ".12"</f>
        <v>4.0.3.4.1.12</v>
      </c>
      <c r="O4728" s="457" t="s">
        <v>2982</v>
      </c>
      <c r="P4728" s="473" t="s">
        <v>216</v>
      </c>
      <c r="Q4728" s="258"/>
      <c r="R4728" s="259"/>
      <c r="S4728" s="259"/>
      <c r="T4728" s="260"/>
      <c r="U4728" s="252"/>
      <c r="V4728" s="252"/>
      <c r="W4728" s="465"/>
      <c r="X4728" s="258"/>
      <c r="Y4728" s="202"/>
      <c r="Z4728" s="48"/>
      <c r="AA4728" s="252"/>
      <c r="AB4728" s="252"/>
      <c r="AC4728" s="456"/>
      <c r="AF4728"/>
      <c r="AG4728"/>
    </row>
    <row r="4729" spans="1:33" s="47" customFormat="1" hidden="1">
      <c r="A4729"/>
      <c r="B4729"/>
      <c r="C4729"/>
      <c r="D4729"/>
      <c r="E4729"/>
      <c r="F4729"/>
      <c r="G4729"/>
      <c r="H4729"/>
      <c r="I4729"/>
      <c r="J4729"/>
      <c r="K4729"/>
      <c r="L4729"/>
      <c r="M4729" s="820"/>
      <c r="N4729" s="451"/>
      <c r="O4729" s="454"/>
      <c r="P4729" s="473"/>
      <c r="Q4729" s="258"/>
      <c r="R4729" s="259"/>
      <c r="S4729" s="259"/>
      <c r="T4729" s="260"/>
      <c r="U4729" s="252"/>
      <c r="V4729" s="252"/>
      <c r="W4729" s="456"/>
      <c r="X4729" s="258"/>
      <c r="Y4729" s="202"/>
      <c r="Z4729" s="48"/>
      <c r="AA4729" s="252"/>
      <c r="AB4729" s="252"/>
      <c r="AC4729" s="456"/>
      <c r="AF4729"/>
      <c r="AG4729"/>
    </row>
    <row r="4730" spans="1:33" s="47" customFormat="1" hidden="1">
      <c r="A4730"/>
      <c r="B4730"/>
      <c r="C4730"/>
      <c r="D4730"/>
      <c r="E4730"/>
      <c r="F4730"/>
      <c r="G4730"/>
      <c r="H4730"/>
      <c r="I4730"/>
      <c r="J4730"/>
      <c r="K4730"/>
      <c r="L4730"/>
      <c r="M4730" s="820"/>
      <c r="N4730" s="451"/>
      <c r="O4730" s="454"/>
      <c r="P4730" s="473"/>
      <c r="Q4730" s="258"/>
      <c r="R4730" s="259"/>
      <c r="S4730" s="259"/>
      <c r="T4730" s="260"/>
      <c r="U4730" s="252"/>
      <c r="V4730" s="252"/>
      <c r="W4730" s="456"/>
      <c r="X4730" s="258"/>
      <c r="Y4730" s="202"/>
      <c r="Z4730" s="48"/>
      <c r="AA4730" s="252"/>
      <c r="AB4730" s="252"/>
      <c r="AC4730" s="456"/>
      <c r="AF4730"/>
      <c r="AG4730"/>
    </row>
    <row r="4731" spans="1:33" s="47" customFormat="1">
      <c r="A4731"/>
      <c r="B4731"/>
      <c r="C4731"/>
      <c r="D4731"/>
      <c r="E4731"/>
      <c r="F4731"/>
      <c r="G4731"/>
      <c r="H4731"/>
      <c r="I4731"/>
      <c r="J4731"/>
      <c r="K4731"/>
      <c r="L4731"/>
      <c r="M4731" s="820"/>
      <c r="N4731" s="461" t="str">
        <f>N4699 &amp; ".15"</f>
        <v>4.0.3.4.1.15</v>
      </c>
      <c r="O4731" s="457" t="s">
        <v>291</v>
      </c>
      <c r="P4731" s="473" t="s">
        <v>216</v>
      </c>
      <c r="Q4731" s="258"/>
      <c r="R4731" s="259"/>
      <c r="S4731" s="259"/>
      <c r="T4731" s="260"/>
      <c r="U4731" s="252"/>
      <c r="V4731" s="252"/>
      <c r="W4731" s="465"/>
      <c r="X4731" s="258"/>
      <c r="Y4731" s="202"/>
      <c r="Z4731" s="48"/>
      <c r="AA4731" s="252"/>
      <c r="AB4731" s="252"/>
      <c r="AC4731" s="456"/>
      <c r="AF4731"/>
      <c r="AG4731"/>
    </row>
    <row r="4732" spans="1:33" s="47" customFormat="1" ht="22.5">
      <c r="A4732"/>
      <c r="B4732"/>
      <c r="C4732"/>
      <c r="D4732"/>
      <c r="E4732"/>
      <c r="F4732"/>
      <c r="G4732"/>
      <c r="H4732"/>
      <c r="I4732"/>
      <c r="J4732"/>
      <c r="K4732"/>
      <c r="L4732"/>
      <c r="M4732" s="820"/>
      <c r="N4732" s="449" t="s">
        <v>282</v>
      </c>
      <c r="O4732" s="450" t="s">
        <v>247</v>
      </c>
      <c r="P4732" s="473"/>
      <c r="Q4732" s="258"/>
      <c r="R4732" s="259"/>
      <c r="S4732" s="259"/>
      <c r="T4732" s="260"/>
      <c r="U4732" s="252"/>
      <c r="V4732" s="252"/>
      <c r="W4732" s="456"/>
      <c r="X4732" s="258"/>
      <c r="Y4732" s="202"/>
      <c r="Z4732" s="48"/>
      <c r="AA4732" s="252"/>
      <c r="AB4732" s="252"/>
      <c r="AC4732" s="456"/>
      <c r="AF4732"/>
      <c r="AG4732"/>
    </row>
    <row r="4733" spans="1:33" s="47" customFormat="1">
      <c r="A4733"/>
      <c r="B4733"/>
      <c r="C4733"/>
      <c r="D4733"/>
      <c r="E4733"/>
      <c r="F4733"/>
      <c r="G4733"/>
      <c r="H4733"/>
      <c r="I4733"/>
      <c r="J4733"/>
      <c r="K4733"/>
      <c r="L4733"/>
      <c r="M4733" s="820"/>
      <c r="N4733" s="461" t="str">
        <f>N4732 &amp; ".1"</f>
        <v>4.0.3.4.2.1</v>
      </c>
      <c r="O4733" s="453" t="s">
        <v>78</v>
      </c>
      <c r="P4733" s="473" t="s">
        <v>223</v>
      </c>
      <c r="Q4733" s="258"/>
      <c r="R4733" s="259"/>
      <c r="S4733" s="259"/>
      <c r="T4733" s="260"/>
      <c r="U4733" s="252"/>
      <c r="V4733" s="252"/>
      <c r="W4733" s="465"/>
      <c r="X4733" s="258"/>
      <c r="Y4733" s="202"/>
      <c r="Z4733" s="48"/>
      <c r="AA4733" s="252"/>
      <c r="AB4733" s="252"/>
      <c r="AC4733" s="456"/>
      <c r="AF4733"/>
      <c r="AG4733"/>
    </row>
    <row r="4734" spans="1:33" s="47" customFormat="1" hidden="1">
      <c r="A4734"/>
      <c r="B4734"/>
      <c r="C4734"/>
      <c r="D4734"/>
      <c r="E4734"/>
      <c r="F4734"/>
      <c r="G4734"/>
      <c r="H4734"/>
      <c r="I4734"/>
      <c r="J4734"/>
      <c r="K4734"/>
      <c r="L4734"/>
      <c r="M4734" s="820"/>
      <c r="N4734" s="461"/>
      <c r="O4734" s="454"/>
      <c r="P4734" s="473"/>
      <c r="Q4734" s="258"/>
      <c r="R4734" s="259"/>
      <c r="S4734" s="259"/>
      <c r="T4734" s="260"/>
      <c r="U4734" s="252"/>
      <c r="V4734" s="252"/>
      <c r="W4734" s="456"/>
      <c r="X4734" s="258"/>
      <c r="Y4734" s="202"/>
      <c r="Z4734" s="48"/>
      <c r="AA4734" s="252"/>
      <c r="AB4734" s="252"/>
      <c r="AC4734" s="456"/>
      <c r="AF4734"/>
      <c r="AG4734"/>
    </row>
    <row r="4735" spans="1:33" s="47" customFormat="1" hidden="1">
      <c r="A4735"/>
      <c r="B4735"/>
      <c r="C4735"/>
      <c r="D4735"/>
      <c r="E4735"/>
      <c r="F4735"/>
      <c r="G4735"/>
      <c r="H4735"/>
      <c r="I4735"/>
      <c r="J4735"/>
      <c r="K4735"/>
      <c r="L4735"/>
      <c r="M4735" s="820"/>
      <c r="N4735" s="461"/>
      <c r="O4735" s="454"/>
      <c r="P4735" s="473"/>
      <c r="Q4735" s="258"/>
      <c r="R4735" s="259"/>
      <c r="S4735" s="259"/>
      <c r="T4735" s="260"/>
      <c r="U4735" s="252"/>
      <c r="V4735" s="252"/>
      <c r="W4735" s="456"/>
      <c r="X4735" s="258"/>
      <c r="Y4735" s="202"/>
      <c r="Z4735" s="48"/>
      <c r="AA4735" s="252"/>
      <c r="AB4735" s="252"/>
      <c r="AC4735" s="456"/>
      <c r="AF4735"/>
      <c r="AG4735"/>
    </row>
    <row r="4736" spans="1:33" s="47" customFormat="1" hidden="1">
      <c r="A4736"/>
      <c r="B4736"/>
      <c r="C4736"/>
      <c r="D4736"/>
      <c r="E4736"/>
      <c r="F4736"/>
      <c r="G4736"/>
      <c r="H4736"/>
      <c r="I4736"/>
      <c r="J4736"/>
      <c r="K4736"/>
      <c r="L4736"/>
      <c r="M4736" s="820"/>
      <c r="N4736" s="451"/>
      <c r="O4736" s="454"/>
      <c r="P4736" s="473"/>
      <c r="Q4736" s="258"/>
      <c r="R4736" s="259"/>
      <c r="S4736" s="259"/>
      <c r="T4736" s="260"/>
      <c r="U4736" s="252"/>
      <c r="V4736" s="252"/>
      <c r="W4736" s="456"/>
      <c r="X4736" s="258"/>
      <c r="Y4736" s="202"/>
      <c r="Z4736" s="48"/>
      <c r="AA4736" s="252"/>
      <c r="AB4736" s="252"/>
      <c r="AC4736" s="456"/>
      <c r="AF4736"/>
      <c r="AG4736"/>
    </row>
    <row r="4737" spans="1:33" s="47" customFormat="1" hidden="1">
      <c r="A4737"/>
      <c r="B4737"/>
      <c r="C4737"/>
      <c r="D4737"/>
      <c r="E4737"/>
      <c r="F4737"/>
      <c r="G4737"/>
      <c r="H4737"/>
      <c r="I4737"/>
      <c r="J4737"/>
      <c r="K4737"/>
      <c r="L4737"/>
      <c r="M4737" s="820"/>
      <c r="N4737" s="451"/>
      <c r="O4737" s="454"/>
      <c r="P4737" s="473"/>
      <c r="Q4737" s="258"/>
      <c r="R4737" s="259"/>
      <c r="S4737" s="259"/>
      <c r="T4737" s="260"/>
      <c r="U4737" s="252"/>
      <c r="V4737" s="252"/>
      <c r="W4737" s="456"/>
      <c r="X4737" s="258"/>
      <c r="Y4737" s="202"/>
      <c r="Z4737" s="48"/>
      <c r="AA4737" s="252"/>
      <c r="AB4737" s="252"/>
      <c r="AC4737" s="456"/>
      <c r="AF4737"/>
      <c r="AG4737"/>
    </row>
    <row r="4738" spans="1:33" s="47" customFormat="1" hidden="1">
      <c r="A4738"/>
      <c r="B4738"/>
      <c r="C4738"/>
      <c r="D4738"/>
      <c r="E4738"/>
      <c r="F4738"/>
      <c r="G4738"/>
      <c r="H4738"/>
      <c r="I4738"/>
      <c r="J4738"/>
      <c r="K4738"/>
      <c r="L4738"/>
      <c r="M4738" s="820"/>
      <c r="N4738" s="451"/>
      <c r="O4738" s="454"/>
      <c r="P4738" s="473"/>
      <c r="Q4738" s="258"/>
      <c r="R4738" s="259"/>
      <c r="S4738" s="259"/>
      <c r="T4738" s="260"/>
      <c r="U4738" s="252"/>
      <c r="V4738" s="252"/>
      <c r="W4738" s="456"/>
      <c r="X4738" s="258"/>
      <c r="Y4738" s="202"/>
      <c r="Z4738" s="48"/>
      <c r="AA4738" s="252"/>
      <c r="AB4738" s="252"/>
      <c r="AC4738" s="456"/>
      <c r="AF4738"/>
      <c r="AG4738"/>
    </row>
    <row r="4739" spans="1:33" s="47" customFormat="1" hidden="1">
      <c r="A4739"/>
      <c r="B4739"/>
      <c r="C4739"/>
      <c r="D4739"/>
      <c r="E4739"/>
      <c r="F4739"/>
      <c r="G4739"/>
      <c r="H4739"/>
      <c r="I4739"/>
      <c r="J4739"/>
      <c r="K4739"/>
      <c r="L4739"/>
      <c r="M4739" s="820"/>
      <c r="N4739" s="451"/>
      <c r="O4739" s="454"/>
      <c r="P4739" s="473"/>
      <c r="Q4739" s="258"/>
      <c r="R4739" s="259"/>
      <c r="S4739" s="259"/>
      <c r="T4739" s="260"/>
      <c r="U4739" s="252"/>
      <c r="V4739" s="252"/>
      <c r="W4739" s="456"/>
      <c r="X4739" s="258"/>
      <c r="Y4739" s="202"/>
      <c r="Z4739" s="48"/>
      <c r="AA4739" s="252"/>
      <c r="AB4739" s="252"/>
      <c r="AC4739" s="456"/>
      <c r="AF4739"/>
      <c r="AG4739"/>
    </row>
    <row r="4740" spans="1:33" s="47" customFormat="1" hidden="1">
      <c r="A4740"/>
      <c r="B4740"/>
      <c r="C4740"/>
      <c r="D4740"/>
      <c r="E4740"/>
      <c r="F4740"/>
      <c r="G4740"/>
      <c r="H4740"/>
      <c r="I4740"/>
      <c r="J4740"/>
      <c r="K4740"/>
      <c r="L4740"/>
      <c r="M4740" s="820"/>
      <c r="N4740" s="451"/>
      <c r="O4740" s="454"/>
      <c r="P4740" s="473"/>
      <c r="Q4740" s="258"/>
      <c r="R4740" s="259"/>
      <c r="S4740" s="259"/>
      <c r="T4740" s="260"/>
      <c r="U4740" s="252"/>
      <c r="V4740" s="252"/>
      <c r="W4740" s="456"/>
      <c r="X4740" s="258"/>
      <c r="Y4740" s="202"/>
      <c r="Z4740" s="48"/>
      <c r="AA4740" s="252"/>
      <c r="AB4740" s="252"/>
      <c r="AC4740" s="456"/>
      <c r="AF4740"/>
      <c r="AG4740"/>
    </row>
    <row r="4741" spans="1:33" s="47" customFormat="1" hidden="1">
      <c r="A4741"/>
      <c r="B4741"/>
      <c r="C4741"/>
      <c r="D4741"/>
      <c r="E4741"/>
      <c r="F4741"/>
      <c r="G4741"/>
      <c r="H4741"/>
      <c r="I4741"/>
      <c r="J4741"/>
      <c r="K4741"/>
      <c r="L4741"/>
      <c r="M4741" s="820"/>
      <c r="N4741" s="451"/>
      <c r="O4741" s="454"/>
      <c r="P4741" s="473"/>
      <c r="Q4741" s="258"/>
      <c r="R4741" s="259"/>
      <c r="S4741" s="259"/>
      <c r="T4741" s="260"/>
      <c r="U4741" s="252"/>
      <c r="V4741" s="252"/>
      <c r="W4741" s="456"/>
      <c r="X4741" s="258"/>
      <c r="Y4741" s="202"/>
      <c r="Z4741" s="48"/>
      <c r="AA4741" s="252"/>
      <c r="AB4741" s="252"/>
      <c r="AC4741" s="456"/>
      <c r="AF4741"/>
      <c r="AG4741"/>
    </row>
    <row r="4742" spans="1:33" s="47" customFormat="1" hidden="1">
      <c r="A4742"/>
      <c r="B4742"/>
      <c r="C4742"/>
      <c r="D4742"/>
      <c r="E4742"/>
      <c r="F4742"/>
      <c r="G4742"/>
      <c r="H4742"/>
      <c r="I4742"/>
      <c r="J4742"/>
      <c r="K4742"/>
      <c r="L4742"/>
      <c r="M4742" s="820"/>
      <c r="N4742" s="451"/>
      <c r="O4742" s="454"/>
      <c r="P4742" s="473"/>
      <c r="Q4742" s="258"/>
      <c r="R4742" s="259"/>
      <c r="S4742" s="259"/>
      <c r="T4742" s="260"/>
      <c r="U4742" s="252"/>
      <c r="V4742" s="252"/>
      <c r="W4742" s="456"/>
      <c r="X4742" s="258"/>
      <c r="Y4742" s="202"/>
      <c r="Z4742" s="48"/>
      <c r="AA4742" s="252"/>
      <c r="AB4742" s="252"/>
      <c r="AC4742" s="456"/>
      <c r="AF4742"/>
      <c r="AG4742"/>
    </row>
    <row r="4743" spans="1:33" s="47" customFormat="1" hidden="1">
      <c r="A4743"/>
      <c r="B4743"/>
      <c r="C4743"/>
      <c r="D4743"/>
      <c r="E4743"/>
      <c r="F4743"/>
      <c r="G4743"/>
      <c r="H4743"/>
      <c r="I4743"/>
      <c r="J4743"/>
      <c r="K4743"/>
      <c r="L4743"/>
      <c r="M4743" s="820"/>
      <c r="N4743" s="461"/>
      <c r="O4743" s="454"/>
      <c r="P4743" s="473"/>
      <c r="Q4743" s="258"/>
      <c r="R4743" s="259"/>
      <c r="S4743" s="259"/>
      <c r="T4743" s="260"/>
      <c r="U4743" s="252"/>
      <c r="V4743" s="252"/>
      <c r="W4743" s="456"/>
      <c r="X4743" s="258"/>
      <c r="Y4743" s="202"/>
      <c r="Z4743" s="48"/>
      <c r="AA4743" s="252"/>
      <c r="AB4743" s="252"/>
      <c r="AC4743" s="456"/>
      <c r="AF4743"/>
      <c r="AG4743"/>
    </row>
    <row r="4744" spans="1:33" s="47" customFormat="1" hidden="1">
      <c r="A4744"/>
      <c r="B4744"/>
      <c r="C4744"/>
      <c r="D4744"/>
      <c r="E4744"/>
      <c r="F4744"/>
      <c r="G4744"/>
      <c r="H4744"/>
      <c r="I4744"/>
      <c r="J4744"/>
      <c r="K4744"/>
      <c r="L4744"/>
      <c r="M4744" s="820"/>
      <c r="N4744" s="451"/>
      <c r="O4744" s="454"/>
      <c r="P4744" s="473"/>
      <c r="Q4744" s="258"/>
      <c r="R4744" s="259"/>
      <c r="S4744" s="259"/>
      <c r="T4744" s="260"/>
      <c r="U4744" s="252"/>
      <c r="V4744" s="252"/>
      <c r="W4744" s="456"/>
      <c r="X4744" s="258"/>
      <c r="Y4744" s="202"/>
      <c r="Z4744" s="48"/>
      <c r="AA4744" s="252"/>
      <c r="AB4744" s="252"/>
      <c r="AC4744" s="456"/>
      <c r="AF4744"/>
      <c r="AG4744"/>
    </row>
    <row r="4745" spans="1:33" s="47" customFormat="1" hidden="1">
      <c r="A4745"/>
      <c r="B4745"/>
      <c r="C4745"/>
      <c r="D4745"/>
      <c r="E4745"/>
      <c r="F4745"/>
      <c r="G4745"/>
      <c r="H4745"/>
      <c r="I4745"/>
      <c r="J4745"/>
      <c r="K4745"/>
      <c r="L4745"/>
      <c r="M4745" s="820"/>
      <c r="N4745" s="451"/>
      <c r="O4745" s="454"/>
      <c r="P4745" s="473"/>
      <c r="Q4745" s="258"/>
      <c r="R4745" s="259"/>
      <c r="S4745" s="259"/>
      <c r="T4745" s="260"/>
      <c r="U4745" s="252"/>
      <c r="V4745" s="252"/>
      <c r="W4745" s="456"/>
      <c r="X4745" s="258"/>
      <c r="Y4745" s="202"/>
      <c r="Z4745" s="48"/>
      <c r="AA4745" s="252"/>
      <c r="AB4745" s="252"/>
      <c r="AC4745" s="456"/>
      <c r="AF4745"/>
      <c r="AG4745"/>
    </row>
    <row r="4746" spans="1:33" s="47" customFormat="1" hidden="1">
      <c r="A4746"/>
      <c r="B4746"/>
      <c r="C4746"/>
      <c r="D4746"/>
      <c r="E4746"/>
      <c r="F4746"/>
      <c r="G4746"/>
      <c r="H4746"/>
      <c r="I4746"/>
      <c r="J4746"/>
      <c r="K4746"/>
      <c r="L4746"/>
      <c r="M4746" s="820"/>
      <c r="N4746" s="451"/>
      <c r="O4746" s="454"/>
      <c r="P4746" s="473"/>
      <c r="Q4746" s="258"/>
      <c r="R4746" s="259"/>
      <c r="S4746" s="259"/>
      <c r="T4746" s="260"/>
      <c r="U4746" s="252"/>
      <c r="V4746" s="252"/>
      <c r="W4746" s="456"/>
      <c r="X4746" s="258"/>
      <c r="Y4746" s="202"/>
      <c r="Z4746" s="48"/>
      <c r="AA4746" s="252"/>
      <c r="AB4746" s="252"/>
      <c r="AC4746" s="456"/>
      <c r="AF4746"/>
      <c r="AG4746"/>
    </row>
    <row r="4747" spans="1:33" s="47" customFormat="1" hidden="1">
      <c r="A4747"/>
      <c r="B4747"/>
      <c r="C4747"/>
      <c r="D4747"/>
      <c r="E4747"/>
      <c r="F4747"/>
      <c r="G4747"/>
      <c r="H4747"/>
      <c r="I4747"/>
      <c r="J4747"/>
      <c r="K4747"/>
      <c r="L4747"/>
      <c r="M4747" s="820"/>
      <c r="N4747" s="451"/>
      <c r="O4747" s="454"/>
      <c r="P4747" s="473"/>
      <c r="Q4747" s="258"/>
      <c r="R4747" s="259"/>
      <c r="S4747" s="259"/>
      <c r="T4747" s="260"/>
      <c r="U4747" s="252"/>
      <c r="V4747" s="252"/>
      <c r="W4747" s="456"/>
      <c r="X4747" s="258"/>
      <c r="Y4747" s="202"/>
      <c r="Z4747" s="48"/>
      <c r="AA4747" s="252"/>
      <c r="AB4747" s="252"/>
      <c r="AC4747" s="456"/>
      <c r="AF4747"/>
      <c r="AG4747"/>
    </row>
    <row r="4748" spans="1:33" s="47" customFormat="1" hidden="1">
      <c r="A4748"/>
      <c r="B4748"/>
      <c r="C4748"/>
      <c r="D4748"/>
      <c r="E4748"/>
      <c r="F4748"/>
      <c r="G4748"/>
      <c r="H4748"/>
      <c r="I4748"/>
      <c r="J4748"/>
      <c r="K4748"/>
      <c r="L4748"/>
      <c r="M4748" s="820"/>
      <c r="N4748" s="451"/>
      <c r="O4748" s="454"/>
      <c r="P4748" s="473"/>
      <c r="Q4748" s="258"/>
      <c r="R4748" s="259"/>
      <c r="S4748" s="259"/>
      <c r="T4748" s="260"/>
      <c r="U4748" s="252"/>
      <c r="V4748" s="252"/>
      <c r="W4748" s="456"/>
      <c r="X4748" s="258"/>
      <c r="Y4748" s="202"/>
      <c r="Z4748" s="48"/>
      <c r="AA4748" s="252"/>
      <c r="AB4748" s="252"/>
      <c r="AC4748" s="456"/>
      <c r="AF4748"/>
      <c r="AG4748"/>
    </row>
    <row r="4749" spans="1:33" s="47" customFormat="1" hidden="1">
      <c r="A4749"/>
      <c r="B4749"/>
      <c r="C4749"/>
      <c r="D4749"/>
      <c r="E4749"/>
      <c r="F4749"/>
      <c r="G4749"/>
      <c r="H4749"/>
      <c r="I4749"/>
      <c r="J4749"/>
      <c r="K4749"/>
      <c r="L4749"/>
      <c r="M4749" s="820"/>
      <c r="N4749" s="451"/>
      <c r="O4749" s="455"/>
      <c r="P4749" s="473"/>
      <c r="Q4749" s="258"/>
      <c r="R4749" s="259"/>
      <c r="S4749" s="259"/>
      <c r="T4749" s="260"/>
      <c r="U4749" s="252"/>
      <c r="V4749" s="252"/>
      <c r="W4749" s="456"/>
      <c r="X4749" s="258"/>
      <c r="Y4749" s="202"/>
      <c r="Z4749" s="48"/>
      <c r="AA4749" s="252"/>
      <c r="AB4749" s="252"/>
      <c r="AC4749" s="456"/>
      <c r="AF4749"/>
      <c r="AG4749"/>
    </row>
    <row r="4750" spans="1:33" s="47" customFormat="1" hidden="1">
      <c r="A4750"/>
      <c r="B4750"/>
      <c r="C4750"/>
      <c r="D4750"/>
      <c r="E4750"/>
      <c r="F4750"/>
      <c r="G4750"/>
      <c r="H4750"/>
      <c r="I4750"/>
      <c r="J4750"/>
      <c r="K4750"/>
      <c r="L4750"/>
      <c r="M4750" s="820"/>
      <c r="N4750" s="451"/>
      <c r="O4750" s="455"/>
      <c r="P4750" s="473"/>
      <c r="Q4750" s="258"/>
      <c r="R4750" s="259"/>
      <c r="S4750" s="259"/>
      <c r="T4750" s="260"/>
      <c r="U4750" s="252"/>
      <c r="V4750" s="252"/>
      <c r="W4750" s="456"/>
      <c r="X4750" s="258"/>
      <c r="Y4750" s="202"/>
      <c r="Z4750" s="48"/>
      <c r="AA4750" s="252"/>
      <c r="AB4750" s="252"/>
      <c r="AC4750" s="456"/>
      <c r="AF4750"/>
      <c r="AG4750"/>
    </row>
    <row r="4751" spans="1:33" s="47" customFormat="1" hidden="1">
      <c r="A4751"/>
      <c r="B4751"/>
      <c r="C4751"/>
      <c r="D4751"/>
      <c r="E4751"/>
      <c r="F4751"/>
      <c r="G4751"/>
      <c r="H4751"/>
      <c r="I4751"/>
      <c r="J4751"/>
      <c r="K4751"/>
      <c r="L4751"/>
      <c r="M4751" s="820"/>
      <c r="N4751" s="461"/>
      <c r="O4751" s="455"/>
      <c r="P4751" s="473"/>
      <c r="Q4751" s="258"/>
      <c r="R4751" s="259"/>
      <c r="S4751" s="259"/>
      <c r="T4751" s="260"/>
      <c r="U4751" s="252"/>
      <c r="V4751" s="252"/>
      <c r="W4751" s="456"/>
      <c r="X4751" s="258"/>
      <c r="Y4751" s="202"/>
      <c r="Z4751" s="48"/>
      <c r="AA4751" s="252"/>
      <c r="AB4751" s="252"/>
      <c r="AC4751" s="456"/>
      <c r="AF4751"/>
      <c r="AG4751"/>
    </row>
    <row r="4752" spans="1:33" s="47" customFormat="1">
      <c r="A4752"/>
      <c r="B4752"/>
      <c r="C4752"/>
      <c r="D4752"/>
      <c r="E4752"/>
      <c r="F4752"/>
      <c r="G4752"/>
      <c r="H4752"/>
      <c r="I4752"/>
      <c r="J4752"/>
      <c r="K4752"/>
      <c r="L4752"/>
      <c r="M4752" s="820"/>
      <c r="N4752" s="461" t="str">
        <f>N4732 &amp; ".3"</f>
        <v>4.0.3.4.2.3</v>
      </c>
      <c r="O4752" s="457" t="s">
        <v>85</v>
      </c>
      <c r="P4752" s="473" t="s">
        <v>223</v>
      </c>
      <c r="Q4752" s="258"/>
      <c r="R4752" s="259"/>
      <c r="S4752" s="259"/>
      <c r="T4752" s="260"/>
      <c r="U4752" s="252"/>
      <c r="V4752" s="252"/>
      <c r="W4752" s="465"/>
      <c r="X4752" s="258"/>
      <c r="Y4752" s="202"/>
      <c r="Z4752" s="48"/>
      <c r="AA4752" s="252"/>
      <c r="AB4752" s="252"/>
      <c r="AC4752" s="456"/>
      <c r="AF4752"/>
      <c r="AG4752"/>
    </row>
    <row r="4753" spans="1:33" s="47" customFormat="1">
      <c r="A4753"/>
      <c r="B4753"/>
      <c r="C4753"/>
      <c r="D4753"/>
      <c r="E4753"/>
      <c r="F4753"/>
      <c r="G4753"/>
      <c r="H4753"/>
      <c r="I4753"/>
      <c r="J4753"/>
      <c r="K4753"/>
      <c r="L4753"/>
      <c r="M4753" s="820"/>
      <c r="N4753" s="461" t="str">
        <f>N4732 &amp; ".4"</f>
        <v>4.0.3.4.2.4</v>
      </c>
      <c r="O4753" s="457" t="s">
        <v>87</v>
      </c>
      <c r="P4753" s="473" t="s">
        <v>223</v>
      </c>
      <c r="Q4753" s="258"/>
      <c r="R4753" s="259"/>
      <c r="S4753" s="259"/>
      <c r="T4753" s="260"/>
      <c r="U4753" s="252"/>
      <c r="V4753" s="252"/>
      <c r="W4753" s="465"/>
      <c r="X4753" s="258"/>
      <c r="Y4753" s="202"/>
      <c r="Z4753" s="48"/>
      <c r="AA4753" s="252"/>
      <c r="AB4753" s="252"/>
      <c r="AC4753" s="456"/>
      <c r="AF4753"/>
      <c r="AG4753"/>
    </row>
    <row r="4754" spans="1:33" s="47" customFormat="1">
      <c r="A4754"/>
      <c r="B4754"/>
      <c r="C4754"/>
      <c r="D4754"/>
      <c r="E4754"/>
      <c r="F4754"/>
      <c r="G4754"/>
      <c r="H4754"/>
      <c r="I4754"/>
      <c r="J4754"/>
      <c r="K4754"/>
      <c r="L4754"/>
      <c r="M4754" s="820"/>
      <c r="N4754" s="461" t="str">
        <f>N4732&amp;".5"</f>
        <v>4.0.3.4.2.5</v>
      </c>
      <c r="O4754" s="457" t="s">
        <v>89</v>
      </c>
      <c r="P4754" s="473" t="s">
        <v>223</v>
      </c>
      <c r="Q4754" s="258"/>
      <c r="R4754" s="259"/>
      <c r="S4754" s="259"/>
      <c r="T4754" s="260"/>
      <c r="U4754" s="252"/>
      <c r="V4754" s="252"/>
      <c r="W4754" s="465"/>
      <c r="X4754" s="258"/>
      <c r="Y4754" s="202"/>
      <c r="Z4754" s="48"/>
      <c r="AA4754" s="252"/>
      <c r="AB4754" s="252"/>
      <c r="AC4754" s="456"/>
      <c r="AF4754"/>
      <c r="AG4754"/>
    </row>
    <row r="4755" spans="1:33" s="47" customFormat="1">
      <c r="A4755"/>
      <c r="B4755"/>
      <c r="C4755"/>
      <c r="D4755"/>
      <c r="E4755"/>
      <c r="F4755"/>
      <c r="G4755"/>
      <c r="H4755"/>
      <c r="I4755"/>
      <c r="J4755"/>
      <c r="K4755"/>
      <c r="L4755"/>
      <c r="M4755" s="820"/>
      <c r="N4755" s="461" t="str">
        <f>N4732 &amp; ".6"</f>
        <v>4.0.3.4.2.6</v>
      </c>
      <c r="O4755" s="457" t="s">
        <v>91</v>
      </c>
      <c r="P4755" s="473" t="s">
        <v>223</v>
      </c>
      <c r="Q4755" s="258"/>
      <c r="R4755" s="259"/>
      <c r="S4755" s="259"/>
      <c r="T4755" s="260"/>
      <c r="U4755" s="252"/>
      <c r="V4755" s="252"/>
      <c r="W4755" s="465"/>
      <c r="X4755" s="258"/>
      <c r="Y4755" s="202"/>
      <c r="Z4755" s="48"/>
      <c r="AA4755" s="252"/>
      <c r="AB4755" s="252"/>
      <c r="AC4755" s="456"/>
      <c r="AF4755"/>
      <c r="AG4755"/>
    </row>
    <row r="4756" spans="1:33" s="47" customFormat="1">
      <c r="A4756"/>
      <c r="B4756"/>
      <c r="C4756"/>
      <c r="D4756"/>
      <c r="E4756"/>
      <c r="F4756"/>
      <c r="G4756"/>
      <c r="H4756"/>
      <c r="I4756"/>
      <c r="J4756"/>
      <c r="K4756"/>
      <c r="L4756"/>
      <c r="M4756" s="820"/>
      <c r="N4756" s="461" t="str">
        <f>N4732 &amp; ".7"</f>
        <v>4.0.3.4.2.7</v>
      </c>
      <c r="O4756" s="457" t="s">
        <v>93</v>
      </c>
      <c r="P4756" s="473" t="s">
        <v>223</v>
      </c>
      <c r="Q4756" s="258"/>
      <c r="R4756" s="259"/>
      <c r="S4756" s="259"/>
      <c r="T4756" s="260"/>
      <c r="U4756" s="252"/>
      <c r="V4756" s="252"/>
      <c r="W4756" s="465"/>
      <c r="X4756" s="258"/>
      <c r="Y4756" s="202"/>
      <c r="Z4756" s="48"/>
      <c r="AA4756" s="252"/>
      <c r="AB4756" s="252"/>
      <c r="AC4756" s="456"/>
      <c r="AF4756"/>
      <c r="AG4756"/>
    </row>
    <row r="4757" spans="1:33" s="47" customFormat="1">
      <c r="A4757"/>
      <c r="B4757"/>
      <c r="C4757"/>
      <c r="D4757"/>
      <c r="E4757"/>
      <c r="F4757"/>
      <c r="G4757"/>
      <c r="H4757"/>
      <c r="I4757"/>
      <c r="J4757"/>
      <c r="K4757"/>
      <c r="L4757"/>
      <c r="M4757" s="820"/>
      <c r="N4757" s="461" t="str">
        <f>N4732 &amp; ".8"</f>
        <v>4.0.3.4.2.8</v>
      </c>
      <c r="O4757" s="457" t="s">
        <v>95</v>
      </c>
      <c r="P4757" s="473" t="s">
        <v>223</v>
      </c>
      <c r="Q4757" s="258"/>
      <c r="R4757" s="259"/>
      <c r="S4757" s="259"/>
      <c r="T4757" s="260"/>
      <c r="U4757" s="252"/>
      <c r="V4757" s="252"/>
      <c r="W4757" s="465"/>
      <c r="X4757" s="258"/>
      <c r="Y4757" s="202"/>
      <c r="Z4757" s="48"/>
      <c r="AA4757" s="252"/>
      <c r="AB4757" s="252"/>
      <c r="AC4757" s="456"/>
      <c r="AF4757"/>
      <c r="AG4757"/>
    </row>
    <row r="4758" spans="1:33" s="47" customFormat="1">
      <c r="A4758"/>
      <c r="B4758"/>
      <c r="C4758"/>
      <c r="D4758"/>
      <c r="E4758"/>
      <c r="F4758"/>
      <c r="G4758"/>
      <c r="H4758"/>
      <c r="I4758"/>
      <c r="J4758"/>
      <c r="K4758"/>
      <c r="L4758"/>
      <c r="M4758" s="820"/>
      <c r="N4758" s="461" t="str">
        <f>N4732 &amp; ".9"</f>
        <v>4.0.3.4.2.9</v>
      </c>
      <c r="O4758" s="457" t="s">
        <v>2976</v>
      </c>
      <c r="P4758" s="473" t="s">
        <v>223</v>
      </c>
      <c r="Q4758" s="258"/>
      <c r="R4758" s="259"/>
      <c r="S4758" s="259"/>
      <c r="T4758" s="260"/>
      <c r="U4758" s="252"/>
      <c r="V4758" s="252"/>
      <c r="W4758" s="465"/>
      <c r="X4758" s="258"/>
      <c r="Y4758" s="202"/>
      <c r="Z4758" s="48"/>
      <c r="AA4758" s="252"/>
      <c r="AB4758" s="252"/>
      <c r="AC4758" s="456"/>
      <c r="AF4758"/>
      <c r="AG4758"/>
    </row>
    <row r="4759" spans="1:33" s="47" customFormat="1">
      <c r="A4759"/>
      <c r="B4759"/>
      <c r="C4759"/>
      <c r="D4759"/>
      <c r="E4759"/>
      <c r="F4759"/>
      <c r="G4759"/>
      <c r="H4759"/>
      <c r="I4759"/>
      <c r="J4759"/>
      <c r="K4759"/>
      <c r="L4759"/>
      <c r="M4759" s="820"/>
      <c r="N4759" s="461" t="str">
        <f>N4732 &amp; ".10"</f>
        <v>4.0.3.4.2.10</v>
      </c>
      <c r="O4759" s="457" t="s">
        <v>2978</v>
      </c>
      <c r="P4759" s="473" t="s">
        <v>223</v>
      </c>
      <c r="Q4759" s="258"/>
      <c r="R4759" s="259"/>
      <c r="S4759" s="259"/>
      <c r="T4759" s="260"/>
      <c r="U4759" s="252"/>
      <c r="V4759" s="252"/>
      <c r="W4759" s="465"/>
      <c r="X4759" s="258"/>
      <c r="Y4759" s="202"/>
      <c r="Z4759" s="48"/>
      <c r="AA4759" s="252"/>
      <c r="AB4759" s="252"/>
      <c r="AC4759" s="456"/>
      <c r="AF4759"/>
      <c r="AG4759"/>
    </row>
    <row r="4760" spans="1:33" s="47" customFormat="1">
      <c r="A4760"/>
      <c r="B4760"/>
      <c r="C4760"/>
      <c r="D4760"/>
      <c r="E4760"/>
      <c r="F4760"/>
      <c r="G4760"/>
      <c r="H4760"/>
      <c r="I4760"/>
      <c r="J4760"/>
      <c r="K4760"/>
      <c r="L4760"/>
      <c r="M4760" s="820"/>
      <c r="N4760" s="461" t="str">
        <f>N4732 &amp; ".11"</f>
        <v>4.0.3.4.2.11</v>
      </c>
      <c r="O4760" s="457" t="s">
        <v>2980</v>
      </c>
      <c r="P4760" s="473" t="s">
        <v>223</v>
      </c>
      <c r="Q4760" s="258"/>
      <c r="R4760" s="259"/>
      <c r="S4760" s="259"/>
      <c r="T4760" s="260"/>
      <c r="U4760" s="252"/>
      <c r="V4760" s="252"/>
      <c r="W4760" s="465"/>
      <c r="X4760" s="258"/>
      <c r="Y4760" s="202"/>
      <c r="Z4760" s="48"/>
      <c r="AA4760" s="252"/>
      <c r="AB4760" s="252"/>
      <c r="AC4760" s="456"/>
      <c r="AF4760"/>
      <c r="AG4760"/>
    </row>
    <row r="4761" spans="1:33" s="47" customFormat="1">
      <c r="A4761"/>
      <c r="B4761"/>
      <c r="C4761"/>
      <c r="D4761"/>
      <c r="E4761"/>
      <c r="F4761"/>
      <c r="G4761"/>
      <c r="H4761"/>
      <c r="I4761"/>
      <c r="J4761"/>
      <c r="K4761"/>
      <c r="L4761"/>
      <c r="M4761" s="820"/>
      <c r="N4761" s="461" t="str">
        <f>N4732 &amp; ".12"</f>
        <v>4.0.3.4.2.12</v>
      </c>
      <c r="O4761" s="457" t="s">
        <v>2982</v>
      </c>
      <c r="P4761" s="473" t="s">
        <v>223</v>
      </c>
      <c r="Q4761" s="258"/>
      <c r="R4761" s="259"/>
      <c r="S4761" s="259"/>
      <c r="T4761" s="260"/>
      <c r="U4761" s="252"/>
      <c r="V4761" s="252"/>
      <c r="W4761" s="465"/>
      <c r="X4761" s="258"/>
      <c r="Y4761" s="202"/>
      <c r="Z4761" s="48"/>
      <c r="AA4761" s="252"/>
      <c r="AB4761" s="252"/>
      <c r="AC4761" s="456"/>
      <c r="AF4761"/>
      <c r="AG4761"/>
    </row>
    <row r="4762" spans="1:33" s="47" customFormat="1" hidden="1">
      <c r="A4762"/>
      <c r="B4762"/>
      <c r="C4762"/>
      <c r="D4762"/>
      <c r="E4762"/>
      <c r="F4762"/>
      <c r="G4762"/>
      <c r="H4762"/>
      <c r="I4762"/>
      <c r="J4762"/>
      <c r="K4762"/>
      <c r="L4762"/>
      <c r="M4762" s="820"/>
      <c r="N4762" s="451"/>
      <c r="O4762" s="454"/>
      <c r="P4762" s="473"/>
      <c r="Q4762" s="258"/>
      <c r="R4762" s="259"/>
      <c r="S4762" s="259"/>
      <c r="T4762" s="260"/>
      <c r="U4762" s="252"/>
      <c r="V4762" s="252"/>
      <c r="W4762" s="456"/>
      <c r="X4762" s="258"/>
      <c r="Y4762" s="202"/>
      <c r="Z4762" s="48"/>
      <c r="AA4762" s="252"/>
      <c r="AB4762" s="252"/>
      <c r="AC4762" s="456"/>
      <c r="AF4762"/>
      <c r="AG4762"/>
    </row>
    <row r="4763" spans="1:33" s="47" customFormat="1" hidden="1">
      <c r="A4763"/>
      <c r="B4763"/>
      <c r="C4763"/>
      <c r="D4763"/>
      <c r="E4763"/>
      <c r="F4763"/>
      <c r="G4763"/>
      <c r="H4763"/>
      <c r="I4763"/>
      <c r="J4763"/>
      <c r="K4763"/>
      <c r="L4763"/>
      <c r="M4763" s="820"/>
      <c r="N4763" s="451"/>
      <c r="O4763" s="454"/>
      <c r="P4763" s="473"/>
      <c r="Q4763" s="258"/>
      <c r="R4763" s="259"/>
      <c r="S4763" s="259"/>
      <c r="T4763" s="260"/>
      <c r="U4763" s="252"/>
      <c r="V4763" s="252"/>
      <c r="W4763" s="456"/>
      <c r="X4763" s="258"/>
      <c r="Y4763" s="202"/>
      <c r="Z4763" s="48"/>
      <c r="AA4763" s="252"/>
      <c r="AB4763" s="252"/>
      <c r="AC4763" s="456"/>
      <c r="AF4763"/>
      <c r="AG4763"/>
    </row>
    <row r="4764" spans="1:33" s="47" customFormat="1">
      <c r="A4764"/>
      <c r="B4764"/>
      <c r="C4764"/>
      <c r="D4764"/>
      <c r="E4764"/>
      <c r="F4764"/>
      <c r="G4764"/>
      <c r="H4764"/>
      <c r="I4764"/>
      <c r="J4764"/>
      <c r="K4764"/>
      <c r="L4764"/>
      <c r="M4764" s="820"/>
      <c r="N4764" s="461" t="str">
        <f>N4732 &amp; ".15"</f>
        <v>4.0.3.4.2.15</v>
      </c>
      <c r="O4764" s="457" t="s">
        <v>291</v>
      </c>
      <c r="P4764" s="473" t="s">
        <v>223</v>
      </c>
      <c r="Q4764" s="258"/>
      <c r="R4764" s="259"/>
      <c r="S4764" s="259"/>
      <c r="T4764" s="260"/>
      <c r="U4764" s="252"/>
      <c r="V4764" s="252"/>
      <c r="W4764" s="465"/>
      <c r="X4764" s="258"/>
      <c r="Y4764" s="202"/>
      <c r="Z4764" s="48"/>
      <c r="AA4764" s="252"/>
      <c r="AB4764" s="252"/>
      <c r="AC4764" s="456"/>
      <c r="AF4764"/>
      <c r="AG4764"/>
    </row>
    <row r="4765" spans="1:33" s="47" customFormat="1" ht="22.5">
      <c r="A4765"/>
      <c r="B4765"/>
      <c r="C4765"/>
      <c r="D4765"/>
      <c r="E4765"/>
      <c r="F4765"/>
      <c r="G4765"/>
      <c r="H4765"/>
      <c r="I4765"/>
      <c r="J4765"/>
      <c r="K4765"/>
      <c r="L4765"/>
      <c r="M4765" s="820"/>
      <c r="N4765" s="449" t="s">
        <v>283</v>
      </c>
      <c r="O4765" s="450" t="s">
        <v>248</v>
      </c>
      <c r="P4765" s="473" t="s">
        <v>786</v>
      </c>
      <c r="Q4765" s="258"/>
      <c r="R4765" s="259"/>
      <c r="S4765" s="259"/>
      <c r="T4765" s="260"/>
      <c r="U4765" s="252"/>
      <c r="V4765" s="252"/>
      <c r="W4765" s="452">
        <f>SUM(W4766,W4785:W4794,W4797)</f>
        <v>0</v>
      </c>
      <c r="X4765" s="258"/>
      <c r="Y4765" s="202"/>
      <c r="Z4765" s="48"/>
      <c r="AA4765" s="252"/>
      <c r="AB4765" s="252"/>
      <c r="AC4765" s="452">
        <f>SUM(AC4766,AC4785:AC4794,AC4797)</f>
        <v>0</v>
      </c>
      <c r="AF4765"/>
      <c r="AG4765"/>
    </row>
    <row r="4766" spans="1:33" s="47" customFormat="1">
      <c r="A4766"/>
      <c r="B4766"/>
      <c r="C4766"/>
      <c r="D4766"/>
      <c r="E4766"/>
      <c r="F4766"/>
      <c r="G4766"/>
      <c r="H4766"/>
      <c r="I4766"/>
      <c r="J4766"/>
      <c r="K4766"/>
      <c r="L4766"/>
      <c r="M4766" s="820"/>
      <c r="N4766" s="461" t="str">
        <f>N4765 &amp; ".1"</f>
        <v>4.0.3.4.3.1</v>
      </c>
      <c r="O4766" s="453" t="s">
        <v>78</v>
      </c>
      <c r="P4766" s="473" t="s">
        <v>786</v>
      </c>
      <c r="Q4766" s="258"/>
      <c r="R4766" s="259"/>
      <c r="S4766" s="259"/>
      <c r="T4766" s="260"/>
      <c r="U4766" s="252"/>
      <c r="V4766" s="252"/>
      <c r="W4766" s="460">
        <f>W4733*W4700/1000</f>
        <v>0</v>
      </c>
      <c r="X4766" s="258"/>
      <c r="Y4766" s="202"/>
      <c r="Z4766" s="48"/>
      <c r="AA4766" s="252"/>
      <c r="AB4766" s="252"/>
      <c r="AC4766" s="465"/>
      <c r="AF4766"/>
      <c r="AG4766"/>
    </row>
    <row r="4767" spans="1:33" s="47" customFormat="1" hidden="1">
      <c r="A4767"/>
      <c r="B4767"/>
      <c r="C4767"/>
      <c r="D4767"/>
      <c r="E4767"/>
      <c r="F4767"/>
      <c r="G4767"/>
      <c r="H4767"/>
      <c r="I4767"/>
      <c r="J4767"/>
      <c r="K4767"/>
      <c r="L4767"/>
      <c r="M4767" s="820"/>
      <c r="N4767" s="461"/>
      <c r="O4767" s="454"/>
      <c r="P4767" s="473"/>
      <c r="Q4767" s="258"/>
      <c r="R4767" s="259"/>
      <c r="S4767" s="259"/>
      <c r="T4767" s="260"/>
      <c r="U4767" s="252"/>
      <c r="V4767" s="252"/>
      <c r="W4767" s="456"/>
      <c r="X4767" s="258"/>
      <c r="Y4767" s="202"/>
      <c r="Z4767" s="48"/>
      <c r="AA4767" s="252"/>
      <c r="AB4767" s="252"/>
      <c r="AC4767" s="456"/>
      <c r="AF4767"/>
      <c r="AG4767"/>
    </row>
    <row r="4768" spans="1:33" s="47" customFormat="1" hidden="1">
      <c r="A4768"/>
      <c r="B4768"/>
      <c r="C4768"/>
      <c r="D4768"/>
      <c r="E4768"/>
      <c r="F4768"/>
      <c r="G4768"/>
      <c r="H4768"/>
      <c r="I4768"/>
      <c r="J4768"/>
      <c r="K4768"/>
      <c r="L4768"/>
      <c r="M4768" s="820"/>
      <c r="N4768" s="461"/>
      <c r="O4768" s="454"/>
      <c r="P4768" s="473"/>
      <c r="Q4768" s="258"/>
      <c r="R4768" s="259"/>
      <c r="S4768" s="259"/>
      <c r="T4768" s="260"/>
      <c r="U4768" s="252"/>
      <c r="V4768" s="252"/>
      <c r="W4768" s="456"/>
      <c r="X4768" s="258"/>
      <c r="Y4768" s="202"/>
      <c r="Z4768" s="48"/>
      <c r="AA4768" s="252"/>
      <c r="AB4768" s="252"/>
      <c r="AC4768" s="456"/>
      <c r="AF4768"/>
      <c r="AG4768"/>
    </row>
    <row r="4769" spans="1:33" s="47" customFormat="1" hidden="1">
      <c r="A4769"/>
      <c r="B4769"/>
      <c r="C4769"/>
      <c r="D4769"/>
      <c r="E4769"/>
      <c r="F4769"/>
      <c r="G4769"/>
      <c r="H4769"/>
      <c r="I4769"/>
      <c r="J4769"/>
      <c r="K4769"/>
      <c r="L4769"/>
      <c r="M4769" s="820"/>
      <c r="N4769" s="451"/>
      <c r="O4769" s="454"/>
      <c r="P4769" s="473"/>
      <c r="Q4769" s="258"/>
      <c r="R4769" s="259"/>
      <c r="S4769" s="259"/>
      <c r="T4769" s="260"/>
      <c r="U4769" s="252"/>
      <c r="V4769" s="252"/>
      <c r="W4769" s="456"/>
      <c r="X4769" s="258"/>
      <c r="Y4769" s="202"/>
      <c r="Z4769" s="48"/>
      <c r="AA4769" s="252"/>
      <c r="AB4769" s="252"/>
      <c r="AC4769" s="456"/>
      <c r="AF4769"/>
      <c r="AG4769"/>
    </row>
    <row r="4770" spans="1:33" s="47" customFormat="1" hidden="1">
      <c r="A4770"/>
      <c r="B4770"/>
      <c r="C4770"/>
      <c r="D4770"/>
      <c r="E4770"/>
      <c r="F4770"/>
      <c r="G4770"/>
      <c r="H4770"/>
      <c r="I4770"/>
      <c r="J4770"/>
      <c r="K4770"/>
      <c r="L4770"/>
      <c r="M4770" s="820"/>
      <c r="N4770" s="451"/>
      <c r="O4770" s="454"/>
      <c r="P4770" s="473"/>
      <c r="Q4770" s="258"/>
      <c r="R4770" s="259"/>
      <c r="S4770" s="259"/>
      <c r="T4770" s="260"/>
      <c r="U4770" s="252"/>
      <c r="V4770" s="252"/>
      <c r="W4770" s="456"/>
      <c r="X4770" s="258"/>
      <c r="Y4770" s="202"/>
      <c r="Z4770" s="48"/>
      <c r="AA4770" s="252"/>
      <c r="AB4770" s="252"/>
      <c r="AC4770" s="456"/>
      <c r="AF4770"/>
      <c r="AG4770"/>
    </row>
    <row r="4771" spans="1:33" s="47" customFormat="1" hidden="1">
      <c r="A4771"/>
      <c r="B4771"/>
      <c r="C4771"/>
      <c r="D4771"/>
      <c r="E4771"/>
      <c r="F4771"/>
      <c r="G4771"/>
      <c r="H4771"/>
      <c r="I4771"/>
      <c r="J4771"/>
      <c r="K4771"/>
      <c r="L4771"/>
      <c r="M4771" s="820"/>
      <c r="N4771" s="451"/>
      <c r="O4771" s="454"/>
      <c r="P4771" s="473"/>
      <c r="Q4771" s="258"/>
      <c r="R4771" s="259"/>
      <c r="S4771" s="259"/>
      <c r="T4771" s="260"/>
      <c r="U4771" s="252"/>
      <c r="V4771" s="252"/>
      <c r="W4771" s="456"/>
      <c r="X4771" s="258"/>
      <c r="Y4771" s="202"/>
      <c r="Z4771" s="48"/>
      <c r="AA4771" s="252"/>
      <c r="AB4771" s="252"/>
      <c r="AC4771" s="456"/>
      <c r="AF4771"/>
      <c r="AG4771"/>
    </row>
    <row r="4772" spans="1:33" s="47" customFormat="1" hidden="1">
      <c r="A4772"/>
      <c r="B4772"/>
      <c r="C4772"/>
      <c r="D4772"/>
      <c r="E4772"/>
      <c r="F4772"/>
      <c r="G4772"/>
      <c r="H4772"/>
      <c r="I4772"/>
      <c r="J4772"/>
      <c r="K4772"/>
      <c r="L4772"/>
      <c r="M4772" s="820"/>
      <c r="N4772" s="451"/>
      <c r="O4772" s="454"/>
      <c r="P4772" s="473"/>
      <c r="Q4772" s="258"/>
      <c r="R4772" s="259"/>
      <c r="S4772" s="259"/>
      <c r="T4772" s="260"/>
      <c r="U4772" s="252"/>
      <c r="V4772" s="252"/>
      <c r="W4772" s="456"/>
      <c r="X4772" s="258"/>
      <c r="Y4772" s="202"/>
      <c r="Z4772" s="48"/>
      <c r="AA4772" s="252"/>
      <c r="AB4772" s="252"/>
      <c r="AC4772" s="456"/>
      <c r="AF4772"/>
      <c r="AG4772"/>
    </row>
    <row r="4773" spans="1:33" s="47" customFormat="1" hidden="1">
      <c r="A4773"/>
      <c r="B4773"/>
      <c r="C4773"/>
      <c r="D4773"/>
      <c r="E4773"/>
      <c r="F4773"/>
      <c r="G4773"/>
      <c r="H4773"/>
      <c r="I4773"/>
      <c r="J4773"/>
      <c r="K4773"/>
      <c r="L4773"/>
      <c r="M4773" s="820"/>
      <c r="N4773" s="451"/>
      <c r="O4773" s="454"/>
      <c r="P4773" s="473"/>
      <c r="Q4773" s="258"/>
      <c r="R4773" s="259"/>
      <c r="S4773" s="259"/>
      <c r="T4773" s="260"/>
      <c r="U4773" s="252"/>
      <c r="V4773" s="252"/>
      <c r="W4773" s="456"/>
      <c r="X4773" s="258"/>
      <c r="Y4773" s="202"/>
      <c r="Z4773" s="48"/>
      <c r="AA4773" s="252"/>
      <c r="AB4773" s="252"/>
      <c r="AC4773" s="456"/>
      <c r="AF4773"/>
      <c r="AG4773"/>
    </row>
    <row r="4774" spans="1:33" s="47" customFormat="1" hidden="1">
      <c r="A4774"/>
      <c r="B4774"/>
      <c r="C4774"/>
      <c r="D4774"/>
      <c r="E4774"/>
      <c r="F4774"/>
      <c r="G4774"/>
      <c r="H4774"/>
      <c r="I4774"/>
      <c r="J4774"/>
      <c r="K4774"/>
      <c r="L4774"/>
      <c r="M4774" s="820"/>
      <c r="N4774" s="451"/>
      <c r="O4774" s="454"/>
      <c r="P4774" s="473"/>
      <c r="Q4774" s="258"/>
      <c r="R4774" s="259"/>
      <c r="S4774" s="259"/>
      <c r="T4774" s="260"/>
      <c r="U4774" s="252"/>
      <c r="V4774" s="252"/>
      <c r="W4774" s="456"/>
      <c r="X4774" s="258"/>
      <c r="Y4774" s="202"/>
      <c r="Z4774" s="48"/>
      <c r="AA4774" s="252"/>
      <c r="AB4774" s="252"/>
      <c r="AC4774" s="456"/>
      <c r="AF4774"/>
      <c r="AG4774"/>
    </row>
    <row r="4775" spans="1:33" s="47" customFormat="1" hidden="1">
      <c r="A4775"/>
      <c r="B4775"/>
      <c r="C4775"/>
      <c r="D4775"/>
      <c r="E4775"/>
      <c r="F4775"/>
      <c r="G4775"/>
      <c r="H4775"/>
      <c r="I4775"/>
      <c r="J4775"/>
      <c r="K4775"/>
      <c r="L4775"/>
      <c r="M4775" s="820"/>
      <c r="N4775" s="451"/>
      <c r="O4775" s="454"/>
      <c r="P4775" s="473"/>
      <c r="Q4775" s="258"/>
      <c r="R4775" s="259"/>
      <c r="S4775" s="259"/>
      <c r="T4775" s="260"/>
      <c r="U4775" s="252"/>
      <c r="V4775" s="252"/>
      <c r="W4775" s="456"/>
      <c r="X4775" s="258"/>
      <c r="Y4775" s="202"/>
      <c r="Z4775" s="48"/>
      <c r="AA4775" s="252"/>
      <c r="AB4775" s="252"/>
      <c r="AC4775" s="456"/>
      <c r="AF4775"/>
      <c r="AG4775"/>
    </row>
    <row r="4776" spans="1:33" s="47" customFormat="1" hidden="1">
      <c r="A4776"/>
      <c r="B4776"/>
      <c r="C4776"/>
      <c r="D4776"/>
      <c r="E4776"/>
      <c r="F4776"/>
      <c r="G4776"/>
      <c r="H4776"/>
      <c r="I4776"/>
      <c r="J4776"/>
      <c r="K4776"/>
      <c r="L4776"/>
      <c r="M4776" s="820"/>
      <c r="N4776" s="461"/>
      <c r="O4776" s="454"/>
      <c r="P4776" s="473"/>
      <c r="Q4776" s="258"/>
      <c r="R4776" s="259"/>
      <c r="S4776" s="259"/>
      <c r="T4776" s="260"/>
      <c r="U4776" s="252"/>
      <c r="V4776" s="252"/>
      <c r="W4776" s="456"/>
      <c r="X4776" s="258"/>
      <c r="Y4776" s="202"/>
      <c r="Z4776" s="48"/>
      <c r="AA4776" s="252"/>
      <c r="AB4776" s="252"/>
      <c r="AC4776" s="456"/>
      <c r="AF4776"/>
      <c r="AG4776"/>
    </row>
    <row r="4777" spans="1:33" s="47" customFormat="1" hidden="1">
      <c r="A4777"/>
      <c r="B4777"/>
      <c r="C4777"/>
      <c r="D4777"/>
      <c r="E4777"/>
      <c r="F4777"/>
      <c r="G4777"/>
      <c r="H4777"/>
      <c r="I4777"/>
      <c r="J4777"/>
      <c r="K4777"/>
      <c r="L4777"/>
      <c r="M4777" s="820"/>
      <c r="N4777" s="451"/>
      <c r="O4777" s="454"/>
      <c r="P4777" s="473"/>
      <c r="Q4777" s="258"/>
      <c r="R4777" s="259"/>
      <c r="S4777" s="259"/>
      <c r="T4777" s="260"/>
      <c r="U4777" s="252"/>
      <c r="V4777" s="252"/>
      <c r="W4777" s="456"/>
      <c r="X4777" s="258"/>
      <c r="Y4777" s="202"/>
      <c r="Z4777" s="48"/>
      <c r="AA4777" s="252"/>
      <c r="AB4777" s="252"/>
      <c r="AC4777" s="456"/>
      <c r="AF4777"/>
      <c r="AG4777"/>
    </row>
    <row r="4778" spans="1:33" s="47" customFormat="1" hidden="1">
      <c r="A4778"/>
      <c r="B4778"/>
      <c r="C4778"/>
      <c r="D4778"/>
      <c r="E4778"/>
      <c r="F4778"/>
      <c r="G4778"/>
      <c r="H4778"/>
      <c r="I4778"/>
      <c r="J4778"/>
      <c r="K4778"/>
      <c r="L4778"/>
      <c r="M4778" s="820"/>
      <c r="N4778" s="451"/>
      <c r="O4778" s="454"/>
      <c r="P4778" s="473"/>
      <c r="Q4778" s="258"/>
      <c r="R4778" s="259"/>
      <c r="S4778" s="259"/>
      <c r="T4778" s="260"/>
      <c r="U4778" s="252"/>
      <c r="V4778" s="252"/>
      <c r="W4778" s="456"/>
      <c r="X4778" s="258"/>
      <c r="Y4778" s="202"/>
      <c r="Z4778" s="48"/>
      <c r="AA4778" s="252"/>
      <c r="AB4778" s="252"/>
      <c r="AC4778" s="456"/>
      <c r="AF4778"/>
      <c r="AG4778"/>
    </row>
    <row r="4779" spans="1:33" s="47" customFormat="1" hidden="1">
      <c r="A4779"/>
      <c r="B4779"/>
      <c r="C4779"/>
      <c r="D4779"/>
      <c r="E4779"/>
      <c r="F4779"/>
      <c r="G4779"/>
      <c r="H4779"/>
      <c r="I4779"/>
      <c r="J4779"/>
      <c r="K4779"/>
      <c r="L4779"/>
      <c r="M4779" s="820"/>
      <c r="N4779" s="451"/>
      <c r="O4779" s="454"/>
      <c r="P4779" s="473"/>
      <c r="Q4779" s="258"/>
      <c r="R4779" s="259"/>
      <c r="S4779" s="259"/>
      <c r="T4779" s="260"/>
      <c r="U4779" s="252"/>
      <c r="V4779" s="252"/>
      <c r="W4779" s="456"/>
      <c r="X4779" s="258"/>
      <c r="Y4779" s="202"/>
      <c r="Z4779" s="48"/>
      <c r="AA4779" s="252"/>
      <c r="AB4779" s="252"/>
      <c r="AC4779" s="456"/>
      <c r="AF4779"/>
      <c r="AG4779"/>
    </row>
    <row r="4780" spans="1:33" s="47" customFormat="1" hidden="1">
      <c r="A4780"/>
      <c r="B4780"/>
      <c r="C4780"/>
      <c r="D4780"/>
      <c r="E4780"/>
      <c r="F4780"/>
      <c r="G4780"/>
      <c r="H4780"/>
      <c r="I4780"/>
      <c r="J4780"/>
      <c r="K4780"/>
      <c r="L4780"/>
      <c r="M4780" s="820"/>
      <c r="N4780" s="451"/>
      <c r="O4780" s="454"/>
      <c r="P4780" s="473"/>
      <c r="Q4780" s="258"/>
      <c r="R4780" s="259"/>
      <c r="S4780" s="259"/>
      <c r="T4780" s="260"/>
      <c r="U4780" s="252"/>
      <c r="V4780" s="252"/>
      <c r="W4780" s="456"/>
      <c r="X4780" s="258"/>
      <c r="Y4780" s="202"/>
      <c r="Z4780" s="48"/>
      <c r="AA4780" s="252"/>
      <c r="AB4780" s="252"/>
      <c r="AC4780" s="456"/>
      <c r="AF4780"/>
      <c r="AG4780"/>
    </row>
    <row r="4781" spans="1:33" s="47" customFormat="1" hidden="1">
      <c r="A4781"/>
      <c r="B4781"/>
      <c r="C4781"/>
      <c r="D4781"/>
      <c r="E4781"/>
      <c r="F4781"/>
      <c r="G4781"/>
      <c r="H4781"/>
      <c r="I4781"/>
      <c r="J4781"/>
      <c r="K4781"/>
      <c r="L4781"/>
      <c r="M4781" s="820"/>
      <c r="N4781" s="451"/>
      <c r="O4781" s="454"/>
      <c r="P4781" s="473"/>
      <c r="Q4781" s="258"/>
      <c r="R4781" s="259"/>
      <c r="S4781" s="259"/>
      <c r="T4781" s="260"/>
      <c r="U4781" s="252"/>
      <c r="V4781" s="252"/>
      <c r="W4781" s="456"/>
      <c r="X4781" s="258"/>
      <c r="Y4781" s="202"/>
      <c r="Z4781" s="48"/>
      <c r="AA4781" s="252"/>
      <c r="AB4781" s="252"/>
      <c r="AC4781" s="456"/>
      <c r="AF4781"/>
      <c r="AG4781"/>
    </row>
    <row r="4782" spans="1:33" s="47" customFormat="1" hidden="1">
      <c r="A4782"/>
      <c r="B4782"/>
      <c r="C4782"/>
      <c r="D4782"/>
      <c r="E4782"/>
      <c r="F4782"/>
      <c r="G4782"/>
      <c r="H4782"/>
      <c r="I4782"/>
      <c r="J4782"/>
      <c r="K4782"/>
      <c r="L4782"/>
      <c r="M4782" s="820"/>
      <c r="N4782" s="451"/>
      <c r="O4782" s="455"/>
      <c r="P4782" s="473"/>
      <c r="Q4782" s="258"/>
      <c r="R4782" s="259"/>
      <c r="S4782" s="259"/>
      <c r="T4782" s="260"/>
      <c r="U4782" s="252"/>
      <c r="V4782" s="252"/>
      <c r="W4782" s="456"/>
      <c r="X4782" s="258"/>
      <c r="Y4782" s="202"/>
      <c r="Z4782" s="48"/>
      <c r="AA4782" s="252"/>
      <c r="AB4782" s="252"/>
      <c r="AC4782" s="456"/>
      <c r="AF4782"/>
      <c r="AG4782"/>
    </row>
    <row r="4783" spans="1:33" s="47" customFormat="1" hidden="1">
      <c r="A4783"/>
      <c r="B4783"/>
      <c r="C4783"/>
      <c r="D4783"/>
      <c r="E4783"/>
      <c r="F4783"/>
      <c r="G4783"/>
      <c r="H4783"/>
      <c r="I4783"/>
      <c r="J4783"/>
      <c r="K4783"/>
      <c r="L4783"/>
      <c r="M4783" s="820"/>
      <c r="N4783" s="451"/>
      <c r="O4783" s="455"/>
      <c r="P4783" s="473"/>
      <c r="Q4783" s="258"/>
      <c r="R4783" s="259"/>
      <c r="S4783" s="259"/>
      <c r="T4783" s="260"/>
      <c r="U4783" s="252"/>
      <c r="V4783" s="252"/>
      <c r="W4783" s="456"/>
      <c r="X4783" s="258"/>
      <c r="Y4783" s="202"/>
      <c r="Z4783" s="48"/>
      <c r="AA4783" s="252"/>
      <c r="AB4783" s="252"/>
      <c r="AC4783" s="456"/>
      <c r="AF4783"/>
      <c r="AG4783"/>
    </row>
    <row r="4784" spans="1:33" s="47" customFormat="1" hidden="1">
      <c r="A4784"/>
      <c r="B4784"/>
      <c r="C4784"/>
      <c r="D4784"/>
      <c r="E4784"/>
      <c r="F4784"/>
      <c r="G4784"/>
      <c r="H4784"/>
      <c r="I4784"/>
      <c r="J4784"/>
      <c r="K4784"/>
      <c r="L4784"/>
      <c r="M4784" s="820"/>
      <c r="N4784" s="461"/>
      <c r="O4784" s="455"/>
      <c r="P4784" s="473"/>
      <c r="Q4784" s="258"/>
      <c r="R4784" s="259"/>
      <c r="S4784" s="259"/>
      <c r="T4784" s="260"/>
      <c r="U4784" s="252"/>
      <c r="V4784" s="252"/>
      <c r="W4784" s="456"/>
      <c r="X4784" s="258"/>
      <c r="Y4784" s="202"/>
      <c r="Z4784" s="48"/>
      <c r="AA4784" s="252"/>
      <c r="AB4784" s="252"/>
      <c r="AC4784" s="456"/>
      <c r="AF4784"/>
      <c r="AG4784"/>
    </row>
    <row r="4785" spans="1:33" s="47" customFormat="1">
      <c r="A4785"/>
      <c r="B4785"/>
      <c r="C4785"/>
      <c r="D4785"/>
      <c r="E4785"/>
      <c r="F4785"/>
      <c r="G4785"/>
      <c r="H4785"/>
      <c r="I4785"/>
      <c r="J4785"/>
      <c r="K4785"/>
      <c r="L4785"/>
      <c r="M4785" s="820"/>
      <c r="N4785" s="461" t="str">
        <f>N4765 &amp; ".3"</f>
        <v>4.0.3.4.3.3</v>
      </c>
      <c r="O4785" s="457" t="s">
        <v>85</v>
      </c>
      <c r="P4785" s="473" t="s">
        <v>786</v>
      </c>
      <c r="Q4785" s="258"/>
      <c r="R4785" s="259"/>
      <c r="S4785" s="259"/>
      <c r="T4785" s="260"/>
      <c r="U4785" s="252"/>
      <c r="V4785" s="252"/>
      <c r="W4785" s="460">
        <f t="shared" ref="W4785:W4794" si="18">W4752*W4719/1000</f>
        <v>0</v>
      </c>
      <c r="X4785" s="258"/>
      <c r="Y4785" s="202"/>
      <c r="Z4785" s="48"/>
      <c r="AA4785" s="252"/>
      <c r="AB4785" s="252"/>
      <c r="AC4785" s="465"/>
      <c r="AF4785"/>
      <c r="AG4785"/>
    </row>
    <row r="4786" spans="1:33" s="47" customFormat="1">
      <c r="A4786"/>
      <c r="B4786"/>
      <c r="C4786"/>
      <c r="D4786"/>
      <c r="E4786"/>
      <c r="F4786"/>
      <c r="G4786"/>
      <c r="H4786"/>
      <c r="I4786"/>
      <c r="J4786"/>
      <c r="K4786"/>
      <c r="L4786"/>
      <c r="M4786" s="820"/>
      <c r="N4786" s="461" t="str">
        <f>N4765 &amp; ".4"</f>
        <v>4.0.3.4.3.4</v>
      </c>
      <c r="O4786" s="457" t="s">
        <v>87</v>
      </c>
      <c r="P4786" s="473" t="s">
        <v>786</v>
      </c>
      <c r="Q4786" s="258"/>
      <c r="R4786" s="259"/>
      <c r="S4786" s="259"/>
      <c r="T4786" s="260"/>
      <c r="U4786" s="252"/>
      <c r="V4786" s="252"/>
      <c r="W4786" s="460">
        <f t="shared" si="18"/>
        <v>0</v>
      </c>
      <c r="X4786" s="258"/>
      <c r="Y4786" s="202"/>
      <c r="Z4786" s="48"/>
      <c r="AA4786" s="252"/>
      <c r="AB4786" s="252"/>
      <c r="AC4786" s="465"/>
      <c r="AF4786"/>
      <c r="AG4786"/>
    </row>
    <row r="4787" spans="1:33" s="47" customFormat="1">
      <c r="A4787"/>
      <c r="B4787"/>
      <c r="C4787"/>
      <c r="D4787"/>
      <c r="E4787"/>
      <c r="F4787"/>
      <c r="G4787"/>
      <c r="H4787"/>
      <c r="I4787"/>
      <c r="J4787"/>
      <c r="K4787"/>
      <c r="L4787"/>
      <c r="M4787" s="820"/>
      <c r="N4787" s="461" t="str">
        <f>N4765&amp;".5"</f>
        <v>4.0.3.4.3.5</v>
      </c>
      <c r="O4787" s="457" t="s">
        <v>89</v>
      </c>
      <c r="P4787" s="473" t="s">
        <v>786</v>
      </c>
      <c r="Q4787" s="258"/>
      <c r="R4787" s="259"/>
      <c r="S4787" s="259"/>
      <c r="T4787" s="260"/>
      <c r="U4787" s="252"/>
      <c r="V4787" s="252"/>
      <c r="W4787" s="460">
        <f t="shared" si="18"/>
        <v>0</v>
      </c>
      <c r="X4787" s="258"/>
      <c r="Y4787" s="202"/>
      <c r="Z4787" s="48"/>
      <c r="AA4787" s="252"/>
      <c r="AB4787" s="252"/>
      <c r="AC4787" s="465"/>
      <c r="AF4787"/>
      <c r="AG4787"/>
    </row>
    <row r="4788" spans="1:33" s="47" customFormat="1">
      <c r="A4788"/>
      <c r="B4788"/>
      <c r="C4788"/>
      <c r="D4788"/>
      <c r="E4788"/>
      <c r="F4788"/>
      <c r="G4788"/>
      <c r="H4788"/>
      <c r="I4788"/>
      <c r="J4788"/>
      <c r="K4788"/>
      <c r="L4788"/>
      <c r="M4788" s="820"/>
      <c r="N4788" s="461" t="str">
        <f>N4765 &amp; ".6"</f>
        <v>4.0.3.4.3.6</v>
      </c>
      <c r="O4788" s="457" t="s">
        <v>91</v>
      </c>
      <c r="P4788" s="473" t="s">
        <v>786</v>
      </c>
      <c r="Q4788" s="258"/>
      <c r="R4788" s="259"/>
      <c r="S4788" s="259"/>
      <c r="T4788" s="260"/>
      <c r="U4788" s="252"/>
      <c r="V4788" s="252"/>
      <c r="W4788" s="460">
        <f t="shared" si="18"/>
        <v>0</v>
      </c>
      <c r="X4788" s="258"/>
      <c r="Y4788" s="202"/>
      <c r="Z4788" s="48"/>
      <c r="AA4788" s="252"/>
      <c r="AB4788" s="252"/>
      <c r="AC4788" s="465"/>
      <c r="AF4788"/>
      <c r="AG4788"/>
    </row>
    <row r="4789" spans="1:33" s="47" customFormat="1">
      <c r="A4789"/>
      <c r="B4789"/>
      <c r="C4789"/>
      <c r="D4789"/>
      <c r="E4789"/>
      <c r="F4789"/>
      <c r="G4789"/>
      <c r="H4789"/>
      <c r="I4789"/>
      <c r="J4789"/>
      <c r="K4789"/>
      <c r="L4789"/>
      <c r="M4789" s="820"/>
      <c r="N4789" s="461" t="str">
        <f>N4765 &amp; ".7"</f>
        <v>4.0.3.4.3.7</v>
      </c>
      <c r="O4789" s="457" t="s">
        <v>93</v>
      </c>
      <c r="P4789" s="473" t="s">
        <v>786</v>
      </c>
      <c r="Q4789" s="258"/>
      <c r="R4789" s="259"/>
      <c r="S4789" s="259"/>
      <c r="T4789" s="260"/>
      <c r="U4789" s="252"/>
      <c r="V4789" s="252"/>
      <c r="W4789" s="460">
        <f>W4756*W4723/1000</f>
        <v>0</v>
      </c>
      <c r="X4789" s="258"/>
      <c r="Y4789" s="202"/>
      <c r="Z4789" s="48"/>
      <c r="AA4789" s="252"/>
      <c r="AB4789" s="252"/>
      <c r="AC4789" s="465"/>
      <c r="AF4789"/>
      <c r="AG4789"/>
    </row>
    <row r="4790" spans="1:33" s="47" customFormat="1">
      <c r="A4790"/>
      <c r="B4790"/>
      <c r="C4790"/>
      <c r="D4790"/>
      <c r="E4790"/>
      <c r="F4790"/>
      <c r="G4790"/>
      <c r="H4790"/>
      <c r="I4790"/>
      <c r="J4790"/>
      <c r="K4790"/>
      <c r="L4790"/>
      <c r="M4790" s="820"/>
      <c r="N4790" s="461" t="str">
        <f>N4765 &amp; ".8"</f>
        <v>4.0.3.4.3.8</v>
      </c>
      <c r="O4790" s="457" t="s">
        <v>95</v>
      </c>
      <c r="P4790" s="473" t="s">
        <v>786</v>
      </c>
      <c r="Q4790" s="258"/>
      <c r="R4790" s="259"/>
      <c r="S4790" s="259"/>
      <c r="T4790" s="260"/>
      <c r="U4790" s="252"/>
      <c r="V4790" s="252"/>
      <c r="W4790" s="460">
        <f t="shared" si="18"/>
        <v>0</v>
      </c>
      <c r="X4790" s="258"/>
      <c r="Y4790" s="202"/>
      <c r="Z4790" s="48"/>
      <c r="AA4790" s="252"/>
      <c r="AB4790" s="252"/>
      <c r="AC4790" s="465"/>
      <c r="AF4790"/>
      <c r="AG4790"/>
    </row>
    <row r="4791" spans="1:33" s="47" customFormat="1">
      <c r="A4791"/>
      <c r="B4791"/>
      <c r="C4791"/>
      <c r="D4791"/>
      <c r="E4791"/>
      <c r="F4791"/>
      <c r="G4791"/>
      <c r="H4791"/>
      <c r="I4791"/>
      <c r="J4791"/>
      <c r="K4791"/>
      <c r="L4791"/>
      <c r="M4791" s="820"/>
      <c r="N4791" s="461" t="str">
        <f>N4765 &amp; ".9"</f>
        <v>4.0.3.4.3.9</v>
      </c>
      <c r="O4791" s="457" t="s">
        <v>2976</v>
      </c>
      <c r="P4791" s="473" t="s">
        <v>786</v>
      </c>
      <c r="Q4791" s="258"/>
      <c r="R4791" s="259"/>
      <c r="S4791" s="259"/>
      <c r="T4791" s="260"/>
      <c r="U4791" s="252"/>
      <c r="V4791" s="252"/>
      <c r="W4791" s="460">
        <f t="shared" si="18"/>
        <v>0</v>
      </c>
      <c r="X4791" s="258"/>
      <c r="Y4791" s="202"/>
      <c r="Z4791" s="48"/>
      <c r="AA4791" s="252"/>
      <c r="AB4791" s="252"/>
      <c r="AC4791" s="465"/>
      <c r="AF4791"/>
      <c r="AG4791"/>
    </row>
    <row r="4792" spans="1:33" s="47" customFormat="1">
      <c r="A4792"/>
      <c r="B4792"/>
      <c r="C4792"/>
      <c r="D4792"/>
      <c r="E4792"/>
      <c r="F4792"/>
      <c r="G4792"/>
      <c r="H4792"/>
      <c r="I4792"/>
      <c r="J4792"/>
      <c r="K4792"/>
      <c r="L4792"/>
      <c r="M4792" s="820"/>
      <c r="N4792" s="461" t="str">
        <f>N4765 &amp; ".10"</f>
        <v>4.0.3.4.3.10</v>
      </c>
      <c r="O4792" s="457" t="s">
        <v>2978</v>
      </c>
      <c r="P4792" s="473" t="s">
        <v>786</v>
      </c>
      <c r="Q4792" s="258"/>
      <c r="R4792" s="259"/>
      <c r="S4792" s="259"/>
      <c r="T4792" s="260"/>
      <c r="U4792" s="252"/>
      <c r="V4792" s="252"/>
      <c r="W4792" s="460">
        <f t="shared" si="18"/>
        <v>0</v>
      </c>
      <c r="X4792" s="258"/>
      <c r="Y4792" s="202"/>
      <c r="Z4792" s="48"/>
      <c r="AA4792" s="252"/>
      <c r="AB4792" s="252"/>
      <c r="AC4792" s="465"/>
      <c r="AF4792"/>
      <c r="AG4792"/>
    </row>
    <row r="4793" spans="1:33" s="47" customFormat="1">
      <c r="A4793"/>
      <c r="B4793"/>
      <c r="C4793"/>
      <c r="D4793"/>
      <c r="E4793"/>
      <c r="F4793"/>
      <c r="G4793"/>
      <c r="H4793"/>
      <c r="I4793"/>
      <c r="J4793"/>
      <c r="K4793"/>
      <c r="L4793"/>
      <c r="M4793" s="820"/>
      <c r="N4793" s="461" t="str">
        <f>N4765 &amp; ".11"</f>
        <v>4.0.3.4.3.11</v>
      </c>
      <c r="O4793" s="457" t="s">
        <v>2980</v>
      </c>
      <c r="P4793" s="473" t="s">
        <v>786</v>
      </c>
      <c r="Q4793" s="258"/>
      <c r="R4793" s="259"/>
      <c r="S4793" s="259"/>
      <c r="T4793" s="260"/>
      <c r="U4793" s="252"/>
      <c r="V4793" s="252"/>
      <c r="W4793" s="460">
        <f t="shared" si="18"/>
        <v>0</v>
      </c>
      <c r="X4793" s="258"/>
      <c r="Y4793" s="202"/>
      <c r="Z4793" s="48"/>
      <c r="AA4793" s="252"/>
      <c r="AB4793" s="252"/>
      <c r="AC4793" s="465"/>
      <c r="AF4793"/>
      <c r="AG4793"/>
    </row>
    <row r="4794" spans="1:33" s="47" customFormat="1">
      <c r="A4794"/>
      <c r="B4794"/>
      <c r="C4794"/>
      <c r="D4794"/>
      <c r="E4794"/>
      <c r="F4794"/>
      <c r="G4794"/>
      <c r="H4794"/>
      <c r="I4794"/>
      <c r="J4794"/>
      <c r="K4794"/>
      <c r="L4794"/>
      <c r="M4794" s="820"/>
      <c r="N4794" s="461" t="str">
        <f>N4765 &amp; ".12"</f>
        <v>4.0.3.4.3.12</v>
      </c>
      <c r="O4794" s="457" t="s">
        <v>2982</v>
      </c>
      <c r="P4794" s="473" t="s">
        <v>786</v>
      </c>
      <c r="Q4794" s="258"/>
      <c r="R4794" s="259"/>
      <c r="S4794" s="259"/>
      <c r="T4794" s="260"/>
      <c r="U4794" s="252"/>
      <c r="V4794" s="252"/>
      <c r="W4794" s="460">
        <f t="shared" si="18"/>
        <v>0</v>
      </c>
      <c r="X4794" s="258"/>
      <c r="Y4794" s="202"/>
      <c r="Z4794" s="48"/>
      <c r="AA4794" s="252"/>
      <c r="AB4794" s="252"/>
      <c r="AC4794" s="465"/>
      <c r="AF4794"/>
      <c r="AG4794"/>
    </row>
    <row r="4795" spans="1:33" s="47" customFormat="1" hidden="1">
      <c r="A4795"/>
      <c r="B4795"/>
      <c r="C4795"/>
      <c r="D4795"/>
      <c r="E4795"/>
      <c r="F4795"/>
      <c r="G4795"/>
      <c r="H4795"/>
      <c r="I4795"/>
      <c r="J4795"/>
      <c r="K4795"/>
      <c r="L4795"/>
      <c r="M4795" s="820"/>
      <c r="N4795" s="451"/>
      <c r="O4795" s="454"/>
      <c r="P4795" s="473"/>
      <c r="Q4795" s="258"/>
      <c r="R4795" s="259"/>
      <c r="S4795" s="259"/>
      <c r="T4795" s="260"/>
      <c r="U4795" s="252"/>
      <c r="V4795" s="252"/>
      <c r="W4795" s="456"/>
      <c r="X4795" s="258"/>
      <c r="Y4795" s="202"/>
      <c r="Z4795" s="48"/>
      <c r="AA4795" s="252"/>
      <c r="AB4795" s="252"/>
      <c r="AC4795" s="456"/>
      <c r="AF4795"/>
      <c r="AG4795"/>
    </row>
    <row r="4796" spans="1:33" s="47" customFormat="1" hidden="1">
      <c r="A4796"/>
      <c r="B4796"/>
      <c r="C4796"/>
      <c r="D4796"/>
      <c r="E4796"/>
      <c r="F4796"/>
      <c r="G4796"/>
      <c r="H4796"/>
      <c r="I4796"/>
      <c r="J4796"/>
      <c r="K4796"/>
      <c r="L4796"/>
      <c r="M4796" s="820"/>
      <c r="N4796" s="451"/>
      <c r="O4796" s="454"/>
      <c r="P4796" s="473"/>
      <c r="Q4796" s="258"/>
      <c r="R4796" s="259"/>
      <c r="S4796" s="259"/>
      <c r="T4796" s="260"/>
      <c r="U4796" s="252"/>
      <c r="V4796" s="252"/>
      <c r="W4796" s="456"/>
      <c r="X4796" s="258"/>
      <c r="Y4796" s="202"/>
      <c r="Z4796" s="48"/>
      <c r="AA4796" s="252"/>
      <c r="AB4796" s="252"/>
      <c r="AC4796" s="456"/>
      <c r="AF4796"/>
      <c r="AG4796"/>
    </row>
    <row r="4797" spans="1:33" s="47" customFormat="1">
      <c r="A4797"/>
      <c r="B4797"/>
      <c r="C4797"/>
      <c r="D4797"/>
      <c r="E4797"/>
      <c r="F4797"/>
      <c r="G4797"/>
      <c r="H4797"/>
      <c r="I4797"/>
      <c r="J4797"/>
      <c r="K4797"/>
      <c r="L4797"/>
      <c r="M4797" s="820"/>
      <c r="N4797" s="461" t="str">
        <f>N4765 &amp; ".15"</f>
        <v>4.0.3.4.3.15</v>
      </c>
      <c r="O4797" s="457" t="s">
        <v>291</v>
      </c>
      <c r="P4797" s="473" t="s">
        <v>786</v>
      </c>
      <c r="Q4797" s="258"/>
      <c r="R4797" s="259"/>
      <c r="S4797" s="259"/>
      <c r="T4797" s="260"/>
      <c r="U4797" s="252"/>
      <c r="V4797" s="252"/>
      <c r="W4797" s="460">
        <f>W4764*W4731/1000</f>
        <v>0</v>
      </c>
      <c r="X4797" s="258"/>
      <c r="Y4797" s="202"/>
      <c r="Z4797" s="48"/>
      <c r="AA4797" s="252"/>
      <c r="AB4797" s="252"/>
      <c r="AC4797" s="465"/>
      <c r="AF4797"/>
      <c r="AG4797"/>
    </row>
    <row r="4798" spans="1:33" s="47" customFormat="1" hidden="1">
      <c r="A4798"/>
      <c r="B4798"/>
      <c r="C4798"/>
      <c r="D4798"/>
      <c r="E4798"/>
      <c r="F4798"/>
      <c r="G4798"/>
      <c r="H4798"/>
      <c r="I4798"/>
      <c r="J4798"/>
      <c r="K4798"/>
      <c r="L4798"/>
      <c r="M4798" s="820"/>
      <c r="N4798" s="451"/>
      <c r="O4798" s="454"/>
      <c r="P4798" s="473"/>
      <c r="Q4798" s="258"/>
      <c r="R4798" s="259"/>
      <c r="S4798" s="259"/>
      <c r="T4798" s="260"/>
      <c r="U4798" s="252"/>
      <c r="V4798" s="252"/>
      <c r="W4798" s="456"/>
      <c r="X4798" s="258"/>
      <c r="Y4798" s="202"/>
      <c r="Z4798" s="48"/>
      <c r="AA4798" s="252"/>
      <c r="AB4798" s="252"/>
      <c r="AC4798" s="456"/>
      <c r="AF4798"/>
      <c r="AG4798"/>
    </row>
    <row r="4799" spans="1:33" s="47" customFormat="1">
      <c r="A4799"/>
      <c r="B4799"/>
      <c r="C4799"/>
      <c r="D4799"/>
      <c r="E4799"/>
      <c r="F4799"/>
      <c r="G4799"/>
      <c r="H4799"/>
      <c r="I4799"/>
      <c r="J4799"/>
      <c r="K4799"/>
      <c r="L4799"/>
      <c r="M4799" s="820"/>
      <c r="N4799" s="462"/>
      <c r="O4799" s="469" t="s">
        <v>249</v>
      </c>
      <c r="P4799" s="474"/>
      <c r="Q4799" s="258"/>
      <c r="R4799" s="259"/>
      <c r="S4799" s="259"/>
      <c r="T4799" s="260"/>
      <c r="U4799" s="252"/>
      <c r="V4799" s="252"/>
      <c r="W4799" s="456"/>
      <c r="X4799" s="258"/>
      <c r="Y4799" s="202"/>
      <c r="Z4799" s="48"/>
      <c r="AA4799" s="252"/>
      <c r="AB4799" s="252"/>
      <c r="AC4799" s="456"/>
      <c r="AF4799"/>
      <c r="AG4799"/>
    </row>
    <row r="4800" spans="1:33" s="47" customFormat="1" hidden="1">
      <c r="A4800"/>
      <c r="B4800"/>
      <c r="C4800"/>
      <c r="D4800"/>
      <c r="E4800"/>
      <c r="F4800"/>
      <c r="G4800"/>
      <c r="H4800"/>
      <c r="I4800"/>
      <c r="J4800"/>
      <c r="K4800"/>
      <c r="L4800"/>
      <c r="M4800" s="820"/>
      <c r="N4800" s="451"/>
      <c r="O4800" s="454"/>
      <c r="P4800" s="473"/>
      <c r="Q4800" s="258"/>
      <c r="R4800" s="259"/>
      <c r="S4800" s="259"/>
      <c r="T4800" s="260"/>
      <c r="U4800" s="252"/>
      <c r="V4800" s="252"/>
      <c r="W4800" s="456"/>
      <c r="X4800" s="258"/>
      <c r="Y4800" s="202"/>
      <c r="Z4800" s="48"/>
      <c r="AA4800" s="252"/>
      <c r="AB4800" s="252"/>
      <c r="AC4800" s="456"/>
      <c r="AF4800"/>
      <c r="AG4800"/>
    </row>
    <row r="4801" spans="1:33" s="47" customFormat="1" collapsed="1">
      <c r="A4801"/>
      <c r="B4801"/>
      <c r="C4801"/>
      <c r="D4801"/>
      <c r="E4801"/>
      <c r="F4801"/>
      <c r="G4801"/>
      <c r="H4801"/>
      <c r="I4801"/>
      <c r="J4801"/>
      <c r="K4801"/>
      <c r="L4801"/>
      <c r="M4801" s="820"/>
      <c r="N4801" s="236" t="s">
        <v>2985</v>
      </c>
      <c r="O4801" s="225" t="s">
        <v>250</v>
      </c>
      <c r="P4801" s="473" t="s">
        <v>251</v>
      </c>
      <c r="Q4801" s="258"/>
      <c r="R4801" s="259"/>
      <c r="S4801" s="259"/>
      <c r="T4801" s="260"/>
      <c r="U4801" s="252"/>
      <c r="V4801" s="252"/>
      <c r="W4801" s="257">
        <f>W4805+W4811+W4817+W4823</f>
        <v>0</v>
      </c>
      <c r="X4801" s="258"/>
      <c r="Y4801" s="202"/>
      <c r="Z4801" s="48"/>
      <c r="AA4801" s="252"/>
      <c r="AB4801" s="252"/>
      <c r="AC4801" s="257">
        <f>AC4805+AC4811+AC4817+AC4823</f>
        <v>0</v>
      </c>
      <c r="AF4801"/>
      <c r="AG4801"/>
    </row>
    <row r="4802" spans="1:33" s="47" customFormat="1">
      <c r="A4802"/>
      <c r="B4802"/>
      <c r="C4802"/>
      <c r="D4802"/>
      <c r="E4802"/>
      <c r="F4802"/>
      <c r="G4802"/>
      <c r="H4802"/>
      <c r="I4802"/>
      <c r="J4802"/>
      <c r="K4802"/>
      <c r="L4802"/>
      <c r="M4802" s="820"/>
      <c r="N4802" s="236" t="s">
        <v>2987</v>
      </c>
      <c r="O4802" s="225" t="s">
        <v>252</v>
      </c>
      <c r="P4802" s="473" t="s">
        <v>253</v>
      </c>
      <c r="Q4802" s="258"/>
      <c r="R4802" s="259"/>
      <c r="S4802" s="259"/>
      <c r="T4802" s="260"/>
      <c r="U4802" s="252"/>
      <c r="V4802" s="252"/>
      <c r="W4802" s="257">
        <f>W4808+W4814+W4820+W4826</f>
        <v>0</v>
      </c>
      <c r="X4802" s="258"/>
      <c r="Y4802" s="202"/>
      <c r="Z4802" s="48"/>
      <c r="AA4802" s="252"/>
      <c r="AB4802" s="252"/>
      <c r="AC4802" s="257">
        <f>AC4808+AC4814+AC4820+AC4826</f>
        <v>0</v>
      </c>
      <c r="AF4802"/>
      <c r="AG4802"/>
    </row>
    <row r="4803" spans="1:33" s="47" customFormat="1">
      <c r="A4803"/>
      <c r="B4803"/>
      <c r="C4803"/>
      <c r="D4803"/>
      <c r="E4803"/>
      <c r="F4803"/>
      <c r="G4803"/>
      <c r="H4803"/>
      <c r="I4803"/>
      <c r="J4803"/>
      <c r="K4803"/>
      <c r="L4803"/>
      <c r="M4803" s="820"/>
      <c r="N4803" s="236" t="s">
        <v>2511</v>
      </c>
      <c r="O4803" s="225" t="s">
        <v>3011</v>
      </c>
      <c r="P4803" s="473" t="s">
        <v>786</v>
      </c>
      <c r="Q4803" s="258"/>
      <c r="R4803" s="259"/>
      <c r="S4803" s="259"/>
      <c r="T4803" s="260"/>
      <c r="U4803" s="252"/>
      <c r="V4803" s="252"/>
      <c r="W4803" s="257">
        <f>W4804*W4805</f>
        <v>0</v>
      </c>
      <c r="X4803" s="258"/>
      <c r="Y4803" s="202"/>
      <c r="Z4803" s="48"/>
      <c r="AA4803" s="252"/>
      <c r="AB4803" s="252"/>
      <c r="AC4803" s="257">
        <f>AC4804*AC4805</f>
        <v>0</v>
      </c>
      <c r="AF4803"/>
      <c r="AG4803"/>
    </row>
    <row r="4804" spans="1:33" s="47" customFormat="1">
      <c r="A4804"/>
      <c r="B4804"/>
      <c r="C4804"/>
      <c r="D4804"/>
      <c r="E4804"/>
      <c r="F4804"/>
      <c r="G4804"/>
      <c r="H4804"/>
      <c r="I4804"/>
      <c r="J4804"/>
      <c r="K4804"/>
      <c r="L4804"/>
      <c r="M4804" s="820"/>
      <c r="N4804" s="239" t="str">
        <f>N4803 &amp; ".1"</f>
        <v>4.13.1.1.1</v>
      </c>
      <c r="O4804" s="245" t="s">
        <v>254</v>
      </c>
      <c r="P4804" s="473" t="s">
        <v>2969</v>
      </c>
      <c r="Q4804" s="258"/>
      <c r="R4804" s="259"/>
      <c r="S4804" s="259"/>
      <c r="T4804" s="260"/>
      <c r="U4804" s="252"/>
      <c r="V4804" s="252"/>
      <c r="W4804" s="261"/>
      <c r="X4804" s="258"/>
      <c r="Y4804" s="202"/>
      <c r="Z4804" s="48"/>
      <c r="AA4804" s="252"/>
      <c r="AB4804" s="252"/>
      <c r="AC4804" s="261"/>
      <c r="AF4804"/>
      <c r="AG4804"/>
    </row>
    <row r="4805" spans="1:33" s="47" customFormat="1" collapsed="1">
      <c r="A4805"/>
      <c r="B4805"/>
      <c r="C4805"/>
      <c r="D4805"/>
      <c r="E4805"/>
      <c r="F4805"/>
      <c r="G4805"/>
      <c r="H4805"/>
      <c r="I4805"/>
      <c r="J4805"/>
      <c r="K4805"/>
      <c r="L4805"/>
      <c r="M4805" s="820"/>
      <c r="N4805" s="239" t="str">
        <f>N4803 &amp; ".2"</f>
        <v>4.13.1.1.2</v>
      </c>
      <c r="O4805" s="245" t="s">
        <v>250</v>
      </c>
      <c r="P4805" s="473" t="s">
        <v>251</v>
      </c>
      <c r="Q4805" s="258"/>
      <c r="R4805" s="259"/>
      <c r="S4805" s="259"/>
      <c r="T4805" s="260"/>
      <c r="U4805" s="252"/>
      <c r="V4805" s="252"/>
      <c r="W4805" s="261"/>
      <c r="X4805" s="258"/>
      <c r="Y4805" s="202"/>
      <c r="Z4805" s="48"/>
      <c r="AA4805" s="252"/>
      <c r="AB4805" s="252"/>
      <c r="AC4805" s="261"/>
      <c r="AF4805"/>
      <c r="AG4805"/>
    </row>
    <row r="4806" spans="1:33" s="47" customFormat="1">
      <c r="A4806"/>
      <c r="B4806"/>
      <c r="C4806"/>
      <c r="D4806"/>
      <c r="E4806"/>
      <c r="F4806"/>
      <c r="G4806"/>
      <c r="H4806"/>
      <c r="I4806"/>
      <c r="J4806"/>
      <c r="K4806"/>
      <c r="L4806"/>
      <c r="M4806" s="820"/>
      <c r="N4806" s="236" t="s">
        <v>2512</v>
      </c>
      <c r="O4806" s="248" t="s">
        <v>3015</v>
      </c>
      <c r="P4806" s="473" t="s">
        <v>786</v>
      </c>
      <c r="Q4806" s="258"/>
      <c r="R4806" s="259"/>
      <c r="S4806" s="259"/>
      <c r="T4806" s="260"/>
      <c r="U4806" s="252"/>
      <c r="V4806" s="252"/>
      <c r="W4806" s="257">
        <f>W4807*W4808</f>
        <v>0</v>
      </c>
      <c r="X4806" s="258"/>
      <c r="Y4806" s="202"/>
      <c r="Z4806" s="48"/>
      <c r="AA4806" s="252"/>
      <c r="AB4806" s="252"/>
      <c r="AC4806" s="257">
        <f>AC4807*AC4808</f>
        <v>0</v>
      </c>
      <c r="AF4806"/>
      <c r="AG4806"/>
    </row>
    <row r="4807" spans="1:33" s="47" customFormat="1">
      <c r="A4807"/>
      <c r="B4807"/>
      <c r="C4807"/>
      <c r="D4807"/>
      <c r="E4807"/>
      <c r="F4807"/>
      <c r="G4807"/>
      <c r="H4807"/>
      <c r="I4807"/>
      <c r="J4807"/>
      <c r="K4807"/>
      <c r="L4807"/>
      <c r="M4807" s="820"/>
      <c r="N4807" s="239" t="str">
        <f>N4806 &amp; ".1"</f>
        <v>4.13.1.2.1</v>
      </c>
      <c r="O4807" s="245" t="s">
        <v>255</v>
      </c>
      <c r="P4807" s="473" t="s">
        <v>2971</v>
      </c>
      <c r="Q4807" s="258"/>
      <c r="R4807" s="259"/>
      <c r="S4807" s="259"/>
      <c r="T4807" s="260"/>
      <c r="U4807" s="252"/>
      <c r="V4807" s="252"/>
      <c r="W4807" s="261"/>
      <c r="X4807" s="258"/>
      <c r="Y4807" s="202"/>
      <c r="Z4807" s="48"/>
      <c r="AA4807" s="252"/>
      <c r="AB4807" s="252"/>
      <c r="AC4807" s="261"/>
      <c r="AF4807"/>
      <c r="AG4807"/>
    </row>
    <row r="4808" spans="1:33" s="47" customFormat="1">
      <c r="A4808"/>
      <c r="B4808"/>
      <c r="C4808"/>
      <c r="D4808"/>
      <c r="E4808"/>
      <c r="F4808"/>
      <c r="G4808"/>
      <c r="H4808"/>
      <c r="I4808"/>
      <c r="J4808"/>
      <c r="K4808"/>
      <c r="L4808"/>
      <c r="M4808" s="820"/>
      <c r="N4808" s="239" t="str">
        <f>N4806 &amp; ".2"</f>
        <v>4.13.1.2.2</v>
      </c>
      <c r="O4808" s="245" t="s">
        <v>256</v>
      </c>
      <c r="P4808" s="473" t="s">
        <v>253</v>
      </c>
      <c r="Q4808" s="258"/>
      <c r="R4808" s="259"/>
      <c r="S4808" s="259"/>
      <c r="T4808" s="260"/>
      <c r="U4808" s="252"/>
      <c r="V4808" s="252"/>
      <c r="W4808" s="261"/>
      <c r="X4808" s="258"/>
      <c r="Y4808" s="202"/>
      <c r="Z4808" s="48"/>
      <c r="AA4808" s="252"/>
      <c r="AB4808" s="252"/>
      <c r="AC4808" s="261"/>
      <c r="AF4808"/>
      <c r="AG4808"/>
    </row>
    <row r="4809" spans="1:33" s="47" customFormat="1" collapsed="1">
      <c r="A4809"/>
      <c r="B4809"/>
      <c r="C4809"/>
      <c r="D4809"/>
      <c r="E4809"/>
      <c r="F4809"/>
      <c r="G4809"/>
      <c r="H4809"/>
      <c r="I4809"/>
      <c r="J4809"/>
      <c r="K4809"/>
      <c r="L4809"/>
      <c r="M4809" s="820"/>
      <c r="N4809" s="236" t="s">
        <v>2513</v>
      </c>
      <c r="O4809" s="225" t="s">
        <v>3020</v>
      </c>
      <c r="P4809" s="473" t="s">
        <v>786</v>
      </c>
      <c r="Q4809" s="258"/>
      <c r="R4809" s="259"/>
      <c r="S4809" s="259"/>
      <c r="T4809" s="260"/>
      <c r="U4809" s="252"/>
      <c r="V4809" s="252"/>
      <c r="W4809" s="257">
        <f>W4810*W4811</f>
        <v>0</v>
      </c>
      <c r="X4809" s="258"/>
      <c r="Y4809" s="202"/>
      <c r="Z4809" s="48"/>
      <c r="AA4809" s="252"/>
      <c r="AB4809" s="252"/>
      <c r="AC4809" s="257">
        <f>AC4810*AC4811</f>
        <v>0</v>
      </c>
      <c r="AF4809"/>
      <c r="AG4809"/>
    </row>
    <row r="4810" spans="1:33" s="47" customFormat="1">
      <c r="A4810"/>
      <c r="B4810"/>
      <c r="C4810"/>
      <c r="D4810"/>
      <c r="E4810"/>
      <c r="F4810"/>
      <c r="G4810"/>
      <c r="H4810"/>
      <c r="I4810"/>
      <c r="J4810"/>
      <c r="K4810"/>
      <c r="L4810"/>
      <c r="M4810" s="820"/>
      <c r="N4810" s="239" t="str">
        <f>N4809 &amp; ".1"</f>
        <v>4.13.2.1.1</v>
      </c>
      <c r="O4810" s="245" t="s">
        <v>254</v>
      </c>
      <c r="P4810" s="473" t="s">
        <v>2969</v>
      </c>
      <c r="Q4810" s="258"/>
      <c r="R4810" s="259"/>
      <c r="S4810" s="259"/>
      <c r="T4810" s="260"/>
      <c r="U4810" s="252"/>
      <c r="V4810" s="252"/>
      <c r="W4810" s="261"/>
      <c r="X4810" s="258"/>
      <c r="Y4810" s="202"/>
      <c r="Z4810" s="48"/>
      <c r="AA4810" s="252"/>
      <c r="AB4810" s="252"/>
      <c r="AC4810" s="261"/>
      <c r="AF4810"/>
      <c r="AG4810"/>
    </row>
    <row r="4811" spans="1:33" s="47" customFormat="1">
      <c r="A4811"/>
      <c r="B4811"/>
      <c r="C4811"/>
      <c r="D4811"/>
      <c r="E4811"/>
      <c r="F4811"/>
      <c r="G4811"/>
      <c r="H4811"/>
      <c r="I4811"/>
      <c r="J4811"/>
      <c r="K4811"/>
      <c r="L4811"/>
      <c r="M4811" s="820"/>
      <c r="N4811" s="239" t="str">
        <f>N4809 &amp; ".2"</f>
        <v>4.13.2.1.2</v>
      </c>
      <c r="O4811" s="245" t="s">
        <v>250</v>
      </c>
      <c r="P4811" s="473" t="s">
        <v>251</v>
      </c>
      <c r="Q4811" s="258"/>
      <c r="R4811" s="259"/>
      <c r="S4811" s="259"/>
      <c r="T4811" s="260"/>
      <c r="U4811" s="252"/>
      <c r="V4811" s="252"/>
      <c r="W4811" s="261"/>
      <c r="X4811" s="258"/>
      <c r="Y4811" s="202"/>
      <c r="Z4811" s="48"/>
      <c r="AA4811" s="252"/>
      <c r="AB4811" s="252"/>
      <c r="AC4811" s="261"/>
      <c r="AF4811"/>
      <c r="AG4811"/>
    </row>
    <row r="4812" spans="1:33" s="47" customFormat="1">
      <c r="A4812"/>
      <c r="B4812"/>
      <c r="C4812"/>
      <c r="D4812"/>
      <c r="E4812"/>
      <c r="F4812"/>
      <c r="G4812"/>
      <c r="H4812"/>
      <c r="I4812"/>
      <c r="J4812"/>
      <c r="K4812"/>
      <c r="L4812"/>
      <c r="M4812" s="820"/>
      <c r="N4812" s="236" t="s">
        <v>2514</v>
      </c>
      <c r="O4812" s="248" t="s">
        <v>3024</v>
      </c>
      <c r="P4812" s="473" t="s">
        <v>786</v>
      </c>
      <c r="Q4812" s="258"/>
      <c r="R4812" s="259"/>
      <c r="S4812" s="259"/>
      <c r="T4812" s="260"/>
      <c r="U4812" s="252"/>
      <c r="V4812" s="252"/>
      <c r="W4812" s="257">
        <f>W4813*W4814</f>
        <v>0</v>
      </c>
      <c r="X4812" s="258"/>
      <c r="Y4812" s="202"/>
      <c r="Z4812" s="48"/>
      <c r="AA4812" s="252"/>
      <c r="AB4812" s="252"/>
      <c r="AC4812" s="257">
        <f>AC4813*AC4814</f>
        <v>0</v>
      </c>
      <c r="AF4812"/>
      <c r="AG4812"/>
    </row>
    <row r="4813" spans="1:33" s="47" customFormat="1" collapsed="1">
      <c r="A4813"/>
      <c r="B4813"/>
      <c r="C4813"/>
      <c r="D4813"/>
      <c r="E4813"/>
      <c r="F4813"/>
      <c r="G4813"/>
      <c r="H4813"/>
      <c r="I4813"/>
      <c r="J4813"/>
      <c r="K4813"/>
      <c r="L4813"/>
      <c r="M4813" s="820"/>
      <c r="N4813" s="239" t="str">
        <f>N4812 &amp; ".1"</f>
        <v>4.13.2.2.1</v>
      </c>
      <c r="O4813" s="245" t="s">
        <v>255</v>
      </c>
      <c r="P4813" s="473" t="s">
        <v>2971</v>
      </c>
      <c r="Q4813" s="258"/>
      <c r="R4813" s="259"/>
      <c r="S4813" s="259"/>
      <c r="T4813" s="260"/>
      <c r="U4813" s="252"/>
      <c r="V4813" s="252"/>
      <c r="W4813" s="261"/>
      <c r="X4813" s="258"/>
      <c r="Y4813" s="202"/>
      <c r="Z4813" s="48"/>
      <c r="AA4813" s="252"/>
      <c r="AB4813" s="252"/>
      <c r="AC4813" s="261"/>
      <c r="AF4813"/>
      <c r="AG4813"/>
    </row>
    <row r="4814" spans="1:33" s="47" customFormat="1">
      <c r="A4814"/>
      <c r="B4814"/>
      <c r="C4814"/>
      <c r="D4814"/>
      <c r="E4814"/>
      <c r="F4814"/>
      <c r="G4814"/>
      <c r="H4814"/>
      <c r="I4814"/>
      <c r="J4814"/>
      <c r="K4814"/>
      <c r="L4814"/>
      <c r="M4814" s="820"/>
      <c r="N4814" s="239" t="str">
        <f>N4812 &amp; ".2"</f>
        <v>4.13.2.2.2</v>
      </c>
      <c r="O4814" s="245" t="s">
        <v>256</v>
      </c>
      <c r="P4814" s="473" t="s">
        <v>253</v>
      </c>
      <c r="Q4814" s="258"/>
      <c r="R4814" s="259"/>
      <c r="S4814" s="259"/>
      <c r="T4814" s="260"/>
      <c r="U4814" s="252"/>
      <c r="V4814" s="252"/>
      <c r="W4814" s="261"/>
      <c r="X4814" s="258"/>
      <c r="Y4814" s="202"/>
      <c r="Z4814" s="48"/>
      <c r="AA4814" s="252"/>
      <c r="AB4814" s="252"/>
      <c r="AC4814" s="261"/>
      <c r="AF4814"/>
      <c r="AG4814"/>
    </row>
    <row r="4815" spans="1:33" s="47" customFormat="1">
      <c r="A4815"/>
      <c r="B4815"/>
      <c r="C4815"/>
      <c r="D4815"/>
      <c r="E4815"/>
      <c r="F4815"/>
      <c r="G4815"/>
      <c r="H4815"/>
      <c r="I4815"/>
      <c r="J4815"/>
      <c r="K4815"/>
      <c r="L4815"/>
      <c r="M4815" s="820"/>
      <c r="N4815" s="236" t="s">
        <v>2515</v>
      </c>
      <c r="O4815" s="225" t="s">
        <v>3028</v>
      </c>
      <c r="P4815" s="473" t="s">
        <v>786</v>
      </c>
      <c r="Q4815" s="258"/>
      <c r="R4815" s="259"/>
      <c r="S4815" s="259"/>
      <c r="T4815" s="260"/>
      <c r="U4815" s="252"/>
      <c r="V4815" s="252"/>
      <c r="W4815" s="257">
        <f>W4816*W4817</f>
        <v>0</v>
      </c>
      <c r="X4815" s="258"/>
      <c r="Y4815" s="202"/>
      <c r="Z4815" s="48"/>
      <c r="AA4815" s="252"/>
      <c r="AB4815" s="252"/>
      <c r="AC4815" s="257">
        <f>AC4816*AC4817</f>
        <v>0</v>
      </c>
      <c r="AF4815"/>
      <c r="AG4815"/>
    </row>
    <row r="4816" spans="1:33" s="47" customFormat="1">
      <c r="A4816"/>
      <c r="B4816"/>
      <c r="C4816"/>
      <c r="D4816"/>
      <c r="E4816"/>
      <c r="F4816"/>
      <c r="G4816"/>
      <c r="H4816"/>
      <c r="I4816"/>
      <c r="J4816"/>
      <c r="K4816"/>
      <c r="L4816"/>
      <c r="M4816" s="820"/>
      <c r="N4816" s="239" t="str">
        <f>N4815 &amp; ".1"</f>
        <v>4.13.3.1.1</v>
      </c>
      <c r="O4816" s="245" t="s">
        <v>254</v>
      </c>
      <c r="P4816" s="473" t="s">
        <v>2969</v>
      </c>
      <c r="Q4816" s="258"/>
      <c r="R4816" s="259"/>
      <c r="S4816" s="259"/>
      <c r="T4816" s="260"/>
      <c r="U4816" s="252"/>
      <c r="V4816" s="252"/>
      <c r="W4816" s="261"/>
      <c r="X4816" s="258"/>
      <c r="Y4816" s="202"/>
      <c r="Z4816" s="48"/>
      <c r="AA4816" s="252"/>
      <c r="AB4816" s="252"/>
      <c r="AC4816" s="261"/>
      <c r="AF4816"/>
      <c r="AG4816"/>
    </row>
    <row r="4817" spans="1:33" s="47" customFormat="1">
      <c r="A4817"/>
      <c r="B4817"/>
      <c r="C4817"/>
      <c r="D4817"/>
      <c r="E4817"/>
      <c r="F4817"/>
      <c r="G4817"/>
      <c r="H4817"/>
      <c r="I4817"/>
      <c r="J4817"/>
      <c r="K4817"/>
      <c r="L4817"/>
      <c r="M4817" s="820"/>
      <c r="N4817" s="239" t="str">
        <f>N4815 &amp; ".2"</f>
        <v>4.13.3.1.2</v>
      </c>
      <c r="O4817" s="245" t="s">
        <v>250</v>
      </c>
      <c r="P4817" s="473" t="s">
        <v>251</v>
      </c>
      <c r="Q4817" s="258"/>
      <c r="R4817" s="259"/>
      <c r="S4817" s="259"/>
      <c r="T4817" s="260"/>
      <c r="U4817" s="252"/>
      <c r="V4817" s="252"/>
      <c r="W4817" s="261"/>
      <c r="X4817" s="258"/>
      <c r="Y4817" s="202"/>
      <c r="Z4817" s="48"/>
      <c r="AA4817" s="252"/>
      <c r="AB4817" s="252"/>
      <c r="AC4817" s="261"/>
      <c r="AF4817"/>
      <c r="AG4817"/>
    </row>
    <row r="4818" spans="1:33" s="47" customFormat="1">
      <c r="A4818"/>
      <c r="B4818"/>
      <c r="C4818"/>
      <c r="D4818"/>
      <c r="E4818"/>
      <c r="F4818"/>
      <c r="G4818"/>
      <c r="H4818"/>
      <c r="I4818"/>
      <c r="J4818"/>
      <c r="K4818"/>
      <c r="L4818"/>
      <c r="M4818" s="820"/>
      <c r="N4818" s="236" t="s">
        <v>2516</v>
      </c>
      <c r="O4818" s="248" t="s">
        <v>3032</v>
      </c>
      <c r="P4818" s="473" t="s">
        <v>786</v>
      </c>
      <c r="Q4818" s="258"/>
      <c r="R4818" s="259"/>
      <c r="S4818" s="259"/>
      <c r="T4818" s="260"/>
      <c r="U4818" s="252"/>
      <c r="V4818" s="252"/>
      <c r="W4818" s="257">
        <f>W4819*W4820</f>
        <v>0</v>
      </c>
      <c r="X4818" s="258"/>
      <c r="Y4818" s="202"/>
      <c r="Z4818" s="48"/>
      <c r="AA4818" s="252"/>
      <c r="AB4818" s="252"/>
      <c r="AC4818" s="257">
        <f>AC4819*AC4820</f>
        <v>0</v>
      </c>
      <c r="AF4818"/>
      <c r="AG4818"/>
    </row>
    <row r="4819" spans="1:33" s="47" customFormat="1">
      <c r="A4819"/>
      <c r="B4819"/>
      <c r="C4819"/>
      <c r="D4819"/>
      <c r="E4819"/>
      <c r="F4819"/>
      <c r="G4819"/>
      <c r="H4819"/>
      <c r="I4819"/>
      <c r="J4819"/>
      <c r="K4819"/>
      <c r="L4819"/>
      <c r="M4819" s="820"/>
      <c r="N4819" s="239" t="str">
        <f>N4818 &amp; ".1"</f>
        <v>4.13.3.2.1</v>
      </c>
      <c r="O4819" s="245" t="s">
        <v>255</v>
      </c>
      <c r="P4819" s="473" t="s">
        <v>2971</v>
      </c>
      <c r="Q4819" s="258"/>
      <c r="R4819" s="259"/>
      <c r="S4819" s="259"/>
      <c r="T4819" s="260"/>
      <c r="U4819" s="252"/>
      <c r="V4819" s="252"/>
      <c r="W4819" s="261"/>
      <c r="X4819" s="258"/>
      <c r="Y4819" s="202"/>
      <c r="Z4819" s="48"/>
      <c r="AA4819" s="252"/>
      <c r="AB4819" s="252"/>
      <c r="AC4819" s="261"/>
      <c r="AF4819"/>
      <c r="AG4819"/>
    </row>
    <row r="4820" spans="1:33" s="47" customFormat="1">
      <c r="A4820"/>
      <c r="B4820"/>
      <c r="C4820"/>
      <c r="D4820"/>
      <c r="E4820"/>
      <c r="F4820"/>
      <c r="G4820"/>
      <c r="H4820"/>
      <c r="I4820"/>
      <c r="J4820"/>
      <c r="K4820"/>
      <c r="L4820"/>
      <c r="M4820" s="820"/>
      <c r="N4820" s="239" t="str">
        <f>N4818 &amp; ".2"</f>
        <v>4.13.3.2.2</v>
      </c>
      <c r="O4820" s="245" t="s">
        <v>256</v>
      </c>
      <c r="P4820" s="473" t="s">
        <v>253</v>
      </c>
      <c r="Q4820" s="258"/>
      <c r="R4820" s="259"/>
      <c r="S4820" s="259"/>
      <c r="T4820" s="260"/>
      <c r="U4820" s="252"/>
      <c r="V4820" s="252"/>
      <c r="W4820" s="261"/>
      <c r="X4820" s="258"/>
      <c r="Y4820" s="202"/>
      <c r="Z4820" s="48"/>
      <c r="AA4820" s="252"/>
      <c r="AB4820" s="252"/>
      <c r="AC4820" s="261"/>
      <c r="AF4820"/>
      <c r="AG4820"/>
    </row>
    <row r="4821" spans="1:33" s="47" customFormat="1">
      <c r="A4821"/>
      <c r="B4821"/>
      <c r="C4821"/>
      <c r="D4821"/>
      <c r="E4821"/>
      <c r="F4821"/>
      <c r="G4821"/>
      <c r="H4821"/>
      <c r="I4821"/>
      <c r="J4821"/>
      <c r="K4821"/>
      <c r="L4821"/>
      <c r="M4821" s="820"/>
      <c r="N4821" s="236" t="s">
        <v>2517</v>
      </c>
      <c r="O4821" s="225" t="s">
        <v>3036</v>
      </c>
      <c r="P4821" s="473" t="s">
        <v>786</v>
      </c>
      <c r="Q4821" s="258"/>
      <c r="R4821" s="259"/>
      <c r="S4821" s="259"/>
      <c r="T4821" s="260"/>
      <c r="U4821" s="252"/>
      <c r="V4821" s="252"/>
      <c r="W4821" s="257">
        <f>W4822*W4823</f>
        <v>0</v>
      </c>
      <c r="X4821" s="258"/>
      <c r="Y4821" s="202"/>
      <c r="Z4821" s="48"/>
      <c r="AA4821" s="252"/>
      <c r="AB4821" s="252"/>
      <c r="AC4821" s="257">
        <f>AC4822*AC4823</f>
        <v>0</v>
      </c>
      <c r="AF4821"/>
      <c r="AG4821"/>
    </row>
    <row r="4822" spans="1:33" s="47" customFormat="1">
      <c r="A4822"/>
      <c r="B4822"/>
      <c r="C4822"/>
      <c r="D4822"/>
      <c r="E4822"/>
      <c r="F4822"/>
      <c r="G4822"/>
      <c r="H4822"/>
      <c r="I4822"/>
      <c r="J4822"/>
      <c r="K4822"/>
      <c r="L4822"/>
      <c r="M4822" s="820"/>
      <c r="N4822" s="239" t="str">
        <f>N4821 &amp; ".1"</f>
        <v>4.13.4.1.1</v>
      </c>
      <c r="O4822" s="245" t="s">
        <v>254</v>
      </c>
      <c r="P4822" s="473" t="s">
        <v>2969</v>
      </c>
      <c r="Q4822" s="258"/>
      <c r="R4822" s="259"/>
      <c r="S4822" s="259"/>
      <c r="T4822" s="260"/>
      <c r="U4822" s="252"/>
      <c r="V4822" s="252"/>
      <c r="W4822" s="261"/>
      <c r="X4822" s="258"/>
      <c r="Y4822" s="202"/>
      <c r="Z4822" s="48"/>
      <c r="AA4822" s="252"/>
      <c r="AB4822" s="252"/>
      <c r="AC4822" s="261"/>
      <c r="AF4822"/>
      <c r="AG4822"/>
    </row>
    <row r="4823" spans="1:33" s="47" customFormat="1">
      <c r="A4823"/>
      <c r="B4823"/>
      <c r="C4823"/>
      <c r="D4823"/>
      <c r="E4823"/>
      <c r="F4823"/>
      <c r="G4823"/>
      <c r="H4823"/>
      <c r="I4823"/>
      <c r="J4823"/>
      <c r="K4823"/>
      <c r="L4823"/>
      <c r="M4823" s="820"/>
      <c r="N4823" s="239" t="str">
        <f>N4821 &amp; ".2"</f>
        <v>4.13.4.1.2</v>
      </c>
      <c r="O4823" s="245" t="s">
        <v>250</v>
      </c>
      <c r="P4823" s="473" t="s">
        <v>251</v>
      </c>
      <c r="Q4823" s="258"/>
      <c r="R4823" s="259"/>
      <c r="S4823" s="259"/>
      <c r="T4823" s="260"/>
      <c r="U4823" s="252"/>
      <c r="V4823" s="252"/>
      <c r="W4823" s="261"/>
      <c r="X4823" s="258"/>
      <c r="Y4823" s="202"/>
      <c r="Z4823" s="48"/>
      <c r="AA4823" s="252"/>
      <c r="AB4823" s="252"/>
      <c r="AC4823" s="261"/>
      <c r="AF4823"/>
      <c r="AG4823"/>
    </row>
    <row r="4824" spans="1:33" s="47" customFormat="1">
      <c r="A4824"/>
      <c r="B4824"/>
      <c r="C4824"/>
      <c r="D4824"/>
      <c r="E4824"/>
      <c r="F4824"/>
      <c r="G4824"/>
      <c r="H4824"/>
      <c r="I4824"/>
      <c r="J4824"/>
      <c r="K4824"/>
      <c r="L4824"/>
      <c r="M4824" s="820"/>
      <c r="N4824" s="236" t="s">
        <v>2518</v>
      </c>
      <c r="O4824" s="248" t="s">
        <v>3040</v>
      </c>
      <c r="P4824" s="473" t="s">
        <v>786</v>
      </c>
      <c r="Q4824" s="258"/>
      <c r="R4824" s="259"/>
      <c r="S4824" s="259"/>
      <c r="T4824" s="260"/>
      <c r="U4824" s="252"/>
      <c r="V4824" s="252"/>
      <c r="W4824" s="257">
        <f>W4825*W4826</f>
        <v>0</v>
      </c>
      <c r="X4824" s="258"/>
      <c r="Y4824" s="202"/>
      <c r="Z4824" s="48"/>
      <c r="AA4824" s="252"/>
      <c r="AB4824" s="252"/>
      <c r="AC4824" s="257">
        <f>AC4825*AC4826</f>
        <v>0</v>
      </c>
      <c r="AF4824"/>
      <c r="AG4824"/>
    </row>
    <row r="4825" spans="1:33" s="47" customFormat="1">
      <c r="A4825"/>
      <c r="B4825"/>
      <c r="C4825"/>
      <c r="D4825"/>
      <c r="E4825"/>
      <c r="F4825"/>
      <c r="G4825"/>
      <c r="H4825"/>
      <c r="I4825"/>
      <c r="J4825"/>
      <c r="K4825"/>
      <c r="L4825"/>
      <c r="M4825" s="820"/>
      <c r="N4825" s="239" t="str">
        <f>N4824 &amp; ".1"</f>
        <v>4.13.4.2.1</v>
      </c>
      <c r="O4825" s="245" t="s">
        <v>255</v>
      </c>
      <c r="P4825" s="473" t="s">
        <v>2971</v>
      </c>
      <c r="Q4825" s="258"/>
      <c r="R4825" s="259"/>
      <c r="S4825" s="259"/>
      <c r="T4825" s="260"/>
      <c r="U4825" s="252"/>
      <c r="V4825" s="252"/>
      <c r="W4825" s="261"/>
      <c r="X4825" s="258"/>
      <c r="Y4825" s="202"/>
      <c r="Z4825" s="48"/>
      <c r="AA4825" s="252"/>
      <c r="AB4825" s="252"/>
      <c r="AC4825" s="261"/>
      <c r="AF4825"/>
      <c r="AG4825"/>
    </row>
    <row r="4826" spans="1:33" s="47" customFormat="1">
      <c r="A4826"/>
      <c r="B4826"/>
      <c r="C4826"/>
      <c r="D4826"/>
      <c r="E4826"/>
      <c r="F4826"/>
      <c r="G4826"/>
      <c r="H4826"/>
      <c r="I4826"/>
      <c r="J4826"/>
      <c r="K4826"/>
      <c r="L4826"/>
      <c r="M4826" s="820"/>
      <c r="N4826" s="239" t="str">
        <f>N4824 &amp; ".2"</f>
        <v>4.13.4.2.2</v>
      </c>
      <c r="O4826" s="245" t="s">
        <v>256</v>
      </c>
      <c r="P4826" s="473" t="s">
        <v>253</v>
      </c>
      <c r="Q4826" s="258"/>
      <c r="R4826" s="259"/>
      <c r="S4826" s="259"/>
      <c r="T4826" s="260"/>
      <c r="U4826" s="252"/>
      <c r="V4826" s="252"/>
      <c r="W4826" s="261"/>
      <c r="X4826" s="258"/>
      <c r="Y4826" s="202"/>
      <c r="Z4826" s="48"/>
      <c r="AA4826" s="252"/>
      <c r="AB4826" s="252"/>
      <c r="AC4826" s="261"/>
      <c r="AF4826"/>
      <c r="AG4826"/>
    </row>
    <row r="4827" spans="1:33" s="121" customFormat="1" hidden="1">
      <c r="A4827"/>
      <c r="B4827"/>
      <c r="C4827"/>
      <c r="D4827"/>
      <c r="E4827"/>
      <c r="F4827"/>
      <c r="G4827"/>
      <c r="H4827"/>
      <c r="I4827"/>
      <c r="J4827"/>
      <c r="K4827"/>
      <c r="L4827"/>
      <c r="M4827" s="50"/>
      <c r="N4827" s="256"/>
      <c r="O4827" s="256"/>
      <c r="P4827" s="253"/>
      <c r="Q4827" s="207"/>
      <c r="R4827" s="252"/>
      <c r="S4827" s="252"/>
      <c r="T4827" s="252"/>
      <c r="U4827" s="252"/>
      <c r="V4827" s="252"/>
      <c r="W4827" s="456"/>
      <c r="X4827" s="207"/>
      <c r="Y4827" s="202"/>
      <c r="Z4827" s="318"/>
      <c r="AA4827" s="252"/>
      <c r="AB4827" s="252"/>
      <c r="AC4827" s="456"/>
      <c r="AF4827"/>
      <c r="AG4827"/>
    </row>
    <row r="4828" spans="1:33" s="121" customFormat="1" ht="11.25" hidden="1" customHeight="1">
      <c r="A4828"/>
      <c r="B4828"/>
      <c r="C4828"/>
      <c r="D4828"/>
      <c r="E4828"/>
      <c r="F4828"/>
      <c r="G4828"/>
      <c r="H4828"/>
      <c r="I4828"/>
      <c r="J4828"/>
      <c r="K4828"/>
      <c r="L4828"/>
      <c r="M4828" s="50"/>
      <c r="N4828" s="256"/>
      <c r="O4828" s="256"/>
      <c r="P4828" s="253"/>
      <c r="Q4828" s="207"/>
      <c r="R4828" s="252"/>
      <c r="S4828" s="252"/>
      <c r="T4828" s="252"/>
      <c r="U4828" s="252"/>
      <c r="V4828" s="252"/>
      <c r="W4828" s="252"/>
      <c r="X4828" s="207"/>
      <c r="Y4828" s="202"/>
      <c r="Z4828" s="318"/>
      <c r="AA4828" s="252"/>
      <c r="AB4828" s="252"/>
      <c r="AC4828" s="252"/>
      <c r="AF4828"/>
      <c r="AG4828"/>
    </row>
    <row r="4829" spans="1:33" s="121" customFormat="1" ht="11.25" hidden="1" customHeight="1">
      <c r="A4829"/>
      <c r="B4829"/>
      <c r="C4829"/>
      <c r="D4829"/>
      <c r="E4829"/>
      <c r="F4829"/>
      <c r="G4829"/>
      <c r="H4829"/>
      <c r="I4829"/>
      <c r="J4829"/>
      <c r="K4829"/>
      <c r="L4829"/>
      <c r="M4829" s="50"/>
      <c r="N4829" s="256"/>
      <c r="O4829" s="256"/>
      <c r="P4829" s="253"/>
      <c r="Q4829" s="207"/>
      <c r="R4829" s="252"/>
      <c r="S4829" s="252"/>
      <c r="T4829" s="252"/>
      <c r="U4829" s="252"/>
      <c r="V4829" s="252"/>
      <c r="W4829" s="252"/>
      <c r="X4829" s="207"/>
      <c r="Y4829" s="202"/>
      <c r="Z4829" s="318"/>
      <c r="AA4829" s="252"/>
      <c r="AB4829" s="252"/>
      <c r="AC4829" s="252"/>
      <c r="AF4829"/>
      <c r="AG4829"/>
    </row>
    <row r="4830" spans="1:33" s="121" customFormat="1" ht="11.25" hidden="1" customHeight="1">
      <c r="A4830"/>
      <c r="B4830"/>
      <c r="C4830"/>
      <c r="D4830"/>
      <c r="E4830"/>
      <c r="F4830"/>
      <c r="G4830"/>
      <c r="H4830"/>
      <c r="I4830"/>
      <c r="J4830"/>
      <c r="K4830"/>
      <c r="L4830"/>
      <c r="M4830" s="50"/>
      <c r="N4830" s="256"/>
      <c r="O4830" s="256"/>
      <c r="P4830" s="253"/>
      <c r="Q4830" s="207"/>
      <c r="R4830" s="252"/>
      <c r="S4830" s="252"/>
      <c r="T4830" s="252"/>
      <c r="U4830" s="252"/>
      <c r="V4830" s="252"/>
      <c r="W4830" s="252"/>
      <c r="X4830" s="207"/>
      <c r="Y4830" s="202"/>
      <c r="Z4830" s="318"/>
      <c r="AA4830" s="252"/>
      <c r="AB4830" s="252"/>
      <c r="AC4830" s="252"/>
      <c r="AF4830"/>
      <c r="AG4830"/>
    </row>
    <row r="4831" spans="1:33" s="121" customFormat="1" ht="11.25" hidden="1" customHeight="1">
      <c r="A4831"/>
      <c r="B4831"/>
      <c r="C4831"/>
      <c r="D4831"/>
      <c r="E4831"/>
      <c r="F4831"/>
      <c r="G4831"/>
      <c r="H4831"/>
      <c r="I4831"/>
      <c r="J4831"/>
      <c r="K4831"/>
      <c r="L4831"/>
      <c r="M4831" s="50"/>
      <c r="N4831" s="256"/>
      <c r="O4831" s="256"/>
      <c r="P4831" s="253"/>
      <c r="Q4831" s="207"/>
      <c r="R4831" s="252"/>
      <c r="S4831" s="252"/>
      <c r="T4831" s="252"/>
      <c r="U4831" s="252"/>
      <c r="V4831" s="252"/>
      <c r="W4831" s="252"/>
      <c r="X4831" s="207"/>
      <c r="Y4831" s="202"/>
      <c r="Z4831" s="318"/>
      <c r="AA4831" s="252"/>
      <c r="AB4831" s="252"/>
      <c r="AC4831" s="252"/>
      <c r="AF4831"/>
      <c r="AG4831"/>
    </row>
    <row r="4832" spans="1:33" s="121" customFormat="1" ht="11.25" hidden="1" customHeight="1">
      <c r="A4832"/>
      <c r="B4832"/>
      <c r="C4832"/>
      <c r="D4832"/>
      <c r="E4832"/>
      <c r="F4832"/>
      <c r="G4832"/>
      <c r="H4832"/>
      <c r="I4832"/>
      <c r="J4832"/>
      <c r="K4832"/>
      <c r="L4832"/>
      <c r="M4832" s="50"/>
      <c r="N4832" s="256"/>
      <c r="O4832" s="256"/>
      <c r="P4832" s="253"/>
      <c r="Q4832" s="207"/>
      <c r="R4832" s="252"/>
      <c r="S4832" s="252"/>
      <c r="T4832" s="252"/>
      <c r="U4832" s="252"/>
      <c r="V4832" s="252"/>
      <c r="W4832" s="252"/>
      <c r="X4832" s="207"/>
      <c r="Y4832" s="202"/>
      <c r="Z4832" s="318"/>
      <c r="AA4832" s="252"/>
      <c r="AB4832" s="252"/>
      <c r="AC4832" s="252"/>
      <c r="AF4832"/>
      <c r="AG4832"/>
    </row>
    <row r="4833" spans="1:33" s="121" customFormat="1" ht="11.25" hidden="1" customHeight="1">
      <c r="A4833"/>
      <c r="B4833"/>
      <c r="C4833"/>
      <c r="D4833"/>
      <c r="E4833"/>
      <c r="F4833"/>
      <c r="G4833"/>
      <c r="H4833"/>
      <c r="I4833"/>
      <c r="J4833"/>
      <c r="K4833"/>
      <c r="L4833"/>
      <c r="M4833" s="50"/>
      <c r="N4833" s="256"/>
      <c r="O4833" s="256"/>
      <c r="P4833" s="253"/>
      <c r="Q4833" s="207"/>
      <c r="R4833" s="252"/>
      <c r="S4833" s="252"/>
      <c r="T4833" s="252"/>
      <c r="U4833" s="252"/>
      <c r="V4833" s="252"/>
      <c r="W4833" s="252"/>
      <c r="X4833" s="207"/>
      <c r="Y4833" s="202"/>
      <c r="Z4833" s="318"/>
      <c r="AA4833" s="252"/>
      <c r="AB4833" s="252"/>
      <c r="AC4833" s="252"/>
      <c r="AF4833"/>
      <c r="AG4833"/>
    </row>
    <row r="4834" spans="1:33" s="121" customFormat="1" ht="11.25" hidden="1" customHeight="1">
      <c r="A4834"/>
      <c r="B4834"/>
      <c r="C4834"/>
      <c r="D4834"/>
      <c r="E4834"/>
      <c r="F4834"/>
      <c r="G4834"/>
      <c r="H4834"/>
      <c r="I4834"/>
      <c r="J4834"/>
      <c r="K4834"/>
      <c r="L4834"/>
      <c r="M4834" s="50"/>
      <c r="N4834" s="256"/>
      <c r="O4834" s="256"/>
      <c r="P4834" s="253"/>
      <c r="Q4834" s="207"/>
      <c r="R4834" s="252"/>
      <c r="S4834" s="252"/>
      <c r="T4834" s="252"/>
      <c r="U4834" s="252"/>
      <c r="V4834" s="252"/>
      <c r="W4834" s="252"/>
      <c r="X4834" s="207"/>
      <c r="Y4834" s="202"/>
      <c r="Z4834" s="318"/>
      <c r="AA4834" s="252"/>
      <c r="AB4834" s="252"/>
      <c r="AC4834" s="252"/>
      <c r="AF4834"/>
      <c r="AG4834"/>
    </row>
    <row r="4835" spans="1:33" s="121" customFormat="1" ht="11.25" hidden="1" customHeight="1">
      <c r="A4835"/>
      <c r="B4835"/>
      <c r="C4835"/>
      <c r="D4835"/>
      <c r="E4835"/>
      <c r="F4835"/>
      <c r="G4835"/>
      <c r="H4835"/>
      <c r="I4835"/>
      <c r="J4835"/>
      <c r="K4835"/>
      <c r="L4835"/>
      <c r="M4835" s="50"/>
      <c r="N4835" s="256"/>
      <c r="O4835" s="256"/>
      <c r="P4835" s="253"/>
      <c r="Q4835" s="207"/>
      <c r="R4835" s="252"/>
      <c r="S4835" s="252"/>
      <c r="T4835" s="252"/>
      <c r="U4835" s="252"/>
      <c r="V4835" s="252"/>
      <c r="W4835" s="252"/>
      <c r="X4835" s="207"/>
      <c r="Y4835" s="202"/>
      <c r="Z4835" s="318"/>
      <c r="AA4835" s="252"/>
      <c r="AB4835" s="252"/>
      <c r="AC4835" s="252"/>
      <c r="AF4835"/>
      <c r="AG4835"/>
    </row>
    <row r="4836" spans="1:33" s="121" customFormat="1" ht="11.25" hidden="1" customHeight="1">
      <c r="A4836"/>
      <c r="B4836"/>
      <c r="C4836"/>
      <c r="D4836"/>
      <c r="E4836"/>
      <c r="F4836"/>
      <c r="G4836"/>
      <c r="H4836"/>
      <c r="I4836"/>
      <c r="J4836"/>
      <c r="K4836"/>
      <c r="L4836"/>
      <c r="M4836" s="50"/>
      <c r="N4836" s="256"/>
      <c r="O4836" s="256"/>
      <c r="P4836" s="253"/>
      <c r="Q4836" s="207"/>
      <c r="R4836" s="252"/>
      <c r="S4836" s="252"/>
      <c r="T4836" s="252"/>
      <c r="U4836" s="252"/>
      <c r="V4836" s="252"/>
      <c r="W4836" s="252"/>
      <c r="X4836" s="207"/>
      <c r="Y4836" s="202"/>
      <c r="Z4836" s="318"/>
      <c r="AA4836" s="252"/>
      <c r="AB4836" s="252"/>
      <c r="AC4836" s="252"/>
      <c r="AF4836"/>
      <c r="AG4836"/>
    </row>
    <row r="4837" spans="1:33" s="121" customFormat="1" ht="11.25" hidden="1" customHeight="1">
      <c r="A4837"/>
      <c r="B4837"/>
      <c r="C4837"/>
      <c r="D4837"/>
      <c r="E4837"/>
      <c r="F4837"/>
      <c r="G4837"/>
      <c r="H4837"/>
      <c r="I4837"/>
      <c r="J4837"/>
      <c r="K4837"/>
      <c r="L4837"/>
      <c r="M4837" s="50"/>
      <c r="N4837" s="256"/>
      <c r="O4837" s="256"/>
      <c r="P4837" s="253"/>
      <c r="Q4837" s="207"/>
      <c r="R4837" s="252"/>
      <c r="S4837" s="252"/>
      <c r="T4837" s="252"/>
      <c r="U4837" s="252"/>
      <c r="V4837" s="252"/>
      <c r="W4837" s="252"/>
      <c r="X4837" s="207"/>
      <c r="Y4837" s="202"/>
      <c r="Z4837" s="318"/>
      <c r="AA4837" s="252"/>
      <c r="AB4837" s="252"/>
      <c r="AC4837" s="252"/>
      <c r="AF4837"/>
      <c r="AG4837"/>
    </row>
    <row r="4838" spans="1:33" s="121" customFormat="1" ht="11.25" hidden="1" customHeight="1">
      <c r="A4838"/>
      <c r="B4838"/>
      <c r="C4838"/>
      <c r="D4838"/>
      <c r="E4838"/>
      <c r="F4838"/>
      <c r="G4838"/>
      <c r="H4838"/>
      <c r="I4838"/>
      <c r="J4838"/>
      <c r="K4838"/>
      <c r="L4838"/>
      <c r="M4838" s="50"/>
      <c r="N4838" s="256"/>
      <c r="O4838" s="256"/>
      <c r="P4838" s="253"/>
      <c r="Q4838" s="207"/>
      <c r="R4838" s="252"/>
      <c r="S4838" s="252"/>
      <c r="T4838" s="252"/>
      <c r="U4838" s="252"/>
      <c r="V4838" s="252"/>
      <c r="W4838" s="252"/>
      <c r="X4838" s="207"/>
      <c r="Y4838" s="202"/>
      <c r="Z4838" s="318"/>
      <c r="AA4838" s="252"/>
      <c r="AB4838" s="252"/>
      <c r="AC4838" s="252"/>
      <c r="AF4838"/>
      <c r="AG4838"/>
    </row>
    <row r="4839" spans="1:33" s="121" customFormat="1" ht="11.25" hidden="1" customHeight="1">
      <c r="A4839"/>
      <c r="B4839"/>
      <c r="C4839"/>
      <c r="D4839"/>
      <c r="E4839"/>
      <c r="F4839"/>
      <c r="G4839"/>
      <c r="H4839"/>
      <c r="I4839"/>
      <c r="J4839"/>
      <c r="K4839"/>
      <c r="L4839"/>
      <c r="M4839" s="50"/>
      <c r="N4839" s="256"/>
      <c r="O4839" s="256"/>
      <c r="P4839" s="253"/>
      <c r="Q4839" s="207"/>
      <c r="R4839" s="252"/>
      <c r="S4839" s="252"/>
      <c r="T4839" s="252"/>
      <c r="U4839" s="252"/>
      <c r="V4839" s="252"/>
      <c r="W4839" s="252"/>
      <c r="X4839" s="207"/>
      <c r="Y4839" s="202"/>
      <c r="Z4839" s="318"/>
      <c r="AA4839" s="252"/>
      <c r="AB4839" s="252"/>
      <c r="AC4839" s="252"/>
      <c r="AF4839"/>
      <c r="AG4839"/>
    </row>
    <row r="4840" spans="1:33" s="121" customFormat="1" ht="11.25" hidden="1" customHeight="1">
      <c r="A4840"/>
      <c r="B4840"/>
      <c r="C4840"/>
      <c r="D4840"/>
      <c r="E4840"/>
      <c r="F4840"/>
      <c r="G4840"/>
      <c r="H4840"/>
      <c r="I4840"/>
      <c r="J4840"/>
      <c r="K4840"/>
      <c r="L4840"/>
      <c r="M4840" s="50"/>
      <c r="N4840" s="256"/>
      <c r="O4840" s="256"/>
      <c r="P4840" s="253"/>
      <c r="Q4840" s="207"/>
      <c r="R4840" s="252"/>
      <c r="S4840" s="252"/>
      <c r="T4840" s="252"/>
      <c r="U4840" s="252"/>
      <c r="V4840" s="252"/>
      <c r="W4840" s="252"/>
      <c r="X4840" s="207"/>
      <c r="Y4840" s="202"/>
      <c r="Z4840" s="318"/>
      <c r="AA4840" s="252"/>
      <c r="AB4840" s="252"/>
      <c r="AC4840" s="252"/>
      <c r="AF4840"/>
      <c r="AG4840"/>
    </row>
    <row r="4841" spans="1:33" s="121" customFormat="1" ht="11.25" hidden="1" customHeight="1">
      <c r="A4841"/>
      <c r="B4841"/>
      <c r="C4841"/>
      <c r="D4841"/>
      <c r="E4841"/>
      <c r="F4841"/>
      <c r="G4841"/>
      <c r="H4841"/>
      <c r="I4841"/>
      <c r="J4841"/>
      <c r="K4841"/>
      <c r="L4841"/>
      <c r="M4841" s="50"/>
      <c r="N4841" s="256"/>
      <c r="O4841" s="256"/>
      <c r="P4841" s="253"/>
      <c r="Q4841" s="207"/>
      <c r="R4841" s="252"/>
      <c r="S4841" s="252"/>
      <c r="T4841" s="252"/>
      <c r="U4841" s="252"/>
      <c r="V4841" s="252"/>
      <c r="W4841" s="252"/>
      <c r="X4841" s="207"/>
      <c r="Y4841" s="202"/>
      <c r="Z4841" s="318"/>
      <c r="AA4841" s="252"/>
      <c r="AB4841" s="252"/>
      <c r="AC4841" s="252"/>
      <c r="AF4841"/>
      <c r="AG4841"/>
    </row>
    <row r="4842" spans="1:33" s="121" customFormat="1" ht="11.25" hidden="1" customHeight="1">
      <c r="A4842"/>
      <c r="B4842"/>
      <c r="C4842"/>
      <c r="D4842"/>
      <c r="E4842"/>
      <c r="F4842"/>
      <c r="G4842"/>
      <c r="H4842"/>
      <c r="I4842"/>
      <c r="J4842"/>
      <c r="K4842"/>
      <c r="L4842"/>
      <c r="M4842" s="50"/>
      <c r="N4842" s="256"/>
      <c r="O4842" s="256"/>
      <c r="P4842" s="253"/>
      <c r="Q4842" s="207"/>
      <c r="R4842" s="252"/>
      <c r="S4842" s="252"/>
      <c r="T4842" s="252"/>
      <c r="U4842" s="252"/>
      <c r="V4842" s="252"/>
      <c r="W4842" s="252"/>
      <c r="X4842" s="207"/>
      <c r="Y4842" s="202"/>
      <c r="Z4842" s="318"/>
      <c r="AA4842" s="252"/>
      <c r="AB4842" s="252"/>
      <c r="AC4842" s="252"/>
      <c r="AF4842"/>
      <c r="AG4842"/>
    </row>
    <row r="4843" spans="1:33" s="121" customFormat="1" ht="11.25" hidden="1" customHeight="1">
      <c r="A4843"/>
      <c r="B4843"/>
      <c r="C4843"/>
      <c r="D4843"/>
      <c r="E4843"/>
      <c r="F4843"/>
      <c r="G4843"/>
      <c r="H4843"/>
      <c r="I4843"/>
      <c r="J4843"/>
      <c r="K4843"/>
      <c r="L4843"/>
      <c r="M4843" s="50"/>
      <c r="N4843" s="256"/>
      <c r="O4843" s="256"/>
      <c r="P4843" s="253"/>
      <c r="Q4843" s="207"/>
      <c r="R4843" s="252"/>
      <c r="S4843" s="252"/>
      <c r="T4843" s="252"/>
      <c r="U4843" s="252"/>
      <c r="V4843" s="252"/>
      <c r="W4843" s="252"/>
      <c r="X4843" s="207"/>
      <c r="Y4843" s="202"/>
      <c r="Z4843" s="318"/>
      <c r="AA4843" s="252"/>
      <c r="AB4843" s="252"/>
      <c r="AC4843" s="252"/>
      <c r="AF4843"/>
      <c r="AG4843"/>
    </row>
    <row r="4844" spans="1:33" s="121" customFormat="1" hidden="1">
      <c r="A4844"/>
      <c r="B4844"/>
      <c r="C4844"/>
      <c r="D4844"/>
      <c r="E4844"/>
      <c r="F4844"/>
      <c r="G4844"/>
      <c r="H4844"/>
      <c r="I4844"/>
      <c r="J4844"/>
      <c r="K4844"/>
      <c r="L4844"/>
      <c r="M4844" s="50"/>
      <c r="N4844" s="256"/>
      <c r="O4844" s="256"/>
      <c r="P4844" s="253"/>
      <c r="Q4844" s="207"/>
      <c r="R4844" s="252"/>
      <c r="S4844" s="252"/>
      <c r="T4844" s="252"/>
      <c r="U4844" s="252"/>
      <c r="V4844" s="252"/>
      <c r="W4844" s="252"/>
      <c r="X4844" s="207"/>
      <c r="Y4844" s="202"/>
      <c r="Z4844" s="318"/>
      <c r="AA4844" s="252"/>
      <c r="AB4844" s="252"/>
      <c r="AC4844" s="252"/>
      <c r="AF4844"/>
      <c r="AG4844"/>
    </row>
    <row r="4845" spans="1:33" s="121" customFormat="1" hidden="1">
      <c r="A4845"/>
      <c r="B4845"/>
      <c r="C4845"/>
      <c r="D4845"/>
      <c r="E4845"/>
      <c r="F4845"/>
      <c r="G4845"/>
      <c r="H4845"/>
      <c r="I4845"/>
      <c r="J4845"/>
      <c r="K4845"/>
      <c r="L4845"/>
      <c r="M4845" s="50"/>
      <c r="N4845" s="256"/>
      <c r="O4845" s="256"/>
      <c r="P4845" s="253"/>
      <c r="Q4845" s="207"/>
      <c r="R4845" s="252"/>
      <c r="S4845" s="252"/>
      <c r="T4845" s="252"/>
      <c r="U4845" s="252"/>
      <c r="V4845" s="252"/>
      <c r="W4845" s="252"/>
      <c r="X4845" s="207"/>
      <c r="Y4845" s="202"/>
      <c r="Z4845" s="318"/>
      <c r="AA4845" s="252"/>
      <c r="AB4845" s="252"/>
      <c r="AC4845" s="252"/>
      <c r="AF4845"/>
      <c r="AG4845"/>
    </row>
    <row r="4846" spans="1:33" s="121" customFormat="1" hidden="1">
      <c r="A4846"/>
      <c r="B4846"/>
      <c r="C4846"/>
      <c r="D4846"/>
      <c r="E4846"/>
      <c r="F4846"/>
      <c r="G4846"/>
      <c r="H4846"/>
      <c r="I4846"/>
      <c r="J4846"/>
      <c r="K4846"/>
      <c r="L4846"/>
      <c r="M4846" s="50"/>
      <c r="N4846" s="256"/>
      <c r="O4846" s="256"/>
      <c r="P4846" s="253"/>
      <c r="Q4846" s="207"/>
      <c r="R4846" s="252"/>
      <c r="S4846" s="252"/>
      <c r="T4846" s="252"/>
      <c r="U4846" s="252"/>
      <c r="V4846" s="252"/>
      <c r="W4846" s="252"/>
      <c r="X4846" s="207"/>
      <c r="Y4846" s="202"/>
      <c r="Z4846" s="318"/>
      <c r="AA4846" s="252"/>
      <c r="AB4846" s="252"/>
      <c r="AC4846" s="252"/>
      <c r="AF4846"/>
      <c r="AG4846"/>
    </row>
    <row r="4847" spans="1:33" s="121" customFormat="1" hidden="1">
      <c r="A4847"/>
      <c r="B4847"/>
      <c r="C4847"/>
      <c r="D4847"/>
      <c r="E4847"/>
      <c r="F4847"/>
      <c r="G4847"/>
      <c r="H4847"/>
      <c r="I4847"/>
      <c r="J4847"/>
      <c r="K4847"/>
      <c r="L4847"/>
      <c r="M4847" s="50"/>
      <c r="N4847" s="256"/>
      <c r="O4847" s="256"/>
      <c r="P4847" s="253"/>
      <c r="Q4847" s="207"/>
      <c r="R4847" s="252"/>
      <c r="S4847" s="252"/>
      <c r="T4847" s="252"/>
      <c r="U4847" s="252"/>
      <c r="V4847" s="252"/>
      <c r="W4847" s="252"/>
      <c r="X4847" s="207"/>
      <c r="Y4847" s="202"/>
      <c r="Z4847" s="318"/>
      <c r="AA4847" s="252"/>
      <c r="AB4847" s="252"/>
      <c r="AC4847" s="252"/>
      <c r="AF4847"/>
      <c r="AG4847"/>
    </row>
    <row r="4848" spans="1:33" s="121" customFormat="1" hidden="1">
      <c r="A4848"/>
      <c r="B4848"/>
      <c r="C4848"/>
      <c r="D4848"/>
      <c r="E4848"/>
      <c r="F4848"/>
      <c r="G4848"/>
      <c r="H4848"/>
      <c r="I4848"/>
      <c r="J4848"/>
      <c r="K4848"/>
      <c r="L4848"/>
      <c r="M4848" s="50"/>
      <c r="N4848" s="256"/>
      <c r="O4848" s="256"/>
      <c r="P4848" s="253"/>
      <c r="Q4848" s="207"/>
      <c r="R4848" s="252"/>
      <c r="S4848" s="252"/>
      <c r="T4848" s="252"/>
      <c r="U4848" s="252"/>
      <c r="V4848" s="252"/>
      <c r="W4848" s="252"/>
      <c r="X4848" s="207"/>
      <c r="Y4848" s="202"/>
      <c r="Z4848" s="318"/>
      <c r="AA4848" s="252"/>
      <c r="AB4848" s="252"/>
      <c r="AC4848" s="252"/>
      <c r="AF4848"/>
      <c r="AG4848"/>
    </row>
    <row r="4849" spans="1:33" s="121" customFormat="1" hidden="1">
      <c r="A4849"/>
      <c r="B4849"/>
      <c r="C4849"/>
      <c r="D4849"/>
      <c r="E4849"/>
      <c r="F4849"/>
      <c r="G4849"/>
      <c r="H4849"/>
      <c r="I4849"/>
      <c r="J4849"/>
      <c r="K4849"/>
      <c r="L4849"/>
      <c r="M4849" s="50"/>
      <c r="N4849" s="256"/>
      <c r="O4849" s="256"/>
      <c r="P4849" s="253"/>
      <c r="Q4849" s="207"/>
      <c r="R4849" s="252"/>
      <c r="S4849" s="252"/>
      <c r="T4849" s="252"/>
      <c r="U4849" s="252"/>
      <c r="V4849" s="252"/>
      <c r="W4849" s="252"/>
      <c r="X4849" s="207"/>
      <c r="Y4849" s="202"/>
      <c r="Z4849" s="318"/>
      <c r="AA4849" s="252"/>
      <c r="AB4849" s="252"/>
      <c r="AC4849" s="252"/>
      <c r="AF4849"/>
      <c r="AG4849"/>
    </row>
    <row r="4850" spans="1:33" s="121" customFormat="1" hidden="1">
      <c r="A4850"/>
      <c r="B4850"/>
      <c r="C4850"/>
      <c r="D4850"/>
      <c r="E4850"/>
      <c r="F4850"/>
      <c r="G4850"/>
      <c r="H4850"/>
      <c r="I4850"/>
      <c r="J4850"/>
      <c r="K4850"/>
      <c r="L4850"/>
      <c r="M4850" s="50"/>
      <c r="N4850" s="256"/>
      <c r="O4850" s="256"/>
      <c r="P4850" s="253"/>
      <c r="Q4850" s="207"/>
      <c r="R4850" s="252"/>
      <c r="S4850" s="252"/>
      <c r="T4850" s="252"/>
      <c r="U4850" s="252"/>
      <c r="V4850" s="252"/>
      <c r="W4850" s="252"/>
      <c r="X4850" s="207"/>
      <c r="Y4850" s="202"/>
      <c r="Z4850" s="318"/>
      <c r="AA4850" s="252"/>
      <c r="AB4850" s="252"/>
      <c r="AC4850" s="252"/>
      <c r="AF4850"/>
      <c r="AG4850"/>
    </row>
    <row r="4851" spans="1:33" s="121" customFormat="1" hidden="1">
      <c r="A4851"/>
      <c r="B4851"/>
      <c r="C4851"/>
      <c r="D4851"/>
      <c r="E4851"/>
      <c r="F4851"/>
      <c r="G4851"/>
      <c r="H4851"/>
      <c r="I4851"/>
      <c r="J4851"/>
      <c r="K4851"/>
      <c r="L4851"/>
      <c r="M4851" s="50"/>
      <c r="N4851" s="256"/>
      <c r="O4851" s="256"/>
      <c r="P4851" s="253"/>
      <c r="Q4851" s="207"/>
      <c r="R4851" s="252"/>
      <c r="S4851" s="252"/>
      <c r="T4851" s="252"/>
      <c r="U4851" s="252"/>
      <c r="V4851" s="252"/>
      <c r="W4851" s="252"/>
      <c r="X4851" s="207"/>
      <c r="Y4851" s="202"/>
      <c r="Z4851" s="318"/>
      <c r="AA4851" s="252"/>
      <c r="AB4851" s="252"/>
      <c r="AC4851" s="252"/>
      <c r="AF4851"/>
      <c r="AG4851"/>
    </row>
    <row r="4852" spans="1:33" s="121" customFormat="1" hidden="1">
      <c r="A4852"/>
      <c r="B4852"/>
      <c r="C4852"/>
      <c r="D4852"/>
      <c r="E4852"/>
      <c r="F4852"/>
      <c r="G4852"/>
      <c r="H4852"/>
      <c r="I4852"/>
      <c r="J4852"/>
      <c r="K4852"/>
      <c r="L4852"/>
      <c r="M4852" s="50"/>
      <c r="N4852" s="256"/>
      <c r="O4852" s="256"/>
      <c r="P4852" s="253"/>
      <c r="Q4852" s="207"/>
      <c r="R4852" s="252"/>
      <c r="S4852" s="252"/>
      <c r="T4852" s="252"/>
      <c r="U4852" s="252"/>
      <c r="V4852" s="252"/>
      <c r="W4852" s="252"/>
      <c r="X4852" s="207"/>
      <c r="Y4852" s="202"/>
      <c r="Z4852" s="318"/>
      <c r="AA4852" s="252"/>
      <c r="AB4852" s="252"/>
      <c r="AC4852" s="252"/>
      <c r="AF4852"/>
      <c r="AG4852"/>
    </row>
    <row r="4853" spans="1:33" s="121" customFormat="1" hidden="1">
      <c r="A4853"/>
      <c r="B4853"/>
      <c r="C4853"/>
      <c r="D4853"/>
      <c r="E4853"/>
      <c r="F4853"/>
      <c r="G4853"/>
      <c r="H4853"/>
      <c r="I4853"/>
      <c r="J4853"/>
      <c r="K4853"/>
      <c r="L4853"/>
      <c r="M4853" s="50"/>
      <c r="N4853" s="256"/>
      <c r="O4853" s="256"/>
      <c r="P4853" s="253"/>
      <c r="Q4853" s="207"/>
      <c r="R4853" s="252"/>
      <c r="S4853" s="252"/>
      <c r="T4853" s="252"/>
      <c r="U4853" s="252"/>
      <c r="V4853" s="252"/>
      <c r="W4853" s="252"/>
      <c r="X4853" s="207"/>
      <c r="Y4853" s="202"/>
      <c r="Z4853" s="318"/>
      <c r="AA4853" s="252"/>
      <c r="AB4853" s="252"/>
      <c r="AC4853" s="252"/>
      <c r="AF4853"/>
      <c r="AG4853"/>
    </row>
    <row r="4854" spans="1:33" s="121" customFormat="1" hidden="1">
      <c r="A4854"/>
      <c r="B4854"/>
      <c r="C4854"/>
      <c r="D4854"/>
      <c r="E4854"/>
      <c r="F4854"/>
      <c r="G4854"/>
      <c r="H4854"/>
      <c r="I4854"/>
      <c r="J4854"/>
      <c r="K4854"/>
      <c r="L4854"/>
      <c r="M4854" s="50"/>
      <c r="N4854" s="256"/>
      <c r="O4854" s="256"/>
      <c r="P4854" s="253"/>
      <c r="Q4854" s="207"/>
      <c r="R4854" s="252"/>
      <c r="S4854" s="252"/>
      <c r="T4854" s="252"/>
      <c r="U4854" s="252"/>
      <c r="V4854" s="252"/>
      <c r="W4854" s="252"/>
      <c r="X4854" s="207"/>
      <c r="Y4854" s="202"/>
      <c r="Z4854" s="318"/>
      <c r="AA4854" s="252"/>
      <c r="AB4854" s="252"/>
      <c r="AC4854" s="252"/>
      <c r="AF4854"/>
      <c r="AG4854"/>
    </row>
    <row r="4855" spans="1:33" s="121" customFormat="1" hidden="1">
      <c r="A4855"/>
      <c r="B4855"/>
      <c r="C4855"/>
      <c r="D4855"/>
      <c r="E4855"/>
      <c r="F4855"/>
      <c r="G4855"/>
      <c r="H4855"/>
      <c r="I4855"/>
      <c r="J4855"/>
      <c r="K4855"/>
      <c r="L4855"/>
      <c r="M4855" s="50"/>
      <c r="N4855" s="256"/>
      <c r="O4855" s="256"/>
      <c r="P4855" s="253"/>
      <c r="Q4855" s="207"/>
      <c r="R4855" s="252"/>
      <c r="S4855" s="252"/>
      <c r="T4855" s="252"/>
      <c r="U4855" s="252"/>
      <c r="V4855" s="252"/>
      <c r="W4855" s="252"/>
      <c r="X4855" s="207"/>
      <c r="Y4855" s="202"/>
      <c r="Z4855" s="318"/>
      <c r="AA4855" s="252"/>
      <c r="AB4855" s="252"/>
      <c r="AC4855" s="252"/>
      <c r="AF4855"/>
      <c r="AG4855"/>
    </row>
    <row r="4856" spans="1:33" s="121" customFormat="1" hidden="1">
      <c r="A4856"/>
      <c r="B4856"/>
      <c r="C4856"/>
      <c r="D4856"/>
      <c r="E4856"/>
      <c r="F4856"/>
      <c r="G4856"/>
      <c r="H4856"/>
      <c r="I4856"/>
      <c r="J4856"/>
      <c r="K4856"/>
      <c r="L4856"/>
      <c r="M4856" s="50"/>
      <c r="N4856" s="256"/>
      <c r="O4856" s="256"/>
      <c r="P4856" s="253"/>
      <c r="Q4856" s="207"/>
      <c r="R4856" s="252"/>
      <c r="S4856" s="252"/>
      <c r="T4856" s="252"/>
      <c r="U4856" s="252"/>
      <c r="V4856" s="252"/>
      <c r="W4856" s="252"/>
      <c r="X4856" s="207"/>
      <c r="Y4856" s="202"/>
      <c r="Z4856" s="318"/>
      <c r="AA4856" s="252"/>
      <c r="AB4856" s="252"/>
      <c r="AC4856" s="252"/>
      <c r="AF4856"/>
      <c r="AG4856"/>
    </row>
    <row r="4857" spans="1:33" s="121" customFormat="1" hidden="1">
      <c r="A4857"/>
      <c r="B4857"/>
      <c r="C4857"/>
      <c r="D4857"/>
      <c r="E4857"/>
      <c r="F4857"/>
      <c r="G4857"/>
      <c r="H4857"/>
      <c r="I4857"/>
      <c r="J4857"/>
      <c r="K4857"/>
      <c r="L4857"/>
      <c r="M4857" s="50"/>
      <c r="N4857" s="256"/>
      <c r="O4857" s="256"/>
      <c r="P4857" s="253"/>
      <c r="Q4857" s="207"/>
      <c r="R4857" s="252"/>
      <c r="S4857" s="252"/>
      <c r="T4857" s="252"/>
      <c r="U4857" s="252"/>
      <c r="V4857" s="252"/>
      <c r="W4857" s="252"/>
      <c r="X4857" s="207"/>
      <c r="Y4857" s="202"/>
      <c r="Z4857" s="318"/>
      <c r="AA4857" s="252"/>
      <c r="AB4857" s="252"/>
      <c r="AC4857" s="252"/>
      <c r="AF4857"/>
      <c r="AG4857"/>
    </row>
    <row r="4858" spans="1:33" s="121" customFormat="1" hidden="1">
      <c r="A4858"/>
      <c r="B4858"/>
      <c r="C4858"/>
      <c r="D4858"/>
      <c r="E4858"/>
      <c r="F4858"/>
      <c r="G4858"/>
      <c r="H4858"/>
      <c r="I4858"/>
      <c r="J4858"/>
      <c r="K4858"/>
      <c r="L4858"/>
      <c r="M4858" s="50"/>
      <c r="N4858" s="256"/>
      <c r="O4858" s="256"/>
      <c r="P4858" s="253"/>
      <c r="Q4858" s="207"/>
      <c r="R4858" s="252"/>
      <c r="S4858" s="252"/>
      <c r="T4858" s="252"/>
      <c r="U4858" s="252"/>
      <c r="V4858" s="252"/>
      <c r="W4858" s="252"/>
      <c r="X4858" s="207"/>
      <c r="Y4858" s="202"/>
      <c r="Z4858" s="318"/>
      <c r="AA4858" s="252"/>
      <c r="AB4858" s="252"/>
      <c r="AC4858" s="252"/>
      <c r="AF4858"/>
      <c r="AG4858"/>
    </row>
    <row r="4859" spans="1:33" s="121" customFormat="1" hidden="1">
      <c r="A4859"/>
      <c r="B4859"/>
      <c r="C4859"/>
      <c r="D4859"/>
      <c r="E4859"/>
      <c r="F4859"/>
      <c r="G4859"/>
      <c r="H4859"/>
      <c r="I4859"/>
      <c r="J4859"/>
      <c r="K4859"/>
      <c r="L4859"/>
      <c r="M4859" s="50"/>
      <c r="N4859" s="256"/>
      <c r="O4859" s="256"/>
      <c r="P4859" s="253"/>
      <c r="Q4859" s="207"/>
      <c r="R4859" s="252"/>
      <c r="S4859" s="252"/>
      <c r="T4859" s="252"/>
      <c r="U4859" s="252"/>
      <c r="V4859" s="252"/>
      <c r="W4859" s="252"/>
      <c r="X4859" s="207"/>
      <c r="Y4859" s="202"/>
      <c r="Z4859" s="318"/>
      <c r="AA4859" s="252"/>
      <c r="AB4859" s="252"/>
      <c r="AC4859" s="252"/>
      <c r="AF4859"/>
      <c r="AG4859"/>
    </row>
    <row r="4860" spans="1:33" s="121" customFormat="1" hidden="1">
      <c r="A4860"/>
      <c r="B4860"/>
      <c r="C4860"/>
      <c r="D4860"/>
      <c r="E4860"/>
      <c r="F4860"/>
      <c r="G4860"/>
      <c r="H4860"/>
      <c r="I4860"/>
      <c r="J4860"/>
      <c r="K4860"/>
      <c r="L4860"/>
      <c r="M4860" s="50"/>
      <c r="N4860" s="256"/>
      <c r="O4860" s="256"/>
      <c r="P4860" s="253"/>
      <c r="Q4860" s="207"/>
      <c r="R4860" s="252"/>
      <c r="S4860" s="252"/>
      <c r="T4860" s="252"/>
      <c r="U4860" s="252"/>
      <c r="V4860" s="252"/>
      <c r="W4860" s="252"/>
      <c r="X4860" s="207"/>
      <c r="Y4860" s="202"/>
      <c r="Z4860" s="318"/>
      <c r="AA4860" s="252"/>
      <c r="AB4860" s="252"/>
      <c r="AC4860" s="252"/>
      <c r="AF4860"/>
      <c r="AG4860"/>
    </row>
    <row r="4861" spans="1:33" s="121" customFormat="1" hidden="1">
      <c r="A4861"/>
      <c r="B4861"/>
      <c r="C4861"/>
      <c r="D4861"/>
      <c r="E4861"/>
      <c r="F4861"/>
      <c r="G4861"/>
      <c r="H4861"/>
      <c r="I4861"/>
      <c r="J4861"/>
      <c r="K4861"/>
      <c r="L4861"/>
      <c r="M4861" s="50"/>
      <c r="N4861" s="256"/>
      <c r="O4861" s="256"/>
      <c r="P4861" s="253"/>
      <c r="Q4861" s="207"/>
      <c r="R4861" s="252"/>
      <c r="S4861" s="252"/>
      <c r="T4861" s="252"/>
      <c r="U4861" s="252"/>
      <c r="V4861" s="252"/>
      <c r="W4861" s="252"/>
      <c r="X4861" s="207"/>
      <c r="Y4861" s="202"/>
      <c r="Z4861" s="318"/>
      <c r="AA4861" s="252"/>
      <c r="AB4861" s="252"/>
      <c r="AC4861" s="252"/>
      <c r="AF4861"/>
      <c r="AG4861"/>
    </row>
    <row r="4862" spans="1:33" s="121" customFormat="1" hidden="1">
      <c r="A4862"/>
      <c r="B4862"/>
      <c r="C4862"/>
      <c r="D4862"/>
      <c r="E4862"/>
      <c r="F4862"/>
      <c r="G4862"/>
      <c r="H4862"/>
      <c r="I4862"/>
      <c r="J4862"/>
      <c r="K4862"/>
      <c r="L4862"/>
      <c r="M4862" s="50"/>
      <c r="N4862" s="256"/>
      <c r="O4862" s="256"/>
      <c r="P4862" s="253"/>
      <c r="Q4862" s="207"/>
      <c r="R4862" s="252"/>
      <c r="S4862" s="252"/>
      <c r="T4862" s="252"/>
      <c r="U4862" s="252"/>
      <c r="V4862" s="252"/>
      <c r="W4862" s="252"/>
      <c r="X4862" s="207"/>
      <c r="Y4862" s="202"/>
      <c r="Z4862" s="318"/>
      <c r="AA4862" s="252"/>
      <c r="AB4862" s="252"/>
      <c r="AC4862" s="252"/>
      <c r="AF4862"/>
      <c r="AG4862"/>
    </row>
    <row r="4863" spans="1:33" s="121" customFormat="1" hidden="1">
      <c r="A4863"/>
      <c r="B4863"/>
      <c r="C4863"/>
      <c r="D4863"/>
      <c r="E4863"/>
      <c r="F4863"/>
      <c r="G4863"/>
      <c r="H4863"/>
      <c r="I4863"/>
      <c r="J4863"/>
      <c r="K4863"/>
      <c r="L4863"/>
      <c r="M4863" s="50"/>
      <c r="N4863" s="256"/>
      <c r="O4863" s="256"/>
      <c r="P4863" s="253"/>
      <c r="Q4863" s="207"/>
      <c r="R4863" s="252"/>
      <c r="S4863" s="252"/>
      <c r="T4863" s="252"/>
      <c r="U4863" s="252"/>
      <c r="V4863" s="252"/>
      <c r="W4863" s="252"/>
      <c r="X4863" s="207"/>
      <c r="Y4863" s="202"/>
      <c r="Z4863" s="318"/>
      <c r="AA4863" s="252"/>
      <c r="AB4863" s="252"/>
      <c r="AC4863" s="252"/>
      <c r="AF4863"/>
      <c r="AG4863"/>
    </row>
    <row r="4864" spans="1:33" s="121" customFormat="1" hidden="1">
      <c r="A4864"/>
      <c r="B4864"/>
      <c r="C4864"/>
      <c r="D4864"/>
      <c r="E4864"/>
      <c r="F4864"/>
      <c r="G4864"/>
      <c r="H4864"/>
      <c r="I4864"/>
      <c r="J4864"/>
      <c r="K4864"/>
      <c r="L4864"/>
      <c r="M4864" s="50"/>
      <c r="N4864" s="256"/>
      <c r="O4864" s="256"/>
      <c r="P4864" s="253"/>
      <c r="Q4864" s="207"/>
      <c r="R4864" s="252"/>
      <c r="S4864" s="252"/>
      <c r="T4864" s="252"/>
      <c r="U4864" s="252"/>
      <c r="V4864" s="252"/>
      <c r="W4864" s="252"/>
      <c r="X4864" s="207"/>
      <c r="Y4864" s="202"/>
      <c r="Z4864" s="318"/>
      <c r="AA4864" s="252"/>
      <c r="AB4864" s="252"/>
      <c r="AC4864" s="252"/>
      <c r="AF4864"/>
      <c r="AG4864"/>
    </row>
    <row r="4865" spans="1:33" s="121" customFormat="1" hidden="1">
      <c r="A4865"/>
      <c r="B4865"/>
      <c r="C4865"/>
      <c r="D4865"/>
      <c r="E4865"/>
      <c r="F4865"/>
      <c r="G4865"/>
      <c r="H4865"/>
      <c r="I4865"/>
      <c r="J4865"/>
      <c r="K4865"/>
      <c r="L4865"/>
      <c r="M4865" s="50"/>
      <c r="N4865" s="256"/>
      <c r="O4865" s="256"/>
      <c r="P4865" s="253"/>
      <c r="Q4865" s="207"/>
      <c r="R4865" s="252"/>
      <c r="S4865" s="252"/>
      <c r="T4865" s="252"/>
      <c r="U4865" s="252"/>
      <c r="V4865" s="252"/>
      <c r="W4865" s="252"/>
      <c r="X4865" s="207"/>
      <c r="Y4865" s="202"/>
      <c r="Z4865" s="318"/>
      <c r="AA4865" s="252"/>
      <c r="AB4865" s="252"/>
      <c r="AC4865" s="252"/>
      <c r="AF4865"/>
      <c r="AG4865"/>
    </row>
    <row r="4866" spans="1:33" s="121" customFormat="1" hidden="1">
      <c r="A4866"/>
      <c r="B4866"/>
      <c r="C4866"/>
      <c r="D4866"/>
      <c r="E4866"/>
      <c r="F4866"/>
      <c r="G4866"/>
      <c r="H4866"/>
      <c r="I4866"/>
      <c r="J4866"/>
      <c r="K4866"/>
      <c r="L4866"/>
      <c r="M4866" s="50"/>
      <c r="N4866" s="256"/>
      <c r="O4866" s="256"/>
      <c r="P4866" s="253"/>
      <c r="Q4866" s="207"/>
      <c r="R4866" s="252"/>
      <c r="S4866" s="252"/>
      <c r="T4866" s="252"/>
      <c r="U4866" s="252"/>
      <c r="V4866" s="252"/>
      <c r="W4866" s="252"/>
      <c r="X4866" s="207"/>
      <c r="Y4866" s="202"/>
      <c r="Z4866" s="318"/>
      <c r="AA4866" s="252"/>
      <c r="AB4866" s="252"/>
      <c r="AC4866" s="252"/>
      <c r="AF4866"/>
      <c r="AG4866"/>
    </row>
    <row r="4867" spans="1:33" s="121" customFormat="1" hidden="1">
      <c r="A4867"/>
      <c r="B4867"/>
      <c r="C4867"/>
      <c r="D4867"/>
      <c r="E4867"/>
      <c r="F4867"/>
      <c r="G4867"/>
      <c r="H4867"/>
      <c r="I4867"/>
      <c r="J4867"/>
      <c r="K4867"/>
      <c r="L4867"/>
      <c r="M4867" s="50"/>
      <c r="N4867" s="256"/>
      <c r="O4867" s="256"/>
      <c r="P4867" s="253"/>
      <c r="Q4867" s="207"/>
      <c r="R4867" s="252"/>
      <c r="S4867" s="252"/>
      <c r="T4867" s="252"/>
      <c r="U4867" s="252"/>
      <c r="V4867" s="252"/>
      <c r="W4867" s="252"/>
      <c r="X4867" s="207"/>
      <c r="Y4867" s="202"/>
      <c r="Z4867" s="318"/>
      <c r="AA4867" s="252"/>
      <c r="AB4867" s="252"/>
      <c r="AC4867" s="252"/>
      <c r="AF4867"/>
      <c r="AG4867"/>
    </row>
    <row r="4868" spans="1:33" s="121" customFormat="1" hidden="1">
      <c r="A4868"/>
      <c r="B4868"/>
      <c r="C4868"/>
      <c r="D4868"/>
      <c r="E4868"/>
      <c r="F4868"/>
      <c r="G4868"/>
      <c r="H4868"/>
      <c r="I4868"/>
      <c r="J4868"/>
      <c r="K4868"/>
      <c r="L4868"/>
      <c r="M4868" s="50"/>
      <c r="N4868" s="256"/>
      <c r="O4868" s="256"/>
      <c r="P4868" s="253"/>
      <c r="Q4868" s="207"/>
      <c r="R4868" s="252"/>
      <c r="S4868" s="252"/>
      <c r="T4868" s="252"/>
      <c r="U4868" s="252"/>
      <c r="V4868" s="252"/>
      <c r="W4868" s="252"/>
      <c r="X4868" s="207"/>
      <c r="Y4868" s="202"/>
      <c r="Z4868" s="318"/>
      <c r="AA4868" s="252"/>
      <c r="AB4868" s="252"/>
      <c r="AC4868" s="252"/>
      <c r="AF4868"/>
      <c r="AG4868"/>
    </row>
    <row r="4869" spans="1:33" s="121" customFormat="1" hidden="1">
      <c r="A4869"/>
      <c r="B4869"/>
      <c r="C4869"/>
      <c r="D4869"/>
      <c r="E4869"/>
      <c r="F4869"/>
      <c r="G4869"/>
      <c r="H4869"/>
      <c r="I4869"/>
      <c r="J4869"/>
      <c r="K4869"/>
      <c r="L4869"/>
      <c r="M4869" s="50"/>
      <c r="N4869" s="256"/>
      <c r="O4869" s="256"/>
      <c r="P4869" s="253"/>
      <c r="Q4869" s="207"/>
      <c r="R4869" s="252"/>
      <c r="S4869" s="252"/>
      <c r="T4869" s="252"/>
      <c r="U4869" s="252"/>
      <c r="V4869" s="252"/>
      <c r="W4869" s="252"/>
      <c r="X4869" s="207"/>
      <c r="Y4869" s="202"/>
      <c r="Z4869" s="318"/>
      <c r="AA4869" s="252"/>
      <c r="AB4869" s="252"/>
      <c r="AC4869" s="252"/>
      <c r="AF4869"/>
      <c r="AG4869"/>
    </row>
    <row r="4870" spans="1:33" s="121" customFormat="1" hidden="1">
      <c r="A4870"/>
      <c r="B4870"/>
      <c r="C4870"/>
      <c r="D4870"/>
      <c r="E4870"/>
      <c r="F4870"/>
      <c r="G4870"/>
      <c r="H4870"/>
      <c r="I4870"/>
      <c r="J4870"/>
      <c r="K4870"/>
      <c r="L4870"/>
      <c r="M4870" s="50"/>
      <c r="N4870" s="256"/>
      <c r="O4870" s="256"/>
      <c r="P4870" s="253"/>
      <c r="Q4870" s="207"/>
      <c r="R4870" s="252"/>
      <c r="S4870" s="252"/>
      <c r="T4870" s="252"/>
      <c r="U4870" s="252"/>
      <c r="V4870" s="252"/>
      <c r="W4870" s="252"/>
      <c r="X4870" s="207"/>
      <c r="Y4870" s="202"/>
      <c r="Z4870" s="318"/>
      <c r="AA4870" s="252"/>
      <c r="AB4870" s="252"/>
      <c r="AC4870" s="252"/>
      <c r="AF4870"/>
      <c r="AG4870"/>
    </row>
    <row r="4871" spans="1:33" s="121" customFormat="1" hidden="1">
      <c r="A4871"/>
      <c r="B4871"/>
      <c r="C4871"/>
      <c r="D4871"/>
      <c r="E4871"/>
      <c r="F4871"/>
      <c r="G4871"/>
      <c r="H4871"/>
      <c r="I4871"/>
      <c r="J4871"/>
      <c r="K4871"/>
      <c r="L4871"/>
      <c r="M4871" s="50"/>
      <c r="N4871" s="256"/>
      <c r="O4871" s="256"/>
      <c r="P4871" s="253"/>
      <c r="Q4871" s="207"/>
      <c r="R4871" s="252"/>
      <c r="S4871" s="252"/>
      <c r="T4871" s="252"/>
      <c r="U4871" s="252"/>
      <c r="V4871" s="252"/>
      <c r="W4871" s="252"/>
      <c r="X4871" s="207"/>
      <c r="Y4871" s="202"/>
      <c r="Z4871" s="318"/>
      <c r="AA4871" s="252"/>
      <c r="AB4871" s="252"/>
      <c r="AC4871" s="252"/>
      <c r="AF4871"/>
      <c r="AG4871"/>
    </row>
    <row r="4872" spans="1:33" s="121" customFormat="1" hidden="1">
      <c r="A4872"/>
      <c r="B4872"/>
      <c r="C4872"/>
      <c r="D4872"/>
      <c r="E4872"/>
      <c r="F4872"/>
      <c r="G4872"/>
      <c r="H4872"/>
      <c r="I4872"/>
      <c r="J4872"/>
      <c r="K4872"/>
      <c r="L4872"/>
      <c r="M4872" s="50"/>
      <c r="N4872" s="256"/>
      <c r="O4872" s="256"/>
      <c r="P4872" s="253"/>
      <c r="Q4872" s="207"/>
      <c r="R4872" s="252"/>
      <c r="S4872" s="252"/>
      <c r="T4872" s="252"/>
      <c r="U4872" s="252"/>
      <c r="V4872" s="252"/>
      <c r="W4872" s="252"/>
      <c r="X4872" s="207"/>
      <c r="Y4872" s="202"/>
      <c r="Z4872" s="318"/>
      <c r="AA4872" s="252"/>
      <c r="AB4872" s="252"/>
      <c r="AC4872" s="252"/>
      <c r="AF4872"/>
      <c r="AG4872"/>
    </row>
    <row r="4873" spans="1:33" s="121" customFormat="1" hidden="1">
      <c r="A4873"/>
      <c r="B4873"/>
      <c r="C4873"/>
      <c r="D4873"/>
      <c r="E4873"/>
      <c r="F4873"/>
      <c r="G4873"/>
      <c r="H4873"/>
      <c r="I4873"/>
      <c r="J4873"/>
      <c r="K4873"/>
      <c r="L4873"/>
      <c r="M4873" s="50"/>
      <c r="N4873" s="256"/>
      <c r="O4873" s="256"/>
      <c r="P4873" s="253"/>
      <c r="Q4873" s="207"/>
      <c r="R4873" s="252"/>
      <c r="S4873" s="252"/>
      <c r="T4873" s="252"/>
      <c r="U4873" s="252"/>
      <c r="V4873" s="252"/>
      <c r="W4873" s="252"/>
      <c r="X4873" s="207"/>
      <c r="Y4873" s="202"/>
      <c r="Z4873" s="318"/>
      <c r="AA4873" s="252"/>
      <c r="AB4873" s="252"/>
      <c r="AC4873" s="252"/>
      <c r="AF4873"/>
      <c r="AG4873"/>
    </row>
    <row r="4874" spans="1:33" s="121" customFormat="1" hidden="1">
      <c r="A4874"/>
      <c r="B4874"/>
      <c r="C4874"/>
      <c r="D4874"/>
      <c r="E4874"/>
      <c r="F4874"/>
      <c r="G4874"/>
      <c r="H4874"/>
      <c r="I4874"/>
      <c r="J4874"/>
      <c r="K4874"/>
      <c r="L4874"/>
      <c r="M4874" s="50"/>
      <c r="N4874" s="256"/>
      <c r="O4874" s="256"/>
      <c r="P4874" s="253"/>
      <c r="Q4874" s="207"/>
      <c r="R4874" s="252"/>
      <c r="S4874" s="252"/>
      <c r="T4874" s="252"/>
      <c r="U4874" s="252"/>
      <c r="V4874" s="252"/>
      <c r="W4874" s="252"/>
      <c r="X4874" s="207"/>
      <c r="Y4874" s="202"/>
      <c r="Z4874" s="318"/>
      <c r="AA4874" s="252"/>
      <c r="AB4874" s="252"/>
      <c r="AC4874" s="252"/>
      <c r="AF4874"/>
      <c r="AG4874"/>
    </row>
    <row r="4875" spans="1:33" s="121" customFormat="1" hidden="1">
      <c r="A4875"/>
      <c r="B4875"/>
      <c r="C4875"/>
      <c r="D4875"/>
      <c r="E4875"/>
      <c r="F4875"/>
      <c r="G4875"/>
      <c r="H4875"/>
      <c r="I4875"/>
      <c r="J4875"/>
      <c r="K4875"/>
      <c r="L4875"/>
      <c r="M4875" s="50"/>
      <c r="N4875" s="256"/>
      <c r="O4875" s="256"/>
      <c r="P4875" s="253"/>
      <c r="Q4875" s="207"/>
      <c r="R4875" s="252"/>
      <c r="S4875" s="252"/>
      <c r="T4875" s="252"/>
      <c r="U4875" s="252"/>
      <c r="V4875" s="252"/>
      <c r="W4875" s="252"/>
      <c r="X4875" s="207"/>
      <c r="Y4875" s="202"/>
      <c r="Z4875" s="318"/>
      <c r="AA4875" s="252"/>
      <c r="AB4875" s="252"/>
      <c r="AC4875" s="252"/>
      <c r="AF4875"/>
      <c r="AG4875"/>
    </row>
    <row r="4876" spans="1:33" s="121" customFormat="1" hidden="1">
      <c r="A4876"/>
      <c r="B4876"/>
      <c r="C4876"/>
      <c r="D4876"/>
      <c r="E4876"/>
      <c r="F4876"/>
      <c r="G4876"/>
      <c r="H4876"/>
      <c r="I4876"/>
      <c r="J4876"/>
      <c r="K4876"/>
      <c r="L4876"/>
      <c r="M4876" s="50"/>
      <c r="N4876" s="256"/>
      <c r="O4876" s="256"/>
      <c r="P4876" s="253"/>
      <c r="Q4876" s="207"/>
      <c r="R4876" s="252"/>
      <c r="S4876" s="252"/>
      <c r="T4876" s="252"/>
      <c r="U4876" s="252"/>
      <c r="V4876" s="252"/>
      <c r="W4876" s="252"/>
      <c r="X4876" s="207"/>
      <c r="Y4876" s="202"/>
      <c r="Z4876" s="318"/>
      <c r="AA4876" s="252"/>
      <c r="AB4876" s="252"/>
      <c r="AC4876" s="252"/>
      <c r="AF4876"/>
      <c r="AG4876"/>
    </row>
    <row r="4877" spans="1:33" s="121" customFormat="1" hidden="1">
      <c r="A4877"/>
      <c r="B4877"/>
      <c r="C4877"/>
      <c r="D4877"/>
      <c r="E4877"/>
      <c r="F4877"/>
      <c r="G4877"/>
      <c r="H4877"/>
      <c r="I4877"/>
      <c r="J4877"/>
      <c r="K4877"/>
      <c r="L4877"/>
      <c r="M4877" s="50"/>
      <c r="N4877" s="256"/>
      <c r="O4877" s="256"/>
      <c r="P4877" s="253"/>
      <c r="Q4877" s="207"/>
      <c r="R4877" s="252"/>
      <c r="S4877" s="252"/>
      <c r="T4877" s="252"/>
      <c r="U4877" s="252"/>
      <c r="V4877" s="252"/>
      <c r="W4877" s="252"/>
      <c r="X4877" s="207"/>
      <c r="Y4877" s="202"/>
      <c r="Z4877" s="318"/>
      <c r="AA4877" s="252"/>
      <c r="AB4877" s="252"/>
      <c r="AC4877" s="252"/>
      <c r="AF4877"/>
      <c r="AG4877"/>
    </row>
    <row r="4878" spans="1:33" s="121" customFormat="1" hidden="1">
      <c r="A4878"/>
      <c r="B4878"/>
      <c r="C4878"/>
      <c r="D4878"/>
      <c r="E4878"/>
      <c r="F4878"/>
      <c r="G4878"/>
      <c r="H4878"/>
      <c r="I4878"/>
      <c r="J4878"/>
      <c r="K4878"/>
      <c r="L4878"/>
      <c r="M4878" s="50"/>
      <c r="N4878" s="256"/>
      <c r="O4878" s="256"/>
      <c r="P4878" s="253"/>
      <c r="Q4878" s="207"/>
      <c r="R4878" s="252"/>
      <c r="S4878" s="252"/>
      <c r="T4878" s="252"/>
      <c r="U4878" s="252"/>
      <c r="V4878" s="252"/>
      <c r="W4878" s="252"/>
      <c r="X4878" s="207"/>
      <c r="Y4878" s="202"/>
      <c r="Z4878" s="318"/>
      <c r="AA4878" s="252"/>
      <c r="AB4878" s="252"/>
      <c r="AC4878" s="252"/>
      <c r="AF4878"/>
      <c r="AG4878"/>
    </row>
    <row r="4879" spans="1:33" s="121" customFormat="1" hidden="1">
      <c r="A4879"/>
      <c r="B4879"/>
      <c r="C4879"/>
      <c r="D4879"/>
      <c r="E4879"/>
      <c r="F4879"/>
      <c r="G4879"/>
      <c r="H4879"/>
      <c r="I4879"/>
      <c r="J4879"/>
      <c r="K4879"/>
      <c r="L4879"/>
      <c r="M4879" s="50"/>
      <c r="N4879" s="256"/>
      <c r="O4879" s="256"/>
      <c r="P4879" s="253"/>
      <c r="Q4879" s="207"/>
      <c r="R4879" s="252"/>
      <c r="S4879" s="252"/>
      <c r="T4879" s="252"/>
      <c r="U4879" s="252"/>
      <c r="V4879" s="252"/>
      <c r="W4879" s="252"/>
      <c r="X4879" s="207"/>
      <c r="Y4879" s="202"/>
      <c r="Z4879" s="318"/>
      <c r="AA4879" s="252"/>
      <c r="AB4879" s="252"/>
      <c r="AC4879" s="252"/>
      <c r="AF4879"/>
      <c r="AG4879"/>
    </row>
    <row r="4880" spans="1:33" s="121" customFormat="1" hidden="1">
      <c r="A4880"/>
      <c r="B4880"/>
      <c r="C4880"/>
      <c r="D4880"/>
      <c r="E4880"/>
      <c r="F4880"/>
      <c r="G4880"/>
      <c r="H4880"/>
      <c r="I4880"/>
      <c r="J4880"/>
      <c r="K4880"/>
      <c r="L4880"/>
      <c r="M4880" s="50"/>
      <c r="N4880" s="256"/>
      <c r="O4880" s="256"/>
      <c r="P4880" s="253"/>
      <c r="Q4880" s="207"/>
      <c r="R4880" s="252"/>
      <c r="S4880" s="252"/>
      <c r="T4880" s="252"/>
      <c r="U4880" s="252"/>
      <c r="V4880" s="252"/>
      <c r="W4880" s="252"/>
      <c r="X4880" s="207"/>
      <c r="Y4880" s="202"/>
      <c r="Z4880" s="318"/>
      <c r="AA4880" s="252"/>
      <c r="AB4880" s="252"/>
      <c r="AC4880" s="252"/>
      <c r="AF4880"/>
      <c r="AG4880"/>
    </row>
    <row r="4881" spans="1:33" s="121" customFormat="1" hidden="1">
      <c r="A4881"/>
      <c r="B4881"/>
      <c r="C4881"/>
      <c r="D4881"/>
      <c r="E4881"/>
      <c r="F4881"/>
      <c r="G4881"/>
      <c r="H4881"/>
      <c r="I4881"/>
      <c r="J4881"/>
      <c r="K4881"/>
      <c r="L4881"/>
      <c r="M4881" s="50"/>
      <c r="N4881" s="256"/>
      <c r="O4881" s="256"/>
      <c r="P4881" s="253"/>
      <c r="Q4881" s="207"/>
      <c r="R4881" s="252"/>
      <c r="S4881" s="252"/>
      <c r="T4881" s="252"/>
      <c r="U4881" s="252"/>
      <c r="V4881" s="252"/>
      <c r="W4881" s="252"/>
      <c r="X4881" s="207"/>
      <c r="Y4881" s="202"/>
      <c r="Z4881" s="318"/>
      <c r="AA4881" s="252"/>
      <c r="AB4881" s="252"/>
      <c r="AC4881" s="252"/>
      <c r="AF4881"/>
      <c r="AG4881"/>
    </row>
    <row r="4882" spans="1:33" s="121" customFormat="1" hidden="1">
      <c r="A4882"/>
      <c r="B4882"/>
      <c r="C4882"/>
      <c r="D4882"/>
      <c r="E4882"/>
      <c r="F4882"/>
      <c r="G4882"/>
      <c r="H4882"/>
      <c r="I4882"/>
      <c r="J4882"/>
      <c r="K4882"/>
      <c r="L4882"/>
      <c r="M4882" s="50"/>
      <c r="N4882" s="256"/>
      <c r="O4882" s="256"/>
      <c r="P4882" s="253"/>
      <c r="Q4882" s="207"/>
      <c r="R4882" s="252"/>
      <c r="S4882" s="252"/>
      <c r="T4882" s="252"/>
      <c r="U4882" s="252"/>
      <c r="V4882" s="252"/>
      <c r="W4882" s="252"/>
      <c r="X4882" s="207"/>
      <c r="Y4882" s="202"/>
      <c r="Z4882" s="318"/>
      <c r="AA4882" s="252"/>
      <c r="AB4882" s="252"/>
      <c r="AC4882" s="252"/>
      <c r="AF4882"/>
      <c r="AG4882"/>
    </row>
    <row r="4883" spans="1:33" s="121" customFormat="1" hidden="1">
      <c r="A4883"/>
      <c r="B4883"/>
      <c r="C4883"/>
      <c r="D4883"/>
      <c r="E4883"/>
      <c r="F4883"/>
      <c r="G4883"/>
      <c r="H4883"/>
      <c r="I4883"/>
      <c r="J4883"/>
      <c r="K4883"/>
      <c r="L4883"/>
      <c r="M4883" s="50"/>
      <c r="N4883" s="256"/>
      <c r="O4883" s="256"/>
      <c r="P4883" s="253"/>
      <c r="Q4883" s="207"/>
      <c r="R4883" s="252"/>
      <c r="S4883" s="252"/>
      <c r="T4883" s="252"/>
      <c r="U4883" s="252"/>
      <c r="V4883" s="252"/>
      <c r="W4883" s="252"/>
      <c r="X4883" s="207"/>
      <c r="Y4883" s="202"/>
      <c r="Z4883" s="318"/>
      <c r="AA4883" s="252"/>
      <c r="AB4883" s="252"/>
      <c r="AC4883" s="252"/>
      <c r="AF4883"/>
      <c r="AG4883"/>
    </row>
    <row r="4884" spans="1:33" s="121" customFormat="1" hidden="1">
      <c r="A4884"/>
      <c r="B4884"/>
      <c r="C4884"/>
      <c r="D4884"/>
      <c r="E4884"/>
      <c r="F4884"/>
      <c r="G4884"/>
      <c r="H4884"/>
      <c r="I4884"/>
      <c r="J4884"/>
      <c r="K4884"/>
      <c r="L4884"/>
      <c r="M4884" s="50"/>
      <c r="N4884" s="256"/>
      <c r="O4884" s="256"/>
      <c r="P4884" s="253"/>
      <c r="Q4884" s="207"/>
      <c r="R4884" s="252"/>
      <c r="S4884" s="252"/>
      <c r="T4884" s="252"/>
      <c r="U4884" s="252"/>
      <c r="V4884" s="252"/>
      <c r="W4884" s="252"/>
      <c r="X4884" s="207"/>
      <c r="Y4884" s="202"/>
      <c r="Z4884" s="318"/>
      <c r="AA4884" s="252"/>
      <c r="AB4884" s="252"/>
      <c r="AC4884" s="252"/>
      <c r="AF4884"/>
      <c r="AG4884"/>
    </row>
    <row r="4885" spans="1:33" s="121" customFormat="1" hidden="1">
      <c r="A4885"/>
      <c r="B4885"/>
      <c r="C4885"/>
      <c r="D4885"/>
      <c r="E4885"/>
      <c r="F4885"/>
      <c r="G4885"/>
      <c r="H4885"/>
      <c r="I4885"/>
      <c r="J4885"/>
      <c r="K4885"/>
      <c r="L4885"/>
      <c r="M4885" s="50"/>
      <c r="N4885" s="256"/>
      <c r="O4885" s="256"/>
      <c r="P4885" s="253"/>
      <c r="Q4885" s="207"/>
      <c r="R4885" s="252"/>
      <c r="S4885" s="252"/>
      <c r="T4885" s="252"/>
      <c r="U4885" s="252"/>
      <c r="V4885" s="252"/>
      <c r="W4885" s="252"/>
      <c r="X4885" s="207"/>
      <c r="Y4885" s="202"/>
      <c r="Z4885" s="318"/>
      <c r="AA4885" s="252"/>
      <c r="AB4885" s="252"/>
      <c r="AC4885" s="252"/>
      <c r="AF4885"/>
      <c r="AG4885"/>
    </row>
    <row r="4886" spans="1:33" s="121" customFormat="1" hidden="1">
      <c r="A4886"/>
      <c r="B4886"/>
      <c r="C4886"/>
      <c r="D4886"/>
      <c r="E4886"/>
      <c r="F4886"/>
      <c r="G4886"/>
      <c r="H4886"/>
      <c r="I4886"/>
      <c r="J4886"/>
      <c r="K4886"/>
      <c r="L4886"/>
      <c r="M4886" s="50"/>
      <c r="N4886" s="256"/>
      <c r="O4886" s="256"/>
      <c r="P4886" s="253"/>
      <c r="Q4886" s="207"/>
      <c r="R4886" s="252"/>
      <c r="S4886" s="252"/>
      <c r="T4886" s="252"/>
      <c r="U4886" s="252"/>
      <c r="V4886" s="252"/>
      <c r="W4886" s="252"/>
      <c r="X4886" s="207"/>
      <c r="Y4886" s="202"/>
      <c r="Z4886" s="318"/>
      <c r="AA4886" s="252"/>
      <c r="AB4886" s="252"/>
      <c r="AC4886" s="252"/>
      <c r="AF4886"/>
      <c r="AG4886"/>
    </row>
    <row r="4887" spans="1:33" s="121" customFormat="1" hidden="1">
      <c r="A4887"/>
      <c r="B4887"/>
      <c r="C4887"/>
      <c r="D4887"/>
      <c r="E4887"/>
      <c r="F4887"/>
      <c r="G4887"/>
      <c r="H4887"/>
      <c r="I4887"/>
      <c r="J4887"/>
      <c r="K4887"/>
      <c r="L4887"/>
      <c r="M4887" s="50"/>
      <c r="N4887" s="256"/>
      <c r="O4887" s="256"/>
      <c r="P4887" s="253"/>
      <c r="Q4887" s="207"/>
      <c r="R4887" s="252"/>
      <c r="S4887" s="252"/>
      <c r="T4887" s="252"/>
      <c r="U4887" s="252"/>
      <c r="V4887" s="252"/>
      <c r="W4887" s="252"/>
      <c r="X4887" s="207"/>
      <c r="Y4887" s="202"/>
      <c r="Z4887" s="318"/>
      <c r="AA4887" s="252"/>
      <c r="AB4887" s="252"/>
      <c r="AC4887" s="252"/>
      <c r="AF4887"/>
      <c r="AG4887"/>
    </row>
    <row r="4888" spans="1:33" s="121" customFormat="1" hidden="1">
      <c r="A4888"/>
      <c r="B4888"/>
      <c r="C4888"/>
      <c r="D4888"/>
      <c r="E4888"/>
      <c r="F4888"/>
      <c r="G4888"/>
      <c r="H4888"/>
      <c r="I4888"/>
      <c r="J4888"/>
      <c r="K4888"/>
      <c r="L4888"/>
      <c r="M4888" s="50"/>
      <c r="N4888" s="256"/>
      <c r="O4888" s="256"/>
      <c r="P4888" s="253"/>
      <c r="Q4888" s="207"/>
      <c r="R4888" s="252"/>
      <c r="S4888" s="252"/>
      <c r="T4888" s="252"/>
      <c r="U4888" s="252"/>
      <c r="V4888" s="252"/>
      <c r="W4888" s="252"/>
      <c r="X4888" s="207"/>
      <c r="Y4888" s="202"/>
      <c r="Z4888" s="318"/>
      <c r="AA4888" s="252"/>
      <c r="AB4888" s="252"/>
      <c r="AC4888" s="252"/>
      <c r="AF4888"/>
      <c r="AG4888"/>
    </row>
    <row r="4889" spans="1:33" s="121" customFormat="1" hidden="1">
      <c r="A4889"/>
      <c r="B4889"/>
      <c r="C4889"/>
      <c r="D4889"/>
      <c r="E4889"/>
      <c r="F4889"/>
      <c r="G4889"/>
      <c r="H4889"/>
      <c r="I4889"/>
      <c r="J4889"/>
      <c r="K4889"/>
      <c r="L4889"/>
      <c r="M4889" s="50"/>
      <c r="N4889" s="256"/>
      <c r="O4889" s="256"/>
      <c r="P4889" s="253"/>
      <c r="Q4889" s="207"/>
      <c r="R4889" s="252"/>
      <c r="S4889" s="252"/>
      <c r="T4889" s="252"/>
      <c r="U4889" s="252"/>
      <c r="V4889" s="252"/>
      <c r="W4889" s="252"/>
      <c r="X4889" s="207"/>
      <c r="Y4889" s="202"/>
      <c r="Z4889" s="318"/>
      <c r="AA4889" s="252"/>
      <c r="AB4889" s="252"/>
      <c r="AC4889" s="252"/>
      <c r="AF4889"/>
      <c r="AG4889"/>
    </row>
    <row r="4890" spans="1:33" s="121" customFormat="1" hidden="1">
      <c r="A4890"/>
      <c r="B4890"/>
      <c r="C4890"/>
      <c r="D4890"/>
      <c r="E4890"/>
      <c r="F4890"/>
      <c r="G4890"/>
      <c r="H4890"/>
      <c r="I4890"/>
      <c r="J4890"/>
      <c r="K4890"/>
      <c r="L4890"/>
      <c r="M4890" s="50"/>
      <c r="N4890" s="256"/>
      <c r="O4890" s="256"/>
      <c r="P4890" s="253"/>
      <c r="Q4890" s="207"/>
      <c r="R4890" s="252"/>
      <c r="S4890" s="252"/>
      <c r="T4890" s="252"/>
      <c r="U4890" s="252"/>
      <c r="V4890" s="252"/>
      <c r="W4890" s="252"/>
      <c r="X4890" s="207"/>
      <c r="Y4890" s="202"/>
      <c r="Z4890" s="318"/>
      <c r="AA4890" s="252"/>
      <c r="AB4890" s="252"/>
      <c r="AC4890" s="252"/>
      <c r="AF4890"/>
      <c r="AG4890"/>
    </row>
    <row r="4891" spans="1:33" s="121" customFormat="1" hidden="1">
      <c r="A4891"/>
      <c r="B4891"/>
      <c r="C4891"/>
      <c r="D4891"/>
      <c r="E4891"/>
      <c r="F4891"/>
      <c r="G4891"/>
      <c r="H4891"/>
      <c r="I4891"/>
      <c r="J4891"/>
      <c r="K4891"/>
      <c r="L4891"/>
      <c r="M4891" s="50"/>
      <c r="N4891" s="256"/>
      <c r="O4891" s="256"/>
      <c r="P4891" s="253"/>
      <c r="Q4891" s="207"/>
      <c r="R4891" s="252"/>
      <c r="S4891" s="252"/>
      <c r="T4891" s="252"/>
      <c r="U4891" s="252"/>
      <c r="V4891" s="252"/>
      <c r="W4891" s="252"/>
      <c r="X4891" s="207"/>
      <c r="Y4891" s="202"/>
      <c r="Z4891" s="318"/>
      <c r="AA4891" s="252"/>
      <c r="AB4891" s="252"/>
      <c r="AC4891" s="252"/>
      <c r="AF4891"/>
      <c r="AG4891"/>
    </row>
    <row r="4892" spans="1:33" s="121" customFormat="1" hidden="1">
      <c r="A4892"/>
      <c r="B4892"/>
      <c r="C4892"/>
      <c r="D4892"/>
      <c r="E4892"/>
      <c r="F4892"/>
      <c r="G4892"/>
      <c r="H4892"/>
      <c r="I4892"/>
      <c r="J4892"/>
      <c r="K4892"/>
      <c r="L4892"/>
      <c r="M4892" s="50"/>
      <c r="N4892" s="256"/>
      <c r="O4892" s="256"/>
      <c r="P4892" s="253"/>
      <c r="Q4892" s="207"/>
      <c r="R4892" s="252"/>
      <c r="S4892" s="252"/>
      <c r="T4892" s="252"/>
      <c r="U4892" s="252"/>
      <c r="V4892" s="252"/>
      <c r="W4892" s="252"/>
      <c r="X4892" s="207"/>
      <c r="Y4892" s="202"/>
      <c r="Z4892" s="318"/>
      <c r="AA4892" s="252"/>
      <c r="AB4892" s="252"/>
      <c r="AC4892" s="252"/>
      <c r="AF4892"/>
      <c r="AG4892"/>
    </row>
    <row r="4893" spans="1:33" s="121" customFormat="1" hidden="1">
      <c r="A4893"/>
      <c r="B4893"/>
      <c r="C4893"/>
      <c r="D4893"/>
      <c r="E4893"/>
      <c r="F4893"/>
      <c r="G4893"/>
      <c r="H4893"/>
      <c r="I4893"/>
      <c r="J4893"/>
      <c r="K4893"/>
      <c r="L4893"/>
      <c r="M4893" s="50"/>
      <c r="N4893" s="256"/>
      <c r="O4893" s="256"/>
      <c r="P4893" s="253"/>
      <c r="Q4893" s="207"/>
      <c r="R4893" s="252"/>
      <c r="S4893" s="252"/>
      <c r="T4893" s="252"/>
      <c r="U4893" s="252"/>
      <c r="V4893" s="252"/>
      <c r="W4893" s="252"/>
      <c r="X4893" s="207"/>
      <c r="Y4893" s="202"/>
      <c r="Z4893" s="318"/>
      <c r="AA4893" s="252"/>
      <c r="AB4893" s="252"/>
      <c r="AC4893" s="252"/>
      <c r="AF4893"/>
      <c r="AG4893"/>
    </row>
    <row r="4894" spans="1:33" s="121" customFormat="1" hidden="1">
      <c r="A4894"/>
      <c r="B4894"/>
      <c r="C4894"/>
      <c r="D4894"/>
      <c r="E4894"/>
      <c r="F4894"/>
      <c r="G4894"/>
      <c r="H4894"/>
      <c r="I4894"/>
      <c r="J4894"/>
      <c r="K4894"/>
      <c r="L4894"/>
      <c r="M4894" s="50"/>
      <c r="N4894" s="256"/>
      <c r="O4894" s="256"/>
      <c r="P4894" s="253"/>
      <c r="Q4894" s="207"/>
      <c r="R4894" s="252"/>
      <c r="S4894" s="252"/>
      <c r="T4894" s="252"/>
      <c r="U4894" s="252"/>
      <c r="V4894" s="252"/>
      <c r="W4894" s="252"/>
      <c r="X4894" s="207"/>
      <c r="Y4894" s="202"/>
      <c r="Z4894" s="318"/>
      <c r="AA4894" s="252"/>
      <c r="AB4894" s="252"/>
      <c r="AC4894" s="252"/>
      <c r="AF4894"/>
      <c r="AG4894"/>
    </row>
    <row r="4895" spans="1:33" s="121" customFormat="1" hidden="1">
      <c r="A4895"/>
      <c r="B4895"/>
      <c r="C4895"/>
      <c r="D4895"/>
      <c r="E4895"/>
      <c r="F4895"/>
      <c r="G4895"/>
      <c r="H4895"/>
      <c r="I4895"/>
      <c r="J4895"/>
      <c r="K4895"/>
      <c r="L4895"/>
      <c r="M4895" s="50"/>
      <c r="N4895" s="256"/>
      <c r="O4895" s="256"/>
      <c r="P4895" s="253"/>
      <c r="Q4895" s="207"/>
      <c r="R4895" s="252"/>
      <c r="S4895" s="252"/>
      <c r="T4895" s="252"/>
      <c r="U4895" s="252"/>
      <c r="V4895" s="252"/>
      <c r="W4895" s="252"/>
      <c r="X4895" s="207"/>
      <c r="Y4895" s="202"/>
      <c r="Z4895" s="318"/>
      <c r="AA4895" s="252"/>
      <c r="AB4895" s="252"/>
      <c r="AC4895" s="252"/>
      <c r="AF4895"/>
      <c r="AG4895"/>
    </row>
    <row r="4896" spans="1:33" s="121" customFormat="1" hidden="1">
      <c r="A4896"/>
      <c r="B4896"/>
      <c r="C4896"/>
      <c r="D4896"/>
      <c r="E4896"/>
      <c r="F4896"/>
      <c r="G4896"/>
      <c r="H4896"/>
      <c r="I4896"/>
      <c r="J4896"/>
      <c r="K4896"/>
      <c r="L4896"/>
      <c r="M4896" s="50"/>
      <c r="N4896" s="256"/>
      <c r="O4896" s="256"/>
      <c r="P4896" s="253"/>
      <c r="Q4896" s="207"/>
      <c r="R4896" s="252"/>
      <c r="S4896" s="252"/>
      <c r="T4896" s="252"/>
      <c r="U4896" s="252"/>
      <c r="V4896" s="252"/>
      <c r="W4896" s="252"/>
      <c r="X4896" s="207"/>
      <c r="Y4896" s="202"/>
      <c r="Z4896" s="318"/>
      <c r="AA4896" s="252"/>
      <c r="AB4896" s="252"/>
      <c r="AC4896" s="252"/>
      <c r="AF4896"/>
      <c r="AG4896"/>
    </row>
    <row r="4897" spans="1:33" s="121" customFormat="1" hidden="1">
      <c r="A4897"/>
      <c r="B4897"/>
      <c r="C4897"/>
      <c r="D4897"/>
      <c r="E4897"/>
      <c r="F4897"/>
      <c r="G4897"/>
      <c r="H4897"/>
      <c r="I4897"/>
      <c r="J4897"/>
      <c r="K4897"/>
      <c r="L4897"/>
      <c r="M4897" s="50"/>
      <c r="N4897" s="256"/>
      <c r="O4897" s="256"/>
      <c r="P4897" s="253"/>
      <c r="Q4897" s="207"/>
      <c r="R4897" s="252"/>
      <c r="S4897" s="252"/>
      <c r="T4897" s="252"/>
      <c r="U4897" s="252"/>
      <c r="V4897" s="252"/>
      <c r="W4897" s="252"/>
      <c r="X4897" s="207"/>
      <c r="Y4897" s="202"/>
      <c r="Z4897" s="318"/>
      <c r="AA4897" s="252"/>
      <c r="AB4897" s="252"/>
      <c r="AC4897" s="252"/>
      <c r="AF4897"/>
      <c r="AG4897"/>
    </row>
    <row r="4898" spans="1:33" s="121" customFormat="1" hidden="1">
      <c r="A4898"/>
      <c r="B4898"/>
      <c r="C4898"/>
      <c r="D4898"/>
      <c r="E4898"/>
      <c r="F4898"/>
      <c r="G4898"/>
      <c r="H4898"/>
      <c r="I4898"/>
      <c r="J4898"/>
      <c r="K4898"/>
      <c r="L4898"/>
      <c r="M4898" s="50"/>
      <c r="N4898" s="256"/>
      <c r="O4898" s="256"/>
      <c r="P4898" s="253"/>
      <c r="Q4898" s="207"/>
      <c r="R4898" s="252"/>
      <c r="S4898" s="252"/>
      <c r="T4898" s="252"/>
      <c r="U4898" s="252"/>
      <c r="V4898" s="252"/>
      <c r="W4898" s="252"/>
      <c r="X4898" s="207"/>
      <c r="Y4898" s="202"/>
      <c r="Z4898" s="318"/>
      <c r="AA4898" s="252"/>
      <c r="AB4898" s="252"/>
      <c r="AC4898" s="252"/>
      <c r="AF4898"/>
      <c r="AG4898"/>
    </row>
    <row r="4899" spans="1:33" s="121" customFormat="1" hidden="1">
      <c r="A4899"/>
      <c r="B4899"/>
      <c r="C4899"/>
      <c r="D4899"/>
      <c r="E4899"/>
      <c r="F4899"/>
      <c r="G4899"/>
      <c r="H4899"/>
      <c r="I4899"/>
      <c r="J4899"/>
      <c r="K4899"/>
      <c r="L4899"/>
      <c r="M4899" s="50"/>
      <c r="N4899" s="256"/>
      <c r="O4899" s="256"/>
      <c r="P4899" s="253"/>
      <c r="Q4899" s="207"/>
      <c r="R4899" s="252"/>
      <c r="S4899" s="252"/>
      <c r="T4899" s="252"/>
      <c r="U4899" s="252"/>
      <c r="V4899" s="252"/>
      <c r="W4899" s="252"/>
      <c r="X4899" s="207"/>
      <c r="Y4899" s="202"/>
      <c r="Z4899" s="318"/>
      <c r="AA4899" s="252"/>
      <c r="AB4899" s="252"/>
      <c r="AC4899" s="252"/>
      <c r="AF4899"/>
      <c r="AG4899"/>
    </row>
    <row r="4900" spans="1:33" s="121" customFormat="1" hidden="1">
      <c r="A4900"/>
      <c r="B4900"/>
      <c r="C4900"/>
      <c r="D4900"/>
      <c r="E4900"/>
      <c r="F4900"/>
      <c r="G4900"/>
      <c r="H4900"/>
      <c r="I4900"/>
      <c r="J4900"/>
      <c r="K4900"/>
      <c r="L4900"/>
      <c r="M4900" s="50"/>
      <c r="N4900" s="256"/>
      <c r="O4900" s="256"/>
      <c r="P4900" s="253"/>
      <c r="Q4900" s="207"/>
      <c r="R4900" s="252"/>
      <c r="S4900" s="252"/>
      <c r="T4900" s="252"/>
      <c r="U4900" s="252"/>
      <c r="V4900" s="252"/>
      <c r="W4900" s="252"/>
      <c r="X4900" s="207"/>
      <c r="Y4900" s="202"/>
      <c r="Z4900" s="318"/>
      <c r="AA4900" s="252"/>
      <c r="AB4900" s="252"/>
      <c r="AC4900" s="252"/>
      <c r="AF4900"/>
      <c r="AG4900"/>
    </row>
    <row r="4901" spans="1:33" s="121" customFormat="1" hidden="1">
      <c r="A4901"/>
      <c r="B4901"/>
      <c r="C4901"/>
      <c r="D4901"/>
      <c r="E4901"/>
      <c r="F4901"/>
      <c r="G4901"/>
      <c r="H4901"/>
      <c r="I4901"/>
      <c r="J4901"/>
      <c r="K4901"/>
      <c r="L4901"/>
      <c r="M4901" s="50"/>
      <c r="N4901" s="256"/>
      <c r="O4901" s="256"/>
      <c r="P4901" s="253"/>
      <c r="Q4901" s="207"/>
      <c r="R4901" s="252"/>
      <c r="S4901" s="252"/>
      <c r="T4901" s="252"/>
      <c r="U4901" s="252"/>
      <c r="V4901" s="252"/>
      <c r="W4901" s="252"/>
      <c r="X4901" s="207"/>
      <c r="Y4901" s="202"/>
      <c r="Z4901" s="318"/>
      <c r="AA4901" s="252"/>
      <c r="AB4901" s="252"/>
      <c r="AC4901" s="252"/>
      <c r="AF4901"/>
      <c r="AG4901"/>
    </row>
    <row r="4902" spans="1:33" s="121" customFormat="1" hidden="1">
      <c r="A4902"/>
      <c r="B4902"/>
      <c r="C4902"/>
      <c r="D4902"/>
      <c r="E4902"/>
      <c r="F4902"/>
      <c r="G4902"/>
      <c r="H4902"/>
      <c r="I4902"/>
      <c r="J4902"/>
      <c r="K4902"/>
      <c r="L4902"/>
      <c r="M4902" s="50"/>
      <c r="N4902" s="256"/>
      <c r="O4902" s="256"/>
      <c r="P4902" s="253"/>
      <c r="Q4902" s="207"/>
      <c r="R4902" s="252"/>
      <c r="S4902" s="252"/>
      <c r="T4902" s="252"/>
      <c r="U4902" s="252"/>
      <c r="V4902" s="252"/>
      <c r="W4902" s="252"/>
      <c r="X4902" s="207"/>
      <c r="Y4902" s="202"/>
      <c r="Z4902" s="318"/>
      <c r="AA4902" s="252"/>
      <c r="AB4902" s="252"/>
      <c r="AC4902" s="252"/>
      <c r="AF4902"/>
      <c r="AG4902"/>
    </row>
    <row r="4903" spans="1:33" s="121" customFormat="1" hidden="1">
      <c r="A4903"/>
      <c r="B4903"/>
      <c r="C4903"/>
      <c r="D4903"/>
      <c r="E4903"/>
      <c r="F4903"/>
      <c r="G4903"/>
      <c r="H4903"/>
      <c r="I4903"/>
      <c r="J4903"/>
      <c r="K4903"/>
      <c r="L4903"/>
      <c r="M4903" s="50"/>
      <c r="N4903" s="256"/>
      <c r="O4903" s="256"/>
      <c r="P4903" s="253"/>
      <c r="Q4903" s="207"/>
      <c r="R4903" s="252"/>
      <c r="S4903" s="252"/>
      <c r="T4903" s="252"/>
      <c r="U4903" s="252"/>
      <c r="V4903" s="252"/>
      <c r="W4903" s="252"/>
      <c r="X4903" s="207"/>
      <c r="Y4903" s="202"/>
      <c r="Z4903" s="318"/>
      <c r="AA4903" s="252"/>
      <c r="AB4903" s="252"/>
      <c r="AC4903" s="252"/>
      <c r="AF4903"/>
      <c r="AG4903"/>
    </row>
    <row r="4904" spans="1:33" s="121" customFormat="1" hidden="1">
      <c r="A4904"/>
      <c r="B4904"/>
      <c r="C4904"/>
      <c r="D4904"/>
      <c r="E4904"/>
      <c r="F4904"/>
      <c r="G4904"/>
      <c r="H4904"/>
      <c r="I4904"/>
      <c r="J4904"/>
      <c r="K4904"/>
      <c r="L4904"/>
      <c r="M4904" s="50"/>
      <c r="N4904" s="256"/>
      <c r="O4904" s="256"/>
      <c r="P4904" s="253"/>
      <c r="Q4904" s="207"/>
      <c r="R4904" s="252"/>
      <c r="S4904" s="252"/>
      <c r="T4904" s="252"/>
      <c r="U4904" s="252"/>
      <c r="V4904" s="252"/>
      <c r="W4904" s="252"/>
      <c r="X4904" s="207"/>
      <c r="Y4904" s="202"/>
      <c r="Z4904" s="318"/>
      <c r="AA4904" s="252"/>
      <c r="AB4904" s="252"/>
      <c r="AC4904" s="252"/>
      <c r="AF4904"/>
      <c r="AG4904"/>
    </row>
    <row r="4905" spans="1:33" s="121" customFormat="1" hidden="1">
      <c r="A4905"/>
      <c r="B4905"/>
      <c r="C4905"/>
      <c r="D4905"/>
      <c r="E4905"/>
      <c r="F4905"/>
      <c r="G4905"/>
      <c r="H4905"/>
      <c r="I4905"/>
      <c r="J4905"/>
      <c r="K4905"/>
      <c r="L4905"/>
      <c r="M4905" s="50"/>
      <c r="N4905" s="256"/>
      <c r="O4905" s="256"/>
      <c r="P4905" s="253"/>
      <c r="Q4905" s="207"/>
      <c r="R4905" s="252"/>
      <c r="S4905" s="252"/>
      <c r="T4905" s="252"/>
      <c r="U4905" s="252"/>
      <c r="V4905" s="252"/>
      <c r="W4905" s="252"/>
      <c r="X4905" s="207"/>
      <c r="Y4905" s="202"/>
      <c r="Z4905" s="318"/>
      <c r="AA4905" s="252"/>
      <c r="AB4905" s="252"/>
      <c r="AC4905" s="252"/>
      <c r="AF4905"/>
      <c r="AG4905"/>
    </row>
    <row r="4906" spans="1:33" s="121" customFormat="1" hidden="1">
      <c r="A4906"/>
      <c r="B4906"/>
      <c r="C4906"/>
      <c r="D4906"/>
      <c r="E4906"/>
      <c r="F4906"/>
      <c r="G4906"/>
      <c r="H4906"/>
      <c r="I4906"/>
      <c r="J4906"/>
      <c r="K4906"/>
      <c r="L4906"/>
      <c r="M4906" s="50"/>
      <c r="N4906" s="256"/>
      <c r="O4906" s="256"/>
      <c r="P4906" s="253"/>
      <c r="Q4906" s="207"/>
      <c r="R4906" s="252"/>
      <c r="S4906" s="252"/>
      <c r="T4906" s="252"/>
      <c r="U4906" s="252"/>
      <c r="V4906" s="252"/>
      <c r="W4906" s="252"/>
      <c r="X4906" s="207"/>
      <c r="Y4906" s="202"/>
      <c r="Z4906" s="318"/>
      <c r="AA4906" s="252"/>
      <c r="AB4906" s="252"/>
      <c r="AC4906" s="252"/>
      <c r="AF4906"/>
      <c r="AG4906"/>
    </row>
    <row r="4907" spans="1:33" s="121" customFormat="1" hidden="1">
      <c r="A4907"/>
      <c r="B4907"/>
      <c r="C4907"/>
      <c r="D4907"/>
      <c r="E4907"/>
      <c r="F4907"/>
      <c r="G4907"/>
      <c r="H4907"/>
      <c r="I4907"/>
      <c r="J4907"/>
      <c r="K4907"/>
      <c r="L4907"/>
      <c r="M4907" s="50"/>
      <c r="N4907" s="256"/>
      <c r="O4907" s="256"/>
      <c r="P4907" s="253"/>
      <c r="Q4907" s="207"/>
      <c r="R4907" s="252"/>
      <c r="S4907" s="252"/>
      <c r="T4907" s="252"/>
      <c r="U4907" s="252"/>
      <c r="V4907" s="252"/>
      <c r="W4907" s="252"/>
      <c r="X4907" s="207"/>
      <c r="Y4907" s="202"/>
      <c r="Z4907" s="318"/>
      <c r="AA4907" s="252"/>
      <c r="AB4907" s="252"/>
      <c r="AC4907" s="252"/>
      <c r="AF4907"/>
      <c r="AG4907"/>
    </row>
    <row r="4908" spans="1:33" s="121" customFormat="1" hidden="1">
      <c r="A4908"/>
      <c r="B4908"/>
      <c r="C4908"/>
      <c r="D4908"/>
      <c r="E4908"/>
      <c r="F4908"/>
      <c r="G4908"/>
      <c r="H4908"/>
      <c r="I4908"/>
      <c r="J4908"/>
      <c r="K4908"/>
      <c r="L4908"/>
      <c r="M4908" s="50"/>
      <c r="N4908" s="256"/>
      <c r="O4908" s="256"/>
      <c r="P4908" s="253"/>
      <c r="Q4908" s="207"/>
      <c r="R4908" s="252"/>
      <c r="S4908" s="252"/>
      <c r="T4908" s="252"/>
      <c r="U4908" s="252"/>
      <c r="V4908" s="252"/>
      <c r="W4908" s="252"/>
      <c r="X4908" s="207"/>
      <c r="Y4908" s="202"/>
      <c r="Z4908" s="318"/>
      <c r="AA4908" s="252"/>
      <c r="AB4908" s="252"/>
      <c r="AC4908" s="252"/>
      <c r="AF4908"/>
      <c r="AG4908"/>
    </row>
    <row r="4909" spans="1:33" s="121" customFormat="1" hidden="1">
      <c r="A4909"/>
      <c r="B4909"/>
      <c r="C4909"/>
      <c r="D4909"/>
      <c r="E4909"/>
      <c r="F4909"/>
      <c r="G4909"/>
      <c r="H4909"/>
      <c r="I4909"/>
      <c r="J4909"/>
      <c r="K4909"/>
      <c r="L4909"/>
      <c r="M4909" s="50"/>
      <c r="N4909" s="256"/>
      <c r="O4909" s="256"/>
      <c r="P4909" s="253"/>
      <c r="Q4909" s="207"/>
      <c r="R4909" s="252"/>
      <c r="S4909" s="252"/>
      <c r="T4909" s="252"/>
      <c r="U4909" s="252"/>
      <c r="V4909" s="252"/>
      <c r="W4909" s="252"/>
      <c r="X4909" s="207"/>
      <c r="Y4909" s="202"/>
      <c r="Z4909" s="318"/>
      <c r="AA4909" s="252"/>
      <c r="AB4909" s="252"/>
      <c r="AC4909" s="252"/>
      <c r="AF4909"/>
      <c r="AG4909"/>
    </row>
    <row r="4910" spans="1:33" s="121" customFormat="1" hidden="1">
      <c r="A4910"/>
      <c r="B4910"/>
      <c r="C4910"/>
      <c r="D4910"/>
      <c r="E4910"/>
      <c r="F4910"/>
      <c r="G4910"/>
      <c r="H4910"/>
      <c r="I4910"/>
      <c r="J4910"/>
      <c r="K4910"/>
      <c r="L4910"/>
      <c r="M4910" s="50"/>
      <c r="N4910" s="256"/>
      <c r="O4910" s="256"/>
      <c r="P4910" s="253"/>
      <c r="Q4910" s="207"/>
      <c r="R4910" s="252"/>
      <c r="S4910" s="252"/>
      <c r="T4910" s="252"/>
      <c r="U4910" s="252"/>
      <c r="V4910" s="252"/>
      <c r="W4910" s="252"/>
      <c r="X4910" s="207"/>
      <c r="Y4910" s="202"/>
      <c r="Z4910" s="318"/>
      <c r="AA4910" s="252"/>
      <c r="AB4910" s="252"/>
      <c r="AC4910" s="252"/>
      <c r="AF4910"/>
      <c r="AG4910"/>
    </row>
    <row r="4911" spans="1:33" s="121" customFormat="1" hidden="1">
      <c r="A4911"/>
      <c r="B4911"/>
      <c r="C4911"/>
      <c r="D4911"/>
      <c r="E4911"/>
      <c r="F4911"/>
      <c r="G4911"/>
      <c r="H4911"/>
      <c r="I4911"/>
      <c r="J4911"/>
      <c r="K4911"/>
      <c r="L4911"/>
      <c r="M4911" s="50"/>
      <c r="N4911" s="256"/>
      <c r="O4911" s="256"/>
      <c r="P4911" s="253"/>
      <c r="Q4911" s="207"/>
      <c r="R4911" s="252"/>
      <c r="S4911" s="252"/>
      <c r="T4911" s="252"/>
      <c r="U4911" s="252"/>
      <c r="V4911" s="252"/>
      <c r="W4911" s="252"/>
      <c r="X4911" s="207"/>
      <c r="Y4911" s="202"/>
      <c r="Z4911" s="318"/>
      <c r="AA4911" s="252"/>
      <c r="AB4911" s="252"/>
      <c r="AC4911" s="252"/>
      <c r="AF4911"/>
      <c r="AG4911"/>
    </row>
    <row r="4912" spans="1:33" s="121" customFormat="1" hidden="1">
      <c r="A4912"/>
      <c r="B4912"/>
      <c r="C4912"/>
      <c r="D4912"/>
      <c r="E4912"/>
      <c r="F4912"/>
      <c r="G4912"/>
      <c r="H4912"/>
      <c r="I4912"/>
      <c r="J4912"/>
      <c r="K4912"/>
      <c r="L4912"/>
      <c r="M4912" s="50"/>
      <c r="N4912" s="256"/>
      <c r="O4912" s="256"/>
      <c r="P4912" s="253"/>
      <c r="Q4912" s="207"/>
      <c r="R4912" s="252"/>
      <c r="S4912" s="252"/>
      <c r="T4912" s="252"/>
      <c r="U4912" s="252"/>
      <c r="V4912" s="252"/>
      <c r="W4912" s="252"/>
      <c r="X4912" s="207"/>
      <c r="Y4912" s="202"/>
      <c r="Z4912" s="318"/>
      <c r="AA4912" s="252"/>
      <c r="AB4912" s="252"/>
      <c r="AC4912" s="252"/>
      <c r="AF4912"/>
      <c r="AG4912"/>
    </row>
    <row r="4913" spans="1:33" s="121" customFormat="1" hidden="1">
      <c r="A4913"/>
      <c r="B4913"/>
      <c r="C4913"/>
      <c r="D4913"/>
      <c r="E4913"/>
      <c r="F4913"/>
      <c r="G4913"/>
      <c r="H4913"/>
      <c r="I4913"/>
      <c r="J4913"/>
      <c r="K4913"/>
      <c r="L4913"/>
      <c r="M4913" s="50"/>
      <c r="N4913" s="256"/>
      <c r="O4913" s="256"/>
      <c r="P4913" s="253"/>
      <c r="Q4913" s="207"/>
      <c r="R4913" s="252"/>
      <c r="S4913" s="252"/>
      <c r="T4913" s="252"/>
      <c r="U4913" s="252"/>
      <c r="V4913" s="252"/>
      <c r="W4913" s="252"/>
      <c r="X4913" s="207"/>
      <c r="Y4913" s="202"/>
      <c r="Z4913" s="318"/>
      <c r="AA4913" s="252"/>
      <c r="AB4913" s="252"/>
      <c r="AC4913" s="252"/>
      <c r="AF4913"/>
      <c r="AG4913"/>
    </row>
    <row r="4914" spans="1:33" s="121" customFormat="1" hidden="1">
      <c r="A4914"/>
      <c r="B4914"/>
      <c r="C4914"/>
      <c r="D4914"/>
      <c r="E4914"/>
      <c r="F4914"/>
      <c r="G4914"/>
      <c r="H4914"/>
      <c r="I4914"/>
      <c r="J4914"/>
      <c r="K4914"/>
      <c r="L4914"/>
      <c r="M4914" s="50"/>
      <c r="N4914" s="256"/>
      <c r="O4914" s="256"/>
      <c r="P4914" s="253"/>
      <c r="Q4914" s="207"/>
      <c r="R4914" s="252"/>
      <c r="S4914" s="252"/>
      <c r="T4914" s="252"/>
      <c r="U4914" s="252"/>
      <c r="V4914" s="252"/>
      <c r="W4914" s="252"/>
      <c r="X4914" s="207"/>
      <c r="Y4914" s="202"/>
      <c r="Z4914" s="318"/>
      <c r="AA4914" s="252"/>
      <c r="AB4914" s="252"/>
      <c r="AC4914" s="252"/>
      <c r="AF4914"/>
      <c r="AG4914"/>
    </row>
    <row r="4915" spans="1:33" s="121" customFormat="1" hidden="1">
      <c r="A4915"/>
      <c r="B4915"/>
      <c r="C4915"/>
      <c r="D4915"/>
      <c r="E4915"/>
      <c r="F4915"/>
      <c r="G4915"/>
      <c r="H4915"/>
      <c r="I4915"/>
      <c r="J4915"/>
      <c r="K4915"/>
      <c r="L4915"/>
      <c r="M4915" s="50"/>
      <c r="N4915" s="256"/>
      <c r="O4915" s="256"/>
      <c r="P4915" s="253"/>
      <c r="Q4915" s="207"/>
      <c r="R4915" s="252"/>
      <c r="S4915" s="252"/>
      <c r="T4915" s="252"/>
      <c r="U4915" s="252"/>
      <c r="V4915" s="252"/>
      <c r="W4915" s="252"/>
      <c r="X4915" s="207"/>
      <c r="Y4915" s="202"/>
      <c r="Z4915" s="318"/>
      <c r="AA4915" s="252"/>
      <c r="AB4915" s="252"/>
      <c r="AC4915" s="252"/>
      <c r="AF4915"/>
      <c r="AG4915"/>
    </row>
    <row r="4916" spans="1:33" s="121" customFormat="1" hidden="1">
      <c r="A4916"/>
      <c r="B4916"/>
      <c r="C4916"/>
      <c r="D4916"/>
      <c r="E4916"/>
      <c r="F4916"/>
      <c r="G4916"/>
      <c r="H4916"/>
      <c r="I4916"/>
      <c r="J4916"/>
      <c r="K4916"/>
      <c r="L4916"/>
      <c r="M4916" s="50"/>
      <c r="N4916" s="256"/>
      <c r="O4916" s="256"/>
      <c r="P4916" s="253"/>
      <c r="Q4916" s="207"/>
      <c r="R4916" s="252"/>
      <c r="S4916" s="252"/>
      <c r="T4916" s="252"/>
      <c r="U4916" s="252"/>
      <c r="V4916" s="252"/>
      <c r="W4916" s="252"/>
      <c r="X4916" s="207"/>
      <c r="Y4916" s="202"/>
      <c r="Z4916" s="318"/>
      <c r="AA4916" s="252"/>
      <c r="AB4916" s="252"/>
      <c r="AC4916" s="252"/>
      <c r="AF4916"/>
      <c r="AG4916"/>
    </row>
    <row r="4917" spans="1:33" s="121" customFormat="1" hidden="1">
      <c r="A4917"/>
      <c r="B4917"/>
      <c r="C4917"/>
      <c r="D4917"/>
      <c r="E4917"/>
      <c r="F4917"/>
      <c r="G4917"/>
      <c r="H4917"/>
      <c r="I4917"/>
      <c r="J4917"/>
      <c r="K4917"/>
      <c r="L4917"/>
      <c r="M4917" s="50"/>
      <c r="N4917" s="256"/>
      <c r="O4917" s="256"/>
      <c r="P4917" s="253"/>
      <c r="Q4917" s="207"/>
      <c r="R4917" s="252"/>
      <c r="S4917" s="252"/>
      <c r="T4917" s="252"/>
      <c r="U4917" s="252"/>
      <c r="V4917" s="252"/>
      <c r="W4917" s="252"/>
      <c r="X4917" s="207"/>
      <c r="Y4917" s="202"/>
      <c r="Z4917" s="318"/>
      <c r="AA4917" s="252"/>
      <c r="AB4917" s="252"/>
      <c r="AC4917" s="252"/>
      <c r="AF4917"/>
      <c r="AG4917"/>
    </row>
    <row r="4918" spans="1:33" s="121" customFormat="1" hidden="1">
      <c r="A4918"/>
      <c r="B4918"/>
      <c r="C4918"/>
      <c r="D4918"/>
      <c r="E4918"/>
      <c r="F4918"/>
      <c r="G4918"/>
      <c r="H4918"/>
      <c r="I4918"/>
      <c r="J4918"/>
      <c r="K4918"/>
      <c r="L4918"/>
      <c r="M4918" s="50"/>
      <c r="N4918" s="256"/>
      <c r="O4918" s="256"/>
      <c r="P4918" s="253"/>
      <c r="Q4918" s="207"/>
      <c r="R4918" s="252"/>
      <c r="S4918" s="252"/>
      <c r="T4918" s="252"/>
      <c r="U4918" s="252"/>
      <c r="V4918" s="252"/>
      <c r="W4918" s="252"/>
      <c r="X4918" s="207"/>
      <c r="Y4918" s="202"/>
      <c r="Z4918" s="318"/>
      <c r="AA4918" s="252"/>
      <c r="AB4918" s="252"/>
      <c r="AC4918" s="252"/>
      <c r="AF4918"/>
      <c r="AG4918"/>
    </row>
    <row r="4919" spans="1:33" s="121" customFormat="1" hidden="1">
      <c r="A4919"/>
      <c r="B4919"/>
      <c r="C4919"/>
      <c r="D4919"/>
      <c r="E4919"/>
      <c r="F4919"/>
      <c r="G4919"/>
      <c r="H4919"/>
      <c r="I4919"/>
      <c r="J4919"/>
      <c r="K4919"/>
      <c r="L4919"/>
      <c r="M4919" s="50"/>
      <c r="N4919" s="256"/>
      <c r="O4919" s="256"/>
      <c r="P4919" s="253"/>
      <c r="Q4919" s="207"/>
      <c r="R4919" s="252"/>
      <c r="S4919" s="252"/>
      <c r="T4919" s="252"/>
      <c r="U4919" s="252"/>
      <c r="V4919" s="252"/>
      <c r="W4919" s="252"/>
      <c r="X4919" s="207"/>
      <c r="Y4919" s="202"/>
      <c r="Z4919" s="318"/>
      <c r="AA4919" s="252"/>
      <c r="AB4919" s="252"/>
      <c r="AC4919" s="252"/>
      <c r="AF4919"/>
      <c r="AG4919"/>
    </row>
    <row r="4920" spans="1:33" s="121" customFormat="1" hidden="1">
      <c r="A4920"/>
      <c r="B4920"/>
      <c r="C4920"/>
      <c r="D4920"/>
      <c r="E4920"/>
      <c r="F4920"/>
      <c r="G4920"/>
      <c r="H4920"/>
      <c r="I4920"/>
      <c r="J4920"/>
      <c r="K4920"/>
      <c r="L4920"/>
      <c r="M4920" s="50"/>
      <c r="N4920" s="256"/>
      <c r="O4920" s="256"/>
      <c r="P4920" s="253"/>
      <c r="Q4920" s="207"/>
      <c r="R4920" s="252"/>
      <c r="S4920" s="252"/>
      <c r="T4920" s="252"/>
      <c r="U4920" s="252"/>
      <c r="V4920" s="252"/>
      <c r="W4920" s="252"/>
      <c r="X4920" s="207"/>
      <c r="Y4920" s="202"/>
      <c r="Z4920" s="318"/>
      <c r="AA4920" s="252"/>
      <c r="AB4920" s="252"/>
      <c r="AC4920" s="252"/>
      <c r="AF4920"/>
      <c r="AG4920"/>
    </row>
    <row r="4921" spans="1:33" s="121" customFormat="1" hidden="1">
      <c r="A4921"/>
      <c r="B4921"/>
      <c r="C4921"/>
      <c r="D4921"/>
      <c r="E4921"/>
      <c r="F4921"/>
      <c r="G4921"/>
      <c r="H4921"/>
      <c r="I4921"/>
      <c r="J4921"/>
      <c r="K4921"/>
      <c r="L4921"/>
      <c r="M4921" s="50"/>
      <c r="N4921" s="256"/>
      <c r="O4921" s="256"/>
      <c r="P4921" s="253"/>
      <c r="Q4921" s="207"/>
      <c r="R4921" s="252"/>
      <c r="S4921" s="252"/>
      <c r="T4921" s="252"/>
      <c r="U4921" s="252"/>
      <c r="V4921" s="252"/>
      <c r="W4921" s="252"/>
      <c r="X4921" s="207"/>
      <c r="Y4921" s="202"/>
      <c r="Z4921" s="318"/>
      <c r="AA4921" s="252"/>
      <c r="AB4921" s="252"/>
      <c r="AC4921" s="252"/>
      <c r="AF4921"/>
      <c r="AG4921"/>
    </row>
    <row r="4922" spans="1:33" s="121" customFormat="1" hidden="1">
      <c r="A4922"/>
      <c r="B4922"/>
      <c r="C4922"/>
      <c r="D4922"/>
      <c r="E4922"/>
      <c r="F4922"/>
      <c r="G4922"/>
      <c r="H4922"/>
      <c r="I4922"/>
      <c r="J4922"/>
      <c r="K4922"/>
      <c r="L4922"/>
      <c r="M4922" s="50"/>
      <c r="N4922" s="256"/>
      <c r="O4922" s="256"/>
      <c r="P4922" s="253"/>
      <c r="Q4922" s="207"/>
      <c r="R4922" s="252"/>
      <c r="S4922" s="252"/>
      <c r="T4922" s="252"/>
      <c r="U4922" s="252"/>
      <c r="V4922" s="252"/>
      <c r="W4922" s="252"/>
      <c r="X4922" s="207"/>
      <c r="Y4922" s="202"/>
      <c r="Z4922" s="318"/>
      <c r="AA4922" s="252"/>
      <c r="AB4922" s="252"/>
      <c r="AC4922" s="252"/>
      <c r="AF4922"/>
      <c r="AG4922"/>
    </row>
    <row r="4923" spans="1:33" s="121" customFormat="1" hidden="1">
      <c r="A4923"/>
      <c r="B4923"/>
      <c r="C4923"/>
      <c r="D4923"/>
      <c r="E4923"/>
      <c r="F4923"/>
      <c r="G4923"/>
      <c r="H4923"/>
      <c r="I4923"/>
      <c r="J4923"/>
      <c r="K4923"/>
      <c r="L4923"/>
      <c r="M4923" s="50"/>
      <c r="N4923" s="256"/>
      <c r="O4923" s="256"/>
      <c r="P4923" s="253"/>
      <c r="Q4923" s="207"/>
      <c r="R4923" s="252"/>
      <c r="S4923" s="252"/>
      <c r="T4923" s="252"/>
      <c r="U4923" s="252"/>
      <c r="V4923" s="252"/>
      <c r="W4923" s="252"/>
      <c r="X4923" s="207"/>
      <c r="Y4923" s="202"/>
      <c r="Z4923" s="318"/>
      <c r="AA4923" s="252"/>
      <c r="AB4923" s="252"/>
      <c r="AC4923" s="252"/>
      <c r="AF4923"/>
      <c r="AG4923"/>
    </row>
    <row r="4924" spans="1:33" s="121" customFormat="1" hidden="1">
      <c r="A4924"/>
      <c r="B4924"/>
      <c r="C4924"/>
      <c r="D4924"/>
      <c r="E4924"/>
      <c r="F4924"/>
      <c r="G4924"/>
      <c r="H4924"/>
      <c r="I4924"/>
      <c r="J4924"/>
      <c r="K4924"/>
      <c r="L4924"/>
      <c r="M4924" s="50"/>
      <c r="N4924" s="256"/>
      <c r="O4924" s="256"/>
      <c r="P4924" s="253"/>
      <c r="Q4924" s="207"/>
      <c r="R4924" s="252"/>
      <c r="S4924" s="252"/>
      <c r="T4924" s="252"/>
      <c r="U4924" s="252"/>
      <c r="V4924" s="252"/>
      <c r="W4924" s="252"/>
      <c r="X4924" s="207"/>
      <c r="Y4924" s="202"/>
      <c r="Z4924" s="318"/>
      <c r="AA4924" s="252"/>
      <c r="AB4924" s="252"/>
      <c r="AC4924" s="252"/>
      <c r="AF4924"/>
      <c r="AG4924"/>
    </row>
    <row r="4925" spans="1:33" s="121" customFormat="1" hidden="1">
      <c r="A4925"/>
      <c r="B4925"/>
      <c r="C4925"/>
      <c r="D4925"/>
      <c r="E4925"/>
      <c r="F4925"/>
      <c r="G4925"/>
      <c r="H4925"/>
      <c r="I4925"/>
      <c r="J4925"/>
      <c r="K4925"/>
      <c r="L4925"/>
      <c r="M4925" s="50"/>
      <c r="N4925" s="256"/>
      <c r="O4925" s="256"/>
      <c r="P4925" s="253"/>
      <c r="Q4925" s="207"/>
      <c r="R4925" s="252"/>
      <c r="S4925" s="252"/>
      <c r="T4925" s="252"/>
      <c r="U4925" s="252"/>
      <c r="V4925" s="252"/>
      <c r="W4925" s="252"/>
      <c r="X4925" s="207"/>
      <c r="Y4925" s="202"/>
      <c r="Z4925" s="318"/>
      <c r="AA4925" s="252"/>
      <c r="AB4925" s="252"/>
      <c r="AC4925" s="252"/>
      <c r="AF4925"/>
      <c r="AG4925"/>
    </row>
    <row r="4926" spans="1:33" s="121" customFormat="1" hidden="1">
      <c r="A4926"/>
      <c r="B4926"/>
      <c r="C4926"/>
      <c r="D4926"/>
      <c r="E4926"/>
      <c r="F4926"/>
      <c r="G4926"/>
      <c r="H4926"/>
      <c r="I4926"/>
      <c r="J4926"/>
      <c r="K4926"/>
      <c r="L4926"/>
      <c r="M4926" s="50"/>
      <c r="N4926" s="256"/>
      <c r="O4926" s="256"/>
      <c r="P4926" s="253"/>
      <c r="Q4926" s="207"/>
      <c r="R4926" s="252"/>
      <c r="S4926" s="252"/>
      <c r="T4926" s="252"/>
      <c r="U4926" s="252"/>
      <c r="V4926" s="252"/>
      <c r="W4926" s="252"/>
      <c r="X4926" s="207"/>
      <c r="Y4926" s="202"/>
      <c r="Z4926" s="318"/>
      <c r="AA4926" s="252"/>
      <c r="AB4926" s="252"/>
      <c r="AC4926" s="252"/>
      <c r="AF4926"/>
      <c r="AG4926"/>
    </row>
    <row r="4927" spans="1:33" s="121" customFormat="1" hidden="1">
      <c r="A4927"/>
      <c r="B4927"/>
      <c r="C4927"/>
      <c r="D4927"/>
      <c r="E4927"/>
      <c r="F4927"/>
      <c r="G4927"/>
      <c r="H4927"/>
      <c r="I4927"/>
      <c r="J4927"/>
      <c r="K4927"/>
      <c r="L4927"/>
      <c r="M4927" s="50"/>
      <c r="N4927" s="256"/>
      <c r="O4927" s="256"/>
      <c r="P4927" s="253"/>
      <c r="Q4927" s="207"/>
      <c r="R4927" s="252"/>
      <c r="S4927" s="252"/>
      <c r="T4927" s="252"/>
      <c r="U4927" s="252"/>
      <c r="V4927" s="252"/>
      <c r="W4927" s="252"/>
      <c r="X4927" s="207"/>
      <c r="Y4927" s="202"/>
      <c r="Z4927" s="318"/>
      <c r="AA4927" s="252"/>
      <c r="AB4927" s="252"/>
      <c r="AC4927" s="252"/>
      <c r="AF4927"/>
      <c r="AG4927"/>
    </row>
    <row r="4928" spans="1:33" s="121" customFormat="1" hidden="1">
      <c r="A4928"/>
      <c r="B4928"/>
      <c r="C4928"/>
      <c r="D4928"/>
      <c r="E4928"/>
      <c r="F4928"/>
      <c r="G4928"/>
      <c r="H4928"/>
      <c r="I4928"/>
      <c r="J4928"/>
      <c r="K4928"/>
      <c r="L4928"/>
      <c r="M4928" s="50"/>
      <c r="N4928" s="256"/>
      <c r="O4928" s="256"/>
      <c r="P4928" s="253"/>
      <c r="Q4928" s="207"/>
      <c r="R4928" s="252"/>
      <c r="S4928" s="252"/>
      <c r="T4928" s="252"/>
      <c r="U4928" s="252"/>
      <c r="V4928" s="252"/>
      <c r="W4928" s="252"/>
      <c r="X4928" s="207"/>
      <c r="Y4928" s="202"/>
      <c r="Z4928" s="318"/>
      <c r="AA4928" s="252"/>
      <c r="AB4928" s="252"/>
      <c r="AC4928" s="252"/>
      <c r="AF4928"/>
      <c r="AG4928"/>
    </row>
    <row r="4929" spans="1:33" s="121" customFormat="1" hidden="1">
      <c r="A4929"/>
      <c r="B4929"/>
      <c r="C4929"/>
      <c r="D4929"/>
      <c r="E4929"/>
      <c r="F4929"/>
      <c r="G4929"/>
      <c r="H4929"/>
      <c r="I4929"/>
      <c r="J4929"/>
      <c r="K4929"/>
      <c r="L4929"/>
      <c r="M4929" s="50"/>
      <c r="N4929" s="256"/>
      <c r="O4929" s="256"/>
      <c r="P4929" s="253"/>
      <c r="Q4929" s="207"/>
      <c r="R4929" s="252"/>
      <c r="S4929" s="252"/>
      <c r="T4929" s="252"/>
      <c r="U4929" s="252"/>
      <c r="V4929" s="252"/>
      <c r="W4929" s="252"/>
      <c r="X4929" s="207"/>
      <c r="Y4929" s="202"/>
      <c r="Z4929" s="318"/>
      <c r="AA4929" s="252"/>
      <c r="AB4929" s="252"/>
      <c r="AC4929" s="252"/>
      <c r="AF4929"/>
      <c r="AG4929"/>
    </row>
    <row r="4930" spans="1:33" s="121" customFormat="1" hidden="1">
      <c r="A4930"/>
      <c r="B4930"/>
      <c r="C4930"/>
      <c r="D4930"/>
      <c r="E4930"/>
      <c r="F4930"/>
      <c r="G4930"/>
      <c r="H4930"/>
      <c r="I4930"/>
      <c r="J4930"/>
      <c r="K4930"/>
      <c r="L4930"/>
      <c r="M4930" s="50"/>
      <c r="N4930" s="256"/>
      <c r="O4930" s="256"/>
      <c r="P4930" s="253"/>
      <c r="Q4930" s="207"/>
      <c r="R4930" s="252"/>
      <c r="S4930" s="252"/>
      <c r="T4930" s="252"/>
      <c r="U4930" s="252"/>
      <c r="V4930" s="252"/>
      <c r="W4930" s="252"/>
      <c r="X4930" s="207"/>
      <c r="Y4930" s="202"/>
      <c r="Z4930" s="318"/>
      <c r="AA4930" s="252"/>
      <c r="AB4930" s="252"/>
      <c r="AC4930" s="252"/>
      <c r="AF4930"/>
      <c r="AG4930"/>
    </row>
    <row r="4931" spans="1:33" s="121" customFormat="1" hidden="1">
      <c r="A4931"/>
      <c r="B4931"/>
      <c r="C4931"/>
      <c r="D4931"/>
      <c r="E4931"/>
      <c r="F4931"/>
      <c r="G4931"/>
      <c r="H4931"/>
      <c r="I4931"/>
      <c r="J4931"/>
      <c r="K4931"/>
      <c r="L4931"/>
      <c r="M4931" s="50"/>
      <c r="N4931" s="256"/>
      <c r="O4931" s="256"/>
      <c r="P4931" s="253"/>
      <c r="Q4931" s="207"/>
      <c r="R4931" s="252"/>
      <c r="S4931" s="252"/>
      <c r="T4931" s="252"/>
      <c r="U4931" s="252"/>
      <c r="V4931" s="252"/>
      <c r="W4931" s="252"/>
      <c r="X4931" s="207"/>
      <c r="Y4931" s="202"/>
      <c r="Z4931" s="318"/>
      <c r="AA4931" s="252"/>
      <c r="AB4931" s="252"/>
      <c r="AC4931" s="252"/>
      <c r="AF4931"/>
      <c r="AG4931"/>
    </row>
    <row r="4932" spans="1:33" s="121" customFormat="1" hidden="1">
      <c r="A4932"/>
      <c r="B4932"/>
      <c r="C4932"/>
      <c r="D4932"/>
      <c r="E4932"/>
      <c r="F4932"/>
      <c r="G4932"/>
      <c r="H4932"/>
      <c r="I4932"/>
      <c r="J4932"/>
      <c r="K4932"/>
      <c r="L4932"/>
      <c r="M4932" s="50"/>
      <c r="N4932" s="256"/>
      <c r="O4932" s="256"/>
      <c r="P4932" s="253"/>
      <c r="Q4932" s="207"/>
      <c r="R4932" s="252"/>
      <c r="S4932" s="252"/>
      <c r="T4932" s="252"/>
      <c r="U4932" s="252"/>
      <c r="V4932" s="252"/>
      <c r="W4932" s="252"/>
      <c r="X4932" s="207"/>
      <c r="Y4932" s="202"/>
      <c r="Z4932" s="318"/>
      <c r="AA4932" s="252"/>
      <c r="AB4932" s="252"/>
      <c r="AC4932" s="252"/>
      <c r="AF4932"/>
      <c r="AG4932"/>
    </row>
    <row r="4933" spans="1:33" s="121" customFormat="1" hidden="1">
      <c r="A4933"/>
      <c r="B4933"/>
      <c r="C4933"/>
      <c r="D4933"/>
      <c r="E4933"/>
      <c r="F4933"/>
      <c r="G4933"/>
      <c r="H4933"/>
      <c r="I4933"/>
      <c r="J4933"/>
      <c r="K4933"/>
      <c r="L4933"/>
      <c r="M4933" s="50"/>
      <c r="N4933" s="256"/>
      <c r="O4933" s="256"/>
      <c r="P4933" s="253"/>
      <c r="Q4933" s="207"/>
      <c r="R4933" s="252"/>
      <c r="S4933" s="252"/>
      <c r="T4933" s="252"/>
      <c r="U4933" s="252"/>
      <c r="V4933" s="252"/>
      <c r="W4933" s="252"/>
      <c r="X4933" s="207"/>
      <c r="Y4933" s="202"/>
      <c r="Z4933" s="318"/>
      <c r="AA4933" s="252"/>
      <c r="AB4933" s="252"/>
      <c r="AC4933" s="252"/>
      <c r="AF4933"/>
      <c r="AG4933"/>
    </row>
    <row r="4934" spans="1:33" s="121" customFormat="1" hidden="1">
      <c r="A4934"/>
      <c r="B4934"/>
      <c r="C4934"/>
      <c r="D4934"/>
      <c r="E4934"/>
      <c r="F4934"/>
      <c r="G4934"/>
      <c r="H4934"/>
      <c r="I4934"/>
      <c r="J4934"/>
      <c r="K4934"/>
      <c r="L4934"/>
      <c r="M4934" s="50"/>
      <c r="N4934" s="256"/>
      <c r="O4934" s="256"/>
      <c r="P4934" s="253"/>
      <c r="Q4934" s="207"/>
      <c r="R4934" s="252"/>
      <c r="S4934" s="252"/>
      <c r="T4934" s="252"/>
      <c r="U4934" s="252"/>
      <c r="V4934" s="252"/>
      <c r="W4934" s="252"/>
      <c r="X4934" s="207"/>
      <c r="Y4934" s="202"/>
      <c r="Z4934" s="318"/>
      <c r="AA4934" s="252"/>
      <c r="AB4934" s="252"/>
      <c r="AC4934" s="252"/>
      <c r="AF4934"/>
      <c r="AG4934"/>
    </row>
    <row r="4935" spans="1:33" s="121" customFormat="1" hidden="1">
      <c r="A4935"/>
      <c r="B4935"/>
      <c r="C4935"/>
      <c r="D4935"/>
      <c r="E4935"/>
      <c r="F4935"/>
      <c r="G4935"/>
      <c r="H4935"/>
      <c r="I4935"/>
      <c r="J4935"/>
      <c r="K4935"/>
      <c r="L4935"/>
      <c r="M4935" s="50"/>
      <c r="N4935" s="256"/>
      <c r="O4935" s="256"/>
      <c r="P4935" s="253"/>
      <c r="Q4935" s="207"/>
      <c r="R4935" s="252"/>
      <c r="S4935" s="252"/>
      <c r="T4935" s="252"/>
      <c r="U4935" s="252"/>
      <c r="V4935" s="252"/>
      <c r="W4935" s="252"/>
      <c r="X4935" s="207"/>
      <c r="Y4935" s="202"/>
      <c r="Z4935" s="318"/>
      <c r="AA4935" s="252"/>
      <c r="AB4935" s="252"/>
      <c r="AC4935" s="252"/>
      <c r="AF4935"/>
      <c r="AG4935"/>
    </row>
    <row r="4936" spans="1:33" s="121" customFormat="1" hidden="1">
      <c r="A4936"/>
      <c r="B4936"/>
      <c r="C4936"/>
      <c r="D4936"/>
      <c r="E4936"/>
      <c r="F4936"/>
      <c r="G4936"/>
      <c r="H4936"/>
      <c r="I4936"/>
      <c r="J4936"/>
      <c r="K4936"/>
      <c r="L4936"/>
      <c r="M4936" s="50"/>
      <c r="N4936" s="256"/>
      <c r="O4936" s="256"/>
      <c r="P4936" s="253"/>
      <c r="Q4936" s="207"/>
      <c r="R4936" s="252"/>
      <c r="S4936" s="252"/>
      <c r="T4936" s="252"/>
      <c r="U4936" s="252"/>
      <c r="V4936" s="252"/>
      <c r="W4936" s="252"/>
      <c r="X4936" s="207"/>
      <c r="Y4936" s="202"/>
      <c r="Z4936" s="318"/>
      <c r="AA4936" s="252"/>
      <c r="AB4936" s="252"/>
      <c r="AC4936" s="252"/>
      <c r="AF4936"/>
      <c r="AG4936"/>
    </row>
    <row r="4937" spans="1:33" s="121" customFormat="1" hidden="1">
      <c r="A4937"/>
      <c r="B4937"/>
      <c r="C4937"/>
      <c r="D4937"/>
      <c r="E4937"/>
      <c r="F4937"/>
      <c r="G4937"/>
      <c r="H4937"/>
      <c r="I4937"/>
      <c r="J4937"/>
      <c r="K4937"/>
      <c r="L4937"/>
      <c r="M4937" s="50"/>
      <c r="N4937" s="256"/>
      <c r="O4937" s="256"/>
      <c r="P4937" s="253"/>
      <c r="Q4937" s="207"/>
      <c r="R4937" s="252"/>
      <c r="S4937" s="252"/>
      <c r="T4937" s="252"/>
      <c r="U4937" s="252"/>
      <c r="V4937" s="252"/>
      <c r="W4937" s="252"/>
      <c r="X4937" s="207"/>
      <c r="Y4937" s="202"/>
      <c r="Z4937" s="318"/>
      <c r="AA4937" s="252"/>
      <c r="AB4937" s="252"/>
      <c r="AC4937" s="252"/>
      <c r="AF4937"/>
      <c r="AG4937"/>
    </row>
    <row r="4938" spans="1:33" s="121" customFormat="1" hidden="1">
      <c r="A4938"/>
      <c r="B4938"/>
      <c r="C4938"/>
      <c r="D4938"/>
      <c r="E4938"/>
      <c r="F4938"/>
      <c r="G4938"/>
      <c r="H4938"/>
      <c r="I4938"/>
      <c r="J4938"/>
      <c r="K4938"/>
      <c r="L4938"/>
      <c r="M4938" s="50"/>
      <c r="N4938" s="256"/>
      <c r="O4938" s="256"/>
      <c r="P4938" s="253"/>
      <c r="Q4938" s="207"/>
      <c r="R4938" s="252"/>
      <c r="S4938" s="252"/>
      <c r="T4938" s="252"/>
      <c r="U4938" s="252"/>
      <c r="V4938" s="252"/>
      <c r="W4938" s="252"/>
      <c r="X4938" s="207"/>
      <c r="Y4938" s="202"/>
      <c r="Z4938" s="318"/>
      <c r="AA4938" s="252"/>
      <c r="AB4938" s="252"/>
      <c r="AC4938" s="252"/>
      <c r="AF4938"/>
      <c r="AG4938"/>
    </row>
    <row r="4939" spans="1:33" s="121" customFormat="1" hidden="1">
      <c r="A4939"/>
      <c r="B4939"/>
      <c r="C4939"/>
      <c r="D4939"/>
      <c r="E4939"/>
      <c r="F4939"/>
      <c r="G4939"/>
      <c r="H4939"/>
      <c r="I4939"/>
      <c r="J4939"/>
      <c r="K4939"/>
      <c r="L4939"/>
      <c r="M4939" s="50"/>
      <c r="N4939" s="256"/>
      <c r="O4939" s="256"/>
      <c r="P4939" s="253"/>
      <c r="Q4939" s="207"/>
      <c r="R4939" s="252"/>
      <c r="S4939" s="252"/>
      <c r="T4939" s="252"/>
      <c r="U4939" s="252"/>
      <c r="V4939" s="252"/>
      <c r="W4939" s="252"/>
      <c r="X4939" s="207"/>
      <c r="Y4939" s="202"/>
      <c r="Z4939" s="318"/>
      <c r="AA4939" s="252"/>
      <c r="AB4939" s="252"/>
      <c r="AC4939" s="252"/>
      <c r="AF4939"/>
      <c r="AG4939"/>
    </row>
    <row r="4940" spans="1:33" s="121" customFormat="1" hidden="1">
      <c r="A4940"/>
      <c r="B4940"/>
      <c r="C4940"/>
      <c r="D4940"/>
      <c r="E4940"/>
      <c r="F4940"/>
      <c r="G4940"/>
      <c r="H4940"/>
      <c r="I4940"/>
      <c r="J4940"/>
      <c r="K4940"/>
      <c r="L4940"/>
      <c r="M4940" s="50"/>
      <c r="N4940" s="256"/>
      <c r="O4940" s="256"/>
      <c r="P4940" s="253"/>
      <c r="Q4940" s="207"/>
      <c r="R4940" s="252"/>
      <c r="S4940" s="252"/>
      <c r="T4940" s="252"/>
      <c r="U4940" s="252"/>
      <c r="V4940" s="252"/>
      <c r="W4940" s="252"/>
      <c r="X4940" s="207"/>
      <c r="Y4940" s="202"/>
      <c r="Z4940" s="318"/>
      <c r="AA4940" s="252"/>
      <c r="AB4940" s="252"/>
      <c r="AC4940" s="252"/>
      <c r="AF4940"/>
      <c r="AG4940"/>
    </row>
    <row r="4941" spans="1:33" s="121" customFormat="1" hidden="1">
      <c r="A4941"/>
      <c r="B4941"/>
      <c r="C4941"/>
      <c r="D4941"/>
      <c r="E4941"/>
      <c r="F4941"/>
      <c r="G4941"/>
      <c r="H4941"/>
      <c r="I4941"/>
      <c r="J4941"/>
      <c r="K4941"/>
      <c r="L4941"/>
      <c r="M4941" s="50"/>
      <c r="N4941" s="256"/>
      <c r="O4941" s="256"/>
      <c r="P4941" s="253"/>
      <c r="Q4941" s="207"/>
      <c r="R4941" s="252"/>
      <c r="S4941" s="252"/>
      <c r="T4941" s="252"/>
      <c r="U4941" s="252"/>
      <c r="V4941" s="252"/>
      <c r="W4941" s="252"/>
      <c r="X4941" s="207"/>
      <c r="Y4941" s="202"/>
      <c r="Z4941" s="318"/>
      <c r="AA4941" s="252"/>
      <c r="AB4941" s="252"/>
      <c r="AC4941" s="252"/>
      <c r="AF4941"/>
      <c r="AG4941"/>
    </row>
    <row r="4942" spans="1:33" s="121" customFormat="1" hidden="1">
      <c r="A4942"/>
      <c r="B4942"/>
      <c r="C4942"/>
      <c r="D4942"/>
      <c r="E4942"/>
      <c r="F4942"/>
      <c r="G4942"/>
      <c r="H4942"/>
      <c r="I4942"/>
      <c r="J4942"/>
      <c r="K4942"/>
      <c r="L4942"/>
      <c r="M4942" s="50"/>
      <c r="N4942" s="256"/>
      <c r="O4942" s="256"/>
      <c r="P4942" s="253"/>
      <c r="Q4942" s="207"/>
      <c r="R4942" s="252"/>
      <c r="S4942" s="252"/>
      <c r="T4942" s="252"/>
      <c r="U4942" s="252"/>
      <c r="V4942" s="252"/>
      <c r="W4942" s="252"/>
      <c r="X4942" s="207"/>
      <c r="Y4942" s="202"/>
      <c r="Z4942" s="318"/>
      <c r="AA4942" s="252"/>
      <c r="AB4942" s="252"/>
      <c r="AC4942" s="252"/>
      <c r="AF4942"/>
      <c r="AG4942"/>
    </row>
    <row r="4943" spans="1:33" s="121" customFormat="1" hidden="1">
      <c r="A4943"/>
      <c r="B4943"/>
      <c r="C4943"/>
      <c r="D4943"/>
      <c r="E4943"/>
      <c r="F4943"/>
      <c r="G4943"/>
      <c r="H4943"/>
      <c r="I4943"/>
      <c r="J4943"/>
      <c r="K4943"/>
      <c r="L4943"/>
      <c r="M4943" s="50"/>
      <c r="N4943" s="256"/>
      <c r="O4943" s="256"/>
      <c r="P4943" s="253"/>
      <c r="Q4943" s="207"/>
      <c r="R4943" s="252"/>
      <c r="S4943" s="252"/>
      <c r="T4943" s="252"/>
      <c r="U4943" s="252"/>
      <c r="V4943" s="252"/>
      <c r="W4943" s="252"/>
      <c r="X4943" s="207"/>
      <c r="Y4943" s="202"/>
      <c r="Z4943" s="318"/>
      <c r="AA4943" s="252"/>
      <c r="AB4943" s="252"/>
      <c r="AC4943" s="252"/>
      <c r="AF4943"/>
      <c r="AG4943"/>
    </row>
    <row r="4944" spans="1:33" s="121" customFormat="1" hidden="1">
      <c r="A4944"/>
      <c r="B4944"/>
      <c r="C4944"/>
      <c r="D4944"/>
      <c r="E4944"/>
      <c r="F4944"/>
      <c r="G4944"/>
      <c r="H4944"/>
      <c r="I4944"/>
      <c r="J4944"/>
      <c r="K4944"/>
      <c r="L4944"/>
      <c r="M4944" s="50"/>
      <c r="N4944" s="256"/>
      <c r="O4944" s="256"/>
      <c r="P4944" s="253"/>
      <c r="Q4944" s="207"/>
      <c r="R4944" s="252"/>
      <c r="S4944" s="252"/>
      <c r="T4944" s="252"/>
      <c r="U4944" s="252"/>
      <c r="V4944" s="252"/>
      <c r="W4944" s="252"/>
      <c r="X4944" s="207"/>
      <c r="Y4944" s="202"/>
      <c r="Z4944" s="318"/>
      <c r="AA4944" s="252"/>
      <c r="AB4944" s="252"/>
      <c r="AC4944" s="252"/>
      <c r="AF4944"/>
      <c r="AG4944"/>
    </row>
    <row r="4945" spans="1:33" s="121" customFormat="1" hidden="1">
      <c r="A4945"/>
      <c r="B4945"/>
      <c r="C4945"/>
      <c r="D4945"/>
      <c r="E4945"/>
      <c r="F4945"/>
      <c r="G4945"/>
      <c r="H4945"/>
      <c r="I4945"/>
      <c r="J4945"/>
      <c r="K4945"/>
      <c r="L4945"/>
      <c r="M4945" s="50"/>
      <c r="N4945" s="256"/>
      <c r="O4945" s="256"/>
      <c r="P4945" s="253"/>
      <c r="Q4945" s="207"/>
      <c r="R4945" s="252"/>
      <c r="S4945" s="252"/>
      <c r="T4945" s="252"/>
      <c r="U4945" s="252"/>
      <c r="V4945" s="252"/>
      <c r="W4945" s="252"/>
      <c r="X4945" s="207"/>
      <c r="Y4945" s="202"/>
      <c r="Z4945" s="318"/>
      <c r="AA4945" s="252"/>
      <c r="AB4945" s="252"/>
      <c r="AC4945" s="252"/>
      <c r="AF4945"/>
      <c r="AG4945"/>
    </row>
    <row r="4946" spans="1:33" s="121" customFormat="1" hidden="1">
      <c r="A4946"/>
      <c r="B4946"/>
      <c r="C4946"/>
      <c r="D4946"/>
      <c r="E4946"/>
      <c r="F4946"/>
      <c r="G4946"/>
      <c r="H4946"/>
      <c r="I4946"/>
      <c r="J4946"/>
      <c r="K4946"/>
      <c r="L4946"/>
      <c r="M4946" s="50"/>
      <c r="N4946" s="256"/>
      <c r="O4946" s="256"/>
      <c r="P4946" s="253"/>
      <c r="Q4946" s="207"/>
      <c r="R4946" s="252"/>
      <c r="S4946" s="252"/>
      <c r="T4946" s="252"/>
      <c r="U4946" s="252"/>
      <c r="V4946" s="252"/>
      <c r="W4946" s="252"/>
      <c r="X4946" s="207"/>
      <c r="Y4946" s="202"/>
      <c r="Z4946" s="318"/>
      <c r="AA4946" s="252"/>
      <c r="AB4946" s="252"/>
      <c r="AC4946" s="252"/>
      <c r="AF4946"/>
      <c r="AG4946"/>
    </row>
    <row r="4947" spans="1:33" s="121" customFormat="1" hidden="1">
      <c r="A4947"/>
      <c r="B4947"/>
      <c r="C4947"/>
      <c r="D4947"/>
      <c r="E4947"/>
      <c r="F4947"/>
      <c r="G4947"/>
      <c r="H4947"/>
      <c r="I4947"/>
      <c r="J4947"/>
      <c r="K4947"/>
      <c r="L4947"/>
      <c r="M4947" s="50"/>
      <c r="N4947" s="256"/>
      <c r="O4947" s="256"/>
      <c r="P4947" s="253"/>
      <c r="Q4947" s="207"/>
      <c r="R4947" s="252"/>
      <c r="S4947" s="252"/>
      <c r="T4947" s="252"/>
      <c r="U4947" s="252"/>
      <c r="V4947" s="252"/>
      <c r="W4947" s="252"/>
      <c r="X4947" s="207"/>
      <c r="Y4947" s="202"/>
      <c r="Z4947" s="318"/>
      <c r="AA4947" s="252"/>
      <c r="AB4947" s="252"/>
      <c r="AC4947" s="252"/>
      <c r="AF4947"/>
      <c r="AG4947"/>
    </row>
    <row r="4948" spans="1:33" s="121" customFormat="1" hidden="1">
      <c r="A4948"/>
      <c r="B4948"/>
      <c r="C4948"/>
      <c r="D4948"/>
      <c r="E4948"/>
      <c r="F4948"/>
      <c r="G4948"/>
      <c r="H4948"/>
      <c r="I4948"/>
      <c r="J4948"/>
      <c r="K4948"/>
      <c r="L4948"/>
      <c r="M4948" s="50"/>
      <c r="N4948" s="256"/>
      <c r="O4948" s="256"/>
      <c r="P4948" s="253"/>
      <c r="Q4948" s="207"/>
      <c r="R4948" s="252"/>
      <c r="S4948" s="252"/>
      <c r="T4948" s="252"/>
      <c r="U4948" s="252"/>
      <c r="V4948" s="252"/>
      <c r="W4948" s="252"/>
      <c r="X4948" s="207"/>
      <c r="Y4948" s="202"/>
      <c r="Z4948" s="318"/>
      <c r="AA4948" s="252"/>
      <c r="AB4948" s="252"/>
      <c r="AC4948" s="252"/>
      <c r="AF4948"/>
      <c r="AG4948"/>
    </row>
    <row r="4949" spans="1:33" s="121" customFormat="1" hidden="1">
      <c r="A4949"/>
      <c r="B4949"/>
      <c r="C4949"/>
      <c r="D4949"/>
      <c r="E4949"/>
      <c r="F4949"/>
      <c r="G4949"/>
      <c r="H4949"/>
      <c r="I4949"/>
      <c r="J4949"/>
      <c r="K4949"/>
      <c r="L4949"/>
      <c r="M4949" s="50"/>
      <c r="N4949" s="256"/>
      <c r="O4949" s="256"/>
      <c r="P4949" s="253"/>
      <c r="Q4949" s="207"/>
      <c r="R4949" s="252"/>
      <c r="S4949" s="252"/>
      <c r="T4949" s="252"/>
      <c r="U4949" s="252"/>
      <c r="V4949" s="252"/>
      <c r="W4949" s="252"/>
      <c r="X4949" s="207"/>
      <c r="Y4949" s="202"/>
      <c r="Z4949" s="318"/>
      <c r="AA4949" s="252"/>
      <c r="AB4949" s="252"/>
      <c r="AC4949" s="252"/>
      <c r="AF4949"/>
      <c r="AG4949"/>
    </row>
    <row r="4950" spans="1:33" s="121" customFormat="1" hidden="1">
      <c r="A4950"/>
      <c r="B4950"/>
      <c r="C4950"/>
      <c r="D4950"/>
      <c r="E4950"/>
      <c r="F4950"/>
      <c r="G4950"/>
      <c r="H4950"/>
      <c r="I4950"/>
      <c r="J4950"/>
      <c r="K4950"/>
      <c r="L4950"/>
      <c r="M4950" s="50"/>
      <c r="N4950" s="256"/>
      <c r="O4950" s="256"/>
      <c r="P4950" s="253"/>
      <c r="Q4950" s="207"/>
      <c r="R4950" s="252"/>
      <c r="S4950" s="252"/>
      <c r="T4950" s="252"/>
      <c r="U4950" s="252"/>
      <c r="V4950" s="252"/>
      <c r="W4950" s="252"/>
      <c r="X4950" s="207"/>
      <c r="Y4950" s="202"/>
      <c r="Z4950" s="318"/>
      <c r="AA4950" s="252"/>
      <c r="AB4950" s="252"/>
      <c r="AC4950" s="252"/>
      <c r="AF4950"/>
      <c r="AG4950"/>
    </row>
    <row r="4951" spans="1:33" s="121" customFormat="1" hidden="1">
      <c r="A4951"/>
      <c r="B4951"/>
      <c r="C4951"/>
      <c r="D4951"/>
      <c r="E4951"/>
      <c r="F4951"/>
      <c r="G4951"/>
      <c r="H4951"/>
      <c r="I4951"/>
      <c r="J4951"/>
      <c r="K4951"/>
      <c r="L4951"/>
      <c r="M4951" s="50"/>
      <c r="N4951" s="256"/>
      <c r="O4951" s="256"/>
      <c r="P4951" s="253"/>
      <c r="Q4951" s="207"/>
      <c r="R4951" s="252"/>
      <c r="S4951" s="252"/>
      <c r="T4951" s="252"/>
      <c r="U4951" s="252"/>
      <c r="V4951" s="252"/>
      <c r="W4951" s="252"/>
      <c r="X4951" s="207"/>
      <c r="Y4951" s="202"/>
      <c r="Z4951" s="318"/>
      <c r="AA4951" s="252"/>
      <c r="AB4951" s="252"/>
      <c r="AC4951" s="252"/>
      <c r="AF4951"/>
      <c r="AG4951"/>
    </row>
    <row r="4952" spans="1:33" s="121" customFormat="1" hidden="1">
      <c r="A4952"/>
      <c r="B4952"/>
      <c r="C4952"/>
      <c r="D4952"/>
      <c r="E4952"/>
      <c r="F4952"/>
      <c r="G4952"/>
      <c r="H4952"/>
      <c r="I4952"/>
      <c r="J4952"/>
      <c r="K4952"/>
      <c r="L4952"/>
      <c r="M4952" s="50"/>
      <c r="N4952" s="256"/>
      <c r="O4952" s="256"/>
      <c r="P4952" s="253"/>
      <c r="Q4952" s="207"/>
      <c r="R4952" s="252"/>
      <c r="S4952" s="252"/>
      <c r="T4952" s="252"/>
      <c r="U4952" s="252"/>
      <c r="V4952" s="252"/>
      <c r="W4952" s="252"/>
      <c r="X4952" s="207"/>
      <c r="Y4952" s="202"/>
      <c r="Z4952" s="318"/>
      <c r="AA4952" s="252"/>
      <c r="AB4952" s="252"/>
      <c r="AC4952" s="252"/>
      <c r="AF4952"/>
      <c r="AG4952"/>
    </row>
    <row r="4953" spans="1:33" s="121" customFormat="1" hidden="1">
      <c r="A4953"/>
      <c r="B4953"/>
      <c r="C4953"/>
      <c r="D4953"/>
      <c r="E4953"/>
      <c r="F4953"/>
      <c r="G4953"/>
      <c r="H4953"/>
      <c r="I4953"/>
      <c r="J4953"/>
      <c r="K4953"/>
      <c r="L4953"/>
      <c r="M4953" s="50"/>
      <c r="N4953" s="256"/>
      <c r="O4953" s="256"/>
      <c r="P4953" s="253"/>
      <c r="Q4953" s="207"/>
      <c r="R4953" s="252"/>
      <c r="S4953" s="252"/>
      <c r="T4953" s="252"/>
      <c r="U4953" s="252"/>
      <c r="V4953" s="252"/>
      <c r="W4953" s="252"/>
      <c r="X4953" s="207"/>
      <c r="Y4953" s="202"/>
      <c r="Z4953" s="318"/>
      <c r="AA4953" s="252"/>
      <c r="AB4953" s="252"/>
      <c r="AC4953" s="252"/>
      <c r="AF4953"/>
      <c r="AG4953"/>
    </row>
    <row r="4954" spans="1:33" s="121" customFormat="1" hidden="1">
      <c r="A4954"/>
      <c r="B4954"/>
      <c r="C4954"/>
      <c r="D4954"/>
      <c r="E4954"/>
      <c r="F4954"/>
      <c r="G4954"/>
      <c r="H4954"/>
      <c r="I4954"/>
      <c r="J4954"/>
      <c r="K4954"/>
      <c r="L4954"/>
      <c r="M4954" s="50"/>
      <c r="N4954" s="256"/>
      <c r="O4954" s="256"/>
      <c r="P4954" s="253"/>
      <c r="Q4954" s="207"/>
      <c r="R4954" s="252"/>
      <c r="S4954" s="252"/>
      <c r="T4954" s="252"/>
      <c r="U4954" s="252"/>
      <c r="V4954" s="252"/>
      <c r="W4954" s="252"/>
      <c r="X4954" s="207"/>
      <c r="Y4954" s="202"/>
      <c r="Z4954" s="318"/>
      <c r="AA4954" s="252"/>
      <c r="AB4954" s="252"/>
      <c r="AC4954" s="252"/>
      <c r="AF4954"/>
      <c r="AG4954"/>
    </row>
    <row r="4955" spans="1:33" s="121" customFormat="1" hidden="1">
      <c r="A4955"/>
      <c r="B4955"/>
      <c r="C4955"/>
      <c r="D4955"/>
      <c r="E4955"/>
      <c r="F4955"/>
      <c r="G4955"/>
      <c r="H4955"/>
      <c r="I4955"/>
      <c r="J4955"/>
      <c r="K4955"/>
      <c r="L4955"/>
      <c r="M4955" s="50"/>
      <c r="N4955" s="256"/>
      <c r="O4955" s="256"/>
      <c r="P4955" s="253"/>
      <c r="Q4955" s="207"/>
      <c r="R4955" s="252"/>
      <c r="S4955" s="252"/>
      <c r="T4955" s="252"/>
      <c r="U4955" s="252"/>
      <c r="V4955" s="252"/>
      <c r="W4955" s="252"/>
      <c r="X4955" s="207"/>
      <c r="Y4955" s="202"/>
      <c r="Z4955" s="318"/>
      <c r="AA4955" s="252"/>
      <c r="AB4955" s="252"/>
      <c r="AC4955" s="252"/>
      <c r="AF4955"/>
      <c r="AG4955"/>
    </row>
    <row r="4956" spans="1:33" s="121" customFormat="1" hidden="1">
      <c r="A4956"/>
      <c r="B4956"/>
      <c r="C4956"/>
      <c r="D4956"/>
      <c r="E4956"/>
      <c r="F4956"/>
      <c r="G4956"/>
      <c r="H4956"/>
      <c r="I4956"/>
      <c r="J4956"/>
      <c r="K4956"/>
      <c r="L4956"/>
      <c r="M4956" s="50"/>
      <c r="N4956" s="256"/>
      <c r="O4956" s="256"/>
      <c r="P4956" s="253"/>
      <c r="Q4956" s="207"/>
      <c r="R4956" s="252"/>
      <c r="S4956" s="252"/>
      <c r="T4956" s="252"/>
      <c r="U4956" s="252"/>
      <c r="V4956" s="252"/>
      <c r="W4956" s="252"/>
      <c r="X4956" s="207"/>
      <c r="Y4956" s="202"/>
      <c r="Z4956" s="318"/>
      <c r="AA4956" s="252"/>
      <c r="AB4956" s="252"/>
      <c r="AC4956" s="252"/>
      <c r="AF4956"/>
      <c r="AG4956"/>
    </row>
    <row r="4957" spans="1:33" s="121" customFormat="1" hidden="1">
      <c r="A4957"/>
      <c r="B4957"/>
      <c r="C4957"/>
      <c r="D4957"/>
      <c r="E4957"/>
      <c r="F4957"/>
      <c r="G4957"/>
      <c r="H4957"/>
      <c r="I4957"/>
      <c r="J4957"/>
      <c r="K4957"/>
      <c r="L4957"/>
      <c r="M4957" s="50"/>
      <c r="N4957" s="256"/>
      <c r="O4957" s="256"/>
      <c r="P4957" s="253"/>
      <c r="Q4957" s="207"/>
      <c r="R4957" s="252"/>
      <c r="S4957" s="252"/>
      <c r="T4957" s="252"/>
      <c r="U4957" s="252"/>
      <c r="V4957" s="252"/>
      <c r="W4957" s="252"/>
      <c r="X4957" s="207"/>
      <c r="Y4957" s="202"/>
      <c r="Z4957" s="318"/>
      <c r="AA4957" s="252"/>
      <c r="AB4957" s="252"/>
      <c r="AC4957" s="252"/>
      <c r="AF4957"/>
      <c r="AG4957"/>
    </row>
    <row r="4958" spans="1:33" s="121" customFormat="1" hidden="1">
      <c r="A4958"/>
      <c r="B4958"/>
      <c r="C4958"/>
      <c r="D4958"/>
      <c r="E4958"/>
      <c r="F4958"/>
      <c r="G4958"/>
      <c r="H4958"/>
      <c r="I4958"/>
      <c r="J4958"/>
      <c r="K4958"/>
      <c r="L4958"/>
      <c r="M4958" s="50"/>
      <c r="N4958" s="256"/>
      <c r="O4958" s="256"/>
      <c r="P4958" s="253"/>
      <c r="Q4958" s="207"/>
      <c r="R4958" s="252"/>
      <c r="S4958" s="252"/>
      <c r="T4958" s="252"/>
      <c r="U4958" s="252"/>
      <c r="V4958" s="252"/>
      <c r="W4958" s="252"/>
      <c r="X4958" s="207"/>
      <c r="Y4958" s="202"/>
      <c r="Z4958" s="318"/>
      <c r="AA4958" s="252"/>
      <c r="AB4958" s="252"/>
      <c r="AC4958" s="252"/>
      <c r="AF4958"/>
      <c r="AG4958"/>
    </row>
    <row r="4959" spans="1:33" s="121" customFormat="1" hidden="1">
      <c r="A4959"/>
      <c r="B4959"/>
      <c r="C4959"/>
      <c r="D4959"/>
      <c r="E4959"/>
      <c r="F4959"/>
      <c r="G4959"/>
      <c r="H4959"/>
      <c r="I4959"/>
      <c r="J4959"/>
      <c r="K4959"/>
      <c r="L4959"/>
      <c r="M4959" s="50"/>
      <c r="N4959" s="256"/>
      <c r="O4959" s="256"/>
      <c r="P4959" s="253"/>
      <c r="Q4959" s="207"/>
      <c r="R4959" s="252"/>
      <c r="S4959" s="252"/>
      <c r="T4959" s="252"/>
      <c r="U4959" s="252"/>
      <c r="V4959" s="252"/>
      <c r="W4959" s="252"/>
      <c r="X4959" s="207"/>
      <c r="Y4959" s="202"/>
      <c r="Z4959" s="318"/>
      <c r="AA4959" s="252"/>
      <c r="AB4959" s="252"/>
      <c r="AC4959" s="252"/>
      <c r="AF4959"/>
      <c r="AG4959"/>
    </row>
    <row r="4960" spans="1:33" s="121" customFormat="1" hidden="1">
      <c r="A4960"/>
      <c r="B4960"/>
      <c r="C4960"/>
      <c r="D4960"/>
      <c r="E4960"/>
      <c r="F4960"/>
      <c r="G4960"/>
      <c r="H4960"/>
      <c r="I4960"/>
      <c r="J4960"/>
      <c r="K4960"/>
      <c r="L4960"/>
      <c r="M4960" s="50"/>
      <c r="N4960" s="256"/>
      <c r="O4960" s="256"/>
      <c r="P4960" s="253"/>
      <c r="Q4960" s="207"/>
      <c r="R4960" s="252"/>
      <c r="S4960" s="252"/>
      <c r="T4960" s="252"/>
      <c r="U4960" s="252"/>
      <c r="V4960" s="252"/>
      <c r="W4960" s="252"/>
      <c r="X4960" s="207"/>
      <c r="Y4960" s="202"/>
      <c r="Z4960" s="318"/>
      <c r="AA4960" s="252"/>
      <c r="AB4960" s="252"/>
      <c r="AC4960" s="252"/>
      <c r="AF4960"/>
      <c r="AG4960"/>
    </row>
    <row r="4961" spans="1:33" s="121" customFormat="1" hidden="1">
      <c r="A4961"/>
      <c r="B4961"/>
      <c r="C4961"/>
      <c r="D4961"/>
      <c r="E4961"/>
      <c r="F4961"/>
      <c r="G4961"/>
      <c r="H4961"/>
      <c r="I4961"/>
      <c r="J4961"/>
      <c r="K4961"/>
      <c r="L4961"/>
      <c r="M4961" s="50"/>
      <c r="N4961" s="256"/>
      <c r="O4961" s="256"/>
      <c r="P4961" s="253"/>
      <c r="Q4961" s="207"/>
      <c r="R4961" s="252"/>
      <c r="S4961" s="252"/>
      <c r="T4961" s="252"/>
      <c r="U4961" s="252"/>
      <c r="V4961" s="252"/>
      <c r="W4961" s="252"/>
      <c r="X4961" s="207"/>
      <c r="Y4961" s="202"/>
      <c r="Z4961" s="318"/>
      <c r="AA4961" s="252"/>
      <c r="AB4961" s="252"/>
      <c r="AC4961" s="252"/>
      <c r="AF4961"/>
      <c r="AG4961"/>
    </row>
    <row r="4962" spans="1:33" s="121" customFormat="1" hidden="1">
      <c r="A4962"/>
      <c r="B4962"/>
      <c r="C4962"/>
      <c r="D4962"/>
      <c r="E4962"/>
      <c r="F4962"/>
      <c r="G4962"/>
      <c r="H4962"/>
      <c r="I4962"/>
      <c r="J4962"/>
      <c r="K4962"/>
      <c r="L4962"/>
      <c r="M4962" s="50"/>
      <c r="N4962" s="256"/>
      <c r="O4962" s="256"/>
      <c r="P4962" s="253"/>
      <c r="Q4962" s="207"/>
      <c r="R4962" s="252"/>
      <c r="S4962" s="252"/>
      <c r="T4962" s="252"/>
      <c r="U4962" s="252"/>
      <c r="V4962" s="252"/>
      <c r="W4962" s="252"/>
      <c r="X4962" s="207"/>
      <c r="Y4962" s="202"/>
      <c r="Z4962" s="318"/>
      <c r="AA4962" s="252"/>
      <c r="AB4962" s="252"/>
      <c r="AC4962" s="252"/>
      <c r="AF4962"/>
      <c r="AG4962"/>
    </row>
    <row r="4963" spans="1:33" s="121" customFormat="1" hidden="1">
      <c r="A4963"/>
      <c r="B4963"/>
      <c r="C4963"/>
      <c r="D4963"/>
      <c r="E4963"/>
      <c r="F4963"/>
      <c r="G4963"/>
      <c r="H4963"/>
      <c r="I4963"/>
      <c r="J4963"/>
      <c r="K4963"/>
      <c r="L4963"/>
      <c r="M4963" s="50"/>
      <c r="N4963" s="256"/>
      <c r="O4963" s="256"/>
      <c r="P4963" s="253"/>
      <c r="Q4963" s="207"/>
      <c r="R4963" s="252"/>
      <c r="S4963" s="252"/>
      <c r="T4963" s="252"/>
      <c r="U4963" s="252"/>
      <c r="V4963" s="252"/>
      <c r="W4963" s="252"/>
      <c r="X4963" s="207"/>
      <c r="Y4963" s="202"/>
      <c r="Z4963" s="318"/>
      <c r="AA4963" s="252"/>
      <c r="AB4963" s="252"/>
      <c r="AC4963" s="252"/>
      <c r="AF4963"/>
      <c r="AG4963"/>
    </row>
    <row r="4964" spans="1:33" s="121" customFormat="1" hidden="1">
      <c r="A4964"/>
      <c r="B4964"/>
      <c r="C4964"/>
      <c r="D4964"/>
      <c r="E4964"/>
      <c r="F4964"/>
      <c r="G4964"/>
      <c r="H4964"/>
      <c r="I4964"/>
      <c r="J4964"/>
      <c r="K4964"/>
      <c r="L4964"/>
      <c r="M4964" s="50"/>
      <c r="N4964" s="256"/>
      <c r="O4964" s="256"/>
      <c r="P4964" s="253"/>
      <c r="Q4964" s="207"/>
      <c r="R4964" s="252"/>
      <c r="S4964" s="252"/>
      <c r="T4964" s="252"/>
      <c r="U4964" s="252"/>
      <c r="V4964" s="252"/>
      <c r="W4964" s="252"/>
      <c r="X4964" s="207"/>
      <c r="Y4964" s="202"/>
      <c r="Z4964" s="318"/>
      <c r="AA4964" s="252"/>
      <c r="AB4964" s="252"/>
      <c r="AC4964" s="252"/>
      <c r="AF4964"/>
      <c r="AG4964"/>
    </row>
    <row r="4965" spans="1:33" s="121" customFormat="1" hidden="1">
      <c r="A4965"/>
      <c r="B4965"/>
      <c r="C4965"/>
      <c r="D4965"/>
      <c r="E4965"/>
      <c r="F4965"/>
      <c r="G4965"/>
      <c r="H4965"/>
      <c r="I4965"/>
      <c r="J4965"/>
      <c r="K4965"/>
      <c r="L4965"/>
      <c r="M4965" s="50"/>
      <c r="N4965" s="256"/>
      <c r="O4965" s="256"/>
      <c r="P4965" s="253"/>
      <c r="Q4965" s="207"/>
      <c r="R4965" s="252"/>
      <c r="S4965" s="252"/>
      <c r="T4965" s="252"/>
      <c r="U4965" s="252"/>
      <c r="V4965" s="252"/>
      <c r="W4965" s="252"/>
      <c r="X4965" s="207"/>
      <c r="Y4965" s="202"/>
      <c r="Z4965" s="318"/>
      <c r="AA4965" s="252"/>
      <c r="AB4965" s="252"/>
      <c r="AC4965" s="252"/>
      <c r="AF4965"/>
      <c r="AG4965"/>
    </row>
    <row r="4966" spans="1:33" s="121" customFormat="1" hidden="1">
      <c r="A4966"/>
      <c r="B4966"/>
      <c r="C4966"/>
      <c r="D4966"/>
      <c r="E4966"/>
      <c r="F4966"/>
      <c r="G4966"/>
      <c r="H4966"/>
      <c r="I4966"/>
      <c r="J4966"/>
      <c r="K4966"/>
      <c r="L4966"/>
      <c r="M4966" s="50"/>
      <c r="N4966" s="256"/>
      <c r="O4966" s="256"/>
      <c r="P4966" s="253"/>
      <c r="Q4966" s="207"/>
      <c r="R4966" s="252"/>
      <c r="S4966" s="252"/>
      <c r="T4966" s="252"/>
      <c r="U4966" s="252"/>
      <c r="V4966" s="252"/>
      <c r="W4966" s="252"/>
      <c r="X4966" s="207"/>
      <c r="Y4966" s="202"/>
      <c r="Z4966" s="318"/>
      <c r="AA4966" s="252"/>
      <c r="AB4966" s="252"/>
      <c r="AC4966" s="252"/>
      <c r="AF4966"/>
      <c r="AG4966"/>
    </row>
    <row r="4967" spans="1:33" s="121" customFormat="1" hidden="1">
      <c r="A4967"/>
      <c r="B4967"/>
      <c r="C4967"/>
      <c r="D4967"/>
      <c r="E4967"/>
      <c r="F4967"/>
      <c r="G4967"/>
      <c r="H4967"/>
      <c r="I4967"/>
      <c r="J4967"/>
      <c r="K4967"/>
      <c r="L4967"/>
      <c r="M4967" s="50"/>
      <c r="N4967" s="256"/>
      <c r="O4967" s="256"/>
      <c r="P4967" s="253"/>
      <c r="Q4967" s="207"/>
      <c r="R4967" s="252"/>
      <c r="S4967" s="252"/>
      <c r="T4967" s="252"/>
      <c r="U4967" s="252"/>
      <c r="V4967" s="252"/>
      <c r="W4967" s="252"/>
      <c r="X4967" s="207"/>
      <c r="Y4967" s="202"/>
      <c r="Z4967" s="318"/>
      <c r="AA4967" s="252"/>
      <c r="AB4967" s="252"/>
      <c r="AC4967" s="252"/>
      <c r="AF4967"/>
      <c r="AG4967"/>
    </row>
    <row r="4968" spans="1:33" s="121" customFormat="1" hidden="1">
      <c r="A4968"/>
      <c r="B4968"/>
      <c r="C4968"/>
      <c r="D4968"/>
      <c r="E4968"/>
      <c r="F4968"/>
      <c r="G4968"/>
      <c r="H4968"/>
      <c r="I4968"/>
      <c r="J4968"/>
      <c r="K4968"/>
      <c r="L4968"/>
      <c r="M4968" s="50"/>
      <c r="N4968" s="256"/>
      <c r="O4968" s="256"/>
      <c r="P4968" s="253"/>
      <c r="Q4968" s="207"/>
      <c r="R4968" s="252"/>
      <c r="S4968" s="252"/>
      <c r="T4968" s="252"/>
      <c r="U4968" s="252"/>
      <c r="V4968" s="252"/>
      <c r="W4968" s="252"/>
      <c r="X4968" s="207"/>
      <c r="Y4968" s="202"/>
      <c r="Z4968" s="318"/>
      <c r="AA4968" s="252"/>
      <c r="AB4968" s="252"/>
      <c r="AC4968" s="252"/>
      <c r="AF4968"/>
      <c r="AG4968"/>
    </row>
    <row r="4969" spans="1:33" s="121" customFormat="1" hidden="1">
      <c r="A4969"/>
      <c r="B4969"/>
      <c r="C4969"/>
      <c r="D4969"/>
      <c r="E4969"/>
      <c r="F4969"/>
      <c r="G4969"/>
      <c r="H4969"/>
      <c r="I4969"/>
      <c r="J4969"/>
      <c r="K4969"/>
      <c r="L4969"/>
      <c r="M4969" s="50"/>
      <c r="N4969" s="256"/>
      <c r="O4969" s="256"/>
      <c r="P4969" s="253"/>
      <c r="Q4969" s="207"/>
      <c r="R4969" s="252"/>
      <c r="S4969" s="252"/>
      <c r="T4969" s="252"/>
      <c r="U4969" s="252"/>
      <c r="V4969" s="252"/>
      <c r="W4969" s="252"/>
      <c r="X4969" s="207"/>
      <c r="Y4969" s="202"/>
      <c r="Z4969" s="318"/>
      <c r="AA4969" s="252"/>
      <c r="AB4969" s="252"/>
      <c r="AC4969" s="252"/>
      <c r="AF4969"/>
      <c r="AG4969"/>
    </row>
    <row r="4970" spans="1:33" s="121" customFormat="1" hidden="1">
      <c r="A4970"/>
      <c r="B4970"/>
      <c r="C4970"/>
      <c r="D4970"/>
      <c r="E4970"/>
      <c r="F4970"/>
      <c r="G4970"/>
      <c r="H4970"/>
      <c r="I4970"/>
      <c r="J4970"/>
      <c r="K4970"/>
      <c r="L4970"/>
      <c r="M4970" s="50"/>
      <c r="N4970" s="256"/>
      <c r="O4970" s="256"/>
      <c r="P4970" s="253"/>
      <c r="Q4970" s="207"/>
      <c r="R4970" s="252"/>
      <c r="S4970" s="252"/>
      <c r="T4970" s="252"/>
      <c r="U4970" s="252"/>
      <c r="V4970" s="252"/>
      <c r="W4970" s="252"/>
      <c r="X4970" s="207"/>
      <c r="Y4970" s="202"/>
      <c r="Z4970" s="318"/>
      <c r="AA4970" s="252"/>
      <c r="AB4970" s="252"/>
      <c r="AC4970" s="252"/>
      <c r="AF4970"/>
      <c r="AG4970"/>
    </row>
    <row r="4971" spans="1:33" s="121" customFormat="1" hidden="1">
      <c r="A4971"/>
      <c r="B4971"/>
      <c r="C4971"/>
      <c r="D4971"/>
      <c r="E4971"/>
      <c r="F4971"/>
      <c r="G4971"/>
      <c r="H4971"/>
      <c r="I4971"/>
      <c r="J4971"/>
      <c r="K4971"/>
      <c r="L4971"/>
      <c r="M4971" s="50"/>
      <c r="N4971" s="256"/>
      <c r="O4971" s="256"/>
      <c r="P4971" s="253"/>
      <c r="Q4971" s="207"/>
      <c r="R4971" s="252"/>
      <c r="S4971" s="252"/>
      <c r="T4971" s="252"/>
      <c r="U4971" s="252"/>
      <c r="V4971" s="252"/>
      <c r="W4971" s="252"/>
      <c r="X4971" s="207"/>
      <c r="Y4971" s="202"/>
      <c r="Z4971" s="318"/>
      <c r="AA4971" s="252"/>
      <c r="AB4971" s="252"/>
      <c r="AC4971" s="252"/>
      <c r="AF4971"/>
      <c r="AG4971"/>
    </row>
    <row r="4972" spans="1:33" s="121" customFormat="1" hidden="1">
      <c r="A4972"/>
      <c r="B4972"/>
      <c r="C4972"/>
      <c r="D4972"/>
      <c r="E4972"/>
      <c r="F4972"/>
      <c r="G4972"/>
      <c r="H4972"/>
      <c r="I4972"/>
      <c r="J4972"/>
      <c r="K4972"/>
      <c r="L4972"/>
      <c r="M4972" s="50"/>
      <c r="N4972" s="256"/>
      <c r="O4972" s="256"/>
      <c r="P4972" s="253"/>
      <c r="Q4972" s="207"/>
      <c r="R4972" s="252"/>
      <c r="S4972" s="252"/>
      <c r="T4972" s="252"/>
      <c r="U4972" s="252"/>
      <c r="V4972" s="252"/>
      <c r="W4972" s="252"/>
      <c r="X4972" s="207"/>
      <c r="Y4972" s="202"/>
      <c r="Z4972" s="318"/>
      <c r="AA4972" s="252"/>
      <c r="AB4972" s="252"/>
      <c r="AC4972" s="252"/>
      <c r="AF4972"/>
      <c r="AG4972"/>
    </row>
    <row r="4973" spans="1:33" s="121" customFormat="1" hidden="1">
      <c r="A4973"/>
      <c r="B4973"/>
      <c r="C4973"/>
      <c r="D4973"/>
      <c r="E4973"/>
      <c r="F4973"/>
      <c r="G4973"/>
      <c r="H4973"/>
      <c r="I4973"/>
      <c r="J4973"/>
      <c r="K4973"/>
      <c r="L4973"/>
      <c r="M4973" s="50"/>
      <c r="N4973" s="256"/>
      <c r="O4973" s="256"/>
      <c r="P4973" s="253"/>
      <c r="Q4973" s="207"/>
      <c r="R4973" s="252"/>
      <c r="S4973" s="252"/>
      <c r="T4973" s="252"/>
      <c r="U4973" s="252"/>
      <c r="V4973" s="252"/>
      <c r="W4973" s="252"/>
      <c r="X4973" s="207"/>
      <c r="Y4973" s="202"/>
      <c r="Z4973" s="318"/>
      <c r="AA4973" s="252"/>
      <c r="AB4973" s="252"/>
      <c r="AC4973" s="252"/>
      <c r="AF4973"/>
      <c r="AG4973"/>
    </row>
    <row r="4974" spans="1:33" s="121" customFormat="1" hidden="1">
      <c r="A4974"/>
      <c r="B4974"/>
      <c r="C4974"/>
      <c r="D4974"/>
      <c r="E4974"/>
      <c r="F4974"/>
      <c r="G4974"/>
      <c r="H4974"/>
      <c r="I4974"/>
      <c r="J4974"/>
      <c r="K4974"/>
      <c r="L4974"/>
      <c r="M4974" s="50"/>
      <c r="N4974" s="256"/>
      <c r="O4974" s="256"/>
      <c r="P4974" s="253"/>
      <c r="Q4974" s="207"/>
      <c r="R4974" s="252"/>
      <c r="S4974" s="252"/>
      <c r="T4974" s="252"/>
      <c r="U4974" s="252"/>
      <c r="V4974" s="252"/>
      <c r="W4974" s="252"/>
      <c r="X4974" s="207"/>
      <c r="Y4974" s="202"/>
      <c r="Z4974" s="318"/>
      <c r="AA4974" s="252"/>
      <c r="AB4974" s="252"/>
      <c r="AC4974" s="252"/>
      <c r="AF4974"/>
      <c r="AG4974"/>
    </row>
    <row r="4975" spans="1:33" s="121" customFormat="1" hidden="1">
      <c r="A4975"/>
      <c r="B4975"/>
      <c r="C4975"/>
      <c r="D4975"/>
      <c r="E4975"/>
      <c r="F4975"/>
      <c r="G4975"/>
      <c r="H4975"/>
      <c r="I4975"/>
      <c r="J4975"/>
      <c r="K4975"/>
      <c r="L4975"/>
      <c r="M4975" s="50"/>
      <c r="N4975" s="256"/>
      <c r="O4975" s="256"/>
      <c r="P4975" s="253"/>
      <c r="Q4975" s="207"/>
      <c r="R4975" s="252"/>
      <c r="S4975" s="252"/>
      <c r="T4975" s="252"/>
      <c r="U4975" s="252"/>
      <c r="V4975" s="252"/>
      <c r="W4975" s="252"/>
      <c r="X4975" s="207"/>
      <c r="Y4975" s="202"/>
      <c r="Z4975" s="318"/>
      <c r="AA4975" s="252"/>
      <c r="AB4975" s="252"/>
      <c r="AC4975" s="252"/>
      <c r="AF4975"/>
      <c r="AG4975"/>
    </row>
    <row r="4976" spans="1:33" s="121" customFormat="1" hidden="1">
      <c r="A4976"/>
      <c r="B4976"/>
      <c r="C4976"/>
      <c r="D4976"/>
      <c r="E4976"/>
      <c r="F4976"/>
      <c r="G4976"/>
      <c r="H4976"/>
      <c r="I4976"/>
      <c r="J4976"/>
      <c r="K4976"/>
      <c r="L4976"/>
      <c r="M4976" s="50"/>
      <c r="N4976" s="256"/>
      <c r="O4976" s="256"/>
      <c r="P4976" s="253"/>
      <c r="Q4976" s="207"/>
      <c r="R4976" s="252"/>
      <c r="S4976" s="252"/>
      <c r="T4976" s="252"/>
      <c r="U4976" s="252"/>
      <c r="V4976" s="252"/>
      <c r="W4976" s="252"/>
      <c r="X4976" s="207"/>
      <c r="Y4976" s="202"/>
      <c r="Z4976" s="318"/>
      <c r="AA4976" s="252"/>
      <c r="AB4976" s="252"/>
      <c r="AC4976" s="252"/>
      <c r="AF4976"/>
      <c r="AG4976"/>
    </row>
    <row r="4977" spans="1:33" s="121" customFormat="1" hidden="1">
      <c r="A4977"/>
      <c r="B4977"/>
      <c r="C4977"/>
      <c r="D4977"/>
      <c r="E4977"/>
      <c r="F4977"/>
      <c r="G4977"/>
      <c r="H4977"/>
      <c r="I4977"/>
      <c r="J4977"/>
      <c r="K4977"/>
      <c r="L4977"/>
      <c r="M4977" s="50"/>
      <c r="N4977" s="256"/>
      <c r="O4977" s="256"/>
      <c r="P4977" s="253"/>
      <c r="Q4977" s="207"/>
      <c r="R4977" s="252"/>
      <c r="S4977" s="252"/>
      <c r="T4977" s="252"/>
      <c r="U4977" s="252"/>
      <c r="V4977" s="252"/>
      <c r="W4977" s="252"/>
      <c r="X4977" s="207"/>
      <c r="Y4977" s="202"/>
      <c r="Z4977" s="318"/>
      <c r="AA4977" s="252"/>
      <c r="AB4977" s="252"/>
      <c r="AC4977" s="252"/>
      <c r="AF4977"/>
      <c r="AG4977"/>
    </row>
    <row r="4978" spans="1:33" s="121" customFormat="1" hidden="1">
      <c r="A4978"/>
      <c r="B4978"/>
      <c r="C4978"/>
      <c r="D4978"/>
      <c r="E4978"/>
      <c r="F4978"/>
      <c r="G4978"/>
      <c r="H4978"/>
      <c r="I4978"/>
      <c r="J4978"/>
      <c r="K4978"/>
      <c r="L4978"/>
      <c r="M4978" s="50"/>
      <c r="N4978" s="256"/>
      <c r="O4978" s="256"/>
      <c r="P4978" s="253"/>
      <c r="Q4978" s="207"/>
      <c r="R4978" s="252"/>
      <c r="S4978" s="252"/>
      <c r="T4978" s="252"/>
      <c r="U4978" s="252"/>
      <c r="V4978" s="252"/>
      <c r="W4978" s="252"/>
      <c r="X4978" s="207"/>
      <c r="Y4978" s="202"/>
      <c r="Z4978" s="318"/>
      <c r="AA4978" s="252"/>
      <c r="AB4978" s="252"/>
      <c r="AC4978" s="252"/>
      <c r="AF4978"/>
      <c r="AG4978"/>
    </row>
    <row r="4979" spans="1:33" s="121" customFormat="1" hidden="1">
      <c r="A4979"/>
      <c r="B4979"/>
      <c r="C4979"/>
      <c r="D4979"/>
      <c r="E4979"/>
      <c r="F4979"/>
      <c r="G4979"/>
      <c r="H4979"/>
      <c r="I4979"/>
      <c r="J4979"/>
      <c r="K4979"/>
      <c r="L4979"/>
      <c r="M4979" s="50"/>
      <c r="N4979" s="256"/>
      <c r="O4979" s="256"/>
      <c r="P4979" s="253"/>
      <c r="Q4979" s="207"/>
      <c r="R4979" s="252"/>
      <c r="S4979" s="252"/>
      <c r="T4979" s="252"/>
      <c r="U4979" s="252"/>
      <c r="V4979" s="252"/>
      <c r="W4979" s="252"/>
      <c r="X4979" s="207"/>
      <c r="Y4979" s="202"/>
      <c r="Z4979" s="318"/>
      <c r="AA4979" s="252"/>
      <c r="AB4979" s="252"/>
      <c r="AC4979" s="252"/>
      <c r="AF4979"/>
      <c r="AG4979"/>
    </row>
    <row r="4980" spans="1:33" s="121" customFormat="1" hidden="1">
      <c r="A4980"/>
      <c r="B4980"/>
      <c r="C4980"/>
      <c r="D4980"/>
      <c r="E4980"/>
      <c r="F4980"/>
      <c r="G4980"/>
      <c r="H4980"/>
      <c r="I4980"/>
      <c r="J4980"/>
      <c r="K4980"/>
      <c r="L4980"/>
      <c r="M4980" s="50"/>
      <c r="N4980" s="256"/>
      <c r="O4980" s="256"/>
      <c r="P4980" s="253"/>
      <c r="Q4980" s="207"/>
      <c r="R4980" s="252"/>
      <c r="S4980" s="252"/>
      <c r="T4980" s="252"/>
      <c r="U4980" s="252"/>
      <c r="V4980" s="252"/>
      <c r="W4980" s="252"/>
      <c r="X4980" s="207"/>
      <c r="Y4980" s="202"/>
      <c r="Z4980" s="318"/>
      <c r="AA4980" s="252"/>
      <c r="AB4980" s="252"/>
      <c r="AC4980" s="252"/>
      <c r="AF4980"/>
      <c r="AG4980"/>
    </row>
    <row r="4981" spans="1:33" s="121" customFormat="1" hidden="1">
      <c r="A4981"/>
      <c r="B4981"/>
      <c r="C4981"/>
      <c r="D4981"/>
      <c r="E4981"/>
      <c r="F4981"/>
      <c r="G4981"/>
      <c r="H4981"/>
      <c r="I4981"/>
      <c r="J4981"/>
      <c r="K4981"/>
      <c r="L4981"/>
      <c r="M4981" s="50"/>
      <c r="N4981" s="256"/>
      <c r="O4981" s="256"/>
      <c r="P4981" s="253"/>
      <c r="Q4981" s="207"/>
      <c r="R4981" s="252"/>
      <c r="S4981" s="252"/>
      <c r="T4981" s="252"/>
      <c r="U4981" s="252"/>
      <c r="V4981" s="252"/>
      <c r="W4981" s="252"/>
      <c r="X4981" s="207"/>
      <c r="Y4981" s="202"/>
      <c r="Z4981" s="318"/>
      <c r="AA4981" s="252"/>
      <c r="AB4981" s="252"/>
      <c r="AC4981" s="252"/>
      <c r="AF4981"/>
      <c r="AG4981"/>
    </row>
    <row r="4982" spans="1:33" s="121" customFormat="1" hidden="1">
      <c r="A4982"/>
      <c r="B4982"/>
      <c r="C4982"/>
      <c r="D4982"/>
      <c r="E4982"/>
      <c r="F4982"/>
      <c r="G4982"/>
      <c r="H4982"/>
      <c r="I4982"/>
      <c r="J4982"/>
      <c r="K4982"/>
      <c r="L4982"/>
      <c r="M4982" s="50"/>
      <c r="N4982" s="256"/>
      <c r="O4982" s="256"/>
      <c r="P4982" s="253"/>
      <c r="Q4982" s="207"/>
      <c r="R4982" s="252"/>
      <c r="S4982" s="252"/>
      <c r="T4982" s="252"/>
      <c r="U4982" s="252"/>
      <c r="V4982" s="252"/>
      <c r="W4982" s="252"/>
      <c r="X4982" s="207"/>
      <c r="Y4982" s="202"/>
      <c r="Z4982" s="318"/>
      <c r="AA4982" s="252"/>
      <c r="AB4982" s="252"/>
      <c r="AC4982" s="252"/>
      <c r="AF4982"/>
      <c r="AG4982"/>
    </row>
    <row r="4983" spans="1:33" s="121" customFormat="1" hidden="1">
      <c r="A4983"/>
      <c r="B4983"/>
      <c r="C4983"/>
      <c r="D4983"/>
      <c r="E4983"/>
      <c r="F4983"/>
      <c r="G4983"/>
      <c r="H4983"/>
      <c r="I4983"/>
      <c r="J4983"/>
      <c r="K4983"/>
      <c r="L4983"/>
      <c r="M4983" s="50"/>
      <c r="N4983" s="256"/>
      <c r="O4983" s="256"/>
      <c r="P4983" s="253"/>
      <c r="Q4983" s="207"/>
      <c r="R4983" s="252"/>
      <c r="S4983" s="252"/>
      <c r="T4983" s="252"/>
      <c r="U4983" s="252"/>
      <c r="V4983" s="252"/>
      <c r="W4983" s="252"/>
      <c r="X4983" s="207"/>
      <c r="Y4983" s="202"/>
      <c r="Z4983" s="318"/>
      <c r="AA4983" s="252"/>
      <c r="AB4983" s="252"/>
      <c r="AC4983" s="252"/>
      <c r="AF4983"/>
      <c r="AG4983"/>
    </row>
    <row r="4984" spans="1:33" s="121" customFormat="1" hidden="1">
      <c r="A4984"/>
      <c r="B4984"/>
      <c r="C4984"/>
      <c r="D4984"/>
      <c r="E4984"/>
      <c r="F4984"/>
      <c r="G4984"/>
      <c r="H4984"/>
      <c r="I4984"/>
      <c r="J4984"/>
      <c r="K4984"/>
      <c r="L4984"/>
      <c r="M4984" s="50"/>
      <c r="N4984" s="256"/>
      <c r="O4984" s="256"/>
      <c r="P4984" s="253"/>
      <c r="Q4984" s="207"/>
      <c r="R4984" s="252"/>
      <c r="S4984" s="252"/>
      <c r="T4984" s="252"/>
      <c r="U4984" s="252"/>
      <c r="V4984" s="252"/>
      <c r="W4984" s="252"/>
      <c r="X4984" s="207"/>
      <c r="Y4984" s="202"/>
      <c r="Z4984" s="318"/>
      <c r="AA4984" s="252"/>
      <c r="AB4984" s="252"/>
      <c r="AC4984" s="252"/>
      <c r="AF4984"/>
      <c r="AG4984"/>
    </row>
    <row r="4985" spans="1:33" s="121" customFormat="1" hidden="1">
      <c r="A4985"/>
      <c r="B4985"/>
      <c r="C4985"/>
      <c r="D4985"/>
      <c r="E4985"/>
      <c r="F4985"/>
      <c r="G4985"/>
      <c r="H4985"/>
      <c r="I4985"/>
      <c r="J4985"/>
      <c r="K4985"/>
      <c r="L4985"/>
      <c r="M4985" s="50"/>
      <c r="N4985" s="256"/>
      <c r="O4985" s="256"/>
      <c r="P4985" s="253"/>
      <c r="Q4985" s="207"/>
      <c r="R4985" s="252"/>
      <c r="S4985" s="252"/>
      <c r="T4985" s="252"/>
      <c r="U4985" s="252"/>
      <c r="V4985" s="252"/>
      <c r="W4985" s="252"/>
      <c r="X4985" s="207"/>
      <c r="Y4985" s="202"/>
      <c r="Z4985" s="318"/>
      <c r="AA4985" s="252"/>
      <c r="AB4985" s="252"/>
      <c r="AC4985" s="252"/>
      <c r="AF4985"/>
      <c r="AG4985"/>
    </row>
    <row r="4986" spans="1:33" s="121" customFormat="1" hidden="1">
      <c r="A4986"/>
      <c r="B4986"/>
      <c r="C4986"/>
      <c r="D4986"/>
      <c r="E4986"/>
      <c r="F4986"/>
      <c r="G4986"/>
      <c r="H4986"/>
      <c r="I4986"/>
      <c r="J4986"/>
      <c r="K4986"/>
      <c r="L4986"/>
      <c r="M4986" s="50"/>
      <c r="N4986" s="256"/>
      <c r="O4986" s="256"/>
      <c r="P4986" s="253"/>
      <c r="Q4986" s="207"/>
      <c r="R4986" s="252"/>
      <c r="S4986" s="252"/>
      <c r="T4986" s="252"/>
      <c r="U4986" s="252"/>
      <c r="V4986" s="252"/>
      <c r="W4986" s="252"/>
      <c r="X4986" s="207"/>
      <c r="Y4986" s="202"/>
      <c r="Z4986" s="318"/>
      <c r="AA4986" s="252"/>
      <c r="AB4986" s="252"/>
      <c r="AC4986" s="252"/>
      <c r="AF4986"/>
      <c r="AG4986"/>
    </row>
    <row r="4987" spans="1:33" s="121" customFormat="1" hidden="1">
      <c r="A4987"/>
      <c r="B4987"/>
      <c r="C4987"/>
      <c r="D4987"/>
      <c r="E4987"/>
      <c r="F4987"/>
      <c r="G4987"/>
      <c r="H4987"/>
      <c r="I4987"/>
      <c r="J4987"/>
      <c r="K4987"/>
      <c r="L4987"/>
      <c r="M4987" s="50"/>
      <c r="N4987" s="256"/>
      <c r="O4987" s="256"/>
      <c r="P4987" s="253"/>
      <c r="Q4987" s="207"/>
      <c r="R4987" s="252"/>
      <c r="S4987" s="252"/>
      <c r="T4987" s="252"/>
      <c r="U4987" s="252"/>
      <c r="V4987" s="252"/>
      <c r="W4987" s="252"/>
      <c r="X4987" s="207"/>
      <c r="Y4987" s="202"/>
      <c r="Z4987" s="318"/>
      <c r="AA4987" s="252"/>
      <c r="AB4987" s="252"/>
      <c r="AC4987" s="252"/>
      <c r="AF4987"/>
      <c r="AG4987"/>
    </row>
    <row r="4988" spans="1:33" s="121" customFormat="1" hidden="1">
      <c r="A4988"/>
      <c r="B4988"/>
      <c r="C4988"/>
      <c r="D4988"/>
      <c r="E4988"/>
      <c r="F4988"/>
      <c r="G4988"/>
      <c r="H4988"/>
      <c r="I4988"/>
      <c r="J4988"/>
      <c r="K4988"/>
      <c r="L4988"/>
      <c r="M4988" s="50"/>
      <c r="N4988" s="256"/>
      <c r="O4988" s="256"/>
      <c r="P4988" s="253"/>
      <c r="Q4988" s="207"/>
      <c r="R4988" s="252"/>
      <c r="S4988" s="252"/>
      <c r="T4988" s="252"/>
      <c r="U4988" s="252"/>
      <c r="V4988" s="252"/>
      <c r="W4988" s="252"/>
      <c r="X4988" s="207"/>
      <c r="Y4988" s="202"/>
      <c r="Z4988" s="318"/>
      <c r="AA4988" s="252"/>
      <c r="AB4988" s="252"/>
      <c r="AC4988" s="252"/>
      <c r="AF4988"/>
      <c r="AG4988"/>
    </row>
    <row r="4989" spans="1:33" s="121" customFormat="1" hidden="1">
      <c r="A4989"/>
      <c r="B4989"/>
      <c r="C4989"/>
      <c r="D4989"/>
      <c r="E4989"/>
      <c r="F4989"/>
      <c r="G4989"/>
      <c r="H4989"/>
      <c r="I4989"/>
      <c r="J4989"/>
      <c r="K4989"/>
      <c r="L4989"/>
      <c r="M4989" s="50"/>
      <c r="N4989" s="256"/>
      <c r="O4989" s="256"/>
      <c r="P4989" s="253"/>
      <c r="Q4989" s="207"/>
      <c r="R4989" s="252"/>
      <c r="S4989" s="252"/>
      <c r="T4989" s="252"/>
      <c r="U4989" s="252"/>
      <c r="V4989" s="252"/>
      <c r="W4989" s="252"/>
      <c r="X4989" s="207"/>
      <c r="Y4989" s="202"/>
      <c r="Z4989" s="318"/>
      <c r="AA4989" s="252"/>
      <c r="AB4989" s="252"/>
      <c r="AC4989" s="252"/>
      <c r="AF4989"/>
      <c r="AG4989"/>
    </row>
    <row r="4990" spans="1:33" s="121" customFormat="1" hidden="1">
      <c r="A4990"/>
      <c r="B4990"/>
      <c r="C4990"/>
      <c r="D4990"/>
      <c r="E4990"/>
      <c r="F4990"/>
      <c r="G4990"/>
      <c r="H4990"/>
      <c r="I4990"/>
      <c r="J4990"/>
      <c r="K4990"/>
      <c r="L4990"/>
      <c r="M4990" s="50"/>
      <c r="N4990" s="256"/>
      <c r="O4990" s="256"/>
      <c r="P4990" s="253"/>
      <c r="Q4990" s="207"/>
      <c r="R4990" s="252"/>
      <c r="S4990" s="252"/>
      <c r="T4990" s="252"/>
      <c r="U4990" s="252"/>
      <c r="V4990" s="252"/>
      <c r="W4990" s="252"/>
      <c r="X4990" s="207"/>
      <c r="Y4990" s="202"/>
      <c r="Z4990" s="318"/>
      <c r="AA4990" s="252"/>
      <c r="AB4990" s="252"/>
      <c r="AC4990" s="252"/>
      <c r="AF4990"/>
      <c r="AG4990"/>
    </row>
    <row r="4991" spans="1:33" s="121" customFormat="1" hidden="1">
      <c r="A4991"/>
      <c r="B4991"/>
      <c r="C4991"/>
      <c r="D4991"/>
      <c r="E4991"/>
      <c r="F4991"/>
      <c r="G4991"/>
      <c r="H4991"/>
      <c r="I4991"/>
      <c r="J4991"/>
      <c r="K4991"/>
      <c r="L4991"/>
      <c r="M4991" s="50"/>
      <c r="N4991" s="256"/>
      <c r="O4991" s="256"/>
      <c r="P4991" s="253"/>
      <c r="Q4991" s="207"/>
      <c r="R4991" s="252"/>
      <c r="S4991" s="252"/>
      <c r="T4991" s="252"/>
      <c r="U4991" s="252"/>
      <c r="V4991" s="252"/>
      <c r="W4991" s="252"/>
      <c r="X4991" s="207"/>
      <c r="Y4991" s="202"/>
      <c r="Z4991" s="318"/>
      <c r="AA4991" s="252"/>
      <c r="AB4991" s="252"/>
      <c r="AC4991" s="252"/>
      <c r="AF4991"/>
      <c r="AG4991"/>
    </row>
    <row r="4992" spans="1:33" s="121" customFormat="1" hidden="1">
      <c r="A4992"/>
      <c r="B4992"/>
      <c r="C4992"/>
      <c r="D4992"/>
      <c r="E4992"/>
      <c r="F4992"/>
      <c r="G4992"/>
      <c r="H4992"/>
      <c r="I4992"/>
      <c r="J4992"/>
      <c r="K4992"/>
      <c r="L4992"/>
      <c r="M4992" s="50"/>
      <c r="N4992" s="256"/>
      <c r="O4992" s="256"/>
      <c r="P4992" s="253"/>
      <c r="Q4992" s="207"/>
      <c r="R4992" s="252"/>
      <c r="S4992" s="252"/>
      <c r="T4992" s="252"/>
      <c r="U4992" s="252"/>
      <c r="V4992" s="252"/>
      <c r="W4992" s="252"/>
      <c r="X4992" s="207"/>
      <c r="Y4992" s="202"/>
      <c r="Z4992" s="318"/>
      <c r="AA4992" s="252"/>
      <c r="AB4992" s="252"/>
      <c r="AC4992" s="252"/>
      <c r="AF4992"/>
      <c r="AG4992"/>
    </row>
    <row r="4993" spans="1:33" s="121" customFormat="1" hidden="1">
      <c r="A4993"/>
      <c r="B4993"/>
      <c r="C4993"/>
      <c r="D4993"/>
      <c r="E4993"/>
      <c r="F4993"/>
      <c r="G4993"/>
      <c r="H4993"/>
      <c r="I4993"/>
      <c r="J4993"/>
      <c r="K4993"/>
      <c r="L4993"/>
      <c r="M4993" s="50"/>
      <c r="N4993" s="256"/>
      <c r="O4993" s="256"/>
      <c r="P4993" s="253"/>
      <c r="Q4993" s="207"/>
      <c r="R4993" s="252"/>
      <c r="S4993" s="252"/>
      <c r="T4993" s="252"/>
      <c r="U4993" s="252"/>
      <c r="V4993" s="252"/>
      <c r="W4993" s="252"/>
      <c r="X4993" s="207"/>
      <c r="Y4993" s="202"/>
      <c r="Z4993" s="318"/>
      <c r="AA4993" s="252"/>
      <c r="AB4993" s="252"/>
      <c r="AC4993" s="252"/>
      <c r="AF4993"/>
      <c r="AG4993"/>
    </row>
    <row r="4994" spans="1:33" s="121" customFormat="1" hidden="1">
      <c r="A4994"/>
      <c r="B4994"/>
      <c r="C4994"/>
      <c r="D4994"/>
      <c r="E4994"/>
      <c r="F4994"/>
      <c r="G4994"/>
      <c r="H4994"/>
      <c r="I4994"/>
      <c r="J4994"/>
      <c r="K4994"/>
      <c r="L4994"/>
      <c r="M4994" s="50"/>
      <c r="N4994" s="256"/>
      <c r="O4994" s="256"/>
      <c r="P4994" s="253"/>
      <c r="Q4994" s="207"/>
      <c r="R4994" s="252"/>
      <c r="S4994" s="252"/>
      <c r="T4994" s="252"/>
      <c r="U4994" s="252"/>
      <c r="V4994" s="252"/>
      <c r="W4994" s="252"/>
      <c r="X4994" s="207"/>
      <c r="Y4994" s="202"/>
      <c r="Z4994" s="318"/>
      <c r="AA4994" s="252"/>
      <c r="AB4994" s="252"/>
      <c r="AC4994" s="252"/>
      <c r="AF4994"/>
      <c r="AG4994"/>
    </row>
    <row r="4995" spans="1:33" s="121" customFormat="1" hidden="1">
      <c r="A4995"/>
      <c r="B4995"/>
      <c r="C4995"/>
      <c r="D4995"/>
      <c r="E4995"/>
      <c r="F4995"/>
      <c r="G4995"/>
      <c r="H4995"/>
      <c r="I4995"/>
      <c r="J4995"/>
      <c r="K4995"/>
      <c r="L4995"/>
      <c r="M4995" s="50"/>
      <c r="N4995" s="256"/>
      <c r="O4995" s="256"/>
      <c r="P4995" s="253"/>
      <c r="Q4995" s="207"/>
      <c r="R4995" s="252"/>
      <c r="S4995" s="252"/>
      <c r="T4995" s="252"/>
      <c r="U4995" s="252"/>
      <c r="V4995" s="252"/>
      <c r="W4995" s="252"/>
      <c r="X4995" s="207"/>
      <c r="Y4995" s="202"/>
      <c r="Z4995" s="318"/>
      <c r="AA4995" s="252"/>
      <c r="AB4995" s="252"/>
      <c r="AC4995" s="252"/>
      <c r="AF4995"/>
      <c r="AG4995"/>
    </row>
    <row r="4996" spans="1:33" s="121" customFormat="1" hidden="1">
      <c r="A4996"/>
      <c r="B4996"/>
      <c r="C4996"/>
      <c r="D4996"/>
      <c r="E4996"/>
      <c r="F4996"/>
      <c r="G4996"/>
      <c r="H4996"/>
      <c r="I4996"/>
      <c r="J4996"/>
      <c r="K4996"/>
      <c r="L4996"/>
      <c r="M4996" s="50"/>
      <c r="N4996" s="256"/>
      <c r="O4996" s="256"/>
      <c r="P4996" s="253"/>
      <c r="Q4996" s="207"/>
      <c r="R4996" s="252"/>
      <c r="S4996" s="252"/>
      <c r="T4996" s="252"/>
      <c r="U4996" s="252"/>
      <c r="V4996" s="252"/>
      <c r="W4996" s="252"/>
      <c r="X4996" s="207"/>
      <c r="Y4996" s="202"/>
      <c r="Z4996" s="318"/>
      <c r="AA4996" s="252"/>
      <c r="AB4996" s="252"/>
      <c r="AC4996" s="252"/>
      <c r="AF4996"/>
      <c r="AG4996"/>
    </row>
    <row r="4997" spans="1:33" s="121" customFormat="1" hidden="1">
      <c r="A4997"/>
      <c r="B4997"/>
      <c r="C4997"/>
      <c r="D4997"/>
      <c r="E4997"/>
      <c r="F4997"/>
      <c r="G4997"/>
      <c r="H4997"/>
      <c r="I4997"/>
      <c r="J4997"/>
      <c r="K4997"/>
      <c r="L4997"/>
      <c r="M4997" s="50"/>
      <c r="N4997" s="256"/>
      <c r="O4997" s="256"/>
      <c r="P4997" s="253"/>
      <c r="Q4997" s="207"/>
      <c r="R4997" s="252"/>
      <c r="S4997" s="252"/>
      <c r="T4997" s="252"/>
      <c r="U4997" s="252"/>
      <c r="V4997" s="252"/>
      <c r="W4997" s="252"/>
      <c r="X4997" s="207"/>
      <c r="Y4997" s="202"/>
      <c r="Z4997" s="318"/>
      <c r="AA4997" s="252"/>
      <c r="AB4997" s="252"/>
      <c r="AC4997" s="252"/>
      <c r="AF4997"/>
      <c r="AG4997"/>
    </row>
    <row r="4998" spans="1:33" s="121" customFormat="1" hidden="1">
      <c r="A4998"/>
      <c r="B4998"/>
      <c r="C4998"/>
      <c r="D4998"/>
      <c r="E4998"/>
      <c r="F4998"/>
      <c r="G4998"/>
      <c r="H4998"/>
      <c r="I4998"/>
      <c r="J4998"/>
      <c r="K4998"/>
      <c r="L4998"/>
      <c r="M4998" s="50"/>
      <c r="N4998" s="256"/>
      <c r="O4998" s="256"/>
      <c r="P4998" s="253"/>
      <c r="Q4998" s="207"/>
      <c r="R4998" s="252"/>
      <c r="S4998" s="252"/>
      <c r="T4998" s="252"/>
      <c r="U4998" s="252"/>
      <c r="V4998" s="252"/>
      <c r="W4998" s="252"/>
      <c r="X4998" s="207"/>
      <c r="Y4998" s="202"/>
      <c r="Z4998" s="318"/>
      <c r="AA4998" s="252"/>
      <c r="AB4998" s="252"/>
      <c r="AC4998" s="252"/>
      <c r="AF4998"/>
      <c r="AG4998"/>
    </row>
    <row r="4999" spans="1:33" s="121" customFormat="1" hidden="1">
      <c r="A4999"/>
      <c r="B4999"/>
      <c r="C4999"/>
      <c r="D4999"/>
      <c r="E4999"/>
      <c r="F4999"/>
      <c r="G4999"/>
      <c r="H4999"/>
      <c r="I4999"/>
      <c r="J4999"/>
      <c r="K4999"/>
      <c r="L4999"/>
      <c r="M4999" s="50"/>
      <c r="N4999" s="256"/>
      <c r="O4999" s="256"/>
      <c r="P4999" s="253"/>
      <c r="Q4999" s="207"/>
      <c r="R4999" s="252"/>
      <c r="S4999" s="252"/>
      <c r="T4999" s="252"/>
      <c r="U4999" s="252"/>
      <c r="V4999" s="252"/>
      <c r="W4999" s="252"/>
      <c r="X4999" s="207"/>
      <c r="Y4999" s="202"/>
      <c r="Z4999" s="318"/>
      <c r="AA4999" s="252"/>
      <c r="AB4999" s="252"/>
      <c r="AC4999" s="252"/>
      <c r="AF4999"/>
      <c r="AG4999"/>
    </row>
    <row r="5000" spans="1:33" s="121" customFormat="1" hidden="1">
      <c r="A5000"/>
      <c r="B5000"/>
      <c r="C5000"/>
      <c r="D5000"/>
      <c r="E5000"/>
      <c r="F5000"/>
      <c r="G5000"/>
      <c r="H5000"/>
      <c r="I5000"/>
      <c r="J5000"/>
      <c r="K5000"/>
      <c r="L5000"/>
      <c r="M5000" s="50"/>
      <c r="N5000" s="256"/>
      <c r="O5000" s="256"/>
      <c r="P5000" s="253"/>
      <c r="Q5000" s="207"/>
      <c r="R5000" s="252"/>
      <c r="S5000" s="252"/>
      <c r="T5000" s="252"/>
      <c r="U5000" s="252"/>
      <c r="V5000" s="252"/>
      <c r="W5000" s="252"/>
      <c r="X5000" s="207"/>
      <c r="Y5000" s="202"/>
      <c r="Z5000" s="318"/>
      <c r="AA5000" s="252"/>
      <c r="AB5000" s="252"/>
      <c r="AC5000" s="252"/>
      <c r="AF5000"/>
      <c r="AG5000"/>
    </row>
    <row r="5001" spans="1:33" s="121" customFormat="1" hidden="1">
      <c r="A5001"/>
      <c r="B5001"/>
      <c r="C5001"/>
      <c r="D5001"/>
      <c r="E5001"/>
      <c r="F5001"/>
      <c r="G5001"/>
      <c r="H5001"/>
      <c r="I5001"/>
      <c r="J5001"/>
      <c r="K5001"/>
      <c r="L5001"/>
      <c r="M5001" s="50"/>
      <c r="N5001" s="256"/>
      <c r="O5001" s="256"/>
      <c r="P5001" s="253"/>
      <c r="Q5001" s="207"/>
      <c r="R5001" s="252"/>
      <c r="S5001" s="252"/>
      <c r="T5001" s="252"/>
      <c r="U5001" s="252"/>
      <c r="V5001" s="252"/>
      <c r="W5001" s="252"/>
      <c r="X5001" s="207"/>
      <c r="Y5001" s="202"/>
      <c r="Z5001" s="318"/>
      <c r="AA5001" s="252"/>
      <c r="AB5001" s="252"/>
      <c r="AC5001" s="252"/>
      <c r="AF5001"/>
      <c r="AG5001"/>
    </row>
    <row r="5002" spans="1:33" s="121" customFormat="1" hidden="1">
      <c r="A5002"/>
      <c r="B5002"/>
      <c r="C5002"/>
      <c r="D5002"/>
      <c r="E5002"/>
      <c r="F5002"/>
      <c r="G5002"/>
      <c r="H5002"/>
      <c r="I5002"/>
      <c r="J5002"/>
      <c r="K5002"/>
      <c r="L5002"/>
      <c r="M5002" s="50"/>
      <c r="N5002" s="256"/>
      <c r="O5002" s="256"/>
      <c r="P5002" s="253"/>
      <c r="Q5002" s="207"/>
      <c r="R5002" s="252"/>
      <c r="S5002" s="252"/>
      <c r="T5002" s="252"/>
      <c r="U5002" s="252"/>
      <c r="V5002" s="252"/>
      <c r="W5002" s="252"/>
      <c r="X5002" s="207"/>
      <c r="Y5002" s="202"/>
      <c r="Z5002" s="318"/>
      <c r="AA5002" s="252"/>
      <c r="AB5002" s="252"/>
      <c r="AC5002" s="252"/>
      <c r="AF5002"/>
      <c r="AG5002"/>
    </row>
    <row r="5003" spans="1:33" s="121" customFormat="1" hidden="1">
      <c r="A5003"/>
      <c r="B5003"/>
      <c r="C5003"/>
      <c r="D5003"/>
      <c r="E5003"/>
      <c r="F5003"/>
      <c r="G5003"/>
      <c r="H5003"/>
      <c r="I5003"/>
      <c r="J5003"/>
      <c r="K5003"/>
      <c r="L5003"/>
      <c r="M5003" s="50"/>
      <c r="N5003" s="256"/>
      <c r="O5003" s="256"/>
      <c r="P5003" s="253"/>
      <c r="Q5003" s="207"/>
      <c r="R5003" s="252"/>
      <c r="S5003" s="252"/>
      <c r="T5003" s="252"/>
      <c r="U5003" s="252"/>
      <c r="V5003" s="252"/>
      <c r="W5003" s="252"/>
      <c r="X5003" s="207"/>
      <c r="Y5003" s="202"/>
      <c r="Z5003" s="318"/>
      <c r="AA5003" s="252"/>
      <c r="AB5003" s="252"/>
      <c r="AC5003" s="252"/>
      <c r="AF5003"/>
      <c r="AG5003"/>
    </row>
    <row r="5004" spans="1:33" s="121" customFormat="1" hidden="1">
      <c r="A5004"/>
      <c r="B5004"/>
      <c r="C5004"/>
      <c r="D5004"/>
      <c r="E5004"/>
      <c r="F5004"/>
      <c r="G5004"/>
      <c r="H5004"/>
      <c r="I5004"/>
      <c r="J5004"/>
      <c r="K5004"/>
      <c r="L5004"/>
      <c r="M5004" s="50"/>
      <c r="N5004" s="256"/>
      <c r="O5004" s="256"/>
      <c r="P5004" s="253"/>
      <c r="Q5004" s="207"/>
      <c r="R5004" s="252"/>
      <c r="S5004" s="252"/>
      <c r="T5004" s="252"/>
      <c r="U5004" s="252"/>
      <c r="V5004" s="252"/>
      <c r="W5004" s="252"/>
      <c r="X5004" s="207"/>
      <c r="Y5004" s="202"/>
      <c r="Z5004" s="318"/>
      <c r="AA5004" s="252"/>
      <c r="AB5004" s="252"/>
      <c r="AC5004" s="252"/>
      <c r="AF5004"/>
      <c r="AG5004"/>
    </row>
    <row r="5005" spans="1:33" s="121" customFormat="1" hidden="1">
      <c r="A5005"/>
      <c r="B5005"/>
      <c r="C5005"/>
      <c r="D5005"/>
      <c r="E5005"/>
      <c r="F5005"/>
      <c r="G5005"/>
      <c r="H5005"/>
      <c r="I5005"/>
      <c r="J5005"/>
      <c r="K5005"/>
      <c r="L5005"/>
      <c r="M5005" s="50"/>
      <c r="N5005" s="256"/>
      <c r="O5005" s="256"/>
      <c r="P5005" s="253"/>
      <c r="Q5005" s="207"/>
      <c r="R5005" s="252"/>
      <c r="S5005" s="252"/>
      <c r="T5005" s="252"/>
      <c r="U5005" s="252"/>
      <c r="V5005" s="252"/>
      <c r="W5005" s="252"/>
      <c r="X5005" s="207"/>
      <c r="Y5005" s="202"/>
      <c r="Z5005" s="318"/>
      <c r="AA5005" s="252"/>
      <c r="AB5005" s="252"/>
      <c r="AC5005" s="252"/>
      <c r="AF5005"/>
      <c r="AG5005"/>
    </row>
    <row r="5006" spans="1:33" s="121" customFormat="1" hidden="1">
      <c r="A5006"/>
      <c r="B5006"/>
      <c r="C5006"/>
      <c r="D5006"/>
      <c r="E5006"/>
      <c r="F5006"/>
      <c r="G5006"/>
      <c r="H5006"/>
      <c r="I5006"/>
      <c r="J5006"/>
      <c r="K5006"/>
      <c r="L5006"/>
      <c r="M5006" s="50"/>
      <c r="N5006" s="256"/>
      <c r="O5006" s="256"/>
      <c r="P5006" s="253"/>
      <c r="Q5006" s="207"/>
      <c r="R5006" s="252"/>
      <c r="S5006" s="252"/>
      <c r="T5006" s="252"/>
      <c r="U5006" s="252"/>
      <c r="V5006" s="252"/>
      <c r="W5006" s="252"/>
      <c r="X5006" s="207"/>
      <c r="Y5006" s="202"/>
      <c r="Z5006" s="318"/>
      <c r="AA5006" s="252"/>
      <c r="AB5006" s="252"/>
      <c r="AC5006" s="252"/>
      <c r="AF5006"/>
      <c r="AG5006"/>
    </row>
    <row r="5007" spans="1:33" s="121" customFormat="1" hidden="1">
      <c r="A5007"/>
      <c r="B5007"/>
      <c r="C5007"/>
      <c r="D5007"/>
      <c r="E5007"/>
      <c r="F5007"/>
      <c r="G5007"/>
      <c r="H5007"/>
      <c r="I5007"/>
      <c r="J5007"/>
      <c r="K5007"/>
      <c r="L5007"/>
      <c r="M5007" s="50"/>
      <c r="N5007" s="256"/>
      <c r="O5007" s="256"/>
      <c r="P5007" s="253"/>
      <c r="Q5007" s="207"/>
      <c r="R5007" s="252"/>
      <c r="S5007" s="252"/>
      <c r="T5007" s="252"/>
      <c r="U5007" s="252"/>
      <c r="V5007" s="252"/>
      <c r="W5007" s="252"/>
      <c r="X5007" s="207"/>
      <c r="Y5007" s="202"/>
      <c r="Z5007" s="318"/>
      <c r="AA5007" s="252"/>
      <c r="AB5007" s="252"/>
      <c r="AC5007" s="252"/>
      <c r="AF5007"/>
      <c r="AG5007"/>
    </row>
    <row r="5008" spans="1:33" s="121" customFormat="1" hidden="1">
      <c r="A5008"/>
      <c r="B5008"/>
      <c r="C5008"/>
      <c r="D5008"/>
      <c r="E5008"/>
      <c r="F5008"/>
      <c r="G5008"/>
      <c r="H5008"/>
      <c r="I5008"/>
      <c r="J5008"/>
      <c r="K5008"/>
      <c r="L5008"/>
      <c r="M5008" s="50"/>
      <c r="N5008" s="256"/>
      <c r="O5008" s="256"/>
      <c r="P5008" s="253"/>
      <c r="Q5008" s="207"/>
      <c r="R5008" s="252"/>
      <c r="S5008" s="252"/>
      <c r="T5008" s="252"/>
      <c r="U5008" s="252"/>
      <c r="V5008" s="252"/>
      <c r="W5008" s="252"/>
      <c r="X5008" s="207"/>
      <c r="Y5008" s="202"/>
      <c r="Z5008" s="318"/>
      <c r="AA5008" s="252"/>
      <c r="AB5008" s="252"/>
      <c r="AC5008" s="252"/>
      <c r="AF5008"/>
      <c r="AG5008"/>
    </row>
    <row r="5009" spans="1:33" s="121" customFormat="1" hidden="1">
      <c r="A5009"/>
      <c r="B5009"/>
      <c r="C5009"/>
      <c r="D5009"/>
      <c r="E5009"/>
      <c r="F5009"/>
      <c r="G5009"/>
      <c r="H5009"/>
      <c r="I5009"/>
      <c r="J5009"/>
      <c r="K5009"/>
      <c r="L5009"/>
      <c r="M5009" s="50"/>
      <c r="N5009" s="256"/>
      <c r="O5009" s="256"/>
      <c r="P5009" s="253"/>
      <c r="Q5009" s="207"/>
      <c r="R5009" s="252"/>
      <c r="S5009" s="252"/>
      <c r="T5009" s="252"/>
      <c r="U5009" s="252"/>
      <c r="V5009" s="252"/>
      <c r="W5009" s="252"/>
      <c r="X5009" s="207"/>
      <c r="Y5009" s="202"/>
      <c r="Z5009" s="318"/>
      <c r="AA5009" s="252"/>
      <c r="AB5009" s="252"/>
      <c r="AC5009" s="252"/>
      <c r="AF5009"/>
      <c r="AG5009"/>
    </row>
    <row r="5010" spans="1:33" s="47" customFormat="1" hidden="1">
      <c r="A5010"/>
      <c r="B5010"/>
      <c r="C5010"/>
      <c r="D5010"/>
      <c r="E5010"/>
      <c r="F5010"/>
      <c r="G5010"/>
      <c r="H5010"/>
      <c r="I5010"/>
      <c r="J5010"/>
      <c r="K5010"/>
      <c r="L5010"/>
      <c r="M5010" s="319"/>
      <c r="N5010" s="236"/>
      <c r="O5010" s="231"/>
      <c r="P5010" s="204"/>
      <c r="Q5010" s="207"/>
      <c r="R5010" s="252"/>
      <c r="S5010" s="252"/>
      <c r="T5010" s="252"/>
      <c r="U5010" s="252"/>
      <c r="V5010" s="252"/>
      <c r="W5010" s="252"/>
      <c r="X5010" s="207"/>
      <c r="Y5010" s="202"/>
      <c r="Z5010" s="48"/>
      <c r="AA5010" s="252"/>
      <c r="AB5010" s="252"/>
      <c r="AC5010" s="252"/>
      <c r="AF5010"/>
      <c r="AG5010"/>
    </row>
    <row r="5011" spans="1:33" s="47" customFormat="1" hidden="1">
      <c r="A5011"/>
      <c r="B5011"/>
      <c r="C5011"/>
      <c r="D5011"/>
      <c r="E5011"/>
      <c r="F5011"/>
      <c r="G5011"/>
      <c r="H5011"/>
      <c r="I5011"/>
      <c r="J5011"/>
      <c r="K5011"/>
      <c r="L5011"/>
      <c r="M5011" s="319"/>
      <c r="N5011" s="236"/>
      <c r="O5011" s="231"/>
      <c r="P5011" s="204"/>
      <c r="Q5011" s="207"/>
      <c r="R5011" s="252"/>
      <c r="S5011" s="252"/>
      <c r="T5011" s="252"/>
      <c r="U5011" s="252"/>
      <c r="V5011" s="252"/>
      <c r="W5011" s="252"/>
      <c r="X5011" s="207"/>
      <c r="Y5011" s="202"/>
      <c r="Z5011" s="48"/>
      <c r="AA5011" s="252"/>
      <c r="AB5011" s="252"/>
      <c r="AC5011" s="252"/>
      <c r="AF5011"/>
      <c r="AG5011"/>
    </row>
    <row r="5012" spans="1:33" s="47" customFormat="1" hidden="1">
      <c r="A5012"/>
      <c r="B5012"/>
      <c r="C5012"/>
      <c r="D5012"/>
      <c r="E5012"/>
      <c r="F5012"/>
      <c r="G5012"/>
      <c r="H5012"/>
      <c r="I5012"/>
      <c r="J5012"/>
      <c r="K5012"/>
      <c r="L5012"/>
      <c r="M5012" s="319"/>
      <c r="N5012" s="236"/>
      <c r="O5012" s="231"/>
      <c r="P5012" s="204"/>
      <c r="Q5012" s="207"/>
      <c r="R5012" s="252"/>
      <c r="S5012" s="252"/>
      <c r="T5012" s="252"/>
      <c r="U5012" s="252"/>
      <c r="V5012" s="252"/>
      <c r="W5012" s="252"/>
      <c r="X5012" s="207"/>
      <c r="Y5012" s="202"/>
      <c r="Z5012" s="48"/>
      <c r="AA5012" s="252"/>
      <c r="AB5012" s="252"/>
      <c r="AC5012" s="252"/>
      <c r="AF5012"/>
      <c r="AG5012"/>
    </row>
    <row r="5013" spans="1:33" s="47" customFormat="1" hidden="1">
      <c r="A5013"/>
      <c r="B5013"/>
      <c r="C5013"/>
      <c r="D5013"/>
      <c r="E5013"/>
      <c r="F5013"/>
      <c r="G5013"/>
      <c r="H5013"/>
      <c r="I5013"/>
      <c r="J5013"/>
      <c r="K5013"/>
      <c r="L5013"/>
      <c r="M5013" s="319"/>
      <c r="N5013" s="236"/>
      <c r="O5013" s="231"/>
      <c r="P5013" s="204"/>
      <c r="Q5013" s="207"/>
      <c r="R5013" s="252"/>
      <c r="S5013" s="252"/>
      <c r="T5013" s="252"/>
      <c r="U5013" s="252"/>
      <c r="V5013" s="252"/>
      <c r="W5013" s="252"/>
      <c r="X5013" s="207"/>
      <c r="Y5013" s="202"/>
      <c r="Z5013" s="48"/>
      <c r="AA5013" s="252"/>
      <c r="AB5013" s="252"/>
      <c r="AC5013" s="252"/>
      <c r="AF5013"/>
      <c r="AG5013"/>
    </row>
    <row r="5014" spans="1:33" s="47" customFormat="1" hidden="1">
      <c r="A5014"/>
      <c r="B5014"/>
      <c r="C5014"/>
      <c r="D5014"/>
      <c r="E5014"/>
      <c r="F5014"/>
      <c r="G5014"/>
      <c r="H5014"/>
      <c r="I5014"/>
      <c r="J5014"/>
      <c r="K5014"/>
      <c r="L5014"/>
      <c r="M5014" s="319"/>
      <c r="N5014" s="236"/>
      <c r="O5014" s="231"/>
      <c r="P5014" s="204"/>
      <c r="Q5014" s="207"/>
      <c r="R5014" s="252"/>
      <c r="S5014" s="252"/>
      <c r="T5014" s="252"/>
      <c r="U5014" s="252"/>
      <c r="V5014" s="252"/>
      <c r="W5014" s="252"/>
      <c r="X5014" s="207"/>
      <c r="Y5014" s="202"/>
      <c r="Z5014" s="48"/>
      <c r="AA5014" s="252"/>
      <c r="AB5014" s="252"/>
      <c r="AC5014" s="252"/>
      <c r="AF5014"/>
      <c r="AG5014"/>
    </row>
    <row r="5015" spans="1:33" s="47" customFormat="1" hidden="1">
      <c r="A5015"/>
      <c r="B5015"/>
      <c r="C5015"/>
      <c r="D5015"/>
      <c r="E5015"/>
      <c r="F5015"/>
      <c r="G5015"/>
      <c r="H5015"/>
      <c r="I5015"/>
      <c r="J5015"/>
      <c r="K5015"/>
      <c r="L5015"/>
      <c r="M5015" s="319"/>
      <c r="N5015" s="236"/>
      <c r="O5015" s="231"/>
      <c r="P5015" s="204"/>
      <c r="Q5015" s="207"/>
      <c r="R5015" s="252"/>
      <c r="S5015" s="252"/>
      <c r="T5015" s="252"/>
      <c r="U5015" s="252"/>
      <c r="V5015" s="252"/>
      <c r="W5015" s="252"/>
      <c r="X5015" s="207"/>
      <c r="Y5015" s="202"/>
      <c r="Z5015" s="48"/>
      <c r="AA5015" s="252"/>
      <c r="AB5015" s="252"/>
      <c r="AC5015" s="252"/>
      <c r="AF5015"/>
      <c r="AG5015"/>
    </row>
    <row r="5016" spans="1:33" s="47" customFormat="1" hidden="1">
      <c r="A5016"/>
      <c r="B5016"/>
      <c r="C5016"/>
      <c r="D5016"/>
      <c r="E5016"/>
      <c r="F5016"/>
      <c r="G5016"/>
      <c r="H5016"/>
      <c r="I5016"/>
      <c r="J5016"/>
      <c r="K5016"/>
      <c r="L5016"/>
      <c r="M5016" s="319"/>
      <c r="N5016" s="236"/>
      <c r="O5016" s="231"/>
      <c r="P5016" s="204"/>
      <c r="Q5016" s="207"/>
      <c r="R5016" s="252"/>
      <c r="S5016" s="252"/>
      <c r="T5016" s="252"/>
      <c r="U5016" s="252"/>
      <c r="V5016" s="252"/>
      <c r="W5016" s="252"/>
      <c r="X5016" s="207"/>
      <c r="Y5016" s="202"/>
      <c r="Z5016" s="48"/>
      <c r="AA5016" s="252"/>
      <c r="AB5016" s="252"/>
      <c r="AC5016" s="252"/>
      <c r="AF5016"/>
      <c r="AG5016"/>
    </row>
    <row r="5017" spans="1:33" s="47" customFormat="1" hidden="1">
      <c r="A5017"/>
      <c r="B5017"/>
      <c r="C5017"/>
      <c r="D5017"/>
      <c r="E5017"/>
      <c r="F5017"/>
      <c r="G5017"/>
      <c r="H5017"/>
      <c r="I5017"/>
      <c r="J5017"/>
      <c r="K5017"/>
      <c r="L5017"/>
      <c r="M5017" s="319"/>
      <c r="N5017" s="236"/>
      <c r="O5017" s="231"/>
      <c r="P5017" s="204"/>
      <c r="Q5017" s="207"/>
      <c r="R5017" s="252"/>
      <c r="S5017" s="252"/>
      <c r="T5017" s="252"/>
      <c r="U5017" s="252"/>
      <c r="V5017" s="252"/>
      <c r="W5017" s="252"/>
      <c r="X5017" s="207"/>
      <c r="Y5017" s="202"/>
      <c r="Z5017" s="48"/>
      <c r="AA5017" s="252"/>
      <c r="AB5017" s="252"/>
      <c r="AC5017" s="252"/>
      <c r="AF5017"/>
      <c r="AG5017"/>
    </row>
    <row r="5018" spans="1:33" s="47" customFormat="1" hidden="1">
      <c r="A5018"/>
      <c r="B5018"/>
      <c r="C5018"/>
      <c r="D5018"/>
      <c r="E5018"/>
      <c r="F5018"/>
      <c r="G5018"/>
      <c r="H5018"/>
      <c r="I5018"/>
      <c r="J5018"/>
      <c r="K5018"/>
      <c r="L5018"/>
      <c r="M5018" s="319"/>
      <c r="N5018" s="236"/>
      <c r="O5018" s="231"/>
      <c r="P5018" s="204"/>
      <c r="Q5018" s="207"/>
      <c r="R5018" s="252"/>
      <c r="S5018" s="252"/>
      <c r="T5018" s="252"/>
      <c r="U5018" s="252"/>
      <c r="V5018" s="252"/>
      <c r="W5018" s="252"/>
      <c r="X5018" s="207"/>
      <c r="Y5018" s="202"/>
      <c r="Z5018" s="48"/>
      <c r="AA5018" s="252"/>
      <c r="AB5018" s="252"/>
      <c r="AC5018" s="252"/>
      <c r="AF5018"/>
      <c r="AG5018"/>
    </row>
    <row r="5019" spans="1:33" s="47" customFormat="1" hidden="1">
      <c r="A5019"/>
      <c r="B5019"/>
      <c r="C5019"/>
      <c r="D5019"/>
      <c r="E5019"/>
      <c r="F5019"/>
      <c r="G5019"/>
      <c r="H5019"/>
      <c r="I5019"/>
      <c r="J5019"/>
      <c r="K5019"/>
      <c r="L5019"/>
      <c r="M5019" s="319"/>
      <c r="N5019" s="236"/>
      <c r="O5019" s="231"/>
      <c r="P5019" s="204"/>
      <c r="Q5019" s="207"/>
      <c r="R5019" s="252"/>
      <c r="S5019" s="252"/>
      <c r="T5019" s="252"/>
      <c r="U5019" s="252"/>
      <c r="V5019" s="252"/>
      <c r="W5019" s="252"/>
      <c r="X5019" s="207"/>
      <c r="Y5019" s="202"/>
      <c r="Z5019" s="48"/>
      <c r="AA5019" s="252"/>
      <c r="AB5019" s="252"/>
      <c r="AC5019" s="252"/>
      <c r="AF5019"/>
      <c r="AG5019"/>
    </row>
    <row r="5020" spans="1:33" s="47" customFormat="1" hidden="1">
      <c r="A5020"/>
      <c r="B5020"/>
      <c r="C5020"/>
      <c r="D5020"/>
      <c r="E5020"/>
      <c r="F5020"/>
      <c r="G5020"/>
      <c r="H5020"/>
      <c r="I5020"/>
      <c r="J5020"/>
      <c r="K5020"/>
      <c r="L5020"/>
      <c r="M5020" s="319"/>
      <c r="N5020" s="236"/>
      <c r="O5020" s="231"/>
      <c r="P5020" s="204"/>
      <c r="Q5020" s="207"/>
      <c r="R5020" s="252"/>
      <c r="S5020" s="252"/>
      <c r="T5020" s="252"/>
      <c r="U5020" s="252"/>
      <c r="V5020" s="252"/>
      <c r="W5020" s="252"/>
      <c r="X5020" s="207"/>
      <c r="Y5020" s="202"/>
      <c r="Z5020" s="48"/>
      <c r="AA5020" s="252"/>
      <c r="AB5020" s="252"/>
      <c r="AC5020" s="252"/>
      <c r="AF5020"/>
      <c r="AG5020"/>
    </row>
    <row r="5021" spans="1:33" s="47" customFormat="1" hidden="1">
      <c r="A5021"/>
      <c r="B5021"/>
      <c r="C5021"/>
      <c r="D5021"/>
      <c r="E5021"/>
      <c r="F5021"/>
      <c r="G5021"/>
      <c r="H5021"/>
      <c r="I5021"/>
      <c r="J5021"/>
      <c r="K5021"/>
      <c r="L5021"/>
      <c r="M5021" s="319"/>
      <c r="N5021" s="236"/>
      <c r="O5021" s="231"/>
      <c r="P5021" s="204"/>
      <c r="Q5021" s="207"/>
      <c r="R5021" s="252"/>
      <c r="S5021" s="252"/>
      <c r="T5021" s="252"/>
      <c r="U5021" s="252"/>
      <c r="V5021" s="252"/>
      <c r="W5021" s="252"/>
      <c r="X5021" s="207"/>
      <c r="Y5021" s="202"/>
      <c r="Z5021" s="48"/>
      <c r="AA5021" s="252"/>
      <c r="AB5021" s="252"/>
      <c r="AC5021" s="252"/>
      <c r="AF5021"/>
      <c r="AG5021"/>
    </row>
    <row r="5022" spans="1:33" s="47" customFormat="1" hidden="1">
      <c r="A5022"/>
      <c r="B5022"/>
      <c r="C5022"/>
      <c r="D5022"/>
      <c r="E5022"/>
      <c r="F5022"/>
      <c r="G5022"/>
      <c r="H5022"/>
      <c r="I5022"/>
      <c r="J5022"/>
      <c r="K5022"/>
      <c r="L5022"/>
      <c r="M5022" s="319"/>
      <c r="N5022" s="236"/>
      <c r="O5022" s="231"/>
      <c r="P5022" s="204"/>
      <c r="Q5022" s="207"/>
      <c r="R5022" s="252"/>
      <c r="S5022" s="252"/>
      <c r="T5022" s="252"/>
      <c r="U5022" s="252"/>
      <c r="V5022" s="252"/>
      <c r="W5022" s="252"/>
      <c r="X5022" s="207"/>
      <c r="Y5022" s="202"/>
      <c r="Z5022" s="48"/>
      <c r="AA5022" s="252"/>
      <c r="AB5022" s="252"/>
      <c r="AC5022" s="252"/>
      <c r="AF5022"/>
      <c r="AG5022"/>
    </row>
    <row r="5023" spans="1:33" s="47" customFormat="1" hidden="1">
      <c r="A5023"/>
      <c r="B5023"/>
      <c r="C5023"/>
      <c r="D5023"/>
      <c r="E5023"/>
      <c r="F5023"/>
      <c r="G5023"/>
      <c r="H5023"/>
      <c r="I5023"/>
      <c r="J5023"/>
      <c r="K5023"/>
      <c r="L5023"/>
      <c r="M5023" s="319"/>
      <c r="N5023" s="236"/>
      <c r="O5023" s="231"/>
      <c r="P5023" s="204"/>
      <c r="Q5023" s="207"/>
      <c r="R5023" s="252"/>
      <c r="S5023" s="252"/>
      <c r="T5023" s="252"/>
      <c r="U5023" s="252"/>
      <c r="V5023" s="252"/>
      <c r="W5023" s="252"/>
      <c r="X5023" s="207"/>
      <c r="Y5023" s="202"/>
      <c r="Z5023" s="48"/>
      <c r="AA5023" s="252"/>
      <c r="AB5023" s="252"/>
      <c r="AC5023" s="252"/>
      <c r="AF5023"/>
      <c r="AG5023"/>
    </row>
    <row r="5024" spans="1:33" s="47" customFormat="1" hidden="1">
      <c r="A5024"/>
      <c r="B5024"/>
      <c r="C5024"/>
      <c r="D5024"/>
      <c r="E5024"/>
      <c r="F5024"/>
      <c r="G5024"/>
      <c r="H5024"/>
      <c r="I5024"/>
      <c r="J5024"/>
      <c r="K5024"/>
      <c r="L5024"/>
      <c r="M5024" s="319"/>
      <c r="N5024" s="236"/>
      <c r="O5024" s="231"/>
      <c r="P5024" s="204"/>
      <c r="Q5024" s="207"/>
      <c r="R5024" s="252"/>
      <c r="S5024" s="252"/>
      <c r="T5024" s="252"/>
      <c r="U5024" s="252"/>
      <c r="V5024" s="252"/>
      <c r="W5024" s="252"/>
      <c r="X5024" s="207"/>
      <c r="Y5024" s="202"/>
      <c r="Z5024" s="48"/>
      <c r="AA5024" s="252"/>
      <c r="AB5024" s="252"/>
      <c r="AC5024" s="252"/>
      <c r="AF5024"/>
      <c r="AG5024"/>
    </row>
    <row r="5025" spans="1:33" s="47" customFormat="1" hidden="1">
      <c r="A5025"/>
      <c r="B5025"/>
      <c r="C5025"/>
      <c r="D5025"/>
      <c r="E5025"/>
      <c r="F5025"/>
      <c r="G5025"/>
      <c r="H5025"/>
      <c r="I5025"/>
      <c r="J5025"/>
      <c r="K5025"/>
      <c r="L5025"/>
      <c r="M5025" s="319"/>
      <c r="N5025" s="236"/>
      <c r="O5025" s="231"/>
      <c r="P5025" s="204"/>
      <c r="Q5025" s="207"/>
      <c r="R5025" s="252"/>
      <c r="S5025" s="252"/>
      <c r="T5025" s="252"/>
      <c r="U5025" s="252"/>
      <c r="V5025" s="252"/>
      <c r="W5025" s="252"/>
      <c r="X5025" s="207"/>
      <c r="Y5025" s="202"/>
      <c r="Z5025" s="48"/>
      <c r="AA5025" s="252"/>
      <c r="AB5025" s="252"/>
      <c r="AC5025" s="252"/>
      <c r="AF5025"/>
      <c r="AG5025"/>
    </row>
    <row r="5026" spans="1:33" s="47" customFormat="1" hidden="1">
      <c r="A5026"/>
      <c r="B5026"/>
      <c r="C5026"/>
      <c r="D5026"/>
      <c r="E5026"/>
      <c r="F5026"/>
      <c r="G5026"/>
      <c r="H5026"/>
      <c r="I5026"/>
      <c r="J5026"/>
      <c r="K5026"/>
      <c r="L5026"/>
      <c r="M5026" s="319"/>
      <c r="N5026" s="236"/>
      <c r="O5026" s="231"/>
      <c r="P5026" s="204"/>
      <c r="Q5026" s="207"/>
      <c r="R5026" s="252"/>
      <c r="S5026" s="252"/>
      <c r="T5026" s="252"/>
      <c r="U5026" s="252"/>
      <c r="V5026" s="252"/>
      <c r="W5026" s="252"/>
      <c r="X5026" s="207"/>
      <c r="Y5026" s="202"/>
      <c r="Z5026" s="48"/>
      <c r="AA5026" s="252"/>
      <c r="AB5026" s="252"/>
      <c r="AC5026" s="252"/>
      <c r="AF5026"/>
      <c r="AG5026"/>
    </row>
    <row r="5027" spans="1:33" s="47" customFormat="1" hidden="1">
      <c r="A5027"/>
      <c r="B5027"/>
      <c r="C5027"/>
      <c r="D5027"/>
      <c r="E5027"/>
      <c r="F5027"/>
      <c r="G5027"/>
      <c r="H5027"/>
      <c r="I5027"/>
      <c r="J5027"/>
      <c r="K5027"/>
      <c r="L5027"/>
      <c r="M5027" s="319"/>
      <c r="N5027" s="236"/>
      <c r="O5027" s="231"/>
      <c r="P5027" s="204"/>
      <c r="Q5027" s="207"/>
      <c r="R5027" s="252"/>
      <c r="S5027" s="252"/>
      <c r="T5027" s="252"/>
      <c r="U5027" s="252"/>
      <c r="V5027" s="252"/>
      <c r="W5027" s="252"/>
      <c r="X5027" s="207"/>
      <c r="Y5027" s="202"/>
      <c r="Z5027" s="48"/>
      <c r="AA5027" s="252"/>
      <c r="AB5027" s="252"/>
      <c r="AC5027" s="252"/>
      <c r="AF5027"/>
      <c r="AG5027"/>
    </row>
    <row r="5028" spans="1:33" s="47" customFormat="1" hidden="1">
      <c r="A5028"/>
      <c r="B5028"/>
      <c r="C5028"/>
      <c r="D5028"/>
      <c r="E5028"/>
      <c r="F5028"/>
      <c r="G5028"/>
      <c r="H5028"/>
      <c r="I5028"/>
      <c r="J5028"/>
      <c r="K5028"/>
      <c r="L5028"/>
      <c r="M5028" s="319"/>
      <c r="N5028" s="236"/>
      <c r="O5028" s="231"/>
      <c r="P5028" s="204"/>
      <c r="Q5028" s="207"/>
      <c r="R5028" s="252"/>
      <c r="S5028" s="252"/>
      <c r="T5028" s="252"/>
      <c r="U5028" s="252"/>
      <c r="V5028" s="252"/>
      <c r="W5028" s="252"/>
      <c r="X5028" s="207"/>
      <c r="Y5028" s="202"/>
      <c r="Z5028" s="48"/>
      <c r="AA5028" s="252"/>
      <c r="AB5028" s="252"/>
      <c r="AC5028" s="252"/>
      <c r="AF5028"/>
      <c r="AG5028"/>
    </row>
    <row r="5029" spans="1:33" s="47" customFormat="1" hidden="1">
      <c r="A5029"/>
      <c r="B5029"/>
      <c r="C5029"/>
      <c r="D5029"/>
      <c r="E5029"/>
      <c r="F5029"/>
      <c r="G5029"/>
      <c r="H5029"/>
      <c r="I5029"/>
      <c r="J5029"/>
      <c r="K5029"/>
      <c r="L5029"/>
      <c r="M5029" s="319"/>
      <c r="N5029" s="236"/>
      <c r="O5029" s="231"/>
      <c r="P5029" s="204"/>
      <c r="Q5029" s="207"/>
      <c r="R5029" s="252"/>
      <c r="S5029" s="252"/>
      <c r="T5029" s="252"/>
      <c r="U5029" s="252"/>
      <c r="V5029" s="252"/>
      <c r="W5029" s="252"/>
      <c r="X5029" s="207"/>
      <c r="Y5029" s="202"/>
      <c r="Z5029" s="48"/>
      <c r="AA5029" s="252"/>
      <c r="AB5029" s="252"/>
      <c r="AC5029" s="252"/>
      <c r="AF5029"/>
      <c r="AG5029"/>
    </row>
    <row r="5030" spans="1:33" s="47" customFormat="1" hidden="1">
      <c r="A5030"/>
      <c r="B5030"/>
      <c r="C5030"/>
      <c r="D5030"/>
      <c r="E5030"/>
      <c r="F5030"/>
      <c r="G5030"/>
      <c r="H5030"/>
      <c r="I5030"/>
      <c r="J5030"/>
      <c r="K5030"/>
      <c r="L5030"/>
      <c r="M5030" s="319"/>
      <c r="N5030" s="236"/>
      <c r="O5030" s="231"/>
      <c r="P5030" s="204"/>
      <c r="Q5030" s="207"/>
      <c r="R5030" s="252"/>
      <c r="S5030" s="252"/>
      <c r="T5030" s="252"/>
      <c r="U5030" s="252"/>
      <c r="V5030" s="252"/>
      <c r="W5030" s="252"/>
      <c r="X5030" s="207"/>
      <c r="Y5030" s="202"/>
      <c r="Z5030" s="48"/>
      <c r="AA5030" s="252"/>
      <c r="AB5030" s="252"/>
      <c r="AC5030" s="252"/>
      <c r="AF5030"/>
      <c r="AG5030"/>
    </row>
    <row r="5031" spans="1:33" s="47" customFormat="1" hidden="1">
      <c r="A5031"/>
      <c r="B5031"/>
      <c r="C5031"/>
      <c r="D5031"/>
      <c r="E5031"/>
      <c r="F5031"/>
      <c r="G5031"/>
      <c r="H5031"/>
      <c r="I5031"/>
      <c r="J5031"/>
      <c r="K5031"/>
      <c r="L5031"/>
      <c r="M5031" s="319"/>
      <c r="N5031" s="236"/>
      <c r="O5031" s="231"/>
      <c r="P5031" s="204"/>
      <c r="Q5031" s="207"/>
      <c r="R5031" s="252"/>
      <c r="S5031" s="252"/>
      <c r="T5031" s="252"/>
      <c r="U5031" s="252"/>
      <c r="V5031" s="252"/>
      <c r="W5031" s="252"/>
      <c r="X5031" s="207"/>
      <c r="Y5031" s="202"/>
      <c r="Z5031" s="48"/>
      <c r="AA5031" s="252"/>
      <c r="AB5031" s="252"/>
      <c r="AC5031" s="252"/>
      <c r="AF5031"/>
      <c r="AG5031"/>
    </row>
    <row r="5032" spans="1:33" s="47" customFormat="1" hidden="1">
      <c r="A5032"/>
      <c r="B5032"/>
      <c r="C5032"/>
      <c r="D5032"/>
      <c r="E5032"/>
      <c r="F5032"/>
      <c r="G5032"/>
      <c r="H5032"/>
      <c r="I5032"/>
      <c r="J5032"/>
      <c r="K5032"/>
      <c r="L5032"/>
      <c r="M5032" s="319"/>
      <c r="N5032" s="236"/>
      <c r="O5032" s="231"/>
      <c r="P5032" s="204"/>
      <c r="Q5032" s="207"/>
      <c r="R5032" s="252"/>
      <c r="S5032" s="252"/>
      <c r="T5032" s="252"/>
      <c r="U5032" s="252"/>
      <c r="V5032" s="252"/>
      <c r="W5032" s="252"/>
      <c r="X5032" s="207"/>
      <c r="Y5032" s="202"/>
      <c r="Z5032" s="48"/>
      <c r="AA5032" s="252"/>
      <c r="AB5032" s="252"/>
      <c r="AC5032" s="252"/>
      <c r="AF5032"/>
      <c r="AG5032"/>
    </row>
    <row r="5033" spans="1:33" s="47" customFormat="1" hidden="1">
      <c r="A5033"/>
      <c r="B5033"/>
      <c r="C5033"/>
      <c r="D5033"/>
      <c r="E5033"/>
      <c r="F5033"/>
      <c r="G5033"/>
      <c r="H5033"/>
      <c r="I5033"/>
      <c r="J5033"/>
      <c r="K5033"/>
      <c r="L5033"/>
      <c r="M5033" s="319"/>
      <c r="N5033" s="236"/>
      <c r="O5033" s="231"/>
      <c r="P5033" s="204"/>
      <c r="Q5033" s="207"/>
      <c r="R5033" s="252"/>
      <c r="S5033" s="252"/>
      <c r="T5033" s="252"/>
      <c r="U5033" s="252"/>
      <c r="V5033" s="252"/>
      <c r="W5033" s="252"/>
      <c r="X5033" s="207"/>
      <c r="Y5033" s="202"/>
      <c r="Z5033" s="48"/>
      <c r="AA5033" s="252"/>
      <c r="AB5033" s="252"/>
      <c r="AC5033" s="252"/>
      <c r="AF5033"/>
      <c r="AG5033"/>
    </row>
    <row r="5034" spans="1:33" s="47" customFormat="1" hidden="1">
      <c r="A5034"/>
      <c r="B5034"/>
      <c r="C5034"/>
      <c r="D5034"/>
      <c r="E5034"/>
      <c r="F5034"/>
      <c r="G5034"/>
      <c r="H5034"/>
      <c r="I5034"/>
      <c r="J5034"/>
      <c r="K5034"/>
      <c r="L5034"/>
      <c r="M5034" s="319"/>
      <c r="N5034" s="236"/>
      <c r="O5034" s="231"/>
      <c r="P5034" s="204"/>
      <c r="Q5034" s="207"/>
      <c r="R5034" s="252"/>
      <c r="S5034" s="252"/>
      <c r="T5034" s="252"/>
      <c r="U5034" s="252"/>
      <c r="V5034" s="252"/>
      <c r="W5034" s="252"/>
      <c r="X5034" s="207"/>
      <c r="Y5034" s="202"/>
      <c r="Z5034" s="48"/>
      <c r="AA5034" s="252"/>
      <c r="AB5034" s="252"/>
      <c r="AC5034" s="252"/>
      <c r="AF5034"/>
      <c r="AG5034"/>
    </row>
    <row r="5035" spans="1:33" s="47" customFormat="1" hidden="1">
      <c r="A5035"/>
      <c r="B5035"/>
      <c r="C5035"/>
      <c r="D5035"/>
      <c r="E5035"/>
      <c r="F5035"/>
      <c r="G5035"/>
      <c r="H5035"/>
      <c r="I5035"/>
      <c r="J5035"/>
      <c r="K5035"/>
      <c r="L5035"/>
      <c r="M5035" s="319"/>
      <c r="N5035" s="236"/>
      <c r="O5035" s="231"/>
      <c r="P5035" s="204"/>
      <c r="Q5035" s="207"/>
      <c r="R5035" s="252"/>
      <c r="S5035" s="252"/>
      <c r="T5035" s="252"/>
      <c r="U5035" s="252"/>
      <c r="V5035" s="252"/>
      <c r="W5035" s="252"/>
      <c r="X5035" s="207"/>
      <c r="Y5035" s="202"/>
      <c r="Z5035" s="48"/>
      <c r="AA5035" s="252"/>
      <c r="AB5035" s="252"/>
      <c r="AC5035" s="252"/>
      <c r="AF5035"/>
      <c r="AG5035"/>
    </row>
    <row r="5036" spans="1:33" s="47" customFormat="1" hidden="1">
      <c r="A5036"/>
      <c r="B5036"/>
      <c r="C5036"/>
      <c r="D5036"/>
      <c r="E5036"/>
      <c r="F5036"/>
      <c r="G5036"/>
      <c r="H5036"/>
      <c r="I5036"/>
      <c r="J5036"/>
      <c r="K5036"/>
      <c r="L5036"/>
      <c r="M5036" s="319"/>
      <c r="N5036" s="236"/>
      <c r="O5036" s="231"/>
      <c r="P5036" s="204"/>
      <c r="Q5036" s="207"/>
      <c r="R5036" s="252"/>
      <c r="S5036" s="252"/>
      <c r="T5036" s="252"/>
      <c r="U5036" s="252"/>
      <c r="V5036" s="252"/>
      <c r="W5036" s="252"/>
      <c r="X5036" s="207"/>
      <c r="Y5036" s="202"/>
      <c r="Z5036" s="48"/>
      <c r="AA5036" s="252"/>
      <c r="AB5036" s="252"/>
      <c r="AC5036" s="252"/>
      <c r="AF5036"/>
      <c r="AG5036"/>
    </row>
    <row r="5037" spans="1:33" s="47" customFormat="1" hidden="1">
      <c r="A5037"/>
      <c r="B5037"/>
      <c r="C5037"/>
      <c r="D5037"/>
      <c r="E5037"/>
      <c r="F5037"/>
      <c r="G5037"/>
      <c r="H5037"/>
      <c r="I5037"/>
      <c r="J5037"/>
      <c r="K5037"/>
      <c r="L5037"/>
      <c r="M5037" s="319"/>
      <c r="N5037" s="236"/>
      <c r="O5037" s="231"/>
      <c r="P5037" s="204"/>
      <c r="Q5037" s="207"/>
      <c r="R5037" s="252"/>
      <c r="S5037" s="252"/>
      <c r="T5037" s="252"/>
      <c r="U5037" s="252"/>
      <c r="V5037" s="252"/>
      <c r="W5037" s="252"/>
      <c r="X5037" s="207"/>
      <c r="Y5037" s="202"/>
      <c r="Z5037" s="48"/>
      <c r="AA5037" s="252"/>
      <c r="AB5037" s="252"/>
      <c r="AC5037" s="252"/>
      <c r="AF5037"/>
      <c r="AG5037"/>
    </row>
    <row r="5038" spans="1:33" s="47" customFormat="1" hidden="1">
      <c r="A5038"/>
      <c r="B5038"/>
      <c r="C5038"/>
      <c r="D5038"/>
      <c r="E5038"/>
      <c r="F5038"/>
      <c r="G5038"/>
      <c r="H5038"/>
      <c r="I5038"/>
      <c r="J5038"/>
      <c r="K5038"/>
      <c r="L5038"/>
      <c r="M5038" s="319"/>
      <c r="N5038" s="236"/>
      <c r="O5038" s="231"/>
      <c r="P5038" s="204"/>
      <c r="Q5038" s="207"/>
      <c r="R5038" s="252"/>
      <c r="S5038" s="252"/>
      <c r="T5038" s="252"/>
      <c r="U5038" s="252"/>
      <c r="V5038" s="252"/>
      <c r="W5038" s="252"/>
      <c r="X5038" s="207"/>
      <c r="Y5038" s="202"/>
      <c r="Z5038" s="48"/>
      <c r="AA5038" s="252"/>
      <c r="AB5038" s="252"/>
      <c r="AC5038" s="252"/>
      <c r="AF5038"/>
      <c r="AG5038"/>
    </row>
    <row r="5039" spans="1:33" s="47" customFormat="1" hidden="1">
      <c r="A5039"/>
      <c r="B5039"/>
      <c r="C5039"/>
      <c r="D5039"/>
      <c r="E5039"/>
      <c r="F5039"/>
      <c r="G5039"/>
      <c r="H5039"/>
      <c r="I5039"/>
      <c r="J5039"/>
      <c r="K5039"/>
      <c r="L5039"/>
      <c r="M5039" s="319"/>
      <c r="N5039" s="236"/>
      <c r="O5039" s="231"/>
      <c r="P5039" s="204"/>
      <c r="Q5039" s="207"/>
      <c r="R5039" s="252"/>
      <c r="S5039" s="252"/>
      <c r="T5039" s="252"/>
      <c r="U5039" s="252"/>
      <c r="V5039" s="252"/>
      <c r="W5039" s="252"/>
      <c r="X5039" s="207"/>
      <c r="Y5039" s="202"/>
      <c r="Z5039" s="48"/>
      <c r="AA5039" s="252"/>
      <c r="AB5039" s="252"/>
      <c r="AC5039" s="252"/>
      <c r="AF5039"/>
      <c r="AG5039"/>
    </row>
    <row r="5040" spans="1:33" s="47" customFormat="1" hidden="1">
      <c r="A5040"/>
      <c r="B5040"/>
      <c r="C5040"/>
      <c r="D5040"/>
      <c r="E5040"/>
      <c r="F5040"/>
      <c r="G5040"/>
      <c r="H5040"/>
      <c r="I5040"/>
      <c r="J5040"/>
      <c r="K5040"/>
      <c r="L5040"/>
      <c r="M5040" s="319"/>
      <c r="N5040" s="236"/>
      <c r="O5040" s="231"/>
      <c r="P5040" s="204"/>
      <c r="Q5040" s="207"/>
      <c r="R5040" s="252"/>
      <c r="S5040" s="252"/>
      <c r="T5040" s="252"/>
      <c r="U5040" s="252"/>
      <c r="V5040" s="252"/>
      <c r="W5040" s="252"/>
      <c r="X5040" s="207"/>
      <c r="Y5040" s="202"/>
      <c r="Z5040" s="48"/>
      <c r="AA5040" s="252"/>
      <c r="AB5040" s="252"/>
      <c r="AC5040" s="252"/>
      <c r="AF5040"/>
      <c r="AG5040"/>
    </row>
    <row r="5041" spans="1:33" s="47" customFormat="1" hidden="1">
      <c r="A5041"/>
      <c r="B5041"/>
      <c r="C5041"/>
      <c r="D5041"/>
      <c r="E5041"/>
      <c r="F5041"/>
      <c r="G5041"/>
      <c r="H5041"/>
      <c r="I5041"/>
      <c r="J5041"/>
      <c r="K5041"/>
      <c r="L5041"/>
      <c r="M5041" s="319"/>
      <c r="N5041" s="236"/>
      <c r="O5041" s="231"/>
      <c r="P5041" s="204"/>
      <c r="Q5041" s="207"/>
      <c r="R5041" s="252"/>
      <c r="S5041" s="252"/>
      <c r="T5041" s="252"/>
      <c r="U5041" s="252"/>
      <c r="V5041" s="252"/>
      <c r="W5041" s="252"/>
      <c r="X5041" s="207"/>
      <c r="Y5041" s="202"/>
      <c r="Z5041" s="48"/>
      <c r="AA5041" s="252"/>
      <c r="AB5041" s="252"/>
      <c r="AC5041" s="252"/>
      <c r="AF5041"/>
      <c r="AG5041"/>
    </row>
    <row r="5042" spans="1:33" s="47" customFormat="1" hidden="1">
      <c r="A5042"/>
      <c r="B5042"/>
      <c r="C5042"/>
      <c r="D5042"/>
      <c r="E5042"/>
      <c r="F5042"/>
      <c r="G5042"/>
      <c r="H5042"/>
      <c r="I5042"/>
      <c r="J5042"/>
      <c r="K5042"/>
      <c r="L5042"/>
      <c r="M5042" s="319"/>
      <c r="N5042" s="236"/>
      <c r="O5042" s="231"/>
      <c r="P5042" s="204"/>
      <c r="Q5042" s="207"/>
      <c r="R5042" s="252"/>
      <c r="S5042" s="252"/>
      <c r="T5042" s="252"/>
      <c r="U5042" s="252"/>
      <c r="V5042" s="252"/>
      <c r="W5042" s="252"/>
      <c r="X5042" s="207"/>
      <c r="Y5042" s="202"/>
      <c r="Z5042" s="48"/>
      <c r="AA5042" s="252"/>
      <c r="AB5042" s="252"/>
      <c r="AC5042" s="252"/>
      <c r="AF5042"/>
      <c r="AG5042"/>
    </row>
    <row r="5043" spans="1:33" s="47" customFormat="1" hidden="1">
      <c r="A5043"/>
      <c r="B5043"/>
      <c r="C5043"/>
      <c r="D5043"/>
      <c r="E5043"/>
      <c r="F5043"/>
      <c r="G5043"/>
      <c r="H5043"/>
      <c r="I5043"/>
      <c r="J5043"/>
      <c r="K5043"/>
      <c r="L5043"/>
      <c r="M5043" s="319"/>
      <c r="N5043" s="236"/>
      <c r="O5043" s="231"/>
      <c r="P5043" s="204"/>
      <c r="Q5043" s="207"/>
      <c r="R5043" s="252"/>
      <c r="S5043" s="252"/>
      <c r="T5043" s="252"/>
      <c r="U5043" s="252"/>
      <c r="V5043" s="252"/>
      <c r="W5043" s="252"/>
      <c r="X5043" s="207"/>
      <c r="Y5043" s="202"/>
      <c r="Z5043" s="48"/>
      <c r="AA5043" s="252"/>
      <c r="AB5043" s="252"/>
      <c r="AC5043" s="252"/>
      <c r="AF5043"/>
      <c r="AG5043"/>
    </row>
    <row r="5044" spans="1:33" s="47" customFormat="1" hidden="1">
      <c r="A5044"/>
      <c r="B5044"/>
      <c r="C5044"/>
      <c r="D5044"/>
      <c r="E5044"/>
      <c r="F5044"/>
      <c r="G5044"/>
      <c r="H5044"/>
      <c r="I5044"/>
      <c r="J5044"/>
      <c r="K5044"/>
      <c r="L5044"/>
      <c r="M5044" s="319"/>
      <c r="N5044" s="236"/>
      <c r="O5044" s="231"/>
      <c r="P5044" s="204"/>
      <c r="Q5044" s="207"/>
      <c r="R5044" s="252"/>
      <c r="S5044" s="252"/>
      <c r="T5044" s="252"/>
      <c r="U5044" s="252"/>
      <c r="V5044" s="252"/>
      <c r="W5044" s="252"/>
      <c r="X5044" s="207"/>
      <c r="Y5044" s="202"/>
      <c r="Z5044" s="48"/>
      <c r="AA5044" s="252"/>
      <c r="AB5044" s="252"/>
      <c r="AC5044" s="252"/>
      <c r="AF5044"/>
      <c r="AG5044"/>
    </row>
    <row r="5045" spans="1:33" s="47" customFormat="1" hidden="1">
      <c r="A5045"/>
      <c r="B5045"/>
      <c r="C5045"/>
      <c r="D5045"/>
      <c r="E5045"/>
      <c r="F5045"/>
      <c r="G5045"/>
      <c r="H5045"/>
      <c r="I5045"/>
      <c r="J5045"/>
      <c r="K5045"/>
      <c r="L5045"/>
      <c r="M5045" s="319"/>
      <c r="N5045" s="236"/>
      <c r="O5045" s="231"/>
      <c r="P5045" s="204"/>
      <c r="Q5045" s="207"/>
      <c r="R5045" s="252"/>
      <c r="S5045" s="252"/>
      <c r="T5045" s="252"/>
      <c r="U5045" s="252"/>
      <c r="V5045" s="252"/>
      <c r="W5045" s="252"/>
      <c r="X5045" s="207"/>
      <c r="Y5045" s="202"/>
      <c r="Z5045" s="48"/>
      <c r="AA5045" s="252"/>
      <c r="AB5045" s="252"/>
      <c r="AC5045" s="252"/>
      <c r="AF5045"/>
      <c r="AG5045"/>
    </row>
    <row r="5046" spans="1:33" s="47" customFormat="1" hidden="1">
      <c r="A5046"/>
      <c r="B5046"/>
      <c r="C5046"/>
      <c r="D5046"/>
      <c r="E5046"/>
      <c r="F5046"/>
      <c r="G5046"/>
      <c r="H5046"/>
      <c r="I5046"/>
      <c r="J5046"/>
      <c r="K5046"/>
      <c r="L5046"/>
      <c r="M5046" s="319"/>
      <c r="N5046" s="236"/>
      <c r="O5046" s="231"/>
      <c r="P5046" s="204"/>
      <c r="Q5046" s="207"/>
      <c r="R5046" s="252"/>
      <c r="S5046" s="252"/>
      <c r="T5046" s="252"/>
      <c r="U5046" s="252"/>
      <c r="V5046" s="252"/>
      <c r="W5046" s="252"/>
      <c r="X5046" s="207"/>
      <c r="Y5046" s="202"/>
      <c r="Z5046" s="48"/>
      <c r="AA5046" s="252"/>
      <c r="AB5046" s="252"/>
      <c r="AC5046" s="252"/>
      <c r="AF5046"/>
      <c r="AG5046"/>
    </row>
    <row r="5047" spans="1:33" s="47" customFormat="1" hidden="1">
      <c r="A5047"/>
      <c r="B5047"/>
      <c r="C5047"/>
      <c r="D5047"/>
      <c r="E5047"/>
      <c r="F5047"/>
      <c r="G5047"/>
      <c r="H5047"/>
      <c r="I5047"/>
      <c r="J5047"/>
      <c r="K5047"/>
      <c r="L5047"/>
      <c r="M5047" s="319"/>
      <c r="N5047" s="236"/>
      <c r="O5047" s="231"/>
      <c r="P5047" s="204"/>
      <c r="Q5047" s="207"/>
      <c r="R5047" s="252"/>
      <c r="S5047" s="252"/>
      <c r="T5047" s="252"/>
      <c r="U5047" s="252"/>
      <c r="V5047" s="252"/>
      <c r="W5047" s="252"/>
      <c r="X5047" s="207"/>
      <c r="Y5047" s="202"/>
      <c r="Z5047" s="48"/>
      <c r="AA5047" s="252"/>
      <c r="AB5047" s="252"/>
      <c r="AC5047" s="252"/>
      <c r="AF5047"/>
      <c r="AG5047"/>
    </row>
    <row r="5048" spans="1:33" s="47" customFormat="1" hidden="1">
      <c r="A5048"/>
      <c r="B5048"/>
      <c r="C5048"/>
      <c r="D5048"/>
      <c r="E5048"/>
      <c r="F5048"/>
      <c r="G5048"/>
      <c r="H5048"/>
      <c r="I5048"/>
      <c r="J5048"/>
      <c r="K5048"/>
      <c r="L5048"/>
      <c r="M5048" s="319"/>
      <c r="N5048" s="236"/>
      <c r="O5048" s="231"/>
      <c r="P5048" s="204"/>
      <c r="Q5048" s="207"/>
      <c r="R5048" s="252"/>
      <c r="S5048" s="252"/>
      <c r="T5048" s="252"/>
      <c r="U5048" s="252"/>
      <c r="V5048" s="252"/>
      <c r="W5048" s="252"/>
      <c r="X5048" s="207"/>
      <c r="Y5048" s="202"/>
      <c r="Z5048" s="48"/>
      <c r="AA5048" s="252"/>
      <c r="AB5048" s="252"/>
      <c r="AC5048" s="252"/>
      <c r="AF5048"/>
      <c r="AG5048"/>
    </row>
    <row r="5049" spans="1:33" s="47" customFormat="1" hidden="1">
      <c r="A5049"/>
      <c r="B5049"/>
      <c r="C5049"/>
      <c r="D5049"/>
      <c r="E5049"/>
      <c r="F5049"/>
      <c r="G5049"/>
      <c r="H5049"/>
      <c r="I5049"/>
      <c r="J5049"/>
      <c r="K5049"/>
      <c r="L5049"/>
      <c r="M5049" s="319"/>
      <c r="N5049" s="236"/>
      <c r="O5049" s="231"/>
      <c r="P5049" s="204"/>
      <c r="Q5049" s="207"/>
      <c r="R5049" s="252"/>
      <c r="S5049" s="252"/>
      <c r="T5049" s="252"/>
      <c r="U5049" s="252"/>
      <c r="V5049" s="252"/>
      <c r="W5049" s="252"/>
      <c r="X5049" s="207"/>
      <c r="Y5049" s="202"/>
      <c r="Z5049" s="48"/>
      <c r="AA5049" s="252"/>
      <c r="AB5049" s="252"/>
      <c r="AC5049" s="252"/>
      <c r="AF5049"/>
      <c r="AG5049"/>
    </row>
    <row r="5050" spans="1:33" s="47" customFormat="1" hidden="1">
      <c r="A5050"/>
      <c r="B5050"/>
      <c r="C5050"/>
      <c r="D5050"/>
      <c r="E5050"/>
      <c r="F5050"/>
      <c r="G5050"/>
      <c r="H5050"/>
      <c r="I5050"/>
      <c r="J5050"/>
      <c r="K5050"/>
      <c r="L5050"/>
      <c r="M5050" s="319"/>
      <c r="N5050" s="236"/>
      <c r="O5050" s="231"/>
      <c r="P5050" s="204"/>
      <c r="Q5050" s="207"/>
      <c r="R5050" s="252"/>
      <c r="S5050" s="252"/>
      <c r="T5050" s="252"/>
      <c r="U5050" s="252"/>
      <c r="V5050" s="252"/>
      <c r="W5050" s="252"/>
      <c r="X5050" s="207"/>
      <c r="Y5050" s="202"/>
      <c r="Z5050" s="48"/>
      <c r="AA5050" s="252"/>
      <c r="AB5050" s="252"/>
      <c r="AC5050" s="252"/>
      <c r="AF5050"/>
      <c r="AG5050"/>
    </row>
    <row r="5051" spans="1:33" s="47" customFormat="1" hidden="1">
      <c r="A5051"/>
      <c r="B5051"/>
      <c r="C5051"/>
      <c r="D5051"/>
      <c r="E5051"/>
      <c r="F5051"/>
      <c r="G5051"/>
      <c r="H5051"/>
      <c r="I5051"/>
      <c r="J5051"/>
      <c r="K5051"/>
      <c r="L5051"/>
      <c r="M5051" s="319"/>
      <c r="N5051" s="236"/>
      <c r="O5051" s="231"/>
      <c r="P5051" s="204"/>
      <c r="Q5051" s="207"/>
      <c r="R5051" s="252"/>
      <c r="S5051" s="252"/>
      <c r="T5051" s="252"/>
      <c r="U5051" s="252"/>
      <c r="V5051" s="252"/>
      <c r="W5051" s="252"/>
      <c r="X5051" s="207"/>
      <c r="Y5051" s="202"/>
      <c r="Z5051" s="48"/>
      <c r="AA5051" s="252"/>
      <c r="AB5051" s="252"/>
      <c r="AC5051" s="252"/>
      <c r="AF5051"/>
      <c r="AG5051"/>
    </row>
    <row r="5052" spans="1:33" s="47" customFormat="1" hidden="1">
      <c r="A5052"/>
      <c r="B5052"/>
      <c r="C5052"/>
      <c r="D5052"/>
      <c r="E5052"/>
      <c r="F5052"/>
      <c r="G5052"/>
      <c r="H5052"/>
      <c r="I5052"/>
      <c r="J5052"/>
      <c r="K5052"/>
      <c r="L5052"/>
      <c r="M5052" s="319"/>
      <c r="N5052" s="236"/>
      <c r="O5052" s="231"/>
      <c r="P5052" s="204"/>
      <c r="Q5052" s="207"/>
      <c r="R5052" s="252"/>
      <c r="S5052" s="252"/>
      <c r="T5052" s="252"/>
      <c r="U5052" s="252"/>
      <c r="V5052" s="252"/>
      <c r="W5052" s="252"/>
      <c r="X5052" s="207"/>
      <c r="Y5052" s="202"/>
      <c r="Z5052" s="48"/>
      <c r="AA5052" s="252"/>
      <c r="AB5052" s="252"/>
      <c r="AC5052" s="252"/>
      <c r="AF5052"/>
      <c r="AG5052"/>
    </row>
    <row r="5053" spans="1:33" s="47" customFormat="1" hidden="1">
      <c r="A5053"/>
      <c r="B5053"/>
      <c r="C5053"/>
      <c r="D5053"/>
      <c r="E5053"/>
      <c r="F5053"/>
      <c r="G5053"/>
      <c r="H5053"/>
      <c r="I5053"/>
      <c r="J5053"/>
      <c r="K5053"/>
      <c r="L5053"/>
      <c r="M5053" s="319"/>
      <c r="N5053" s="236"/>
      <c r="O5053" s="231"/>
      <c r="P5053" s="204"/>
      <c r="Q5053" s="207"/>
      <c r="R5053" s="252"/>
      <c r="S5053" s="252"/>
      <c r="T5053" s="252"/>
      <c r="U5053" s="252"/>
      <c r="V5053" s="252"/>
      <c r="W5053" s="252"/>
      <c r="X5053" s="207"/>
      <c r="Y5053" s="202"/>
      <c r="Z5053" s="48"/>
      <c r="AA5053" s="252"/>
      <c r="AB5053" s="252"/>
      <c r="AC5053" s="252"/>
      <c r="AF5053"/>
      <c r="AG5053"/>
    </row>
    <row r="5054" spans="1:33" s="47" customFormat="1" hidden="1">
      <c r="A5054"/>
      <c r="B5054"/>
      <c r="C5054"/>
      <c r="D5054"/>
      <c r="E5054"/>
      <c r="F5054"/>
      <c r="G5054"/>
      <c r="H5054"/>
      <c r="I5054"/>
      <c r="J5054"/>
      <c r="K5054"/>
      <c r="L5054"/>
      <c r="M5054" s="319"/>
      <c r="N5054" s="236"/>
      <c r="O5054" s="231"/>
      <c r="P5054" s="204"/>
      <c r="Q5054" s="207"/>
      <c r="R5054" s="252"/>
      <c r="S5054" s="252"/>
      <c r="T5054" s="252"/>
      <c r="U5054" s="252"/>
      <c r="V5054" s="252"/>
      <c r="W5054" s="252"/>
      <c r="X5054" s="207"/>
      <c r="Y5054" s="202"/>
      <c r="Z5054" s="48"/>
      <c r="AA5054" s="252"/>
      <c r="AB5054" s="252"/>
      <c r="AC5054" s="252"/>
      <c r="AF5054"/>
      <c r="AG5054"/>
    </row>
    <row r="5055" spans="1:33" s="47" customFormat="1" hidden="1">
      <c r="A5055"/>
      <c r="B5055"/>
      <c r="C5055"/>
      <c r="D5055"/>
      <c r="E5055"/>
      <c r="F5055"/>
      <c r="G5055"/>
      <c r="H5055"/>
      <c r="I5055"/>
      <c r="J5055"/>
      <c r="K5055"/>
      <c r="L5055"/>
      <c r="M5055" s="319"/>
      <c r="N5055" s="236"/>
      <c r="O5055" s="231"/>
      <c r="P5055" s="204"/>
      <c r="Q5055" s="207"/>
      <c r="R5055" s="252"/>
      <c r="S5055" s="252"/>
      <c r="T5055" s="252"/>
      <c r="U5055" s="252"/>
      <c r="V5055" s="252"/>
      <c r="W5055" s="252"/>
      <c r="X5055" s="207"/>
      <c r="Y5055" s="202"/>
      <c r="Z5055" s="48"/>
      <c r="AA5055" s="252"/>
      <c r="AB5055" s="252"/>
      <c r="AC5055" s="252"/>
      <c r="AF5055"/>
      <c r="AG5055"/>
    </row>
    <row r="5056" spans="1:33" s="47" customFormat="1" hidden="1">
      <c r="A5056"/>
      <c r="B5056"/>
      <c r="C5056"/>
      <c r="D5056"/>
      <c r="E5056"/>
      <c r="F5056"/>
      <c r="G5056"/>
      <c r="H5056"/>
      <c r="I5056"/>
      <c r="J5056"/>
      <c r="K5056"/>
      <c r="L5056"/>
      <c r="M5056" s="319"/>
      <c r="N5056" s="236"/>
      <c r="O5056" s="231"/>
      <c r="P5056" s="204"/>
      <c r="Q5056" s="207"/>
      <c r="R5056" s="252"/>
      <c r="S5056" s="252"/>
      <c r="T5056" s="252"/>
      <c r="U5056" s="252"/>
      <c r="V5056" s="252"/>
      <c r="W5056" s="252"/>
      <c r="X5056" s="207"/>
      <c r="Y5056" s="202"/>
      <c r="Z5056" s="48"/>
      <c r="AA5056" s="252"/>
      <c r="AB5056" s="252"/>
      <c r="AC5056" s="252"/>
      <c r="AF5056"/>
      <c r="AG5056"/>
    </row>
    <row r="5057" spans="1:33" s="47" customFormat="1" hidden="1">
      <c r="A5057"/>
      <c r="B5057"/>
      <c r="C5057"/>
      <c r="D5057"/>
      <c r="E5057"/>
      <c r="F5057"/>
      <c r="G5057"/>
      <c r="H5057"/>
      <c r="I5057"/>
      <c r="J5057"/>
      <c r="K5057"/>
      <c r="L5057"/>
      <c r="M5057" s="319"/>
      <c r="N5057" s="236"/>
      <c r="O5057" s="231"/>
      <c r="P5057" s="204"/>
      <c r="Q5057" s="207"/>
      <c r="R5057" s="252"/>
      <c r="S5057" s="252"/>
      <c r="T5057" s="252"/>
      <c r="U5057" s="252"/>
      <c r="V5057" s="252"/>
      <c r="W5057" s="252"/>
      <c r="X5057" s="207"/>
      <c r="Y5057" s="202"/>
      <c r="Z5057" s="48"/>
      <c r="AA5057" s="252"/>
      <c r="AB5057" s="252"/>
      <c r="AC5057" s="252"/>
      <c r="AF5057"/>
      <c r="AG5057"/>
    </row>
    <row r="5058" spans="1:33" s="47" customFormat="1" hidden="1">
      <c r="A5058"/>
      <c r="B5058"/>
      <c r="C5058"/>
      <c r="D5058"/>
      <c r="E5058"/>
      <c r="F5058"/>
      <c r="G5058"/>
      <c r="H5058"/>
      <c r="I5058"/>
      <c r="J5058"/>
      <c r="K5058"/>
      <c r="L5058"/>
      <c r="M5058" s="319"/>
      <c r="N5058" s="236"/>
      <c r="O5058" s="231"/>
      <c r="P5058" s="204"/>
      <c r="Q5058" s="207"/>
      <c r="R5058" s="252"/>
      <c r="S5058" s="252"/>
      <c r="T5058" s="252"/>
      <c r="U5058" s="252"/>
      <c r="V5058" s="252"/>
      <c r="W5058" s="252"/>
      <c r="X5058" s="207"/>
      <c r="Y5058" s="202"/>
      <c r="Z5058" s="48"/>
      <c r="AA5058" s="252"/>
      <c r="AB5058" s="252"/>
      <c r="AC5058" s="252"/>
      <c r="AF5058"/>
      <c r="AG5058"/>
    </row>
    <row r="5059" spans="1:33" s="47" customFormat="1" hidden="1">
      <c r="A5059"/>
      <c r="B5059"/>
      <c r="C5059"/>
      <c r="D5059"/>
      <c r="E5059"/>
      <c r="F5059"/>
      <c r="G5059"/>
      <c r="H5059"/>
      <c r="I5059"/>
      <c r="J5059"/>
      <c r="K5059"/>
      <c r="L5059"/>
      <c r="M5059" s="319"/>
      <c r="N5059" s="236"/>
      <c r="O5059" s="231"/>
      <c r="P5059" s="204"/>
      <c r="Q5059" s="207"/>
      <c r="R5059" s="252"/>
      <c r="S5059" s="252"/>
      <c r="T5059" s="252"/>
      <c r="U5059" s="252"/>
      <c r="V5059" s="252"/>
      <c r="W5059" s="252"/>
      <c r="X5059" s="207"/>
      <c r="Y5059" s="202"/>
      <c r="Z5059" s="48"/>
      <c r="AA5059" s="252"/>
      <c r="AB5059" s="252"/>
      <c r="AC5059" s="252"/>
      <c r="AF5059"/>
      <c r="AG5059"/>
    </row>
    <row r="5060" spans="1:33" s="47" customFormat="1" hidden="1">
      <c r="A5060"/>
      <c r="B5060"/>
      <c r="C5060"/>
      <c r="D5060"/>
      <c r="E5060"/>
      <c r="F5060"/>
      <c r="G5060"/>
      <c r="H5060"/>
      <c r="I5060"/>
      <c r="J5060"/>
      <c r="K5060"/>
      <c r="L5060"/>
      <c r="M5060" s="319"/>
      <c r="N5060" s="236"/>
      <c r="O5060" s="231"/>
      <c r="P5060" s="204"/>
      <c r="Q5060" s="207"/>
      <c r="R5060" s="252"/>
      <c r="S5060" s="252"/>
      <c r="T5060" s="252"/>
      <c r="U5060" s="252"/>
      <c r="V5060" s="252"/>
      <c r="W5060" s="252"/>
      <c r="X5060" s="207"/>
      <c r="Y5060" s="202"/>
      <c r="Z5060" s="48"/>
      <c r="AA5060" s="252"/>
      <c r="AB5060" s="252"/>
      <c r="AC5060" s="252"/>
      <c r="AF5060"/>
      <c r="AG5060"/>
    </row>
    <row r="5061" spans="1:33" s="47" customFormat="1" hidden="1">
      <c r="A5061"/>
      <c r="B5061"/>
      <c r="C5061"/>
      <c r="D5061"/>
      <c r="E5061"/>
      <c r="F5061"/>
      <c r="G5061"/>
      <c r="H5061"/>
      <c r="I5061"/>
      <c r="J5061"/>
      <c r="K5061"/>
      <c r="L5061"/>
      <c r="M5061" s="319"/>
      <c r="N5061" s="236"/>
      <c r="O5061" s="231"/>
      <c r="P5061" s="204"/>
      <c r="Q5061" s="207"/>
      <c r="R5061" s="252"/>
      <c r="S5061" s="252"/>
      <c r="T5061" s="252"/>
      <c r="U5061" s="252"/>
      <c r="V5061" s="252"/>
      <c r="W5061" s="252"/>
      <c r="X5061" s="207"/>
      <c r="Y5061" s="202"/>
      <c r="Z5061" s="48"/>
      <c r="AA5061" s="252"/>
      <c r="AB5061" s="252"/>
      <c r="AC5061" s="252"/>
      <c r="AF5061"/>
      <c r="AG5061"/>
    </row>
    <row r="5062" spans="1:33" s="47" customFormat="1" hidden="1">
      <c r="A5062"/>
      <c r="B5062"/>
      <c r="C5062"/>
      <c r="D5062"/>
      <c r="E5062"/>
      <c r="F5062"/>
      <c r="G5062"/>
      <c r="H5062"/>
      <c r="I5062"/>
      <c r="J5062"/>
      <c r="K5062"/>
      <c r="L5062"/>
      <c r="M5062" s="319"/>
      <c r="N5062" s="236"/>
      <c r="O5062" s="231"/>
      <c r="P5062" s="204"/>
      <c r="Q5062" s="207"/>
      <c r="R5062" s="252"/>
      <c r="S5062" s="252"/>
      <c r="T5062" s="252"/>
      <c r="U5062" s="252"/>
      <c r="V5062" s="252"/>
      <c r="W5062" s="252"/>
      <c r="X5062" s="207"/>
      <c r="Y5062" s="202"/>
      <c r="Z5062" s="48"/>
      <c r="AA5062" s="252"/>
      <c r="AB5062" s="252"/>
      <c r="AC5062" s="252"/>
      <c r="AF5062"/>
      <c r="AG5062"/>
    </row>
    <row r="5063" spans="1:33" s="47" customFormat="1" hidden="1">
      <c r="A5063"/>
      <c r="B5063"/>
      <c r="C5063"/>
      <c r="D5063"/>
      <c r="E5063"/>
      <c r="F5063"/>
      <c r="G5063"/>
      <c r="H5063"/>
      <c r="I5063"/>
      <c r="J5063"/>
      <c r="K5063"/>
      <c r="L5063"/>
      <c r="M5063" s="319"/>
      <c r="N5063" s="236"/>
      <c r="O5063" s="231"/>
      <c r="P5063" s="204"/>
      <c r="Q5063" s="207"/>
      <c r="R5063" s="252"/>
      <c r="S5063" s="252"/>
      <c r="T5063" s="252"/>
      <c r="U5063" s="252"/>
      <c r="V5063" s="252"/>
      <c r="W5063" s="252"/>
      <c r="X5063" s="207"/>
      <c r="Y5063" s="202"/>
      <c r="Z5063" s="48"/>
      <c r="AA5063" s="252"/>
      <c r="AB5063" s="252"/>
      <c r="AC5063" s="252"/>
      <c r="AF5063"/>
      <c r="AG5063"/>
    </row>
    <row r="5064" spans="1:33" s="47" customFormat="1" hidden="1">
      <c r="A5064"/>
      <c r="B5064"/>
      <c r="C5064"/>
      <c r="D5064"/>
      <c r="E5064"/>
      <c r="F5064"/>
      <c r="G5064"/>
      <c r="H5064"/>
      <c r="I5064"/>
      <c r="J5064"/>
      <c r="K5064"/>
      <c r="L5064"/>
      <c r="M5064" s="319"/>
      <c r="N5064" s="236"/>
      <c r="O5064" s="231"/>
      <c r="P5064" s="204"/>
      <c r="Q5064" s="207"/>
      <c r="R5064" s="252"/>
      <c r="S5064" s="252"/>
      <c r="T5064" s="252"/>
      <c r="U5064" s="252"/>
      <c r="V5064" s="252"/>
      <c r="W5064" s="252"/>
      <c r="X5064" s="207"/>
      <c r="Y5064" s="202"/>
      <c r="Z5064" s="48"/>
      <c r="AA5064" s="252"/>
      <c r="AB5064" s="252"/>
      <c r="AC5064" s="252"/>
      <c r="AF5064"/>
      <c r="AG5064"/>
    </row>
    <row r="5065" spans="1:33" s="47" customFormat="1" hidden="1">
      <c r="A5065"/>
      <c r="B5065"/>
      <c r="C5065"/>
      <c r="D5065"/>
      <c r="E5065"/>
      <c r="F5065"/>
      <c r="G5065"/>
      <c r="H5065"/>
      <c r="I5065"/>
      <c r="J5065"/>
      <c r="K5065"/>
      <c r="L5065"/>
      <c r="M5065" s="319"/>
      <c r="N5065" s="236"/>
      <c r="O5065" s="231"/>
      <c r="P5065" s="204"/>
      <c r="Q5065" s="207"/>
      <c r="R5065" s="252"/>
      <c r="S5065" s="252"/>
      <c r="T5065" s="252"/>
      <c r="U5065" s="252"/>
      <c r="V5065" s="252"/>
      <c r="W5065" s="252"/>
      <c r="X5065" s="207"/>
      <c r="Y5065" s="202"/>
      <c r="Z5065" s="48"/>
      <c r="AA5065" s="252"/>
      <c r="AB5065" s="252"/>
      <c r="AC5065" s="252"/>
      <c r="AF5065"/>
      <c r="AG5065"/>
    </row>
    <row r="5066" spans="1:33" s="47" customFormat="1" hidden="1">
      <c r="A5066"/>
      <c r="B5066"/>
      <c r="C5066"/>
      <c r="D5066"/>
      <c r="E5066"/>
      <c r="F5066"/>
      <c r="G5066"/>
      <c r="H5066"/>
      <c r="I5066"/>
      <c r="J5066"/>
      <c r="K5066"/>
      <c r="L5066"/>
      <c r="M5066" s="319"/>
      <c r="N5066" s="236"/>
      <c r="O5066" s="231"/>
      <c r="P5066" s="204"/>
      <c r="Q5066" s="207"/>
      <c r="R5066" s="252"/>
      <c r="S5066" s="252"/>
      <c r="T5066" s="252"/>
      <c r="U5066" s="252"/>
      <c r="V5066" s="252"/>
      <c r="W5066" s="252"/>
      <c r="X5066" s="207"/>
      <c r="Y5066" s="202"/>
      <c r="Z5066" s="48"/>
      <c r="AA5066" s="252"/>
      <c r="AB5066" s="252"/>
      <c r="AC5066" s="252"/>
      <c r="AF5066"/>
      <c r="AG5066"/>
    </row>
    <row r="5067" spans="1:33" s="47" customFormat="1" hidden="1">
      <c r="A5067"/>
      <c r="B5067"/>
      <c r="C5067"/>
      <c r="D5067"/>
      <c r="E5067"/>
      <c r="F5067"/>
      <c r="G5067"/>
      <c r="H5067"/>
      <c r="I5067"/>
      <c r="J5067"/>
      <c r="K5067"/>
      <c r="L5067"/>
      <c r="M5067" s="319"/>
      <c r="N5067" s="236"/>
      <c r="O5067" s="231"/>
      <c r="P5067" s="204"/>
      <c r="Q5067" s="207"/>
      <c r="R5067" s="252"/>
      <c r="S5067" s="252"/>
      <c r="T5067" s="252"/>
      <c r="U5067" s="252"/>
      <c r="V5067" s="252"/>
      <c r="W5067" s="252"/>
      <c r="X5067" s="207"/>
      <c r="Y5067" s="202"/>
      <c r="Z5067" s="48"/>
      <c r="AA5067" s="252"/>
      <c r="AB5067" s="252"/>
      <c r="AC5067" s="252"/>
      <c r="AF5067"/>
      <c r="AG5067"/>
    </row>
    <row r="5068" spans="1:33" s="47" customFormat="1" hidden="1">
      <c r="A5068"/>
      <c r="B5068"/>
      <c r="C5068"/>
      <c r="D5068"/>
      <c r="E5068"/>
      <c r="F5068"/>
      <c r="G5068"/>
      <c r="H5068"/>
      <c r="I5068"/>
      <c r="J5068"/>
      <c r="K5068"/>
      <c r="L5068"/>
      <c r="M5068" s="319"/>
      <c r="N5068" s="236"/>
      <c r="O5068" s="231"/>
      <c r="P5068" s="204"/>
      <c r="Q5068" s="207"/>
      <c r="R5068" s="252"/>
      <c r="S5068" s="252"/>
      <c r="T5068" s="252"/>
      <c r="U5068" s="252"/>
      <c r="V5068" s="252"/>
      <c r="W5068" s="252"/>
      <c r="X5068" s="207"/>
      <c r="Y5068" s="202"/>
      <c r="Z5068" s="48"/>
      <c r="AA5068" s="252"/>
      <c r="AB5068" s="252"/>
      <c r="AC5068" s="252"/>
      <c r="AF5068"/>
      <c r="AG5068"/>
    </row>
    <row r="5069" spans="1:33" s="47" customFormat="1" hidden="1">
      <c r="A5069"/>
      <c r="B5069"/>
      <c r="C5069"/>
      <c r="D5069"/>
      <c r="E5069"/>
      <c r="F5069"/>
      <c r="G5069"/>
      <c r="H5069"/>
      <c r="I5069"/>
      <c r="J5069"/>
      <c r="K5069"/>
      <c r="L5069"/>
      <c r="M5069" s="319"/>
      <c r="N5069" s="236"/>
      <c r="O5069" s="231"/>
      <c r="P5069" s="204"/>
      <c r="Q5069" s="207"/>
      <c r="R5069" s="252"/>
      <c r="S5069" s="252"/>
      <c r="T5069" s="252"/>
      <c r="U5069" s="252"/>
      <c r="V5069" s="252"/>
      <c r="W5069" s="252"/>
      <c r="X5069" s="207"/>
      <c r="Y5069" s="202"/>
      <c r="Z5069" s="48"/>
      <c r="AA5069" s="252"/>
      <c r="AB5069" s="252"/>
      <c r="AC5069" s="252"/>
      <c r="AF5069"/>
      <c r="AG5069"/>
    </row>
    <row r="5070" spans="1:33" s="47" customFormat="1" hidden="1">
      <c r="A5070"/>
      <c r="B5070"/>
      <c r="C5070"/>
      <c r="D5070"/>
      <c r="E5070"/>
      <c r="F5070"/>
      <c r="G5070"/>
      <c r="H5070"/>
      <c r="I5070"/>
      <c r="J5070"/>
      <c r="K5070"/>
      <c r="L5070"/>
      <c r="M5070" s="319"/>
      <c r="N5070" s="236"/>
      <c r="O5070" s="231"/>
      <c r="P5070" s="204"/>
      <c r="Q5070" s="207"/>
      <c r="R5070" s="252"/>
      <c r="S5070" s="252"/>
      <c r="T5070" s="252"/>
      <c r="U5070" s="252"/>
      <c r="V5070" s="252"/>
      <c r="W5070" s="252"/>
      <c r="X5070" s="207"/>
      <c r="Y5070" s="202"/>
      <c r="Z5070" s="48"/>
      <c r="AA5070" s="252"/>
      <c r="AB5070" s="252"/>
      <c r="AC5070" s="252"/>
      <c r="AF5070"/>
      <c r="AG5070"/>
    </row>
    <row r="5071" spans="1:33" s="47" customFormat="1" hidden="1">
      <c r="A5071"/>
      <c r="B5071"/>
      <c r="C5071"/>
      <c r="D5071"/>
      <c r="E5071"/>
      <c r="F5071"/>
      <c r="G5071"/>
      <c r="H5071"/>
      <c r="I5071"/>
      <c r="J5071"/>
      <c r="K5071"/>
      <c r="L5071"/>
      <c r="M5071" s="319"/>
      <c r="N5071" s="236"/>
      <c r="O5071" s="231"/>
      <c r="P5071" s="204"/>
      <c r="Q5071" s="207"/>
      <c r="R5071" s="252"/>
      <c r="S5071" s="252"/>
      <c r="T5071" s="252"/>
      <c r="U5071" s="252"/>
      <c r="V5071" s="252"/>
      <c r="W5071" s="252"/>
      <c r="X5071" s="207"/>
      <c r="Y5071" s="202"/>
      <c r="Z5071" s="48"/>
      <c r="AA5071" s="252"/>
      <c r="AB5071" s="252"/>
      <c r="AC5071" s="252"/>
      <c r="AF5071"/>
      <c r="AG5071"/>
    </row>
    <row r="5072" spans="1:33" s="47" customFormat="1" hidden="1">
      <c r="A5072"/>
      <c r="B5072"/>
      <c r="C5072"/>
      <c r="D5072"/>
      <c r="E5072"/>
      <c r="F5072"/>
      <c r="G5072"/>
      <c r="H5072"/>
      <c r="I5072"/>
      <c r="J5072"/>
      <c r="K5072"/>
      <c r="L5072"/>
      <c r="M5072" s="319"/>
      <c r="N5072" s="236"/>
      <c r="O5072" s="231"/>
      <c r="P5072" s="204"/>
      <c r="Q5072" s="207"/>
      <c r="R5072" s="252"/>
      <c r="S5072" s="252"/>
      <c r="T5072" s="252"/>
      <c r="U5072" s="252"/>
      <c r="V5072" s="252"/>
      <c r="W5072" s="252"/>
      <c r="X5072" s="207"/>
      <c r="Y5072" s="202"/>
      <c r="Z5072" s="48"/>
      <c r="AA5072" s="252"/>
      <c r="AB5072" s="252"/>
      <c r="AC5072" s="252"/>
      <c r="AF5072"/>
      <c r="AG5072"/>
    </row>
    <row r="5073" spans="1:33" s="47" customFormat="1" hidden="1">
      <c r="A5073"/>
      <c r="B5073"/>
      <c r="C5073"/>
      <c r="D5073"/>
      <c r="E5073"/>
      <c r="F5073"/>
      <c r="G5073"/>
      <c r="H5073"/>
      <c r="I5073"/>
      <c r="J5073"/>
      <c r="K5073"/>
      <c r="L5073"/>
      <c r="M5073" s="319"/>
      <c r="N5073" s="236"/>
      <c r="O5073" s="231"/>
      <c r="P5073" s="204"/>
      <c r="Q5073" s="207"/>
      <c r="R5073" s="252"/>
      <c r="S5073" s="252"/>
      <c r="T5073" s="252"/>
      <c r="U5073" s="252"/>
      <c r="V5073" s="252"/>
      <c r="W5073" s="252"/>
      <c r="X5073" s="207"/>
      <c r="Y5073" s="202"/>
      <c r="Z5073" s="48"/>
      <c r="AA5073" s="252"/>
      <c r="AB5073" s="252"/>
      <c r="AC5073" s="252"/>
      <c r="AF5073"/>
      <c r="AG5073"/>
    </row>
    <row r="5074" spans="1:33" s="47" customFormat="1" hidden="1">
      <c r="A5074"/>
      <c r="B5074"/>
      <c r="C5074"/>
      <c r="D5074"/>
      <c r="E5074"/>
      <c r="F5074"/>
      <c r="G5074"/>
      <c r="H5074"/>
      <c r="I5074"/>
      <c r="J5074"/>
      <c r="K5074"/>
      <c r="L5074"/>
      <c r="M5074" s="319"/>
      <c r="N5074" s="236"/>
      <c r="O5074" s="231"/>
      <c r="P5074" s="204"/>
      <c r="Q5074" s="207"/>
      <c r="R5074" s="252"/>
      <c r="S5074" s="252"/>
      <c r="T5074" s="252"/>
      <c r="U5074" s="252"/>
      <c r="V5074" s="252"/>
      <c r="W5074" s="252"/>
      <c r="X5074" s="207"/>
      <c r="Y5074" s="202"/>
      <c r="Z5074" s="48"/>
      <c r="AA5074" s="252"/>
      <c r="AB5074" s="252"/>
      <c r="AC5074" s="252"/>
      <c r="AF5074"/>
      <c r="AG5074"/>
    </row>
    <row r="5075" spans="1:33" s="47" customFormat="1" hidden="1">
      <c r="A5075"/>
      <c r="B5075"/>
      <c r="C5075"/>
      <c r="D5075"/>
      <c r="E5075"/>
      <c r="F5075"/>
      <c r="G5075"/>
      <c r="H5075"/>
      <c r="I5075"/>
      <c r="J5075"/>
      <c r="K5075"/>
      <c r="L5075"/>
      <c r="M5075" s="319"/>
      <c r="N5075" s="236"/>
      <c r="O5075" s="231"/>
      <c r="P5075" s="204"/>
      <c r="Q5075" s="207"/>
      <c r="R5075" s="252"/>
      <c r="S5075" s="252"/>
      <c r="T5075" s="252"/>
      <c r="U5075" s="252"/>
      <c r="V5075" s="252"/>
      <c r="W5075" s="252"/>
      <c r="X5075" s="207"/>
      <c r="Y5075" s="202"/>
      <c r="Z5075" s="48"/>
      <c r="AA5075" s="252"/>
      <c r="AB5075" s="252"/>
      <c r="AC5075" s="252"/>
      <c r="AF5075"/>
      <c r="AG5075"/>
    </row>
    <row r="5076" spans="1:33" s="47" customFormat="1" hidden="1">
      <c r="A5076"/>
      <c r="B5076"/>
      <c r="C5076"/>
      <c r="D5076"/>
      <c r="E5076"/>
      <c r="F5076"/>
      <c r="G5076"/>
      <c r="H5076"/>
      <c r="I5076"/>
      <c r="J5076"/>
      <c r="K5076"/>
      <c r="L5076"/>
      <c r="M5076" s="319"/>
      <c r="N5076" s="236"/>
      <c r="O5076" s="231"/>
      <c r="P5076" s="204"/>
      <c r="Q5076" s="207"/>
      <c r="R5076" s="252"/>
      <c r="S5076" s="252"/>
      <c r="T5076" s="252"/>
      <c r="U5076" s="252"/>
      <c r="V5076" s="252"/>
      <c r="W5076" s="252"/>
      <c r="X5076" s="207"/>
      <c r="Y5076" s="202"/>
      <c r="Z5076" s="48"/>
      <c r="AA5076" s="252"/>
      <c r="AB5076" s="252"/>
      <c r="AC5076" s="252"/>
      <c r="AF5076"/>
      <c r="AG5076"/>
    </row>
    <row r="5077" spans="1:33" s="47" customFormat="1" hidden="1">
      <c r="A5077"/>
      <c r="B5077"/>
      <c r="C5077"/>
      <c r="D5077"/>
      <c r="E5077"/>
      <c r="F5077"/>
      <c r="G5077"/>
      <c r="H5077"/>
      <c r="I5077"/>
      <c r="J5077"/>
      <c r="K5077"/>
      <c r="L5077"/>
      <c r="M5077" s="319"/>
      <c r="N5077" s="236"/>
      <c r="O5077" s="231"/>
      <c r="P5077" s="204"/>
      <c r="Q5077" s="207"/>
      <c r="R5077" s="252"/>
      <c r="S5077" s="252"/>
      <c r="T5077" s="252"/>
      <c r="U5077" s="252"/>
      <c r="V5077" s="252"/>
      <c r="W5077" s="252"/>
      <c r="X5077" s="207"/>
      <c r="Y5077" s="202"/>
      <c r="Z5077" s="48"/>
      <c r="AA5077" s="252"/>
      <c r="AB5077" s="252"/>
      <c r="AC5077" s="252"/>
      <c r="AF5077"/>
      <c r="AG5077"/>
    </row>
    <row r="5078" spans="1:33" s="47" customFormat="1" hidden="1">
      <c r="A5078"/>
      <c r="B5078"/>
      <c r="C5078"/>
      <c r="D5078"/>
      <c r="E5078"/>
      <c r="F5078"/>
      <c r="G5078"/>
      <c r="H5078"/>
      <c r="I5078"/>
      <c r="J5078"/>
      <c r="K5078"/>
      <c r="L5078"/>
      <c r="M5078" s="319"/>
      <c r="N5078" s="236"/>
      <c r="O5078" s="231"/>
      <c r="P5078" s="204"/>
      <c r="Q5078" s="207"/>
      <c r="R5078" s="252"/>
      <c r="S5078" s="252"/>
      <c r="T5078" s="252"/>
      <c r="U5078" s="252"/>
      <c r="V5078" s="252"/>
      <c r="W5078" s="252"/>
      <c r="X5078" s="207"/>
      <c r="Y5078" s="202"/>
      <c r="Z5078" s="48"/>
      <c r="AA5078" s="252"/>
      <c r="AB5078" s="252"/>
      <c r="AC5078" s="252"/>
      <c r="AF5078"/>
      <c r="AG5078"/>
    </row>
    <row r="5079" spans="1:33" s="47" customFormat="1" hidden="1">
      <c r="A5079"/>
      <c r="B5079"/>
      <c r="C5079"/>
      <c r="D5079"/>
      <c r="E5079"/>
      <c r="F5079"/>
      <c r="G5079"/>
      <c r="H5079"/>
      <c r="I5079"/>
      <c r="J5079"/>
      <c r="K5079"/>
      <c r="L5079"/>
      <c r="M5079" s="319"/>
      <c r="N5079" s="236"/>
      <c r="O5079" s="231"/>
      <c r="P5079" s="204"/>
      <c r="Q5079" s="207"/>
      <c r="R5079" s="252"/>
      <c r="S5079" s="252"/>
      <c r="T5079" s="252"/>
      <c r="U5079" s="252"/>
      <c r="V5079" s="252"/>
      <c r="W5079" s="252"/>
      <c r="X5079" s="207"/>
      <c r="Y5079" s="202"/>
      <c r="Z5079" s="48"/>
      <c r="AA5079" s="252"/>
      <c r="AB5079" s="252"/>
      <c r="AC5079" s="252"/>
      <c r="AF5079"/>
      <c r="AG5079"/>
    </row>
    <row r="5080" spans="1:33" s="47" customFormat="1" hidden="1">
      <c r="A5080"/>
      <c r="B5080"/>
      <c r="C5080"/>
      <c r="D5080"/>
      <c r="E5080"/>
      <c r="F5080"/>
      <c r="G5080"/>
      <c r="H5080"/>
      <c r="I5080"/>
      <c r="J5080"/>
      <c r="K5080"/>
      <c r="L5080"/>
      <c r="M5080" s="319"/>
      <c r="N5080" s="236"/>
      <c r="O5080" s="231"/>
      <c r="P5080" s="204"/>
      <c r="Q5080" s="207"/>
      <c r="R5080" s="252"/>
      <c r="S5080" s="252"/>
      <c r="T5080" s="252"/>
      <c r="U5080" s="252"/>
      <c r="V5080" s="252"/>
      <c r="W5080" s="252"/>
      <c r="X5080" s="207"/>
      <c r="Y5080" s="202"/>
      <c r="Z5080" s="48"/>
      <c r="AA5080" s="252"/>
      <c r="AB5080" s="252"/>
      <c r="AC5080" s="252"/>
      <c r="AF5080"/>
      <c r="AG5080"/>
    </row>
    <row r="5081" spans="1:33" s="47" customFormat="1" hidden="1">
      <c r="A5081"/>
      <c r="B5081"/>
      <c r="C5081"/>
      <c r="D5081"/>
      <c r="E5081"/>
      <c r="F5081"/>
      <c r="G5081"/>
      <c r="H5081"/>
      <c r="I5081"/>
      <c r="J5081"/>
      <c r="K5081"/>
      <c r="L5081"/>
      <c r="M5081" s="319"/>
      <c r="N5081" s="236"/>
      <c r="O5081" s="231"/>
      <c r="P5081" s="204"/>
      <c r="Q5081" s="207"/>
      <c r="R5081" s="252"/>
      <c r="S5081" s="252"/>
      <c r="T5081" s="252"/>
      <c r="U5081" s="252"/>
      <c r="V5081" s="252"/>
      <c r="W5081" s="252"/>
      <c r="X5081" s="207"/>
      <c r="Y5081" s="202"/>
      <c r="Z5081" s="48"/>
      <c r="AA5081" s="252"/>
      <c r="AB5081" s="252"/>
      <c r="AC5081" s="252"/>
      <c r="AF5081"/>
      <c r="AG5081"/>
    </row>
    <row r="5082" spans="1:33" s="47" customFormat="1" hidden="1">
      <c r="A5082"/>
      <c r="B5082"/>
      <c r="C5082"/>
      <c r="D5082"/>
      <c r="E5082"/>
      <c r="F5082"/>
      <c r="G5082"/>
      <c r="H5082"/>
      <c r="I5082"/>
      <c r="J5082"/>
      <c r="K5082"/>
      <c r="L5082"/>
      <c r="M5082" s="319"/>
      <c r="N5082" s="236"/>
      <c r="O5082" s="231"/>
      <c r="P5082" s="204"/>
      <c r="Q5082" s="207"/>
      <c r="R5082" s="252"/>
      <c r="S5082" s="252"/>
      <c r="T5082" s="252"/>
      <c r="U5082" s="252"/>
      <c r="V5082" s="252"/>
      <c r="W5082" s="252"/>
      <c r="X5082" s="207"/>
      <c r="Y5082" s="202"/>
      <c r="Z5082" s="48"/>
      <c r="AA5082" s="252"/>
      <c r="AB5082" s="252"/>
      <c r="AC5082" s="252"/>
      <c r="AF5082"/>
      <c r="AG5082"/>
    </row>
    <row r="5083" spans="1:33" s="47" customFormat="1" hidden="1">
      <c r="A5083"/>
      <c r="B5083"/>
      <c r="C5083"/>
      <c r="D5083"/>
      <c r="E5083"/>
      <c r="F5083"/>
      <c r="G5083"/>
      <c r="H5083"/>
      <c r="I5083"/>
      <c r="J5083"/>
      <c r="K5083"/>
      <c r="L5083"/>
      <c r="M5083" s="319"/>
      <c r="N5083" s="236"/>
      <c r="O5083" s="231"/>
      <c r="P5083" s="204"/>
      <c r="Q5083" s="207"/>
      <c r="R5083" s="252"/>
      <c r="S5083" s="252"/>
      <c r="T5083" s="252"/>
      <c r="U5083" s="252"/>
      <c r="V5083" s="252"/>
      <c r="W5083" s="252"/>
      <c r="X5083" s="207"/>
      <c r="Y5083" s="202"/>
      <c r="Z5083" s="48"/>
      <c r="AA5083" s="252"/>
      <c r="AB5083" s="252"/>
      <c r="AC5083" s="252"/>
      <c r="AF5083"/>
      <c r="AG5083"/>
    </row>
    <row r="5084" spans="1:33" s="47" customFormat="1" hidden="1">
      <c r="A5084"/>
      <c r="B5084"/>
      <c r="C5084"/>
      <c r="D5084"/>
      <c r="E5084"/>
      <c r="F5084"/>
      <c r="G5084"/>
      <c r="H5084"/>
      <c r="I5084"/>
      <c r="J5084"/>
      <c r="K5084"/>
      <c r="L5084"/>
      <c r="M5084" s="319"/>
      <c r="N5084" s="236"/>
      <c r="O5084" s="231"/>
      <c r="P5084" s="204"/>
      <c r="Q5084" s="207"/>
      <c r="R5084" s="252"/>
      <c r="S5084" s="252"/>
      <c r="T5084" s="252"/>
      <c r="U5084" s="252"/>
      <c r="V5084" s="252"/>
      <c r="W5084" s="252"/>
      <c r="X5084" s="207"/>
      <c r="Y5084" s="202"/>
      <c r="Z5084" s="48"/>
      <c r="AA5084" s="252"/>
      <c r="AB5084" s="252"/>
      <c r="AC5084" s="252"/>
      <c r="AF5084"/>
      <c r="AG5084"/>
    </row>
    <row r="5085" spans="1:33" s="47" customFormat="1" hidden="1">
      <c r="A5085"/>
      <c r="B5085"/>
      <c r="C5085"/>
      <c r="D5085"/>
      <c r="E5085"/>
      <c r="F5085"/>
      <c r="G5085"/>
      <c r="H5085"/>
      <c r="I5085"/>
      <c r="J5085"/>
      <c r="K5085"/>
      <c r="L5085"/>
      <c r="M5085" s="319"/>
      <c r="N5085" s="236"/>
      <c r="O5085" s="231"/>
      <c r="P5085" s="204"/>
      <c r="Q5085" s="207"/>
      <c r="R5085" s="252"/>
      <c r="S5085" s="252"/>
      <c r="T5085" s="252"/>
      <c r="U5085" s="252"/>
      <c r="V5085" s="252"/>
      <c r="W5085" s="252"/>
      <c r="X5085" s="207"/>
      <c r="Y5085" s="202"/>
      <c r="Z5085" s="48"/>
      <c r="AA5085" s="252"/>
      <c r="AB5085" s="252"/>
      <c r="AC5085" s="252"/>
      <c r="AF5085"/>
      <c r="AG5085"/>
    </row>
    <row r="5086" spans="1:33" s="47" customFormat="1" hidden="1">
      <c r="A5086"/>
      <c r="B5086"/>
      <c r="C5086"/>
      <c r="D5086"/>
      <c r="E5086"/>
      <c r="F5086"/>
      <c r="G5086"/>
      <c r="H5086"/>
      <c r="I5086"/>
      <c r="J5086"/>
      <c r="K5086"/>
      <c r="L5086"/>
      <c r="M5086" s="319"/>
      <c r="N5086" s="236"/>
      <c r="O5086" s="231"/>
      <c r="P5086" s="204"/>
      <c r="Q5086" s="207"/>
      <c r="R5086" s="252"/>
      <c r="S5086" s="252"/>
      <c r="T5086" s="252"/>
      <c r="U5086" s="252"/>
      <c r="V5086" s="252"/>
      <c r="W5086" s="252"/>
      <c r="X5086" s="207"/>
      <c r="Y5086" s="202"/>
      <c r="Z5086" s="48"/>
      <c r="AA5086" s="252"/>
      <c r="AB5086" s="252"/>
      <c r="AC5086" s="252"/>
      <c r="AF5086"/>
      <c r="AG5086"/>
    </row>
    <row r="5087" spans="1:33" s="47" customFormat="1" hidden="1">
      <c r="A5087"/>
      <c r="B5087"/>
      <c r="C5087"/>
      <c r="D5087"/>
      <c r="E5087"/>
      <c r="F5087"/>
      <c r="G5087"/>
      <c r="H5087"/>
      <c r="I5087"/>
      <c r="J5087"/>
      <c r="K5087"/>
      <c r="L5087"/>
      <c r="M5087" s="319"/>
      <c r="N5087" s="236"/>
      <c r="O5087" s="231"/>
      <c r="P5087" s="204"/>
      <c r="Q5087" s="207"/>
      <c r="R5087" s="252"/>
      <c r="S5087" s="252"/>
      <c r="T5087" s="252"/>
      <c r="U5087" s="252"/>
      <c r="V5087" s="252"/>
      <c r="W5087" s="252"/>
      <c r="X5087" s="207"/>
      <c r="Y5087" s="202"/>
      <c r="Z5087" s="48"/>
      <c r="AA5087" s="252"/>
      <c r="AB5087" s="252"/>
      <c r="AC5087" s="252"/>
      <c r="AF5087"/>
      <c r="AG5087"/>
    </row>
    <row r="5088" spans="1:33" s="47" customFormat="1" hidden="1">
      <c r="A5088"/>
      <c r="B5088"/>
      <c r="C5088"/>
      <c r="D5088"/>
      <c r="E5088"/>
      <c r="F5088"/>
      <c r="G5088"/>
      <c r="H5088"/>
      <c r="I5088"/>
      <c r="J5088"/>
      <c r="K5088"/>
      <c r="L5088"/>
      <c r="M5088" s="319"/>
      <c r="N5088" s="236"/>
      <c r="O5088" s="231"/>
      <c r="P5088" s="204"/>
      <c r="Q5088" s="207"/>
      <c r="R5088" s="252"/>
      <c r="S5088" s="252"/>
      <c r="T5088" s="252"/>
      <c r="U5088" s="252"/>
      <c r="V5088" s="252"/>
      <c r="W5088" s="252"/>
      <c r="X5088" s="207"/>
      <c r="Y5088" s="202"/>
      <c r="Z5088" s="48"/>
      <c r="AA5088" s="252"/>
      <c r="AB5088" s="252"/>
      <c r="AC5088" s="252"/>
      <c r="AF5088"/>
      <c r="AG5088"/>
    </row>
    <row r="5089" spans="1:33" s="47" customFormat="1" hidden="1">
      <c r="A5089"/>
      <c r="B5089"/>
      <c r="C5089"/>
      <c r="D5089"/>
      <c r="E5089"/>
      <c r="F5089"/>
      <c r="G5089"/>
      <c r="H5089"/>
      <c r="I5089"/>
      <c r="J5089"/>
      <c r="K5089"/>
      <c r="L5089"/>
      <c r="M5089" s="319"/>
      <c r="N5089" s="236"/>
      <c r="O5089" s="231"/>
      <c r="P5089" s="204"/>
      <c r="Q5089" s="207"/>
      <c r="R5089" s="252"/>
      <c r="S5089" s="252"/>
      <c r="T5089" s="252"/>
      <c r="U5089" s="252"/>
      <c r="V5089" s="252"/>
      <c r="W5089" s="252"/>
      <c r="X5089" s="207"/>
      <c r="Y5089" s="202"/>
      <c r="Z5089" s="48"/>
      <c r="AA5089" s="252"/>
      <c r="AB5089" s="252"/>
      <c r="AC5089" s="252"/>
      <c r="AF5089"/>
      <c r="AG5089"/>
    </row>
    <row r="5090" spans="1:33" s="47" customFormat="1" hidden="1">
      <c r="A5090"/>
      <c r="B5090"/>
      <c r="C5090"/>
      <c r="D5090"/>
      <c r="E5090"/>
      <c r="F5090"/>
      <c r="G5090"/>
      <c r="H5090"/>
      <c r="I5090"/>
      <c r="J5090"/>
      <c r="K5090"/>
      <c r="L5090"/>
      <c r="M5090" s="319"/>
      <c r="N5090" s="236"/>
      <c r="O5090" s="231"/>
      <c r="P5090" s="204"/>
      <c r="Q5090" s="207"/>
      <c r="R5090" s="252"/>
      <c r="S5090" s="252"/>
      <c r="T5090" s="252"/>
      <c r="U5090" s="252"/>
      <c r="V5090" s="252"/>
      <c r="W5090" s="252"/>
      <c r="X5090" s="207"/>
      <c r="Y5090" s="202"/>
      <c r="Z5090" s="48"/>
      <c r="AA5090" s="252"/>
      <c r="AB5090" s="252"/>
      <c r="AC5090" s="252"/>
      <c r="AF5090"/>
      <c r="AG5090"/>
    </row>
    <row r="5091" spans="1:33" s="47" customFormat="1" hidden="1">
      <c r="A5091"/>
      <c r="B5091"/>
      <c r="C5091"/>
      <c r="D5091"/>
      <c r="E5091"/>
      <c r="F5091"/>
      <c r="G5091"/>
      <c r="H5091"/>
      <c r="I5091"/>
      <c r="J5091"/>
      <c r="K5091"/>
      <c r="L5091"/>
      <c r="M5091" s="319"/>
      <c r="N5091" s="236"/>
      <c r="O5091" s="231"/>
      <c r="P5091" s="204"/>
      <c r="Q5091" s="207"/>
      <c r="R5091" s="252"/>
      <c r="S5091" s="252"/>
      <c r="T5091" s="252"/>
      <c r="U5091" s="252"/>
      <c r="V5091" s="252"/>
      <c r="W5091" s="252"/>
      <c r="X5091" s="207"/>
      <c r="Y5091" s="202"/>
      <c r="Z5091" s="48"/>
      <c r="AA5091" s="252"/>
      <c r="AB5091" s="252"/>
      <c r="AC5091" s="252"/>
      <c r="AF5091"/>
      <c r="AG5091"/>
    </row>
    <row r="5092" spans="1:33" s="47" customFormat="1" hidden="1">
      <c r="A5092"/>
      <c r="B5092"/>
      <c r="C5092"/>
      <c r="D5092"/>
      <c r="E5092"/>
      <c r="F5092"/>
      <c r="G5092"/>
      <c r="H5092"/>
      <c r="I5092"/>
      <c r="J5092"/>
      <c r="K5092"/>
      <c r="L5092"/>
      <c r="M5092" s="319"/>
      <c r="N5092" s="236"/>
      <c r="O5092" s="231"/>
      <c r="P5092" s="204"/>
      <c r="Q5092" s="207"/>
      <c r="R5092" s="252"/>
      <c r="S5092" s="252"/>
      <c r="T5092" s="252"/>
      <c r="U5092" s="252"/>
      <c r="V5092" s="252"/>
      <c r="W5092" s="252"/>
      <c r="X5092" s="207"/>
      <c r="Y5092" s="202"/>
      <c r="Z5092" s="48"/>
      <c r="AA5092" s="252"/>
      <c r="AB5092" s="252"/>
      <c r="AC5092" s="252"/>
      <c r="AF5092"/>
      <c r="AG5092"/>
    </row>
    <row r="5093" spans="1:33" s="47" customFormat="1" hidden="1">
      <c r="A5093"/>
      <c r="B5093"/>
      <c r="C5093"/>
      <c r="D5093"/>
      <c r="E5093"/>
      <c r="F5093"/>
      <c r="G5093"/>
      <c r="H5093"/>
      <c r="I5093"/>
      <c r="J5093"/>
      <c r="K5093"/>
      <c r="L5093"/>
      <c r="M5093" s="319"/>
      <c r="N5093" s="236"/>
      <c r="O5093" s="231"/>
      <c r="P5093" s="204"/>
      <c r="Q5093" s="207"/>
      <c r="R5093" s="252"/>
      <c r="S5093" s="252"/>
      <c r="T5093" s="252"/>
      <c r="U5093" s="252"/>
      <c r="V5093" s="252"/>
      <c r="W5093" s="252"/>
      <c r="X5093" s="207"/>
      <c r="Y5093" s="202"/>
      <c r="Z5093" s="48"/>
      <c r="AA5093" s="252"/>
      <c r="AB5093" s="252"/>
      <c r="AC5093" s="252"/>
      <c r="AF5093"/>
      <c r="AG5093"/>
    </row>
    <row r="5094" spans="1:33" s="47" customFormat="1" hidden="1">
      <c r="A5094"/>
      <c r="B5094"/>
      <c r="C5094"/>
      <c r="D5094"/>
      <c r="E5094"/>
      <c r="F5094"/>
      <c r="G5094"/>
      <c r="H5094"/>
      <c r="I5094"/>
      <c r="J5094"/>
      <c r="K5094"/>
      <c r="L5094"/>
      <c r="M5094" s="319"/>
      <c r="N5094" s="236"/>
      <c r="O5094" s="231"/>
      <c r="P5094" s="204"/>
      <c r="Q5094" s="207"/>
      <c r="R5094" s="252"/>
      <c r="S5094" s="252"/>
      <c r="T5094" s="252"/>
      <c r="U5094" s="252"/>
      <c r="V5094" s="252"/>
      <c r="W5094" s="252"/>
      <c r="X5094" s="207"/>
      <c r="Y5094" s="202"/>
      <c r="Z5094" s="48"/>
      <c r="AA5094" s="252"/>
      <c r="AB5094" s="252"/>
      <c r="AC5094" s="252"/>
      <c r="AF5094"/>
      <c r="AG5094"/>
    </row>
    <row r="5095" spans="1:33" s="47" customFormat="1" hidden="1">
      <c r="A5095"/>
      <c r="B5095"/>
      <c r="C5095"/>
      <c r="D5095"/>
      <c r="E5095"/>
      <c r="F5095"/>
      <c r="G5095"/>
      <c r="H5095"/>
      <c r="I5095"/>
      <c r="J5095"/>
      <c r="K5095"/>
      <c r="L5095"/>
      <c r="M5095" s="319"/>
      <c r="N5095" s="236"/>
      <c r="O5095" s="231"/>
      <c r="P5095" s="204"/>
      <c r="Q5095" s="207"/>
      <c r="R5095" s="252"/>
      <c r="S5095" s="252"/>
      <c r="T5095" s="252"/>
      <c r="U5095" s="252"/>
      <c r="V5095" s="252"/>
      <c r="W5095" s="252"/>
      <c r="X5095" s="207"/>
      <c r="Y5095" s="202"/>
      <c r="Z5095" s="48"/>
      <c r="AA5095" s="252"/>
      <c r="AB5095" s="252"/>
      <c r="AC5095" s="252"/>
      <c r="AF5095"/>
      <c r="AG5095"/>
    </row>
    <row r="5096" spans="1:33" s="47" customFormat="1" hidden="1">
      <c r="A5096"/>
      <c r="B5096"/>
      <c r="C5096"/>
      <c r="D5096"/>
      <c r="E5096"/>
      <c r="F5096"/>
      <c r="G5096"/>
      <c r="H5096"/>
      <c r="I5096"/>
      <c r="J5096"/>
      <c r="K5096"/>
      <c r="L5096"/>
      <c r="M5096" s="319"/>
      <c r="N5096" s="236"/>
      <c r="O5096" s="231"/>
      <c r="P5096" s="204"/>
      <c r="Q5096" s="207"/>
      <c r="R5096" s="252"/>
      <c r="S5096" s="252"/>
      <c r="T5096" s="252"/>
      <c r="U5096" s="252"/>
      <c r="V5096" s="252"/>
      <c r="W5096" s="252"/>
      <c r="X5096" s="207"/>
      <c r="Y5096" s="202"/>
      <c r="Z5096" s="48"/>
      <c r="AA5096" s="252"/>
      <c r="AB5096" s="252"/>
      <c r="AC5096" s="252"/>
      <c r="AF5096"/>
      <c r="AG5096"/>
    </row>
    <row r="5097" spans="1:33" s="47" customFormat="1" hidden="1">
      <c r="A5097"/>
      <c r="B5097"/>
      <c r="C5097"/>
      <c r="D5097"/>
      <c r="E5097"/>
      <c r="F5097"/>
      <c r="G5097"/>
      <c r="H5097"/>
      <c r="I5097"/>
      <c r="J5097"/>
      <c r="K5097"/>
      <c r="L5097"/>
      <c r="M5097" s="319"/>
      <c r="N5097" s="236"/>
      <c r="O5097" s="231"/>
      <c r="P5097" s="204"/>
      <c r="Q5097" s="207"/>
      <c r="R5097" s="252"/>
      <c r="S5097" s="252"/>
      <c r="T5097" s="252"/>
      <c r="U5097" s="252"/>
      <c r="V5097" s="252"/>
      <c r="W5097" s="252"/>
      <c r="X5097" s="207"/>
      <c r="Y5097" s="202"/>
      <c r="Z5097" s="48"/>
      <c r="AA5097" s="252"/>
      <c r="AB5097" s="252"/>
      <c r="AC5097" s="252"/>
      <c r="AF5097"/>
      <c r="AG5097"/>
    </row>
    <row r="5098" spans="1:33" s="47" customFormat="1" hidden="1">
      <c r="A5098"/>
      <c r="B5098"/>
      <c r="C5098"/>
      <c r="D5098"/>
      <c r="E5098"/>
      <c r="F5098"/>
      <c r="G5098"/>
      <c r="H5098"/>
      <c r="I5098"/>
      <c r="J5098"/>
      <c r="K5098"/>
      <c r="L5098"/>
      <c r="M5098" s="319"/>
      <c r="N5098" s="236"/>
      <c r="O5098" s="231"/>
      <c r="P5098" s="204"/>
      <c r="Q5098" s="207"/>
      <c r="R5098" s="252"/>
      <c r="S5098" s="252"/>
      <c r="T5098" s="252"/>
      <c r="U5098" s="252"/>
      <c r="V5098" s="252"/>
      <c r="W5098" s="252"/>
      <c r="X5098" s="207"/>
      <c r="Y5098" s="202"/>
      <c r="Z5098" s="48"/>
      <c r="AA5098" s="252"/>
      <c r="AB5098" s="252"/>
      <c r="AC5098" s="252"/>
      <c r="AF5098"/>
      <c r="AG5098"/>
    </row>
    <row r="5099" spans="1:33" s="47" customFormat="1">
      <c r="A5099"/>
      <c r="B5099"/>
      <c r="C5099"/>
      <c r="D5099"/>
      <c r="E5099"/>
      <c r="F5099"/>
      <c r="G5099"/>
      <c r="H5099"/>
      <c r="I5099"/>
      <c r="J5099"/>
      <c r="K5099"/>
      <c r="L5099"/>
      <c r="M5099" s="319"/>
      <c r="N5099" s="236"/>
      <c r="O5099" s="231"/>
      <c r="P5099" s="204"/>
      <c r="Q5099" s="207"/>
      <c r="R5099" s="252"/>
      <c r="S5099" s="252"/>
      <c r="T5099" s="252"/>
      <c r="U5099" s="252"/>
      <c r="V5099" s="252"/>
      <c r="W5099" s="252"/>
      <c r="X5099" s="207"/>
      <c r="Y5099" s="202"/>
      <c r="Z5099" s="48"/>
      <c r="AA5099" s="252"/>
      <c r="AB5099" s="252"/>
      <c r="AC5099" s="252"/>
      <c r="AF5099"/>
      <c r="AG5099"/>
    </row>
    <row r="5100" spans="1:33" s="47" customFormat="1">
      <c r="A5100"/>
      <c r="B5100"/>
      <c r="C5100"/>
      <c r="D5100"/>
      <c r="E5100"/>
      <c r="F5100"/>
      <c r="G5100"/>
      <c r="H5100"/>
      <c r="I5100"/>
      <c r="J5100"/>
      <c r="K5100"/>
      <c r="L5100"/>
      <c r="M5100" s="319"/>
      <c r="N5100" s="236"/>
      <c r="O5100" s="231"/>
      <c r="P5100" s="204"/>
      <c r="Q5100" s="208"/>
      <c r="R5100" s="252"/>
      <c r="S5100" s="252"/>
      <c r="T5100" s="252"/>
      <c r="U5100" s="252"/>
      <c r="V5100" s="252"/>
      <c r="W5100" s="252"/>
      <c r="X5100" s="208"/>
      <c r="Y5100" s="202"/>
      <c r="Z5100" s="48"/>
      <c r="AA5100" s="252"/>
      <c r="AB5100" s="252"/>
      <c r="AC5100" s="252"/>
      <c r="AF5100"/>
      <c r="AG5100"/>
    </row>
    <row r="5101" spans="1:33" s="47" customFormat="1" ht="0.75" customHeight="1">
      <c r="A5101"/>
      <c r="B5101"/>
      <c r="C5101"/>
      <c r="D5101"/>
      <c r="E5101"/>
      <c r="F5101"/>
      <c r="G5101"/>
      <c r="H5101"/>
      <c r="I5101"/>
      <c r="J5101"/>
      <c r="K5101"/>
      <c r="L5101"/>
      <c r="M5101" s="319"/>
      <c r="N5101" s="236"/>
      <c r="O5101" s="231"/>
      <c r="P5101" s="204"/>
      <c r="Q5101" s="208"/>
      <c r="R5101" s="252"/>
      <c r="S5101" s="252"/>
      <c r="T5101" s="252"/>
      <c r="U5101" s="252"/>
      <c r="V5101" s="252"/>
      <c r="W5101" s="252"/>
      <c r="X5101" s="208"/>
      <c r="Y5101" s="202"/>
      <c r="Z5101" s="48"/>
      <c r="AA5101" s="252"/>
      <c r="AB5101" s="252"/>
      <c r="AC5101" s="252"/>
      <c r="AF5101"/>
      <c r="AG5101"/>
    </row>
    <row r="5102" spans="1:33" s="54" customFormat="1">
      <c r="A5102"/>
      <c r="B5102"/>
      <c r="C5102"/>
      <c r="D5102"/>
      <c r="E5102"/>
      <c r="F5102"/>
      <c r="G5102"/>
      <c r="H5102"/>
      <c r="I5102"/>
      <c r="J5102"/>
      <c r="K5102"/>
      <c r="L5102"/>
      <c r="M5102" s="55"/>
      <c r="N5102" s="56"/>
      <c r="Y5102" s="55"/>
      <c r="Z5102" s="55"/>
      <c r="AF5102"/>
      <c r="AG5102"/>
    </row>
    <row r="5103" spans="1:33">
      <c r="Y5103" s="316"/>
      <c r="Z5103" s="316"/>
      <c r="AA5103" s="316"/>
      <c r="AB5103" s="316"/>
      <c r="AC5103" s="316"/>
      <c r="AF5103"/>
      <c r="AG5103"/>
    </row>
    <row r="5104" spans="1:33">
      <c r="M5104" s="121"/>
      <c r="N5104" s="121"/>
      <c r="O5104" s="121"/>
      <c r="P5104" s="121"/>
      <c r="Q5104" s="121"/>
      <c r="R5104" s="121"/>
      <c r="S5104" s="121"/>
      <c r="T5104" s="121"/>
      <c r="U5104" s="121"/>
    </row>
    <row r="5105" spans="1:33">
      <c r="P5105" s="47"/>
      <c r="Q5105" s="60"/>
      <c r="R5105" s="60"/>
      <c r="S5105" s="60"/>
      <c r="T5105" s="60"/>
      <c r="U5105" s="12"/>
    </row>
    <row r="5106" spans="1:33">
      <c r="P5106" s="47"/>
      <c r="Q5106" s="60"/>
      <c r="R5106" s="60"/>
      <c r="S5106" s="60"/>
      <c r="T5106" s="60"/>
      <c r="U5106" s="12"/>
    </row>
    <row r="5107" spans="1:33">
      <c r="P5107" s="47"/>
      <c r="Q5107" s="60"/>
      <c r="R5107" s="60"/>
      <c r="S5107" s="60"/>
      <c r="T5107" s="60"/>
      <c r="U5107" s="12"/>
    </row>
    <row r="5108" spans="1:33" ht="22.5" customHeight="1">
      <c r="R5108" s="815" t="s">
        <v>2609</v>
      </c>
      <c r="S5108" s="815"/>
      <c r="T5108" s="815"/>
      <c r="U5108" s="326"/>
      <c r="V5108" s="326"/>
      <c r="W5108" s="327"/>
      <c r="X5108" s="326"/>
      <c r="Y5108" s="11"/>
      <c r="Z5108" s="11"/>
      <c r="AA5108" s="11"/>
      <c r="AB5108" s="11"/>
      <c r="AC5108" s="11"/>
      <c r="AD5108" s="11"/>
      <c r="AE5108" s="11"/>
      <c r="AF5108" s="11"/>
    </row>
    <row r="5109" spans="1:33" ht="22.5" customHeight="1">
      <c r="R5109" s="815" t="s">
        <v>2604</v>
      </c>
      <c r="S5109" s="815"/>
      <c r="T5109" s="815"/>
      <c r="U5109" s="815" t="s">
        <v>2605</v>
      </c>
      <c r="V5109" s="815"/>
      <c r="W5109" s="815"/>
      <c r="X5109" s="815" t="s">
        <v>2606</v>
      </c>
      <c r="Y5109" s="815"/>
      <c r="Z5109" s="815"/>
      <c r="AA5109" s="815" t="s">
        <v>2607</v>
      </c>
      <c r="AB5109" s="815"/>
      <c r="AC5109" s="815"/>
      <c r="AD5109" s="815" t="s">
        <v>2608</v>
      </c>
      <c r="AE5109" s="815"/>
      <c r="AF5109" s="815"/>
    </row>
    <row r="5110" spans="1:33" customFormat="1">
      <c r="R5110" s="621"/>
      <c r="S5110" s="621"/>
      <c r="T5110" s="621"/>
      <c r="U5110" s="621"/>
      <c r="V5110" s="621"/>
      <c r="W5110" s="621"/>
      <c r="X5110" s="621"/>
      <c r="Y5110" s="621"/>
      <c r="Z5110" s="621"/>
      <c r="AA5110" s="621"/>
      <c r="AB5110" s="621"/>
      <c r="AC5110" s="621"/>
      <c r="AD5110" s="621"/>
      <c r="AE5110" s="621"/>
      <c r="AF5110" s="621"/>
    </row>
    <row r="5111" spans="1:33" customFormat="1">
      <c r="Q5111" s="1"/>
      <c r="R5111" s="622"/>
      <c r="S5111" s="622"/>
      <c r="T5111" s="622"/>
      <c r="U5111" s="622"/>
      <c r="V5111" s="622"/>
      <c r="W5111" s="622"/>
      <c r="X5111" s="622"/>
      <c r="Y5111" s="622"/>
      <c r="Z5111" s="622"/>
      <c r="AA5111" s="622"/>
      <c r="AB5111" s="622"/>
      <c r="AC5111" s="622"/>
      <c r="AD5111" s="622"/>
      <c r="AE5111" s="622"/>
      <c r="AF5111" s="622"/>
      <c r="AG5111" s="1"/>
    </row>
    <row r="5112" spans="1:33" customFormat="1">
      <c r="M5112" s="317"/>
      <c r="Q5112" s="316"/>
      <c r="R5112" s="623"/>
      <c r="S5112" s="623"/>
      <c r="T5112" s="623"/>
      <c r="U5112" s="623"/>
      <c r="V5112" s="623"/>
      <c r="W5112" s="623"/>
      <c r="X5112" s="623"/>
      <c r="Y5112" s="623"/>
      <c r="Z5112" s="623"/>
      <c r="AA5112" s="623"/>
      <c r="AB5112" s="623"/>
      <c r="AC5112" s="623"/>
      <c r="AD5112" s="623"/>
      <c r="AE5112" s="623"/>
      <c r="AF5112" s="623"/>
      <c r="AG5112" s="316"/>
    </row>
    <row r="5113" spans="1:33" s="314" customFormat="1" ht="12" customHeight="1">
      <c r="A5113"/>
      <c r="B5113"/>
      <c r="C5113"/>
      <c r="D5113"/>
      <c r="E5113"/>
      <c r="F5113"/>
      <c r="G5113"/>
      <c r="H5113"/>
      <c r="I5113"/>
      <c r="J5113"/>
      <c r="K5113"/>
      <c r="L5113"/>
      <c r="M5113" s="311"/>
      <c r="N5113" s="434"/>
      <c r="O5113" s="315"/>
      <c r="P5113" s="309"/>
      <c r="Q5113" s="311"/>
      <c r="R5113" s="624"/>
      <c r="S5113" s="624"/>
      <c r="T5113" s="624"/>
      <c r="U5113" s="624"/>
      <c r="V5113" s="624"/>
      <c r="W5113" s="624"/>
      <c r="X5113" s="624"/>
      <c r="Y5113" s="624"/>
      <c r="Z5113" s="624"/>
      <c r="AA5113" s="624"/>
      <c r="AB5113" s="624"/>
      <c r="AC5113" s="624"/>
      <c r="AD5113" s="624"/>
      <c r="AE5113" s="624"/>
      <c r="AF5113" s="624"/>
      <c r="AG5113" s="311"/>
    </row>
    <row r="5114" spans="1:33" s="47" customFormat="1" ht="12.75">
      <c r="A5114"/>
      <c r="B5114"/>
      <c r="C5114"/>
      <c r="D5114"/>
      <c r="E5114"/>
      <c r="F5114"/>
      <c r="G5114"/>
      <c r="H5114"/>
      <c r="I5114"/>
      <c r="J5114"/>
      <c r="K5114"/>
      <c r="L5114"/>
      <c r="M5114" s="200"/>
      <c r="N5114" s="817"/>
      <c r="O5114" s="818"/>
      <c r="P5114" s="818"/>
      <c r="Q5114" s="317"/>
      <c r="R5114" s="625" t="str">
        <f>R5116 &amp; ".1"</f>
        <v>.1</v>
      </c>
      <c r="S5114" s="625" t="str">
        <f>R5116 &amp; ".2"</f>
        <v>.2</v>
      </c>
      <c r="T5114" s="625" t="str">
        <f>R5116 &amp; ".0"</f>
        <v>.0</v>
      </c>
      <c r="U5114" s="625" t="str">
        <f>U5116 &amp; ".1"</f>
        <v>.1</v>
      </c>
      <c r="V5114" s="625" t="str">
        <f>U5116 &amp; ".2"</f>
        <v>.2</v>
      </c>
      <c r="W5114" s="625" t="str">
        <f>U5116 &amp; ".0"</f>
        <v>.0</v>
      </c>
      <c r="X5114" s="625" t="str">
        <f>X5116 &amp; ".1"</f>
        <v>.1</v>
      </c>
      <c r="Y5114" s="625" t="str">
        <f>X5116 &amp; ".2"</f>
        <v>.2</v>
      </c>
      <c r="Z5114" s="625" t="str">
        <f>X5116 &amp; ".0"</f>
        <v>.0</v>
      </c>
      <c r="AA5114" s="625" t="str">
        <f>AA5116 &amp; ".1"</f>
        <v>.1</v>
      </c>
      <c r="AB5114" s="625" t="str">
        <f>AA5116 &amp; ".2"</f>
        <v>.2</v>
      </c>
      <c r="AC5114" s="625" t="str">
        <f>AA5116 &amp; ".0"</f>
        <v>.0</v>
      </c>
      <c r="AD5114" s="625" t="str">
        <f>AD5116 &amp; ".1"</f>
        <v>.1</v>
      </c>
      <c r="AE5114" s="625" t="str">
        <f>AD5116 &amp; ".2"</f>
        <v>.2</v>
      </c>
      <c r="AF5114" s="625" t="str">
        <f>AD5116 &amp; ".0"</f>
        <v>.0</v>
      </c>
      <c r="AG5114" s="214"/>
    </row>
    <row r="5115" spans="1:33" s="200" customFormat="1" ht="12" customHeight="1">
      <c r="A5115"/>
      <c r="B5115"/>
      <c r="C5115"/>
      <c r="D5115"/>
      <c r="E5115"/>
      <c r="F5115"/>
      <c r="G5115"/>
      <c r="H5115"/>
      <c r="I5115"/>
      <c r="J5115"/>
      <c r="K5115"/>
      <c r="L5115"/>
      <c r="N5115" s="430" t="s">
        <v>1742</v>
      </c>
      <c r="O5115" s="209"/>
      <c r="P5115" s="214" t="s">
        <v>786</v>
      </c>
      <c r="Q5115" s="201"/>
      <c r="R5115" s="814" t="s">
        <v>719</v>
      </c>
      <c r="S5115" s="814"/>
      <c r="T5115" s="814"/>
      <c r="U5115" s="814" t="s">
        <v>719</v>
      </c>
      <c r="V5115" s="814"/>
      <c r="W5115" s="814"/>
      <c r="X5115" s="814" t="s">
        <v>719</v>
      </c>
      <c r="Y5115" s="814"/>
      <c r="Z5115" s="814"/>
      <c r="AA5115" s="814" t="s">
        <v>719</v>
      </c>
      <c r="AB5115" s="814"/>
      <c r="AC5115" s="814"/>
      <c r="AD5115" s="814" t="s">
        <v>719</v>
      </c>
      <c r="AE5115" s="814"/>
      <c r="AF5115" s="814"/>
      <c r="AG5115" s="168" t="s">
        <v>720</v>
      </c>
    </row>
    <row r="5116" spans="1:33">
      <c r="N5116" s="802" t="s">
        <v>641</v>
      </c>
      <c r="O5116" s="804" t="s">
        <v>787</v>
      </c>
      <c r="P5116" s="819" t="s">
        <v>778</v>
      </c>
      <c r="Q5116" s="206">
        <v>0</v>
      </c>
      <c r="R5116" s="808"/>
      <c r="S5116" s="809"/>
      <c r="T5116" s="810"/>
      <c r="U5116" s="808"/>
      <c r="V5116" s="809"/>
      <c r="W5116" s="810"/>
      <c r="X5116" s="808"/>
      <c r="Y5116" s="809"/>
      <c r="Z5116" s="810"/>
      <c r="AA5116" s="808"/>
      <c r="AB5116" s="809"/>
      <c r="AC5116" s="810"/>
      <c r="AD5116" s="808"/>
      <c r="AE5116" s="809"/>
      <c r="AF5116" s="810"/>
      <c r="AG5116" s="206"/>
    </row>
    <row r="5117" spans="1:33">
      <c r="N5117" s="802"/>
      <c r="O5117" s="804"/>
      <c r="P5117" s="819"/>
      <c r="Q5117" s="207"/>
      <c r="R5117" s="796"/>
      <c r="S5117" s="797"/>
      <c r="T5117" s="798"/>
      <c r="U5117" s="796"/>
      <c r="V5117" s="797"/>
      <c r="W5117" s="798"/>
      <c r="X5117" s="796"/>
      <c r="Y5117" s="797"/>
      <c r="Z5117" s="798"/>
      <c r="AA5117" s="796"/>
      <c r="AB5117" s="797"/>
      <c r="AC5117" s="798"/>
      <c r="AD5117" s="796"/>
      <c r="AE5117" s="797"/>
      <c r="AF5117" s="798"/>
      <c r="AG5117" s="207"/>
    </row>
    <row r="5118" spans="1:33">
      <c r="N5118" s="232"/>
      <c r="O5118" s="233" t="s">
        <v>788</v>
      </c>
      <c r="P5118" s="304"/>
      <c r="Q5118" s="207"/>
      <c r="R5118" s="796"/>
      <c r="S5118" s="797"/>
      <c r="T5118" s="798"/>
      <c r="U5118" s="796"/>
      <c r="V5118" s="797"/>
      <c r="W5118" s="798"/>
      <c r="X5118" s="796"/>
      <c r="Y5118" s="797"/>
      <c r="Z5118" s="798"/>
      <c r="AA5118" s="796"/>
      <c r="AB5118" s="797"/>
      <c r="AC5118" s="798"/>
      <c r="AD5118" s="796"/>
      <c r="AE5118" s="797"/>
      <c r="AF5118" s="798"/>
      <c r="AG5118" s="207"/>
    </row>
    <row r="5119" spans="1:33">
      <c r="N5119" s="232"/>
      <c r="O5119" s="490" t="str">
        <f>IF(CALC_IDENTIFIER="","",CALC_IDENTIFIER)</f>
        <v/>
      </c>
      <c r="P5119" s="304"/>
      <c r="Q5119" s="207"/>
      <c r="R5119" s="799"/>
      <c r="S5119" s="800"/>
      <c r="T5119" s="801"/>
      <c r="U5119" s="799"/>
      <c r="V5119" s="800"/>
      <c r="W5119" s="801"/>
      <c r="X5119" s="799"/>
      <c r="Y5119" s="800"/>
      <c r="Z5119" s="801"/>
      <c r="AA5119" s="799"/>
      <c r="AB5119" s="800"/>
      <c r="AC5119" s="801"/>
      <c r="AD5119" s="799"/>
      <c r="AE5119" s="800"/>
      <c r="AF5119" s="801"/>
      <c r="AG5119" s="207"/>
    </row>
    <row r="5120" spans="1:33">
      <c r="N5120" s="234" t="s">
        <v>642</v>
      </c>
      <c r="O5120" s="235" t="s">
        <v>789</v>
      </c>
      <c r="P5120" s="305"/>
      <c r="Q5120" s="328"/>
      <c r="R5120" s="259"/>
      <c r="S5120" s="259"/>
      <c r="T5120" s="262"/>
      <c r="U5120" s="259"/>
      <c r="V5120" s="259"/>
      <c r="W5120" s="262"/>
      <c r="X5120" s="259"/>
      <c r="Y5120" s="259"/>
      <c r="Z5120" s="262"/>
      <c r="AA5120" s="259"/>
      <c r="AB5120" s="259"/>
      <c r="AC5120" s="262"/>
      <c r="AD5120" s="259"/>
      <c r="AE5120" s="259"/>
      <c r="AF5120" s="262"/>
      <c r="AG5120" s="330"/>
    </row>
    <row r="5121" spans="13:33">
      <c r="N5121" s="234" t="s">
        <v>790</v>
      </c>
      <c r="O5121" s="224" t="s">
        <v>791</v>
      </c>
      <c r="P5121" s="305"/>
      <c r="Q5121" s="328"/>
      <c r="R5121" s="259"/>
      <c r="S5121" s="259"/>
      <c r="T5121" s="262"/>
      <c r="U5121" s="259"/>
      <c r="V5121" s="259"/>
      <c r="W5121" s="262"/>
      <c r="X5121" s="259"/>
      <c r="Y5121" s="259"/>
      <c r="Z5121" s="262"/>
      <c r="AA5121" s="259"/>
      <c r="AB5121" s="259"/>
      <c r="AC5121" s="262"/>
      <c r="AD5121" s="259"/>
      <c r="AE5121" s="259"/>
      <c r="AF5121" s="262"/>
      <c r="AG5121" s="330"/>
    </row>
    <row r="5122" spans="13:33">
      <c r="N5122" s="236" t="s">
        <v>792</v>
      </c>
      <c r="O5122" s="237" t="s">
        <v>793</v>
      </c>
      <c r="P5122" s="305"/>
      <c r="Q5122" s="328"/>
      <c r="R5122" s="259"/>
      <c r="S5122" s="259"/>
      <c r="T5122" s="262"/>
      <c r="U5122" s="259"/>
      <c r="V5122" s="259"/>
      <c r="W5122" s="262"/>
      <c r="X5122" s="259"/>
      <c r="Y5122" s="259"/>
      <c r="Z5122" s="262"/>
      <c r="AA5122" s="259"/>
      <c r="AB5122" s="259"/>
      <c r="AC5122" s="262"/>
      <c r="AD5122" s="259"/>
      <c r="AE5122" s="259"/>
      <c r="AF5122" s="262"/>
      <c r="AG5122" s="330"/>
    </row>
    <row r="5123" spans="13:33">
      <c r="N5123" s="234"/>
      <c r="O5123" s="238"/>
      <c r="P5123" s="287"/>
      <c r="Q5123" s="328"/>
      <c r="R5123" s="259"/>
      <c r="S5123" s="259"/>
      <c r="T5123" s="260"/>
      <c r="U5123" s="259"/>
      <c r="V5123" s="259"/>
      <c r="W5123" s="260"/>
      <c r="X5123" s="259"/>
      <c r="Y5123" s="259"/>
      <c r="Z5123" s="260"/>
      <c r="AA5123" s="259"/>
      <c r="AB5123" s="259"/>
      <c r="AC5123" s="260"/>
      <c r="AD5123" s="259"/>
      <c r="AE5123" s="259"/>
      <c r="AF5123" s="260"/>
      <c r="AG5123" s="330"/>
    </row>
    <row r="5124" spans="13:33">
      <c r="N5124" s="234"/>
      <c r="O5124" s="238"/>
      <c r="P5124" s="287"/>
      <c r="Q5124" s="328"/>
      <c r="R5124" s="259"/>
      <c r="S5124" s="259"/>
      <c r="T5124" s="260"/>
      <c r="U5124" s="259"/>
      <c r="V5124" s="259"/>
      <c r="W5124" s="260"/>
      <c r="X5124" s="259"/>
      <c r="Y5124" s="259"/>
      <c r="Z5124" s="260"/>
      <c r="AA5124" s="259"/>
      <c r="AB5124" s="259"/>
      <c r="AC5124" s="260"/>
      <c r="AD5124" s="259"/>
      <c r="AE5124" s="259"/>
      <c r="AF5124" s="260"/>
      <c r="AG5124" s="330"/>
    </row>
    <row r="5125" spans="13:33" ht="22.5">
      <c r="N5125" s="236" t="s">
        <v>63</v>
      </c>
      <c r="O5125" s="237" t="s">
        <v>64</v>
      </c>
      <c r="P5125" s="305"/>
      <c r="Q5125" s="328"/>
      <c r="R5125" s="259"/>
      <c r="S5125" s="259"/>
      <c r="T5125" s="262"/>
      <c r="U5125" s="259"/>
      <c r="V5125" s="259"/>
      <c r="W5125" s="262"/>
      <c r="X5125" s="259"/>
      <c r="Y5125" s="259"/>
      <c r="Z5125" s="262"/>
      <c r="AA5125" s="259"/>
      <c r="AB5125" s="259"/>
      <c r="AC5125" s="262"/>
      <c r="AD5125" s="259"/>
      <c r="AE5125" s="259"/>
      <c r="AF5125" s="262"/>
      <c r="AG5125" s="330"/>
    </row>
    <row r="5126" spans="13:33">
      <c r="N5126" s="234" t="s">
        <v>751</v>
      </c>
      <c r="O5126" s="235" t="s">
        <v>65</v>
      </c>
      <c r="P5126" s="305"/>
      <c r="Q5126" s="328"/>
      <c r="R5126" s="259"/>
      <c r="S5126" s="259"/>
      <c r="T5126" s="262"/>
      <c r="U5126" s="259"/>
      <c r="V5126" s="259"/>
      <c r="W5126" s="262"/>
      <c r="X5126" s="259"/>
      <c r="Y5126" s="259"/>
      <c r="Z5126" s="262"/>
      <c r="AA5126" s="259"/>
      <c r="AB5126" s="259"/>
      <c r="AC5126" s="262"/>
      <c r="AD5126" s="259"/>
      <c r="AE5126" s="259"/>
      <c r="AF5126" s="262"/>
      <c r="AG5126" s="330"/>
    </row>
    <row r="5127" spans="13:33">
      <c r="N5127" s="234" t="s">
        <v>66</v>
      </c>
      <c r="O5127" s="237" t="s">
        <v>67</v>
      </c>
      <c r="P5127" s="305"/>
      <c r="Q5127" s="328"/>
      <c r="R5127" s="259"/>
      <c r="S5127" s="259"/>
      <c r="T5127" s="262"/>
      <c r="U5127" s="259"/>
      <c r="V5127" s="259"/>
      <c r="W5127" s="262"/>
      <c r="X5127" s="259"/>
      <c r="Y5127" s="259"/>
      <c r="Z5127" s="262"/>
      <c r="AA5127" s="259"/>
      <c r="AB5127" s="259"/>
      <c r="AC5127" s="262"/>
      <c r="AD5127" s="259"/>
      <c r="AE5127" s="259"/>
      <c r="AF5127" s="262"/>
      <c r="AG5127" s="330"/>
    </row>
    <row r="5128" spans="13:33">
      <c r="N5128" s="234" t="s">
        <v>69</v>
      </c>
      <c r="O5128" s="237" t="s">
        <v>70</v>
      </c>
      <c r="P5128" s="305"/>
      <c r="Q5128" s="328"/>
      <c r="R5128" s="259"/>
      <c r="S5128" s="259"/>
      <c r="T5128" s="262"/>
      <c r="U5128" s="259"/>
      <c r="V5128" s="259"/>
      <c r="W5128" s="262"/>
      <c r="X5128" s="259"/>
      <c r="Y5128" s="259"/>
      <c r="Z5128" s="262"/>
      <c r="AA5128" s="259"/>
      <c r="AB5128" s="259"/>
      <c r="AC5128" s="262"/>
      <c r="AD5128" s="259"/>
      <c r="AE5128" s="259"/>
      <c r="AF5128" s="262"/>
      <c r="AG5128" s="330"/>
    </row>
    <row r="5129" spans="13:33">
      <c r="N5129" s="234" t="s">
        <v>72</v>
      </c>
      <c r="O5129" s="237" t="s">
        <v>73</v>
      </c>
      <c r="P5129" s="305"/>
      <c r="Q5129" s="328"/>
      <c r="R5129" s="259"/>
      <c r="S5129" s="259"/>
      <c r="T5129" s="262"/>
      <c r="U5129" s="259"/>
      <c r="V5129" s="259"/>
      <c r="W5129" s="262"/>
      <c r="X5129" s="259"/>
      <c r="Y5129" s="259"/>
      <c r="Z5129" s="262"/>
      <c r="AA5129" s="259"/>
      <c r="AB5129" s="259"/>
      <c r="AC5129" s="262"/>
      <c r="AD5129" s="259"/>
      <c r="AE5129" s="259"/>
      <c r="AF5129" s="262"/>
      <c r="AG5129" s="330"/>
    </row>
    <row r="5130" spans="13:33">
      <c r="N5130" s="234" t="s">
        <v>752</v>
      </c>
      <c r="O5130" s="235" t="s">
        <v>74</v>
      </c>
      <c r="P5130" s="305"/>
      <c r="Q5130" s="328"/>
      <c r="R5130" s="259"/>
      <c r="S5130" s="259"/>
      <c r="T5130" s="262"/>
      <c r="U5130" s="259"/>
      <c r="V5130" s="259"/>
      <c r="W5130" s="262"/>
      <c r="X5130" s="259"/>
      <c r="Y5130" s="259"/>
      <c r="Z5130" s="262"/>
      <c r="AA5130" s="259"/>
      <c r="AB5130" s="259"/>
      <c r="AC5130" s="262"/>
      <c r="AD5130" s="259"/>
      <c r="AE5130" s="259"/>
      <c r="AF5130" s="262"/>
      <c r="AG5130" s="330"/>
    </row>
    <row r="5131" spans="13:33">
      <c r="M5131"/>
      <c r="N5131" s="236" t="s">
        <v>760</v>
      </c>
      <c r="O5131" s="237" t="s">
        <v>76</v>
      </c>
      <c r="P5131" s="305"/>
      <c r="Q5131" s="328"/>
      <c r="R5131" s="259"/>
      <c r="S5131" s="259"/>
      <c r="T5131" s="262"/>
      <c r="U5131" s="259"/>
      <c r="V5131" s="259"/>
      <c r="W5131" s="262"/>
      <c r="X5131" s="259"/>
      <c r="Y5131" s="259"/>
      <c r="Z5131" s="262"/>
      <c r="AA5131" s="259"/>
      <c r="AB5131" s="259"/>
      <c r="AC5131" s="262"/>
      <c r="AD5131" s="259"/>
      <c r="AE5131" s="259"/>
      <c r="AF5131" s="262"/>
      <c r="AG5131" s="330"/>
    </row>
    <row r="5132" spans="13:33" ht="22.5">
      <c r="M5132"/>
      <c r="N5132" s="234" t="s">
        <v>753</v>
      </c>
      <c r="O5132" s="233" t="s">
        <v>211</v>
      </c>
      <c r="P5132" s="305"/>
      <c r="Q5132" s="320"/>
      <c r="R5132" s="259"/>
      <c r="S5132" s="259"/>
      <c r="T5132" s="262"/>
      <c r="U5132" s="260"/>
      <c r="V5132" s="260"/>
      <c r="W5132" s="262"/>
      <c r="X5132" s="259"/>
      <c r="Y5132" s="259"/>
      <c r="Z5132" s="262"/>
      <c r="AA5132" s="260"/>
      <c r="AB5132" s="260"/>
      <c r="AC5132" s="262"/>
      <c r="AD5132" s="259"/>
      <c r="AE5132" s="259"/>
      <c r="AF5132" s="262"/>
      <c r="AG5132" s="321"/>
    </row>
    <row r="5133" spans="13:33">
      <c r="M5133"/>
      <c r="N5133" s="451" t="s">
        <v>766</v>
      </c>
      <c r="O5133" s="453" t="s">
        <v>78</v>
      </c>
      <c r="P5133" s="305"/>
      <c r="Q5133" s="320"/>
      <c r="R5133" s="260"/>
      <c r="S5133" s="260"/>
      <c r="T5133" s="260"/>
      <c r="U5133" s="260"/>
      <c r="V5133" s="260"/>
      <c r="W5133" s="260"/>
      <c r="X5133" s="259"/>
      <c r="Y5133" s="259"/>
      <c r="Z5133" s="262"/>
      <c r="AA5133" s="260"/>
      <c r="AB5133" s="260"/>
      <c r="AC5133" s="260"/>
      <c r="AD5133" s="259"/>
      <c r="AE5133" s="259"/>
      <c r="AF5133" s="262"/>
      <c r="AG5133" s="321"/>
    </row>
    <row r="5134" spans="13:33">
      <c r="M5134"/>
      <c r="N5134" s="451" t="s">
        <v>768</v>
      </c>
      <c r="O5134" s="454" t="s">
        <v>212</v>
      </c>
      <c r="P5134" s="305"/>
      <c r="Q5134" s="320"/>
      <c r="R5134" s="260"/>
      <c r="S5134" s="260"/>
      <c r="T5134" s="260"/>
      <c r="U5134" s="260"/>
      <c r="V5134" s="260"/>
      <c r="W5134" s="260"/>
      <c r="X5134" s="259"/>
      <c r="Y5134" s="259"/>
      <c r="Z5134" s="262"/>
      <c r="AA5134" s="260"/>
      <c r="AB5134" s="260"/>
      <c r="AC5134" s="260"/>
      <c r="AD5134" s="259"/>
      <c r="AE5134" s="259"/>
      <c r="AF5134" s="262"/>
      <c r="AG5134" s="321"/>
    </row>
    <row r="5135" spans="13:33">
      <c r="M5135"/>
      <c r="N5135" s="451" t="s">
        <v>132</v>
      </c>
      <c r="O5135" s="455" t="s">
        <v>79</v>
      </c>
      <c r="P5135" s="305"/>
      <c r="Q5135" s="320"/>
      <c r="R5135" s="260"/>
      <c r="S5135" s="260"/>
      <c r="T5135" s="260"/>
      <c r="U5135" s="260"/>
      <c r="V5135" s="260"/>
      <c r="W5135" s="260"/>
      <c r="X5135" s="259"/>
      <c r="Y5135" s="259"/>
      <c r="Z5135" s="262"/>
      <c r="AA5135" s="260"/>
      <c r="AB5135" s="260"/>
      <c r="AC5135" s="260"/>
      <c r="AD5135" s="259"/>
      <c r="AE5135" s="259"/>
      <c r="AF5135" s="262"/>
      <c r="AG5135" s="321"/>
    </row>
    <row r="5136" spans="13:33" hidden="1">
      <c r="M5136"/>
      <c r="N5136" s="451"/>
      <c r="O5136" s="455"/>
      <c r="P5136" s="287"/>
      <c r="Q5136" s="320"/>
      <c r="R5136" s="260"/>
      <c r="S5136" s="260"/>
      <c r="T5136" s="260"/>
      <c r="U5136" s="260"/>
      <c r="V5136" s="260"/>
      <c r="W5136" s="260"/>
      <c r="X5136" s="259"/>
      <c r="Y5136" s="259"/>
      <c r="Z5136" s="260"/>
      <c r="AA5136" s="260"/>
      <c r="AB5136" s="260"/>
      <c r="AC5136" s="260"/>
      <c r="AD5136" s="259"/>
      <c r="AE5136" s="259"/>
      <c r="AF5136" s="260"/>
      <c r="AG5136" s="321"/>
    </row>
    <row r="5137" spans="13:33" hidden="1">
      <c r="M5137"/>
      <c r="N5137" s="451"/>
      <c r="O5137" s="455"/>
      <c r="P5137" s="287"/>
      <c r="Q5137" s="320"/>
      <c r="R5137" s="260"/>
      <c r="S5137" s="260"/>
      <c r="T5137" s="260"/>
      <c r="U5137" s="260"/>
      <c r="V5137" s="260"/>
      <c r="W5137" s="260"/>
      <c r="X5137" s="259"/>
      <c r="Y5137" s="259"/>
      <c r="Z5137" s="260"/>
      <c r="AA5137" s="260"/>
      <c r="AB5137" s="260"/>
      <c r="AC5137" s="260"/>
      <c r="AD5137" s="259"/>
      <c r="AE5137" s="259"/>
      <c r="AF5137" s="260"/>
      <c r="AG5137" s="321"/>
    </row>
    <row r="5138" spans="13:33" hidden="1">
      <c r="M5138"/>
      <c r="N5138" s="451"/>
      <c r="O5138" s="455"/>
      <c r="P5138" s="287"/>
      <c r="Q5138" s="320"/>
      <c r="R5138" s="260"/>
      <c r="S5138" s="260"/>
      <c r="T5138" s="260"/>
      <c r="U5138" s="260"/>
      <c r="V5138" s="260"/>
      <c r="W5138" s="260"/>
      <c r="X5138" s="259"/>
      <c r="Y5138" s="259"/>
      <c r="Z5138" s="260"/>
      <c r="AA5138" s="260"/>
      <c r="AB5138" s="260"/>
      <c r="AC5138" s="260"/>
      <c r="AD5138" s="259"/>
      <c r="AE5138" s="259"/>
      <c r="AF5138" s="260"/>
      <c r="AG5138" s="321"/>
    </row>
    <row r="5139" spans="13:33" hidden="1">
      <c r="M5139"/>
      <c r="N5139" s="451"/>
      <c r="O5139" s="455"/>
      <c r="P5139" s="287"/>
      <c r="Q5139" s="320"/>
      <c r="R5139" s="260"/>
      <c r="S5139" s="260"/>
      <c r="T5139" s="260"/>
      <c r="U5139" s="260"/>
      <c r="V5139" s="260"/>
      <c r="W5139" s="260"/>
      <c r="X5139" s="259"/>
      <c r="Y5139" s="259"/>
      <c r="Z5139" s="260"/>
      <c r="AA5139" s="260"/>
      <c r="AB5139" s="260"/>
      <c r="AC5139" s="260"/>
      <c r="AD5139" s="259"/>
      <c r="AE5139" s="259"/>
      <c r="AF5139" s="260"/>
      <c r="AG5139" s="321"/>
    </row>
    <row r="5140" spans="13:33" hidden="1">
      <c r="M5140"/>
      <c r="N5140" s="451"/>
      <c r="O5140" s="455"/>
      <c r="P5140" s="287"/>
      <c r="Q5140" s="320"/>
      <c r="R5140" s="260"/>
      <c r="S5140" s="260"/>
      <c r="T5140" s="260"/>
      <c r="U5140" s="260"/>
      <c r="V5140" s="260"/>
      <c r="W5140" s="260"/>
      <c r="X5140" s="259"/>
      <c r="Y5140" s="259"/>
      <c r="Z5140" s="260"/>
      <c r="AA5140" s="260"/>
      <c r="AB5140" s="260"/>
      <c r="AC5140" s="260"/>
      <c r="AD5140" s="259"/>
      <c r="AE5140" s="259"/>
      <c r="AF5140" s="260"/>
      <c r="AG5140" s="321"/>
    </row>
    <row r="5141" spans="13:33" hidden="1">
      <c r="M5141"/>
      <c r="N5141" s="451"/>
      <c r="O5141" s="455"/>
      <c r="P5141" s="287"/>
      <c r="Q5141" s="320"/>
      <c r="R5141" s="260"/>
      <c r="S5141" s="260"/>
      <c r="T5141" s="260"/>
      <c r="U5141" s="260"/>
      <c r="V5141" s="260"/>
      <c r="W5141" s="260"/>
      <c r="X5141" s="259"/>
      <c r="Y5141" s="259"/>
      <c r="Z5141" s="260"/>
      <c r="AA5141" s="260"/>
      <c r="AB5141" s="260"/>
      <c r="AC5141" s="260"/>
      <c r="AD5141" s="259"/>
      <c r="AE5141" s="259"/>
      <c r="AF5141" s="260"/>
      <c r="AG5141" s="321"/>
    </row>
    <row r="5142" spans="13:33" hidden="1">
      <c r="M5142"/>
      <c r="N5142" s="451"/>
      <c r="O5142" s="455"/>
      <c r="P5142" s="287"/>
      <c r="Q5142" s="320"/>
      <c r="R5142" s="260"/>
      <c r="S5142" s="260"/>
      <c r="T5142" s="260"/>
      <c r="U5142" s="260"/>
      <c r="V5142" s="260"/>
      <c r="W5142" s="260"/>
      <c r="X5142" s="259"/>
      <c r="Y5142" s="259"/>
      <c r="Z5142" s="260"/>
      <c r="AA5142" s="260"/>
      <c r="AB5142" s="260"/>
      <c r="AC5142" s="260"/>
      <c r="AD5142" s="259"/>
      <c r="AE5142" s="259"/>
      <c r="AF5142" s="260"/>
      <c r="AG5142" s="321"/>
    </row>
    <row r="5143" spans="13:33">
      <c r="M5143"/>
      <c r="N5143" s="451" t="s">
        <v>80</v>
      </c>
      <c r="O5143" s="455" t="s">
        <v>81</v>
      </c>
      <c r="P5143" s="305"/>
      <c r="Q5143" s="320"/>
      <c r="R5143" s="260"/>
      <c r="S5143" s="260"/>
      <c r="T5143" s="260"/>
      <c r="U5143" s="260"/>
      <c r="V5143" s="260"/>
      <c r="W5143" s="260"/>
      <c r="X5143" s="259"/>
      <c r="Y5143" s="259"/>
      <c r="Z5143" s="262"/>
      <c r="AA5143" s="260"/>
      <c r="AB5143" s="260"/>
      <c r="AC5143" s="260"/>
      <c r="AD5143" s="259"/>
      <c r="AE5143" s="259"/>
      <c r="AF5143" s="262"/>
      <c r="AG5143" s="321"/>
    </row>
    <row r="5144" spans="13:33" hidden="1">
      <c r="M5144"/>
      <c r="N5144" s="451"/>
      <c r="O5144" s="455"/>
      <c r="P5144" s="287"/>
      <c r="Q5144" s="320"/>
      <c r="R5144" s="260"/>
      <c r="S5144" s="260"/>
      <c r="T5144" s="260"/>
      <c r="U5144" s="260"/>
      <c r="V5144" s="260"/>
      <c r="W5144" s="260"/>
      <c r="X5144" s="259"/>
      <c r="Y5144" s="259"/>
      <c r="Z5144" s="260"/>
      <c r="AA5144" s="260"/>
      <c r="AB5144" s="260"/>
      <c r="AC5144" s="260"/>
      <c r="AD5144" s="259"/>
      <c r="AE5144" s="259"/>
      <c r="AF5144" s="260"/>
      <c r="AG5144" s="321"/>
    </row>
    <row r="5145" spans="13:33" hidden="1">
      <c r="M5145"/>
      <c r="N5145" s="451"/>
      <c r="O5145" s="455"/>
      <c r="P5145" s="287"/>
      <c r="Q5145" s="320"/>
      <c r="R5145" s="260"/>
      <c r="S5145" s="260"/>
      <c r="T5145" s="260"/>
      <c r="U5145" s="260"/>
      <c r="V5145" s="260"/>
      <c r="W5145" s="260"/>
      <c r="X5145" s="259"/>
      <c r="Y5145" s="259"/>
      <c r="Z5145" s="260"/>
      <c r="AA5145" s="260"/>
      <c r="AB5145" s="260"/>
      <c r="AC5145" s="260"/>
      <c r="AD5145" s="259"/>
      <c r="AE5145" s="259"/>
      <c r="AF5145" s="260"/>
      <c r="AG5145" s="321"/>
    </row>
    <row r="5146" spans="13:33" hidden="1">
      <c r="M5146"/>
      <c r="N5146" s="451"/>
      <c r="O5146" s="455"/>
      <c r="P5146" s="287"/>
      <c r="Q5146" s="320"/>
      <c r="R5146" s="260"/>
      <c r="S5146" s="260"/>
      <c r="T5146" s="260"/>
      <c r="U5146" s="260"/>
      <c r="V5146" s="260"/>
      <c r="W5146" s="260"/>
      <c r="X5146" s="259"/>
      <c r="Y5146" s="259"/>
      <c r="Z5146" s="260"/>
      <c r="AA5146" s="260"/>
      <c r="AB5146" s="260"/>
      <c r="AC5146" s="260"/>
      <c r="AD5146" s="259"/>
      <c r="AE5146" s="259"/>
      <c r="AF5146" s="260"/>
      <c r="AG5146" s="321"/>
    </row>
    <row r="5147" spans="13:33" hidden="1">
      <c r="M5147"/>
      <c r="N5147" s="451"/>
      <c r="O5147" s="455"/>
      <c r="P5147" s="287"/>
      <c r="Q5147" s="320"/>
      <c r="R5147" s="260"/>
      <c r="S5147" s="260"/>
      <c r="T5147" s="260"/>
      <c r="U5147" s="260"/>
      <c r="V5147" s="260"/>
      <c r="W5147" s="260"/>
      <c r="X5147" s="259"/>
      <c r="Y5147" s="259"/>
      <c r="Z5147" s="260"/>
      <c r="AA5147" s="260"/>
      <c r="AB5147" s="260"/>
      <c r="AC5147" s="260"/>
      <c r="AD5147" s="259"/>
      <c r="AE5147" s="259"/>
      <c r="AF5147" s="260"/>
      <c r="AG5147" s="321"/>
    </row>
    <row r="5148" spans="13:33" hidden="1">
      <c r="M5148"/>
      <c r="N5148" s="451"/>
      <c r="O5148" s="455"/>
      <c r="P5148" s="287"/>
      <c r="Q5148" s="320"/>
      <c r="R5148" s="260"/>
      <c r="S5148" s="260"/>
      <c r="T5148" s="260"/>
      <c r="U5148" s="260"/>
      <c r="V5148" s="260"/>
      <c r="W5148" s="260"/>
      <c r="X5148" s="259"/>
      <c r="Y5148" s="259"/>
      <c r="Z5148" s="260"/>
      <c r="AA5148" s="260"/>
      <c r="AB5148" s="260"/>
      <c r="AC5148" s="260"/>
      <c r="AD5148" s="259"/>
      <c r="AE5148" s="259"/>
      <c r="AF5148" s="260"/>
      <c r="AG5148" s="321"/>
    </row>
    <row r="5149" spans="13:33" hidden="1">
      <c r="M5149"/>
      <c r="N5149" s="451"/>
      <c r="O5149" s="455"/>
      <c r="P5149" s="287"/>
      <c r="Q5149" s="320"/>
      <c r="R5149" s="260"/>
      <c r="S5149" s="260"/>
      <c r="T5149" s="260"/>
      <c r="U5149" s="260"/>
      <c r="V5149" s="260"/>
      <c r="W5149" s="260"/>
      <c r="X5149" s="259"/>
      <c r="Y5149" s="259"/>
      <c r="Z5149" s="260"/>
      <c r="AA5149" s="260"/>
      <c r="AB5149" s="260"/>
      <c r="AC5149" s="260"/>
      <c r="AD5149" s="259"/>
      <c r="AE5149" s="259"/>
      <c r="AF5149" s="260"/>
      <c r="AG5149" s="321"/>
    </row>
    <row r="5150" spans="13:33" hidden="1">
      <c r="M5150"/>
      <c r="N5150" s="451"/>
      <c r="O5150" s="455"/>
      <c r="P5150" s="287"/>
      <c r="Q5150" s="320"/>
      <c r="R5150" s="260"/>
      <c r="S5150" s="260"/>
      <c r="T5150" s="260"/>
      <c r="U5150" s="260"/>
      <c r="V5150" s="260"/>
      <c r="W5150" s="260"/>
      <c r="X5150" s="259"/>
      <c r="Y5150" s="259"/>
      <c r="Z5150" s="260"/>
      <c r="AA5150" s="260"/>
      <c r="AB5150" s="260"/>
      <c r="AC5150" s="260"/>
      <c r="AD5150" s="259"/>
      <c r="AE5150" s="259"/>
      <c r="AF5150" s="260"/>
      <c r="AG5150" s="321"/>
    </row>
    <row r="5151" spans="13:33">
      <c r="M5151"/>
      <c r="N5151" s="451" t="s">
        <v>82</v>
      </c>
      <c r="O5151" s="455" t="s">
        <v>83</v>
      </c>
      <c r="P5151" s="305"/>
      <c r="Q5151" s="320"/>
      <c r="R5151" s="260"/>
      <c r="S5151" s="260"/>
      <c r="T5151" s="260"/>
      <c r="U5151" s="260"/>
      <c r="V5151" s="260"/>
      <c r="W5151" s="260"/>
      <c r="X5151" s="259"/>
      <c r="Y5151" s="259"/>
      <c r="Z5151" s="262"/>
      <c r="AA5151" s="260"/>
      <c r="AB5151" s="260"/>
      <c r="AC5151" s="260"/>
      <c r="AD5151" s="259"/>
      <c r="AE5151" s="259"/>
      <c r="AF5151" s="262"/>
      <c r="AG5151" s="321"/>
    </row>
    <row r="5152" spans="13:33">
      <c r="M5152"/>
      <c r="N5152" s="451" t="s">
        <v>84</v>
      </c>
      <c r="O5152" s="457" t="s">
        <v>85</v>
      </c>
      <c r="P5152" s="305"/>
      <c r="Q5152" s="320"/>
      <c r="R5152" s="260"/>
      <c r="S5152" s="260"/>
      <c r="T5152" s="260"/>
      <c r="U5152" s="260"/>
      <c r="V5152" s="260"/>
      <c r="W5152" s="260"/>
      <c r="X5152" s="259"/>
      <c r="Y5152" s="259"/>
      <c r="Z5152" s="262"/>
      <c r="AA5152" s="260"/>
      <c r="AB5152" s="260"/>
      <c r="AC5152" s="260"/>
      <c r="AD5152" s="259"/>
      <c r="AE5152" s="259"/>
      <c r="AF5152" s="262"/>
      <c r="AG5152" s="321"/>
    </row>
    <row r="5153" spans="13:33">
      <c r="M5153"/>
      <c r="N5153" s="451" t="s">
        <v>86</v>
      </c>
      <c r="O5153" s="457" t="s">
        <v>87</v>
      </c>
      <c r="P5153" s="305"/>
      <c r="Q5153" s="320"/>
      <c r="R5153" s="260"/>
      <c r="S5153" s="260"/>
      <c r="T5153" s="260"/>
      <c r="U5153" s="260"/>
      <c r="V5153" s="260"/>
      <c r="W5153" s="260"/>
      <c r="X5153" s="259"/>
      <c r="Y5153" s="259"/>
      <c r="Z5153" s="262"/>
      <c r="AA5153" s="260"/>
      <c r="AB5153" s="260"/>
      <c r="AC5153" s="260"/>
      <c r="AD5153" s="259"/>
      <c r="AE5153" s="259"/>
      <c r="AF5153" s="262"/>
      <c r="AG5153" s="321"/>
    </row>
    <row r="5154" spans="13:33">
      <c r="M5154"/>
      <c r="N5154" s="451" t="s">
        <v>88</v>
      </c>
      <c r="O5154" s="457" t="s">
        <v>89</v>
      </c>
      <c r="P5154" s="305"/>
      <c r="Q5154" s="320"/>
      <c r="R5154" s="260"/>
      <c r="S5154" s="260"/>
      <c r="T5154" s="260"/>
      <c r="U5154" s="260"/>
      <c r="V5154" s="260"/>
      <c r="W5154" s="260"/>
      <c r="X5154" s="259"/>
      <c r="Y5154" s="259"/>
      <c r="Z5154" s="262"/>
      <c r="AA5154" s="260"/>
      <c r="AB5154" s="260"/>
      <c r="AC5154" s="260"/>
      <c r="AD5154" s="259"/>
      <c r="AE5154" s="259"/>
      <c r="AF5154" s="262"/>
      <c r="AG5154" s="321"/>
    </row>
    <row r="5155" spans="13:33">
      <c r="M5155"/>
      <c r="N5155" s="451" t="s">
        <v>90</v>
      </c>
      <c r="O5155" s="457" t="s">
        <v>91</v>
      </c>
      <c r="P5155" s="305"/>
      <c r="Q5155" s="320"/>
      <c r="R5155" s="260"/>
      <c r="S5155" s="260"/>
      <c r="T5155" s="260"/>
      <c r="U5155" s="260"/>
      <c r="V5155" s="260"/>
      <c r="W5155" s="260"/>
      <c r="X5155" s="259"/>
      <c r="Y5155" s="259"/>
      <c r="Z5155" s="262"/>
      <c r="AA5155" s="260"/>
      <c r="AB5155" s="260"/>
      <c r="AC5155" s="260"/>
      <c r="AD5155" s="259"/>
      <c r="AE5155" s="259"/>
      <c r="AF5155" s="262"/>
      <c r="AG5155" s="321"/>
    </row>
    <row r="5156" spans="13:33">
      <c r="M5156"/>
      <c r="N5156" s="451" t="s">
        <v>92</v>
      </c>
      <c r="O5156" s="457" t="s">
        <v>93</v>
      </c>
      <c r="P5156" s="305"/>
      <c r="Q5156" s="320"/>
      <c r="R5156" s="260"/>
      <c r="S5156" s="260"/>
      <c r="T5156" s="260"/>
      <c r="U5156" s="260"/>
      <c r="V5156" s="260"/>
      <c r="W5156" s="260"/>
      <c r="X5156" s="259"/>
      <c r="Y5156" s="259"/>
      <c r="Z5156" s="262"/>
      <c r="AA5156" s="260"/>
      <c r="AB5156" s="260"/>
      <c r="AC5156" s="260"/>
      <c r="AD5156" s="259"/>
      <c r="AE5156" s="259"/>
      <c r="AF5156" s="262"/>
      <c r="AG5156" s="321"/>
    </row>
    <row r="5157" spans="13:33">
      <c r="M5157"/>
      <c r="N5157" s="451" t="s">
        <v>94</v>
      </c>
      <c r="O5157" s="457" t="s">
        <v>95</v>
      </c>
      <c r="P5157" s="305"/>
      <c r="Q5157" s="320"/>
      <c r="R5157" s="260"/>
      <c r="S5157" s="260"/>
      <c r="T5157" s="260"/>
      <c r="U5157" s="260"/>
      <c r="V5157" s="260"/>
      <c r="W5157" s="260"/>
      <c r="X5157" s="259"/>
      <c r="Y5157" s="259"/>
      <c r="Z5157" s="262"/>
      <c r="AA5157" s="260"/>
      <c r="AB5157" s="260"/>
      <c r="AC5157" s="260"/>
      <c r="AD5157" s="259"/>
      <c r="AE5157" s="259"/>
      <c r="AF5157" s="262"/>
      <c r="AG5157" s="321"/>
    </row>
    <row r="5158" spans="13:33">
      <c r="M5158"/>
      <c r="N5158" s="451" t="s">
        <v>2975</v>
      </c>
      <c r="O5158" s="457" t="s">
        <v>2976</v>
      </c>
      <c r="P5158" s="305"/>
      <c r="Q5158" s="320"/>
      <c r="R5158" s="260"/>
      <c r="S5158" s="260"/>
      <c r="T5158" s="260"/>
      <c r="U5158" s="260"/>
      <c r="V5158" s="260"/>
      <c r="W5158" s="260"/>
      <c r="X5158" s="259"/>
      <c r="Y5158" s="259"/>
      <c r="Z5158" s="262"/>
      <c r="AA5158" s="260"/>
      <c r="AB5158" s="260"/>
      <c r="AC5158" s="260"/>
      <c r="AD5158" s="259"/>
      <c r="AE5158" s="259"/>
      <c r="AF5158" s="262"/>
      <c r="AG5158" s="321"/>
    </row>
    <row r="5159" spans="13:33">
      <c r="M5159"/>
      <c r="N5159" s="451" t="s">
        <v>2977</v>
      </c>
      <c r="O5159" s="457" t="s">
        <v>2978</v>
      </c>
      <c r="P5159" s="305"/>
      <c r="Q5159" s="320"/>
      <c r="R5159" s="260"/>
      <c r="S5159" s="260"/>
      <c r="T5159" s="260"/>
      <c r="U5159" s="260"/>
      <c r="V5159" s="260"/>
      <c r="W5159" s="260"/>
      <c r="X5159" s="259"/>
      <c r="Y5159" s="259"/>
      <c r="Z5159" s="262"/>
      <c r="AA5159" s="260"/>
      <c r="AB5159" s="260"/>
      <c r="AC5159" s="260"/>
      <c r="AD5159" s="259"/>
      <c r="AE5159" s="259"/>
      <c r="AF5159" s="262"/>
      <c r="AG5159" s="321"/>
    </row>
    <row r="5160" spans="13:33">
      <c r="M5160"/>
      <c r="N5160" s="451" t="s">
        <v>2979</v>
      </c>
      <c r="O5160" s="457" t="s">
        <v>2980</v>
      </c>
      <c r="P5160" s="305"/>
      <c r="Q5160" s="320"/>
      <c r="R5160" s="260"/>
      <c r="S5160" s="260"/>
      <c r="T5160" s="260"/>
      <c r="U5160" s="260"/>
      <c r="V5160" s="260"/>
      <c r="W5160" s="260"/>
      <c r="X5160" s="259"/>
      <c r="Y5160" s="259"/>
      <c r="Z5160" s="262"/>
      <c r="AA5160" s="260"/>
      <c r="AB5160" s="260"/>
      <c r="AC5160" s="260"/>
      <c r="AD5160" s="259"/>
      <c r="AE5160" s="259"/>
      <c r="AF5160" s="262"/>
      <c r="AG5160" s="321"/>
    </row>
    <row r="5161" spans="13:33">
      <c r="M5161"/>
      <c r="N5161" s="451" t="s">
        <v>2981</v>
      </c>
      <c r="O5161" s="457" t="s">
        <v>2982</v>
      </c>
      <c r="P5161" s="305"/>
      <c r="Q5161" s="320"/>
      <c r="R5161" s="260"/>
      <c r="S5161" s="260"/>
      <c r="T5161" s="260"/>
      <c r="U5161" s="260"/>
      <c r="V5161" s="260"/>
      <c r="W5161" s="260"/>
      <c r="X5161" s="259"/>
      <c r="Y5161" s="259"/>
      <c r="Z5161" s="262"/>
      <c r="AA5161" s="260"/>
      <c r="AB5161" s="260"/>
      <c r="AC5161" s="260"/>
      <c r="AD5161" s="259"/>
      <c r="AE5161" s="259"/>
      <c r="AF5161" s="262"/>
      <c r="AG5161" s="321"/>
    </row>
    <row r="5162" spans="13:33">
      <c r="M5162"/>
      <c r="N5162" s="451" t="s">
        <v>2983</v>
      </c>
      <c r="O5162" s="224" t="s">
        <v>2984</v>
      </c>
      <c r="P5162" s="305"/>
      <c r="Q5162" s="320"/>
      <c r="R5162" s="260"/>
      <c r="S5162" s="260"/>
      <c r="T5162" s="260"/>
      <c r="U5162" s="260"/>
      <c r="V5162" s="260"/>
      <c r="W5162" s="260"/>
      <c r="X5162" s="259"/>
      <c r="Y5162" s="259"/>
      <c r="Z5162" s="262"/>
      <c r="AA5162" s="260"/>
      <c r="AB5162" s="260"/>
      <c r="AC5162" s="260"/>
      <c r="AD5162" s="259"/>
      <c r="AE5162" s="259"/>
      <c r="AF5162" s="262"/>
      <c r="AG5162" s="321"/>
    </row>
    <row r="5163" spans="13:33">
      <c r="M5163"/>
      <c r="N5163" s="451" t="s">
        <v>2989</v>
      </c>
      <c r="O5163" s="224" t="s">
        <v>2990</v>
      </c>
      <c r="P5163" s="305"/>
      <c r="Q5163" s="320"/>
      <c r="R5163" s="260"/>
      <c r="S5163" s="260"/>
      <c r="T5163" s="260"/>
      <c r="U5163" s="260"/>
      <c r="V5163" s="260"/>
      <c r="W5163" s="260"/>
      <c r="X5163" s="259"/>
      <c r="Y5163" s="259"/>
      <c r="Z5163" s="262"/>
      <c r="AA5163" s="260"/>
      <c r="AB5163" s="260"/>
      <c r="AC5163" s="260"/>
      <c r="AD5163" s="259"/>
      <c r="AE5163" s="259"/>
      <c r="AF5163" s="262"/>
      <c r="AG5163" s="321"/>
    </row>
    <row r="5164" spans="13:33">
      <c r="M5164"/>
      <c r="N5164" s="451" t="s">
        <v>292</v>
      </c>
      <c r="O5164" s="442" t="s">
        <v>291</v>
      </c>
      <c r="P5164" s="305"/>
      <c r="Q5164" s="320"/>
      <c r="R5164" s="260"/>
      <c r="S5164" s="260"/>
      <c r="T5164" s="260"/>
      <c r="U5164" s="260"/>
      <c r="V5164" s="260"/>
      <c r="W5164" s="260"/>
      <c r="X5164" s="259"/>
      <c r="Y5164" s="259"/>
      <c r="Z5164" s="262"/>
      <c r="AA5164" s="260"/>
      <c r="AB5164" s="260"/>
      <c r="AC5164" s="260"/>
      <c r="AD5164" s="259"/>
      <c r="AE5164" s="259"/>
      <c r="AF5164" s="262"/>
      <c r="AG5164" s="321"/>
    </row>
    <row r="5165" spans="13:33" hidden="1">
      <c r="M5165"/>
      <c r="N5165" s="239"/>
      <c r="O5165" s="225"/>
      <c r="P5165" s="287"/>
      <c r="Q5165" s="320"/>
      <c r="R5165" s="260"/>
      <c r="S5165" s="260"/>
      <c r="T5165" s="260"/>
      <c r="U5165" s="260"/>
      <c r="V5165" s="260"/>
      <c r="W5165" s="260"/>
      <c r="X5165" s="259"/>
      <c r="Y5165" s="259"/>
      <c r="Z5165" s="260"/>
      <c r="AA5165" s="260"/>
      <c r="AB5165" s="260"/>
      <c r="AC5165" s="260"/>
      <c r="AD5165" s="259"/>
      <c r="AE5165" s="259"/>
      <c r="AF5165" s="260"/>
      <c r="AG5165" s="321"/>
    </row>
    <row r="5166" spans="13:33" hidden="1">
      <c r="M5166"/>
      <c r="N5166" s="239"/>
      <c r="O5166" s="225"/>
      <c r="P5166" s="287"/>
      <c r="Q5166" s="320"/>
      <c r="R5166" s="260"/>
      <c r="S5166" s="260"/>
      <c r="T5166" s="260"/>
      <c r="U5166" s="260"/>
      <c r="V5166" s="260"/>
      <c r="W5166" s="260"/>
      <c r="X5166" s="259"/>
      <c r="Y5166" s="259"/>
      <c r="Z5166" s="260"/>
      <c r="AA5166" s="260"/>
      <c r="AB5166" s="260"/>
      <c r="AC5166" s="260"/>
      <c r="AD5166" s="259"/>
      <c r="AE5166" s="259"/>
      <c r="AF5166" s="260"/>
      <c r="AG5166" s="321"/>
    </row>
    <row r="5167" spans="13:33" hidden="1">
      <c r="M5167"/>
      <c r="N5167" s="239"/>
      <c r="O5167" s="225"/>
      <c r="P5167" s="287"/>
      <c r="Q5167" s="320"/>
      <c r="R5167" s="260"/>
      <c r="S5167" s="260"/>
      <c r="T5167" s="260"/>
      <c r="U5167" s="260"/>
      <c r="V5167" s="260"/>
      <c r="W5167" s="260"/>
      <c r="X5167" s="259"/>
      <c r="Y5167" s="259"/>
      <c r="Z5167" s="260"/>
      <c r="AA5167" s="260"/>
      <c r="AB5167" s="260"/>
      <c r="AC5167" s="260"/>
      <c r="AD5167" s="259"/>
      <c r="AE5167" s="259"/>
      <c r="AF5167" s="260"/>
      <c r="AG5167" s="321"/>
    </row>
    <row r="5168" spans="13:33" hidden="1">
      <c r="M5168"/>
      <c r="N5168" s="239"/>
      <c r="O5168" s="225"/>
      <c r="P5168" s="287"/>
      <c r="Q5168" s="320"/>
      <c r="R5168" s="260"/>
      <c r="S5168" s="260"/>
      <c r="T5168" s="260"/>
      <c r="U5168" s="260"/>
      <c r="V5168" s="260"/>
      <c r="W5168" s="260"/>
      <c r="X5168" s="259"/>
      <c r="Y5168" s="259"/>
      <c r="Z5168" s="260"/>
      <c r="AA5168" s="260"/>
      <c r="AB5168" s="260"/>
      <c r="AC5168" s="260"/>
      <c r="AD5168" s="259"/>
      <c r="AE5168" s="259"/>
      <c r="AF5168" s="260"/>
      <c r="AG5168" s="321"/>
    </row>
    <row r="5169" spans="13:33" hidden="1">
      <c r="M5169"/>
      <c r="N5169" s="239"/>
      <c r="O5169" s="225"/>
      <c r="P5169" s="287"/>
      <c r="Q5169" s="320"/>
      <c r="R5169" s="260"/>
      <c r="S5169" s="260"/>
      <c r="T5169" s="260"/>
      <c r="U5169" s="260"/>
      <c r="V5169" s="260"/>
      <c r="W5169" s="260"/>
      <c r="X5169" s="259"/>
      <c r="Y5169" s="259"/>
      <c r="Z5169" s="260"/>
      <c r="AA5169" s="260"/>
      <c r="AB5169" s="260"/>
      <c r="AC5169" s="260"/>
      <c r="AD5169" s="259"/>
      <c r="AE5169" s="259"/>
      <c r="AF5169" s="260"/>
      <c r="AG5169" s="321"/>
    </row>
    <row r="5170" spans="13:33" hidden="1">
      <c r="M5170"/>
      <c r="N5170" s="239"/>
      <c r="O5170" s="225"/>
      <c r="P5170" s="287"/>
      <c r="Q5170" s="320"/>
      <c r="R5170" s="260"/>
      <c r="S5170" s="260"/>
      <c r="T5170" s="260"/>
      <c r="U5170" s="260"/>
      <c r="V5170" s="260"/>
      <c r="W5170" s="260"/>
      <c r="X5170" s="259"/>
      <c r="Y5170" s="259"/>
      <c r="Z5170" s="260"/>
      <c r="AA5170" s="260"/>
      <c r="AB5170" s="260"/>
      <c r="AC5170" s="260"/>
      <c r="AD5170" s="259"/>
      <c r="AE5170" s="259"/>
      <c r="AF5170" s="260"/>
      <c r="AG5170" s="321"/>
    </row>
    <row r="5171" spans="13:33" hidden="1">
      <c r="M5171"/>
      <c r="N5171" s="239"/>
      <c r="O5171" s="225"/>
      <c r="P5171" s="287"/>
      <c r="Q5171" s="320"/>
      <c r="R5171" s="260"/>
      <c r="S5171" s="260"/>
      <c r="T5171" s="260"/>
      <c r="U5171" s="260"/>
      <c r="V5171" s="260"/>
      <c r="W5171" s="260"/>
      <c r="X5171" s="259"/>
      <c r="Y5171" s="259"/>
      <c r="Z5171" s="260"/>
      <c r="AA5171" s="260"/>
      <c r="AB5171" s="260"/>
      <c r="AC5171" s="260"/>
      <c r="AD5171" s="259"/>
      <c r="AE5171" s="259"/>
      <c r="AF5171" s="260"/>
      <c r="AG5171" s="321"/>
    </row>
    <row r="5172" spans="13:33" hidden="1">
      <c r="M5172"/>
      <c r="N5172" s="239"/>
      <c r="O5172" s="225"/>
      <c r="P5172" s="287"/>
      <c r="Q5172" s="320"/>
      <c r="R5172" s="260"/>
      <c r="S5172" s="260"/>
      <c r="T5172" s="260"/>
      <c r="U5172" s="260"/>
      <c r="V5172" s="260"/>
      <c r="W5172" s="260"/>
      <c r="X5172" s="259"/>
      <c r="Y5172" s="259"/>
      <c r="Z5172" s="260"/>
      <c r="AA5172" s="260"/>
      <c r="AB5172" s="260"/>
      <c r="AC5172" s="260"/>
      <c r="AD5172" s="259"/>
      <c r="AE5172" s="259"/>
      <c r="AF5172" s="260"/>
      <c r="AG5172" s="321"/>
    </row>
    <row r="5173" spans="13:33" hidden="1">
      <c r="M5173"/>
      <c r="N5173" s="239"/>
      <c r="O5173" s="225"/>
      <c r="P5173" s="287"/>
      <c r="Q5173" s="320"/>
      <c r="R5173" s="260"/>
      <c r="S5173" s="260"/>
      <c r="T5173" s="260"/>
      <c r="U5173" s="260"/>
      <c r="V5173" s="260"/>
      <c r="W5173" s="260"/>
      <c r="X5173" s="259"/>
      <c r="Y5173" s="259"/>
      <c r="Z5173" s="260"/>
      <c r="AA5173" s="260"/>
      <c r="AB5173" s="260"/>
      <c r="AC5173" s="260"/>
      <c r="AD5173" s="259"/>
      <c r="AE5173" s="259"/>
      <c r="AF5173" s="260"/>
      <c r="AG5173" s="321"/>
    </row>
    <row r="5174" spans="13:33" hidden="1">
      <c r="M5174"/>
      <c r="N5174" s="239"/>
      <c r="O5174" s="225"/>
      <c r="P5174" s="287"/>
      <c r="Q5174" s="320"/>
      <c r="R5174" s="260"/>
      <c r="S5174" s="260"/>
      <c r="T5174" s="260"/>
      <c r="U5174" s="260"/>
      <c r="V5174" s="260"/>
      <c r="W5174" s="260"/>
      <c r="X5174" s="259"/>
      <c r="Y5174" s="259"/>
      <c r="Z5174" s="260"/>
      <c r="AA5174" s="260"/>
      <c r="AB5174" s="260"/>
      <c r="AC5174" s="260"/>
      <c r="AD5174" s="259"/>
      <c r="AE5174" s="259"/>
      <c r="AF5174" s="260"/>
      <c r="AG5174" s="321"/>
    </row>
    <row r="5175" spans="13:33" hidden="1">
      <c r="M5175"/>
      <c r="N5175" s="239"/>
      <c r="O5175" s="225"/>
      <c r="P5175" s="287"/>
      <c r="Q5175" s="320"/>
      <c r="R5175" s="260"/>
      <c r="S5175" s="260"/>
      <c r="T5175" s="260"/>
      <c r="U5175" s="260"/>
      <c r="V5175" s="260"/>
      <c r="W5175" s="260"/>
      <c r="X5175" s="259"/>
      <c r="Y5175" s="259"/>
      <c r="Z5175" s="260"/>
      <c r="AA5175" s="260"/>
      <c r="AB5175" s="260"/>
      <c r="AC5175" s="260"/>
      <c r="AD5175" s="259"/>
      <c r="AE5175" s="259"/>
      <c r="AF5175" s="260"/>
      <c r="AG5175" s="321"/>
    </row>
    <row r="5176" spans="13:33" hidden="1">
      <c r="M5176"/>
      <c r="N5176" s="239"/>
      <c r="O5176" s="225"/>
      <c r="P5176" s="287"/>
      <c r="Q5176" s="320"/>
      <c r="R5176" s="260"/>
      <c r="S5176" s="260"/>
      <c r="T5176" s="260"/>
      <c r="U5176" s="260"/>
      <c r="V5176" s="260"/>
      <c r="W5176" s="260"/>
      <c r="X5176" s="259"/>
      <c r="Y5176" s="259"/>
      <c r="Z5176" s="260"/>
      <c r="AA5176" s="260"/>
      <c r="AB5176" s="260"/>
      <c r="AC5176" s="260"/>
      <c r="AD5176" s="259"/>
      <c r="AE5176" s="259"/>
      <c r="AF5176" s="260"/>
      <c r="AG5176" s="321"/>
    </row>
    <row r="5177" spans="13:33" hidden="1">
      <c r="M5177"/>
      <c r="N5177" s="239"/>
      <c r="O5177" s="225"/>
      <c r="P5177" s="287"/>
      <c r="Q5177" s="320"/>
      <c r="R5177" s="260"/>
      <c r="S5177" s="260"/>
      <c r="T5177" s="260"/>
      <c r="U5177" s="260"/>
      <c r="V5177" s="260"/>
      <c r="W5177" s="260"/>
      <c r="X5177" s="259"/>
      <c r="Y5177" s="259"/>
      <c r="Z5177" s="260"/>
      <c r="AA5177" s="260"/>
      <c r="AB5177" s="260"/>
      <c r="AC5177" s="260"/>
      <c r="AD5177" s="259"/>
      <c r="AE5177" s="259"/>
      <c r="AF5177" s="260"/>
      <c r="AG5177" s="321"/>
    </row>
    <row r="5178" spans="13:33" hidden="1">
      <c r="M5178"/>
      <c r="N5178" s="239"/>
      <c r="O5178" s="225"/>
      <c r="P5178" s="287"/>
      <c r="Q5178" s="320"/>
      <c r="R5178" s="260"/>
      <c r="S5178" s="260"/>
      <c r="T5178" s="260"/>
      <c r="U5178" s="260"/>
      <c r="V5178" s="260"/>
      <c r="W5178" s="260"/>
      <c r="X5178" s="259"/>
      <c r="Y5178" s="259"/>
      <c r="Z5178" s="260"/>
      <c r="AA5178" s="260"/>
      <c r="AB5178" s="260"/>
      <c r="AC5178" s="260"/>
      <c r="AD5178" s="259"/>
      <c r="AE5178" s="259"/>
      <c r="AF5178" s="260"/>
      <c r="AG5178" s="321"/>
    </row>
    <row r="5179" spans="13:33" hidden="1">
      <c r="M5179"/>
      <c r="N5179" s="239"/>
      <c r="O5179" s="225"/>
      <c r="P5179" s="287"/>
      <c r="Q5179" s="320"/>
      <c r="R5179" s="260"/>
      <c r="S5179" s="260"/>
      <c r="T5179" s="260"/>
      <c r="U5179" s="260"/>
      <c r="V5179" s="260"/>
      <c r="W5179" s="260"/>
      <c r="X5179" s="259"/>
      <c r="Y5179" s="259"/>
      <c r="Z5179" s="260"/>
      <c r="AA5179" s="260"/>
      <c r="AB5179" s="260"/>
      <c r="AC5179" s="260"/>
      <c r="AD5179" s="259"/>
      <c r="AE5179" s="259"/>
      <c r="AF5179" s="260"/>
      <c r="AG5179" s="321"/>
    </row>
    <row r="5180" spans="13:33" hidden="1">
      <c r="M5180"/>
      <c r="N5180" s="239"/>
      <c r="O5180" s="225"/>
      <c r="P5180" s="287"/>
      <c r="Q5180" s="320"/>
      <c r="R5180" s="260"/>
      <c r="S5180" s="260"/>
      <c r="T5180" s="260"/>
      <c r="U5180" s="260"/>
      <c r="V5180" s="260"/>
      <c r="W5180" s="260"/>
      <c r="X5180" s="259"/>
      <c r="Y5180" s="259"/>
      <c r="Z5180" s="260"/>
      <c r="AA5180" s="260"/>
      <c r="AB5180" s="260"/>
      <c r="AC5180" s="260"/>
      <c r="AD5180" s="259"/>
      <c r="AE5180" s="259"/>
      <c r="AF5180" s="260"/>
      <c r="AG5180" s="321"/>
    </row>
    <row r="5181" spans="13:33" hidden="1">
      <c r="M5181"/>
      <c r="N5181" s="239"/>
      <c r="O5181" s="225"/>
      <c r="P5181" s="287"/>
      <c r="Q5181" s="320"/>
      <c r="R5181" s="260"/>
      <c r="S5181" s="260"/>
      <c r="T5181" s="260"/>
      <c r="U5181" s="260"/>
      <c r="V5181" s="260"/>
      <c r="W5181" s="260"/>
      <c r="X5181" s="259"/>
      <c r="Y5181" s="259"/>
      <c r="Z5181" s="260"/>
      <c r="AA5181" s="260"/>
      <c r="AB5181" s="260"/>
      <c r="AC5181" s="260"/>
      <c r="AD5181" s="259"/>
      <c r="AE5181" s="259"/>
      <c r="AF5181" s="260"/>
      <c r="AG5181" s="321"/>
    </row>
    <row r="5182" spans="13:33" hidden="1">
      <c r="M5182"/>
      <c r="N5182" s="239"/>
      <c r="O5182" s="225"/>
      <c r="P5182" s="287"/>
      <c r="Q5182" s="320"/>
      <c r="R5182" s="260"/>
      <c r="S5182" s="260"/>
      <c r="T5182" s="260"/>
      <c r="U5182" s="260"/>
      <c r="V5182" s="260"/>
      <c r="W5182" s="260"/>
      <c r="X5182" s="259"/>
      <c r="Y5182" s="259"/>
      <c r="Z5182" s="260"/>
      <c r="AA5182" s="260"/>
      <c r="AB5182" s="260"/>
      <c r="AC5182" s="260"/>
      <c r="AD5182" s="259"/>
      <c r="AE5182" s="259"/>
      <c r="AF5182" s="260"/>
      <c r="AG5182" s="321"/>
    </row>
    <row r="5183" spans="13:33" hidden="1">
      <c r="M5183"/>
      <c r="N5183" s="239"/>
      <c r="O5183" s="225"/>
      <c r="P5183" s="287"/>
      <c r="Q5183" s="320"/>
      <c r="R5183" s="260"/>
      <c r="S5183" s="260"/>
      <c r="T5183" s="260"/>
      <c r="U5183" s="260"/>
      <c r="V5183" s="260"/>
      <c r="W5183" s="260"/>
      <c r="X5183" s="259"/>
      <c r="Y5183" s="259"/>
      <c r="Z5183" s="260"/>
      <c r="AA5183" s="260"/>
      <c r="AB5183" s="260"/>
      <c r="AC5183" s="260"/>
      <c r="AD5183" s="259"/>
      <c r="AE5183" s="259"/>
      <c r="AF5183" s="260"/>
      <c r="AG5183" s="321"/>
    </row>
    <row r="5184" spans="13:33" hidden="1">
      <c r="M5184"/>
      <c r="N5184" s="239"/>
      <c r="O5184" s="225"/>
      <c r="P5184" s="287"/>
      <c r="Q5184" s="320"/>
      <c r="R5184" s="260"/>
      <c r="S5184" s="260"/>
      <c r="T5184" s="260"/>
      <c r="U5184" s="260"/>
      <c r="V5184" s="260"/>
      <c r="W5184" s="260"/>
      <c r="X5184" s="259"/>
      <c r="Y5184" s="259"/>
      <c r="Z5184" s="260"/>
      <c r="AA5184" s="260"/>
      <c r="AB5184" s="260"/>
      <c r="AC5184" s="260"/>
      <c r="AD5184" s="259"/>
      <c r="AE5184" s="259"/>
      <c r="AF5184" s="260"/>
      <c r="AG5184" s="321"/>
    </row>
    <row r="5185" spans="13:33" hidden="1">
      <c r="M5185"/>
      <c r="N5185" s="239"/>
      <c r="O5185" s="225"/>
      <c r="P5185" s="287"/>
      <c r="Q5185" s="320"/>
      <c r="R5185" s="260"/>
      <c r="S5185" s="260"/>
      <c r="T5185" s="260"/>
      <c r="U5185" s="260"/>
      <c r="V5185" s="260"/>
      <c r="W5185" s="260"/>
      <c r="X5185" s="259"/>
      <c r="Y5185" s="259"/>
      <c r="Z5185" s="260"/>
      <c r="AA5185" s="260"/>
      <c r="AB5185" s="260"/>
      <c r="AC5185" s="260"/>
      <c r="AD5185" s="259"/>
      <c r="AE5185" s="259"/>
      <c r="AF5185" s="260"/>
      <c r="AG5185" s="321"/>
    </row>
    <row r="5186" spans="13:33" hidden="1">
      <c r="M5186"/>
      <c r="N5186" s="239"/>
      <c r="O5186" s="225"/>
      <c r="P5186" s="287"/>
      <c r="Q5186" s="320"/>
      <c r="R5186" s="260"/>
      <c r="S5186" s="260"/>
      <c r="T5186" s="260"/>
      <c r="U5186" s="260"/>
      <c r="V5186" s="260"/>
      <c r="W5186" s="260"/>
      <c r="X5186" s="259"/>
      <c r="Y5186" s="259"/>
      <c r="Z5186" s="260"/>
      <c r="AA5186" s="260"/>
      <c r="AB5186" s="260"/>
      <c r="AC5186" s="260"/>
      <c r="AD5186" s="259"/>
      <c r="AE5186" s="259"/>
      <c r="AF5186" s="260"/>
      <c r="AG5186" s="321"/>
    </row>
    <row r="5187" spans="13:33" hidden="1">
      <c r="M5187"/>
      <c r="N5187" s="239"/>
      <c r="O5187" s="225"/>
      <c r="P5187" s="287"/>
      <c r="Q5187" s="320"/>
      <c r="R5187" s="260"/>
      <c r="S5187" s="260"/>
      <c r="T5187" s="260"/>
      <c r="U5187" s="260"/>
      <c r="V5187" s="260"/>
      <c r="W5187" s="260"/>
      <c r="X5187" s="259"/>
      <c r="Y5187" s="259"/>
      <c r="Z5187" s="260"/>
      <c r="AA5187" s="260"/>
      <c r="AB5187" s="260"/>
      <c r="AC5187" s="260"/>
      <c r="AD5187" s="259"/>
      <c r="AE5187" s="259"/>
      <c r="AF5187" s="260"/>
      <c r="AG5187" s="321"/>
    </row>
    <row r="5188" spans="13:33" hidden="1">
      <c r="M5188"/>
      <c r="N5188" s="239"/>
      <c r="O5188" s="225"/>
      <c r="P5188" s="287"/>
      <c r="Q5188" s="320"/>
      <c r="R5188" s="260"/>
      <c r="S5188" s="260"/>
      <c r="T5188" s="260"/>
      <c r="U5188" s="260"/>
      <c r="V5188" s="260"/>
      <c r="W5188" s="260"/>
      <c r="X5188" s="259"/>
      <c r="Y5188" s="259"/>
      <c r="Z5188" s="260"/>
      <c r="AA5188" s="260"/>
      <c r="AB5188" s="260"/>
      <c r="AC5188" s="260"/>
      <c r="AD5188" s="259"/>
      <c r="AE5188" s="259"/>
      <c r="AF5188" s="260"/>
      <c r="AG5188" s="321"/>
    </row>
    <row r="5189" spans="13:33" hidden="1">
      <c r="M5189"/>
      <c r="N5189" s="239"/>
      <c r="O5189" s="225"/>
      <c r="P5189" s="287"/>
      <c r="Q5189" s="320"/>
      <c r="R5189" s="260"/>
      <c r="S5189" s="260"/>
      <c r="T5189" s="260"/>
      <c r="U5189" s="260"/>
      <c r="V5189" s="260"/>
      <c r="W5189" s="260"/>
      <c r="X5189" s="259"/>
      <c r="Y5189" s="259"/>
      <c r="Z5189" s="260"/>
      <c r="AA5189" s="260"/>
      <c r="AB5189" s="260"/>
      <c r="AC5189" s="260"/>
      <c r="AD5189" s="259"/>
      <c r="AE5189" s="259"/>
      <c r="AF5189" s="260"/>
      <c r="AG5189" s="321"/>
    </row>
    <row r="5190" spans="13:33" hidden="1">
      <c r="M5190"/>
      <c r="N5190" s="239"/>
      <c r="O5190" s="225"/>
      <c r="P5190" s="287"/>
      <c r="Q5190" s="320"/>
      <c r="R5190" s="260"/>
      <c r="S5190" s="260"/>
      <c r="T5190" s="260"/>
      <c r="U5190" s="260"/>
      <c r="V5190" s="260"/>
      <c r="W5190" s="260"/>
      <c r="X5190" s="259"/>
      <c r="Y5190" s="259"/>
      <c r="Z5190" s="260"/>
      <c r="AA5190" s="260"/>
      <c r="AB5190" s="260"/>
      <c r="AC5190" s="260"/>
      <c r="AD5190" s="259"/>
      <c r="AE5190" s="259"/>
      <c r="AF5190" s="260"/>
      <c r="AG5190" s="321"/>
    </row>
    <row r="5191" spans="13:33" hidden="1">
      <c r="M5191"/>
      <c r="N5191" s="239"/>
      <c r="O5191" s="225"/>
      <c r="P5191" s="287"/>
      <c r="Q5191" s="320"/>
      <c r="R5191" s="260"/>
      <c r="S5191" s="260"/>
      <c r="T5191" s="260"/>
      <c r="U5191" s="260"/>
      <c r="V5191" s="260"/>
      <c r="W5191" s="260"/>
      <c r="X5191" s="259"/>
      <c r="Y5191" s="259"/>
      <c r="Z5191" s="260"/>
      <c r="AA5191" s="260"/>
      <c r="AB5191" s="260"/>
      <c r="AC5191" s="260"/>
      <c r="AD5191" s="259"/>
      <c r="AE5191" s="259"/>
      <c r="AF5191" s="260"/>
      <c r="AG5191" s="321"/>
    </row>
    <row r="5192" spans="13:33" hidden="1">
      <c r="M5192"/>
      <c r="N5192" s="239"/>
      <c r="O5192" s="225"/>
      <c r="P5192" s="287"/>
      <c r="Q5192" s="320"/>
      <c r="R5192" s="260"/>
      <c r="S5192" s="260"/>
      <c r="T5192" s="260"/>
      <c r="U5192" s="260"/>
      <c r="V5192" s="260"/>
      <c r="W5192" s="260"/>
      <c r="X5192" s="259"/>
      <c r="Y5192" s="259"/>
      <c r="Z5192" s="260"/>
      <c r="AA5192" s="260"/>
      <c r="AB5192" s="260"/>
      <c r="AC5192" s="260"/>
      <c r="AD5192" s="259"/>
      <c r="AE5192" s="259"/>
      <c r="AF5192" s="260"/>
      <c r="AG5192" s="321"/>
    </row>
    <row r="5193" spans="13:33" hidden="1">
      <c r="M5193"/>
      <c r="N5193" s="239"/>
      <c r="O5193" s="225"/>
      <c r="P5193" s="287"/>
      <c r="Q5193" s="320"/>
      <c r="R5193" s="260"/>
      <c r="S5193" s="260"/>
      <c r="T5193" s="260"/>
      <c r="U5193" s="260"/>
      <c r="V5193" s="260"/>
      <c r="W5193" s="260"/>
      <c r="X5193" s="259"/>
      <c r="Y5193" s="259"/>
      <c r="Z5193" s="260"/>
      <c r="AA5193" s="260"/>
      <c r="AB5193" s="260"/>
      <c r="AC5193" s="260"/>
      <c r="AD5193" s="259"/>
      <c r="AE5193" s="259"/>
      <c r="AF5193" s="260"/>
      <c r="AG5193" s="321"/>
    </row>
    <row r="5194" spans="13:33" hidden="1">
      <c r="M5194"/>
      <c r="N5194" s="239"/>
      <c r="O5194" s="225"/>
      <c r="P5194" s="287"/>
      <c r="Q5194" s="320"/>
      <c r="R5194" s="260"/>
      <c r="S5194" s="260"/>
      <c r="T5194" s="260"/>
      <c r="U5194" s="260"/>
      <c r="V5194" s="260"/>
      <c r="W5194" s="260"/>
      <c r="X5194" s="259"/>
      <c r="Y5194" s="259"/>
      <c r="Z5194" s="260"/>
      <c r="AA5194" s="260"/>
      <c r="AB5194" s="260"/>
      <c r="AC5194" s="260"/>
      <c r="AD5194" s="259"/>
      <c r="AE5194" s="259"/>
      <c r="AF5194" s="260"/>
      <c r="AG5194" s="321"/>
    </row>
    <row r="5195" spans="13:33" hidden="1">
      <c r="M5195"/>
      <c r="N5195" s="239"/>
      <c r="O5195" s="225"/>
      <c r="P5195" s="287"/>
      <c r="Q5195" s="320"/>
      <c r="R5195" s="260"/>
      <c r="S5195" s="260"/>
      <c r="T5195" s="260"/>
      <c r="U5195" s="260"/>
      <c r="V5195" s="260"/>
      <c r="W5195" s="260"/>
      <c r="X5195" s="259"/>
      <c r="Y5195" s="259"/>
      <c r="Z5195" s="260"/>
      <c r="AA5195" s="260"/>
      <c r="AB5195" s="260"/>
      <c r="AC5195" s="260"/>
      <c r="AD5195" s="259"/>
      <c r="AE5195" s="259"/>
      <c r="AF5195" s="260"/>
      <c r="AG5195" s="321"/>
    </row>
    <row r="5196" spans="13:33" hidden="1">
      <c r="M5196"/>
      <c r="N5196" s="239"/>
      <c r="O5196" s="225"/>
      <c r="P5196" s="287"/>
      <c r="Q5196" s="320"/>
      <c r="R5196" s="260"/>
      <c r="S5196" s="260"/>
      <c r="T5196" s="260"/>
      <c r="U5196" s="260"/>
      <c r="V5196" s="260"/>
      <c r="W5196" s="260"/>
      <c r="X5196" s="259"/>
      <c r="Y5196" s="259"/>
      <c r="Z5196" s="260"/>
      <c r="AA5196" s="260"/>
      <c r="AB5196" s="260"/>
      <c r="AC5196" s="260"/>
      <c r="AD5196" s="259"/>
      <c r="AE5196" s="259"/>
      <c r="AF5196" s="260"/>
      <c r="AG5196" s="321"/>
    </row>
    <row r="5197" spans="13:33" hidden="1">
      <c r="M5197"/>
      <c r="N5197" s="239"/>
      <c r="O5197" s="225"/>
      <c r="P5197" s="287"/>
      <c r="Q5197" s="320"/>
      <c r="R5197" s="260"/>
      <c r="S5197" s="260"/>
      <c r="T5197" s="260"/>
      <c r="U5197" s="260"/>
      <c r="V5197" s="260"/>
      <c r="W5197" s="260"/>
      <c r="X5197" s="259"/>
      <c r="Y5197" s="259"/>
      <c r="Z5197" s="260"/>
      <c r="AA5197" s="260"/>
      <c r="AB5197" s="260"/>
      <c r="AC5197" s="260"/>
      <c r="AD5197" s="259"/>
      <c r="AE5197" s="259"/>
      <c r="AF5197" s="260"/>
      <c r="AG5197" s="321"/>
    </row>
    <row r="5198" spans="13:33" hidden="1">
      <c r="M5198"/>
      <c r="N5198" s="239"/>
      <c r="O5198" s="225"/>
      <c r="P5198" s="287"/>
      <c r="Q5198" s="320"/>
      <c r="R5198" s="260"/>
      <c r="S5198" s="260"/>
      <c r="T5198" s="260"/>
      <c r="U5198" s="260"/>
      <c r="V5198" s="260"/>
      <c r="W5198" s="260"/>
      <c r="X5198" s="259"/>
      <c r="Y5198" s="259"/>
      <c r="Z5198" s="260"/>
      <c r="AA5198" s="260"/>
      <c r="AB5198" s="260"/>
      <c r="AC5198" s="260"/>
      <c r="AD5198" s="259"/>
      <c r="AE5198" s="259"/>
      <c r="AF5198" s="260"/>
      <c r="AG5198" s="321"/>
    </row>
    <row r="5199" spans="13:33" hidden="1">
      <c r="M5199"/>
      <c r="N5199" s="239"/>
      <c r="O5199" s="225"/>
      <c r="P5199" s="287"/>
      <c r="Q5199" s="320"/>
      <c r="R5199" s="260"/>
      <c r="S5199" s="260"/>
      <c r="T5199" s="260"/>
      <c r="U5199" s="260"/>
      <c r="V5199" s="260"/>
      <c r="W5199" s="260"/>
      <c r="X5199" s="259"/>
      <c r="Y5199" s="259"/>
      <c r="Z5199" s="260"/>
      <c r="AA5199" s="260"/>
      <c r="AB5199" s="260"/>
      <c r="AC5199" s="260"/>
      <c r="AD5199" s="259"/>
      <c r="AE5199" s="259"/>
      <c r="AF5199" s="260"/>
      <c r="AG5199" s="321"/>
    </row>
    <row r="5200" spans="13:33" hidden="1">
      <c r="M5200"/>
      <c r="N5200" s="239"/>
      <c r="O5200" s="225"/>
      <c r="P5200" s="287"/>
      <c r="Q5200" s="320"/>
      <c r="R5200" s="260"/>
      <c r="S5200" s="260"/>
      <c r="T5200" s="260"/>
      <c r="U5200" s="260"/>
      <c r="V5200" s="260"/>
      <c r="W5200" s="260"/>
      <c r="X5200" s="259"/>
      <c r="Y5200" s="259"/>
      <c r="Z5200" s="260"/>
      <c r="AA5200" s="260"/>
      <c r="AB5200" s="260"/>
      <c r="AC5200" s="260"/>
      <c r="AD5200" s="259"/>
      <c r="AE5200" s="259"/>
      <c r="AF5200" s="260"/>
      <c r="AG5200" s="321"/>
    </row>
    <row r="5201" spans="13:33" hidden="1">
      <c r="M5201"/>
      <c r="N5201" s="239"/>
      <c r="O5201" s="225"/>
      <c r="P5201" s="287"/>
      <c r="Q5201" s="320"/>
      <c r="R5201" s="260"/>
      <c r="S5201" s="260"/>
      <c r="T5201" s="260"/>
      <c r="U5201" s="260"/>
      <c r="V5201" s="260"/>
      <c r="W5201" s="260"/>
      <c r="X5201" s="259"/>
      <c r="Y5201" s="259"/>
      <c r="Z5201" s="260"/>
      <c r="AA5201" s="260"/>
      <c r="AB5201" s="260"/>
      <c r="AC5201" s="260"/>
      <c r="AD5201" s="259"/>
      <c r="AE5201" s="259"/>
      <c r="AF5201" s="260"/>
      <c r="AG5201" s="321"/>
    </row>
    <row r="5202" spans="13:33" hidden="1">
      <c r="M5202"/>
      <c r="N5202" s="239"/>
      <c r="O5202" s="225"/>
      <c r="P5202" s="287"/>
      <c r="Q5202" s="320"/>
      <c r="R5202" s="260"/>
      <c r="S5202" s="260"/>
      <c r="T5202" s="260"/>
      <c r="U5202" s="260"/>
      <c r="V5202" s="260"/>
      <c r="W5202" s="260"/>
      <c r="X5202" s="259"/>
      <c r="Y5202" s="259"/>
      <c r="Z5202" s="260"/>
      <c r="AA5202" s="260"/>
      <c r="AB5202" s="260"/>
      <c r="AC5202" s="260"/>
      <c r="AD5202" s="259"/>
      <c r="AE5202" s="259"/>
      <c r="AF5202" s="260"/>
      <c r="AG5202" s="321"/>
    </row>
    <row r="5203" spans="13:33" hidden="1">
      <c r="M5203"/>
      <c r="N5203" s="239"/>
      <c r="O5203" s="225"/>
      <c r="P5203" s="287"/>
      <c r="Q5203" s="320"/>
      <c r="R5203" s="260"/>
      <c r="S5203" s="260"/>
      <c r="T5203" s="260"/>
      <c r="U5203" s="260"/>
      <c r="V5203" s="260"/>
      <c r="W5203" s="260"/>
      <c r="X5203" s="259"/>
      <c r="Y5203" s="259"/>
      <c r="Z5203" s="260"/>
      <c r="AA5203" s="260"/>
      <c r="AB5203" s="260"/>
      <c r="AC5203" s="260"/>
      <c r="AD5203" s="259"/>
      <c r="AE5203" s="259"/>
      <c r="AF5203" s="260"/>
      <c r="AG5203" s="321"/>
    </row>
    <row r="5204" spans="13:33" hidden="1">
      <c r="M5204"/>
      <c r="N5204" s="239"/>
      <c r="O5204" s="225"/>
      <c r="P5204" s="287"/>
      <c r="Q5204" s="320"/>
      <c r="R5204" s="260"/>
      <c r="S5204" s="260"/>
      <c r="T5204" s="260"/>
      <c r="U5204" s="260"/>
      <c r="V5204" s="260"/>
      <c r="W5204" s="260"/>
      <c r="X5204" s="259"/>
      <c r="Y5204" s="259"/>
      <c r="Z5204" s="260"/>
      <c r="AA5204" s="260"/>
      <c r="AB5204" s="260"/>
      <c r="AC5204" s="260"/>
      <c r="AD5204" s="259"/>
      <c r="AE5204" s="259"/>
      <c r="AF5204" s="260"/>
      <c r="AG5204" s="321"/>
    </row>
    <row r="5205" spans="13:33" hidden="1">
      <c r="M5205"/>
      <c r="N5205" s="239"/>
      <c r="O5205" s="225"/>
      <c r="P5205" s="287"/>
      <c r="Q5205" s="320"/>
      <c r="R5205" s="260"/>
      <c r="S5205" s="260"/>
      <c r="T5205" s="260"/>
      <c r="U5205" s="260"/>
      <c r="V5205" s="260"/>
      <c r="W5205" s="260"/>
      <c r="X5205" s="259"/>
      <c r="Y5205" s="259"/>
      <c r="Z5205" s="260"/>
      <c r="AA5205" s="260"/>
      <c r="AB5205" s="260"/>
      <c r="AC5205" s="260"/>
      <c r="AD5205" s="259"/>
      <c r="AE5205" s="259"/>
      <c r="AF5205" s="260"/>
      <c r="AG5205" s="321"/>
    </row>
    <row r="5206" spans="13:33" hidden="1">
      <c r="M5206"/>
      <c r="N5206" s="239"/>
      <c r="O5206" s="225"/>
      <c r="P5206" s="287"/>
      <c r="Q5206" s="320"/>
      <c r="R5206" s="260"/>
      <c r="S5206" s="260"/>
      <c r="T5206" s="260"/>
      <c r="U5206" s="260"/>
      <c r="V5206" s="260"/>
      <c r="W5206" s="260"/>
      <c r="X5206" s="259"/>
      <c r="Y5206" s="259"/>
      <c r="Z5206" s="260"/>
      <c r="AA5206" s="260"/>
      <c r="AB5206" s="260"/>
      <c r="AC5206" s="260"/>
      <c r="AD5206" s="259"/>
      <c r="AE5206" s="259"/>
      <c r="AF5206" s="260"/>
      <c r="AG5206" s="321"/>
    </row>
    <row r="5207" spans="13:33" hidden="1">
      <c r="M5207"/>
      <c r="N5207" s="239"/>
      <c r="O5207" s="225"/>
      <c r="P5207" s="287"/>
      <c r="Q5207" s="320"/>
      <c r="R5207" s="260"/>
      <c r="S5207" s="260"/>
      <c r="T5207" s="260"/>
      <c r="U5207" s="260"/>
      <c r="V5207" s="260"/>
      <c r="W5207" s="260"/>
      <c r="X5207" s="259"/>
      <c r="Y5207" s="259"/>
      <c r="Z5207" s="260"/>
      <c r="AA5207" s="260"/>
      <c r="AB5207" s="260"/>
      <c r="AC5207" s="260"/>
      <c r="AD5207" s="259"/>
      <c r="AE5207" s="259"/>
      <c r="AF5207" s="260"/>
      <c r="AG5207" s="321"/>
    </row>
    <row r="5208" spans="13:33" hidden="1">
      <c r="M5208"/>
      <c r="N5208" s="239"/>
      <c r="O5208" s="225"/>
      <c r="P5208" s="287"/>
      <c r="Q5208" s="320"/>
      <c r="R5208" s="260"/>
      <c r="S5208" s="260"/>
      <c r="T5208" s="260"/>
      <c r="U5208" s="260"/>
      <c r="V5208" s="260"/>
      <c r="W5208" s="260"/>
      <c r="X5208" s="259"/>
      <c r="Y5208" s="259"/>
      <c r="Z5208" s="260"/>
      <c r="AA5208" s="260"/>
      <c r="AB5208" s="260"/>
      <c r="AC5208" s="260"/>
      <c r="AD5208" s="259"/>
      <c r="AE5208" s="259"/>
      <c r="AF5208" s="260"/>
      <c r="AG5208" s="321"/>
    </row>
    <row r="5209" spans="13:33" hidden="1">
      <c r="M5209"/>
      <c r="N5209" s="239"/>
      <c r="O5209" s="225"/>
      <c r="P5209" s="287"/>
      <c r="Q5209" s="320"/>
      <c r="R5209" s="260"/>
      <c r="S5209" s="260"/>
      <c r="T5209" s="260"/>
      <c r="U5209" s="260"/>
      <c r="V5209" s="260"/>
      <c r="W5209" s="260"/>
      <c r="X5209" s="259"/>
      <c r="Y5209" s="259"/>
      <c r="Z5209" s="260"/>
      <c r="AA5209" s="260"/>
      <c r="AB5209" s="260"/>
      <c r="AC5209" s="260"/>
      <c r="AD5209" s="259"/>
      <c r="AE5209" s="259"/>
      <c r="AF5209" s="260"/>
      <c r="AG5209" s="321"/>
    </row>
    <row r="5210" spans="13:33" hidden="1">
      <c r="M5210"/>
      <c r="N5210" s="239"/>
      <c r="O5210" s="225"/>
      <c r="P5210" s="287"/>
      <c r="Q5210" s="320"/>
      <c r="R5210" s="260"/>
      <c r="S5210" s="260"/>
      <c r="T5210" s="260"/>
      <c r="U5210" s="260"/>
      <c r="V5210" s="260"/>
      <c r="W5210" s="260"/>
      <c r="X5210" s="259"/>
      <c r="Y5210" s="259"/>
      <c r="Z5210" s="260"/>
      <c r="AA5210" s="260"/>
      <c r="AB5210" s="260"/>
      <c r="AC5210" s="260"/>
      <c r="AD5210" s="259"/>
      <c r="AE5210" s="259"/>
      <c r="AF5210" s="260"/>
      <c r="AG5210" s="321"/>
    </row>
    <row r="5211" spans="13:33" hidden="1">
      <c r="M5211"/>
      <c r="N5211" s="239"/>
      <c r="O5211" s="225"/>
      <c r="P5211" s="287"/>
      <c r="Q5211" s="320"/>
      <c r="R5211" s="260"/>
      <c r="S5211" s="260"/>
      <c r="T5211" s="260"/>
      <c r="U5211" s="260"/>
      <c r="V5211" s="260"/>
      <c r="W5211" s="260"/>
      <c r="X5211" s="259"/>
      <c r="Y5211" s="259"/>
      <c r="Z5211" s="260"/>
      <c r="AA5211" s="260"/>
      <c r="AB5211" s="260"/>
      <c r="AC5211" s="260"/>
      <c r="AD5211" s="259"/>
      <c r="AE5211" s="259"/>
      <c r="AF5211" s="260"/>
      <c r="AG5211" s="321"/>
    </row>
    <row r="5212" spans="13:33" hidden="1">
      <c r="M5212"/>
      <c r="N5212" s="239"/>
      <c r="O5212" s="225"/>
      <c r="P5212" s="287"/>
      <c r="Q5212" s="320"/>
      <c r="R5212" s="260"/>
      <c r="S5212" s="260"/>
      <c r="T5212" s="260"/>
      <c r="U5212" s="260"/>
      <c r="V5212" s="260"/>
      <c r="W5212" s="260"/>
      <c r="X5212" s="259"/>
      <c r="Y5212" s="259"/>
      <c r="Z5212" s="260"/>
      <c r="AA5212" s="260"/>
      <c r="AB5212" s="260"/>
      <c r="AC5212" s="260"/>
      <c r="AD5212" s="259"/>
      <c r="AE5212" s="259"/>
      <c r="AF5212" s="260"/>
      <c r="AG5212" s="321"/>
    </row>
    <row r="5213" spans="13:33" hidden="1">
      <c r="M5213"/>
      <c r="N5213" s="239"/>
      <c r="O5213" s="225"/>
      <c r="P5213" s="287"/>
      <c r="Q5213" s="320"/>
      <c r="R5213" s="260"/>
      <c r="S5213" s="260"/>
      <c r="T5213" s="260"/>
      <c r="U5213" s="260"/>
      <c r="V5213" s="260"/>
      <c r="W5213" s="260"/>
      <c r="X5213" s="259"/>
      <c r="Y5213" s="259"/>
      <c r="Z5213" s="260"/>
      <c r="AA5213" s="260"/>
      <c r="AB5213" s="260"/>
      <c r="AC5213" s="260"/>
      <c r="AD5213" s="259"/>
      <c r="AE5213" s="259"/>
      <c r="AF5213" s="260"/>
      <c r="AG5213" s="321"/>
    </row>
    <row r="5214" spans="13:33" hidden="1">
      <c r="M5214"/>
      <c r="N5214" s="239"/>
      <c r="O5214" s="225"/>
      <c r="P5214" s="287"/>
      <c r="Q5214" s="320"/>
      <c r="R5214" s="260"/>
      <c r="S5214" s="260"/>
      <c r="T5214" s="260"/>
      <c r="U5214" s="260"/>
      <c r="V5214" s="260"/>
      <c r="W5214" s="260"/>
      <c r="X5214" s="259"/>
      <c r="Y5214" s="259"/>
      <c r="Z5214" s="260"/>
      <c r="AA5214" s="260"/>
      <c r="AB5214" s="260"/>
      <c r="AC5214" s="260"/>
      <c r="AD5214" s="259"/>
      <c r="AE5214" s="259"/>
      <c r="AF5214" s="260"/>
      <c r="AG5214" s="321"/>
    </row>
    <row r="5215" spans="13:33" hidden="1">
      <c r="M5215"/>
      <c r="N5215" s="239"/>
      <c r="O5215" s="225"/>
      <c r="P5215" s="287"/>
      <c r="Q5215" s="320"/>
      <c r="R5215" s="260"/>
      <c r="S5215" s="260"/>
      <c r="T5215" s="260"/>
      <c r="U5215" s="260"/>
      <c r="V5215" s="260"/>
      <c r="W5215" s="260"/>
      <c r="X5215" s="259"/>
      <c r="Y5215" s="259"/>
      <c r="Z5215" s="260"/>
      <c r="AA5215" s="260"/>
      <c r="AB5215" s="260"/>
      <c r="AC5215" s="260"/>
      <c r="AD5215" s="259"/>
      <c r="AE5215" s="259"/>
      <c r="AF5215" s="260"/>
      <c r="AG5215" s="321"/>
    </row>
    <row r="5216" spans="13:33" hidden="1">
      <c r="M5216"/>
      <c r="N5216" s="239"/>
      <c r="O5216" s="225"/>
      <c r="P5216" s="287"/>
      <c r="Q5216" s="320"/>
      <c r="R5216" s="260"/>
      <c r="S5216" s="260"/>
      <c r="T5216" s="260"/>
      <c r="U5216" s="260"/>
      <c r="V5216" s="260"/>
      <c r="W5216" s="260"/>
      <c r="X5216" s="259"/>
      <c r="Y5216" s="259"/>
      <c r="Z5216" s="260"/>
      <c r="AA5216" s="260"/>
      <c r="AB5216" s="260"/>
      <c r="AC5216" s="260"/>
      <c r="AD5216" s="259"/>
      <c r="AE5216" s="259"/>
      <c r="AF5216" s="260"/>
      <c r="AG5216" s="321"/>
    </row>
    <row r="5217" spans="13:33" hidden="1">
      <c r="M5217"/>
      <c r="N5217" s="239"/>
      <c r="O5217" s="225"/>
      <c r="P5217" s="287"/>
      <c r="Q5217" s="320"/>
      <c r="R5217" s="260"/>
      <c r="S5217" s="260"/>
      <c r="T5217" s="260"/>
      <c r="U5217" s="260"/>
      <c r="V5217" s="260"/>
      <c r="W5217" s="260"/>
      <c r="X5217" s="259"/>
      <c r="Y5217" s="259"/>
      <c r="Z5217" s="260"/>
      <c r="AA5217" s="260"/>
      <c r="AB5217" s="260"/>
      <c r="AC5217" s="260"/>
      <c r="AD5217" s="259"/>
      <c r="AE5217" s="259"/>
      <c r="AF5217" s="260"/>
      <c r="AG5217" s="321"/>
    </row>
    <row r="5218" spans="13:33" hidden="1">
      <c r="M5218"/>
      <c r="N5218" s="239"/>
      <c r="O5218" s="225"/>
      <c r="P5218" s="287"/>
      <c r="Q5218" s="320"/>
      <c r="R5218" s="260"/>
      <c r="S5218" s="260"/>
      <c r="T5218" s="260"/>
      <c r="U5218" s="260"/>
      <c r="V5218" s="260"/>
      <c r="W5218" s="260"/>
      <c r="X5218" s="259"/>
      <c r="Y5218" s="259"/>
      <c r="Z5218" s="260"/>
      <c r="AA5218" s="260"/>
      <c r="AB5218" s="260"/>
      <c r="AC5218" s="260"/>
      <c r="AD5218" s="259"/>
      <c r="AE5218" s="259"/>
      <c r="AF5218" s="260"/>
      <c r="AG5218" s="321"/>
    </row>
    <row r="5219" spans="13:33" hidden="1">
      <c r="M5219"/>
      <c r="N5219" s="239"/>
      <c r="O5219" s="225"/>
      <c r="P5219" s="287"/>
      <c r="Q5219" s="320"/>
      <c r="R5219" s="260"/>
      <c r="S5219" s="260"/>
      <c r="T5219" s="260"/>
      <c r="U5219" s="260"/>
      <c r="V5219" s="260"/>
      <c r="W5219" s="260"/>
      <c r="X5219" s="259"/>
      <c r="Y5219" s="259"/>
      <c r="Z5219" s="260"/>
      <c r="AA5219" s="260"/>
      <c r="AB5219" s="260"/>
      <c r="AC5219" s="260"/>
      <c r="AD5219" s="259"/>
      <c r="AE5219" s="259"/>
      <c r="AF5219" s="260"/>
      <c r="AG5219" s="321"/>
    </row>
    <row r="5220" spans="13:33" hidden="1">
      <c r="M5220"/>
      <c r="N5220" s="239"/>
      <c r="O5220" s="225"/>
      <c r="P5220" s="287"/>
      <c r="Q5220" s="320"/>
      <c r="R5220" s="260"/>
      <c r="S5220" s="260"/>
      <c r="T5220" s="260"/>
      <c r="U5220" s="260"/>
      <c r="V5220" s="260"/>
      <c r="W5220" s="260"/>
      <c r="X5220" s="259"/>
      <c r="Y5220" s="259"/>
      <c r="Z5220" s="260"/>
      <c r="AA5220" s="260"/>
      <c r="AB5220" s="260"/>
      <c r="AC5220" s="260"/>
      <c r="AD5220" s="259"/>
      <c r="AE5220" s="259"/>
      <c r="AF5220" s="260"/>
      <c r="AG5220" s="321"/>
    </row>
    <row r="5221" spans="13:33" hidden="1">
      <c r="M5221"/>
      <c r="N5221" s="239"/>
      <c r="O5221" s="225"/>
      <c r="P5221" s="287"/>
      <c r="Q5221" s="320"/>
      <c r="R5221" s="260"/>
      <c r="S5221" s="260"/>
      <c r="T5221" s="260"/>
      <c r="U5221" s="260"/>
      <c r="V5221" s="260"/>
      <c r="W5221" s="260"/>
      <c r="X5221" s="259"/>
      <c r="Y5221" s="259"/>
      <c r="Z5221" s="260"/>
      <c r="AA5221" s="260"/>
      <c r="AB5221" s="260"/>
      <c r="AC5221" s="260"/>
      <c r="AD5221" s="259"/>
      <c r="AE5221" s="259"/>
      <c r="AF5221" s="260"/>
      <c r="AG5221" s="321"/>
    </row>
    <row r="5222" spans="13:33" hidden="1">
      <c r="M5222"/>
      <c r="N5222" s="239"/>
      <c r="O5222" s="225"/>
      <c r="P5222" s="287"/>
      <c r="Q5222" s="320"/>
      <c r="R5222" s="260"/>
      <c r="S5222" s="260"/>
      <c r="T5222" s="260"/>
      <c r="U5222" s="260"/>
      <c r="V5222" s="260"/>
      <c r="W5222" s="260"/>
      <c r="X5222" s="259"/>
      <c r="Y5222" s="259"/>
      <c r="Z5222" s="260"/>
      <c r="AA5222" s="260"/>
      <c r="AB5222" s="260"/>
      <c r="AC5222" s="260"/>
      <c r="AD5222" s="259"/>
      <c r="AE5222" s="259"/>
      <c r="AF5222" s="260"/>
      <c r="AG5222" s="321"/>
    </row>
    <row r="5223" spans="13:33" hidden="1">
      <c r="M5223"/>
      <c r="N5223" s="239"/>
      <c r="O5223" s="225"/>
      <c r="P5223" s="287"/>
      <c r="Q5223" s="320"/>
      <c r="R5223" s="260"/>
      <c r="S5223" s="260"/>
      <c r="T5223" s="260"/>
      <c r="U5223" s="260"/>
      <c r="V5223" s="260"/>
      <c r="W5223" s="260"/>
      <c r="X5223" s="259"/>
      <c r="Y5223" s="259"/>
      <c r="Z5223" s="260"/>
      <c r="AA5223" s="260"/>
      <c r="AB5223" s="260"/>
      <c r="AC5223" s="260"/>
      <c r="AD5223" s="259"/>
      <c r="AE5223" s="259"/>
      <c r="AF5223" s="260"/>
      <c r="AG5223" s="321"/>
    </row>
    <row r="5224" spans="13:33" hidden="1">
      <c r="M5224"/>
      <c r="N5224" s="239"/>
      <c r="O5224" s="225"/>
      <c r="P5224" s="287"/>
      <c r="Q5224" s="320"/>
      <c r="R5224" s="260"/>
      <c r="S5224" s="260"/>
      <c r="T5224" s="260"/>
      <c r="U5224" s="260"/>
      <c r="V5224" s="260"/>
      <c r="W5224" s="260"/>
      <c r="X5224" s="259"/>
      <c r="Y5224" s="259"/>
      <c r="Z5224" s="260"/>
      <c r="AA5224" s="260"/>
      <c r="AB5224" s="260"/>
      <c r="AC5224" s="260"/>
      <c r="AD5224" s="259"/>
      <c r="AE5224" s="259"/>
      <c r="AF5224" s="260"/>
      <c r="AG5224" s="321"/>
    </row>
    <row r="5225" spans="13:33" hidden="1">
      <c r="M5225"/>
      <c r="N5225" s="239"/>
      <c r="O5225" s="225"/>
      <c r="P5225" s="287"/>
      <c r="Q5225" s="320"/>
      <c r="R5225" s="260"/>
      <c r="S5225" s="260"/>
      <c r="T5225" s="260"/>
      <c r="U5225" s="260"/>
      <c r="V5225" s="260"/>
      <c r="W5225" s="260"/>
      <c r="X5225" s="259"/>
      <c r="Y5225" s="259"/>
      <c r="Z5225" s="260"/>
      <c r="AA5225" s="260"/>
      <c r="AB5225" s="260"/>
      <c r="AC5225" s="260"/>
      <c r="AD5225" s="259"/>
      <c r="AE5225" s="259"/>
      <c r="AF5225" s="260"/>
      <c r="AG5225" s="321"/>
    </row>
    <row r="5226" spans="13:33" hidden="1">
      <c r="M5226"/>
      <c r="N5226" s="239"/>
      <c r="O5226" s="225"/>
      <c r="P5226" s="287"/>
      <c r="Q5226" s="320"/>
      <c r="R5226" s="260"/>
      <c r="S5226" s="260"/>
      <c r="T5226" s="260"/>
      <c r="U5226" s="260"/>
      <c r="V5226" s="260"/>
      <c r="W5226" s="260"/>
      <c r="X5226" s="259"/>
      <c r="Y5226" s="259"/>
      <c r="Z5226" s="260"/>
      <c r="AA5226" s="260"/>
      <c r="AB5226" s="260"/>
      <c r="AC5226" s="260"/>
      <c r="AD5226" s="259"/>
      <c r="AE5226" s="259"/>
      <c r="AF5226" s="260"/>
      <c r="AG5226" s="321"/>
    </row>
    <row r="5227" spans="13:33" hidden="1">
      <c r="M5227"/>
      <c r="N5227" s="239"/>
      <c r="O5227" s="225"/>
      <c r="P5227" s="287"/>
      <c r="Q5227" s="320"/>
      <c r="R5227" s="260"/>
      <c r="S5227" s="260"/>
      <c r="T5227" s="260"/>
      <c r="U5227" s="260"/>
      <c r="V5227" s="260"/>
      <c r="W5227" s="260"/>
      <c r="X5227" s="259"/>
      <c r="Y5227" s="259"/>
      <c r="Z5227" s="260"/>
      <c r="AA5227" s="260"/>
      <c r="AB5227" s="260"/>
      <c r="AC5227" s="260"/>
      <c r="AD5227" s="259"/>
      <c r="AE5227" s="259"/>
      <c r="AF5227" s="260"/>
      <c r="AG5227" s="321"/>
    </row>
    <row r="5228" spans="13:33" hidden="1">
      <c r="M5228"/>
      <c r="N5228" s="239"/>
      <c r="O5228" s="225"/>
      <c r="P5228" s="287"/>
      <c r="Q5228" s="320"/>
      <c r="R5228" s="260"/>
      <c r="S5228" s="260"/>
      <c r="T5228" s="260"/>
      <c r="U5228" s="260"/>
      <c r="V5228" s="260"/>
      <c r="W5228" s="260"/>
      <c r="X5228" s="259"/>
      <c r="Y5228" s="259"/>
      <c r="Z5228" s="260"/>
      <c r="AA5228" s="260"/>
      <c r="AB5228" s="260"/>
      <c r="AC5228" s="260"/>
      <c r="AD5228" s="259"/>
      <c r="AE5228" s="259"/>
      <c r="AF5228" s="260"/>
      <c r="AG5228" s="321"/>
    </row>
    <row r="5229" spans="13:33" hidden="1">
      <c r="M5229"/>
      <c r="N5229" s="239"/>
      <c r="O5229" s="225"/>
      <c r="P5229" s="287"/>
      <c r="Q5229" s="320"/>
      <c r="R5229" s="260"/>
      <c r="S5229" s="260"/>
      <c r="T5229" s="260"/>
      <c r="U5229" s="260"/>
      <c r="V5229" s="260"/>
      <c r="W5229" s="260"/>
      <c r="X5229" s="259"/>
      <c r="Y5229" s="259"/>
      <c r="Z5229" s="260"/>
      <c r="AA5229" s="260"/>
      <c r="AB5229" s="260"/>
      <c r="AC5229" s="260"/>
      <c r="AD5229" s="259"/>
      <c r="AE5229" s="259"/>
      <c r="AF5229" s="260"/>
      <c r="AG5229" s="321"/>
    </row>
    <row r="5230" spans="13:33" hidden="1">
      <c r="M5230"/>
      <c r="N5230" s="239"/>
      <c r="O5230" s="225"/>
      <c r="P5230" s="287"/>
      <c r="Q5230" s="320"/>
      <c r="R5230" s="260"/>
      <c r="S5230" s="260"/>
      <c r="T5230" s="260"/>
      <c r="U5230" s="260"/>
      <c r="V5230" s="260"/>
      <c r="W5230" s="260"/>
      <c r="X5230" s="259"/>
      <c r="Y5230" s="259"/>
      <c r="Z5230" s="260"/>
      <c r="AA5230" s="260"/>
      <c r="AB5230" s="260"/>
      <c r="AC5230" s="260"/>
      <c r="AD5230" s="259"/>
      <c r="AE5230" s="259"/>
      <c r="AF5230" s="260"/>
      <c r="AG5230" s="321"/>
    </row>
    <row r="5231" spans="13:33" hidden="1">
      <c r="M5231"/>
      <c r="N5231" s="239"/>
      <c r="O5231" s="225"/>
      <c r="P5231" s="287"/>
      <c r="Q5231" s="320"/>
      <c r="R5231" s="260"/>
      <c r="S5231" s="260"/>
      <c r="T5231" s="260"/>
      <c r="U5231" s="260"/>
      <c r="V5231" s="260"/>
      <c r="W5231" s="260"/>
      <c r="X5231" s="259"/>
      <c r="Y5231" s="259"/>
      <c r="Z5231" s="260"/>
      <c r="AA5231" s="260"/>
      <c r="AB5231" s="260"/>
      <c r="AC5231" s="260"/>
      <c r="AD5231" s="259"/>
      <c r="AE5231" s="259"/>
      <c r="AF5231" s="260"/>
      <c r="AG5231" s="321"/>
    </row>
    <row r="5232" spans="13:33" hidden="1">
      <c r="M5232"/>
      <c r="N5232" s="239"/>
      <c r="O5232" s="225"/>
      <c r="P5232" s="287"/>
      <c r="Q5232" s="320"/>
      <c r="R5232" s="260"/>
      <c r="S5232" s="260"/>
      <c r="T5232" s="260"/>
      <c r="U5232" s="260"/>
      <c r="V5232" s="260"/>
      <c r="W5232" s="260"/>
      <c r="X5232" s="259"/>
      <c r="Y5232" s="259"/>
      <c r="Z5232" s="260"/>
      <c r="AA5232" s="260"/>
      <c r="AB5232" s="260"/>
      <c r="AC5232" s="260"/>
      <c r="AD5232" s="259"/>
      <c r="AE5232" s="259"/>
      <c r="AF5232" s="260"/>
      <c r="AG5232" s="321"/>
    </row>
    <row r="5233" spans="13:33" hidden="1">
      <c r="M5233"/>
      <c r="N5233" s="239"/>
      <c r="O5233" s="225"/>
      <c r="P5233" s="287"/>
      <c r="Q5233" s="320"/>
      <c r="R5233" s="260"/>
      <c r="S5233" s="260"/>
      <c r="T5233" s="260"/>
      <c r="U5233" s="260"/>
      <c r="V5233" s="260"/>
      <c r="W5233" s="260"/>
      <c r="X5233" s="259"/>
      <c r="Y5233" s="259"/>
      <c r="Z5233" s="260"/>
      <c r="AA5233" s="260"/>
      <c r="AB5233" s="260"/>
      <c r="AC5233" s="260"/>
      <c r="AD5233" s="259"/>
      <c r="AE5233" s="259"/>
      <c r="AF5233" s="260"/>
      <c r="AG5233" s="321"/>
    </row>
    <row r="5234" spans="13:33" hidden="1">
      <c r="M5234"/>
      <c r="N5234" s="239"/>
      <c r="O5234" s="225"/>
      <c r="P5234" s="287"/>
      <c r="Q5234" s="320"/>
      <c r="R5234" s="260"/>
      <c r="S5234" s="260"/>
      <c r="T5234" s="260"/>
      <c r="U5234" s="260"/>
      <c r="V5234" s="260"/>
      <c r="W5234" s="260"/>
      <c r="X5234" s="259"/>
      <c r="Y5234" s="259"/>
      <c r="Z5234" s="260"/>
      <c r="AA5234" s="260"/>
      <c r="AB5234" s="260"/>
      <c r="AC5234" s="260"/>
      <c r="AD5234" s="259"/>
      <c r="AE5234" s="259"/>
      <c r="AF5234" s="260"/>
      <c r="AG5234" s="321"/>
    </row>
    <row r="5235" spans="13:33" hidden="1">
      <c r="M5235"/>
      <c r="N5235" s="239"/>
      <c r="O5235" s="225"/>
      <c r="P5235" s="287"/>
      <c r="Q5235" s="320"/>
      <c r="R5235" s="260"/>
      <c r="S5235" s="260"/>
      <c r="T5235" s="260"/>
      <c r="U5235" s="260"/>
      <c r="V5235" s="260"/>
      <c r="W5235" s="260"/>
      <c r="X5235" s="259"/>
      <c r="Y5235" s="259"/>
      <c r="Z5235" s="260"/>
      <c r="AA5235" s="260"/>
      <c r="AB5235" s="260"/>
      <c r="AC5235" s="260"/>
      <c r="AD5235" s="259"/>
      <c r="AE5235" s="259"/>
      <c r="AF5235" s="260"/>
      <c r="AG5235" s="321"/>
    </row>
    <row r="5236" spans="13:33" hidden="1">
      <c r="M5236"/>
      <c r="N5236" s="239"/>
      <c r="O5236" s="225"/>
      <c r="P5236" s="287"/>
      <c r="Q5236" s="320"/>
      <c r="R5236" s="260"/>
      <c r="S5236" s="260"/>
      <c r="T5236" s="260"/>
      <c r="U5236" s="260"/>
      <c r="V5236" s="260"/>
      <c r="W5236" s="260"/>
      <c r="X5236" s="259"/>
      <c r="Y5236" s="259"/>
      <c r="Z5236" s="260"/>
      <c r="AA5236" s="260"/>
      <c r="AB5236" s="260"/>
      <c r="AC5236" s="260"/>
      <c r="AD5236" s="259"/>
      <c r="AE5236" s="259"/>
      <c r="AF5236" s="260"/>
      <c r="AG5236" s="321"/>
    </row>
    <row r="5237" spans="13:33" hidden="1">
      <c r="M5237"/>
      <c r="N5237" s="239"/>
      <c r="O5237" s="225"/>
      <c r="P5237" s="287"/>
      <c r="Q5237" s="320"/>
      <c r="R5237" s="260"/>
      <c r="S5237" s="260"/>
      <c r="T5237" s="260"/>
      <c r="U5237" s="260"/>
      <c r="V5237" s="260"/>
      <c r="W5237" s="260"/>
      <c r="X5237" s="259"/>
      <c r="Y5237" s="259"/>
      <c r="Z5237" s="260"/>
      <c r="AA5237" s="260"/>
      <c r="AB5237" s="260"/>
      <c r="AC5237" s="260"/>
      <c r="AD5237" s="259"/>
      <c r="AE5237" s="259"/>
      <c r="AF5237" s="260"/>
      <c r="AG5237" s="321"/>
    </row>
    <row r="5238" spans="13:33" hidden="1">
      <c r="M5238"/>
      <c r="N5238" s="239"/>
      <c r="O5238" s="225"/>
      <c r="P5238" s="287"/>
      <c r="Q5238" s="320"/>
      <c r="R5238" s="260"/>
      <c r="S5238" s="260"/>
      <c r="T5238" s="260"/>
      <c r="U5238" s="260"/>
      <c r="V5238" s="260"/>
      <c r="W5238" s="260"/>
      <c r="X5238" s="259"/>
      <c r="Y5238" s="259"/>
      <c r="Z5238" s="260"/>
      <c r="AA5238" s="260"/>
      <c r="AB5238" s="260"/>
      <c r="AC5238" s="260"/>
      <c r="AD5238" s="259"/>
      <c r="AE5238" s="259"/>
      <c r="AF5238" s="260"/>
      <c r="AG5238" s="321"/>
    </row>
    <row r="5239" spans="13:33" hidden="1">
      <c r="M5239"/>
      <c r="N5239" s="239"/>
      <c r="O5239" s="225"/>
      <c r="P5239" s="287"/>
      <c r="Q5239" s="320"/>
      <c r="R5239" s="260"/>
      <c r="S5239" s="260"/>
      <c r="T5239" s="260"/>
      <c r="U5239" s="260"/>
      <c r="V5239" s="260"/>
      <c r="W5239" s="260"/>
      <c r="X5239" s="259"/>
      <c r="Y5239" s="259"/>
      <c r="Z5239" s="260"/>
      <c r="AA5239" s="260"/>
      <c r="AB5239" s="260"/>
      <c r="AC5239" s="260"/>
      <c r="AD5239" s="259"/>
      <c r="AE5239" s="259"/>
      <c r="AF5239" s="260"/>
      <c r="AG5239" s="321"/>
    </row>
    <row r="5240" spans="13:33" hidden="1">
      <c r="M5240"/>
      <c r="N5240" s="239"/>
      <c r="O5240" s="225"/>
      <c r="P5240" s="287"/>
      <c r="Q5240" s="320"/>
      <c r="R5240" s="260"/>
      <c r="S5240" s="260"/>
      <c r="T5240" s="260"/>
      <c r="U5240" s="260"/>
      <c r="V5240" s="260"/>
      <c r="W5240" s="260"/>
      <c r="X5240" s="259"/>
      <c r="Y5240" s="259"/>
      <c r="Z5240" s="260"/>
      <c r="AA5240" s="260"/>
      <c r="AB5240" s="260"/>
      <c r="AC5240" s="260"/>
      <c r="AD5240" s="259"/>
      <c r="AE5240" s="259"/>
      <c r="AF5240" s="260"/>
      <c r="AG5240" s="321"/>
    </row>
    <row r="5241" spans="13:33" hidden="1">
      <c r="M5241"/>
      <c r="N5241" s="239"/>
      <c r="O5241" s="225"/>
      <c r="P5241" s="287"/>
      <c r="Q5241" s="320"/>
      <c r="R5241" s="260"/>
      <c r="S5241" s="260"/>
      <c r="T5241" s="260"/>
      <c r="U5241" s="260"/>
      <c r="V5241" s="260"/>
      <c r="W5241" s="260"/>
      <c r="X5241" s="259"/>
      <c r="Y5241" s="259"/>
      <c r="Z5241" s="260"/>
      <c r="AA5241" s="260"/>
      <c r="AB5241" s="260"/>
      <c r="AC5241" s="260"/>
      <c r="AD5241" s="259"/>
      <c r="AE5241" s="259"/>
      <c r="AF5241" s="260"/>
      <c r="AG5241" s="321"/>
    </row>
    <row r="5242" spans="13:33" hidden="1">
      <c r="M5242"/>
      <c r="N5242" s="239"/>
      <c r="O5242" s="225"/>
      <c r="P5242" s="287"/>
      <c r="Q5242" s="320"/>
      <c r="R5242" s="260"/>
      <c r="S5242" s="260"/>
      <c r="T5242" s="260"/>
      <c r="U5242" s="260"/>
      <c r="V5242" s="260"/>
      <c r="W5242" s="260"/>
      <c r="X5242" s="259"/>
      <c r="Y5242" s="259"/>
      <c r="Z5242" s="260"/>
      <c r="AA5242" s="260"/>
      <c r="AB5242" s="260"/>
      <c r="AC5242" s="260"/>
      <c r="AD5242" s="259"/>
      <c r="AE5242" s="259"/>
      <c r="AF5242" s="260"/>
      <c r="AG5242" s="321"/>
    </row>
    <row r="5243" spans="13:33" hidden="1">
      <c r="M5243"/>
      <c r="N5243" s="239"/>
      <c r="O5243" s="225"/>
      <c r="P5243" s="287"/>
      <c r="Q5243" s="320"/>
      <c r="R5243" s="260"/>
      <c r="S5243" s="260"/>
      <c r="T5243" s="260"/>
      <c r="U5243" s="260"/>
      <c r="V5243" s="260"/>
      <c r="W5243" s="260"/>
      <c r="X5243" s="259"/>
      <c r="Y5243" s="259"/>
      <c r="Z5243" s="260"/>
      <c r="AA5243" s="260"/>
      <c r="AB5243" s="260"/>
      <c r="AC5243" s="260"/>
      <c r="AD5243" s="259"/>
      <c r="AE5243" s="259"/>
      <c r="AF5243" s="260"/>
      <c r="AG5243" s="321"/>
    </row>
    <row r="5244" spans="13:33" hidden="1">
      <c r="M5244"/>
      <c r="N5244" s="239"/>
      <c r="O5244" s="225"/>
      <c r="P5244" s="287"/>
      <c r="Q5244" s="320"/>
      <c r="R5244" s="260"/>
      <c r="S5244" s="260"/>
      <c r="T5244" s="260"/>
      <c r="U5244" s="260"/>
      <c r="V5244" s="260"/>
      <c r="W5244" s="260"/>
      <c r="X5244" s="259"/>
      <c r="Y5244" s="259"/>
      <c r="Z5244" s="260"/>
      <c r="AA5244" s="260"/>
      <c r="AB5244" s="260"/>
      <c r="AC5244" s="260"/>
      <c r="AD5244" s="259"/>
      <c r="AE5244" s="259"/>
      <c r="AF5244" s="260"/>
      <c r="AG5244" s="321"/>
    </row>
    <row r="5245" spans="13:33" hidden="1">
      <c r="M5245"/>
      <c r="N5245" s="239"/>
      <c r="O5245" s="225"/>
      <c r="P5245" s="287"/>
      <c r="Q5245" s="320"/>
      <c r="R5245" s="260"/>
      <c r="S5245" s="260"/>
      <c r="T5245" s="260"/>
      <c r="U5245" s="260"/>
      <c r="V5245" s="260"/>
      <c r="W5245" s="260"/>
      <c r="X5245" s="259"/>
      <c r="Y5245" s="259"/>
      <c r="Z5245" s="260"/>
      <c r="AA5245" s="260"/>
      <c r="AB5245" s="260"/>
      <c r="AC5245" s="260"/>
      <c r="AD5245" s="259"/>
      <c r="AE5245" s="259"/>
      <c r="AF5245" s="260"/>
      <c r="AG5245" s="321"/>
    </row>
    <row r="5246" spans="13:33" hidden="1">
      <c r="M5246"/>
      <c r="N5246" s="239"/>
      <c r="O5246" s="225"/>
      <c r="P5246" s="287"/>
      <c r="Q5246" s="320"/>
      <c r="R5246" s="260"/>
      <c r="S5246" s="260"/>
      <c r="T5246" s="260"/>
      <c r="U5246" s="260"/>
      <c r="V5246" s="260"/>
      <c r="W5246" s="260"/>
      <c r="X5246" s="259"/>
      <c r="Y5246" s="259"/>
      <c r="Z5246" s="260"/>
      <c r="AA5246" s="260"/>
      <c r="AB5246" s="260"/>
      <c r="AC5246" s="260"/>
      <c r="AD5246" s="259"/>
      <c r="AE5246" s="259"/>
      <c r="AF5246" s="260"/>
      <c r="AG5246" s="321"/>
    </row>
    <row r="5247" spans="13:33" hidden="1">
      <c r="M5247"/>
      <c r="N5247" s="239"/>
      <c r="O5247" s="225"/>
      <c r="P5247" s="287"/>
      <c r="Q5247" s="320"/>
      <c r="R5247" s="260"/>
      <c r="S5247" s="260"/>
      <c r="T5247" s="260"/>
      <c r="U5247" s="260"/>
      <c r="V5247" s="260"/>
      <c r="W5247" s="260"/>
      <c r="X5247" s="259"/>
      <c r="Y5247" s="259"/>
      <c r="Z5247" s="260"/>
      <c r="AA5247" s="260"/>
      <c r="AB5247" s="260"/>
      <c r="AC5247" s="260"/>
      <c r="AD5247" s="259"/>
      <c r="AE5247" s="259"/>
      <c r="AF5247" s="260"/>
      <c r="AG5247" s="321"/>
    </row>
    <row r="5248" spans="13:33" hidden="1">
      <c r="M5248"/>
      <c r="N5248" s="239"/>
      <c r="O5248" s="225"/>
      <c r="P5248" s="287"/>
      <c r="Q5248" s="320"/>
      <c r="R5248" s="260"/>
      <c r="S5248" s="260"/>
      <c r="T5248" s="260"/>
      <c r="U5248" s="260"/>
      <c r="V5248" s="260"/>
      <c r="W5248" s="260"/>
      <c r="X5248" s="259"/>
      <c r="Y5248" s="259"/>
      <c r="Z5248" s="260"/>
      <c r="AA5248" s="260"/>
      <c r="AB5248" s="260"/>
      <c r="AC5248" s="260"/>
      <c r="AD5248" s="259"/>
      <c r="AE5248" s="259"/>
      <c r="AF5248" s="260"/>
      <c r="AG5248" s="321"/>
    </row>
    <row r="5249" spans="13:33" hidden="1">
      <c r="M5249"/>
      <c r="N5249" s="239"/>
      <c r="O5249" s="225"/>
      <c r="P5249" s="287"/>
      <c r="Q5249" s="320"/>
      <c r="R5249" s="260"/>
      <c r="S5249" s="260"/>
      <c r="T5249" s="260"/>
      <c r="U5249" s="260"/>
      <c r="V5249" s="260"/>
      <c r="W5249" s="260"/>
      <c r="X5249" s="259"/>
      <c r="Y5249" s="259"/>
      <c r="Z5249" s="260"/>
      <c r="AA5249" s="260"/>
      <c r="AB5249" s="260"/>
      <c r="AC5249" s="260"/>
      <c r="AD5249" s="259"/>
      <c r="AE5249" s="259"/>
      <c r="AF5249" s="260"/>
      <c r="AG5249" s="321"/>
    </row>
    <row r="5250" spans="13:33" hidden="1">
      <c r="M5250"/>
      <c r="N5250" s="239"/>
      <c r="O5250" s="225"/>
      <c r="P5250" s="287"/>
      <c r="Q5250" s="320"/>
      <c r="R5250" s="260"/>
      <c r="S5250" s="260"/>
      <c r="T5250" s="260"/>
      <c r="U5250" s="260"/>
      <c r="V5250" s="260"/>
      <c r="W5250" s="260"/>
      <c r="X5250" s="259"/>
      <c r="Y5250" s="259"/>
      <c r="Z5250" s="260"/>
      <c r="AA5250" s="260"/>
      <c r="AB5250" s="260"/>
      <c r="AC5250" s="260"/>
      <c r="AD5250" s="259"/>
      <c r="AE5250" s="259"/>
      <c r="AF5250" s="260"/>
      <c r="AG5250" s="321"/>
    </row>
    <row r="5251" spans="13:33" hidden="1">
      <c r="M5251"/>
      <c r="N5251" s="239"/>
      <c r="O5251" s="225"/>
      <c r="P5251" s="287"/>
      <c r="Q5251" s="320"/>
      <c r="R5251" s="260"/>
      <c r="S5251" s="260"/>
      <c r="T5251" s="260"/>
      <c r="U5251" s="260"/>
      <c r="V5251" s="260"/>
      <c r="W5251" s="260"/>
      <c r="X5251" s="259"/>
      <c r="Y5251" s="259"/>
      <c r="Z5251" s="260"/>
      <c r="AA5251" s="260"/>
      <c r="AB5251" s="260"/>
      <c r="AC5251" s="260"/>
      <c r="AD5251" s="259"/>
      <c r="AE5251" s="259"/>
      <c r="AF5251" s="260"/>
      <c r="AG5251" s="321"/>
    </row>
    <row r="5252" spans="13:33" hidden="1">
      <c r="M5252"/>
      <c r="N5252" s="239"/>
      <c r="O5252" s="225"/>
      <c r="P5252" s="287"/>
      <c r="Q5252" s="320"/>
      <c r="R5252" s="260"/>
      <c r="S5252" s="260"/>
      <c r="T5252" s="260"/>
      <c r="U5252" s="260"/>
      <c r="V5252" s="260"/>
      <c r="W5252" s="260"/>
      <c r="X5252" s="259"/>
      <c r="Y5252" s="259"/>
      <c r="Z5252" s="260"/>
      <c r="AA5252" s="260"/>
      <c r="AB5252" s="260"/>
      <c r="AC5252" s="260"/>
      <c r="AD5252" s="259"/>
      <c r="AE5252" s="259"/>
      <c r="AF5252" s="260"/>
      <c r="AG5252" s="321"/>
    </row>
    <row r="5253" spans="13:33" hidden="1">
      <c r="M5253"/>
      <c r="N5253" s="239"/>
      <c r="O5253" s="225"/>
      <c r="P5253" s="287"/>
      <c r="Q5253" s="320"/>
      <c r="R5253" s="260"/>
      <c r="S5253" s="260"/>
      <c r="T5253" s="260"/>
      <c r="U5253" s="260"/>
      <c r="V5253" s="260"/>
      <c r="W5253" s="260"/>
      <c r="X5253" s="259"/>
      <c r="Y5253" s="259"/>
      <c r="Z5253" s="260"/>
      <c r="AA5253" s="260"/>
      <c r="AB5253" s="260"/>
      <c r="AC5253" s="260"/>
      <c r="AD5253" s="259"/>
      <c r="AE5253" s="259"/>
      <c r="AF5253" s="260"/>
      <c r="AG5253" s="321"/>
    </row>
    <row r="5254" spans="13:33" hidden="1">
      <c r="M5254"/>
      <c r="N5254" s="239"/>
      <c r="O5254" s="225"/>
      <c r="P5254" s="287"/>
      <c r="Q5254" s="320"/>
      <c r="R5254" s="260"/>
      <c r="S5254" s="260"/>
      <c r="T5254" s="260"/>
      <c r="U5254" s="260"/>
      <c r="V5254" s="260"/>
      <c r="W5254" s="260"/>
      <c r="X5254" s="259"/>
      <c r="Y5254" s="259"/>
      <c r="Z5254" s="260"/>
      <c r="AA5254" s="260"/>
      <c r="AB5254" s="260"/>
      <c r="AC5254" s="260"/>
      <c r="AD5254" s="259"/>
      <c r="AE5254" s="259"/>
      <c r="AF5254" s="260"/>
      <c r="AG5254" s="321"/>
    </row>
    <row r="5255" spans="13:33" hidden="1">
      <c r="M5255"/>
      <c r="N5255" s="239"/>
      <c r="O5255" s="225"/>
      <c r="P5255" s="287"/>
      <c r="Q5255" s="320"/>
      <c r="R5255" s="260"/>
      <c r="S5255" s="260"/>
      <c r="T5255" s="260"/>
      <c r="U5255" s="260"/>
      <c r="V5255" s="260"/>
      <c r="W5255" s="260"/>
      <c r="X5255" s="259"/>
      <c r="Y5255" s="259"/>
      <c r="Z5255" s="260"/>
      <c r="AA5255" s="260"/>
      <c r="AB5255" s="260"/>
      <c r="AC5255" s="260"/>
      <c r="AD5255" s="259"/>
      <c r="AE5255" s="259"/>
      <c r="AF5255" s="260"/>
      <c r="AG5255" s="321"/>
    </row>
    <row r="5256" spans="13:33" hidden="1">
      <c r="M5256"/>
      <c r="N5256" s="239"/>
      <c r="O5256" s="225"/>
      <c r="P5256" s="287"/>
      <c r="Q5256" s="320"/>
      <c r="R5256" s="260"/>
      <c r="S5256" s="260"/>
      <c r="T5256" s="260"/>
      <c r="U5256" s="260"/>
      <c r="V5256" s="260"/>
      <c r="W5256" s="260"/>
      <c r="X5256" s="259"/>
      <c r="Y5256" s="259"/>
      <c r="Z5256" s="260"/>
      <c r="AA5256" s="260"/>
      <c r="AB5256" s="260"/>
      <c r="AC5256" s="260"/>
      <c r="AD5256" s="259"/>
      <c r="AE5256" s="259"/>
      <c r="AF5256" s="260"/>
      <c r="AG5256" s="321"/>
    </row>
    <row r="5257" spans="13:33" hidden="1">
      <c r="M5257"/>
      <c r="N5257" s="239"/>
      <c r="O5257" s="225"/>
      <c r="P5257" s="287"/>
      <c r="Q5257" s="320"/>
      <c r="R5257" s="260"/>
      <c r="S5257" s="260"/>
      <c r="T5257" s="260"/>
      <c r="U5257" s="260"/>
      <c r="V5257" s="260"/>
      <c r="W5257" s="260"/>
      <c r="X5257" s="259"/>
      <c r="Y5257" s="259"/>
      <c r="Z5257" s="260"/>
      <c r="AA5257" s="260"/>
      <c r="AB5257" s="260"/>
      <c r="AC5257" s="260"/>
      <c r="AD5257" s="259"/>
      <c r="AE5257" s="259"/>
      <c r="AF5257" s="260"/>
      <c r="AG5257" s="321"/>
    </row>
    <row r="5258" spans="13:33" hidden="1">
      <c r="M5258"/>
      <c r="N5258" s="239"/>
      <c r="O5258" s="225"/>
      <c r="P5258" s="287"/>
      <c r="Q5258" s="320"/>
      <c r="R5258" s="260"/>
      <c r="S5258" s="260"/>
      <c r="T5258" s="260"/>
      <c r="U5258" s="260"/>
      <c r="V5258" s="260"/>
      <c r="W5258" s="260"/>
      <c r="X5258" s="259"/>
      <c r="Y5258" s="259"/>
      <c r="Z5258" s="260"/>
      <c r="AA5258" s="260"/>
      <c r="AB5258" s="260"/>
      <c r="AC5258" s="260"/>
      <c r="AD5258" s="259"/>
      <c r="AE5258" s="259"/>
      <c r="AF5258" s="260"/>
      <c r="AG5258" s="321"/>
    </row>
    <row r="5259" spans="13:33" hidden="1">
      <c r="M5259"/>
      <c r="N5259" s="239"/>
      <c r="O5259" s="225"/>
      <c r="P5259" s="287"/>
      <c r="Q5259" s="320"/>
      <c r="R5259" s="260"/>
      <c r="S5259" s="260"/>
      <c r="T5259" s="260"/>
      <c r="U5259" s="260"/>
      <c r="V5259" s="260"/>
      <c r="W5259" s="260"/>
      <c r="X5259" s="259"/>
      <c r="Y5259" s="259"/>
      <c r="Z5259" s="260"/>
      <c r="AA5259" s="260"/>
      <c r="AB5259" s="260"/>
      <c r="AC5259" s="260"/>
      <c r="AD5259" s="259"/>
      <c r="AE5259" s="259"/>
      <c r="AF5259" s="260"/>
      <c r="AG5259" s="321"/>
    </row>
    <row r="5260" spans="13:33" hidden="1">
      <c r="M5260"/>
      <c r="N5260" s="239"/>
      <c r="O5260" s="225"/>
      <c r="P5260" s="287"/>
      <c r="Q5260" s="320"/>
      <c r="R5260" s="260"/>
      <c r="S5260" s="260"/>
      <c r="T5260" s="260"/>
      <c r="U5260" s="260"/>
      <c r="V5260" s="260"/>
      <c r="W5260" s="260"/>
      <c r="X5260" s="259"/>
      <c r="Y5260" s="259"/>
      <c r="Z5260" s="260"/>
      <c r="AA5260" s="260"/>
      <c r="AB5260" s="260"/>
      <c r="AC5260" s="260"/>
      <c r="AD5260" s="259"/>
      <c r="AE5260" s="259"/>
      <c r="AF5260" s="260"/>
      <c r="AG5260" s="321"/>
    </row>
    <row r="5261" spans="13:33" hidden="1">
      <c r="M5261"/>
      <c r="N5261" s="239"/>
      <c r="O5261" s="225"/>
      <c r="P5261" s="287"/>
      <c r="Q5261" s="320"/>
      <c r="R5261" s="260"/>
      <c r="S5261" s="260"/>
      <c r="T5261" s="260"/>
      <c r="U5261" s="260"/>
      <c r="V5261" s="260"/>
      <c r="W5261" s="260"/>
      <c r="X5261" s="259"/>
      <c r="Y5261" s="259"/>
      <c r="Z5261" s="260"/>
      <c r="AA5261" s="260"/>
      <c r="AB5261" s="260"/>
      <c r="AC5261" s="260"/>
      <c r="AD5261" s="259"/>
      <c r="AE5261" s="259"/>
      <c r="AF5261" s="260"/>
      <c r="AG5261" s="321"/>
    </row>
    <row r="5262" spans="13:33" hidden="1">
      <c r="M5262"/>
      <c r="N5262" s="239"/>
      <c r="O5262" s="225"/>
      <c r="P5262" s="287"/>
      <c r="Q5262" s="320"/>
      <c r="R5262" s="260"/>
      <c r="S5262" s="260"/>
      <c r="T5262" s="260"/>
      <c r="U5262" s="260"/>
      <c r="V5262" s="260"/>
      <c r="W5262" s="260"/>
      <c r="X5262" s="259"/>
      <c r="Y5262" s="259"/>
      <c r="Z5262" s="260"/>
      <c r="AA5262" s="260"/>
      <c r="AB5262" s="260"/>
      <c r="AC5262" s="260"/>
      <c r="AD5262" s="259"/>
      <c r="AE5262" s="259"/>
      <c r="AF5262" s="260"/>
      <c r="AG5262" s="321"/>
    </row>
    <row r="5263" spans="13:33" hidden="1">
      <c r="M5263"/>
      <c r="N5263" s="239"/>
      <c r="O5263" s="225"/>
      <c r="P5263" s="287"/>
      <c r="Q5263" s="320"/>
      <c r="R5263" s="260"/>
      <c r="S5263" s="260"/>
      <c r="T5263" s="260"/>
      <c r="U5263" s="260"/>
      <c r="V5263" s="260"/>
      <c r="W5263" s="260"/>
      <c r="X5263" s="259"/>
      <c r="Y5263" s="259"/>
      <c r="Z5263" s="260"/>
      <c r="AA5263" s="260"/>
      <c r="AB5263" s="260"/>
      <c r="AC5263" s="260"/>
      <c r="AD5263" s="259"/>
      <c r="AE5263" s="259"/>
      <c r="AF5263" s="260"/>
      <c r="AG5263" s="321"/>
    </row>
    <row r="5264" spans="13:33" hidden="1">
      <c r="M5264"/>
      <c r="N5264" s="239"/>
      <c r="O5264" s="225"/>
      <c r="P5264" s="287"/>
      <c r="Q5264" s="320"/>
      <c r="R5264" s="260"/>
      <c r="S5264" s="260"/>
      <c r="T5264" s="260"/>
      <c r="U5264" s="260"/>
      <c r="V5264" s="260"/>
      <c r="W5264" s="260"/>
      <c r="X5264" s="259"/>
      <c r="Y5264" s="259"/>
      <c r="Z5264" s="260"/>
      <c r="AA5264" s="260"/>
      <c r="AB5264" s="260"/>
      <c r="AC5264" s="260"/>
      <c r="AD5264" s="259"/>
      <c r="AE5264" s="259"/>
      <c r="AF5264" s="260"/>
      <c r="AG5264" s="321"/>
    </row>
    <row r="5265" spans="13:33" hidden="1">
      <c r="M5265"/>
      <c r="N5265" s="239"/>
      <c r="O5265" s="225"/>
      <c r="P5265" s="287"/>
      <c r="Q5265" s="320"/>
      <c r="R5265" s="260"/>
      <c r="S5265" s="260"/>
      <c r="T5265" s="260"/>
      <c r="U5265" s="260"/>
      <c r="V5265" s="260"/>
      <c r="W5265" s="260"/>
      <c r="X5265" s="259"/>
      <c r="Y5265" s="259"/>
      <c r="Z5265" s="260"/>
      <c r="AA5265" s="260"/>
      <c r="AB5265" s="260"/>
      <c r="AC5265" s="260"/>
      <c r="AD5265" s="259"/>
      <c r="AE5265" s="259"/>
      <c r="AF5265" s="260"/>
      <c r="AG5265" s="321"/>
    </row>
    <row r="5266" spans="13:33" hidden="1">
      <c r="M5266"/>
      <c r="N5266" s="239"/>
      <c r="O5266" s="225"/>
      <c r="P5266" s="287"/>
      <c r="Q5266" s="320"/>
      <c r="R5266" s="260"/>
      <c r="S5266" s="260"/>
      <c r="T5266" s="260"/>
      <c r="U5266" s="260"/>
      <c r="V5266" s="260"/>
      <c r="W5266" s="260"/>
      <c r="X5266" s="259"/>
      <c r="Y5266" s="259"/>
      <c r="Z5266" s="260"/>
      <c r="AA5266" s="260"/>
      <c r="AB5266" s="260"/>
      <c r="AC5266" s="260"/>
      <c r="AD5266" s="259"/>
      <c r="AE5266" s="259"/>
      <c r="AF5266" s="260"/>
      <c r="AG5266" s="321"/>
    </row>
    <row r="5267" spans="13:33" hidden="1">
      <c r="M5267"/>
      <c r="N5267" s="239"/>
      <c r="O5267" s="225"/>
      <c r="P5267" s="287"/>
      <c r="Q5267" s="320"/>
      <c r="R5267" s="260"/>
      <c r="S5267" s="260"/>
      <c r="T5267" s="260"/>
      <c r="U5267" s="260"/>
      <c r="V5267" s="260"/>
      <c r="W5267" s="260"/>
      <c r="X5267" s="259"/>
      <c r="Y5267" s="259"/>
      <c r="Z5267" s="260"/>
      <c r="AA5267" s="260"/>
      <c r="AB5267" s="260"/>
      <c r="AC5267" s="260"/>
      <c r="AD5267" s="259"/>
      <c r="AE5267" s="259"/>
      <c r="AF5267" s="260"/>
      <c r="AG5267" s="321"/>
    </row>
    <row r="5268" spans="13:33" hidden="1">
      <c r="M5268"/>
      <c r="N5268" s="239"/>
      <c r="O5268" s="225"/>
      <c r="P5268" s="287"/>
      <c r="Q5268" s="320"/>
      <c r="R5268" s="260"/>
      <c r="S5268" s="260"/>
      <c r="T5268" s="260"/>
      <c r="U5268" s="260"/>
      <c r="V5268" s="260"/>
      <c r="W5268" s="260"/>
      <c r="X5268" s="259"/>
      <c r="Y5268" s="259"/>
      <c r="Z5268" s="260"/>
      <c r="AA5268" s="260"/>
      <c r="AB5268" s="260"/>
      <c r="AC5268" s="260"/>
      <c r="AD5268" s="259"/>
      <c r="AE5268" s="259"/>
      <c r="AF5268" s="260"/>
      <c r="AG5268" s="321"/>
    </row>
    <row r="5269" spans="13:33" hidden="1">
      <c r="M5269"/>
      <c r="N5269" s="239"/>
      <c r="O5269" s="225"/>
      <c r="P5269" s="287"/>
      <c r="Q5269" s="320"/>
      <c r="R5269" s="260"/>
      <c r="S5269" s="260"/>
      <c r="T5269" s="260"/>
      <c r="U5269" s="260"/>
      <c r="V5269" s="260"/>
      <c r="W5269" s="260"/>
      <c r="X5269" s="259"/>
      <c r="Y5269" s="259"/>
      <c r="Z5269" s="260"/>
      <c r="AA5269" s="260"/>
      <c r="AB5269" s="260"/>
      <c r="AC5269" s="260"/>
      <c r="AD5269" s="259"/>
      <c r="AE5269" s="259"/>
      <c r="AF5269" s="260"/>
      <c r="AG5269" s="321"/>
    </row>
    <row r="5270" spans="13:33" hidden="1">
      <c r="M5270"/>
      <c r="N5270" s="239"/>
      <c r="O5270" s="225"/>
      <c r="P5270" s="287"/>
      <c r="Q5270" s="320"/>
      <c r="R5270" s="260"/>
      <c r="S5270" s="260"/>
      <c r="T5270" s="260"/>
      <c r="U5270" s="260"/>
      <c r="V5270" s="260"/>
      <c r="W5270" s="260"/>
      <c r="X5270" s="259"/>
      <c r="Y5270" s="259"/>
      <c r="Z5270" s="260"/>
      <c r="AA5270" s="260"/>
      <c r="AB5270" s="260"/>
      <c r="AC5270" s="260"/>
      <c r="AD5270" s="259"/>
      <c r="AE5270" s="259"/>
      <c r="AF5270" s="260"/>
      <c r="AG5270" s="321"/>
    </row>
    <row r="5271" spans="13:33" hidden="1">
      <c r="M5271"/>
      <c r="N5271" s="239"/>
      <c r="O5271" s="225"/>
      <c r="P5271" s="287"/>
      <c r="Q5271" s="320"/>
      <c r="R5271" s="260"/>
      <c r="S5271" s="260"/>
      <c r="T5271" s="260"/>
      <c r="U5271" s="260"/>
      <c r="V5271" s="260"/>
      <c r="W5271" s="260"/>
      <c r="X5271" s="259"/>
      <c r="Y5271" s="259"/>
      <c r="Z5271" s="260"/>
      <c r="AA5271" s="260"/>
      <c r="AB5271" s="260"/>
      <c r="AC5271" s="260"/>
      <c r="AD5271" s="259"/>
      <c r="AE5271" s="259"/>
      <c r="AF5271" s="260"/>
      <c r="AG5271" s="321"/>
    </row>
    <row r="5272" spans="13:33" hidden="1">
      <c r="M5272"/>
      <c r="N5272" s="239"/>
      <c r="O5272" s="225"/>
      <c r="P5272" s="287"/>
      <c r="Q5272" s="320"/>
      <c r="R5272" s="260"/>
      <c r="S5272" s="260"/>
      <c r="T5272" s="260"/>
      <c r="U5272" s="260"/>
      <c r="V5272" s="260"/>
      <c r="W5272" s="260"/>
      <c r="X5272" s="259"/>
      <c r="Y5272" s="259"/>
      <c r="Z5272" s="260"/>
      <c r="AA5272" s="260"/>
      <c r="AB5272" s="260"/>
      <c r="AC5272" s="260"/>
      <c r="AD5272" s="259"/>
      <c r="AE5272" s="259"/>
      <c r="AF5272" s="260"/>
      <c r="AG5272" s="321"/>
    </row>
    <row r="5273" spans="13:33" hidden="1">
      <c r="M5273"/>
      <c r="N5273" s="239"/>
      <c r="O5273" s="225"/>
      <c r="P5273" s="287"/>
      <c r="Q5273" s="320"/>
      <c r="R5273" s="260"/>
      <c r="S5273" s="260"/>
      <c r="T5273" s="260"/>
      <c r="U5273" s="260"/>
      <c r="V5273" s="260"/>
      <c r="W5273" s="260"/>
      <c r="X5273" s="259"/>
      <c r="Y5273" s="259"/>
      <c r="Z5273" s="260"/>
      <c r="AA5273" s="260"/>
      <c r="AB5273" s="260"/>
      <c r="AC5273" s="260"/>
      <c r="AD5273" s="259"/>
      <c r="AE5273" s="259"/>
      <c r="AF5273" s="260"/>
      <c r="AG5273" s="321"/>
    </row>
    <row r="5274" spans="13:33" hidden="1">
      <c r="M5274"/>
      <c r="N5274" s="239"/>
      <c r="O5274" s="225"/>
      <c r="P5274" s="287"/>
      <c r="Q5274" s="320"/>
      <c r="R5274" s="260"/>
      <c r="S5274" s="260"/>
      <c r="T5274" s="260"/>
      <c r="U5274" s="260"/>
      <c r="V5274" s="260"/>
      <c r="W5274" s="260"/>
      <c r="X5274" s="259"/>
      <c r="Y5274" s="259"/>
      <c r="Z5274" s="260"/>
      <c r="AA5274" s="260"/>
      <c r="AB5274" s="260"/>
      <c r="AC5274" s="260"/>
      <c r="AD5274" s="259"/>
      <c r="AE5274" s="259"/>
      <c r="AF5274" s="260"/>
      <c r="AG5274" s="321"/>
    </row>
    <row r="5275" spans="13:33" hidden="1">
      <c r="M5275"/>
      <c r="N5275" s="239"/>
      <c r="O5275" s="225"/>
      <c r="P5275" s="287"/>
      <c r="Q5275" s="320"/>
      <c r="R5275" s="260"/>
      <c r="S5275" s="260"/>
      <c r="T5275" s="260"/>
      <c r="U5275" s="260"/>
      <c r="V5275" s="260"/>
      <c r="W5275" s="260"/>
      <c r="X5275" s="259"/>
      <c r="Y5275" s="259"/>
      <c r="Z5275" s="260"/>
      <c r="AA5275" s="260"/>
      <c r="AB5275" s="260"/>
      <c r="AC5275" s="260"/>
      <c r="AD5275" s="259"/>
      <c r="AE5275" s="259"/>
      <c r="AF5275" s="260"/>
      <c r="AG5275" s="321"/>
    </row>
    <row r="5276" spans="13:33" hidden="1">
      <c r="M5276"/>
      <c r="N5276" s="239"/>
      <c r="O5276" s="225"/>
      <c r="P5276" s="287"/>
      <c r="Q5276" s="320"/>
      <c r="R5276" s="260"/>
      <c r="S5276" s="260"/>
      <c r="T5276" s="260"/>
      <c r="U5276" s="260"/>
      <c r="V5276" s="260"/>
      <c r="W5276" s="260"/>
      <c r="X5276" s="259"/>
      <c r="Y5276" s="259"/>
      <c r="Z5276" s="260"/>
      <c r="AA5276" s="260"/>
      <c r="AB5276" s="260"/>
      <c r="AC5276" s="260"/>
      <c r="AD5276" s="259"/>
      <c r="AE5276" s="259"/>
      <c r="AF5276" s="260"/>
      <c r="AG5276" s="321"/>
    </row>
    <row r="5277" spans="13:33" hidden="1">
      <c r="M5277"/>
      <c r="N5277" s="239"/>
      <c r="O5277" s="225"/>
      <c r="P5277" s="287"/>
      <c r="Q5277" s="320"/>
      <c r="R5277" s="260"/>
      <c r="S5277" s="260"/>
      <c r="T5277" s="260"/>
      <c r="U5277" s="260"/>
      <c r="V5277" s="260"/>
      <c r="W5277" s="260"/>
      <c r="X5277" s="259"/>
      <c r="Y5277" s="259"/>
      <c r="Z5277" s="260"/>
      <c r="AA5277" s="260"/>
      <c r="AB5277" s="260"/>
      <c r="AC5277" s="260"/>
      <c r="AD5277" s="259"/>
      <c r="AE5277" s="259"/>
      <c r="AF5277" s="260"/>
      <c r="AG5277" s="321"/>
    </row>
    <row r="5278" spans="13:33" hidden="1">
      <c r="M5278"/>
      <c r="N5278" s="239"/>
      <c r="O5278" s="225"/>
      <c r="P5278" s="287"/>
      <c r="Q5278" s="320"/>
      <c r="R5278" s="260"/>
      <c r="S5278" s="260"/>
      <c r="T5278" s="260"/>
      <c r="U5278" s="260"/>
      <c r="V5278" s="260"/>
      <c r="W5278" s="260"/>
      <c r="X5278" s="259"/>
      <c r="Y5278" s="259"/>
      <c r="Z5278" s="260"/>
      <c r="AA5278" s="260"/>
      <c r="AB5278" s="260"/>
      <c r="AC5278" s="260"/>
      <c r="AD5278" s="259"/>
      <c r="AE5278" s="259"/>
      <c r="AF5278" s="260"/>
      <c r="AG5278" s="321"/>
    </row>
    <row r="5279" spans="13:33" hidden="1">
      <c r="M5279"/>
      <c r="N5279" s="239"/>
      <c r="O5279" s="225"/>
      <c r="P5279" s="287"/>
      <c r="Q5279" s="320"/>
      <c r="R5279" s="260"/>
      <c r="S5279" s="260"/>
      <c r="T5279" s="260"/>
      <c r="U5279" s="260"/>
      <c r="V5279" s="260"/>
      <c r="W5279" s="260"/>
      <c r="X5279" s="259"/>
      <c r="Y5279" s="259"/>
      <c r="Z5279" s="260"/>
      <c r="AA5279" s="260"/>
      <c r="AB5279" s="260"/>
      <c r="AC5279" s="260"/>
      <c r="AD5279" s="259"/>
      <c r="AE5279" s="259"/>
      <c r="AF5279" s="260"/>
      <c r="AG5279" s="321"/>
    </row>
    <row r="5280" spans="13:33" hidden="1">
      <c r="M5280"/>
      <c r="N5280" s="239"/>
      <c r="O5280" s="225"/>
      <c r="P5280" s="287"/>
      <c r="Q5280" s="320"/>
      <c r="R5280" s="260"/>
      <c r="S5280" s="260"/>
      <c r="T5280" s="260"/>
      <c r="U5280" s="260"/>
      <c r="V5280" s="260"/>
      <c r="W5280" s="260"/>
      <c r="X5280" s="259"/>
      <c r="Y5280" s="259"/>
      <c r="Z5280" s="260"/>
      <c r="AA5280" s="260"/>
      <c r="AB5280" s="260"/>
      <c r="AC5280" s="260"/>
      <c r="AD5280" s="259"/>
      <c r="AE5280" s="259"/>
      <c r="AF5280" s="260"/>
      <c r="AG5280" s="321"/>
    </row>
    <row r="5281" spans="13:33" hidden="1">
      <c r="M5281"/>
      <c r="N5281" s="239"/>
      <c r="O5281" s="225"/>
      <c r="P5281" s="287"/>
      <c r="Q5281" s="320"/>
      <c r="R5281" s="260"/>
      <c r="S5281" s="260"/>
      <c r="T5281" s="260"/>
      <c r="U5281" s="260"/>
      <c r="V5281" s="260"/>
      <c r="W5281" s="260"/>
      <c r="X5281" s="259"/>
      <c r="Y5281" s="259"/>
      <c r="Z5281" s="260"/>
      <c r="AA5281" s="260"/>
      <c r="AB5281" s="260"/>
      <c r="AC5281" s="260"/>
      <c r="AD5281" s="259"/>
      <c r="AE5281" s="259"/>
      <c r="AF5281" s="260"/>
      <c r="AG5281" s="321"/>
    </row>
    <row r="5282" spans="13:33" hidden="1">
      <c r="M5282"/>
      <c r="N5282" s="239"/>
      <c r="O5282" s="225"/>
      <c r="P5282" s="287"/>
      <c r="Q5282" s="320"/>
      <c r="R5282" s="260"/>
      <c r="S5282" s="260"/>
      <c r="T5282" s="260"/>
      <c r="U5282" s="260"/>
      <c r="V5282" s="260"/>
      <c r="W5282" s="260"/>
      <c r="X5282" s="259"/>
      <c r="Y5282" s="259"/>
      <c r="Z5282" s="260"/>
      <c r="AA5282" s="260"/>
      <c r="AB5282" s="260"/>
      <c r="AC5282" s="260"/>
      <c r="AD5282" s="259"/>
      <c r="AE5282" s="259"/>
      <c r="AF5282" s="260"/>
      <c r="AG5282" s="321"/>
    </row>
    <row r="5283" spans="13:33" hidden="1">
      <c r="M5283"/>
      <c r="N5283" s="239"/>
      <c r="O5283" s="225"/>
      <c r="P5283" s="287"/>
      <c r="Q5283" s="320"/>
      <c r="R5283" s="260"/>
      <c r="S5283" s="260"/>
      <c r="T5283" s="260"/>
      <c r="U5283" s="260"/>
      <c r="V5283" s="260"/>
      <c r="W5283" s="260"/>
      <c r="X5283" s="259"/>
      <c r="Y5283" s="259"/>
      <c r="Z5283" s="260"/>
      <c r="AA5283" s="260"/>
      <c r="AB5283" s="260"/>
      <c r="AC5283" s="260"/>
      <c r="AD5283" s="259"/>
      <c r="AE5283" s="259"/>
      <c r="AF5283" s="260"/>
      <c r="AG5283" s="321"/>
    </row>
    <row r="5284" spans="13:33" hidden="1">
      <c r="M5284"/>
      <c r="N5284" s="239"/>
      <c r="O5284" s="225"/>
      <c r="P5284" s="287"/>
      <c r="Q5284" s="320"/>
      <c r="R5284" s="260"/>
      <c r="S5284" s="260"/>
      <c r="T5284" s="260"/>
      <c r="U5284" s="260"/>
      <c r="V5284" s="260"/>
      <c r="W5284" s="260"/>
      <c r="X5284" s="259"/>
      <c r="Y5284" s="259"/>
      <c r="Z5284" s="260"/>
      <c r="AA5284" s="260"/>
      <c r="AB5284" s="260"/>
      <c r="AC5284" s="260"/>
      <c r="AD5284" s="259"/>
      <c r="AE5284" s="259"/>
      <c r="AF5284" s="260"/>
      <c r="AG5284" s="321"/>
    </row>
    <row r="5285" spans="13:33" hidden="1">
      <c r="M5285"/>
      <c r="N5285" s="239"/>
      <c r="O5285" s="225"/>
      <c r="P5285" s="287"/>
      <c r="Q5285" s="320"/>
      <c r="R5285" s="260"/>
      <c r="S5285" s="260"/>
      <c r="T5285" s="260"/>
      <c r="U5285" s="260"/>
      <c r="V5285" s="260"/>
      <c r="W5285" s="260"/>
      <c r="X5285" s="259"/>
      <c r="Y5285" s="259"/>
      <c r="Z5285" s="260"/>
      <c r="AA5285" s="260"/>
      <c r="AB5285" s="260"/>
      <c r="AC5285" s="260"/>
      <c r="AD5285" s="259"/>
      <c r="AE5285" s="259"/>
      <c r="AF5285" s="260"/>
      <c r="AG5285" s="321"/>
    </row>
    <row r="5286" spans="13:33" hidden="1">
      <c r="M5286"/>
      <c r="N5286" s="239"/>
      <c r="O5286" s="225"/>
      <c r="P5286" s="287"/>
      <c r="Q5286" s="320"/>
      <c r="R5286" s="260"/>
      <c r="S5286" s="260"/>
      <c r="T5286" s="260"/>
      <c r="U5286" s="260"/>
      <c r="V5286" s="260"/>
      <c r="W5286" s="260"/>
      <c r="X5286" s="259"/>
      <c r="Y5286" s="259"/>
      <c r="Z5286" s="260"/>
      <c r="AA5286" s="260"/>
      <c r="AB5286" s="260"/>
      <c r="AC5286" s="260"/>
      <c r="AD5286" s="259"/>
      <c r="AE5286" s="259"/>
      <c r="AF5286" s="260"/>
      <c r="AG5286" s="321"/>
    </row>
    <row r="5287" spans="13:33" hidden="1">
      <c r="M5287"/>
      <c r="N5287" s="239"/>
      <c r="O5287" s="225"/>
      <c r="P5287" s="287"/>
      <c r="Q5287" s="320"/>
      <c r="R5287" s="260"/>
      <c r="S5287" s="260"/>
      <c r="T5287" s="260"/>
      <c r="U5287" s="260"/>
      <c r="V5287" s="260"/>
      <c r="W5287" s="260"/>
      <c r="X5287" s="259"/>
      <c r="Y5287" s="259"/>
      <c r="Z5287" s="260"/>
      <c r="AA5287" s="260"/>
      <c r="AB5287" s="260"/>
      <c r="AC5287" s="260"/>
      <c r="AD5287" s="259"/>
      <c r="AE5287" s="259"/>
      <c r="AF5287" s="260"/>
      <c r="AG5287" s="321"/>
    </row>
    <row r="5288" spans="13:33" hidden="1">
      <c r="M5288"/>
      <c r="N5288" s="239"/>
      <c r="O5288" s="225"/>
      <c r="P5288" s="287"/>
      <c r="Q5288" s="320"/>
      <c r="R5288" s="260"/>
      <c r="S5288" s="260"/>
      <c r="T5288" s="260"/>
      <c r="U5288" s="260"/>
      <c r="V5288" s="260"/>
      <c r="W5288" s="260"/>
      <c r="X5288" s="259"/>
      <c r="Y5288" s="259"/>
      <c r="Z5288" s="260"/>
      <c r="AA5288" s="260"/>
      <c r="AB5288" s="260"/>
      <c r="AC5288" s="260"/>
      <c r="AD5288" s="259"/>
      <c r="AE5288" s="259"/>
      <c r="AF5288" s="260"/>
      <c r="AG5288" s="321"/>
    </row>
    <row r="5289" spans="13:33" hidden="1">
      <c r="M5289"/>
      <c r="N5289" s="239"/>
      <c r="O5289" s="225"/>
      <c r="P5289" s="287"/>
      <c r="Q5289" s="320"/>
      <c r="R5289" s="260"/>
      <c r="S5289" s="260"/>
      <c r="T5289" s="260"/>
      <c r="U5289" s="260"/>
      <c r="V5289" s="260"/>
      <c r="W5289" s="260"/>
      <c r="X5289" s="259"/>
      <c r="Y5289" s="259"/>
      <c r="Z5289" s="260"/>
      <c r="AA5289" s="260"/>
      <c r="AB5289" s="260"/>
      <c r="AC5289" s="260"/>
      <c r="AD5289" s="259"/>
      <c r="AE5289" s="259"/>
      <c r="AF5289" s="260"/>
      <c r="AG5289" s="321"/>
    </row>
    <row r="5290" spans="13:33" hidden="1">
      <c r="M5290"/>
      <c r="N5290" s="239"/>
      <c r="O5290" s="225"/>
      <c r="P5290" s="287"/>
      <c r="Q5290" s="320"/>
      <c r="R5290" s="260"/>
      <c r="S5290" s="260"/>
      <c r="T5290" s="260"/>
      <c r="U5290" s="260"/>
      <c r="V5290" s="260"/>
      <c r="W5290" s="260"/>
      <c r="X5290" s="259"/>
      <c r="Y5290" s="259"/>
      <c r="Z5290" s="260"/>
      <c r="AA5290" s="260"/>
      <c r="AB5290" s="260"/>
      <c r="AC5290" s="260"/>
      <c r="AD5290" s="259"/>
      <c r="AE5290" s="259"/>
      <c r="AF5290" s="260"/>
      <c r="AG5290" s="321"/>
    </row>
    <row r="5291" spans="13:33" hidden="1">
      <c r="M5291"/>
      <c r="N5291" s="239"/>
      <c r="O5291" s="225"/>
      <c r="P5291" s="287"/>
      <c r="Q5291" s="320"/>
      <c r="R5291" s="260"/>
      <c r="S5291" s="260"/>
      <c r="T5291" s="260"/>
      <c r="U5291" s="260"/>
      <c r="V5291" s="260"/>
      <c r="W5291" s="260"/>
      <c r="X5291" s="259"/>
      <c r="Y5291" s="259"/>
      <c r="Z5291" s="260"/>
      <c r="AA5291" s="260"/>
      <c r="AB5291" s="260"/>
      <c r="AC5291" s="260"/>
      <c r="AD5291" s="259"/>
      <c r="AE5291" s="259"/>
      <c r="AF5291" s="260"/>
      <c r="AG5291" s="321"/>
    </row>
    <row r="5292" spans="13:33" hidden="1">
      <c r="M5292"/>
      <c r="N5292" s="239"/>
      <c r="O5292" s="225"/>
      <c r="P5292" s="287"/>
      <c r="Q5292" s="320"/>
      <c r="R5292" s="260"/>
      <c r="S5292" s="260"/>
      <c r="T5292" s="260"/>
      <c r="U5292" s="260"/>
      <c r="V5292" s="260"/>
      <c r="W5292" s="260"/>
      <c r="X5292" s="259"/>
      <c r="Y5292" s="259"/>
      <c r="Z5292" s="260"/>
      <c r="AA5292" s="260"/>
      <c r="AB5292" s="260"/>
      <c r="AC5292" s="260"/>
      <c r="AD5292" s="259"/>
      <c r="AE5292" s="259"/>
      <c r="AF5292" s="260"/>
      <c r="AG5292" s="321"/>
    </row>
    <row r="5293" spans="13:33" hidden="1">
      <c r="M5293"/>
      <c r="N5293" s="239"/>
      <c r="O5293" s="225"/>
      <c r="P5293" s="287"/>
      <c r="Q5293" s="320"/>
      <c r="R5293" s="260"/>
      <c r="S5293" s="260"/>
      <c r="T5293" s="260"/>
      <c r="U5293" s="260"/>
      <c r="V5293" s="260"/>
      <c r="W5293" s="260"/>
      <c r="X5293" s="259"/>
      <c r="Y5293" s="259"/>
      <c r="Z5293" s="260"/>
      <c r="AA5293" s="260"/>
      <c r="AB5293" s="260"/>
      <c r="AC5293" s="260"/>
      <c r="AD5293" s="259"/>
      <c r="AE5293" s="259"/>
      <c r="AF5293" s="260"/>
      <c r="AG5293" s="321"/>
    </row>
    <row r="5294" spans="13:33" hidden="1">
      <c r="M5294"/>
      <c r="N5294" s="239"/>
      <c r="O5294" s="225"/>
      <c r="P5294" s="287"/>
      <c r="Q5294" s="320"/>
      <c r="R5294" s="260"/>
      <c r="S5294" s="260"/>
      <c r="T5294" s="260"/>
      <c r="U5294" s="260"/>
      <c r="V5294" s="260"/>
      <c r="W5294" s="260"/>
      <c r="X5294" s="259"/>
      <c r="Y5294" s="259"/>
      <c r="Z5294" s="260"/>
      <c r="AA5294" s="260"/>
      <c r="AB5294" s="260"/>
      <c r="AC5294" s="260"/>
      <c r="AD5294" s="259"/>
      <c r="AE5294" s="259"/>
      <c r="AF5294" s="260"/>
      <c r="AG5294" s="321"/>
    </row>
    <row r="5295" spans="13:33" hidden="1">
      <c r="M5295"/>
      <c r="N5295" s="239"/>
      <c r="O5295" s="225"/>
      <c r="P5295" s="287"/>
      <c r="Q5295" s="320"/>
      <c r="R5295" s="260"/>
      <c r="S5295" s="260"/>
      <c r="T5295" s="260"/>
      <c r="U5295" s="260"/>
      <c r="V5295" s="260"/>
      <c r="W5295" s="260"/>
      <c r="X5295" s="259"/>
      <c r="Y5295" s="259"/>
      <c r="Z5295" s="260"/>
      <c r="AA5295" s="260"/>
      <c r="AB5295" s="260"/>
      <c r="AC5295" s="260"/>
      <c r="AD5295" s="259"/>
      <c r="AE5295" s="259"/>
      <c r="AF5295" s="260"/>
      <c r="AG5295" s="321"/>
    </row>
    <row r="5296" spans="13:33" hidden="1">
      <c r="M5296"/>
      <c r="N5296" s="239"/>
      <c r="O5296" s="225"/>
      <c r="P5296" s="287"/>
      <c r="Q5296" s="320"/>
      <c r="R5296" s="260"/>
      <c r="S5296" s="260"/>
      <c r="T5296" s="260"/>
      <c r="U5296" s="260"/>
      <c r="V5296" s="260"/>
      <c r="W5296" s="260"/>
      <c r="X5296" s="259"/>
      <c r="Y5296" s="259"/>
      <c r="Z5296" s="260"/>
      <c r="AA5296" s="260"/>
      <c r="AB5296" s="260"/>
      <c r="AC5296" s="260"/>
      <c r="AD5296" s="259"/>
      <c r="AE5296" s="259"/>
      <c r="AF5296" s="260"/>
      <c r="AG5296" s="321"/>
    </row>
    <row r="5297" spans="13:33" hidden="1">
      <c r="M5297"/>
      <c r="N5297" s="239"/>
      <c r="O5297" s="225"/>
      <c r="P5297" s="287"/>
      <c r="Q5297" s="320"/>
      <c r="R5297" s="260"/>
      <c r="S5297" s="260"/>
      <c r="T5297" s="260"/>
      <c r="U5297" s="260"/>
      <c r="V5297" s="260"/>
      <c r="W5297" s="260"/>
      <c r="X5297" s="259"/>
      <c r="Y5297" s="259"/>
      <c r="Z5297" s="260"/>
      <c r="AA5297" s="260"/>
      <c r="AB5297" s="260"/>
      <c r="AC5297" s="260"/>
      <c r="AD5297" s="259"/>
      <c r="AE5297" s="259"/>
      <c r="AF5297" s="260"/>
      <c r="AG5297" s="321"/>
    </row>
    <row r="5298" spans="13:33" hidden="1">
      <c r="M5298"/>
      <c r="N5298" s="239"/>
      <c r="O5298" s="225"/>
      <c r="P5298" s="287"/>
      <c r="Q5298" s="320"/>
      <c r="R5298" s="260"/>
      <c r="S5298" s="260"/>
      <c r="T5298" s="260"/>
      <c r="U5298" s="260"/>
      <c r="V5298" s="260"/>
      <c r="W5298" s="260"/>
      <c r="X5298" s="259"/>
      <c r="Y5298" s="259"/>
      <c r="Z5298" s="260"/>
      <c r="AA5298" s="260"/>
      <c r="AB5298" s="260"/>
      <c r="AC5298" s="260"/>
      <c r="AD5298" s="259"/>
      <c r="AE5298" s="259"/>
      <c r="AF5298" s="260"/>
      <c r="AG5298" s="321"/>
    </row>
    <row r="5299" spans="13:33" hidden="1">
      <c r="M5299"/>
      <c r="N5299" s="239"/>
      <c r="O5299" s="225"/>
      <c r="P5299" s="287"/>
      <c r="Q5299" s="320"/>
      <c r="R5299" s="260"/>
      <c r="S5299" s="260"/>
      <c r="T5299" s="260"/>
      <c r="U5299" s="260"/>
      <c r="V5299" s="260"/>
      <c r="W5299" s="260"/>
      <c r="X5299" s="259"/>
      <c r="Y5299" s="259"/>
      <c r="Z5299" s="260"/>
      <c r="AA5299" s="260"/>
      <c r="AB5299" s="260"/>
      <c r="AC5299" s="260"/>
      <c r="AD5299" s="259"/>
      <c r="AE5299" s="259"/>
      <c r="AF5299" s="260"/>
      <c r="AG5299" s="321"/>
    </row>
    <row r="5300" spans="13:33" hidden="1">
      <c r="M5300"/>
      <c r="N5300" s="239"/>
      <c r="O5300" s="225"/>
      <c r="P5300" s="287"/>
      <c r="Q5300" s="320"/>
      <c r="R5300" s="260"/>
      <c r="S5300" s="260"/>
      <c r="T5300" s="260"/>
      <c r="U5300" s="260"/>
      <c r="V5300" s="260"/>
      <c r="W5300" s="260"/>
      <c r="X5300" s="259"/>
      <c r="Y5300" s="259"/>
      <c r="Z5300" s="260"/>
      <c r="AA5300" s="260"/>
      <c r="AB5300" s="260"/>
      <c r="AC5300" s="260"/>
      <c r="AD5300" s="259"/>
      <c r="AE5300" s="259"/>
      <c r="AF5300" s="260"/>
      <c r="AG5300" s="321"/>
    </row>
    <row r="5301" spans="13:33" hidden="1">
      <c r="M5301"/>
      <c r="N5301" s="239"/>
      <c r="O5301" s="225"/>
      <c r="P5301" s="287"/>
      <c r="Q5301" s="320"/>
      <c r="R5301" s="260"/>
      <c r="S5301" s="260"/>
      <c r="T5301" s="260"/>
      <c r="U5301" s="260"/>
      <c r="V5301" s="260"/>
      <c r="W5301" s="260"/>
      <c r="X5301" s="259"/>
      <c r="Y5301" s="259"/>
      <c r="Z5301" s="260"/>
      <c r="AA5301" s="260"/>
      <c r="AB5301" s="260"/>
      <c r="AC5301" s="260"/>
      <c r="AD5301" s="259"/>
      <c r="AE5301" s="259"/>
      <c r="AF5301" s="260"/>
      <c r="AG5301" s="321"/>
    </row>
    <row r="5302" spans="13:33" hidden="1">
      <c r="M5302"/>
      <c r="N5302" s="239"/>
      <c r="O5302" s="225"/>
      <c r="P5302" s="287"/>
      <c r="Q5302" s="320"/>
      <c r="R5302" s="260"/>
      <c r="S5302" s="260"/>
      <c r="T5302" s="260"/>
      <c r="U5302" s="260"/>
      <c r="V5302" s="260"/>
      <c r="W5302" s="260"/>
      <c r="X5302" s="259"/>
      <c r="Y5302" s="259"/>
      <c r="Z5302" s="260"/>
      <c r="AA5302" s="260"/>
      <c r="AB5302" s="260"/>
      <c r="AC5302" s="260"/>
      <c r="AD5302" s="259"/>
      <c r="AE5302" s="259"/>
      <c r="AF5302" s="260"/>
      <c r="AG5302" s="321"/>
    </row>
    <row r="5303" spans="13:33" hidden="1">
      <c r="M5303"/>
      <c r="N5303" s="239"/>
      <c r="O5303" s="225"/>
      <c r="P5303" s="287"/>
      <c r="Q5303" s="320"/>
      <c r="R5303" s="260"/>
      <c r="S5303" s="260"/>
      <c r="T5303" s="260"/>
      <c r="U5303" s="260"/>
      <c r="V5303" s="260"/>
      <c r="W5303" s="260"/>
      <c r="X5303" s="259"/>
      <c r="Y5303" s="259"/>
      <c r="Z5303" s="260"/>
      <c r="AA5303" s="260"/>
      <c r="AB5303" s="260"/>
      <c r="AC5303" s="260"/>
      <c r="AD5303" s="259"/>
      <c r="AE5303" s="259"/>
      <c r="AF5303" s="260"/>
      <c r="AG5303" s="321"/>
    </row>
    <row r="5304" spans="13:33" hidden="1">
      <c r="M5304"/>
      <c r="N5304" s="239"/>
      <c r="O5304" s="225"/>
      <c r="P5304" s="287"/>
      <c r="Q5304" s="320"/>
      <c r="R5304" s="260"/>
      <c r="S5304" s="260"/>
      <c r="T5304" s="260"/>
      <c r="U5304" s="260"/>
      <c r="V5304" s="260"/>
      <c r="W5304" s="260"/>
      <c r="X5304" s="259"/>
      <c r="Y5304" s="259"/>
      <c r="Z5304" s="260"/>
      <c r="AA5304" s="260"/>
      <c r="AB5304" s="260"/>
      <c r="AC5304" s="260"/>
      <c r="AD5304" s="259"/>
      <c r="AE5304" s="259"/>
      <c r="AF5304" s="260"/>
      <c r="AG5304" s="321"/>
    </row>
    <row r="5305" spans="13:33" hidden="1">
      <c r="M5305"/>
      <c r="N5305" s="239"/>
      <c r="O5305" s="225"/>
      <c r="P5305" s="287"/>
      <c r="Q5305" s="320"/>
      <c r="R5305" s="260"/>
      <c r="S5305" s="260"/>
      <c r="T5305" s="260"/>
      <c r="U5305" s="260"/>
      <c r="V5305" s="260"/>
      <c r="W5305" s="260"/>
      <c r="X5305" s="259"/>
      <c r="Y5305" s="259"/>
      <c r="Z5305" s="260"/>
      <c r="AA5305" s="260"/>
      <c r="AB5305" s="260"/>
      <c r="AC5305" s="260"/>
      <c r="AD5305" s="259"/>
      <c r="AE5305" s="259"/>
      <c r="AF5305" s="260"/>
      <c r="AG5305" s="321"/>
    </row>
    <row r="5306" spans="13:33" hidden="1">
      <c r="M5306"/>
      <c r="N5306" s="239"/>
      <c r="O5306" s="225"/>
      <c r="P5306" s="287"/>
      <c r="Q5306" s="320"/>
      <c r="R5306" s="260"/>
      <c r="S5306" s="260"/>
      <c r="T5306" s="260"/>
      <c r="U5306" s="260"/>
      <c r="V5306" s="260"/>
      <c r="W5306" s="260"/>
      <c r="X5306" s="259"/>
      <c r="Y5306" s="259"/>
      <c r="Z5306" s="260"/>
      <c r="AA5306" s="260"/>
      <c r="AB5306" s="260"/>
      <c r="AC5306" s="260"/>
      <c r="AD5306" s="259"/>
      <c r="AE5306" s="259"/>
      <c r="AF5306" s="260"/>
      <c r="AG5306" s="321"/>
    </row>
    <row r="5307" spans="13:33" hidden="1">
      <c r="M5307"/>
      <c r="N5307" s="239"/>
      <c r="O5307" s="225"/>
      <c r="P5307" s="287"/>
      <c r="Q5307" s="320"/>
      <c r="R5307" s="260"/>
      <c r="S5307" s="260"/>
      <c r="T5307" s="260"/>
      <c r="U5307" s="260"/>
      <c r="V5307" s="260"/>
      <c r="W5307" s="260"/>
      <c r="X5307" s="259"/>
      <c r="Y5307" s="259"/>
      <c r="Z5307" s="260"/>
      <c r="AA5307" s="260"/>
      <c r="AB5307" s="260"/>
      <c r="AC5307" s="260"/>
      <c r="AD5307" s="259"/>
      <c r="AE5307" s="259"/>
      <c r="AF5307" s="260"/>
      <c r="AG5307" s="321"/>
    </row>
    <row r="5308" spans="13:33" hidden="1">
      <c r="M5308"/>
      <c r="N5308" s="239"/>
      <c r="O5308" s="225"/>
      <c r="P5308" s="287"/>
      <c r="Q5308" s="320"/>
      <c r="R5308" s="260"/>
      <c r="S5308" s="260"/>
      <c r="T5308" s="260"/>
      <c r="U5308" s="260"/>
      <c r="V5308" s="260"/>
      <c r="W5308" s="260"/>
      <c r="X5308" s="259"/>
      <c r="Y5308" s="259"/>
      <c r="Z5308" s="260"/>
      <c r="AA5308" s="260"/>
      <c r="AB5308" s="260"/>
      <c r="AC5308" s="260"/>
      <c r="AD5308" s="259"/>
      <c r="AE5308" s="259"/>
      <c r="AF5308" s="260"/>
      <c r="AG5308" s="321"/>
    </row>
    <row r="5309" spans="13:33" hidden="1">
      <c r="M5309"/>
      <c r="N5309" s="239"/>
      <c r="O5309" s="225"/>
      <c r="P5309" s="287"/>
      <c r="Q5309" s="320"/>
      <c r="R5309" s="260"/>
      <c r="S5309" s="260"/>
      <c r="T5309" s="260"/>
      <c r="U5309" s="260"/>
      <c r="V5309" s="260"/>
      <c r="W5309" s="260"/>
      <c r="X5309" s="259"/>
      <c r="Y5309" s="259"/>
      <c r="Z5309" s="260"/>
      <c r="AA5309" s="260"/>
      <c r="AB5309" s="260"/>
      <c r="AC5309" s="260"/>
      <c r="AD5309" s="259"/>
      <c r="AE5309" s="259"/>
      <c r="AF5309" s="260"/>
      <c r="AG5309" s="321"/>
    </row>
    <row r="5310" spans="13:33" hidden="1">
      <c r="M5310"/>
      <c r="N5310" s="239"/>
      <c r="O5310" s="225"/>
      <c r="P5310" s="287"/>
      <c r="Q5310" s="320"/>
      <c r="R5310" s="260"/>
      <c r="S5310" s="260"/>
      <c r="T5310" s="260"/>
      <c r="U5310" s="260"/>
      <c r="V5310" s="260"/>
      <c r="W5310" s="260"/>
      <c r="X5310" s="259"/>
      <c r="Y5310" s="259"/>
      <c r="Z5310" s="260"/>
      <c r="AA5310" s="260"/>
      <c r="AB5310" s="260"/>
      <c r="AC5310" s="260"/>
      <c r="AD5310" s="259"/>
      <c r="AE5310" s="259"/>
      <c r="AF5310" s="260"/>
      <c r="AG5310" s="321"/>
    </row>
    <row r="5311" spans="13:33" hidden="1">
      <c r="M5311"/>
      <c r="N5311" s="239"/>
      <c r="O5311" s="225"/>
      <c r="P5311" s="287"/>
      <c r="Q5311" s="320"/>
      <c r="R5311" s="260"/>
      <c r="S5311" s="260"/>
      <c r="T5311" s="260"/>
      <c r="U5311" s="260"/>
      <c r="V5311" s="260"/>
      <c r="W5311" s="260"/>
      <c r="X5311" s="259"/>
      <c r="Y5311" s="259"/>
      <c r="Z5311" s="260"/>
      <c r="AA5311" s="260"/>
      <c r="AB5311" s="260"/>
      <c r="AC5311" s="260"/>
      <c r="AD5311" s="259"/>
      <c r="AE5311" s="259"/>
      <c r="AF5311" s="260"/>
      <c r="AG5311" s="321"/>
    </row>
    <row r="5312" spans="13:33" hidden="1">
      <c r="M5312"/>
      <c r="N5312" s="239"/>
      <c r="O5312" s="225"/>
      <c r="P5312" s="287"/>
      <c r="Q5312" s="320"/>
      <c r="R5312" s="260"/>
      <c r="S5312" s="260"/>
      <c r="T5312" s="260"/>
      <c r="U5312" s="260"/>
      <c r="V5312" s="260"/>
      <c r="W5312" s="260"/>
      <c r="X5312" s="259"/>
      <c r="Y5312" s="259"/>
      <c r="Z5312" s="260"/>
      <c r="AA5312" s="260"/>
      <c r="AB5312" s="260"/>
      <c r="AC5312" s="260"/>
      <c r="AD5312" s="259"/>
      <c r="AE5312" s="259"/>
      <c r="AF5312" s="260"/>
      <c r="AG5312" s="321"/>
    </row>
    <row r="5313" spans="13:33" hidden="1">
      <c r="M5313"/>
      <c r="N5313" s="239"/>
      <c r="O5313" s="225"/>
      <c r="P5313" s="287"/>
      <c r="Q5313" s="320"/>
      <c r="R5313" s="260"/>
      <c r="S5313" s="260"/>
      <c r="T5313" s="260"/>
      <c r="U5313" s="260"/>
      <c r="V5313" s="260"/>
      <c r="W5313" s="260"/>
      <c r="X5313" s="259"/>
      <c r="Y5313" s="259"/>
      <c r="Z5313" s="260"/>
      <c r="AA5313" s="260"/>
      <c r="AB5313" s="260"/>
      <c r="AC5313" s="260"/>
      <c r="AD5313" s="259"/>
      <c r="AE5313" s="259"/>
      <c r="AF5313" s="260"/>
      <c r="AG5313" s="321"/>
    </row>
    <row r="5314" spans="13:33" hidden="1">
      <c r="M5314"/>
      <c r="N5314" s="239"/>
      <c r="O5314" s="225"/>
      <c r="P5314" s="287"/>
      <c r="Q5314" s="320"/>
      <c r="R5314" s="260"/>
      <c r="S5314" s="260"/>
      <c r="T5314" s="260"/>
      <c r="U5314" s="260"/>
      <c r="V5314" s="260"/>
      <c r="W5314" s="260"/>
      <c r="X5314" s="259"/>
      <c r="Y5314" s="259"/>
      <c r="Z5314" s="260"/>
      <c r="AA5314" s="260"/>
      <c r="AB5314" s="260"/>
      <c r="AC5314" s="260"/>
      <c r="AD5314" s="259"/>
      <c r="AE5314" s="259"/>
      <c r="AF5314" s="260"/>
      <c r="AG5314" s="321"/>
    </row>
    <row r="5315" spans="13:33" hidden="1">
      <c r="M5315"/>
      <c r="N5315" s="239"/>
      <c r="O5315" s="225"/>
      <c r="P5315" s="287"/>
      <c r="Q5315" s="320"/>
      <c r="R5315" s="260"/>
      <c r="S5315" s="260"/>
      <c r="T5315" s="260"/>
      <c r="U5315" s="260"/>
      <c r="V5315" s="260"/>
      <c r="W5315" s="260"/>
      <c r="X5315" s="259"/>
      <c r="Y5315" s="259"/>
      <c r="Z5315" s="260"/>
      <c r="AA5315" s="260"/>
      <c r="AB5315" s="260"/>
      <c r="AC5315" s="260"/>
      <c r="AD5315" s="259"/>
      <c r="AE5315" s="259"/>
      <c r="AF5315" s="260"/>
      <c r="AG5315" s="321"/>
    </row>
    <row r="5316" spans="13:33" hidden="1">
      <c r="M5316"/>
      <c r="N5316" s="239"/>
      <c r="O5316" s="225"/>
      <c r="P5316" s="287"/>
      <c r="Q5316" s="320"/>
      <c r="R5316" s="260"/>
      <c r="S5316" s="260"/>
      <c r="T5316" s="260"/>
      <c r="U5316" s="260"/>
      <c r="V5316" s="260"/>
      <c r="W5316" s="260"/>
      <c r="X5316" s="259"/>
      <c r="Y5316" s="259"/>
      <c r="Z5316" s="260"/>
      <c r="AA5316" s="260"/>
      <c r="AB5316" s="260"/>
      <c r="AC5316" s="260"/>
      <c r="AD5316" s="259"/>
      <c r="AE5316" s="259"/>
      <c r="AF5316" s="260"/>
      <c r="AG5316" s="321"/>
    </row>
    <row r="5317" spans="13:33" hidden="1">
      <c r="M5317"/>
      <c r="N5317" s="239"/>
      <c r="O5317" s="225"/>
      <c r="P5317" s="287"/>
      <c r="Q5317" s="320"/>
      <c r="R5317" s="260"/>
      <c r="S5317" s="260"/>
      <c r="T5317" s="260"/>
      <c r="U5317" s="260"/>
      <c r="V5317" s="260"/>
      <c r="W5317" s="260"/>
      <c r="X5317" s="259"/>
      <c r="Y5317" s="259"/>
      <c r="Z5317" s="260"/>
      <c r="AA5317" s="260"/>
      <c r="AB5317" s="260"/>
      <c r="AC5317" s="260"/>
      <c r="AD5317" s="259"/>
      <c r="AE5317" s="259"/>
      <c r="AF5317" s="260"/>
      <c r="AG5317" s="321"/>
    </row>
    <row r="5318" spans="13:33" hidden="1">
      <c r="M5318"/>
      <c r="N5318" s="239"/>
      <c r="O5318" s="225"/>
      <c r="P5318" s="287"/>
      <c r="Q5318" s="320"/>
      <c r="R5318" s="260"/>
      <c r="S5318" s="260"/>
      <c r="T5318" s="260"/>
      <c r="U5318" s="260"/>
      <c r="V5318" s="260"/>
      <c r="W5318" s="260"/>
      <c r="X5318" s="259"/>
      <c r="Y5318" s="259"/>
      <c r="Z5318" s="260"/>
      <c r="AA5318" s="260"/>
      <c r="AB5318" s="260"/>
      <c r="AC5318" s="260"/>
      <c r="AD5318" s="259"/>
      <c r="AE5318" s="259"/>
      <c r="AF5318" s="260"/>
      <c r="AG5318" s="321"/>
    </row>
    <row r="5319" spans="13:33" hidden="1">
      <c r="M5319"/>
      <c r="N5319" s="239"/>
      <c r="O5319" s="225"/>
      <c r="P5319" s="287"/>
      <c r="Q5319" s="320"/>
      <c r="R5319" s="260"/>
      <c r="S5319" s="260"/>
      <c r="T5319" s="260"/>
      <c r="U5319" s="260"/>
      <c r="V5319" s="260"/>
      <c r="W5319" s="260"/>
      <c r="X5319" s="259"/>
      <c r="Y5319" s="259"/>
      <c r="Z5319" s="260"/>
      <c r="AA5319" s="260"/>
      <c r="AB5319" s="260"/>
      <c r="AC5319" s="260"/>
      <c r="AD5319" s="259"/>
      <c r="AE5319" s="259"/>
      <c r="AF5319" s="260"/>
      <c r="AG5319" s="321"/>
    </row>
    <row r="5320" spans="13:33" hidden="1">
      <c r="M5320"/>
      <c r="N5320" s="239"/>
      <c r="O5320" s="225"/>
      <c r="P5320" s="287"/>
      <c r="Q5320" s="320"/>
      <c r="R5320" s="260"/>
      <c r="S5320" s="260"/>
      <c r="T5320" s="260"/>
      <c r="U5320" s="260"/>
      <c r="V5320" s="260"/>
      <c r="W5320" s="260"/>
      <c r="X5320" s="259"/>
      <c r="Y5320" s="259"/>
      <c r="Z5320" s="260"/>
      <c r="AA5320" s="260"/>
      <c r="AB5320" s="260"/>
      <c r="AC5320" s="260"/>
      <c r="AD5320" s="259"/>
      <c r="AE5320" s="259"/>
      <c r="AF5320" s="260"/>
      <c r="AG5320" s="321"/>
    </row>
    <row r="5321" spans="13:33" hidden="1">
      <c r="M5321"/>
      <c r="N5321" s="239"/>
      <c r="O5321" s="225"/>
      <c r="P5321" s="287"/>
      <c r="Q5321" s="320"/>
      <c r="R5321" s="260"/>
      <c r="S5321" s="260"/>
      <c r="T5321" s="260"/>
      <c r="U5321" s="260"/>
      <c r="V5321" s="260"/>
      <c r="W5321" s="260"/>
      <c r="X5321" s="259"/>
      <c r="Y5321" s="259"/>
      <c r="Z5321" s="260"/>
      <c r="AA5321" s="260"/>
      <c r="AB5321" s="260"/>
      <c r="AC5321" s="260"/>
      <c r="AD5321" s="259"/>
      <c r="AE5321" s="259"/>
      <c r="AF5321" s="260"/>
      <c r="AG5321" s="321"/>
    </row>
    <row r="5322" spans="13:33" hidden="1">
      <c r="M5322"/>
      <c r="N5322" s="239"/>
      <c r="O5322" s="225"/>
      <c r="P5322" s="287"/>
      <c r="Q5322" s="320"/>
      <c r="R5322" s="260"/>
      <c r="S5322" s="260"/>
      <c r="T5322" s="260"/>
      <c r="U5322" s="260"/>
      <c r="V5322" s="260"/>
      <c r="W5322" s="260"/>
      <c r="X5322" s="259"/>
      <c r="Y5322" s="259"/>
      <c r="Z5322" s="260"/>
      <c r="AA5322" s="260"/>
      <c r="AB5322" s="260"/>
      <c r="AC5322" s="260"/>
      <c r="AD5322" s="259"/>
      <c r="AE5322" s="259"/>
      <c r="AF5322" s="260"/>
      <c r="AG5322" s="321"/>
    </row>
    <row r="5323" spans="13:33" hidden="1">
      <c r="M5323"/>
      <c r="N5323" s="239"/>
      <c r="O5323" s="225"/>
      <c r="P5323" s="287"/>
      <c r="Q5323" s="320"/>
      <c r="R5323" s="260"/>
      <c r="S5323" s="260"/>
      <c r="T5323" s="260"/>
      <c r="U5323" s="260"/>
      <c r="V5323" s="260"/>
      <c r="W5323" s="260"/>
      <c r="X5323" s="259"/>
      <c r="Y5323" s="259"/>
      <c r="Z5323" s="260"/>
      <c r="AA5323" s="260"/>
      <c r="AB5323" s="260"/>
      <c r="AC5323" s="260"/>
      <c r="AD5323" s="259"/>
      <c r="AE5323" s="259"/>
      <c r="AF5323" s="260"/>
      <c r="AG5323" s="321"/>
    </row>
    <row r="5324" spans="13:33" hidden="1">
      <c r="M5324"/>
      <c r="N5324" s="239"/>
      <c r="O5324" s="225"/>
      <c r="P5324" s="287"/>
      <c r="Q5324" s="320"/>
      <c r="R5324" s="260"/>
      <c r="S5324" s="260"/>
      <c r="T5324" s="260"/>
      <c r="U5324" s="260"/>
      <c r="V5324" s="260"/>
      <c r="W5324" s="260"/>
      <c r="X5324" s="259"/>
      <c r="Y5324" s="259"/>
      <c r="Z5324" s="260"/>
      <c r="AA5324" s="260"/>
      <c r="AB5324" s="260"/>
      <c r="AC5324" s="260"/>
      <c r="AD5324" s="259"/>
      <c r="AE5324" s="259"/>
      <c r="AF5324" s="260"/>
      <c r="AG5324" s="321"/>
    </row>
    <row r="5325" spans="13:33" hidden="1">
      <c r="M5325"/>
      <c r="N5325" s="239"/>
      <c r="O5325" s="225"/>
      <c r="P5325" s="287"/>
      <c r="Q5325" s="320"/>
      <c r="R5325" s="260"/>
      <c r="S5325" s="260"/>
      <c r="T5325" s="260"/>
      <c r="U5325" s="260"/>
      <c r="V5325" s="260"/>
      <c r="W5325" s="260"/>
      <c r="X5325" s="259"/>
      <c r="Y5325" s="259"/>
      <c r="Z5325" s="260"/>
      <c r="AA5325" s="260"/>
      <c r="AB5325" s="260"/>
      <c r="AC5325" s="260"/>
      <c r="AD5325" s="259"/>
      <c r="AE5325" s="259"/>
      <c r="AF5325" s="260"/>
      <c r="AG5325" s="321"/>
    </row>
    <row r="5326" spans="13:33" hidden="1">
      <c r="M5326"/>
      <c r="N5326" s="239"/>
      <c r="O5326" s="225"/>
      <c r="P5326" s="287"/>
      <c r="Q5326" s="320"/>
      <c r="R5326" s="260"/>
      <c r="S5326" s="260"/>
      <c r="T5326" s="260"/>
      <c r="U5326" s="260"/>
      <c r="V5326" s="260"/>
      <c r="W5326" s="260"/>
      <c r="X5326" s="259"/>
      <c r="Y5326" s="259"/>
      <c r="Z5326" s="260"/>
      <c r="AA5326" s="260"/>
      <c r="AB5326" s="260"/>
      <c r="AC5326" s="260"/>
      <c r="AD5326" s="259"/>
      <c r="AE5326" s="259"/>
      <c r="AF5326" s="260"/>
      <c r="AG5326" s="321"/>
    </row>
    <row r="5327" spans="13:33" hidden="1">
      <c r="M5327"/>
      <c r="N5327" s="239"/>
      <c r="O5327" s="225"/>
      <c r="P5327" s="287"/>
      <c r="Q5327" s="320"/>
      <c r="R5327" s="260"/>
      <c r="S5327" s="260"/>
      <c r="T5327" s="260"/>
      <c r="U5327" s="260"/>
      <c r="V5327" s="260"/>
      <c r="W5327" s="260"/>
      <c r="X5327" s="259"/>
      <c r="Y5327" s="259"/>
      <c r="Z5327" s="260"/>
      <c r="AA5327" s="260"/>
      <c r="AB5327" s="260"/>
      <c r="AC5327" s="260"/>
      <c r="AD5327" s="259"/>
      <c r="AE5327" s="259"/>
      <c r="AF5327" s="260"/>
      <c r="AG5327" s="321"/>
    </row>
    <row r="5328" spans="13:33" hidden="1">
      <c r="M5328"/>
      <c r="N5328" s="239"/>
      <c r="O5328" s="225"/>
      <c r="P5328" s="287"/>
      <c r="Q5328" s="320"/>
      <c r="R5328" s="260"/>
      <c r="S5328" s="260"/>
      <c r="T5328" s="260"/>
      <c r="U5328" s="260"/>
      <c r="V5328" s="260"/>
      <c r="W5328" s="260"/>
      <c r="X5328" s="259"/>
      <c r="Y5328" s="259"/>
      <c r="Z5328" s="260"/>
      <c r="AA5328" s="260"/>
      <c r="AB5328" s="260"/>
      <c r="AC5328" s="260"/>
      <c r="AD5328" s="259"/>
      <c r="AE5328" s="259"/>
      <c r="AF5328" s="260"/>
      <c r="AG5328" s="321"/>
    </row>
    <row r="5329" spans="13:33" hidden="1">
      <c r="M5329"/>
      <c r="N5329" s="239"/>
      <c r="O5329" s="225"/>
      <c r="P5329" s="287"/>
      <c r="Q5329" s="320"/>
      <c r="R5329" s="260"/>
      <c r="S5329" s="260"/>
      <c r="T5329" s="260"/>
      <c r="U5329" s="260"/>
      <c r="V5329" s="260"/>
      <c r="W5329" s="260"/>
      <c r="X5329" s="259"/>
      <c r="Y5329" s="259"/>
      <c r="Z5329" s="260"/>
      <c r="AA5329" s="260"/>
      <c r="AB5329" s="260"/>
      <c r="AC5329" s="260"/>
      <c r="AD5329" s="259"/>
      <c r="AE5329" s="259"/>
      <c r="AF5329" s="260"/>
      <c r="AG5329" s="321"/>
    </row>
    <row r="5330" spans="13:33" hidden="1">
      <c r="M5330"/>
      <c r="N5330" s="239"/>
      <c r="O5330" s="225"/>
      <c r="P5330" s="287"/>
      <c r="Q5330" s="320"/>
      <c r="R5330" s="260"/>
      <c r="S5330" s="260"/>
      <c r="T5330" s="260"/>
      <c r="U5330" s="260"/>
      <c r="V5330" s="260"/>
      <c r="W5330" s="260"/>
      <c r="X5330" s="259"/>
      <c r="Y5330" s="259"/>
      <c r="Z5330" s="260"/>
      <c r="AA5330" s="260"/>
      <c r="AB5330" s="260"/>
      <c r="AC5330" s="260"/>
      <c r="AD5330" s="259"/>
      <c r="AE5330" s="259"/>
      <c r="AF5330" s="260"/>
      <c r="AG5330" s="321"/>
    </row>
    <row r="5331" spans="13:33" hidden="1">
      <c r="M5331"/>
      <c r="N5331" s="239"/>
      <c r="O5331" s="225"/>
      <c r="P5331" s="287"/>
      <c r="Q5331" s="320"/>
      <c r="R5331" s="260"/>
      <c r="S5331" s="260"/>
      <c r="T5331" s="260"/>
      <c r="U5331" s="260"/>
      <c r="V5331" s="260"/>
      <c r="W5331" s="260"/>
      <c r="X5331" s="259"/>
      <c r="Y5331" s="259"/>
      <c r="Z5331" s="260"/>
      <c r="AA5331" s="260"/>
      <c r="AB5331" s="260"/>
      <c r="AC5331" s="260"/>
      <c r="AD5331" s="259"/>
      <c r="AE5331" s="259"/>
      <c r="AF5331" s="260"/>
      <c r="AG5331" s="321"/>
    </row>
    <row r="5332" spans="13:33" hidden="1">
      <c r="M5332"/>
      <c r="N5332" s="239"/>
      <c r="O5332" s="225"/>
      <c r="P5332" s="260"/>
      <c r="Q5332" s="320"/>
      <c r="R5332" s="260"/>
      <c r="S5332" s="260"/>
      <c r="T5332" s="260"/>
      <c r="U5332" s="260"/>
      <c r="V5332" s="260"/>
      <c r="W5332" s="260"/>
      <c r="X5332" s="259"/>
      <c r="Y5332" s="259"/>
      <c r="Z5332" s="260"/>
      <c r="AA5332" s="260"/>
      <c r="AB5332" s="260"/>
      <c r="AC5332" s="260"/>
      <c r="AD5332" s="259"/>
      <c r="AE5332" s="259"/>
      <c r="AF5332" s="260"/>
      <c r="AG5332" s="321"/>
    </row>
    <row r="5333" spans="13:33" hidden="1">
      <c r="M5333"/>
      <c r="N5333" s="239"/>
      <c r="O5333" s="225"/>
      <c r="P5333" s="260"/>
      <c r="Q5333" s="320"/>
      <c r="R5333" s="260"/>
      <c r="S5333" s="260"/>
      <c r="T5333" s="260"/>
      <c r="U5333" s="260"/>
      <c r="V5333" s="260"/>
      <c r="W5333" s="260"/>
      <c r="X5333" s="259"/>
      <c r="Y5333" s="259"/>
      <c r="Z5333" s="260"/>
      <c r="AA5333" s="260"/>
      <c r="AB5333" s="260"/>
      <c r="AC5333" s="260"/>
      <c r="AD5333" s="259"/>
      <c r="AE5333" s="259"/>
      <c r="AF5333" s="260"/>
      <c r="AG5333" s="321"/>
    </row>
    <row r="5334" spans="13:33" hidden="1">
      <c r="M5334"/>
      <c r="N5334" s="239"/>
      <c r="O5334" s="225"/>
      <c r="P5334" s="260"/>
      <c r="Q5334" s="320"/>
      <c r="R5334" s="260"/>
      <c r="S5334" s="260"/>
      <c r="T5334" s="260"/>
      <c r="U5334" s="260"/>
      <c r="V5334" s="260"/>
      <c r="W5334" s="260"/>
      <c r="X5334" s="259"/>
      <c r="Y5334" s="259"/>
      <c r="Z5334" s="260"/>
      <c r="AA5334" s="260"/>
      <c r="AB5334" s="260"/>
      <c r="AC5334" s="260"/>
      <c r="AD5334" s="259"/>
      <c r="AE5334" s="259"/>
      <c r="AF5334" s="260"/>
      <c r="AG5334" s="321"/>
    </row>
    <row r="5335" spans="13:33" hidden="1">
      <c r="M5335"/>
      <c r="N5335" s="239"/>
      <c r="O5335" s="225"/>
      <c r="P5335" s="260"/>
      <c r="Q5335" s="320"/>
      <c r="R5335" s="260"/>
      <c r="S5335" s="260"/>
      <c r="T5335" s="260"/>
      <c r="U5335" s="260"/>
      <c r="V5335" s="260"/>
      <c r="W5335" s="260"/>
      <c r="X5335" s="259"/>
      <c r="Y5335" s="259"/>
      <c r="Z5335" s="260"/>
      <c r="AA5335" s="260"/>
      <c r="AB5335" s="260"/>
      <c r="AC5335" s="260"/>
      <c r="AD5335" s="259"/>
      <c r="AE5335" s="259"/>
      <c r="AF5335" s="260"/>
      <c r="AG5335" s="321"/>
    </row>
    <row r="5336" spans="13:33" hidden="1">
      <c r="M5336"/>
      <c r="N5336" s="239"/>
      <c r="O5336" s="225"/>
      <c r="P5336" s="260"/>
      <c r="Q5336" s="320"/>
      <c r="R5336" s="260"/>
      <c r="S5336" s="260"/>
      <c r="T5336" s="260"/>
      <c r="U5336" s="260"/>
      <c r="V5336" s="260"/>
      <c r="W5336" s="260"/>
      <c r="X5336" s="259"/>
      <c r="Y5336" s="259"/>
      <c r="Z5336" s="260"/>
      <c r="AA5336" s="260"/>
      <c r="AB5336" s="260"/>
      <c r="AC5336" s="260"/>
      <c r="AD5336" s="259"/>
      <c r="AE5336" s="259"/>
      <c r="AF5336" s="260"/>
      <c r="AG5336" s="321"/>
    </row>
    <row r="5337" spans="13:33" hidden="1">
      <c r="M5337"/>
      <c r="N5337" s="239"/>
      <c r="O5337" s="225"/>
      <c r="P5337" s="260"/>
      <c r="Q5337" s="320"/>
      <c r="R5337" s="260"/>
      <c r="S5337" s="260"/>
      <c r="T5337" s="260"/>
      <c r="U5337" s="260"/>
      <c r="V5337" s="260"/>
      <c r="W5337" s="260"/>
      <c r="X5337" s="259"/>
      <c r="Y5337" s="259"/>
      <c r="Z5337" s="260"/>
      <c r="AA5337" s="260"/>
      <c r="AB5337" s="260"/>
      <c r="AC5337" s="260"/>
      <c r="AD5337" s="259"/>
      <c r="AE5337" s="259"/>
      <c r="AF5337" s="260"/>
      <c r="AG5337" s="321"/>
    </row>
    <row r="5338" spans="13:33" hidden="1">
      <c r="M5338"/>
      <c r="N5338" s="239"/>
      <c r="O5338" s="225"/>
      <c r="P5338" s="260"/>
      <c r="Q5338" s="320"/>
      <c r="R5338" s="260"/>
      <c r="S5338" s="260"/>
      <c r="T5338" s="260"/>
      <c r="U5338" s="260"/>
      <c r="V5338" s="260"/>
      <c r="W5338" s="260"/>
      <c r="X5338" s="259"/>
      <c r="Y5338" s="259"/>
      <c r="Z5338" s="260"/>
      <c r="AA5338" s="260"/>
      <c r="AB5338" s="260"/>
      <c r="AC5338" s="260"/>
      <c r="AD5338" s="259"/>
      <c r="AE5338" s="259"/>
      <c r="AF5338" s="260"/>
      <c r="AG5338" s="321"/>
    </row>
    <row r="5339" spans="13:33" hidden="1">
      <c r="M5339"/>
      <c r="N5339" s="239"/>
      <c r="O5339" s="225"/>
      <c r="P5339" s="260"/>
      <c r="Q5339" s="328"/>
      <c r="R5339" s="260"/>
      <c r="S5339" s="260"/>
      <c r="T5339" s="260"/>
      <c r="U5339" s="260"/>
      <c r="V5339" s="260"/>
      <c r="W5339" s="260"/>
      <c r="X5339" s="259"/>
      <c r="Y5339" s="259"/>
      <c r="Z5339" s="260"/>
      <c r="AA5339" s="260"/>
      <c r="AB5339" s="260"/>
      <c r="AC5339" s="260"/>
      <c r="AD5339" s="259"/>
      <c r="AE5339" s="259"/>
      <c r="AF5339" s="260"/>
      <c r="AG5339" s="330"/>
    </row>
    <row r="5340" spans="13:33" hidden="1">
      <c r="N5340" s="239"/>
      <c r="O5340" s="225"/>
      <c r="P5340" s="260"/>
      <c r="Q5340" s="328"/>
      <c r="R5340" s="260"/>
      <c r="S5340" s="260"/>
      <c r="T5340" s="260"/>
      <c r="U5340" s="260"/>
      <c r="V5340" s="260"/>
      <c r="W5340" s="260"/>
      <c r="X5340" s="259"/>
      <c r="Y5340" s="259"/>
      <c r="Z5340" s="260"/>
      <c r="AA5340" s="260"/>
      <c r="AB5340" s="260"/>
      <c r="AC5340" s="260"/>
      <c r="AD5340" s="259"/>
      <c r="AE5340" s="259"/>
      <c r="AF5340" s="260"/>
      <c r="AG5340" s="330"/>
    </row>
    <row r="5341" spans="13:33" hidden="1">
      <c r="N5341" s="239"/>
      <c r="O5341" s="225"/>
      <c r="P5341" s="260"/>
      <c r="Q5341" s="328"/>
      <c r="R5341" s="260"/>
      <c r="S5341" s="260"/>
      <c r="T5341" s="260"/>
      <c r="U5341" s="260"/>
      <c r="V5341" s="260"/>
      <c r="W5341" s="260"/>
      <c r="X5341" s="259"/>
      <c r="Y5341" s="259"/>
      <c r="Z5341" s="260"/>
      <c r="AA5341" s="260"/>
      <c r="AB5341" s="260"/>
      <c r="AC5341" s="260"/>
      <c r="AD5341" s="259"/>
      <c r="AE5341" s="259"/>
      <c r="AF5341" s="260"/>
      <c r="AG5341" s="330"/>
    </row>
    <row r="5342" spans="13:33" hidden="1">
      <c r="N5342" s="239"/>
      <c r="O5342" s="225"/>
      <c r="P5342" s="260"/>
      <c r="Q5342" s="328"/>
      <c r="R5342" s="260"/>
      <c r="S5342" s="260"/>
      <c r="T5342" s="260"/>
      <c r="U5342" s="260"/>
      <c r="V5342" s="260"/>
      <c r="W5342" s="260"/>
      <c r="X5342" s="259"/>
      <c r="Y5342" s="259"/>
      <c r="Z5342" s="260"/>
      <c r="AA5342" s="260"/>
      <c r="AB5342" s="260"/>
      <c r="AC5342" s="260"/>
      <c r="AD5342" s="259"/>
      <c r="AE5342" s="259"/>
      <c r="AF5342" s="260"/>
      <c r="AG5342" s="330"/>
    </row>
    <row r="5343" spans="13:33" hidden="1">
      <c r="N5343" s="239"/>
      <c r="O5343" s="225"/>
      <c r="P5343" s="260"/>
      <c r="Q5343" s="328"/>
      <c r="R5343" s="260"/>
      <c r="S5343" s="260"/>
      <c r="T5343" s="260"/>
      <c r="U5343" s="260"/>
      <c r="V5343" s="260"/>
      <c r="W5343" s="260"/>
      <c r="X5343" s="259"/>
      <c r="Y5343" s="259"/>
      <c r="Z5343" s="260"/>
      <c r="AA5343" s="260"/>
      <c r="AB5343" s="260"/>
      <c r="AC5343" s="260"/>
      <c r="AD5343" s="259"/>
      <c r="AE5343" s="259"/>
      <c r="AF5343" s="260"/>
      <c r="AG5343" s="330"/>
    </row>
    <row r="5344" spans="13:33" hidden="1">
      <c r="N5344" s="239"/>
      <c r="O5344" s="225"/>
      <c r="P5344" s="260"/>
      <c r="Q5344" s="328"/>
      <c r="R5344" s="260"/>
      <c r="S5344" s="260"/>
      <c r="T5344" s="260"/>
      <c r="U5344" s="260"/>
      <c r="V5344" s="260"/>
      <c r="W5344" s="260"/>
      <c r="X5344" s="259"/>
      <c r="Y5344" s="259"/>
      <c r="Z5344" s="260"/>
      <c r="AA5344" s="260"/>
      <c r="AB5344" s="260"/>
      <c r="AC5344" s="260"/>
      <c r="AD5344" s="259"/>
      <c r="AE5344" s="259"/>
      <c r="AF5344" s="260"/>
      <c r="AG5344" s="330"/>
    </row>
    <row r="5345" spans="14:33" hidden="1">
      <c r="N5345" s="239"/>
      <c r="O5345" s="225"/>
      <c r="P5345" s="260"/>
      <c r="Q5345" s="328"/>
      <c r="R5345" s="260"/>
      <c r="S5345" s="260"/>
      <c r="T5345" s="260"/>
      <c r="U5345" s="260"/>
      <c r="V5345" s="260"/>
      <c r="W5345" s="260"/>
      <c r="X5345" s="259"/>
      <c r="Y5345" s="259"/>
      <c r="Z5345" s="260"/>
      <c r="AA5345" s="260"/>
      <c r="AB5345" s="260"/>
      <c r="AC5345" s="260"/>
      <c r="AD5345" s="259"/>
      <c r="AE5345" s="259"/>
      <c r="AF5345" s="260"/>
      <c r="AG5345" s="330"/>
    </row>
    <row r="5346" spans="14:33" hidden="1">
      <c r="N5346" s="239"/>
      <c r="O5346" s="225"/>
      <c r="P5346" s="260"/>
      <c r="Q5346" s="328"/>
      <c r="R5346" s="260"/>
      <c r="S5346" s="260"/>
      <c r="T5346" s="260"/>
      <c r="U5346" s="260"/>
      <c r="V5346" s="260"/>
      <c r="W5346" s="260"/>
      <c r="X5346" s="259"/>
      <c r="Y5346" s="259"/>
      <c r="Z5346" s="260"/>
      <c r="AA5346" s="260"/>
      <c r="AB5346" s="260"/>
      <c r="AC5346" s="260"/>
      <c r="AD5346" s="259"/>
      <c r="AE5346" s="259"/>
      <c r="AF5346" s="260"/>
      <c r="AG5346" s="330"/>
    </row>
    <row r="5347" spans="14:33" hidden="1">
      <c r="N5347" s="239"/>
      <c r="O5347" s="225"/>
      <c r="P5347" s="260"/>
      <c r="Q5347" s="328"/>
      <c r="R5347" s="260"/>
      <c r="S5347" s="260"/>
      <c r="T5347" s="260"/>
      <c r="U5347" s="260"/>
      <c r="V5347" s="260"/>
      <c r="W5347" s="260"/>
      <c r="X5347" s="259"/>
      <c r="Y5347" s="259"/>
      <c r="Z5347" s="260"/>
      <c r="AA5347" s="260"/>
      <c r="AB5347" s="260"/>
      <c r="AC5347" s="260"/>
      <c r="AD5347" s="259"/>
      <c r="AE5347" s="259"/>
      <c r="AF5347" s="260"/>
      <c r="AG5347" s="330"/>
    </row>
    <row r="5348" spans="14:33" hidden="1">
      <c r="N5348" s="239"/>
      <c r="O5348" s="225"/>
      <c r="P5348" s="260"/>
      <c r="Q5348" s="328"/>
      <c r="R5348" s="260"/>
      <c r="S5348" s="260"/>
      <c r="T5348" s="260"/>
      <c r="U5348" s="260"/>
      <c r="V5348" s="260"/>
      <c r="W5348" s="260"/>
      <c r="X5348" s="259"/>
      <c r="Y5348" s="259"/>
      <c r="Z5348" s="260"/>
      <c r="AA5348" s="260"/>
      <c r="AB5348" s="260"/>
      <c r="AC5348" s="260"/>
      <c r="AD5348" s="259"/>
      <c r="AE5348" s="259"/>
      <c r="AF5348" s="260"/>
      <c r="AG5348" s="330"/>
    </row>
    <row r="5349" spans="14:33" hidden="1">
      <c r="N5349" s="239"/>
      <c r="O5349" s="225"/>
      <c r="P5349" s="260"/>
      <c r="Q5349" s="328"/>
      <c r="R5349" s="260"/>
      <c r="S5349" s="260"/>
      <c r="T5349" s="260"/>
      <c r="U5349" s="260"/>
      <c r="V5349" s="260"/>
      <c r="W5349" s="260"/>
      <c r="X5349" s="259"/>
      <c r="Y5349" s="259"/>
      <c r="Z5349" s="260"/>
      <c r="AA5349" s="260"/>
      <c r="AB5349" s="260"/>
      <c r="AC5349" s="260"/>
      <c r="AD5349" s="259"/>
      <c r="AE5349" s="259"/>
      <c r="AF5349" s="260"/>
      <c r="AG5349" s="330"/>
    </row>
    <row r="5350" spans="14:33" hidden="1">
      <c r="N5350" s="239"/>
      <c r="O5350" s="225"/>
      <c r="P5350" s="260"/>
      <c r="Q5350" s="328"/>
      <c r="R5350" s="260"/>
      <c r="S5350" s="260"/>
      <c r="T5350" s="260"/>
      <c r="U5350" s="260"/>
      <c r="V5350" s="260"/>
      <c r="W5350" s="260"/>
      <c r="X5350" s="259"/>
      <c r="Y5350" s="259"/>
      <c r="Z5350" s="260"/>
      <c r="AA5350" s="260"/>
      <c r="AB5350" s="260"/>
      <c r="AC5350" s="260"/>
      <c r="AD5350" s="259"/>
      <c r="AE5350" s="259"/>
      <c r="AF5350" s="260"/>
      <c r="AG5350" s="330"/>
    </row>
    <row r="5351" spans="14:33" hidden="1">
      <c r="N5351" s="239"/>
      <c r="O5351" s="225"/>
      <c r="P5351" s="260"/>
      <c r="Q5351" s="328"/>
      <c r="R5351" s="260"/>
      <c r="S5351" s="260"/>
      <c r="T5351" s="260"/>
      <c r="U5351" s="260"/>
      <c r="V5351" s="260"/>
      <c r="W5351" s="260"/>
      <c r="X5351" s="259"/>
      <c r="Y5351" s="259"/>
      <c r="Z5351" s="260"/>
      <c r="AA5351" s="260"/>
      <c r="AB5351" s="260"/>
      <c r="AC5351" s="260"/>
      <c r="AD5351" s="259"/>
      <c r="AE5351" s="259"/>
      <c r="AF5351" s="260"/>
      <c r="AG5351" s="330"/>
    </row>
    <row r="5352" spans="14:33" hidden="1">
      <c r="N5352" s="239"/>
      <c r="O5352" s="225"/>
      <c r="P5352" s="260"/>
      <c r="Q5352" s="328"/>
      <c r="R5352" s="260"/>
      <c r="S5352" s="260"/>
      <c r="T5352" s="260"/>
      <c r="U5352" s="260"/>
      <c r="V5352" s="260"/>
      <c r="W5352" s="260"/>
      <c r="X5352" s="259"/>
      <c r="Y5352" s="259"/>
      <c r="Z5352" s="260"/>
      <c r="AA5352" s="260"/>
      <c r="AB5352" s="260"/>
      <c r="AC5352" s="260"/>
      <c r="AD5352" s="259"/>
      <c r="AE5352" s="259"/>
      <c r="AF5352" s="260"/>
      <c r="AG5352" s="330"/>
    </row>
    <row r="5353" spans="14:33" hidden="1">
      <c r="N5353" s="239"/>
      <c r="O5353" s="225"/>
      <c r="P5353" s="260"/>
      <c r="Q5353" s="328"/>
      <c r="R5353" s="260"/>
      <c r="S5353" s="260"/>
      <c r="T5353" s="260"/>
      <c r="U5353" s="260"/>
      <c r="V5353" s="260"/>
      <c r="W5353" s="260"/>
      <c r="X5353" s="259"/>
      <c r="Y5353" s="259"/>
      <c r="Z5353" s="260"/>
      <c r="AA5353" s="260"/>
      <c r="AB5353" s="260"/>
      <c r="AC5353" s="260"/>
      <c r="AD5353" s="259"/>
      <c r="AE5353" s="259"/>
      <c r="AF5353" s="260"/>
      <c r="AG5353" s="330"/>
    </row>
    <row r="5354" spans="14:33" hidden="1">
      <c r="N5354" s="239"/>
      <c r="O5354" s="225"/>
      <c r="P5354" s="260"/>
      <c r="Q5354" s="328"/>
      <c r="R5354" s="260"/>
      <c r="S5354" s="260"/>
      <c r="T5354" s="260"/>
      <c r="U5354" s="260"/>
      <c r="V5354" s="260"/>
      <c r="W5354" s="260"/>
      <c r="X5354" s="259"/>
      <c r="Y5354" s="259"/>
      <c r="Z5354" s="260"/>
      <c r="AA5354" s="260"/>
      <c r="AB5354" s="260"/>
      <c r="AC5354" s="260"/>
      <c r="AD5354" s="259"/>
      <c r="AE5354" s="259"/>
      <c r="AF5354" s="260"/>
      <c r="AG5354" s="330"/>
    </row>
    <row r="5355" spans="14:33" hidden="1">
      <c r="N5355" s="239"/>
      <c r="O5355" s="225"/>
      <c r="P5355" s="260"/>
      <c r="Q5355" s="328"/>
      <c r="R5355" s="260"/>
      <c r="S5355" s="260"/>
      <c r="T5355" s="260"/>
      <c r="U5355" s="260"/>
      <c r="V5355" s="260"/>
      <c r="W5355" s="260"/>
      <c r="X5355" s="259"/>
      <c r="Y5355" s="259"/>
      <c r="Z5355" s="260"/>
      <c r="AA5355" s="260"/>
      <c r="AB5355" s="260"/>
      <c r="AC5355" s="260"/>
      <c r="AD5355" s="259"/>
      <c r="AE5355" s="259"/>
      <c r="AF5355" s="260"/>
      <c r="AG5355" s="330"/>
    </row>
    <row r="5356" spans="14:33" hidden="1">
      <c r="N5356" s="239"/>
      <c r="O5356" s="225"/>
      <c r="P5356" s="260"/>
      <c r="Q5356" s="328"/>
      <c r="R5356" s="260"/>
      <c r="S5356" s="260"/>
      <c r="T5356" s="260"/>
      <c r="U5356" s="260"/>
      <c r="V5356" s="260"/>
      <c r="W5356" s="260"/>
      <c r="X5356" s="259"/>
      <c r="Y5356" s="259"/>
      <c r="Z5356" s="260"/>
      <c r="AA5356" s="260"/>
      <c r="AB5356" s="260"/>
      <c r="AC5356" s="260"/>
      <c r="AD5356" s="259"/>
      <c r="AE5356" s="259"/>
      <c r="AF5356" s="260"/>
      <c r="AG5356" s="330"/>
    </row>
    <row r="5357" spans="14:33" hidden="1">
      <c r="N5357" s="239"/>
      <c r="O5357" s="225"/>
      <c r="P5357" s="260"/>
      <c r="Q5357" s="328"/>
      <c r="R5357" s="260"/>
      <c r="S5357" s="260"/>
      <c r="T5357" s="260"/>
      <c r="U5357" s="260"/>
      <c r="V5357" s="260"/>
      <c r="W5357" s="260"/>
      <c r="X5357" s="259"/>
      <c r="Y5357" s="259"/>
      <c r="Z5357" s="260"/>
      <c r="AA5357" s="260"/>
      <c r="AB5357" s="260"/>
      <c r="AC5357" s="260"/>
      <c r="AD5357" s="259"/>
      <c r="AE5357" s="259"/>
      <c r="AF5357" s="260"/>
      <c r="AG5357" s="330"/>
    </row>
    <row r="5358" spans="14:33" hidden="1">
      <c r="N5358" s="239"/>
      <c r="O5358" s="225"/>
      <c r="P5358" s="260"/>
      <c r="Q5358" s="328"/>
      <c r="R5358" s="260"/>
      <c r="S5358" s="260"/>
      <c r="T5358" s="260"/>
      <c r="U5358" s="260"/>
      <c r="V5358" s="260"/>
      <c r="W5358" s="260"/>
      <c r="X5358" s="259"/>
      <c r="Y5358" s="259"/>
      <c r="Z5358" s="260"/>
      <c r="AA5358" s="260"/>
      <c r="AB5358" s="260"/>
      <c r="AC5358" s="260"/>
      <c r="AD5358" s="259"/>
      <c r="AE5358" s="259"/>
      <c r="AF5358" s="260"/>
      <c r="AG5358" s="330"/>
    </row>
    <row r="5359" spans="14:33" hidden="1">
      <c r="N5359" s="239"/>
      <c r="O5359" s="225"/>
      <c r="P5359" s="260"/>
      <c r="Q5359" s="328"/>
      <c r="R5359" s="260"/>
      <c r="S5359" s="260"/>
      <c r="T5359" s="260"/>
      <c r="U5359" s="260"/>
      <c r="V5359" s="260"/>
      <c r="W5359" s="260"/>
      <c r="X5359" s="259"/>
      <c r="Y5359" s="259"/>
      <c r="Z5359" s="260"/>
      <c r="AA5359" s="260"/>
      <c r="AB5359" s="260"/>
      <c r="AC5359" s="260"/>
      <c r="AD5359" s="259"/>
      <c r="AE5359" s="259"/>
      <c r="AF5359" s="260"/>
      <c r="AG5359" s="330"/>
    </row>
    <row r="5360" spans="14:33" hidden="1">
      <c r="N5360" s="239"/>
      <c r="O5360" s="225"/>
      <c r="P5360" s="260"/>
      <c r="Q5360" s="328"/>
      <c r="R5360" s="260"/>
      <c r="S5360" s="260"/>
      <c r="T5360" s="260"/>
      <c r="U5360" s="260"/>
      <c r="V5360" s="260"/>
      <c r="W5360" s="260"/>
      <c r="X5360" s="259"/>
      <c r="Y5360" s="259"/>
      <c r="Z5360" s="260"/>
      <c r="AA5360" s="260"/>
      <c r="AB5360" s="260"/>
      <c r="AC5360" s="260"/>
      <c r="AD5360" s="259"/>
      <c r="AE5360" s="259"/>
      <c r="AF5360" s="260"/>
      <c r="AG5360" s="330"/>
    </row>
    <row r="5361" spans="14:33" hidden="1">
      <c r="N5361" s="239"/>
      <c r="O5361" s="225"/>
      <c r="P5361" s="260"/>
      <c r="Q5361" s="328"/>
      <c r="R5361" s="260"/>
      <c r="S5361" s="260"/>
      <c r="T5361" s="260"/>
      <c r="U5361" s="260"/>
      <c r="V5361" s="260"/>
      <c r="W5361" s="260"/>
      <c r="X5361" s="259"/>
      <c r="Y5361" s="259"/>
      <c r="Z5361" s="260"/>
      <c r="AA5361" s="260"/>
      <c r="AB5361" s="260"/>
      <c r="AC5361" s="260"/>
      <c r="AD5361" s="259"/>
      <c r="AE5361" s="259"/>
      <c r="AF5361" s="260"/>
      <c r="AG5361" s="330"/>
    </row>
    <row r="5362" spans="14:33" hidden="1">
      <c r="N5362" s="239"/>
      <c r="O5362" s="225"/>
      <c r="P5362" s="260"/>
      <c r="Q5362" s="328"/>
      <c r="R5362" s="260"/>
      <c r="S5362" s="260"/>
      <c r="T5362" s="260"/>
      <c r="U5362" s="260"/>
      <c r="V5362" s="260"/>
      <c r="W5362" s="260"/>
      <c r="X5362" s="259"/>
      <c r="Y5362" s="259"/>
      <c r="Z5362" s="260"/>
      <c r="AA5362" s="260"/>
      <c r="AB5362" s="260"/>
      <c r="AC5362" s="260"/>
      <c r="AD5362" s="259"/>
      <c r="AE5362" s="259"/>
      <c r="AF5362" s="260"/>
      <c r="AG5362" s="330"/>
    </row>
    <row r="5363" spans="14:33" hidden="1">
      <c r="N5363" s="239"/>
      <c r="O5363" s="225"/>
      <c r="P5363" s="260"/>
      <c r="Q5363" s="328"/>
      <c r="R5363" s="260"/>
      <c r="S5363" s="260"/>
      <c r="T5363" s="260"/>
      <c r="U5363" s="260"/>
      <c r="V5363" s="260"/>
      <c r="W5363" s="260"/>
      <c r="X5363" s="259"/>
      <c r="Y5363" s="259"/>
      <c r="Z5363" s="260"/>
      <c r="AA5363" s="260"/>
      <c r="AB5363" s="260"/>
      <c r="AC5363" s="260"/>
      <c r="AD5363" s="259"/>
      <c r="AE5363" s="259"/>
      <c r="AF5363" s="260"/>
      <c r="AG5363" s="330"/>
    </row>
    <row r="5364" spans="14:33" hidden="1">
      <c r="N5364" s="239"/>
      <c r="O5364" s="225"/>
      <c r="P5364" s="260"/>
      <c r="Q5364" s="328"/>
      <c r="R5364" s="260"/>
      <c r="S5364" s="260"/>
      <c r="T5364" s="260"/>
      <c r="U5364" s="260"/>
      <c r="V5364" s="260"/>
      <c r="W5364" s="260"/>
      <c r="X5364" s="259"/>
      <c r="Y5364" s="259"/>
      <c r="Z5364" s="260"/>
      <c r="AA5364" s="260"/>
      <c r="AB5364" s="260"/>
      <c r="AC5364" s="260"/>
      <c r="AD5364" s="259"/>
      <c r="AE5364" s="259"/>
      <c r="AF5364" s="260"/>
      <c r="AG5364" s="330"/>
    </row>
    <row r="5365" spans="14:33" hidden="1">
      <c r="N5365" s="239"/>
      <c r="O5365" s="225"/>
      <c r="P5365" s="260"/>
      <c r="Q5365" s="328"/>
      <c r="R5365" s="260"/>
      <c r="S5365" s="260"/>
      <c r="T5365" s="260"/>
      <c r="U5365" s="260"/>
      <c r="V5365" s="260"/>
      <c r="W5365" s="260"/>
      <c r="X5365" s="259"/>
      <c r="Y5365" s="259"/>
      <c r="Z5365" s="260"/>
      <c r="AA5365" s="260"/>
      <c r="AB5365" s="260"/>
      <c r="AC5365" s="260"/>
      <c r="AD5365" s="259"/>
      <c r="AE5365" s="259"/>
      <c r="AF5365" s="260"/>
      <c r="AG5365" s="330"/>
    </row>
    <row r="5366" spans="14:33" hidden="1">
      <c r="N5366" s="239"/>
      <c r="O5366" s="225"/>
      <c r="P5366" s="260"/>
      <c r="Q5366" s="328"/>
      <c r="R5366" s="260"/>
      <c r="S5366" s="260"/>
      <c r="T5366" s="260"/>
      <c r="U5366" s="260"/>
      <c r="V5366" s="260"/>
      <c r="W5366" s="260"/>
      <c r="X5366" s="259"/>
      <c r="Y5366" s="259"/>
      <c r="Z5366" s="260"/>
      <c r="AA5366" s="260"/>
      <c r="AB5366" s="260"/>
      <c r="AC5366" s="260"/>
      <c r="AD5366" s="259"/>
      <c r="AE5366" s="259"/>
      <c r="AF5366" s="260"/>
      <c r="AG5366" s="330"/>
    </row>
    <row r="5367" spans="14:33" hidden="1">
      <c r="N5367" s="239"/>
      <c r="O5367" s="225"/>
      <c r="P5367" s="260"/>
      <c r="Q5367" s="328"/>
      <c r="R5367" s="260"/>
      <c r="S5367" s="260"/>
      <c r="T5367" s="260"/>
      <c r="U5367" s="260"/>
      <c r="V5367" s="260"/>
      <c r="W5367" s="260"/>
      <c r="X5367" s="259"/>
      <c r="Y5367" s="259"/>
      <c r="Z5367" s="260"/>
      <c r="AA5367" s="260"/>
      <c r="AB5367" s="260"/>
      <c r="AC5367" s="260"/>
      <c r="AD5367" s="259"/>
      <c r="AE5367" s="259"/>
      <c r="AF5367" s="260"/>
      <c r="AG5367" s="330"/>
    </row>
    <row r="5368" spans="14:33" hidden="1">
      <c r="N5368" s="239"/>
      <c r="O5368" s="225"/>
      <c r="P5368" s="260"/>
      <c r="Q5368" s="328"/>
      <c r="R5368" s="260"/>
      <c r="S5368" s="260"/>
      <c r="T5368" s="260"/>
      <c r="U5368" s="260"/>
      <c r="V5368" s="260"/>
      <c r="W5368" s="260"/>
      <c r="X5368" s="259"/>
      <c r="Y5368" s="259"/>
      <c r="Z5368" s="260"/>
      <c r="AA5368" s="260"/>
      <c r="AB5368" s="260"/>
      <c r="AC5368" s="260"/>
      <c r="AD5368" s="259"/>
      <c r="AE5368" s="259"/>
      <c r="AF5368" s="260"/>
      <c r="AG5368" s="330"/>
    </row>
    <row r="5369" spans="14:33" hidden="1">
      <c r="N5369" s="239"/>
      <c r="O5369" s="225"/>
      <c r="P5369" s="260"/>
      <c r="Q5369" s="328"/>
      <c r="R5369" s="260"/>
      <c r="S5369" s="260"/>
      <c r="T5369" s="260"/>
      <c r="U5369" s="260"/>
      <c r="V5369" s="260"/>
      <c r="W5369" s="260"/>
      <c r="X5369" s="259"/>
      <c r="Y5369" s="259"/>
      <c r="Z5369" s="260"/>
      <c r="AA5369" s="260"/>
      <c r="AB5369" s="260"/>
      <c r="AC5369" s="260"/>
      <c r="AD5369" s="259"/>
      <c r="AE5369" s="259"/>
      <c r="AF5369" s="260"/>
      <c r="AG5369" s="330"/>
    </row>
    <row r="5370" spans="14:33" hidden="1">
      <c r="N5370" s="239"/>
      <c r="O5370" s="225"/>
      <c r="P5370" s="260"/>
      <c r="Q5370" s="328"/>
      <c r="R5370" s="260"/>
      <c r="S5370" s="260"/>
      <c r="T5370" s="260"/>
      <c r="U5370" s="260"/>
      <c r="V5370" s="260"/>
      <c r="W5370" s="260"/>
      <c r="X5370" s="259"/>
      <c r="Y5370" s="259"/>
      <c r="Z5370" s="260"/>
      <c r="AA5370" s="260"/>
      <c r="AB5370" s="260"/>
      <c r="AC5370" s="260"/>
      <c r="AD5370" s="259"/>
      <c r="AE5370" s="259"/>
      <c r="AF5370" s="260"/>
      <c r="AG5370" s="330"/>
    </row>
    <row r="5371" spans="14:33" hidden="1">
      <c r="N5371" s="239"/>
      <c r="O5371" s="225"/>
      <c r="P5371" s="260"/>
      <c r="Q5371" s="328"/>
      <c r="R5371" s="260"/>
      <c r="S5371" s="260"/>
      <c r="T5371" s="260"/>
      <c r="U5371" s="260"/>
      <c r="V5371" s="260"/>
      <c r="W5371" s="260"/>
      <c r="X5371" s="259"/>
      <c r="Y5371" s="259"/>
      <c r="Z5371" s="260"/>
      <c r="AA5371" s="260"/>
      <c r="AB5371" s="260"/>
      <c r="AC5371" s="260"/>
      <c r="AD5371" s="259"/>
      <c r="AE5371" s="259"/>
      <c r="AF5371" s="260"/>
      <c r="AG5371" s="330"/>
    </row>
    <row r="5372" spans="14:33" hidden="1">
      <c r="N5372" s="239"/>
      <c r="O5372" s="225"/>
      <c r="P5372" s="260"/>
      <c r="Q5372" s="328"/>
      <c r="R5372" s="260"/>
      <c r="S5372" s="260"/>
      <c r="T5372" s="260"/>
      <c r="U5372" s="260"/>
      <c r="V5372" s="260"/>
      <c r="W5372" s="260"/>
      <c r="X5372" s="259"/>
      <c r="Y5372" s="259"/>
      <c r="Z5372" s="260"/>
      <c r="AA5372" s="260"/>
      <c r="AB5372" s="260"/>
      <c r="AC5372" s="260"/>
      <c r="AD5372" s="259"/>
      <c r="AE5372" s="259"/>
      <c r="AF5372" s="260"/>
      <c r="AG5372" s="330"/>
    </row>
    <row r="5373" spans="14:33" hidden="1">
      <c r="N5373" s="239"/>
      <c r="O5373" s="225"/>
      <c r="P5373" s="260"/>
      <c r="Q5373" s="328"/>
      <c r="R5373" s="260"/>
      <c r="S5373" s="260"/>
      <c r="T5373" s="260"/>
      <c r="U5373" s="260"/>
      <c r="V5373" s="260"/>
      <c r="W5373" s="260"/>
      <c r="X5373" s="259"/>
      <c r="Y5373" s="259"/>
      <c r="Z5373" s="260"/>
      <c r="AA5373" s="260"/>
      <c r="AB5373" s="260"/>
      <c r="AC5373" s="260"/>
      <c r="AD5373" s="259"/>
      <c r="AE5373" s="259"/>
      <c r="AF5373" s="260"/>
      <c r="AG5373" s="330"/>
    </row>
    <row r="5374" spans="14:33" hidden="1">
      <c r="N5374" s="239"/>
      <c r="O5374" s="225"/>
      <c r="P5374" s="260"/>
      <c r="Q5374" s="328"/>
      <c r="R5374" s="260"/>
      <c r="S5374" s="260"/>
      <c r="T5374" s="260"/>
      <c r="U5374" s="260"/>
      <c r="V5374" s="260"/>
      <c r="W5374" s="260"/>
      <c r="X5374" s="259"/>
      <c r="Y5374" s="259"/>
      <c r="Z5374" s="260"/>
      <c r="AA5374" s="260"/>
      <c r="AB5374" s="260"/>
      <c r="AC5374" s="260"/>
      <c r="AD5374" s="259"/>
      <c r="AE5374" s="259"/>
      <c r="AF5374" s="260"/>
      <c r="AG5374" s="330"/>
    </row>
    <row r="5375" spans="14:33" hidden="1">
      <c r="N5375" s="239"/>
      <c r="O5375" s="225"/>
      <c r="P5375" s="260"/>
      <c r="Q5375" s="328"/>
      <c r="R5375" s="260"/>
      <c r="S5375" s="260"/>
      <c r="T5375" s="260"/>
      <c r="U5375" s="260"/>
      <c r="V5375" s="260"/>
      <c r="W5375" s="260"/>
      <c r="X5375" s="259"/>
      <c r="Y5375" s="259"/>
      <c r="Z5375" s="260"/>
      <c r="AA5375" s="260"/>
      <c r="AB5375" s="260"/>
      <c r="AC5375" s="260"/>
      <c r="AD5375" s="259"/>
      <c r="AE5375" s="259"/>
      <c r="AF5375" s="260"/>
      <c r="AG5375" s="330"/>
    </row>
    <row r="5376" spans="14:33" hidden="1">
      <c r="N5376" s="239"/>
      <c r="O5376" s="225"/>
      <c r="P5376" s="260"/>
      <c r="Q5376" s="328"/>
      <c r="R5376" s="260"/>
      <c r="S5376" s="260"/>
      <c r="T5376" s="260"/>
      <c r="U5376" s="260"/>
      <c r="V5376" s="260"/>
      <c r="W5376" s="260"/>
      <c r="X5376" s="259"/>
      <c r="Y5376" s="259"/>
      <c r="Z5376" s="260"/>
      <c r="AA5376" s="260"/>
      <c r="AB5376" s="260"/>
      <c r="AC5376" s="260"/>
      <c r="AD5376" s="259"/>
      <c r="AE5376" s="259"/>
      <c r="AF5376" s="260"/>
      <c r="AG5376" s="330"/>
    </row>
    <row r="5377" spans="14:33" hidden="1">
      <c r="N5377" s="239"/>
      <c r="O5377" s="225"/>
      <c r="P5377" s="260"/>
      <c r="Q5377" s="328"/>
      <c r="R5377" s="260"/>
      <c r="S5377" s="260"/>
      <c r="T5377" s="260"/>
      <c r="U5377" s="260"/>
      <c r="V5377" s="260"/>
      <c r="W5377" s="260"/>
      <c r="X5377" s="259"/>
      <c r="Y5377" s="259"/>
      <c r="Z5377" s="260"/>
      <c r="AA5377" s="260"/>
      <c r="AB5377" s="260"/>
      <c r="AC5377" s="260"/>
      <c r="AD5377" s="259"/>
      <c r="AE5377" s="259"/>
      <c r="AF5377" s="260"/>
      <c r="AG5377" s="330"/>
    </row>
    <row r="5378" spans="14:33" hidden="1">
      <c r="N5378" s="239"/>
      <c r="O5378" s="225"/>
      <c r="P5378" s="260"/>
      <c r="Q5378" s="328"/>
      <c r="R5378" s="260"/>
      <c r="S5378" s="260"/>
      <c r="T5378" s="260"/>
      <c r="U5378" s="260"/>
      <c r="V5378" s="260"/>
      <c r="W5378" s="260"/>
      <c r="X5378" s="259"/>
      <c r="Y5378" s="259"/>
      <c r="Z5378" s="260"/>
      <c r="AA5378" s="260"/>
      <c r="AB5378" s="260"/>
      <c r="AC5378" s="260"/>
      <c r="AD5378" s="259"/>
      <c r="AE5378" s="259"/>
      <c r="AF5378" s="260"/>
      <c r="AG5378" s="330"/>
    </row>
    <row r="5379" spans="14:33" hidden="1">
      <c r="N5379" s="239"/>
      <c r="O5379" s="225"/>
      <c r="P5379" s="260"/>
      <c r="Q5379" s="328"/>
      <c r="R5379" s="260"/>
      <c r="S5379" s="260"/>
      <c r="T5379" s="260"/>
      <c r="U5379" s="260"/>
      <c r="V5379" s="260"/>
      <c r="W5379" s="260"/>
      <c r="X5379" s="259"/>
      <c r="Y5379" s="259"/>
      <c r="Z5379" s="260"/>
      <c r="AA5379" s="260"/>
      <c r="AB5379" s="260"/>
      <c r="AC5379" s="260"/>
      <c r="AD5379" s="259"/>
      <c r="AE5379" s="259"/>
      <c r="AF5379" s="260"/>
      <c r="AG5379" s="330"/>
    </row>
    <row r="5380" spans="14:33" hidden="1">
      <c r="N5380" s="239"/>
      <c r="O5380" s="225"/>
      <c r="P5380" s="260"/>
      <c r="Q5380" s="328"/>
      <c r="R5380" s="260"/>
      <c r="S5380" s="260"/>
      <c r="T5380" s="260"/>
      <c r="U5380" s="260"/>
      <c r="V5380" s="260"/>
      <c r="W5380" s="260"/>
      <c r="X5380" s="259"/>
      <c r="Y5380" s="259"/>
      <c r="Z5380" s="260"/>
      <c r="AA5380" s="260"/>
      <c r="AB5380" s="260"/>
      <c r="AC5380" s="260"/>
      <c r="AD5380" s="259"/>
      <c r="AE5380" s="259"/>
      <c r="AF5380" s="260"/>
      <c r="AG5380" s="330"/>
    </row>
    <row r="5381" spans="14:33" hidden="1">
      <c r="N5381" s="239"/>
      <c r="O5381" s="225"/>
      <c r="P5381" s="260"/>
      <c r="Q5381" s="328"/>
      <c r="R5381" s="260"/>
      <c r="S5381" s="260"/>
      <c r="T5381" s="260"/>
      <c r="U5381" s="260"/>
      <c r="V5381" s="260"/>
      <c r="W5381" s="260"/>
      <c r="X5381" s="259"/>
      <c r="Y5381" s="259"/>
      <c r="Z5381" s="260"/>
      <c r="AA5381" s="260"/>
      <c r="AB5381" s="260"/>
      <c r="AC5381" s="260"/>
      <c r="AD5381" s="259"/>
      <c r="AE5381" s="259"/>
      <c r="AF5381" s="260"/>
      <c r="AG5381" s="330"/>
    </row>
    <row r="5382" spans="14:33" hidden="1">
      <c r="N5382" s="239"/>
      <c r="O5382" s="225"/>
      <c r="P5382" s="260"/>
      <c r="Q5382" s="328"/>
      <c r="R5382" s="260"/>
      <c r="S5382" s="260"/>
      <c r="T5382" s="260"/>
      <c r="U5382" s="260"/>
      <c r="V5382" s="260"/>
      <c r="W5382" s="260"/>
      <c r="X5382" s="259"/>
      <c r="Y5382" s="259"/>
      <c r="Z5382" s="260"/>
      <c r="AA5382" s="260"/>
      <c r="AB5382" s="260"/>
      <c r="AC5382" s="260"/>
      <c r="AD5382" s="259"/>
      <c r="AE5382" s="259"/>
      <c r="AF5382" s="260"/>
      <c r="AG5382" s="330"/>
    </row>
    <row r="5383" spans="14:33" hidden="1">
      <c r="N5383" s="239"/>
      <c r="O5383" s="225"/>
      <c r="P5383" s="260"/>
      <c r="Q5383" s="328"/>
      <c r="R5383" s="260"/>
      <c r="S5383" s="260"/>
      <c r="T5383" s="260"/>
      <c r="U5383" s="260"/>
      <c r="V5383" s="260"/>
      <c r="W5383" s="260"/>
      <c r="X5383" s="259"/>
      <c r="Y5383" s="259"/>
      <c r="Z5383" s="260"/>
      <c r="AA5383" s="260"/>
      <c r="AB5383" s="260"/>
      <c r="AC5383" s="260"/>
      <c r="AD5383" s="259"/>
      <c r="AE5383" s="259"/>
      <c r="AF5383" s="260"/>
      <c r="AG5383" s="330"/>
    </row>
    <row r="5384" spans="14:33" hidden="1">
      <c r="N5384" s="239"/>
      <c r="O5384" s="225"/>
      <c r="P5384" s="260"/>
      <c r="Q5384" s="328"/>
      <c r="R5384" s="260"/>
      <c r="S5384" s="260"/>
      <c r="T5384" s="260"/>
      <c r="U5384" s="260"/>
      <c r="V5384" s="260"/>
      <c r="W5384" s="260"/>
      <c r="X5384" s="259"/>
      <c r="Y5384" s="259"/>
      <c r="Z5384" s="260"/>
      <c r="AA5384" s="260"/>
      <c r="AB5384" s="260"/>
      <c r="AC5384" s="260"/>
      <c r="AD5384" s="259"/>
      <c r="AE5384" s="259"/>
      <c r="AF5384" s="260"/>
      <c r="AG5384" s="330"/>
    </row>
    <row r="5385" spans="14:33" hidden="1">
      <c r="N5385" s="239"/>
      <c r="O5385" s="225"/>
      <c r="P5385" s="260"/>
      <c r="Q5385" s="328"/>
      <c r="R5385" s="260"/>
      <c r="S5385" s="260"/>
      <c r="T5385" s="260"/>
      <c r="U5385" s="260"/>
      <c r="V5385" s="260"/>
      <c r="W5385" s="260"/>
      <c r="X5385" s="259"/>
      <c r="Y5385" s="259"/>
      <c r="Z5385" s="260"/>
      <c r="AA5385" s="260"/>
      <c r="AB5385" s="260"/>
      <c r="AC5385" s="260"/>
      <c r="AD5385" s="259"/>
      <c r="AE5385" s="259"/>
      <c r="AF5385" s="260"/>
      <c r="AG5385" s="330"/>
    </row>
    <row r="5386" spans="14:33" hidden="1">
      <c r="N5386" s="239"/>
      <c r="O5386" s="225"/>
      <c r="P5386" s="260"/>
      <c r="Q5386" s="328"/>
      <c r="R5386" s="260"/>
      <c r="S5386" s="260"/>
      <c r="T5386" s="260"/>
      <c r="U5386" s="260"/>
      <c r="V5386" s="260"/>
      <c r="W5386" s="260"/>
      <c r="X5386" s="259"/>
      <c r="Y5386" s="259"/>
      <c r="Z5386" s="260"/>
      <c r="AA5386" s="260"/>
      <c r="AB5386" s="260"/>
      <c r="AC5386" s="260"/>
      <c r="AD5386" s="259"/>
      <c r="AE5386" s="259"/>
      <c r="AF5386" s="260"/>
      <c r="AG5386" s="330"/>
    </row>
    <row r="5387" spans="14:33" hidden="1">
      <c r="N5387" s="239"/>
      <c r="O5387" s="225"/>
      <c r="P5387" s="260"/>
      <c r="Q5387" s="328"/>
      <c r="R5387" s="260"/>
      <c r="S5387" s="260"/>
      <c r="T5387" s="260"/>
      <c r="U5387" s="260"/>
      <c r="V5387" s="260"/>
      <c r="W5387" s="260"/>
      <c r="X5387" s="259"/>
      <c r="Y5387" s="259"/>
      <c r="Z5387" s="260"/>
      <c r="AA5387" s="260"/>
      <c r="AB5387" s="260"/>
      <c r="AC5387" s="260"/>
      <c r="AD5387" s="259"/>
      <c r="AE5387" s="259"/>
      <c r="AF5387" s="260"/>
      <c r="AG5387" s="330"/>
    </row>
    <row r="5388" spans="14:33" hidden="1">
      <c r="N5388" s="239"/>
      <c r="O5388" s="225"/>
      <c r="P5388" s="260"/>
      <c r="Q5388" s="328"/>
      <c r="R5388" s="260"/>
      <c r="S5388" s="260"/>
      <c r="T5388" s="260"/>
      <c r="U5388" s="260"/>
      <c r="V5388" s="260"/>
      <c r="W5388" s="260"/>
      <c r="X5388" s="259"/>
      <c r="Y5388" s="259"/>
      <c r="Z5388" s="260"/>
      <c r="AA5388" s="260"/>
      <c r="AB5388" s="260"/>
      <c r="AC5388" s="260"/>
      <c r="AD5388" s="259"/>
      <c r="AE5388" s="259"/>
      <c r="AF5388" s="260"/>
      <c r="AG5388" s="330"/>
    </row>
    <row r="5389" spans="14:33" hidden="1">
      <c r="N5389" s="239"/>
      <c r="O5389" s="225"/>
      <c r="P5389" s="260"/>
      <c r="Q5389" s="328"/>
      <c r="R5389" s="260"/>
      <c r="S5389" s="260"/>
      <c r="T5389" s="260"/>
      <c r="U5389" s="260"/>
      <c r="V5389" s="260"/>
      <c r="W5389" s="260"/>
      <c r="X5389" s="259"/>
      <c r="Y5389" s="259"/>
      <c r="Z5389" s="260"/>
      <c r="AA5389" s="260"/>
      <c r="AB5389" s="260"/>
      <c r="AC5389" s="260"/>
      <c r="AD5389" s="259"/>
      <c r="AE5389" s="259"/>
      <c r="AF5389" s="260"/>
      <c r="AG5389" s="330"/>
    </row>
    <row r="5390" spans="14:33" hidden="1">
      <c r="N5390" s="239"/>
      <c r="O5390" s="225"/>
      <c r="P5390" s="260"/>
      <c r="Q5390" s="328"/>
      <c r="R5390" s="260"/>
      <c r="S5390" s="260"/>
      <c r="T5390" s="260"/>
      <c r="U5390" s="260"/>
      <c r="V5390" s="260"/>
      <c r="W5390" s="260"/>
      <c r="X5390" s="259"/>
      <c r="Y5390" s="259"/>
      <c r="Z5390" s="260"/>
      <c r="AA5390" s="260"/>
      <c r="AB5390" s="260"/>
      <c r="AC5390" s="260"/>
      <c r="AD5390" s="259"/>
      <c r="AE5390" s="259"/>
      <c r="AF5390" s="260"/>
      <c r="AG5390" s="330"/>
    </row>
    <row r="5391" spans="14:33" hidden="1">
      <c r="N5391" s="239"/>
      <c r="O5391" s="225"/>
      <c r="P5391" s="260"/>
      <c r="Q5391" s="328"/>
      <c r="R5391" s="260"/>
      <c r="S5391" s="260"/>
      <c r="T5391" s="260"/>
      <c r="U5391" s="260"/>
      <c r="V5391" s="260"/>
      <c r="W5391" s="260"/>
      <c r="X5391" s="259"/>
      <c r="Y5391" s="259"/>
      <c r="Z5391" s="260"/>
      <c r="AA5391" s="260"/>
      <c r="AB5391" s="260"/>
      <c r="AC5391" s="260"/>
      <c r="AD5391" s="259"/>
      <c r="AE5391" s="259"/>
      <c r="AF5391" s="260"/>
      <c r="AG5391" s="330"/>
    </row>
    <row r="5392" spans="14:33" hidden="1">
      <c r="N5392" s="239"/>
      <c r="O5392" s="225"/>
      <c r="P5392" s="260"/>
      <c r="Q5392" s="328"/>
      <c r="R5392" s="260"/>
      <c r="S5392" s="260"/>
      <c r="T5392" s="260"/>
      <c r="U5392" s="260"/>
      <c r="V5392" s="260"/>
      <c r="W5392" s="260"/>
      <c r="X5392" s="259"/>
      <c r="Y5392" s="259"/>
      <c r="Z5392" s="260"/>
      <c r="AA5392" s="260"/>
      <c r="AB5392" s="260"/>
      <c r="AC5392" s="260"/>
      <c r="AD5392" s="259"/>
      <c r="AE5392" s="259"/>
      <c r="AF5392" s="260"/>
      <c r="AG5392" s="330"/>
    </row>
    <row r="5393" spans="14:33" hidden="1">
      <c r="N5393" s="239"/>
      <c r="O5393" s="225"/>
      <c r="P5393" s="260"/>
      <c r="Q5393" s="328"/>
      <c r="R5393" s="260"/>
      <c r="S5393" s="260"/>
      <c r="T5393" s="260"/>
      <c r="U5393" s="260"/>
      <c r="V5393" s="260"/>
      <c r="W5393" s="260"/>
      <c r="X5393" s="259"/>
      <c r="Y5393" s="259"/>
      <c r="Z5393" s="260"/>
      <c r="AA5393" s="260"/>
      <c r="AB5393" s="260"/>
      <c r="AC5393" s="260"/>
      <c r="AD5393" s="259"/>
      <c r="AE5393" s="259"/>
      <c r="AF5393" s="260"/>
      <c r="AG5393" s="330"/>
    </row>
    <row r="5394" spans="14:33" hidden="1">
      <c r="N5394" s="239"/>
      <c r="O5394" s="225"/>
      <c r="P5394" s="260"/>
      <c r="Q5394" s="328"/>
      <c r="R5394" s="260"/>
      <c r="S5394" s="260"/>
      <c r="T5394" s="260"/>
      <c r="U5394" s="260"/>
      <c r="V5394" s="260"/>
      <c r="W5394" s="260"/>
      <c r="X5394" s="259"/>
      <c r="Y5394" s="259"/>
      <c r="Z5394" s="260"/>
      <c r="AA5394" s="260"/>
      <c r="AB5394" s="260"/>
      <c r="AC5394" s="260"/>
      <c r="AD5394" s="259"/>
      <c r="AE5394" s="259"/>
      <c r="AF5394" s="260"/>
      <c r="AG5394" s="330"/>
    </row>
    <row r="5395" spans="14:33" hidden="1">
      <c r="N5395" s="239"/>
      <c r="O5395" s="225"/>
      <c r="P5395" s="260"/>
      <c r="Q5395" s="328"/>
      <c r="R5395" s="260"/>
      <c r="S5395" s="260"/>
      <c r="T5395" s="260"/>
      <c r="U5395" s="260"/>
      <c r="V5395" s="260"/>
      <c r="W5395" s="260"/>
      <c r="X5395" s="259"/>
      <c r="Y5395" s="259"/>
      <c r="Z5395" s="260"/>
      <c r="AA5395" s="260"/>
      <c r="AB5395" s="260"/>
      <c r="AC5395" s="260"/>
      <c r="AD5395" s="259"/>
      <c r="AE5395" s="259"/>
      <c r="AF5395" s="260"/>
      <c r="AG5395" s="330"/>
    </row>
    <row r="5396" spans="14:33" hidden="1">
      <c r="N5396" s="239"/>
      <c r="O5396" s="225"/>
      <c r="P5396" s="260"/>
      <c r="Q5396" s="328"/>
      <c r="R5396" s="260"/>
      <c r="S5396" s="260"/>
      <c r="T5396" s="260"/>
      <c r="U5396" s="260"/>
      <c r="V5396" s="260"/>
      <c r="W5396" s="260"/>
      <c r="X5396" s="259"/>
      <c r="Y5396" s="259"/>
      <c r="Z5396" s="260"/>
      <c r="AA5396" s="260"/>
      <c r="AB5396" s="260"/>
      <c r="AC5396" s="260"/>
      <c r="AD5396" s="259"/>
      <c r="AE5396" s="259"/>
      <c r="AF5396" s="260"/>
      <c r="AG5396" s="330"/>
    </row>
    <row r="5397" spans="14:33" hidden="1">
      <c r="N5397" s="239"/>
      <c r="O5397" s="225"/>
      <c r="P5397" s="260"/>
      <c r="Q5397" s="328"/>
      <c r="R5397" s="260"/>
      <c r="S5397" s="260"/>
      <c r="T5397" s="260"/>
      <c r="U5397" s="260"/>
      <c r="V5397" s="260"/>
      <c r="W5397" s="260"/>
      <c r="X5397" s="259"/>
      <c r="Y5397" s="259"/>
      <c r="Z5397" s="260"/>
      <c r="AA5397" s="260"/>
      <c r="AB5397" s="260"/>
      <c r="AC5397" s="260"/>
      <c r="AD5397" s="259"/>
      <c r="AE5397" s="259"/>
      <c r="AF5397" s="260"/>
      <c r="AG5397" s="330"/>
    </row>
    <row r="5398" spans="14:33" hidden="1">
      <c r="N5398" s="239"/>
      <c r="O5398" s="225"/>
      <c r="P5398" s="260"/>
      <c r="Q5398" s="328"/>
      <c r="R5398" s="260"/>
      <c r="S5398" s="260"/>
      <c r="T5398" s="260"/>
      <c r="U5398" s="260"/>
      <c r="V5398" s="260"/>
      <c r="W5398" s="260"/>
      <c r="X5398" s="259"/>
      <c r="Y5398" s="259"/>
      <c r="Z5398" s="260"/>
      <c r="AA5398" s="260"/>
      <c r="AB5398" s="260"/>
      <c r="AC5398" s="260"/>
      <c r="AD5398" s="259"/>
      <c r="AE5398" s="259"/>
      <c r="AF5398" s="260"/>
      <c r="AG5398" s="330"/>
    </row>
    <row r="5399" spans="14:33" hidden="1">
      <c r="N5399" s="239"/>
      <c r="O5399" s="225"/>
      <c r="P5399" s="260"/>
      <c r="Q5399" s="328"/>
      <c r="R5399" s="260"/>
      <c r="S5399" s="260"/>
      <c r="T5399" s="260"/>
      <c r="U5399" s="260"/>
      <c r="V5399" s="260"/>
      <c r="W5399" s="260"/>
      <c r="X5399" s="259"/>
      <c r="Y5399" s="259"/>
      <c r="Z5399" s="260"/>
      <c r="AA5399" s="260"/>
      <c r="AB5399" s="260"/>
      <c r="AC5399" s="260"/>
      <c r="AD5399" s="259"/>
      <c r="AE5399" s="259"/>
      <c r="AF5399" s="260"/>
      <c r="AG5399" s="330"/>
    </row>
    <row r="5400" spans="14:33" hidden="1">
      <c r="N5400" s="239"/>
      <c r="O5400" s="225"/>
      <c r="P5400" s="260"/>
      <c r="Q5400" s="328"/>
      <c r="R5400" s="260"/>
      <c r="S5400" s="260"/>
      <c r="T5400" s="260"/>
      <c r="U5400" s="260"/>
      <c r="V5400" s="260"/>
      <c r="W5400" s="260"/>
      <c r="X5400" s="259"/>
      <c r="Y5400" s="259"/>
      <c r="Z5400" s="260"/>
      <c r="AA5400" s="260"/>
      <c r="AB5400" s="260"/>
      <c r="AC5400" s="260"/>
      <c r="AD5400" s="259"/>
      <c r="AE5400" s="259"/>
      <c r="AF5400" s="260"/>
      <c r="AG5400" s="330"/>
    </row>
    <row r="5401" spans="14:33" hidden="1">
      <c r="N5401" s="239"/>
      <c r="O5401" s="225"/>
      <c r="P5401" s="260"/>
      <c r="Q5401" s="328"/>
      <c r="R5401" s="260"/>
      <c r="S5401" s="260"/>
      <c r="T5401" s="260"/>
      <c r="U5401" s="260"/>
      <c r="V5401" s="260"/>
      <c r="W5401" s="260"/>
      <c r="X5401" s="259"/>
      <c r="Y5401" s="259"/>
      <c r="Z5401" s="260"/>
      <c r="AA5401" s="260"/>
      <c r="AB5401" s="260"/>
      <c r="AC5401" s="260"/>
      <c r="AD5401" s="259"/>
      <c r="AE5401" s="259"/>
      <c r="AF5401" s="260"/>
      <c r="AG5401" s="330"/>
    </row>
    <row r="5402" spans="14:33" hidden="1">
      <c r="N5402" s="239"/>
      <c r="O5402" s="225"/>
      <c r="P5402" s="260"/>
      <c r="Q5402" s="328"/>
      <c r="R5402" s="260"/>
      <c r="S5402" s="260"/>
      <c r="T5402" s="260"/>
      <c r="U5402" s="260"/>
      <c r="V5402" s="260"/>
      <c r="W5402" s="260"/>
      <c r="X5402" s="259"/>
      <c r="Y5402" s="259"/>
      <c r="Z5402" s="260"/>
      <c r="AA5402" s="260"/>
      <c r="AB5402" s="260"/>
      <c r="AC5402" s="260"/>
      <c r="AD5402" s="259"/>
      <c r="AE5402" s="259"/>
      <c r="AF5402" s="260"/>
      <c r="AG5402" s="330"/>
    </row>
    <row r="5403" spans="14:33" hidden="1">
      <c r="N5403" s="239"/>
      <c r="O5403" s="225"/>
      <c r="P5403" s="260"/>
      <c r="Q5403" s="328"/>
      <c r="R5403" s="260"/>
      <c r="S5403" s="260"/>
      <c r="T5403" s="260"/>
      <c r="U5403" s="260"/>
      <c r="V5403" s="260"/>
      <c r="W5403" s="260"/>
      <c r="X5403" s="259"/>
      <c r="Y5403" s="259"/>
      <c r="Z5403" s="260"/>
      <c r="AA5403" s="260"/>
      <c r="AB5403" s="260"/>
      <c r="AC5403" s="260"/>
      <c r="AD5403" s="259"/>
      <c r="AE5403" s="259"/>
      <c r="AF5403" s="260"/>
      <c r="AG5403" s="330"/>
    </row>
    <row r="5404" spans="14:33" hidden="1">
      <c r="N5404" s="239"/>
      <c r="O5404" s="225"/>
      <c r="P5404" s="260"/>
      <c r="Q5404" s="328"/>
      <c r="R5404" s="260"/>
      <c r="S5404" s="260"/>
      <c r="T5404" s="260"/>
      <c r="U5404" s="260"/>
      <c r="V5404" s="260"/>
      <c r="W5404" s="260"/>
      <c r="X5404" s="259"/>
      <c r="Y5404" s="259"/>
      <c r="Z5404" s="260"/>
      <c r="AA5404" s="260"/>
      <c r="AB5404" s="260"/>
      <c r="AC5404" s="260"/>
      <c r="AD5404" s="259"/>
      <c r="AE5404" s="259"/>
      <c r="AF5404" s="260"/>
      <c r="AG5404" s="330"/>
    </row>
    <row r="5405" spans="14:33" hidden="1">
      <c r="N5405" s="239"/>
      <c r="O5405" s="225"/>
      <c r="P5405" s="260"/>
      <c r="Q5405" s="328"/>
      <c r="R5405" s="260"/>
      <c r="S5405" s="260"/>
      <c r="T5405" s="260"/>
      <c r="U5405" s="260"/>
      <c r="V5405" s="260"/>
      <c r="W5405" s="260"/>
      <c r="X5405" s="259"/>
      <c r="Y5405" s="259"/>
      <c r="Z5405" s="260"/>
      <c r="AA5405" s="260"/>
      <c r="AB5405" s="260"/>
      <c r="AC5405" s="260"/>
      <c r="AD5405" s="259"/>
      <c r="AE5405" s="259"/>
      <c r="AF5405" s="260"/>
      <c r="AG5405" s="330"/>
    </row>
    <row r="5406" spans="14:33" hidden="1">
      <c r="N5406" s="239"/>
      <c r="O5406" s="225"/>
      <c r="P5406" s="260"/>
      <c r="Q5406" s="328"/>
      <c r="R5406" s="260"/>
      <c r="S5406" s="260"/>
      <c r="T5406" s="260"/>
      <c r="U5406" s="260"/>
      <c r="V5406" s="260"/>
      <c r="W5406" s="260"/>
      <c r="X5406" s="259"/>
      <c r="Y5406" s="259"/>
      <c r="Z5406" s="260"/>
      <c r="AA5406" s="260"/>
      <c r="AB5406" s="260"/>
      <c r="AC5406" s="260"/>
      <c r="AD5406" s="259"/>
      <c r="AE5406" s="259"/>
      <c r="AF5406" s="260"/>
      <c r="AG5406" s="330"/>
    </row>
    <row r="5407" spans="14:33" hidden="1">
      <c r="N5407" s="239"/>
      <c r="O5407" s="225"/>
      <c r="P5407" s="260"/>
      <c r="Q5407" s="328"/>
      <c r="R5407" s="260"/>
      <c r="S5407" s="260"/>
      <c r="T5407" s="260"/>
      <c r="U5407" s="260"/>
      <c r="V5407" s="260"/>
      <c r="W5407" s="260"/>
      <c r="X5407" s="259"/>
      <c r="Y5407" s="259"/>
      <c r="Z5407" s="260"/>
      <c r="AA5407" s="260"/>
      <c r="AB5407" s="260"/>
      <c r="AC5407" s="260"/>
      <c r="AD5407" s="259"/>
      <c r="AE5407" s="259"/>
      <c r="AF5407" s="260"/>
      <c r="AG5407" s="330"/>
    </row>
    <row r="5408" spans="14:33" hidden="1">
      <c r="N5408" s="239"/>
      <c r="O5408" s="225"/>
      <c r="P5408" s="260"/>
      <c r="Q5408" s="328"/>
      <c r="R5408" s="260"/>
      <c r="S5408" s="260"/>
      <c r="T5408" s="260"/>
      <c r="U5408" s="260"/>
      <c r="V5408" s="260"/>
      <c r="W5408" s="260"/>
      <c r="X5408" s="259"/>
      <c r="Y5408" s="259"/>
      <c r="Z5408" s="260"/>
      <c r="AA5408" s="260"/>
      <c r="AB5408" s="260"/>
      <c r="AC5408" s="260"/>
      <c r="AD5408" s="259"/>
      <c r="AE5408" s="259"/>
      <c r="AF5408" s="260"/>
      <c r="AG5408" s="330"/>
    </row>
    <row r="5409" spans="14:33" hidden="1">
      <c r="N5409" s="239"/>
      <c r="O5409" s="225"/>
      <c r="P5409" s="260"/>
      <c r="Q5409" s="328"/>
      <c r="R5409" s="260"/>
      <c r="S5409" s="260"/>
      <c r="T5409" s="260"/>
      <c r="U5409" s="260"/>
      <c r="V5409" s="260"/>
      <c r="W5409" s="260"/>
      <c r="X5409" s="259"/>
      <c r="Y5409" s="259"/>
      <c r="Z5409" s="260"/>
      <c r="AA5409" s="260"/>
      <c r="AB5409" s="260"/>
      <c r="AC5409" s="260"/>
      <c r="AD5409" s="259"/>
      <c r="AE5409" s="259"/>
      <c r="AF5409" s="260"/>
      <c r="AG5409" s="330"/>
    </row>
    <row r="5410" spans="14:33" hidden="1">
      <c r="N5410" s="239"/>
      <c r="O5410" s="225"/>
      <c r="P5410" s="260"/>
      <c r="Q5410" s="328"/>
      <c r="R5410" s="260"/>
      <c r="S5410" s="260"/>
      <c r="T5410" s="260"/>
      <c r="U5410" s="260"/>
      <c r="V5410" s="260"/>
      <c r="W5410" s="260"/>
      <c r="X5410" s="259"/>
      <c r="Y5410" s="259"/>
      <c r="Z5410" s="260"/>
      <c r="AA5410" s="260"/>
      <c r="AB5410" s="260"/>
      <c r="AC5410" s="260"/>
      <c r="AD5410" s="259"/>
      <c r="AE5410" s="259"/>
      <c r="AF5410" s="260"/>
      <c r="AG5410" s="330"/>
    </row>
    <row r="5411" spans="14:33" hidden="1">
      <c r="N5411" s="239"/>
      <c r="O5411" s="225"/>
      <c r="P5411" s="260"/>
      <c r="Q5411" s="328"/>
      <c r="R5411" s="260"/>
      <c r="S5411" s="260"/>
      <c r="T5411" s="260"/>
      <c r="U5411" s="260"/>
      <c r="V5411" s="260"/>
      <c r="W5411" s="260"/>
      <c r="X5411" s="259"/>
      <c r="Y5411" s="259"/>
      <c r="Z5411" s="260"/>
      <c r="AA5411" s="260"/>
      <c r="AB5411" s="260"/>
      <c r="AC5411" s="260"/>
      <c r="AD5411" s="259"/>
      <c r="AE5411" s="259"/>
      <c r="AF5411" s="260"/>
      <c r="AG5411" s="330"/>
    </row>
    <row r="5412" spans="14:33" hidden="1">
      <c r="N5412" s="239"/>
      <c r="O5412" s="225"/>
      <c r="P5412" s="260"/>
      <c r="Q5412" s="328"/>
      <c r="R5412" s="260"/>
      <c r="S5412" s="260"/>
      <c r="T5412" s="260"/>
      <c r="U5412" s="260"/>
      <c r="V5412" s="260"/>
      <c r="W5412" s="260"/>
      <c r="X5412" s="259"/>
      <c r="Y5412" s="259"/>
      <c r="Z5412" s="260"/>
      <c r="AA5412" s="260"/>
      <c r="AB5412" s="260"/>
      <c r="AC5412" s="260"/>
      <c r="AD5412" s="259"/>
      <c r="AE5412" s="259"/>
      <c r="AF5412" s="260"/>
      <c r="AG5412" s="330"/>
    </row>
    <row r="5413" spans="14:33" hidden="1">
      <c r="N5413" s="239"/>
      <c r="O5413" s="225"/>
      <c r="P5413" s="260"/>
      <c r="Q5413" s="328"/>
      <c r="R5413" s="260"/>
      <c r="S5413" s="260"/>
      <c r="T5413" s="260"/>
      <c r="U5413" s="260"/>
      <c r="V5413" s="260"/>
      <c r="W5413" s="260"/>
      <c r="X5413" s="259"/>
      <c r="Y5413" s="259"/>
      <c r="Z5413" s="260"/>
      <c r="AA5413" s="260"/>
      <c r="AB5413" s="260"/>
      <c r="AC5413" s="260"/>
      <c r="AD5413" s="259"/>
      <c r="AE5413" s="259"/>
      <c r="AF5413" s="260"/>
      <c r="AG5413" s="330"/>
    </row>
    <row r="5414" spans="14:33" hidden="1">
      <c r="N5414" s="239"/>
      <c r="O5414" s="225"/>
      <c r="P5414" s="260"/>
      <c r="Q5414" s="328"/>
      <c r="R5414" s="260"/>
      <c r="S5414" s="260"/>
      <c r="T5414" s="260"/>
      <c r="U5414" s="260"/>
      <c r="V5414" s="260"/>
      <c r="W5414" s="260"/>
      <c r="X5414" s="259"/>
      <c r="Y5414" s="259"/>
      <c r="Z5414" s="260"/>
      <c r="AA5414" s="260"/>
      <c r="AB5414" s="260"/>
      <c r="AC5414" s="260"/>
      <c r="AD5414" s="259"/>
      <c r="AE5414" s="259"/>
      <c r="AF5414" s="260"/>
      <c r="AG5414" s="330"/>
    </row>
    <row r="5415" spans="14:33" hidden="1">
      <c r="N5415" s="239"/>
      <c r="O5415" s="225"/>
      <c r="P5415" s="260"/>
      <c r="Q5415" s="328"/>
      <c r="R5415" s="260"/>
      <c r="S5415" s="260"/>
      <c r="T5415" s="260"/>
      <c r="U5415" s="260"/>
      <c r="V5415" s="260"/>
      <c r="W5415" s="260"/>
      <c r="X5415" s="259"/>
      <c r="Y5415" s="259"/>
      <c r="Z5415" s="260"/>
      <c r="AA5415" s="260"/>
      <c r="AB5415" s="260"/>
      <c r="AC5415" s="260"/>
      <c r="AD5415" s="259"/>
      <c r="AE5415" s="259"/>
      <c r="AF5415" s="260"/>
      <c r="AG5415" s="330"/>
    </row>
    <row r="5416" spans="14:33" hidden="1">
      <c r="N5416" s="239"/>
      <c r="O5416" s="225"/>
      <c r="P5416" s="260"/>
      <c r="Q5416" s="328"/>
      <c r="R5416" s="260"/>
      <c r="S5416" s="260"/>
      <c r="T5416" s="260"/>
      <c r="U5416" s="260"/>
      <c r="V5416" s="260"/>
      <c r="W5416" s="260"/>
      <c r="X5416" s="259"/>
      <c r="Y5416" s="259"/>
      <c r="Z5416" s="260"/>
      <c r="AA5416" s="260"/>
      <c r="AB5416" s="260"/>
      <c r="AC5416" s="260"/>
      <c r="AD5416" s="259"/>
      <c r="AE5416" s="259"/>
      <c r="AF5416" s="260"/>
      <c r="AG5416" s="330"/>
    </row>
    <row r="5417" spans="14:33" hidden="1">
      <c r="N5417" s="239"/>
      <c r="O5417" s="225"/>
      <c r="P5417" s="260"/>
      <c r="Q5417" s="328"/>
      <c r="R5417" s="260"/>
      <c r="S5417" s="260"/>
      <c r="T5417" s="260"/>
      <c r="U5417" s="260"/>
      <c r="V5417" s="260"/>
      <c r="W5417" s="260"/>
      <c r="X5417" s="259"/>
      <c r="Y5417" s="259"/>
      <c r="Z5417" s="260"/>
      <c r="AA5417" s="260"/>
      <c r="AB5417" s="260"/>
      <c r="AC5417" s="260"/>
      <c r="AD5417" s="259"/>
      <c r="AE5417" s="259"/>
      <c r="AF5417" s="260"/>
      <c r="AG5417" s="330"/>
    </row>
    <row r="5418" spans="14:33" hidden="1">
      <c r="N5418" s="239"/>
      <c r="O5418" s="225"/>
      <c r="P5418" s="260"/>
      <c r="Q5418" s="328"/>
      <c r="R5418" s="260"/>
      <c r="S5418" s="260"/>
      <c r="T5418" s="260"/>
      <c r="U5418" s="260"/>
      <c r="V5418" s="260"/>
      <c r="W5418" s="260"/>
      <c r="X5418" s="259"/>
      <c r="Y5418" s="259"/>
      <c r="Z5418" s="260"/>
      <c r="AA5418" s="260"/>
      <c r="AB5418" s="260"/>
      <c r="AC5418" s="260"/>
      <c r="AD5418" s="259"/>
      <c r="AE5418" s="259"/>
      <c r="AF5418" s="260"/>
      <c r="AG5418" s="330"/>
    </row>
    <row r="5419" spans="14:33" hidden="1">
      <c r="N5419" s="239"/>
      <c r="O5419" s="225"/>
      <c r="P5419" s="260"/>
      <c r="Q5419" s="328"/>
      <c r="R5419" s="260"/>
      <c r="S5419" s="260"/>
      <c r="T5419" s="260"/>
      <c r="U5419" s="260"/>
      <c r="V5419" s="260"/>
      <c r="W5419" s="260"/>
      <c r="X5419" s="259"/>
      <c r="Y5419" s="259"/>
      <c r="Z5419" s="260"/>
      <c r="AA5419" s="260"/>
      <c r="AB5419" s="260"/>
      <c r="AC5419" s="260"/>
      <c r="AD5419" s="259"/>
      <c r="AE5419" s="259"/>
      <c r="AF5419" s="260"/>
      <c r="AG5419" s="330"/>
    </row>
    <row r="5420" spans="14:33" hidden="1">
      <c r="N5420" s="239"/>
      <c r="O5420" s="225"/>
      <c r="P5420" s="260"/>
      <c r="Q5420" s="328"/>
      <c r="R5420" s="260"/>
      <c r="S5420" s="260"/>
      <c r="T5420" s="260"/>
      <c r="U5420" s="260"/>
      <c r="V5420" s="260"/>
      <c r="W5420" s="260"/>
      <c r="X5420" s="259"/>
      <c r="Y5420" s="259"/>
      <c r="Z5420" s="260"/>
      <c r="AA5420" s="260"/>
      <c r="AB5420" s="260"/>
      <c r="AC5420" s="260"/>
      <c r="AD5420" s="259"/>
      <c r="AE5420" s="259"/>
      <c r="AF5420" s="260"/>
      <c r="AG5420" s="330"/>
    </row>
    <row r="5421" spans="14:33" hidden="1">
      <c r="N5421" s="239"/>
      <c r="O5421" s="225"/>
      <c r="P5421" s="260"/>
      <c r="Q5421" s="328"/>
      <c r="R5421" s="260"/>
      <c r="S5421" s="260"/>
      <c r="T5421" s="260"/>
      <c r="U5421" s="260"/>
      <c r="V5421" s="260"/>
      <c r="W5421" s="260"/>
      <c r="X5421" s="259"/>
      <c r="Y5421" s="259"/>
      <c r="Z5421" s="260"/>
      <c r="AA5421" s="260"/>
      <c r="AB5421" s="260"/>
      <c r="AC5421" s="260"/>
      <c r="AD5421" s="259"/>
      <c r="AE5421" s="259"/>
      <c r="AF5421" s="260"/>
      <c r="AG5421" s="330"/>
    </row>
    <row r="5422" spans="14:33" hidden="1">
      <c r="N5422" s="239"/>
      <c r="O5422" s="225"/>
      <c r="P5422" s="260"/>
      <c r="Q5422" s="328"/>
      <c r="R5422" s="260"/>
      <c r="S5422" s="260"/>
      <c r="T5422" s="260"/>
      <c r="U5422" s="260"/>
      <c r="V5422" s="260"/>
      <c r="W5422" s="260"/>
      <c r="X5422" s="259"/>
      <c r="Y5422" s="259"/>
      <c r="Z5422" s="260"/>
      <c r="AA5422" s="260"/>
      <c r="AB5422" s="260"/>
      <c r="AC5422" s="260"/>
      <c r="AD5422" s="259"/>
      <c r="AE5422" s="259"/>
      <c r="AF5422" s="260"/>
      <c r="AG5422" s="330"/>
    </row>
    <row r="5423" spans="14:33" hidden="1">
      <c r="N5423" s="239"/>
      <c r="O5423" s="225"/>
      <c r="P5423" s="260"/>
      <c r="Q5423" s="328"/>
      <c r="R5423" s="260"/>
      <c r="S5423" s="260"/>
      <c r="T5423" s="260"/>
      <c r="U5423" s="260"/>
      <c r="V5423" s="260"/>
      <c r="W5423" s="260"/>
      <c r="X5423" s="259"/>
      <c r="Y5423" s="259"/>
      <c r="Z5423" s="260"/>
      <c r="AA5423" s="260"/>
      <c r="AB5423" s="260"/>
      <c r="AC5423" s="260"/>
      <c r="AD5423" s="259"/>
      <c r="AE5423" s="259"/>
      <c r="AF5423" s="260"/>
      <c r="AG5423" s="330"/>
    </row>
    <row r="5424" spans="14:33" hidden="1">
      <c r="N5424" s="239"/>
      <c r="O5424" s="225"/>
      <c r="P5424" s="260"/>
      <c r="Q5424" s="328"/>
      <c r="R5424" s="260"/>
      <c r="S5424" s="260"/>
      <c r="T5424" s="260"/>
      <c r="U5424" s="260"/>
      <c r="V5424" s="260"/>
      <c r="W5424" s="260"/>
      <c r="X5424" s="259"/>
      <c r="Y5424" s="259"/>
      <c r="Z5424" s="260"/>
      <c r="AA5424" s="260"/>
      <c r="AB5424" s="260"/>
      <c r="AC5424" s="260"/>
      <c r="AD5424" s="259"/>
      <c r="AE5424" s="259"/>
      <c r="AF5424" s="260"/>
      <c r="AG5424" s="330"/>
    </row>
    <row r="5425" spans="14:33" hidden="1">
      <c r="N5425" s="239"/>
      <c r="O5425" s="225"/>
      <c r="P5425" s="260"/>
      <c r="Q5425" s="328"/>
      <c r="R5425" s="260"/>
      <c r="S5425" s="260"/>
      <c r="T5425" s="260"/>
      <c r="U5425" s="260"/>
      <c r="V5425" s="260"/>
      <c r="W5425" s="260"/>
      <c r="X5425" s="259"/>
      <c r="Y5425" s="259"/>
      <c r="Z5425" s="260"/>
      <c r="AA5425" s="260"/>
      <c r="AB5425" s="260"/>
      <c r="AC5425" s="260"/>
      <c r="AD5425" s="259"/>
      <c r="AE5425" s="259"/>
      <c r="AF5425" s="260"/>
      <c r="AG5425" s="330"/>
    </row>
    <row r="5426" spans="14:33" hidden="1">
      <c r="N5426" s="239"/>
      <c r="O5426" s="225"/>
      <c r="P5426" s="260"/>
      <c r="Q5426" s="328"/>
      <c r="R5426" s="260"/>
      <c r="S5426" s="260"/>
      <c r="T5426" s="260"/>
      <c r="U5426" s="260"/>
      <c r="V5426" s="260"/>
      <c r="W5426" s="260"/>
      <c r="X5426" s="259"/>
      <c r="Y5426" s="259"/>
      <c r="Z5426" s="260"/>
      <c r="AA5426" s="260"/>
      <c r="AB5426" s="260"/>
      <c r="AC5426" s="260"/>
      <c r="AD5426" s="259"/>
      <c r="AE5426" s="259"/>
      <c r="AF5426" s="260"/>
      <c r="AG5426" s="330"/>
    </row>
    <row r="5427" spans="14:33" hidden="1">
      <c r="N5427" s="239"/>
      <c r="O5427" s="225"/>
      <c r="P5427" s="260"/>
      <c r="Q5427" s="328"/>
      <c r="R5427" s="260"/>
      <c r="S5427" s="260"/>
      <c r="T5427" s="260"/>
      <c r="U5427" s="260"/>
      <c r="V5427" s="260"/>
      <c r="W5427" s="260"/>
      <c r="X5427" s="259"/>
      <c r="Y5427" s="259"/>
      <c r="Z5427" s="260"/>
      <c r="AA5427" s="260"/>
      <c r="AB5427" s="260"/>
      <c r="AC5427" s="260"/>
      <c r="AD5427" s="259"/>
      <c r="AE5427" s="259"/>
      <c r="AF5427" s="260"/>
      <c r="AG5427" s="330"/>
    </row>
    <row r="5428" spans="14:33" hidden="1">
      <c r="N5428" s="239"/>
      <c r="O5428" s="225"/>
      <c r="P5428" s="260"/>
      <c r="Q5428" s="328"/>
      <c r="R5428" s="260"/>
      <c r="S5428" s="260"/>
      <c r="T5428" s="260"/>
      <c r="U5428" s="260"/>
      <c r="V5428" s="260"/>
      <c r="W5428" s="260"/>
      <c r="X5428" s="259"/>
      <c r="Y5428" s="259"/>
      <c r="Z5428" s="260"/>
      <c r="AA5428" s="260"/>
      <c r="AB5428" s="260"/>
      <c r="AC5428" s="260"/>
      <c r="AD5428" s="259"/>
      <c r="AE5428" s="259"/>
      <c r="AF5428" s="260"/>
      <c r="AG5428" s="330"/>
    </row>
    <row r="5429" spans="14:33" hidden="1">
      <c r="N5429" s="239"/>
      <c r="O5429" s="225"/>
      <c r="P5429" s="260"/>
      <c r="Q5429" s="328"/>
      <c r="R5429" s="260"/>
      <c r="S5429" s="260"/>
      <c r="T5429" s="260"/>
      <c r="U5429" s="260"/>
      <c r="V5429" s="260"/>
      <c r="W5429" s="260"/>
      <c r="X5429" s="259"/>
      <c r="Y5429" s="259"/>
      <c r="Z5429" s="260"/>
      <c r="AA5429" s="260"/>
      <c r="AB5429" s="260"/>
      <c r="AC5429" s="260"/>
      <c r="AD5429" s="259"/>
      <c r="AE5429" s="259"/>
      <c r="AF5429" s="260"/>
      <c r="AG5429" s="330"/>
    </row>
    <row r="5430" spans="14:33" hidden="1">
      <c r="N5430" s="239"/>
      <c r="O5430" s="225"/>
      <c r="P5430" s="260"/>
      <c r="Q5430" s="328"/>
      <c r="R5430" s="260"/>
      <c r="S5430" s="260"/>
      <c r="T5430" s="260"/>
      <c r="U5430" s="260"/>
      <c r="V5430" s="260"/>
      <c r="W5430" s="260"/>
      <c r="X5430" s="259"/>
      <c r="Y5430" s="259"/>
      <c r="Z5430" s="260"/>
      <c r="AA5430" s="260"/>
      <c r="AB5430" s="260"/>
      <c r="AC5430" s="260"/>
      <c r="AD5430" s="259"/>
      <c r="AE5430" s="259"/>
      <c r="AF5430" s="260"/>
      <c r="AG5430" s="330"/>
    </row>
    <row r="5431" spans="14:33" hidden="1">
      <c r="N5431" s="239"/>
      <c r="O5431" s="225"/>
      <c r="P5431" s="260"/>
      <c r="Q5431" s="328"/>
      <c r="R5431" s="260"/>
      <c r="S5431" s="260"/>
      <c r="T5431" s="260"/>
      <c r="U5431" s="260"/>
      <c r="V5431" s="260"/>
      <c r="W5431" s="260"/>
      <c r="X5431" s="259"/>
      <c r="Y5431" s="259"/>
      <c r="Z5431" s="260"/>
      <c r="AA5431" s="260"/>
      <c r="AB5431" s="260"/>
      <c r="AC5431" s="260"/>
      <c r="AD5431" s="259"/>
      <c r="AE5431" s="259"/>
      <c r="AF5431" s="260"/>
      <c r="AG5431" s="330"/>
    </row>
    <row r="5432" spans="14:33" hidden="1">
      <c r="N5432" s="239"/>
      <c r="O5432" s="225"/>
      <c r="P5432" s="260"/>
      <c r="Q5432" s="328"/>
      <c r="R5432" s="260"/>
      <c r="S5432" s="260"/>
      <c r="T5432" s="260"/>
      <c r="U5432" s="260"/>
      <c r="V5432" s="260"/>
      <c r="W5432" s="260"/>
      <c r="X5432" s="259"/>
      <c r="Y5432" s="259"/>
      <c r="Z5432" s="260"/>
      <c r="AA5432" s="260"/>
      <c r="AB5432" s="260"/>
      <c r="AC5432" s="260"/>
      <c r="AD5432" s="259"/>
      <c r="AE5432" s="259"/>
      <c r="AF5432" s="260"/>
      <c r="AG5432" s="330"/>
    </row>
    <row r="5433" spans="14:33" hidden="1">
      <c r="N5433" s="239"/>
      <c r="O5433" s="225"/>
      <c r="P5433" s="260"/>
      <c r="Q5433" s="328"/>
      <c r="R5433" s="260"/>
      <c r="S5433" s="260"/>
      <c r="T5433" s="260"/>
      <c r="U5433" s="260"/>
      <c r="V5433" s="260"/>
      <c r="W5433" s="260"/>
      <c r="X5433" s="259"/>
      <c r="Y5433" s="259"/>
      <c r="Z5433" s="260"/>
      <c r="AA5433" s="260"/>
      <c r="AB5433" s="260"/>
      <c r="AC5433" s="260"/>
      <c r="AD5433" s="259"/>
      <c r="AE5433" s="259"/>
      <c r="AF5433" s="260"/>
      <c r="AG5433" s="330"/>
    </row>
    <row r="5434" spans="14:33" hidden="1">
      <c r="N5434" s="239"/>
      <c r="O5434" s="225"/>
      <c r="P5434" s="260"/>
      <c r="Q5434" s="328"/>
      <c r="R5434" s="260"/>
      <c r="S5434" s="260"/>
      <c r="T5434" s="260"/>
      <c r="U5434" s="260"/>
      <c r="V5434" s="260"/>
      <c r="W5434" s="260"/>
      <c r="X5434" s="259"/>
      <c r="Y5434" s="259"/>
      <c r="Z5434" s="260"/>
      <c r="AA5434" s="260"/>
      <c r="AB5434" s="260"/>
      <c r="AC5434" s="260"/>
      <c r="AD5434" s="259"/>
      <c r="AE5434" s="259"/>
      <c r="AF5434" s="260"/>
      <c r="AG5434" s="330"/>
    </row>
    <row r="5435" spans="14:33" hidden="1">
      <c r="N5435" s="239"/>
      <c r="O5435" s="225"/>
      <c r="P5435" s="260"/>
      <c r="Q5435" s="328"/>
      <c r="R5435" s="260"/>
      <c r="S5435" s="260"/>
      <c r="T5435" s="260"/>
      <c r="U5435" s="260"/>
      <c r="V5435" s="260"/>
      <c r="W5435" s="260"/>
      <c r="X5435" s="259"/>
      <c r="Y5435" s="259"/>
      <c r="Z5435" s="260"/>
      <c r="AA5435" s="260"/>
      <c r="AB5435" s="260"/>
      <c r="AC5435" s="260"/>
      <c r="AD5435" s="259"/>
      <c r="AE5435" s="259"/>
      <c r="AF5435" s="260"/>
      <c r="AG5435" s="330"/>
    </row>
    <row r="5436" spans="14:33" hidden="1">
      <c r="N5436" s="239"/>
      <c r="O5436" s="225"/>
      <c r="P5436" s="260"/>
      <c r="Q5436" s="328"/>
      <c r="R5436" s="260"/>
      <c r="S5436" s="260"/>
      <c r="T5436" s="260"/>
      <c r="U5436" s="260"/>
      <c r="V5436" s="260"/>
      <c r="W5436" s="260"/>
      <c r="X5436" s="259"/>
      <c r="Y5436" s="259"/>
      <c r="Z5436" s="260"/>
      <c r="AA5436" s="260"/>
      <c r="AB5436" s="260"/>
      <c r="AC5436" s="260"/>
      <c r="AD5436" s="259"/>
      <c r="AE5436" s="259"/>
      <c r="AF5436" s="260"/>
      <c r="AG5436" s="330"/>
    </row>
    <row r="5437" spans="14:33" hidden="1">
      <c r="N5437" s="239"/>
      <c r="O5437" s="225"/>
      <c r="P5437" s="260"/>
      <c r="Q5437" s="328"/>
      <c r="R5437" s="260"/>
      <c r="S5437" s="260"/>
      <c r="T5437" s="260"/>
      <c r="U5437" s="260"/>
      <c r="V5437" s="260"/>
      <c r="W5437" s="260"/>
      <c r="X5437" s="259"/>
      <c r="Y5437" s="259"/>
      <c r="Z5437" s="260"/>
      <c r="AA5437" s="260"/>
      <c r="AB5437" s="260"/>
      <c r="AC5437" s="260"/>
      <c r="AD5437" s="259"/>
      <c r="AE5437" s="259"/>
      <c r="AF5437" s="260"/>
      <c r="AG5437" s="330"/>
    </row>
    <row r="5438" spans="14:33" hidden="1">
      <c r="N5438" s="239"/>
      <c r="O5438" s="225"/>
      <c r="P5438" s="260"/>
      <c r="Q5438" s="328"/>
      <c r="R5438" s="260"/>
      <c r="S5438" s="260"/>
      <c r="T5438" s="260"/>
      <c r="U5438" s="260"/>
      <c r="V5438" s="260"/>
      <c r="W5438" s="260"/>
      <c r="X5438" s="259"/>
      <c r="Y5438" s="259"/>
      <c r="Z5438" s="260"/>
      <c r="AA5438" s="260"/>
      <c r="AB5438" s="260"/>
      <c r="AC5438" s="260"/>
      <c r="AD5438" s="259"/>
      <c r="AE5438" s="259"/>
      <c r="AF5438" s="260"/>
      <c r="AG5438" s="330"/>
    </row>
    <row r="5439" spans="14:33" hidden="1">
      <c r="N5439" s="239"/>
      <c r="O5439" s="225"/>
      <c r="P5439" s="260"/>
      <c r="Q5439" s="328"/>
      <c r="R5439" s="260"/>
      <c r="S5439" s="260"/>
      <c r="T5439" s="260"/>
      <c r="U5439" s="260"/>
      <c r="V5439" s="260"/>
      <c r="W5439" s="260"/>
      <c r="X5439" s="259"/>
      <c r="Y5439" s="259"/>
      <c r="Z5439" s="260"/>
      <c r="AA5439" s="260"/>
      <c r="AB5439" s="260"/>
      <c r="AC5439" s="260"/>
      <c r="AD5439" s="259"/>
      <c r="AE5439" s="259"/>
      <c r="AF5439" s="260"/>
      <c r="AG5439" s="330"/>
    </row>
    <row r="5440" spans="14:33" hidden="1">
      <c r="N5440" s="239"/>
      <c r="O5440" s="225"/>
      <c r="P5440" s="260"/>
      <c r="Q5440" s="328"/>
      <c r="R5440" s="260"/>
      <c r="S5440" s="260"/>
      <c r="T5440" s="260"/>
      <c r="U5440" s="260"/>
      <c r="V5440" s="260"/>
      <c r="W5440" s="260"/>
      <c r="X5440" s="259"/>
      <c r="Y5440" s="259"/>
      <c r="Z5440" s="260"/>
      <c r="AA5440" s="260"/>
      <c r="AB5440" s="260"/>
      <c r="AC5440" s="260"/>
      <c r="AD5440" s="259"/>
      <c r="AE5440" s="259"/>
      <c r="AF5440" s="260"/>
      <c r="AG5440" s="330"/>
    </row>
    <row r="5441" spans="14:33" hidden="1">
      <c r="N5441" s="239"/>
      <c r="O5441" s="225"/>
      <c r="P5441" s="260"/>
      <c r="Q5441" s="328"/>
      <c r="R5441" s="260"/>
      <c r="S5441" s="260"/>
      <c r="T5441" s="260"/>
      <c r="U5441" s="260"/>
      <c r="V5441" s="260"/>
      <c r="W5441" s="260"/>
      <c r="X5441" s="259"/>
      <c r="Y5441" s="259"/>
      <c r="Z5441" s="260"/>
      <c r="AA5441" s="260"/>
      <c r="AB5441" s="260"/>
      <c r="AC5441" s="260"/>
      <c r="AD5441" s="259"/>
      <c r="AE5441" s="259"/>
      <c r="AF5441" s="260"/>
      <c r="AG5441" s="330"/>
    </row>
    <row r="5442" spans="14:33" hidden="1">
      <c r="N5442" s="239"/>
      <c r="O5442" s="225"/>
      <c r="P5442" s="260"/>
      <c r="Q5442" s="328"/>
      <c r="R5442" s="260"/>
      <c r="S5442" s="260"/>
      <c r="T5442" s="260"/>
      <c r="U5442" s="260"/>
      <c r="V5442" s="260"/>
      <c r="W5442" s="260"/>
      <c r="X5442" s="259"/>
      <c r="Y5442" s="259"/>
      <c r="Z5442" s="260"/>
      <c r="AA5442" s="260"/>
      <c r="AB5442" s="260"/>
      <c r="AC5442" s="260"/>
      <c r="AD5442" s="259"/>
      <c r="AE5442" s="259"/>
      <c r="AF5442" s="260"/>
      <c r="AG5442" s="330"/>
    </row>
    <row r="5443" spans="14:33" hidden="1">
      <c r="N5443" s="239"/>
      <c r="O5443" s="225"/>
      <c r="P5443" s="260"/>
      <c r="Q5443" s="328"/>
      <c r="R5443" s="260"/>
      <c r="S5443" s="260"/>
      <c r="T5443" s="260"/>
      <c r="U5443" s="260"/>
      <c r="V5443" s="260"/>
      <c r="W5443" s="260"/>
      <c r="X5443" s="259"/>
      <c r="Y5443" s="259"/>
      <c r="Z5443" s="260"/>
      <c r="AA5443" s="260"/>
      <c r="AB5443" s="260"/>
      <c r="AC5443" s="260"/>
      <c r="AD5443" s="259"/>
      <c r="AE5443" s="259"/>
      <c r="AF5443" s="260"/>
      <c r="AG5443" s="330"/>
    </row>
    <row r="5444" spans="14:33" hidden="1">
      <c r="N5444" s="239"/>
      <c r="O5444" s="225"/>
      <c r="P5444" s="260"/>
      <c r="Q5444" s="328"/>
      <c r="R5444" s="260"/>
      <c r="S5444" s="260"/>
      <c r="T5444" s="260"/>
      <c r="U5444" s="260"/>
      <c r="V5444" s="260"/>
      <c r="W5444" s="260"/>
      <c r="X5444" s="259"/>
      <c r="Y5444" s="259"/>
      <c r="Z5444" s="260"/>
      <c r="AA5444" s="260"/>
      <c r="AB5444" s="260"/>
      <c r="AC5444" s="260"/>
      <c r="AD5444" s="259"/>
      <c r="AE5444" s="259"/>
      <c r="AF5444" s="260"/>
      <c r="AG5444" s="330"/>
    </row>
    <row r="5445" spans="14:33" hidden="1">
      <c r="N5445" s="239"/>
      <c r="O5445" s="225"/>
      <c r="P5445" s="260"/>
      <c r="Q5445" s="328"/>
      <c r="R5445" s="260"/>
      <c r="S5445" s="260"/>
      <c r="T5445" s="260"/>
      <c r="U5445" s="260"/>
      <c r="V5445" s="260"/>
      <c r="W5445" s="260"/>
      <c r="X5445" s="259"/>
      <c r="Y5445" s="259"/>
      <c r="Z5445" s="260"/>
      <c r="AA5445" s="260"/>
      <c r="AB5445" s="260"/>
      <c r="AC5445" s="260"/>
      <c r="AD5445" s="259"/>
      <c r="AE5445" s="259"/>
      <c r="AF5445" s="260"/>
      <c r="AG5445" s="330"/>
    </row>
    <row r="5446" spans="14:33" hidden="1">
      <c r="N5446" s="239"/>
      <c r="O5446" s="225"/>
      <c r="P5446" s="260"/>
      <c r="Q5446" s="328"/>
      <c r="R5446" s="260"/>
      <c r="S5446" s="260"/>
      <c r="T5446" s="260"/>
      <c r="U5446" s="260"/>
      <c r="V5446" s="260"/>
      <c r="W5446" s="260"/>
      <c r="X5446" s="259"/>
      <c r="Y5446" s="259"/>
      <c r="Z5446" s="260"/>
      <c r="AA5446" s="260"/>
      <c r="AB5446" s="260"/>
      <c r="AC5446" s="260"/>
      <c r="AD5446" s="259"/>
      <c r="AE5446" s="259"/>
      <c r="AF5446" s="260"/>
      <c r="AG5446" s="330"/>
    </row>
    <row r="5447" spans="14:33" hidden="1">
      <c r="N5447" s="239"/>
      <c r="O5447" s="225"/>
      <c r="P5447" s="260"/>
      <c r="Q5447" s="328"/>
      <c r="R5447" s="260"/>
      <c r="S5447" s="260"/>
      <c r="T5447" s="260"/>
      <c r="U5447" s="260"/>
      <c r="V5447" s="260"/>
      <c r="W5447" s="260"/>
      <c r="X5447" s="259"/>
      <c r="Y5447" s="259"/>
      <c r="Z5447" s="260"/>
      <c r="AA5447" s="260"/>
      <c r="AB5447" s="260"/>
      <c r="AC5447" s="260"/>
      <c r="AD5447" s="259"/>
      <c r="AE5447" s="259"/>
      <c r="AF5447" s="260"/>
      <c r="AG5447" s="330"/>
    </row>
    <row r="5448" spans="14:33" hidden="1">
      <c r="N5448" s="239"/>
      <c r="O5448" s="225"/>
      <c r="P5448" s="260"/>
      <c r="Q5448" s="328"/>
      <c r="R5448" s="260"/>
      <c r="S5448" s="260"/>
      <c r="T5448" s="260"/>
      <c r="U5448" s="260"/>
      <c r="V5448" s="260"/>
      <c r="W5448" s="260"/>
      <c r="X5448" s="259"/>
      <c r="Y5448" s="259"/>
      <c r="Z5448" s="260"/>
      <c r="AA5448" s="260"/>
      <c r="AB5448" s="260"/>
      <c r="AC5448" s="260"/>
      <c r="AD5448" s="259"/>
      <c r="AE5448" s="259"/>
      <c r="AF5448" s="260"/>
      <c r="AG5448" s="330"/>
    </row>
    <row r="5449" spans="14:33" hidden="1">
      <c r="N5449" s="239"/>
      <c r="O5449" s="225"/>
      <c r="P5449" s="260"/>
      <c r="Q5449" s="328"/>
      <c r="R5449" s="260"/>
      <c r="S5449" s="260"/>
      <c r="T5449" s="260"/>
      <c r="U5449" s="260"/>
      <c r="V5449" s="260"/>
      <c r="W5449" s="260"/>
      <c r="X5449" s="259"/>
      <c r="Y5449" s="259"/>
      <c r="Z5449" s="260"/>
      <c r="AA5449" s="260"/>
      <c r="AB5449" s="260"/>
      <c r="AC5449" s="260"/>
      <c r="AD5449" s="259"/>
      <c r="AE5449" s="259"/>
      <c r="AF5449" s="260"/>
      <c r="AG5449" s="330"/>
    </row>
    <row r="5450" spans="14:33" hidden="1">
      <c r="N5450" s="239"/>
      <c r="O5450" s="225"/>
      <c r="P5450" s="260"/>
      <c r="Q5450" s="328"/>
      <c r="R5450" s="260"/>
      <c r="S5450" s="260"/>
      <c r="T5450" s="260"/>
      <c r="U5450" s="260"/>
      <c r="V5450" s="260"/>
      <c r="W5450" s="260"/>
      <c r="X5450" s="259"/>
      <c r="Y5450" s="259"/>
      <c r="Z5450" s="260"/>
      <c r="AA5450" s="260"/>
      <c r="AB5450" s="260"/>
      <c r="AC5450" s="260"/>
      <c r="AD5450" s="259"/>
      <c r="AE5450" s="259"/>
      <c r="AF5450" s="260"/>
      <c r="AG5450" s="330"/>
    </row>
    <row r="5451" spans="14:33" hidden="1">
      <c r="N5451" s="239"/>
      <c r="O5451" s="225"/>
      <c r="P5451" s="260"/>
      <c r="Q5451" s="328"/>
      <c r="R5451" s="260"/>
      <c r="S5451" s="260"/>
      <c r="T5451" s="260"/>
      <c r="U5451" s="260"/>
      <c r="V5451" s="260"/>
      <c r="W5451" s="260"/>
      <c r="X5451" s="259"/>
      <c r="Y5451" s="259"/>
      <c r="Z5451" s="260"/>
      <c r="AA5451" s="260"/>
      <c r="AB5451" s="260"/>
      <c r="AC5451" s="260"/>
      <c r="AD5451" s="259"/>
      <c r="AE5451" s="259"/>
      <c r="AF5451" s="260"/>
      <c r="AG5451" s="330"/>
    </row>
    <row r="5452" spans="14:33" hidden="1">
      <c r="N5452" s="239"/>
      <c r="O5452" s="225"/>
      <c r="P5452" s="260"/>
      <c r="Q5452" s="328"/>
      <c r="R5452" s="260"/>
      <c r="S5452" s="260"/>
      <c r="T5452" s="260"/>
      <c r="U5452" s="260"/>
      <c r="V5452" s="260"/>
      <c r="W5452" s="260"/>
      <c r="X5452" s="259"/>
      <c r="Y5452" s="259"/>
      <c r="Z5452" s="260"/>
      <c r="AA5452" s="260"/>
      <c r="AB5452" s="260"/>
      <c r="AC5452" s="260"/>
      <c r="AD5452" s="259"/>
      <c r="AE5452" s="259"/>
      <c r="AF5452" s="260"/>
      <c r="AG5452" s="330"/>
    </row>
    <row r="5453" spans="14:33" hidden="1">
      <c r="N5453" s="239"/>
      <c r="O5453" s="225"/>
      <c r="P5453" s="260"/>
      <c r="Q5453" s="328"/>
      <c r="R5453" s="260"/>
      <c r="S5453" s="260"/>
      <c r="T5453" s="260"/>
      <c r="U5453" s="260"/>
      <c r="V5453" s="260"/>
      <c r="W5453" s="260"/>
      <c r="X5453" s="259"/>
      <c r="Y5453" s="259"/>
      <c r="Z5453" s="260"/>
      <c r="AA5453" s="260"/>
      <c r="AB5453" s="260"/>
      <c r="AC5453" s="260"/>
      <c r="AD5453" s="259"/>
      <c r="AE5453" s="259"/>
      <c r="AF5453" s="260"/>
      <c r="AG5453" s="330"/>
    </row>
    <row r="5454" spans="14:33" hidden="1">
      <c r="N5454" s="239"/>
      <c r="O5454" s="225"/>
      <c r="P5454" s="260"/>
      <c r="Q5454" s="328"/>
      <c r="R5454" s="260"/>
      <c r="S5454" s="260"/>
      <c r="T5454" s="260"/>
      <c r="U5454" s="260"/>
      <c r="V5454" s="260"/>
      <c r="W5454" s="260"/>
      <c r="X5454" s="259"/>
      <c r="Y5454" s="259"/>
      <c r="Z5454" s="260"/>
      <c r="AA5454" s="260"/>
      <c r="AB5454" s="260"/>
      <c r="AC5454" s="260"/>
      <c r="AD5454" s="259"/>
      <c r="AE5454" s="259"/>
      <c r="AF5454" s="260"/>
      <c r="AG5454" s="330"/>
    </row>
    <row r="5455" spans="14:33" hidden="1">
      <c r="N5455" s="239"/>
      <c r="O5455" s="225"/>
      <c r="P5455" s="260"/>
      <c r="Q5455" s="328"/>
      <c r="R5455" s="260"/>
      <c r="S5455" s="260"/>
      <c r="T5455" s="260"/>
      <c r="U5455" s="260"/>
      <c r="V5455" s="260"/>
      <c r="W5455" s="260"/>
      <c r="X5455" s="259"/>
      <c r="Y5455" s="259"/>
      <c r="Z5455" s="260"/>
      <c r="AA5455" s="260"/>
      <c r="AB5455" s="260"/>
      <c r="AC5455" s="260"/>
      <c r="AD5455" s="259"/>
      <c r="AE5455" s="259"/>
      <c r="AF5455" s="260"/>
      <c r="AG5455" s="330"/>
    </row>
    <row r="5456" spans="14:33" hidden="1">
      <c r="N5456" s="239"/>
      <c r="O5456" s="225"/>
      <c r="P5456" s="260"/>
      <c r="Q5456" s="328"/>
      <c r="R5456" s="260"/>
      <c r="S5456" s="260"/>
      <c r="T5456" s="260"/>
      <c r="U5456" s="260"/>
      <c r="V5456" s="260"/>
      <c r="W5456" s="260"/>
      <c r="X5456" s="259"/>
      <c r="Y5456" s="259"/>
      <c r="Z5456" s="260"/>
      <c r="AA5456" s="260"/>
      <c r="AB5456" s="260"/>
      <c r="AC5456" s="260"/>
      <c r="AD5456" s="259"/>
      <c r="AE5456" s="259"/>
      <c r="AF5456" s="260"/>
      <c r="AG5456" s="330"/>
    </row>
    <row r="5457" spans="14:33" hidden="1">
      <c r="N5457" s="239"/>
      <c r="O5457" s="225"/>
      <c r="P5457" s="260"/>
      <c r="Q5457" s="328"/>
      <c r="R5457" s="260"/>
      <c r="S5457" s="260"/>
      <c r="T5457" s="260"/>
      <c r="U5457" s="260"/>
      <c r="V5457" s="260"/>
      <c r="W5457" s="260"/>
      <c r="X5457" s="259"/>
      <c r="Y5457" s="259"/>
      <c r="Z5457" s="260"/>
      <c r="AA5457" s="260"/>
      <c r="AB5457" s="260"/>
      <c r="AC5457" s="260"/>
      <c r="AD5457" s="259"/>
      <c r="AE5457" s="259"/>
      <c r="AF5457" s="260"/>
      <c r="AG5457" s="330"/>
    </row>
    <row r="5458" spans="14:33" hidden="1">
      <c r="N5458" s="239"/>
      <c r="O5458" s="225"/>
      <c r="P5458" s="260"/>
      <c r="Q5458" s="328"/>
      <c r="R5458" s="260"/>
      <c r="S5458" s="260"/>
      <c r="T5458" s="260"/>
      <c r="U5458" s="260"/>
      <c r="V5458" s="260"/>
      <c r="W5458" s="260"/>
      <c r="X5458" s="259"/>
      <c r="Y5458" s="259"/>
      <c r="Z5458" s="260"/>
      <c r="AA5458" s="260"/>
      <c r="AB5458" s="260"/>
      <c r="AC5458" s="260"/>
      <c r="AD5458" s="259"/>
      <c r="AE5458" s="259"/>
      <c r="AF5458" s="260"/>
      <c r="AG5458" s="330"/>
    </row>
    <row r="5459" spans="14:33" hidden="1">
      <c r="N5459" s="239"/>
      <c r="O5459" s="225"/>
      <c r="P5459" s="260"/>
      <c r="Q5459" s="328"/>
      <c r="R5459" s="260"/>
      <c r="S5459" s="260"/>
      <c r="T5459" s="260"/>
      <c r="U5459" s="260"/>
      <c r="V5459" s="260"/>
      <c r="W5459" s="260"/>
      <c r="X5459" s="259"/>
      <c r="Y5459" s="259"/>
      <c r="Z5459" s="260"/>
      <c r="AA5459" s="260"/>
      <c r="AB5459" s="260"/>
      <c r="AC5459" s="260"/>
      <c r="AD5459" s="259"/>
      <c r="AE5459" s="259"/>
      <c r="AF5459" s="260"/>
      <c r="AG5459" s="330"/>
    </row>
    <row r="5460" spans="14:33" hidden="1">
      <c r="N5460" s="239"/>
      <c r="O5460" s="225"/>
      <c r="P5460" s="260"/>
      <c r="Q5460" s="328"/>
      <c r="R5460" s="260"/>
      <c r="S5460" s="260"/>
      <c r="T5460" s="260"/>
      <c r="U5460" s="260"/>
      <c r="V5460" s="260"/>
      <c r="W5460" s="260"/>
      <c r="X5460" s="259"/>
      <c r="Y5460" s="259"/>
      <c r="Z5460" s="260"/>
      <c r="AA5460" s="260"/>
      <c r="AB5460" s="260"/>
      <c r="AC5460" s="260"/>
      <c r="AD5460" s="259"/>
      <c r="AE5460" s="259"/>
      <c r="AF5460" s="260"/>
      <c r="AG5460" s="330"/>
    </row>
    <row r="5461" spans="14:33" hidden="1">
      <c r="N5461" s="239"/>
      <c r="O5461" s="225"/>
      <c r="P5461" s="260"/>
      <c r="Q5461" s="328"/>
      <c r="R5461" s="260"/>
      <c r="S5461" s="260"/>
      <c r="T5461" s="260"/>
      <c r="U5461" s="260"/>
      <c r="V5461" s="260"/>
      <c r="W5461" s="260"/>
      <c r="X5461" s="259"/>
      <c r="Y5461" s="259"/>
      <c r="Z5461" s="260"/>
      <c r="AA5461" s="260"/>
      <c r="AB5461" s="260"/>
      <c r="AC5461" s="260"/>
      <c r="AD5461" s="259"/>
      <c r="AE5461" s="259"/>
      <c r="AF5461" s="260"/>
      <c r="AG5461" s="330"/>
    </row>
    <row r="5462" spans="14:33" hidden="1">
      <c r="N5462" s="239"/>
      <c r="O5462" s="225"/>
      <c r="P5462" s="260"/>
      <c r="Q5462" s="328"/>
      <c r="R5462" s="260"/>
      <c r="S5462" s="260"/>
      <c r="T5462" s="260"/>
      <c r="U5462" s="260"/>
      <c r="V5462" s="260"/>
      <c r="W5462" s="260"/>
      <c r="X5462" s="259"/>
      <c r="Y5462" s="259"/>
      <c r="Z5462" s="260"/>
      <c r="AA5462" s="260"/>
      <c r="AB5462" s="260"/>
      <c r="AC5462" s="260"/>
      <c r="AD5462" s="259"/>
      <c r="AE5462" s="259"/>
      <c r="AF5462" s="260"/>
      <c r="AG5462" s="330"/>
    </row>
    <row r="5463" spans="14:33" hidden="1">
      <c r="N5463" s="239"/>
      <c r="O5463" s="225"/>
      <c r="P5463" s="260"/>
      <c r="Q5463" s="328"/>
      <c r="R5463" s="260"/>
      <c r="S5463" s="260"/>
      <c r="T5463" s="260"/>
      <c r="U5463" s="260"/>
      <c r="V5463" s="260"/>
      <c r="W5463" s="260"/>
      <c r="X5463" s="259"/>
      <c r="Y5463" s="259"/>
      <c r="Z5463" s="260"/>
      <c r="AA5463" s="260"/>
      <c r="AB5463" s="260"/>
      <c r="AC5463" s="260"/>
      <c r="AD5463" s="259"/>
      <c r="AE5463" s="259"/>
      <c r="AF5463" s="260"/>
      <c r="AG5463" s="330"/>
    </row>
    <row r="5464" spans="14:33" hidden="1">
      <c r="N5464" s="239"/>
      <c r="O5464" s="225"/>
      <c r="P5464" s="260"/>
      <c r="Q5464" s="328"/>
      <c r="R5464" s="260"/>
      <c r="S5464" s="260"/>
      <c r="T5464" s="260"/>
      <c r="U5464" s="260"/>
      <c r="V5464" s="260"/>
      <c r="W5464" s="260"/>
      <c r="X5464" s="259"/>
      <c r="Y5464" s="259"/>
      <c r="Z5464" s="260"/>
      <c r="AA5464" s="260"/>
      <c r="AB5464" s="260"/>
      <c r="AC5464" s="260"/>
      <c r="AD5464" s="259"/>
      <c r="AE5464" s="259"/>
      <c r="AF5464" s="260"/>
      <c r="AG5464" s="330"/>
    </row>
    <row r="5465" spans="14:33" hidden="1">
      <c r="N5465" s="239"/>
      <c r="O5465" s="225"/>
      <c r="P5465" s="260"/>
      <c r="Q5465" s="328"/>
      <c r="R5465" s="260"/>
      <c r="S5465" s="260"/>
      <c r="T5465" s="260"/>
      <c r="U5465" s="260"/>
      <c r="V5465" s="260"/>
      <c r="W5465" s="260"/>
      <c r="X5465" s="259"/>
      <c r="Y5465" s="259"/>
      <c r="Z5465" s="260"/>
      <c r="AA5465" s="260"/>
      <c r="AB5465" s="260"/>
      <c r="AC5465" s="260"/>
      <c r="AD5465" s="259"/>
      <c r="AE5465" s="259"/>
      <c r="AF5465" s="260"/>
      <c r="AG5465" s="330"/>
    </row>
    <row r="5466" spans="14:33" hidden="1">
      <c r="N5466" s="239"/>
      <c r="O5466" s="225"/>
      <c r="P5466" s="260"/>
      <c r="Q5466" s="328"/>
      <c r="R5466" s="260"/>
      <c r="S5466" s="260"/>
      <c r="T5466" s="260"/>
      <c r="U5466" s="260"/>
      <c r="V5466" s="260"/>
      <c r="W5466" s="260"/>
      <c r="X5466" s="259"/>
      <c r="Y5466" s="259"/>
      <c r="Z5466" s="260"/>
      <c r="AA5466" s="260"/>
      <c r="AB5466" s="260"/>
      <c r="AC5466" s="260"/>
      <c r="AD5466" s="259"/>
      <c r="AE5466" s="259"/>
      <c r="AF5466" s="260"/>
      <c r="AG5466" s="330"/>
    </row>
    <row r="5467" spans="14:33" hidden="1">
      <c r="N5467" s="239"/>
      <c r="O5467" s="225"/>
      <c r="P5467" s="260"/>
      <c r="Q5467" s="328"/>
      <c r="R5467" s="260"/>
      <c r="S5467" s="260"/>
      <c r="T5467" s="260"/>
      <c r="U5467" s="260"/>
      <c r="V5467" s="260"/>
      <c r="W5467" s="260"/>
      <c r="X5467" s="259"/>
      <c r="Y5467" s="259"/>
      <c r="Z5467" s="260"/>
      <c r="AA5467" s="260"/>
      <c r="AB5467" s="260"/>
      <c r="AC5467" s="260"/>
      <c r="AD5467" s="259"/>
      <c r="AE5467" s="259"/>
      <c r="AF5467" s="260"/>
      <c r="AG5467" s="330"/>
    </row>
    <row r="5468" spans="14:33" hidden="1">
      <c r="N5468" s="239"/>
      <c r="O5468" s="225"/>
      <c r="P5468" s="260"/>
      <c r="Q5468" s="328"/>
      <c r="R5468" s="260"/>
      <c r="S5468" s="260"/>
      <c r="T5468" s="260"/>
      <c r="U5468" s="260"/>
      <c r="V5468" s="260"/>
      <c r="W5468" s="260"/>
      <c r="X5468" s="259"/>
      <c r="Y5468" s="259"/>
      <c r="Z5468" s="260"/>
      <c r="AA5468" s="260"/>
      <c r="AB5468" s="260"/>
      <c r="AC5468" s="260"/>
      <c r="AD5468" s="259"/>
      <c r="AE5468" s="259"/>
      <c r="AF5468" s="260"/>
      <c r="AG5468" s="330"/>
    </row>
    <row r="5469" spans="14:33" hidden="1">
      <c r="N5469" s="239"/>
      <c r="O5469" s="225"/>
      <c r="P5469" s="260"/>
      <c r="Q5469" s="328"/>
      <c r="R5469" s="260"/>
      <c r="S5469" s="260"/>
      <c r="T5469" s="260"/>
      <c r="U5469" s="260"/>
      <c r="V5469" s="260"/>
      <c r="W5469" s="260"/>
      <c r="X5469" s="259"/>
      <c r="Y5469" s="259"/>
      <c r="Z5469" s="260"/>
      <c r="AA5469" s="260"/>
      <c r="AB5469" s="260"/>
      <c r="AC5469" s="260"/>
      <c r="AD5469" s="259"/>
      <c r="AE5469" s="259"/>
      <c r="AF5469" s="260"/>
      <c r="AG5469" s="330"/>
    </row>
    <row r="5470" spans="14:33" hidden="1">
      <c r="N5470" s="239"/>
      <c r="O5470" s="225"/>
      <c r="P5470" s="260"/>
      <c r="Q5470" s="328"/>
      <c r="R5470" s="260"/>
      <c r="S5470" s="260"/>
      <c r="T5470" s="260"/>
      <c r="U5470" s="260"/>
      <c r="V5470" s="260"/>
      <c r="W5470" s="260"/>
      <c r="X5470" s="259"/>
      <c r="Y5470" s="259"/>
      <c r="Z5470" s="260"/>
      <c r="AA5470" s="260"/>
      <c r="AB5470" s="260"/>
      <c r="AC5470" s="260"/>
      <c r="AD5470" s="259"/>
      <c r="AE5470" s="259"/>
      <c r="AF5470" s="260"/>
      <c r="AG5470" s="330"/>
    </row>
    <row r="5471" spans="14:33" hidden="1">
      <c r="N5471" s="239"/>
      <c r="O5471" s="225"/>
      <c r="P5471" s="260"/>
      <c r="Q5471" s="328"/>
      <c r="R5471" s="260"/>
      <c r="S5471" s="260"/>
      <c r="T5471" s="260"/>
      <c r="U5471" s="260"/>
      <c r="V5471" s="260"/>
      <c r="W5471" s="260"/>
      <c r="X5471" s="259"/>
      <c r="Y5471" s="259"/>
      <c r="Z5471" s="260"/>
      <c r="AA5471" s="260"/>
      <c r="AB5471" s="260"/>
      <c r="AC5471" s="260"/>
      <c r="AD5471" s="259"/>
      <c r="AE5471" s="259"/>
      <c r="AF5471" s="260"/>
      <c r="AG5471" s="330"/>
    </row>
    <row r="5472" spans="14:33" hidden="1">
      <c r="N5472" s="239"/>
      <c r="O5472" s="225"/>
      <c r="P5472" s="260"/>
      <c r="Q5472" s="328"/>
      <c r="R5472" s="260"/>
      <c r="S5472" s="260"/>
      <c r="T5472" s="260"/>
      <c r="U5472" s="260"/>
      <c r="V5472" s="260"/>
      <c r="W5472" s="260"/>
      <c r="X5472" s="259"/>
      <c r="Y5472" s="259"/>
      <c r="Z5472" s="260"/>
      <c r="AA5472" s="260"/>
      <c r="AB5472" s="260"/>
      <c r="AC5472" s="260"/>
      <c r="AD5472" s="259"/>
      <c r="AE5472" s="259"/>
      <c r="AF5472" s="260"/>
      <c r="AG5472" s="330"/>
    </row>
    <row r="5473" spans="14:33" hidden="1">
      <c r="N5473" s="239"/>
      <c r="O5473" s="225"/>
      <c r="P5473" s="260"/>
      <c r="Q5473" s="328"/>
      <c r="R5473" s="260"/>
      <c r="S5473" s="260"/>
      <c r="T5473" s="260"/>
      <c r="U5473" s="260"/>
      <c r="V5473" s="260"/>
      <c r="W5473" s="260"/>
      <c r="X5473" s="259"/>
      <c r="Y5473" s="259"/>
      <c r="Z5473" s="260"/>
      <c r="AA5473" s="260"/>
      <c r="AB5473" s="260"/>
      <c r="AC5473" s="260"/>
      <c r="AD5473" s="259"/>
      <c r="AE5473" s="259"/>
      <c r="AF5473" s="260"/>
      <c r="AG5473" s="330"/>
    </row>
    <row r="5474" spans="14:33" hidden="1">
      <c r="N5474" s="239"/>
      <c r="O5474" s="225"/>
      <c r="P5474" s="260"/>
      <c r="Q5474" s="328"/>
      <c r="R5474" s="260"/>
      <c r="S5474" s="260"/>
      <c r="T5474" s="260"/>
      <c r="U5474" s="260"/>
      <c r="V5474" s="260"/>
      <c r="W5474" s="260"/>
      <c r="X5474" s="259"/>
      <c r="Y5474" s="259"/>
      <c r="Z5474" s="260"/>
      <c r="AA5474" s="260"/>
      <c r="AB5474" s="260"/>
      <c r="AC5474" s="260"/>
      <c r="AD5474" s="259"/>
      <c r="AE5474" s="259"/>
      <c r="AF5474" s="260"/>
      <c r="AG5474" s="330"/>
    </row>
    <row r="5475" spans="14:33" hidden="1">
      <c r="N5475" s="239"/>
      <c r="O5475" s="225"/>
      <c r="P5475" s="260"/>
      <c r="Q5475" s="328"/>
      <c r="R5475" s="260"/>
      <c r="S5475" s="260"/>
      <c r="T5475" s="260"/>
      <c r="U5475" s="260"/>
      <c r="V5475" s="260"/>
      <c r="W5475" s="260"/>
      <c r="X5475" s="259"/>
      <c r="Y5475" s="259"/>
      <c r="Z5475" s="260"/>
      <c r="AA5475" s="260"/>
      <c r="AB5475" s="260"/>
      <c r="AC5475" s="260"/>
      <c r="AD5475" s="259"/>
      <c r="AE5475" s="259"/>
      <c r="AF5475" s="260"/>
      <c r="AG5475" s="330"/>
    </row>
    <row r="5476" spans="14:33" hidden="1">
      <c r="N5476" s="239"/>
      <c r="O5476" s="225"/>
      <c r="P5476" s="260"/>
      <c r="Q5476" s="328"/>
      <c r="R5476" s="260"/>
      <c r="S5476" s="260"/>
      <c r="T5476" s="260"/>
      <c r="U5476" s="260"/>
      <c r="V5476" s="260"/>
      <c r="W5476" s="260"/>
      <c r="X5476" s="259"/>
      <c r="Y5476" s="259"/>
      <c r="Z5476" s="260"/>
      <c r="AA5476" s="260"/>
      <c r="AB5476" s="260"/>
      <c r="AC5476" s="260"/>
      <c r="AD5476" s="259"/>
      <c r="AE5476" s="259"/>
      <c r="AF5476" s="260"/>
      <c r="AG5476" s="330"/>
    </row>
    <row r="5477" spans="14:33" hidden="1">
      <c r="N5477" s="239"/>
      <c r="O5477" s="225"/>
      <c r="P5477" s="260"/>
      <c r="Q5477" s="328"/>
      <c r="R5477" s="260"/>
      <c r="S5477" s="260"/>
      <c r="T5477" s="260"/>
      <c r="U5477" s="260"/>
      <c r="V5477" s="260"/>
      <c r="W5477" s="260"/>
      <c r="X5477" s="259"/>
      <c r="Y5477" s="259"/>
      <c r="Z5477" s="260"/>
      <c r="AA5477" s="260"/>
      <c r="AB5477" s="260"/>
      <c r="AC5477" s="260"/>
      <c r="AD5477" s="259"/>
      <c r="AE5477" s="259"/>
      <c r="AF5477" s="260"/>
      <c r="AG5477" s="330"/>
    </row>
    <row r="5478" spans="14:33" hidden="1">
      <c r="N5478" s="239"/>
      <c r="O5478" s="225"/>
      <c r="P5478" s="260"/>
      <c r="Q5478" s="328"/>
      <c r="R5478" s="260"/>
      <c r="S5478" s="260"/>
      <c r="T5478" s="260"/>
      <c r="U5478" s="260"/>
      <c r="V5478" s="260"/>
      <c r="W5478" s="260"/>
      <c r="X5478" s="259"/>
      <c r="Y5478" s="259"/>
      <c r="Z5478" s="260"/>
      <c r="AA5478" s="260"/>
      <c r="AB5478" s="260"/>
      <c r="AC5478" s="260"/>
      <c r="AD5478" s="259"/>
      <c r="AE5478" s="259"/>
      <c r="AF5478" s="260"/>
      <c r="AG5478" s="330"/>
    </row>
    <row r="5479" spans="14:33" hidden="1">
      <c r="N5479" s="239"/>
      <c r="O5479" s="225"/>
      <c r="P5479" s="260"/>
      <c r="Q5479" s="328"/>
      <c r="R5479" s="260"/>
      <c r="S5479" s="260"/>
      <c r="T5479" s="260"/>
      <c r="U5479" s="260"/>
      <c r="V5479" s="260"/>
      <c r="W5479" s="260"/>
      <c r="X5479" s="259"/>
      <c r="Y5479" s="259"/>
      <c r="Z5479" s="260"/>
      <c r="AA5479" s="260"/>
      <c r="AB5479" s="260"/>
      <c r="AC5479" s="260"/>
      <c r="AD5479" s="259"/>
      <c r="AE5479" s="259"/>
      <c r="AF5479" s="260"/>
      <c r="AG5479" s="330"/>
    </row>
    <row r="5480" spans="14:33" hidden="1">
      <c r="N5480" s="239"/>
      <c r="O5480" s="225"/>
      <c r="P5480" s="260"/>
      <c r="Q5480" s="328"/>
      <c r="R5480" s="260"/>
      <c r="S5480" s="260"/>
      <c r="T5480" s="260"/>
      <c r="U5480" s="260"/>
      <c r="V5480" s="260"/>
      <c r="W5480" s="260"/>
      <c r="X5480" s="259"/>
      <c r="Y5480" s="259"/>
      <c r="Z5480" s="260"/>
      <c r="AA5480" s="260"/>
      <c r="AB5480" s="260"/>
      <c r="AC5480" s="260"/>
      <c r="AD5480" s="259"/>
      <c r="AE5480" s="259"/>
      <c r="AF5480" s="260"/>
      <c r="AG5480" s="330"/>
    </row>
    <row r="5481" spans="14:33" hidden="1">
      <c r="N5481" s="239"/>
      <c r="O5481" s="225"/>
      <c r="P5481" s="260"/>
      <c r="Q5481" s="328"/>
      <c r="R5481" s="260"/>
      <c r="S5481" s="260"/>
      <c r="T5481" s="260"/>
      <c r="U5481" s="260"/>
      <c r="V5481" s="260"/>
      <c r="W5481" s="260"/>
      <c r="X5481" s="259"/>
      <c r="Y5481" s="259"/>
      <c r="Z5481" s="260"/>
      <c r="AA5481" s="260"/>
      <c r="AB5481" s="260"/>
      <c r="AC5481" s="260"/>
      <c r="AD5481" s="259"/>
      <c r="AE5481" s="259"/>
      <c r="AF5481" s="260"/>
      <c r="AG5481" s="330"/>
    </row>
    <row r="5482" spans="14:33" hidden="1">
      <c r="N5482" s="239"/>
      <c r="O5482" s="225"/>
      <c r="P5482" s="260"/>
      <c r="Q5482" s="328"/>
      <c r="R5482" s="260"/>
      <c r="S5482" s="260"/>
      <c r="T5482" s="260"/>
      <c r="U5482" s="260"/>
      <c r="V5482" s="260"/>
      <c r="W5482" s="260"/>
      <c r="X5482" s="259"/>
      <c r="Y5482" s="259"/>
      <c r="Z5482" s="260"/>
      <c r="AA5482" s="260"/>
      <c r="AB5482" s="260"/>
      <c r="AC5482" s="260"/>
      <c r="AD5482" s="259"/>
      <c r="AE5482" s="259"/>
      <c r="AF5482" s="260"/>
      <c r="AG5482" s="330"/>
    </row>
    <row r="5483" spans="14:33" hidden="1">
      <c r="N5483" s="239"/>
      <c r="O5483" s="225"/>
      <c r="P5483" s="260"/>
      <c r="Q5483" s="328"/>
      <c r="R5483" s="260"/>
      <c r="S5483" s="260"/>
      <c r="T5483" s="260"/>
      <c r="U5483" s="260"/>
      <c r="V5483" s="260"/>
      <c r="W5483" s="260"/>
      <c r="X5483" s="259"/>
      <c r="Y5483" s="259"/>
      <c r="Z5483" s="260"/>
      <c r="AA5483" s="260"/>
      <c r="AB5483" s="260"/>
      <c r="AC5483" s="260"/>
      <c r="AD5483" s="259"/>
      <c r="AE5483" s="259"/>
      <c r="AF5483" s="260"/>
      <c r="AG5483" s="330"/>
    </row>
    <row r="5484" spans="14:33" hidden="1">
      <c r="N5484" s="239"/>
      <c r="O5484" s="225"/>
      <c r="P5484" s="260"/>
      <c r="Q5484" s="328"/>
      <c r="R5484" s="260"/>
      <c r="S5484" s="260"/>
      <c r="T5484" s="260"/>
      <c r="U5484" s="260"/>
      <c r="V5484" s="260"/>
      <c r="W5484" s="260"/>
      <c r="X5484" s="259"/>
      <c r="Y5484" s="259"/>
      <c r="Z5484" s="260"/>
      <c r="AA5484" s="260"/>
      <c r="AB5484" s="260"/>
      <c r="AC5484" s="260"/>
      <c r="AD5484" s="259"/>
      <c r="AE5484" s="259"/>
      <c r="AF5484" s="260"/>
      <c r="AG5484" s="330"/>
    </row>
    <row r="5485" spans="14:33" hidden="1">
      <c r="N5485" s="239"/>
      <c r="O5485" s="225"/>
      <c r="P5485" s="260"/>
      <c r="Q5485" s="328"/>
      <c r="R5485" s="260"/>
      <c r="S5485" s="260"/>
      <c r="T5485" s="260"/>
      <c r="U5485" s="260"/>
      <c r="V5485" s="260"/>
      <c r="W5485" s="260"/>
      <c r="X5485" s="259"/>
      <c r="Y5485" s="259"/>
      <c r="Z5485" s="260"/>
      <c r="AA5485" s="260"/>
      <c r="AB5485" s="260"/>
      <c r="AC5485" s="260"/>
      <c r="AD5485" s="259"/>
      <c r="AE5485" s="259"/>
      <c r="AF5485" s="260"/>
      <c r="AG5485" s="330"/>
    </row>
    <row r="5486" spans="14:33" hidden="1">
      <c r="N5486" s="239"/>
      <c r="O5486" s="225"/>
      <c r="P5486" s="260"/>
      <c r="Q5486" s="328"/>
      <c r="R5486" s="260"/>
      <c r="S5486" s="260"/>
      <c r="T5486" s="260"/>
      <c r="U5486" s="260"/>
      <c r="V5486" s="260"/>
      <c r="W5486" s="260"/>
      <c r="X5486" s="259"/>
      <c r="Y5486" s="259"/>
      <c r="Z5486" s="260"/>
      <c r="AA5486" s="260"/>
      <c r="AB5486" s="260"/>
      <c r="AC5486" s="260"/>
      <c r="AD5486" s="259"/>
      <c r="AE5486" s="259"/>
      <c r="AF5486" s="260"/>
      <c r="AG5486" s="330"/>
    </row>
    <row r="5487" spans="14:33" hidden="1">
      <c r="N5487" s="239"/>
      <c r="O5487" s="225"/>
      <c r="P5487" s="260"/>
      <c r="Q5487" s="328"/>
      <c r="R5487" s="260"/>
      <c r="S5487" s="260"/>
      <c r="T5487" s="260"/>
      <c r="U5487" s="260"/>
      <c r="V5487" s="260"/>
      <c r="W5487" s="260"/>
      <c r="X5487" s="259"/>
      <c r="Y5487" s="259"/>
      <c r="Z5487" s="260"/>
      <c r="AA5487" s="260"/>
      <c r="AB5487" s="260"/>
      <c r="AC5487" s="260"/>
      <c r="AD5487" s="259"/>
      <c r="AE5487" s="259"/>
      <c r="AF5487" s="260"/>
      <c r="AG5487" s="330"/>
    </row>
    <row r="5488" spans="14:33" hidden="1">
      <c r="N5488" s="239"/>
      <c r="O5488" s="225"/>
      <c r="P5488" s="260"/>
      <c r="Q5488" s="328"/>
      <c r="R5488" s="260"/>
      <c r="S5488" s="260"/>
      <c r="T5488" s="260"/>
      <c r="U5488" s="260"/>
      <c r="V5488" s="260"/>
      <c r="W5488" s="260"/>
      <c r="X5488" s="259"/>
      <c r="Y5488" s="259"/>
      <c r="Z5488" s="260"/>
      <c r="AA5488" s="260"/>
      <c r="AB5488" s="260"/>
      <c r="AC5488" s="260"/>
      <c r="AD5488" s="259"/>
      <c r="AE5488" s="259"/>
      <c r="AF5488" s="260"/>
      <c r="AG5488" s="330"/>
    </row>
    <row r="5489" spans="14:33" hidden="1">
      <c r="N5489" s="239"/>
      <c r="O5489" s="225"/>
      <c r="P5489" s="260"/>
      <c r="Q5489" s="328"/>
      <c r="R5489" s="260"/>
      <c r="S5489" s="260"/>
      <c r="T5489" s="260"/>
      <c r="U5489" s="260"/>
      <c r="V5489" s="260"/>
      <c r="W5489" s="260"/>
      <c r="X5489" s="259"/>
      <c r="Y5489" s="259"/>
      <c r="Z5489" s="260"/>
      <c r="AA5489" s="260"/>
      <c r="AB5489" s="260"/>
      <c r="AC5489" s="260"/>
      <c r="AD5489" s="259"/>
      <c r="AE5489" s="259"/>
      <c r="AF5489" s="260"/>
      <c r="AG5489" s="330"/>
    </row>
    <row r="5490" spans="14:33" hidden="1">
      <c r="N5490" s="239"/>
      <c r="O5490" s="225"/>
      <c r="P5490" s="260"/>
      <c r="Q5490" s="328"/>
      <c r="R5490" s="260"/>
      <c r="S5490" s="260"/>
      <c r="T5490" s="260"/>
      <c r="U5490" s="260"/>
      <c r="V5490" s="260"/>
      <c r="W5490" s="260"/>
      <c r="X5490" s="259"/>
      <c r="Y5490" s="259"/>
      <c r="Z5490" s="260"/>
      <c r="AA5490" s="260"/>
      <c r="AB5490" s="260"/>
      <c r="AC5490" s="260"/>
      <c r="AD5490" s="259"/>
      <c r="AE5490" s="259"/>
      <c r="AF5490" s="260"/>
      <c r="AG5490" s="330"/>
    </row>
    <row r="5491" spans="14:33" hidden="1">
      <c r="N5491" s="239"/>
      <c r="O5491" s="225"/>
      <c r="P5491" s="260"/>
      <c r="Q5491" s="328"/>
      <c r="R5491" s="260"/>
      <c r="S5491" s="260"/>
      <c r="T5491" s="260"/>
      <c r="U5491" s="260"/>
      <c r="V5491" s="260"/>
      <c r="W5491" s="260"/>
      <c r="X5491" s="259"/>
      <c r="Y5491" s="259"/>
      <c r="Z5491" s="260"/>
      <c r="AA5491" s="260"/>
      <c r="AB5491" s="260"/>
      <c r="AC5491" s="260"/>
      <c r="AD5491" s="259"/>
      <c r="AE5491" s="259"/>
      <c r="AF5491" s="260"/>
      <c r="AG5491" s="330"/>
    </row>
    <row r="5492" spans="14:33" hidden="1">
      <c r="N5492" s="239"/>
      <c r="O5492" s="225"/>
      <c r="P5492" s="260"/>
      <c r="Q5492" s="328"/>
      <c r="R5492" s="260"/>
      <c r="S5492" s="260"/>
      <c r="T5492" s="260"/>
      <c r="U5492" s="260"/>
      <c r="V5492" s="260"/>
      <c r="W5492" s="260"/>
      <c r="X5492" s="259"/>
      <c r="Y5492" s="259"/>
      <c r="Z5492" s="260"/>
      <c r="AA5492" s="260"/>
      <c r="AB5492" s="260"/>
      <c r="AC5492" s="260"/>
      <c r="AD5492" s="259"/>
      <c r="AE5492" s="259"/>
      <c r="AF5492" s="260"/>
      <c r="AG5492" s="330"/>
    </row>
    <row r="5493" spans="14:33" hidden="1">
      <c r="N5493" s="239"/>
      <c r="O5493" s="225"/>
      <c r="P5493" s="260"/>
      <c r="Q5493" s="328"/>
      <c r="R5493" s="260"/>
      <c r="S5493" s="260"/>
      <c r="T5493" s="260"/>
      <c r="U5493" s="260"/>
      <c r="V5493" s="260"/>
      <c r="W5493" s="260"/>
      <c r="X5493" s="259"/>
      <c r="Y5493" s="259"/>
      <c r="Z5493" s="260"/>
      <c r="AA5493" s="260"/>
      <c r="AB5493" s="260"/>
      <c r="AC5493" s="260"/>
      <c r="AD5493" s="259"/>
      <c r="AE5493" s="259"/>
      <c r="AF5493" s="260"/>
      <c r="AG5493" s="330"/>
    </row>
    <row r="5494" spans="14:33" hidden="1">
      <c r="N5494" s="239"/>
      <c r="O5494" s="225"/>
      <c r="P5494" s="260"/>
      <c r="Q5494" s="328"/>
      <c r="R5494" s="260"/>
      <c r="S5494" s="260"/>
      <c r="T5494" s="260"/>
      <c r="U5494" s="260"/>
      <c r="V5494" s="260"/>
      <c r="W5494" s="260"/>
      <c r="X5494" s="259"/>
      <c r="Y5494" s="259"/>
      <c r="Z5494" s="260"/>
      <c r="AA5494" s="260"/>
      <c r="AB5494" s="260"/>
      <c r="AC5494" s="260"/>
      <c r="AD5494" s="259"/>
      <c r="AE5494" s="259"/>
      <c r="AF5494" s="260"/>
      <c r="AG5494" s="330"/>
    </row>
    <row r="5495" spans="14:33" hidden="1">
      <c r="N5495" s="239"/>
      <c r="O5495" s="225"/>
      <c r="P5495" s="260"/>
      <c r="Q5495" s="328"/>
      <c r="R5495" s="260"/>
      <c r="S5495" s="260"/>
      <c r="T5495" s="260"/>
      <c r="U5495" s="260"/>
      <c r="V5495" s="260"/>
      <c r="W5495" s="260"/>
      <c r="X5495" s="259"/>
      <c r="Y5495" s="259"/>
      <c r="Z5495" s="260"/>
      <c r="AA5495" s="260"/>
      <c r="AB5495" s="260"/>
      <c r="AC5495" s="260"/>
      <c r="AD5495" s="259"/>
      <c r="AE5495" s="259"/>
      <c r="AF5495" s="260"/>
      <c r="AG5495" s="330"/>
    </row>
    <row r="5496" spans="14:33" hidden="1">
      <c r="N5496" s="239"/>
      <c r="O5496" s="225"/>
      <c r="P5496" s="260"/>
      <c r="Q5496" s="328"/>
      <c r="R5496" s="260"/>
      <c r="S5496" s="260"/>
      <c r="T5496" s="260"/>
      <c r="U5496" s="260"/>
      <c r="V5496" s="260"/>
      <c r="W5496" s="260"/>
      <c r="X5496" s="259"/>
      <c r="Y5496" s="259"/>
      <c r="Z5496" s="260"/>
      <c r="AA5496" s="260"/>
      <c r="AB5496" s="260"/>
      <c r="AC5496" s="260"/>
      <c r="AD5496" s="259"/>
      <c r="AE5496" s="259"/>
      <c r="AF5496" s="260"/>
      <c r="AG5496" s="330"/>
    </row>
    <row r="5497" spans="14:33" hidden="1">
      <c r="N5497" s="239"/>
      <c r="O5497" s="225"/>
      <c r="P5497" s="260"/>
      <c r="Q5497" s="328"/>
      <c r="R5497" s="260"/>
      <c r="S5497" s="260"/>
      <c r="T5497" s="260"/>
      <c r="U5497" s="260"/>
      <c r="V5497" s="260"/>
      <c r="W5497" s="260"/>
      <c r="X5497" s="259"/>
      <c r="Y5497" s="259"/>
      <c r="Z5497" s="260"/>
      <c r="AA5497" s="260"/>
      <c r="AB5497" s="260"/>
      <c r="AC5497" s="260"/>
      <c r="AD5497" s="259"/>
      <c r="AE5497" s="259"/>
      <c r="AF5497" s="260"/>
      <c r="AG5497" s="330"/>
    </row>
    <row r="5498" spans="14:33" hidden="1">
      <c r="N5498" s="239"/>
      <c r="O5498" s="225"/>
      <c r="P5498" s="260"/>
      <c r="Q5498" s="328"/>
      <c r="R5498" s="260"/>
      <c r="S5498" s="260"/>
      <c r="T5498" s="260"/>
      <c r="U5498" s="260"/>
      <c r="V5498" s="260"/>
      <c r="W5498" s="260"/>
      <c r="X5498" s="259"/>
      <c r="Y5498" s="259"/>
      <c r="Z5498" s="260"/>
      <c r="AA5498" s="260"/>
      <c r="AB5498" s="260"/>
      <c r="AC5498" s="260"/>
      <c r="AD5498" s="259"/>
      <c r="AE5498" s="259"/>
      <c r="AF5498" s="260"/>
      <c r="AG5498" s="330"/>
    </row>
    <row r="5499" spans="14:33" hidden="1">
      <c r="N5499" s="239"/>
      <c r="O5499" s="225"/>
      <c r="P5499" s="260"/>
      <c r="Q5499" s="328"/>
      <c r="R5499" s="260"/>
      <c r="S5499" s="260"/>
      <c r="T5499" s="260"/>
      <c r="U5499" s="260"/>
      <c r="V5499" s="260"/>
      <c r="W5499" s="260"/>
      <c r="X5499" s="259"/>
      <c r="Y5499" s="259"/>
      <c r="Z5499" s="260"/>
      <c r="AA5499" s="260"/>
      <c r="AB5499" s="260"/>
      <c r="AC5499" s="260"/>
      <c r="AD5499" s="259"/>
      <c r="AE5499" s="259"/>
      <c r="AF5499" s="260"/>
      <c r="AG5499" s="330"/>
    </row>
    <row r="5500" spans="14:33" hidden="1">
      <c r="N5500" s="239"/>
      <c r="O5500" s="225"/>
      <c r="P5500" s="260"/>
      <c r="Q5500" s="328"/>
      <c r="R5500" s="260"/>
      <c r="S5500" s="260"/>
      <c r="T5500" s="260"/>
      <c r="U5500" s="260"/>
      <c r="V5500" s="260"/>
      <c r="W5500" s="260"/>
      <c r="X5500" s="259"/>
      <c r="Y5500" s="259"/>
      <c r="Z5500" s="260"/>
      <c r="AA5500" s="260"/>
      <c r="AB5500" s="260"/>
      <c r="AC5500" s="260"/>
      <c r="AD5500" s="259"/>
      <c r="AE5500" s="259"/>
      <c r="AF5500" s="260"/>
      <c r="AG5500" s="330"/>
    </row>
    <row r="5501" spans="14:33" hidden="1">
      <c r="N5501" s="239"/>
      <c r="O5501" s="225"/>
      <c r="P5501" s="260"/>
      <c r="Q5501" s="328"/>
      <c r="R5501" s="260"/>
      <c r="S5501" s="260"/>
      <c r="T5501" s="260"/>
      <c r="U5501" s="260"/>
      <c r="V5501" s="260"/>
      <c r="W5501" s="260"/>
      <c r="X5501" s="259"/>
      <c r="Y5501" s="259"/>
      <c r="Z5501" s="260"/>
      <c r="AA5501" s="260"/>
      <c r="AB5501" s="260"/>
      <c r="AC5501" s="260"/>
      <c r="AD5501" s="259"/>
      <c r="AE5501" s="259"/>
      <c r="AF5501" s="260"/>
      <c r="AG5501" s="330"/>
    </row>
    <row r="5502" spans="14:33" hidden="1">
      <c r="N5502" s="239"/>
      <c r="O5502" s="225"/>
      <c r="P5502" s="260"/>
      <c r="Q5502" s="328"/>
      <c r="R5502" s="260"/>
      <c r="S5502" s="260"/>
      <c r="T5502" s="260"/>
      <c r="U5502" s="260"/>
      <c r="V5502" s="260"/>
      <c r="W5502" s="260"/>
      <c r="X5502" s="259"/>
      <c r="Y5502" s="259"/>
      <c r="Z5502" s="260"/>
      <c r="AA5502" s="260"/>
      <c r="AB5502" s="260"/>
      <c r="AC5502" s="260"/>
      <c r="AD5502" s="259"/>
      <c r="AE5502" s="259"/>
      <c r="AF5502" s="260"/>
      <c r="AG5502" s="330"/>
    </row>
    <row r="5503" spans="14:33" hidden="1">
      <c r="N5503" s="239"/>
      <c r="O5503" s="225"/>
      <c r="P5503" s="260"/>
      <c r="Q5503" s="328"/>
      <c r="R5503" s="260"/>
      <c r="S5503" s="260"/>
      <c r="T5503" s="260"/>
      <c r="U5503" s="260"/>
      <c r="V5503" s="260"/>
      <c r="W5503" s="260"/>
      <c r="X5503" s="259"/>
      <c r="Y5503" s="259"/>
      <c r="Z5503" s="260"/>
      <c r="AA5503" s="260"/>
      <c r="AB5503" s="260"/>
      <c r="AC5503" s="260"/>
      <c r="AD5503" s="259"/>
      <c r="AE5503" s="259"/>
      <c r="AF5503" s="260"/>
      <c r="AG5503" s="330"/>
    </row>
    <row r="5504" spans="14:33" hidden="1">
      <c r="N5504" s="239"/>
      <c r="O5504" s="225"/>
      <c r="P5504" s="260"/>
      <c r="Q5504" s="328"/>
      <c r="R5504" s="260"/>
      <c r="S5504" s="260"/>
      <c r="T5504" s="260"/>
      <c r="U5504" s="260"/>
      <c r="V5504" s="260"/>
      <c r="W5504" s="260"/>
      <c r="X5504" s="259"/>
      <c r="Y5504" s="259"/>
      <c r="Z5504" s="260"/>
      <c r="AA5504" s="260"/>
      <c r="AB5504" s="260"/>
      <c r="AC5504" s="260"/>
      <c r="AD5504" s="259"/>
      <c r="AE5504" s="259"/>
      <c r="AF5504" s="260"/>
      <c r="AG5504" s="330"/>
    </row>
    <row r="5505" spans="14:33" hidden="1">
      <c r="N5505" s="239"/>
      <c r="O5505" s="225"/>
      <c r="P5505" s="260"/>
      <c r="Q5505" s="328"/>
      <c r="R5505" s="260"/>
      <c r="S5505" s="260"/>
      <c r="T5505" s="260"/>
      <c r="U5505" s="260"/>
      <c r="V5505" s="260"/>
      <c r="W5505" s="260"/>
      <c r="X5505" s="259"/>
      <c r="Y5505" s="259"/>
      <c r="Z5505" s="260"/>
      <c r="AA5505" s="260"/>
      <c r="AB5505" s="260"/>
      <c r="AC5505" s="260"/>
      <c r="AD5505" s="259"/>
      <c r="AE5505" s="259"/>
      <c r="AF5505" s="260"/>
      <c r="AG5505" s="330"/>
    </row>
    <row r="5506" spans="14:33" hidden="1">
      <c r="N5506" s="239"/>
      <c r="O5506" s="225"/>
      <c r="P5506" s="260"/>
      <c r="Q5506" s="328"/>
      <c r="R5506" s="260"/>
      <c r="S5506" s="260"/>
      <c r="T5506" s="260"/>
      <c r="U5506" s="260"/>
      <c r="V5506" s="260"/>
      <c r="W5506" s="260"/>
      <c r="X5506" s="259"/>
      <c r="Y5506" s="259"/>
      <c r="Z5506" s="260"/>
      <c r="AA5506" s="260"/>
      <c r="AB5506" s="260"/>
      <c r="AC5506" s="260"/>
      <c r="AD5506" s="259"/>
      <c r="AE5506" s="259"/>
      <c r="AF5506" s="260"/>
      <c r="AG5506" s="330"/>
    </row>
    <row r="5507" spans="14:33" hidden="1">
      <c r="N5507" s="239"/>
      <c r="O5507" s="225"/>
      <c r="P5507" s="260"/>
      <c r="Q5507" s="328"/>
      <c r="R5507" s="260"/>
      <c r="S5507" s="260"/>
      <c r="T5507" s="260"/>
      <c r="U5507" s="260"/>
      <c r="V5507" s="260"/>
      <c r="W5507" s="260"/>
      <c r="X5507" s="259"/>
      <c r="Y5507" s="259"/>
      <c r="Z5507" s="260"/>
      <c r="AA5507" s="260"/>
      <c r="AB5507" s="260"/>
      <c r="AC5507" s="260"/>
      <c r="AD5507" s="259"/>
      <c r="AE5507" s="259"/>
      <c r="AF5507" s="260"/>
      <c r="AG5507" s="330"/>
    </row>
    <row r="5508" spans="14:33" hidden="1">
      <c r="N5508" s="239"/>
      <c r="O5508" s="225"/>
      <c r="P5508" s="260"/>
      <c r="Q5508" s="328"/>
      <c r="R5508" s="260"/>
      <c r="S5508" s="260"/>
      <c r="T5508" s="260"/>
      <c r="U5508" s="260"/>
      <c r="V5508" s="260"/>
      <c r="W5508" s="260"/>
      <c r="X5508" s="259"/>
      <c r="Y5508" s="259"/>
      <c r="Z5508" s="260"/>
      <c r="AA5508" s="260"/>
      <c r="AB5508" s="260"/>
      <c r="AC5508" s="260"/>
      <c r="AD5508" s="259"/>
      <c r="AE5508" s="259"/>
      <c r="AF5508" s="260"/>
      <c r="AG5508" s="330"/>
    </row>
    <row r="5509" spans="14:33" hidden="1">
      <c r="N5509" s="239"/>
      <c r="O5509" s="225"/>
      <c r="P5509" s="260"/>
      <c r="Q5509" s="328"/>
      <c r="R5509" s="260"/>
      <c r="S5509" s="260"/>
      <c r="T5509" s="260"/>
      <c r="U5509" s="260"/>
      <c r="V5509" s="260"/>
      <c r="W5509" s="260"/>
      <c r="X5509" s="259"/>
      <c r="Y5509" s="259"/>
      <c r="Z5509" s="260"/>
      <c r="AA5509" s="260"/>
      <c r="AB5509" s="260"/>
      <c r="AC5509" s="260"/>
      <c r="AD5509" s="259"/>
      <c r="AE5509" s="259"/>
      <c r="AF5509" s="260"/>
      <c r="AG5509" s="330"/>
    </row>
    <row r="5510" spans="14:33" hidden="1">
      <c r="N5510" s="239"/>
      <c r="O5510" s="225"/>
      <c r="P5510" s="260"/>
      <c r="Q5510" s="328"/>
      <c r="R5510" s="260"/>
      <c r="S5510" s="260"/>
      <c r="T5510" s="260"/>
      <c r="U5510" s="260"/>
      <c r="V5510" s="260"/>
      <c r="W5510" s="260"/>
      <c r="X5510" s="259"/>
      <c r="Y5510" s="259"/>
      <c r="Z5510" s="260"/>
      <c r="AA5510" s="260"/>
      <c r="AB5510" s="260"/>
      <c r="AC5510" s="260"/>
      <c r="AD5510" s="259"/>
      <c r="AE5510" s="259"/>
      <c r="AF5510" s="260"/>
      <c r="AG5510" s="330"/>
    </row>
    <row r="5511" spans="14:33" hidden="1">
      <c r="N5511" s="239"/>
      <c r="O5511" s="225"/>
      <c r="P5511" s="260"/>
      <c r="Q5511" s="328"/>
      <c r="R5511" s="260"/>
      <c r="S5511" s="260"/>
      <c r="T5511" s="260"/>
      <c r="U5511" s="260"/>
      <c r="V5511" s="260"/>
      <c r="W5511" s="260"/>
      <c r="X5511" s="259"/>
      <c r="Y5511" s="259"/>
      <c r="Z5511" s="260"/>
      <c r="AA5511" s="260"/>
      <c r="AB5511" s="260"/>
      <c r="AC5511" s="260"/>
      <c r="AD5511" s="259"/>
      <c r="AE5511" s="259"/>
      <c r="AF5511" s="260"/>
      <c r="AG5511" s="330"/>
    </row>
    <row r="5512" spans="14:33" hidden="1">
      <c r="N5512" s="239"/>
      <c r="O5512" s="225"/>
      <c r="P5512" s="260"/>
      <c r="Q5512" s="328"/>
      <c r="R5512" s="260"/>
      <c r="S5512" s="260"/>
      <c r="T5512" s="260"/>
      <c r="U5512" s="260"/>
      <c r="V5512" s="260"/>
      <c r="W5512" s="260"/>
      <c r="X5512" s="259"/>
      <c r="Y5512" s="259"/>
      <c r="Z5512" s="260"/>
      <c r="AA5512" s="260"/>
      <c r="AB5512" s="260"/>
      <c r="AC5512" s="260"/>
      <c r="AD5512" s="259"/>
      <c r="AE5512" s="259"/>
      <c r="AF5512" s="260"/>
      <c r="AG5512" s="330"/>
    </row>
    <row r="5513" spans="14:33" hidden="1">
      <c r="N5513" s="239"/>
      <c r="O5513" s="225"/>
      <c r="P5513" s="260"/>
      <c r="Q5513" s="328"/>
      <c r="R5513" s="260"/>
      <c r="S5513" s="260"/>
      <c r="T5513" s="260"/>
      <c r="U5513" s="260"/>
      <c r="V5513" s="260"/>
      <c r="W5513" s="260"/>
      <c r="X5513" s="259"/>
      <c r="Y5513" s="259"/>
      <c r="Z5513" s="260"/>
      <c r="AA5513" s="260"/>
      <c r="AB5513" s="260"/>
      <c r="AC5513" s="260"/>
      <c r="AD5513" s="259"/>
      <c r="AE5513" s="259"/>
      <c r="AF5513" s="260"/>
      <c r="AG5513" s="330"/>
    </row>
    <row r="5514" spans="14:33" hidden="1">
      <c r="N5514" s="239"/>
      <c r="O5514" s="225"/>
      <c r="P5514" s="260"/>
      <c r="Q5514" s="328"/>
      <c r="R5514" s="260"/>
      <c r="S5514" s="260"/>
      <c r="T5514" s="260"/>
      <c r="U5514" s="260"/>
      <c r="V5514" s="260"/>
      <c r="W5514" s="260"/>
      <c r="X5514" s="259"/>
      <c r="Y5514" s="259"/>
      <c r="Z5514" s="260"/>
      <c r="AA5514" s="260"/>
      <c r="AB5514" s="260"/>
      <c r="AC5514" s="260"/>
      <c r="AD5514" s="259"/>
      <c r="AE5514" s="259"/>
      <c r="AF5514" s="260"/>
      <c r="AG5514" s="330"/>
    </row>
    <row r="5515" spans="14:33" hidden="1">
      <c r="N5515" s="239"/>
      <c r="O5515" s="225"/>
      <c r="P5515" s="260"/>
      <c r="Q5515" s="328"/>
      <c r="R5515" s="260"/>
      <c r="S5515" s="260"/>
      <c r="T5515" s="260"/>
      <c r="U5515" s="260"/>
      <c r="V5515" s="260"/>
      <c r="W5515" s="260"/>
      <c r="X5515" s="259"/>
      <c r="Y5515" s="259"/>
      <c r="Z5515" s="260"/>
      <c r="AA5515" s="260"/>
      <c r="AB5515" s="260"/>
      <c r="AC5515" s="260"/>
      <c r="AD5515" s="259"/>
      <c r="AE5515" s="259"/>
      <c r="AF5515" s="260"/>
      <c r="AG5515" s="330"/>
    </row>
    <row r="5516" spans="14:33" hidden="1">
      <c r="N5516" s="239"/>
      <c r="O5516" s="225"/>
      <c r="P5516" s="260"/>
      <c r="Q5516" s="328"/>
      <c r="R5516" s="260"/>
      <c r="S5516" s="260"/>
      <c r="T5516" s="260"/>
      <c r="U5516" s="260"/>
      <c r="V5516" s="260"/>
      <c r="W5516" s="260"/>
      <c r="X5516" s="259"/>
      <c r="Y5516" s="259"/>
      <c r="Z5516" s="260"/>
      <c r="AA5516" s="260"/>
      <c r="AB5516" s="260"/>
      <c r="AC5516" s="260"/>
      <c r="AD5516" s="259"/>
      <c r="AE5516" s="259"/>
      <c r="AF5516" s="260"/>
      <c r="AG5516" s="330"/>
    </row>
    <row r="5517" spans="14:33" hidden="1">
      <c r="N5517" s="239"/>
      <c r="O5517" s="225"/>
      <c r="P5517" s="260"/>
      <c r="Q5517" s="328"/>
      <c r="R5517" s="260"/>
      <c r="S5517" s="260"/>
      <c r="T5517" s="260"/>
      <c r="U5517" s="260"/>
      <c r="V5517" s="260"/>
      <c r="W5517" s="260"/>
      <c r="X5517" s="259"/>
      <c r="Y5517" s="259"/>
      <c r="Z5517" s="260"/>
      <c r="AA5517" s="260"/>
      <c r="AB5517" s="260"/>
      <c r="AC5517" s="260"/>
      <c r="AD5517" s="259"/>
      <c r="AE5517" s="259"/>
      <c r="AF5517" s="260"/>
      <c r="AG5517" s="330"/>
    </row>
    <row r="5518" spans="14:33" hidden="1">
      <c r="N5518" s="239"/>
      <c r="O5518" s="225"/>
      <c r="P5518" s="260"/>
      <c r="Q5518" s="328"/>
      <c r="R5518" s="260"/>
      <c r="S5518" s="260"/>
      <c r="T5518" s="260"/>
      <c r="U5518" s="260"/>
      <c r="V5518" s="260"/>
      <c r="W5518" s="260"/>
      <c r="X5518" s="259"/>
      <c r="Y5518" s="259"/>
      <c r="Z5518" s="260"/>
      <c r="AA5518" s="260"/>
      <c r="AB5518" s="260"/>
      <c r="AC5518" s="260"/>
      <c r="AD5518" s="259"/>
      <c r="AE5518" s="259"/>
      <c r="AF5518" s="260"/>
      <c r="AG5518" s="330"/>
    </row>
    <row r="5519" spans="14:33" hidden="1">
      <c r="N5519" s="239"/>
      <c r="O5519" s="225"/>
      <c r="P5519" s="260"/>
      <c r="Q5519" s="328"/>
      <c r="R5519" s="260"/>
      <c r="S5519" s="260"/>
      <c r="T5519" s="260"/>
      <c r="U5519" s="260"/>
      <c r="V5519" s="260"/>
      <c r="W5519" s="260"/>
      <c r="X5519" s="259"/>
      <c r="Y5519" s="259"/>
      <c r="Z5519" s="260"/>
      <c r="AA5519" s="260"/>
      <c r="AB5519" s="260"/>
      <c r="AC5519" s="260"/>
      <c r="AD5519" s="259"/>
      <c r="AE5519" s="259"/>
      <c r="AF5519" s="260"/>
      <c r="AG5519" s="330"/>
    </row>
    <row r="5520" spans="14:33" hidden="1">
      <c r="N5520" s="239"/>
      <c r="O5520" s="225"/>
      <c r="P5520" s="260"/>
      <c r="Q5520" s="328"/>
      <c r="R5520" s="260"/>
      <c r="S5520" s="260"/>
      <c r="T5520" s="260"/>
      <c r="U5520" s="260"/>
      <c r="V5520" s="260"/>
      <c r="W5520" s="260"/>
      <c r="X5520" s="259"/>
      <c r="Y5520" s="259"/>
      <c r="Z5520" s="260"/>
      <c r="AA5520" s="260"/>
      <c r="AB5520" s="260"/>
      <c r="AC5520" s="260"/>
      <c r="AD5520" s="259"/>
      <c r="AE5520" s="259"/>
      <c r="AF5520" s="260"/>
      <c r="AG5520" s="330"/>
    </row>
    <row r="5521" spans="14:33" hidden="1">
      <c r="N5521" s="239"/>
      <c r="O5521" s="225"/>
      <c r="P5521" s="260"/>
      <c r="Q5521" s="328"/>
      <c r="R5521" s="260"/>
      <c r="S5521" s="260"/>
      <c r="T5521" s="260"/>
      <c r="U5521" s="260"/>
      <c r="V5521" s="260"/>
      <c r="W5521" s="260"/>
      <c r="X5521" s="259"/>
      <c r="Y5521" s="259"/>
      <c r="Z5521" s="260"/>
      <c r="AA5521" s="260"/>
      <c r="AB5521" s="260"/>
      <c r="AC5521" s="260"/>
      <c r="AD5521" s="259"/>
      <c r="AE5521" s="259"/>
      <c r="AF5521" s="260"/>
      <c r="AG5521" s="330"/>
    </row>
    <row r="5522" spans="14:33" hidden="1">
      <c r="N5522" s="239"/>
      <c r="O5522" s="225"/>
      <c r="P5522" s="260"/>
      <c r="Q5522" s="328"/>
      <c r="R5522" s="260"/>
      <c r="S5522" s="260"/>
      <c r="T5522" s="260"/>
      <c r="U5522" s="260"/>
      <c r="V5522" s="260"/>
      <c r="W5522" s="260"/>
      <c r="X5522" s="259"/>
      <c r="Y5522" s="259"/>
      <c r="Z5522" s="260"/>
      <c r="AA5522" s="260"/>
      <c r="AB5522" s="260"/>
      <c r="AC5522" s="260"/>
      <c r="AD5522" s="259"/>
      <c r="AE5522" s="259"/>
      <c r="AF5522" s="260"/>
      <c r="AG5522" s="330"/>
    </row>
    <row r="5523" spans="14:33" hidden="1">
      <c r="N5523" s="239"/>
      <c r="O5523" s="225"/>
      <c r="P5523" s="260"/>
      <c r="Q5523" s="328"/>
      <c r="R5523" s="260"/>
      <c r="S5523" s="260"/>
      <c r="T5523" s="260"/>
      <c r="U5523" s="260"/>
      <c r="V5523" s="260"/>
      <c r="W5523" s="260"/>
      <c r="X5523" s="259"/>
      <c r="Y5523" s="259"/>
      <c r="Z5523" s="260"/>
      <c r="AA5523" s="260"/>
      <c r="AB5523" s="260"/>
      <c r="AC5523" s="260"/>
      <c r="AD5523" s="259"/>
      <c r="AE5523" s="259"/>
      <c r="AF5523" s="260"/>
      <c r="AG5523" s="330"/>
    </row>
    <row r="5524" spans="14:33" hidden="1">
      <c r="N5524" s="239"/>
      <c r="O5524" s="225"/>
      <c r="P5524" s="260"/>
      <c r="Q5524" s="328"/>
      <c r="R5524" s="260"/>
      <c r="S5524" s="260"/>
      <c r="T5524" s="260"/>
      <c r="U5524" s="260"/>
      <c r="V5524" s="260"/>
      <c r="W5524" s="260"/>
      <c r="X5524" s="259"/>
      <c r="Y5524" s="259"/>
      <c r="Z5524" s="260"/>
      <c r="AA5524" s="260"/>
      <c r="AB5524" s="260"/>
      <c r="AC5524" s="260"/>
      <c r="AD5524" s="259"/>
      <c r="AE5524" s="259"/>
      <c r="AF5524" s="260"/>
      <c r="AG5524" s="330"/>
    </row>
    <row r="5525" spans="14:33" hidden="1">
      <c r="N5525" s="239"/>
      <c r="O5525" s="225"/>
      <c r="P5525" s="260"/>
      <c r="Q5525" s="328"/>
      <c r="R5525" s="260"/>
      <c r="S5525" s="260"/>
      <c r="T5525" s="260"/>
      <c r="U5525" s="260"/>
      <c r="V5525" s="260"/>
      <c r="W5525" s="260"/>
      <c r="X5525" s="259"/>
      <c r="Y5525" s="259"/>
      <c r="Z5525" s="260"/>
      <c r="AA5525" s="260"/>
      <c r="AB5525" s="260"/>
      <c r="AC5525" s="260"/>
      <c r="AD5525" s="259"/>
      <c r="AE5525" s="259"/>
      <c r="AF5525" s="260"/>
      <c r="AG5525" s="330"/>
    </row>
    <row r="5526" spans="14:33" hidden="1">
      <c r="N5526" s="239"/>
      <c r="O5526" s="225"/>
      <c r="P5526" s="260"/>
      <c r="Q5526" s="328"/>
      <c r="R5526" s="260"/>
      <c r="S5526" s="260"/>
      <c r="T5526" s="260"/>
      <c r="U5526" s="260"/>
      <c r="V5526" s="260"/>
      <c r="W5526" s="260"/>
      <c r="X5526" s="259"/>
      <c r="Y5526" s="259"/>
      <c r="Z5526" s="260"/>
      <c r="AA5526" s="260"/>
      <c r="AB5526" s="260"/>
      <c r="AC5526" s="260"/>
      <c r="AD5526" s="259"/>
      <c r="AE5526" s="259"/>
      <c r="AF5526" s="260"/>
      <c r="AG5526" s="330"/>
    </row>
    <row r="5527" spans="14:33" hidden="1">
      <c r="N5527" s="239"/>
      <c r="O5527" s="225"/>
      <c r="P5527" s="260"/>
      <c r="Q5527" s="328"/>
      <c r="R5527" s="260"/>
      <c r="S5527" s="260"/>
      <c r="T5527" s="260"/>
      <c r="U5527" s="260"/>
      <c r="V5527" s="260"/>
      <c r="W5527" s="260"/>
      <c r="X5527" s="259"/>
      <c r="Y5527" s="259"/>
      <c r="Z5527" s="260"/>
      <c r="AA5527" s="260"/>
      <c r="AB5527" s="260"/>
      <c r="AC5527" s="260"/>
      <c r="AD5527" s="259"/>
      <c r="AE5527" s="259"/>
      <c r="AF5527" s="260"/>
      <c r="AG5527" s="330"/>
    </row>
    <row r="5528" spans="14:33" hidden="1">
      <c r="N5528" s="239"/>
      <c r="O5528" s="225"/>
      <c r="P5528" s="260"/>
      <c r="Q5528" s="328"/>
      <c r="R5528" s="260"/>
      <c r="S5528" s="260"/>
      <c r="T5528" s="260"/>
      <c r="U5528" s="260"/>
      <c r="V5528" s="260"/>
      <c r="W5528" s="260"/>
      <c r="X5528" s="259"/>
      <c r="Y5528" s="259"/>
      <c r="Z5528" s="260"/>
      <c r="AA5528" s="260"/>
      <c r="AB5528" s="260"/>
      <c r="AC5528" s="260"/>
      <c r="AD5528" s="259"/>
      <c r="AE5528" s="259"/>
      <c r="AF5528" s="260"/>
      <c r="AG5528" s="330"/>
    </row>
    <row r="5529" spans="14:33" hidden="1">
      <c r="N5529" s="239"/>
      <c r="O5529" s="225"/>
      <c r="P5529" s="260"/>
      <c r="Q5529" s="328"/>
      <c r="R5529" s="260"/>
      <c r="S5529" s="260"/>
      <c r="T5529" s="260"/>
      <c r="U5529" s="260"/>
      <c r="V5529" s="260"/>
      <c r="W5529" s="260"/>
      <c r="X5529" s="259"/>
      <c r="Y5529" s="259"/>
      <c r="Z5529" s="260"/>
      <c r="AA5529" s="260"/>
      <c r="AB5529" s="260"/>
      <c r="AC5529" s="260"/>
      <c r="AD5529" s="259"/>
      <c r="AE5529" s="259"/>
      <c r="AF5529" s="260"/>
      <c r="AG5529" s="330"/>
    </row>
    <row r="5530" spans="14:33" hidden="1">
      <c r="N5530" s="239"/>
      <c r="O5530" s="225"/>
      <c r="P5530" s="260"/>
      <c r="Q5530" s="328"/>
      <c r="R5530" s="260"/>
      <c r="S5530" s="260"/>
      <c r="T5530" s="260"/>
      <c r="U5530" s="260"/>
      <c r="V5530" s="260"/>
      <c r="W5530" s="260"/>
      <c r="X5530" s="259"/>
      <c r="Y5530" s="259"/>
      <c r="Z5530" s="260"/>
      <c r="AA5530" s="260"/>
      <c r="AB5530" s="260"/>
      <c r="AC5530" s="260"/>
      <c r="AD5530" s="259"/>
      <c r="AE5530" s="259"/>
      <c r="AF5530" s="260"/>
      <c r="AG5530" s="330"/>
    </row>
    <row r="5531" spans="14:33" hidden="1">
      <c r="N5531" s="239"/>
      <c r="O5531" s="225"/>
      <c r="P5531" s="260"/>
      <c r="Q5531" s="328"/>
      <c r="R5531" s="260"/>
      <c r="S5531" s="260"/>
      <c r="T5531" s="260"/>
      <c r="U5531" s="260"/>
      <c r="V5531" s="260"/>
      <c r="W5531" s="260"/>
      <c r="X5531" s="259"/>
      <c r="Y5531" s="259"/>
      <c r="Z5531" s="260"/>
      <c r="AA5531" s="260"/>
      <c r="AB5531" s="260"/>
      <c r="AC5531" s="260"/>
      <c r="AD5531" s="259"/>
      <c r="AE5531" s="259"/>
      <c r="AF5531" s="260"/>
      <c r="AG5531" s="330"/>
    </row>
    <row r="5532" spans="14:33" hidden="1">
      <c r="N5532" s="239"/>
      <c r="O5532" s="225"/>
      <c r="P5532" s="260"/>
      <c r="Q5532" s="328"/>
      <c r="R5532" s="260"/>
      <c r="S5532" s="260"/>
      <c r="T5532" s="260"/>
      <c r="U5532" s="260"/>
      <c r="V5532" s="260"/>
      <c r="W5532" s="260"/>
      <c r="X5532" s="259"/>
      <c r="Y5532" s="259"/>
      <c r="Z5532" s="260"/>
      <c r="AA5532" s="260"/>
      <c r="AB5532" s="260"/>
      <c r="AC5532" s="260"/>
      <c r="AD5532" s="259"/>
      <c r="AE5532" s="259"/>
      <c r="AF5532" s="260"/>
      <c r="AG5532" s="330"/>
    </row>
    <row r="5533" spans="14:33" hidden="1">
      <c r="N5533" s="239"/>
      <c r="O5533" s="225"/>
      <c r="P5533" s="260"/>
      <c r="Q5533" s="328"/>
      <c r="R5533" s="260"/>
      <c r="S5533" s="260"/>
      <c r="T5533" s="260"/>
      <c r="U5533" s="260"/>
      <c r="V5533" s="260"/>
      <c r="W5533" s="260"/>
      <c r="X5533" s="259"/>
      <c r="Y5533" s="259"/>
      <c r="Z5533" s="260"/>
      <c r="AA5533" s="260"/>
      <c r="AB5533" s="260"/>
      <c r="AC5533" s="260"/>
      <c r="AD5533" s="259"/>
      <c r="AE5533" s="259"/>
      <c r="AF5533" s="260"/>
      <c r="AG5533" s="330"/>
    </row>
    <row r="5534" spans="14:33" hidden="1">
      <c r="N5534" s="239"/>
      <c r="O5534" s="225"/>
      <c r="P5534" s="260"/>
      <c r="Q5534" s="328"/>
      <c r="R5534" s="260"/>
      <c r="S5534" s="260"/>
      <c r="T5534" s="260"/>
      <c r="U5534" s="260"/>
      <c r="V5534" s="260"/>
      <c r="W5534" s="260"/>
      <c r="X5534" s="259"/>
      <c r="Y5534" s="259"/>
      <c r="Z5534" s="260"/>
      <c r="AA5534" s="260"/>
      <c r="AB5534" s="260"/>
      <c r="AC5534" s="260"/>
      <c r="AD5534" s="259"/>
      <c r="AE5534" s="259"/>
      <c r="AF5534" s="260"/>
      <c r="AG5534" s="330"/>
    </row>
    <row r="5535" spans="14:33" hidden="1">
      <c r="N5535" s="239"/>
      <c r="O5535" s="225"/>
      <c r="P5535" s="260"/>
      <c r="Q5535" s="328"/>
      <c r="R5535" s="260"/>
      <c r="S5535" s="260"/>
      <c r="T5535" s="260"/>
      <c r="U5535" s="260"/>
      <c r="V5535" s="260"/>
      <c r="W5535" s="260"/>
      <c r="X5535" s="259"/>
      <c r="Y5535" s="259"/>
      <c r="Z5535" s="260"/>
      <c r="AA5535" s="260"/>
      <c r="AB5535" s="260"/>
      <c r="AC5535" s="260"/>
      <c r="AD5535" s="259"/>
      <c r="AE5535" s="259"/>
      <c r="AF5535" s="260"/>
      <c r="AG5535" s="330"/>
    </row>
    <row r="5536" spans="14:33" hidden="1">
      <c r="N5536" s="239"/>
      <c r="O5536" s="225"/>
      <c r="P5536" s="260"/>
      <c r="Q5536" s="328"/>
      <c r="R5536" s="260"/>
      <c r="S5536" s="260"/>
      <c r="T5536" s="260"/>
      <c r="U5536" s="260"/>
      <c r="V5536" s="260"/>
      <c r="W5536" s="260"/>
      <c r="X5536" s="259"/>
      <c r="Y5536" s="259"/>
      <c r="Z5536" s="260"/>
      <c r="AA5536" s="260"/>
      <c r="AB5536" s="260"/>
      <c r="AC5536" s="260"/>
      <c r="AD5536" s="259"/>
      <c r="AE5536" s="259"/>
      <c r="AF5536" s="260"/>
      <c r="AG5536" s="330"/>
    </row>
    <row r="5537" spans="14:33" hidden="1">
      <c r="N5537" s="239"/>
      <c r="O5537" s="225"/>
      <c r="P5537" s="260"/>
      <c r="Q5537" s="328"/>
      <c r="R5537" s="260"/>
      <c r="S5537" s="260"/>
      <c r="T5537" s="260"/>
      <c r="U5537" s="260"/>
      <c r="V5537" s="260"/>
      <c r="W5537" s="260"/>
      <c r="X5537" s="259"/>
      <c r="Y5537" s="259"/>
      <c r="Z5537" s="260"/>
      <c r="AA5537" s="260"/>
      <c r="AB5537" s="260"/>
      <c r="AC5537" s="260"/>
      <c r="AD5537" s="259"/>
      <c r="AE5537" s="259"/>
      <c r="AF5537" s="260"/>
      <c r="AG5537" s="330"/>
    </row>
    <row r="5538" spans="14:33" hidden="1">
      <c r="N5538" s="239"/>
      <c r="O5538" s="225"/>
      <c r="P5538" s="260"/>
      <c r="Q5538" s="328"/>
      <c r="R5538" s="260"/>
      <c r="S5538" s="260"/>
      <c r="T5538" s="260"/>
      <c r="U5538" s="260"/>
      <c r="V5538" s="260"/>
      <c r="W5538" s="260"/>
      <c r="X5538" s="259"/>
      <c r="Y5538" s="259"/>
      <c r="Z5538" s="260"/>
      <c r="AA5538" s="260"/>
      <c r="AB5538" s="260"/>
      <c r="AC5538" s="260"/>
      <c r="AD5538" s="259"/>
      <c r="AE5538" s="259"/>
      <c r="AF5538" s="260"/>
      <c r="AG5538" s="330"/>
    </row>
    <row r="5539" spans="14:33" hidden="1">
      <c r="N5539" s="239"/>
      <c r="O5539" s="225"/>
      <c r="P5539" s="260"/>
      <c r="Q5539" s="328"/>
      <c r="R5539" s="260"/>
      <c r="S5539" s="260"/>
      <c r="T5539" s="260"/>
      <c r="U5539" s="260"/>
      <c r="V5539" s="260"/>
      <c r="W5539" s="260"/>
      <c r="X5539" s="259"/>
      <c r="Y5539" s="259"/>
      <c r="Z5539" s="260"/>
      <c r="AA5539" s="260"/>
      <c r="AB5539" s="260"/>
      <c r="AC5539" s="260"/>
      <c r="AD5539" s="259"/>
      <c r="AE5539" s="259"/>
      <c r="AF5539" s="260"/>
      <c r="AG5539" s="330"/>
    </row>
    <row r="5540" spans="14:33" hidden="1">
      <c r="N5540" s="239"/>
      <c r="O5540" s="225"/>
      <c r="P5540" s="260"/>
      <c r="Q5540" s="328"/>
      <c r="R5540" s="260"/>
      <c r="S5540" s="260"/>
      <c r="T5540" s="260"/>
      <c r="U5540" s="260"/>
      <c r="V5540" s="260"/>
      <c r="W5540" s="260"/>
      <c r="X5540" s="259"/>
      <c r="Y5540" s="259"/>
      <c r="Z5540" s="260"/>
      <c r="AA5540" s="260"/>
      <c r="AB5540" s="260"/>
      <c r="AC5540" s="260"/>
      <c r="AD5540" s="259"/>
      <c r="AE5540" s="259"/>
      <c r="AF5540" s="260"/>
      <c r="AG5540" s="330"/>
    </row>
    <row r="5541" spans="14:33" hidden="1">
      <c r="N5541" s="239"/>
      <c r="O5541" s="225"/>
      <c r="P5541" s="260"/>
      <c r="Q5541" s="328"/>
      <c r="R5541" s="260"/>
      <c r="S5541" s="260"/>
      <c r="T5541" s="260"/>
      <c r="U5541" s="260"/>
      <c r="V5541" s="260"/>
      <c r="W5541" s="260"/>
      <c r="X5541" s="259"/>
      <c r="Y5541" s="259"/>
      <c r="Z5541" s="260"/>
      <c r="AA5541" s="260"/>
      <c r="AB5541" s="260"/>
      <c r="AC5541" s="260"/>
      <c r="AD5541" s="259"/>
      <c r="AE5541" s="259"/>
      <c r="AF5541" s="260"/>
      <c r="AG5541" s="330"/>
    </row>
    <row r="5542" spans="14:33" hidden="1">
      <c r="N5542" s="239"/>
      <c r="O5542" s="225"/>
      <c r="P5542" s="260"/>
      <c r="Q5542" s="328"/>
      <c r="R5542" s="260"/>
      <c r="S5542" s="260"/>
      <c r="T5542" s="260"/>
      <c r="U5542" s="260"/>
      <c r="V5542" s="260"/>
      <c r="W5542" s="260"/>
      <c r="X5542" s="259"/>
      <c r="Y5542" s="259"/>
      <c r="Z5542" s="260"/>
      <c r="AA5542" s="260"/>
      <c r="AB5542" s="260"/>
      <c r="AC5542" s="260"/>
      <c r="AD5542" s="259"/>
      <c r="AE5542" s="259"/>
      <c r="AF5542" s="260"/>
      <c r="AG5542" s="330"/>
    </row>
    <row r="5543" spans="14:33" hidden="1">
      <c r="N5543" s="239"/>
      <c r="O5543" s="225"/>
      <c r="P5543" s="260"/>
      <c r="Q5543" s="328"/>
      <c r="R5543" s="260"/>
      <c r="S5543" s="260"/>
      <c r="T5543" s="260"/>
      <c r="U5543" s="260"/>
      <c r="V5543" s="260"/>
      <c r="W5543" s="260"/>
      <c r="X5543" s="259"/>
      <c r="Y5543" s="259"/>
      <c r="Z5543" s="260"/>
      <c r="AA5543" s="260"/>
      <c r="AB5543" s="260"/>
      <c r="AC5543" s="260"/>
      <c r="AD5543" s="259"/>
      <c r="AE5543" s="259"/>
      <c r="AF5543" s="260"/>
      <c r="AG5543" s="330"/>
    </row>
    <row r="5544" spans="14:33" hidden="1">
      <c r="N5544" s="239"/>
      <c r="O5544" s="225"/>
      <c r="P5544" s="260"/>
      <c r="Q5544" s="328"/>
      <c r="R5544" s="260"/>
      <c r="S5544" s="260"/>
      <c r="T5544" s="260"/>
      <c r="U5544" s="260"/>
      <c r="V5544" s="260"/>
      <c r="W5544" s="260"/>
      <c r="X5544" s="259"/>
      <c r="Y5544" s="259"/>
      <c r="Z5544" s="260"/>
      <c r="AA5544" s="260"/>
      <c r="AB5544" s="260"/>
      <c r="AC5544" s="260"/>
      <c r="AD5544" s="259"/>
      <c r="AE5544" s="259"/>
      <c r="AF5544" s="260"/>
      <c r="AG5544" s="330"/>
    </row>
    <row r="5545" spans="14:33" hidden="1">
      <c r="N5545" s="239"/>
      <c r="O5545" s="225"/>
      <c r="P5545" s="260"/>
      <c r="Q5545" s="328"/>
      <c r="R5545" s="260"/>
      <c r="S5545" s="260"/>
      <c r="T5545" s="260"/>
      <c r="U5545" s="260"/>
      <c r="V5545" s="260"/>
      <c r="W5545" s="260"/>
      <c r="X5545" s="259"/>
      <c r="Y5545" s="259"/>
      <c r="Z5545" s="260"/>
      <c r="AA5545" s="260"/>
      <c r="AB5545" s="260"/>
      <c r="AC5545" s="260"/>
      <c r="AD5545" s="259"/>
      <c r="AE5545" s="259"/>
      <c r="AF5545" s="260"/>
      <c r="AG5545" s="330"/>
    </row>
    <row r="5546" spans="14:33" hidden="1">
      <c r="N5546" s="239"/>
      <c r="O5546" s="225"/>
      <c r="P5546" s="260"/>
      <c r="Q5546" s="328"/>
      <c r="R5546" s="260"/>
      <c r="S5546" s="260"/>
      <c r="T5546" s="260"/>
      <c r="U5546" s="260"/>
      <c r="V5546" s="260"/>
      <c r="W5546" s="260"/>
      <c r="X5546" s="259"/>
      <c r="Y5546" s="259"/>
      <c r="Z5546" s="260"/>
      <c r="AA5546" s="260"/>
      <c r="AB5546" s="260"/>
      <c r="AC5546" s="260"/>
      <c r="AD5546" s="259"/>
      <c r="AE5546" s="259"/>
      <c r="AF5546" s="260"/>
      <c r="AG5546" s="330"/>
    </row>
    <row r="5547" spans="14:33" hidden="1">
      <c r="N5547" s="239"/>
      <c r="O5547" s="225"/>
      <c r="P5547" s="260"/>
      <c r="Q5547" s="328"/>
      <c r="R5547" s="260"/>
      <c r="S5547" s="260"/>
      <c r="T5547" s="260"/>
      <c r="U5547" s="260"/>
      <c r="V5547" s="260"/>
      <c r="W5547" s="260"/>
      <c r="X5547" s="259"/>
      <c r="Y5547" s="259"/>
      <c r="Z5547" s="260"/>
      <c r="AA5547" s="260"/>
      <c r="AB5547" s="260"/>
      <c r="AC5547" s="260"/>
      <c r="AD5547" s="259"/>
      <c r="AE5547" s="259"/>
      <c r="AF5547" s="260"/>
      <c r="AG5547" s="330"/>
    </row>
    <row r="5548" spans="14:33" hidden="1">
      <c r="N5548" s="239"/>
      <c r="O5548" s="225"/>
      <c r="P5548" s="260"/>
      <c r="Q5548" s="328"/>
      <c r="R5548" s="260"/>
      <c r="S5548" s="260"/>
      <c r="T5548" s="260"/>
      <c r="U5548" s="260"/>
      <c r="V5548" s="260"/>
      <c r="W5548" s="260"/>
      <c r="X5548" s="259"/>
      <c r="Y5548" s="259"/>
      <c r="Z5548" s="260"/>
      <c r="AA5548" s="260"/>
      <c r="AB5548" s="260"/>
      <c r="AC5548" s="260"/>
      <c r="AD5548" s="259"/>
      <c r="AE5548" s="259"/>
      <c r="AF5548" s="260"/>
      <c r="AG5548" s="330"/>
    </row>
    <row r="5549" spans="14:33" hidden="1">
      <c r="N5549" s="239"/>
      <c r="O5549" s="225"/>
      <c r="P5549" s="260"/>
      <c r="Q5549" s="328"/>
      <c r="R5549" s="260"/>
      <c r="S5549" s="260"/>
      <c r="T5549" s="260"/>
      <c r="U5549" s="260"/>
      <c r="V5549" s="260"/>
      <c r="W5549" s="260"/>
      <c r="X5549" s="259"/>
      <c r="Y5549" s="259"/>
      <c r="Z5549" s="260"/>
      <c r="AA5549" s="260"/>
      <c r="AB5549" s="260"/>
      <c r="AC5549" s="260"/>
      <c r="AD5549" s="259"/>
      <c r="AE5549" s="259"/>
      <c r="AF5549" s="260"/>
      <c r="AG5549" s="330"/>
    </row>
    <row r="5550" spans="14:33" hidden="1">
      <c r="N5550" s="239"/>
      <c r="O5550" s="225"/>
      <c r="P5550" s="260"/>
      <c r="Q5550" s="328"/>
      <c r="R5550" s="260"/>
      <c r="S5550" s="260"/>
      <c r="T5550" s="260"/>
      <c r="U5550" s="260"/>
      <c r="V5550" s="260"/>
      <c r="W5550" s="260"/>
      <c r="X5550" s="259"/>
      <c r="Y5550" s="259"/>
      <c r="Z5550" s="260"/>
      <c r="AA5550" s="260"/>
      <c r="AB5550" s="260"/>
      <c r="AC5550" s="260"/>
      <c r="AD5550" s="259"/>
      <c r="AE5550" s="259"/>
      <c r="AF5550" s="260"/>
      <c r="AG5550" s="330"/>
    </row>
    <row r="5551" spans="14:33" hidden="1">
      <c r="N5551" s="239"/>
      <c r="O5551" s="225"/>
      <c r="P5551" s="260"/>
      <c r="Q5551" s="328"/>
      <c r="R5551" s="260"/>
      <c r="S5551" s="260"/>
      <c r="T5551" s="260"/>
      <c r="U5551" s="260"/>
      <c r="V5551" s="260"/>
      <c r="W5551" s="260"/>
      <c r="X5551" s="259"/>
      <c r="Y5551" s="259"/>
      <c r="Z5551" s="260"/>
      <c r="AA5551" s="260"/>
      <c r="AB5551" s="260"/>
      <c r="AC5551" s="260"/>
      <c r="AD5551" s="259"/>
      <c r="AE5551" s="259"/>
      <c r="AF5551" s="260"/>
      <c r="AG5551" s="330"/>
    </row>
    <row r="5552" spans="14:33" hidden="1">
      <c r="N5552" s="239"/>
      <c r="O5552" s="225"/>
      <c r="P5552" s="260"/>
      <c r="Q5552" s="328"/>
      <c r="R5552" s="260"/>
      <c r="S5552" s="260"/>
      <c r="T5552" s="260"/>
      <c r="U5552" s="260"/>
      <c r="V5552" s="260"/>
      <c r="W5552" s="260"/>
      <c r="X5552" s="259"/>
      <c r="Y5552" s="259"/>
      <c r="Z5552" s="260"/>
      <c r="AA5552" s="260"/>
      <c r="AB5552" s="260"/>
      <c r="AC5552" s="260"/>
      <c r="AD5552" s="259"/>
      <c r="AE5552" s="259"/>
      <c r="AF5552" s="260"/>
      <c r="AG5552" s="330"/>
    </row>
    <row r="5553" spans="14:33" hidden="1">
      <c r="N5553" s="239"/>
      <c r="O5553" s="225"/>
      <c r="P5553" s="260"/>
      <c r="Q5553" s="328"/>
      <c r="R5553" s="260"/>
      <c r="S5553" s="260"/>
      <c r="T5553" s="260"/>
      <c r="U5553" s="260"/>
      <c r="V5553" s="260"/>
      <c r="W5553" s="260"/>
      <c r="X5553" s="259"/>
      <c r="Y5553" s="259"/>
      <c r="Z5553" s="260"/>
      <c r="AA5553" s="260"/>
      <c r="AB5553" s="260"/>
      <c r="AC5553" s="260"/>
      <c r="AD5553" s="259"/>
      <c r="AE5553" s="259"/>
      <c r="AF5553" s="260"/>
      <c r="AG5553" s="330"/>
    </row>
    <row r="5554" spans="14:33" hidden="1">
      <c r="N5554" s="239"/>
      <c r="O5554" s="225"/>
      <c r="P5554" s="260"/>
      <c r="Q5554" s="328"/>
      <c r="R5554" s="260"/>
      <c r="S5554" s="260"/>
      <c r="T5554" s="260"/>
      <c r="U5554" s="260"/>
      <c r="V5554" s="260"/>
      <c r="W5554" s="260"/>
      <c r="X5554" s="259"/>
      <c r="Y5554" s="259"/>
      <c r="Z5554" s="260"/>
      <c r="AA5554" s="260"/>
      <c r="AB5554" s="260"/>
      <c r="AC5554" s="260"/>
      <c r="AD5554" s="259"/>
      <c r="AE5554" s="259"/>
      <c r="AF5554" s="260"/>
      <c r="AG5554" s="330"/>
    </row>
    <row r="5555" spans="14:33" hidden="1">
      <c r="N5555" s="239"/>
      <c r="O5555" s="225"/>
      <c r="P5555" s="260"/>
      <c r="Q5555" s="328"/>
      <c r="R5555" s="260"/>
      <c r="S5555" s="260"/>
      <c r="T5555" s="260"/>
      <c r="U5555" s="260"/>
      <c r="V5555" s="260"/>
      <c r="W5555" s="260"/>
      <c r="X5555" s="259"/>
      <c r="Y5555" s="259"/>
      <c r="Z5555" s="260"/>
      <c r="AA5555" s="260"/>
      <c r="AB5555" s="260"/>
      <c r="AC5555" s="260"/>
      <c r="AD5555" s="259"/>
      <c r="AE5555" s="259"/>
      <c r="AF5555" s="260"/>
      <c r="AG5555" s="330"/>
    </row>
    <row r="5556" spans="14:33" hidden="1">
      <c r="N5556" s="239"/>
      <c r="O5556" s="225"/>
      <c r="P5556" s="260"/>
      <c r="Q5556" s="328"/>
      <c r="R5556" s="260"/>
      <c r="S5556" s="260"/>
      <c r="T5556" s="260"/>
      <c r="U5556" s="260"/>
      <c r="V5556" s="260"/>
      <c r="W5556" s="260"/>
      <c r="X5556" s="259"/>
      <c r="Y5556" s="259"/>
      <c r="Z5556" s="260"/>
      <c r="AA5556" s="260"/>
      <c r="AB5556" s="260"/>
      <c r="AC5556" s="260"/>
      <c r="AD5556" s="259"/>
      <c r="AE5556" s="259"/>
      <c r="AF5556" s="260"/>
      <c r="AG5556" s="330"/>
    </row>
    <row r="5557" spans="14:33" hidden="1">
      <c r="N5557" s="239"/>
      <c r="O5557" s="225"/>
      <c r="P5557" s="260"/>
      <c r="Q5557" s="328"/>
      <c r="R5557" s="260"/>
      <c r="S5557" s="260"/>
      <c r="T5557" s="260"/>
      <c r="U5557" s="260"/>
      <c r="V5557" s="260"/>
      <c r="W5557" s="260"/>
      <c r="X5557" s="259"/>
      <c r="Y5557" s="259"/>
      <c r="Z5557" s="260"/>
      <c r="AA5557" s="260"/>
      <c r="AB5557" s="260"/>
      <c r="AC5557" s="260"/>
      <c r="AD5557" s="259"/>
      <c r="AE5557" s="259"/>
      <c r="AF5557" s="260"/>
      <c r="AG5557" s="330"/>
    </row>
    <row r="5558" spans="14:33" hidden="1">
      <c r="N5558" s="239"/>
      <c r="O5558" s="225"/>
      <c r="P5558" s="260"/>
      <c r="Q5558" s="328"/>
      <c r="R5558" s="260"/>
      <c r="S5558" s="260"/>
      <c r="T5558" s="260"/>
      <c r="U5558" s="260"/>
      <c r="V5558" s="260"/>
      <c r="W5558" s="260"/>
      <c r="X5558" s="259"/>
      <c r="Y5558" s="259"/>
      <c r="Z5558" s="260"/>
      <c r="AA5558" s="260"/>
      <c r="AB5558" s="260"/>
      <c r="AC5558" s="260"/>
      <c r="AD5558" s="259"/>
      <c r="AE5558" s="259"/>
      <c r="AF5558" s="260"/>
      <c r="AG5558" s="330"/>
    </row>
    <row r="5559" spans="14:33" hidden="1">
      <c r="N5559" s="239"/>
      <c r="O5559" s="225"/>
      <c r="P5559" s="260"/>
      <c r="Q5559" s="328"/>
      <c r="R5559" s="260"/>
      <c r="S5559" s="260"/>
      <c r="T5559" s="260"/>
      <c r="U5559" s="260"/>
      <c r="V5559" s="260"/>
      <c r="W5559" s="260"/>
      <c r="X5559" s="259"/>
      <c r="Y5559" s="259"/>
      <c r="Z5559" s="260"/>
      <c r="AA5559" s="260"/>
      <c r="AB5559" s="260"/>
      <c r="AC5559" s="260"/>
      <c r="AD5559" s="259"/>
      <c r="AE5559" s="259"/>
      <c r="AF5559" s="260"/>
      <c r="AG5559" s="330"/>
    </row>
    <row r="5560" spans="14:33" hidden="1">
      <c r="N5560" s="239"/>
      <c r="O5560" s="225"/>
      <c r="P5560" s="260"/>
      <c r="Q5560" s="328"/>
      <c r="R5560" s="260"/>
      <c r="S5560" s="260"/>
      <c r="T5560" s="260"/>
      <c r="U5560" s="260"/>
      <c r="V5560" s="260"/>
      <c r="W5560" s="260"/>
      <c r="X5560" s="259"/>
      <c r="Y5560" s="259"/>
      <c r="Z5560" s="260"/>
      <c r="AA5560" s="260"/>
      <c r="AB5560" s="260"/>
      <c r="AC5560" s="260"/>
      <c r="AD5560" s="259"/>
      <c r="AE5560" s="259"/>
      <c r="AF5560" s="260"/>
      <c r="AG5560" s="330"/>
    </row>
    <row r="5561" spans="14:33" hidden="1">
      <c r="N5561" s="239"/>
      <c r="O5561" s="225"/>
      <c r="P5561" s="260"/>
      <c r="Q5561" s="328"/>
      <c r="R5561" s="260"/>
      <c r="S5561" s="260"/>
      <c r="T5561" s="260"/>
      <c r="U5561" s="260"/>
      <c r="V5561" s="260"/>
      <c r="W5561" s="260"/>
      <c r="X5561" s="259"/>
      <c r="Y5561" s="259"/>
      <c r="Z5561" s="260"/>
      <c r="AA5561" s="260"/>
      <c r="AB5561" s="260"/>
      <c r="AC5561" s="260"/>
      <c r="AD5561" s="259"/>
      <c r="AE5561" s="259"/>
      <c r="AF5561" s="260"/>
      <c r="AG5561" s="330"/>
    </row>
    <row r="5562" spans="14:33" hidden="1">
      <c r="N5562" s="239"/>
      <c r="O5562" s="225"/>
      <c r="P5562" s="260"/>
      <c r="Q5562" s="328"/>
      <c r="R5562" s="260"/>
      <c r="S5562" s="260"/>
      <c r="T5562" s="260"/>
      <c r="U5562" s="260"/>
      <c r="V5562" s="260"/>
      <c r="W5562" s="260"/>
      <c r="X5562" s="259"/>
      <c r="Y5562" s="259"/>
      <c r="Z5562" s="260"/>
      <c r="AA5562" s="260"/>
      <c r="AB5562" s="260"/>
      <c r="AC5562" s="260"/>
      <c r="AD5562" s="259"/>
      <c r="AE5562" s="259"/>
      <c r="AF5562" s="260"/>
      <c r="AG5562" s="330"/>
    </row>
    <row r="5563" spans="14:33" hidden="1">
      <c r="N5563" s="239"/>
      <c r="O5563" s="225"/>
      <c r="P5563" s="260"/>
      <c r="Q5563" s="328"/>
      <c r="R5563" s="260"/>
      <c r="S5563" s="260"/>
      <c r="T5563" s="260"/>
      <c r="U5563" s="260"/>
      <c r="V5563" s="260"/>
      <c r="W5563" s="260"/>
      <c r="X5563" s="259"/>
      <c r="Y5563" s="259"/>
      <c r="Z5563" s="260"/>
      <c r="AA5563" s="260"/>
      <c r="AB5563" s="260"/>
      <c r="AC5563" s="260"/>
      <c r="AD5563" s="259"/>
      <c r="AE5563" s="259"/>
      <c r="AF5563" s="260"/>
      <c r="AG5563" s="330"/>
    </row>
    <row r="5564" spans="14:33" hidden="1">
      <c r="N5564" s="239"/>
      <c r="O5564" s="225"/>
      <c r="P5564" s="260"/>
      <c r="Q5564" s="328"/>
      <c r="R5564" s="260"/>
      <c r="S5564" s="260"/>
      <c r="T5564" s="260"/>
      <c r="U5564" s="260"/>
      <c r="V5564" s="260"/>
      <c r="W5564" s="260"/>
      <c r="X5564" s="259"/>
      <c r="Y5564" s="259"/>
      <c r="Z5564" s="260"/>
      <c r="AA5564" s="260"/>
      <c r="AB5564" s="260"/>
      <c r="AC5564" s="260"/>
      <c r="AD5564" s="259"/>
      <c r="AE5564" s="259"/>
      <c r="AF5564" s="260"/>
      <c r="AG5564" s="330"/>
    </row>
    <row r="5565" spans="14:33" hidden="1">
      <c r="N5565" s="239"/>
      <c r="O5565" s="225"/>
      <c r="P5565" s="260"/>
      <c r="Q5565" s="328"/>
      <c r="R5565" s="260"/>
      <c r="S5565" s="260"/>
      <c r="T5565" s="260"/>
      <c r="U5565" s="260"/>
      <c r="V5565" s="260"/>
      <c r="W5565" s="260"/>
      <c r="X5565" s="259"/>
      <c r="Y5565" s="259"/>
      <c r="Z5565" s="260"/>
      <c r="AA5565" s="260"/>
      <c r="AB5565" s="260"/>
      <c r="AC5565" s="260"/>
      <c r="AD5565" s="259"/>
      <c r="AE5565" s="259"/>
      <c r="AF5565" s="260"/>
      <c r="AG5565" s="330"/>
    </row>
    <row r="5566" spans="14:33" hidden="1">
      <c r="N5566" s="239"/>
      <c r="O5566" s="225"/>
      <c r="P5566" s="260"/>
      <c r="Q5566" s="328"/>
      <c r="R5566" s="260"/>
      <c r="S5566" s="260"/>
      <c r="T5566" s="260"/>
      <c r="U5566" s="260"/>
      <c r="V5566" s="260"/>
      <c r="W5566" s="260"/>
      <c r="X5566" s="259"/>
      <c r="Y5566" s="259"/>
      <c r="Z5566" s="260"/>
      <c r="AA5566" s="260"/>
      <c r="AB5566" s="260"/>
      <c r="AC5566" s="260"/>
      <c r="AD5566" s="259"/>
      <c r="AE5566" s="259"/>
      <c r="AF5566" s="260"/>
      <c r="AG5566" s="330"/>
    </row>
    <row r="5567" spans="14:33" hidden="1">
      <c r="N5567" s="239"/>
      <c r="O5567" s="225"/>
      <c r="P5567" s="260"/>
      <c r="Q5567" s="328"/>
      <c r="R5567" s="260"/>
      <c r="S5567" s="260"/>
      <c r="T5567" s="260"/>
      <c r="U5567" s="260"/>
      <c r="V5567" s="260"/>
      <c r="W5567" s="260"/>
      <c r="X5567" s="259"/>
      <c r="Y5567" s="259"/>
      <c r="Z5567" s="260"/>
      <c r="AA5567" s="260"/>
      <c r="AB5567" s="260"/>
      <c r="AC5567" s="260"/>
      <c r="AD5567" s="259"/>
      <c r="AE5567" s="259"/>
      <c r="AF5567" s="260"/>
      <c r="AG5567" s="330"/>
    </row>
    <row r="5568" spans="14:33" hidden="1">
      <c r="N5568" s="239"/>
      <c r="O5568" s="225"/>
      <c r="P5568" s="260"/>
      <c r="Q5568" s="328"/>
      <c r="R5568" s="260"/>
      <c r="S5568" s="260"/>
      <c r="T5568" s="260"/>
      <c r="U5568" s="260"/>
      <c r="V5568" s="260"/>
      <c r="W5568" s="260"/>
      <c r="X5568" s="259"/>
      <c r="Y5568" s="259"/>
      <c r="Z5568" s="260"/>
      <c r="AA5568" s="260"/>
      <c r="AB5568" s="260"/>
      <c r="AC5568" s="260"/>
      <c r="AD5568" s="259"/>
      <c r="AE5568" s="259"/>
      <c r="AF5568" s="260"/>
      <c r="AG5568" s="330"/>
    </row>
    <row r="5569" spans="14:33" hidden="1">
      <c r="N5569" s="239"/>
      <c r="O5569" s="225"/>
      <c r="P5569" s="260"/>
      <c r="Q5569" s="328"/>
      <c r="R5569" s="260"/>
      <c r="S5569" s="260"/>
      <c r="T5569" s="260"/>
      <c r="U5569" s="260"/>
      <c r="V5569" s="260"/>
      <c r="W5569" s="260"/>
      <c r="X5569" s="259"/>
      <c r="Y5569" s="259"/>
      <c r="Z5569" s="260"/>
      <c r="AA5569" s="260"/>
      <c r="AB5569" s="260"/>
      <c r="AC5569" s="260"/>
      <c r="AD5569" s="259"/>
      <c r="AE5569" s="259"/>
      <c r="AF5569" s="260"/>
      <c r="AG5569" s="330"/>
    </row>
    <row r="5570" spans="14:33" hidden="1">
      <c r="N5570" s="239"/>
      <c r="O5570" s="225"/>
      <c r="P5570" s="260"/>
      <c r="Q5570" s="328"/>
      <c r="R5570" s="260"/>
      <c r="S5570" s="260"/>
      <c r="T5570" s="260"/>
      <c r="U5570" s="260"/>
      <c r="V5570" s="260"/>
      <c r="W5570" s="260"/>
      <c r="X5570" s="259"/>
      <c r="Y5570" s="259"/>
      <c r="Z5570" s="260"/>
      <c r="AA5570" s="260"/>
      <c r="AB5570" s="260"/>
      <c r="AC5570" s="260"/>
      <c r="AD5570" s="259"/>
      <c r="AE5570" s="259"/>
      <c r="AF5570" s="260"/>
      <c r="AG5570" s="330"/>
    </row>
    <row r="5571" spans="14:33" hidden="1">
      <c r="N5571" s="239"/>
      <c r="O5571" s="225"/>
      <c r="P5571" s="260"/>
      <c r="Q5571" s="328"/>
      <c r="R5571" s="260"/>
      <c r="S5571" s="260"/>
      <c r="T5571" s="260"/>
      <c r="U5571" s="260"/>
      <c r="V5571" s="260"/>
      <c r="W5571" s="260"/>
      <c r="X5571" s="259"/>
      <c r="Y5571" s="259"/>
      <c r="Z5571" s="260"/>
      <c r="AA5571" s="260"/>
      <c r="AB5571" s="260"/>
      <c r="AC5571" s="260"/>
      <c r="AD5571" s="259"/>
      <c r="AE5571" s="259"/>
      <c r="AF5571" s="260"/>
      <c r="AG5571" s="330"/>
    </row>
    <row r="5572" spans="14:33" hidden="1">
      <c r="N5572" s="239"/>
      <c r="O5572" s="225"/>
      <c r="P5572" s="260"/>
      <c r="Q5572" s="328"/>
      <c r="R5572" s="260"/>
      <c r="S5572" s="260"/>
      <c r="T5572" s="260"/>
      <c r="U5572" s="260"/>
      <c r="V5572" s="260"/>
      <c r="W5572" s="260"/>
      <c r="X5572" s="259"/>
      <c r="Y5572" s="259"/>
      <c r="Z5572" s="260"/>
      <c r="AA5572" s="260"/>
      <c r="AB5572" s="260"/>
      <c r="AC5572" s="260"/>
      <c r="AD5572" s="259"/>
      <c r="AE5572" s="259"/>
      <c r="AF5572" s="260"/>
      <c r="AG5572" s="330"/>
    </row>
    <row r="5573" spans="14:33" hidden="1">
      <c r="N5573" s="239"/>
      <c r="O5573" s="225"/>
      <c r="P5573" s="260"/>
      <c r="Q5573" s="328"/>
      <c r="R5573" s="260"/>
      <c r="S5573" s="260"/>
      <c r="T5573" s="260"/>
      <c r="U5573" s="260"/>
      <c r="V5573" s="260"/>
      <c r="W5573" s="260"/>
      <c r="X5573" s="259"/>
      <c r="Y5573" s="259"/>
      <c r="Z5573" s="260"/>
      <c r="AA5573" s="260"/>
      <c r="AB5573" s="260"/>
      <c r="AC5573" s="260"/>
      <c r="AD5573" s="259"/>
      <c r="AE5573" s="259"/>
      <c r="AF5573" s="260"/>
      <c r="AG5573" s="330"/>
    </row>
    <row r="5574" spans="14:33" hidden="1">
      <c r="N5574" s="239"/>
      <c r="O5574" s="225"/>
      <c r="P5574" s="260"/>
      <c r="Q5574" s="328"/>
      <c r="R5574" s="260"/>
      <c r="S5574" s="260"/>
      <c r="T5574" s="260"/>
      <c r="U5574" s="260"/>
      <c r="V5574" s="260"/>
      <c r="W5574" s="260"/>
      <c r="X5574" s="259"/>
      <c r="Y5574" s="259"/>
      <c r="Z5574" s="260"/>
      <c r="AA5574" s="260"/>
      <c r="AB5574" s="260"/>
      <c r="AC5574" s="260"/>
      <c r="AD5574" s="259"/>
      <c r="AE5574" s="259"/>
      <c r="AF5574" s="260"/>
      <c r="AG5574" s="330"/>
    </row>
    <row r="5575" spans="14:33" hidden="1">
      <c r="N5575" s="239"/>
      <c r="O5575" s="225"/>
      <c r="P5575" s="260"/>
      <c r="Q5575" s="328"/>
      <c r="R5575" s="260"/>
      <c r="S5575" s="260"/>
      <c r="T5575" s="260"/>
      <c r="U5575" s="260"/>
      <c r="V5575" s="260"/>
      <c r="W5575" s="260"/>
      <c r="X5575" s="259"/>
      <c r="Y5575" s="259"/>
      <c r="Z5575" s="260"/>
      <c r="AA5575" s="260"/>
      <c r="AB5575" s="260"/>
      <c r="AC5575" s="260"/>
      <c r="AD5575" s="259"/>
      <c r="AE5575" s="259"/>
      <c r="AF5575" s="260"/>
      <c r="AG5575" s="330"/>
    </row>
    <row r="5576" spans="14:33" hidden="1">
      <c r="N5576" s="239"/>
      <c r="O5576" s="225"/>
      <c r="P5576" s="260"/>
      <c r="Q5576" s="328"/>
      <c r="R5576" s="260"/>
      <c r="S5576" s="260"/>
      <c r="T5576" s="260"/>
      <c r="U5576" s="260"/>
      <c r="V5576" s="260"/>
      <c r="W5576" s="260"/>
      <c r="X5576" s="259"/>
      <c r="Y5576" s="259"/>
      <c r="Z5576" s="260"/>
      <c r="AA5576" s="260"/>
      <c r="AB5576" s="260"/>
      <c r="AC5576" s="260"/>
      <c r="AD5576" s="259"/>
      <c r="AE5576" s="259"/>
      <c r="AF5576" s="260"/>
      <c r="AG5576" s="330"/>
    </row>
    <row r="5577" spans="14:33" hidden="1">
      <c r="N5577" s="239"/>
      <c r="O5577" s="225"/>
      <c r="P5577" s="260"/>
      <c r="Q5577" s="328"/>
      <c r="R5577" s="260"/>
      <c r="S5577" s="260"/>
      <c r="T5577" s="260"/>
      <c r="U5577" s="260"/>
      <c r="V5577" s="260"/>
      <c r="W5577" s="260"/>
      <c r="X5577" s="259"/>
      <c r="Y5577" s="259"/>
      <c r="Z5577" s="260"/>
      <c r="AA5577" s="260"/>
      <c r="AB5577" s="260"/>
      <c r="AC5577" s="260"/>
      <c r="AD5577" s="259"/>
      <c r="AE5577" s="259"/>
      <c r="AF5577" s="260"/>
      <c r="AG5577" s="330"/>
    </row>
    <row r="5578" spans="14:33" hidden="1">
      <c r="N5578" s="239"/>
      <c r="O5578" s="225"/>
      <c r="P5578" s="260"/>
      <c r="Q5578" s="328"/>
      <c r="R5578" s="260"/>
      <c r="S5578" s="260"/>
      <c r="T5578" s="260"/>
      <c r="U5578" s="260"/>
      <c r="V5578" s="260"/>
      <c r="W5578" s="260"/>
      <c r="X5578" s="259"/>
      <c r="Y5578" s="259"/>
      <c r="Z5578" s="260"/>
      <c r="AA5578" s="260"/>
      <c r="AB5578" s="260"/>
      <c r="AC5578" s="260"/>
      <c r="AD5578" s="259"/>
      <c r="AE5578" s="259"/>
      <c r="AF5578" s="260"/>
      <c r="AG5578" s="330"/>
    </row>
    <row r="5579" spans="14:33" hidden="1">
      <c r="N5579" s="239"/>
      <c r="O5579" s="225"/>
      <c r="P5579" s="260"/>
      <c r="Q5579" s="328"/>
      <c r="R5579" s="260"/>
      <c r="S5579" s="260"/>
      <c r="T5579" s="260"/>
      <c r="U5579" s="260"/>
      <c r="V5579" s="260"/>
      <c r="W5579" s="260"/>
      <c r="X5579" s="259"/>
      <c r="Y5579" s="259"/>
      <c r="Z5579" s="260"/>
      <c r="AA5579" s="260"/>
      <c r="AB5579" s="260"/>
      <c r="AC5579" s="260"/>
      <c r="AD5579" s="259"/>
      <c r="AE5579" s="259"/>
      <c r="AF5579" s="260"/>
      <c r="AG5579" s="330"/>
    </row>
    <row r="5580" spans="14:33" hidden="1">
      <c r="N5580" s="239"/>
      <c r="O5580" s="225"/>
      <c r="P5580" s="260"/>
      <c r="Q5580" s="328"/>
      <c r="R5580" s="260"/>
      <c r="S5580" s="260"/>
      <c r="T5580" s="260"/>
      <c r="U5580" s="260"/>
      <c r="V5580" s="260"/>
      <c r="W5580" s="260"/>
      <c r="X5580" s="259"/>
      <c r="Y5580" s="259"/>
      <c r="Z5580" s="260"/>
      <c r="AA5580" s="260"/>
      <c r="AB5580" s="260"/>
      <c r="AC5580" s="260"/>
      <c r="AD5580" s="259"/>
      <c r="AE5580" s="259"/>
      <c r="AF5580" s="260"/>
      <c r="AG5580" s="330"/>
    </row>
    <row r="5581" spans="14:33" hidden="1">
      <c r="N5581" s="239"/>
      <c r="O5581" s="225"/>
      <c r="P5581" s="260"/>
      <c r="Q5581" s="328"/>
      <c r="R5581" s="260"/>
      <c r="S5581" s="260"/>
      <c r="T5581" s="260"/>
      <c r="U5581" s="260"/>
      <c r="V5581" s="260"/>
      <c r="W5581" s="260"/>
      <c r="X5581" s="259"/>
      <c r="Y5581" s="259"/>
      <c r="Z5581" s="260"/>
      <c r="AA5581" s="260"/>
      <c r="AB5581" s="260"/>
      <c r="AC5581" s="260"/>
      <c r="AD5581" s="259"/>
      <c r="AE5581" s="259"/>
      <c r="AF5581" s="260"/>
      <c r="AG5581" s="330"/>
    </row>
    <row r="5582" spans="14:33" hidden="1">
      <c r="N5582" s="239"/>
      <c r="O5582" s="225"/>
      <c r="P5582" s="260"/>
      <c r="Q5582" s="328"/>
      <c r="R5582" s="260"/>
      <c r="S5582" s="260"/>
      <c r="T5582" s="260"/>
      <c r="U5582" s="260"/>
      <c r="V5582" s="260"/>
      <c r="W5582" s="260"/>
      <c r="X5582" s="259"/>
      <c r="Y5582" s="259"/>
      <c r="Z5582" s="260"/>
      <c r="AA5582" s="260"/>
      <c r="AB5582" s="260"/>
      <c r="AC5582" s="260"/>
      <c r="AD5582" s="259"/>
      <c r="AE5582" s="259"/>
      <c r="AF5582" s="260"/>
      <c r="AG5582" s="330"/>
    </row>
    <row r="5583" spans="14:33" hidden="1">
      <c r="N5583" s="239"/>
      <c r="O5583" s="225"/>
      <c r="P5583" s="260"/>
      <c r="Q5583" s="328"/>
      <c r="R5583" s="260"/>
      <c r="S5583" s="260"/>
      <c r="T5583" s="260"/>
      <c r="U5583" s="260"/>
      <c r="V5583" s="260"/>
      <c r="W5583" s="260"/>
      <c r="X5583" s="259"/>
      <c r="Y5583" s="259"/>
      <c r="Z5583" s="260"/>
      <c r="AA5583" s="260"/>
      <c r="AB5583" s="260"/>
      <c r="AC5583" s="260"/>
      <c r="AD5583" s="259"/>
      <c r="AE5583" s="259"/>
      <c r="AF5583" s="260"/>
      <c r="AG5583" s="330"/>
    </row>
    <row r="5584" spans="14:33" hidden="1">
      <c r="N5584" s="239"/>
      <c r="O5584" s="225"/>
      <c r="P5584" s="260"/>
      <c r="Q5584" s="328"/>
      <c r="R5584" s="260"/>
      <c r="S5584" s="260"/>
      <c r="T5584" s="260"/>
      <c r="U5584" s="260"/>
      <c r="V5584" s="260"/>
      <c r="W5584" s="260"/>
      <c r="X5584" s="259"/>
      <c r="Y5584" s="259"/>
      <c r="Z5584" s="260"/>
      <c r="AA5584" s="260"/>
      <c r="AB5584" s="260"/>
      <c r="AC5584" s="260"/>
      <c r="AD5584" s="259"/>
      <c r="AE5584" s="259"/>
      <c r="AF5584" s="260"/>
      <c r="AG5584" s="330"/>
    </row>
    <row r="5585" spans="14:33" hidden="1">
      <c r="N5585" s="239"/>
      <c r="O5585" s="225"/>
      <c r="P5585" s="260"/>
      <c r="Q5585" s="328"/>
      <c r="R5585" s="260"/>
      <c r="S5585" s="260"/>
      <c r="T5585" s="260"/>
      <c r="U5585" s="260"/>
      <c r="V5585" s="260"/>
      <c r="W5585" s="260"/>
      <c r="X5585" s="259"/>
      <c r="Y5585" s="259"/>
      <c r="Z5585" s="260"/>
      <c r="AA5585" s="260"/>
      <c r="AB5585" s="260"/>
      <c r="AC5585" s="260"/>
      <c r="AD5585" s="259"/>
      <c r="AE5585" s="259"/>
      <c r="AF5585" s="260"/>
      <c r="AG5585" s="330"/>
    </row>
    <row r="5586" spans="14:33" hidden="1">
      <c r="N5586" s="239"/>
      <c r="O5586" s="225"/>
      <c r="P5586" s="260"/>
      <c r="Q5586" s="328"/>
      <c r="R5586" s="260"/>
      <c r="S5586" s="260"/>
      <c r="T5586" s="260"/>
      <c r="U5586" s="260"/>
      <c r="V5586" s="260"/>
      <c r="W5586" s="260"/>
      <c r="X5586" s="259"/>
      <c r="Y5586" s="259"/>
      <c r="Z5586" s="260"/>
      <c r="AA5586" s="260"/>
      <c r="AB5586" s="260"/>
      <c r="AC5586" s="260"/>
      <c r="AD5586" s="259"/>
      <c r="AE5586" s="259"/>
      <c r="AF5586" s="260"/>
      <c r="AG5586" s="330"/>
    </row>
    <row r="5587" spans="14:33" hidden="1">
      <c r="N5587" s="239"/>
      <c r="O5587" s="225"/>
      <c r="P5587" s="260"/>
      <c r="Q5587" s="328"/>
      <c r="R5587" s="260"/>
      <c r="S5587" s="260"/>
      <c r="T5587" s="260"/>
      <c r="U5587" s="260"/>
      <c r="V5587" s="260"/>
      <c r="W5587" s="260"/>
      <c r="X5587" s="259"/>
      <c r="Y5587" s="259"/>
      <c r="Z5587" s="260"/>
      <c r="AA5587" s="260"/>
      <c r="AB5587" s="260"/>
      <c r="AC5587" s="260"/>
      <c r="AD5587" s="259"/>
      <c r="AE5587" s="259"/>
      <c r="AF5587" s="260"/>
      <c r="AG5587" s="330"/>
    </row>
    <row r="5588" spans="14:33" hidden="1">
      <c r="N5588" s="239"/>
      <c r="O5588" s="225"/>
      <c r="P5588" s="260"/>
      <c r="Q5588" s="328"/>
      <c r="R5588" s="260"/>
      <c r="S5588" s="260"/>
      <c r="T5588" s="260"/>
      <c r="U5588" s="260"/>
      <c r="V5588" s="260"/>
      <c r="W5588" s="260"/>
      <c r="X5588" s="259"/>
      <c r="Y5588" s="259"/>
      <c r="Z5588" s="260"/>
      <c r="AA5588" s="260"/>
      <c r="AB5588" s="260"/>
      <c r="AC5588" s="260"/>
      <c r="AD5588" s="259"/>
      <c r="AE5588" s="259"/>
      <c r="AF5588" s="260"/>
      <c r="AG5588" s="330"/>
    </row>
    <row r="5589" spans="14:33" hidden="1">
      <c r="N5589" s="239"/>
      <c r="O5589" s="225"/>
      <c r="P5589" s="260"/>
      <c r="Q5589" s="328"/>
      <c r="R5589" s="260"/>
      <c r="S5589" s="260"/>
      <c r="T5589" s="260"/>
      <c r="U5589" s="260"/>
      <c r="V5589" s="260"/>
      <c r="W5589" s="260"/>
      <c r="X5589" s="259"/>
      <c r="Y5589" s="259"/>
      <c r="Z5589" s="260"/>
      <c r="AA5589" s="260"/>
      <c r="AB5589" s="260"/>
      <c r="AC5589" s="260"/>
      <c r="AD5589" s="259"/>
      <c r="AE5589" s="259"/>
      <c r="AF5589" s="260"/>
      <c r="AG5589" s="330"/>
    </row>
    <row r="5590" spans="14:33" hidden="1">
      <c r="N5590" s="239"/>
      <c r="O5590" s="225"/>
      <c r="P5590" s="260"/>
      <c r="Q5590" s="328"/>
      <c r="R5590" s="260"/>
      <c r="S5590" s="260"/>
      <c r="T5590" s="260"/>
      <c r="U5590" s="260"/>
      <c r="V5590" s="260"/>
      <c r="W5590" s="260"/>
      <c r="X5590" s="259"/>
      <c r="Y5590" s="259"/>
      <c r="Z5590" s="260"/>
      <c r="AA5590" s="260"/>
      <c r="AB5590" s="260"/>
      <c r="AC5590" s="260"/>
      <c r="AD5590" s="259"/>
      <c r="AE5590" s="259"/>
      <c r="AF5590" s="260"/>
      <c r="AG5590" s="330"/>
    </row>
    <row r="5591" spans="14:33" hidden="1">
      <c r="N5591" s="239"/>
      <c r="O5591" s="225"/>
      <c r="P5591" s="260"/>
      <c r="Q5591" s="328"/>
      <c r="R5591" s="260"/>
      <c r="S5591" s="260"/>
      <c r="T5591" s="260"/>
      <c r="U5591" s="260"/>
      <c r="V5591" s="260"/>
      <c r="W5591" s="260"/>
      <c r="X5591" s="259"/>
      <c r="Y5591" s="259"/>
      <c r="Z5591" s="260"/>
      <c r="AA5591" s="260"/>
      <c r="AB5591" s="260"/>
      <c r="AC5591" s="260"/>
      <c r="AD5591" s="259"/>
      <c r="AE5591" s="259"/>
      <c r="AF5591" s="260"/>
      <c r="AG5591" s="330"/>
    </row>
    <row r="5592" spans="14:33" hidden="1">
      <c r="N5592" s="239"/>
      <c r="O5592" s="225"/>
      <c r="P5592" s="260"/>
      <c r="Q5592" s="328"/>
      <c r="R5592" s="260"/>
      <c r="S5592" s="260"/>
      <c r="T5592" s="260"/>
      <c r="U5592" s="260"/>
      <c r="V5592" s="260"/>
      <c r="W5592" s="260"/>
      <c r="X5592" s="259"/>
      <c r="Y5592" s="259"/>
      <c r="Z5592" s="260"/>
      <c r="AA5592" s="260"/>
      <c r="AB5592" s="260"/>
      <c r="AC5592" s="260"/>
      <c r="AD5592" s="259"/>
      <c r="AE5592" s="259"/>
      <c r="AF5592" s="260"/>
      <c r="AG5592" s="330"/>
    </row>
    <row r="5593" spans="14:33" hidden="1">
      <c r="N5593" s="239"/>
      <c r="O5593" s="225"/>
      <c r="P5593" s="260"/>
      <c r="Q5593" s="328"/>
      <c r="R5593" s="260"/>
      <c r="S5593" s="260"/>
      <c r="T5593" s="260"/>
      <c r="U5593" s="260"/>
      <c r="V5593" s="260"/>
      <c r="W5593" s="260"/>
      <c r="X5593" s="259"/>
      <c r="Y5593" s="259"/>
      <c r="Z5593" s="260"/>
      <c r="AA5593" s="260"/>
      <c r="AB5593" s="260"/>
      <c r="AC5593" s="260"/>
      <c r="AD5593" s="259"/>
      <c r="AE5593" s="259"/>
      <c r="AF5593" s="260"/>
      <c r="AG5593" s="330"/>
    </row>
    <row r="5594" spans="14:33" hidden="1">
      <c r="N5594" s="239"/>
      <c r="O5594" s="225"/>
      <c r="P5594" s="260"/>
      <c r="Q5594" s="328"/>
      <c r="R5594" s="260"/>
      <c r="S5594" s="260"/>
      <c r="T5594" s="260"/>
      <c r="U5594" s="260"/>
      <c r="V5594" s="260"/>
      <c r="W5594" s="260"/>
      <c r="X5594" s="259"/>
      <c r="Y5594" s="259"/>
      <c r="Z5594" s="260"/>
      <c r="AA5594" s="260"/>
      <c r="AB5594" s="260"/>
      <c r="AC5594" s="260"/>
      <c r="AD5594" s="259"/>
      <c r="AE5594" s="259"/>
      <c r="AF5594" s="260"/>
      <c r="AG5594" s="330"/>
    </row>
    <row r="5595" spans="14:33" hidden="1">
      <c r="N5595" s="239"/>
      <c r="O5595" s="225"/>
      <c r="P5595" s="260"/>
      <c r="Q5595" s="328"/>
      <c r="R5595" s="260"/>
      <c r="S5595" s="260"/>
      <c r="T5595" s="260"/>
      <c r="U5595" s="260"/>
      <c r="V5595" s="260"/>
      <c r="W5595" s="260"/>
      <c r="X5595" s="259"/>
      <c r="Y5595" s="259"/>
      <c r="Z5595" s="260"/>
      <c r="AA5595" s="260"/>
      <c r="AB5595" s="260"/>
      <c r="AC5595" s="260"/>
      <c r="AD5595" s="259"/>
      <c r="AE5595" s="259"/>
      <c r="AF5595" s="260"/>
      <c r="AG5595" s="330"/>
    </row>
    <row r="5596" spans="14:33" hidden="1">
      <c r="N5596" s="239"/>
      <c r="O5596" s="225"/>
      <c r="P5596" s="260"/>
      <c r="Q5596" s="328"/>
      <c r="R5596" s="260"/>
      <c r="S5596" s="260"/>
      <c r="T5596" s="260"/>
      <c r="U5596" s="260"/>
      <c r="V5596" s="260"/>
      <c r="W5596" s="260"/>
      <c r="X5596" s="259"/>
      <c r="Y5596" s="259"/>
      <c r="Z5596" s="260"/>
      <c r="AA5596" s="260"/>
      <c r="AB5596" s="260"/>
      <c r="AC5596" s="260"/>
      <c r="AD5596" s="259"/>
      <c r="AE5596" s="259"/>
      <c r="AF5596" s="260"/>
      <c r="AG5596" s="330"/>
    </row>
    <row r="5597" spans="14:33" hidden="1">
      <c r="N5597" s="239"/>
      <c r="O5597" s="225"/>
      <c r="P5597" s="260"/>
      <c r="Q5597" s="328"/>
      <c r="R5597" s="260"/>
      <c r="S5597" s="260"/>
      <c r="T5597" s="260"/>
      <c r="U5597" s="260"/>
      <c r="V5597" s="260"/>
      <c r="W5597" s="260"/>
      <c r="X5597" s="259"/>
      <c r="Y5597" s="259"/>
      <c r="Z5597" s="260"/>
      <c r="AA5597" s="260"/>
      <c r="AB5597" s="260"/>
      <c r="AC5597" s="260"/>
      <c r="AD5597" s="259"/>
      <c r="AE5597" s="259"/>
      <c r="AF5597" s="260"/>
      <c r="AG5597" s="330"/>
    </row>
    <row r="5598" spans="14:33" hidden="1">
      <c r="N5598" s="239"/>
      <c r="O5598" s="225"/>
      <c r="P5598" s="260"/>
      <c r="Q5598" s="328"/>
      <c r="R5598" s="260"/>
      <c r="S5598" s="260"/>
      <c r="T5598" s="260"/>
      <c r="U5598" s="260"/>
      <c r="V5598" s="260"/>
      <c r="W5598" s="260"/>
      <c r="X5598" s="259"/>
      <c r="Y5598" s="259"/>
      <c r="Z5598" s="260"/>
      <c r="AA5598" s="260"/>
      <c r="AB5598" s="260"/>
      <c r="AC5598" s="260"/>
      <c r="AD5598" s="259"/>
      <c r="AE5598" s="259"/>
      <c r="AF5598" s="260"/>
      <c r="AG5598" s="330"/>
    </row>
    <row r="5599" spans="14:33" hidden="1">
      <c r="N5599" s="239"/>
      <c r="O5599" s="225"/>
      <c r="P5599" s="260"/>
      <c r="Q5599" s="328"/>
      <c r="R5599" s="260"/>
      <c r="S5599" s="260"/>
      <c r="T5599" s="260"/>
      <c r="U5599" s="260"/>
      <c r="V5599" s="260"/>
      <c r="W5599" s="260"/>
      <c r="X5599" s="259"/>
      <c r="Y5599" s="259"/>
      <c r="Z5599" s="260"/>
      <c r="AA5599" s="260"/>
      <c r="AB5599" s="260"/>
      <c r="AC5599" s="260"/>
      <c r="AD5599" s="259"/>
      <c r="AE5599" s="259"/>
      <c r="AF5599" s="260"/>
      <c r="AG5599" s="330"/>
    </row>
    <row r="5600" spans="14:33" hidden="1">
      <c r="N5600" s="239"/>
      <c r="O5600" s="225"/>
      <c r="P5600" s="260"/>
      <c r="Q5600" s="328"/>
      <c r="R5600" s="260"/>
      <c r="S5600" s="260"/>
      <c r="T5600" s="260"/>
      <c r="U5600" s="260"/>
      <c r="V5600" s="260"/>
      <c r="W5600" s="260"/>
      <c r="X5600" s="259"/>
      <c r="Y5600" s="259"/>
      <c r="Z5600" s="260"/>
      <c r="AA5600" s="260"/>
      <c r="AB5600" s="260"/>
      <c r="AC5600" s="260"/>
      <c r="AD5600" s="259"/>
      <c r="AE5600" s="259"/>
      <c r="AF5600" s="260"/>
      <c r="AG5600" s="330"/>
    </row>
    <row r="5601" spans="14:33" hidden="1">
      <c r="N5601" s="239"/>
      <c r="O5601" s="225"/>
      <c r="P5601" s="260"/>
      <c r="Q5601" s="328"/>
      <c r="R5601" s="260"/>
      <c r="S5601" s="260"/>
      <c r="T5601" s="260"/>
      <c r="U5601" s="260"/>
      <c r="V5601" s="260"/>
      <c r="W5601" s="260"/>
      <c r="X5601" s="259"/>
      <c r="Y5601" s="259"/>
      <c r="Z5601" s="260"/>
      <c r="AA5601" s="260"/>
      <c r="AB5601" s="260"/>
      <c r="AC5601" s="260"/>
      <c r="AD5601" s="259"/>
      <c r="AE5601" s="259"/>
      <c r="AF5601" s="260"/>
      <c r="AG5601" s="330"/>
    </row>
    <row r="5602" spans="14:33" hidden="1">
      <c r="N5602" s="239"/>
      <c r="O5602" s="225"/>
      <c r="P5602" s="260"/>
      <c r="Q5602" s="328"/>
      <c r="R5602" s="260"/>
      <c r="S5602" s="260"/>
      <c r="T5602" s="260"/>
      <c r="U5602" s="260"/>
      <c r="V5602" s="260"/>
      <c r="W5602" s="260"/>
      <c r="X5602" s="259"/>
      <c r="Y5602" s="259"/>
      <c r="Z5602" s="260"/>
      <c r="AA5602" s="260"/>
      <c r="AB5602" s="260"/>
      <c r="AC5602" s="260"/>
      <c r="AD5602" s="259"/>
      <c r="AE5602" s="259"/>
      <c r="AF5602" s="260"/>
      <c r="AG5602" s="330"/>
    </row>
    <row r="5603" spans="14:33" hidden="1">
      <c r="N5603" s="239"/>
      <c r="O5603" s="225"/>
      <c r="P5603" s="260"/>
      <c r="Q5603" s="328"/>
      <c r="R5603" s="260"/>
      <c r="S5603" s="260"/>
      <c r="T5603" s="260"/>
      <c r="U5603" s="260"/>
      <c r="V5603" s="260"/>
      <c r="W5603" s="260"/>
      <c r="X5603" s="259"/>
      <c r="Y5603" s="259"/>
      <c r="Z5603" s="260"/>
      <c r="AA5603" s="260"/>
      <c r="AB5603" s="260"/>
      <c r="AC5603" s="260"/>
      <c r="AD5603" s="259"/>
      <c r="AE5603" s="259"/>
      <c r="AF5603" s="260"/>
      <c r="AG5603" s="330"/>
    </row>
    <row r="5604" spans="14:33" hidden="1">
      <c r="N5604" s="239"/>
      <c r="O5604" s="225"/>
      <c r="P5604" s="260"/>
      <c r="Q5604" s="328"/>
      <c r="R5604" s="260"/>
      <c r="S5604" s="260"/>
      <c r="T5604" s="260"/>
      <c r="U5604" s="260"/>
      <c r="V5604" s="260"/>
      <c r="W5604" s="260"/>
      <c r="X5604" s="259"/>
      <c r="Y5604" s="259"/>
      <c r="Z5604" s="260"/>
      <c r="AA5604" s="260"/>
      <c r="AB5604" s="260"/>
      <c r="AC5604" s="260"/>
      <c r="AD5604" s="259"/>
      <c r="AE5604" s="259"/>
      <c r="AF5604" s="260"/>
      <c r="AG5604" s="330"/>
    </row>
    <row r="5605" spans="14:33" hidden="1">
      <c r="N5605" s="239"/>
      <c r="O5605" s="225"/>
      <c r="P5605" s="260"/>
      <c r="Q5605" s="328"/>
      <c r="R5605" s="260"/>
      <c r="S5605" s="260"/>
      <c r="T5605" s="260"/>
      <c r="U5605" s="260"/>
      <c r="V5605" s="260"/>
      <c r="W5605" s="260"/>
      <c r="X5605" s="259"/>
      <c r="Y5605" s="259"/>
      <c r="Z5605" s="260"/>
      <c r="AA5605" s="260"/>
      <c r="AB5605" s="260"/>
      <c r="AC5605" s="260"/>
      <c r="AD5605" s="259"/>
      <c r="AE5605" s="259"/>
      <c r="AF5605" s="260"/>
      <c r="AG5605" s="330"/>
    </row>
    <row r="5606" spans="14:33" hidden="1">
      <c r="N5606" s="239"/>
      <c r="O5606" s="225"/>
      <c r="P5606" s="260"/>
      <c r="Q5606" s="328"/>
      <c r="R5606" s="260"/>
      <c r="S5606" s="260"/>
      <c r="T5606" s="260"/>
      <c r="U5606" s="260"/>
      <c r="V5606" s="260"/>
      <c r="W5606" s="260"/>
      <c r="X5606" s="259"/>
      <c r="Y5606" s="259"/>
      <c r="Z5606" s="260"/>
      <c r="AA5606" s="260"/>
      <c r="AB5606" s="260"/>
      <c r="AC5606" s="260"/>
      <c r="AD5606" s="259"/>
      <c r="AE5606" s="259"/>
      <c r="AF5606" s="260"/>
      <c r="AG5606" s="330"/>
    </row>
    <row r="5607" spans="14:33" hidden="1">
      <c r="N5607" s="239"/>
      <c r="O5607" s="225"/>
      <c r="P5607" s="260"/>
      <c r="Q5607" s="328"/>
      <c r="R5607" s="260"/>
      <c r="S5607" s="260"/>
      <c r="T5607" s="260"/>
      <c r="U5607" s="260"/>
      <c r="V5607" s="260"/>
      <c r="W5607" s="260"/>
      <c r="X5607" s="259"/>
      <c r="Y5607" s="259"/>
      <c r="Z5607" s="260"/>
      <c r="AA5607" s="260"/>
      <c r="AB5607" s="260"/>
      <c r="AC5607" s="260"/>
      <c r="AD5607" s="259"/>
      <c r="AE5607" s="259"/>
      <c r="AF5607" s="260"/>
      <c r="AG5607" s="330"/>
    </row>
    <row r="5608" spans="14:33" hidden="1">
      <c r="N5608" s="239"/>
      <c r="O5608" s="225"/>
      <c r="P5608" s="260"/>
      <c r="Q5608" s="328"/>
      <c r="R5608" s="260"/>
      <c r="S5608" s="260"/>
      <c r="T5608" s="260"/>
      <c r="U5608" s="260"/>
      <c r="V5608" s="260"/>
      <c r="W5608" s="260"/>
      <c r="X5608" s="259"/>
      <c r="Y5608" s="259"/>
      <c r="Z5608" s="260"/>
      <c r="AA5608" s="260"/>
      <c r="AB5608" s="260"/>
      <c r="AC5608" s="260"/>
      <c r="AD5608" s="259"/>
      <c r="AE5608" s="259"/>
      <c r="AF5608" s="260"/>
      <c r="AG5608" s="330"/>
    </row>
    <row r="5609" spans="14:33" hidden="1">
      <c r="N5609" s="239"/>
      <c r="O5609" s="225"/>
      <c r="P5609" s="260"/>
      <c r="Q5609" s="328"/>
      <c r="R5609" s="260"/>
      <c r="S5609" s="260"/>
      <c r="T5609" s="260"/>
      <c r="U5609" s="260"/>
      <c r="V5609" s="260"/>
      <c r="W5609" s="260"/>
      <c r="X5609" s="259"/>
      <c r="Y5609" s="259"/>
      <c r="Z5609" s="260"/>
      <c r="AA5609" s="260"/>
      <c r="AB5609" s="260"/>
      <c r="AC5609" s="260"/>
      <c r="AD5609" s="259"/>
      <c r="AE5609" s="259"/>
      <c r="AF5609" s="260"/>
      <c r="AG5609" s="330"/>
    </row>
    <row r="5610" spans="14:33" hidden="1">
      <c r="N5610" s="239"/>
      <c r="O5610" s="225"/>
      <c r="P5610" s="260"/>
      <c r="Q5610" s="328"/>
      <c r="R5610" s="260"/>
      <c r="S5610" s="260"/>
      <c r="T5610" s="260"/>
      <c r="U5610" s="260"/>
      <c r="V5610" s="260"/>
      <c r="W5610" s="260"/>
      <c r="X5610" s="259"/>
      <c r="Y5610" s="259"/>
      <c r="Z5610" s="260"/>
      <c r="AA5610" s="260"/>
      <c r="AB5610" s="260"/>
      <c r="AC5610" s="260"/>
      <c r="AD5610" s="259"/>
      <c r="AE5610" s="259"/>
      <c r="AF5610" s="260"/>
      <c r="AG5610" s="330"/>
    </row>
    <row r="5611" spans="14:33" hidden="1">
      <c r="N5611" s="239"/>
      <c r="O5611" s="225"/>
      <c r="P5611" s="260"/>
      <c r="Q5611" s="328"/>
      <c r="R5611" s="260"/>
      <c r="S5611" s="260"/>
      <c r="T5611" s="260"/>
      <c r="U5611" s="260"/>
      <c r="V5611" s="260"/>
      <c r="W5611" s="260"/>
      <c r="X5611" s="259"/>
      <c r="Y5611" s="259"/>
      <c r="Z5611" s="260"/>
      <c r="AA5611" s="260"/>
      <c r="AB5611" s="260"/>
      <c r="AC5611" s="260"/>
      <c r="AD5611" s="259"/>
      <c r="AE5611" s="259"/>
      <c r="AF5611" s="260"/>
      <c r="AG5611" s="330"/>
    </row>
    <row r="5612" spans="14:33" hidden="1">
      <c r="N5612" s="239"/>
      <c r="O5612" s="225"/>
      <c r="P5612" s="260"/>
      <c r="Q5612" s="328"/>
      <c r="R5612" s="260"/>
      <c r="S5612" s="260"/>
      <c r="T5612" s="260"/>
      <c r="U5612" s="260"/>
      <c r="V5612" s="260"/>
      <c r="W5612" s="260"/>
      <c r="X5612" s="259"/>
      <c r="Y5612" s="259"/>
      <c r="Z5612" s="260"/>
      <c r="AA5612" s="260"/>
      <c r="AB5612" s="260"/>
      <c r="AC5612" s="260"/>
      <c r="AD5612" s="259"/>
      <c r="AE5612" s="259"/>
      <c r="AF5612" s="260"/>
      <c r="AG5612" s="330"/>
    </row>
    <row r="5613" spans="14:33" hidden="1">
      <c r="N5613" s="239"/>
      <c r="O5613" s="225"/>
      <c r="P5613" s="260"/>
      <c r="Q5613" s="328"/>
      <c r="R5613" s="260"/>
      <c r="S5613" s="260"/>
      <c r="T5613" s="260"/>
      <c r="U5613" s="260"/>
      <c r="V5613" s="260"/>
      <c r="W5613" s="260"/>
      <c r="X5613" s="259"/>
      <c r="Y5613" s="259"/>
      <c r="Z5613" s="260"/>
      <c r="AA5613" s="260"/>
      <c r="AB5613" s="260"/>
      <c r="AC5613" s="260"/>
      <c r="AD5613" s="259"/>
      <c r="AE5613" s="259"/>
      <c r="AF5613" s="260"/>
      <c r="AG5613" s="330"/>
    </row>
    <row r="5614" spans="14:33" hidden="1">
      <c r="N5614" s="239"/>
      <c r="O5614" s="225"/>
      <c r="P5614" s="260"/>
      <c r="Q5614" s="328"/>
      <c r="R5614" s="260"/>
      <c r="S5614" s="260"/>
      <c r="T5614" s="260"/>
      <c r="U5614" s="260"/>
      <c r="V5614" s="260"/>
      <c r="W5614" s="260"/>
      <c r="X5614" s="259"/>
      <c r="Y5614" s="259"/>
      <c r="Z5614" s="260"/>
      <c r="AA5614" s="260"/>
      <c r="AB5614" s="260"/>
      <c r="AC5614" s="260"/>
      <c r="AD5614" s="259"/>
      <c r="AE5614" s="259"/>
      <c r="AF5614" s="260"/>
      <c r="AG5614" s="330"/>
    </row>
    <row r="5615" spans="14:33" hidden="1">
      <c r="N5615" s="239"/>
      <c r="O5615" s="225"/>
      <c r="P5615" s="260"/>
      <c r="Q5615" s="328"/>
      <c r="R5615" s="260"/>
      <c r="S5615" s="260"/>
      <c r="T5615" s="260"/>
      <c r="U5615" s="260"/>
      <c r="V5615" s="260"/>
      <c r="W5615" s="260"/>
      <c r="X5615" s="259"/>
      <c r="Y5615" s="259"/>
      <c r="Z5615" s="260"/>
      <c r="AA5615" s="260"/>
      <c r="AB5615" s="260"/>
      <c r="AC5615" s="260"/>
      <c r="AD5615" s="259"/>
      <c r="AE5615" s="259"/>
      <c r="AF5615" s="260"/>
      <c r="AG5615" s="330"/>
    </row>
    <row r="5616" spans="14:33" hidden="1">
      <c r="N5616" s="239"/>
      <c r="O5616" s="225"/>
      <c r="P5616" s="260"/>
      <c r="Q5616" s="328"/>
      <c r="R5616" s="260"/>
      <c r="S5616" s="260"/>
      <c r="T5616" s="260"/>
      <c r="U5616" s="260"/>
      <c r="V5616" s="260"/>
      <c r="W5616" s="260"/>
      <c r="X5616" s="259"/>
      <c r="Y5616" s="259"/>
      <c r="Z5616" s="260"/>
      <c r="AA5616" s="260"/>
      <c r="AB5616" s="260"/>
      <c r="AC5616" s="260"/>
      <c r="AD5616" s="259"/>
      <c r="AE5616" s="259"/>
      <c r="AF5616" s="260"/>
      <c r="AG5616" s="330"/>
    </row>
    <row r="5617" spans="14:33" hidden="1">
      <c r="N5617" s="239"/>
      <c r="O5617" s="225"/>
      <c r="P5617" s="260"/>
      <c r="Q5617" s="328"/>
      <c r="R5617" s="260"/>
      <c r="S5617" s="260"/>
      <c r="T5617" s="260"/>
      <c r="U5617" s="260"/>
      <c r="V5617" s="260"/>
      <c r="W5617" s="260"/>
      <c r="X5617" s="259"/>
      <c r="Y5617" s="259"/>
      <c r="Z5617" s="260"/>
      <c r="AA5617" s="260"/>
      <c r="AB5617" s="260"/>
      <c r="AC5617" s="260"/>
      <c r="AD5617" s="259"/>
      <c r="AE5617" s="259"/>
      <c r="AF5617" s="260"/>
      <c r="AG5617" s="330"/>
    </row>
    <row r="5618" spans="14:33" hidden="1">
      <c r="N5618" s="239"/>
      <c r="O5618" s="225"/>
      <c r="P5618" s="260"/>
      <c r="Q5618" s="328"/>
      <c r="R5618" s="260"/>
      <c r="S5618" s="260"/>
      <c r="T5618" s="260"/>
      <c r="U5618" s="260"/>
      <c r="V5618" s="260"/>
      <c r="W5618" s="260"/>
      <c r="X5618" s="259"/>
      <c r="Y5618" s="259"/>
      <c r="Z5618" s="260"/>
      <c r="AA5618" s="260"/>
      <c r="AB5618" s="260"/>
      <c r="AC5618" s="260"/>
      <c r="AD5618" s="259"/>
      <c r="AE5618" s="259"/>
      <c r="AF5618" s="260"/>
      <c r="AG5618" s="330"/>
    </row>
    <row r="5619" spans="14:33" hidden="1">
      <c r="N5619" s="239"/>
      <c r="O5619" s="225"/>
      <c r="P5619" s="260"/>
      <c r="Q5619" s="328"/>
      <c r="R5619" s="260"/>
      <c r="S5619" s="260"/>
      <c r="T5619" s="260"/>
      <c r="U5619" s="260"/>
      <c r="V5619" s="260"/>
      <c r="W5619" s="260"/>
      <c r="X5619" s="259"/>
      <c r="Y5619" s="259"/>
      <c r="Z5619" s="260"/>
      <c r="AA5619" s="260"/>
      <c r="AB5619" s="260"/>
      <c r="AC5619" s="260"/>
      <c r="AD5619" s="259"/>
      <c r="AE5619" s="259"/>
      <c r="AF5619" s="260"/>
      <c r="AG5619" s="330"/>
    </row>
    <row r="5620" spans="14:33" hidden="1">
      <c r="N5620" s="239"/>
      <c r="O5620" s="225"/>
      <c r="P5620" s="260"/>
      <c r="Q5620" s="328"/>
      <c r="R5620" s="260"/>
      <c r="S5620" s="260"/>
      <c r="T5620" s="260"/>
      <c r="U5620" s="260"/>
      <c r="V5620" s="260"/>
      <c r="W5620" s="260"/>
      <c r="X5620" s="259"/>
      <c r="Y5620" s="259"/>
      <c r="Z5620" s="260"/>
      <c r="AA5620" s="260"/>
      <c r="AB5620" s="260"/>
      <c r="AC5620" s="260"/>
      <c r="AD5620" s="259"/>
      <c r="AE5620" s="259"/>
      <c r="AF5620" s="260"/>
      <c r="AG5620" s="330"/>
    </row>
    <row r="5621" spans="14:33" hidden="1">
      <c r="N5621" s="239"/>
      <c r="O5621" s="225"/>
      <c r="P5621" s="260"/>
      <c r="Q5621" s="328"/>
      <c r="R5621" s="260"/>
      <c r="S5621" s="260"/>
      <c r="T5621" s="260"/>
      <c r="U5621" s="260"/>
      <c r="V5621" s="260"/>
      <c r="W5621" s="260"/>
      <c r="X5621" s="259"/>
      <c r="Y5621" s="259"/>
      <c r="Z5621" s="260"/>
      <c r="AA5621" s="260"/>
      <c r="AB5621" s="260"/>
      <c r="AC5621" s="260"/>
      <c r="AD5621" s="259"/>
      <c r="AE5621" s="259"/>
      <c r="AF5621" s="260"/>
      <c r="AG5621" s="330"/>
    </row>
    <row r="5622" spans="14:33" hidden="1">
      <c r="N5622" s="239"/>
      <c r="O5622" s="225"/>
      <c r="P5622" s="260"/>
      <c r="Q5622" s="328"/>
      <c r="R5622" s="260"/>
      <c r="S5622" s="260"/>
      <c r="T5622" s="260"/>
      <c r="U5622" s="260"/>
      <c r="V5622" s="260"/>
      <c r="W5622" s="260"/>
      <c r="X5622" s="259"/>
      <c r="Y5622" s="259"/>
      <c r="Z5622" s="260"/>
      <c r="AA5622" s="260"/>
      <c r="AB5622" s="260"/>
      <c r="AC5622" s="260"/>
      <c r="AD5622" s="259"/>
      <c r="AE5622" s="259"/>
      <c r="AF5622" s="260"/>
      <c r="AG5622" s="330"/>
    </row>
    <row r="5623" spans="14:33" hidden="1">
      <c r="N5623" s="239"/>
      <c r="O5623" s="225"/>
      <c r="P5623" s="260"/>
      <c r="Q5623" s="328"/>
      <c r="R5623" s="260"/>
      <c r="S5623" s="260"/>
      <c r="T5623" s="260"/>
      <c r="U5623" s="260"/>
      <c r="V5623" s="260"/>
      <c r="W5623" s="260"/>
      <c r="X5623" s="259"/>
      <c r="Y5623" s="259"/>
      <c r="Z5623" s="260"/>
      <c r="AA5623" s="260"/>
      <c r="AB5623" s="260"/>
      <c r="AC5623" s="260"/>
      <c r="AD5623" s="259"/>
      <c r="AE5623" s="259"/>
      <c r="AF5623" s="260"/>
      <c r="AG5623" s="330"/>
    </row>
    <row r="5624" spans="14:33" hidden="1">
      <c r="N5624" s="239"/>
      <c r="O5624" s="225"/>
      <c r="P5624" s="260"/>
      <c r="Q5624" s="328"/>
      <c r="R5624" s="260"/>
      <c r="S5624" s="260"/>
      <c r="T5624" s="260"/>
      <c r="U5624" s="260"/>
      <c r="V5624" s="260"/>
      <c r="W5624" s="260"/>
      <c r="X5624" s="259"/>
      <c r="Y5624" s="259"/>
      <c r="Z5624" s="260"/>
      <c r="AA5624" s="260"/>
      <c r="AB5624" s="260"/>
      <c r="AC5624" s="260"/>
      <c r="AD5624" s="259"/>
      <c r="AE5624" s="259"/>
      <c r="AF5624" s="260"/>
      <c r="AG5624" s="330"/>
    </row>
    <row r="5625" spans="14:33" hidden="1">
      <c r="N5625" s="239"/>
      <c r="O5625" s="225"/>
      <c r="P5625" s="260"/>
      <c r="Q5625" s="328"/>
      <c r="R5625" s="260"/>
      <c r="S5625" s="260"/>
      <c r="T5625" s="260"/>
      <c r="U5625" s="260"/>
      <c r="V5625" s="260"/>
      <c r="W5625" s="260"/>
      <c r="X5625" s="259"/>
      <c r="Y5625" s="259"/>
      <c r="Z5625" s="260"/>
      <c r="AA5625" s="260"/>
      <c r="AB5625" s="260"/>
      <c r="AC5625" s="260"/>
      <c r="AD5625" s="259"/>
      <c r="AE5625" s="259"/>
      <c r="AF5625" s="260"/>
      <c r="AG5625" s="330"/>
    </row>
    <row r="5626" spans="14:33" hidden="1">
      <c r="N5626" s="239"/>
      <c r="O5626" s="225"/>
      <c r="P5626" s="260"/>
      <c r="Q5626" s="328"/>
      <c r="R5626" s="260"/>
      <c r="S5626" s="260"/>
      <c r="T5626" s="260"/>
      <c r="U5626" s="260"/>
      <c r="V5626" s="260"/>
      <c r="W5626" s="260"/>
      <c r="X5626" s="259"/>
      <c r="Y5626" s="259"/>
      <c r="Z5626" s="260"/>
      <c r="AA5626" s="260"/>
      <c r="AB5626" s="260"/>
      <c r="AC5626" s="260"/>
      <c r="AD5626" s="259"/>
      <c r="AE5626" s="259"/>
      <c r="AF5626" s="260"/>
      <c r="AG5626" s="330"/>
    </row>
    <row r="5627" spans="14:33" hidden="1">
      <c r="N5627" s="239"/>
      <c r="O5627" s="225"/>
      <c r="P5627" s="260"/>
      <c r="Q5627" s="328"/>
      <c r="R5627" s="260"/>
      <c r="S5627" s="260"/>
      <c r="T5627" s="260"/>
      <c r="U5627" s="260"/>
      <c r="V5627" s="260"/>
      <c r="W5627" s="260"/>
      <c r="X5627" s="259"/>
      <c r="Y5627" s="259"/>
      <c r="Z5627" s="260"/>
      <c r="AA5627" s="260"/>
      <c r="AB5627" s="260"/>
      <c r="AC5627" s="260"/>
      <c r="AD5627" s="259"/>
      <c r="AE5627" s="259"/>
      <c r="AF5627" s="260"/>
      <c r="AG5627" s="330"/>
    </row>
    <row r="5628" spans="14:33" hidden="1">
      <c r="N5628" s="239"/>
      <c r="O5628" s="225"/>
      <c r="P5628" s="260"/>
      <c r="Q5628" s="328"/>
      <c r="R5628" s="260"/>
      <c r="S5628" s="260"/>
      <c r="T5628" s="260"/>
      <c r="U5628" s="260"/>
      <c r="V5628" s="260"/>
      <c r="W5628" s="260"/>
      <c r="X5628" s="259"/>
      <c r="Y5628" s="259"/>
      <c r="Z5628" s="260"/>
      <c r="AA5628" s="260"/>
      <c r="AB5628" s="260"/>
      <c r="AC5628" s="260"/>
      <c r="AD5628" s="259"/>
      <c r="AE5628" s="259"/>
      <c r="AF5628" s="260"/>
      <c r="AG5628" s="330"/>
    </row>
    <row r="5629" spans="14:33" hidden="1">
      <c r="N5629" s="239"/>
      <c r="O5629" s="225"/>
      <c r="P5629" s="260"/>
      <c r="Q5629" s="328"/>
      <c r="R5629" s="260"/>
      <c r="S5629" s="260"/>
      <c r="T5629" s="260"/>
      <c r="U5629" s="260"/>
      <c r="V5629" s="260"/>
      <c r="W5629" s="260"/>
      <c r="X5629" s="259"/>
      <c r="Y5629" s="259"/>
      <c r="Z5629" s="260"/>
      <c r="AA5629" s="260"/>
      <c r="AB5629" s="260"/>
      <c r="AC5629" s="260"/>
      <c r="AD5629" s="259"/>
      <c r="AE5629" s="259"/>
      <c r="AF5629" s="260"/>
      <c r="AG5629" s="330"/>
    </row>
    <row r="5630" spans="14:33" hidden="1">
      <c r="N5630" s="239"/>
      <c r="O5630" s="225"/>
      <c r="P5630" s="260"/>
      <c r="Q5630" s="328"/>
      <c r="R5630" s="260"/>
      <c r="S5630" s="260"/>
      <c r="T5630" s="260"/>
      <c r="U5630" s="260"/>
      <c r="V5630" s="260"/>
      <c r="W5630" s="260"/>
      <c r="X5630" s="259"/>
      <c r="Y5630" s="259"/>
      <c r="Z5630" s="260"/>
      <c r="AA5630" s="260"/>
      <c r="AB5630" s="260"/>
      <c r="AC5630" s="260"/>
      <c r="AD5630" s="259"/>
      <c r="AE5630" s="259"/>
      <c r="AF5630" s="260"/>
      <c r="AG5630" s="330"/>
    </row>
    <row r="5631" spans="14:33" hidden="1">
      <c r="N5631" s="239"/>
      <c r="O5631" s="225"/>
      <c r="P5631" s="260"/>
      <c r="Q5631" s="328"/>
      <c r="R5631" s="260"/>
      <c r="S5631" s="260"/>
      <c r="T5631" s="260"/>
      <c r="U5631" s="260"/>
      <c r="V5631" s="260"/>
      <c r="W5631" s="260"/>
      <c r="X5631" s="259"/>
      <c r="Y5631" s="259"/>
      <c r="Z5631" s="260"/>
      <c r="AA5631" s="260"/>
      <c r="AB5631" s="260"/>
      <c r="AC5631" s="260"/>
      <c r="AD5631" s="259"/>
      <c r="AE5631" s="259"/>
      <c r="AF5631" s="260"/>
      <c r="AG5631" s="330"/>
    </row>
    <row r="5632" spans="14:33" hidden="1">
      <c r="N5632" s="239"/>
      <c r="O5632" s="225"/>
      <c r="P5632" s="260"/>
      <c r="Q5632" s="328"/>
      <c r="R5632" s="260"/>
      <c r="S5632" s="260"/>
      <c r="T5632" s="260"/>
      <c r="U5632" s="260"/>
      <c r="V5632" s="260"/>
      <c r="W5632" s="260"/>
      <c r="X5632" s="259"/>
      <c r="Y5632" s="259"/>
      <c r="Z5632" s="260"/>
      <c r="AA5632" s="260"/>
      <c r="AB5632" s="260"/>
      <c r="AC5632" s="260"/>
      <c r="AD5632" s="259"/>
      <c r="AE5632" s="259"/>
      <c r="AF5632" s="260"/>
      <c r="AG5632" s="330"/>
    </row>
    <row r="5633" spans="14:33" hidden="1">
      <c r="N5633" s="239"/>
      <c r="O5633" s="225"/>
      <c r="P5633" s="260"/>
      <c r="Q5633" s="328"/>
      <c r="R5633" s="260"/>
      <c r="S5633" s="260"/>
      <c r="T5633" s="260"/>
      <c r="U5633" s="260"/>
      <c r="V5633" s="260"/>
      <c r="W5633" s="260"/>
      <c r="X5633" s="259"/>
      <c r="Y5633" s="259"/>
      <c r="Z5633" s="260"/>
      <c r="AA5633" s="260"/>
      <c r="AB5633" s="260"/>
      <c r="AC5633" s="260"/>
      <c r="AD5633" s="259"/>
      <c r="AE5633" s="259"/>
      <c r="AF5633" s="260"/>
      <c r="AG5633" s="330"/>
    </row>
    <row r="5634" spans="14:33" hidden="1">
      <c r="N5634" s="239"/>
      <c r="O5634" s="225"/>
      <c r="P5634" s="260"/>
      <c r="Q5634" s="328"/>
      <c r="R5634" s="260"/>
      <c r="S5634" s="260"/>
      <c r="T5634" s="260"/>
      <c r="U5634" s="260"/>
      <c r="V5634" s="260"/>
      <c r="W5634" s="260"/>
      <c r="X5634" s="259"/>
      <c r="Y5634" s="259"/>
      <c r="Z5634" s="260"/>
      <c r="AA5634" s="260"/>
      <c r="AB5634" s="260"/>
      <c r="AC5634" s="260"/>
      <c r="AD5634" s="259"/>
      <c r="AE5634" s="259"/>
      <c r="AF5634" s="260"/>
      <c r="AG5634" s="330"/>
    </row>
    <row r="5635" spans="14:33" hidden="1">
      <c r="N5635" s="239"/>
      <c r="O5635" s="225"/>
      <c r="P5635" s="260"/>
      <c r="Q5635" s="328"/>
      <c r="R5635" s="260"/>
      <c r="S5635" s="260"/>
      <c r="T5635" s="260"/>
      <c r="U5635" s="260"/>
      <c r="V5635" s="260"/>
      <c r="W5635" s="260"/>
      <c r="X5635" s="259"/>
      <c r="Y5635" s="259"/>
      <c r="Z5635" s="260"/>
      <c r="AA5635" s="260"/>
      <c r="AB5635" s="260"/>
      <c r="AC5635" s="260"/>
      <c r="AD5635" s="259"/>
      <c r="AE5635" s="259"/>
      <c r="AF5635" s="260"/>
      <c r="AG5635" s="330"/>
    </row>
    <row r="5636" spans="14:33" hidden="1">
      <c r="N5636" s="239"/>
      <c r="O5636" s="225"/>
      <c r="P5636" s="260"/>
      <c r="Q5636" s="328"/>
      <c r="R5636" s="260"/>
      <c r="S5636" s="260"/>
      <c r="T5636" s="260"/>
      <c r="U5636" s="260"/>
      <c r="V5636" s="260"/>
      <c r="W5636" s="260"/>
      <c r="X5636" s="259"/>
      <c r="Y5636" s="259"/>
      <c r="Z5636" s="260"/>
      <c r="AA5636" s="260"/>
      <c r="AB5636" s="260"/>
      <c r="AC5636" s="260"/>
      <c r="AD5636" s="259"/>
      <c r="AE5636" s="259"/>
      <c r="AF5636" s="260"/>
      <c r="AG5636" s="330"/>
    </row>
    <row r="5637" spans="14:33" hidden="1">
      <c r="N5637" s="239"/>
      <c r="O5637" s="225"/>
      <c r="P5637" s="260"/>
      <c r="Q5637" s="328"/>
      <c r="R5637" s="260"/>
      <c r="S5637" s="260"/>
      <c r="T5637" s="260"/>
      <c r="U5637" s="260"/>
      <c r="V5637" s="260"/>
      <c r="W5637" s="260"/>
      <c r="X5637" s="259"/>
      <c r="Y5637" s="259"/>
      <c r="Z5637" s="260"/>
      <c r="AA5637" s="260"/>
      <c r="AB5637" s="260"/>
      <c r="AC5637" s="260"/>
      <c r="AD5637" s="259"/>
      <c r="AE5637" s="259"/>
      <c r="AF5637" s="260"/>
      <c r="AG5637" s="330"/>
    </row>
    <row r="5638" spans="14:33" hidden="1">
      <c r="N5638" s="239"/>
      <c r="O5638" s="225"/>
      <c r="P5638" s="260"/>
      <c r="Q5638" s="328"/>
      <c r="R5638" s="260"/>
      <c r="S5638" s="260"/>
      <c r="T5638" s="260"/>
      <c r="U5638" s="260"/>
      <c r="V5638" s="260"/>
      <c r="W5638" s="260"/>
      <c r="X5638" s="259"/>
      <c r="Y5638" s="259"/>
      <c r="Z5638" s="260"/>
      <c r="AA5638" s="260"/>
      <c r="AB5638" s="260"/>
      <c r="AC5638" s="260"/>
      <c r="AD5638" s="259"/>
      <c r="AE5638" s="259"/>
      <c r="AF5638" s="260"/>
      <c r="AG5638" s="330"/>
    </row>
    <row r="5639" spans="14:33" hidden="1">
      <c r="N5639" s="239"/>
      <c r="O5639" s="225"/>
      <c r="P5639" s="260"/>
      <c r="Q5639" s="328"/>
      <c r="R5639" s="260"/>
      <c r="S5639" s="260"/>
      <c r="T5639" s="260"/>
      <c r="U5639" s="260"/>
      <c r="V5639" s="260"/>
      <c r="W5639" s="260"/>
      <c r="X5639" s="259"/>
      <c r="Y5639" s="259"/>
      <c r="Z5639" s="260"/>
      <c r="AA5639" s="260"/>
      <c r="AB5639" s="260"/>
      <c r="AC5639" s="260"/>
      <c r="AD5639" s="259"/>
      <c r="AE5639" s="259"/>
      <c r="AF5639" s="260"/>
      <c r="AG5639" s="330"/>
    </row>
    <row r="5640" spans="14:33" hidden="1">
      <c r="N5640" s="239"/>
      <c r="O5640" s="225"/>
      <c r="P5640" s="260"/>
      <c r="Q5640" s="328"/>
      <c r="R5640" s="260"/>
      <c r="S5640" s="260"/>
      <c r="T5640" s="260"/>
      <c r="U5640" s="260"/>
      <c r="V5640" s="260"/>
      <c r="W5640" s="260"/>
      <c r="X5640" s="259"/>
      <c r="Y5640" s="259"/>
      <c r="Z5640" s="260"/>
      <c r="AA5640" s="260"/>
      <c r="AB5640" s="260"/>
      <c r="AC5640" s="260"/>
      <c r="AD5640" s="259"/>
      <c r="AE5640" s="259"/>
      <c r="AF5640" s="260"/>
      <c r="AG5640" s="330"/>
    </row>
    <row r="5641" spans="14:33" hidden="1">
      <c r="N5641" s="239"/>
      <c r="O5641" s="225"/>
      <c r="P5641" s="260"/>
      <c r="Q5641" s="328"/>
      <c r="R5641" s="260"/>
      <c r="S5641" s="260"/>
      <c r="T5641" s="260"/>
      <c r="U5641" s="260"/>
      <c r="V5641" s="260"/>
      <c r="W5641" s="260"/>
      <c r="X5641" s="259"/>
      <c r="Y5641" s="259"/>
      <c r="Z5641" s="260"/>
      <c r="AA5641" s="260"/>
      <c r="AB5641" s="260"/>
      <c r="AC5641" s="260"/>
      <c r="AD5641" s="259"/>
      <c r="AE5641" s="259"/>
      <c r="AF5641" s="260"/>
      <c r="AG5641" s="330"/>
    </row>
    <row r="5642" spans="14:33" hidden="1">
      <c r="N5642" s="239"/>
      <c r="O5642" s="225"/>
      <c r="P5642" s="260"/>
      <c r="Q5642" s="328"/>
      <c r="R5642" s="260"/>
      <c r="S5642" s="260"/>
      <c r="T5642" s="260"/>
      <c r="U5642" s="260"/>
      <c r="V5642" s="260"/>
      <c r="W5642" s="260"/>
      <c r="X5642" s="259"/>
      <c r="Y5642" s="259"/>
      <c r="Z5642" s="260"/>
      <c r="AA5642" s="260"/>
      <c r="AB5642" s="260"/>
      <c r="AC5642" s="260"/>
      <c r="AD5642" s="259"/>
      <c r="AE5642" s="259"/>
      <c r="AF5642" s="260"/>
      <c r="AG5642" s="330"/>
    </row>
    <row r="5643" spans="14:33" hidden="1">
      <c r="N5643" s="239"/>
      <c r="O5643" s="225"/>
      <c r="P5643" s="260"/>
      <c r="Q5643" s="328"/>
      <c r="R5643" s="260"/>
      <c r="S5643" s="260"/>
      <c r="T5643" s="260"/>
      <c r="U5643" s="260"/>
      <c r="V5643" s="260"/>
      <c r="W5643" s="260"/>
      <c r="X5643" s="259"/>
      <c r="Y5643" s="259"/>
      <c r="Z5643" s="260"/>
      <c r="AA5643" s="260"/>
      <c r="AB5643" s="260"/>
      <c r="AC5643" s="260"/>
      <c r="AD5643" s="259"/>
      <c r="AE5643" s="259"/>
      <c r="AF5643" s="260"/>
      <c r="AG5643" s="330"/>
    </row>
    <row r="5644" spans="14:33" hidden="1">
      <c r="N5644" s="239"/>
      <c r="O5644" s="225"/>
      <c r="P5644" s="260"/>
      <c r="Q5644" s="328"/>
      <c r="R5644" s="260"/>
      <c r="S5644" s="260"/>
      <c r="T5644" s="260"/>
      <c r="U5644" s="260"/>
      <c r="V5644" s="260"/>
      <c r="W5644" s="260"/>
      <c r="X5644" s="259"/>
      <c r="Y5644" s="259"/>
      <c r="Z5644" s="260"/>
      <c r="AA5644" s="260"/>
      <c r="AB5644" s="260"/>
      <c r="AC5644" s="260"/>
      <c r="AD5644" s="259"/>
      <c r="AE5644" s="259"/>
      <c r="AF5644" s="260"/>
      <c r="AG5644" s="330"/>
    </row>
    <row r="5645" spans="14:33" hidden="1">
      <c r="N5645" s="239"/>
      <c r="O5645" s="225"/>
      <c r="P5645" s="260"/>
      <c r="Q5645" s="328"/>
      <c r="R5645" s="260"/>
      <c r="S5645" s="260"/>
      <c r="T5645" s="260"/>
      <c r="U5645" s="260"/>
      <c r="V5645" s="260"/>
      <c r="W5645" s="260"/>
      <c r="X5645" s="259"/>
      <c r="Y5645" s="259"/>
      <c r="Z5645" s="260"/>
      <c r="AA5645" s="260"/>
      <c r="AB5645" s="260"/>
      <c r="AC5645" s="260"/>
      <c r="AD5645" s="259"/>
      <c r="AE5645" s="259"/>
      <c r="AF5645" s="260"/>
      <c r="AG5645" s="330"/>
    </row>
    <row r="5646" spans="14:33" hidden="1">
      <c r="N5646" s="239"/>
      <c r="O5646" s="225"/>
      <c r="P5646" s="260"/>
      <c r="Q5646" s="328"/>
      <c r="R5646" s="260"/>
      <c r="S5646" s="260"/>
      <c r="T5646" s="260"/>
      <c r="U5646" s="260"/>
      <c r="V5646" s="260"/>
      <c r="W5646" s="260"/>
      <c r="X5646" s="259"/>
      <c r="Y5646" s="259"/>
      <c r="Z5646" s="260"/>
      <c r="AA5646" s="260"/>
      <c r="AB5646" s="260"/>
      <c r="AC5646" s="260"/>
      <c r="AD5646" s="259"/>
      <c r="AE5646" s="259"/>
      <c r="AF5646" s="260"/>
      <c r="AG5646" s="330"/>
    </row>
    <row r="5647" spans="14:33" hidden="1">
      <c r="N5647" s="239"/>
      <c r="O5647" s="225"/>
      <c r="P5647" s="260"/>
      <c r="Q5647" s="328"/>
      <c r="R5647" s="260"/>
      <c r="S5647" s="260"/>
      <c r="T5647" s="260"/>
      <c r="U5647" s="260"/>
      <c r="V5647" s="260"/>
      <c r="W5647" s="260"/>
      <c r="X5647" s="259"/>
      <c r="Y5647" s="259"/>
      <c r="Z5647" s="260"/>
      <c r="AA5647" s="260"/>
      <c r="AB5647" s="260"/>
      <c r="AC5647" s="260"/>
      <c r="AD5647" s="259"/>
      <c r="AE5647" s="259"/>
      <c r="AF5647" s="260"/>
      <c r="AG5647" s="330"/>
    </row>
    <row r="5648" spans="14:33" hidden="1">
      <c r="N5648" s="239"/>
      <c r="O5648" s="225"/>
      <c r="P5648" s="260"/>
      <c r="Q5648" s="328"/>
      <c r="R5648" s="260"/>
      <c r="S5648" s="260"/>
      <c r="T5648" s="260"/>
      <c r="U5648" s="260"/>
      <c r="V5648" s="260"/>
      <c r="W5648" s="260"/>
      <c r="X5648" s="259"/>
      <c r="Y5648" s="259"/>
      <c r="Z5648" s="260"/>
      <c r="AA5648" s="260"/>
      <c r="AB5648" s="260"/>
      <c r="AC5648" s="260"/>
      <c r="AD5648" s="259"/>
      <c r="AE5648" s="259"/>
      <c r="AF5648" s="260"/>
      <c r="AG5648" s="330"/>
    </row>
    <row r="5649" spans="14:33" hidden="1">
      <c r="N5649" s="239"/>
      <c r="O5649" s="225"/>
      <c r="P5649" s="260"/>
      <c r="Q5649" s="328"/>
      <c r="R5649" s="260"/>
      <c r="S5649" s="260"/>
      <c r="T5649" s="260"/>
      <c r="U5649" s="260"/>
      <c r="V5649" s="260"/>
      <c r="W5649" s="260"/>
      <c r="X5649" s="259"/>
      <c r="Y5649" s="259"/>
      <c r="Z5649" s="260"/>
      <c r="AA5649" s="260"/>
      <c r="AB5649" s="260"/>
      <c r="AC5649" s="260"/>
      <c r="AD5649" s="259"/>
      <c r="AE5649" s="259"/>
      <c r="AF5649" s="260"/>
      <c r="AG5649" s="330"/>
    </row>
    <row r="5650" spans="14:33" hidden="1">
      <c r="N5650" s="239"/>
      <c r="O5650" s="225"/>
      <c r="P5650" s="260"/>
      <c r="Q5650" s="328"/>
      <c r="R5650" s="260"/>
      <c r="S5650" s="260"/>
      <c r="T5650" s="260"/>
      <c r="U5650" s="260"/>
      <c r="V5650" s="260"/>
      <c r="W5650" s="260"/>
      <c r="X5650" s="259"/>
      <c r="Y5650" s="259"/>
      <c r="Z5650" s="260"/>
      <c r="AA5650" s="260"/>
      <c r="AB5650" s="260"/>
      <c r="AC5650" s="260"/>
      <c r="AD5650" s="259"/>
      <c r="AE5650" s="259"/>
      <c r="AF5650" s="260"/>
      <c r="AG5650" s="330"/>
    </row>
    <row r="5651" spans="14:33" hidden="1">
      <c r="N5651" s="239"/>
      <c r="O5651" s="225"/>
      <c r="P5651" s="260"/>
      <c r="Q5651" s="328"/>
      <c r="R5651" s="260"/>
      <c r="S5651" s="260"/>
      <c r="T5651" s="260"/>
      <c r="U5651" s="260"/>
      <c r="V5651" s="260"/>
      <c r="W5651" s="260"/>
      <c r="X5651" s="259"/>
      <c r="Y5651" s="259"/>
      <c r="Z5651" s="260"/>
      <c r="AA5651" s="260"/>
      <c r="AB5651" s="260"/>
      <c r="AC5651" s="260"/>
      <c r="AD5651" s="259"/>
      <c r="AE5651" s="259"/>
      <c r="AF5651" s="260"/>
      <c r="AG5651" s="330"/>
    </row>
    <row r="5652" spans="14:33" hidden="1">
      <c r="N5652" s="239"/>
      <c r="O5652" s="225"/>
      <c r="P5652" s="260"/>
      <c r="Q5652" s="328"/>
      <c r="R5652" s="260"/>
      <c r="S5652" s="260"/>
      <c r="T5652" s="260"/>
      <c r="U5652" s="260"/>
      <c r="V5652" s="260"/>
      <c r="W5652" s="260"/>
      <c r="X5652" s="259"/>
      <c r="Y5652" s="259"/>
      <c r="Z5652" s="260"/>
      <c r="AA5652" s="260"/>
      <c r="AB5652" s="260"/>
      <c r="AC5652" s="260"/>
      <c r="AD5652" s="259"/>
      <c r="AE5652" s="259"/>
      <c r="AF5652" s="260"/>
      <c r="AG5652" s="330"/>
    </row>
    <row r="5653" spans="14:33" hidden="1">
      <c r="N5653" s="239"/>
      <c r="O5653" s="225"/>
      <c r="P5653" s="260"/>
      <c r="Q5653" s="328"/>
      <c r="R5653" s="260"/>
      <c r="S5653" s="260"/>
      <c r="T5653" s="260"/>
      <c r="U5653" s="260"/>
      <c r="V5653" s="260"/>
      <c r="W5653" s="260"/>
      <c r="X5653" s="259"/>
      <c r="Y5653" s="259"/>
      <c r="Z5653" s="260"/>
      <c r="AA5653" s="260"/>
      <c r="AB5653" s="260"/>
      <c r="AC5653" s="260"/>
      <c r="AD5653" s="259"/>
      <c r="AE5653" s="259"/>
      <c r="AF5653" s="260"/>
      <c r="AG5653" s="330"/>
    </row>
    <row r="5654" spans="14:33" hidden="1">
      <c r="N5654" s="239"/>
      <c r="O5654" s="225"/>
      <c r="P5654" s="260"/>
      <c r="Q5654" s="328"/>
      <c r="R5654" s="260"/>
      <c r="S5654" s="260"/>
      <c r="T5654" s="260"/>
      <c r="U5654" s="260"/>
      <c r="V5654" s="260"/>
      <c r="W5654" s="260"/>
      <c r="X5654" s="259"/>
      <c r="Y5654" s="259"/>
      <c r="Z5654" s="260"/>
      <c r="AA5654" s="260"/>
      <c r="AB5654" s="260"/>
      <c r="AC5654" s="260"/>
      <c r="AD5654" s="259"/>
      <c r="AE5654" s="259"/>
      <c r="AF5654" s="260"/>
      <c r="AG5654" s="330"/>
    </row>
    <row r="5655" spans="14:33" hidden="1">
      <c r="N5655" s="239"/>
      <c r="O5655" s="225"/>
      <c r="P5655" s="260"/>
      <c r="Q5655" s="328"/>
      <c r="R5655" s="260"/>
      <c r="S5655" s="260"/>
      <c r="T5655" s="260"/>
      <c r="U5655" s="260"/>
      <c r="V5655" s="260"/>
      <c r="W5655" s="260"/>
      <c r="X5655" s="259"/>
      <c r="Y5655" s="259"/>
      <c r="Z5655" s="260"/>
      <c r="AA5655" s="260"/>
      <c r="AB5655" s="260"/>
      <c r="AC5655" s="260"/>
      <c r="AD5655" s="259"/>
      <c r="AE5655" s="259"/>
      <c r="AF5655" s="260"/>
      <c r="AG5655" s="330"/>
    </row>
    <row r="5656" spans="14:33" hidden="1">
      <c r="N5656" s="239"/>
      <c r="O5656" s="225"/>
      <c r="P5656" s="260"/>
      <c r="Q5656" s="328"/>
      <c r="R5656" s="260"/>
      <c r="S5656" s="260"/>
      <c r="T5656" s="260"/>
      <c r="U5656" s="260"/>
      <c r="V5656" s="260"/>
      <c r="W5656" s="260"/>
      <c r="X5656" s="259"/>
      <c r="Y5656" s="259"/>
      <c r="Z5656" s="260"/>
      <c r="AA5656" s="260"/>
      <c r="AB5656" s="260"/>
      <c r="AC5656" s="260"/>
      <c r="AD5656" s="259"/>
      <c r="AE5656" s="259"/>
      <c r="AF5656" s="260"/>
      <c r="AG5656" s="330"/>
    </row>
    <row r="5657" spans="14:33" hidden="1">
      <c r="N5657" s="239"/>
      <c r="O5657" s="225"/>
      <c r="P5657" s="260"/>
      <c r="Q5657" s="328"/>
      <c r="R5657" s="260"/>
      <c r="S5657" s="260"/>
      <c r="T5657" s="260"/>
      <c r="U5657" s="260"/>
      <c r="V5657" s="260"/>
      <c r="W5657" s="260"/>
      <c r="X5657" s="259"/>
      <c r="Y5657" s="259"/>
      <c r="Z5657" s="260"/>
      <c r="AA5657" s="260"/>
      <c r="AB5657" s="260"/>
      <c r="AC5657" s="260"/>
      <c r="AD5657" s="259"/>
      <c r="AE5657" s="259"/>
      <c r="AF5657" s="260"/>
      <c r="AG5657" s="330"/>
    </row>
    <row r="5658" spans="14:33" hidden="1">
      <c r="N5658" s="239"/>
      <c r="O5658" s="225"/>
      <c r="P5658" s="260"/>
      <c r="Q5658" s="328"/>
      <c r="R5658" s="260"/>
      <c r="S5658" s="260"/>
      <c r="T5658" s="260"/>
      <c r="U5658" s="260"/>
      <c r="V5658" s="260"/>
      <c r="W5658" s="260"/>
      <c r="X5658" s="259"/>
      <c r="Y5658" s="259"/>
      <c r="Z5658" s="260"/>
      <c r="AA5658" s="260"/>
      <c r="AB5658" s="260"/>
      <c r="AC5658" s="260"/>
      <c r="AD5658" s="259"/>
      <c r="AE5658" s="259"/>
      <c r="AF5658" s="260"/>
      <c r="AG5658" s="330"/>
    </row>
    <row r="5659" spans="14:33" hidden="1">
      <c r="N5659" s="239"/>
      <c r="O5659" s="225"/>
      <c r="P5659" s="260"/>
      <c r="Q5659" s="328"/>
      <c r="R5659" s="260"/>
      <c r="S5659" s="260"/>
      <c r="T5659" s="260"/>
      <c r="U5659" s="260"/>
      <c r="V5659" s="260"/>
      <c r="W5659" s="260"/>
      <c r="X5659" s="259"/>
      <c r="Y5659" s="259"/>
      <c r="Z5659" s="260"/>
      <c r="AA5659" s="260"/>
      <c r="AB5659" s="260"/>
      <c r="AC5659" s="260"/>
      <c r="AD5659" s="259"/>
      <c r="AE5659" s="259"/>
      <c r="AF5659" s="260"/>
      <c r="AG5659" s="330"/>
    </row>
    <row r="5660" spans="14:33" hidden="1">
      <c r="N5660" s="239"/>
      <c r="O5660" s="225"/>
      <c r="P5660" s="260"/>
      <c r="Q5660" s="328"/>
      <c r="R5660" s="260"/>
      <c r="S5660" s="260"/>
      <c r="T5660" s="260"/>
      <c r="U5660" s="260"/>
      <c r="V5660" s="260"/>
      <c r="W5660" s="260"/>
      <c r="X5660" s="259"/>
      <c r="Y5660" s="259"/>
      <c r="Z5660" s="260"/>
      <c r="AA5660" s="260"/>
      <c r="AB5660" s="260"/>
      <c r="AC5660" s="260"/>
      <c r="AD5660" s="259"/>
      <c r="AE5660" s="259"/>
      <c r="AF5660" s="260"/>
      <c r="AG5660" s="330"/>
    </row>
    <row r="5661" spans="14:33" hidden="1">
      <c r="N5661" s="239"/>
      <c r="O5661" s="225"/>
      <c r="P5661" s="260"/>
      <c r="Q5661" s="328"/>
      <c r="R5661" s="260"/>
      <c r="S5661" s="260"/>
      <c r="T5661" s="260"/>
      <c r="U5661" s="260"/>
      <c r="V5661" s="260"/>
      <c r="W5661" s="260"/>
      <c r="X5661" s="259"/>
      <c r="Y5661" s="259"/>
      <c r="Z5661" s="260"/>
      <c r="AA5661" s="260"/>
      <c r="AB5661" s="260"/>
      <c r="AC5661" s="260"/>
      <c r="AD5661" s="259"/>
      <c r="AE5661" s="259"/>
      <c r="AF5661" s="260"/>
      <c r="AG5661" s="330"/>
    </row>
    <row r="5662" spans="14:33" hidden="1">
      <c r="N5662" s="239"/>
      <c r="O5662" s="225"/>
      <c r="P5662" s="260"/>
      <c r="Q5662" s="328"/>
      <c r="R5662" s="260"/>
      <c r="S5662" s="260"/>
      <c r="T5662" s="260"/>
      <c r="U5662" s="260"/>
      <c r="V5662" s="260"/>
      <c r="W5662" s="260"/>
      <c r="X5662" s="259"/>
      <c r="Y5662" s="259"/>
      <c r="Z5662" s="260"/>
      <c r="AA5662" s="260"/>
      <c r="AB5662" s="260"/>
      <c r="AC5662" s="260"/>
      <c r="AD5662" s="259"/>
      <c r="AE5662" s="259"/>
      <c r="AF5662" s="260"/>
      <c r="AG5662" s="330"/>
    </row>
    <row r="5663" spans="14:33" hidden="1">
      <c r="N5663" s="239"/>
      <c r="O5663" s="225"/>
      <c r="P5663" s="260"/>
      <c r="Q5663" s="328"/>
      <c r="R5663" s="260"/>
      <c r="S5663" s="260"/>
      <c r="T5663" s="260"/>
      <c r="U5663" s="260"/>
      <c r="V5663" s="260"/>
      <c r="W5663" s="260"/>
      <c r="X5663" s="259"/>
      <c r="Y5663" s="259"/>
      <c r="Z5663" s="260"/>
      <c r="AA5663" s="260"/>
      <c r="AB5663" s="260"/>
      <c r="AC5663" s="260"/>
      <c r="AD5663" s="259"/>
      <c r="AE5663" s="259"/>
      <c r="AF5663" s="260"/>
      <c r="AG5663" s="330"/>
    </row>
    <row r="5664" spans="14:33" hidden="1">
      <c r="N5664" s="239"/>
      <c r="O5664" s="225"/>
      <c r="P5664" s="260"/>
      <c r="Q5664" s="328"/>
      <c r="R5664" s="260"/>
      <c r="S5664" s="260"/>
      <c r="T5664" s="260"/>
      <c r="U5664" s="260"/>
      <c r="V5664" s="260"/>
      <c r="W5664" s="260"/>
      <c r="X5664" s="259"/>
      <c r="Y5664" s="259"/>
      <c r="Z5664" s="260"/>
      <c r="AA5664" s="260"/>
      <c r="AB5664" s="260"/>
      <c r="AC5664" s="260"/>
      <c r="AD5664" s="259"/>
      <c r="AE5664" s="259"/>
      <c r="AF5664" s="260"/>
      <c r="AG5664" s="330"/>
    </row>
    <row r="5665" spans="14:33" hidden="1">
      <c r="N5665" s="239"/>
      <c r="O5665" s="225"/>
      <c r="P5665" s="260"/>
      <c r="Q5665" s="328"/>
      <c r="R5665" s="260"/>
      <c r="S5665" s="260"/>
      <c r="T5665" s="260"/>
      <c r="U5665" s="260"/>
      <c r="V5665" s="260"/>
      <c r="W5665" s="260"/>
      <c r="X5665" s="259"/>
      <c r="Y5665" s="259"/>
      <c r="Z5665" s="260"/>
      <c r="AA5665" s="260"/>
      <c r="AB5665" s="260"/>
      <c r="AC5665" s="260"/>
      <c r="AD5665" s="259"/>
      <c r="AE5665" s="259"/>
      <c r="AF5665" s="260"/>
      <c r="AG5665" s="330"/>
    </row>
    <row r="5666" spans="14:33" hidden="1">
      <c r="N5666" s="239"/>
      <c r="O5666" s="225"/>
      <c r="P5666" s="260"/>
      <c r="Q5666" s="328"/>
      <c r="R5666" s="260"/>
      <c r="S5666" s="260"/>
      <c r="T5666" s="260"/>
      <c r="U5666" s="260"/>
      <c r="V5666" s="260"/>
      <c r="W5666" s="260"/>
      <c r="X5666" s="259"/>
      <c r="Y5666" s="259"/>
      <c r="Z5666" s="260"/>
      <c r="AA5666" s="260"/>
      <c r="AB5666" s="260"/>
      <c r="AC5666" s="260"/>
      <c r="AD5666" s="259"/>
      <c r="AE5666" s="259"/>
      <c r="AF5666" s="260"/>
      <c r="AG5666" s="330"/>
    </row>
    <row r="5667" spans="14:33" hidden="1">
      <c r="N5667" s="239"/>
      <c r="O5667" s="225"/>
      <c r="P5667" s="260"/>
      <c r="Q5667" s="328"/>
      <c r="R5667" s="260"/>
      <c r="S5667" s="260"/>
      <c r="T5667" s="260"/>
      <c r="U5667" s="260"/>
      <c r="V5667" s="260"/>
      <c r="W5667" s="260"/>
      <c r="X5667" s="259"/>
      <c r="Y5667" s="259"/>
      <c r="Z5667" s="260"/>
      <c r="AA5667" s="260"/>
      <c r="AB5667" s="260"/>
      <c r="AC5667" s="260"/>
      <c r="AD5667" s="259"/>
      <c r="AE5667" s="259"/>
      <c r="AF5667" s="260"/>
      <c r="AG5667" s="330"/>
    </row>
    <row r="5668" spans="14:33" hidden="1">
      <c r="N5668" s="239"/>
      <c r="O5668" s="225"/>
      <c r="P5668" s="260"/>
      <c r="Q5668" s="328"/>
      <c r="R5668" s="260"/>
      <c r="S5668" s="260"/>
      <c r="T5668" s="260"/>
      <c r="U5668" s="260"/>
      <c r="V5668" s="260"/>
      <c r="W5668" s="260"/>
      <c r="X5668" s="259"/>
      <c r="Y5668" s="259"/>
      <c r="Z5668" s="260"/>
      <c r="AA5668" s="260"/>
      <c r="AB5668" s="260"/>
      <c r="AC5668" s="260"/>
      <c r="AD5668" s="259"/>
      <c r="AE5668" s="259"/>
      <c r="AF5668" s="260"/>
      <c r="AG5668" s="330"/>
    </row>
    <row r="5669" spans="14:33" hidden="1">
      <c r="N5669" s="239"/>
      <c r="O5669" s="225"/>
      <c r="P5669" s="260"/>
      <c r="Q5669" s="328"/>
      <c r="R5669" s="260"/>
      <c r="S5669" s="260"/>
      <c r="T5669" s="260"/>
      <c r="U5669" s="260"/>
      <c r="V5669" s="260"/>
      <c r="W5669" s="260"/>
      <c r="X5669" s="259"/>
      <c r="Y5669" s="259"/>
      <c r="Z5669" s="260"/>
      <c r="AA5669" s="260"/>
      <c r="AB5669" s="260"/>
      <c r="AC5669" s="260"/>
      <c r="AD5669" s="259"/>
      <c r="AE5669" s="259"/>
      <c r="AF5669" s="260"/>
      <c r="AG5669" s="330"/>
    </row>
    <row r="5670" spans="14:33" hidden="1">
      <c r="N5670" s="239"/>
      <c r="O5670" s="225"/>
      <c r="P5670" s="260"/>
      <c r="Q5670" s="328"/>
      <c r="R5670" s="260"/>
      <c r="S5670" s="260"/>
      <c r="T5670" s="260"/>
      <c r="U5670" s="260"/>
      <c r="V5670" s="260"/>
      <c r="W5670" s="260"/>
      <c r="X5670" s="259"/>
      <c r="Y5670" s="259"/>
      <c r="Z5670" s="260"/>
      <c r="AA5670" s="260"/>
      <c r="AB5670" s="260"/>
      <c r="AC5670" s="260"/>
      <c r="AD5670" s="259"/>
      <c r="AE5670" s="259"/>
      <c r="AF5670" s="260"/>
      <c r="AG5670" s="330"/>
    </row>
    <row r="5671" spans="14:33" hidden="1">
      <c r="N5671" s="239"/>
      <c r="O5671" s="225"/>
      <c r="P5671" s="260"/>
      <c r="Q5671" s="328"/>
      <c r="R5671" s="260"/>
      <c r="S5671" s="260"/>
      <c r="T5671" s="260"/>
      <c r="U5671" s="260"/>
      <c r="V5671" s="260"/>
      <c r="W5671" s="260"/>
      <c r="X5671" s="259"/>
      <c r="Y5671" s="259"/>
      <c r="Z5671" s="260"/>
      <c r="AA5671" s="260"/>
      <c r="AB5671" s="260"/>
      <c r="AC5671" s="260"/>
      <c r="AD5671" s="259"/>
      <c r="AE5671" s="259"/>
      <c r="AF5671" s="260"/>
      <c r="AG5671" s="330"/>
    </row>
    <row r="5672" spans="14:33" hidden="1">
      <c r="N5672" s="239"/>
      <c r="O5672" s="225"/>
      <c r="P5672" s="260"/>
      <c r="Q5672" s="328"/>
      <c r="R5672" s="260"/>
      <c r="S5672" s="260"/>
      <c r="T5672" s="260"/>
      <c r="U5672" s="260"/>
      <c r="V5672" s="260"/>
      <c r="W5672" s="260"/>
      <c r="X5672" s="259"/>
      <c r="Y5672" s="259"/>
      <c r="Z5672" s="260"/>
      <c r="AA5672" s="260"/>
      <c r="AB5672" s="260"/>
      <c r="AC5672" s="260"/>
      <c r="AD5672" s="259"/>
      <c r="AE5672" s="259"/>
      <c r="AF5672" s="260"/>
      <c r="AG5672" s="330"/>
    </row>
    <row r="5673" spans="14:33" hidden="1">
      <c r="N5673" s="239"/>
      <c r="O5673" s="225"/>
      <c r="P5673" s="260"/>
      <c r="Q5673" s="328"/>
      <c r="R5673" s="260"/>
      <c r="S5673" s="260"/>
      <c r="T5673" s="260"/>
      <c r="U5673" s="260"/>
      <c r="V5673" s="260"/>
      <c r="W5673" s="260"/>
      <c r="X5673" s="259"/>
      <c r="Y5673" s="259"/>
      <c r="Z5673" s="260"/>
      <c r="AA5673" s="260"/>
      <c r="AB5673" s="260"/>
      <c r="AC5673" s="260"/>
      <c r="AD5673" s="259"/>
      <c r="AE5673" s="259"/>
      <c r="AF5673" s="260"/>
      <c r="AG5673" s="330"/>
    </row>
    <row r="5674" spans="14:33" hidden="1">
      <c r="N5674" s="239"/>
      <c r="O5674" s="225"/>
      <c r="P5674" s="260"/>
      <c r="Q5674" s="328"/>
      <c r="R5674" s="260"/>
      <c r="S5674" s="260"/>
      <c r="T5674" s="260"/>
      <c r="U5674" s="260"/>
      <c r="V5674" s="260"/>
      <c r="W5674" s="260"/>
      <c r="X5674" s="259"/>
      <c r="Y5674" s="259"/>
      <c r="Z5674" s="260"/>
      <c r="AA5674" s="260"/>
      <c r="AB5674" s="260"/>
      <c r="AC5674" s="260"/>
      <c r="AD5674" s="259"/>
      <c r="AE5674" s="259"/>
      <c r="AF5674" s="260"/>
      <c r="AG5674" s="330"/>
    </row>
    <row r="5675" spans="14:33" hidden="1">
      <c r="N5675" s="239"/>
      <c r="O5675" s="225"/>
      <c r="P5675" s="260"/>
      <c r="Q5675" s="328"/>
      <c r="R5675" s="260"/>
      <c r="S5675" s="260"/>
      <c r="T5675" s="260"/>
      <c r="U5675" s="260"/>
      <c r="V5675" s="260"/>
      <c r="W5675" s="260"/>
      <c r="X5675" s="259"/>
      <c r="Y5675" s="259"/>
      <c r="Z5675" s="260"/>
      <c r="AA5675" s="260"/>
      <c r="AB5675" s="260"/>
      <c r="AC5675" s="260"/>
      <c r="AD5675" s="259"/>
      <c r="AE5675" s="259"/>
      <c r="AF5675" s="260"/>
      <c r="AG5675" s="330"/>
    </row>
    <row r="5676" spans="14:33" hidden="1">
      <c r="N5676" s="239"/>
      <c r="O5676" s="225"/>
      <c r="P5676" s="260"/>
      <c r="Q5676" s="328"/>
      <c r="R5676" s="260"/>
      <c r="S5676" s="260"/>
      <c r="T5676" s="260"/>
      <c r="U5676" s="260"/>
      <c r="V5676" s="260"/>
      <c r="W5676" s="260"/>
      <c r="X5676" s="259"/>
      <c r="Y5676" s="259"/>
      <c r="Z5676" s="260"/>
      <c r="AA5676" s="260"/>
      <c r="AB5676" s="260"/>
      <c r="AC5676" s="260"/>
      <c r="AD5676" s="259"/>
      <c r="AE5676" s="259"/>
      <c r="AF5676" s="260"/>
      <c r="AG5676" s="330"/>
    </row>
    <row r="5677" spans="14:33" hidden="1">
      <c r="N5677" s="239"/>
      <c r="O5677" s="225"/>
      <c r="P5677" s="260"/>
      <c r="Q5677" s="328"/>
      <c r="R5677" s="260"/>
      <c r="S5677" s="260"/>
      <c r="T5677" s="260"/>
      <c r="U5677" s="260"/>
      <c r="V5677" s="260"/>
      <c r="W5677" s="260"/>
      <c r="X5677" s="259"/>
      <c r="Y5677" s="259"/>
      <c r="Z5677" s="260"/>
      <c r="AA5677" s="260"/>
      <c r="AB5677" s="260"/>
      <c r="AC5677" s="260"/>
      <c r="AD5677" s="259"/>
      <c r="AE5677" s="259"/>
      <c r="AF5677" s="260"/>
      <c r="AG5677" s="330"/>
    </row>
    <row r="5678" spans="14:33" hidden="1">
      <c r="N5678" s="239"/>
      <c r="O5678" s="225"/>
      <c r="P5678" s="260"/>
      <c r="Q5678" s="328"/>
      <c r="R5678" s="260"/>
      <c r="S5678" s="260"/>
      <c r="T5678" s="260"/>
      <c r="U5678" s="260"/>
      <c r="V5678" s="260"/>
      <c r="W5678" s="260"/>
      <c r="X5678" s="259"/>
      <c r="Y5678" s="259"/>
      <c r="Z5678" s="260"/>
      <c r="AA5678" s="260"/>
      <c r="AB5678" s="260"/>
      <c r="AC5678" s="260"/>
      <c r="AD5678" s="259"/>
      <c r="AE5678" s="259"/>
      <c r="AF5678" s="260"/>
      <c r="AG5678" s="330"/>
    </row>
    <row r="5679" spans="14:33" hidden="1">
      <c r="N5679" s="239"/>
      <c r="O5679" s="225"/>
      <c r="P5679" s="260"/>
      <c r="Q5679" s="328"/>
      <c r="R5679" s="260"/>
      <c r="S5679" s="260"/>
      <c r="T5679" s="260"/>
      <c r="U5679" s="260"/>
      <c r="V5679" s="260"/>
      <c r="W5679" s="260"/>
      <c r="X5679" s="259"/>
      <c r="Y5679" s="259"/>
      <c r="Z5679" s="260"/>
      <c r="AA5679" s="260"/>
      <c r="AB5679" s="260"/>
      <c r="AC5679" s="260"/>
      <c r="AD5679" s="259"/>
      <c r="AE5679" s="259"/>
      <c r="AF5679" s="260"/>
      <c r="AG5679" s="330"/>
    </row>
    <row r="5680" spans="14:33" hidden="1">
      <c r="N5680" s="239"/>
      <c r="O5680" s="225"/>
      <c r="P5680" s="260"/>
      <c r="Q5680" s="328"/>
      <c r="R5680" s="260"/>
      <c r="S5680" s="260"/>
      <c r="T5680" s="260"/>
      <c r="U5680" s="260"/>
      <c r="V5680" s="260"/>
      <c r="W5680" s="260"/>
      <c r="X5680" s="259"/>
      <c r="Y5680" s="259"/>
      <c r="Z5680" s="260"/>
      <c r="AA5680" s="260"/>
      <c r="AB5680" s="260"/>
      <c r="AC5680" s="260"/>
      <c r="AD5680" s="259"/>
      <c r="AE5680" s="259"/>
      <c r="AF5680" s="260"/>
      <c r="AG5680" s="330"/>
    </row>
    <row r="5681" spans="14:33" hidden="1">
      <c r="N5681" s="239"/>
      <c r="O5681" s="225"/>
      <c r="P5681" s="260"/>
      <c r="Q5681" s="328"/>
      <c r="R5681" s="260"/>
      <c r="S5681" s="260"/>
      <c r="T5681" s="260"/>
      <c r="U5681" s="260"/>
      <c r="V5681" s="260"/>
      <c r="W5681" s="260"/>
      <c r="X5681" s="259"/>
      <c r="Y5681" s="259"/>
      <c r="Z5681" s="260"/>
      <c r="AA5681" s="260"/>
      <c r="AB5681" s="260"/>
      <c r="AC5681" s="260"/>
      <c r="AD5681" s="259"/>
      <c r="AE5681" s="259"/>
      <c r="AF5681" s="260"/>
      <c r="AG5681" s="330"/>
    </row>
    <row r="5682" spans="14:33" hidden="1">
      <c r="N5682" s="239"/>
      <c r="O5682" s="225"/>
      <c r="P5682" s="260"/>
      <c r="Q5682" s="328"/>
      <c r="R5682" s="260"/>
      <c r="S5682" s="260"/>
      <c r="T5682" s="260"/>
      <c r="U5682" s="260"/>
      <c r="V5682" s="260"/>
      <c r="W5682" s="260"/>
      <c r="X5682" s="259"/>
      <c r="Y5682" s="259"/>
      <c r="Z5682" s="260"/>
      <c r="AA5682" s="260"/>
      <c r="AB5682" s="260"/>
      <c r="AC5682" s="260"/>
      <c r="AD5682" s="259"/>
      <c r="AE5682" s="259"/>
      <c r="AF5682" s="260"/>
      <c r="AG5682" s="330"/>
    </row>
    <row r="5683" spans="14:33" hidden="1">
      <c r="N5683" s="239"/>
      <c r="O5683" s="225"/>
      <c r="P5683" s="260"/>
      <c r="Q5683" s="328"/>
      <c r="R5683" s="260"/>
      <c r="S5683" s="260"/>
      <c r="T5683" s="260"/>
      <c r="U5683" s="260"/>
      <c r="V5683" s="260"/>
      <c r="W5683" s="260"/>
      <c r="X5683" s="259"/>
      <c r="Y5683" s="259"/>
      <c r="Z5683" s="260"/>
      <c r="AA5683" s="260"/>
      <c r="AB5683" s="260"/>
      <c r="AC5683" s="260"/>
      <c r="AD5683" s="259"/>
      <c r="AE5683" s="259"/>
      <c r="AF5683" s="260"/>
      <c r="AG5683" s="330"/>
    </row>
    <row r="5684" spans="14:33" hidden="1">
      <c r="N5684" s="239"/>
      <c r="O5684" s="225"/>
      <c r="P5684" s="260"/>
      <c r="Q5684" s="328"/>
      <c r="R5684" s="260"/>
      <c r="S5684" s="260"/>
      <c r="T5684" s="260"/>
      <c r="U5684" s="260"/>
      <c r="V5684" s="260"/>
      <c r="W5684" s="260"/>
      <c r="X5684" s="259"/>
      <c r="Y5684" s="259"/>
      <c r="Z5684" s="260"/>
      <c r="AA5684" s="260"/>
      <c r="AB5684" s="260"/>
      <c r="AC5684" s="260"/>
      <c r="AD5684" s="259"/>
      <c r="AE5684" s="259"/>
      <c r="AF5684" s="260"/>
      <c r="AG5684" s="330"/>
    </row>
    <row r="5685" spans="14:33" hidden="1">
      <c r="N5685" s="239"/>
      <c r="O5685" s="225"/>
      <c r="P5685" s="260"/>
      <c r="Q5685" s="328"/>
      <c r="R5685" s="260"/>
      <c r="S5685" s="260"/>
      <c r="T5685" s="260"/>
      <c r="U5685" s="260"/>
      <c r="V5685" s="260"/>
      <c r="W5685" s="260"/>
      <c r="X5685" s="259"/>
      <c r="Y5685" s="259"/>
      <c r="Z5685" s="260"/>
      <c r="AA5685" s="260"/>
      <c r="AB5685" s="260"/>
      <c r="AC5685" s="260"/>
      <c r="AD5685" s="259"/>
      <c r="AE5685" s="259"/>
      <c r="AF5685" s="260"/>
      <c r="AG5685" s="330"/>
    </row>
    <row r="5686" spans="14:33" hidden="1">
      <c r="N5686" s="239"/>
      <c r="O5686" s="225"/>
      <c r="P5686" s="260"/>
      <c r="Q5686" s="328"/>
      <c r="R5686" s="260"/>
      <c r="S5686" s="260"/>
      <c r="T5686" s="260"/>
      <c r="U5686" s="260"/>
      <c r="V5686" s="260"/>
      <c r="W5686" s="260"/>
      <c r="X5686" s="259"/>
      <c r="Y5686" s="259"/>
      <c r="Z5686" s="260"/>
      <c r="AA5686" s="260"/>
      <c r="AB5686" s="260"/>
      <c r="AC5686" s="260"/>
      <c r="AD5686" s="259"/>
      <c r="AE5686" s="259"/>
      <c r="AF5686" s="260"/>
      <c r="AG5686" s="330"/>
    </row>
    <row r="5687" spans="14:33" hidden="1">
      <c r="N5687" s="239"/>
      <c r="O5687" s="225"/>
      <c r="P5687" s="260"/>
      <c r="Q5687" s="328"/>
      <c r="R5687" s="260"/>
      <c r="S5687" s="260"/>
      <c r="T5687" s="260"/>
      <c r="U5687" s="260"/>
      <c r="V5687" s="260"/>
      <c r="W5687" s="260"/>
      <c r="X5687" s="259"/>
      <c r="Y5687" s="259"/>
      <c r="Z5687" s="260"/>
      <c r="AA5687" s="260"/>
      <c r="AB5687" s="260"/>
      <c r="AC5687" s="260"/>
      <c r="AD5687" s="259"/>
      <c r="AE5687" s="259"/>
      <c r="AF5687" s="260"/>
      <c r="AG5687" s="330"/>
    </row>
    <row r="5688" spans="14:33" hidden="1">
      <c r="N5688" s="239"/>
      <c r="O5688" s="225"/>
      <c r="P5688" s="260"/>
      <c r="Q5688" s="328"/>
      <c r="R5688" s="260"/>
      <c r="S5688" s="260"/>
      <c r="T5688" s="260"/>
      <c r="U5688" s="260"/>
      <c r="V5688" s="260"/>
      <c r="W5688" s="260"/>
      <c r="X5688" s="259"/>
      <c r="Y5688" s="259"/>
      <c r="Z5688" s="260"/>
      <c r="AA5688" s="260"/>
      <c r="AB5688" s="260"/>
      <c r="AC5688" s="260"/>
      <c r="AD5688" s="259"/>
      <c r="AE5688" s="259"/>
      <c r="AF5688" s="260"/>
      <c r="AG5688" s="330"/>
    </row>
    <row r="5689" spans="14:33" hidden="1">
      <c r="N5689" s="239"/>
      <c r="O5689" s="225"/>
      <c r="P5689" s="260"/>
      <c r="Q5689" s="328"/>
      <c r="R5689" s="260"/>
      <c r="S5689" s="260"/>
      <c r="T5689" s="260"/>
      <c r="U5689" s="260"/>
      <c r="V5689" s="260"/>
      <c r="W5689" s="260"/>
      <c r="X5689" s="259"/>
      <c r="Y5689" s="259"/>
      <c r="Z5689" s="260"/>
      <c r="AA5689" s="260"/>
      <c r="AB5689" s="260"/>
      <c r="AC5689" s="260"/>
      <c r="AD5689" s="259"/>
      <c r="AE5689" s="259"/>
      <c r="AF5689" s="260"/>
      <c r="AG5689" s="330"/>
    </row>
    <row r="5690" spans="14:33" hidden="1">
      <c r="N5690" s="239"/>
      <c r="O5690" s="225"/>
      <c r="P5690" s="260"/>
      <c r="Q5690" s="328"/>
      <c r="R5690" s="260"/>
      <c r="S5690" s="260"/>
      <c r="T5690" s="260"/>
      <c r="U5690" s="260"/>
      <c r="V5690" s="260"/>
      <c r="W5690" s="260"/>
      <c r="X5690" s="259"/>
      <c r="Y5690" s="259"/>
      <c r="Z5690" s="260"/>
      <c r="AA5690" s="260"/>
      <c r="AB5690" s="260"/>
      <c r="AC5690" s="260"/>
      <c r="AD5690" s="259"/>
      <c r="AE5690" s="259"/>
      <c r="AF5690" s="260"/>
      <c r="AG5690" s="330"/>
    </row>
    <row r="5691" spans="14:33" hidden="1">
      <c r="N5691" s="239"/>
      <c r="O5691" s="225"/>
      <c r="P5691" s="260"/>
      <c r="Q5691" s="328"/>
      <c r="R5691" s="260"/>
      <c r="S5691" s="260"/>
      <c r="T5691" s="260"/>
      <c r="U5691" s="260"/>
      <c r="V5691" s="260"/>
      <c r="W5691" s="260"/>
      <c r="X5691" s="259"/>
      <c r="Y5691" s="259"/>
      <c r="Z5691" s="260"/>
      <c r="AA5691" s="260"/>
      <c r="AB5691" s="260"/>
      <c r="AC5691" s="260"/>
      <c r="AD5691" s="259"/>
      <c r="AE5691" s="259"/>
      <c r="AF5691" s="260"/>
      <c r="AG5691" s="330"/>
    </row>
    <row r="5692" spans="14:33" hidden="1">
      <c r="N5692" s="239"/>
      <c r="O5692" s="225"/>
      <c r="P5692" s="260"/>
      <c r="Q5692" s="328"/>
      <c r="R5692" s="260"/>
      <c r="S5692" s="260"/>
      <c r="T5692" s="260"/>
      <c r="U5692" s="260"/>
      <c r="V5692" s="260"/>
      <c r="W5692" s="260"/>
      <c r="X5692" s="259"/>
      <c r="Y5692" s="259"/>
      <c r="Z5692" s="260"/>
      <c r="AA5692" s="260"/>
      <c r="AB5692" s="260"/>
      <c r="AC5692" s="260"/>
      <c r="AD5692" s="259"/>
      <c r="AE5692" s="259"/>
      <c r="AF5692" s="260"/>
      <c r="AG5692" s="330"/>
    </row>
    <row r="5693" spans="14:33" hidden="1">
      <c r="N5693" s="239"/>
      <c r="O5693" s="225"/>
      <c r="P5693" s="260"/>
      <c r="Q5693" s="328"/>
      <c r="R5693" s="260"/>
      <c r="S5693" s="260"/>
      <c r="T5693" s="260"/>
      <c r="U5693" s="260"/>
      <c r="V5693" s="260"/>
      <c r="W5693" s="260"/>
      <c r="X5693" s="259"/>
      <c r="Y5693" s="259"/>
      <c r="Z5693" s="260"/>
      <c r="AA5693" s="260"/>
      <c r="AB5693" s="260"/>
      <c r="AC5693" s="260"/>
      <c r="AD5693" s="259"/>
      <c r="AE5693" s="259"/>
      <c r="AF5693" s="260"/>
      <c r="AG5693" s="330"/>
    </row>
    <row r="5694" spans="14:33" hidden="1">
      <c r="N5694" s="239"/>
      <c r="O5694" s="225"/>
      <c r="P5694" s="260"/>
      <c r="Q5694" s="328"/>
      <c r="R5694" s="260"/>
      <c r="S5694" s="260"/>
      <c r="T5694" s="260"/>
      <c r="U5694" s="260"/>
      <c r="V5694" s="260"/>
      <c r="W5694" s="260"/>
      <c r="X5694" s="259"/>
      <c r="Y5694" s="259"/>
      <c r="Z5694" s="260"/>
      <c r="AA5694" s="260"/>
      <c r="AB5694" s="260"/>
      <c r="AC5694" s="260"/>
      <c r="AD5694" s="259"/>
      <c r="AE5694" s="259"/>
      <c r="AF5694" s="260"/>
      <c r="AG5694" s="330"/>
    </row>
    <row r="5695" spans="14:33" hidden="1">
      <c r="N5695" s="239"/>
      <c r="O5695" s="225"/>
      <c r="P5695" s="260"/>
      <c r="Q5695" s="328"/>
      <c r="R5695" s="260"/>
      <c r="S5695" s="260"/>
      <c r="T5695" s="260"/>
      <c r="U5695" s="260"/>
      <c r="V5695" s="260"/>
      <c r="W5695" s="260"/>
      <c r="X5695" s="259"/>
      <c r="Y5695" s="259"/>
      <c r="Z5695" s="260"/>
      <c r="AA5695" s="260"/>
      <c r="AB5695" s="260"/>
      <c r="AC5695" s="260"/>
      <c r="AD5695" s="259"/>
      <c r="AE5695" s="259"/>
      <c r="AF5695" s="260"/>
      <c r="AG5695" s="330"/>
    </row>
    <row r="5696" spans="14:33" hidden="1">
      <c r="N5696" s="239"/>
      <c r="O5696" s="225"/>
      <c r="P5696" s="260"/>
      <c r="Q5696" s="328"/>
      <c r="R5696" s="260"/>
      <c r="S5696" s="260"/>
      <c r="T5696" s="260"/>
      <c r="U5696" s="260"/>
      <c r="V5696" s="260"/>
      <c r="W5696" s="260"/>
      <c r="X5696" s="259"/>
      <c r="Y5696" s="259"/>
      <c r="Z5696" s="260"/>
      <c r="AA5696" s="260"/>
      <c r="AB5696" s="260"/>
      <c r="AC5696" s="260"/>
      <c r="AD5696" s="259"/>
      <c r="AE5696" s="259"/>
      <c r="AF5696" s="260"/>
      <c r="AG5696" s="330"/>
    </row>
    <row r="5697" spans="14:33" hidden="1">
      <c r="N5697" s="239"/>
      <c r="O5697" s="225"/>
      <c r="P5697" s="260"/>
      <c r="Q5697" s="328"/>
      <c r="R5697" s="260"/>
      <c r="S5697" s="260"/>
      <c r="T5697" s="260"/>
      <c r="U5697" s="260"/>
      <c r="V5697" s="260"/>
      <c r="W5697" s="260"/>
      <c r="X5697" s="259"/>
      <c r="Y5697" s="259"/>
      <c r="Z5697" s="260"/>
      <c r="AA5697" s="260"/>
      <c r="AB5697" s="260"/>
      <c r="AC5697" s="260"/>
      <c r="AD5697" s="259"/>
      <c r="AE5697" s="259"/>
      <c r="AF5697" s="260"/>
      <c r="AG5697" s="330"/>
    </row>
    <row r="5698" spans="14:33" hidden="1">
      <c r="N5698" s="239"/>
      <c r="O5698" s="225"/>
      <c r="P5698" s="260"/>
      <c r="Q5698" s="328"/>
      <c r="R5698" s="260"/>
      <c r="S5698" s="260"/>
      <c r="T5698" s="260"/>
      <c r="U5698" s="260"/>
      <c r="V5698" s="260"/>
      <c r="W5698" s="260"/>
      <c r="X5698" s="259"/>
      <c r="Y5698" s="259"/>
      <c r="Z5698" s="260"/>
      <c r="AA5698" s="260"/>
      <c r="AB5698" s="260"/>
      <c r="AC5698" s="260"/>
      <c r="AD5698" s="259"/>
      <c r="AE5698" s="259"/>
      <c r="AF5698" s="260"/>
      <c r="AG5698" s="330"/>
    </row>
    <row r="5699" spans="14:33" hidden="1">
      <c r="N5699" s="239"/>
      <c r="O5699" s="225"/>
      <c r="P5699" s="260"/>
      <c r="Q5699" s="328"/>
      <c r="R5699" s="260"/>
      <c r="S5699" s="260"/>
      <c r="T5699" s="260"/>
      <c r="U5699" s="260"/>
      <c r="V5699" s="260"/>
      <c r="W5699" s="260"/>
      <c r="X5699" s="259"/>
      <c r="Y5699" s="259"/>
      <c r="Z5699" s="260"/>
      <c r="AA5699" s="260"/>
      <c r="AB5699" s="260"/>
      <c r="AC5699" s="260"/>
      <c r="AD5699" s="259"/>
      <c r="AE5699" s="259"/>
      <c r="AF5699" s="260"/>
      <c r="AG5699" s="330"/>
    </row>
    <row r="5700" spans="14:33" hidden="1">
      <c r="N5700" s="239"/>
      <c r="O5700" s="225"/>
      <c r="P5700" s="260"/>
      <c r="Q5700" s="328"/>
      <c r="R5700" s="260"/>
      <c r="S5700" s="260"/>
      <c r="T5700" s="260"/>
      <c r="U5700" s="260"/>
      <c r="V5700" s="260"/>
      <c r="W5700" s="260"/>
      <c r="X5700" s="259"/>
      <c r="Y5700" s="259"/>
      <c r="Z5700" s="260"/>
      <c r="AA5700" s="260"/>
      <c r="AB5700" s="260"/>
      <c r="AC5700" s="260"/>
      <c r="AD5700" s="259"/>
      <c r="AE5700" s="259"/>
      <c r="AF5700" s="260"/>
      <c r="AG5700" s="330"/>
    </row>
    <row r="5701" spans="14:33" hidden="1">
      <c r="N5701" s="239"/>
      <c r="O5701" s="225"/>
      <c r="P5701" s="260"/>
      <c r="Q5701" s="328"/>
      <c r="R5701" s="260"/>
      <c r="S5701" s="260"/>
      <c r="T5701" s="260"/>
      <c r="U5701" s="260"/>
      <c r="V5701" s="260"/>
      <c r="W5701" s="260"/>
      <c r="X5701" s="259"/>
      <c r="Y5701" s="259"/>
      <c r="Z5701" s="260"/>
      <c r="AA5701" s="260"/>
      <c r="AB5701" s="260"/>
      <c r="AC5701" s="260"/>
      <c r="AD5701" s="259"/>
      <c r="AE5701" s="259"/>
      <c r="AF5701" s="260"/>
      <c r="AG5701" s="330"/>
    </row>
    <row r="5702" spans="14:33" hidden="1">
      <c r="N5702" s="239"/>
      <c r="O5702" s="225"/>
      <c r="P5702" s="260"/>
      <c r="Q5702" s="328"/>
      <c r="R5702" s="260"/>
      <c r="S5702" s="260"/>
      <c r="T5702" s="260"/>
      <c r="U5702" s="260"/>
      <c r="V5702" s="260"/>
      <c r="W5702" s="260"/>
      <c r="X5702" s="259"/>
      <c r="Y5702" s="259"/>
      <c r="Z5702" s="260"/>
      <c r="AA5702" s="260"/>
      <c r="AB5702" s="260"/>
      <c r="AC5702" s="260"/>
      <c r="AD5702" s="259"/>
      <c r="AE5702" s="259"/>
      <c r="AF5702" s="260"/>
      <c r="AG5702" s="330"/>
    </row>
    <row r="5703" spans="14:33" hidden="1">
      <c r="N5703" s="239"/>
      <c r="O5703" s="225"/>
      <c r="P5703" s="260"/>
      <c r="Q5703" s="328"/>
      <c r="R5703" s="260"/>
      <c r="S5703" s="260"/>
      <c r="T5703" s="260"/>
      <c r="U5703" s="260"/>
      <c r="V5703" s="260"/>
      <c r="W5703" s="260"/>
      <c r="X5703" s="259"/>
      <c r="Y5703" s="259"/>
      <c r="Z5703" s="260"/>
      <c r="AA5703" s="260"/>
      <c r="AB5703" s="260"/>
      <c r="AC5703" s="260"/>
      <c r="AD5703" s="259"/>
      <c r="AE5703" s="259"/>
      <c r="AF5703" s="260"/>
      <c r="AG5703" s="330"/>
    </row>
    <row r="5704" spans="14:33" hidden="1">
      <c r="N5704" s="239"/>
      <c r="O5704" s="225"/>
      <c r="P5704" s="260"/>
      <c r="Q5704" s="328"/>
      <c r="R5704" s="260"/>
      <c r="S5704" s="260"/>
      <c r="T5704" s="260"/>
      <c r="U5704" s="260"/>
      <c r="V5704" s="260"/>
      <c r="W5704" s="260"/>
      <c r="X5704" s="259"/>
      <c r="Y5704" s="259"/>
      <c r="Z5704" s="260"/>
      <c r="AA5704" s="260"/>
      <c r="AB5704" s="260"/>
      <c r="AC5704" s="260"/>
      <c r="AD5704" s="259"/>
      <c r="AE5704" s="259"/>
      <c r="AF5704" s="260"/>
      <c r="AG5704" s="330"/>
    </row>
    <row r="5705" spans="14:33" hidden="1">
      <c r="N5705" s="239"/>
      <c r="O5705" s="225"/>
      <c r="P5705" s="260"/>
      <c r="Q5705" s="328"/>
      <c r="R5705" s="260"/>
      <c r="S5705" s="260"/>
      <c r="T5705" s="260"/>
      <c r="U5705" s="260"/>
      <c r="V5705" s="260"/>
      <c r="W5705" s="260"/>
      <c r="X5705" s="259"/>
      <c r="Y5705" s="259"/>
      <c r="Z5705" s="260"/>
      <c r="AA5705" s="260"/>
      <c r="AB5705" s="260"/>
      <c r="AC5705" s="260"/>
      <c r="AD5705" s="259"/>
      <c r="AE5705" s="259"/>
      <c r="AF5705" s="260"/>
      <c r="AG5705" s="330"/>
    </row>
    <row r="5706" spans="14:33" hidden="1">
      <c r="N5706" s="239"/>
      <c r="O5706" s="225"/>
      <c r="P5706" s="260"/>
      <c r="Q5706" s="328"/>
      <c r="R5706" s="260"/>
      <c r="S5706" s="260"/>
      <c r="T5706" s="260"/>
      <c r="U5706" s="260"/>
      <c r="V5706" s="260"/>
      <c r="W5706" s="260"/>
      <c r="X5706" s="259"/>
      <c r="Y5706" s="259"/>
      <c r="Z5706" s="260"/>
      <c r="AA5706" s="260"/>
      <c r="AB5706" s="260"/>
      <c r="AC5706" s="260"/>
      <c r="AD5706" s="259"/>
      <c r="AE5706" s="259"/>
      <c r="AF5706" s="260"/>
      <c r="AG5706" s="330"/>
    </row>
    <row r="5707" spans="14:33" hidden="1">
      <c r="N5707" s="239"/>
      <c r="O5707" s="225"/>
      <c r="P5707" s="260"/>
      <c r="Q5707" s="328"/>
      <c r="R5707" s="260"/>
      <c r="S5707" s="260"/>
      <c r="T5707" s="260"/>
      <c r="U5707" s="260"/>
      <c r="V5707" s="260"/>
      <c r="W5707" s="260"/>
      <c r="X5707" s="259"/>
      <c r="Y5707" s="259"/>
      <c r="Z5707" s="260"/>
      <c r="AA5707" s="260"/>
      <c r="AB5707" s="260"/>
      <c r="AC5707" s="260"/>
      <c r="AD5707" s="259"/>
      <c r="AE5707" s="259"/>
      <c r="AF5707" s="260"/>
      <c r="AG5707" s="330"/>
    </row>
    <row r="5708" spans="14:33" hidden="1">
      <c r="N5708" s="239"/>
      <c r="O5708" s="225"/>
      <c r="P5708" s="260"/>
      <c r="Q5708" s="328"/>
      <c r="R5708" s="260"/>
      <c r="S5708" s="260"/>
      <c r="T5708" s="260"/>
      <c r="U5708" s="260"/>
      <c r="V5708" s="260"/>
      <c r="W5708" s="260"/>
      <c r="X5708" s="259"/>
      <c r="Y5708" s="259"/>
      <c r="Z5708" s="260"/>
      <c r="AA5708" s="260"/>
      <c r="AB5708" s="260"/>
      <c r="AC5708" s="260"/>
      <c r="AD5708" s="259"/>
      <c r="AE5708" s="259"/>
      <c r="AF5708" s="260"/>
      <c r="AG5708" s="330"/>
    </row>
    <row r="5709" spans="14:33" hidden="1">
      <c r="N5709" s="239"/>
      <c r="O5709" s="225"/>
      <c r="P5709" s="260"/>
      <c r="Q5709" s="328"/>
      <c r="R5709" s="260"/>
      <c r="S5709" s="260"/>
      <c r="T5709" s="260"/>
      <c r="U5709" s="260"/>
      <c r="V5709" s="260"/>
      <c r="W5709" s="260"/>
      <c r="X5709" s="259"/>
      <c r="Y5709" s="259"/>
      <c r="Z5709" s="260"/>
      <c r="AA5709" s="260"/>
      <c r="AB5709" s="260"/>
      <c r="AC5709" s="260"/>
      <c r="AD5709" s="259"/>
      <c r="AE5709" s="259"/>
      <c r="AF5709" s="260"/>
      <c r="AG5709" s="330"/>
    </row>
    <row r="5710" spans="14:33" hidden="1">
      <c r="N5710" s="239"/>
      <c r="O5710" s="225"/>
      <c r="P5710" s="260"/>
      <c r="Q5710" s="328"/>
      <c r="R5710" s="260"/>
      <c r="S5710" s="260"/>
      <c r="T5710" s="260"/>
      <c r="U5710" s="260"/>
      <c r="V5710" s="260"/>
      <c r="W5710" s="260"/>
      <c r="X5710" s="259"/>
      <c r="Y5710" s="259"/>
      <c r="Z5710" s="260"/>
      <c r="AA5710" s="260"/>
      <c r="AB5710" s="260"/>
      <c r="AC5710" s="260"/>
      <c r="AD5710" s="259"/>
      <c r="AE5710" s="259"/>
      <c r="AF5710" s="260"/>
      <c r="AG5710" s="330"/>
    </row>
    <row r="5711" spans="14:33" hidden="1">
      <c r="N5711" s="239"/>
      <c r="O5711" s="225"/>
      <c r="P5711" s="260"/>
      <c r="Q5711" s="328"/>
      <c r="R5711" s="260"/>
      <c r="S5711" s="260"/>
      <c r="T5711" s="260"/>
      <c r="U5711" s="260"/>
      <c r="V5711" s="260"/>
      <c r="W5711" s="260"/>
      <c r="X5711" s="259"/>
      <c r="Y5711" s="259"/>
      <c r="Z5711" s="260"/>
      <c r="AA5711" s="260"/>
      <c r="AB5711" s="260"/>
      <c r="AC5711" s="260"/>
      <c r="AD5711" s="259"/>
      <c r="AE5711" s="259"/>
      <c r="AF5711" s="260"/>
      <c r="AG5711" s="330"/>
    </row>
    <row r="5712" spans="14:33" hidden="1">
      <c r="N5712" s="239"/>
      <c r="O5712" s="225"/>
      <c r="P5712" s="260"/>
      <c r="Q5712" s="328"/>
      <c r="R5712" s="260"/>
      <c r="S5712" s="260"/>
      <c r="T5712" s="260"/>
      <c r="U5712" s="260"/>
      <c r="V5712" s="260"/>
      <c r="W5712" s="260"/>
      <c r="X5712" s="259"/>
      <c r="Y5712" s="259"/>
      <c r="Z5712" s="260"/>
      <c r="AA5712" s="260"/>
      <c r="AB5712" s="260"/>
      <c r="AC5712" s="260"/>
      <c r="AD5712" s="259"/>
      <c r="AE5712" s="259"/>
      <c r="AF5712" s="260"/>
      <c r="AG5712" s="330"/>
    </row>
    <row r="5713" spans="14:33" hidden="1">
      <c r="N5713" s="239"/>
      <c r="O5713" s="225"/>
      <c r="P5713" s="260"/>
      <c r="Q5713" s="328"/>
      <c r="R5713" s="260"/>
      <c r="S5713" s="260"/>
      <c r="T5713" s="260"/>
      <c r="U5713" s="260"/>
      <c r="V5713" s="260"/>
      <c r="W5713" s="260"/>
      <c r="X5713" s="259"/>
      <c r="Y5713" s="259"/>
      <c r="Z5713" s="260"/>
      <c r="AA5713" s="260"/>
      <c r="AB5713" s="260"/>
      <c r="AC5713" s="260"/>
      <c r="AD5713" s="259"/>
      <c r="AE5713" s="259"/>
      <c r="AF5713" s="260"/>
      <c r="AG5713" s="330"/>
    </row>
    <row r="5714" spans="14:33" hidden="1">
      <c r="N5714" s="239"/>
      <c r="O5714" s="225"/>
      <c r="P5714" s="260"/>
      <c r="Q5714" s="328"/>
      <c r="R5714" s="260"/>
      <c r="S5714" s="260"/>
      <c r="T5714" s="260"/>
      <c r="U5714" s="260"/>
      <c r="V5714" s="260"/>
      <c r="W5714" s="260"/>
      <c r="X5714" s="259"/>
      <c r="Y5714" s="259"/>
      <c r="Z5714" s="260"/>
      <c r="AA5714" s="260"/>
      <c r="AB5714" s="260"/>
      <c r="AC5714" s="260"/>
      <c r="AD5714" s="259"/>
      <c r="AE5714" s="259"/>
      <c r="AF5714" s="260"/>
      <c r="AG5714" s="330"/>
    </row>
    <row r="5715" spans="14:33" hidden="1">
      <c r="N5715" s="239"/>
      <c r="O5715" s="225"/>
      <c r="P5715" s="260"/>
      <c r="Q5715" s="328"/>
      <c r="R5715" s="260"/>
      <c r="S5715" s="260"/>
      <c r="T5715" s="260"/>
      <c r="U5715" s="260"/>
      <c r="V5715" s="260"/>
      <c r="W5715" s="260"/>
      <c r="X5715" s="259"/>
      <c r="Y5715" s="259"/>
      <c r="Z5715" s="260"/>
      <c r="AA5715" s="260"/>
      <c r="AB5715" s="260"/>
      <c r="AC5715" s="260"/>
      <c r="AD5715" s="259"/>
      <c r="AE5715" s="259"/>
      <c r="AF5715" s="260"/>
      <c r="AG5715" s="330"/>
    </row>
    <row r="5716" spans="14:33" hidden="1">
      <c r="N5716" s="239"/>
      <c r="O5716" s="225"/>
      <c r="P5716" s="260"/>
      <c r="Q5716" s="328"/>
      <c r="R5716" s="260"/>
      <c r="S5716" s="260"/>
      <c r="T5716" s="260"/>
      <c r="U5716" s="260"/>
      <c r="V5716" s="260"/>
      <c r="W5716" s="260"/>
      <c r="X5716" s="259"/>
      <c r="Y5716" s="259"/>
      <c r="Z5716" s="260"/>
      <c r="AA5716" s="260"/>
      <c r="AB5716" s="260"/>
      <c r="AC5716" s="260"/>
      <c r="AD5716" s="259"/>
      <c r="AE5716" s="259"/>
      <c r="AF5716" s="260"/>
      <c r="AG5716" s="330"/>
    </row>
    <row r="5717" spans="14:33" hidden="1">
      <c r="N5717" s="239"/>
      <c r="O5717" s="225"/>
      <c r="P5717" s="260"/>
      <c r="Q5717" s="328"/>
      <c r="R5717" s="260"/>
      <c r="S5717" s="260"/>
      <c r="T5717" s="260"/>
      <c r="U5717" s="260"/>
      <c r="V5717" s="260"/>
      <c r="W5717" s="260"/>
      <c r="X5717" s="259"/>
      <c r="Y5717" s="259"/>
      <c r="Z5717" s="260"/>
      <c r="AA5717" s="260"/>
      <c r="AB5717" s="260"/>
      <c r="AC5717" s="260"/>
      <c r="AD5717" s="259"/>
      <c r="AE5717" s="259"/>
      <c r="AF5717" s="260"/>
      <c r="AG5717" s="330"/>
    </row>
    <row r="5718" spans="14:33" hidden="1">
      <c r="N5718" s="239"/>
      <c r="O5718" s="225"/>
      <c r="P5718" s="260"/>
      <c r="Q5718" s="328"/>
      <c r="R5718" s="260"/>
      <c r="S5718" s="260"/>
      <c r="T5718" s="260"/>
      <c r="U5718" s="260"/>
      <c r="V5718" s="260"/>
      <c r="W5718" s="260"/>
      <c r="X5718" s="259"/>
      <c r="Y5718" s="259"/>
      <c r="Z5718" s="260"/>
      <c r="AA5718" s="260"/>
      <c r="AB5718" s="260"/>
      <c r="AC5718" s="260"/>
      <c r="AD5718" s="259"/>
      <c r="AE5718" s="259"/>
      <c r="AF5718" s="260"/>
      <c r="AG5718" s="330"/>
    </row>
    <row r="5719" spans="14:33" hidden="1">
      <c r="N5719" s="239"/>
      <c r="O5719" s="225"/>
      <c r="P5719" s="260"/>
      <c r="Q5719" s="328"/>
      <c r="R5719" s="260"/>
      <c r="S5719" s="260"/>
      <c r="T5719" s="260"/>
      <c r="U5719" s="260"/>
      <c r="V5719" s="260"/>
      <c r="W5719" s="260"/>
      <c r="X5719" s="259"/>
      <c r="Y5719" s="259"/>
      <c r="Z5719" s="260"/>
      <c r="AA5719" s="260"/>
      <c r="AB5719" s="260"/>
      <c r="AC5719" s="260"/>
      <c r="AD5719" s="259"/>
      <c r="AE5719" s="259"/>
      <c r="AF5719" s="260"/>
      <c r="AG5719" s="330"/>
    </row>
    <row r="5720" spans="14:33" hidden="1">
      <c r="N5720" s="239"/>
      <c r="O5720" s="225"/>
      <c r="P5720" s="260"/>
      <c r="Q5720" s="328"/>
      <c r="R5720" s="260"/>
      <c r="S5720" s="260"/>
      <c r="T5720" s="260"/>
      <c r="U5720" s="260"/>
      <c r="V5720" s="260"/>
      <c r="W5720" s="260"/>
      <c r="X5720" s="259"/>
      <c r="Y5720" s="259"/>
      <c r="Z5720" s="260"/>
      <c r="AA5720" s="260"/>
      <c r="AB5720" s="260"/>
      <c r="AC5720" s="260"/>
      <c r="AD5720" s="259"/>
      <c r="AE5720" s="259"/>
      <c r="AF5720" s="260"/>
      <c r="AG5720" s="330"/>
    </row>
    <row r="5721" spans="14:33" hidden="1">
      <c r="N5721" s="239"/>
      <c r="O5721" s="225"/>
      <c r="P5721" s="260"/>
      <c r="Q5721" s="328"/>
      <c r="R5721" s="260"/>
      <c r="S5721" s="260"/>
      <c r="T5721" s="260"/>
      <c r="U5721" s="260"/>
      <c r="V5721" s="260"/>
      <c r="W5721" s="260"/>
      <c r="X5721" s="259"/>
      <c r="Y5721" s="259"/>
      <c r="Z5721" s="260"/>
      <c r="AA5721" s="260"/>
      <c r="AB5721" s="260"/>
      <c r="AC5721" s="260"/>
      <c r="AD5721" s="259"/>
      <c r="AE5721" s="259"/>
      <c r="AF5721" s="260"/>
      <c r="AG5721" s="330"/>
    </row>
    <row r="5722" spans="14:33" hidden="1">
      <c r="N5722" s="239"/>
      <c r="O5722" s="225"/>
      <c r="P5722" s="260"/>
      <c r="Q5722" s="328"/>
      <c r="R5722" s="260"/>
      <c r="S5722" s="260"/>
      <c r="T5722" s="260"/>
      <c r="U5722" s="260"/>
      <c r="V5722" s="260"/>
      <c r="W5722" s="260"/>
      <c r="X5722" s="259"/>
      <c r="Y5722" s="259"/>
      <c r="Z5722" s="260"/>
      <c r="AA5722" s="260"/>
      <c r="AB5722" s="260"/>
      <c r="AC5722" s="260"/>
      <c r="AD5722" s="259"/>
      <c r="AE5722" s="259"/>
      <c r="AF5722" s="260"/>
      <c r="AG5722" s="330"/>
    </row>
    <row r="5723" spans="14:33" hidden="1">
      <c r="N5723" s="239"/>
      <c r="O5723" s="225"/>
      <c r="P5723" s="260"/>
      <c r="Q5723" s="328"/>
      <c r="R5723" s="260"/>
      <c r="S5723" s="260"/>
      <c r="T5723" s="260"/>
      <c r="U5723" s="260"/>
      <c r="V5723" s="260"/>
      <c r="W5723" s="260"/>
      <c r="X5723" s="259"/>
      <c r="Y5723" s="259"/>
      <c r="Z5723" s="260"/>
      <c r="AA5723" s="260"/>
      <c r="AB5723" s="260"/>
      <c r="AC5723" s="260"/>
      <c r="AD5723" s="259"/>
      <c r="AE5723" s="259"/>
      <c r="AF5723" s="260"/>
      <c r="AG5723" s="330"/>
    </row>
    <row r="5724" spans="14:33" hidden="1">
      <c r="N5724" s="239"/>
      <c r="O5724" s="225"/>
      <c r="P5724" s="260"/>
      <c r="Q5724" s="328"/>
      <c r="R5724" s="260"/>
      <c r="S5724" s="260"/>
      <c r="T5724" s="260"/>
      <c r="U5724" s="260"/>
      <c r="V5724" s="260"/>
      <c r="W5724" s="260"/>
      <c r="X5724" s="259"/>
      <c r="Y5724" s="259"/>
      <c r="Z5724" s="260"/>
      <c r="AA5724" s="260"/>
      <c r="AB5724" s="260"/>
      <c r="AC5724" s="260"/>
      <c r="AD5724" s="259"/>
      <c r="AE5724" s="259"/>
      <c r="AF5724" s="260"/>
      <c r="AG5724" s="330"/>
    </row>
    <row r="5725" spans="14:33" hidden="1">
      <c r="N5725" s="239"/>
      <c r="O5725" s="225"/>
      <c r="P5725" s="260"/>
      <c r="Q5725" s="328"/>
      <c r="R5725" s="260"/>
      <c r="S5725" s="260"/>
      <c r="T5725" s="260"/>
      <c r="U5725" s="260"/>
      <c r="V5725" s="260"/>
      <c r="W5725" s="260"/>
      <c r="X5725" s="259"/>
      <c r="Y5725" s="259"/>
      <c r="Z5725" s="260"/>
      <c r="AA5725" s="260"/>
      <c r="AB5725" s="260"/>
      <c r="AC5725" s="260"/>
      <c r="AD5725" s="259"/>
      <c r="AE5725" s="259"/>
      <c r="AF5725" s="260"/>
      <c r="AG5725" s="330"/>
    </row>
    <row r="5726" spans="14:33" hidden="1">
      <c r="N5726" s="239"/>
      <c r="O5726" s="225"/>
      <c r="P5726" s="260"/>
      <c r="Q5726" s="328"/>
      <c r="R5726" s="260"/>
      <c r="S5726" s="260"/>
      <c r="T5726" s="260"/>
      <c r="U5726" s="260"/>
      <c r="V5726" s="260"/>
      <c r="W5726" s="260"/>
      <c r="X5726" s="259"/>
      <c r="Y5726" s="259"/>
      <c r="Z5726" s="260"/>
      <c r="AA5726" s="260"/>
      <c r="AB5726" s="260"/>
      <c r="AC5726" s="260"/>
      <c r="AD5726" s="259"/>
      <c r="AE5726" s="259"/>
      <c r="AF5726" s="260"/>
      <c r="AG5726" s="330"/>
    </row>
    <row r="5727" spans="14:33" hidden="1">
      <c r="N5727" s="239"/>
      <c r="O5727" s="225"/>
      <c r="P5727" s="260"/>
      <c r="Q5727" s="328"/>
      <c r="R5727" s="260"/>
      <c r="S5727" s="260"/>
      <c r="T5727" s="260"/>
      <c r="U5727" s="260"/>
      <c r="V5727" s="260"/>
      <c r="W5727" s="260"/>
      <c r="X5727" s="259"/>
      <c r="Y5727" s="259"/>
      <c r="Z5727" s="260"/>
      <c r="AA5727" s="260"/>
      <c r="AB5727" s="260"/>
      <c r="AC5727" s="260"/>
      <c r="AD5727" s="259"/>
      <c r="AE5727" s="259"/>
      <c r="AF5727" s="260"/>
      <c r="AG5727" s="330"/>
    </row>
    <row r="5728" spans="14:33" hidden="1">
      <c r="N5728" s="239"/>
      <c r="O5728" s="225"/>
      <c r="P5728" s="260"/>
      <c r="Q5728" s="328"/>
      <c r="R5728" s="260"/>
      <c r="S5728" s="260"/>
      <c r="T5728" s="260"/>
      <c r="U5728" s="260"/>
      <c r="V5728" s="260"/>
      <c r="W5728" s="260"/>
      <c r="X5728" s="259"/>
      <c r="Y5728" s="259"/>
      <c r="Z5728" s="260"/>
      <c r="AA5728" s="260"/>
      <c r="AB5728" s="260"/>
      <c r="AC5728" s="260"/>
      <c r="AD5728" s="259"/>
      <c r="AE5728" s="259"/>
      <c r="AF5728" s="260"/>
      <c r="AG5728" s="330"/>
    </row>
    <row r="5729" spans="14:33" hidden="1">
      <c r="N5729" s="239"/>
      <c r="O5729" s="225"/>
      <c r="P5729" s="260"/>
      <c r="Q5729" s="328"/>
      <c r="R5729" s="260"/>
      <c r="S5729" s="260"/>
      <c r="T5729" s="260"/>
      <c r="U5729" s="260"/>
      <c r="V5729" s="260"/>
      <c r="W5729" s="260"/>
      <c r="X5729" s="259"/>
      <c r="Y5729" s="259"/>
      <c r="Z5729" s="260"/>
      <c r="AA5729" s="260"/>
      <c r="AB5729" s="260"/>
      <c r="AC5729" s="260"/>
      <c r="AD5729" s="259"/>
      <c r="AE5729" s="259"/>
      <c r="AF5729" s="260"/>
      <c r="AG5729" s="330"/>
    </row>
    <row r="5730" spans="14:33" hidden="1">
      <c r="N5730" s="239"/>
      <c r="O5730" s="225"/>
      <c r="P5730" s="260"/>
      <c r="Q5730" s="328"/>
      <c r="R5730" s="260"/>
      <c r="S5730" s="260"/>
      <c r="T5730" s="260"/>
      <c r="U5730" s="260"/>
      <c r="V5730" s="260"/>
      <c r="W5730" s="260"/>
      <c r="X5730" s="259"/>
      <c r="Y5730" s="259"/>
      <c r="Z5730" s="260"/>
      <c r="AA5730" s="260"/>
      <c r="AB5730" s="260"/>
      <c r="AC5730" s="260"/>
      <c r="AD5730" s="259"/>
      <c r="AE5730" s="259"/>
      <c r="AF5730" s="260"/>
      <c r="AG5730" s="330"/>
    </row>
    <row r="5731" spans="14:33" hidden="1">
      <c r="N5731" s="239"/>
      <c r="O5731" s="225"/>
      <c r="P5731" s="260"/>
      <c r="Q5731" s="328"/>
      <c r="R5731" s="260"/>
      <c r="S5731" s="260"/>
      <c r="T5731" s="260"/>
      <c r="U5731" s="260"/>
      <c r="V5731" s="260"/>
      <c r="W5731" s="260"/>
      <c r="X5731" s="259"/>
      <c r="Y5731" s="259"/>
      <c r="Z5731" s="260"/>
      <c r="AA5731" s="260"/>
      <c r="AB5731" s="260"/>
      <c r="AC5731" s="260"/>
      <c r="AD5731" s="259"/>
      <c r="AE5731" s="259"/>
      <c r="AF5731" s="260"/>
      <c r="AG5731" s="330"/>
    </row>
    <row r="5732" spans="14:33" hidden="1">
      <c r="N5732" s="239"/>
      <c r="O5732" s="225"/>
      <c r="P5732" s="260"/>
      <c r="Q5732" s="328"/>
      <c r="R5732" s="260"/>
      <c r="S5732" s="260"/>
      <c r="T5732" s="260"/>
      <c r="U5732" s="260"/>
      <c r="V5732" s="260"/>
      <c r="W5732" s="260"/>
      <c r="X5732" s="259"/>
      <c r="Y5732" s="259"/>
      <c r="Z5732" s="260"/>
      <c r="AA5732" s="260"/>
      <c r="AB5732" s="260"/>
      <c r="AC5732" s="260"/>
      <c r="AD5732" s="259"/>
      <c r="AE5732" s="259"/>
      <c r="AF5732" s="260"/>
      <c r="AG5732" s="330"/>
    </row>
    <row r="5733" spans="14:33" hidden="1">
      <c r="N5733" s="239"/>
      <c r="O5733" s="225"/>
      <c r="P5733" s="260"/>
      <c r="Q5733" s="328"/>
      <c r="R5733" s="260"/>
      <c r="S5733" s="260"/>
      <c r="T5733" s="260"/>
      <c r="U5733" s="260"/>
      <c r="V5733" s="260"/>
      <c r="W5733" s="260"/>
      <c r="X5733" s="259"/>
      <c r="Y5733" s="259"/>
      <c r="Z5733" s="260"/>
      <c r="AA5733" s="260"/>
      <c r="AB5733" s="260"/>
      <c r="AC5733" s="260"/>
      <c r="AD5733" s="259"/>
      <c r="AE5733" s="259"/>
      <c r="AF5733" s="260"/>
      <c r="AG5733" s="330"/>
    </row>
    <row r="5734" spans="14:33" hidden="1">
      <c r="N5734" s="239"/>
      <c r="O5734" s="225"/>
      <c r="P5734" s="260"/>
      <c r="Q5734" s="328"/>
      <c r="R5734" s="260"/>
      <c r="S5734" s="260"/>
      <c r="T5734" s="260"/>
      <c r="U5734" s="260"/>
      <c r="V5734" s="260"/>
      <c r="W5734" s="260"/>
      <c r="X5734" s="259"/>
      <c r="Y5734" s="259"/>
      <c r="Z5734" s="260"/>
      <c r="AA5734" s="260"/>
      <c r="AB5734" s="260"/>
      <c r="AC5734" s="260"/>
      <c r="AD5734" s="259"/>
      <c r="AE5734" s="259"/>
      <c r="AF5734" s="260"/>
      <c r="AG5734" s="330"/>
    </row>
    <row r="5735" spans="14:33" hidden="1">
      <c r="N5735" s="239"/>
      <c r="O5735" s="225"/>
      <c r="P5735" s="260"/>
      <c r="Q5735" s="328"/>
      <c r="R5735" s="260"/>
      <c r="S5735" s="260"/>
      <c r="T5735" s="260"/>
      <c r="U5735" s="260"/>
      <c r="V5735" s="260"/>
      <c r="W5735" s="260"/>
      <c r="X5735" s="259"/>
      <c r="Y5735" s="259"/>
      <c r="Z5735" s="260"/>
      <c r="AA5735" s="260"/>
      <c r="AB5735" s="260"/>
      <c r="AC5735" s="260"/>
      <c r="AD5735" s="259"/>
      <c r="AE5735" s="259"/>
      <c r="AF5735" s="260"/>
      <c r="AG5735" s="330"/>
    </row>
    <row r="5736" spans="14:33" hidden="1">
      <c r="N5736" s="239"/>
      <c r="O5736" s="225"/>
      <c r="P5736" s="260"/>
      <c r="Q5736" s="328"/>
      <c r="R5736" s="260"/>
      <c r="S5736" s="260"/>
      <c r="T5736" s="260"/>
      <c r="U5736" s="260"/>
      <c r="V5736" s="260"/>
      <c r="W5736" s="260"/>
      <c r="X5736" s="259"/>
      <c r="Y5736" s="259"/>
      <c r="Z5736" s="260"/>
      <c r="AA5736" s="260"/>
      <c r="AB5736" s="260"/>
      <c r="AC5736" s="260"/>
      <c r="AD5736" s="259"/>
      <c r="AE5736" s="259"/>
      <c r="AF5736" s="260"/>
      <c r="AG5736" s="330"/>
    </row>
    <row r="5737" spans="14:33" hidden="1">
      <c r="N5737" s="239"/>
      <c r="O5737" s="225"/>
      <c r="P5737" s="260"/>
      <c r="Q5737" s="328"/>
      <c r="R5737" s="260"/>
      <c r="S5737" s="260"/>
      <c r="T5737" s="260"/>
      <c r="U5737" s="260"/>
      <c r="V5737" s="260"/>
      <c r="W5737" s="260"/>
      <c r="X5737" s="259"/>
      <c r="Y5737" s="259"/>
      <c r="Z5737" s="260"/>
      <c r="AA5737" s="260"/>
      <c r="AB5737" s="260"/>
      <c r="AC5737" s="260"/>
      <c r="AD5737" s="259"/>
      <c r="AE5737" s="259"/>
      <c r="AF5737" s="260"/>
      <c r="AG5737" s="330"/>
    </row>
    <row r="5738" spans="14:33" hidden="1">
      <c r="N5738" s="239"/>
      <c r="O5738" s="225"/>
      <c r="P5738" s="260"/>
      <c r="Q5738" s="328"/>
      <c r="R5738" s="260"/>
      <c r="S5738" s="260"/>
      <c r="T5738" s="260"/>
      <c r="U5738" s="260"/>
      <c r="V5738" s="260"/>
      <c r="W5738" s="260"/>
      <c r="X5738" s="259"/>
      <c r="Y5738" s="259"/>
      <c r="Z5738" s="260"/>
      <c r="AA5738" s="260"/>
      <c r="AB5738" s="260"/>
      <c r="AC5738" s="260"/>
      <c r="AD5738" s="259"/>
      <c r="AE5738" s="259"/>
      <c r="AF5738" s="260"/>
      <c r="AG5738" s="330"/>
    </row>
    <row r="5739" spans="14:33" hidden="1">
      <c r="N5739" s="239"/>
      <c r="O5739" s="225"/>
      <c r="P5739" s="260"/>
      <c r="Q5739" s="328"/>
      <c r="R5739" s="260"/>
      <c r="S5739" s="260"/>
      <c r="T5739" s="260"/>
      <c r="U5739" s="260"/>
      <c r="V5739" s="260"/>
      <c r="W5739" s="260"/>
      <c r="X5739" s="259"/>
      <c r="Y5739" s="259"/>
      <c r="Z5739" s="260"/>
      <c r="AA5739" s="260"/>
      <c r="AB5739" s="260"/>
      <c r="AC5739" s="260"/>
      <c r="AD5739" s="259"/>
      <c r="AE5739" s="259"/>
      <c r="AF5739" s="260"/>
      <c r="AG5739" s="330"/>
    </row>
    <row r="5740" spans="14:33" hidden="1">
      <c r="N5740" s="239"/>
      <c r="O5740" s="225"/>
      <c r="P5740" s="260"/>
      <c r="Q5740" s="328"/>
      <c r="R5740" s="260"/>
      <c r="S5740" s="260"/>
      <c r="T5740" s="260"/>
      <c r="U5740" s="260"/>
      <c r="V5740" s="260"/>
      <c r="W5740" s="260"/>
      <c r="X5740" s="259"/>
      <c r="Y5740" s="259"/>
      <c r="Z5740" s="260"/>
      <c r="AA5740" s="260"/>
      <c r="AB5740" s="260"/>
      <c r="AC5740" s="260"/>
      <c r="AD5740" s="259"/>
      <c r="AE5740" s="259"/>
      <c r="AF5740" s="260"/>
      <c r="AG5740" s="330"/>
    </row>
    <row r="5741" spans="14:33" hidden="1">
      <c r="N5741" s="239"/>
      <c r="O5741" s="225"/>
      <c r="P5741" s="260"/>
      <c r="Q5741" s="328"/>
      <c r="R5741" s="260"/>
      <c r="S5741" s="260"/>
      <c r="T5741" s="260"/>
      <c r="U5741" s="260"/>
      <c r="V5741" s="260"/>
      <c r="W5741" s="260"/>
      <c r="X5741" s="259"/>
      <c r="Y5741" s="259"/>
      <c r="Z5741" s="260"/>
      <c r="AA5741" s="260"/>
      <c r="AB5741" s="260"/>
      <c r="AC5741" s="260"/>
      <c r="AD5741" s="259"/>
      <c r="AE5741" s="259"/>
      <c r="AF5741" s="260"/>
      <c r="AG5741" s="330"/>
    </row>
    <row r="5742" spans="14:33" hidden="1">
      <c r="N5742" s="239"/>
      <c r="O5742" s="225"/>
      <c r="P5742" s="260"/>
      <c r="Q5742" s="328"/>
      <c r="R5742" s="260"/>
      <c r="S5742" s="260"/>
      <c r="T5742" s="260"/>
      <c r="U5742" s="260"/>
      <c r="V5742" s="260"/>
      <c r="W5742" s="260"/>
      <c r="X5742" s="259"/>
      <c r="Y5742" s="259"/>
      <c r="Z5742" s="260"/>
      <c r="AA5742" s="260"/>
      <c r="AB5742" s="260"/>
      <c r="AC5742" s="260"/>
      <c r="AD5742" s="259"/>
      <c r="AE5742" s="259"/>
      <c r="AF5742" s="260"/>
      <c r="AG5742" s="330"/>
    </row>
    <row r="5743" spans="14:33" hidden="1">
      <c r="N5743" s="239"/>
      <c r="O5743" s="225"/>
      <c r="P5743" s="260"/>
      <c r="Q5743" s="328"/>
      <c r="R5743" s="260"/>
      <c r="S5743" s="260"/>
      <c r="T5743" s="260"/>
      <c r="U5743" s="260"/>
      <c r="V5743" s="260"/>
      <c r="W5743" s="260"/>
      <c r="X5743" s="259"/>
      <c r="Y5743" s="259"/>
      <c r="Z5743" s="260"/>
      <c r="AA5743" s="260"/>
      <c r="AB5743" s="260"/>
      <c r="AC5743" s="260"/>
      <c r="AD5743" s="259"/>
      <c r="AE5743" s="259"/>
      <c r="AF5743" s="260"/>
      <c r="AG5743" s="330"/>
    </row>
    <row r="5744" spans="14:33" hidden="1">
      <c r="N5744" s="239"/>
      <c r="O5744" s="225"/>
      <c r="P5744" s="260"/>
      <c r="Q5744" s="328"/>
      <c r="R5744" s="260"/>
      <c r="S5744" s="260"/>
      <c r="T5744" s="260"/>
      <c r="U5744" s="260"/>
      <c r="V5744" s="260"/>
      <c r="W5744" s="260"/>
      <c r="X5744" s="259"/>
      <c r="Y5744" s="259"/>
      <c r="Z5744" s="260"/>
      <c r="AA5744" s="260"/>
      <c r="AB5744" s="260"/>
      <c r="AC5744" s="260"/>
      <c r="AD5744" s="259"/>
      <c r="AE5744" s="259"/>
      <c r="AF5744" s="260"/>
      <c r="AG5744" s="330"/>
    </row>
    <row r="5745" spans="14:33" hidden="1">
      <c r="N5745" s="239"/>
      <c r="O5745" s="225"/>
      <c r="P5745" s="260"/>
      <c r="Q5745" s="328"/>
      <c r="R5745" s="260"/>
      <c r="S5745" s="260"/>
      <c r="T5745" s="260"/>
      <c r="U5745" s="260"/>
      <c r="V5745" s="260"/>
      <c r="W5745" s="260"/>
      <c r="X5745" s="259"/>
      <c r="Y5745" s="259"/>
      <c r="Z5745" s="260"/>
      <c r="AA5745" s="260"/>
      <c r="AB5745" s="260"/>
      <c r="AC5745" s="260"/>
      <c r="AD5745" s="259"/>
      <c r="AE5745" s="259"/>
      <c r="AF5745" s="260"/>
      <c r="AG5745" s="330"/>
    </row>
    <row r="5746" spans="14:33" hidden="1">
      <c r="N5746" s="239"/>
      <c r="O5746" s="225"/>
      <c r="P5746" s="260"/>
      <c r="Q5746" s="328"/>
      <c r="R5746" s="260"/>
      <c r="S5746" s="260"/>
      <c r="T5746" s="260"/>
      <c r="U5746" s="260"/>
      <c r="V5746" s="260"/>
      <c r="W5746" s="260"/>
      <c r="X5746" s="259"/>
      <c r="Y5746" s="259"/>
      <c r="Z5746" s="260"/>
      <c r="AA5746" s="260"/>
      <c r="AB5746" s="260"/>
      <c r="AC5746" s="260"/>
      <c r="AD5746" s="259"/>
      <c r="AE5746" s="259"/>
      <c r="AF5746" s="260"/>
      <c r="AG5746" s="330"/>
    </row>
    <row r="5747" spans="14:33" hidden="1">
      <c r="N5747" s="239"/>
      <c r="O5747" s="225"/>
      <c r="P5747" s="260"/>
      <c r="Q5747" s="328"/>
      <c r="R5747" s="260"/>
      <c r="S5747" s="260"/>
      <c r="T5747" s="260"/>
      <c r="U5747" s="260"/>
      <c r="V5747" s="260"/>
      <c r="W5747" s="260"/>
      <c r="X5747" s="259"/>
      <c r="Y5747" s="259"/>
      <c r="Z5747" s="260"/>
      <c r="AA5747" s="260"/>
      <c r="AB5747" s="260"/>
      <c r="AC5747" s="260"/>
      <c r="AD5747" s="259"/>
      <c r="AE5747" s="259"/>
      <c r="AF5747" s="260"/>
      <c r="AG5747" s="330"/>
    </row>
    <row r="5748" spans="14:33" hidden="1">
      <c r="N5748" s="239"/>
      <c r="O5748" s="225"/>
      <c r="P5748" s="260"/>
      <c r="Q5748" s="328"/>
      <c r="R5748" s="260"/>
      <c r="S5748" s="260"/>
      <c r="T5748" s="260"/>
      <c r="U5748" s="260"/>
      <c r="V5748" s="260"/>
      <c r="W5748" s="260"/>
      <c r="X5748" s="259"/>
      <c r="Y5748" s="259"/>
      <c r="Z5748" s="260"/>
      <c r="AA5748" s="260"/>
      <c r="AB5748" s="260"/>
      <c r="AC5748" s="260"/>
      <c r="AD5748" s="259"/>
      <c r="AE5748" s="259"/>
      <c r="AF5748" s="260"/>
      <c r="AG5748" s="330"/>
    </row>
    <row r="5749" spans="14:33" hidden="1">
      <c r="N5749" s="239"/>
      <c r="O5749" s="225"/>
      <c r="P5749" s="260"/>
      <c r="Q5749" s="328"/>
      <c r="R5749" s="260"/>
      <c r="S5749" s="260"/>
      <c r="T5749" s="260"/>
      <c r="U5749" s="260"/>
      <c r="V5749" s="260"/>
      <c r="W5749" s="260"/>
      <c r="X5749" s="259"/>
      <c r="Y5749" s="259"/>
      <c r="Z5749" s="260"/>
      <c r="AA5749" s="260"/>
      <c r="AB5749" s="260"/>
      <c r="AC5749" s="260"/>
      <c r="AD5749" s="259"/>
      <c r="AE5749" s="259"/>
      <c r="AF5749" s="260"/>
      <c r="AG5749" s="330"/>
    </row>
    <row r="5750" spans="14:33" hidden="1">
      <c r="N5750" s="239"/>
      <c r="O5750" s="225"/>
      <c r="P5750" s="260"/>
      <c r="Q5750" s="328"/>
      <c r="R5750" s="260"/>
      <c r="S5750" s="260"/>
      <c r="T5750" s="260"/>
      <c r="U5750" s="260"/>
      <c r="V5750" s="260"/>
      <c r="W5750" s="260"/>
      <c r="X5750" s="259"/>
      <c r="Y5750" s="259"/>
      <c r="Z5750" s="260"/>
      <c r="AA5750" s="260"/>
      <c r="AB5750" s="260"/>
      <c r="AC5750" s="260"/>
      <c r="AD5750" s="259"/>
      <c r="AE5750" s="259"/>
      <c r="AF5750" s="260"/>
      <c r="AG5750" s="330"/>
    </row>
    <row r="5751" spans="14:33" hidden="1">
      <c r="N5751" s="239"/>
      <c r="O5751" s="225"/>
      <c r="P5751" s="260"/>
      <c r="Q5751" s="328"/>
      <c r="R5751" s="260"/>
      <c r="S5751" s="260"/>
      <c r="T5751" s="260"/>
      <c r="U5751" s="260"/>
      <c r="V5751" s="260"/>
      <c r="W5751" s="260"/>
      <c r="X5751" s="259"/>
      <c r="Y5751" s="259"/>
      <c r="Z5751" s="260"/>
      <c r="AA5751" s="260"/>
      <c r="AB5751" s="260"/>
      <c r="AC5751" s="260"/>
      <c r="AD5751" s="259"/>
      <c r="AE5751" s="259"/>
      <c r="AF5751" s="260"/>
      <c r="AG5751" s="330"/>
    </row>
    <row r="5752" spans="14:33" hidden="1">
      <c r="N5752" s="239"/>
      <c r="O5752" s="225"/>
      <c r="P5752" s="260"/>
      <c r="Q5752" s="328"/>
      <c r="R5752" s="260"/>
      <c r="S5752" s="260"/>
      <c r="T5752" s="260"/>
      <c r="U5752" s="260"/>
      <c r="V5752" s="260"/>
      <c r="W5752" s="260"/>
      <c r="X5752" s="259"/>
      <c r="Y5752" s="259"/>
      <c r="Z5752" s="260"/>
      <c r="AA5752" s="260"/>
      <c r="AB5752" s="260"/>
      <c r="AC5752" s="260"/>
      <c r="AD5752" s="259"/>
      <c r="AE5752" s="259"/>
      <c r="AF5752" s="260"/>
      <c r="AG5752" s="330"/>
    </row>
    <row r="5753" spans="14:33" hidden="1">
      <c r="N5753" s="239"/>
      <c r="O5753" s="225"/>
      <c r="P5753" s="260"/>
      <c r="Q5753" s="328"/>
      <c r="R5753" s="260"/>
      <c r="S5753" s="260"/>
      <c r="T5753" s="260"/>
      <c r="U5753" s="260"/>
      <c r="V5753" s="260"/>
      <c r="W5753" s="260"/>
      <c r="X5753" s="259"/>
      <c r="Y5753" s="259"/>
      <c r="Z5753" s="260"/>
      <c r="AA5753" s="260"/>
      <c r="AB5753" s="260"/>
      <c r="AC5753" s="260"/>
      <c r="AD5753" s="259"/>
      <c r="AE5753" s="259"/>
      <c r="AF5753" s="260"/>
      <c r="AG5753" s="330"/>
    </row>
    <row r="5754" spans="14:33" hidden="1">
      <c r="N5754" s="239"/>
      <c r="O5754" s="225"/>
      <c r="P5754" s="260"/>
      <c r="Q5754" s="328"/>
      <c r="R5754" s="260"/>
      <c r="S5754" s="260"/>
      <c r="T5754" s="260"/>
      <c r="U5754" s="260"/>
      <c r="V5754" s="260"/>
      <c r="W5754" s="260"/>
      <c r="X5754" s="259"/>
      <c r="Y5754" s="259"/>
      <c r="Z5754" s="260"/>
      <c r="AA5754" s="260"/>
      <c r="AB5754" s="260"/>
      <c r="AC5754" s="260"/>
      <c r="AD5754" s="259"/>
      <c r="AE5754" s="259"/>
      <c r="AF5754" s="260"/>
      <c r="AG5754" s="330"/>
    </row>
    <row r="5755" spans="14:33" hidden="1">
      <c r="N5755" s="239"/>
      <c r="O5755" s="225"/>
      <c r="P5755" s="260"/>
      <c r="Q5755" s="328"/>
      <c r="R5755" s="260"/>
      <c r="S5755" s="260"/>
      <c r="T5755" s="260"/>
      <c r="U5755" s="260"/>
      <c r="V5755" s="260"/>
      <c r="W5755" s="260"/>
      <c r="X5755" s="259"/>
      <c r="Y5755" s="259"/>
      <c r="Z5755" s="260"/>
      <c r="AA5755" s="260"/>
      <c r="AB5755" s="260"/>
      <c r="AC5755" s="260"/>
      <c r="AD5755" s="259"/>
      <c r="AE5755" s="259"/>
      <c r="AF5755" s="260"/>
      <c r="AG5755" s="330"/>
    </row>
    <row r="5756" spans="14:33" hidden="1">
      <c r="N5756" s="239"/>
      <c r="O5756" s="225"/>
      <c r="P5756" s="260"/>
      <c r="Q5756" s="328"/>
      <c r="R5756" s="260"/>
      <c r="S5756" s="260"/>
      <c r="T5756" s="260"/>
      <c r="U5756" s="260"/>
      <c r="V5756" s="260"/>
      <c r="W5756" s="260"/>
      <c r="X5756" s="259"/>
      <c r="Y5756" s="259"/>
      <c r="Z5756" s="260"/>
      <c r="AA5756" s="260"/>
      <c r="AB5756" s="260"/>
      <c r="AC5756" s="260"/>
      <c r="AD5756" s="259"/>
      <c r="AE5756" s="259"/>
      <c r="AF5756" s="260"/>
      <c r="AG5756" s="330"/>
    </row>
    <row r="5757" spans="14:33" hidden="1">
      <c r="N5757" s="239"/>
      <c r="O5757" s="225"/>
      <c r="P5757" s="260"/>
      <c r="Q5757" s="328"/>
      <c r="R5757" s="260"/>
      <c r="S5757" s="260"/>
      <c r="T5757" s="260"/>
      <c r="U5757" s="260"/>
      <c r="V5757" s="260"/>
      <c r="W5757" s="260"/>
      <c r="X5757" s="259"/>
      <c r="Y5757" s="259"/>
      <c r="Z5757" s="260"/>
      <c r="AA5757" s="260"/>
      <c r="AB5757" s="260"/>
      <c r="AC5757" s="260"/>
      <c r="AD5757" s="259"/>
      <c r="AE5757" s="259"/>
      <c r="AF5757" s="260"/>
      <c r="AG5757" s="330"/>
    </row>
    <row r="5758" spans="14:33" hidden="1">
      <c r="N5758" s="239"/>
      <c r="O5758" s="225"/>
      <c r="P5758" s="260"/>
      <c r="Q5758" s="328"/>
      <c r="R5758" s="260"/>
      <c r="S5758" s="260"/>
      <c r="T5758" s="260"/>
      <c r="U5758" s="260"/>
      <c r="V5758" s="260"/>
      <c r="W5758" s="260"/>
      <c r="X5758" s="259"/>
      <c r="Y5758" s="259"/>
      <c r="Z5758" s="260"/>
      <c r="AA5758" s="260"/>
      <c r="AB5758" s="260"/>
      <c r="AC5758" s="260"/>
      <c r="AD5758" s="259"/>
      <c r="AE5758" s="259"/>
      <c r="AF5758" s="260"/>
      <c r="AG5758" s="330"/>
    </row>
    <row r="5759" spans="14:33" hidden="1">
      <c r="N5759" s="239"/>
      <c r="O5759" s="225"/>
      <c r="P5759" s="260"/>
      <c r="Q5759" s="328"/>
      <c r="R5759" s="260"/>
      <c r="S5759" s="260"/>
      <c r="T5759" s="260"/>
      <c r="U5759" s="260"/>
      <c r="V5759" s="260"/>
      <c r="W5759" s="260"/>
      <c r="X5759" s="259"/>
      <c r="Y5759" s="259"/>
      <c r="Z5759" s="260"/>
      <c r="AA5759" s="260"/>
      <c r="AB5759" s="260"/>
      <c r="AC5759" s="260"/>
      <c r="AD5759" s="259"/>
      <c r="AE5759" s="259"/>
      <c r="AF5759" s="260"/>
      <c r="AG5759" s="330"/>
    </row>
    <row r="5760" spans="14:33" hidden="1">
      <c r="N5760" s="239"/>
      <c r="O5760" s="225"/>
      <c r="P5760" s="260"/>
      <c r="Q5760" s="328"/>
      <c r="R5760" s="260"/>
      <c r="S5760" s="260"/>
      <c r="T5760" s="260"/>
      <c r="U5760" s="260"/>
      <c r="V5760" s="260"/>
      <c r="W5760" s="260"/>
      <c r="X5760" s="259"/>
      <c r="Y5760" s="259"/>
      <c r="Z5760" s="260"/>
      <c r="AA5760" s="260"/>
      <c r="AB5760" s="260"/>
      <c r="AC5760" s="260"/>
      <c r="AD5760" s="259"/>
      <c r="AE5760" s="259"/>
      <c r="AF5760" s="260"/>
      <c r="AG5760" s="330"/>
    </row>
    <row r="5761" spans="14:33" hidden="1">
      <c r="N5761" s="239"/>
      <c r="O5761" s="225"/>
      <c r="P5761" s="260"/>
      <c r="Q5761" s="328"/>
      <c r="R5761" s="260"/>
      <c r="S5761" s="260"/>
      <c r="T5761" s="260"/>
      <c r="U5761" s="260"/>
      <c r="V5761" s="260"/>
      <c r="W5761" s="260"/>
      <c r="X5761" s="259"/>
      <c r="Y5761" s="259"/>
      <c r="Z5761" s="260"/>
      <c r="AA5761" s="260"/>
      <c r="AB5761" s="260"/>
      <c r="AC5761" s="260"/>
      <c r="AD5761" s="259"/>
      <c r="AE5761" s="259"/>
      <c r="AF5761" s="260"/>
      <c r="AG5761" s="330"/>
    </row>
    <row r="5762" spans="14:33" hidden="1">
      <c r="N5762" s="239"/>
      <c r="O5762" s="225"/>
      <c r="P5762" s="260"/>
      <c r="Q5762" s="328"/>
      <c r="R5762" s="260"/>
      <c r="S5762" s="260"/>
      <c r="T5762" s="260"/>
      <c r="U5762" s="260"/>
      <c r="V5762" s="260"/>
      <c r="W5762" s="260"/>
      <c r="X5762" s="259"/>
      <c r="Y5762" s="259"/>
      <c r="Z5762" s="260"/>
      <c r="AA5762" s="260"/>
      <c r="AB5762" s="260"/>
      <c r="AC5762" s="260"/>
      <c r="AD5762" s="259"/>
      <c r="AE5762" s="259"/>
      <c r="AF5762" s="260"/>
      <c r="AG5762" s="330"/>
    </row>
    <row r="5763" spans="14:33" hidden="1">
      <c r="N5763" s="239"/>
      <c r="O5763" s="225"/>
      <c r="P5763" s="260"/>
      <c r="Q5763" s="328"/>
      <c r="R5763" s="260"/>
      <c r="S5763" s="260"/>
      <c r="T5763" s="260"/>
      <c r="U5763" s="260"/>
      <c r="V5763" s="260"/>
      <c r="W5763" s="260"/>
      <c r="X5763" s="259"/>
      <c r="Y5763" s="259"/>
      <c r="Z5763" s="260"/>
      <c r="AA5763" s="260"/>
      <c r="AB5763" s="260"/>
      <c r="AC5763" s="260"/>
      <c r="AD5763" s="259"/>
      <c r="AE5763" s="259"/>
      <c r="AF5763" s="260"/>
      <c r="AG5763" s="330"/>
    </row>
    <row r="5764" spans="14:33" hidden="1">
      <c r="N5764" s="239"/>
      <c r="O5764" s="225"/>
      <c r="P5764" s="260"/>
      <c r="Q5764" s="328"/>
      <c r="R5764" s="260"/>
      <c r="S5764" s="260"/>
      <c r="T5764" s="260"/>
      <c r="U5764" s="260"/>
      <c r="V5764" s="260"/>
      <c r="W5764" s="260"/>
      <c r="X5764" s="259"/>
      <c r="Y5764" s="259"/>
      <c r="Z5764" s="260"/>
      <c r="AA5764" s="260"/>
      <c r="AB5764" s="260"/>
      <c r="AC5764" s="260"/>
      <c r="AD5764" s="259"/>
      <c r="AE5764" s="259"/>
      <c r="AF5764" s="260"/>
      <c r="AG5764" s="330"/>
    </row>
    <row r="5765" spans="14:33" hidden="1">
      <c r="N5765" s="239"/>
      <c r="O5765" s="225"/>
      <c r="P5765" s="260"/>
      <c r="Q5765" s="328"/>
      <c r="R5765" s="260"/>
      <c r="S5765" s="260"/>
      <c r="T5765" s="260"/>
      <c r="U5765" s="260"/>
      <c r="V5765" s="260"/>
      <c r="W5765" s="260"/>
      <c r="X5765" s="259"/>
      <c r="Y5765" s="259"/>
      <c r="Z5765" s="260"/>
      <c r="AA5765" s="260"/>
      <c r="AB5765" s="260"/>
      <c r="AC5765" s="260"/>
      <c r="AD5765" s="259"/>
      <c r="AE5765" s="259"/>
      <c r="AF5765" s="260"/>
      <c r="AG5765" s="330"/>
    </row>
    <row r="5766" spans="14:33" hidden="1">
      <c r="N5766" s="239"/>
      <c r="O5766" s="225"/>
      <c r="P5766" s="260"/>
      <c r="Q5766" s="328"/>
      <c r="R5766" s="260"/>
      <c r="S5766" s="260"/>
      <c r="T5766" s="260"/>
      <c r="U5766" s="260"/>
      <c r="V5766" s="260"/>
      <c r="W5766" s="260"/>
      <c r="X5766" s="259"/>
      <c r="Y5766" s="259"/>
      <c r="Z5766" s="260"/>
      <c r="AA5766" s="260"/>
      <c r="AB5766" s="260"/>
      <c r="AC5766" s="260"/>
      <c r="AD5766" s="259"/>
      <c r="AE5766" s="259"/>
      <c r="AF5766" s="260"/>
      <c r="AG5766" s="330"/>
    </row>
    <row r="5767" spans="14:33" hidden="1">
      <c r="N5767" s="239"/>
      <c r="O5767" s="225"/>
      <c r="P5767" s="260"/>
      <c r="Q5767" s="328"/>
      <c r="R5767" s="260"/>
      <c r="S5767" s="260"/>
      <c r="T5767" s="260"/>
      <c r="U5767" s="260"/>
      <c r="V5767" s="260"/>
      <c r="W5767" s="260"/>
      <c r="X5767" s="259"/>
      <c r="Y5767" s="259"/>
      <c r="Z5767" s="260"/>
      <c r="AA5767" s="260"/>
      <c r="AB5767" s="260"/>
      <c r="AC5767" s="260"/>
      <c r="AD5767" s="259"/>
      <c r="AE5767" s="259"/>
      <c r="AF5767" s="260"/>
      <c r="AG5767" s="330"/>
    </row>
    <row r="5768" spans="14:33" hidden="1">
      <c r="N5768" s="239"/>
      <c r="O5768" s="225"/>
      <c r="P5768" s="260"/>
      <c r="Q5768" s="328"/>
      <c r="R5768" s="260"/>
      <c r="S5768" s="260"/>
      <c r="T5768" s="260"/>
      <c r="U5768" s="260"/>
      <c r="V5768" s="260"/>
      <c r="W5768" s="260"/>
      <c r="X5768" s="259"/>
      <c r="Y5768" s="259"/>
      <c r="Z5768" s="260"/>
      <c r="AA5768" s="260"/>
      <c r="AB5768" s="260"/>
      <c r="AC5768" s="260"/>
      <c r="AD5768" s="259"/>
      <c r="AE5768" s="259"/>
      <c r="AF5768" s="260"/>
      <c r="AG5768" s="330"/>
    </row>
    <row r="5769" spans="14:33" hidden="1">
      <c r="N5769" s="239"/>
      <c r="O5769" s="225"/>
      <c r="P5769" s="260"/>
      <c r="Q5769" s="328"/>
      <c r="R5769" s="260"/>
      <c r="S5769" s="260"/>
      <c r="T5769" s="260"/>
      <c r="U5769" s="260"/>
      <c r="V5769" s="260"/>
      <c r="W5769" s="260"/>
      <c r="X5769" s="259"/>
      <c r="Y5769" s="259"/>
      <c r="Z5769" s="260"/>
      <c r="AA5769" s="260"/>
      <c r="AB5769" s="260"/>
      <c r="AC5769" s="260"/>
      <c r="AD5769" s="259"/>
      <c r="AE5769" s="259"/>
      <c r="AF5769" s="260"/>
      <c r="AG5769" s="330"/>
    </row>
    <row r="5770" spans="14:33" hidden="1">
      <c r="N5770" s="239"/>
      <c r="O5770" s="225"/>
      <c r="P5770" s="260"/>
      <c r="Q5770" s="328"/>
      <c r="R5770" s="260"/>
      <c r="S5770" s="260"/>
      <c r="T5770" s="260"/>
      <c r="U5770" s="260"/>
      <c r="V5770" s="260"/>
      <c r="W5770" s="260"/>
      <c r="X5770" s="259"/>
      <c r="Y5770" s="259"/>
      <c r="Z5770" s="260"/>
      <c r="AA5770" s="260"/>
      <c r="AB5770" s="260"/>
      <c r="AC5770" s="260"/>
      <c r="AD5770" s="259"/>
      <c r="AE5770" s="259"/>
      <c r="AF5770" s="260"/>
      <c r="AG5770" s="330"/>
    </row>
    <row r="5771" spans="14:33" hidden="1">
      <c r="N5771" s="239"/>
      <c r="O5771" s="225"/>
      <c r="P5771" s="260"/>
      <c r="Q5771" s="328"/>
      <c r="R5771" s="260"/>
      <c r="S5771" s="260"/>
      <c r="T5771" s="260"/>
      <c r="U5771" s="260"/>
      <c r="V5771" s="260"/>
      <c r="W5771" s="260"/>
      <c r="X5771" s="259"/>
      <c r="Y5771" s="259"/>
      <c r="Z5771" s="260"/>
      <c r="AA5771" s="260"/>
      <c r="AB5771" s="260"/>
      <c r="AC5771" s="260"/>
      <c r="AD5771" s="259"/>
      <c r="AE5771" s="259"/>
      <c r="AF5771" s="260"/>
      <c r="AG5771" s="330"/>
    </row>
    <row r="5772" spans="14:33" hidden="1">
      <c r="N5772" s="239"/>
      <c r="O5772" s="225"/>
      <c r="P5772" s="260"/>
      <c r="Q5772" s="328"/>
      <c r="R5772" s="260"/>
      <c r="S5772" s="260"/>
      <c r="T5772" s="260"/>
      <c r="U5772" s="260"/>
      <c r="V5772" s="260"/>
      <c r="W5772" s="260"/>
      <c r="X5772" s="259"/>
      <c r="Y5772" s="259"/>
      <c r="Z5772" s="260"/>
      <c r="AA5772" s="260"/>
      <c r="AB5772" s="260"/>
      <c r="AC5772" s="260"/>
      <c r="AD5772" s="259"/>
      <c r="AE5772" s="259"/>
      <c r="AF5772" s="260"/>
      <c r="AG5772" s="330"/>
    </row>
    <row r="5773" spans="14:33" hidden="1">
      <c r="N5773" s="239"/>
      <c r="O5773" s="225"/>
      <c r="P5773" s="260"/>
      <c r="Q5773" s="328"/>
      <c r="R5773" s="260"/>
      <c r="S5773" s="260"/>
      <c r="T5773" s="260"/>
      <c r="U5773" s="260"/>
      <c r="V5773" s="260"/>
      <c r="W5773" s="260"/>
      <c r="X5773" s="259"/>
      <c r="Y5773" s="259"/>
      <c r="Z5773" s="260"/>
      <c r="AA5773" s="260"/>
      <c r="AB5773" s="260"/>
      <c r="AC5773" s="260"/>
      <c r="AD5773" s="259"/>
      <c r="AE5773" s="259"/>
      <c r="AF5773" s="260"/>
      <c r="AG5773" s="330"/>
    </row>
    <row r="5774" spans="14:33" hidden="1">
      <c r="N5774" s="239"/>
      <c r="O5774" s="225"/>
      <c r="P5774" s="260"/>
      <c r="Q5774" s="328"/>
      <c r="R5774" s="260"/>
      <c r="S5774" s="260"/>
      <c r="T5774" s="260"/>
      <c r="U5774" s="260"/>
      <c r="V5774" s="260"/>
      <c r="W5774" s="260"/>
      <c r="X5774" s="259"/>
      <c r="Y5774" s="259"/>
      <c r="Z5774" s="260"/>
      <c r="AA5774" s="260"/>
      <c r="AB5774" s="260"/>
      <c r="AC5774" s="260"/>
      <c r="AD5774" s="259"/>
      <c r="AE5774" s="259"/>
      <c r="AF5774" s="260"/>
      <c r="AG5774" s="330"/>
    </row>
    <row r="5775" spans="14:33" hidden="1">
      <c r="N5775" s="239"/>
      <c r="O5775" s="225"/>
      <c r="P5775" s="260"/>
      <c r="Q5775" s="328"/>
      <c r="R5775" s="260"/>
      <c r="S5775" s="260"/>
      <c r="T5775" s="260"/>
      <c r="U5775" s="260"/>
      <c r="V5775" s="260"/>
      <c r="W5775" s="260"/>
      <c r="X5775" s="259"/>
      <c r="Y5775" s="259"/>
      <c r="Z5775" s="260"/>
      <c r="AA5775" s="260"/>
      <c r="AB5775" s="260"/>
      <c r="AC5775" s="260"/>
      <c r="AD5775" s="259"/>
      <c r="AE5775" s="259"/>
      <c r="AF5775" s="260"/>
      <c r="AG5775" s="330"/>
    </row>
    <row r="5776" spans="14:33" hidden="1">
      <c r="N5776" s="239"/>
      <c r="O5776" s="225"/>
      <c r="P5776" s="260"/>
      <c r="Q5776" s="328"/>
      <c r="R5776" s="260"/>
      <c r="S5776" s="260"/>
      <c r="T5776" s="260"/>
      <c r="U5776" s="260"/>
      <c r="V5776" s="260"/>
      <c r="W5776" s="260"/>
      <c r="X5776" s="259"/>
      <c r="Y5776" s="259"/>
      <c r="Z5776" s="260"/>
      <c r="AA5776" s="260"/>
      <c r="AB5776" s="260"/>
      <c r="AC5776" s="260"/>
      <c r="AD5776" s="259"/>
      <c r="AE5776" s="259"/>
      <c r="AF5776" s="260"/>
      <c r="AG5776" s="330"/>
    </row>
    <row r="5777" spans="14:33" hidden="1">
      <c r="N5777" s="239"/>
      <c r="O5777" s="225"/>
      <c r="P5777" s="260"/>
      <c r="Q5777" s="328"/>
      <c r="R5777" s="260"/>
      <c r="S5777" s="260"/>
      <c r="T5777" s="260"/>
      <c r="U5777" s="260"/>
      <c r="V5777" s="260"/>
      <c r="W5777" s="260"/>
      <c r="X5777" s="259"/>
      <c r="Y5777" s="259"/>
      <c r="Z5777" s="260"/>
      <c r="AA5777" s="260"/>
      <c r="AB5777" s="260"/>
      <c r="AC5777" s="260"/>
      <c r="AD5777" s="259"/>
      <c r="AE5777" s="259"/>
      <c r="AF5777" s="260"/>
      <c r="AG5777" s="330"/>
    </row>
    <row r="5778" spans="14:33" hidden="1">
      <c r="N5778" s="239"/>
      <c r="O5778" s="225"/>
      <c r="P5778" s="260"/>
      <c r="Q5778" s="328"/>
      <c r="R5778" s="260"/>
      <c r="S5778" s="260"/>
      <c r="T5778" s="260"/>
      <c r="U5778" s="260"/>
      <c r="V5778" s="260"/>
      <c r="W5778" s="260"/>
      <c r="X5778" s="259"/>
      <c r="Y5778" s="259"/>
      <c r="Z5778" s="260"/>
      <c r="AA5778" s="260"/>
      <c r="AB5778" s="260"/>
      <c r="AC5778" s="260"/>
      <c r="AD5778" s="259"/>
      <c r="AE5778" s="259"/>
      <c r="AF5778" s="260"/>
      <c r="AG5778" s="330"/>
    </row>
    <row r="5779" spans="14:33" hidden="1">
      <c r="N5779" s="239"/>
      <c r="O5779" s="225"/>
      <c r="P5779" s="260"/>
      <c r="Q5779" s="328"/>
      <c r="R5779" s="260"/>
      <c r="S5779" s="260"/>
      <c r="T5779" s="260"/>
      <c r="U5779" s="260"/>
      <c r="V5779" s="260"/>
      <c r="W5779" s="260"/>
      <c r="X5779" s="259"/>
      <c r="Y5779" s="259"/>
      <c r="Z5779" s="260"/>
      <c r="AA5779" s="260"/>
      <c r="AB5779" s="260"/>
      <c r="AC5779" s="260"/>
      <c r="AD5779" s="259"/>
      <c r="AE5779" s="259"/>
      <c r="AF5779" s="260"/>
      <c r="AG5779" s="330"/>
    </row>
    <row r="5780" spans="14:33" hidden="1">
      <c r="N5780" s="239"/>
      <c r="O5780" s="225"/>
      <c r="P5780" s="260"/>
      <c r="Q5780" s="328"/>
      <c r="R5780" s="260"/>
      <c r="S5780" s="260"/>
      <c r="T5780" s="260"/>
      <c r="U5780" s="260"/>
      <c r="V5780" s="260"/>
      <c r="W5780" s="260"/>
      <c r="X5780" s="259"/>
      <c r="Y5780" s="259"/>
      <c r="Z5780" s="260"/>
      <c r="AA5780" s="260"/>
      <c r="AB5780" s="260"/>
      <c r="AC5780" s="260"/>
      <c r="AD5780" s="259"/>
      <c r="AE5780" s="259"/>
      <c r="AF5780" s="260"/>
      <c r="AG5780" s="330"/>
    </row>
    <row r="5781" spans="14:33" hidden="1">
      <c r="N5781" s="239"/>
      <c r="O5781" s="225"/>
      <c r="P5781" s="260"/>
      <c r="Q5781" s="328"/>
      <c r="R5781" s="260"/>
      <c r="S5781" s="260"/>
      <c r="T5781" s="260"/>
      <c r="U5781" s="260"/>
      <c r="V5781" s="260"/>
      <c r="W5781" s="260"/>
      <c r="X5781" s="259"/>
      <c r="Y5781" s="259"/>
      <c r="Z5781" s="260"/>
      <c r="AA5781" s="260"/>
      <c r="AB5781" s="260"/>
      <c r="AC5781" s="260"/>
      <c r="AD5781" s="259"/>
      <c r="AE5781" s="259"/>
      <c r="AF5781" s="260"/>
      <c r="AG5781" s="330"/>
    </row>
    <row r="5782" spans="14:33" hidden="1">
      <c r="N5782" s="239"/>
      <c r="O5782" s="225"/>
      <c r="P5782" s="260"/>
      <c r="Q5782" s="328"/>
      <c r="R5782" s="260"/>
      <c r="S5782" s="260"/>
      <c r="T5782" s="260"/>
      <c r="U5782" s="260"/>
      <c r="V5782" s="260"/>
      <c r="W5782" s="260"/>
      <c r="X5782" s="259"/>
      <c r="Y5782" s="259"/>
      <c r="Z5782" s="260"/>
      <c r="AA5782" s="260"/>
      <c r="AB5782" s="260"/>
      <c r="AC5782" s="260"/>
      <c r="AD5782" s="259"/>
      <c r="AE5782" s="259"/>
      <c r="AF5782" s="260"/>
      <c r="AG5782" s="330"/>
    </row>
    <row r="5783" spans="14:33" hidden="1">
      <c r="N5783" s="239"/>
      <c r="O5783" s="225"/>
      <c r="P5783" s="260"/>
      <c r="Q5783" s="328"/>
      <c r="R5783" s="260"/>
      <c r="S5783" s="260"/>
      <c r="T5783" s="260"/>
      <c r="U5783" s="260"/>
      <c r="V5783" s="260"/>
      <c r="W5783" s="260"/>
      <c r="X5783" s="259"/>
      <c r="Y5783" s="259"/>
      <c r="Z5783" s="260"/>
      <c r="AA5783" s="260"/>
      <c r="AB5783" s="260"/>
      <c r="AC5783" s="260"/>
      <c r="AD5783" s="259"/>
      <c r="AE5783" s="259"/>
      <c r="AF5783" s="260"/>
      <c r="AG5783" s="330"/>
    </row>
    <row r="5784" spans="14:33" hidden="1">
      <c r="N5784" s="239"/>
      <c r="O5784" s="225"/>
      <c r="P5784" s="260"/>
      <c r="Q5784" s="328"/>
      <c r="R5784" s="260"/>
      <c r="S5784" s="260"/>
      <c r="T5784" s="260"/>
      <c r="U5784" s="260"/>
      <c r="V5784" s="260"/>
      <c r="W5784" s="260"/>
      <c r="X5784" s="259"/>
      <c r="Y5784" s="259"/>
      <c r="Z5784" s="260"/>
      <c r="AA5784" s="260"/>
      <c r="AB5784" s="260"/>
      <c r="AC5784" s="260"/>
      <c r="AD5784" s="259"/>
      <c r="AE5784" s="259"/>
      <c r="AF5784" s="260"/>
      <c r="AG5784" s="330"/>
    </row>
    <row r="5785" spans="14:33" hidden="1">
      <c r="N5785" s="239"/>
      <c r="O5785" s="225"/>
      <c r="P5785" s="260"/>
      <c r="Q5785" s="328"/>
      <c r="R5785" s="260"/>
      <c r="S5785" s="260"/>
      <c r="T5785" s="260"/>
      <c r="U5785" s="260"/>
      <c r="V5785" s="260"/>
      <c r="W5785" s="260"/>
      <c r="X5785" s="259"/>
      <c r="Y5785" s="259"/>
      <c r="Z5785" s="260"/>
      <c r="AA5785" s="260"/>
      <c r="AB5785" s="260"/>
      <c r="AC5785" s="260"/>
      <c r="AD5785" s="259"/>
      <c r="AE5785" s="259"/>
      <c r="AF5785" s="260"/>
      <c r="AG5785" s="330"/>
    </row>
    <row r="5786" spans="14:33" hidden="1">
      <c r="N5786" s="239"/>
      <c r="O5786" s="225"/>
      <c r="P5786" s="260"/>
      <c r="Q5786" s="328"/>
      <c r="R5786" s="260"/>
      <c r="S5786" s="260"/>
      <c r="T5786" s="260"/>
      <c r="U5786" s="260"/>
      <c r="V5786" s="260"/>
      <c r="W5786" s="260"/>
      <c r="X5786" s="259"/>
      <c r="Y5786" s="259"/>
      <c r="Z5786" s="260"/>
      <c r="AA5786" s="260"/>
      <c r="AB5786" s="260"/>
      <c r="AC5786" s="260"/>
      <c r="AD5786" s="259"/>
      <c r="AE5786" s="259"/>
      <c r="AF5786" s="260"/>
      <c r="AG5786" s="330"/>
    </row>
    <row r="5787" spans="14:33" hidden="1">
      <c r="N5787" s="239"/>
      <c r="O5787" s="225"/>
      <c r="P5787" s="260"/>
      <c r="Q5787" s="328"/>
      <c r="R5787" s="260"/>
      <c r="S5787" s="260"/>
      <c r="T5787" s="260"/>
      <c r="U5787" s="260"/>
      <c r="V5787" s="260"/>
      <c r="W5787" s="260"/>
      <c r="X5787" s="259"/>
      <c r="Y5787" s="259"/>
      <c r="Z5787" s="260"/>
      <c r="AA5787" s="260"/>
      <c r="AB5787" s="260"/>
      <c r="AC5787" s="260"/>
      <c r="AD5787" s="259"/>
      <c r="AE5787" s="259"/>
      <c r="AF5787" s="260"/>
      <c r="AG5787" s="330"/>
    </row>
    <row r="5788" spans="14:33" hidden="1">
      <c r="N5788" s="239"/>
      <c r="O5788" s="225"/>
      <c r="P5788" s="260"/>
      <c r="Q5788" s="328"/>
      <c r="R5788" s="260"/>
      <c r="S5788" s="260"/>
      <c r="T5788" s="260"/>
      <c r="U5788" s="260"/>
      <c r="V5788" s="260"/>
      <c r="W5788" s="260"/>
      <c r="X5788" s="259"/>
      <c r="Y5788" s="259"/>
      <c r="Z5788" s="260"/>
      <c r="AA5788" s="260"/>
      <c r="AB5788" s="260"/>
      <c r="AC5788" s="260"/>
      <c r="AD5788" s="259"/>
      <c r="AE5788" s="259"/>
      <c r="AF5788" s="260"/>
      <c r="AG5788" s="330"/>
    </row>
    <row r="5789" spans="14:33" hidden="1">
      <c r="N5789" s="239"/>
      <c r="O5789" s="225"/>
      <c r="P5789" s="260"/>
      <c r="Q5789" s="328"/>
      <c r="R5789" s="260"/>
      <c r="S5789" s="260"/>
      <c r="T5789" s="260"/>
      <c r="U5789" s="260"/>
      <c r="V5789" s="260"/>
      <c r="W5789" s="260"/>
      <c r="X5789" s="259"/>
      <c r="Y5789" s="259"/>
      <c r="Z5789" s="260"/>
      <c r="AA5789" s="260"/>
      <c r="AB5789" s="260"/>
      <c r="AC5789" s="260"/>
      <c r="AD5789" s="259"/>
      <c r="AE5789" s="259"/>
      <c r="AF5789" s="260"/>
      <c r="AG5789" s="330"/>
    </row>
    <row r="5790" spans="14:33" hidden="1">
      <c r="N5790" s="239"/>
      <c r="O5790" s="225"/>
      <c r="P5790" s="260"/>
      <c r="Q5790" s="328"/>
      <c r="R5790" s="260"/>
      <c r="S5790" s="260"/>
      <c r="T5790" s="260"/>
      <c r="U5790" s="260"/>
      <c r="V5790" s="260"/>
      <c r="W5790" s="260"/>
      <c r="X5790" s="259"/>
      <c r="Y5790" s="259"/>
      <c r="Z5790" s="260"/>
      <c r="AA5790" s="260"/>
      <c r="AB5790" s="260"/>
      <c r="AC5790" s="260"/>
      <c r="AD5790" s="259"/>
      <c r="AE5790" s="259"/>
      <c r="AF5790" s="260"/>
      <c r="AG5790" s="330"/>
    </row>
    <row r="5791" spans="14:33" hidden="1">
      <c r="N5791" s="239"/>
      <c r="O5791" s="225"/>
      <c r="P5791" s="260"/>
      <c r="Q5791" s="328"/>
      <c r="R5791" s="260"/>
      <c r="S5791" s="260"/>
      <c r="T5791" s="260"/>
      <c r="U5791" s="260"/>
      <c r="V5791" s="260"/>
      <c r="W5791" s="260"/>
      <c r="X5791" s="259"/>
      <c r="Y5791" s="259"/>
      <c r="Z5791" s="260"/>
      <c r="AA5791" s="260"/>
      <c r="AB5791" s="260"/>
      <c r="AC5791" s="260"/>
      <c r="AD5791" s="259"/>
      <c r="AE5791" s="259"/>
      <c r="AF5791" s="260"/>
      <c r="AG5791" s="330"/>
    </row>
    <row r="5792" spans="14:33" hidden="1">
      <c r="N5792" s="239"/>
      <c r="O5792" s="225"/>
      <c r="P5792" s="260"/>
      <c r="Q5792" s="328"/>
      <c r="R5792" s="260"/>
      <c r="S5792" s="260"/>
      <c r="T5792" s="260"/>
      <c r="U5792" s="260"/>
      <c r="V5792" s="260"/>
      <c r="W5792" s="260"/>
      <c r="X5792" s="259"/>
      <c r="Y5792" s="259"/>
      <c r="Z5792" s="260"/>
      <c r="AA5792" s="260"/>
      <c r="AB5792" s="260"/>
      <c r="AC5792" s="260"/>
      <c r="AD5792" s="259"/>
      <c r="AE5792" s="259"/>
      <c r="AF5792" s="260"/>
      <c r="AG5792" s="330"/>
    </row>
    <row r="5793" spans="14:33" hidden="1">
      <c r="N5793" s="239"/>
      <c r="O5793" s="225"/>
      <c r="P5793" s="260"/>
      <c r="Q5793" s="328"/>
      <c r="R5793" s="260"/>
      <c r="S5793" s="260"/>
      <c r="T5793" s="260"/>
      <c r="U5793" s="260"/>
      <c r="V5793" s="260"/>
      <c r="W5793" s="260"/>
      <c r="X5793" s="259"/>
      <c r="Y5793" s="259"/>
      <c r="Z5793" s="260"/>
      <c r="AA5793" s="260"/>
      <c r="AB5793" s="260"/>
      <c r="AC5793" s="260"/>
      <c r="AD5793" s="259"/>
      <c r="AE5793" s="259"/>
      <c r="AF5793" s="260"/>
      <c r="AG5793" s="330"/>
    </row>
    <row r="5794" spans="14:33" hidden="1">
      <c r="N5794" s="239"/>
      <c r="O5794" s="225"/>
      <c r="P5794" s="260"/>
      <c r="Q5794" s="328"/>
      <c r="R5794" s="260"/>
      <c r="S5794" s="260"/>
      <c r="T5794" s="260"/>
      <c r="U5794" s="260"/>
      <c r="V5794" s="260"/>
      <c r="W5794" s="260"/>
      <c r="X5794" s="259"/>
      <c r="Y5794" s="259"/>
      <c r="Z5794" s="260"/>
      <c r="AA5794" s="260"/>
      <c r="AB5794" s="260"/>
      <c r="AC5794" s="260"/>
      <c r="AD5794" s="259"/>
      <c r="AE5794" s="259"/>
      <c r="AF5794" s="260"/>
      <c r="AG5794" s="330"/>
    </row>
    <row r="5795" spans="14:33" hidden="1">
      <c r="N5795" s="239"/>
      <c r="O5795" s="225"/>
      <c r="P5795" s="260"/>
      <c r="Q5795" s="328"/>
      <c r="R5795" s="260"/>
      <c r="S5795" s="260"/>
      <c r="T5795" s="260"/>
      <c r="U5795" s="260"/>
      <c r="V5795" s="260"/>
      <c r="W5795" s="260"/>
      <c r="X5795" s="259"/>
      <c r="Y5795" s="259"/>
      <c r="Z5795" s="260"/>
      <c r="AA5795" s="260"/>
      <c r="AB5795" s="260"/>
      <c r="AC5795" s="260"/>
      <c r="AD5795" s="259"/>
      <c r="AE5795" s="259"/>
      <c r="AF5795" s="260"/>
      <c r="AG5795" s="330"/>
    </row>
    <row r="5796" spans="14:33" hidden="1">
      <c r="N5796" s="239"/>
      <c r="O5796" s="225"/>
      <c r="P5796" s="260"/>
      <c r="Q5796" s="328"/>
      <c r="R5796" s="260"/>
      <c r="S5796" s="260"/>
      <c r="T5796" s="260"/>
      <c r="U5796" s="260"/>
      <c r="V5796" s="260"/>
      <c r="W5796" s="260"/>
      <c r="X5796" s="259"/>
      <c r="Y5796" s="259"/>
      <c r="Z5796" s="260"/>
      <c r="AA5796" s="260"/>
      <c r="AB5796" s="260"/>
      <c r="AC5796" s="260"/>
      <c r="AD5796" s="259"/>
      <c r="AE5796" s="259"/>
      <c r="AF5796" s="260"/>
      <c r="AG5796" s="330"/>
    </row>
    <row r="5797" spans="14:33" hidden="1">
      <c r="N5797" s="239"/>
      <c r="O5797" s="225"/>
      <c r="P5797" s="260"/>
      <c r="Q5797" s="328"/>
      <c r="R5797" s="260"/>
      <c r="S5797" s="260"/>
      <c r="T5797" s="260"/>
      <c r="U5797" s="260"/>
      <c r="V5797" s="260"/>
      <c r="W5797" s="260"/>
      <c r="X5797" s="259"/>
      <c r="Y5797" s="259"/>
      <c r="Z5797" s="260"/>
      <c r="AA5797" s="260"/>
      <c r="AB5797" s="260"/>
      <c r="AC5797" s="260"/>
      <c r="AD5797" s="259"/>
      <c r="AE5797" s="259"/>
      <c r="AF5797" s="260"/>
      <c r="AG5797" s="330"/>
    </row>
    <row r="5798" spans="14:33" hidden="1">
      <c r="N5798" s="239"/>
      <c r="O5798" s="225"/>
      <c r="P5798" s="260"/>
      <c r="Q5798" s="328"/>
      <c r="R5798" s="260"/>
      <c r="S5798" s="260"/>
      <c r="T5798" s="260"/>
      <c r="U5798" s="260"/>
      <c r="V5798" s="260"/>
      <c r="W5798" s="260"/>
      <c r="X5798" s="259"/>
      <c r="Y5798" s="259"/>
      <c r="Z5798" s="260"/>
      <c r="AA5798" s="260"/>
      <c r="AB5798" s="260"/>
      <c r="AC5798" s="260"/>
      <c r="AD5798" s="259"/>
      <c r="AE5798" s="259"/>
      <c r="AF5798" s="260"/>
      <c r="AG5798" s="330"/>
    </row>
    <row r="5799" spans="14:33" hidden="1">
      <c r="N5799" s="239"/>
      <c r="O5799" s="225"/>
      <c r="P5799" s="260"/>
      <c r="Q5799" s="328"/>
      <c r="R5799" s="260"/>
      <c r="S5799" s="260"/>
      <c r="T5799" s="260"/>
      <c r="U5799" s="260"/>
      <c r="V5799" s="260"/>
      <c r="W5799" s="260"/>
      <c r="X5799" s="259"/>
      <c r="Y5799" s="259"/>
      <c r="Z5799" s="260"/>
      <c r="AA5799" s="260"/>
      <c r="AB5799" s="260"/>
      <c r="AC5799" s="260"/>
      <c r="AD5799" s="259"/>
      <c r="AE5799" s="259"/>
      <c r="AF5799" s="260"/>
      <c r="AG5799" s="330"/>
    </row>
    <row r="5800" spans="14:33" hidden="1">
      <c r="N5800" s="239"/>
      <c r="O5800" s="225"/>
      <c r="P5800" s="260"/>
      <c r="Q5800" s="328"/>
      <c r="R5800" s="260"/>
      <c r="S5800" s="260"/>
      <c r="T5800" s="260"/>
      <c r="U5800" s="260"/>
      <c r="V5800" s="260"/>
      <c r="W5800" s="260"/>
      <c r="X5800" s="259"/>
      <c r="Y5800" s="259"/>
      <c r="Z5800" s="260"/>
      <c r="AA5800" s="260"/>
      <c r="AB5800" s="260"/>
      <c r="AC5800" s="260"/>
      <c r="AD5800" s="259"/>
      <c r="AE5800" s="259"/>
      <c r="AF5800" s="260"/>
      <c r="AG5800" s="330"/>
    </row>
    <row r="5801" spans="14:33" hidden="1">
      <c r="N5801" s="239"/>
      <c r="O5801" s="225"/>
      <c r="P5801" s="260"/>
      <c r="Q5801" s="328"/>
      <c r="R5801" s="260"/>
      <c r="S5801" s="260"/>
      <c r="T5801" s="260"/>
      <c r="U5801" s="260"/>
      <c r="V5801" s="260"/>
      <c r="W5801" s="260"/>
      <c r="X5801" s="259"/>
      <c r="Y5801" s="259"/>
      <c r="Z5801" s="260"/>
      <c r="AA5801" s="260"/>
      <c r="AB5801" s="260"/>
      <c r="AC5801" s="260"/>
      <c r="AD5801" s="259"/>
      <c r="AE5801" s="259"/>
      <c r="AF5801" s="260"/>
      <c r="AG5801" s="330"/>
    </row>
    <row r="5802" spans="14:33" hidden="1">
      <c r="N5802" s="239"/>
      <c r="O5802" s="225"/>
      <c r="P5802" s="260"/>
      <c r="Q5802" s="328"/>
      <c r="R5802" s="260"/>
      <c r="S5802" s="260"/>
      <c r="T5802" s="260"/>
      <c r="U5802" s="260"/>
      <c r="V5802" s="260"/>
      <c r="W5802" s="260"/>
      <c r="X5802" s="259"/>
      <c r="Y5802" s="259"/>
      <c r="Z5802" s="260"/>
      <c r="AA5802" s="260"/>
      <c r="AB5802" s="260"/>
      <c r="AC5802" s="260"/>
      <c r="AD5802" s="259"/>
      <c r="AE5802" s="259"/>
      <c r="AF5802" s="260"/>
      <c r="AG5802" s="330"/>
    </row>
    <row r="5803" spans="14:33" hidden="1">
      <c r="N5803" s="239"/>
      <c r="O5803" s="225"/>
      <c r="P5803" s="260"/>
      <c r="Q5803" s="328"/>
      <c r="R5803" s="260"/>
      <c r="S5803" s="260"/>
      <c r="T5803" s="260"/>
      <c r="U5803" s="260"/>
      <c r="V5803" s="260"/>
      <c r="W5803" s="260"/>
      <c r="X5803" s="259"/>
      <c r="Y5803" s="259"/>
      <c r="Z5803" s="260"/>
      <c r="AA5803" s="260"/>
      <c r="AB5803" s="260"/>
      <c r="AC5803" s="260"/>
      <c r="AD5803" s="259"/>
      <c r="AE5803" s="259"/>
      <c r="AF5803" s="260"/>
      <c r="AG5803" s="330"/>
    </row>
    <row r="5804" spans="14:33" hidden="1">
      <c r="N5804" s="239"/>
      <c r="O5804" s="225"/>
      <c r="P5804" s="260"/>
      <c r="Q5804" s="328"/>
      <c r="R5804" s="260"/>
      <c r="S5804" s="260"/>
      <c r="T5804" s="260"/>
      <c r="U5804" s="260"/>
      <c r="V5804" s="260"/>
      <c r="W5804" s="260"/>
      <c r="X5804" s="259"/>
      <c r="Y5804" s="259"/>
      <c r="Z5804" s="260"/>
      <c r="AA5804" s="260"/>
      <c r="AB5804" s="260"/>
      <c r="AC5804" s="260"/>
      <c r="AD5804" s="259"/>
      <c r="AE5804" s="259"/>
      <c r="AF5804" s="260"/>
      <c r="AG5804" s="330"/>
    </row>
    <row r="5805" spans="14:33">
      <c r="N5805" s="236" t="s">
        <v>2985</v>
      </c>
      <c r="O5805" s="225" t="s">
        <v>2972</v>
      </c>
      <c r="P5805" s="257"/>
      <c r="Q5805" s="328"/>
      <c r="R5805" s="260"/>
      <c r="S5805" s="260"/>
      <c r="T5805" s="260"/>
      <c r="U5805" s="260"/>
      <c r="V5805" s="260"/>
      <c r="W5805" s="260"/>
      <c r="X5805" s="259"/>
      <c r="Y5805" s="259"/>
      <c r="Z5805" s="262"/>
      <c r="AA5805" s="260"/>
      <c r="AB5805" s="260"/>
      <c r="AC5805" s="260"/>
      <c r="AD5805" s="259"/>
      <c r="AE5805" s="259"/>
      <c r="AF5805" s="262"/>
      <c r="AG5805" s="321"/>
    </row>
    <row r="5806" spans="14:33">
      <c r="N5806" s="236" t="s">
        <v>2987</v>
      </c>
      <c r="O5806" s="225" t="s">
        <v>2988</v>
      </c>
      <c r="P5806" s="257"/>
      <c r="Q5806" s="328"/>
      <c r="R5806" s="260"/>
      <c r="S5806" s="260"/>
      <c r="T5806" s="260"/>
      <c r="U5806" s="260"/>
      <c r="V5806" s="260"/>
      <c r="W5806" s="260"/>
      <c r="X5806" s="259"/>
      <c r="Y5806" s="259"/>
      <c r="Z5806" s="262"/>
      <c r="AA5806" s="260"/>
      <c r="AB5806" s="260"/>
      <c r="AC5806" s="260"/>
      <c r="AD5806" s="259"/>
      <c r="AE5806" s="259"/>
      <c r="AF5806" s="262"/>
      <c r="AG5806" s="321"/>
    </row>
    <row r="5807" spans="14:33" hidden="1">
      <c r="N5807" s="239"/>
      <c r="O5807" s="226"/>
      <c r="P5807" s="260"/>
      <c r="Q5807" s="328"/>
      <c r="R5807" s="260"/>
      <c r="S5807" s="260"/>
      <c r="T5807" s="260"/>
      <c r="U5807" s="260"/>
      <c r="V5807" s="260"/>
      <c r="W5807" s="260"/>
      <c r="X5807" s="259"/>
      <c r="Y5807" s="259"/>
      <c r="Z5807" s="260"/>
      <c r="AA5807" s="260"/>
      <c r="AB5807" s="260"/>
      <c r="AC5807" s="260"/>
      <c r="AD5807" s="259"/>
      <c r="AE5807" s="259"/>
      <c r="AF5807" s="260"/>
      <c r="AG5807" s="330"/>
    </row>
    <row r="5808" spans="14:33" hidden="1">
      <c r="N5808" s="239"/>
      <c r="O5808" s="227"/>
      <c r="P5808" s="260"/>
      <c r="Q5808" s="328"/>
      <c r="R5808" s="260"/>
      <c r="S5808" s="260"/>
      <c r="T5808" s="260"/>
      <c r="U5808" s="260"/>
      <c r="V5808" s="260"/>
      <c r="W5808" s="260"/>
      <c r="X5808" s="259"/>
      <c r="Y5808" s="259"/>
      <c r="Z5808" s="260"/>
      <c r="AA5808" s="260"/>
      <c r="AB5808" s="260"/>
      <c r="AC5808" s="260"/>
      <c r="AD5808" s="259"/>
      <c r="AE5808" s="259"/>
      <c r="AF5808" s="260"/>
      <c r="AG5808" s="330"/>
    </row>
    <row r="5809" spans="14:33" hidden="1">
      <c r="N5809" s="239"/>
      <c r="O5809" s="227"/>
      <c r="P5809" s="260"/>
      <c r="Q5809" s="328"/>
      <c r="R5809" s="260"/>
      <c r="S5809" s="260"/>
      <c r="T5809" s="260"/>
      <c r="U5809" s="260"/>
      <c r="V5809" s="260"/>
      <c r="W5809" s="260"/>
      <c r="X5809" s="259"/>
      <c r="Y5809" s="259"/>
      <c r="Z5809" s="260"/>
      <c r="AA5809" s="260"/>
      <c r="AB5809" s="260"/>
      <c r="AC5809" s="260"/>
      <c r="AD5809" s="259"/>
      <c r="AE5809" s="259"/>
      <c r="AF5809" s="260"/>
      <c r="AG5809" s="330"/>
    </row>
    <row r="5810" spans="14:33" hidden="1">
      <c r="N5810" s="239"/>
      <c r="O5810" s="226"/>
      <c r="P5810" s="260"/>
      <c r="Q5810" s="328"/>
      <c r="R5810" s="260"/>
      <c r="S5810" s="260"/>
      <c r="T5810" s="260"/>
      <c r="U5810" s="260"/>
      <c r="V5810" s="260"/>
      <c r="W5810" s="260"/>
      <c r="X5810" s="259"/>
      <c r="Y5810" s="259"/>
      <c r="Z5810" s="260"/>
      <c r="AA5810" s="260"/>
      <c r="AB5810" s="260"/>
      <c r="AC5810" s="260"/>
      <c r="AD5810" s="259"/>
      <c r="AE5810" s="259"/>
      <c r="AF5810" s="260"/>
      <c r="AG5810" s="330"/>
    </row>
    <row r="5811" spans="14:33" hidden="1">
      <c r="N5811" s="239"/>
      <c r="O5811" s="227"/>
      <c r="P5811" s="260"/>
      <c r="Q5811" s="328"/>
      <c r="R5811" s="260"/>
      <c r="S5811" s="260"/>
      <c r="T5811" s="260"/>
      <c r="U5811" s="260"/>
      <c r="V5811" s="260"/>
      <c r="W5811" s="260"/>
      <c r="X5811" s="259"/>
      <c r="Y5811" s="259"/>
      <c r="Z5811" s="260"/>
      <c r="AA5811" s="260"/>
      <c r="AB5811" s="260"/>
      <c r="AC5811" s="260"/>
      <c r="AD5811" s="259"/>
      <c r="AE5811" s="259"/>
      <c r="AF5811" s="260"/>
      <c r="AG5811" s="330"/>
    </row>
    <row r="5812" spans="14:33" hidden="1">
      <c r="N5812" s="239"/>
      <c r="O5812" s="227"/>
      <c r="P5812" s="260"/>
      <c r="Q5812" s="328"/>
      <c r="R5812" s="260"/>
      <c r="S5812" s="260"/>
      <c r="T5812" s="260"/>
      <c r="U5812" s="260"/>
      <c r="V5812" s="260"/>
      <c r="W5812" s="260"/>
      <c r="X5812" s="259"/>
      <c r="Y5812" s="259"/>
      <c r="Z5812" s="260"/>
      <c r="AA5812" s="260"/>
      <c r="AB5812" s="260"/>
      <c r="AC5812" s="260"/>
      <c r="AD5812" s="259"/>
      <c r="AE5812" s="259"/>
      <c r="AF5812" s="260"/>
      <c r="AG5812" s="330"/>
    </row>
    <row r="5813" spans="14:33" hidden="1">
      <c r="N5813" s="239"/>
      <c r="O5813" s="226"/>
      <c r="P5813" s="260"/>
      <c r="Q5813" s="328"/>
      <c r="R5813" s="260"/>
      <c r="S5813" s="260"/>
      <c r="T5813" s="260"/>
      <c r="U5813" s="260"/>
      <c r="V5813" s="260"/>
      <c r="W5813" s="260"/>
      <c r="X5813" s="259"/>
      <c r="Y5813" s="259"/>
      <c r="Z5813" s="260"/>
      <c r="AA5813" s="260"/>
      <c r="AB5813" s="260"/>
      <c r="AC5813" s="260"/>
      <c r="AD5813" s="259"/>
      <c r="AE5813" s="259"/>
      <c r="AF5813" s="260"/>
      <c r="AG5813" s="330"/>
    </row>
    <row r="5814" spans="14:33" hidden="1">
      <c r="N5814" s="239"/>
      <c r="O5814" s="225"/>
      <c r="P5814" s="260"/>
      <c r="Q5814" s="328"/>
      <c r="R5814" s="260"/>
      <c r="S5814" s="260"/>
      <c r="T5814" s="260"/>
      <c r="U5814" s="260"/>
      <c r="V5814" s="260"/>
      <c r="W5814" s="260"/>
      <c r="X5814" s="259"/>
      <c r="Y5814" s="259"/>
      <c r="Z5814" s="260"/>
      <c r="AA5814" s="260"/>
      <c r="AB5814" s="260"/>
      <c r="AC5814" s="260"/>
      <c r="AD5814" s="259"/>
      <c r="AE5814" s="259"/>
      <c r="AF5814" s="260"/>
      <c r="AG5814" s="330"/>
    </row>
    <row r="5815" spans="14:33" hidden="1">
      <c r="N5815" s="239"/>
      <c r="O5815" s="225"/>
      <c r="P5815" s="260"/>
      <c r="Q5815" s="328"/>
      <c r="R5815" s="260"/>
      <c r="S5815" s="260"/>
      <c r="T5815" s="260"/>
      <c r="U5815" s="260"/>
      <c r="V5815" s="260"/>
      <c r="W5815" s="260"/>
      <c r="X5815" s="259"/>
      <c r="Y5815" s="259"/>
      <c r="Z5815" s="260"/>
      <c r="AA5815" s="260"/>
      <c r="AB5815" s="260"/>
      <c r="AC5815" s="260"/>
      <c r="AD5815" s="259"/>
      <c r="AE5815" s="259"/>
      <c r="AF5815" s="260"/>
      <c r="AG5815" s="330"/>
    </row>
    <row r="5816" spans="14:33" customFormat="1" hidden="1">
      <c r="N5816" s="239"/>
      <c r="O5816" s="225"/>
      <c r="P5816" s="260"/>
      <c r="Q5816" s="328"/>
      <c r="R5816" s="260"/>
      <c r="S5816" s="260"/>
      <c r="T5816" s="260"/>
      <c r="U5816" s="260"/>
      <c r="V5816" s="260"/>
      <c r="W5816" s="260"/>
      <c r="X5816" s="259"/>
      <c r="Y5816" s="259"/>
      <c r="Z5816" s="260"/>
      <c r="AA5816" s="260"/>
      <c r="AB5816" s="260"/>
      <c r="AC5816" s="260"/>
      <c r="AD5816" s="259"/>
      <c r="AE5816" s="259"/>
      <c r="AF5816" s="260"/>
      <c r="AG5816" s="330"/>
    </row>
    <row r="5817" spans="14:33" customFormat="1" hidden="1">
      <c r="N5817" s="239"/>
      <c r="O5817" s="225"/>
      <c r="P5817" s="260"/>
      <c r="Q5817" s="328"/>
      <c r="R5817" s="260"/>
      <c r="S5817" s="260"/>
      <c r="T5817" s="260"/>
      <c r="U5817" s="260"/>
      <c r="V5817" s="260"/>
      <c r="W5817" s="260"/>
      <c r="X5817" s="259"/>
      <c r="Y5817" s="259"/>
      <c r="Z5817" s="260"/>
      <c r="AA5817" s="260"/>
      <c r="AB5817" s="260"/>
      <c r="AC5817" s="260"/>
      <c r="AD5817" s="259"/>
      <c r="AE5817" s="259"/>
      <c r="AF5817" s="260"/>
      <c r="AG5817" s="330"/>
    </row>
    <row r="5818" spans="14:33" hidden="1">
      <c r="N5818" s="239"/>
      <c r="O5818" s="225"/>
      <c r="P5818" s="260"/>
      <c r="Q5818" s="328"/>
      <c r="R5818" s="260"/>
      <c r="S5818" s="260"/>
      <c r="T5818" s="260"/>
      <c r="U5818" s="260"/>
      <c r="V5818" s="260"/>
      <c r="W5818" s="260"/>
      <c r="X5818" s="259"/>
      <c r="Y5818" s="259"/>
      <c r="Z5818" s="260"/>
      <c r="AA5818" s="260"/>
      <c r="AB5818" s="260"/>
      <c r="AC5818" s="260"/>
      <c r="AD5818" s="259"/>
      <c r="AE5818" s="259"/>
      <c r="AF5818" s="260"/>
      <c r="AG5818" s="330"/>
    </row>
    <row r="5819" spans="14:33" hidden="1">
      <c r="N5819" s="239"/>
      <c r="O5819" s="225"/>
      <c r="P5819" s="260"/>
      <c r="Q5819" s="328"/>
      <c r="R5819" s="260"/>
      <c r="S5819" s="260"/>
      <c r="T5819" s="260"/>
      <c r="U5819" s="260"/>
      <c r="V5819" s="260"/>
      <c r="W5819" s="260"/>
      <c r="X5819" s="259"/>
      <c r="Y5819" s="259"/>
      <c r="Z5819" s="260"/>
      <c r="AA5819" s="260"/>
      <c r="AB5819" s="260"/>
      <c r="AC5819" s="260"/>
      <c r="AD5819" s="259"/>
      <c r="AE5819" s="259"/>
      <c r="AF5819" s="260"/>
      <c r="AG5819" s="330"/>
    </row>
    <row r="5820" spans="14:33" hidden="1">
      <c r="N5820" s="239"/>
      <c r="O5820" s="225"/>
      <c r="P5820" s="260"/>
      <c r="Q5820" s="328"/>
      <c r="R5820" s="260"/>
      <c r="S5820" s="260"/>
      <c r="T5820" s="260"/>
      <c r="U5820" s="260"/>
      <c r="V5820" s="260"/>
      <c r="W5820" s="260"/>
      <c r="X5820" s="259"/>
      <c r="Y5820" s="259"/>
      <c r="Z5820" s="260"/>
      <c r="AA5820" s="260"/>
      <c r="AB5820" s="260"/>
      <c r="AC5820" s="260"/>
      <c r="AD5820" s="259"/>
      <c r="AE5820" s="259"/>
      <c r="AF5820" s="260"/>
      <c r="AG5820" s="330"/>
    </row>
    <row r="5821" spans="14:33" hidden="1">
      <c r="N5821" s="239"/>
      <c r="O5821" s="225"/>
      <c r="P5821" s="260"/>
      <c r="Q5821" s="328"/>
      <c r="R5821" s="260"/>
      <c r="S5821" s="260"/>
      <c r="T5821" s="260"/>
      <c r="U5821" s="260"/>
      <c r="V5821" s="260"/>
      <c r="W5821" s="260"/>
      <c r="X5821" s="259"/>
      <c r="Y5821" s="259"/>
      <c r="Z5821" s="260"/>
      <c r="AA5821" s="260"/>
      <c r="AB5821" s="260"/>
      <c r="AC5821" s="260"/>
      <c r="AD5821" s="259"/>
      <c r="AE5821" s="259"/>
      <c r="AF5821" s="260"/>
      <c r="AG5821" s="330"/>
    </row>
    <row r="5822" spans="14:33" hidden="1">
      <c r="N5822" s="239"/>
      <c r="O5822" s="225"/>
      <c r="P5822" s="260"/>
      <c r="Q5822" s="328"/>
      <c r="R5822" s="260"/>
      <c r="S5822" s="260"/>
      <c r="T5822" s="260"/>
      <c r="U5822" s="260"/>
      <c r="V5822" s="260"/>
      <c r="W5822" s="260"/>
      <c r="X5822" s="259"/>
      <c r="Y5822" s="259"/>
      <c r="Z5822" s="260"/>
      <c r="AA5822" s="260"/>
      <c r="AB5822" s="260"/>
      <c r="AC5822" s="260"/>
      <c r="AD5822" s="259"/>
      <c r="AE5822" s="259"/>
      <c r="AF5822" s="260"/>
      <c r="AG5822" s="330"/>
    </row>
    <row r="5823" spans="14:33" hidden="1">
      <c r="N5823" s="239"/>
      <c r="O5823" s="225"/>
      <c r="P5823" s="260"/>
      <c r="Q5823" s="328"/>
      <c r="R5823" s="260"/>
      <c r="S5823" s="260"/>
      <c r="T5823" s="260"/>
      <c r="U5823" s="260"/>
      <c r="V5823" s="260"/>
      <c r="W5823" s="260"/>
      <c r="X5823" s="259"/>
      <c r="Y5823" s="259"/>
      <c r="Z5823" s="260"/>
      <c r="AA5823" s="260"/>
      <c r="AB5823" s="260"/>
      <c r="AC5823" s="260"/>
      <c r="AD5823" s="259"/>
      <c r="AE5823" s="259"/>
      <c r="AF5823" s="260"/>
      <c r="AG5823" s="330"/>
    </row>
    <row r="5824" spans="14:33" hidden="1">
      <c r="N5824" s="239"/>
      <c r="O5824" s="225"/>
      <c r="P5824" s="260"/>
      <c r="Q5824" s="328"/>
      <c r="R5824" s="260"/>
      <c r="S5824" s="260"/>
      <c r="T5824" s="260"/>
      <c r="U5824" s="260"/>
      <c r="V5824" s="260"/>
      <c r="W5824" s="260"/>
      <c r="X5824" s="259"/>
      <c r="Y5824" s="259"/>
      <c r="Z5824" s="260"/>
      <c r="AA5824" s="260"/>
      <c r="AB5824" s="260"/>
      <c r="AC5824" s="260"/>
      <c r="AD5824" s="259"/>
      <c r="AE5824" s="259"/>
      <c r="AF5824" s="260"/>
      <c r="AG5824" s="330"/>
    </row>
    <row r="5825" spans="14:33" hidden="1">
      <c r="N5825" s="239"/>
      <c r="O5825" s="225"/>
      <c r="P5825" s="260"/>
      <c r="Q5825" s="328"/>
      <c r="R5825" s="260"/>
      <c r="S5825" s="260"/>
      <c r="T5825" s="260"/>
      <c r="U5825" s="260"/>
      <c r="V5825" s="260"/>
      <c r="W5825" s="260"/>
      <c r="X5825" s="259"/>
      <c r="Y5825" s="259"/>
      <c r="Z5825" s="260"/>
      <c r="AA5825" s="260"/>
      <c r="AB5825" s="260"/>
      <c r="AC5825" s="260"/>
      <c r="AD5825" s="259"/>
      <c r="AE5825" s="259"/>
      <c r="AF5825" s="260"/>
      <c r="AG5825" s="330"/>
    </row>
    <row r="5826" spans="14:33" hidden="1">
      <c r="N5826" s="239"/>
      <c r="O5826" s="225"/>
      <c r="P5826" s="260"/>
      <c r="Q5826" s="328"/>
      <c r="R5826" s="260"/>
      <c r="S5826" s="260"/>
      <c r="T5826" s="260"/>
      <c r="U5826" s="260"/>
      <c r="V5826" s="260"/>
      <c r="W5826" s="260"/>
      <c r="X5826" s="259"/>
      <c r="Y5826" s="259"/>
      <c r="Z5826" s="260"/>
      <c r="AA5826" s="260"/>
      <c r="AB5826" s="260"/>
      <c r="AC5826" s="260"/>
      <c r="AD5826" s="259"/>
      <c r="AE5826" s="259"/>
      <c r="AF5826" s="260"/>
      <c r="AG5826" s="330"/>
    </row>
    <row r="5827" spans="14:33" hidden="1">
      <c r="N5827" s="239"/>
      <c r="O5827" s="225"/>
      <c r="P5827" s="260"/>
      <c r="Q5827" s="328"/>
      <c r="R5827" s="260"/>
      <c r="S5827" s="260"/>
      <c r="T5827" s="260"/>
      <c r="U5827" s="260"/>
      <c r="V5827" s="260"/>
      <c r="W5827" s="260"/>
      <c r="X5827" s="259"/>
      <c r="Y5827" s="259"/>
      <c r="Z5827" s="260"/>
      <c r="AA5827" s="260"/>
      <c r="AB5827" s="260"/>
      <c r="AC5827" s="260"/>
      <c r="AD5827" s="259"/>
      <c r="AE5827" s="259"/>
      <c r="AF5827" s="260"/>
      <c r="AG5827" s="330"/>
    </row>
    <row r="5828" spans="14:33" hidden="1">
      <c r="N5828" s="239"/>
      <c r="O5828" s="225"/>
      <c r="P5828" s="260"/>
      <c r="Q5828" s="328"/>
      <c r="R5828" s="260"/>
      <c r="S5828" s="260"/>
      <c r="T5828" s="260"/>
      <c r="U5828" s="260"/>
      <c r="V5828" s="260"/>
      <c r="W5828" s="260"/>
      <c r="X5828" s="259"/>
      <c r="Y5828" s="259"/>
      <c r="Z5828" s="260"/>
      <c r="AA5828" s="260"/>
      <c r="AB5828" s="260"/>
      <c r="AC5828" s="260"/>
      <c r="AD5828" s="259"/>
      <c r="AE5828" s="259"/>
      <c r="AF5828" s="260"/>
      <c r="AG5828" s="330"/>
    </row>
    <row r="5829" spans="14:33" hidden="1">
      <c r="N5829" s="239"/>
      <c r="O5829" s="225"/>
      <c r="P5829" s="260"/>
      <c r="Q5829" s="328"/>
      <c r="R5829" s="260"/>
      <c r="S5829" s="260"/>
      <c r="T5829" s="260"/>
      <c r="U5829" s="260"/>
      <c r="V5829" s="260"/>
      <c r="W5829" s="260"/>
      <c r="X5829" s="259"/>
      <c r="Y5829" s="259"/>
      <c r="Z5829" s="260"/>
      <c r="AA5829" s="260"/>
      <c r="AB5829" s="260"/>
      <c r="AC5829" s="260"/>
      <c r="AD5829" s="259"/>
      <c r="AE5829" s="259"/>
      <c r="AF5829" s="260"/>
      <c r="AG5829" s="330"/>
    </row>
    <row r="5830" spans="14:33" hidden="1">
      <c r="N5830" s="239"/>
      <c r="O5830" s="225"/>
      <c r="P5830" s="260"/>
      <c r="Q5830" s="328"/>
      <c r="R5830" s="260"/>
      <c r="S5830" s="260"/>
      <c r="T5830" s="260"/>
      <c r="U5830" s="260"/>
      <c r="V5830" s="260"/>
      <c r="W5830" s="260"/>
      <c r="X5830" s="259"/>
      <c r="Y5830" s="259"/>
      <c r="Z5830" s="260"/>
      <c r="AA5830" s="260"/>
      <c r="AB5830" s="260"/>
      <c r="AC5830" s="260"/>
      <c r="AD5830" s="259"/>
      <c r="AE5830" s="259"/>
      <c r="AF5830" s="260"/>
      <c r="AG5830" s="330"/>
    </row>
    <row r="5831" spans="14:33">
      <c r="N5831" s="239"/>
      <c r="O5831" s="225"/>
      <c r="P5831" s="260"/>
      <c r="Q5831" s="328"/>
      <c r="R5831" s="260"/>
      <c r="S5831" s="260"/>
      <c r="T5831" s="260"/>
      <c r="U5831" s="260"/>
      <c r="V5831" s="260"/>
      <c r="W5831" s="260"/>
      <c r="X5831" s="259"/>
      <c r="Y5831" s="259"/>
      <c r="Z5831" s="260"/>
      <c r="AA5831" s="260"/>
      <c r="AB5831" s="260"/>
      <c r="AC5831" s="260"/>
      <c r="AD5831" s="259"/>
      <c r="AE5831" s="259"/>
      <c r="AF5831" s="260"/>
      <c r="AG5831" s="330"/>
    </row>
    <row r="5832" spans="14:33">
      <c r="N5832" s="234" t="s">
        <v>769</v>
      </c>
      <c r="O5832" s="235" t="s">
        <v>2991</v>
      </c>
      <c r="P5832" s="257"/>
      <c r="Q5832" s="328"/>
      <c r="R5832" s="259"/>
      <c r="S5832" s="259"/>
      <c r="T5832" s="262"/>
      <c r="U5832" s="259"/>
      <c r="V5832" s="259"/>
      <c r="W5832" s="262"/>
      <c r="X5832" s="259"/>
      <c r="Y5832" s="259"/>
      <c r="Z5832" s="262"/>
      <c r="AA5832" s="259"/>
      <c r="AB5832" s="259"/>
      <c r="AC5832" s="262"/>
      <c r="AD5832" s="259"/>
      <c r="AE5832" s="259"/>
      <c r="AF5832" s="262"/>
      <c r="AG5832" s="321"/>
    </row>
    <row r="5833" spans="14:33">
      <c r="N5833" s="234" t="s">
        <v>770</v>
      </c>
      <c r="O5833" s="442" t="s">
        <v>2992</v>
      </c>
      <c r="P5833" s="257"/>
      <c r="Q5833" s="328"/>
      <c r="R5833" s="259"/>
      <c r="S5833" s="259"/>
      <c r="T5833" s="262"/>
      <c r="U5833" s="259"/>
      <c r="V5833" s="259"/>
      <c r="W5833" s="262"/>
      <c r="X5833" s="259"/>
      <c r="Y5833" s="259"/>
      <c r="Z5833" s="262"/>
      <c r="AA5833" s="259"/>
      <c r="AB5833" s="259"/>
      <c r="AC5833" s="262"/>
      <c r="AD5833" s="259"/>
      <c r="AE5833" s="259"/>
      <c r="AF5833" s="262"/>
      <c r="AG5833" s="321"/>
    </row>
    <row r="5834" spans="14:33">
      <c r="N5834" s="236" t="s">
        <v>2993</v>
      </c>
      <c r="O5834" s="225" t="s">
        <v>2994</v>
      </c>
      <c r="P5834" s="257"/>
      <c r="Q5834" s="328"/>
      <c r="R5834" s="259"/>
      <c r="S5834" s="259"/>
      <c r="T5834" s="262"/>
      <c r="U5834" s="259"/>
      <c r="V5834" s="259"/>
      <c r="W5834" s="262"/>
      <c r="X5834" s="259"/>
      <c r="Y5834" s="259"/>
      <c r="Z5834" s="262"/>
      <c r="AA5834" s="259"/>
      <c r="AB5834" s="259"/>
      <c r="AC5834" s="262"/>
      <c r="AD5834" s="259"/>
      <c r="AE5834" s="259"/>
      <c r="AF5834" s="262"/>
      <c r="AG5834" s="321"/>
    </row>
    <row r="5835" spans="14:33">
      <c r="N5835" s="236" t="s">
        <v>2995</v>
      </c>
      <c r="O5835" s="482" t="s">
        <v>2791</v>
      </c>
      <c r="P5835" s="257"/>
      <c r="Q5835" s="328"/>
      <c r="R5835" s="259"/>
      <c r="S5835" s="259"/>
      <c r="T5835" s="262"/>
      <c r="U5835" s="259"/>
      <c r="V5835" s="259"/>
      <c r="W5835" s="262"/>
      <c r="X5835" s="259"/>
      <c r="Y5835" s="259"/>
      <c r="Z5835" s="262"/>
      <c r="AA5835" s="259"/>
      <c r="AB5835" s="259"/>
      <c r="AC5835" s="262"/>
      <c r="AD5835" s="259"/>
      <c r="AE5835" s="259"/>
      <c r="AF5835" s="262"/>
      <c r="AG5835" s="321"/>
    </row>
    <row r="5836" spans="14:33">
      <c r="N5836" s="594" t="str">
        <f>IF(TEMPLATE_CLAIM="P","5.1.1.1.1","")</f>
        <v/>
      </c>
      <c r="O5836" s="593" t="str">
        <f>IF(TEMPLATE_CLAIM="P","от станций с мощностью производства &gt;= 25 МВт","")</f>
        <v/>
      </c>
      <c r="P5836" s="257"/>
      <c r="Q5836" s="328"/>
      <c r="R5836" s="259"/>
      <c r="S5836" s="259"/>
      <c r="T5836" s="262"/>
      <c r="U5836" s="259"/>
      <c r="V5836" s="259"/>
      <c r="W5836" s="262"/>
      <c r="X5836" s="259"/>
      <c r="Y5836" s="259"/>
      <c r="Z5836" s="262"/>
      <c r="AA5836" s="259"/>
      <c r="AB5836" s="259"/>
      <c r="AC5836" s="262"/>
      <c r="AD5836" s="259"/>
      <c r="AE5836" s="259"/>
      <c r="AF5836" s="262"/>
      <c r="AG5836" s="321"/>
    </row>
    <row r="5837" spans="14:33">
      <c r="N5837" s="594" t="str">
        <f>IF(TEMPLATE_CLAIM="P","5.1.1.1.2","")</f>
        <v/>
      </c>
      <c r="O5837" s="593" t="str">
        <f>IF(TEMPLATE_CLAIM="P","от станций с мощностью производства &lt; 25 МВт","")</f>
        <v/>
      </c>
      <c r="P5837" s="257"/>
      <c r="Q5837" s="328"/>
      <c r="R5837" s="259"/>
      <c r="S5837" s="259"/>
      <c r="T5837" s="262"/>
      <c r="U5837" s="259"/>
      <c r="V5837" s="259"/>
      <c r="W5837" s="262"/>
      <c r="X5837" s="259"/>
      <c r="Y5837" s="259"/>
      <c r="Z5837" s="262"/>
      <c r="AA5837" s="259"/>
      <c r="AB5837" s="259"/>
      <c r="AC5837" s="262"/>
      <c r="AD5837" s="259"/>
      <c r="AE5837" s="259"/>
      <c r="AF5837" s="262"/>
      <c r="AG5837" s="321"/>
    </row>
    <row r="5838" spans="14:33">
      <c r="N5838" s="236"/>
      <c r="O5838" s="243"/>
      <c r="P5838" s="260"/>
      <c r="Q5838" s="328"/>
      <c r="R5838" s="259"/>
      <c r="S5838" s="259"/>
      <c r="T5838" s="260"/>
      <c r="U5838" s="259"/>
      <c r="V5838" s="259"/>
      <c r="W5838" s="260"/>
      <c r="X5838" s="259"/>
      <c r="Y5838" s="259"/>
      <c r="Z5838" s="260"/>
      <c r="AA5838" s="259"/>
      <c r="AB5838" s="259"/>
      <c r="AC5838" s="260"/>
      <c r="AD5838" s="259"/>
      <c r="AE5838" s="259"/>
      <c r="AF5838" s="260"/>
      <c r="AG5838" s="330"/>
    </row>
    <row r="5839" spans="14:33">
      <c r="N5839" s="236" t="s">
        <v>2998</v>
      </c>
      <c r="O5839" s="482" t="s">
        <v>755</v>
      </c>
      <c r="P5839" s="257"/>
      <c r="Q5839" s="328"/>
      <c r="R5839" s="259"/>
      <c r="S5839" s="259"/>
      <c r="T5839" s="262"/>
      <c r="U5839" s="259"/>
      <c r="V5839" s="259"/>
      <c r="W5839" s="262"/>
      <c r="X5839" s="259"/>
      <c r="Y5839" s="259"/>
      <c r="Z5839" s="262"/>
      <c r="AA5839" s="259"/>
      <c r="AB5839" s="259"/>
      <c r="AC5839" s="262"/>
      <c r="AD5839" s="259"/>
      <c r="AE5839" s="259"/>
      <c r="AF5839" s="262"/>
      <c r="AG5839" s="321"/>
    </row>
    <row r="5840" spans="14:33">
      <c r="N5840" s="594" t="str">
        <f>IF(TEMPLATE_CLAIM="P","5.1.1.2.1","")</f>
        <v/>
      </c>
      <c r="O5840" s="593" t="str">
        <f>IF(TEMPLATE_CLAIM="P","от станций с мощностью производства &gt;= 25 МВт","")</f>
        <v/>
      </c>
      <c r="P5840" s="257"/>
      <c r="Q5840" s="328"/>
      <c r="R5840" s="259"/>
      <c r="S5840" s="259"/>
      <c r="T5840" s="262"/>
      <c r="U5840" s="259"/>
      <c r="V5840" s="259"/>
      <c r="W5840" s="262"/>
      <c r="X5840" s="259"/>
      <c r="Y5840" s="259"/>
      <c r="Z5840" s="262"/>
      <c r="AA5840" s="259"/>
      <c r="AB5840" s="259"/>
      <c r="AC5840" s="262"/>
      <c r="AD5840" s="259"/>
      <c r="AE5840" s="259"/>
      <c r="AF5840" s="262"/>
      <c r="AG5840" s="321"/>
    </row>
    <row r="5841" spans="14:33">
      <c r="N5841" s="594" t="str">
        <f>IF(TEMPLATE_CLAIM="P","5.1.1.2.2","")</f>
        <v/>
      </c>
      <c r="O5841" s="593" t="str">
        <f>IF(TEMPLATE_CLAIM="P","от станций с мощностью производства &lt; 25 МВт","")</f>
        <v/>
      </c>
      <c r="P5841" s="257"/>
      <c r="Q5841" s="328"/>
      <c r="R5841" s="259"/>
      <c r="S5841" s="259"/>
      <c r="T5841" s="262"/>
      <c r="U5841" s="259"/>
      <c r="V5841" s="259"/>
      <c r="W5841" s="262"/>
      <c r="X5841" s="259"/>
      <c r="Y5841" s="259"/>
      <c r="Z5841" s="262"/>
      <c r="AA5841" s="259"/>
      <c r="AB5841" s="259"/>
      <c r="AC5841" s="262"/>
      <c r="AD5841" s="259"/>
      <c r="AE5841" s="259"/>
      <c r="AF5841" s="262"/>
      <c r="AG5841" s="321"/>
    </row>
    <row r="5842" spans="14:33">
      <c r="N5842" s="436"/>
      <c r="O5842" s="243"/>
      <c r="P5842" s="260"/>
      <c r="Q5842" s="328"/>
      <c r="R5842" s="259"/>
      <c r="S5842" s="259"/>
      <c r="T5842" s="260"/>
      <c r="U5842" s="259"/>
      <c r="V5842" s="259"/>
      <c r="W5842" s="260"/>
      <c r="X5842" s="259"/>
      <c r="Y5842" s="259"/>
      <c r="Z5842" s="260"/>
      <c r="AA5842" s="259"/>
      <c r="AB5842" s="259"/>
      <c r="AC5842" s="260"/>
      <c r="AD5842" s="259"/>
      <c r="AE5842" s="259"/>
      <c r="AF5842" s="260"/>
      <c r="AG5842" s="330"/>
    </row>
    <row r="5843" spans="14:33">
      <c r="N5843" s="236" t="s">
        <v>2999</v>
      </c>
      <c r="O5843" s="482" t="s">
        <v>2792</v>
      </c>
      <c r="P5843" s="257"/>
      <c r="Q5843" s="328"/>
      <c r="R5843" s="259"/>
      <c r="S5843" s="259"/>
      <c r="T5843" s="262"/>
      <c r="U5843" s="259"/>
      <c r="V5843" s="259"/>
      <c r="W5843" s="262"/>
      <c r="X5843" s="259"/>
      <c r="Y5843" s="259"/>
      <c r="Z5843" s="262"/>
      <c r="AA5843" s="259"/>
      <c r="AB5843" s="259"/>
      <c r="AC5843" s="262"/>
      <c r="AD5843" s="259"/>
      <c r="AE5843" s="259"/>
      <c r="AF5843" s="262"/>
      <c r="AG5843" s="321"/>
    </row>
    <row r="5844" spans="14:33">
      <c r="N5844" s="594" t="str">
        <f>IF(TEMPLATE_CLAIM="P","5.1.1.3.1","")</f>
        <v/>
      </c>
      <c r="O5844" s="593" t="str">
        <f>IF(TEMPLATE_CLAIM="P","от станций с мощностью производства &gt;= 25 МВт","")</f>
        <v/>
      </c>
      <c r="P5844" s="257"/>
      <c r="Q5844" s="328"/>
      <c r="R5844" s="259"/>
      <c r="S5844" s="259"/>
      <c r="T5844" s="262"/>
      <c r="U5844" s="259"/>
      <c r="V5844" s="259"/>
      <c r="W5844" s="262"/>
      <c r="X5844" s="259"/>
      <c r="Y5844" s="259"/>
      <c r="Z5844" s="262"/>
      <c r="AA5844" s="259"/>
      <c r="AB5844" s="259"/>
      <c r="AC5844" s="262"/>
      <c r="AD5844" s="259"/>
      <c r="AE5844" s="259"/>
      <c r="AF5844" s="262"/>
      <c r="AG5844" s="321"/>
    </row>
    <row r="5845" spans="14:33">
      <c r="N5845" s="594" t="str">
        <f>IF(TEMPLATE_CLAIM="P","5.1.1.3.2","")</f>
        <v/>
      </c>
      <c r="O5845" s="593" t="str">
        <f>IF(TEMPLATE_CLAIM="P","от станций с мощностью производства &lt; 25 МВт","")</f>
        <v/>
      </c>
      <c r="P5845" s="257"/>
      <c r="Q5845" s="328"/>
      <c r="R5845" s="259"/>
      <c r="S5845" s="259"/>
      <c r="T5845" s="262"/>
      <c r="U5845" s="259"/>
      <c r="V5845" s="259"/>
      <c r="W5845" s="262"/>
      <c r="X5845" s="259"/>
      <c r="Y5845" s="259"/>
      <c r="Z5845" s="262"/>
      <c r="AA5845" s="259"/>
      <c r="AB5845" s="259"/>
      <c r="AC5845" s="262"/>
      <c r="AD5845" s="259"/>
      <c r="AE5845" s="259"/>
      <c r="AF5845" s="262"/>
      <c r="AG5845" s="321"/>
    </row>
    <row r="5846" spans="14:33">
      <c r="N5846" s="594" t="str">
        <f>IF(TEMPLATE_CLAIM="P","5.1.1.3.3","")</f>
        <v/>
      </c>
      <c r="O5846" s="593" t="str">
        <f>IF(TEMPLATE_CLAIM="P","от котельных (некомбинированная выработка)","")</f>
        <v/>
      </c>
      <c r="P5846" s="257"/>
      <c r="Q5846" s="328"/>
      <c r="R5846" s="259"/>
      <c r="S5846" s="259"/>
      <c r="T5846" s="262"/>
      <c r="U5846" s="259"/>
      <c r="V5846" s="259"/>
      <c r="W5846" s="262"/>
      <c r="X5846" s="259"/>
      <c r="Y5846" s="259"/>
      <c r="Z5846" s="262"/>
      <c r="AA5846" s="259"/>
      <c r="AB5846" s="259"/>
      <c r="AC5846" s="262"/>
      <c r="AD5846" s="259"/>
      <c r="AE5846" s="259"/>
      <c r="AF5846" s="262"/>
      <c r="AG5846" s="321"/>
    </row>
    <row r="5847" spans="14:33">
      <c r="N5847" s="236" t="s">
        <v>3002</v>
      </c>
      <c r="O5847" s="482" t="s">
        <v>756</v>
      </c>
      <c r="P5847" s="257"/>
      <c r="Q5847" s="328"/>
      <c r="R5847" s="259"/>
      <c r="S5847" s="259"/>
      <c r="T5847" s="262"/>
      <c r="U5847" s="259"/>
      <c r="V5847" s="259"/>
      <c r="W5847" s="262"/>
      <c r="X5847" s="259"/>
      <c r="Y5847" s="259"/>
      <c r="Z5847" s="262"/>
      <c r="AA5847" s="259"/>
      <c r="AB5847" s="259"/>
      <c r="AC5847" s="262"/>
      <c r="AD5847" s="259"/>
      <c r="AE5847" s="259"/>
      <c r="AF5847" s="262"/>
      <c r="AG5847" s="321"/>
    </row>
    <row r="5848" spans="14:33">
      <c r="N5848" s="594" t="str">
        <f>IF(TEMPLATE_CLAIM="P","5.1.1.4.1","")</f>
        <v/>
      </c>
      <c r="O5848" s="593" t="str">
        <f>IF(TEMPLATE_CLAIM="P","от станций с мощностью производства &gt;= 25 МВт","")</f>
        <v/>
      </c>
      <c r="P5848" s="257"/>
      <c r="Q5848" s="328"/>
      <c r="R5848" s="259"/>
      <c r="S5848" s="259"/>
      <c r="T5848" s="262"/>
      <c r="U5848" s="259"/>
      <c r="V5848" s="259"/>
      <c r="W5848" s="262"/>
      <c r="X5848" s="259"/>
      <c r="Y5848" s="259"/>
      <c r="Z5848" s="262"/>
      <c r="AA5848" s="259"/>
      <c r="AB5848" s="259"/>
      <c r="AC5848" s="262"/>
      <c r="AD5848" s="259"/>
      <c r="AE5848" s="259"/>
      <c r="AF5848" s="262"/>
      <c r="AG5848" s="321"/>
    </row>
    <row r="5849" spans="14:33">
      <c r="N5849" s="594" t="str">
        <f>IF(TEMPLATE_CLAIM="P","5.1.1.4.2","")</f>
        <v/>
      </c>
      <c r="O5849" s="593" t="str">
        <f>IF(TEMPLATE_CLAIM="P","от станций с мощностью производства &lt; 25 МВт","")</f>
        <v/>
      </c>
      <c r="P5849" s="257"/>
      <c r="Q5849" s="328"/>
      <c r="R5849" s="259"/>
      <c r="S5849" s="259"/>
      <c r="T5849" s="262"/>
      <c r="U5849" s="259"/>
      <c r="V5849" s="259"/>
      <c r="W5849" s="262"/>
      <c r="X5849" s="259"/>
      <c r="Y5849" s="259"/>
      <c r="Z5849" s="262"/>
      <c r="AA5849" s="259"/>
      <c r="AB5849" s="259"/>
      <c r="AC5849" s="262"/>
      <c r="AD5849" s="259"/>
      <c r="AE5849" s="259"/>
      <c r="AF5849" s="262"/>
      <c r="AG5849" s="321"/>
    </row>
    <row r="5850" spans="14:33">
      <c r="N5850" s="594" t="str">
        <f>IF(TEMPLATE_CLAIM="P","5.1.1.4.3","")</f>
        <v/>
      </c>
      <c r="O5850" s="593" t="str">
        <f>IF(TEMPLATE_CLAIM="P","от котельных (некомбинированная выработка)","")</f>
        <v/>
      </c>
      <c r="P5850" s="257"/>
      <c r="Q5850" s="328"/>
      <c r="R5850" s="259"/>
      <c r="S5850" s="259"/>
      <c r="T5850" s="262"/>
      <c r="U5850" s="259"/>
      <c r="V5850" s="259"/>
      <c r="W5850" s="262"/>
      <c r="X5850" s="259"/>
      <c r="Y5850" s="259"/>
      <c r="Z5850" s="262"/>
      <c r="AA5850" s="259"/>
      <c r="AB5850" s="259"/>
      <c r="AC5850" s="262"/>
      <c r="AD5850" s="259"/>
      <c r="AE5850" s="259"/>
      <c r="AF5850" s="262"/>
      <c r="AG5850" s="321"/>
    </row>
    <row r="5851" spans="14:33">
      <c r="N5851" s="234" t="s">
        <v>3003</v>
      </c>
      <c r="O5851" s="225" t="s">
        <v>3004</v>
      </c>
      <c r="P5851" s="257"/>
      <c r="Q5851" s="328"/>
      <c r="R5851" s="259"/>
      <c r="S5851" s="259"/>
      <c r="T5851" s="262"/>
      <c r="U5851" s="259"/>
      <c r="V5851" s="259"/>
      <c r="W5851" s="262"/>
      <c r="X5851" s="259"/>
      <c r="Y5851" s="259"/>
      <c r="Z5851" s="262"/>
      <c r="AA5851" s="259"/>
      <c r="AB5851" s="259"/>
      <c r="AC5851" s="262"/>
      <c r="AD5851" s="259"/>
      <c r="AE5851" s="259"/>
      <c r="AF5851" s="262"/>
      <c r="AG5851" s="321"/>
    </row>
    <row r="5852" spans="14:33" ht="22.5">
      <c r="N5852" s="234" t="s">
        <v>3006</v>
      </c>
      <c r="O5852" s="225" t="s">
        <v>3007</v>
      </c>
      <c r="P5852" s="257"/>
      <c r="Q5852" s="328"/>
      <c r="R5852" s="259"/>
      <c r="S5852" s="259"/>
      <c r="T5852" s="262"/>
      <c r="U5852" s="259"/>
      <c r="V5852" s="259"/>
      <c r="W5852" s="262"/>
      <c r="X5852" s="259"/>
      <c r="Y5852" s="259"/>
      <c r="Z5852" s="262"/>
      <c r="AA5852" s="259"/>
      <c r="AB5852" s="259"/>
      <c r="AC5852" s="262"/>
      <c r="AD5852" s="259"/>
      <c r="AE5852" s="259"/>
      <c r="AF5852" s="262"/>
      <c r="AG5852" s="321"/>
    </row>
    <row r="5853" spans="14:33">
      <c r="N5853" s="236" t="s">
        <v>3008</v>
      </c>
      <c r="O5853" s="242" t="s">
        <v>2972</v>
      </c>
      <c r="P5853" s="257"/>
      <c r="Q5853" s="328"/>
      <c r="R5853" s="259"/>
      <c r="S5853" s="259"/>
      <c r="T5853" s="262"/>
      <c r="U5853" s="259"/>
      <c r="V5853" s="259"/>
      <c r="W5853" s="262"/>
      <c r="X5853" s="259"/>
      <c r="Y5853" s="259"/>
      <c r="Z5853" s="262"/>
      <c r="AA5853" s="259"/>
      <c r="AB5853" s="259"/>
      <c r="AC5853" s="262"/>
      <c r="AD5853" s="259"/>
      <c r="AE5853" s="259"/>
      <c r="AF5853" s="262"/>
      <c r="AG5853" s="321"/>
    </row>
    <row r="5854" spans="14:33">
      <c r="N5854" s="236" t="s">
        <v>3009</v>
      </c>
      <c r="O5854" s="242" t="s">
        <v>2988</v>
      </c>
      <c r="P5854" s="257"/>
      <c r="Q5854" s="328"/>
      <c r="R5854" s="259"/>
      <c r="S5854" s="259"/>
      <c r="T5854" s="262"/>
      <c r="U5854" s="259"/>
      <c r="V5854" s="259"/>
      <c r="W5854" s="262"/>
      <c r="X5854" s="259"/>
      <c r="Y5854" s="259"/>
      <c r="Z5854" s="262"/>
      <c r="AA5854" s="259"/>
      <c r="AB5854" s="259"/>
      <c r="AC5854" s="262"/>
      <c r="AD5854" s="259"/>
      <c r="AE5854" s="259"/>
      <c r="AF5854" s="262"/>
      <c r="AG5854" s="321"/>
    </row>
    <row r="5855" spans="14:33" hidden="1">
      <c r="N5855" s="236"/>
      <c r="O5855" s="242"/>
      <c r="P5855" s="260"/>
      <c r="Q5855" s="328"/>
      <c r="R5855" s="259"/>
      <c r="S5855" s="259"/>
      <c r="T5855" s="260"/>
      <c r="U5855" s="259"/>
      <c r="V5855" s="259"/>
      <c r="W5855" s="260"/>
      <c r="X5855" s="259"/>
      <c r="Y5855" s="259"/>
      <c r="Z5855" s="260"/>
      <c r="AA5855" s="259"/>
      <c r="AB5855" s="259"/>
      <c r="AC5855" s="260"/>
      <c r="AD5855" s="259"/>
      <c r="AE5855" s="259"/>
      <c r="AF5855" s="260"/>
      <c r="AG5855" s="330"/>
    </row>
    <row r="5856" spans="14:33" hidden="1">
      <c r="N5856" s="236"/>
      <c r="O5856" s="244"/>
      <c r="P5856" s="260"/>
      <c r="Q5856" s="328"/>
      <c r="R5856" s="259"/>
      <c r="S5856" s="259"/>
      <c r="T5856" s="260"/>
      <c r="U5856" s="259"/>
      <c r="V5856" s="259"/>
      <c r="W5856" s="260"/>
      <c r="X5856" s="259"/>
      <c r="Y5856" s="259"/>
      <c r="Z5856" s="260"/>
      <c r="AA5856" s="259"/>
      <c r="AB5856" s="259"/>
      <c r="AC5856" s="260"/>
      <c r="AD5856" s="259"/>
      <c r="AE5856" s="259"/>
      <c r="AF5856" s="260"/>
      <c r="AG5856" s="330"/>
    </row>
    <row r="5857" spans="13:33" hidden="1">
      <c r="N5857" s="236"/>
      <c r="O5857" s="244"/>
      <c r="P5857" s="260"/>
      <c r="Q5857" s="328"/>
      <c r="R5857" s="259"/>
      <c r="S5857" s="259"/>
      <c r="T5857" s="260"/>
      <c r="U5857" s="259"/>
      <c r="V5857" s="259"/>
      <c r="W5857" s="260"/>
      <c r="X5857" s="259"/>
      <c r="Y5857" s="259"/>
      <c r="Z5857" s="260"/>
      <c r="AA5857" s="259"/>
      <c r="AB5857" s="259"/>
      <c r="AC5857" s="260"/>
      <c r="AD5857" s="259"/>
      <c r="AE5857" s="259"/>
      <c r="AF5857" s="260"/>
      <c r="AG5857" s="330"/>
    </row>
    <row r="5858" spans="13:33" hidden="1">
      <c r="N5858" s="236"/>
      <c r="O5858" s="245"/>
      <c r="P5858" s="260"/>
      <c r="Q5858" s="328"/>
      <c r="R5858" s="259"/>
      <c r="S5858" s="259"/>
      <c r="T5858" s="260"/>
      <c r="U5858" s="259"/>
      <c r="V5858" s="259"/>
      <c r="W5858" s="260"/>
      <c r="X5858" s="259"/>
      <c r="Y5858" s="259"/>
      <c r="Z5858" s="260"/>
      <c r="AA5858" s="259"/>
      <c r="AB5858" s="259"/>
      <c r="AC5858" s="260"/>
      <c r="AD5858" s="259"/>
      <c r="AE5858" s="259"/>
      <c r="AF5858" s="260"/>
      <c r="AG5858" s="330"/>
    </row>
    <row r="5859" spans="13:33" hidden="1">
      <c r="N5859" s="236"/>
      <c r="O5859" s="244"/>
      <c r="P5859" s="260"/>
      <c r="Q5859" s="328"/>
      <c r="R5859" s="259"/>
      <c r="S5859" s="259"/>
      <c r="T5859" s="260"/>
      <c r="U5859" s="259"/>
      <c r="V5859" s="259"/>
      <c r="W5859" s="260"/>
      <c r="X5859" s="259"/>
      <c r="Y5859" s="259"/>
      <c r="Z5859" s="260"/>
      <c r="AA5859" s="259"/>
      <c r="AB5859" s="259"/>
      <c r="AC5859" s="260"/>
      <c r="AD5859" s="259"/>
      <c r="AE5859" s="259"/>
      <c r="AF5859" s="260"/>
      <c r="AG5859" s="330"/>
    </row>
    <row r="5860" spans="13:33" hidden="1">
      <c r="N5860" s="236"/>
      <c r="O5860" s="244"/>
      <c r="P5860" s="260"/>
      <c r="Q5860" s="328"/>
      <c r="R5860" s="259"/>
      <c r="S5860" s="259"/>
      <c r="T5860" s="260"/>
      <c r="U5860" s="259"/>
      <c r="V5860" s="259"/>
      <c r="W5860" s="260"/>
      <c r="X5860" s="259"/>
      <c r="Y5860" s="259"/>
      <c r="Z5860" s="260"/>
      <c r="AA5860" s="259"/>
      <c r="AB5860" s="259"/>
      <c r="AC5860" s="260"/>
      <c r="AD5860" s="259"/>
      <c r="AE5860" s="259"/>
      <c r="AF5860" s="260"/>
      <c r="AG5860" s="330"/>
    </row>
    <row r="5861" spans="13:33" hidden="1">
      <c r="N5861" s="236"/>
      <c r="O5861" s="242"/>
      <c r="P5861" s="260"/>
      <c r="Q5861" s="328"/>
      <c r="R5861" s="259"/>
      <c r="S5861" s="259"/>
      <c r="T5861" s="260"/>
      <c r="U5861" s="259"/>
      <c r="V5861" s="259"/>
      <c r="W5861" s="260"/>
      <c r="X5861" s="259"/>
      <c r="Y5861" s="259"/>
      <c r="Z5861" s="260"/>
      <c r="AA5861" s="259"/>
      <c r="AB5861" s="259"/>
      <c r="AC5861" s="260"/>
      <c r="AD5861" s="259"/>
      <c r="AE5861" s="259"/>
      <c r="AF5861" s="260"/>
      <c r="AG5861" s="330"/>
    </row>
    <row r="5862" spans="13:33" hidden="1">
      <c r="N5862" s="236"/>
      <c r="O5862" s="244"/>
      <c r="P5862" s="260"/>
      <c r="Q5862" s="328"/>
      <c r="R5862" s="259"/>
      <c r="S5862" s="259"/>
      <c r="T5862" s="260"/>
      <c r="U5862" s="259"/>
      <c r="V5862" s="259"/>
      <c r="W5862" s="260"/>
      <c r="X5862" s="259"/>
      <c r="Y5862" s="259"/>
      <c r="Z5862" s="260"/>
      <c r="AA5862" s="259"/>
      <c r="AB5862" s="259"/>
      <c r="AC5862" s="260"/>
      <c r="AD5862" s="259"/>
      <c r="AE5862" s="259"/>
      <c r="AF5862" s="260"/>
      <c r="AG5862" s="330"/>
    </row>
    <row r="5863" spans="13:33" hidden="1">
      <c r="N5863" s="236"/>
      <c r="O5863" s="244"/>
      <c r="P5863" s="260"/>
      <c r="Q5863" s="328"/>
      <c r="R5863" s="259"/>
      <c r="S5863" s="259"/>
      <c r="T5863" s="260"/>
      <c r="U5863" s="259"/>
      <c r="V5863" s="259"/>
      <c r="W5863" s="260"/>
      <c r="X5863" s="259"/>
      <c r="Y5863" s="259"/>
      <c r="Z5863" s="260"/>
      <c r="AA5863" s="259"/>
      <c r="AB5863" s="259"/>
      <c r="AC5863" s="260"/>
      <c r="AD5863" s="259"/>
      <c r="AE5863" s="259"/>
      <c r="AF5863" s="260"/>
      <c r="AG5863" s="330"/>
    </row>
    <row r="5864" spans="13:33" hidden="1">
      <c r="N5864" s="236"/>
      <c r="O5864" s="245"/>
      <c r="P5864" s="260"/>
      <c r="Q5864" s="328"/>
      <c r="R5864" s="259"/>
      <c r="S5864" s="259"/>
      <c r="T5864" s="260"/>
      <c r="U5864" s="259"/>
      <c r="V5864" s="259"/>
      <c r="W5864" s="260"/>
      <c r="X5864" s="259"/>
      <c r="Y5864" s="259"/>
      <c r="Z5864" s="260"/>
      <c r="AA5864" s="259"/>
      <c r="AB5864" s="259"/>
      <c r="AC5864" s="260"/>
      <c r="AD5864" s="259"/>
      <c r="AE5864" s="259"/>
      <c r="AF5864" s="260"/>
      <c r="AG5864" s="330"/>
    </row>
    <row r="5865" spans="13:33" hidden="1">
      <c r="N5865" s="236"/>
      <c r="O5865" s="244"/>
      <c r="P5865" s="260"/>
      <c r="Q5865" s="328"/>
      <c r="R5865" s="259"/>
      <c r="S5865" s="259"/>
      <c r="T5865" s="260"/>
      <c r="U5865" s="259"/>
      <c r="V5865" s="259"/>
      <c r="W5865" s="260"/>
      <c r="X5865" s="259"/>
      <c r="Y5865" s="259"/>
      <c r="Z5865" s="260"/>
      <c r="AA5865" s="259"/>
      <c r="AB5865" s="259"/>
      <c r="AC5865" s="260"/>
      <c r="AD5865" s="259"/>
      <c r="AE5865" s="259"/>
      <c r="AF5865" s="260"/>
      <c r="AG5865" s="330"/>
    </row>
    <row r="5866" spans="13:33" hidden="1">
      <c r="N5866" s="236"/>
      <c r="O5866" s="244"/>
      <c r="P5866" s="260"/>
      <c r="Q5866" s="328"/>
      <c r="R5866" s="259"/>
      <c r="S5866" s="259"/>
      <c r="T5866" s="260"/>
      <c r="U5866" s="259"/>
      <c r="V5866" s="259"/>
      <c r="W5866" s="260"/>
      <c r="X5866" s="259"/>
      <c r="Y5866" s="259"/>
      <c r="Z5866" s="260"/>
      <c r="AA5866" s="259"/>
      <c r="AB5866" s="259"/>
      <c r="AC5866" s="260"/>
      <c r="AD5866" s="259"/>
      <c r="AE5866" s="259"/>
      <c r="AF5866" s="260"/>
      <c r="AG5866" s="330"/>
    </row>
    <row r="5867" spans="13:33" hidden="1">
      <c r="N5867" s="236"/>
      <c r="O5867" s="242"/>
      <c r="P5867" s="260"/>
      <c r="Q5867" s="328"/>
      <c r="R5867" s="259"/>
      <c r="S5867" s="259"/>
      <c r="T5867" s="260"/>
      <c r="U5867" s="259"/>
      <c r="V5867" s="259"/>
      <c r="W5867" s="260"/>
      <c r="X5867" s="259"/>
      <c r="Y5867" s="259"/>
      <c r="Z5867" s="260"/>
      <c r="AA5867" s="259"/>
      <c r="AB5867" s="259"/>
      <c r="AC5867" s="260"/>
      <c r="AD5867" s="259"/>
      <c r="AE5867" s="259"/>
      <c r="AF5867" s="260"/>
      <c r="AG5867" s="330"/>
    </row>
    <row r="5868" spans="13:33" hidden="1">
      <c r="N5868" s="236"/>
      <c r="O5868" s="244"/>
      <c r="P5868" s="260"/>
      <c r="Q5868" s="328"/>
      <c r="R5868" s="259"/>
      <c r="S5868" s="259"/>
      <c r="T5868" s="260"/>
      <c r="U5868" s="259"/>
      <c r="V5868" s="259"/>
      <c r="W5868" s="260"/>
      <c r="X5868" s="259"/>
      <c r="Y5868" s="259"/>
      <c r="Z5868" s="260"/>
      <c r="AA5868" s="259"/>
      <c r="AB5868" s="259"/>
      <c r="AC5868" s="260"/>
      <c r="AD5868" s="259"/>
      <c r="AE5868" s="259"/>
      <c r="AF5868" s="260"/>
      <c r="AG5868" s="330"/>
    </row>
    <row r="5869" spans="13:33" hidden="1">
      <c r="M5869"/>
      <c r="N5869" s="236"/>
      <c r="O5869" s="244"/>
      <c r="P5869" s="260"/>
      <c r="Q5869" s="328"/>
      <c r="R5869" s="259"/>
      <c r="S5869" s="259"/>
      <c r="T5869" s="260"/>
      <c r="U5869" s="259"/>
      <c r="V5869" s="259"/>
      <c r="W5869" s="260"/>
      <c r="X5869" s="259"/>
      <c r="Y5869" s="259"/>
      <c r="Z5869" s="260"/>
      <c r="AA5869" s="259"/>
      <c r="AB5869" s="259"/>
      <c r="AC5869" s="260"/>
      <c r="AD5869" s="259"/>
      <c r="AE5869" s="259"/>
      <c r="AF5869" s="260"/>
      <c r="AG5869" s="330"/>
    </row>
    <row r="5870" spans="13:33" hidden="1">
      <c r="M5870"/>
      <c r="N5870" s="236"/>
      <c r="O5870" s="245"/>
      <c r="P5870" s="260"/>
      <c r="Q5870" s="328"/>
      <c r="R5870" s="259"/>
      <c r="S5870" s="259"/>
      <c r="T5870" s="260"/>
      <c r="U5870" s="259"/>
      <c r="V5870" s="259"/>
      <c r="W5870" s="260"/>
      <c r="X5870" s="259"/>
      <c r="Y5870" s="259"/>
      <c r="Z5870" s="260"/>
      <c r="AA5870" s="259"/>
      <c r="AB5870" s="259"/>
      <c r="AC5870" s="260"/>
      <c r="AD5870" s="259"/>
      <c r="AE5870" s="259"/>
      <c r="AF5870" s="260"/>
      <c r="AG5870" s="330"/>
    </row>
    <row r="5871" spans="13:33" hidden="1">
      <c r="M5871"/>
      <c r="N5871" s="236"/>
      <c r="O5871" s="244"/>
      <c r="P5871" s="260"/>
      <c r="Q5871" s="328"/>
      <c r="R5871" s="259"/>
      <c r="S5871" s="259"/>
      <c r="T5871" s="260"/>
      <c r="U5871" s="259"/>
      <c r="V5871" s="259"/>
      <c r="W5871" s="260"/>
      <c r="X5871" s="259"/>
      <c r="Y5871" s="259"/>
      <c r="Z5871" s="260"/>
      <c r="AA5871" s="259"/>
      <c r="AB5871" s="259"/>
      <c r="AC5871" s="260"/>
      <c r="AD5871" s="259"/>
      <c r="AE5871" s="259"/>
      <c r="AF5871" s="260"/>
      <c r="AG5871" s="330"/>
    </row>
    <row r="5872" spans="13:33" hidden="1">
      <c r="M5872"/>
      <c r="N5872" s="236"/>
      <c r="O5872" s="244"/>
      <c r="P5872" s="260"/>
      <c r="Q5872" s="328"/>
      <c r="R5872" s="259"/>
      <c r="S5872" s="259"/>
      <c r="T5872" s="260"/>
      <c r="U5872" s="259"/>
      <c r="V5872" s="259"/>
      <c r="W5872" s="260"/>
      <c r="X5872" s="259"/>
      <c r="Y5872" s="259"/>
      <c r="Z5872" s="260"/>
      <c r="AA5872" s="259"/>
      <c r="AB5872" s="259"/>
      <c r="AC5872" s="260"/>
      <c r="AD5872" s="259"/>
      <c r="AE5872" s="259"/>
      <c r="AF5872" s="260"/>
      <c r="AG5872" s="330"/>
    </row>
    <row r="5873" spans="13:33" hidden="1">
      <c r="M5873"/>
      <c r="N5873" s="236"/>
      <c r="O5873" s="242"/>
      <c r="P5873" s="260"/>
      <c r="Q5873" s="328"/>
      <c r="R5873" s="259"/>
      <c r="S5873" s="259"/>
      <c r="T5873" s="260"/>
      <c r="U5873" s="259"/>
      <c r="V5873" s="259"/>
      <c r="W5873" s="260"/>
      <c r="X5873" s="259"/>
      <c r="Y5873" s="259"/>
      <c r="Z5873" s="260"/>
      <c r="AA5873" s="259"/>
      <c r="AB5873" s="259"/>
      <c r="AC5873" s="260"/>
      <c r="AD5873" s="259"/>
      <c r="AE5873" s="259"/>
      <c r="AF5873" s="260"/>
      <c r="AG5873" s="330"/>
    </row>
    <row r="5874" spans="13:33" hidden="1">
      <c r="M5874"/>
      <c r="N5874" s="236"/>
      <c r="O5874" s="244"/>
      <c r="P5874" s="260"/>
      <c r="Q5874" s="328"/>
      <c r="R5874" s="259"/>
      <c r="S5874" s="259"/>
      <c r="T5874" s="260"/>
      <c r="U5874" s="259"/>
      <c r="V5874" s="259"/>
      <c r="W5874" s="260"/>
      <c r="X5874" s="259"/>
      <c r="Y5874" s="259"/>
      <c r="Z5874" s="260"/>
      <c r="AA5874" s="259"/>
      <c r="AB5874" s="259"/>
      <c r="AC5874" s="260"/>
      <c r="AD5874" s="259"/>
      <c r="AE5874" s="259"/>
      <c r="AF5874" s="260"/>
      <c r="AG5874" s="330"/>
    </row>
    <row r="5875" spans="13:33" hidden="1">
      <c r="M5875"/>
      <c r="N5875" s="236"/>
      <c r="O5875" s="244"/>
      <c r="P5875" s="260"/>
      <c r="Q5875" s="328"/>
      <c r="R5875" s="259"/>
      <c r="S5875" s="259"/>
      <c r="T5875" s="260"/>
      <c r="U5875" s="259"/>
      <c r="V5875" s="259"/>
      <c r="W5875" s="260"/>
      <c r="X5875" s="259"/>
      <c r="Y5875" s="259"/>
      <c r="Z5875" s="260"/>
      <c r="AA5875" s="259"/>
      <c r="AB5875" s="259"/>
      <c r="AC5875" s="260"/>
      <c r="AD5875" s="259"/>
      <c r="AE5875" s="259"/>
      <c r="AF5875" s="260"/>
      <c r="AG5875" s="330"/>
    </row>
    <row r="5876" spans="13:33" hidden="1">
      <c r="M5876"/>
      <c r="N5876" s="236"/>
      <c r="O5876" s="245"/>
      <c r="P5876" s="260"/>
      <c r="Q5876" s="328"/>
      <c r="R5876" s="259"/>
      <c r="S5876" s="259"/>
      <c r="T5876" s="260"/>
      <c r="U5876" s="259"/>
      <c r="V5876" s="259"/>
      <c r="W5876" s="260"/>
      <c r="X5876" s="259"/>
      <c r="Y5876" s="259"/>
      <c r="Z5876" s="260"/>
      <c r="AA5876" s="259"/>
      <c r="AB5876" s="259"/>
      <c r="AC5876" s="260"/>
      <c r="AD5876" s="259"/>
      <c r="AE5876" s="259"/>
      <c r="AF5876" s="260"/>
      <c r="AG5876" s="330"/>
    </row>
    <row r="5877" spans="13:33" hidden="1">
      <c r="M5877"/>
      <c r="N5877" s="236"/>
      <c r="O5877" s="244"/>
      <c r="P5877" s="260"/>
      <c r="Q5877" s="328"/>
      <c r="R5877" s="259"/>
      <c r="S5877" s="259"/>
      <c r="T5877" s="260"/>
      <c r="U5877" s="259"/>
      <c r="V5877" s="259"/>
      <c r="W5877" s="260"/>
      <c r="X5877" s="259"/>
      <c r="Y5877" s="259"/>
      <c r="Z5877" s="260"/>
      <c r="AA5877" s="259"/>
      <c r="AB5877" s="259"/>
      <c r="AC5877" s="260"/>
      <c r="AD5877" s="259"/>
      <c r="AE5877" s="259"/>
      <c r="AF5877" s="260"/>
      <c r="AG5877" s="330"/>
    </row>
    <row r="5878" spans="13:33" hidden="1">
      <c r="M5878"/>
      <c r="N5878" s="236"/>
      <c r="O5878" s="244"/>
      <c r="P5878" s="260"/>
      <c r="Q5878" s="328"/>
      <c r="R5878" s="259"/>
      <c r="S5878" s="259"/>
      <c r="T5878" s="260"/>
      <c r="U5878" s="259"/>
      <c r="V5878" s="259"/>
      <c r="W5878" s="260"/>
      <c r="X5878" s="259"/>
      <c r="Y5878" s="259"/>
      <c r="Z5878" s="260"/>
      <c r="AA5878" s="259"/>
      <c r="AB5878" s="259"/>
      <c r="AC5878" s="260"/>
      <c r="AD5878" s="259"/>
      <c r="AE5878" s="259"/>
      <c r="AF5878" s="260"/>
      <c r="AG5878" s="330"/>
    </row>
    <row r="5879" spans="13:33">
      <c r="M5879"/>
      <c r="N5879" s="436" t="s">
        <v>771</v>
      </c>
      <c r="O5879" s="591" t="s">
        <v>3043</v>
      </c>
      <c r="P5879" s="257"/>
      <c r="Q5879" s="328"/>
      <c r="R5879" s="259"/>
      <c r="S5879" s="259"/>
      <c r="T5879" s="262"/>
      <c r="U5879" s="259"/>
      <c r="V5879" s="259"/>
      <c r="W5879" s="262"/>
      <c r="X5879" s="259"/>
      <c r="Y5879" s="259"/>
      <c r="Z5879" s="262"/>
      <c r="AA5879" s="259"/>
      <c r="AB5879" s="259"/>
      <c r="AC5879" s="262"/>
      <c r="AD5879" s="259"/>
      <c r="AE5879" s="259"/>
      <c r="AF5879" s="262"/>
      <c r="AG5879" s="321"/>
    </row>
    <row r="5880" spans="13:33">
      <c r="M5880"/>
      <c r="N5880" s="436" t="s">
        <v>772</v>
      </c>
      <c r="O5880" s="592" t="s">
        <v>3044</v>
      </c>
      <c r="P5880" s="257"/>
      <c r="Q5880" s="328"/>
      <c r="R5880" s="259"/>
      <c r="S5880" s="259"/>
      <c r="T5880" s="262"/>
      <c r="U5880" s="259"/>
      <c r="V5880" s="259"/>
      <c r="W5880" s="262"/>
      <c r="X5880" s="259"/>
      <c r="Y5880" s="259"/>
      <c r="Z5880" s="262"/>
      <c r="AA5880" s="259"/>
      <c r="AB5880" s="259"/>
      <c r="AC5880" s="262"/>
      <c r="AD5880" s="259"/>
      <c r="AE5880" s="259"/>
      <c r="AF5880" s="262"/>
      <c r="AG5880" s="321"/>
    </row>
    <row r="5881" spans="13:33">
      <c r="M5881"/>
      <c r="N5881" s="236" t="s">
        <v>773</v>
      </c>
      <c r="O5881" s="248" t="s">
        <v>3045</v>
      </c>
      <c r="P5881" s="257"/>
      <c r="Q5881" s="328"/>
      <c r="R5881" s="259"/>
      <c r="S5881" s="259"/>
      <c r="T5881" s="262"/>
      <c r="U5881" s="259"/>
      <c r="V5881" s="259"/>
      <c r="W5881" s="262"/>
      <c r="X5881" s="259"/>
      <c r="Y5881" s="259"/>
      <c r="Z5881" s="262"/>
      <c r="AA5881" s="259"/>
      <c r="AB5881" s="259"/>
      <c r="AC5881" s="262"/>
      <c r="AD5881" s="259"/>
      <c r="AE5881" s="259"/>
      <c r="AF5881" s="262"/>
      <c r="AG5881" s="321"/>
    </row>
    <row r="5882" spans="13:33">
      <c r="M5882"/>
      <c r="N5882" s="236" t="s">
        <v>3046</v>
      </c>
      <c r="O5882" s="242" t="s">
        <v>2972</v>
      </c>
      <c r="P5882" s="257"/>
      <c r="Q5882" s="328"/>
      <c r="R5882" s="259"/>
      <c r="S5882" s="259"/>
      <c r="T5882" s="262"/>
      <c r="U5882" s="259"/>
      <c r="V5882" s="259"/>
      <c r="W5882" s="262"/>
      <c r="X5882" s="259"/>
      <c r="Y5882" s="259"/>
      <c r="Z5882" s="262"/>
      <c r="AA5882" s="259"/>
      <c r="AB5882" s="259"/>
      <c r="AC5882" s="262"/>
      <c r="AD5882" s="259"/>
      <c r="AE5882" s="259"/>
      <c r="AF5882" s="262"/>
      <c r="AG5882" s="321"/>
    </row>
    <row r="5883" spans="13:33" ht="11.25" customHeight="1">
      <c r="M5883"/>
      <c r="N5883" s="236" t="s">
        <v>3047</v>
      </c>
      <c r="O5883" s="242" t="s">
        <v>2988</v>
      </c>
      <c r="P5883" s="257"/>
      <c r="Q5883" s="328"/>
      <c r="R5883" s="259"/>
      <c r="S5883" s="259"/>
      <c r="T5883" s="262"/>
      <c r="U5883" s="259"/>
      <c r="V5883" s="259"/>
      <c r="W5883" s="262"/>
      <c r="X5883" s="259"/>
      <c r="Y5883" s="259"/>
      <c r="Z5883" s="262"/>
      <c r="AA5883" s="259"/>
      <c r="AB5883" s="259"/>
      <c r="AC5883" s="262"/>
      <c r="AD5883" s="259"/>
      <c r="AE5883" s="259"/>
      <c r="AF5883" s="262"/>
      <c r="AG5883" s="321"/>
    </row>
    <row r="5884" spans="13:33" ht="11.25" hidden="1" customHeight="1">
      <c r="M5884"/>
      <c r="N5884" s="236"/>
      <c r="O5884" s="242"/>
      <c r="P5884" s="260"/>
      <c r="Q5884" s="328"/>
      <c r="R5884" s="259"/>
      <c r="S5884" s="259"/>
      <c r="T5884" s="260"/>
      <c r="U5884" s="259"/>
      <c r="V5884" s="259"/>
      <c r="W5884" s="260"/>
      <c r="X5884" s="259"/>
      <c r="Y5884" s="259"/>
      <c r="Z5884" s="260"/>
      <c r="AA5884" s="259"/>
      <c r="AB5884" s="259"/>
      <c r="AC5884" s="260"/>
      <c r="AD5884" s="259"/>
      <c r="AE5884" s="259"/>
      <c r="AF5884" s="260"/>
      <c r="AG5884" s="330"/>
    </row>
    <row r="5885" spans="13:33" ht="11.25" hidden="1" customHeight="1">
      <c r="M5885"/>
      <c r="N5885" s="236"/>
      <c r="O5885" s="244"/>
      <c r="P5885" s="260"/>
      <c r="Q5885" s="328"/>
      <c r="R5885" s="259"/>
      <c r="S5885" s="259"/>
      <c r="T5885" s="260"/>
      <c r="U5885" s="259"/>
      <c r="V5885" s="259"/>
      <c r="W5885" s="260"/>
      <c r="X5885" s="259"/>
      <c r="Y5885" s="259"/>
      <c r="Z5885" s="260"/>
      <c r="AA5885" s="259"/>
      <c r="AB5885" s="259"/>
      <c r="AC5885" s="260"/>
      <c r="AD5885" s="259"/>
      <c r="AE5885" s="259"/>
      <c r="AF5885" s="260"/>
      <c r="AG5885" s="330"/>
    </row>
    <row r="5886" spans="13:33" ht="11.25" hidden="1" customHeight="1">
      <c r="M5886"/>
      <c r="N5886" s="236"/>
      <c r="O5886" s="244"/>
      <c r="P5886" s="260"/>
      <c r="Q5886" s="328"/>
      <c r="R5886" s="259"/>
      <c r="S5886" s="259"/>
      <c r="T5886" s="260"/>
      <c r="U5886" s="259"/>
      <c r="V5886" s="259"/>
      <c r="W5886" s="260"/>
      <c r="X5886" s="259"/>
      <c r="Y5886" s="259"/>
      <c r="Z5886" s="260"/>
      <c r="AA5886" s="259"/>
      <c r="AB5886" s="259"/>
      <c r="AC5886" s="260"/>
      <c r="AD5886" s="259"/>
      <c r="AE5886" s="259"/>
      <c r="AF5886" s="260"/>
      <c r="AG5886" s="330"/>
    </row>
    <row r="5887" spans="13:33" ht="11.25" hidden="1" customHeight="1">
      <c r="M5887"/>
      <c r="N5887" s="236"/>
      <c r="O5887" s="245"/>
      <c r="P5887" s="260"/>
      <c r="Q5887" s="328"/>
      <c r="R5887" s="259"/>
      <c r="S5887" s="259"/>
      <c r="T5887" s="260"/>
      <c r="U5887" s="259"/>
      <c r="V5887" s="259"/>
      <c r="W5887" s="260"/>
      <c r="X5887" s="259"/>
      <c r="Y5887" s="259"/>
      <c r="Z5887" s="260"/>
      <c r="AA5887" s="259"/>
      <c r="AB5887" s="259"/>
      <c r="AC5887" s="260"/>
      <c r="AD5887" s="259"/>
      <c r="AE5887" s="259"/>
      <c r="AF5887" s="260"/>
      <c r="AG5887" s="330"/>
    </row>
    <row r="5888" spans="13:33" ht="11.25" hidden="1" customHeight="1">
      <c r="M5888"/>
      <c r="N5888" s="236"/>
      <c r="O5888" s="244"/>
      <c r="P5888" s="260"/>
      <c r="Q5888" s="328"/>
      <c r="R5888" s="259"/>
      <c r="S5888" s="259"/>
      <c r="T5888" s="260"/>
      <c r="U5888" s="259"/>
      <c r="V5888" s="259"/>
      <c r="W5888" s="260"/>
      <c r="X5888" s="259"/>
      <c r="Y5888" s="259"/>
      <c r="Z5888" s="260"/>
      <c r="AA5888" s="259"/>
      <c r="AB5888" s="259"/>
      <c r="AC5888" s="260"/>
      <c r="AD5888" s="259"/>
      <c r="AE5888" s="259"/>
      <c r="AF5888" s="260"/>
      <c r="AG5888" s="330"/>
    </row>
    <row r="5889" spans="13:33" ht="11.25" hidden="1" customHeight="1">
      <c r="M5889"/>
      <c r="N5889" s="236"/>
      <c r="O5889" s="244"/>
      <c r="P5889" s="260"/>
      <c r="Q5889" s="328"/>
      <c r="R5889" s="259"/>
      <c r="S5889" s="259"/>
      <c r="T5889" s="260"/>
      <c r="U5889" s="259"/>
      <c r="V5889" s="259"/>
      <c r="W5889" s="260"/>
      <c r="X5889" s="259"/>
      <c r="Y5889" s="259"/>
      <c r="Z5889" s="260"/>
      <c r="AA5889" s="259"/>
      <c r="AB5889" s="259"/>
      <c r="AC5889" s="260"/>
      <c r="AD5889" s="259"/>
      <c r="AE5889" s="259"/>
      <c r="AF5889" s="260"/>
      <c r="AG5889" s="330"/>
    </row>
    <row r="5890" spans="13:33" ht="11.25" hidden="1" customHeight="1">
      <c r="M5890"/>
      <c r="N5890" s="236"/>
      <c r="O5890" s="242"/>
      <c r="P5890" s="260"/>
      <c r="Q5890" s="328"/>
      <c r="R5890" s="259"/>
      <c r="S5890" s="259"/>
      <c r="T5890" s="260"/>
      <c r="U5890" s="259"/>
      <c r="V5890" s="259"/>
      <c r="W5890" s="260"/>
      <c r="X5890" s="259"/>
      <c r="Y5890" s="259"/>
      <c r="Z5890" s="260"/>
      <c r="AA5890" s="259"/>
      <c r="AB5890" s="259"/>
      <c r="AC5890" s="260"/>
      <c r="AD5890" s="259"/>
      <c r="AE5890" s="259"/>
      <c r="AF5890" s="260"/>
      <c r="AG5890" s="330"/>
    </row>
    <row r="5891" spans="13:33" ht="11.25" hidden="1" customHeight="1">
      <c r="M5891"/>
      <c r="N5891" s="236"/>
      <c r="O5891" s="244"/>
      <c r="P5891" s="260"/>
      <c r="Q5891" s="328"/>
      <c r="R5891" s="259"/>
      <c r="S5891" s="259"/>
      <c r="T5891" s="260"/>
      <c r="U5891" s="259"/>
      <c r="V5891" s="259"/>
      <c r="W5891" s="260"/>
      <c r="X5891" s="259"/>
      <c r="Y5891" s="259"/>
      <c r="Z5891" s="260"/>
      <c r="AA5891" s="259"/>
      <c r="AB5891" s="259"/>
      <c r="AC5891" s="260"/>
      <c r="AD5891" s="259"/>
      <c r="AE5891" s="259"/>
      <c r="AF5891" s="260"/>
      <c r="AG5891" s="330"/>
    </row>
    <row r="5892" spans="13:33" ht="11.25" hidden="1" customHeight="1">
      <c r="M5892"/>
      <c r="N5892" s="236"/>
      <c r="O5892" s="244"/>
      <c r="P5892" s="260"/>
      <c r="Q5892" s="328"/>
      <c r="R5892" s="259"/>
      <c r="S5892" s="259"/>
      <c r="T5892" s="260"/>
      <c r="U5892" s="259"/>
      <c r="V5892" s="259"/>
      <c r="W5892" s="260"/>
      <c r="X5892" s="259"/>
      <c r="Y5892" s="259"/>
      <c r="Z5892" s="260"/>
      <c r="AA5892" s="259"/>
      <c r="AB5892" s="259"/>
      <c r="AC5892" s="260"/>
      <c r="AD5892" s="259"/>
      <c r="AE5892" s="259"/>
      <c r="AF5892" s="260"/>
      <c r="AG5892" s="330"/>
    </row>
    <row r="5893" spans="13:33" ht="11.25" hidden="1" customHeight="1">
      <c r="M5893"/>
      <c r="N5893" s="236"/>
      <c r="O5893" s="245"/>
      <c r="P5893" s="260"/>
      <c r="Q5893" s="328"/>
      <c r="R5893" s="259"/>
      <c r="S5893" s="259"/>
      <c r="T5893" s="260"/>
      <c r="U5893" s="259"/>
      <c r="V5893" s="259"/>
      <c r="W5893" s="260"/>
      <c r="X5893" s="259"/>
      <c r="Y5893" s="259"/>
      <c r="Z5893" s="260"/>
      <c r="AA5893" s="259"/>
      <c r="AB5893" s="259"/>
      <c r="AC5893" s="260"/>
      <c r="AD5893" s="259"/>
      <c r="AE5893" s="259"/>
      <c r="AF5893" s="260"/>
      <c r="AG5893" s="330"/>
    </row>
    <row r="5894" spans="13:33" ht="11.25" hidden="1" customHeight="1">
      <c r="M5894"/>
      <c r="N5894" s="236"/>
      <c r="O5894" s="244"/>
      <c r="P5894" s="260"/>
      <c r="Q5894" s="328"/>
      <c r="R5894" s="259"/>
      <c r="S5894" s="259"/>
      <c r="T5894" s="260"/>
      <c r="U5894" s="259"/>
      <c r="V5894" s="259"/>
      <c r="W5894" s="260"/>
      <c r="X5894" s="259"/>
      <c r="Y5894" s="259"/>
      <c r="Z5894" s="260"/>
      <c r="AA5894" s="259"/>
      <c r="AB5894" s="259"/>
      <c r="AC5894" s="260"/>
      <c r="AD5894" s="259"/>
      <c r="AE5894" s="259"/>
      <c r="AF5894" s="260"/>
      <c r="AG5894" s="330"/>
    </row>
    <row r="5895" spans="13:33" ht="11.25" hidden="1" customHeight="1">
      <c r="M5895"/>
      <c r="N5895" s="236"/>
      <c r="O5895" s="244"/>
      <c r="P5895" s="260"/>
      <c r="Q5895" s="328"/>
      <c r="R5895" s="259"/>
      <c r="S5895" s="259"/>
      <c r="T5895" s="260"/>
      <c r="U5895" s="259"/>
      <c r="V5895" s="259"/>
      <c r="W5895" s="260"/>
      <c r="X5895" s="259"/>
      <c r="Y5895" s="259"/>
      <c r="Z5895" s="260"/>
      <c r="AA5895" s="259"/>
      <c r="AB5895" s="259"/>
      <c r="AC5895" s="260"/>
      <c r="AD5895" s="259"/>
      <c r="AE5895" s="259"/>
      <c r="AF5895" s="260"/>
      <c r="AG5895" s="330"/>
    </row>
    <row r="5896" spans="13:33" hidden="1">
      <c r="M5896"/>
      <c r="N5896" s="236"/>
      <c r="O5896" s="242"/>
      <c r="P5896" s="260"/>
      <c r="Q5896" s="328"/>
      <c r="R5896" s="259"/>
      <c r="S5896" s="259"/>
      <c r="T5896" s="260"/>
      <c r="U5896" s="259"/>
      <c r="V5896" s="259"/>
      <c r="W5896" s="260"/>
      <c r="X5896" s="259"/>
      <c r="Y5896" s="259"/>
      <c r="Z5896" s="260"/>
      <c r="AA5896" s="259"/>
      <c r="AB5896" s="259"/>
      <c r="AC5896" s="260"/>
      <c r="AD5896" s="259"/>
      <c r="AE5896" s="259"/>
      <c r="AF5896" s="260"/>
      <c r="AG5896" s="330"/>
    </row>
    <row r="5897" spans="13:33" hidden="1">
      <c r="M5897"/>
      <c r="N5897" s="236"/>
      <c r="O5897" s="244"/>
      <c r="P5897" s="260"/>
      <c r="Q5897" s="328"/>
      <c r="R5897" s="259"/>
      <c r="S5897" s="259"/>
      <c r="T5897" s="260"/>
      <c r="U5897" s="259"/>
      <c r="V5897" s="259"/>
      <c r="W5897" s="260"/>
      <c r="X5897" s="259"/>
      <c r="Y5897" s="259"/>
      <c r="Z5897" s="260"/>
      <c r="AA5897" s="259"/>
      <c r="AB5897" s="259"/>
      <c r="AC5897" s="260"/>
      <c r="AD5897" s="259"/>
      <c r="AE5897" s="259"/>
      <c r="AF5897" s="260"/>
      <c r="AG5897" s="330"/>
    </row>
    <row r="5898" spans="13:33" hidden="1">
      <c r="M5898"/>
      <c r="N5898" s="236"/>
      <c r="O5898" s="244"/>
      <c r="P5898" s="260"/>
      <c r="Q5898" s="328"/>
      <c r="R5898" s="259"/>
      <c r="S5898" s="259"/>
      <c r="T5898" s="260"/>
      <c r="U5898" s="259"/>
      <c r="V5898" s="259"/>
      <c r="W5898" s="260"/>
      <c r="X5898" s="259"/>
      <c r="Y5898" s="259"/>
      <c r="Z5898" s="260"/>
      <c r="AA5898" s="259"/>
      <c r="AB5898" s="259"/>
      <c r="AC5898" s="260"/>
      <c r="AD5898" s="259"/>
      <c r="AE5898" s="259"/>
      <c r="AF5898" s="260"/>
      <c r="AG5898" s="330"/>
    </row>
    <row r="5899" spans="13:33" hidden="1">
      <c r="M5899"/>
      <c r="N5899" s="236"/>
      <c r="O5899" s="245"/>
      <c r="P5899" s="260"/>
      <c r="Q5899" s="328"/>
      <c r="R5899" s="259"/>
      <c r="S5899" s="259"/>
      <c r="T5899" s="260"/>
      <c r="U5899" s="259"/>
      <c r="V5899" s="259"/>
      <c r="W5899" s="260"/>
      <c r="X5899" s="259"/>
      <c r="Y5899" s="259"/>
      <c r="Z5899" s="260"/>
      <c r="AA5899" s="259"/>
      <c r="AB5899" s="259"/>
      <c r="AC5899" s="260"/>
      <c r="AD5899" s="259"/>
      <c r="AE5899" s="259"/>
      <c r="AF5899" s="260"/>
      <c r="AG5899" s="330"/>
    </row>
    <row r="5900" spans="13:33" hidden="1">
      <c r="M5900"/>
      <c r="N5900" s="236"/>
      <c r="O5900" s="244"/>
      <c r="P5900" s="260"/>
      <c r="Q5900" s="328"/>
      <c r="R5900" s="259"/>
      <c r="S5900" s="259"/>
      <c r="T5900" s="260"/>
      <c r="U5900" s="259"/>
      <c r="V5900" s="259"/>
      <c r="W5900" s="260"/>
      <c r="X5900" s="259"/>
      <c r="Y5900" s="259"/>
      <c r="Z5900" s="260"/>
      <c r="AA5900" s="259"/>
      <c r="AB5900" s="259"/>
      <c r="AC5900" s="260"/>
      <c r="AD5900" s="259"/>
      <c r="AE5900" s="259"/>
      <c r="AF5900" s="260"/>
      <c r="AG5900" s="330"/>
    </row>
    <row r="5901" spans="13:33" hidden="1">
      <c r="N5901" s="236"/>
      <c r="O5901" s="244"/>
      <c r="P5901" s="260"/>
      <c r="Q5901" s="328"/>
      <c r="R5901" s="259"/>
      <c r="S5901" s="259"/>
      <c r="T5901" s="260"/>
      <c r="U5901" s="259"/>
      <c r="V5901" s="259"/>
      <c r="W5901" s="260"/>
      <c r="X5901" s="259"/>
      <c r="Y5901" s="259"/>
      <c r="Z5901" s="260"/>
      <c r="AA5901" s="259"/>
      <c r="AB5901" s="259"/>
      <c r="AC5901" s="260"/>
      <c r="AD5901" s="259"/>
      <c r="AE5901" s="259"/>
      <c r="AF5901" s="260"/>
      <c r="AG5901" s="330"/>
    </row>
    <row r="5902" spans="13:33" hidden="1">
      <c r="N5902" s="236"/>
      <c r="O5902" s="242"/>
      <c r="P5902" s="260"/>
      <c r="Q5902" s="328"/>
      <c r="R5902" s="259"/>
      <c r="S5902" s="259"/>
      <c r="T5902" s="332"/>
      <c r="U5902" s="259"/>
      <c r="V5902" s="259"/>
      <c r="W5902" s="332"/>
      <c r="X5902" s="259"/>
      <c r="Y5902" s="259"/>
      <c r="Z5902" s="332"/>
      <c r="AA5902" s="259"/>
      <c r="AB5902" s="259"/>
      <c r="AC5902" s="332"/>
      <c r="AD5902" s="259"/>
      <c r="AE5902" s="259"/>
      <c r="AF5902" s="332"/>
      <c r="AG5902" s="330"/>
    </row>
    <row r="5903" spans="13:33" hidden="1">
      <c r="N5903" s="236"/>
      <c r="O5903" s="244"/>
      <c r="P5903" s="260"/>
      <c r="Q5903" s="328"/>
      <c r="R5903" s="259"/>
      <c r="S5903" s="259"/>
      <c r="T5903" s="332"/>
      <c r="U5903" s="259"/>
      <c r="V5903" s="259"/>
      <c r="W5903" s="332"/>
      <c r="X5903" s="259"/>
      <c r="Y5903" s="259"/>
      <c r="Z5903" s="332"/>
      <c r="AA5903" s="259"/>
      <c r="AB5903" s="259"/>
      <c r="AC5903" s="332"/>
      <c r="AD5903" s="259"/>
      <c r="AE5903" s="259"/>
      <c r="AF5903" s="332"/>
      <c r="AG5903" s="330"/>
    </row>
    <row r="5904" spans="13:33" hidden="1">
      <c r="N5904" s="236"/>
      <c r="O5904" s="244"/>
      <c r="P5904" s="260"/>
      <c r="Q5904" s="328"/>
      <c r="R5904" s="259"/>
      <c r="S5904" s="259"/>
      <c r="T5904" s="332"/>
      <c r="U5904" s="259"/>
      <c r="V5904" s="259"/>
      <c r="W5904" s="332"/>
      <c r="X5904" s="259"/>
      <c r="Y5904" s="259"/>
      <c r="Z5904" s="332"/>
      <c r="AA5904" s="259"/>
      <c r="AB5904" s="259"/>
      <c r="AC5904" s="332"/>
      <c r="AD5904" s="259"/>
      <c r="AE5904" s="259"/>
      <c r="AF5904" s="332"/>
      <c r="AG5904" s="330"/>
    </row>
    <row r="5905" spans="14:34" customFormat="1" hidden="1">
      <c r="N5905" s="236"/>
      <c r="O5905" s="245"/>
      <c r="P5905" s="260"/>
      <c r="Q5905" s="328"/>
      <c r="R5905" s="259"/>
      <c r="S5905" s="259"/>
      <c r="T5905" s="285"/>
      <c r="U5905" s="259"/>
      <c r="V5905" s="259"/>
      <c r="W5905" s="285"/>
      <c r="X5905" s="259"/>
      <c r="Y5905" s="259"/>
      <c r="Z5905" s="285"/>
      <c r="AA5905" s="259"/>
      <c r="AB5905" s="259"/>
      <c r="AC5905" s="285"/>
      <c r="AD5905" s="259"/>
      <c r="AE5905" s="259"/>
      <c r="AF5905" s="285"/>
      <c r="AG5905" s="330"/>
    </row>
    <row r="5906" spans="14:34" customFormat="1" hidden="1">
      <c r="N5906" s="236"/>
      <c r="O5906" s="244"/>
      <c r="P5906" s="260"/>
      <c r="Q5906" s="328"/>
      <c r="R5906" s="259"/>
      <c r="S5906" s="259"/>
      <c r="T5906" s="285"/>
      <c r="U5906" s="259"/>
      <c r="V5906" s="259"/>
      <c r="W5906" s="285"/>
      <c r="X5906" s="259"/>
      <c r="Y5906" s="259"/>
      <c r="Z5906" s="285"/>
      <c r="AA5906" s="259"/>
      <c r="AB5906" s="259"/>
      <c r="AC5906" s="285"/>
      <c r="AD5906" s="259"/>
      <c r="AE5906" s="259"/>
      <c r="AF5906" s="285"/>
      <c r="AG5906" s="330"/>
    </row>
    <row r="5907" spans="14:34" customFormat="1" hidden="1">
      <c r="N5907" s="236"/>
      <c r="O5907" s="244"/>
      <c r="P5907" s="260"/>
      <c r="Q5907" s="328"/>
      <c r="R5907" s="259"/>
      <c r="S5907" s="259"/>
      <c r="T5907" s="285"/>
      <c r="U5907" s="259"/>
      <c r="V5907" s="259"/>
      <c r="W5907" s="285"/>
      <c r="X5907" s="259"/>
      <c r="Y5907" s="259"/>
      <c r="Z5907" s="285"/>
      <c r="AA5907" s="259"/>
      <c r="AB5907" s="259"/>
      <c r="AC5907" s="285"/>
      <c r="AD5907" s="259"/>
      <c r="AE5907" s="259"/>
      <c r="AF5907" s="285"/>
      <c r="AG5907" s="330"/>
    </row>
    <row r="5908" spans="14:34" customFormat="1">
      <c r="N5908" s="234" t="s">
        <v>3072</v>
      </c>
      <c r="O5908" s="235" t="s">
        <v>799</v>
      </c>
      <c r="P5908" s="257"/>
      <c r="Q5908" s="328"/>
      <c r="R5908" s="259"/>
      <c r="S5908" s="259"/>
      <c r="T5908" s="262"/>
      <c r="U5908" s="259"/>
      <c r="V5908" s="259"/>
      <c r="W5908" s="262"/>
      <c r="X5908" s="259"/>
      <c r="Y5908" s="259"/>
      <c r="Z5908" s="262"/>
      <c r="AA5908" s="259"/>
      <c r="AB5908" s="259"/>
      <c r="AC5908" s="262"/>
      <c r="AD5908" s="259"/>
      <c r="AE5908" s="259"/>
      <c r="AF5908" s="262"/>
      <c r="AG5908" s="321"/>
      <c r="AH5908" s="1"/>
    </row>
    <row r="5909" spans="14:34" customFormat="1" hidden="1">
      <c r="N5909" s="234"/>
      <c r="O5909" s="235"/>
      <c r="P5909" s="260"/>
      <c r="Q5909" s="328"/>
      <c r="R5909" s="259"/>
      <c r="S5909" s="259"/>
      <c r="T5909" s="285"/>
      <c r="U5909" s="259"/>
      <c r="V5909" s="259"/>
      <c r="W5909" s="285"/>
      <c r="X5909" s="259"/>
      <c r="Y5909" s="259"/>
      <c r="Z5909" s="285"/>
      <c r="AA5909" s="259"/>
      <c r="AB5909" s="259"/>
      <c r="AC5909" s="285"/>
      <c r="AD5909" s="259"/>
      <c r="AE5909" s="259"/>
      <c r="AF5909" s="285"/>
      <c r="AG5909" s="330"/>
    </row>
    <row r="5910" spans="14:34" customFormat="1" hidden="1">
      <c r="N5910" s="234"/>
      <c r="O5910" s="235"/>
      <c r="P5910" s="260"/>
      <c r="Q5910" s="328"/>
      <c r="R5910" s="259"/>
      <c r="S5910" s="259"/>
      <c r="T5910" s="285"/>
      <c r="U5910" s="259"/>
      <c r="V5910" s="259"/>
      <c r="W5910" s="285"/>
      <c r="X5910" s="259"/>
      <c r="Y5910" s="259"/>
      <c r="Z5910" s="285"/>
      <c r="AA5910" s="259"/>
      <c r="AB5910" s="259"/>
      <c r="AC5910" s="285"/>
      <c r="AD5910" s="259"/>
      <c r="AE5910" s="259"/>
      <c r="AF5910" s="285"/>
      <c r="AG5910" s="330"/>
    </row>
    <row r="5911" spans="14:34" customFormat="1" hidden="1">
      <c r="N5911" s="234"/>
      <c r="O5911" s="235"/>
      <c r="P5911" s="260"/>
      <c r="Q5911" s="328"/>
      <c r="R5911" s="259"/>
      <c r="S5911" s="259"/>
      <c r="T5911" s="285"/>
      <c r="U5911" s="259"/>
      <c r="V5911" s="259"/>
      <c r="W5911" s="285"/>
      <c r="X5911" s="259"/>
      <c r="Y5911" s="259"/>
      <c r="Z5911" s="285"/>
      <c r="AA5911" s="259"/>
      <c r="AB5911" s="259"/>
      <c r="AC5911" s="285"/>
      <c r="AD5911" s="259"/>
      <c r="AE5911" s="259"/>
      <c r="AF5911" s="285"/>
      <c r="AG5911" s="330"/>
    </row>
    <row r="5912" spans="14:34" customFormat="1">
      <c r="N5912" s="236" t="s">
        <v>75</v>
      </c>
      <c r="O5912" s="224" t="s">
        <v>1832</v>
      </c>
      <c r="P5912" s="257"/>
      <c r="Q5912" s="328"/>
      <c r="R5912" s="259"/>
      <c r="S5912" s="259"/>
      <c r="T5912" s="262"/>
      <c r="U5912" s="259"/>
      <c r="V5912" s="259"/>
      <c r="W5912" s="262"/>
      <c r="X5912" s="259"/>
      <c r="Y5912" s="259"/>
      <c r="Z5912" s="262"/>
      <c r="AA5912" s="259"/>
      <c r="AB5912" s="259"/>
      <c r="AC5912" s="262"/>
      <c r="AD5912" s="259"/>
      <c r="AE5912" s="259"/>
      <c r="AF5912" s="262"/>
      <c r="AG5912" s="321"/>
      <c r="AH5912" s="1"/>
    </row>
    <row r="5913" spans="14:34" customFormat="1" hidden="1">
      <c r="N5913" s="236"/>
      <c r="O5913" s="225"/>
      <c r="P5913" s="255"/>
      <c r="Q5913" s="328"/>
      <c r="R5913" s="259"/>
      <c r="S5913" s="259"/>
      <c r="T5913" s="285"/>
      <c r="U5913" s="259"/>
      <c r="V5913" s="259"/>
      <c r="W5913" s="285"/>
      <c r="X5913" s="259"/>
      <c r="Y5913" s="259"/>
      <c r="Z5913" s="285"/>
      <c r="AA5913" s="259"/>
      <c r="AB5913" s="259"/>
      <c r="AC5913" s="285"/>
      <c r="AD5913" s="259"/>
      <c r="AE5913" s="259"/>
      <c r="AF5913" s="285"/>
      <c r="AG5913" s="330"/>
    </row>
    <row r="5914" spans="14:34" customFormat="1" hidden="1">
      <c r="N5914" s="236"/>
      <c r="O5914" s="225"/>
      <c r="P5914" s="260"/>
      <c r="Q5914" s="328"/>
      <c r="R5914" s="259"/>
      <c r="S5914" s="259"/>
      <c r="T5914" s="285"/>
      <c r="U5914" s="259"/>
      <c r="V5914" s="259"/>
      <c r="W5914" s="285"/>
      <c r="X5914" s="259"/>
      <c r="Y5914" s="259"/>
      <c r="Z5914" s="285"/>
      <c r="AA5914" s="259"/>
      <c r="AB5914" s="259"/>
      <c r="AC5914" s="285"/>
      <c r="AD5914" s="259"/>
      <c r="AE5914" s="259"/>
      <c r="AF5914" s="285"/>
      <c r="AG5914" s="330"/>
    </row>
    <row r="5915" spans="14:34" customFormat="1" hidden="1">
      <c r="N5915" s="236"/>
      <c r="O5915" s="225"/>
      <c r="P5915" s="260"/>
      <c r="Q5915" s="328"/>
      <c r="R5915" s="259"/>
      <c r="S5915" s="259"/>
      <c r="T5915" s="285"/>
      <c r="U5915" s="259"/>
      <c r="V5915" s="259"/>
      <c r="W5915" s="285"/>
      <c r="X5915" s="259"/>
      <c r="Y5915" s="259"/>
      <c r="Z5915" s="285"/>
      <c r="AA5915" s="259"/>
      <c r="AB5915" s="259"/>
      <c r="AC5915" s="285"/>
      <c r="AD5915" s="259"/>
      <c r="AE5915" s="259"/>
      <c r="AF5915" s="285"/>
      <c r="AG5915" s="330"/>
    </row>
    <row r="5916" spans="14:34" customFormat="1" hidden="1">
      <c r="N5916" s="236"/>
      <c r="O5916" s="225"/>
      <c r="P5916" s="260"/>
      <c r="Q5916" s="328"/>
      <c r="R5916" s="259"/>
      <c r="S5916" s="259"/>
      <c r="T5916" s="285"/>
      <c r="U5916" s="259"/>
      <c r="V5916" s="259"/>
      <c r="W5916" s="285"/>
      <c r="X5916" s="259"/>
      <c r="Y5916" s="259"/>
      <c r="Z5916" s="285"/>
      <c r="AA5916" s="259"/>
      <c r="AB5916" s="259"/>
      <c r="AC5916" s="285"/>
      <c r="AD5916" s="259"/>
      <c r="AE5916" s="259"/>
      <c r="AF5916" s="285"/>
      <c r="AG5916" s="330"/>
    </row>
    <row r="5917" spans="14:34" customFormat="1" hidden="1">
      <c r="N5917" s="236"/>
      <c r="O5917" s="225"/>
      <c r="P5917" s="260"/>
      <c r="Q5917" s="328"/>
      <c r="R5917" s="259"/>
      <c r="S5917" s="259"/>
      <c r="T5917" s="285"/>
      <c r="U5917" s="259"/>
      <c r="V5917" s="259"/>
      <c r="W5917" s="285"/>
      <c r="X5917" s="259"/>
      <c r="Y5917" s="259"/>
      <c r="Z5917" s="285"/>
      <c r="AA5917" s="259"/>
      <c r="AB5917" s="259"/>
      <c r="AC5917" s="285"/>
      <c r="AD5917" s="259"/>
      <c r="AE5917" s="259"/>
      <c r="AF5917" s="285"/>
      <c r="AG5917" s="330"/>
    </row>
    <row r="5918" spans="14:34" customFormat="1">
      <c r="N5918" s="236" t="s">
        <v>62</v>
      </c>
      <c r="O5918" s="224" t="s">
        <v>1838</v>
      </c>
      <c r="P5918" s="257"/>
      <c r="Q5918" s="328"/>
      <c r="R5918" s="259"/>
      <c r="S5918" s="259"/>
      <c r="T5918" s="262"/>
      <c r="U5918" s="259"/>
      <c r="V5918" s="259"/>
      <c r="W5918" s="262"/>
      <c r="X5918" s="259"/>
      <c r="Y5918" s="259"/>
      <c r="Z5918" s="262"/>
      <c r="AA5918" s="259"/>
      <c r="AB5918" s="259"/>
      <c r="AC5918" s="262"/>
      <c r="AD5918" s="259"/>
      <c r="AE5918" s="259"/>
      <c r="AF5918" s="262"/>
      <c r="AG5918" s="321"/>
      <c r="AH5918" s="1"/>
    </row>
    <row r="5919" spans="14:34" customFormat="1" hidden="1">
      <c r="N5919" s="236"/>
      <c r="O5919" s="228"/>
      <c r="P5919" s="255"/>
      <c r="Q5919" s="328"/>
      <c r="R5919" s="259"/>
      <c r="S5919" s="259"/>
      <c r="T5919" s="285"/>
      <c r="U5919" s="259"/>
      <c r="V5919" s="259"/>
      <c r="W5919" s="285"/>
      <c r="X5919" s="259"/>
      <c r="Y5919" s="259"/>
      <c r="Z5919" s="285"/>
      <c r="AA5919" s="259"/>
      <c r="AB5919" s="259"/>
      <c r="AC5919" s="285"/>
      <c r="AD5919" s="259"/>
      <c r="AE5919" s="259"/>
      <c r="AF5919" s="285"/>
      <c r="AG5919" s="330"/>
    </row>
    <row r="5920" spans="14:34" customFormat="1" hidden="1">
      <c r="N5920" s="236"/>
      <c r="O5920" s="228"/>
      <c r="P5920" s="260"/>
      <c r="Q5920" s="328"/>
      <c r="R5920" s="259"/>
      <c r="S5920" s="259"/>
      <c r="T5920" s="285"/>
      <c r="U5920" s="259"/>
      <c r="V5920" s="259"/>
      <c r="W5920" s="285"/>
      <c r="X5920" s="259"/>
      <c r="Y5920" s="259"/>
      <c r="Z5920" s="285"/>
      <c r="AA5920" s="259"/>
      <c r="AB5920" s="259"/>
      <c r="AC5920" s="285"/>
      <c r="AD5920" s="259"/>
      <c r="AE5920" s="259"/>
      <c r="AF5920" s="285"/>
      <c r="AG5920" s="330"/>
    </row>
    <row r="5921" spans="14:34" customFormat="1" hidden="1">
      <c r="N5921" s="236"/>
      <c r="O5921" s="228"/>
      <c r="P5921" s="260"/>
      <c r="Q5921" s="328"/>
      <c r="R5921" s="259"/>
      <c r="S5921" s="259"/>
      <c r="T5921" s="285"/>
      <c r="U5921" s="259"/>
      <c r="V5921" s="259"/>
      <c r="W5921" s="285"/>
      <c r="X5921" s="259"/>
      <c r="Y5921" s="259"/>
      <c r="Z5921" s="285"/>
      <c r="AA5921" s="259"/>
      <c r="AB5921" s="259"/>
      <c r="AC5921" s="285"/>
      <c r="AD5921" s="259"/>
      <c r="AE5921" s="259"/>
      <c r="AF5921" s="285"/>
      <c r="AG5921" s="330"/>
    </row>
    <row r="5922" spans="14:34" customFormat="1" hidden="1">
      <c r="N5922" s="236"/>
      <c r="O5922" s="228"/>
      <c r="P5922" s="260"/>
      <c r="Q5922" s="328"/>
      <c r="R5922" s="259"/>
      <c r="S5922" s="259"/>
      <c r="T5922" s="285"/>
      <c r="U5922" s="259"/>
      <c r="V5922" s="259"/>
      <c r="W5922" s="285"/>
      <c r="X5922" s="259"/>
      <c r="Y5922" s="259"/>
      <c r="Z5922" s="285"/>
      <c r="AA5922" s="259"/>
      <c r="AB5922" s="259"/>
      <c r="AC5922" s="285"/>
      <c r="AD5922" s="259"/>
      <c r="AE5922" s="259"/>
      <c r="AF5922" s="285"/>
      <c r="AG5922" s="330"/>
    </row>
    <row r="5923" spans="14:34" customFormat="1" hidden="1">
      <c r="N5923" s="236"/>
      <c r="O5923" s="228"/>
      <c r="P5923" s="260"/>
      <c r="Q5923" s="328"/>
      <c r="R5923" s="259"/>
      <c r="S5923" s="259"/>
      <c r="T5923" s="285"/>
      <c r="U5923" s="259"/>
      <c r="V5923" s="259"/>
      <c r="W5923" s="285"/>
      <c r="X5923" s="259"/>
      <c r="Y5923" s="259"/>
      <c r="Z5923" s="285"/>
      <c r="AA5923" s="259"/>
      <c r="AB5923" s="259"/>
      <c r="AC5923" s="285"/>
      <c r="AD5923" s="259"/>
      <c r="AE5923" s="259"/>
      <c r="AF5923" s="285"/>
      <c r="AG5923" s="330"/>
    </row>
    <row r="5924" spans="14:34" customFormat="1">
      <c r="N5924" s="236" t="s">
        <v>68</v>
      </c>
      <c r="O5924" s="224" t="s">
        <v>1843</v>
      </c>
      <c r="P5924" s="257"/>
      <c r="Q5924" s="328"/>
      <c r="R5924" s="259"/>
      <c r="S5924" s="259"/>
      <c r="T5924" s="262"/>
      <c r="U5924" s="259"/>
      <c r="V5924" s="259"/>
      <c r="W5924" s="262"/>
      <c r="X5924" s="259"/>
      <c r="Y5924" s="259"/>
      <c r="Z5924" s="262"/>
      <c r="AA5924" s="259"/>
      <c r="AB5924" s="259"/>
      <c r="AC5924" s="262"/>
      <c r="AD5924" s="259"/>
      <c r="AE5924" s="259"/>
      <c r="AF5924" s="262"/>
      <c r="AG5924" s="321"/>
      <c r="AH5924" s="1"/>
    </row>
    <row r="5925" spans="14:34" customFormat="1" hidden="1">
      <c r="N5925" s="236"/>
      <c r="O5925" s="228"/>
      <c r="P5925" s="255"/>
      <c r="Q5925" s="328"/>
      <c r="R5925" s="259"/>
      <c r="S5925" s="259"/>
      <c r="T5925" s="285"/>
      <c r="U5925" s="259"/>
      <c r="V5925" s="259"/>
      <c r="W5925" s="285"/>
      <c r="X5925" s="259"/>
      <c r="Y5925" s="259"/>
      <c r="Z5925" s="285"/>
      <c r="AA5925" s="259"/>
      <c r="AB5925" s="259"/>
      <c r="AC5925" s="285"/>
      <c r="AD5925" s="259"/>
      <c r="AE5925" s="259"/>
      <c r="AF5925" s="285"/>
      <c r="AG5925" s="330"/>
    </row>
    <row r="5926" spans="14:34" customFormat="1" hidden="1">
      <c r="N5926" s="236"/>
      <c r="O5926" s="228"/>
      <c r="P5926" s="260"/>
      <c r="Q5926" s="328"/>
      <c r="R5926" s="259"/>
      <c r="S5926" s="259"/>
      <c r="T5926" s="285"/>
      <c r="U5926" s="259"/>
      <c r="V5926" s="259"/>
      <c r="W5926" s="285"/>
      <c r="X5926" s="259"/>
      <c r="Y5926" s="259"/>
      <c r="Z5926" s="285"/>
      <c r="AA5926" s="259"/>
      <c r="AB5926" s="259"/>
      <c r="AC5926" s="285"/>
      <c r="AD5926" s="259"/>
      <c r="AE5926" s="259"/>
      <c r="AF5926" s="285"/>
      <c r="AG5926" s="330"/>
    </row>
    <row r="5927" spans="14:34" customFormat="1">
      <c r="N5927" s="236" t="s">
        <v>1848</v>
      </c>
      <c r="O5927" s="224" t="s">
        <v>1849</v>
      </c>
      <c r="P5927" s="257"/>
      <c r="Q5927" s="328"/>
      <c r="R5927" s="259"/>
      <c r="S5927" s="259"/>
      <c r="T5927" s="262"/>
      <c r="U5927" s="259"/>
      <c r="V5927" s="259"/>
      <c r="W5927" s="262"/>
      <c r="X5927" s="259"/>
      <c r="Y5927" s="259"/>
      <c r="Z5927" s="262"/>
      <c r="AA5927" s="259"/>
      <c r="AB5927" s="259"/>
      <c r="AC5927" s="262"/>
      <c r="AD5927" s="259"/>
      <c r="AE5927" s="259"/>
      <c r="AF5927" s="262"/>
      <c r="AG5927" s="321"/>
      <c r="AH5927" s="1"/>
    </row>
    <row r="5928" spans="14:34" customFormat="1" hidden="1">
      <c r="N5928" s="236"/>
      <c r="O5928" s="228"/>
      <c r="P5928" s="255"/>
      <c r="Q5928" s="328"/>
      <c r="R5928" s="259"/>
      <c r="S5928" s="259"/>
      <c r="T5928" s="285"/>
      <c r="U5928" s="259"/>
      <c r="V5928" s="259"/>
      <c r="W5928" s="285"/>
      <c r="X5928" s="259"/>
      <c r="Y5928" s="259"/>
      <c r="Z5928" s="285"/>
      <c r="AA5928" s="259"/>
      <c r="AB5928" s="259"/>
      <c r="AC5928" s="285"/>
      <c r="AD5928" s="259"/>
      <c r="AE5928" s="259"/>
      <c r="AF5928" s="285"/>
      <c r="AG5928" s="330"/>
    </row>
    <row r="5929" spans="14:34" customFormat="1" hidden="1">
      <c r="N5929" s="236"/>
      <c r="O5929" s="225"/>
      <c r="P5929" s="260"/>
      <c r="Q5929" s="328"/>
      <c r="R5929" s="259"/>
      <c r="S5929" s="259"/>
      <c r="T5929" s="285"/>
      <c r="U5929" s="259"/>
      <c r="V5929" s="259"/>
      <c r="W5929" s="285"/>
      <c r="X5929" s="259"/>
      <c r="Y5929" s="259"/>
      <c r="Z5929" s="285"/>
      <c r="AA5929" s="259"/>
      <c r="AB5929" s="259"/>
      <c r="AC5929" s="285"/>
      <c r="AD5929" s="259"/>
      <c r="AE5929" s="259"/>
      <c r="AF5929" s="285"/>
      <c r="AG5929" s="330"/>
    </row>
    <row r="5930" spans="14:34" customFormat="1" ht="22.5">
      <c r="N5930" s="236" t="s">
        <v>1855</v>
      </c>
      <c r="O5930" s="224" t="s">
        <v>1856</v>
      </c>
      <c r="P5930" s="257"/>
      <c r="Q5930" s="328"/>
      <c r="R5930" s="259"/>
      <c r="S5930" s="259"/>
      <c r="T5930" s="262"/>
      <c r="U5930" s="259"/>
      <c r="V5930" s="259"/>
      <c r="W5930" s="262"/>
      <c r="X5930" s="259"/>
      <c r="Y5930" s="259"/>
      <c r="Z5930" s="262"/>
      <c r="AA5930" s="259"/>
      <c r="AB5930" s="259"/>
      <c r="AC5930" s="262"/>
      <c r="AD5930" s="259"/>
      <c r="AE5930" s="259"/>
      <c r="AF5930" s="262"/>
      <c r="AG5930" s="321"/>
      <c r="AH5930" s="1"/>
    </row>
    <row r="5931" spans="14:34" customFormat="1" hidden="1">
      <c r="N5931" s="236"/>
      <c r="O5931" s="228"/>
      <c r="P5931" s="255"/>
      <c r="Q5931" s="328"/>
      <c r="R5931" s="259"/>
      <c r="S5931" s="259"/>
      <c r="T5931" s="285"/>
      <c r="U5931" s="259"/>
      <c r="V5931" s="259"/>
      <c r="W5931" s="285"/>
      <c r="X5931" s="259"/>
      <c r="Y5931" s="259"/>
      <c r="Z5931" s="285"/>
      <c r="AA5931" s="259"/>
      <c r="AB5931" s="259"/>
      <c r="AC5931" s="285"/>
      <c r="AD5931" s="259"/>
      <c r="AE5931" s="259"/>
      <c r="AF5931" s="285"/>
      <c r="AG5931" s="330"/>
    </row>
    <row r="5932" spans="14:34" customFormat="1" hidden="1">
      <c r="N5932" s="236"/>
      <c r="O5932" s="225"/>
      <c r="P5932" s="260"/>
      <c r="Q5932" s="328"/>
      <c r="R5932" s="259"/>
      <c r="S5932" s="259"/>
      <c r="T5932" s="285"/>
      <c r="U5932" s="259"/>
      <c r="V5932" s="259"/>
      <c r="W5932" s="285"/>
      <c r="X5932" s="259"/>
      <c r="Y5932" s="259"/>
      <c r="Z5932" s="285"/>
      <c r="AA5932" s="259"/>
      <c r="AB5932" s="259"/>
      <c r="AC5932" s="285"/>
      <c r="AD5932" s="259"/>
      <c r="AE5932" s="259"/>
      <c r="AF5932" s="285"/>
      <c r="AG5932" s="330"/>
    </row>
    <row r="5933" spans="14:34" customFormat="1">
      <c r="N5933" s="234" t="s">
        <v>2412</v>
      </c>
      <c r="O5933" s="235" t="s">
        <v>2413</v>
      </c>
      <c r="P5933" s="257"/>
      <c r="Q5933" s="328"/>
      <c r="R5933" s="259"/>
      <c r="S5933" s="259"/>
      <c r="T5933" s="262"/>
      <c r="U5933" s="259"/>
      <c r="V5933" s="259"/>
      <c r="W5933" s="262"/>
      <c r="X5933" s="259"/>
      <c r="Y5933" s="259"/>
      <c r="Z5933" s="262"/>
      <c r="AA5933" s="259"/>
      <c r="AB5933" s="259"/>
      <c r="AC5933" s="262"/>
      <c r="AD5933" s="259"/>
      <c r="AE5933" s="259"/>
      <c r="AF5933" s="262"/>
      <c r="AG5933" s="321"/>
      <c r="AH5933" s="1"/>
    </row>
    <row r="5934" spans="14:34" customFormat="1" ht="22.5">
      <c r="N5934" s="236" t="s">
        <v>2414</v>
      </c>
      <c r="O5934" s="224" t="s">
        <v>2415</v>
      </c>
      <c r="P5934" s="257"/>
      <c r="Q5934" s="328"/>
      <c r="R5934" s="259"/>
      <c r="S5934" s="259"/>
      <c r="T5934" s="262"/>
      <c r="U5934" s="259"/>
      <c r="V5934" s="259"/>
      <c r="W5934" s="262"/>
      <c r="X5934" s="259"/>
      <c r="Y5934" s="259"/>
      <c r="Z5934" s="262"/>
      <c r="AA5934" s="259"/>
      <c r="AB5934" s="259"/>
      <c r="AC5934" s="262"/>
      <c r="AD5934" s="259"/>
      <c r="AE5934" s="259"/>
      <c r="AF5934" s="262"/>
      <c r="AG5934" s="321"/>
      <c r="AH5934" s="1"/>
    </row>
    <row r="5935" spans="14:34" customFormat="1">
      <c r="N5935" s="236" t="s">
        <v>2416</v>
      </c>
      <c r="O5935" s="224" t="s">
        <v>2417</v>
      </c>
      <c r="P5935" s="257"/>
      <c r="Q5935" s="328"/>
      <c r="R5935" s="259"/>
      <c r="S5935" s="259"/>
      <c r="T5935" s="262"/>
      <c r="U5935" s="259"/>
      <c r="V5935" s="259"/>
      <c r="W5935" s="262"/>
      <c r="X5935" s="259"/>
      <c r="Y5935" s="259"/>
      <c r="Z5935" s="262"/>
      <c r="AA5935" s="259"/>
      <c r="AB5935" s="259"/>
      <c r="AC5935" s="262"/>
      <c r="AD5935" s="259"/>
      <c r="AE5935" s="259"/>
      <c r="AF5935" s="262"/>
      <c r="AG5935" s="321"/>
      <c r="AH5935" s="1"/>
    </row>
    <row r="5936" spans="14:34" customFormat="1">
      <c r="N5936" s="236" t="s">
        <v>2419</v>
      </c>
      <c r="O5936" s="224" t="s">
        <v>2420</v>
      </c>
      <c r="P5936" s="257"/>
      <c r="Q5936" s="328"/>
      <c r="R5936" s="259"/>
      <c r="S5936" s="259"/>
      <c r="T5936" s="262"/>
      <c r="U5936" s="259"/>
      <c r="V5936" s="259"/>
      <c r="W5936" s="262"/>
      <c r="X5936" s="259"/>
      <c r="Y5936" s="259"/>
      <c r="Z5936" s="262"/>
      <c r="AA5936" s="259"/>
      <c r="AB5936" s="259"/>
      <c r="AC5936" s="262"/>
      <c r="AD5936" s="259"/>
      <c r="AE5936" s="259"/>
      <c r="AF5936" s="262"/>
      <c r="AG5936" s="321"/>
      <c r="AH5936" s="1"/>
    </row>
    <row r="5937" spans="14:34" customFormat="1">
      <c r="N5937" s="236" t="s">
        <v>2422</v>
      </c>
      <c r="O5937" s="224" t="s">
        <v>2423</v>
      </c>
      <c r="P5937" s="257"/>
      <c r="Q5937" s="328"/>
      <c r="R5937" s="259"/>
      <c r="S5937" s="259"/>
      <c r="T5937" s="262"/>
      <c r="U5937" s="259"/>
      <c r="V5937" s="259"/>
      <c r="W5937" s="262"/>
      <c r="X5937" s="259"/>
      <c r="Y5937" s="259"/>
      <c r="Z5937" s="262"/>
      <c r="AA5937" s="259"/>
      <c r="AB5937" s="259"/>
      <c r="AC5937" s="262"/>
      <c r="AD5937" s="259"/>
      <c r="AE5937" s="259"/>
      <c r="AF5937" s="262"/>
      <c r="AG5937" s="321"/>
      <c r="AH5937" s="1"/>
    </row>
    <row r="5938" spans="14:34" customFormat="1">
      <c r="N5938" s="236" t="s">
        <v>2425</v>
      </c>
      <c r="O5938" s="224" t="s">
        <v>2426</v>
      </c>
      <c r="P5938" s="257"/>
      <c r="Q5938" s="328"/>
      <c r="R5938" s="259"/>
      <c r="S5938" s="259"/>
      <c r="T5938" s="262"/>
      <c r="U5938" s="259"/>
      <c r="V5938" s="259"/>
      <c r="W5938" s="262"/>
      <c r="X5938" s="259"/>
      <c r="Y5938" s="259"/>
      <c r="Z5938" s="262"/>
      <c r="AA5938" s="259"/>
      <c r="AB5938" s="259"/>
      <c r="AC5938" s="262"/>
      <c r="AD5938" s="259"/>
      <c r="AE5938" s="259"/>
      <c r="AF5938" s="262"/>
      <c r="AG5938" s="321"/>
      <c r="AH5938" s="1"/>
    </row>
    <row r="5939" spans="14:34" customFormat="1">
      <c r="N5939" s="236" t="s">
        <v>2427</v>
      </c>
      <c r="O5939" s="235" t="s">
        <v>2428</v>
      </c>
      <c r="P5939" s="257"/>
      <c r="Q5939" s="328"/>
      <c r="R5939" s="259"/>
      <c r="S5939" s="259"/>
      <c r="T5939" s="262"/>
      <c r="U5939" s="259"/>
      <c r="V5939" s="259"/>
      <c r="W5939" s="262"/>
      <c r="X5939" s="259"/>
      <c r="Y5939" s="259"/>
      <c r="Z5939" s="262"/>
      <c r="AA5939" s="259"/>
      <c r="AB5939" s="259"/>
      <c r="AC5939" s="262"/>
      <c r="AD5939" s="259"/>
      <c r="AE5939" s="259"/>
      <c r="AF5939" s="262"/>
      <c r="AG5939" s="321"/>
      <c r="AH5939" s="1"/>
    </row>
    <row r="5940" spans="14:34" customFormat="1" ht="33.75">
      <c r="N5940" s="234" t="s">
        <v>2429</v>
      </c>
      <c r="O5940" s="224" t="s">
        <v>2430</v>
      </c>
      <c r="P5940" s="257"/>
      <c r="Q5940" s="328"/>
      <c r="R5940" s="259"/>
      <c r="S5940" s="259"/>
      <c r="T5940" s="262"/>
      <c r="U5940" s="259"/>
      <c r="V5940" s="259"/>
      <c r="W5940" s="262"/>
      <c r="X5940" s="259"/>
      <c r="Y5940" s="259"/>
      <c r="Z5940" s="262"/>
      <c r="AA5940" s="259"/>
      <c r="AB5940" s="259"/>
      <c r="AC5940" s="262"/>
      <c r="AD5940" s="259"/>
      <c r="AE5940" s="259"/>
      <c r="AF5940" s="262"/>
      <c r="AG5940" s="321"/>
      <c r="AH5940" s="1"/>
    </row>
    <row r="5941" spans="14:34" customFormat="1">
      <c r="N5941" s="234" t="s">
        <v>2431</v>
      </c>
      <c r="O5941" s="235" t="s">
        <v>2432</v>
      </c>
      <c r="P5941" s="257"/>
      <c r="Q5941" s="328"/>
      <c r="R5941" s="259"/>
      <c r="S5941" s="259"/>
      <c r="T5941" s="262"/>
      <c r="U5941" s="259"/>
      <c r="V5941" s="259"/>
      <c r="W5941" s="262"/>
      <c r="X5941" s="259"/>
      <c r="Y5941" s="259"/>
      <c r="Z5941" s="262"/>
      <c r="AA5941" s="259"/>
      <c r="AB5941" s="259"/>
      <c r="AC5941" s="262"/>
      <c r="AD5941" s="259"/>
      <c r="AE5941" s="259"/>
      <c r="AF5941" s="262"/>
      <c r="AG5941" s="321"/>
      <c r="AH5941" s="1"/>
    </row>
    <row r="5942" spans="14:34" customFormat="1" ht="22.5">
      <c r="N5942" s="236" t="s">
        <v>1842</v>
      </c>
      <c r="O5942" s="224" t="s">
        <v>2433</v>
      </c>
      <c r="P5942" s="257"/>
      <c r="Q5942" s="328"/>
      <c r="R5942" s="259"/>
      <c r="S5942" s="259"/>
      <c r="T5942" s="262"/>
      <c r="U5942" s="259"/>
      <c r="V5942" s="259"/>
      <c r="W5942" s="262"/>
      <c r="X5942" s="259"/>
      <c r="Y5942" s="259"/>
      <c r="Z5942" s="262"/>
      <c r="AA5942" s="259"/>
      <c r="AB5942" s="259"/>
      <c r="AC5942" s="262"/>
      <c r="AD5942" s="259"/>
      <c r="AE5942" s="259"/>
      <c r="AF5942" s="262"/>
      <c r="AG5942" s="321"/>
      <c r="AH5942" s="1"/>
    </row>
    <row r="5943" spans="14:34" customFormat="1">
      <c r="N5943" s="236" t="s">
        <v>2418</v>
      </c>
      <c r="O5943" s="224" t="s">
        <v>2434</v>
      </c>
      <c r="P5943" s="257"/>
      <c r="Q5943" s="328"/>
      <c r="R5943" s="259"/>
      <c r="S5943" s="259"/>
      <c r="T5943" s="262"/>
      <c r="U5943" s="259"/>
      <c r="V5943" s="259"/>
      <c r="W5943" s="262"/>
      <c r="X5943" s="259"/>
      <c r="Y5943" s="259"/>
      <c r="Z5943" s="262"/>
      <c r="AA5943" s="259"/>
      <c r="AB5943" s="259"/>
      <c r="AC5943" s="262"/>
      <c r="AD5943" s="259"/>
      <c r="AE5943" s="259"/>
      <c r="AF5943" s="262"/>
      <c r="AG5943" s="321"/>
      <c r="AH5943" s="1"/>
    </row>
    <row r="5944" spans="14:34" customFormat="1">
      <c r="N5944" s="236" t="s">
        <v>2435</v>
      </c>
      <c r="O5944" s="224" t="s">
        <v>2436</v>
      </c>
      <c r="P5944" s="257"/>
      <c r="Q5944" s="328"/>
      <c r="R5944" s="259"/>
      <c r="S5944" s="259"/>
      <c r="T5944" s="262"/>
      <c r="U5944" s="259"/>
      <c r="V5944" s="259"/>
      <c r="W5944" s="262"/>
      <c r="X5944" s="259"/>
      <c r="Y5944" s="259"/>
      <c r="Z5944" s="262"/>
      <c r="AA5944" s="259"/>
      <c r="AB5944" s="259"/>
      <c r="AC5944" s="262"/>
      <c r="AD5944" s="259"/>
      <c r="AE5944" s="259"/>
      <c r="AF5944" s="262"/>
      <c r="AG5944" s="321"/>
      <c r="AH5944" s="1"/>
    </row>
    <row r="5945" spans="14:34" customFormat="1" ht="22.5">
      <c r="N5945" s="236" t="s">
        <v>2437</v>
      </c>
      <c r="O5945" s="224" t="s">
        <v>2438</v>
      </c>
      <c r="P5945" s="257"/>
      <c r="Q5945" s="328"/>
      <c r="R5945" s="259"/>
      <c r="S5945" s="259"/>
      <c r="T5945" s="262"/>
      <c r="U5945" s="259"/>
      <c r="V5945" s="259"/>
      <c r="W5945" s="262"/>
      <c r="X5945" s="259"/>
      <c r="Y5945" s="259"/>
      <c r="Z5945" s="262"/>
      <c r="AA5945" s="259"/>
      <c r="AB5945" s="259"/>
      <c r="AC5945" s="262"/>
      <c r="AD5945" s="259"/>
      <c r="AE5945" s="259"/>
      <c r="AF5945" s="262"/>
      <c r="AG5945" s="321"/>
      <c r="AH5945" s="1"/>
    </row>
    <row r="5946" spans="14:34" customFormat="1">
      <c r="N5946" s="236" t="s">
        <v>2439</v>
      </c>
      <c r="O5946" s="224" t="s">
        <v>2440</v>
      </c>
      <c r="P5946" s="257"/>
      <c r="Q5946" s="328"/>
      <c r="R5946" s="259"/>
      <c r="S5946" s="259"/>
      <c r="T5946" s="262"/>
      <c r="U5946" s="259"/>
      <c r="V5946" s="259"/>
      <c r="W5946" s="262"/>
      <c r="X5946" s="259"/>
      <c r="Y5946" s="259"/>
      <c r="Z5946" s="262"/>
      <c r="AA5946" s="259"/>
      <c r="AB5946" s="259"/>
      <c r="AC5946" s="262"/>
      <c r="AD5946" s="259"/>
      <c r="AE5946" s="259"/>
      <c r="AF5946" s="262"/>
      <c r="AG5946" s="321"/>
      <c r="AH5946" s="1"/>
    </row>
    <row r="5947" spans="14:34" customFormat="1">
      <c r="N5947" s="236" t="s">
        <v>2441</v>
      </c>
      <c r="O5947" s="224" t="s">
        <v>2442</v>
      </c>
      <c r="P5947" s="257"/>
      <c r="Q5947" s="328"/>
      <c r="R5947" s="259"/>
      <c r="S5947" s="259"/>
      <c r="T5947" s="262"/>
      <c r="U5947" s="259"/>
      <c r="V5947" s="259"/>
      <c r="W5947" s="262"/>
      <c r="X5947" s="259"/>
      <c r="Y5947" s="259"/>
      <c r="Z5947" s="262"/>
      <c r="AA5947" s="259"/>
      <c r="AB5947" s="259"/>
      <c r="AC5947" s="262"/>
      <c r="AD5947" s="259"/>
      <c r="AE5947" s="259"/>
      <c r="AF5947" s="262"/>
      <c r="AG5947" s="321"/>
      <c r="AH5947" s="1"/>
    </row>
    <row r="5948" spans="14:34" customFormat="1">
      <c r="N5948" s="236" t="s">
        <v>2443</v>
      </c>
      <c r="O5948" s="224" t="s">
        <v>2444</v>
      </c>
      <c r="P5948" s="257"/>
      <c r="Q5948" s="328"/>
      <c r="R5948" s="259"/>
      <c r="S5948" s="259"/>
      <c r="T5948" s="262"/>
      <c r="U5948" s="259"/>
      <c r="V5948" s="259"/>
      <c r="W5948" s="262"/>
      <c r="X5948" s="259"/>
      <c r="Y5948" s="259"/>
      <c r="Z5948" s="262"/>
      <c r="AA5948" s="259"/>
      <c r="AB5948" s="259"/>
      <c r="AC5948" s="262"/>
      <c r="AD5948" s="259"/>
      <c r="AE5948" s="259"/>
      <c r="AF5948" s="262"/>
      <c r="AG5948" s="321"/>
      <c r="AH5948" s="1"/>
    </row>
    <row r="5949" spans="14:34" customFormat="1">
      <c r="N5949" s="236" t="s">
        <v>842</v>
      </c>
      <c r="O5949" s="224" t="s">
        <v>843</v>
      </c>
      <c r="P5949" s="257"/>
      <c r="Q5949" s="328"/>
      <c r="R5949" s="259"/>
      <c r="S5949" s="259"/>
      <c r="T5949" s="262"/>
      <c r="U5949" s="259"/>
      <c r="V5949" s="259"/>
      <c r="W5949" s="262"/>
      <c r="X5949" s="259"/>
      <c r="Y5949" s="259"/>
      <c r="Z5949" s="262"/>
      <c r="AA5949" s="259"/>
      <c r="AB5949" s="259"/>
      <c r="AC5949" s="262"/>
      <c r="AD5949" s="259"/>
      <c r="AE5949" s="259"/>
      <c r="AF5949" s="262"/>
      <c r="AG5949" s="321"/>
      <c r="AH5949" s="1"/>
    </row>
    <row r="5950" spans="14:34" customFormat="1">
      <c r="N5950" s="236"/>
      <c r="O5950" s="205"/>
      <c r="P5950" s="224"/>
      <c r="Q5950" s="328"/>
      <c r="R5950" s="259"/>
      <c r="S5950" s="259"/>
      <c r="T5950" s="224"/>
      <c r="U5950" s="259"/>
      <c r="V5950" s="259"/>
      <c r="W5950" s="224"/>
      <c r="X5950" s="259"/>
      <c r="Y5950" s="259"/>
      <c r="Z5950" s="224"/>
      <c r="AA5950" s="259"/>
      <c r="AB5950" s="259"/>
      <c r="AC5950" s="224"/>
      <c r="AD5950" s="259"/>
      <c r="AE5950" s="259"/>
      <c r="AF5950" s="224"/>
      <c r="AG5950" s="321"/>
      <c r="AH5950" s="1"/>
    </row>
    <row r="5951" spans="14:34" customFormat="1">
      <c r="N5951" s="236"/>
      <c r="O5951" s="205"/>
      <c r="P5951" s="224"/>
      <c r="Q5951" s="328"/>
      <c r="R5951" s="259"/>
      <c r="S5951" s="259"/>
      <c r="T5951" s="224"/>
      <c r="U5951" s="259"/>
      <c r="V5951" s="259"/>
      <c r="W5951" s="224"/>
      <c r="X5951" s="259"/>
      <c r="Y5951" s="259"/>
      <c r="Z5951" s="224"/>
      <c r="AA5951" s="259"/>
      <c r="AB5951" s="259"/>
      <c r="AC5951" s="224"/>
      <c r="AD5951" s="259"/>
      <c r="AE5951" s="259"/>
      <c r="AF5951" s="224"/>
      <c r="AG5951" s="321"/>
      <c r="AH5951" s="1"/>
    </row>
    <row r="5952" spans="14:34" customFormat="1">
      <c r="N5952" s="236"/>
      <c r="O5952" s="205"/>
      <c r="P5952" s="224"/>
      <c r="Q5952" s="328"/>
      <c r="R5952" s="259"/>
      <c r="S5952" s="259"/>
      <c r="T5952" s="224"/>
      <c r="U5952" s="259"/>
      <c r="V5952" s="259"/>
      <c r="W5952" s="224"/>
      <c r="X5952" s="259"/>
      <c r="Y5952" s="259"/>
      <c r="Z5952" s="224"/>
      <c r="AA5952" s="259"/>
      <c r="AB5952" s="259"/>
      <c r="AC5952" s="224"/>
      <c r="AD5952" s="259"/>
      <c r="AE5952" s="259"/>
      <c r="AF5952" s="224"/>
      <c r="AG5952" s="321"/>
      <c r="AH5952" s="1"/>
    </row>
    <row r="5953" spans="14:34" customFormat="1">
      <c r="N5953" s="236"/>
      <c r="O5953" s="205"/>
      <c r="P5953" s="224"/>
      <c r="Q5953" s="328"/>
      <c r="R5953" s="259"/>
      <c r="S5953" s="259"/>
      <c r="T5953" s="224"/>
      <c r="U5953" s="259"/>
      <c r="V5953" s="259"/>
      <c r="W5953" s="224"/>
      <c r="X5953" s="259"/>
      <c r="Y5953" s="259"/>
      <c r="Z5953" s="224"/>
      <c r="AA5953" s="259"/>
      <c r="AB5953" s="259"/>
      <c r="AC5953" s="224"/>
      <c r="AD5953" s="259"/>
      <c r="AE5953" s="259"/>
      <c r="AF5953" s="224"/>
      <c r="AG5953" s="321"/>
      <c r="AH5953" s="1"/>
    </row>
    <row r="5954" spans="14:34" customFormat="1">
      <c r="N5954" s="236"/>
      <c r="O5954" s="205"/>
      <c r="P5954" s="224"/>
      <c r="Q5954" s="328"/>
      <c r="R5954" s="259"/>
      <c r="S5954" s="259"/>
      <c r="T5954" s="224"/>
      <c r="U5954" s="259"/>
      <c r="V5954" s="259"/>
      <c r="W5954" s="224"/>
      <c r="X5954" s="259"/>
      <c r="Y5954" s="259"/>
      <c r="Z5954" s="224"/>
      <c r="AA5954" s="259"/>
      <c r="AB5954" s="259"/>
      <c r="AC5954" s="224"/>
      <c r="AD5954" s="259"/>
      <c r="AE5954" s="259"/>
      <c r="AF5954" s="224"/>
      <c r="AG5954" s="321"/>
      <c r="AH5954" s="1"/>
    </row>
    <row r="5955" spans="14:34" customFormat="1">
      <c r="N5955" s="236"/>
      <c r="O5955" s="205"/>
      <c r="P5955" s="224"/>
      <c r="Q5955" s="328"/>
      <c r="R5955" s="259"/>
      <c r="S5955" s="259"/>
      <c r="T5955" s="224"/>
      <c r="U5955" s="259"/>
      <c r="V5955" s="259"/>
      <c r="W5955" s="224"/>
      <c r="X5955" s="259"/>
      <c r="Y5955" s="259"/>
      <c r="Z5955" s="224"/>
      <c r="AA5955" s="259"/>
      <c r="AB5955" s="259"/>
      <c r="AC5955" s="224"/>
      <c r="AD5955" s="259"/>
      <c r="AE5955" s="259"/>
      <c r="AF5955" s="224"/>
      <c r="AG5955" s="321"/>
      <c r="AH5955" s="1"/>
    </row>
    <row r="5956" spans="14:34" customFormat="1">
      <c r="N5956" s="236"/>
      <c r="O5956" s="224"/>
      <c r="P5956" s="224"/>
      <c r="Q5956" s="328"/>
      <c r="R5956" s="259"/>
      <c r="S5956" s="259"/>
      <c r="T5956" s="285"/>
      <c r="U5956" s="259"/>
      <c r="V5956" s="259"/>
      <c r="W5956" s="285"/>
      <c r="X5956" s="259"/>
      <c r="Y5956" s="259"/>
      <c r="Z5956" s="285"/>
      <c r="AA5956" s="259"/>
      <c r="AB5956" s="259"/>
      <c r="AC5956" s="285"/>
      <c r="AD5956" s="259"/>
      <c r="AE5956" s="259"/>
      <c r="AF5956" s="285"/>
      <c r="AG5956" s="330"/>
    </row>
    <row r="5957" spans="14:34" customFormat="1">
      <c r="N5957" s="236"/>
      <c r="O5957" s="224"/>
      <c r="P5957" s="224"/>
      <c r="Q5957" s="328"/>
      <c r="R5957" s="259"/>
      <c r="S5957" s="259"/>
      <c r="T5957" s="285"/>
      <c r="U5957" s="259"/>
      <c r="V5957" s="259"/>
      <c r="W5957" s="285"/>
      <c r="X5957" s="259"/>
      <c r="Y5957" s="259"/>
      <c r="Z5957" s="285"/>
      <c r="AA5957" s="259"/>
      <c r="AB5957" s="259"/>
      <c r="AC5957" s="285"/>
      <c r="AD5957" s="259"/>
      <c r="AE5957" s="259"/>
      <c r="AF5957" s="285"/>
      <c r="AG5957" s="330"/>
    </row>
    <row r="5958" spans="14:34" customFormat="1">
      <c r="N5958" s="236" t="s">
        <v>844</v>
      </c>
      <c r="O5958" s="235" t="s">
        <v>853</v>
      </c>
      <c r="P5958" s="257"/>
      <c r="Q5958" s="328"/>
      <c r="R5958" s="259"/>
      <c r="S5958" s="259"/>
      <c r="T5958" s="262"/>
      <c r="U5958" s="259"/>
      <c r="V5958" s="259"/>
      <c r="W5958" s="262"/>
      <c r="X5958" s="259"/>
      <c r="Y5958" s="259"/>
      <c r="Z5958" s="262"/>
      <c r="AA5958" s="259"/>
      <c r="AB5958" s="259"/>
      <c r="AC5958" s="262"/>
      <c r="AD5958" s="259"/>
      <c r="AE5958" s="259"/>
      <c r="AF5958" s="262"/>
      <c r="AG5958" s="321"/>
      <c r="AH5958" s="1"/>
    </row>
    <row r="5959" spans="14:34" customFormat="1">
      <c r="N5959" s="234" t="s">
        <v>854</v>
      </c>
      <c r="O5959" s="205" t="s">
        <v>76</v>
      </c>
      <c r="P5959" s="257"/>
      <c r="Q5959" s="328"/>
      <c r="R5959" s="259"/>
      <c r="S5959" s="259"/>
      <c r="T5959" s="262"/>
      <c r="U5959" s="259"/>
      <c r="V5959" s="259"/>
      <c r="W5959" s="262"/>
      <c r="X5959" s="259"/>
      <c r="Y5959" s="259"/>
      <c r="Z5959" s="262"/>
      <c r="AA5959" s="259"/>
      <c r="AB5959" s="259"/>
      <c r="AC5959" s="262"/>
      <c r="AD5959" s="259"/>
      <c r="AE5959" s="259"/>
      <c r="AF5959" s="262"/>
      <c r="AG5959" s="321"/>
      <c r="AH5959" s="1"/>
    </row>
    <row r="5960" spans="14:34" customFormat="1">
      <c r="N5960" s="236"/>
      <c r="O5960" s="235"/>
      <c r="P5960" s="224"/>
      <c r="Q5960" s="328"/>
      <c r="R5960" s="259"/>
      <c r="S5960" s="259"/>
      <c r="T5960" s="224"/>
      <c r="U5960" s="259"/>
      <c r="V5960" s="259"/>
      <c r="W5960" s="224"/>
      <c r="X5960" s="259"/>
      <c r="Y5960" s="259"/>
      <c r="Z5960" s="224"/>
      <c r="AA5960" s="259"/>
      <c r="AB5960" s="259"/>
      <c r="AC5960" s="224"/>
      <c r="AD5960" s="259"/>
      <c r="AE5960" s="259"/>
      <c r="AF5960" s="224"/>
      <c r="AG5960" s="321"/>
      <c r="AH5960" s="1"/>
    </row>
    <row r="5961" spans="14:34" customFormat="1">
      <c r="N5961" s="236"/>
      <c r="O5961" s="205"/>
      <c r="P5961" s="224"/>
      <c r="Q5961" s="328"/>
      <c r="R5961" s="259"/>
      <c r="S5961" s="259"/>
      <c r="T5961" s="224"/>
      <c r="U5961" s="259"/>
      <c r="V5961" s="259"/>
      <c r="W5961" s="224"/>
      <c r="X5961" s="259"/>
      <c r="Y5961" s="259"/>
      <c r="Z5961" s="224"/>
      <c r="AA5961" s="259"/>
      <c r="AB5961" s="259"/>
      <c r="AC5961" s="224"/>
      <c r="AD5961" s="259"/>
      <c r="AE5961" s="259"/>
      <c r="AF5961" s="224"/>
      <c r="AG5961" s="321"/>
      <c r="AH5961" s="1"/>
    </row>
    <row r="5962" spans="14:34" customFormat="1">
      <c r="N5962" s="236"/>
      <c r="O5962" s="205"/>
      <c r="P5962" s="224"/>
      <c r="Q5962" s="328"/>
      <c r="R5962" s="259"/>
      <c r="S5962" s="259"/>
      <c r="T5962" s="224"/>
      <c r="U5962" s="259"/>
      <c r="V5962" s="259"/>
      <c r="W5962" s="224"/>
      <c r="X5962" s="259"/>
      <c r="Y5962" s="259"/>
      <c r="Z5962" s="224"/>
      <c r="AA5962" s="259"/>
      <c r="AB5962" s="259"/>
      <c r="AC5962" s="224"/>
      <c r="AD5962" s="259"/>
      <c r="AE5962" s="259"/>
      <c r="AF5962" s="224"/>
      <c r="AG5962" s="321"/>
      <c r="AH5962" s="1"/>
    </row>
    <row r="5963" spans="14:34" customFormat="1">
      <c r="N5963" s="236"/>
      <c r="O5963" s="205"/>
      <c r="P5963" s="224"/>
      <c r="Q5963" s="328"/>
      <c r="R5963" s="259"/>
      <c r="S5963" s="259"/>
      <c r="T5963" s="224"/>
      <c r="U5963" s="259"/>
      <c r="V5963" s="259"/>
      <c r="W5963" s="224"/>
      <c r="X5963" s="259"/>
      <c r="Y5963" s="259"/>
      <c r="Z5963" s="224"/>
      <c r="AA5963" s="259"/>
      <c r="AB5963" s="259"/>
      <c r="AC5963" s="224"/>
      <c r="AD5963" s="259"/>
      <c r="AE5963" s="259"/>
      <c r="AF5963" s="224"/>
      <c r="AG5963" s="321"/>
      <c r="AH5963" s="1"/>
    </row>
    <row r="5964" spans="14:34" customFormat="1">
      <c r="N5964" s="236"/>
      <c r="O5964" s="205"/>
      <c r="P5964" s="224"/>
      <c r="Q5964" s="328"/>
      <c r="R5964" s="259"/>
      <c r="S5964" s="259"/>
      <c r="T5964" s="224"/>
      <c r="U5964" s="259"/>
      <c r="V5964" s="259"/>
      <c r="W5964" s="224"/>
      <c r="X5964" s="259"/>
      <c r="Y5964" s="259"/>
      <c r="Z5964" s="224"/>
      <c r="AA5964" s="259"/>
      <c r="AB5964" s="259"/>
      <c r="AC5964" s="224"/>
      <c r="AD5964" s="259"/>
      <c r="AE5964" s="259"/>
      <c r="AF5964" s="224"/>
      <c r="AG5964" s="321"/>
      <c r="AH5964" s="1"/>
    </row>
    <row r="5965" spans="14:34" customFormat="1">
      <c r="N5965" s="236"/>
      <c r="O5965" s="205"/>
      <c r="P5965" s="224"/>
      <c r="Q5965" s="328"/>
      <c r="R5965" s="259"/>
      <c r="S5965" s="259"/>
      <c r="T5965" s="224"/>
      <c r="U5965" s="259"/>
      <c r="V5965" s="259"/>
      <c r="W5965" s="224"/>
      <c r="X5965" s="259"/>
      <c r="Y5965" s="259"/>
      <c r="Z5965" s="224"/>
      <c r="AA5965" s="259"/>
      <c r="AB5965" s="259"/>
      <c r="AC5965" s="224"/>
      <c r="AD5965" s="259"/>
      <c r="AE5965" s="259"/>
      <c r="AF5965" s="224"/>
      <c r="AG5965" s="321"/>
      <c r="AH5965" s="1"/>
    </row>
    <row r="5966" spans="14:34" customFormat="1">
      <c r="N5966" s="236"/>
      <c r="O5966" s="229"/>
      <c r="P5966" s="224"/>
      <c r="Q5966" s="328"/>
      <c r="R5966" s="259"/>
      <c r="S5966" s="259"/>
      <c r="T5966" s="224"/>
      <c r="U5966" s="259"/>
      <c r="V5966" s="259"/>
      <c r="W5966" s="224"/>
      <c r="X5966" s="259"/>
      <c r="Y5966" s="259"/>
      <c r="Z5966" s="224"/>
      <c r="AA5966" s="259"/>
      <c r="AB5966" s="259"/>
      <c r="AC5966" s="224"/>
      <c r="AD5966" s="259"/>
      <c r="AE5966" s="259"/>
      <c r="AF5966" s="224"/>
      <c r="AG5966" s="321"/>
      <c r="AH5966" s="1"/>
    </row>
    <row r="5967" spans="14:34" customFormat="1">
      <c r="N5967" s="236"/>
      <c r="O5967" s="229"/>
      <c r="P5967" s="224"/>
      <c r="Q5967" s="328"/>
      <c r="R5967" s="259"/>
      <c r="S5967" s="259"/>
      <c r="T5967" s="224"/>
      <c r="U5967" s="259"/>
      <c r="V5967" s="259"/>
      <c r="W5967" s="224"/>
      <c r="X5967" s="259"/>
      <c r="Y5967" s="259"/>
      <c r="Z5967" s="224"/>
      <c r="AA5967" s="259"/>
      <c r="AB5967" s="259"/>
      <c r="AC5967" s="224"/>
      <c r="AD5967" s="259"/>
      <c r="AE5967" s="259"/>
      <c r="AF5967" s="224"/>
      <c r="AG5967" s="321"/>
      <c r="AH5967" s="1"/>
    </row>
    <row r="5968" spans="14:34" customFormat="1">
      <c r="N5968" s="236"/>
      <c r="O5968" s="229"/>
      <c r="P5968" s="224"/>
      <c r="Q5968" s="328"/>
      <c r="R5968" s="259"/>
      <c r="S5968" s="259"/>
      <c r="T5968" s="224"/>
      <c r="U5968" s="259"/>
      <c r="V5968" s="259"/>
      <c r="W5968" s="224"/>
      <c r="X5968" s="259"/>
      <c r="Y5968" s="259"/>
      <c r="Z5968" s="224"/>
      <c r="AA5968" s="259"/>
      <c r="AB5968" s="259"/>
      <c r="AC5968" s="224"/>
      <c r="AD5968" s="259"/>
      <c r="AE5968" s="259"/>
      <c r="AF5968" s="224"/>
      <c r="AG5968" s="321"/>
      <c r="AH5968" s="1"/>
    </row>
    <row r="5969" spans="14:41" customFormat="1">
      <c r="N5969" s="234"/>
      <c r="O5969" s="249"/>
      <c r="P5969" s="224"/>
      <c r="Q5969" s="328"/>
      <c r="R5969" s="259"/>
      <c r="S5969" s="259"/>
      <c r="T5969" s="224"/>
      <c r="U5969" s="259"/>
      <c r="V5969" s="259"/>
      <c r="W5969" s="224"/>
      <c r="X5969" s="259"/>
      <c r="Y5969" s="259"/>
      <c r="Z5969" s="224"/>
      <c r="AA5969" s="259"/>
      <c r="AB5969" s="259"/>
      <c r="AC5969" s="224"/>
      <c r="AD5969" s="259"/>
      <c r="AE5969" s="259"/>
      <c r="AF5969" s="224"/>
      <c r="AG5969" s="321"/>
      <c r="AH5969" s="1"/>
      <c r="AI5969" s="1"/>
      <c r="AJ5969" s="259"/>
      <c r="AK5969" s="259"/>
      <c r="AL5969" s="224"/>
      <c r="AM5969" s="1"/>
      <c r="AN5969" s="1"/>
      <c r="AO5969" s="1"/>
    </row>
    <row r="5970" spans="14:41" customFormat="1">
      <c r="N5970" s="236"/>
      <c r="O5970" s="205"/>
      <c r="P5970" s="224"/>
      <c r="Q5970" s="328"/>
      <c r="R5970" s="259"/>
      <c r="S5970" s="259"/>
      <c r="T5970" s="224"/>
      <c r="U5970" s="259"/>
      <c r="V5970" s="259"/>
      <c r="W5970" s="224"/>
      <c r="X5970" s="259"/>
      <c r="Y5970" s="259"/>
      <c r="Z5970" s="224"/>
      <c r="AA5970" s="259"/>
      <c r="AB5970" s="259"/>
      <c r="AC5970" s="224"/>
      <c r="AD5970" s="259"/>
      <c r="AE5970" s="259"/>
      <c r="AF5970" s="224"/>
      <c r="AG5970" s="321"/>
      <c r="AH5970" s="1"/>
      <c r="AI5970" s="1"/>
      <c r="AJ5970" s="259"/>
      <c r="AK5970" s="259"/>
      <c r="AL5970" s="224"/>
      <c r="AM5970" s="1"/>
      <c r="AN5970" s="1"/>
      <c r="AO5970" s="1"/>
    </row>
    <row r="5971" spans="14:41" customFormat="1">
      <c r="N5971" s="236"/>
      <c r="O5971" s="205"/>
      <c r="P5971" s="224"/>
      <c r="Q5971" s="328"/>
      <c r="R5971" s="259"/>
      <c r="S5971" s="259"/>
      <c r="T5971" s="224"/>
      <c r="U5971" s="259"/>
      <c r="V5971" s="259"/>
      <c r="W5971" s="224"/>
      <c r="X5971" s="259"/>
      <c r="Y5971" s="259"/>
      <c r="Z5971" s="224"/>
      <c r="AA5971" s="259"/>
      <c r="AB5971" s="259"/>
      <c r="AC5971" s="224"/>
      <c r="AD5971" s="259"/>
      <c r="AE5971" s="259"/>
      <c r="AF5971" s="224"/>
      <c r="AG5971" s="321"/>
      <c r="AH5971" s="1"/>
      <c r="AI5971" s="1"/>
      <c r="AJ5971" s="259"/>
      <c r="AK5971" s="259"/>
      <c r="AL5971" s="224"/>
      <c r="AM5971" s="1"/>
      <c r="AN5971" s="1"/>
      <c r="AO5971" s="1"/>
    </row>
    <row r="5972" spans="14:41" customFormat="1">
      <c r="N5972" s="236"/>
      <c r="O5972" s="250"/>
      <c r="P5972" s="224"/>
      <c r="Q5972" s="328"/>
      <c r="R5972" s="259"/>
      <c r="S5972" s="259"/>
      <c r="T5972" s="224"/>
      <c r="U5972" s="259"/>
      <c r="V5972" s="259"/>
      <c r="W5972" s="224"/>
      <c r="X5972" s="259"/>
      <c r="Y5972" s="259"/>
      <c r="Z5972" s="224"/>
      <c r="AA5972" s="259"/>
      <c r="AB5972" s="259"/>
      <c r="AC5972" s="224"/>
      <c r="AD5972" s="259"/>
      <c r="AE5972" s="259"/>
      <c r="AF5972" s="224"/>
      <c r="AG5972" s="321"/>
      <c r="AH5972" s="1"/>
      <c r="AI5972" s="1"/>
      <c r="AJ5972" s="259"/>
      <c r="AK5972" s="259"/>
      <c r="AL5972" s="224"/>
      <c r="AM5972" s="1"/>
      <c r="AN5972" s="1"/>
      <c r="AO5972" s="1"/>
    </row>
    <row r="5973" spans="14:41" customFormat="1">
      <c r="N5973" s="236"/>
      <c r="O5973" s="250"/>
      <c r="P5973" s="224"/>
      <c r="Q5973" s="328"/>
      <c r="R5973" s="259"/>
      <c r="S5973" s="259"/>
      <c r="T5973" s="224"/>
      <c r="U5973" s="259"/>
      <c r="V5973" s="259"/>
      <c r="W5973" s="224"/>
      <c r="X5973" s="259"/>
      <c r="Y5973" s="259"/>
      <c r="Z5973" s="224"/>
      <c r="AA5973" s="259"/>
      <c r="AB5973" s="259"/>
      <c r="AC5973" s="224"/>
      <c r="AD5973" s="259"/>
      <c r="AE5973" s="259"/>
      <c r="AF5973" s="224"/>
      <c r="AG5973" s="321"/>
      <c r="AH5973" s="1"/>
      <c r="AI5973" s="1"/>
      <c r="AJ5973" s="259"/>
      <c r="AK5973" s="259"/>
      <c r="AL5973" s="224"/>
      <c r="AM5973" s="1"/>
      <c r="AN5973" s="1"/>
      <c r="AO5973" s="1"/>
    </row>
    <row r="5974" spans="14:41" customFormat="1">
      <c r="N5974" s="236"/>
      <c r="O5974" s="250"/>
      <c r="P5974" s="224"/>
      <c r="Q5974" s="328"/>
      <c r="R5974" s="259"/>
      <c r="S5974" s="259"/>
      <c r="T5974" s="224"/>
      <c r="U5974" s="259"/>
      <c r="V5974" s="259"/>
      <c r="W5974" s="224"/>
      <c r="X5974" s="259"/>
      <c r="Y5974" s="259"/>
      <c r="Z5974" s="224"/>
      <c r="AA5974" s="259"/>
      <c r="AB5974" s="259"/>
      <c r="AC5974" s="224"/>
      <c r="AD5974" s="259"/>
      <c r="AE5974" s="259"/>
      <c r="AF5974" s="224"/>
      <c r="AG5974" s="321"/>
      <c r="AH5974" s="1"/>
      <c r="AI5974" s="1"/>
      <c r="AJ5974" s="259"/>
      <c r="AK5974" s="259"/>
      <c r="AL5974" s="224"/>
      <c r="AM5974" s="1"/>
      <c r="AN5974" s="1"/>
      <c r="AO5974" s="1"/>
    </row>
    <row r="5975" spans="14:41" customFormat="1">
      <c r="N5975" s="236"/>
      <c r="O5975" s="205"/>
      <c r="P5975" s="224"/>
      <c r="Q5975" s="328"/>
      <c r="R5975" s="259"/>
      <c r="S5975" s="259"/>
      <c r="T5975" s="224"/>
      <c r="U5975" s="259"/>
      <c r="V5975" s="259"/>
      <c r="W5975" s="224"/>
      <c r="X5975" s="259"/>
      <c r="Y5975" s="259"/>
      <c r="Z5975" s="224"/>
      <c r="AA5975" s="259"/>
      <c r="AB5975" s="259"/>
      <c r="AC5975" s="224"/>
      <c r="AD5975" s="259"/>
      <c r="AE5975" s="259"/>
      <c r="AF5975" s="224"/>
      <c r="AG5975" s="330"/>
      <c r="AI5975" s="1"/>
      <c r="AJ5975" s="259"/>
      <c r="AK5975" s="259"/>
      <c r="AL5975" s="224"/>
      <c r="AM5975" s="1"/>
      <c r="AN5975" s="1"/>
      <c r="AO5975" s="1"/>
    </row>
    <row r="5976" spans="14:41" customFormat="1">
      <c r="N5976" s="236"/>
      <c r="O5976" s="250"/>
      <c r="P5976" s="224"/>
      <c r="Q5976" s="328"/>
      <c r="R5976" s="259"/>
      <c r="S5976" s="259"/>
      <c r="T5976" s="224"/>
      <c r="U5976" s="259"/>
      <c r="V5976" s="259"/>
      <c r="W5976" s="224"/>
      <c r="X5976" s="259"/>
      <c r="Y5976" s="259"/>
      <c r="Z5976" s="224"/>
      <c r="AA5976" s="259"/>
      <c r="AB5976" s="259"/>
      <c r="AC5976" s="224"/>
      <c r="AD5976" s="259"/>
      <c r="AE5976" s="259"/>
      <c r="AF5976" s="224"/>
      <c r="AG5976" s="321"/>
      <c r="AH5976" s="1"/>
      <c r="AI5976" s="1"/>
      <c r="AJ5976" s="259"/>
      <c r="AK5976" s="259"/>
      <c r="AL5976" s="224"/>
      <c r="AM5976" s="1"/>
      <c r="AN5976" s="1"/>
      <c r="AO5976" s="1"/>
    </row>
    <row r="5977" spans="14:41" customFormat="1">
      <c r="N5977" s="236"/>
      <c r="O5977" s="325"/>
      <c r="P5977" s="224"/>
      <c r="Q5977" s="328"/>
      <c r="R5977" s="323"/>
      <c r="S5977" s="323"/>
      <c r="T5977" s="224"/>
      <c r="U5977" s="260"/>
      <c r="V5977" s="260"/>
      <c r="W5977" s="224"/>
      <c r="X5977" s="260"/>
      <c r="Y5977" s="260"/>
      <c r="Z5977" s="224"/>
      <c r="AA5977" s="260"/>
      <c r="AB5977" s="260"/>
      <c r="AC5977" s="224"/>
      <c r="AD5977" s="260"/>
      <c r="AE5977" s="260"/>
      <c r="AF5977" s="224"/>
      <c r="AG5977" s="330"/>
      <c r="AI5977" s="1"/>
      <c r="AJ5977" s="259"/>
      <c r="AK5977" s="259"/>
      <c r="AL5977" s="224"/>
      <c r="AM5977" s="1"/>
      <c r="AN5977" s="1"/>
      <c r="AO5977" s="1"/>
    </row>
    <row r="5978" spans="14:41" customFormat="1">
      <c r="N5978" s="236"/>
      <c r="O5978" s="483"/>
      <c r="P5978" s="224"/>
      <c r="Q5978" s="328"/>
      <c r="R5978" s="323"/>
      <c r="S5978" s="323"/>
      <c r="T5978" s="224"/>
      <c r="U5978" s="260"/>
      <c r="V5978" s="260"/>
      <c r="W5978" s="224"/>
      <c r="X5978" s="260"/>
      <c r="Y5978" s="260"/>
      <c r="Z5978" s="224"/>
      <c r="AA5978" s="260"/>
      <c r="AB5978" s="260"/>
      <c r="AC5978" s="224"/>
      <c r="AD5978" s="260"/>
      <c r="AE5978" s="260"/>
      <c r="AF5978" s="224"/>
      <c r="AG5978" s="330"/>
      <c r="AI5978" s="1"/>
      <c r="AJ5978" s="259"/>
      <c r="AK5978" s="259"/>
      <c r="AL5978" s="224"/>
      <c r="AM5978" s="1"/>
      <c r="AN5978" s="1"/>
      <c r="AO5978" s="1"/>
    </row>
    <row r="5979" spans="14:41" customFormat="1">
      <c r="N5979" s="236"/>
      <c r="O5979" s="235"/>
      <c r="P5979" s="224"/>
      <c r="Q5979" s="328"/>
      <c r="R5979" s="323"/>
      <c r="S5979" s="323"/>
      <c r="T5979" s="224"/>
      <c r="U5979" s="260"/>
      <c r="V5979" s="260"/>
      <c r="W5979" s="224"/>
      <c r="X5979" s="260"/>
      <c r="Y5979" s="260"/>
      <c r="Z5979" s="224"/>
      <c r="AA5979" s="260"/>
      <c r="AB5979" s="260"/>
      <c r="AC5979" s="224"/>
      <c r="AD5979" s="260"/>
      <c r="AE5979" s="260"/>
      <c r="AF5979" s="224"/>
      <c r="AG5979" s="330"/>
      <c r="AI5979" s="1"/>
      <c r="AJ5979" s="259"/>
      <c r="AK5979" s="259"/>
      <c r="AL5979" s="224"/>
      <c r="AM5979" s="1"/>
      <c r="AN5979" s="1"/>
      <c r="AO5979" s="1"/>
    </row>
    <row r="5980" spans="14:41" customFormat="1">
      <c r="N5980" s="436"/>
      <c r="O5980" s="485"/>
      <c r="P5980" s="224"/>
      <c r="Q5980" s="328"/>
      <c r="R5980" s="323"/>
      <c r="S5980" s="323"/>
      <c r="T5980" s="224"/>
      <c r="U5980" s="260"/>
      <c r="V5980" s="260"/>
      <c r="W5980" s="224"/>
      <c r="X5980" s="260"/>
      <c r="Y5980" s="260"/>
      <c r="Z5980" s="224"/>
      <c r="AA5980" s="260"/>
      <c r="AB5980" s="260"/>
      <c r="AC5980" s="224"/>
      <c r="AD5980" s="260"/>
      <c r="AE5980" s="260"/>
      <c r="AF5980" s="224"/>
      <c r="AG5980" s="330"/>
      <c r="AI5980" s="1"/>
      <c r="AJ5980" s="259"/>
      <c r="AK5980" s="259"/>
      <c r="AL5980" s="224"/>
      <c r="AM5980" s="1"/>
      <c r="AN5980" s="1"/>
      <c r="AO5980" s="1"/>
    </row>
    <row r="5981" spans="14:41" customFormat="1">
      <c r="N5981" s="236"/>
      <c r="O5981" s="235"/>
      <c r="P5981" s="224"/>
      <c r="Q5981" s="328"/>
      <c r="R5981" s="259"/>
      <c r="S5981" s="259"/>
      <c r="T5981" s="224"/>
      <c r="U5981" s="259"/>
      <c r="V5981" s="259"/>
      <c r="W5981" s="224"/>
      <c r="X5981" s="259"/>
      <c r="Y5981" s="259"/>
      <c r="Z5981" s="224"/>
      <c r="AA5981" s="259"/>
      <c r="AB5981" s="259"/>
      <c r="AC5981" s="224"/>
      <c r="AD5981" s="259"/>
      <c r="AE5981" s="259"/>
      <c r="AF5981" s="224"/>
      <c r="AG5981" s="330"/>
      <c r="AI5981" s="1"/>
      <c r="AJ5981" s="259"/>
      <c r="AK5981" s="259"/>
      <c r="AL5981" s="224"/>
      <c r="AM5981" s="1"/>
      <c r="AN5981" s="1"/>
      <c r="AO5981" s="1"/>
    </row>
    <row r="5982" spans="14:41" customFormat="1">
      <c r="N5982" s="236"/>
      <c r="O5982" s="205"/>
      <c r="P5982" s="224"/>
      <c r="Q5982" s="328"/>
      <c r="R5982" s="260"/>
      <c r="S5982" s="260"/>
      <c r="T5982" s="224"/>
      <c r="U5982" s="259"/>
      <c r="V5982" s="259"/>
      <c r="W5982" s="224"/>
      <c r="X5982" s="259"/>
      <c r="Y5982" s="259"/>
      <c r="Z5982" s="224"/>
      <c r="AA5982" s="259"/>
      <c r="AB5982" s="259"/>
      <c r="AC5982" s="224"/>
      <c r="AD5982" s="259"/>
      <c r="AE5982" s="259"/>
      <c r="AF5982" s="224"/>
      <c r="AG5982" s="330"/>
      <c r="AI5982" s="1"/>
      <c r="AJ5982" s="259"/>
      <c r="AK5982" s="259"/>
      <c r="AL5982" s="224"/>
      <c r="AM5982" s="1"/>
      <c r="AN5982" s="1"/>
      <c r="AO5982" s="1"/>
    </row>
    <row r="5983" spans="14:41" customFormat="1" hidden="1">
      <c r="N5983" s="236"/>
      <c r="O5983" s="205"/>
      <c r="P5983" s="224"/>
      <c r="Q5983" s="328"/>
      <c r="R5983" s="260"/>
      <c r="S5983" s="260"/>
      <c r="T5983" s="224"/>
      <c r="U5983" s="259"/>
      <c r="V5983" s="259"/>
      <c r="W5983" s="224"/>
      <c r="X5983" s="259"/>
      <c r="Y5983" s="259"/>
      <c r="Z5983" s="224"/>
      <c r="AA5983" s="259"/>
      <c r="AB5983" s="259"/>
      <c r="AC5983" s="224"/>
      <c r="AD5983" s="259"/>
      <c r="AE5983" s="259"/>
      <c r="AF5983" s="224"/>
      <c r="AG5983" s="330"/>
      <c r="AI5983" s="1"/>
      <c r="AJ5983" s="259"/>
      <c r="AK5983" s="259"/>
      <c r="AL5983" s="224"/>
      <c r="AM5983" s="1"/>
      <c r="AN5983" s="1"/>
      <c r="AO5983" s="1"/>
    </row>
    <row r="5984" spans="14:41" customFormat="1" hidden="1">
      <c r="N5984" s="236"/>
      <c r="O5984" s="205"/>
      <c r="P5984" s="224"/>
      <c r="Q5984" s="328"/>
      <c r="R5984" s="260"/>
      <c r="S5984" s="260"/>
      <c r="T5984" s="224"/>
      <c r="U5984" s="259"/>
      <c r="V5984" s="259"/>
      <c r="W5984" s="224"/>
      <c r="X5984" s="259"/>
      <c r="Y5984" s="259"/>
      <c r="Z5984" s="224"/>
      <c r="AA5984" s="259"/>
      <c r="AB5984" s="259"/>
      <c r="AC5984" s="224"/>
      <c r="AD5984" s="259"/>
      <c r="AE5984" s="259"/>
      <c r="AF5984" s="224"/>
      <c r="AG5984" s="330"/>
      <c r="AI5984" s="1"/>
      <c r="AJ5984" s="259"/>
      <c r="AK5984" s="259"/>
      <c r="AL5984" s="224"/>
      <c r="AM5984" s="1"/>
      <c r="AN5984" s="1"/>
      <c r="AO5984" s="1"/>
    </row>
    <row r="5985" spans="14:41" customFormat="1" hidden="1">
      <c r="N5985" s="236"/>
      <c r="O5985" s="205"/>
      <c r="P5985" s="224"/>
      <c r="Q5985" s="328"/>
      <c r="R5985" s="260"/>
      <c r="S5985" s="260"/>
      <c r="T5985" s="224"/>
      <c r="U5985" s="259"/>
      <c r="V5985" s="259"/>
      <c r="W5985" s="224"/>
      <c r="X5985" s="259"/>
      <c r="Y5985" s="259"/>
      <c r="Z5985" s="224"/>
      <c r="AA5985" s="259"/>
      <c r="AB5985" s="259"/>
      <c r="AC5985" s="224"/>
      <c r="AD5985" s="259"/>
      <c r="AE5985" s="259"/>
      <c r="AF5985" s="224"/>
      <c r="AG5985" s="330"/>
      <c r="AI5985" s="1"/>
      <c r="AJ5985" s="259"/>
      <c r="AK5985" s="259"/>
      <c r="AL5985" s="224"/>
      <c r="AM5985" s="1"/>
      <c r="AN5985" s="1"/>
      <c r="AO5985" s="1"/>
    </row>
    <row r="5986" spans="14:41" customFormat="1" hidden="1">
      <c r="N5986" s="236"/>
      <c r="O5986" s="205"/>
      <c r="P5986" s="224"/>
      <c r="Q5986" s="328"/>
      <c r="R5986" s="260"/>
      <c r="S5986" s="260"/>
      <c r="T5986" s="224"/>
      <c r="U5986" s="259"/>
      <c r="V5986" s="259"/>
      <c r="W5986" s="224"/>
      <c r="X5986" s="259"/>
      <c r="Y5986" s="259"/>
      <c r="Z5986" s="224"/>
      <c r="AA5986" s="259"/>
      <c r="AB5986" s="259"/>
      <c r="AC5986" s="224"/>
      <c r="AD5986" s="259"/>
      <c r="AE5986" s="259"/>
      <c r="AF5986" s="224"/>
      <c r="AG5986" s="330"/>
      <c r="AI5986" s="1"/>
      <c r="AJ5986" s="259"/>
      <c r="AK5986" s="259"/>
      <c r="AL5986" s="224"/>
      <c r="AM5986" s="1"/>
      <c r="AN5986" s="1"/>
      <c r="AO5986" s="1"/>
    </row>
    <row r="5987" spans="14:41" customFormat="1" hidden="1">
      <c r="N5987" s="236"/>
      <c r="O5987" s="205"/>
      <c r="P5987" s="224"/>
      <c r="Q5987" s="328"/>
      <c r="R5987" s="260"/>
      <c r="S5987" s="260"/>
      <c r="T5987" s="224"/>
      <c r="U5987" s="259"/>
      <c r="V5987" s="259"/>
      <c r="W5987" s="224"/>
      <c r="X5987" s="259"/>
      <c r="Y5987" s="259"/>
      <c r="Z5987" s="224"/>
      <c r="AA5987" s="259"/>
      <c r="AB5987" s="259"/>
      <c r="AC5987" s="224"/>
      <c r="AD5987" s="259"/>
      <c r="AE5987" s="259"/>
      <c r="AF5987" s="224"/>
      <c r="AG5987" s="330"/>
      <c r="AI5987" s="1"/>
      <c r="AJ5987" s="259"/>
      <c r="AK5987" s="259"/>
      <c r="AL5987" s="224"/>
      <c r="AM5987" s="1"/>
      <c r="AN5987" s="1"/>
      <c r="AO5987" s="1"/>
    </row>
    <row r="5988" spans="14:41" customFormat="1" hidden="1">
      <c r="N5988" s="236"/>
      <c r="O5988" s="205"/>
      <c r="P5988" s="224"/>
      <c r="Q5988" s="328"/>
      <c r="R5988" s="260"/>
      <c r="S5988" s="260"/>
      <c r="T5988" s="224"/>
      <c r="U5988" s="259"/>
      <c r="V5988" s="259"/>
      <c r="W5988" s="224"/>
      <c r="X5988" s="259"/>
      <c r="Y5988" s="259"/>
      <c r="Z5988" s="224"/>
      <c r="AA5988" s="259"/>
      <c r="AB5988" s="259"/>
      <c r="AC5988" s="224"/>
      <c r="AD5988" s="259"/>
      <c r="AE5988" s="259"/>
      <c r="AF5988" s="224"/>
      <c r="AG5988" s="330"/>
      <c r="AI5988" s="1"/>
      <c r="AJ5988" s="259"/>
      <c r="AK5988" s="259"/>
      <c r="AL5988" s="224"/>
      <c r="AM5988" s="1"/>
      <c r="AN5988" s="1"/>
      <c r="AO5988" s="1"/>
    </row>
    <row r="5989" spans="14:41" customFormat="1" hidden="1">
      <c r="N5989" s="236"/>
      <c r="O5989" s="205"/>
      <c r="P5989" s="224"/>
      <c r="Q5989" s="328"/>
      <c r="R5989" s="260"/>
      <c r="S5989" s="260"/>
      <c r="T5989" s="224"/>
      <c r="U5989" s="259"/>
      <c r="V5989" s="259"/>
      <c r="W5989" s="224"/>
      <c r="X5989" s="259"/>
      <c r="Y5989" s="259"/>
      <c r="Z5989" s="224"/>
      <c r="AA5989" s="259"/>
      <c r="AB5989" s="259"/>
      <c r="AC5989" s="224"/>
      <c r="AD5989" s="259"/>
      <c r="AE5989" s="259"/>
      <c r="AF5989" s="224"/>
      <c r="AG5989" s="330"/>
      <c r="AI5989" s="1"/>
      <c r="AJ5989" s="259"/>
      <c r="AK5989" s="259"/>
      <c r="AL5989" s="224"/>
      <c r="AM5989" s="1"/>
      <c r="AN5989" s="1"/>
      <c r="AO5989" s="1"/>
    </row>
    <row r="5990" spans="14:41" customFormat="1" hidden="1">
      <c r="N5990" s="236"/>
      <c r="O5990" s="205"/>
      <c r="P5990" s="224"/>
      <c r="Q5990" s="328"/>
      <c r="R5990" s="260"/>
      <c r="S5990" s="260"/>
      <c r="T5990" s="224"/>
      <c r="U5990" s="259"/>
      <c r="V5990" s="259"/>
      <c r="W5990" s="224"/>
      <c r="X5990" s="259"/>
      <c r="Y5990" s="259"/>
      <c r="Z5990" s="224"/>
      <c r="AA5990" s="259"/>
      <c r="AB5990" s="259"/>
      <c r="AC5990" s="224"/>
      <c r="AD5990" s="259"/>
      <c r="AE5990" s="259"/>
      <c r="AF5990" s="224"/>
      <c r="AG5990" s="330"/>
      <c r="AI5990" s="1"/>
      <c r="AJ5990" s="259"/>
      <c r="AK5990" s="259"/>
      <c r="AL5990" s="224"/>
      <c r="AM5990" s="1"/>
      <c r="AN5990" s="1"/>
      <c r="AO5990" s="1"/>
    </row>
    <row r="5991" spans="14:41" customFormat="1" hidden="1">
      <c r="N5991" s="236"/>
      <c r="O5991" s="205"/>
      <c r="P5991" s="224"/>
      <c r="Q5991" s="328"/>
      <c r="R5991" s="260"/>
      <c r="S5991" s="260"/>
      <c r="T5991" s="224"/>
      <c r="U5991" s="259"/>
      <c r="V5991" s="259"/>
      <c r="W5991" s="224"/>
      <c r="X5991" s="259"/>
      <c r="Y5991" s="259"/>
      <c r="Z5991" s="224"/>
      <c r="AA5991" s="259"/>
      <c r="AB5991" s="259"/>
      <c r="AC5991" s="224"/>
      <c r="AD5991" s="259"/>
      <c r="AE5991" s="259"/>
      <c r="AF5991" s="224"/>
      <c r="AG5991" s="330"/>
      <c r="AI5991" s="1"/>
      <c r="AJ5991" s="259"/>
      <c r="AK5991" s="259"/>
      <c r="AL5991" s="224"/>
      <c r="AM5991" s="1"/>
      <c r="AN5991" s="1"/>
      <c r="AO5991" s="1"/>
    </row>
    <row r="5992" spans="14:41" customFormat="1" hidden="1">
      <c r="N5992" s="236"/>
      <c r="O5992" s="205"/>
      <c r="P5992" s="224"/>
      <c r="Q5992" s="328"/>
      <c r="R5992" s="260"/>
      <c r="S5992" s="260"/>
      <c r="T5992" s="224"/>
      <c r="U5992" s="259"/>
      <c r="V5992" s="259"/>
      <c r="W5992" s="224"/>
      <c r="X5992" s="259"/>
      <c r="Y5992" s="259"/>
      <c r="Z5992" s="224"/>
      <c r="AA5992" s="259"/>
      <c r="AB5992" s="259"/>
      <c r="AC5992" s="224"/>
      <c r="AD5992" s="259"/>
      <c r="AE5992" s="259"/>
      <c r="AF5992" s="224"/>
      <c r="AG5992" s="330"/>
      <c r="AI5992" s="1"/>
      <c r="AJ5992" s="259"/>
      <c r="AK5992" s="259"/>
      <c r="AL5992" s="224"/>
      <c r="AM5992" s="1"/>
      <c r="AN5992" s="1"/>
      <c r="AO5992" s="1"/>
    </row>
    <row r="5993" spans="14:41" customFormat="1" hidden="1">
      <c r="N5993" s="236"/>
      <c r="O5993" s="205"/>
      <c r="P5993" s="224"/>
      <c r="Q5993" s="328"/>
      <c r="R5993" s="260"/>
      <c r="S5993" s="260"/>
      <c r="T5993" s="224"/>
      <c r="U5993" s="259"/>
      <c r="V5993" s="259"/>
      <c r="W5993" s="224"/>
      <c r="X5993" s="259"/>
      <c r="Y5993" s="259"/>
      <c r="Z5993" s="224"/>
      <c r="AA5993" s="259"/>
      <c r="AB5993" s="259"/>
      <c r="AC5993" s="224"/>
      <c r="AD5993" s="259"/>
      <c r="AE5993" s="259"/>
      <c r="AF5993" s="224"/>
      <c r="AG5993" s="330"/>
      <c r="AI5993" s="1"/>
      <c r="AJ5993" s="259"/>
      <c r="AK5993" s="259"/>
      <c r="AL5993" s="224"/>
      <c r="AM5993" s="1"/>
      <c r="AN5993" s="1"/>
      <c r="AO5993" s="1"/>
    </row>
    <row r="5994" spans="14:41" customFormat="1" hidden="1">
      <c r="N5994" s="236"/>
      <c r="O5994" s="205"/>
      <c r="P5994" s="224"/>
      <c r="Q5994" s="328"/>
      <c r="R5994" s="260"/>
      <c r="S5994" s="260"/>
      <c r="T5994" s="224"/>
      <c r="U5994" s="259"/>
      <c r="V5994" s="259"/>
      <c r="W5994" s="224"/>
      <c r="X5994" s="259"/>
      <c r="Y5994" s="259"/>
      <c r="Z5994" s="224"/>
      <c r="AA5994" s="259"/>
      <c r="AB5994" s="259"/>
      <c r="AC5994" s="224"/>
      <c r="AD5994" s="259"/>
      <c r="AE5994" s="259"/>
      <c r="AF5994" s="224"/>
      <c r="AG5994" s="330"/>
      <c r="AI5994" s="1"/>
      <c r="AJ5994" s="259"/>
      <c r="AK5994" s="259"/>
      <c r="AL5994" s="224"/>
      <c r="AM5994" s="1"/>
      <c r="AN5994" s="1"/>
      <c r="AO5994" s="1"/>
    </row>
    <row r="5995" spans="14:41" customFormat="1" hidden="1">
      <c r="N5995" s="236"/>
      <c r="O5995" s="205"/>
      <c r="P5995" s="224"/>
      <c r="Q5995" s="328"/>
      <c r="R5995" s="260"/>
      <c r="S5995" s="260"/>
      <c r="T5995" s="224"/>
      <c r="U5995" s="259"/>
      <c r="V5995" s="259"/>
      <c r="W5995" s="224"/>
      <c r="X5995" s="259"/>
      <c r="Y5995" s="259"/>
      <c r="Z5995" s="224"/>
      <c r="AA5995" s="259"/>
      <c r="AB5995" s="259"/>
      <c r="AC5995" s="224"/>
      <c r="AD5995" s="259"/>
      <c r="AE5995" s="259"/>
      <c r="AF5995" s="224"/>
      <c r="AG5995" s="330"/>
      <c r="AI5995" s="1"/>
      <c r="AJ5995" s="259"/>
      <c r="AK5995" s="259"/>
      <c r="AL5995" s="224"/>
      <c r="AM5995" s="1"/>
      <c r="AN5995" s="1"/>
      <c r="AO5995" s="1"/>
    </row>
    <row r="5996" spans="14:41" customFormat="1">
      <c r="N5996" s="236"/>
      <c r="O5996" s="205"/>
      <c r="P5996" s="224"/>
      <c r="Q5996" s="328"/>
      <c r="R5996" s="260"/>
      <c r="S5996" s="260"/>
      <c r="T5996" s="224"/>
      <c r="U5996" s="259"/>
      <c r="V5996" s="259"/>
      <c r="W5996" s="224"/>
      <c r="X5996" s="259"/>
      <c r="Y5996" s="259"/>
      <c r="Z5996" s="224"/>
      <c r="AA5996" s="259"/>
      <c r="AB5996" s="259"/>
      <c r="AC5996" s="224"/>
      <c r="AD5996" s="259"/>
      <c r="AE5996" s="259"/>
      <c r="AF5996" s="224"/>
      <c r="AG5996" s="330"/>
      <c r="AI5996" s="1"/>
      <c r="AJ5996" s="259"/>
      <c r="AK5996" s="259"/>
      <c r="AL5996" s="224"/>
      <c r="AM5996" s="1"/>
      <c r="AN5996" s="1"/>
      <c r="AO5996" s="1"/>
    </row>
    <row r="5997" spans="14:41" customFormat="1">
      <c r="N5997" s="236"/>
      <c r="O5997" s="235"/>
      <c r="P5997" s="224"/>
      <c r="Q5997" s="328"/>
      <c r="R5997" s="260"/>
      <c r="S5997" s="260"/>
      <c r="T5997" s="224"/>
      <c r="U5997" s="259"/>
      <c r="V5997" s="259"/>
      <c r="W5997" s="224"/>
      <c r="X5997" s="259"/>
      <c r="Y5997" s="259"/>
      <c r="Z5997" s="224"/>
      <c r="AA5997" s="259"/>
      <c r="AB5997" s="259"/>
      <c r="AC5997" s="224"/>
      <c r="AD5997" s="259"/>
      <c r="AE5997" s="259"/>
      <c r="AF5997" s="224"/>
      <c r="AG5997" s="330"/>
      <c r="AI5997" s="1"/>
      <c r="AJ5997" s="259"/>
      <c r="AK5997" s="259"/>
      <c r="AL5997" s="224"/>
      <c r="AM5997" s="1"/>
      <c r="AN5997" s="1"/>
      <c r="AO5997" s="1"/>
    </row>
    <row r="5998" spans="14:41" customFormat="1">
      <c r="N5998" s="236"/>
      <c r="O5998" s="483"/>
      <c r="P5998" s="224"/>
      <c r="Q5998" s="328"/>
      <c r="R5998" s="260"/>
      <c r="S5998" s="260"/>
      <c r="T5998" s="224"/>
      <c r="U5998" s="259"/>
      <c r="V5998" s="259"/>
      <c r="W5998" s="224"/>
      <c r="X5998" s="259"/>
      <c r="Y5998" s="259"/>
      <c r="Z5998" s="224"/>
      <c r="AA5998" s="259"/>
      <c r="AB5998" s="259"/>
      <c r="AC5998" s="224"/>
      <c r="AD5998" s="259"/>
      <c r="AE5998" s="259"/>
      <c r="AF5998" s="224"/>
      <c r="AG5998" s="330"/>
      <c r="AI5998" s="1"/>
      <c r="AJ5998" s="259"/>
      <c r="AK5998" s="259"/>
      <c r="AL5998" s="224"/>
      <c r="AM5998" s="1"/>
      <c r="AN5998" s="1"/>
      <c r="AO5998" s="1"/>
    </row>
    <row r="5999" spans="14:41" customFormat="1">
      <c r="N5999" s="496"/>
      <c r="O5999" s="483"/>
      <c r="P5999" s="224"/>
      <c r="Q5999" s="328"/>
      <c r="R5999" s="260"/>
      <c r="S5999" s="260"/>
      <c r="T5999" s="224"/>
      <c r="U5999" s="259"/>
      <c r="V5999" s="259"/>
      <c r="W5999" s="224"/>
      <c r="X5999" s="259"/>
      <c r="Y5999" s="259"/>
      <c r="Z5999" s="224"/>
      <c r="AA5999" s="259"/>
      <c r="AB5999" s="259"/>
      <c r="AC5999" s="224"/>
      <c r="AD5999" s="259"/>
      <c r="AE5999" s="259"/>
      <c r="AF5999" s="224"/>
      <c r="AG5999" s="330"/>
      <c r="AI5999" s="1"/>
      <c r="AJ5999" s="259"/>
      <c r="AK5999" s="259"/>
      <c r="AL5999" s="224"/>
      <c r="AM5999" s="1"/>
      <c r="AN5999" s="1"/>
      <c r="AO5999" s="1"/>
    </row>
    <row r="6000" spans="14:41" customFormat="1">
      <c r="N6000" s="298"/>
      <c r="O6000" s="299"/>
      <c r="P6000" s="224"/>
      <c r="Q6000" s="328"/>
      <c r="R6000" s="259"/>
      <c r="S6000" s="259"/>
      <c r="T6000" s="224"/>
      <c r="U6000" s="259"/>
      <c r="V6000" s="259"/>
      <c r="W6000" s="224"/>
      <c r="X6000" s="259"/>
      <c r="Y6000" s="259"/>
      <c r="Z6000" s="224"/>
      <c r="AA6000" s="259"/>
      <c r="AB6000" s="259"/>
      <c r="AC6000" s="224"/>
      <c r="AD6000" s="259"/>
      <c r="AE6000" s="259"/>
      <c r="AF6000" s="224"/>
      <c r="AG6000" s="330"/>
      <c r="AI6000" s="1"/>
      <c r="AJ6000" s="259"/>
      <c r="AK6000" s="259"/>
      <c r="AL6000" s="224"/>
      <c r="AM6000" s="1"/>
      <c r="AN6000" s="1"/>
      <c r="AO6000" s="1"/>
    </row>
    <row r="6001" spans="14:41" customFormat="1" hidden="1">
      <c r="N6001" s="298"/>
      <c r="O6001" s="299"/>
      <c r="P6001" s="224"/>
      <c r="Q6001" s="328"/>
      <c r="R6001" s="259"/>
      <c r="S6001" s="259"/>
      <c r="T6001" s="224"/>
      <c r="U6001" s="259"/>
      <c r="V6001" s="259"/>
      <c r="W6001" s="224"/>
      <c r="X6001" s="259"/>
      <c r="Y6001" s="259"/>
      <c r="Z6001" s="224"/>
      <c r="AA6001" s="259"/>
      <c r="AB6001" s="259"/>
      <c r="AC6001" s="224"/>
      <c r="AD6001" s="259"/>
      <c r="AE6001" s="259"/>
      <c r="AF6001" s="224"/>
      <c r="AG6001" s="330"/>
      <c r="AI6001" s="1"/>
      <c r="AJ6001" s="259"/>
      <c r="AK6001" s="259"/>
      <c r="AL6001" s="224"/>
      <c r="AM6001" s="1"/>
      <c r="AN6001" s="1"/>
      <c r="AO6001" s="1"/>
    </row>
    <row r="6002" spans="14:41" customFormat="1" hidden="1">
      <c r="N6002" s="300"/>
      <c r="O6002" s="301"/>
      <c r="P6002" s="224"/>
      <c r="Q6002" s="328"/>
      <c r="R6002" s="259"/>
      <c r="S6002" s="259"/>
      <c r="T6002" s="224"/>
      <c r="U6002" s="259"/>
      <c r="V6002" s="259"/>
      <c r="W6002" s="224"/>
      <c r="X6002" s="259"/>
      <c r="Y6002" s="259"/>
      <c r="Z6002" s="224"/>
      <c r="AA6002" s="259"/>
      <c r="AB6002" s="259"/>
      <c r="AC6002" s="224"/>
      <c r="AD6002" s="259"/>
      <c r="AE6002" s="259"/>
      <c r="AF6002" s="224"/>
      <c r="AG6002" s="330"/>
      <c r="AI6002" s="1"/>
      <c r="AJ6002" s="259"/>
      <c r="AK6002" s="259"/>
      <c r="AL6002" s="224"/>
      <c r="AM6002" s="1"/>
      <c r="AN6002" s="1"/>
      <c r="AO6002" s="1"/>
    </row>
    <row r="6003" spans="14:41" customFormat="1" hidden="1">
      <c r="N6003" s="300"/>
      <c r="O6003" s="301"/>
      <c r="P6003" s="224"/>
      <c r="Q6003" s="328"/>
      <c r="R6003" s="259"/>
      <c r="S6003" s="259"/>
      <c r="T6003" s="224"/>
      <c r="U6003" s="259"/>
      <c r="V6003" s="259"/>
      <c r="W6003" s="224"/>
      <c r="X6003" s="259"/>
      <c r="Y6003" s="259"/>
      <c r="Z6003" s="224"/>
      <c r="AA6003" s="259"/>
      <c r="AB6003" s="259"/>
      <c r="AC6003" s="224"/>
      <c r="AD6003" s="259"/>
      <c r="AE6003" s="259"/>
      <c r="AF6003" s="224"/>
      <c r="AG6003" s="330"/>
      <c r="AI6003" s="1"/>
      <c r="AJ6003" s="259"/>
      <c r="AK6003" s="259"/>
      <c r="AL6003" s="224"/>
      <c r="AM6003" s="1"/>
      <c r="AN6003" s="1"/>
      <c r="AO6003" s="1"/>
    </row>
    <row r="6004" spans="14:41" customFormat="1" hidden="1">
      <c r="N6004" s="300"/>
      <c r="O6004" s="301"/>
      <c r="P6004" s="224"/>
      <c r="Q6004" s="328"/>
      <c r="R6004" s="259"/>
      <c r="S6004" s="259"/>
      <c r="T6004" s="224"/>
      <c r="U6004" s="259"/>
      <c r="V6004" s="259"/>
      <c r="W6004" s="224"/>
      <c r="X6004" s="259"/>
      <c r="Y6004" s="259"/>
      <c r="Z6004" s="224"/>
      <c r="AA6004" s="259"/>
      <c r="AB6004" s="259"/>
      <c r="AC6004" s="224"/>
      <c r="AD6004" s="259"/>
      <c r="AE6004" s="259"/>
      <c r="AF6004" s="224"/>
      <c r="AG6004" s="330"/>
      <c r="AI6004" s="1"/>
      <c r="AJ6004" s="259"/>
      <c r="AK6004" s="259"/>
      <c r="AL6004" s="224"/>
      <c r="AM6004" s="1"/>
      <c r="AN6004" s="1"/>
      <c r="AO6004" s="1"/>
    </row>
    <row r="6005" spans="14:41" customFormat="1" hidden="1">
      <c r="N6005" s="300"/>
      <c r="O6005" s="301"/>
      <c r="P6005" s="224"/>
      <c r="Q6005" s="328"/>
      <c r="R6005" s="259"/>
      <c r="S6005" s="259"/>
      <c r="T6005" s="224"/>
      <c r="U6005" s="259"/>
      <c r="V6005" s="259"/>
      <c r="W6005" s="224"/>
      <c r="X6005" s="259"/>
      <c r="Y6005" s="259"/>
      <c r="Z6005" s="224"/>
      <c r="AA6005" s="259"/>
      <c r="AB6005" s="259"/>
      <c r="AC6005" s="224"/>
      <c r="AD6005" s="259"/>
      <c r="AE6005" s="259"/>
      <c r="AF6005" s="224"/>
      <c r="AG6005" s="330"/>
      <c r="AI6005" s="1"/>
      <c r="AJ6005" s="259"/>
      <c r="AK6005" s="259"/>
      <c r="AL6005" s="224"/>
      <c r="AM6005" s="1"/>
      <c r="AN6005" s="1"/>
      <c r="AO6005" s="1"/>
    </row>
    <row r="6006" spans="14:41" customFormat="1" hidden="1">
      <c r="N6006" s="300"/>
      <c r="O6006" s="301"/>
      <c r="P6006" s="224"/>
      <c r="Q6006" s="328"/>
      <c r="R6006" s="259"/>
      <c r="S6006" s="259"/>
      <c r="T6006" s="224"/>
      <c r="U6006" s="259"/>
      <c r="V6006" s="259"/>
      <c r="W6006" s="224"/>
      <c r="X6006" s="259"/>
      <c r="Y6006" s="259"/>
      <c r="Z6006" s="224"/>
      <c r="AA6006" s="259"/>
      <c r="AB6006" s="259"/>
      <c r="AC6006" s="224"/>
      <c r="AD6006" s="259"/>
      <c r="AE6006" s="259"/>
      <c r="AF6006" s="224"/>
      <c r="AG6006" s="330"/>
      <c r="AI6006" s="1"/>
      <c r="AJ6006" s="259"/>
      <c r="AK6006" s="259"/>
      <c r="AL6006" s="224"/>
      <c r="AM6006" s="1"/>
      <c r="AN6006" s="1"/>
      <c r="AO6006" s="1"/>
    </row>
    <row r="6007" spans="14:41" customFormat="1" hidden="1">
      <c r="N6007" s="300"/>
      <c r="O6007" s="301"/>
      <c r="P6007" s="224"/>
      <c r="Q6007" s="328"/>
      <c r="R6007" s="259"/>
      <c r="S6007" s="259"/>
      <c r="T6007" s="224"/>
      <c r="U6007" s="259"/>
      <c r="V6007" s="259"/>
      <c r="W6007" s="224"/>
      <c r="X6007" s="259"/>
      <c r="Y6007" s="259"/>
      <c r="Z6007" s="224"/>
      <c r="AA6007" s="259"/>
      <c r="AB6007" s="259"/>
      <c r="AC6007" s="224"/>
      <c r="AD6007" s="259"/>
      <c r="AE6007" s="259"/>
      <c r="AF6007" s="224"/>
      <c r="AG6007" s="330"/>
      <c r="AI6007" s="1"/>
      <c r="AJ6007" s="259"/>
      <c r="AK6007" s="259"/>
      <c r="AL6007" s="224"/>
      <c r="AM6007" s="1"/>
      <c r="AN6007" s="1"/>
      <c r="AO6007" s="1"/>
    </row>
    <row r="6008" spans="14:41" customFormat="1" hidden="1">
      <c r="N6008" s="300"/>
      <c r="O6008" s="301"/>
      <c r="P6008" s="224"/>
      <c r="Q6008" s="328"/>
      <c r="R6008" s="259"/>
      <c r="S6008" s="259"/>
      <c r="T6008" s="224"/>
      <c r="U6008" s="259"/>
      <c r="V6008" s="259"/>
      <c r="W6008" s="224"/>
      <c r="X6008" s="259"/>
      <c r="Y6008" s="259"/>
      <c r="Z6008" s="224"/>
      <c r="AA6008" s="259"/>
      <c r="AB6008" s="259"/>
      <c r="AC6008" s="224"/>
      <c r="AD6008" s="259"/>
      <c r="AE6008" s="259"/>
      <c r="AF6008" s="224"/>
      <c r="AG6008" s="330"/>
      <c r="AI6008" s="1"/>
      <c r="AJ6008" s="259"/>
      <c r="AK6008" s="259"/>
      <c r="AL6008" s="224"/>
      <c r="AM6008" s="1"/>
      <c r="AN6008" s="1"/>
      <c r="AO6008" s="1"/>
    </row>
    <row r="6009" spans="14:41" customFormat="1" hidden="1">
      <c r="N6009" s="300"/>
      <c r="O6009" s="301"/>
      <c r="P6009" s="224"/>
      <c r="Q6009" s="328"/>
      <c r="R6009" s="259"/>
      <c r="S6009" s="259"/>
      <c r="T6009" s="224"/>
      <c r="U6009" s="259"/>
      <c r="V6009" s="259"/>
      <c r="W6009" s="224"/>
      <c r="X6009" s="259"/>
      <c r="Y6009" s="259"/>
      <c r="Z6009" s="224"/>
      <c r="AA6009" s="259"/>
      <c r="AB6009" s="259"/>
      <c r="AC6009" s="224"/>
      <c r="AD6009" s="259"/>
      <c r="AE6009" s="259"/>
      <c r="AF6009" s="224"/>
      <c r="AG6009" s="330"/>
      <c r="AI6009" s="1"/>
      <c r="AJ6009" s="259"/>
      <c r="AK6009" s="259"/>
      <c r="AL6009" s="224"/>
      <c r="AM6009" s="1"/>
      <c r="AN6009" s="1"/>
      <c r="AO6009" s="1"/>
    </row>
    <row r="6010" spans="14:41" customFormat="1" hidden="1">
      <c r="N6010" s="300"/>
      <c r="O6010" s="301"/>
      <c r="P6010" s="224"/>
      <c r="Q6010" s="328"/>
      <c r="R6010" s="259"/>
      <c r="S6010" s="259"/>
      <c r="T6010" s="224"/>
      <c r="U6010" s="259"/>
      <c r="V6010" s="259"/>
      <c r="W6010" s="224"/>
      <c r="X6010" s="259"/>
      <c r="Y6010" s="259"/>
      <c r="Z6010" s="224"/>
      <c r="AA6010" s="259"/>
      <c r="AB6010" s="259"/>
      <c r="AC6010" s="224"/>
      <c r="AD6010" s="259"/>
      <c r="AE6010" s="259"/>
      <c r="AF6010" s="224"/>
      <c r="AG6010" s="330"/>
      <c r="AI6010" s="1"/>
      <c r="AJ6010" s="259"/>
      <c r="AK6010" s="259"/>
      <c r="AL6010" s="224"/>
      <c r="AM6010" s="1"/>
      <c r="AN6010" s="1"/>
      <c r="AO6010" s="1"/>
    </row>
    <row r="6011" spans="14:41" customFormat="1" hidden="1">
      <c r="N6011" s="300"/>
      <c r="O6011" s="301"/>
      <c r="P6011" s="224"/>
      <c r="Q6011" s="328"/>
      <c r="R6011" s="259"/>
      <c r="S6011" s="259"/>
      <c r="T6011" s="224"/>
      <c r="U6011" s="259"/>
      <c r="V6011" s="259"/>
      <c r="W6011" s="224"/>
      <c r="X6011" s="259"/>
      <c r="Y6011" s="259"/>
      <c r="Z6011" s="224"/>
      <c r="AA6011" s="259"/>
      <c r="AB6011" s="259"/>
      <c r="AC6011" s="224"/>
      <c r="AD6011" s="259"/>
      <c r="AE6011" s="259"/>
      <c r="AF6011" s="224"/>
      <c r="AG6011" s="330"/>
      <c r="AI6011" s="1"/>
      <c r="AJ6011" s="259"/>
      <c r="AK6011" s="259"/>
      <c r="AL6011" s="224"/>
      <c r="AM6011" s="1"/>
      <c r="AN6011" s="1"/>
      <c r="AO6011" s="1"/>
    </row>
    <row r="6012" spans="14:41" customFormat="1" hidden="1">
      <c r="N6012" s="300"/>
      <c r="O6012" s="301"/>
      <c r="P6012" s="224"/>
      <c r="Q6012" s="328"/>
      <c r="R6012" s="259"/>
      <c r="S6012" s="259"/>
      <c r="T6012" s="224"/>
      <c r="U6012" s="259"/>
      <c r="V6012" s="259"/>
      <c r="W6012" s="224"/>
      <c r="X6012" s="259"/>
      <c r="Y6012" s="259"/>
      <c r="Z6012" s="224"/>
      <c r="AA6012" s="259"/>
      <c r="AB6012" s="259"/>
      <c r="AC6012" s="224"/>
      <c r="AD6012" s="259"/>
      <c r="AE6012" s="259"/>
      <c r="AF6012" s="224"/>
      <c r="AG6012" s="330"/>
      <c r="AI6012" s="1"/>
      <c r="AJ6012" s="259"/>
      <c r="AK6012" s="259"/>
      <c r="AL6012" s="224"/>
      <c r="AM6012" s="1"/>
      <c r="AN6012" s="1"/>
      <c r="AO6012" s="1"/>
    </row>
    <row r="6013" spans="14:41" customFormat="1" hidden="1">
      <c r="N6013" s="300"/>
      <c r="O6013" s="301"/>
      <c r="P6013" s="224"/>
      <c r="Q6013" s="328"/>
      <c r="R6013" s="259"/>
      <c r="S6013" s="259"/>
      <c r="T6013" s="224"/>
      <c r="U6013" s="259"/>
      <c r="V6013" s="259"/>
      <c r="W6013" s="224"/>
      <c r="X6013" s="259"/>
      <c r="Y6013" s="259"/>
      <c r="Z6013" s="224"/>
      <c r="AA6013" s="259"/>
      <c r="AB6013" s="259"/>
      <c r="AC6013" s="224"/>
      <c r="AD6013" s="259"/>
      <c r="AE6013" s="259"/>
      <c r="AF6013" s="224"/>
      <c r="AG6013" s="330"/>
      <c r="AI6013" s="1"/>
      <c r="AJ6013" s="259"/>
      <c r="AK6013" s="259"/>
      <c r="AL6013" s="224"/>
      <c r="AM6013" s="1"/>
      <c r="AN6013" s="1"/>
      <c r="AO6013" s="1"/>
    </row>
    <row r="6014" spans="14:41" customFormat="1" hidden="1">
      <c r="N6014" s="300"/>
      <c r="O6014" s="301"/>
      <c r="P6014" s="224"/>
      <c r="Q6014" s="328"/>
      <c r="R6014" s="259"/>
      <c r="S6014" s="259"/>
      <c r="T6014" s="224"/>
      <c r="U6014" s="259"/>
      <c r="V6014" s="259"/>
      <c r="W6014" s="224"/>
      <c r="X6014" s="259"/>
      <c r="Y6014" s="259"/>
      <c r="Z6014" s="224"/>
      <c r="AA6014" s="259"/>
      <c r="AB6014" s="259"/>
      <c r="AC6014" s="224"/>
      <c r="AD6014" s="259"/>
      <c r="AE6014" s="259"/>
      <c r="AF6014" s="224"/>
      <c r="AG6014" s="330"/>
      <c r="AI6014" s="1"/>
      <c r="AJ6014" s="259"/>
      <c r="AK6014" s="259"/>
      <c r="AL6014" s="224"/>
      <c r="AM6014" s="1"/>
      <c r="AN6014" s="1"/>
      <c r="AO6014" s="1"/>
    </row>
    <row r="6015" spans="14:41" customFormat="1" hidden="1">
      <c r="N6015" s="300"/>
      <c r="O6015" s="301"/>
      <c r="P6015" s="224"/>
      <c r="Q6015" s="328"/>
      <c r="R6015" s="259"/>
      <c r="S6015" s="259"/>
      <c r="T6015" s="224"/>
      <c r="U6015" s="259"/>
      <c r="V6015" s="259"/>
      <c r="W6015" s="224"/>
      <c r="X6015" s="259"/>
      <c r="Y6015" s="259"/>
      <c r="Z6015" s="224"/>
      <c r="AA6015" s="259"/>
      <c r="AB6015" s="259"/>
      <c r="AC6015" s="224"/>
      <c r="AD6015" s="259"/>
      <c r="AE6015" s="259"/>
      <c r="AF6015" s="224"/>
      <c r="AG6015" s="330"/>
      <c r="AI6015" s="1"/>
      <c r="AJ6015" s="259"/>
      <c r="AK6015" s="259"/>
      <c r="AL6015" s="224"/>
      <c r="AM6015" s="1"/>
      <c r="AN6015" s="1"/>
      <c r="AO6015" s="1"/>
    </row>
    <row r="6016" spans="14:41" customFormat="1" hidden="1">
      <c r="N6016" s="300"/>
      <c r="O6016" s="301"/>
      <c r="P6016" s="224"/>
      <c r="Q6016" s="328"/>
      <c r="R6016" s="259"/>
      <c r="S6016" s="259"/>
      <c r="T6016" s="224"/>
      <c r="U6016" s="259"/>
      <c r="V6016" s="259"/>
      <c r="W6016" s="224"/>
      <c r="X6016" s="259"/>
      <c r="Y6016" s="259"/>
      <c r="Z6016" s="224"/>
      <c r="AA6016" s="259"/>
      <c r="AB6016" s="259"/>
      <c r="AC6016" s="224"/>
      <c r="AD6016" s="259"/>
      <c r="AE6016" s="259"/>
      <c r="AF6016" s="224"/>
      <c r="AG6016" s="330"/>
      <c r="AI6016" s="1"/>
      <c r="AJ6016" s="259"/>
      <c r="AK6016" s="259"/>
      <c r="AL6016" s="224"/>
      <c r="AM6016" s="1"/>
      <c r="AN6016" s="1"/>
      <c r="AO6016" s="1"/>
    </row>
    <row r="6017" spans="14:41" customFormat="1" hidden="1">
      <c r="N6017" s="300"/>
      <c r="O6017" s="301"/>
      <c r="P6017" s="224"/>
      <c r="Q6017" s="328"/>
      <c r="R6017" s="259"/>
      <c r="S6017" s="259"/>
      <c r="T6017" s="224"/>
      <c r="U6017" s="259"/>
      <c r="V6017" s="259"/>
      <c r="W6017" s="224"/>
      <c r="X6017" s="259"/>
      <c r="Y6017" s="259"/>
      <c r="Z6017" s="224"/>
      <c r="AA6017" s="259"/>
      <c r="AB6017" s="259"/>
      <c r="AC6017" s="224"/>
      <c r="AD6017" s="259"/>
      <c r="AE6017" s="259"/>
      <c r="AF6017" s="224"/>
      <c r="AG6017" s="330"/>
      <c r="AI6017" s="1"/>
      <c r="AJ6017" s="259"/>
      <c r="AK6017" s="259"/>
      <c r="AL6017" s="224"/>
      <c r="AM6017" s="1"/>
      <c r="AN6017" s="1"/>
      <c r="AO6017" s="1"/>
    </row>
    <row r="6018" spans="14:41" customFormat="1" hidden="1">
      <c r="N6018" s="300"/>
      <c r="O6018" s="301"/>
      <c r="P6018" s="224"/>
      <c r="Q6018" s="328"/>
      <c r="R6018" s="259"/>
      <c r="S6018" s="259"/>
      <c r="T6018" s="224"/>
      <c r="U6018" s="259"/>
      <c r="V6018" s="259"/>
      <c r="W6018" s="224"/>
      <c r="X6018" s="259"/>
      <c r="Y6018" s="259"/>
      <c r="Z6018" s="224"/>
      <c r="AA6018" s="259"/>
      <c r="AB6018" s="259"/>
      <c r="AC6018" s="224"/>
      <c r="AD6018" s="259"/>
      <c r="AE6018" s="259"/>
      <c r="AF6018" s="224"/>
      <c r="AG6018" s="330"/>
      <c r="AI6018" s="1"/>
      <c r="AJ6018" s="259"/>
      <c r="AK6018" s="259"/>
      <c r="AL6018" s="224"/>
      <c r="AM6018" s="1"/>
      <c r="AN6018" s="1"/>
      <c r="AO6018" s="1"/>
    </row>
    <row r="6019" spans="14:41" customFormat="1" hidden="1">
      <c r="N6019" s="300"/>
      <c r="O6019" s="301"/>
      <c r="P6019" s="224"/>
      <c r="Q6019" s="328"/>
      <c r="R6019" s="259"/>
      <c r="S6019" s="259"/>
      <c r="T6019" s="224"/>
      <c r="U6019" s="259"/>
      <c r="V6019" s="259"/>
      <c r="W6019" s="224"/>
      <c r="X6019" s="259"/>
      <c r="Y6019" s="259"/>
      <c r="Z6019" s="224"/>
      <c r="AA6019" s="259"/>
      <c r="AB6019" s="259"/>
      <c r="AC6019" s="224"/>
      <c r="AD6019" s="259"/>
      <c r="AE6019" s="259"/>
      <c r="AF6019" s="224"/>
      <c r="AG6019" s="330"/>
      <c r="AI6019" s="1"/>
      <c r="AJ6019" s="259"/>
      <c r="AK6019" s="259"/>
      <c r="AL6019" s="224"/>
      <c r="AM6019" s="1"/>
      <c r="AN6019" s="1"/>
      <c r="AO6019" s="1"/>
    </row>
    <row r="6020" spans="14:41" customFormat="1" hidden="1">
      <c r="N6020" s="300"/>
      <c r="O6020" s="301"/>
      <c r="P6020" s="224"/>
      <c r="Q6020" s="328"/>
      <c r="R6020" s="259"/>
      <c r="S6020" s="259"/>
      <c r="T6020" s="224"/>
      <c r="U6020" s="259"/>
      <c r="V6020" s="259"/>
      <c r="W6020" s="224"/>
      <c r="X6020" s="259"/>
      <c r="Y6020" s="259"/>
      <c r="Z6020" s="224"/>
      <c r="AA6020" s="259"/>
      <c r="AB6020" s="259"/>
      <c r="AC6020" s="224"/>
      <c r="AD6020" s="259"/>
      <c r="AE6020" s="259"/>
      <c r="AF6020" s="224"/>
      <c r="AG6020" s="330"/>
      <c r="AI6020" s="1"/>
      <c r="AJ6020" s="259"/>
      <c r="AK6020" s="259"/>
      <c r="AL6020" s="224"/>
      <c r="AM6020" s="1"/>
      <c r="AN6020" s="1"/>
      <c r="AO6020" s="1"/>
    </row>
    <row r="6021" spans="14:41" customFormat="1" hidden="1">
      <c r="N6021" s="300"/>
      <c r="O6021" s="301"/>
      <c r="P6021" s="224"/>
      <c r="Q6021" s="328"/>
      <c r="R6021" s="259"/>
      <c r="S6021" s="259"/>
      <c r="T6021" s="224"/>
      <c r="U6021" s="259"/>
      <c r="V6021" s="259"/>
      <c r="W6021" s="224"/>
      <c r="X6021" s="259"/>
      <c r="Y6021" s="259"/>
      <c r="Z6021" s="224"/>
      <c r="AA6021" s="259"/>
      <c r="AB6021" s="259"/>
      <c r="AC6021" s="224"/>
      <c r="AD6021" s="259"/>
      <c r="AE6021" s="259"/>
      <c r="AF6021" s="224"/>
      <c r="AG6021" s="330"/>
      <c r="AI6021" s="1"/>
      <c r="AJ6021" s="259"/>
      <c r="AK6021" s="259"/>
      <c r="AL6021" s="224"/>
      <c r="AM6021" s="1"/>
      <c r="AN6021" s="1"/>
      <c r="AO6021" s="1"/>
    </row>
    <row r="6022" spans="14:41" customFormat="1">
      <c r="N6022" s="300"/>
      <c r="O6022" s="301"/>
      <c r="P6022" s="224"/>
      <c r="Q6022" s="328"/>
      <c r="R6022" s="259"/>
      <c r="S6022" s="259"/>
      <c r="T6022" s="224"/>
      <c r="U6022" s="259"/>
      <c r="V6022" s="259"/>
      <c r="W6022" s="224"/>
      <c r="X6022" s="259"/>
      <c r="Y6022" s="259"/>
      <c r="Z6022" s="224"/>
      <c r="AA6022" s="259"/>
      <c r="AB6022" s="259"/>
      <c r="AC6022" s="224"/>
      <c r="AD6022" s="259"/>
      <c r="AE6022" s="259"/>
      <c r="AF6022" s="224"/>
      <c r="AG6022" s="330"/>
      <c r="AI6022" s="1"/>
      <c r="AJ6022" s="259"/>
      <c r="AK6022" s="259"/>
      <c r="AL6022" s="224"/>
      <c r="AM6022" s="1"/>
      <c r="AN6022" s="1"/>
      <c r="AO6022" s="1"/>
    </row>
    <row r="6023" spans="14:41" customFormat="1">
      <c r="N6023" s="492" t="str">
        <f>IF(TEMPLATE_CLAIM="P","30.1","")</f>
        <v/>
      </c>
      <c r="O6023" s="493" t="str">
        <f>IF(TEMPLATE_CLAIM="P","Базовый уровень операционных расходов, тыс.руб.","")</f>
        <v/>
      </c>
      <c r="P6023" s="224"/>
      <c r="Q6023" s="328"/>
      <c r="R6023" s="259"/>
      <c r="S6023" s="259"/>
      <c r="T6023" s="224"/>
      <c r="U6023" s="259"/>
      <c r="V6023" s="259"/>
      <c r="W6023" s="224"/>
      <c r="X6023" s="259"/>
      <c r="Y6023" s="259"/>
      <c r="Z6023" s="224"/>
      <c r="AA6023" s="259"/>
      <c r="AB6023" s="259"/>
      <c r="AC6023" s="224"/>
      <c r="AD6023" s="259"/>
      <c r="AE6023" s="259"/>
      <c r="AF6023" s="224"/>
      <c r="AG6023" s="330"/>
      <c r="AI6023" s="1"/>
      <c r="AJ6023" s="259"/>
      <c r="AK6023" s="259"/>
      <c r="AL6023" s="224"/>
      <c r="AM6023" s="1"/>
      <c r="AN6023" s="1"/>
      <c r="AO6023" s="1"/>
    </row>
    <row r="6024" spans="14:41" customFormat="1">
      <c r="N6024" s="492" t="str">
        <f>IF(TEMPLATE_CLAIM="P","30.2","")</f>
        <v/>
      </c>
      <c r="O6024" s="493" t="str">
        <f>IF(TEMPLATE_CLAIM="P","Индекс эффективности операционных расходов, %","")</f>
        <v/>
      </c>
      <c r="P6024" s="224"/>
      <c r="Q6024" s="328"/>
      <c r="R6024" s="259"/>
      <c r="S6024" s="259"/>
      <c r="T6024" s="224"/>
      <c r="U6024" s="259"/>
      <c r="V6024" s="259"/>
      <c r="W6024" s="224"/>
      <c r="X6024" s="259"/>
      <c r="Y6024" s="259"/>
      <c r="Z6024" s="224"/>
      <c r="AA6024" s="259"/>
      <c r="AB6024" s="259"/>
      <c r="AC6024" s="224"/>
      <c r="AD6024" s="259"/>
      <c r="AE6024" s="259"/>
      <c r="AF6024" s="224"/>
      <c r="AG6024" s="330"/>
      <c r="AI6024" s="1"/>
      <c r="AJ6024" s="259"/>
      <c r="AK6024" s="259"/>
      <c r="AL6024" s="224"/>
      <c r="AM6024" s="1"/>
      <c r="AN6024" s="1"/>
      <c r="AO6024" s="1"/>
    </row>
    <row r="6025" spans="14:41" customFormat="1">
      <c r="N6025" s="492" t="str">
        <f>IF(TEMPLATE_CLAIM="P","30.3","")</f>
        <v/>
      </c>
      <c r="O6025" s="493" t="str">
        <f>IF(TEMPLATE_CLAIM="P","Размер инвестированного капитала, тыс.руб.","")</f>
        <v/>
      </c>
      <c r="P6025" s="224"/>
      <c r="Q6025" s="328"/>
      <c r="R6025" s="259"/>
      <c r="S6025" s="259"/>
      <c r="T6025" s="224"/>
      <c r="U6025" s="259"/>
      <c r="V6025" s="259"/>
      <c r="W6025" s="224"/>
      <c r="X6025" s="259"/>
      <c r="Y6025" s="259"/>
      <c r="Z6025" s="224"/>
      <c r="AA6025" s="259"/>
      <c r="AB6025" s="259"/>
      <c r="AC6025" s="224"/>
      <c r="AD6025" s="259"/>
      <c r="AE6025" s="259"/>
      <c r="AF6025" s="224"/>
      <c r="AG6025" s="330"/>
      <c r="AI6025" s="1"/>
      <c r="AJ6025" s="259"/>
      <c r="AK6025" s="259"/>
      <c r="AL6025" s="224"/>
      <c r="AM6025" s="1"/>
      <c r="AN6025" s="1"/>
      <c r="AO6025" s="1"/>
    </row>
    <row r="6026" spans="14:41" customFormat="1">
      <c r="N6026" s="492" t="str">
        <f>IF(TEMPLATE_CLAIM="P","30.4","")</f>
        <v/>
      </c>
      <c r="O6026" s="493" t="str">
        <f>IF(TEMPLATE_CLAIM="P","Чистый оборотный капитал, тыс.руб.","")</f>
        <v/>
      </c>
      <c r="P6026" s="224"/>
      <c r="Q6026" s="328"/>
      <c r="R6026" s="259"/>
      <c r="S6026" s="259"/>
      <c r="T6026" s="224"/>
      <c r="U6026" s="259"/>
      <c r="V6026" s="259"/>
      <c r="W6026" s="224"/>
      <c r="X6026" s="259"/>
      <c r="Y6026" s="259"/>
      <c r="Z6026" s="224"/>
      <c r="AA6026" s="259"/>
      <c r="AB6026" s="259"/>
      <c r="AC6026" s="224"/>
      <c r="AD6026" s="259"/>
      <c r="AE6026" s="259"/>
      <c r="AF6026" s="224"/>
      <c r="AG6026" s="330"/>
      <c r="AI6026" s="1"/>
      <c r="AJ6026" s="259"/>
      <c r="AK6026" s="259"/>
      <c r="AL6026" s="224"/>
      <c r="AM6026" s="1"/>
      <c r="AN6026" s="1"/>
      <c r="AO6026" s="1"/>
    </row>
    <row r="6027" spans="14:41" customFormat="1">
      <c r="N6027" s="492" t="str">
        <f>IF(TEMPLATE_CLAIM="P","30.5","")</f>
        <v/>
      </c>
      <c r="O6027" s="493" t="str">
        <f>IF(TEMPLATE_CLAIM="P","Норма доходности на инвестированный капитал (НДi), %","")</f>
        <v/>
      </c>
      <c r="P6027" s="224"/>
      <c r="Q6027" s="328"/>
      <c r="R6027" s="259"/>
      <c r="S6027" s="259"/>
      <c r="T6027" s="224"/>
      <c r="U6027" s="259"/>
      <c r="V6027" s="259"/>
      <c r="W6027" s="224"/>
      <c r="X6027" s="259"/>
      <c r="Y6027" s="259"/>
      <c r="Z6027" s="224"/>
      <c r="AA6027" s="259"/>
      <c r="AB6027" s="259"/>
      <c r="AC6027" s="224"/>
      <c r="AD6027" s="259"/>
      <c r="AE6027" s="259"/>
      <c r="AF6027" s="224"/>
      <c r="AG6027" s="330"/>
      <c r="AI6027" s="1"/>
      <c r="AJ6027" s="259"/>
      <c r="AK6027" s="259"/>
      <c r="AL6027" s="224"/>
      <c r="AM6027" s="1"/>
      <c r="AN6027" s="1"/>
      <c r="AO6027" s="1"/>
    </row>
    <row r="6028" spans="14:41" customFormat="1">
      <c r="N6028" s="492" t="str">
        <f>IF(TEMPLATE_CLAIM="P","30.6","")</f>
        <v/>
      </c>
      <c r="O6028" s="493" t="str">
        <f>IF(TEMPLATE_CLAIM="P","Норма доходности (НДi), %","")</f>
        <v/>
      </c>
      <c r="P6028" s="224"/>
      <c r="Q6028" s="328"/>
      <c r="R6028" s="259"/>
      <c r="S6028" s="259"/>
      <c r="T6028" s="224"/>
      <c r="U6028" s="259"/>
      <c r="V6028" s="259"/>
      <c r="W6028" s="224"/>
      <c r="X6028" s="259"/>
      <c r="Y6028" s="259"/>
      <c r="Z6028" s="224"/>
      <c r="AA6028" s="259"/>
      <c r="AB6028" s="259"/>
      <c r="AC6028" s="224"/>
      <c r="AD6028" s="259"/>
      <c r="AE6028" s="259"/>
      <c r="AF6028" s="224"/>
      <c r="AG6028" s="330"/>
      <c r="AI6028" s="1"/>
      <c r="AJ6028" s="259"/>
      <c r="AK6028" s="259"/>
      <c r="AL6028" s="224"/>
      <c r="AM6028" s="1"/>
      <c r="AN6028" s="1"/>
      <c r="AO6028" s="1"/>
    </row>
    <row r="6029" spans="14:41" customFormat="1">
      <c r="N6029" s="492" t="str">
        <f>IF(TEMPLATE_CLAIM="P","30.7","")</f>
        <v/>
      </c>
      <c r="O6029" s="493" t="str">
        <f>IF(TEMPLATE_CLAIM="P","Срок возврата инвестированного капитала, лет","")</f>
        <v/>
      </c>
      <c r="P6029" s="224"/>
      <c r="Q6029" s="328"/>
      <c r="R6029" s="259"/>
      <c r="S6029" s="259"/>
      <c r="T6029" s="224"/>
      <c r="U6029" s="259"/>
      <c r="V6029" s="259"/>
      <c r="W6029" s="224"/>
      <c r="X6029" s="259"/>
      <c r="Y6029" s="259"/>
      <c r="Z6029" s="224"/>
      <c r="AA6029" s="259"/>
      <c r="AB6029" s="259"/>
      <c r="AC6029" s="224"/>
      <c r="AD6029" s="259"/>
      <c r="AE6029" s="259"/>
      <c r="AF6029" s="224"/>
      <c r="AG6029" s="330"/>
      <c r="AI6029" s="1"/>
      <c r="AJ6029" s="259"/>
      <c r="AK6029" s="259"/>
      <c r="AL6029" s="224"/>
      <c r="AM6029" s="1"/>
      <c r="AN6029" s="1"/>
      <c r="AO6029" s="1"/>
    </row>
    <row r="6030" spans="14:41" customFormat="1">
      <c r="N6030" s="492" t="str">
        <f>IF(TEMPLATE_CLAIM="P","30.8","")</f>
        <v/>
      </c>
      <c r="O6030" s="494" t="str">
        <f>IF(TEMPLATE_CLAIM="P","Уровень надежности и качества реализуемых товаров (услуг)","")</f>
        <v/>
      </c>
      <c r="P6030" s="224"/>
      <c r="Q6030" s="328"/>
      <c r="R6030" s="259"/>
      <c r="S6030" s="259"/>
      <c r="T6030" s="224"/>
      <c r="U6030" s="259"/>
      <c r="V6030" s="259"/>
      <c r="W6030" s="224"/>
      <c r="X6030" s="259"/>
      <c r="Y6030" s="259"/>
      <c r="Z6030" s="224"/>
      <c r="AA6030" s="259"/>
      <c r="AB6030" s="259"/>
      <c r="AC6030" s="224"/>
      <c r="AD6030" s="259"/>
      <c r="AE6030" s="259"/>
      <c r="AF6030" s="224"/>
      <c r="AG6030" s="330"/>
      <c r="AI6030" s="1"/>
      <c r="AJ6030" s="259"/>
      <c r="AK6030" s="259"/>
      <c r="AL6030" s="224"/>
      <c r="AM6030" s="1"/>
      <c r="AN6030" s="1"/>
      <c r="AO6030" s="1"/>
    </row>
    <row r="6031" spans="14:41" customFormat="1">
      <c r="N6031" s="302"/>
      <c r="O6031" s="303"/>
      <c r="P6031" s="224"/>
      <c r="Q6031" s="328"/>
      <c r="R6031" s="259"/>
      <c r="S6031" s="259"/>
      <c r="T6031" s="224"/>
      <c r="U6031" s="259"/>
      <c r="V6031" s="259"/>
      <c r="W6031" s="224"/>
      <c r="X6031" s="259"/>
      <c r="Y6031" s="259"/>
      <c r="Z6031" s="224"/>
      <c r="AA6031" s="259"/>
      <c r="AB6031" s="259"/>
      <c r="AC6031" s="224"/>
      <c r="AD6031" s="259"/>
      <c r="AE6031" s="259"/>
      <c r="AF6031" s="224"/>
      <c r="AG6031" s="330"/>
      <c r="AI6031" s="1"/>
      <c r="AJ6031" s="259"/>
      <c r="AK6031" s="259"/>
      <c r="AL6031" s="224"/>
      <c r="AM6031" s="1"/>
      <c r="AN6031" s="1"/>
      <c r="AO6031" s="1"/>
    </row>
    <row r="6032" spans="14:41" customFormat="1" hidden="1">
      <c r="N6032" s="302"/>
      <c r="O6032" s="303"/>
      <c r="P6032" s="285"/>
      <c r="Q6032" s="328"/>
      <c r="R6032" s="259"/>
      <c r="S6032" s="259"/>
      <c r="T6032" s="285"/>
      <c r="U6032" s="259"/>
      <c r="V6032" s="259"/>
      <c r="W6032" s="285"/>
      <c r="X6032" s="259"/>
      <c r="Y6032" s="259"/>
      <c r="Z6032" s="285"/>
      <c r="AA6032" s="259"/>
      <c r="AB6032" s="259"/>
      <c r="AC6032" s="285"/>
      <c r="AD6032" s="259"/>
      <c r="AE6032" s="259"/>
      <c r="AF6032" s="285"/>
      <c r="AG6032" s="330"/>
      <c r="AI6032" s="1"/>
      <c r="AJ6032" s="259"/>
      <c r="AK6032" s="259"/>
      <c r="AL6032" s="285"/>
      <c r="AM6032" s="1"/>
      <c r="AN6032" s="1"/>
      <c r="AO6032" s="1"/>
    </row>
    <row r="6033" spans="14:41" customFormat="1" hidden="1">
      <c r="N6033" s="302"/>
      <c r="O6033" s="303"/>
      <c r="P6033" s="285"/>
      <c r="Q6033" s="328"/>
      <c r="R6033" s="259"/>
      <c r="S6033" s="259"/>
      <c r="T6033" s="285"/>
      <c r="U6033" s="259"/>
      <c r="V6033" s="259"/>
      <c r="W6033" s="285"/>
      <c r="X6033" s="259"/>
      <c r="Y6033" s="259"/>
      <c r="Z6033" s="285"/>
      <c r="AA6033" s="259"/>
      <c r="AB6033" s="259"/>
      <c r="AC6033" s="285"/>
      <c r="AD6033" s="259"/>
      <c r="AE6033" s="259"/>
      <c r="AF6033" s="285"/>
      <c r="AG6033" s="330"/>
      <c r="AI6033" s="1"/>
      <c r="AJ6033" s="259"/>
      <c r="AK6033" s="259"/>
      <c r="AL6033" s="285"/>
      <c r="AM6033" s="1"/>
      <c r="AN6033" s="1"/>
      <c r="AO6033" s="1"/>
    </row>
    <row r="6034" spans="14:41" customFormat="1" hidden="1">
      <c r="N6034" s="302"/>
      <c r="O6034" s="303"/>
      <c r="P6034" s="285"/>
      <c r="Q6034" s="328"/>
      <c r="R6034" s="259"/>
      <c r="S6034" s="259"/>
      <c r="T6034" s="285"/>
      <c r="U6034" s="259"/>
      <c r="V6034" s="259"/>
      <c r="W6034" s="285"/>
      <c r="X6034" s="259"/>
      <c r="Y6034" s="259"/>
      <c r="Z6034" s="285"/>
      <c r="AA6034" s="259"/>
      <c r="AB6034" s="259"/>
      <c r="AC6034" s="285"/>
      <c r="AD6034" s="259"/>
      <c r="AE6034" s="259"/>
      <c r="AF6034" s="285"/>
      <c r="AG6034" s="330"/>
      <c r="AI6034" s="1"/>
      <c r="AJ6034" s="259"/>
      <c r="AK6034" s="259"/>
      <c r="AL6034" s="285"/>
      <c r="AM6034" s="1"/>
      <c r="AN6034" s="1"/>
      <c r="AO6034" s="1"/>
    </row>
    <row r="6035" spans="14:41" customFormat="1" hidden="1">
      <c r="N6035" s="302"/>
      <c r="O6035" s="303"/>
      <c r="P6035" s="285"/>
      <c r="Q6035" s="328"/>
      <c r="R6035" s="259"/>
      <c r="S6035" s="259"/>
      <c r="T6035" s="285"/>
      <c r="U6035" s="259"/>
      <c r="V6035" s="259"/>
      <c r="W6035" s="285"/>
      <c r="X6035" s="259"/>
      <c r="Y6035" s="259"/>
      <c r="Z6035" s="285"/>
      <c r="AA6035" s="259"/>
      <c r="AB6035" s="259"/>
      <c r="AC6035" s="285"/>
      <c r="AD6035" s="259"/>
      <c r="AE6035" s="259"/>
      <c r="AF6035" s="285"/>
      <c r="AG6035" s="330"/>
      <c r="AI6035" s="1"/>
      <c r="AJ6035" s="259"/>
      <c r="AK6035" s="259"/>
      <c r="AL6035" s="285"/>
      <c r="AM6035" s="1"/>
      <c r="AN6035" s="1"/>
      <c r="AO6035" s="1"/>
    </row>
    <row r="6036" spans="14:41" customFormat="1" hidden="1">
      <c r="N6036" s="302"/>
      <c r="O6036" s="303"/>
      <c r="P6036" s="285"/>
      <c r="Q6036" s="328"/>
      <c r="R6036" s="259"/>
      <c r="S6036" s="259"/>
      <c r="T6036" s="285"/>
      <c r="U6036" s="259"/>
      <c r="V6036" s="259"/>
      <c r="W6036" s="285"/>
      <c r="X6036" s="259"/>
      <c r="Y6036" s="259"/>
      <c r="Z6036" s="285"/>
      <c r="AA6036" s="259"/>
      <c r="AB6036" s="259"/>
      <c r="AC6036" s="285"/>
      <c r="AD6036" s="259"/>
      <c r="AE6036" s="259"/>
      <c r="AF6036" s="285"/>
      <c r="AG6036" s="330"/>
      <c r="AI6036" s="1"/>
      <c r="AJ6036" s="259"/>
      <c r="AK6036" s="259"/>
      <c r="AL6036" s="285"/>
      <c r="AM6036" s="1"/>
      <c r="AN6036" s="1"/>
      <c r="AO6036" s="1"/>
    </row>
    <row r="6037" spans="14:41" customFormat="1" hidden="1">
      <c r="N6037" s="302"/>
      <c r="O6037" s="303"/>
      <c r="P6037" s="285"/>
      <c r="Q6037" s="328"/>
      <c r="R6037" s="259"/>
      <c r="S6037" s="259"/>
      <c r="T6037" s="285"/>
      <c r="U6037" s="259"/>
      <c r="V6037" s="259"/>
      <c r="W6037" s="285"/>
      <c r="X6037" s="259"/>
      <c r="Y6037" s="259"/>
      <c r="Z6037" s="285"/>
      <c r="AA6037" s="259"/>
      <c r="AB6037" s="259"/>
      <c r="AC6037" s="285"/>
      <c r="AD6037" s="259"/>
      <c r="AE6037" s="259"/>
      <c r="AF6037" s="285"/>
      <c r="AG6037" s="330"/>
      <c r="AI6037" s="1"/>
      <c r="AJ6037" s="259"/>
      <c r="AK6037" s="259"/>
      <c r="AL6037" s="285"/>
      <c r="AM6037" s="1"/>
      <c r="AN6037" s="1"/>
      <c r="AO6037" s="1"/>
    </row>
    <row r="6038" spans="14:41" customFormat="1" hidden="1">
      <c r="N6038" s="302"/>
      <c r="O6038" s="303"/>
      <c r="P6038" s="285"/>
      <c r="Q6038" s="328"/>
      <c r="R6038" s="259"/>
      <c r="S6038" s="259"/>
      <c r="T6038" s="285"/>
      <c r="U6038" s="259"/>
      <c r="V6038" s="259"/>
      <c r="W6038" s="285"/>
      <c r="X6038" s="259"/>
      <c r="Y6038" s="259"/>
      <c r="Z6038" s="285"/>
      <c r="AA6038" s="259"/>
      <c r="AB6038" s="259"/>
      <c r="AC6038" s="285"/>
      <c r="AD6038" s="259"/>
      <c r="AE6038" s="259"/>
      <c r="AF6038" s="285"/>
      <c r="AG6038" s="330"/>
      <c r="AI6038" s="1"/>
      <c r="AJ6038" s="259"/>
      <c r="AK6038" s="259"/>
      <c r="AL6038" s="285"/>
      <c r="AM6038" s="1"/>
      <c r="AN6038" s="1"/>
      <c r="AO6038" s="1"/>
    </row>
    <row r="6039" spans="14:41" customFormat="1" hidden="1">
      <c r="N6039" s="302"/>
      <c r="O6039" s="303"/>
      <c r="P6039" s="285"/>
      <c r="Q6039" s="328"/>
      <c r="R6039" s="259"/>
      <c r="S6039" s="259"/>
      <c r="T6039" s="285"/>
      <c r="U6039" s="259"/>
      <c r="V6039" s="259"/>
      <c r="W6039" s="285"/>
      <c r="X6039" s="259"/>
      <c r="Y6039" s="259"/>
      <c r="Z6039" s="285"/>
      <c r="AA6039" s="259"/>
      <c r="AB6039" s="259"/>
      <c r="AC6039" s="285"/>
      <c r="AD6039" s="259"/>
      <c r="AE6039" s="259"/>
      <c r="AF6039" s="285"/>
      <c r="AG6039" s="330"/>
      <c r="AI6039" s="1"/>
      <c r="AJ6039" s="259"/>
      <c r="AK6039" s="259"/>
      <c r="AL6039" s="285"/>
      <c r="AM6039" s="1"/>
      <c r="AN6039" s="1"/>
      <c r="AO6039" s="1"/>
    </row>
    <row r="6040" spans="14:41" customFormat="1" hidden="1">
      <c r="N6040" s="302"/>
      <c r="O6040" s="303"/>
      <c r="P6040" s="285"/>
      <c r="Q6040" s="328"/>
      <c r="R6040" s="259"/>
      <c r="S6040" s="259"/>
      <c r="T6040" s="285"/>
      <c r="U6040" s="259"/>
      <c r="V6040" s="259"/>
      <c r="W6040" s="285"/>
      <c r="X6040" s="259"/>
      <c r="Y6040" s="259"/>
      <c r="Z6040" s="285"/>
      <c r="AA6040" s="259"/>
      <c r="AB6040" s="259"/>
      <c r="AC6040" s="285"/>
      <c r="AD6040" s="259"/>
      <c r="AE6040" s="259"/>
      <c r="AF6040" s="285"/>
      <c r="AG6040" s="330"/>
      <c r="AI6040" s="1"/>
      <c r="AJ6040" s="259"/>
      <c r="AK6040" s="259"/>
      <c r="AL6040" s="285"/>
      <c r="AM6040" s="1"/>
      <c r="AN6040" s="1"/>
      <c r="AO6040" s="1"/>
    </row>
    <row r="6041" spans="14:41" customFormat="1" hidden="1">
      <c r="N6041" s="302"/>
      <c r="O6041" s="303"/>
      <c r="P6041" s="285"/>
      <c r="Q6041" s="328"/>
      <c r="R6041" s="259"/>
      <c r="S6041" s="259"/>
      <c r="T6041" s="285"/>
      <c r="U6041" s="259"/>
      <c r="V6041" s="259"/>
      <c r="W6041" s="285"/>
      <c r="X6041" s="259"/>
      <c r="Y6041" s="259"/>
      <c r="Z6041" s="285"/>
      <c r="AA6041" s="259"/>
      <c r="AB6041" s="259"/>
      <c r="AC6041" s="285"/>
      <c r="AD6041" s="259"/>
      <c r="AE6041" s="259"/>
      <c r="AF6041" s="285"/>
      <c r="AG6041" s="330"/>
      <c r="AI6041" s="1"/>
      <c r="AJ6041" s="259"/>
      <c r="AK6041" s="259"/>
      <c r="AL6041" s="285"/>
      <c r="AM6041" s="1"/>
      <c r="AN6041" s="1"/>
      <c r="AO6041" s="1"/>
    </row>
    <row r="6042" spans="14:41" customFormat="1" hidden="1">
      <c r="N6042" s="302"/>
      <c r="O6042" s="303"/>
      <c r="P6042" s="285"/>
      <c r="Q6042" s="328"/>
      <c r="R6042" s="259"/>
      <c r="S6042" s="259"/>
      <c r="T6042" s="285"/>
      <c r="U6042" s="259"/>
      <c r="V6042" s="259"/>
      <c r="W6042" s="285"/>
      <c r="X6042" s="259"/>
      <c r="Y6042" s="259"/>
      <c r="Z6042" s="285"/>
      <c r="AA6042" s="259"/>
      <c r="AB6042" s="259"/>
      <c r="AC6042" s="285"/>
      <c r="AD6042" s="259"/>
      <c r="AE6042" s="259"/>
      <c r="AF6042" s="285"/>
      <c r="AG6042" s="330"/>
      <c r="AI6042" s="1"/>
      <c r="AJ6042" s="259"/>
      <c r="AK6042" s="259"/>
      <c r="AL6042" s="285"/>
      <c r="AM6042" s="1"/>
      <c r="AN6042" s="1"/>
      <c r="AO6042" s="1"/>
    </row>
    <row r="6043" spans="14:41" customFormat="1" hidden="1">
      <c r="N6043" s="302"/>
      <c r="O6043" s="303"/>
      <c r="P6043" s="285"/>
      <c r="Q6043" s="328"/>
      <c r="R6043" s="259"/>
      <c r="S6043" s="259"/>
      <c r="T6043" s="285"/>
      <c r="U6043" s="259"/>
      <c r="V6043" s="259"/>
      <c r="W6043" s="285"/>
      <c r="X6043" s="259"/>
      <c r="Y6043" s="259"/>
      <c r="Z6043" s="285"/>
      <c r="AA6043" s="259"/>
      <c r="AB6043" s="259"/>
      <c r="AC6043" s="285"/>
      <c r="AD6043" s="259"/>
      <c r="AE6043" s="259"/>
      <c r="AF6043" s="285"/>
      <c r="AG6043" s="330"/>
      <c r="AI6043" s="1"/>
      <c r="AJ6043" s="259"/>
      <c r="AK6043" s="259"/>
      <c r="AL6043" s="285"/>
      <c r="AM6043" s="1"/>
      <c r="AN6043" s="1"/>
      <c r="AO6043" s="1"/>
    </row>
    <row r="6044" spans="14:41" customFormat="1" hidden="1">
      <c r="N6044" s="302"/>
      <c r="O6044" s="303"/>
      <c r="P6044" s="285"/>
      <c r="Q6044" s="328"/>
      <c r="R6044" s="259"/>
      <c r="S6044" s="259"/>
      <c r="T6044" s="285"/>
      <c r="U6044" s="259"/>
      <c r="V6044" s="259"/>
      <c r="W6044" s="285"/>
      <c r="X6044" s="259"/>
      <c r="Y6044" s="259"/>
      <c r="Z6044" s="285"/>
      <c r="AA6044" s="259"/>
      <c r="AB6044" s="259"/>
      <c r="AC6044" s="285"/>
      <c r="AD6044" s="259"/>
      <c r="AE6044" s="259"/>
      <c r="AF6044" s="285"/>
      <c r="AG6044" s="330"/>
      <c r="AI6044" s="1"/>
      <c r="AJ6044" s="259"/>
      <c r="AK6044" s="259"/>
      <c r="AL6044" s="285"/>
      <c r="AM6044" s="1"/>
      <c r="AN6044" s="1"/>
      <c r="AO6044" s="1"/>
    </row>
    <row r="6045" spans="14:41" customFormat="1" hidden="1">
      <c r="N6045" s="302"/>
      <c r="O6045" s="303"/>
      <c r="P6045" s="285"/>
      <c r="Q6045" s="328"/>
      <c r="R6045" s="259"/>
      <c r="S6045" s="259"/>
      <c r="T6045" s="285"/>
      <c r="U6045" s="259"/>
      <c r="V6045" s="259"/>
      <c r="W6045" s="285"/>
      <c r="X6045" s="259"/>
      <c r="Y6045" s="259"/>
      <c r="Z6045" s="285"/>
      <c r="AA6045" s="259"/>
      <c r="AB6045" s="259"/>
      <c r="AC6045" s="285"/>
      <c r="AD6045" s="259"/>
      <c r="AE6045" s="259"/>
      <c r="AF6045" s="285"/>
      <c r="AG6045" s="330"/>
      <c r="AI6045" s="1"/>
      <c r="AJ6045" s="259"/>
      <c r="AK6045" s="259"/>
      <c r="AL6045" s="285"/>
      <c r="AM6045" s="1"/>
      <c r="AN6045" s="1"/>
      <c r="AO6045" s="1"/>
    </row>
    <row r="6046" spans="14:41" customFormat="1" hidden="1">
      <c r="N6046" s="302"/>
      <c r="O6046" s="303"/>
      <c r="P6046" s="285"/>
      <c r="Q6046" s="328"/>
      <c r="R6046" s="259"/>
      <c r="S6046" s="259"/>
      <c r="T6046" s="285"/>
      <c r="U6046" s="259"/>
      <c r="V6046" s="259"/>
      <c r="W6046" s="285"/>
      <c r="X6046" s="259"/>
      <c r="Y6046" s="259"/>
      <c r="Z6046" s="285"/>
      <c r="AA6046" s="259"/>
      <c r="AB6046" s="259"/>
      <c r="AC6046" s="285"/>
      <c r="AD6046" s="259"/>
      <c r="AE6046" s="259"/>
      <c r="AF6046" s="285"/>
      <c r="AG6046" s="330"/>
      <c r="AI6046" s="1"/>
      <c r="AJ6046" s="259"/>
      <c r="AK6046" s="259"/>
      <c r="AL6046" s="285"/>
      <c r="AM6046" s="1"/>
      <c r="AN6046" s="1"/>
      <c r="AO6046" s="1"/>
    </row>
    <row r="6047" spans="14:41" customFormat="1" hidden="1">
      <c r="N6047" s="302"/>
      <c r="O6047" s="303"/>
      <c r="P6047" s="285"/>
      <c r="Q6047" s="328"/>
      <c r="R6047" s="259"/>
      <c r="S6047" s="259"/>
      <c r="T6047" s="285"/>
      <c r="U6047" s="259"/>
      <c r="V6047" s="259"/>
      <c r="W6047" s="285"/>
      <c r="X6047" s="259"/>
      <c r="Y6047" s="259"/>
      <c r="Z6047" s="285"/>
      <c r="AA6047" s="259"/>
      <c r="AB6047" s="259"/>
      <c r="AC6047" s="285"/>
      <c r="AD6047" s="259"/>
      <c r="AE6047" s="259"/>
      <c r="AF6047" s="285"/>
      <c r="AG6047" s="330"/>
      <c r="AI6047" s="1"/>
      <c r="AJ6047" s="259"/>
      <c r="AK6047" s="259"/>
      <c r="AL6047" s="285"/>
      <c r="AM6047" s="1"/>
      <c r="AN6047" s="1"/>
      <c r="AO6047" s="1"/>
    </row>
    <row r="6048" spans="14:41" customFormat="1" hidden="1">
      <c r="N6048" s="302"/>
      <c r="O6048" s="303"/>
      <c r="P6048" s="285"/>
      <c r="Q6048" s="328"/>
      <c r="R6048" s="259"/>
      <c r="S6048" s="259"/>
      <c r="T6048" s="285"/>
      <c r="U6048" s="259"/>
      <c r="V6048" s="259"/>
      <c r="W6048" s="285"/>
      <c r="X6048" s="259"/>
      <c r="Y6048" s="259"/>
      <c r="Z6048" s="285"/>
      <c r="AA6048" s="259"/>
      <c r="AB6048" s="259"/>
      <c r="AC6048" s="285"/>
      <c r="AD6048" s="259"/>
      <c r="AE6048" s="259"/>
      <c r="AF6048" s="285"/>
      <c r="AG6048" s="330"/>
      <c r="AI6048" s="1"/>
      <c r="AJ6048" s="259"/>
      <c r="AK6048" s="259"/>
      <c r="AL6048" s="285"/>
      <c r="AM6048" s="1"/>
      <c r="AN6048" s="1"/>
      <c r="AO6048" s="1"/>
    </row>
    <row r="6049" spans="14:41" customFormat="1" hidden="1">
      <c r="N6049" s="302"/>
      <c r="O6049" s="303"/>
      <c r="P6049" s="285"/>
      <c r="Q6049" s="328"/>
      <c r="R6049" s="259"/>
      <c r="S6049" s="259"/>
      <c r="T6049" s="285"/>
      <c r="U6049" s="259"/>
      <c r="V6049" s="259"/>
      <c r="W6049" s="285"/>
      <c r="X6049" s="259"/>
      <c r="Y6049" s="259"/>
      <c r="Z6049" s="285"/>
      <c r="AA6049" s="259"/>
      <c r="AB6049" s="259"/>
      <c r="AC6049" s="285"/>
      <c r="AD6049" s="259"/>
      <c r="AE6049" s="259"/>
      <c r="AF6049" s="285"/>
      <c r="AG6049" s="330"/>
      <c r="AI6049" s="1"/>
      <c r="AJ6049" s="259"/>
      <c r="AK6049" s="259"/>
      <c r="AL6049" s="285"/>
      <c r="AM6049" s="1"/>
      <c r="AN6049" s="1"/>
      <c r="AO6049" s="1"/>
    </row>
    <row r="6050" spans="14:41" hidden="1">
      <c r="N6050" s="302"/>
      <c r="O6050" s="303"/>
      <c r="P6050" s="285"/>
      <c r="Q6050" s="328"/>
      <c r="R6050" s="259"/>
      <c r="S6050" s="259"/>
      <c r="T6050" s="333"/>
      <c r="U6050" s="259"/>
      <c r="V6050" s="259"/>
      <c r="W6050" s="332"/>
      <c r="X6050" s="259"/>
      <c r="Y6050" s="259"/>
      <c r="Z6050" s="332"/>
      <c r="AA6050" s="259"/>
      <c r="AB6050" s="259"/>
      <c r="AC6050" s="332"/>
      <c r="AD6050" s="259"/>
      <c r="AE6050" s="259"/>
      <c r="AF6050" s="332"/>
      <c r="AG6050" s="330"/>
      <c r="AJ6050" s="259"/>
      <c r="AK6050" s="259"/>
      <c r="AL6050" s="332"/>
    </row>
    <row r="6051" spans="14:41" hidden="1">
      <c r="N6051" s="302"/>
      <c r="O6051" s="303"/>
      <c r="P6051" s="285"/>
      <c r="Q6051" s="328"/>
      <c r="R6051" s="259"/>
      <c r="S6051" s="259"/>
      <c r="T6051" s="332"/>
      <c r="U6051" s="259"/>
      <c r="V6051" s="259"/>
      <c r="W6051" s="332"/>
      <c r="X6051" s="259"/>
      <c r="Y6051" s="259"/>
      <c r="Z6051" s="332"/>
      <c r="AA6051" s="259"/>
      <c r="AB6051" s="259"/>
      <c r="AC6051" s="332"/>
      <c r="AD6051" s="259"/>
      <c r="AE6051" s="259"/>
      <c r="AF6051" s="332"/>
      <c r="AG6051" s="330"/>
      <c r="AJ6051" s="259"/>
      <c r="AK6051" s="259"/>
      <c r="AL6051" s="332"/>
    </row>
    <row r="6052" spans="14:41" hidden="1">
      <c r="N6052" s="302"/>
      <c r="O6052" s="303"/>
      <c r="P6052" s="285"/>
      <c r="Q6052" s="328"/>
      <c r="R6052" s="259"/>
      <c r="S6052" s="259"/>
      <c r="T6052" s="332"/>
      <c r="U6052" s="259"/>
      <c r="V6052" s="259"/>
      <c r="W6052" s="332"/>
      <c r="X6052" s="259"/>
      <c r="Y6052" s="259"/>
      <c r="Z6052" s="332"/>
      <c r="AA6052" s="259"/>
      <c r="AB6052" s="259"/>
      <c r="AC6052" s="332"/>
      <c r="AD6052" s="259"/>
      <c r="AE6052" s="259"/>
      <c r="AF6052" s="332"/>
      <c r="AG6052" s="330"/>
      <c r="AJ6052" s="259"/>
      <c r="AK6052" s="259"/>
      <c r="AL6052" s="332"/>
    </row>
    <row r="6053" spans="14:41" hidden="1">
      <c r="N6053" s="302"/>
      <c r="O6053" s="303"/>
      <c r="P6053" s="285"/>
      <c r="Q6053" s="328"/>
      <c r="R6053" s="259"/>
      <c r="S6053" s="259"/>
      <c r="T6053" s="332"/>
      <c r="U6053" s="259"/>
      <c r="V6053" s="259"/>
      <c r="W6053" s="332"/>
      <c r="X6053" s="259"/>
      <c r="Y6053" s="259"/>
      <c r="Z6053" s="332"/>
      <c r="AA6053" s="259"/>
      <c r="AB6053" s="259"/>
      <c r="AC6053" s="332"/>
      <c r="AD6053" s="259"/>
      <c r="AE6053" s="259"/>
      <c r="AF6053" s="332"/>
      <c r="AG6053" s="330"/>
      <c r="AJ6053" s="259"/>
      <c r="AK6053" s="259"/>
      <c r="AL6053" s="332"/>
    </row>
    <row r="6054" spans="14:41" hidden="1">
      <c r="N6054" s="302"/>
      <c r="O6054" s="303"/>
      <c r="P6054" s="285"/>
      <c r="Q6054" s="328"/>
      <c r="R6054" s="259"/>
      <c r="S6054" s="259"/>
      <c r="T6054" s="332"/>
      <c r="U6054" s="259"/>
      <c r="V6054" s="259"/>
      <c r="W6054" s="332"/>
      <c r="X6054" s="259"/>
      <c r="Y6054" s="259"/>
      <c r="Z6054" s="332"/>
      <c r="AA6054" s="259"/>
      <c r="AB6054" s="259"/>
      <c r="AC6054" s="332"/>
      <c r="AD6054" s="259"/>
      <c r="AE6054" s="259"/>
      <c r="AF6054" s="332"/>
      <c r="AG6054" s="330"/>
      <c r="AJ6054" s="259"/>
      <c r="AK6054" s="259"/>
      <c r="AL6054" s="332"/>
    </row>
    <row r="6055" spans="14:41" hidden="1">
      <c r="N6055" s="302"/>
      <c r="O6055" s="303"/>
      <c r="P6055" s="285"/>
      <c r="Q6055" s="328"/>
      <c r="R6055" s="259"/>
      <c r="S6055" s="259"/>
      <c r="T6055" s="332"/>
      <c r="U6055" s="259"/>
      <c r="V6055" s="259"/>
      <c r="W6055" s="332"/>
      <c r="X6055" s="259"/>
      <c r="Y6055" s="259"/>
      <c r="Z6055" s="332"/>
      <c r="AA6055" s="259"/>
      <c r="AB6055" s="259"/>
      <c r="AC6055" s="332"/>
      <c r="AD6055" s="259"/>
      <c r="AE6055" s="259"/>
      <c r="AF6055" s="332"/>
      <c r="AG6055" s="330"/>
      <c r="AJ6055" s="259"/>
      <c r="AK6055" s="259"/>
      <c r="AL6055" s="332"/>
    </row>
    <row r="6056" spans="14:41" hidden="1">
      <c r="N6056" s="302"/>
      <c r="O6056" s="303"/>
      <c r="P6056" s="285"/>
      <c r="Q6056" s="328"/>
      <c r="R6056" s="259"/>
      <c r="S6056" s="259"/>
      <c r="T6056" s="332"/>
      <c r="U6056" s="259"/>
      <c r="V6056" s="259"/>
      <c r="W6056" s="332"/>
      <c r="X6056" s="259"/>
      <c r="Y6056" s="259"/>
      <c r="Z6056" s="332"/>
      <c r="AA6056" s="259"/>
      <c r="AB6056" s="259"/>
      <c r="AC6056" s="332"/>
      <c r="AD6056" s="259"/>
      <c r="AE6056" s="259"/>
      <c r="AF6056" s="332"/>
      <c r="AG6056" s="330"/>
      <c r="AJ6056" s="259"/>
      <c r="AK6056" s="259"/>
      <c r="AL6056" s="332"/>
    </row>
    <row r="6057" spans="14:41" hidden="1">
      <c r="N6057" s="302"/>
      <c r="O6057" s="303"/>
      <c r="P6057" s="285"/>
      <c r="Q6057" s="328"/>
      <c r="R6057" s="259"/>
      <c r="S6057" s="259"/>
      <c r="T6057" s="332"/>
      <c r="U6057" s="259"/>
      <c r="V6057" s="259"/>
      <c r="W6057" s="332"/>
      <c r="X6057" s="259"/>
      <c r="Y6057" s="259"/>
      <c r="Z6057" s="332"/>
      <c r="AA6057" s="259"/>
      <c r="AB6057" s="259"/>
      <c r="AC6057" s="332"/>
      <c r="AD6057" s="259"/>
      <c r="AE6057" s="259"/>
      <c r="AF6057" s="332"/>
      <c r="AG6057" s="330"/>
      <c r="AJ6057" s="259"/>
      <c r="AK6057" s="259"/>
      <c r="AL6057" s="332"/>
    </row>
    <row r="6058" spans="14:41" hidden="1">
      <c r="N6058" s="302"/>
      <c r="O6058" s="303"/>
      <c r="P6058" s="285"/>
      <c r="Q6058" s="328"/>
      <c r="R6058" s="259"/>
      <c r="S6058" s="259"/>
      <c r="T6058" s="332"/>
      <c r="U6058" s="259"/>
      <c r="V6058" s="259"/>
      <c r="W6058" s="332"/>
      <c r="X6058" s="259"/>
      <c r="Y6058" s="259"/>
      <c r="Z6058" s="332"/>
      <c r="AA6058" s="259"/>
      <c r="AB6058" s="259"/>
      <c r="AC6058" s="332"/>
      <c r="AD6058" s="259"/>
      <c r="AE6058" s="259"/>
      <c r="AF6058" s="332"/>
      <c r="AG6058" s="330"/>
      <c r="AJ6058" s="259"/>
      <c r="AK6058" s="259"/>
      <c r="AL6058" s="332"/>
    </row>
    <row r="6059" spans="14:41" hidden="1">
      <c r="N6059" s="302"/>
      <c r="O6059" s="303"/>
      <c r="P6059" s="285"/>
      <c r="Q6059" s="328"/>
      <c r="R6059" s="259"/>
      <c r="S6059" s="259"/>
      <c r="T6059" s="332"/>
      <c r="U6059" s="259"/>
      <c r="V6059" s="259"/>
      <c r="W6059" s="332"/>
      <c r="X6059" s="259"/>
      <c r="Y6059" s="259"/>
      <c r="Z6059" s="332"/>
      <c r="AA6059" s="259"/>
      <c r="AB6059" s="259"/>
      <c r="AC6059" s="332"/>
      <c r="AD6059" s="259"/>
      <c r="AE6059" s="259"/>
      <c r="AF6059" s="332"/>
      <c r="AG6059" s="330"/>
      <c r="AJ6059" s="259"/>
      <c r="AK6059" s="259"/>
      <c r="AL6059" s="332"/>
    </row>
    <row r="6060" spans="14:41" hidden="1">
      <c r="N6060" s="302"/>
      <c r="O6060" s="303"/>
      <c r="P6060" s="285"/>
      <c r="Q6060" s="328"/>
      <c r="R6060" s="259"/>
      <c r="S6060" s="259"/>
      <c r="T6060" s="332"/>
      <c r="U6060" s="259"/>
      <c r="V6060" s="259"/>
      <c r="W6060" s="332"/>
      <c r="X6060" s="259"/>
      <c r="Y6060" s="259"/>
      <c r="Z6060" s="332"/>
      <c r="AA6060" s="259"/>
      <c r="AB6060" s="259"/>
      <c r="AC6060" s="332"/>
      <c r="AD6060" s="259"/>
      <c r="AE6060" s="259"/>
      <c r="AF6060" s="332"/>
      <c r="AG6060" s="330"/>
      <c r="AJ6060" s="259"/>
      <c r="AK6060" s="259"/>
      <c r="AL6060" s="332"/>
    </row>
    <row r="6061" spans="14:41" hidden="1">
      <c r="N6061" s="302"/>
      <c r="O6061" s="303"/>
      <c r="P6061" s="285"/>
      <c r="Q6061" s="328"/>
      <c r="R6061" s="259"/>
      <c r="S6061" s="259"/>
      <c r="T6061" s="332"/>
      <c r="U6061" s="259"/>
      <c r="V6061" s="259"/>
      <c r="W6061" s="332"/>
      <c r="X6061" s="259"/>
      <c r="Y6061" s="259"/>
      <c r="Z6061" s="332"/>
      <c r="AA6061" s="259"/>
      <c r="AB6061" s="259"/>
      <c r="AC6061" s="332"/>
      <c r="AD6061" s="259"/>
      <c r="AE6061" s="259"/>
      <c r="AF6061" s="332"/>
      <c r="AG6061" s="330"/>
      <c r="AJ6061" s="259"/>
      <c r="AK6061" s="259"/>
      <c r="AL6061" s="332"/>
    </row>
    <row r="6062" spans="14:41" hidden="1">
      <c r="N6062" s="302"/>
      <c r="O6062" s="303"/>
      <c r="P6062" s="285"/>
      <c r="Q6062" s="328"/>
      <c r="R6062" s="259"/>
      <c r="S6062" s="259"/>
      <c r="T6062" s="332"/>
      <c r="U6062" s="259"/>
      <c r="V6062" s="259"/>
      <c r="W6062" s="332"/>
      <c r="X6062" s="259"/>
      <c r="Y6062" s="259"/>
      <c r="Z6062" s="332"/>
      <c r="AA6062" s="259"/>
      <c r="AB6062" s="259"/>
      <c r="AC6062" s="332"/>
      <c r="AD6062" s="259"/>
      <c r="AE6062" s="259"/>
      <c r="AF6062" s="332"/>
      <c r="AG6062" s="330"/>
      <c r="AJ6062" s="259"/>
      <c r="AK6062" s="259"/>
      <c r="AL6062" s="332"/>
    </row>
    <row r="6063" spans="14:41" hidden="1">
      <c r="N6063" s="302"/>
      <c r="O6063" s="303"/>
      <c r="P6063" s="285"/>
      <c r="Q6063" s="328"/>
      <c r="R6063" s="259"/>
      <c r="S6063" s="259"/>
      <c r="T6063" s="332"/>
      <c r="U6063" s="259"/>
      <c r="V6063" s="259"/>
      <c r="W6063" s="332"/>
      <c r="X6063" s="259"/>
      <c r="Y6063" s="259"/>
      <c r="Z6063" s="332"/>
      <c r="AA6063" s="259"/>
      <c r="AB6063" s="259"/>
      <c r="AC6063" s="332"/>
      <c r="AD6063" s="259"/>
      <c r="AE6063" s="259"/>
      <c r="AF6063" s="332"/>
      <c r="AG6063" s="330"/>
      <c r="AJ6063" s="259"/>
      <c r="AK6063" s="259"/>
      <c r="AL6063" s="332"/>
    </row>
    <row r="6064" spans="14:41" hidden="1">
      <c r="N6064" s="302"/>
      <c r="O6064" s="303"/>
      <c r="P6064" s="285"/>
      <c r="Q6064" s="328"/>
      <c r="R6064" s="259"/>
      <c r="S6064" s="259"/>
      <c r="T6064" s="332"/>
      <c r="U6064" s="259"/>
      <c r="V6064" s="259"/>
      <c r="W6064" s="332"/>
      <c r="X6064" s="259"/>
      <c r="Y6064" s="259"/>
      <c r="Z6064" s="332"/>
      <c r="AA6064" s="259"/>
      <c r="AB6064" s="259"/>
      <c r="AC6064" s="332"/>
      <c r="AD6064" s="259"/>
      <c r="AE6064" s="259"/>
      <c r="AF6064" s="332"/>
      <c r="AG6064" s="330"/>
      <c r="AJ6064" s="259"/>
      <c r="AK6064" s="259"/>
      <c r="AL6064" s="332"/>
    </row>
    <row r="6065" spans="14:38" hidden="1">
      <c r="N6065" s="302"/>
      <c r="O6065" s="303"/>
      <c r="P6065" s="285"/>
      <c r="Q6065" s="328"/>
      <c r="R6065" s="259"/>
      <c r="S6065" s="259"/>
      <c r="T6065" s="332"/>
      <c r="U6065" s="259"/>
      <c r="V6065" s="259"/>
      <c r="W6065" s="332"/>
      <c r="X6065" s="259"/>
      <c r="Y6065" s="259"/>
      <c r="Z6065" s="332"/>
      <c r="AA6065" s="259"/>
      <c r="AB6065" s="259"/>
      <c r="AC6065" s="332"/>
      <c r="AD6065" s="259"/>
      <c r="AE6065" s="259"/>
      <c r="AF6065" s="332"/>
      <c r="AG6065" s="330"/>
      <c r="AJ6065" s="259"/>
      <c r="AK6065" s="259"/>
      <c r="AL6065" s="332"/>
    </row>
    <row r="6066" spans="14:38" hidden="1">
      <c r="N6066" s="302"/>
      <c r="O6066" s="303"/>
      <c r="P6066" s="285"/>
      <c r="Q6066" s="328"/>
      <c r="R6066" s="259"/>
      <c r="S6066" s="259"/>
      <c r="T6066" s="332"/>
      <c r="U6066" s="259"/>
      <c r="V6066" s="259"/>
      <c r="W6066" s="332"/>
      <c r="X6066" s="259"/>
      <c r="Y6066" s="259"/>
      <c r="Z6066" s="332"/>
      <c r="AA6066" s="259"/>
      <c r="AB6066" s="259"/>
      <c r="AC6066" s="332"/>
      <c r="AD6066" s="259"/>
      <c r="AE6066" s="259"/>
      <c r="AF6066" s="332"/>
      <c r="AG6066" s="330"/>
      <c r="AJ6066" s="259"/>
      <c r="AK6066" s="259"/>
      <c r="AL6066" s="332"/>
    </row>
    <row r="6067" spans="14:38" hidden="1">
      <c r="N6067" s="302"/>
      <c r="O6067" s="303"/>
      <c r="P6067" s="285"/>
      <c r="Q6067" s="328"/>
      <c r="R6067" s="259"/>
      <c r="S6067" s="259"/>
      <c r="T6067" s="332"/>
      <c r="U6067" s="259"/>
      <c r="V6067" s="259"/>
      <c r="W6067" s="332"/>
      <c r="X6067" s="259"/>
      <c r="Y6067" s="259"/>
      <c r="Z6067" s="332"/>
      <c r="AA6067" s="259"/>
      <c r="AB6067" s="259"/>
      <c r="AC6067" s="332"/>
      <c r="AD6067" s="259"/>
      <c r="AE6067" s="259"/>
      <c r="AF6067" s="332"/>
      <c r="AG6067" s="330"/>
      <c r="AJ6067" s="259"/>
      <c r="AK6067" s="259"/>
      <c r="AL6067" s="332"/>
    </row>
    <row r="6068" spans="14:38" hidden="1">
      <c r="N6068" s="302"/>
      <c r="O6068" s="303"/>
      <c r="P6068" s="285"/>
      <c r="Q6068" s="328"/>
      <c r="R6068" s="259"/>
      <c r="S6068" s="259"/>
      <c r="T6068" s="332"/>
      <c r="U6068" s="259"/>
      <c r="V6068" s="259"/>
      <c r="W6068" s="332"/>
      <c r="X6068" s="259"/>
      <c r="Y6068" s="259"/>
      <c r="Z6068" s="332"/>
      <c r="AA6068" s="259"/>
      <c r="AB6068" s="259"/>
      <c r="AC6068" s="332"/>
      <c r="AD6068" s="259"/>
      <c r="AE6068" s="259"/>
      <c r="AF6068" s="332"/>
      <c r="AG6068" s="330"/>
      <c r="AJ6068" s="259"/>
      <c r="AK6068" s="259"/>
      <c r="AL6068" s="332"/>
    </row>
    <row r="6069" spans="14:38" hidden="1">
      <c r="N6069" s="302"/>
      <c r="O6069" s="303"/>
      <c r="P6069" s="285"/>
      <c r="Q6069" s="328"/>
      <c r="R6069" s="259"/>
      <c r="S6069" s="259"/>
      <c r="T6069" s="332"/>
      <c r="U6069" s="259"/>
      <c r="V6069" s="259"/>
      <c r="W6069" s="332"/>
      <c r="X6069" s="259"/>
      <c r="Y6069" s="259"/>
      <c r="Z6069" s="332"/>
      <c r="AA6069" s="259"/>
      <c r="AB6069" s="259"/>
      <c r="AC6069" s="332"/>
      <c r="AD6069" s="259"/>
      <c r="AE6069" s="259"/>
      <c r="AF6069" s="332"/>
      <c r="AG6069" s="330"/>
      <c r="AJ6069" s="259"/>
      <c r="AK6069" s="259"/>
      <c r="AL6069" s="332"/>
    </row>
    <row r="6070" spans="14:38" hidden="1">
      <c r="N6070" s="302"/>
      <c r="O6070" s="303"/>
      <c r="P6070" s="285"/>
      <c r="Q6070" s="328"/>
      <c r="R6070" s="259"/>
      <c r="S6070" s="259"/>
      <c r="T6070" s="332"/>
      <c r="U6070" s="259"/>
      <c r="V6070" s="259"/>
      <c r="W6070" s="332"/>
      <c r="X6070" s="259"/>
      <c r="Y6070" s="259"/>
      <c r="Z6070" s="332"/>
      <c r="AA6070" s="259"/>
      <c r="AB6070" s="259"/>
      <c r="AC6070" s="332"/>
      <c r="AD6070" s="259"/>
      <c r="AE6070" s="259"/>
      <c r="AF6070" s="332"/>
      <c r="AG6070" s="330"/>
      <c r="AJ6070" s="259"/>
      <c r="AK6070" s="259"/>
      <c r="AL6070" s="332"/>
    </row>
    <row r="6071" spans="14:38" hidden="1">
      <c r="N6071" s="302"/>
      <c r="O6071" s="303"/>
      <c r="P6071" s="285"/>
      <c r="Q6071" s="328"/>
      <c r="R6071" s="259"/>
      <c r="S6071" s="259"/>
      <c r="T6071" s="332"/>
      <c r="U6071" s="259"/>
      <c r="V6071" s="259"/>
      <c r="W6071" s="332"/>
      <c r="X6071" s="259"/>
      <c r="Y6071" s="259"/>
      <c r="Z6071" s="332"/>
      <c r="AA6071" s="259"/>
      <c r="AB6071" s="259"/>
      <c r="AC6071" s="332"/>
      <c r="AD6071" s="259"/>
      <c r="AE6071" s="259"/>
      <c r="AF6071" s="332"/>
      <c r="AG6071" s="330"/>
      <c r="AJ6071" s="259"/>
      <c r="AK6071" s="259"/>
      <c r="AL6071" s="332"/>
    </row>
    <row r="6072" spans="14:38" hidden="1">
      <c r="N6072" s="302"/>
      <c r="O6072" s="303"/>
      <c r="P6072" s="285"/>
      <c r="Q6072" s="328"/>
      <c r="R6072" s="259"/>
      <c r="S6072" s="259"/>
      <c r="T6072" s="332"/>
      <c r="U6072" s="259"/>
      <c r="V6072" s="259"/>
      <c r="W6072" s="332"/>
      <c r="X6072" s="259"/>
      <c r="Y6072" s="259"/>
      <c r="Z6072" s="332"/>
      <c r="AA6072" s="259"/>
      <c r="AB6072" s="259"/>
      <c r="AC6072" s="332"/>
      <c r="AD6072" s="259"/>
      <c r="AE6072" s="259"/>
      <c r="AF6072" s="332"/>
      <c r="AG6072" s="330"/>
      <c r="AJ6072" s="259"/>
      <c r="AK6072" s="259"/>
      <c r="AL6072" s="332"/>
    </row>
    <row r="6073" spans="14:38" hidden="1">
      <c r="N6073" s="302"/>
      <c r="O6073" s="303"/>
      <c r="P6073" s="285"/>
      <c r="Q6073" s="328"/>
      <c r="R6073" s="259"/>
      <c r="S6073" s="259"/>
      <c r="T6073" s="332"/>
      <c r="U6073" s="259"/>
      <c r="V6073" s="259"/>
      <c r="W6073" s="332"/>
      <c r="X6073" s="259"/>
      <c r="Y6073" s="259"/>
      <c r="Z6073" s="332"/>
      <c r="AA6073" s="259"/>
      <c r="AB6073" s="259"/>
      <c r="AC6073" s="332"/>
      <c r="AD6073" s="259"/>
      <c r="AE6073" s="259"/>
      <c r="AF6073" s="332"/>
      <c r="AG6073" s="330"/>
      <c r="AJ6073" s="259"/>
      <c r="AK6073" s="259"/>
      <c r="AL6073" s="332"/>
    </row>
    <row r="6074" spans="14:38" hidden="1">
      <c r="N6074" s="302"/>
      <c r="O6074" s="303"/>
      <c r="P6074" s="285"/>
      <c r="Q6074" s="328"/>
      <c r="R6074" s="259"/>
      <c r="S6074" s="259"/>
      <c r="T6074" s="332"/>
      <c r="U6074" s="259"/>
      <c r="V6074" s="259"/>
      <c r="W6074" s="332"/>
      <c r="X6074" s="259"/>
      <c r="Y6074" s="259"/>
      <c r="Z6074" s="332"/>
      <c r="AA6074" s="259"/>
      <c r="AB6074" s="259"/>
      <c r="AC6074" s="332"/>
      <c r="AD6074" s="259"/>
      <c r="AE6074" s="259"/>
      <c r="AF6074" s="332"/>
      <c r="AG6074" s="330"/>
      <c r="AJ6074" s="259"/>
      <c r="AK6074" s="259"/>
      <c r="AL6074" s="332"/>
    </row>
    <row r="6075" spans="14:38" hidden="1">
      <c r="N6075" s="302"/>
      <c r="O6075" s="303"/>
      <c r="P6075" s="285"/>
      <c r="Q6075" s="328"/>
      <c r="R6075" s="259"/>
      <c r="S6075" s="259"/>
      <c r="T6075" s="332"/>
      <c r="U6075" s="259"/>
      <c r="V6075" s="259"/>
      <c r="W6075" s="332"/>
      <c r="X6075" s="259"/>
      <c r="Y6075" s="259"/>
      <c r="Z6075" s="332"/>
      <c r="AA6075" s="259"/>
      <c r="AB6075" s="259"/>
      <c r="AC6075" s="332"/>
      <c r="AD6075" s="259"/>
      <c r="AE6075" s="259"/>
      <c r="AF6075" s="332"/>
      <c r="AG6075" s="330"/>
      <c r="AJ6075" s="259"/>
      <c r="AK6075" s="259"/>
      <c r="AL6075" s="332"/>
    </row>
    <row r="6076" spans="14:38" hidden="1">
      <c r="N6076" s="302"/>
      <c r="O6076" s="303"/>
      <c r="P6076" s="285"/>
      <c r="Q6076" s="328"/>
      <c r="R6076" s="259"/>
      <c r="S6076" s="259"/>
      <c r="T6076" s="332"/>
      <c r="U6076" s="259"/>
      <c r="V6076" s="259"/>
      <c r="W6076" s="332"/>
      <c r="X6076" s="259"/>
      <c r="Y6076" s="259"/>
      <c r="Z6076" s="332"/>
      <c r="AA6076" s="259"/>
      <c r="AB6076" s="259"/>
      <c r="AC6076" s="332"/>
      <c r="AD6076" s="259"/>
      <c r="AE6076" s="259"/>
      <c r="AF6076" s="332"/>
      <c r="AG6076" s="330"/>
      <c r="AJ6076" s="259"/>
      <c r="AK6076" s="259"/>
      <c r="AL6076" s="332"/>
    </row>
    <row r="6077" spans="14:38" hidden="1">
      <c r="N6077" s="302"/>
      <c r="O6077" s="303"/>
      <c r="P6077" s="285"/>
      <c r="Q6077" s="328"/>
      <c r="R6077" s="259"/>
      <c r="S6077" s="259"/>
      <c r="T6077" s="332"/>
      <c r="U6077" s="259"/>
      <c r="V6077" s="259"/>
      <c r="W6077" s="332"/>
      <c r="X6077" s="259"/>
      <c r="Y6077" s="259"/>
      <c r="Z6077" s="332"/>
      <c r="AA6077" s="259"/>
      <c r="AB6077" s="259"/>
      <c r="AC6077" s="332"/>
      <c r="AD6077" s="259"/>
      <c r="AE6077" s="259"/>
      <c r="AF6077" s="332"/>
      <c r="AG6077" s="330"/>
      <c r="AJ6077" s="259"/>
      <c r="AK6077" s="259"/>
      <c r="AL6077" s="332"/>
    </row>
    <row r="6078" spans="14:38" hidden="1">
      <c r="N6078" s="302"/>
      <c r="O6078" s="303"/>
      <c r="P6078" s="285"/>
      <c r="Q6078" s="328"/>
      <c r="R6078" s="259"/>
      <c r="S6078" s="259"/>
      <c r="T6078" s="332"/>
      <c r="U6078" s="259"/>
      <c r="V6078" s="259"/>
      <c r="W6078" s="332"/>
      <c r="X6078" s="259"/>
      <c r="Y6078" s="259"/>
      <c r="Z6078" s="332"/>
      <c r="AA6078" s="259"/>
      <c r="AB6078" s="259"/>
      <c r="AC6078" s="332"/>
      <c r="AD6078" s="259"/>
      <c r="AE6078" s="259"/>
      <c r="AF6078" s="332"/>
      <c r="AG6078" s="330"/>
      <c r="AJ6078" s="259"/>
      <c r="AK6078" s="259"/>
      <c r="AL6078" s="332"/>
    </row>
    <row r="6079" spans="14:38" hidden="1">
      <c r="N6079" s="302"/>
      <c r="O6079" s="303"/>
      <c r="P6079" s="285"/>
      <c r="Q6079" s="328"/>
      <c r="R6079" s="259"/>
      <c r="S6079" s="259"/>
      <c r="T6079" s="332"/>
      <c r="U6079" s="259"/>
      <c r="V6079" s="259"/>
      <c r="W6079" s="332"/>
      <c r="X6079" s="259"/>
      <c r="Y6079" s="259"/>
      <c r="Z6079" s="332"/>
      <c r="AA6079" s="259"/>
      <c r="AB6079" s="259"/>
      <c r="AC6079" s="332"/>
      <c r="AD6079" s="259"/>
      <c r="AE6079" s="259"/>
      <c r="AF6079" s="332"/>
      <c r="AG6079" s="330"/>
      <c r="AJ6079" s="259"/>
      <c r="AK6079" s="259"/>
      <c r="AL6079" s="332"/>
    </row>
    <row r="6080" spans="14:38" hidden="1">
      <c r="N6080" s="302"/>
      <c r="O6080" s="303"/>
      <c r="P6080" s="285"/>
      <c r="Q6080" s="328"/>
      <c r="R6080" s="259"/>
      <c r="S6080" s="259"/>
      <c r="T6080" s="332"/>
      <c r="U6080" s="259"/>
      <c r="V6080" s="259"/>
      <c r="W6080" s="332"/>
      <c r="X6080" s="259"/>
      <c r="Y6080" s="259"/>
      <c r="Z6080" s="332"/>
      <c r="AA6080" s="259"/>
      <c r="AB6080" s="259"/>
      <c r="AC6080" s="332"/>
      <c r="AD6080" s="259"/>
      <c r="AE6080" s="259"/>
      <c r="AF6080" s="332"/>
      <c r="AG6080" s="330"/>
      <c r="AJ6080" s="259"/>
      <c r="AK6080" s="259"/>
      <c r="AL6080" s="332"/>
    </row>
    <row r="6081" spans="14:38" hidden="1">
      <c r="N6081" s="302"/>
      <c r="O6081" s="303"/>
      <c r="P6081" s="285"/>
      <c r="Q6081" s="328"/>
      <c r="R6081" s="259"/>
      <c r="S6081" s="259"/>
      <c r="T6081" s="332"/>
      <c r="U6081" s="259"/>
      <c r="V6081" s="259"/>
      <c r="W6081" s="332"/>
      <c r="X6081" s="259"/>
      <c r="Y6081" s="259"/>
      <c r="Z6081" s="332"/>
      <c r="AA6081" s="259"/>
      <c r="AB6081" s="259"/>
      <c r="AC6081" s="332"/>
      <c r="AD6081" s="259"/>
      <c r="AE6081" s="259"/>
      <c r="AF6081" s="332"/>
      <c r="AG6081" s="330"/>
      <c r="AJ6081" s="259"/>
      <c r="AK6081" s="259"/>
      <c r="AL6081" s="332"/>
    </row>
    <row r="6082" spans="14:38" hidden="1">
      <c r="N6082" s="302"/>
      <c r="O6082" s="303"/>
      <c r="P6082" s="285"/>
      <c r="Q6082" s="328"/>
      <c r="R6082" s="259"/>
      <c r="S6082" s="259"/>
      <c r="T6082" s="332"/>
      <c r="U6082" s="259"/>
      <c r="V6082" s="259"/>
      <c r="W6082" s="332"/>
      <c r="X6082" s="259"/>
      <c r="Y6082" s="259"/>
      <c r="Z6082" s="332"/>
      <c r="AA6082" s="259"/>
      <c r="AB6082" s="259"/>
      <c r="AC6082" s="332"/>
      <c r="AD6082" s="259"/>
      <c r="AE6082" s="259"/>
      <c r="AF6082" s="332"/>
      <c r="AG6082" s="330"/>
      <c r="AJ6082" s="259"/>
      <c r="AK6082" s="259"/>
      <c r="AL6082" s="332"/>
    </row>
    <row r="6083" spans="14:38" hidden="1">
      <c r="N6083" s="302"/>
      <c r="O6083" s="303"/>
      <c r="P6083" s="285"/>
      <c r="Q6083" s="328"/>
      <c r="R6083" s="259"/>
      <c r="S6083" s="259"/>
      <c r="T6083" s="332"/>
      <c r="U6083" s="259"/>
      <c r="V6083" s="259"/>
      <c r="W6083" s="332"/>
      <c r="X6083" s="259"/>
      <c r="Y6083" s="259"/>
      <c r="Z6083" s="332"/>
      <c r="AA6083" s="259"/>
      <c r="AB6083" s="259"/>
      <c r="AC6083" s="332"/>
      <c r="AD6083" s="259"/>
      <c r="AE6083" s="259"/>
      <c r="AF6083" s="332"/>
      <c r="AG6083" s="330"/>
      <c r="AJ6083" s="259"/>
      <c r="AK6083" s="259"/>
      <c r="AL6083" s="332"/>
    </row>
    <row r="6084" spans="14:38" hidden="1">
      <c r="N6084" s="302"/>
      <c r="O6084" s="303"/>
      <c r="P6084" s="285"/>
      <c r="Q6084" s="328"/>
      <c r="R6084" s="259"/>
      <c r="S6084" s="259"/>
      <c r="T6084" s="332"/>
      <c r="U6084" s="259"/>
      <c r="V6084" s="259"/>
      <c r="W6084" s="332"/>
      <c r="X6084" s="259"/>
      <c r="Y6084" s="259"/>
      <c r="Z6084" s="332"/>
      <c r="AA6084" s="259"/>
      <c r="AB6084" s="259"/>
      <c r="AC6084" s="332"/>
      <c r="AD6084" s="259"/>
      <c r="AE6084" s="259"/>
      <c r="AF6084" s="332"/>
      <c r="AG6084" s="330"/>
      <c r="AJ6084" s="259"/>
      <c r="AK6084" s="259"/>
      <c r="AL6084" s="332"/>
    </row>
    <row r="6085" spans="14:38" hidden="1">
      <c r="N6085" s="302"/>
      <c r="O6085" s="303"/>
      <c r="P6085" s="285"/>
      <c r="Q6085" s="328"/>
      <c r="R6085" s="259"/>
      <c r="S6085" s="259"/>
      <c r="T6085" s="332"/>
      <c r="U6085" s="259"/>
      <c r="V6085" s="259"/>
      <c r="W6085" s="332"/>
      <c r="X6085" s="259"/>
      <c r="Y6085" s="259"/>
      <c r="Z6085" s="332"/>
      <c r="AA6085" s="259"/>
      <c r="AB6085" s="259"/>
      <c r="AC6085" s="332"/>
      <c r="AD6085" s="259"/>
      <c r="AE6085" s="259"/>
      <c r="AF6085" s="332"/>
      <c r="AG6085" s="330"/>
      <c r="AJ6085" s="259"/>
      <c r="AK6085" s="259"/>
      <c r="AL6085" s="332"/>
    </row>
    <row r="6086" spans="14:38" hidden="1">
      <c r="N6086" s="302"/>
      <c r="O6086" s="303"/>
      <c r="P6086" s="285"/>
      <c r="Q6086" s="328"/>
      <c r="R6086" s="259"/>
      <c r="S6086" s="259"/>
      <c r="T6086" s="332"/>
      <c r="U6086" s="259"/>
      <c r="V6086" s="259"/>
      <c r="W6086" s="332"/>
      <c r="X6086" s="259"/>
      <c r="Y6086" s="259"/>
      <c r="Z6086" s="332"/>
      <c r="AA6086" s="259"/>
      <c r="AB6086" s="259"/>
      <c r="AC6086" s="332"/>
      <c r="AD6086" s="259"/>
      <c r="AE6086" s="259"/>
      <c r="AF6086" s="332"/>
      <c r="AG6086" s="330"/>
      <c r="AJ6086" s="259"/>
      <c r="AK6086" s="259"/>
      <c r="AL6086" s="332"/>
    </row>
    <row r="6087" spans="14:38" hidden="1">
      <c r="N6087" s="302"/>
      <c r="O6087" s="303"/>
      <c r="P6087" s="285"/>
      <c r="Q6087" s="328"/>
      <c r="R6087" s="259"/>
      <c r="S6087" s="259"/>
      <c r="T6087" s="332"/>
      <c r="U6087" s="259"/>
      <c r="V6087" s="259"/>
      <c r="W6087" s="332"/>
      <c r="X6087" s="259"/>
      <c r="Y6087" s="259"/>
      <c r="Z6087" s="332"/>
      <c r="AA6087" s="259"/>
      <c r="AB6087" s="259"/>
      <c r="AC6087" s="332"/>
      <c r="AD6087" s="259"/>
      <c r="AE6087" s="259"/>
      <c r="AF6087" s="332"/>
      <c r="AG6087" s="330"/>
      <c r="AJ6087" s="259"/>
      <c r="AK6087" s="259"/>
      <c r="AL6087" s="332"/>
    </row>
    <row r="6088" spans="14:38" hidden="1">
      <c r="N6088" s="302"/>
      <c r="O6088" s="303"/>
      <c r="P6088" s="285"/>
      <c r="Q6088" s="328"/>
      <c r="R6088" s="259"/>
      <c r="S6088" s="259"/>
      <c r="T6088" s="332"/>
      <c r="U6088" s="259"/>
      <c r="V6088" s="259"/>
      <c r="W6088" s="332"/>
      <c r="X6088" s="259"/>
      <c r="Y6088" s="259"/>
      <c r="Z6088" s="332"/>
      <c r="AA6088" s="259"/>
      <c r="AB6088" s="259"/>
      <c r="AC6088" s="332"/>
      <c r="AD6088" s="259"/>
      <c r="AE6088" s="259"/>
      <c r="AF6088" s="332"/>
      <c r="AG6088" s="330"/>
      <c r="AJ6088" s="259"/>
      <c r="AK6088" s="259"/>
      <c r="AL6088" s="332"/>
    </row>
    <row r="6089" spans="14:38" hidden="1">
      <c r="N6089" s="302"/>
      <c r="O6089" s="303"/>
      <c r="P6089" s="285"/>
      <c r="Q6089" s="328"/>
      <c r="R6089" s="259"/>
      <c r="S6089" s="259"/>
      <c r="T6089" s="332"/>
      <c r="U6089" s="259"/>
      <c r="V6089" s="259"/>
      <c r="W6089" s="332"/>
      <c r="X6089" s="259"/>
      <c r="Y6089" s="259"/>
      <c r="Z6089" s="332"/>
      <c r="AA6089" s="259"/>
      <c r="AB6089" s="259"/>
      <c r="AC6089" s="332"/>
      <c r="AD6089" s="259"/>
      <c r="AE6089" s="259"/>
      <c r="AF6089" s="332"/>
      <c r="AG6089" s="330"/>
      <c r="AJ6089" s="259"/>
      <c r="AK6089" s="259"/>
      <c r="AL6089" s="332"/>
    </row>
    <row r="6090" spans="14:38" hidden="1">
      <c r="N6090" s="302"/>
      <c r="O6090" s="303"/>
      <c r="P6090" s="285"/>
      <c r="Q6090" s="328"/>
      <c r="R6090" s="259"/>
      <c r="S6090" s="259"/>
      <c r="T6090" s="332"/>
      <c r="U6090" s="259"/>
      <c r="V6090" s="259"/>
      <c r="W6090" s="332"/>
      <c r="X6090" s="259"/>
      <c r="Y6090" s="259"/>
      <c r="Z6090" s="332"/>
      <c r="AA6090" s="259"/>
      <c r="AB6090" s="259"/>
      <c r="AC6090" s="332"/>
      <c r="AD6090" s="259"/>
      <c r="AE6090" s="259"/>
      <c r="AF6090" s="332"/>
      <c r="AG6090" s="330"/>
      <c r="AJ6090" s="259"/>
      <c r="AK6090" s="259"/>
      <c r="AL6090" s="332"/>
    </row>
    <row r="6091" spans="14:38" hidden="1">
      <c r="N6091" s="302"/>
      <c r="O6091" s="303"/>
      <c r="P6091" s="285"/>
      <c r="Q6091" s="328"/>
      <c r="R6091" s="259"/>
      <c r="S6091" s="259"/>
      <c r="T6091" s="332"/>
      <c r="U6091" s="259"/>
      <c r="V6091" s="259"/>
      <c r="W6091" s="332"/>
      <c r="X6091" s="259"/>
      <c r="Y6091" s="259"/>
      <c r="Z6091" s="332"/>
      <c r="AA6091" s="259"/>
      <c r="AB6091" s="259"/>
      <c r="AC6091" s="332"/>
      <c r="AD6091" s="259"/>
      <c r="AE6091" s="259"/>
      <c r="AF6091" s="332"/>
      <c r="AG6091" s="330"/>
      <c r="AJ6091" s="259"/>
      <c r="AK6091" s="259"/>
      <c r="AL6091" s="332"/>
    </row>
    <row r="6092" spans="14:38" hidden="1">
      <c r="N6092" s="302"/>
      <c r="O6092" s="303"/>
      <c r="P6092" s="285"/>
      <c r="Q6092" s="328"/>
      <c r="R6092" s="259"/>
      <c r="S6092" s="259"/>
      <c r="T6092" s="332"/>
      <c r="U6092" s="259"/>
      <c r="V6092" s="259"/>
      <c r="W6092" s="332"/>
      <c r="X6092" s="259"/>
      <c r="Y6092" s="259"/>
      <c r="Z6092" s="332"/>
      <c r="AA6092" s="259"/>
      <c r="AB6092" s="259"/>
      <c r="AC6092" s="332"/>
      <c r="AD6092" s="259"/>
      <c r="AE6092" s="259"/>
      <c r="AF6092" s="332"/>
      <c r="AG6092" s="330"/>
      <c r="AJ6092" s="259"/>
      <c r="AK6092" s="259"/>
      <c r="AL6092" s="332"/>
    </row>
    <row r="6093" spans="14:38" hidden="1">
      <c r="N6093" s="302"/>
      <c r="O6093" s="303"/>
      <c r="P6093" s="285"/>
      <c r="Q6093" s="328"/>
      <c r="R6093" s="259"/>
      <c r="S6093" s="259"/>
      <c r="T6093" s="332"/>
      <c r="U6093" s="259"/>
      <c r="V6093" s="259"/>
      <c r="W6093" s="332"/>
      <c r="X6093" s="259"/>
      <c r="Y6093" s="259"/>
      <c r="Z6093" s="332"/>
      <c r="AA6093" s="259"/>
      <c r="AB6093" s="259"/>
      <c r="AC6093" s="332"/>
      <c r="AD6093" s="259"/>
      <c r="AE6093" s="259"/>
      <c r="AF6093" s="332"/>
      <c r="AG6093" s="330"/>
      <c r="AJ6093" s="259"/>
      <c r="AK6093" s="259"/>
      <c r="AL6093" s="332"/>
    </row>
    <row r="6094" spans="14:38" hidden="1">
      <c r="N6094" s="302"/>
      <c r="O6094" s="303"/>
      <c r="P6094" s="285"/>
      <c r="Q6094" s="328"/>
      <c r="R6094" s="259"/>
      <c r="S6094" s="259"/>
      <c r="T6094" s="332"/>
      <c r="U6094" s="259"/>
      <c r="V6094" s="259"/>
      <c r="W6094" s="332"/>
      <c r="X6094" s="259"/>
      <c r="Y6094" s="259"/>
      <c r="Z6094" s="332"/>
      <c r="AA6094" s="259"/>
      <c r="AB6094" s="259"/>
      <c r="AC6094" s="332"/>
      <c r="AD6094" s="259"/>
      <c r="AE6094" s="259"/>
      <c r="AF6094" s="332"/>
      <c r="AG6094" s="330"/>
      <c r="AJ6094" s="259"/>
      <c r="AK6094" s="259"/>
      <c r="AL6094" s="332"/>
    </row>
    <row r="6095" spans="14:38" hidden="1">
      <c r="N6095" s="302"/>
      <c r="O6095" s="303"/>
      <c r="P6095" s="285"/>
      <c r="Q6095" s="328"/>
      <c r="R6095" s="259"/>
      <c r="S6095" s="259"/>
      <c r="T6095" s="332"/>
      <c r="U6095" s="259"/>
      <c r="V6095" s="259"/>
      <c r="W6095" s="332"/>
      <c r="X6095" s="259"/>
      <c r="Y6095" s="259"/>
      <c r="Z6095" s="332"/>
      <c r="AA6095" s="259"/>
      <c r="AB6095" s="259"/>
      <c r="AC6095" s="332"/>
      <c r="AD6095" s="259"/>
      <c r="AE6095" s="259"/>
      <c r="AF6095" s="332"/>
      <c r="AG6095" s="330"/>
      <c r="AJ6095" s="259"/>
      <c r="AK6095" s="259"/>
      <c r="AL6095" s="332"/>
    </row>
    <row r="6096" spans="14:38" hidden="1">
      <c r="N6096" s="302"/>
      <c r="O6096" s="303"/>
      <c r="P6096" s="285"/>
      <c r="Q6096" s="328"/>
      <c r="R6096" s="259"/>
      <c r="S6096" s="259"/>
      <c r="T6096" s="332"/>
      <c r="U6096" s="259"/>
      <c r="V6096" s="259"/>
      <c r="W6096" s="332"/>
      <c r="X6096" s="259"/>
      <c r="Y6096" s="259"/>
      <c r="Z6096" s="332"/>
      <c r="AA6096" s="259"/>
      <c r="AB6096" s="259"/>
      <c r="AC6096" s="332"/>
      <c r="AD6096" s="259"/>
      <c r="AE6096" s="259"/>
      <c r="AF6096" s="332"/>
      <c r="AG6096" s="330"/>
      <c r="AJ6096" s="259"/>
      <c r="AK6096" s="259"/>
      <c r="AL6096" s="332"/>
    </row>
    <row r="6097" spans="14:38" hidden="1">
      <c r="N6097" s="302"/>
      <c r="O6097" s="303"/>
      <c r="P6097" s="285"/>
      <c r="Q6097" s="328"/>
      <c r="R6097" s="259"/>
      <c r="S6097" s="259"/>
      <c r="T6097" s="332"/>
      <c r="U6097" s="259"/>
      <c r="V6097" s="259"/>
      <c r="W6097" s="332"/>
      <c r="X6097" s="259"/>
      <c r="Y6097" s="259"/>
      <c r="Z6097" s="332"/>
      <c r="AA6097" s="259"/>
      <c r="AB6097" s="259"/>
      <c r="AC6097" s="332"/>
      <c r="AD6097" s="259"/>
      <c r="AE6097" s="259"/>
      <c r="AF6097" s="332"/>
      <c r="AG6097" s="330"/>
      <c r="AJ6097" s="259"/>
      <c r="AK6097" s="259"/>
      <c r="AL6097" s="332"/>
    </row>
    <row r="6098" spans="14:38" hidden="1">
      <c r="N6098" s="302"/>
      <c r="O6098" s="303"/>
      <c r="P6098" s="285"/>
      <c r="Q6098" s="328"/>
      <c r="R6098" s="259"/>
      <c r="S6098" s="259"/>
      <c r="T6098" s="332"/>
      <c r="U6098" s="259"/>
      <c r="V6098" s="259"/>
      <c r="W6098" s="332"/>
      <c r="X6098" s="259"/>
      <c r="Y6098" s="259"/>
      <c r="Z6098" s="332"/>
      <c r="AA6098" s="259"/>
      <c r="AB6098" s="259"/>
      <c r="AC6098" s="332"/>
      <c r="AD6098" s="259"/>
      <c r="AE6098" s="259"/>
      <c r="AF6098" s="332"/>
      <c r="AG6098" s="330"/>
      <c r="AJ6098" s="259"/>
      <c r="AK6098" s="259"/>
      <c r="AL6098" s="332"/>
    </row>
    <row r="6099" spans="14:38" hidden="1">
      <c r="N6099" s="302"/>
      <c r="O6099" s="303"/>
      <c r="P6099" s="285"/>
      <c r="Q6099" s="328"/>
      <c r="R6099" s="259"/>
      <c r="S6099" s="259"/>
      <c r="T6099" s="332"/>
      <c r="U6099" s="259"/>
      <c r="V6099" s="259"/>
      <c r="W6099" s="332"/>
      <c r="X6099" s="259"/>
      <c r="Y6099" s="259"/>
      <c r="Z6099" s="332"/>
      <c r="AA6099" s="259"/>
      <c r="AB6099" s="259"/>
      <c r="AC6099" s="332"/>
      <c r="AD6099" s="259"/>
      <c r="AE6099" s="259"/>
      <c r="AF6099" s="332"/>
      <c r="AG6099" s="330"/>
      <c r="AJ6099" s="259"/>
      <c r="AK6099" s="259"/>
      <c r="AL6099" s="332"/>
    </row>
    <row r="6100" spans="14:38" hidden="1">
      <c r="N6100" s="302"/>
      <c r="O6100" s="303"/>
      <c r="P6100" s="285"/>
      <c r="Q6100" s="328"/>
      <c r="R6100" s="259"/>
      <c r="S6100" s="259"/>
      <c r="T6100" s="332"/>
      <c r="U6100" s="259"/>
      <c r="V6100" s="259"/>
      <c r="W6100" s="332"/>
      <c r="X6100" s="259"/>
      <c r="Y6100" s="259"/>
      <c r="Z6100" s="332"/>
      <c r="AA6100" s="259"/>
      <c r="AB6100" s="259"/>
      <c r="AC6100" s="332"/>
      <c r="AD6100" s="259"/>
      <c r="AE6100" s="259"/>
      <c r="AF6100" s="332"/>
      <c r="AG6100" s="330"/>
      <c r="AJ6100" s="259"/>
      <c r="AK6100" s="259"/>
      <c r="AL6100" s="332"/>
    </row>
    <row r="6101" spans="14:38" hidden="1">
      <c r="N6101" s="302"/>
      <c r="O6101" s="303"/>
      <c r="P6101" s="285"/>
      <c r="Q6101" s="328"/>
      <c r="R6101" s="259"/>
      <c r="S6101" s="259"/>
      <c r="T6101" s="332"/>
      <c r="U6101" s="259"/>
      <c r="V6101" s="259"/>
      <c r="W6101" s="332"/>
      <c r="X6101" s="259"/>
      <c r="Y6101" s="259"/>
      <c r="Z6101" s="332"/>
      <c r="AA6101" s="259"/>
      <c r="AB6101" s="259"/>
      <c r="AC6101" s="332"/>
      <c r="AD6101" s="259"/>
      <c r="AE6101" s="259"/>
      <c r="AF6101" s="332"/>
      <c r="AG6101" s="330"/>
      <c r="AJ6101" s="259"/>
      <c r="AK6101" s="259"/>
      <c r="AL6101" s="332"/>
    </row>
    <row r="6102" spans="14:38" hidden="1">
      <c r="N6102" s="302"/>
      <c r="O6102" s="303"/>
      <c r="P6102" s="285"/>
      <c r="Q6102" s="328"/>
      <c r="R6102" s="259"/>
      <c r="S6102" s="259"/>
      <c r="T6102" s="332"/>
      <c r="U6102" s="259"/>
      <c r="V6102" s="259"/>
      <c r="W6102" s="332"/>
      <c r="X6102" s="259"/>
      <c r="Y6102" s="259"/>
      <c r="Z6102" s="332"/>
      <c r="AA6102" s="259"/>
      <c r="AB6102" s="259"/>
      <c r="AC6102" s="332"/>
      <c r="AD6102" s="259"/>
      <c r="AE6102" s="259"/>
      <c r="AF6102" s="332"/>
      <c r="AG6102" s="330"/>
      <c r="AJ6102" s="259"/>
      <c r="AK6102" s="259"/>
      <c r="AL6102" s="332"/>
    </row>
    <row r="6103" spans="14:38" hidden="1">
      <c r="N6103" s="302"/>
      <c r="O6103" s="303"/>
      <c r="P6103" s="285"/>
      <c r="Q6103" s="328"/>
      <c r="R6103" s="259"/>
      <c r="S6103" s="259"/>
      <c r="T6103" s="332"/>
      <c r="U6103" s="259"/>
      <c r="V6103" s="259"/>
      <c r="W6103" s="332"/>
      <c r="X6103" s="259"/>
      <c r="Y6103" s="259"/>
      <c r="Z6103" s="332"/>
      <c r="AA6103" s="259"/>
      <c r="AB6103" s="259"/>
      <c r="AC6103" s="332"/>
      <c r="AD6103" s="259"/>
      <c r="AE6103" s="259"/>
      <c r="AF6103" s="332"/>
      <c r="AG6103" s="330"/>
      <c r="AJ6103" s="259"/>
      <c r="AK6103" s="259"/>
      <c r="AL6103" s="332"/>
    </row>
    <row r="6104" spans="14:38">
      <c r="N6104" s="302"/>
      <c r="O6104" s="303"/>
      <c r="P6104" s="285"/>
      <c r="Q6104" s="328"/>
      <c r="R6104" s="259"/>
      <c r="S6104" s="259"/>
      <c r="T6104" s="332"/>
      <c r="U6104" s="259"/>
      <c r="V6104" s="259"/>
      <c r="W6104" s="332"/>
      <c r="X6104" s="259"/>
      <c r="Y6104" s="259"/>
      <c r="Z6104" s="332"/>
      <c r="AA6104" s="259"/>
      <c r="AB6104" s="259"/>
      <c r="AC6104" s="332"/>
      <c r="AD6104" s="259"/>
      <c r="AE6104" s="259"/>
      <c r="AF6104" s="332"/>
      <c r="AG6104" s="330"/>
      <c r="AJ6104" s="259"/>
      <c r="AK6104" s="259"/>
      <c r="AL6104" s="332"/>
    </row>
    <row r="6105" spans="14:38" ht="12" customHeight="1">
      <c r="N6105" s="283"/>
      <c r="O6105" s="215"/>
      <c r="P6105" s="286"/>
      <c r="Q6105" s="329"/>
      <c r="R6105" s="259"/>
      <c r="S6105" s="259"/>
      <c r="T6105" s="332"/>
      <c r="U6105" s="259"/>
      <c r="V6105" s="259"/>
      <c r="W6105" s="332"/>
      <c r="X6105" s="259"/>
      <c r="Y6105" s="259"/>
      <c r="Z6105" s="332"/>
      <c r="AA6105" s="259"/>
      <c r="AB6105" s="259"/>
      <c r="AC6105" s="332"/>
      <c r="AD6105" s="259"/>
      <c r="AE6105" s="259"/>
      <c r="AF6105" s="332"/>
      <c r="AG6105" s="331"/>
      <c r="AJ6105" s="259"/>
      <c r="AK6105" s="259"/>
      <c r="AL6105" s="332"/>
    </row>
    <row r="6106" spans="14:38">
      <c r="N6106" s="199"/>
      <c r="O6106" s="48"/>
      <c r="P6106" s="121"/>
      <c r="Q6106" s="54"/>
      <c r="R6106" s="54"/>
      <c r="S6106" s="54"/>
      <c r="U6106" s="54"/>
      <c r="V6106" s="54"/>
      <c r="X6106" s="54"/>
      <c r="Y6106" s="54"/>
      <c r="AA6106" s="54"/>
      <c r="AB6106" s="54"/>
      <c r="AD6106" s="54"/>
      <c r="AE6106" s="54"/>
      <c r="AG6106" s="54"/>
      <c r="AJ6106" s="54"/>
      <c r="AK6106" s="54"/>
    </row>
    <row r="6107" spans="14:38" ht="26.25" customHeight="1">
      <c r="R6107"/>
      <c r="S6107"/>
      <c r="T6107"/>
      <c r="U6107" s="815" t="s">
        <v>309</v>
      </c>
      <c r="V6107" s="815"/>
      <c r="W6107" s="815"/>
      <c r="X6107" s="815" t="s">
        <v>308</v>
      </c>
      <c r="Y6107" s="815"/>
      <c r="Z6107" s="815"/>
      <c r="AA6107" s="815" t="s">
        <v>310</v>
      </c>
      <c r="AB6107" s="815"/>
      <c r="AC6107" s="815"/>
      <c r="AD6107" s="815" t="s">
        <v>311</v>
      </c>
      <c r="AE6107" s="815"/>
      <c r="AF6107" s="815"/>
      <c r="AJ6107" s="815" t="s">
        <v>312</v>
      </c>
      <c r="AK6107" s="815"/>
      <c r="AL6107" s="815"/>
    </row>
    <row r="6109" spans="14:38" hidden="1"/>
    <row r="6110" spans="14:38" hidden="1"/>
    <row r="6111" spans="14:38" hidden="1"/>
    <row r="6112" spans="14:38"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spans="14:38" hidden="1"/>
    <row r="6194" spans="14:38" hidden="1"/>
    <row r="6195" spans="14:38" hidden="1"/>
    <row r="6200" spans="14:38">
      <c r="R6200" s="795" t="s">
        <v>373</v>
      </c>
      <c r="S6200" s="795"/>
      <c r="T6200" s="795"/>
      <c r="U6200" s="795" t="s">
        <v>374</v>
      </c>
      <c r="V6200" s="795"/>
      <c r="W6200" s="795"/>
      <c r="X6200" s="795" t="s">
        <v>375</v>
      </c>
      <c r="Y6200" s="795"/>
      <c r="Z6200" s="795"/>
      <c r="AA6200" s="795" t="s">
        <v>376</v>
      </c>
      <c r="AB6200" s="795"/>
      <c r="AC6200" s="795"/>
      <c r="AD6200" s="795" t="s">
        <v>377</v>
      </c>
      <c r="AE6200" s="795"/>
      <c r="AF6200" s="795"/>
      <c r="AG6200" s="795" t="s">
        <v>378</v>
      </c>
      <c r="AH6200" s="795"/>
      <c r="AI6200" s="795"/>
      <c r="AJ6200" s="795" t="s">
        <v>379</v>
      </c>
      <c r="AK6200" s="795"/>
      <c r="AL6200" s="795"/>
    </row>
    <row r="6201" spans="14:38">
      <c r="Q6201" s="316"/>
      <c r="R6201" s="795" t="s">
        <v>380</v>
      </c>
      <c r="S6201" s="795"/>
      <c r="T6201" s="795"/>
      <c r="U6201" s="795" t="s">
        <v>381</v>
      </c>
      <c r="V6201" s="795"/>
      <c r="W6201" s="795"/>
      <c r="X6201" s="795" t="s">
        <v>382</v>
      </c>
      <c r="Y6201" s="795"/>
      <c r="Z6201" s="795"/>
      <c r="AA6201" s="795" t="s">
        <v>383</v>
      </c>
      <c r="AB6201" s="795"/>
      <c r="AC6201" s="795"/>
    </row>
    <row r="6202" spans="14:38" ht="11.25" customHeight="1">
      <c r="N6202" s="430" t="s">
        <v>1742</v>
      </c>
      <c r="O6202" s="315"/>
      <c r="P6202" s="309"/>
      <c r="Q6202" s="311"/>
      <c r="R6202" s="624"/>
      <c r="S6202" s="624"/>
      <c r="T6202" s="624"/>
      <c r="U6202" s="624"/>
      <c r="V6202" s="624"/>
      <c r="W6202" s="624"/>
      <c r="X6202" s="624"/>
      <c r="Y6202" s="624"/>
      <c r="Z6202" s="624"/>
      <c r="AA6202" s="624"/>
      <c r="AB6202" s="624"/>
      <c r="AC6202" s="624"/>
      <c r="AD6202"/>
      <c r="AE6202"/>
      <c r="AF6202"/>
      <c r="AG6202"/>
      <c r="AH6202"/>
      <c r="AI6202"/>
    </row>
    <row r="6203" spans="14:38" ht="11.25" customHeight="1">
      <c r="N6203" s="811"/>
      <c r="O6203" s="812"/>
      <c r="P6203" s="813"/>
      <c r="Q6203" s="317"/>
      <c r="R6203" s="625" t="str">
        <f>R6205 &amp; ".1"</f>
        <v>.1</v>
      </c>
      <c r="S6203" s="625" t="str">
        <f>R6205 &amp; ".2"</f>
        <v>.2</v>
      </c>
      <c r="T6203" s="625" t="str">
        <f>R6205 &amp; ".0"</f>
        <v>.0</v>
      </c>
      <c r="U6203" s="625" t="str">
        <f>U6205 &amp; ".1"</f>
        <v>.1</v>
      </c>
      <c r="V6203" s="625" t="str">
        <f>U6205 &amp; ".2"</f>
        <v>.2</v>
      </c>
      <c r="W6203" s="625" t="str">
        <f>U6205 &amp; ".0"</f>
        <v>.0</v>
      </c>
      <c r="X6203" s="625" t="str">
        <f>X6205 &amp; ".1"</f>
        <v>.1</v>
      </c>
      <c r="Y6203" s="625" t="str">
        <f>X6205 &amp; ".2"</f>
        <v>.2</v>
      </c>
      <c r="Z6203" s="625" t="str">
        <f>X6205 &amp; ".0"</f>
        <v>.0</v>
      </c>
      <c r="AA6203" s="625" t="str">
        <f>AA6205 &amp; ".1"</f>
        <v>.1</v>
      </c>
      <c r="AB6203" s="625" t="str">
        <f>AA6205 &amp; ".2"</f>
        <v>.2</v>
      </c>
      <c r="AC6203" s="625" t="str">
        <f>AA6205 &amp; ".0"</f>
        <v>.0</v>
      </c>
      <c r="AD6203"/>
      <c r="AE6203"/>
      <c r="AF6203"/>
      <c r="AG6203"/>
      <c r="AH6203"/>
      <c r="AI6203"/>
    </row>
    <row r="6204" spans="14:38" ht="11.25" customHeight="1">
      <c r="N6204" s="430" t="s">
        <v>1742</v>
      </c>
      <c r="O6204" s="221"/>
      <c r="P6204" s="122" t="s">
        <v>786</v>
      </c>
      <c r="Q6204" s="201"/>
      <c r="R6204" s="814" t="s">
        <v>719</v>
      </c>
      <c r="S6204" s="814"/>
      <c r="T6204" s="814"/>
      <c r="U6204" s="814" t="s">
        <v>719</v>
      </c>
      <c r="V6204" s="814"/>
      <c r="W6204" s="814"/>
      <c r="X6204" s="814" t="s">
        <v>719</v>
      </c>
      <c r="Y6204" s="814"/>
      <c r="Z6204" s="814"/>
      <c r="AA6204" s="814" t="s">
        <v>719</v>
      </c>
      <c r="AB6204" s="814"/>
      <c r="AC6204" s="814"/>
      <c r="AD6204"/>
      <c r="AE6204"/>
      <c r="AF6204"/>
      <c r="AG6204"/>
      <c r="AH6204"/>
      <c r="AI6204"/>
    </row>
    <row r="6205" spans="14:38" ht="11.25" customHeight="1">
      <c r="N6205" s="802" t="s">
        <v>641</v>
      </c>
      <c r="O6205" s="804" t="s">
        <v>787</v>
      </c>
      <c r="P6205" s="806" t="s">
        <v>778</v>
      </c>
      <c r="Q6205" s="206">
        <v>0</v>
      </c>
      <c r="R6205" s="808"/>
      <c r="S6205" s="809"/>
      <c r="T6205" s="810"/>
      <c r="U6205" s="808"/>
      <c r="V6205" s="809"/>
      <c r="W6205" s="810"/>
      <c r="X6205" s="808"/>
      <c r="Y6205" s="809"/>
      <c r="Z6205" s="810"/>
      <c r="AA6205" s="808"/>
      <c r="AB6205" s="809"/>
      <c r="AC6205" s="810"/>
      <c r="AD6205"/>
      <c r="AE6205"/>
      <c r="AF6205"/>
      <c r="AG6205"/>
      <c r="AH6205"/>
      <c r="AI6205"/>
    </row>
    <row r="6206" spans="14:38" ht="12" customHeight="1">
      <c r="N6206" s="803"/>
      <c r="O6206" s="805"/>
      <c r="P6206" s="807"/>
      <c r="Q6206" s="207"/>
      <c r="R6206" s="796"/>
      <c r="S6206" s="797"/>
      <c r="T6206" s="798"/>
      <c r="U6206" s="796"/>
      <c r="V6206" s="797"/>
      <c r="W6206" s="798"/>
      <c r="X6206" s="796"/>
      <c r="Y6206" s="797"/>
      <c r="Z6206" s="798"/>
      <c r="AA6206" s="796"/>
      <c r="AB6206" s="797"/>
      <c r="AC6206" s="798"/>
      <c r="AD6206"/>
      <c r="AE6206"/>
      <c r="AF6206"/>
      <c r="AG6206"/>
      <c r="AH6206"/>
      <c r="AI6206"/>
    </row>
    <row r="6207" spans="14:38" ht="12" customHeight="1">
      <c r="N6207" s="222"/>
      <c r="O6207" s="501" t="s">
        <v>788</v>
      </c>
      <c r="P6207" s="542"/>
      <c r="Q6207" s="207"/>
      <c r="R6207" s="799"/>
      <c r="S6207" s="800"/>
      <c r="T6207" s="801"/>
      <c r="U6207" s="799"/>
      <c r="V6207" s="800"/>
      <c r="W6207" s="801"/>
      <c r="X6207" s="799"/>
      <c r="Y6207" s="800"/>
      <c r="Z6207" s="801"/>
      <c r="AA6207" s="799"/>
      <c r="AB6207" s="800"/>
      <c r="AC6207" s="801"/>
      <c r="AD6207"/>
      <c r="AE6207"/>
      <c r="AF6207"/>
      <c r="AG6207"/>
      <c r="AH6207"/>
      <c r="AI6207"/>
    </row>
    <row r="6208" spans="14:38" ht="12" customHeight="1">
      <c r="N6208" s="222"/>
      <c r="O6208" s="556" t="str">
        <f>IF(CALC_IDENTIFIER="","",CALC_IDENTIFIER)</f>
        <v/>
      </c>
      <c r="P6208" s="557" t="s">
        <v>745</v>
      </c>
      <c r="Q6208" s="328"/>
      <c r="R6208" s="568"/>
      <c r="S6208" s="568"/>
      <c r="T6208" s="568"/>
      <c r="U6208" s="568"/>
      <c r="V6208" s="568" t="s">
        <v>349</v>
      </c>
      <c r="W6208" s="568" t="s">
        <v>745</v>
      </c>
      <c r="X6208" s="569" t="s">
        <v>350</v>
      </c>
      <c r="Y6208" s="568"/>
      <c r="Z6208" s="568" t="s">
        <v>745</v>
      </c>
      <c r="AA6208" s="569" t="s">
        <v>350</v>
      </c>
      <c r="AB6208" s="568" t="s">
        <v>349</v>
      </c>
      <c r="AC6208" s="568" t="s">
        <v>745</v>
      </c>
      <c r="AD6208" s="568"/>
      <c r="AE6208" s="568" t="s">
        <v>349</v>
      </c>
      <c r="AF6208" s="568" t="s">
        <v>745</v>
      </c>
      <c r="AG6208" s="569" t="s">
        <v>350</v>
      </c>
      <c r="AH6208" s="568"/>
      <c r="AI6208" s="568" t="s">
        <v>745</v>
      </c>
      <c r="AJ6208" s="569" t="s">
        <v>350</v>
      </c>
      <c r="AK6208" s="568" t="s">
        <v>349</v>
      </c>
      <c r="AL6208" s="568" t="s">
        <v>745</v>
      </c>
    </row>
    <row r="6209" spans="1:39" s="47" customFormat="1">
      <c r="A6209" s="121"/>
      <c r="B6209" s="121"/>
      <c r="C6209" s="121"/>
      <c r="D6209" s="121"/>
      <c r="E6209" s="121"/>
      <c r="F6209" s="121"/>
      <c r="G6209" s="121"/>
      <c r="H6209" s="121"/>
      <c r="I6209" s="121"/>
      <c r="J6209" s="121"/>
      <c r="K6209" s="121"/>
      <c r="L6209" s="121"/>
      <c r="M6209" s="121"/>
      <c r="N6209" s="504" t="s">
        <v>642</v>
      </c>
      <c r="O6209" s="566" t="str">
        <f>IF(TEMPLATE_SPHERE="водоснабжения","Объём отпуска воды (тыс. куб.м)",IF(TEMPLATE_SPHERE="водоотведения","Пропущено сточных вод, всего (тыс. куб.м)"))</f>
        <v>Пропущено сточных вод, всего (тыс. куб.м)</v>
      </c>
      <c r="P6209" s="551"/>
      <c r="Q6209" s="321"/>
      <c r="R6209" s="567"/>
      <c r="S6209" s="567"/>
      <c r="T6209" s="567"/>
      <c r="U6209" s="567"/>
      <c r="V6209" s="632">
        <f>IF(TARIFF_SETUP_METHOD_CODE="BY_MONTHS",SUMIF(ВС.БПр!$BF$129:$BF$130,V$9&amp;"-"&amp;$AP$8,ВС.БПр!$P$129:$P$130),IF(TARIFF_SETUP_METHOD_CODE="BY_PSEUDO_YEARS",SUMIF(ВС.БПр!$F$129:$F$130,V$9&amp;".0",ВС.БПр!$P$129:$P$130),0))/1000</f>
        <v>0</v>
      </c>
      <c r="W6209" s="552">
        <f t="shared" ref="W6209:W6216" si="19">U6209+V6209</f>
        <v>0</v>
      </c>
      <c r="X6209" s="632">
        <f>IF(TARIFF_SETUP_METHOD_CODE="BY_MONTHS",SUMIF(ВС.БПр!$BF$129:$BF$130,X$9&amp;"-"&amp;$AP$8,ВС.БПр!$P$129:$P$130),IF(TARIFF_SETUP_METHOD_CODE="BY_PSEUDO_YEARS",SUMIF(ВС.БПр!$F$129:$F$130,X$9&amp;".0",ВС.БПр!$P$129:$P$130),0))/1000</f>
        <v>0</v>
      </c>
      <c r="Y6209" s="323"/>
      <c r="Z6209" s="552">
        <f t="shared" ref="Z6209:Z6216" si="20">X6209+Y6209</f>
        <v>0</v>
      </c>
      <c r="AA6209" s="632">
        <f>IF(TARIFF_SETUP_METHOD_CODE="BY_MONTHS",SUMIF(ВС.БПр!$BF$129:$BF$130,AA$9&amp;"-"&amp;$AP$8,ВС.БПр!$P$129:$P$130),IF(TARIFF_SETUP_METHOD_CODE="BY_PSEUDO_YEARS",SUMIF(ВС.БПр!$F$129:$F$130,AA$9&amp;".0",ВС.БПр!$P$129:$P$130),0))/1000</f>
        <v>0</v>
      </c>
      <c r="AB6209" s="632">
        <f>IF(TARIFF_SETUP_METHOD_CODE="BY_MONTHS",SUMIF(ВС.БПр!$BF$129:$BF$130,AB$9&amp;"-"&amp;$AP$8,ВС.БПр!$P$129:$P$130),IF(TARIFF_SETUP_METHOD_CODE="BY_PSEUDO_YEARS",SUMIF(ВС.БПр!$F$129:$F$130,AB$9&amp;".0",ВС.БПр!$P$129:$P$130),0))/1000</f>
        <v>0</v>
      </c>
      <c r="AC6209" s="552">
        <f t="shared" ref="AC6209:AC6216" si="21">AA6209+AB6209</f>
        <v>0</v>
      </c>
      <c r="AD6209" s="323"/>
      <c r="AE6209" s="632">
        <f>IF(TARIFF_SETUP_METHOD_CODE="BY_MONTHS",SUMIF(ВС.БТр!$BF$129:$BF$130,AE$9&amp;"-"&amp;$AP$8,ВС.БТр!$L$129:$L$130),IF(TARIFF_SETUP_METHOD_CODE="BY_PSEUDO_YEARS",SUMIF(ВС.БТр!$F$129:$F$130,AE$9&amp;".0",ВС.БТр!$L$129:$L$130),0))/1000</f>
        <v>0</v>
      </c>
      <c r="AF6209" s="552">
        <f>AD6209+AE6209</f>
        <v>0</v>
      </c>
      <c r="AG6209" s="632">
        <f>IF(TARIFF_SETUP_METHOD_CODE="BY_MONTHS",SUMIF(ВС.БТр!$BF$129:$BF$130,AG$9&amp;"-"&amp;$AP$8,ВС.БТр!$L$129:$L$130),IF(TARIFF_SETUP_METHOD_CODE="BY_PSEUDO_YEARS",SUMIF(ВС.БТр!$F$129:$F$130,AG$9&amp;".0",ВС.БТр!$L$129:$L$130),0))/1000</f>
        <v>0</v>
      </c>
      <c r="AH6209" s="323"/>
      <c r="AI6209" s="552">
        <f>AG6209+AH6209</f>
        <v>0</v>
      </c>
      <c r="AJ6209" s="632">
        <f>IF(TARIFF_SETUP_METHOD_CODE="BY_MONTHS",SUMIF(ВС.БТр!$BF$129:$BF$130,AJ$9&amp;"-"&amp;$AP$8,ВС.БТр!$L$129:$L$130),IF(TARIFF_SETUP_METHOD_CODE="BY_PSEUDO_YEARS",SUMIF(ВС.БТр!$F$129:$F$130,AJ$9&amp;".0",ВС.БТр!$L$129:$L$130),0))/1000</f>
        <v>0</v>
      </c>
      <c r="AK6209" s="632">
        <f>IF(TARIFF_SETUP_METHOD_CODE="BY_MONTHS",SUMIF(ВС.БТр!$BF$129:$BF$130,AK$9&amp;"-"&amp;$AP$8,ВС.БТр!$L$129:$L$130),IF(TARIFF_SETUP_METHOD_CODE="BY_PSEUDO_YEARS",SUMIF(ВС.БТр!$F$129:$F$130,AK$9&amp;".0",ВС.БТр!$L$129:$L$130),0))/1000</f>
        <v>0</v>
      </c>
      <c r="AL6209" s="552">
        <f>AJ6209+AK6209</f>
        <v>0</v>
      </c>
      <c r="AM6209" s="816" t="s">
        <v>351</v>
      </c>
    </row>
    <row r="6210" spans="1:39" s="47" customFormat="1">
      <c r="A6210" s="121"/>
      <c r="B6210" s="121"/>
      <c r="C6210" s="121"/>
      <c r="D6210" s="121"/>
      <c r="E6210" s="121"/>
      <c r="F6210" s="121"/>
      <c r="G6210" s="121"/>
      <c r="H6210" s="121"/>
      <c r="I6210" s="121"/>
      <c r="J6210" s="121"/>
      <c r="K6210" s="121"/>
      <c r="L6210" s="121"/>
      <c r="M6210" s="121"/>
      <c r="N6210" s="504" t="s">
        <v>790</v>
      </c>
      <c r="O6210" s="527" t="s">
        <v>369</v>
      </c>
      <c r="P6210" s="257"/>
      <c r="Q6210" s="321"/>
      <c r="R6210" s="553"/>
      <c r="S6210" s="553"/>
      <c r="T6210" s="553"/>
      <c r="U6210" s="553"/>
      <c r="V6210" s="629">
        <f>IF($AP$8="I",SUMIF('ВС.ТМ2 01.01 - 30.06'!$C$21:$C$22,V$9,'ВС.ТМ2 01.01 - 30.06'!$AL$21:$AL$22),IF($AP$8="II",SUMIF('ВС.ТМ2 01.07 - 31.08'!$C$21:$C$22,V$9,'ВС.ТМ2 01.07 - 31.08'!$AL$21:$AL$22),IF($AP$8="III",SUMIF('ВС.ТМ2 01.09 - 31.12'!$C$21:$C$22,V$9,'ВС.ТМ2 01.09 - 31.12'!$AL$21:$AL$22),0)))/1000</f>
        <v>0</v>
      </c>
      <c r="W6210" s="548">
        <f t="shared" si="19"/>
        <v>0</v>
      </c>
      <c r="X6210" s="629">
        <f>IF($AP$8="I",SUMIF('ВС.ТМ2 01.01 - 30.06'!$C$21:$C$22,X$9,'ВС.ТМ2 01.01 - 30.06'!$AL$21:$AL$22),IF($AP$8="II",SUMIF('ВС.ТМ2 01.07 - 31.08'!$C$21:$C$22,X$9,'ВС.ТМ2 01.07 - 31.08'!$AL$21:$AL$22),IF($AP$8="III",SUMIF('ВС.ТМ2 01.09 - 31.12'!$C$21:$C$22,X$9,'ВС.ТМ2 01.09 - 31.12'!$AL$21:$AL$22),0)))/1000</f>
        <v>0</v>
      </c>
      <c r="Y6210" s="553"/>
      <c r="Z6210" s="548">
        <f t="shared" si="20"/>
        <v>0</v>
      </c>
      <c r="AA6210" s="629">
        <f>IF($AP$8="I",SUMIF('ВС.ТМ2 01.01 - 30.06'!$C$21:$C$22,AA$9,'ВС.ТМ2 01.01 - 30.06'!$AL$21:$AL$22),IF($AP$8="II",SUMIF('ВС.ТМ2 01.07 - 31.08'!$C$21:$C$22,AA$9,'ВС.ТМ2 01.07 - 31.08'!$AL$21:$AL$22),IF($AP$8="III",SUMIF('ВС.ТМ2 01.09 - 31.12'!$C$21:$C$22,AA$9,'ВС.ТМ2 01.09 - 31.12'!$AL$21:$AL$22),0)))/1000</f>
        <v>0</v>
      </c>
      <c r="AB6210" s="629">
        <f>IF($AP$8="I",SUMIF('ВС.ТМ2 01.01 - 30.06'!$C$21:$C$22,AB$9,'ВС.ТМ2 01.01 - 30.06'!$AL$21:$AL$22),IF($AP$8="II",SUMIF('ВС.ТМ2 01.07 - 31.08'!$C$21:$C$22,AB$9,'ВС.ТМ2 01.07 - 31.08'!$AL$21:$AL$22),IF($AP$8="III",SUMIF('ВС.ТМ2 01.09 - 31.12'!$C$21:$C$22,AB$9,'ВС.ТМ2 01.09 - 31.12'!$AL$21:$AL$22),0)))/1000</f>
        <v>0</v>
      </c>
      <c r="AC6210" s="555">
        <f t="shared" si="21"/>
        <v>0</v>
      </c>
      <c r="AD6210" s="553"/>
      <c r="AE6210" s="629">
        <f>IF($AP$8="I",SUMIF('ВС.ТМ1 01.01 - 30.06'!$C$21:$C$22,AE$9,'ВС.ТМ1 01.01 - 30.06'!$AJ$21:$AJ$22),IF($AP$8="II",SUMIF('ВС.ТМ1 01.07 - 31.08'!$C$21:$C$22,AE$9,'ВС.ТМ1 01.07 - 31.08'!$AJ$21:$AJ$22),IF($AP$8="III",SUMIF('ВС.ТМ1 01.09 - 31.12'!$C$21:$C$22,AE$9,'ВС.ТМ1 01.09 - 31.12'!$AJ$21:$AJ$22),0)))/1000</f>
        <v>0</v>
      </c>
      <c r="AF6210" s="548">
        <f>AD6210+AE6210</f>
        <v>0</v>
      </c>
      <c r="AG6210" s="629">
        <f>IF($AP$8="I",SUMIF('ВС.ТМ1 01.01 - 30.06'!$C$21:$C$22,AG$9,'ВС.ТМ1 01.01 - 30.06'!$AJ$21:$AJ$22),IF($AP$8="II",SUMIF('ВС.ТМ1 01.07 - 31.08'!$C$21:$C$22,AG$9,'ВС.ТМ1 01.07 - 31.08'!$AJ$21:$AJ$22),IF($AP$8="III",SUMIF('ВС.ТМ1 01.09 - 31.12'!$C$21:$C$22,AG$9,'ВС.ТМ1 01.09 - 31.12'!$AJ$21:$AJ$22),0)))/1000</f>
        <v>0</v>
      </c>
      <c r="AH6210" s="553"/>
      <c r="AI6210" s="548">
        <f>AG6210+AH6210</f>
        <v>0</v>
      </c>
      <c r="AJ6210" s="629">
        <f>IF($AP$8="I",SUMIF('ВС.ТМ1 01.01 - 30.06'!$C$21:$C$22,AJ$9,'ВС.ТМ1 01.01 - 30.06'!$AJ$21:$AJ$22),IF($AP$8="II",SUMIF('ВС.ТМ1 01.07 - 31.08'!$C$21:$C$22,AJ$9,'ВС.ТМ1 01.07 - 31.08'!$AJ$21:$AJ$22),IF($AP$8="III",SUMIF('ВС.ТМ1 01.09 - 31.12'!$C$21:$C$22,AJ$9,'ВС.ТМ1 01.09 - 31.12'!$AJ$21:$AJ$22),0)))/1000</f>
        <v>0</v>
      </c>
      <c r="AK6210" s="629">
        <f>IF($AP$8="I",SUMIF('ВС.ТМ1 01.01 - 30.06'!$C$21:$C$22,AK$9,'ВС.ТМ1 01.01 - 30.06'!$AJ$21:$AJ$22),IF($AP$8="II",SUMIF('ВС.ТМ1 01.07 - 31.08'!$C$21:$C$22,AK$9,'ВС.ТМ1 01.07 - 31.08'!$AJ$21:$AJ$22),IF($AP$8="III",SUMIF('ВС.ТМ1 01.09 - 31.12'!$C$21:$C$22,AK$9,'ВС.ТМ1 01.09 - 31.12'!$AJ$21:$AJ$22),0)))/1000</f>
        <v>0</v>
      </c>
      <c r="AL6210" s="548">
        <f>AJ6210+AK6210</f>
        <v>0</v>
      </c>
      <c r="AM6210" s="816"/>
    </row>
    <row r="6211" spans="1:39" s="47" customFormat="1">
      <c r="A6211" s="121"/>
      <c r="B6211" s="121"/>
      <c r="C6211" s="121"/>
      <c r="D6211" s="121"/>
      <c r="E6211" s="121"/>
      <c r="F6211" s="121"/>
      <c r="G6211" s="121"/>
      <c r="H6211" s="121"/>
      <c r="I6211" s="121"/>
      <c r="J6211" s="121"/>
      <c r="K6211" s="121"/>
      <c r="L6211" s="121"/>
      <c r="M6211" s="121"/>
      <c r="N6211" s="504" t="s">
        <v>751</v>
      </c>
      <c r="O6211" s="526" t="s">
        <v>2814</v>
      </c>
      <c r="P6211" s="257"/>
      <c r="Q6211" s="321"/>
      <c r="R6211" s="260"/>
      <c r="S6211" s="260"/>
      <c r="T6211" s="260"/>
      <c r="U6211" s="260"/>
      <c r="V6211" s="257">
        <f>V6212+V6241+V6242+V6243+V6247+V6248+V6249+V6274+V6280+V6284+V6285+V6286+V6287+V6290+V6291+V6292+V6293+V6303</f>
        <v>0</v>
      </c>
      <c r="W6211" s="548">
        <f t="shared" si="19"/>
        <v>0</v>
      </c>
      <c r="X6211" s="257">
        <f>X6212+X6241+X6242+X6243+X6247+X6248+X6249+X6274+X6280+X6284+X6285+X6286+X6287+X6290+X6291+X6292+X6293+X6303</f>
        <v>0</v>
      </c>
      <c r="Y6211" s="260"/>
      <c r="Z6211" s="548">
        <f t="shared" si="20"/>
        <v>0</v>
      </c>
      <c r="AA6211" s="257">
        <f>AA6212+AA6241+AA6242+AA6243+AA6247+AA6248+AA6249+AA6274+AA6280+AA6284+AA6285+AA6286+AA6287+AA6290+AA6291+AA6292+AA6293+AA6303</f>
        <v>0</v>
      </c>
      <c r="AB6211" s="257">
        <f>AB6212+AB6241+AB6242+AB6243+AB6247+AB6248+AB6249+AB6274+AB6280+AB6284+AB6285+AB6286+AB6287+AB6290+AB6291+AB6292+AB6293+AB6303</f>
        <v>0</v>
      </c>
      <c r="AC6211" s="548">
        <f t="shared" si="21"/>
        <v>0</v>
      </c>
      <c r="AD6211" s="57"/>
      <c r="AE6211" s="57"/>
      <c r="AF6211" s="57"/>
      <c r="AG6211" s="57"/>
      <c r="AH6211" s="57"/>
      <c r="AI6211" s="57"/>
      <c r="AJ6211" s="57"/>
      <c r="AK6211" s="57"/>
      <c r="AL6211" s="57"/>
      <c r="AM6211" s="385"/>
    </row>
    <row r="6212" spans="1:39" s="47" customFormat="1">
      <c r="A6212" s="121"/>
      <c r="B6212" s="121"/>
      <c r="C6212" s="121"/>
      <c r="D6212" s="121"/>
      <c r="E6212" s="121"/>
      <c r="F6212" s="121"/>
      <c r="G6212" s="121"/>
      <c r="H6212" s="121"/>
      <c r="I6212" s="121"/>
      <c r="J6212" s="121"/>
      <c r="K6212" s="121"/>
      <c r="L6212" s="121"/>
      <c r="M6212" s="121"/>
      <c r="N6212" s="504" t="s">
        <v>66</v>
      </c>
      <c r="O6212" s="527" t="s">
        <v>2815</v>
      </c>
      <c r="P6212" s="257"/>
      <c r="Q6212" s="321"/>
      <c r="R6212" s="260"/>
      <c r="S6212" s="260"/>
      <c r="T6212" s="260"/>
      <c r="U6212" s="260"/>
      <c r="V6212" s="257">
        <f>V6213+V6240</f>
        <v>0</v>
      </c>
      <c r="W6212" s="548">
        <f t="shared" si="19"/>
        <v>0</v>
      </c>
      <c r="X6212" s="257">
        <f>X6213+X6240</f>
        <v>0</v>
      </c>
      <c r="Y6212" s="260"/>
      <c r="Z6212" s="548">
        <f t="shared" si="20"/>
        <v>0</v>
      </c>
      <c r="AA6212" s="257">
        <f>AA6213+AA6240</f>
        <v>0</v>
      </c>
      <c r="AB6212" s="257">
        <f>AB6213+AB6240</f>
        <v>0</v>
      </c>
      <c r="AC6212" s="548">
        <f t="shared" si="21"/>
        <v>0</v>
      </c>
      <c r="AD6212" s="57"/>
      <c r="AE6212" s="57"/>
      <c r="AF6212" s="57"/>
      <c r="AG6212" s="57"/>
      <c r="AH6212" s="57"/>
      <c r="AI6212" s="57"/>
      <c r="AJ6212" s="57"/>
      <c r="AK6212" s="57"/>
      <c r="AL6212" s="57"/>
      <c r="AM6212" s="385"/>
    </row>
    <row r="6213" spans="1:39" s="47" customFormat="1">
      <c r="A6213" s="121"/>
      <c r="B6213" s="121"/>
      <c r="C6213" s="121"/>
      <c r="D6213" s="121"/>
      <c r="E6213" s="121"/>
      <c r="F6213" s="121"/>
      <c r="G6213" s="121"/>
      <c r="H6213" s="121"/>
      <c r="I6213" s="121"/>
      <c r="J6213" s="121"/>
      <c r="K6213" s="121"/>
      <c r="L6213" s="121"/>
      <c r="M6213" s="121"/>
      <c r="N6213" s="504" t="s">
        <v>632</v>
      </c>
      <c r="O6213" s="528" t="s">
        <v>2816</v>
      </c>
      <c r="P6213" s="257"/>
      <c r="Q6213" s="321"/>
      <c r="R6213" s="260"/>
      <c r="S6213" s="260"/>
      <c r="T6213" s="260"/>
      <c r="U6213" s="260"/>
      <c r="V6213" s="257">
        <f>V6216+V6219+V6222+V6225+V6228+V6231+V6234+V6237</f>
        <v>0</v>
      </c>
      <c r="W6213" s="548">
        <f t="shared" si="19"/>
        <v>0</v>
      </c>
      <c r="X6213" s="257">
        <f>X6216+X6219+X6222+X6225+X6228+X6231+X6234+X6237</f>
        <v>0</v>
      </c>
      <c r="Y6213" s="260"/>
      <c r="Z6213" s="548">
        <f t="shared" si="20"/>
        <v>0</v>
      </c>
      <c r="AA6213" s="257">
        <f>AA6216+AA6219+AA6222+AA6225+AA6228+AA6231+AA6234+AA6237</f>
        <v>0</v>
      </c>
      <c r="AB6213" s="257">
        <f>AB6216+AB6219+AB6222+AB6225+AB6228+AB6231+AB6234+AB6237</f>
        <v>0</v>
      </c>
      <c r="AC6213" s="548">
        <f t="shared" si="21"/>
        <v>0</v>
      </c>
      <c r="AD6213" s="57"/>
      <c r="AE6213" s="57"/>
      <c r="AF6213" s="57"/>
      <c r="AG6213" s="57"/>
      <c r="AH6213" s="57"/>
      <c r="AI6213" s="57"/>
      <c r="AJ6213" s="57"/>
      <c r="AK6213" s="57"/>
      <c r="AL6213" s="57"/>
      <c r="AM6213" s="385"/>
    </row>
    <row r="6214" spans="1:39" s="47" customFormat="1">
      <c r="A6214" s="121"/>
      <c r="B6214" s="121"/>
      <c r="C6214" s="121"/>
      <c r="D6214" s="121"/>
      <c r="E6214" s="121"/>
      <c r="F6214" s="121"/>
      <c r="G6214" s="121"/>
      <c r="H6214" s="121"/>
      <c r="I6214" s="121"/>
      <c r="J6214" s="121"/>
      <c r="K6214" s="121"/>
      <c r="L6214" s="121"/>
      <c r="M6214" s="121"/>
      <c r="N6214" s="223" t="s">
        <v>2817</v>
      </c>
      <c r="O6214" s="529" t="s">
        <v>2972</v>
      </c>
      <c r="P6214" s="257"/>
      <c r="Q6214" s="321"/>
      <c r="R6214" s="260"/>
      <c r="S6214" s="260"/>
      <c r="T6214" s="260"/>
      <c r="U6214" s="260"/>
      <c r="V6214" s="257">
        <f>V6218+V6224+V6230+V6236</f>
        <v>0</v>
      </c>
      <c r="W6214" s="548">
        <f t="shared" si="19"/>
        <v>0</v>
      </c>
      <c r="X6214" s="257">
        <f>X6218+X6224+X6230+X6236</f>
        <v>0</v>
      </c>
      <c r="Y6214" s="260"/>
      <c r="Z6214" s="548">
        <f t="shared" si="20"/>
        <v>0</v>
      </c>
      <c r="AA6214" s="257">
        <f>AA6218+AA6224+AA6230+AA6236</f>
        <v>0</v>
      </c>
      <c r="AB6214" s="257">
        <f>AB6218+AB6224+AB6230+AB6236</f>
        <v>0</v>
      </c>
      <c r="AC6214" s="548">
        <f t="shared" si="21"/>
        <v>0</v>
      </c>
      <c r="AD6214" s="57"/>
      <c r="AE6214" s="57"/>
      <c r="AF6214" s="57"/>
      <c r="AG6214" s="57"/>
      <c r="AH6214" s="57"/>
      <c r="AI6214" s="57"/>
      <c r="AJ6214" s="57"/>
      <c r="AK6214" s="57"/>
      <c r="AL6214" s="57"/>
      <c r="AM6214" s="385"/>
    </row>
    <row r="6215" spans="1:39" s="47" customFormat="1">
      <c r="A6215" s="121"/>
      <c r="B6215" s="121"/>
      <c r="C6215" s="121"/>
      <c r="D6215" s="121"/>
      <c r="E6215" s="121"/>
      <c r="F6215" s="121"/>
      <c r="G6215" s="121"/>
      <c r="H6215" s="121"/>
      <c r="I6215" s="121"/>
      <c r="J6215" s="121"/>
      <c r="K6215" s="121"/>
      <c r="L6215" s="121"/>
      <c r="M6215" s="121"/>
      <c r="N6215" s="223" t="s">
        <v>2818</v>
      </c>
      <c r="O6215" s="529" t="s">
        <v>2988</v>
      </c>
      <c r="P6215" s="257"/>
      <c r="Q6215" s="321"/>
      <c r="R6215" s="260"/>
      <c r="S6215" s="260"/>
      <c r="T6215" s="260"/>
      <c r="U6215" s="260"/>
      <c r="V6215" s="257">
        <f>V6221+V6227+V6233+V6239</f>
        <v>0</v>
      </c>
      <c r="W6215" s="548">
        <f t="shared" si="19"/>
        <v>0</v>
      </c>
      <c r="X6215" s="257">
        <f>X6221+X6227+X6233+X6239</f>
        <v>0</v>
      </c>
      <c r="Y6215" s="260"/>
      <c r="Z6215" s="548">
        <f t="shared" si="20"/>
        <v>0</v>
      </c>
      <c r="AA6215" s="257">
        <f>AA6221+AA6227+AA6233+AA6239</f>
        <v>0</v>
      </c>
      <c r="AB6215" s="257">
        <f>AB6221+AB6227+AB6233+AB6239</f>
        <v>0</v>
      </c>
      <c r="AC6215" s="548">
        <f t="shared" si="21"/>
        <v>0</v>
      </c>
      <c r="AD6215" s="57"/>
      <c r="AE6215" s="57"/>
      <c r="AF6215" s="57"/>
      <c r="AG6215" s="57"/>
      <c r="AH6215" s="57"/>
      <c r="AI6215" s="57"/>
      <c r="AJ6215" s="57"/>
      <c r="AK6215" s="57"/>
      <c r="AL6215" s="57"/>
      <c r="AM6215" s="385"/>
    </row>
    <row r="6216" spans="1:39" s="47" customFormat="1">
      <c r="A6216" s="121"/>
      <c r="B6216" s="121"/>
      <c r="C6216" s="121"/>
      <c r="D6216" s="121"/>
      <c r="E6216" s="121"/>
      <c r="F6216" s="121"/>
      <c r="G6216" s="121"/>
      <c r="H6216" s="121"/>
      <c r="I6216" s="121"/>
      <c r="J6216" s="121"/>
      <c r="K6216" s="121"/>
      <c r="L6216" s="121"/>
      <c r="M6216" s="121"/>
      <c r="N6216" s="223" t="s">
        <v>8</v>
      </c>
      <c r="O6216" s="529" t="s">
        <v>3011</v>
      </c>
      <c r="P6216" s="257"/>
      <c r="Q6216" s="321"/>
      <c r="R6216" s="260"/>
      <c r="S6216" s="260"/>
      <c r="T6216" s="260"/>
      <c r="U6216" s="260"/>
      <c r="V6216" s="257">
        <f>V6217*V6218</f>
        <v>0</v>
      </c>
      <c r="W6216" s="548">
        <f t="shared" si="19"/>
        <v>0</v>
      </c>
      <c r="X6216" s="257">
        <f>X6217*X6218</f>
        <v>0</v>
      </c>
      <c r="Y6216" s="260"/>
      <c r="Z6216" s="548">
        <f t="shared" si="20"/>
        <v>0</v>
      </c>
      <c r="AA6216" s="257">
        <f>AA6217*AA6218</f>
        <v>0</v>
      </c>
      <c r="AB6216" s="257">
        <f>AB6217*AB6218</f>
        <v>0</v>
      </c>
      <c r="AC6216" s="548">
        <f t="shared" si="21"/>
        <v>0</v>
      </c>
      <c r="AD6216" s="57"/>
      <c r="AE6216" s="57"/>
      <c r="AF6216" s="57"/>
      <c r="AG6216" s="57"/>
      <c r="AH6216" s="57"/>
      <c r="AI6216" s="57"/>
      <c r="AJ6216" s="57"/>
      <c r="AK6216" s="57"/>
      <c r="AL6216" s="57"/>
      <c r="AM6216" s="385"/>
    </row>
    <row r="6217" spans="1:39" s="47" customFormat="1">
      <c r="A6217" s="121"/>
      <c r="B6217" s="121"/>
      <c r="C6217" s="121"/>
      <c r="D6217" s="121"/>
      <c r="E6217" s="121"/>
      <c r="F6217" s="121"/>
      <c r="G6217" s="121"/>
      <c r="H6217" s="121"/>
      <c r="I6217" s="121"/>
      <c r="J6217" s="121"/>
      <c r="K6217" s="121"/>
      <c r="L6217" s="121"/>
      <c r="M6217" s="121"/>
      <c r="N6217" s="524" t="s">
        <v>9</v>
      </c>
      <c r="O6217" s="530" t="s">
        <v>2968</v>
      </c>
      <c r="P6217" s="544"/>
      <c r="Q6217" s="321"/>
      <c r="R6217" s="260"/>
      <c r="S6217" s="260"/>
      <c r="T6217" s="260"/>
      <c r="U6217" s="260"/>
      <c r="V6217" s="261"/>
      <c r="W6217" s="254"/>
      <c r="X6217" s="261"/>
      <c r="Y6217" s="260"/>
      <c r="Z6217" s="254"/>
      <c r="AA6217" s="261"/>
      <c r="AB6217" s="261"/>
      <c r="AC6217" s="254"/>
      <c r="AD6217" s="57"/>
      <c r="AE6217" s="57"/>
      <c r="AF6217" s="57"/>
      <c r="AG6217" s="57"/>
      <c r="AH6217" s="57"/>
      <c r="AI6217" s="57"/>
      <c r="AJ6217" s="57"/>
      <c r="AK6217" s="57"/>
      <c r="AL6217" s="57"/>
      <c r="AM6217" s="385"/>
    </row>
    <row r="6218" spans="1:39" s="47" customFormat="1">
      <c r="A6218" s="121"/>
      <c r="B6218" s="121"/>
      <c r="C6218" s="121"/>
      <c r="D6218" s="121"/>
      <c r="E6218" s="121"/>
      <c r="F6218" s="121"/>
      <c r="G6218" s="121"/>
      <c r="H6218" s="121"/>
      <c r="I6218" s="121"/>
      <c r="J6218" s="121"/>
      <c r="K6218" s="121"/>
      <c r="L6218" s="121"/>
      <c r="M6218" s="121"/>
      <c r="N6218" s="524" t="s">
        <v>10</v>
      </c>
      <c r="O6218" s="530" t="s">
        <v>2972</v>
      </c>
      <c r="P6218" s="257"/>
      <c r="Q6218" s="321"/>
      <c r="R6218" s="260"/>
      <c r="S6218" s="260"/>
      <c r="T6218" s="260"/>
      <c r="U6218" s="260"/>
      <c r="V6218" s="261"/>
      <c r="W6218" s="548">
        <f>U6218+V6218</f>
        <v>0</v>
      </c>
      <c r="X6218" s="261"/>
      <c r="Y6218" s="260"/>
      <c r="Z6218" s="548">
        <f>X6218+Y6218</f>
        <v>0</v>
      </c>
      <c r="AA6218" s="261"/>
      <c r="AB6218" s="261"/>
      <c r="AC6218" s="548">
        <f>AA6218+AB6218</f>
        <v>0</v>
      </c>
      <c r="AD6218" s="57"/>
      <c r="AE6218" s="57"/>
      <c r="AF6218" s="57"/>
      <c r="AG6218" s="57"/>
      <c r="AH6218" s="57"/>
      <c r="AI6218" s="57"/>
      <c r="AJ6218" s="57"/>
      <c r="AK6218" s="57"/>
      <c r="AL6218" s="57"/>
      <c r="AM6218" s="385"/>
    </row>
    <row r="6219" spans="1:39" s="47" customFormat="1">
      <c r="A6219" s="121"/>
      <c r="B6219" s="121"/>
      <c r="C6219" s="121"/>
      <c r="D6219" s="121"/>
      <c r="E6219" s="121"/>
      <c r="F6219" s="121"/>
      <c r="G6219" s="121"/>
      <c r="H6219" s="121"/>
      <c r="I6219" s="121"/>
      <c r="J6219" s="121"/>
      <c r="K6219" s="121"/>
      <c r="L6219" s="121"/>
      <c r="M6219" s="121"/>
      <c r="N6219" s="223" t="s">
        <v>11</v>
      </c>
      <c r="O6219" s="531" t="s">
        <v>3015</v>
      </c>
      <c r="P6219" s="257"/>
      <c r="Q6219" s="321"/>
      <c r="R6219" s="260"/>
      <c r="S6219" s="260"/>
      <c r="T6219" s="260"/>
      <c r="U6219" s="260"/>
      <c r="V6219" s="257">
        <f>V6220*V6221</f>
        <v>0</v>
      </c>
      <c r="W6219" s="548">
        <f>U6219+V6219</f>
        <v>0</v>
      </c>
      <c r="X6219" s="257">
        <f>X6220*X6221</f>
        <v>0</v>
      </c>
      <c r="Y6219" s="260"/>
      <c r="Z6219" s="548">
        <f>X6219+Y6219</f>
        <v>0</v>
      </c>
      <c r="AA6219" s="257">
        <f>AA6220*AA6221</f>
        <v>0</v>
      </c>
      <c r="AB6219" s="257">
        <f>AB6220*AB6221</f>
        <v>0</v>
      </c>
      <c r="AC6219" s="548">
        <f>AA6219+AB6219</f>
        <v>0</v>
      </c>
      <c r="AD6219" s="57"/>
      <c r="AE6219" s="57"/>
      <c r="AF6219" s="57"/>
      <c r="AG6219" s="57"/>
      <c r="AH6219" s="57"/>
      <c r="AI6219" s="57"/>
      <c r="AJ6219" s="57"/>
      <c r="AK6219" s="57"/>
      <c r="AL6219" s="57"/>
      <c r="AM6219" s="385"/>
    </row>
    <row r="6220" spans="1:39" s="47" customFormat="1">
      <c r="A6220" s="121"/>
      <c r="B6220" s="121"/>
      <c r="C6220" s="121"/>
      <c r="D6220" s="121"/>
      <c r="E6220" s="121"/>
      <c r="F6220" s="121"/>
      <c r="G6220" s="121"/>
      <c r="H6220" s="121"/>
      <c r="I6220" s="121"/>
      <c r="J6220" s="121"/>
      <c r="K6220" s="121"/>
      <c r="L6220" s="121"/>
      <c r="M6220" s="121"/>
      <c r="N6220" s="524" t="s">
        <v>12</v>
      </c>
      <c r="O6220" s="530" t="s">
        <v>2970</v>
      </c>
      <c r="P6220" s="544"/>
      <c r="Q6220" s="321"/>
      <c r="R6220" s="260"/>
      <c r="S6220" s="260"/>
      <c r="T6220" s="260"/>
      <c r="U6220" s="260"/>
      <c r="V6220" s="261"/>
      <c r="W6220" s="254"/>
      <c r="X6220" s="261"/>
      <c r="Y6220" s="260"/>
      <c r="Z6220" s="254"/>
      <c r="AA6220" s="261"/>
      <c r="AB6220" s="261"/>
      <c r="AC6220" s="254"/>
      <c r="AD6220" s="57"/>
      <c r="AE6220" s="57"/>
      <c r="AF6220" s="57"/>
      <c r="AG6220" s="57"/>
      <c r="AH6220" s="57"/>
      <c r="AI6220" s="57"/>
      <c r="AJ6220" s="57"/>
      <c r="AK6220" s="57"/>
      <c r="AL6220" s="57"/>
      <c r="AM6220" s="385"/>
    </row>
    <row r="6221" spans="1:39" s="47" customFormat="1">
      <c r="A6221" s="121"/>
      <c r="B6221" s="121"/>
      <c r="C6221" s="121"/>
      <c r="D6221" s="121"/>
      <c r="E6221" s="121"/>
      <c r="F6221" s="121"/>
      <c r="G6221" s="121"/>
      <c r="H6221" s="121"/>
      <c r="I6221" s="121"/>
      <c r="J6221" s="121"/>
      <c r="K6221" s="121"/>
      <c r="L6221" s="121"/>
      <c r="M6221" s="121"/>
      <c r="N6221" s="524" t="s">
        <v>13</v>
      </c>
      <c r="O6221" s="530" t="s">
        <v>3018</v>
      </c>
      <c r="P6221" s="257"/>
      <c r="Q6221" s="321"/>
      <c r="R6221" s="260"/>
      <c r="S6221" s="260"/>
      <c r="T6221" s="260"/>
      <c r="U6221" s="260"/>
      <c r="V6221" s="261"/>
      <c r="W6221" s="548">
        <f>U6221+V6221</f>
        <v>0</v>
      </c>
      <c r="X6221" s="261"/>
      <c r="Y6221" s="260"/>
      <c r="Z6221" s="548">
        <f>X6221+Y6221</f>
        <v>0</v>
      </c>
      <c r="AA6221" s="261"/>
      <c r="AB6221" s="261"/>
      <c r="AC6221" s="548">
        <f>AA6221+AB6221</f>
        <v>0</v>
      </c>
      <c r="AD6221" s="57"/>
      <c r="AE6221" s="57"/>
      <c r="AF6221" s="57"/>
      <c r="AG6221" s="57"/>
      <c r="AH6221" s="57"/>
      <c r="AI6221" s="57"/>
      <c r="AJ6221" s="57"/>
      <c r="AK6221" s="57"/>
      <c r="AL6221" s="57"/>
      <c r="AM6221" s="385"/>
    </row>
    <row r="6222" spans="1:39" s="47" customFormat="1">
      <c r="A6222" s="121"/>
      <c r="B6222" s="121"/>
      <c r="C6222" s="121"/>
      <c r="D6222" s="121"/>
      <c r="E6222" s="121"/>
      <c r="F6222" s="121"/>
      <c r="G6222" s="121"/>
      <c r="H6222" s="121"/>
      <c r="I6222" s="121"/>
      <c r="J6222" s="121"/>
      <c r="K6222" s="121"/>
      <c r="L6222" s="121"/>
      <c r="M6222" s="121"/>
      <c r="N6222" s="223" t="s">
        <v>14</v>
      </c>
      <c r="O6222" s="529" t="s">
        <v>3020</v>
      </c>
      <c r="P6222" s="257"/>
      <c r="Q6222" s="321"/>
      <c r="R6222" s="260"/>
      <c r="S6222" s="260"/>
      <c r="T6222" s="260"/>
      <c r="U6222" s="260"/>
      <c r="V6222" s="257">
        <f>V6223*V6224</f>
        <v>0</v>
      </c>
      <c r="W6222" s="548">
        <f>U6222+V6222</f>
        <v>0</v>
      </c>
      <c r="X6222" s="257">
        <f>X6223*X6224</f>
        <v>0</v>
      </c>
      <c r="Y6222" s="260"/>
      <c r="Z6222" s="548">
        <f>X6222+Y6222</f>
        <v>0</v>
      </c>
      <c r="AA6222" s="257">
        <f>AA6223*AA6224</f>
        <v>0</v>
      </c>
      <c r="AB6222" s="257">
        <f>AB6223*AB6224</f>
        <v>0</v>
      </c>
      <c r="AC6222" s="548">
        <f>AA6222+AB6222</f>
        <v>0</v>
      </c>
      <c r="AD6222" s="57"/>
      <c r="AE6222" s="57"/>
      <c r="AF6222" s="57"/>
      <c r="AG6222" s="57"/>
      <c r="AH6222" s="57"/>
      <c r="AI6222" s="57"/>
      <c r="AJ6222" s="57"/>
      <c r="AK6222" s="57"/>
      <c r="AL6222" s="57"/>
      <c r="AM6222" s="385"/>
    </row>
    <row r="6223" spans="1:39" s="47" customFormat="1">
      <c r="A6223" s="121"/>
      <c r="B6223" s="121"/>
      <c r="C6223" s="121"/>
      <c r="D6223" s="121"/>
      <c r="E6223" s="121"/>
      <c r="F6223" s="121"/>
      <c r="G6223" s="121"/>
      <c r="H6223" s="121"/>
      <c r="I6223" s="121"/>
      <c r="J6223" s="121"/>
      <c r="K6223" s="121"/>
      <c r="L6223" s="121"/>
      <c r="M6223" s="121"/>
      <c r="N6223" s="524" t="s">
        <v>15</v>
      </c>
      <c r="O6223" s="530" t="s">
        <v>2968</v>
      </c>
      <c r="P6223" s="544"/>
      <c r="Q6223" s="321"/>
      <c r="R6223" s="260"/>
      <c r="S6223" s="260"/>
      <c r="T6223" s="260"/>
      <c r="U6223" s="260"/>
      <c r="V6223" s="261"/>
      <c r="W6223" s="254"/>
      <c r="X6223" s="261"/>
      <c r="Y6223" s="260"/>
      <c r="Z6223" s="254"/>
      <c r="AA6223" s="261"/>
      <c r="AB6223" s="261"/>
      <c r="AC6223" s="254"/>
      <c r="AD6223" s="57"/>
      <c r="AE6223" s="57"/>
      <c r="AF6223" s="57"/>
      <c r="AG6223" s="57"/>
      <c r="AH6223" s="57"/>
      <c r="AI6223" s="57"/>
      <c r="AJ6223" s="57"/>
      <c r="AK6223" s="57"/>
      <c r="AL6223" s="57"/>
      <c r="AM6223" s="385"/>
    </row>
    <row r="6224" spans="1:39" s="47" customFormat="1">
      <c r="A6224" s="121"/>
      <c r="B6224" s="121"/>
      <c r="C6224" s="121"/>
      <c r="D6224" s="121"/>
      <c r="E6224" s="121"/>
      <c r="F6224" s="121"/>
      <c r="G6224" s="121"/>
      <c r="H6224" s="121"/>
      <c r="I6224" s="121"/>
      <c r="J6224" s="121"/>
      <c r="K6224" s="121"/>
      <c r="L6224" s="121"/>
      <c r="M6224" s="121"/>
      <c r="N6224" s="524" t="s">
        <v>16</v>
      </c>
      <c r="O6224" s="530" t="s">
        <v>2972</v>
      </c>
      <c r="P6224" s="257"/>
      <c r="Q6224" s="321"/>
      <c r="R6224" s="260"/>
      <c r="S6224" s="260"/>
      <c r="T6224" s="260"/>
      <c r="U6224" s="260"/>
      <c r="V6224" s="261"/>
      <c r="W6224" s="548">
        <f>U6224+V6224</f>
        <v>0</v>
      </c>
      <c r="X6224" s="261"/>
      <c r="Y6224" s="260"/>
      <c r="Z6224" s="548">
        <f>X6224+Y6224</f>
        <v>0</v>
      </c>
      <c r="AA6224" s="261"/>
      <c r="AB6224" s="261"/>
      <c r="AC6224" s="548">
        <f>AA6224+AB6224</f>
        <v>0</v>
      </c>
      <c r="AD6224" s="57"/>
      <c r="AE6224" s="57"/>
      <c r="AF6224" s="57"/>
      <c r="AG6224" s="57"/>
      <c r="AH6224" s="57"/>
      <c r="AI6224" s="57"/>
      <c r="AJ6224" s="57"/>
      <c r="AK6224" s="57"/>
      <c r="AL6224" s="57"/>
      <c r="AM6224" s="385"/>
    </row>
    <row r="6225" spans="1:39" s="47" customFormat="1">
      <c r="A6225" s="121"/>
      <c r="B6225" s="121"/>
      <c r="C6225" s="121"/>
      <c r="D6225" s="121"/>
      <c r="E6225" s="121"/>
      <c r="F6225" s="121"/>
      <c r="G6225" s="121"/>
      <c r="H6225" s="121"/>
      <c r="I6225" s="121"/>
      <c r="J6225" s="121"/>
      <c r="K6225" s="121"/>
      <c r="L6225" s="121"/>
      <c r="M6225" s="121"/>
      <c r="N6225" s="223" t="s">
        <v>17</v>
      </c>
      <c r="O6225" s="531" t="s">
        <v>3024</v>
      </c>
      <c r="P6225" s="257"/>
      <c r="Q6225" s="321"/>
      <c r="R6225" s="260"/>
      <c r="S6225" s="260"/>
      <c r="T6225" s="260"/>
      <c r="U6225" s="260"/>
      <c r="V6225" s="257">
        <f>V6226*V6227</f>
        <v>0</v>
      </c>
      <c r="W6225" s="548">
        <f>U6225+V6225</f>
        <v>0</v>
      </c>
      <c r="X6225" s="257">
        <f>X6226*X6227</f>
        <v>0</v>
      </c>
      <c r="Y6225" s="260"/>
      <c r="Z6225" s="548">
        <f>X6225+Y6225</f>
        <v>0</v>
      </c>
      <c r="AA6225" s="257">
        <f>AA6226*AA6227</f>
        <v>0</v>
      </c>
      <c r="AB6225" s="257">
        <f>AB6226*AB6227</f>
        <v>0</v>
      </c>
      <c r="AC6225" s="548">
        <f>AA6225+AB6225</f>
        <v>0</v>
      </c>
      <c r="AD6225" s="57"/>
      <c r="AE6225" s="57"/>
      <c r="AF6225" s="57"/>
      <c r="AG6225" s="57"/>
      <c r="AH6225" s="57"/>
      <c r="AI6225" s="57"/>
      <c r="AJ6225" s="57"/>
      <c r="AK6225" s="57"/>
      <c r="AL6225" s="57"/>
      <c r="AM6225" s="385"/>
    </row>
    <row r="6226" spans="1:39" s="47" customFormat="1">
      <c r="A6226" s="121"/>
      <c r="B6226" s="121"/>
      <c r="C6226" s="121"/>
      <c r="D6226" s="121"/>
      <c r="E6226" s="121"/>
      <c r="F6226" s="121"/>
      <c r="G6226" s="121"/>
      <c r="H6226" s="121"/>
      <c r="I6226" s="121"/>
      <c r="J6226" s="121"/>
      <c r="K6226" s="121"/>
      <c r="L6226" s="121"/>
      <c r="M6226" s="121"/>
      <c r="N6226" s="524" t="s">
        <v>18</v>
      </c>
      <c r="O6226" s="530" t="s">
        <v>2970</v>
      </c>
      <c r="P6226" s="544"/>
      <c r="Q6226" s="321"/>
      <c r="R6226" s="260"/>
      <c r="S6226" s="260"/>
      <c r="T6226" s="260"/>
      <c r="U6226" s="260"/>
      <c r="V6226" s="261"/>
      <c r="W6226" s="254"/>
      <c r="X6226" s="261"/>
      <c r="Y6226" s="260"/>
      <c r="Z6226" s="254"/>
      <c r="AA6226" s="261"/>
      <c r="AB6226" s="261"/>
      <c r="AC6226" s="254"/>
      <c r="AD6226" s="57"/>
      <c r="AE6226" s="57"/>
      <c r="AF6226" s="57"/>
      <c r="AG6226" s="57"/>
      <c r="AH6226" s="57"/>
      <c r="AI6226" s="57"/>
      <c r="AJ6226" s="57"/>
      <c r="AK6226" s="57"/>
      <c r="AL6226" s="57"/>
      <c r="AM6226" s="385"/>
    </row>
    <row r="6227" spans="1:39" s="47" customFormat="1">
      <c r="A6227" s="121"/>
      <c r="B6227" s="121"/>
      <c r="C6227" s="121"/>
      <c r="D6227" s="121"/>
      <c r="E6227" s="121"/>
      <c r="F6227" s="121"/>
      <c r="G6227" s="121"/>
      <c r="H6227" s="121"/>
      <c r="I6227" s="121"/>
      <c r="J6227" s="121"/>
      <c r="K6227" s="121"/>
      <c r="L6227" s="121"/>
      <c r="M6227" s="121"/>
      <c r="N6227" s="524" t="s">
        <v>19</v>
      </c>
      <c r="O6227" s="530" t="s">
        <v>3018</v>
      </c>
      <c r="P6227" s="257"/>
      <c r="Q6227" s="321"/>
      <c r="R6227" s="260"/>
      <c r="S6227" s="260"/>
      <c r="T6227" s="260"/>
      <c r="U6227" s="260"/>
      <c r="V6227" s="261"/>
      <c r="W6227" s="548">
        <f>U6227+V6227</f>
        <v>0</v>
      </c>
      <c r="X6227" s="261"/>
      <c r="Y6227" s="260"/>
      <c r="Z6227" s="548">
        <f>X6227+Y6227</f>
        <v>0</v>
      </c>
      <c r="AA6227" s="261"/>
      <c r="AB6227" s="261"/>
      <c r="AC6227" s="548">
        <f>AA6227+AB6227</f>
        <v>0</v>
      </c>
      <c r="AD6227" s="57"/>
      <c r="AE6227" s="57"/>
      <c r="AF6227" s="57"/>
      <c r="AG6227" s="57"/>
      <c r="AH6227" s="57"/>
      <c r="AI6227" s="57"/>
      <c r="AJ6227" s="57"/>
      <c r="AK6227" s="57"/>
      <c r="AL6227" s="57"/>
      <c r="AM6227" s="385"/>
    </row>
    <row r="6228" spans="1:39" s="47" customFormat="1">
      <c r="A6228" s="121"/>
      <c r="B6228" s="121"/>
      <c r="C6228" s="121"/>
      <c r="D6228" s="121"/>
      <c r="E6228" s="121"/>
      <c r="F6228" s="121"/>
      <c r="G6228" s="121"/>
      <c r="H6228" s="121"/>
      <c r="I6228" s="121"/>
      <c r="J6228" s="121"/>
      <c r="K6228" s="121"/>
      <c r="L6228" s="121"/>
      <c r="M6228" s="121"/>
      <c r="N6228" s="223" t="s">
        <v>20</v>
      </c>
      <c r="O6228" s="529" t="s">
        <v>3028</v>
      </c>
      <c r="P6228" s="257"/>
      <c r="Q6228" s="321"/>
      <c r="R6228" s="260"/>
      <c r="S6228" s="260"/>
      <c r="T6228" s="260"/>
      <c r="U6228" s="260"/>
      <c r="V6228" s="257">
        <f>V6229*V6230</f>
        <v>0</v>
      </c>
      <c r="W6228" s="548">
        <f>U6228+V6228</f>
        <v>0</v>
      </c>
      <c r="X6228" s="257">
        <f>X6229*X6230</f>
        <v>0</v>
      </c>
      <c r="Y6228" s="260"/>
      <c r="Z6228" s="548">
        <f>X6228+Y6228</f>
        <v>0</v>
      </c>
      <c r="AA6228" s="257">
        <f>AA6229*AA6230</f>
        <v>0</v>
      </c>
      <c r="AB6228" s="257">
        <f>AB6229*AB6230</f>
        <v>0</v>
      </c>
      <c r="AC6228" s="548">
        <f>AA6228+AB6228</f>
        <v>0</v>
      </c>
      <c r="AD6228" s="57"/>
      <c r="AE6228" s="57"/>
      <c r="AF6228" s="57"/>
      <c r="AG6228" s="57"/>
      <c r="AH6228" s="57"/>
      <c r="AI6228" s="57"/>
      <c r="AJ6228" s="57"/>
      <c r="AK6228" s="57"/>
      <c r="AL6228" s="57"/>
      <c r="AM6228" s="385"/>
    </row>
    <row r="6229" spans="1:39" s="47" customFormat="1">
      <c r="A6229" s="121"/>
      <c r="B6229" s="121"/>
      <c r="C6229" s="121"/>
      <c r="D6229" s="121"/>
      <c r="E6229" s="121"/>
      <c r="F6229" s="121"/>
      <c r="G6229" s="121"/>
      <c r="H6229" s="121"/>
      <c r="I6229" s="121"/>
      <c r="J6229" s="121"/>
      <c r="K6229" s="121"/>
      <c r="L6229" s="121"/>
      <c r="M6229" s="121"/>
      <c r="N6229" s="524" t="s">
        <v>21</v>
      </c>
      <c r="O6229" s="530" t="s">
        <v>2968</v>
      </c>
      <c r="P6229" s="544"/>
      <c r="Q6229" s="321"/>
      <c r="R6229" s="260"/>
      <c r="S6229" s="260"/>
      <c r="T6229" s="260"/>
      <c r="U6229" s="260"/>
      <c r="V6229" s="261"/>
      <c r="W6229" s="254"/>
      <c r="X6229" s="261"/>
      <c r="Y6229" s="260"/>
      <c r="Z6229" s="254"/>
      <c r="AA6229" s="261"/>
      <c r="AB6229" s="261"/>
      <c r="AC6229" s="254"/>
      <c r="AD6229" s="57"/>
      <c r="AE6229" s="57"/>
      <c r="AF6229" s="57"/>
      <c r="AG6229" s="57"/>
      <c r="AH6229" s="57"/>
      <c r="AI6229" s="57"/>
      <c r="AJ6229" s="57"/>
      <c r="AK6229" s="57"/>
      <c r="AL6229" s="57"/>
      <c r="AM6229" s="385"/>
    </row>
    <row r="6230" spans="1:39" s="47" customFormat="1">
      <c r="A6230" s="121"/>
      <c r="B6230" s="121"/>
      <c r="C6230" s="121"/>
      <c r="D6230" s="121"/>
      <c r="E6230" s="121"/>
      <c r="F6230" s="121"/>
      <c r="G6230" s="121"/>
      <c r="H6230" s="121"/>
      <c r="I6230" s="121"/>
      <c r="J6230" s="121"/>
      <c r="K6230" s="121"/>
      <c r="L6230" s="121"/>
      <c r="M6230" s="121"/>
      <c r="N6230" s="524" t="s">
        <v>22</v>
      </c>
      <c r="O6230" s="530" t="s">
        <v>2972</v>
      </c>
      <c r="P6230" s="257"/>
      <c r="Q6230" s="321"/>
      <c r="R6230" s="260"/>
      <c r="S6230" s="260"/>
      <c r="T6230" s="260"/>
      <c r="U6230" s="260"/>
      <c r="V6230" s="261"/>
      <c r="W6230" s="548">
        <f>U6230+V6230</f>
        <v>0</v>
      </c>
      <c r="X6230" s="261"/>
      <c r="Y6230" s="260"/>
      <c r="Z6230" s="548">
        <f>X6230+Y6230</f>
        <v>0</v>
      </c>
      <c r="AA6230" s="261"/>
      <c r="AB6230" s="261"/>
      <c r="AC6230" s="548">
        <f>AA6230+AB6230</f>
        <v>0</v>
      </c>
      <c r="AD6230" s="57"/>
      <c r="AE6230" s="57"/>
      <c r="AF6230" s="57"/>
      <c r="AG6230" s="57"/>
      <c r="AH6230" s="57"/>
      <c r="AI6230" s="57"/>
      <c r="AJ6230" s="57"/>
      <c r="AK6230" s="57"/>
      <c r="AL6230" s="57"/>
      <c r="AM6230" s="385"/>
    </row>
    <row r="6231" spans="1:39" s="47" customFormat="1">
      <c r="A6231" s="121"/>
      <c r="B6231" s="121"/>
      <c r="C6231" s="121"/>
      <c r="D6231" s="121"/>
      <c r="E6231" s="121"/>
      <c r="F6231" s="121"/>
      <c r="G6231" s="121"/>
      <c r="H6231" s="121"/>
      <c r="I6231" s="121"/>
      <c r="J6231" s="121"/>
      <c r="K6231" s="121"/>
      <c r="L6231" s="121"/>
      <c r="M6231" s="121"/>
      <c r="N6231" s="223" t="s">
        <v>23</v>
      </c>
      <c r="O6231" s="531" t="s">
        <v>3032</v>
      </c>
      <c r="P6231" s="257"/>
      <c r="Q6231" s="321"/>
      <c r="R6231" s="260"/>
      <c r="S6231" s="260"/>
      <c r="T6231" s="260"/>
      <c r="U6231" s="260"/>
      <c r="V6231" s="257">
        <f>V6232*V6233</f>
        <v>0</v>
      </c>
      <c r="W6231" s="548">
        <f>U6231+V6231</f>
        <v>0</v>
      </c>
      <c r="X6231" s="257">
        <f>X6232*X6233</f>
        <v>0</v>
      </c>
      <c r="Y6231" s="260"/>
      <c r="Z6231" s="548">
        <f>X6231+Y6231</f>
        <v>0</v>
      </c>
      <c r="AA6231" s="257">
        <f>AA6232*AA6233</f>
        <v>0</v>
      </c>
      <c r="AB6231" s="257">
        <f>AB6232*AB6233</f>
        <v>0</v>
      </c>
      <c r="AC6231" s="548">
        <f>AA6231+AB6231</f>
        <v>0</v>
      </c>
      <c r="AD6231" s="57"/>
      <c r="AE6231" s="57"/>
      <c r="AF6231" s="57"/>
      <c r="AG6231" s="57"/>
      <c r="AH6231" s="57"/>
      <c r="AI6231" s="57"/>
      <c r="AJ6231" s="57"/>
      <c r="AK6231" s="57"/>
      <c r="AL6231" s="57"/>
      <c r="AM6231" s="385"/>
    </row>
    <row r="6232" spans="1:39" s="47" customFormat="1">
      <c r="A6232" s="121"/>
      <c r="B6232" s="121"/>
      <c r="C6232" s="121"/>
      <c r="D6232" s="121"/>
      <c r="E6232" s="121"/>
      <c r="F6232" s="121"/>
      <c r="G6232" s="121"/>
      <c r="H6232" s="121"/>
      <c r="I6232" s="121"/>
      <c r="J6232" s="121"/>
      <c r="K6232" s="121"/>
      <c r="L6232" s="121"/>
      <c r="M6232" s="121"/>
      <c r="N6232" s="524" t="s">
        <v>24</v>
      </c>
      <c r="O6232" s="530" t="s">
        <v>2970</v>
      </c>
      <c r="P6232" s="544"/>
      <c r="Q6232" s="321"/>
      <c r="R6232" s="260"/>
      <c r="S6232" s="260"/>
      <c r="T6232" s="260"/>
      <c r="U6232" s="260"/>
      <c r="V6232" s="261"/>
      <c r="W6232" s="254"/>
      <c r="X6232" s="261"/>
      <c r="Y6232" s="260"/>
      <c r="Z6232" s="254"/>
      <c r="AA6232" s="261"/>
      <c r="AB6232" s="261"/>
      <c r="AC6232" s="254"/>
      <c r="AD6232" s="57"/>
      <c r="AE6232" s="57"/>
      <c r="AF6232" s="57"/>
      <c r="AG6232" s="57"/>
      <c r="AH6232" s="57"/>
      <c r="AI6232" s="57"/>
      <c r="AJ6232" s="57"/>
      <c r="AK6232" s="57"/>
      <c r="AL6232" s="57"/>
      <c r="AM6232" s="385"/>
    </row>
    <row r="6233" spans="1:39" s="47" customFormat="1">
      <c r="A6233" s="121"/>
      <c r="B6233" s="121"/>
      <c r="C6233" s="121"/>
      <c r="D6233" s="121"/>
      <c r="E6233" s="121"/>
      <c r="F6233" s="121"/>
      <c r="G6233" s="121"/>
      <c r="H6233" s="121"/>
      <c r="I6233" s="121"/>
      <c r="J6233" s="121"/>
      <c r="K6233" s="121"/>
      <c r="L6233" s="121"/>
      <c r="M6233" s="121"/>
      <c r="N6233" s="524" t="s">
        <v>25</v>
      </c>
      <c r="O6233" s="530" t="s">
        <v>3018</v>
      </c>
      <c r="P6233" s="257"/>
      <c r="Q6233" s="321"/>
      <c r="R6233" s="260"/>
      <c r="S6233" s="260"/>
      <c r="T6233" s="260"/>
      <c r="U6233" s="260"/>
      <c r="V6233" s="261"/>
      <c r="W6233" s="548">
        <f>U6233+V6233</f>
        <v>0</v>
      </c>
      <c r="X6233" s="261"/>
      <c r="Y6233" s="260"/>
      <c r="Z6233" s="548">
        <f>X6233+Y6233</f>
        <v>0</v>
      </c>
      <c r="AA6233" s="261"/>
      <c r="AB6233" s="261"/>
      <c r="AC6233" s="548">
        <f>AA6233+AB6233</f>
        <v>0</v>
      </c>
      <c r="AD6233" s="57"/>
      <c r="AE6233" s="57"/>
      <c r="AF6233" s="57"/>
      <c r="AG6233" s="57"/>
      <c r="AH6233" s="57"/>
      <c r="AI6233" s="57"/>
      <c r="AJ6233" s="57"/>
      <c r="AK6233" s="57"/>
      <c r="AL6233" s="57"/>
      <c r="AM6233" s="385"/>
    </row>
    <row r="6234" spans="1:39" s="47" customFormat="1">
      <c r="A6234" s="121"/>
      <c r="B6234" s="121"/>
      <c r="C6234" s="121"/>
      <c r="D6234" s="121"/>
      <c r="E6234" s="121"/>
      <c r="F6234" s="121"/>
      <c r="G6234" s="121"/>
      <c r="H6234" s="121"/>
      <c r="I6234" s="121"/>
      <c r="J6234" s="121"/>
      <c r="K6234" s="121"/>
      <c r="L6234" s="121"/>
      <c r="M6234" s="121"/>
      <c r="N6234" s="223" t="s">
        <v>26</v>
      </c>
      <c r="O6234" s="529" t="s">
        <v>3036</v>
      </c>
      <c r="P6234" s="257"/>
      <c r="Q6234" s="321"/>
      <c r="R6234" s="260"/>
      <c r="S6234" s="260"/>
      <c r="T6234" s="260"/>
      <c r="U6234" s="260"/>
      <c r="V6234" s="257">
        <f>V6235*V6236</f>
        <v>0</v>
      </c>
      <c r="W6234" s="548">
        <f>U6234+V6234</f>
        <v>0</v>
      </c>
      <c r="X6234" s="257">
        <f>X6235*X6236</f>
        <v>0</v>
      </c>
      <c r="Y6234" s="260"/>
      <c r="Z6234" s="548">
        <f>X6234+Y6234</f>
        <v>0</v>
      </c>
      <c r="AA6234" s="257">
        <f>AA6235*AA6236</f>
        <v>0</v>
      </c>
      <c r="AB6234" s="257">
        <f>AB6235*AB6236</f>
        <v>0</v>
      </c>
      <c r="AC6234" s="548">
        <f>AA6234+AB6234</f>
        <v>0</v>
      </c>
      <c r="AD6234" s="57"/>
      <c r="AE6234" s="57"/>
      <c r="AF6234" s="57"/>
      <c r="AG6234" s="57"/>
      <c r="AH6234" s="57"/>
      <c r="AI6234" s="57"/>
      <c r="AJ6234" s="57"/>
      <c r="AK6234" s="57"/>
      <c r="AL6234" s="57"/>
      <c r="AM6234" s="385"/>
    </row>
    <row r="6235" spans="1:39" s="47" customFormat="1">
      <c r="A6235" s="121"/>
      <c r="B6235" s="121"/>
      <c r="C6235" s="121"/>
      <c r="D6235" s="121"/>
      <c r="E6235" s="121"/>
      <c r="F6235" s="121"/>
      <c r="G6235" s="121"/>
      <c r="H6235" s="121"/>
      <c r="I6235" s="121"/>
      <c r="J6235" s="121"/>
      <c r="K6235" s="121"/>
      <c r="L6235" s="121"/>
      <c r="M6235" s="121"/>
      <c r="N6235" s="524" t="s">
        <v>27</v>
      </c>
      <c r="O6235" s="530" t="s">
        <v>2968</v>
      </c>
      <c r="P6235" s="544"/>
      <c r="Q6235" s="321"/>
      <c r="R6235" s="260"/>
      <c r="S6235" s="260"/>
      <c r="T6235" s="260"/>
      <c r="U6235" s="260"/>
      <c r="V6235" s="261"/>
      <c r="W6235" s="254"/>
      <c r="X6235" s="261"/>
      <c r="Y6235" s="260"/>
      <c r="Z6235" s="254"/>
      <c r="AA6235" s="261"/>
      <c r="AB6235" s="261"/>
      <c r="AC6235" s="254"/>
      <c r="AD6235" s="57"/>
      <c r="AE6235" s="57"/>
      <c r="AF6235" s="57"/>
      <c r="AG6235" s="57"/>
      <c r="AH6235" s="57"/>
      <c r="AI6235" s="57"/>
      <c r="AJ6235" s="57"/>
      <c r="AK6235" s="57"/>
      <c r="AL6235" s="57"/>
      <c r="AM6235" s="385"/>
    </row>
    <row r="6236" spans="1:39" s="47" customFormat="1">
      <c r="A6236" s="121"/>
      <c r="B6236" s="121"/>
      <c r="C6236" s="121"/>
      <c r="D6236" s="121"/>
      <c r="E6236" s="121"/>
      <c r="F6236" s="121"/>
      <c r="G6236" s="121"/>
      <c r="H6236" s="121"/>
      <c r="I6236" s="121"/>
      <c r="J6236" s="121"/>
      <c r="K6236" s="121"/>
      <c r="L6236" s="121"/>
      <c r="M6236" s="121"/>
      <c r="N6236" s="524" t="s">
        <v>28</v>
      </c>
      <c r="O6236" s="530" t="s">
        <v>2972</v>
      </c>
      <c r="P6236" s="257"/>
      <c r="Q6236" s="321"/>
      <c r="R6236" s="260"/>
      <c r="S6236" s="260"/>
      <c r="T6236" s="260"/>
      <c r="U6236" s="260"/>
      <c r="V6236" s="261"/>
      <c r="W6236" s="548">
        <f>U6236+V6236</f>
        <v>0</v>
      </c>
      <c r="X6236" s="261"/>
      <c r="Y6236" s="260"/>
      <c r="Z6236" s="548">
        <f>X6236+Y6236</f>
        <v>0</v>
      </c>
      <c r="AA6236" s="261"/>
      <c r="AB6236" s="261"/>
      <c r="AC6236" s="548">
        <f>AA6236+AB6236</f>
        <v>0</v>
      </c>
      <c r="AD6236" s="57"/>
      <c r="AE6236" s="57"/>
      <c r="AF6236" s="57"/>
      <c r="AG6236" s="57"/>
      <c r="AH6236" s="57"/>
      <c r="AI6236" s="57"/>
      <c r="AJ6236" s="57"/>
      <c r="AK6236" s="57"/>
      <c r="AL6236" s="57"/>
      <c r="AM6236" s="385"/>
    </row>
    <row r="6237" spans="1:39" s="47" customFormat="1">
      <c r="A6237" s="121"/>
      <c r="B6237" s="121"/>
      <c r="C6237" s="121"/>
      <c r="D6237" s="121"/>
      <c r="E6237" s="121"/>
      <c r="F6237" s="121"/>
      <c r="G6237" s="121"/>
      <c r="H6237" s="121"/>
      <c r="I6237" s="121"/>
      <c r="J6237" s="121"/>
      <c r="K6237" s="121"/>
      <c r="L6237" s="121"/>
      <c r="M6237" s="121"/>
      <c r="N6237" s="223" t="s">
        <v>29</v>
      </c>
      <c r="O6237" s="531" t="s">
        <v>3040</v>
      </c>
      <c r="P6237" s="257"/>
      <c r="Q6237" s="321"/>
      <c r="R6237" s="260"/>
      <c r="S6237" s="260"/>
      <c r="T6237" s="260"/>
      <c r="U6237" s="260"/>
      <c r="V6237" s="257">
        <f>V6238*V6239</f>
        <v>0</v>
      </c>
      <c r="W6237" s="548">
        <f>U6237+V6237</f>
        <v>0</v>
      </c>
      <c r="X6237" s="257">
        <f>X6238*X6239</f>
        <v>0</v>
      </c>
      <c r="Y6237" s="260"/>
      <c r="Z6237" s="548">
        <f>X6237+Y6237</f>
        <v>0</v>
      </c>
      <c r="AA6237" s="257">
        <f>AA6238*AA6239</f>
        <v>0</v>
      </c>
      <c r="AB6237" s="257">
        <f>AB6238*AB6239</f>
        <v>0</v>
      </c>
      <c r="AC6237" s="548">
        <f>AA6237+AB6237</f>
        <v>0</v>
      </c>
      <c r="AD6237" s="57"/>
      <c r="AE6237" s="57"/>
      <c r="AF6237" s="57"/>
      <c r="AG6237" s="57"/>
      <c r="AH6237" s="57"/>
      <c r="AI6237" s="57"/>
      <c r="AJ6237" s="57"/>
      <c r="AK6237" s="57"/>
      <c r="AL6237" s="57"/>
      <c r="AM6237" s="385"/>
    </row>
    <row r="6238" spans="1:39" s="47" customFormat="1">
      <c r="A6238" s="121"/>
      <c r="B6238" s="121"/>
      <c r="C6238" s="121"/>
      <c r="D6238" s="121"/>
      <c r="E6238" s="121"/>
      <c r="F6238" s="121"/>
      <c r="G6238" s="121"/>
      <c r="H6238" s="121"/>
      <c r="I6238" s="121"/>
      <c r="J6238" s="121"/>
      <c r="K6238" s="121"/>
      <c r="L6238" s="121"/>
      <c r="M6238" s="121"/>
      <c r="N6238" s="524" t="s">
        <v>30</v>
      </c>
      <c r="O6238" s="530" t="s">
        <v>2970</v>
      </c>
      <c r="P6238" s="544"/>
      <c r="Q6238" s="321"/>
      <c r="R6238" s="260"/>
      <c r="S6238" s="260"/>
      <c r="T6238" s="260"/>
      <c r="U6238" s="260"/>
      <c r="V6238" s="261"/>
      <c r="W6238" s="254"/>
      <c r="X6238" s="261"/>
      <c r="Y6238" s="260"/>
      <c r="Z6238" s="254"/>
      <c r="AA6238" s="261"/>
      <c r="AB6238" s="261"/>
      <c r="AC6238" s="254"/>
      <c r="AD6238" s="57"/>
      <c r="AE6238" s="57"/>
      <c r="AF6238" s="57"/>
      <c r="AG6238" s="57"/>
      <c r="AH6238" s="57"/>
      <c r="AI6238" s="57"/>
      <c r="AJ6238" s="57"/>
      <c r="AK6238" s="57"/>
      <c r="AL6238" s="57"/>
      <c r="AM6238" s="385"/>
    </row>
    <row r="6239" spans="1:39" s="47" customFormat="1">
      <c r="A6239" s="121"/>
      <c r="B6239" s="121"/>
      <c r="C6239" s="121"/>
      <c r="D6239" s="121"/>
      <c r="E6239" s="121"/>
      <c r="F6239" s="121"/>
      <c r="G6239" s="121"/>
      <c r="H6239" s="121"/>
      <c r="I6239" s="121"/>
      <c r="J6239" s="121"/>
      <c r="K6239" s="121"/>
      <c r="L6239" s="121"/>
      <c r="M6239" s="121"/>
      <c r="N6239" s="524" t="s">
        <v>31</v>
      </c>
      <c r="O6239" s="530" t="s">
        <v>3018</v>
      </c>
      <c r="P6239" s="257"/>
      <c r="Q6239" s="321"/>
      <c r="R6239" s="260"/>
      <c r="S6239" s="260"/>
      <c r="T6239" s="260"/>
      <c r="U6239" s="260"/>
      <c r="V6239" s="261"/>
      <c r="W6239" s="548">
        <f t="shared" ref="W6239:W6253" si="22">U6239+V6239</f>
        <v>0</v>
      </c>
      <c r="X6239" s="261"/>
      <c r="Y6239" s="260"/>
      <c r="Z6239" s="548">
        <f t="shared" ref="Z6239:Z6253" si="23">X6239+Y6239</f>
        <v>0</v>
      </c>
      <c r="AA6239" s="261"/>
      <c r="AB6239" s="261"/>
      <c r="AC6239" s="548">
        <f t="shared" ref="AC6239:AC6253" si="24">AA6239+AB6239</f>
        <v>0</v>
      </c>
      <c r="AD6239" s="57"/>
      <c r="AE6239" s="57"/>
      <c r="AF6239" s="57"/>
      <c r="AG6239" s="57"/>
      <c r="AH6239" s="57"/>
      <c r="AI6239" s="57"/>
      <c r="AJ6239" s="57"/>
      <c r="AK6239" s="57"/>
      <c r="AL6239" s="57"/>
      <c r="AM6239" s="385"/>
    </row>
    <row r="6240" spans="1:39" s="47" customFormat="1">
      <c r="A6240" s="121"/>
      <c r="B6240" s="121"/>
      <c r="C6240" s="121"/>
      <c r="D6240" s="121"/>
      <c r="E6240" s="121"/>
      <c r="F6240" s="121"/>
      <c r="G6240" s="121"/>
      <c r="H6240" s="121"/>
      <c r="I6240" s="121"/>
      <c r="J6240" s="121"/>
      <c r="K6240" s="121"/>
      <c r="L6240" s="121"/>
      <c r="M6240" s="121"/>
      <c r="N6240" s="504" t="s">
        <v>633</v>
      </c>
      <c r="O6240" s="532" t="s">
        <v>2819</v>
      </c>
      <c r="P6240" s="257"/>
      <c r="Q6240" s="321"/>
      <c r="R6240" s="260"/>
      <c r="S6240" s="260"/>
      <c r="T6240" s="260"/>
      <c r="U6240" s="260"/>
      <c r="V6240" s="261"/>
      <c r="W6240" s="548">
        <f t="shared" si="22"/>
        <v>0</v>
      </c>
      <c r="X6240" s="261"/>
      <c r="Y6240" s="260"/>
      <c r="Z6240" s="548">
        <f t="shared" si="23"/>
        <v>0</v>
      </c>
      <c r="AA6240" s="261"/>
      <c r="AB6240" s="261"/>
      <c r="AC6240" s="548">
        <f t="shared" si="24"/>
        <v>0</v>
      </c>
      <c r="AD6240" s="57"/>
      <c r="AE6240" s="57"/>
      <c r="AF6240" s="57"/>
      <c r="AG6240" s="57"/>
      <c r="AH6240" s="57"/>
      <c r="AI6240" s="57"/>
      <c r="AJ6240" s="57"/>
      <c r="AK6240" s="57"/>
      <c r="AL6240" s="57"/>
      <c r="AM6240" s="385"/>
    </row>
    <row r="6241" spans="1:39" s="47" customFormat="1">
      <c r="A6241" s="121"/>
      <c r="B6241" s="121"/>
      <c r="C6241" s="121"/>
      <c r="D6241" s="121"/>
      <c r="E6241" s="121"/>
      <c r="F6241" s="121"/>
      <c r="G6241" s="121"/>
      <c r="H6241" s="121"/>
      <c r="I6241" s="121"/>
      <c r="J6241" s="121"/>
      <c r="K6241" s="121"/>
      <c r="L6241" s="121"/>
      <c r="M6241" s="121"/>
      <c r="N6241" s="504" t="s">
        <v>69</v>
      </c>
      <c r="O6241" s="527" t="s">
        <v>2820</v>
      </c>
      <c r="P6241" s="257"/>
      <c r="Q6241" s="321"/>
      <c r="R6241" s="260"/>
      <c r="S6241" s="260"/>
      <c r="T6241" s="260"/>
      <c r="U6241" s="260"/>
      <c r="V6241" s="261"/>
      <c r="W6241" s="548">
        <f t="shared" si="22"/>
        <v>0</v>
      </c>
      <c r="X6241" s="261"/>
      <c r="Y6241" s="260"/>
      <c r="Z6241" s="548">
        <f t="shared" si="23"/>
        <v>0</v>
      </c>
      <c r="AA6241" s="261"/>
      <c r="AB6241" s="261"/>
      <c r="AC6241" s="548">
        <f t="shared" si="24"/>
        <v>0</v>
      </c>
      <c r="AD6241" s="57"/>
      <c r="AE6241" s="57"/>
      <c r="AF6241" s="57"/>
      <c r="AG6241" s="57"/>
      <c r="AH6241" s="57"/>
      <c r="AI6241" s="57"/>
      <c r="AJ6241" s="57"/>
      <c r="AK6241" s="57"/>
      <c r="AL6241" s="57"/>
      <c r="AM6241" s="385"/>
    </row>
    <row r="6242" spans="1:39" s="47" customFormat="1">
      <c r="A6242" s="121"/>
      <c r="B6242" s="121"/>
      <c r="C6242" s="121"/>
      <c r="D6242" s="121"/>
      <c r="E6242" s="121"/>
      <c r="F6242" s="121"/>
      <c r="G6242" s="121"/>
      <c r="H6242" s="121"/>
      <c r="I6242" s="121"/>
      <c r="J6242" s="121"/>
      <c r="K6242" s="121"/>
      <c r="L6242" s="121"/>
      <c r="M6242" s="121"/>
      <c r="N6242" s="504" t="s">
        <v>72</v>
      </c>
      <c r="O6242" s="527" t="s">
        <v>2471</v>
      </c>
      <c r="P6242" s="257"/>
      <c r="Q6242" s="321"/>
      <c r="R6242" s="260"/>
      <c r="S6242" s="260"/>
      <c r="T6242" s="260"/>
      <c r="U6242" s="260"/>
      <c r="V6242" s="261"/>
      <c r="W6242" s="548">
        <f t="shared" si="22"/>
        <v>0</v>
      </c>
      <c r="X6242" s="261"/>
      <c r="Y6242" s="260"/>
      <c r="Z6242" s="548">
        <f t="shared" si="23"/>
        <v>0</v>
      </c>
      <c r="AA6242" s="261"/>
      <c r="AB6242" s="261"/>
      <c r="AC6242" s="548">
        <f t="shared" si="24"/>
        <v>0</v>
      </c>
      <c r="AD6242" s="57"/>
      <c r="AE6242" s="57"/>
      <c r="AF6242" s="57"/>
      <c r="AG6242" s="57"/>
      <c r="AH6242" s="57"/>
      <c r="AI6242" s="57"/>
      <c r="AJ6242" s="57"/>
      <c r="AK6242" s="57"/>
      <c r="AL6242" s="57"/>
      <c r="AM6242" s="385"/>
    </row>
    <row r="6243" spans="1:39" s="47" customFormat="1">
      <c r="A6243" s="121"/>
      <c r="B6243" s="121"/>
      <c r="C6243" s="121"/>
      <c r="D6243" s="121"/>
      <c r="E6243" s="121"/>
      <c r="F6243" s="121"/>
      <c r="G6243" s="121"/>
      <c r="H6243" s="121"/>
      <c r="I6243" s="121"/>
      <c r="J6243" s="121"/>
      <c r="K6243" s="121"/>
      <c r="L6243" s="121"/>
      <c r="M6243" s="121"/>
      <c r="N6243" s="504" t="s">
        <v>2821</v>
      </c>
      <c r="O6243" s="527" t="s">
        <v>2822</v>
      </c>
      <c r="P6243" s="257"/>
      <c r="Q6243" s="321"/>
      <c r="R6243" s="260"/>
      <c r="S6243" s="260"/>
      <c r="T6243" s="260"/>
      <c r="U6243" s="260"/>
      <c r="V6243" s="257">
        <f>SUM(V6244:V6246)</f>
        <v>0</v>
      </c>
      <c r="W6243" s="548">
        <f t="shared" si="22"/>
        <v>0</v>
      </c>
      <c r="X6243" s="257">
        <f>SUM(X6244:X6246)</f>
        <v>0</v>
      </c>
      <c r="Y6243" s="260"/>
      <c r="Z6243" s="548">
        <f t="shared" si="23"/>
        <v>0</v>
      </c>
      <c r="AA6243" s="257">
        <f>SUM(AA6244:AA6246)</f>
        <v>0</v>
      </c>
      <c r="AB6243" s="257">
        <f>SUM(AB6244:AB6246)</f>
        <v>0</v>
      </c>
      <c r="AC6243" s="548">
        <f t="shared" si="24"/>
        <v>0</v>
      </c>
      <c r="AD6243" s="57"/>
      <c r="AE6243" s="57"/>
      <c r="AF6243" s="57"/>
      <c r="AG6243" s="57"/>
      <c r="AH6243" s="57"/>
      <c r="AI6243" s="57"/>
      <c r="AJ6243" s="57"/>
      <c r="AK6243" s="57"/>
      <c r="AL6243" s="57"/>
      <c r="AM6243" s="385"/>
    </row>
    <row r="6244" spans="1:39" s="47" customFormat="1">
      <c r="A6244" s="121"/>
      <c r="B6244" s="121"/>
      <c r="C6244" s="121"/>
      <c r="D6244" s="121"/>
      <c r="E6244" s="121"/>
      <c r="F6244" s="121"/>
      <c r="G6244" s="121"/>
      <c r="H6244" s="121"/>
      <c r="I6244" s="121"/>
      <c r="J6244" s="121"/>
      <c r="K6244" s="121"/>
      <c r="L6244" s="121"/>
      <c r="M6244" s="121"/>
      <c r="N6244" s="504" t="s">
        <v>888</v>
      </c>
      <c r="O6244" s="528" t="s">
        <v>2823</v>
      </c>
      <c r="P6244" s="257"/>
      <c r="Q6244" s="321"/>
      <c r="R6244" s="260"/>
      <c r="S6244" s="260"/>
      <c r="T6244" s="260"/>
      <c r="U6244" s="260"/>
      <c r="V6244" s="261"/>
      <c r="W6244" s="548">
        <f t="shared" si="22"/>
        <v>0</v>
      </c>
      <c r="X6244" s="261"/>
      <c r="Y6244" s="260"/>
      <c r="Z6244" s="548">
        <f t="shared" si="23"/>
        <v>0</v>
      </c>
      <c r="AA6244" s="261"/>
      <c r="AB6244" s="261"/>
      <c r="AC6244" s="548">
        <f t="shared" si="24"/>
        <v>0</v>
      </c>
      <c r="AD6244" s="57"/>
      <c r="AE6244" s="57"/>
      <c r="AF6244" s="57"/>
      <c r="AG6244" s="57"/>
      <c r="AH6244" s="57"/>
      <c r="AI6244" s="57"/>
      <c r="AJ6244" s="57"/>
      <c r="AK6244" s="57"/>
      <c r="AL6244" s="57"/>
      <c r="AM6244" s="385"/>
    </row>
    <row r="6245" spans="1:39" s="47" customFormat="1">
      <c r="A6245" s="121"/>
      <c r="B6245" s="121"/>
      <c r="C6245" s="121"/>
      <c r="D6245" s="121"/>
      <c r="E6245" s="121"/>
      <c r="F6245" s="121"/>
      <c r="G6245" s="121"/>
      <c r="H6245" s="121"/>
      <c r="I6245" s="121"/>
      <c r="J6245" s="121"/>
      <c r="K6245" s="121"/>
      <c r="L6245" s="121"/>
      <c r="M6245" s="121"/>
      <c r="N6245" s="504" t="s">
        <v>889</v>
      </c>
      <c r="O6245" s="528" t="s">
        <v>2824</v>
      </c>
      <c r="P6245" s="257"/>
      <c r="Q6245" s="321"/>
      <c r="R6245" s="260"/>
      <c r="S6245" s="260"/>
      <c r="T6245" s="260"/>
      <c r="U6245" s="260"/>
      <c r="V6245" s="261"/>
      <c r="W6245" s="548">
        <f t="shared" si="22"/>
        <v>0</v>
      </c>
      <c r="X6245" s="261"/>
      <c r="Y6245" s="260"/>
      <c r="Z6245" s="548">
        <f t="shared" si="23"/>
        <v>0</v>
      </c>
      <c r="AA6245" s="261"/>
      <c r="AB6245" s="261"/>
      <c r="AC6245" s="548">
        <f t="shared" si="24"/>
        <v>0</v>
      </c>
      <c r="AD6245" s="57"/>
      <c r="AE6245" s="57"/>
      <c r="AF6245" s="57"/>
      <c r="AG6245" s="57"/>
      <c r="AH6245" s="57"/>
      <c r="AI6245" s="57"/>
      <c r="AJ6245" s="57"/>
      <c r="AK6245" s="57"/>
      <c r="AL6245" s="57"/>
      <c r="AM6245" s="385"/>
    </row>
    <row r="6246" spans="1:39" s="47" customFormat="1">
      <c r="A6246" s="121"/>
      <c r="B6246" s="121"/>
      <c r="C6246" s="121"/>
      <c r="D6246" s="121"/>
      <c r="E6246" s="121"/>
      <c r="F6246" s="121"/>
      <c r="G6246" s="121"/>
      <c r="H6246" s="121"/>
      <c r="I6246" s="121"/>
      <c r="J6246" s="121"/>
      <c r="K6246" s="121"/>
      <c r="L6246" s="121"/>
      <c r="M6246" s="121"/>
      <c r="N6246" s="504" t="s">
        <v>890</v>
      </c>
      <c r="O6246" s="528" t="s">
        <v>2825</v>
      </c>
      <c r="P6246" s="257"/>
      <c r="Q6246" s="321"/>
      <c r="R6246" s="260"/>
      <c r="S6246" s="260"/>
      <c r="T6246" s="260"/>
      <c r="U6246" s="260"/>
      <c r="V6246" s="261"/>
      <c r="W6246" s="548">
        <f t="shared" si="22"/>
        <v>0</v>
      </c>
      <c r="X6246" s="261"/>
      <c r="Y6246" s="260"/>
      <c r="Z6246" s="548">
        <f t="shared" si="23"/>
        <v>0</v>
      </c>
      <c r="AA6246" s="261"/>
      <c r="AB6246" s="261"/>
      <c r="AC6246" s="548">
        <f t="shared" si="24"/>
        <v>0</v>
      </c>
      <c r="AD6246" s="57"/>
      <c r="AE6246" s="57"/>
      <c r="AF6246" s="57"/>
      <c r="AG6246" s="57"/>
      <c r="AH6246" s="57"/>
      <c r="AI6246" s="57"/>
      <c r="AJ6246" s="57"/>
      <c r="AK6246" s="57"/>
      <c r="AL6246" s="57"/>
      <c r="AM6246" s="385"/>
    </row>
    <row r="6247" spans="1:39" s="47" customFormat="1">
      <c r="A6247" s="121"/>
      <c r="B6247" s="121"/>
      <c r="C6247" s="121"/>
      <c r="D6247" s="121"/>
      <c r="E6247" s="121"/>
      <c r="F6247" s="121"/>
      <c r="G6247" s="121"/>
      <c r="H6247" s="121"/>
      <c r="I6247" s="121"/>
      <c r="J6247" s="121"/>
      <c r="K6247" s="121"/>
      <c r="L6247" s="121"/>
      <c r="M6247" s="121"/>
      <c r="N6247" s="504" t="s">
        <v>2826</v>
      </c>
      <c r="O6247" s="527" t="s">
        <v>2827</v>
      </c>
      <c r="P6247" s="257"/>
      <c r="Q6247" s="321"/>
      <c r="R6247" s="260"/>
      <c r="S6247" s="260"/>
      <c r="T6247" s="260"/>
      <c r="U6247" s="260"/>
      <c r="V6247" s="261"/>
      <c r="W6247" s="548">
        <f t="shared" si="22"/>
        <v>0</v>
      </c>
      <c r="X6247" s="261"/>
      <c r="Y6247" s="260"/>
      <c r="Z6247" s="548">
        <f t="shared" si="23"/>
        <v>0</v>
      </c>
      <c r="AA6247" s="261"/>
      <c r="AB6247" s="261"/>
      <c r="AC6247" s="548">
        <f t="shared" si="24"/>
        <v>0</v>
      </c>
      <c r="AD6247" s="57"/>
      <c r="AE6247" s="57"/>
      <c r="AF6247" s="57"/>
      <c r="AG6247" s="57"/>
      <c r="AH6247" s="57"/>
      <c r="AI6247" s="57"/>
      <c r="AJ6247" s="57"/>
      <c r="AK6247" s="57"/>
      <c r="AL6247" s="57"/>
      <c r="AM6247" s="385"/>
    </row>
    <row r="6248" spans="1:39" s="47" customFormat="1">
      <c r="A6248" s="121"/>
      <c r="B6248" s="121"/>
      <c r="C6248" s="121"/>
      <c r="D6248" s="121"/>
      <c r="E6248" s="121"/>
      <c r="F6248" s="121"/>
      <c r="G6248" s="121"/>
      <c r="H6248" s="121"/>
      <c r="I6248" s="121"/>
      <c r="J6248" s="121"/>
      <c r="K6248" s="121"/>
      <c r="L6248" s="121"/>
      <c r="M6248" s="121"/>
      <c r="N6248" s="504" t="s">
        <v>2828</v>
      </c>
      <c r="O6248" s="527" t="s">
        <v>2829</v>
      </c>
      <c r="P6248" s="257"/>
      <c r="Q6248" s="321"/>
      <c r="R6248" s="260"/>
      <c r="S6248" s="260"/>
      <c r="T6248" s="260"/>
      <c r="U6248" s="260"/>
      <c r="V6248" s="261"/>
      <c r="W6248" s="548">
        <f t="shared" si="22"/>
        <v>0</v>
      </c>
      <c r="X6248" s="261"/>
      <c r="Y6248" s="260"/>
      <c r="Z6248" s="548">
        <f t="shared" si="23"/>
        <v>0</v>
      </c>
      <c r="AA6248" s="261"/>
      <c r="AB6248" s="261"/>
      <c r="AC6248" s="548">
        <f t="shared" si="24"/>
        <v>0</v>
      </c>
      <c r="AD6248" s="57"/>
      <c r="AE6248" s="57"/>
      <c r="AF6248" s="57"/>
      <c r="AG6248" s="57"/>
      <c r="AH6248" s="57"/>
      <c r="AI6248" s="57"/>
      <c r="AJ6248" s="57"/>
      <c r="AK6248" s="57"/>
      <c r="AL6248" s="57"/>
      <c r="AM6248" s="385"/>
    </row>
    <row r="6249" spans="1:39" s="47" customFormat="1">
      <c r="A6249" s="121"/>
      <c r="B6249" s="121"/>
      <c r="C6249" s="121"/>
      <c r="D6249" s="121"/>
      <c r="E6249" s="121"/>
      <c r="F6249" s="121"/>
      <c r="G6249" s="121"/>
      <c r="H6249" s="121"/>
      <c r="I6249" s="121"/>
      <c r="J6249" s="121"/>
      <c r="K6249" s="121"/>
      <c r="L6249" s="121"/>
      <c r="M6249" s="121"/>
      <c r="N6249" s="504" t="s">
        <v>2830</v>
      </c>
      <c r="O6249" s="527" t="s">
        <v>2831</v>
      </c>
      <c r="P6249" s="257"/>
      <c r="Q6249" s="321"/>
      <c r="R6249" s="260"/>
      <c r="S6249" s="260"/>
      <c r="T6249" s="260"/>
      <c r="U6249" s="260"/>
      <c r="V6249" s="257">
        <f>SUM(V6253,V6259,V6265,V6268,V6271)</f>
        <v>0</v>
      </c>
      <c r="W6249" s="548">
        <f t="shared" si="22"/>
        <v>0</v>
      </c>
      <c r="X6249" s="257">
        <f>SUM(X6253,X6259,X6265,X6268,X6271)</f>
        <v>0</v>
      </c>
      <c r="Y6249" s="260"/>
      <c r="Z6249" s="548">
        <f t="shared" si="23"/>
        <v>0</v>
      </c>
      <c r="AA6249" s="257">
        <f>SUM(AA6253,AA6259,AA6265,AA6268,AA6271)</f>
        <v>0</v>
      </c>
      <c r="AB6249" s="257">
        <f>SUM(AB6253,AB6259,AB6265,AB6268,AB6271)</f>
        <v>0</v>
      </c>
      <c r="AC6249" s="548">
        <f t="shared" si="24"/>
        <v>0</v>
      </c>
      <c r="AD6249" s="57"/>
      <c r="AE6249" s="57"/>
      <c r="AF6249" s="57"/>
      <c r="AG6249" s="57"/>
      <c r="AH6249" s="57"/>
      <c r="AI6249" s="57"/>
      <c r="AJ6249" s="57"/>
      <c r="AK6249" s="57"/>
      <c r="AL6249" s="57"/>
      <c r="AM6249" s="385"/>
    </row>
    <row r="6250" spans="1:39" s="47" customFormat="1" ht="22.5">
      <c r="A6250" s="121"/>
      <c r="B6250" s="121"/>
      <c r="C6250" s="121"/>
      <c r="D6250" s="121"/>
      <c r="E6250" s="121"/>
      <c r="F6250" s="121"/>
      <c r="G6250" s="121"/>
      <c r="H6250" s="121"/>
      <c r="I6250" s="121"/>
      <c r="J6250" s="121"/>
      <c r="K6250" s="121"/>
      <c r="L6250" s="121"/>
      <c r="M6250" s="121"/>
      <c r="N6250" s="279" t="s">
        <v>353</v>
      </c>
      <c r="O6250" s="558" t="s">
        <v>2782</v>
      </c>
      <c r="P6250" s="257"/>
      <c r="Q6250" s="321"/>
      <c r="R6250" s="260"/>
      <c r="S6250" s="260"/>
      <c r="T6250" s="260"/>
      <c r="U6250" s="260"/>
      <c r="V6250" s="257">
        <f>IF(V6251=0,0,(1000*V6249/V6251)/$AN$8)</f>
        <v>0</v>
      </c>
      <c r="W6250" s="254"/>
      <c r="X6250" s="257">
        <f>IF(X6251=0,0,(1000*X6249/X6251)/$AN$8)</f>
        <v>0</v>
      </c>
      <c r="Y6250" s="260"/>
      <c r="Z6250" s="254"/>
      <c r="AA6250" s="257">
        <f>IF(AA6251=0,0,(1000*AA6249/AA6251)/$AN$8)</f>
        <v>0</v>
      </c>
      <c r="AB6250" s="257">
        <f>IF(AB6251=0,0,(1000*AB6249/AB6251)/$AN$8)</f>
        <v>0</v>
      </c>
      <c r="AC6250" s="254"/>
      <c r="AD6250" s="57"/>
      <c r="AE6250" s="57"/>
      <c r="AF6250" s="57"/>
      <c r="AG6250" s="57"/>
      <c r="AH6250" s="57"/>
      <c r="AI6250" s="57"/>
      <c r="AJ6250" s="57"/>
      <c r="AK6250" s="57"/>
      <c r="AL6250" s="57"/>
      <c r="AM6250" s="385"/>
    </row>
    <row r="6251" spans="1:39" s="47" customFormat="1">
      <c r="A6251" s="121"/>
      <c r="B6251" s="121"/>
      <c r="C6251" s="121"/>
      <c r="D6251" s="121"/>
      <c r="E6251" s="121"/>
      <c r="F6251" s="121"/>
      <c r="G6251" s="121"/>
      <c r="H6251" s="121"/>
      <c r="I6251" s="121"/>
      <c r="J6251" s="121"/>
      <c r="K6251" s="121"/>
      <c r="L6251" s="121"/>
      <c r="M6251" s="121"/>
      <c r="N6251" s="279" t="s">
        <v>354</v>
      </c>
      <c r="O6251" s="558" t="s">
        <v>2783</v>
      </c>
      <c r="P6251" s="257"/>
      <c r="Q6251" s="321"/>
      <c r="R6251" s="260"/>
      <c r="S6251" s="260"/>
      <c r="T6251" s="260"/>
      <c r="U6251" s="260"/>
      <c r="V6251" s="257">
        <f>SUM(V6255,V6261,V6267,V6270,V6273)</f>
        <v>0</v>
      </c>
      <c r="W6251" s="254"/>
      <c r="X6251" s="257">
        <f>SUM(X6255,X6261,X6267,X6270,X6273)</f>
        <v>0</v>
      </c>
      <c r="Y6251" s="260"/>
      <c r="Z6251" s="254"/>
      <c r="AA6251" s="257">
        <f>SUM(AA6255,AA6261,AA6267,AA6270,AA6273)</f>
        <v>0</v>
      </c>
      <c r="AB6251" s="257">
        <f>SUM(AB6255,AB6261,AB6267,AB6270,AB6273)</f>
        <v>0</v>
      </c>
      <c r="AC6251" s="254"/>
      <c r="AD6251" s="57"/>
      <c r="AE6251" s="57"/>
      <c r="AF6251" s="57"/>
      <c r="AG6251" s="57"/>
      <c r="AH6251" s="57"/>
      <c r="AI6251" s="57"/>
      <c r="AJ6251" s="57"/>
      <c r="AK6251" s="57"/>
      <c r="AL6251" s="57"/>
      <c r="AM6251" s="385"/>
    </row>
    <row r="6252" spans="1:39" s="47" customFormat="1">
      <c r="A6252" s="121"/>
      <c r="B6252" s="121"/>
      <c r="C6252" s="121"/>
      <c r="D6252" s="121"/>
      <c r="E6252" s="121"/>
      <c r="F6252" s="121"/>
      <c r="G6252" s="121"/>
      <c r="H6252" s="121"/>
      <c r="I6252" s="121"/>
      <c r="J6252" s="121"/>
      <c r="K6252" s="121"/>
      <c r="L6252" s="121"/>
      <c r="M6252" s="121"/>
      <c r="N6252" s="279" t="s">
        <v>355</v>
      </c>
      <c r="O6252" s="558" t="s">
        <v>120</v>
      </c>
      <c r="P6252" s="263"/>
      <c r="Q6252" s="321"/>
      <c r="R6252" s="260"/>
      <c r="S6252" s="260"/>
      <c r="T6252" s="260"/>
      <c r="U6252" s="260"/>
      <c r="V6252" s="261"/>
      <c r="W6252" s="254"/>
      <c r="X6252" s="261"/>
      <c r="Y6252" s="260"/>
      <c r="Z6252" s="254"/>
      <c r="AA6252" s="261"/>
      <c r="AB6252" s="261"/>
      <c r="AC6252" s="254"/>
      <c r="AD6252" s="57"/>
      <c r="AE6252" s="57"/>
      <c r="AF6252" s="57"/>
      <c r="AG6252" s="57"/>
      <c r="AH6252" s="57"/>
      <c r="AI6252" s="57"/>
      <c r="AJ6252" s="57"/>
      <c r="AK6252" s="57"/>
      <c r="AL6252" s="57"/>
      <c r="AM6252" s="385"/>
    </row>
    <row r="6253" spans="1:39" s="47" customFormat="1">
      <c r="A6253" s="121"/>
      <c r="B6253" s="121"/>
      <c r="C6253" s="121"/>
      <c r="D6253" s="121"/>
      <c r="E6253" s="121"/>
      <c r="F6253" s="121"/>
      <c r="G6253" s="121"/>
      <c r="H6253" s="121"/>
      <c r="I6253" s="121"/>
      <c r="J6253" s="121"/>
      <c r="K6253" s="121"/>
      <c r="L6253" s="121"/>
      <c r="M6253" s="121"/>
      <c r="N6253" s="222" t="s">
        <v>2832</v>
      </c>
      <c r="O6253" s="533" t="s">
        <v>1832</v>
      </c>
      <c r="P6253" s="257"/>
      <c r="Q6253" s="321"/>
      <c r="R6253" s="260"/>
      <c r="S6253" s="260"/>
      <c r="T6253" s="260"/>
      <c r="U6253" s="260"/>
      <c r="V6253" s="261"/>
      <c r="W6253" s="548">
        <f t="shared" si="22"/>
        <v>0</v>
      </c>
      <c r="X6253" s="261"/>
      <c r="Y6253" s="260"/>
      <c r="Z6253" s="548">
        <f t="shared" si="23"/>
        <v>0</v>
      </c>
      <c r="AA6253" s="261"/>
      <c r="AB6253" s="261"/>
      <c r="AC6253" s="548">
        <f t="shared" si="24"/>
        <v>0</v>
      </c>
      <c r="AD6253" s="57"/>
      <c r="AE6253" s="57"/>
      <c r="AF6253" s="57"/>
      <c r="AG6253" s="57"/>
      <c r="AH6253" s="57"/>
      <c r="AI6253" s="57"/>
      <c r="AJ6253" s="57"/>
      <c r="AK6253" s="57"/>
      <c r="AL6253" s="57"/>
      <c r="AM6253" s="385"/>
    </row>
    <row r="6254" spans="1:39" s="47" customFormat="1" ht="22.5">
      <c r="A6254" s="121"/>
      <c r="B6254" s="121"/>
      <c r="C6254" s="121"/>
      <c r="D6254" s="121"/>
      <c r="E6254" s="121"/>
      <c r="F6254" s="121"/>
      <c r="G6254" s="121"/>
      <c r="H6254" s="121"/>
      <c r="I6254" s="121"/>
      <c r="J6254" s="121"/>
      <c r="K6254" s="121"/>
      <c r="L6254" s="121"/>
      <c r="M6254" s="121"/>
      <c r="N6254" s="222" t="s">
        <v>2833</v>
      </c>
      <c r="O6254" s="529" t="s">
        <v>1834</v>
      </c>
      <c r="P6254" s="254"/>
      <c r="Q6254" s="321"/>
      <c r="R6254" s="260"/>
      <c r="S6254" s="260"/>
      <c r="T6254" s="260"/>
      <c r="U6254" s="260"/>
      <c r="V6254" s="257">
        <f>IF(V6255&lt;&gt;0,(1000*V6253/V6255)/$AN$8,0)</f>
        <v>0</v>
      </c>
      <c r="W6254" s="254"/>
      <c r="X6254" s="257">
        <f>IF(X6255&lt;&gt;0,(1000*X6253/X6255)/$AN$8,0)</f>
        <v>0</v>
      </c>
      <c r="Y6254" s="260"/>
      <c r="Z6254" s="254"/>
      <c r="AA6254" s="257">
        <f>IF(AA6255&lt;&gt;0,(1000*AA6253/AA6255)/$AN$8,0)</f>
        <v>0</v>
      </c>
      <c r="AB6254" s="257">
        <f>IF(AB6255&lt;&gt;0,(1000*AB6253/AB6255)/$AN$8,0)</f>
        <v>0</v>
      </c>
      <c r="AC6254" s="254"/>
      <c r="AD6254" s="57"/>
      <c r="AE6254" s="57"/>
      <c r="AF6254" s="57"/>
      <c r="AG6254" s="57"/>
      <c r="AH6254" s="57"/>
      <c r="AI6254" s="57"/>
      <c r="AJ6254" s="57"/>
      <c r="AK6254" s="57"/>
      <c r="AL6254" s="57"/>
      <c r="AM6254" s="385"/>
    </row>
    <row r="6255" spans="1:39" s="47" customFormat="1" ht="22.5">
      <c r="A6255" s="121"/>
      <c r="B6255" s="121"/>
      <c r="C6255" s="121"/>
      <c r="D6255" s="121"/>
      <c r="E6255" s="121"/>
      <c r="F6255" s="121"/>
      <c r="G6255" s="121"/>
      <c r="H6255" s="121"/>
      <c r="I6255" s="121"/>
      <c r="J6255" s="121"/>
      <c r="K6255" s="121"/>
      <c r="L6255" s="121"/>
      <c r="M6255" s="121"/>
      <c r="N6255" s="222" t="s">
        <v>2834</v>
      </c>
      <c r="O6255" s="529" t="s">
        <v>1836</v>
      </c>
      <c r="P6255" s="257"/>
      <c r="Q6255" s="321"/>
      <c r="R6255" s="260"/>
      <c r="S6255" s="260"/>
      <c r="T6255" s="260"/>
      <c r="U6255" s="260"/>
      <c r="V6255" s="261"/>
      <c r="W6255" s="548">
        <f>U6255+V6255</f>
        <v>0</v>
      </c>
      <c r="X6255" s="261"/>
      <c r="Y6255" s="260"/>
      <c r="Z6255" s="548">
        <f>X6255+Y6255</f>
        <v>0</v>
      </c>
      <c r="AA6255" s="261"/>
      <c r="AB6255" s="261"/>
      <c r="AC6255" s="548">
        <f>AA6255+AB6255</f>
        <v>0</v>
      </c>
      <c r="AD6255" s="57"/>
      <c r="AE6255" s="57"/>
      <c r="AF6255" s="57"/>
      <c r="AG6255" s="57"/>
      <c r="AH6255" s="57"/>
      <c r="AI6255" s="57"/>
      <c r="AJ6255" s="57"/>
      <c r="AK6255" s="57"/>
      <c r="AL6255" s="57"/>
      <c r="AM6255" s="385"/>
    </row>
    <row r="6256" spans="1:39" s="47" customFormat="1">
      <c r="A6256" s="121"/>
      <c r="B6256" s="121"/>
      <c r="C6256" s="121"/>
      <c r="D6256" s="121"/>
      <c r="E6256" s="121"/>
      <c r="F6256" s="121"/>
      <c r="G6256" s="121"/>
      <c r="H6256" s="121"/>
      <c r="I6256" s="121"/>
      <c r="J6256" s="121"/>
      <c r="K6256" s="121"/>
      <c r="L6256" s="121"/>
      <c r="M6256" s="121"/>
      <c r="N6256" s="222" t="s">
        <v>356</v>
      </c>
      <c r="O6256" s="558" t="s">
        <v>119</v>
      </c>
      <c r="P6256" s="263"/>
      <c r="Q6256" s="321"/>
      <c r="R6256" s="260"/>
      <c r="S6256" s="260"/>
      <c r="T6256" s="260"/>
      <c r="U6256" s="260"/>
      <c r="V6256" s="261"/>
      <c r="W6256" s="254"/>
      <c r="X6256" s="261"/>
      <c r="Y6256" s="260"/>
      <c r="Z6256" s="254"/>
      <c r="AA6256" s="261"/>
      <c r="AB6256" s="261"/>
      <c r="AC6256" s="254"/>
      <c r="AD6256" s="57"/>
      <c r="AE6256" s="57"/>
      <c r="AF6256" s="57"/>
      <c r="AG6256" s="57"/>
      <c r="AH6256" s="57"/>
      <c r="AI6256" s="57"/>
      <c r="AJ6256" s="57"/>
      <c r="AK6256" s="57"/>
      <c r="AL6256" s="57"/>
      <c r="AM6256" s="385"/>
    </row>
    <row r="6257" spans="1:39" s="47" customFormat="1">
      <c r="A6257" s="121"/>
      <c r="B6257" s="121"/>
      <c r="C6257" s="121"/>
      <c r="D6257" s="121"/>
      <c r="E6257" s="121"/>
      <c r="F6257" s="121"/>
      <c r="G6257" s="121"/>
      <c r="H6257" s="121"/>
      <c r="I6257" s="121"/>
      <c r="J6257" s="121"/>
      <c r="K6257" s="121"/>
      <c r="L6257" s="121"/>
      <c r="M6257" s="121"/>
      <c r="N6257" s="222" t="s">
        <v>357</v>
      </c>
      <c r="O6257" s="558" t="s">
        <v>121</v>
      </c>
      <c r="P6257" s="263"/>
      <c r="Q6257" s="321"/>
      <c r="R6257" s="260"/>
      <c r="S6257" s="260"/>
      <c r="T6257" s="260"/>
      <c r="U6257" s="260"/>
      <c r="V6257" s="261"/>
      <c r="W6257" s="254"/>
      <c r="X6257" s="261"/>
      <c r="Y6257" s="260"/>
      <c r="Z6257" s="254"/>
      <c r="AA6257" s="261"/>
      <c r="AB6257" s="261"/>
      <c r="AC6257" s="254"/>
      <c r="AD6257" s="57"/>
      <c r="AE6257" s="57"/>
      <c r="AF6257" s="57"/>
      <c r="AG6257" s="57"/>
      <c r="AH6257" s="57"/>
      <c r="AI6257" s="57"/>
      <c r="AJ6257" s="57"/>
      <c r="AK6257" s="57"/>
      <c r="AL6257" s="57"/>
      <c r="AM6257" s="385"/>
    </row>
    <row r="6258" spans="1:39" s="47" customFormat="1">
      <c r="A6258" s="121"/>
      <c r="B6258" s="121"/>
      <c r="C6258" s="121"/>
      <c r="D6258" s="121"/>
      <c r="E6258" s="121"/>
      <c r="F6258" s="121"/>
      <c r="G6258" s="121"/>
      <c r="H6258" s="121"/>
      <c r="I6258" s="121"/>
      <c r="J6258" s="121"/>
      <c r="K6258" s="121"/>
      <c r="L6258" s="121"/>
      <c r="M6258" s="121"/>
      <c r="N6258" s="222" t="s">
        <v>358</v>
      </c>
      <c r="O6258" s="558" t="s">
        <v>122</v>
      </c>
      <c r="P6258" s="263"/>
      <c r="Q6258" s="321"/>
      <c r="R6258" s="260"/>
      <c r="S6258" s="260"/>
      <c r="T6258" s="260"/>
      <c r="U6258" s="260"/>
      <c r="V6258" s="261"/>
      <c r="W6258" s="254"/>
      <c r="X6258" s="261"/>
      <c r="Y6258" s="260"/>
      <c r="Z6258" s="254"/>
      <c r="AA6258" s="261"/>
      <c r="AB6258" s="261"/>
      <c r="AC6258" s="254"/>
      <c r="AD6258" s="57"/>
      <c r="AE6258" s="57"/>
      <c r="AF6258" s="57"/>
      <c r="AG6258" s="57"/>
      <c r="AH6258" s="57"/>
      <c r="AI6258" s="57"/>
      <c r="AJ6258" s="57"/>
      <c r="AK6258" s="57"/>
      <c r="AL6258" s="57"/>
      <c r="AM6258" s="385"/>
    </row>
    <row r="6259" spans="1:39" s="47" customFormat="1">
      <c r="A6259" s="121"/>
      <c r="B6259" s="121"/>
      <c r="C6259" s="121"/>
      <c r="D6259" s="121"/>
      <c r="E6259" s="121"/>
      <c r="F6259" s="121"/>
      <c r="G6259" s="121"/>
      <c r="H6259" s="121"/>
      <c r="I6259" s="121"/>
      <c r="J6259" s="121"/>
      <c r="K6259" s="121"/>
      <c r="L6259" s="121"/>
      <c r="M6259" s="121"/>
      <c r="N6259" s="222" t="s">
        <v>2835</v>
      </c>
      <c r="O6259" s="533" t="s">
        <v>1838</v>
      </c>
      <c r="P6259" s="257"/>
      <c r="Q6259" s="321"/>
      <c r="R6259" s="260"/>
      <c r="S6259" s="260"/>
      <c r="T6259" s="260"/>
      <c r="U6259" s="260"/>
      <c r="V6259" s="261"/>
      <c r="W6259" s="548">
        <f>U6259+V6259</f>
        <v>0</v>
      </c>
      <c r="X6259" s="261"/>
      <c r="Y6259" s="260"/>
      <c r="Z6259" s="548">
        <f>X6259+Y6259</f>
        <v>0</v>
      </c>
      <c r="AA6259" s="261"/>
      <c r="AB6259" s="261"/>
      <c r="AC6259" s="548">
        <f>AA6259+AB6259</f>
        <v>0</v>
      </c>
      <c r="AD6259" s="57"/>
      <c r="AE6259" s="57"/>
      <c r="AF6259" s="57"/>
      <c r="AG6259" s="57"/>
      <c r="AH6259" s="57"/>
      <c r="AI6259" s="57"/>
      <c r="AJ6259" s="57"/>
      <c r="AK6259" s="57"/>
      <c r="AL6259" s="57"/>
      <c r="AM6259" s="385"/>
    </row>
    <row r="6260" spans="1:39" s="47" customFormat="1">
      <c r="A6260" s="121"/>
      <c r="B6260" s="121"/>
      <c r="C6260" s="121"/>
      <c r="D6260" s="121"/>
      <c r="E6260" s="121"/>
      <c r="F6260" s="121"/>
      <c r="G6260" s="121"/>
      <c r="H6260" s="121"/>
      <c r="I6260" s="121"/>
      <c r="J6260" s="121"/>
      <c r="K6260" s="121"/>
      <c r="L6260" s="121"/>
      <c r="M6260" s="121"/>
      <c r="N6260" s="222" t="s">
        <v>2836</v>
      </c>
      <c r="O6260" s="534" t="s">
        <v>1839</v>
      </c>
      <c r="P6260" s="254"/>
      <c r="Q6260" s="321"/>
      <c r="R6260" s="260"/>
      <c r="S6260" s="260"/>
      <c r="T6260" s="260"/>
      <c r="U6260" s="260"/>
      <c r="V6260" s="257">
        <f>IF(V6261&lt;&gt;0,(1000*V6259/V6261)/$AN$8,0)</f>
        <v>0</v>
      </c>
      <c r="W6260" s="254"/>
      <c r="X6260" s="257">
        <f>IF(X6261&lt;&gt;0,(1000*X6259/X6261)/$AN$8,0)</f>
        <v>0</v>
      </c>
      <c r="Y6260" s="260"/>
      <c r="Z6260" s="254"/>
      <c r="AA6260" s="257">
        <f>IF(AA6261&lt;&gt;0,(1000*AA6259/AA6261)/$AN$8,0)</f>
        <v>0</v>
      </c>
      <c r="AB6260" s="257">
        <f>IF(AB6261&lt;&gt;0,(1000*AB6259/AB6261)/$AN$8,0)</f>
        <v>0</v>
      </c>
      <c r="AC6260" s="254"/>
      <c r="AD6260" s="57"/>
      <c r="AE6260" s="57"/>
      <c r="AF6260" s="57"/>
      <c r="AG6260" s="57"/>
      <c r="AH6260" s="57"/>
      <c r="AI6260" s="57"/>
      <c r="AJ6260" s="57"/>
      <c r="AK6260" s="57"/>
      <c r="AL6260" s="57"/>
      <c r="AM6260" s="385"/>
    </row>
    <row r="6261" spans="1:39" s="47" customFormat="1" ht="22.5">
      <c r="A6261" s="121"/>
      <c r="B6261" s="121"/>
      <c r="C6261" s="121"/>
      <c r="D6261" s="121"/>
      <c r="E6261" s="121"/>
      <c r="F6261" s="121"/>
      <c r="G6261" s="121"/>
      <c r="H6261" s="121"/>
      <c r="I6261" s="121"/>
      <c r="J6261" s="121"/>
      <c r="K6261" s="121"/>
      <c r="L6261" s="121"/>
      <c r="M6261" s="121"/>
      <c r="N6261" s="222" t="s">
        <v>2837</v>
      </c>
      <c r="O6261" s="534" t="s">
        <v>1841</v>
      </c>
      <c r="P6261" s="257"/>
      <c r="Q6261" s="321"/>
      <c r="R6261" s="260"/>
      <c r="S6261" s="260"/>
      <c r="T6261" s="260"/>
      <c r="U6261" s="260"/>
      <c r="V6261" s="261"/>
      <c r="W6261" s="548">
        <f>U6261+V6261</f>
        <v>0</v>
      </c>
      <c r="X6261" s="261"/>
      <c r="Y6261" s="260"/>
      <c r="Z6261" s="548">
        <f>X6261+Y6261</f>
        <v>0</v>
      </c>
      <c r="AA6261" s="261"/>
      <c r="AB6261" s="261"/>
      <c r="AC6261" s="548">
        <f>AA6261+AB6261</f>
        <v>0</v>
      </c>
      <c r="AD6261" s="57"/>
      <c r="AE6261" s="57"/>
      <c r="AF6261" s="57"/>
      <c r="AG6261" s="57"/>
      <c r="AH6261" s="57"/>
      <c r="AI6261" s="57"/>
      <c r="AJ6261" s="57"/>
      <c r="AK6261" s="57"/>
      <c r="AL6261" s="57"/>
      <c r="AM6261" s="385"/>
    </row>
    <row r="6262" spans="1:39" s="47" customFormat="1">
      <c r="A6262" s="121"/>
      <c r="B6262" s="121"/>
      <c r="C6262" s="121"/>
      <c r="D6262" s="121"/>
      <c r="E6262" s="121"/>
      <c r="F6262" s="121"/>
      <c r="G6262" s="121"/>
      <c r="H6262" s="121"/>
      <c r="I6262" s="121"/>
      <c r="J6262" s="121"/>
      <c r="K6262" s="121"/>
      <c r="L6262" s="121"/>
      <c r="M6262" s="121"/>
      <c r="N6262" s="222" t="s">
        <v>359</v>
      </c>
      <c r="O6262" s="558" t="s">
        <v>119</v>
      </c>
      <c r="P6262" s="263"/>
      <c r="Q6262" s="321"/>
      <c r="R6262" s="260"/>
      <c r="S6262" s="260"/>
      <c r="T6262" s="260"/>
      <c r="U6262" s="260"/>
      <c r="V6262" s="261"/>
      <c r="W6262" s="254"/>
      <c r="X6262" s="261"/>
      <c r="Y6262" s="260"/>
      <c r="Z6262" s="254"/>
      <c r="AA6262" s="261"/>
      <c r="AB6262" s="261"/>
      <c r="AC6262" s="254"/>
      <c r="AD6262" s="57"/>
      <c r="AE6262" s="57"/>
      <c r="AF6262" s="57"/>
      <c r="AG6262" s="57"/>
      <c r="AH6262" s="57"/>
      <c r="AI6262" s="57"/>
      <c r="AJ6262" s="57"/>
      <c r="AK6262" s="57"/>
      <c r="AL6262" s="57"/>
      <c r="AM6262" s="385"/>
    </row>
    <row r="6263" spans="1:39" s="47" customFormat="1">
      <c r="A6263" s="121"/>
      <c r="B6263" s="121"/>
      <c r="C6263" s="121"/>
      <c r="D6263" s="121"/>
      <c r="E6263" s="121"/>
      <c r="F6263" s="121"/>
      <c r="G6263" s="121"/>
      <c r="H6263" s="121"/>
      <c r="I6263" s="121"/>
      <c r="J6263" s="121"/>
      <c r="K6263" s="121"/>
      <c r="L6263" s="121"/>
      <c r="M6263" s="121"/>
      <c r="N6263" s="222" t="s">
        <v>360</v>
      </c>
      <c r="O6263" s="558" t="s">
        <v>121</v>
      </c>
      <c r="P6263" s="263"/>
      <c r="Q6263" s="321"/>
      <c r="R6263" s="260"/>
      <c r="S6263" s="260"/>
      <c r="T6263" s="260"/>
      <c r="U6263" s="260"/>
      <c r="V6263" s="261"/>
      <c r="W6263" s="254"/>
      <c r="X6263" s="261"/>
      <c r="Y6263" s="260"/>
      <c r="Z6263" s="254"/>
      <c r="AA6263" s="261"/>
      <c r="AB6263" s="261"/>
      <c r="AC6263" s="254"/>
      <c r="AD6263" s="57"/>
      <c r="AE6263" s="57"/>
      <c r="AF6263" s="57"/>
      <c r="AG6263" s="57"/>
      <c r="AH6263" s="57"/>
      <c r="AI6263" s="57"/>
      <c r="AJ6263" s="57"/>
      <c r="AK6263" s="57"/>
      <c r="AL6263" s="57"/>
      <c r="AM6263" s="385"/>
    </row>
    <row r="6264" spans="1:39" s="47" customFormat="1">
      <c r="A6264" s="121"/>
      <c r="B6264" s="121"/>
      <c r="C6264" s="121"/>
      <c r="D6264" s="121"/>
      <c r="E6264" s="121"/>
      <c r="F6264" s="121"/>
      <c r="G6264" s="121"/>
      <c r="H6264" s="121"/>
      <c r="I6264" s="121"/>
      <c r="J6264" s="121"/>
      <c r="K6264" s="121"/>
      <c r="L6264" s="121"/>
      <c r="M6264" s="121"/>
      <c r="N6264" s="222" t="s">
        <v>361</v>
      </c>
      <c r="O6264" s="558" t="s">
        <v>122</v>
      </c>
      <c r="P6264" s="263"/>
      <c r="Q6264" s="321"/>
      <c r="R6264" s="260"/>
      <c r="S6264" s="260"/>
      <c r="T6264" s="260"/>
      <c r="U6264" s="260"/>
      <c r="V6264" s="261"/>
      <c r="W6264" s="254"/>
      <c r="X6264" s="261"/>
      <c r="Y6264" s="260"/>
      <c r="Z6264" s="254"/>
      <c r="AA6264" s="261"/>
      <c r="AB6264" s="261"/>
      <c r="AC6264" s="254"/>
      <c r="AD6264" s="57"/>
      <c r="AE6264" s="57"/>
      <c r="AF6264" s="57"/>
      <c r="AG6264" s="57"/>
      <c r="AH6264" s="57"/>
      <c r="AI6264" s="57"/>
      <c r="AJ6264" s="57"/>
      <c r="AK6264" s="57"/>
      <c r="AL6264" s="57"/>
      <c r="AM6264" s="385"/>
    </row>
    <row r="6265" spans="1:39" s="47" customFormat="1">
      <c r="A6265" s="121"/>
      <c r="B6265" s="121"/>
      <c r="C6265" s="121"/>
      <c r="D6265" s="121"/>
      <c r="E6265" s="121"/>
      <c r="F6265" s="121"/>
      <c r="G6265" s="121"/>
      <c r="H6265" s="121"/>
      <c r="I6265" s="121"/>
      <c r="J6265" s="121"/>
      <c r="K6265" s="121"/>
      <c r="L6265" s="121"/>
      <c r="M6265" s="121"/>
      <c r="N6265" s="222" t="s">
        <v>2838</v>
      </c>
      <c r="O6265" s="533" t="s">
        <v>1843</v>
      </c>
      <c r="P6265" s="257"/>
      <c r="Q6265" s="321"/>
      <c r="R6265" s="260"/>
      <c r="S6265" s="260"/>
      <c r="T6265" s="260"/>
      <c r="U6265" s="260"/>
      <c r="V6265" s="261"/>
      <c r="W6265" s="548">
        <f>U6265+V6265</f>
        <v>0</v>
      </c>
      <c r="X6265" s="261"/>
      <c r="Y6265" s="260"/>
      <c r="Z6265" s="548">
        <f>X6265+Y6265</f>
        <v>0</v>
      </c>
      <c r="AA6265" s="261"/>
      <c r="AB6265" s="261"/>
      <c r="AC6265" s="548">
        <f>AA6265+AB6265</f>
        <v>0</v>
      </c>
      <c r="AD6265" s="57"/>
      <c r="AE6265" s="57"/>
      <c r="AF6265" s="57"/>
      <c r="AG6265" s="57"/>
      <c r="AH6265" s="57"/>
      <c r="AI6265" s="57"/>
      <c r="AJ6265" s="57"/>
      <c r="AK6265" s="57"/>
      <c r="AL6265" s="57"/>
      <c r="AM6265" s="385"/>
    </row>
    <row r="6266" spans="1:39" s="47" customFormat="1">
      <c r="A6266" s="121"/>
      <c r="B6266" s="121"/>
      <c r="C6266" s="121"/>
      <c r="D6266" s="121"/>
      <c r="E6266" s="121"/>
      <c r="F6266" s="121"/>
      <c r="G6266" s="121"/>
      <c r="H6266" s="121"/>
      <c r="I6266" s="121"/>
      <c r="J6266" s="121"/>
      <c r="K6266" s="121"/>
      <c r="L6266" s="121"/>
      <c r="M6266" s="121"/>
      <c r="N6266" s="222" t="s">
        <v>2839</v>
      </c>
      <c r="O6266" s="534" t="s">
        <v>1844</v>
      </c>
      <c r="P6266" s="254"/>
      <c r="Q6266" s="321"/>
      <c r="R6266" s="260"/>
      <c r="S6266" s="260"/>
      <c r="T6266" s="260"/>
      <c r="U6266" s="260"/>
      <c r="V6266" s="257">
        <f>IF(V6267&lt;&gt;0,(1000*V6265/V6267)/$AN$8,0)</f>
        <v>0</v>
      </c>
      <c r="W6266" s="254"/>
      <c r="X6266" s="257">
        <f>IF(X6267&lt;&gt;0,(1000*X6265/X6267)/$AN$8,0)</f>
        <v>0</v>
      </c>
      <c r="Y6266" s="260"/>
      <c r="Z6266" s="254"/>
      <c r="AA6266" s="257">
        <f>IF(AA6267&lt;&gt;0,(1000*AA6265/AA6267)/$AN$8,0)</f>
        <v>0</v>
      </c>
      <c r="AB6266" s="257">
        <f>IF(AB6267&lt;&gt;0,(1000*AB6265/AB6267)/$AN$8,0)</f>
        <v>0</v>
      </c>
      <c r="AC6266" s="254"/>
      <c r="AD6266" s="57"/>
      <c r="AE6266" s="57"/>
      <c r="AF6266" s="57"/>
      <c r="AG6266" s="57"/>
      <c r="AH6266" s="57"/>
      <c r="AI6266" s="57"/>
      <c r="AJ6266" s="57"/>
      <c r="AK6266" s="57"/>
      <c r="AL6266" s="57"/>
      <c r="AM6266" s="385"/>
    </row>
    <row r="6267" spans="1:39" s="47" customFormat="1" ht="22.5">
      <c r="A6267" s="121"/>
      <c r="B6267" s="121"/>
      <c r="C6267" s="121"/>
      <c r="D6267" s="121"/>
      <c r="E6267" s="121"/>
      <c r="F6267" s="121"/>
      <c r="G6267" s="121"/>
      <c r="H6267" s="121"/>
      <c r="I6267" s="121"/>
      <c r="J6267" s="121"/>
      <c r="K6267" s="121"/>
      <c r="L6267" s="121"/>
      <c r="M6267" s="121"/>
      <c r="N6267" s="222" t="s">
        <v>2840</v>
      </c>
      <c r="O6267" s="534" t="s">
        <v>1846</v>
      </c>
      <c r="P6267" s="257"/>
      <c r="Q6267" s="321"/>
      <c r="R6267" s="260"/>
      <c r="S6267" s="260"/>
      <c r="T6267" s="260"/>
      <c r="U6267" s="260"/>
      <c r="V6267" s="261"/>
      <c r="W6267" s="548">
        <f>U6267+V6267</f>
        <v>0</v>
      </c>
      <c r="X6267" s="261"/>
      <c r="Y6267" s="260"/>
      <c r="Z6267" s="548">
        <f>X6267+Y6267</f>
        <v>0</v>
      </c>
      <c r="AA6267" s="261"/>
      <c r="AB6267" s="261"/>
      <c r="AC6267" s="548">
        <f>AA6267+AB6267</f>
        <v>0</v>
      </c>
      <c r="AD6267" s="57"/>
      <c r="AE6267" s="57"/>
      <c r="AF6267" s="57"/>
      <c r="AG6267" s="57"/>
      <c r="AH6267" s="57"/>
      <c r="AI6267" s="57"/>
      <c r="AJ6267" s="57"/>
      <c r="AK6267" s="57"/>
      <c r="AL6267" s="57"/>
      <c r="AM6267" s="385"/>
    </row>
    <row r="6268" spans="1:39" s="47" customFormat="1">
      <c r="A6268" s="121"/>
      <c r="B6268" s="121"/>
      <c r="C6268" s="121"/>
      <c r="D6268" s="121"/>
      <c r="E6268" s="121"/>
      <c r="F6268" s="121"/>
      <c r="G6268" s="121"/>
      <c r="H6268" s="121"/>
      <c r="I6268" s="121"/>
      <c r="J6268" s="121"/>
      <c r="K6268" s="121"/>
      <c r="L6268" s="121"/>
      <c r="M6268" s="121"/>
      <c r="N6268" s="222" t="s">
        <v>2841</v>
      </c>
      <c r="O6268" s="533" t="s">
        <v>1849</v>
      </c>
      <c r="P6268" s="257"/>
      <c r="Q6268" s="321"/>
      <c r="R6268" s="260"/>
      <c r="S6268" s="260"/>
      <c r="T6268" s="260"/>
      <c r="U6268" s="260"/>
      <c r="V6268" s="261"/>
      <c r="W6268" s="548">
        <f>U6268+V6268</f>
        <v>0</v>
      </c>
      <c r="X6268" s="261"/>
      <c r="Y6268" s="260"/>
      <c r="Z6268" s="548">
        <f>X6268+Y6268</f>
        <v>0</v>
      </c>
      <c r="AA6268" s="261"/>
      <c r="AB6268" s="261"/>
      <c r="AC6268" s="548">
        <f>AA6268+AB6268</f>
        <v>0</v>
      </c>
      <c r="AD6268" s="57"/>
      <c r="AE6268" s="57"/>
      <c r="AF6268" s="57"/>
      <c r="AG6268" s="57"/>
      <c r="AH6268" s="57"/>
      <c r="AI6268" s="57"/>
      <c r="AJ6268" s="57"/>
      <c r="AK6268" s="57"/>
      <c r="AL6268" s="57"/>
      <c r="AM6268" s="385"/>
    </row>
    <row r="6269" spans="1:39" s="47" customFormat="1">
      <c r="A6269" s="121"/>
      <c r="B6269" s="121"/>
      <c r="C6269" s="121"/>
      <c r="D6269" s="121"/>
      <c r="E6269" s="121"/>
      <c r="F6269" s="121"/>
      <c r="G6269" s="121"/>
      <c r="H6269" s="121"/>
      <c r="I6269" s="121"/>
      <c r="J6269" s="121"/>
      <c r="K6269" s="121"/>
      <c r="L6269" s="121"/>
      <c r="M6269" s="121"/>
      <c r="N6269" s="222" t="s">
        <v>2842</v>
      </c>
      <c r="O6269" s="534" t="s">
        <v>1851</v>
      </c>
      <c r="P6269" s="254"/>
      <c r="Q6269" s="321"/>
      <c r="R6269" s="260"/>
      <c r="S6269" s="260"/>
      <c r="T6269" s="260"/>
      <c r="U6269" s="260"/>
      <c r="V6269" s="257">
        <f>IF(V6270&lt;&gt;0,(1000*V6268/V6270)/$AN$8,0)</f>
        <v>0</v>
      </c>
      <c r="W6269" s="254"/>
      <c r="X6269" s="257">
        <f>IF(X6270&lt;&gt;0,(1000*X6268/X6270)/$AN$8,0)</f>
        <v>0</v>
      </c>
      <c r="Y6269" s="260"/>
      <c r="Z6269" s="254"/>
      <c r="AA6269" s="257">
        <f>IF(AA6270&lt;&gt;0,(1000*AA6268/AA6270)/$AN$8,0)</f>
        <v>0</v>
      </c>
      <c r="AB6269" s="257">
        <f>IF(AB6270&lt;&gt;0,(1000*AB6268/AB6270)/$AN$8,0)</f>
        <v>0</v>
      </c>
      <c r="AC6269" s="254"/>
      <c r="AD6269" s="57"/>
      <c r="AE6269" s="57"/>
      <c r="AF6269" s="57"/>
      <c r="AG6269" s="57"/>
      <c r="AH6269" s="57"/>
      <c r="AI6269" s="57"/>
      <c r="AJ6269" s="57"/>
      <c r="AK6269" s="57"/>
      <c r="AL6269" s="57"/>
      <c r="AM6269" s="385"/>
    </row>
    <row r="6270" spans="1:39" s="47" customFormat="1" ht="22.5">
      <c r="A6270" s="121"/>
      <c r="B6270" s="121"/>
      <c r="C6270" s="121"/>
      <c r="D6270" s="121"/>
      <c r="E6270" s="121"/>
      <c r="F6270" s="121"/>
      <c r="G6270" s="121"/>
      <c r="H6270" s="121"/>
      <c r="I6270" s="121"/>
      <c r="J6270" s="121"/>
      <c r="K6270" s="121"/>
      <c r="L6270" s="121"/>
      <c r="M6270" s="121"/>
      <c r="N6270" s="222" t="s">
        <v>2843</v>
      </c>
      <c r="O6270" s="529" t="s">
        <v>1853</v>
      </c>
      <c r="P6270" s="257"/>
      <c r="Q6270" s="321"/>
      <c r="R6270" s="260"/>
      <c r="S6270" s="260"/>
      <c r="T6270" s="260"/>
      <c r="U6270" s="260"/>
      <c r="V6270" s="261"/>
      <c r="W6270" s="548">
        <f>U6270+V6270</f>
        <v>0</v>
      </c>
      <c r="X6270" s="261"/>
      <c r="Y6270" s="260"/>
      <c r="Z6270" s="548">
        <f>X6270+Y6270</f>
        <v>0</v>
      </c>
      <c r="AA6270" s="261"/>
      <c r="AB6270" s="261"/>
      <c r="AC6270" s="548">
        <f>AA6270+AB6270</f>
        <v>0</v>
      </c>
      <c r="AD6270" s="57"/>
      <c r="AE6270" s="57"/>
      <c r="AF6270" s="57"/>
      <c r="AG6270" s="57"/>
      <c r="AH6270" s="57"/>
      <c r="AI6270" s="57"/>
      <c r="AJ6270" s="57"/>
      <c r="AK6270" s="57"/>
      <c r="AL6270" s="57"/>
      <c r="AM6270" s="385"/>
    </row>
    <row r="6271" spans="1:39" s="47" customFormat="1" ht="22.5">
      <c r="A6271" s="121"/>
      <c r="B6271" s="121"/>
      <c r="C6271" s="121"/>
      <c r="D6271" s="121"/>
      <c r="E6271" s="121"/>
      <c r="F6271" s="121"/>
      <c r="G6271" s="121"/>
      <c r="H6271" s="121"/>
      <c r="I6271" s="121"/>
      <c r="J6271" s="121"/>
      <c r="K6271" s="121"/>
      <c r="L6271" s="121"/>
      <c r="M6271" s="121"/>
      <c r="N6271" s="222" t="s">
        <v>2844</v>
      </c>
      <c r="O6271" s="533" t="s">
        <v>1856</v>
      </c>
      <c r="P6271" s="257"/>
      <c r="Q6271" s="321"/>
      <c r="R6271" s="260"/>
      <c r="S6271" s="260"/>
      <c r="T6271" s="260"/>
      <c r="U6271" s="260"/>
      <c r="V6271" s="261"/>
      <c r="W6271" s="548">
        <f>U6271+V6271</f>
        <v>0</v>
      </c>
      <c r="X6271" s="261"/>
      <c r="Y6271" s="260"/>
      <c r="Z6271" s="548">
        <f>X6271+Y6271</f>
        <v>0</v>
      </c>
      <c r="AA6271" s="261"/>
      <c r="AB6271" s="261"/>
      <c r="AC6271" s="548">
        <f>AA6271+AB6271</f>
        <v>0</v>
      </c>
      <c r="AD6271" s="57"/>
      <c r="AE6271" s="57"/>
      <c r="AF6271" s="57"/>
      <c r="AG6271" s="57"/>
      <c r="AH6271" s="57"/>
      <c r="AI6271" s="57"/>
      <c r="AJ6271" s="57"/>
      <c r="AK6271" s="57"/>
      <c r="AL6271" s="57"/>
      <c r="AM6271" s="385"/>
    </row>
    <row r="6272" spans="1:39" s="47" customFormat="1" ht="22.5">
      <c r="A6272" s="121"/>
      <c r="B6272" s="121"/>
      <c r="C6272" s="121"/>
      <c r="D6272" s="121"/>
      <c r="E6272" s="121"/>
      <c r="F6272" s="121"/>
      <c r="G6272" s="121"/>
      <c r="H6272" s="121"/>
      <c r="I6272" s="121"/>
      <c r="J6272" s="121"/>
      <c r="K6272" s="121"/>
      <c r="L6272" s="121"/>
      <c r="M6272" s="121"/>
      <c r="N6272" s="222" t="s">
        <v>2845</v>
      </c>
      <c r="O6272" s="534" t="s">
        <v>2307</v>
      </c>
      <c r="P6272" s="254"/>
      <c r="Q6272" s="321"/>
      <c r="R6272" s="260"/>
      <c r="S6272" s="260"/>
      <c r="T6272" s="260"/>
      <c r="U6272" s="260"/>
      <c r="V6272" s="257">
        <f>IF(V6273&lt;&gt;0,(1000*V6271/V6273)/$AN$8,0)</f>
        <v>0</v>
      </c>
      <c r="W6272" s="254"/>
      <c r="X6272" s="257">
        <f>IF(X6273&lt;&gt;0,(1000*X6271/X6273)/$AN$8,0)</f>
        <v>0</v>
      </c>
      <c r="Y6272" s="260"/>
      <c r="Z6272" s="254"/>
      <c r="AA6272" s="257">
        <f>IF(AA6273&lt;&gt;0,(1000*AA6271/AA6273)/$AN$8,0)</f>
        <v>0</v>
      </c>
      <c r="AB6272" s="257">
        <f>IF(AB6273&lt;&gt;0,(1000*AB6271/AB6273)/$AN$8,0)</f>
        <v>0</v>
      </c>
      <c r="AC6272" s="254"/>
      <c r="AD6272" s="57"/>
      <c r="AE6272" s="57"/>
      <c r="AF6272" s="57"/>
      <c r="AG6272" s="57"/>
      <c r="AH6272" s="57"/>
      <c r="AI6272" s="57"/>
      <c r="AJ6272" s="57"/>
      <c r="AK6272" s="57"/>
      <c r="AL6272" s="57"/>
      <c r="AM6272" s="385"/>
    </row>
    <row r="6273" spans="1:39" s="47" customFormat="1" ht="22.5">
      <c r="A6273" s="121"/>
      <c r="B6273" s="121"/>
      <c r="C6273" s="121"/>
      <c r="D6273" s="121"/>
      <c r="E6273" s="121"/>
      <c r="F6273" s="121"/>
      <c r="G6273" s="121"/>
      <c r="H6273" s="121"/>
      <c r="I6273" s="121"/>
      <c r="J6273" s="121"/>
      <c r="K6273" s="121"/>
      <c r="L6273" s="121"/>
      <c r="M6273" s="121"/>
      <c r="N6273" s="222" t="s">
        <v>2846</v>
      </c>
      <c r="O6273" s="529" t="s">
        <v>1860</v>
      </c>
      <c r="P6273" s="257"/>
      <c r="Q6273" s="321"/>
      <c r="R6273" s="260"/>
      <c r="S6273" s="260"/>
      <c r="T6273" s="260"/>
      <c r="U6273" s="260"/>
      <c r="V6273" s="261"/>
      <c r="W6273" s="548">
        <f t="shared" ref="W6273:W6308" si="25">U6273+V6273</f>
        <v>0</v>
      </c>
      <c r="X6273" s="261"/>
      <c r="Y6273" s="260"/>
      <c r="Z6273" s="548">
        <f t="shared" ref="Z6273:Z6308" si="26">X6273+Y6273</f>
        <v>0</v>
      </c>
      <c r="AA6273" s="261"/>
      <c r="AB6273" s="261"/>
      <c r="AC6273" s="548">
        <f t="shared" ref="AC6273:AC6308" si="27">AA6273+AB6273</f>
        <v>0</v>
      </c>
      <c r="AD6273" s="57"/>
      <c r="AE6273" s="57"/>
      <c r="AF6273" s="57"/>
      <c r="AG6273" s="57"/>
      <c r="AH6273" s="57"/>
      <c r="AI6273" s="57"/>
      <c r="AJ6273" s="57"/>
      <c r="AK6273" s="57"/>
      <c r="AL6273" s="57"/>
      <c r="AM6273" s="385"/>
    </row>
    <row r="6274" spans="1:39" s="47" customFormat="1">
      <c r="A6274" s="121"/>
      <c r="B6274" s="121"/>
      <c r="C6274" s="121"/>
      <c r="D6274" s="121"/>
      <c r="E6274" s="121"/>
      <c r="F6274" s="121"/>
      <c r="G6274" s="121"/>
      <c r="H6274" s="121"/>
      <c r="I6274" s="121"/>
      <c r="J6274" s="121"/>
      <c r="K6274" s="121"/>
      <c r="L6274" s="121"/>
      <c r="M6274" s="121"/>
      <c r="N6274" s="504" t="s">
        <v>2847</v>
      </c>
      <c r="O6274" s="535" t="s">
        <v>2848</v>
      </c>
      <c r="P6274" s="257"/>
      <c r="Q6274" s="321"/>
      <c r="R6274" s="260"/>
      <c r="S6274" s="260"/>
      <c r="T6274" s="260"/>
      <c r="U6274" s="260"/>
      <c r="V6274" s="257">
        <f>SUM(V6275:V6279)</f>
        <v>0</v>
      </c>
      <c r="W6274" s="548">
        <f t="shared" si="25"/>
        <v>0</v>
      </c>
      <c r="X6274" s="257">
        <f>SUM(X6275:X6279)</f>
        <v>0</v>
      </c>
      <c r="Y6274" s="260"/>
      <c r="Z6274" s="548">
        <f t="shared" si="26"/>
        <v>0</v>
      </c>
      <c r="AA6274" s="257">
        <f>SUM(AA6275:AA6279)</f>
        <v>0</v>
      </c>
      <c r="AB6274" s="257">
        <f>SUM(AB6275:AB6279)</f>
        <v>0</v>
      </c>
      <c r="AC6274" s="548">
        <f t="shared" si="27"/>
        <v>0</v>
      </c>
      <c r="AD6274" s="57"/>
      <c r="AE6274" s="57"/>
      <c r="AF6274" s="57"/>
      <c r="AG6274" s="57"/>
      <c r="AH6274" s="57"/>
      <c r="AI6274" s="57"/>
      <c r="AJ6274" s="57"/>
      <c r="AK6274" s="57"/>
      <c r="AL6274" s="57"/>
      <c r="AM6274" s="385"/>
    </row>
    <row r="6275" spans="1:39" s="47" customFormat="1" ht="22.5">
      <c r="A6275" s="121"/>
      <c r="B6275" s="121"/>
      <c r="C6275" s="121"/>
      <c r="D6275" s="121"/>
      <c r="E6275" s="121"/>
      <c r="F6275" s="121"/>
      <c r="G6275" s="121"/>
      <c r="H6275" s="121"/>
      <c r="I6275" s="121"/>
      <c r="J6275" s="121"/>
      <c r="K6275" s="121"/>
      <c r="L6275" s="121"/>
      <c r="M6275" s="121"/>
      <c r="N6275" s="504" t="s">
        <v>2849</v>
      </c>
      <c r="O6275" s="533" t="s">
        <v>2415</v>
      </c>
      <c r="P6275" s="257"/>
      <c r="Q6275" s="321"/>
      <c r="R6275" s="260"/>
      <c r="S6275" s="260"/>
      <c r="T6275" s="260"/>
      <c r="U6275" s="260"/>
      <c r="V6275" s="261"/>
      <c r="W6275" s="548">
        <f t="shared" si="25"/>
        <v>0</v>
      </c>
      <c r="X6275" s="261"/>
      <c r="Y6275" s="260"/>
      <c r="Z6275" s="548">
        <f t="shared" si="26"/>
        <v>0</v>
      </c>
      <c r="AA6275" s="261"/>
      <c r="AB6275" s="261"/>
      <c r="AC6275" s="548">
        <f t="shared" si="27"/>
        <v>0</v>
      </c>
      <c r="AD6275" s="57"/>
      <c r="AE6275" s="57"/>
      <c r="AF6275" s="57"/>
      <c r="AG6275" s="57"/>
      <c r="AH6275" s="57"/>
      <c r="AI6275" s="57"/>
      <c r="AJ6275" s="57"/>
      <c r="AK6275" s="57"/>
      <c r="AL6275" s="57"/>
      <c r="AM6275" s="385"/>
    </row>
    <row r="6276" spans="1:39" s="47" customFormat="1" ht="22.5">
      <c r="A6276" s="121"/>
      <c r="B6276" s="121"/>
      <c r="C6276" s="121"/>
      <c r="D6276" s="121"/>
      <c r="E6276" s="121"/>
      <c r="F6276" s="121"/>
      <c r="G6276" s="121"/>
      <c r="H6276" s="121"/>
      <c r="I6276" s="121"/>
      <c r="J6276" s="121"/>
      <c r="K6276" s="121"/>
      <c r="L6276" s="121"/>
      <c r="M6276" s="121"/>
      <c r="N6276" s="504" t="s">
        <v>2850</v>
      </c>
      <c r="O6276" s="533" t="s">
        <v>2417</v>
      </c>
      <c r="P6276" s="257"/>
      <c r="Q6276" s="321"/>
      <c r="R6276" s="260"/>
      <c r="S6276" s="260"/>
      <c r="T6276" s="260"/>
      <c r="U6276" s="260"/>
      <c r="V6276" s="261"/>
      <c r="W6276" s="548">
        <f t="shared" si="25"/>
        <v>0</v>
      </c>
      <c r="X6276" s="261"/>
      <c r="Y6276" s="260"/>
      <c r="Z6276" s="548">
        <f t="shared" si="26"/>
        <v>0</v>
      </c>
      <c r="AA6276" s="261"/>
      <c r="AB6276" s="261"/>
      <c r="AC6276" s="548">
        <f t="shared" si="27"/>
        <v>0</v>
      </c>
      <c r="AD6276" s="57"/>
      <c r="AE6276" s="57"/>
      <c r="AF6276" s="57"/>
      <c r="AG6276" s="57"/>
      <c r="AH6276" s="57"/>
      <c r="AI6276" s="57"/>
      <c r="AJ6276" s="57"/>
      <c r="AK6276" s="57"/>
      <c r="AL6276" s="57"/>
      <c r="AM6276" s="385"/>
    </row>
    <row r="6277" spans="1:39" s="47" customFormat="1">
      <c r="A6277" s="121"/>
      <c r="B6277" s="121"/>
      <c r="C6277" s="121"/>
      <c r="D6277" s="121"/>
      <c r="E6277" s="121"/>
      <c r="F6277" s="121"/>
      <c r="G6277" s="121"/>
      <c r="H6277" s="121"/>
      <c r="I6277" s="121"/>
      <c r="J6277" s="121"/>
      <c r="K6277" s="121"/>
      <c r="L6277" s="121"/>
      <c r="M6277" s="121"/>
      <c r="N6277" s="504" t="s">
        <v>2316</v>
      </c>
      <c r="O6277" s="533" t="s">
        <v>2420</v>
      </c>
      <c r="P6277" s="257"/>
      <c r="Q6277" s="321"/>
      <c r="R6277" s="260"/>
      <c r="S6277" s="260"/>
      <c r="T6277" s="260"/>
      <c r="U6277" s="260"/>
      <c r="V6277" s="261"/>
      <c r="W6277" s="548">
        <f t="shared" si="25"/>
        <v>0</v>
      </c>
      <c r="X6277" s="261"/>
      <c r="Y6277" s="260"/>
      <c r="Z6277" s="548">
        <f t="shared" si="26"/>
        <v>0</v>
      </c>
      <c r="AA6277" s="261"/>
      <c r="AB6277" s="261"/>
      <c r="AC6277" s="548">
        <f t="shared" si="27"/>
        <v>0</v>
      </c>
      <c r="AD6277" s="57"/>
      <c r="AE6277" s="57"/>
      <c r="AF6277" s="57"/>
      <c r="AG6277" s="57"/>
      <c r="AH6277" s="57"/>
      <c r="AI6277" s="57"/>
      <c r="AJ6277" s="57"/>
      <c r="AK6277" s="57"/>
      <c r="AL6277" s="57"/>
      <c r="AM6277" s="385"/>
    </row>
    <row r="6278" spans="1:39" s="47" customFormat="1">
      <c r="A6278" s="121"/>
      <c r="B6278" s="121"/>
      <c r="C6278" s="121"/>
      <c r="D6278" s="121"/>
      <c r="E6278" s="121"/>
      <c r="F6278" s="121"/>
      <c r="G6278" s="121"/>
      <c r="H6278" s="121"/>
      <c r="I6278" s="121"/>
      <c r="J6278" s="121"/>
      <c r="K6278" s="121"/>
      <c r="L6278" s="121"/>
      <c r="M6278" s="121"/>
      <c r="N6278" s="504" t="s">
        <v>2317</v>
      </c>
      <c r="O6278" s="533" t="s">
        <v>2423</v>
      </c>
      <c r="P6278" s="257"/>
      <c r="Q6278" s="321"/>
      <c r="R6278" s="260"/>
      <c r="S6278" s="260"/>
      <c r="T6278" s="260"/>
      <c r="U6278" s="260"/>
      <c r="V6278" s="261"/>
      <c r="W6278" s="548">
        <f t="shared" si="25"/>
        <v>0</v>
      </c>
      <c r="X6278" s="261"/>
      <c r="Y6278" s="260"/>
      <c r="Z6278" s="548">
        <f t="shared" si="26"/>
        <v>0</v>
      </c>
      <c r="AA6278" s="261"/>
      <c r="AB6278" s="261"/>
      <c r="AC6278" s="548">
        <f t="shared" si="27"/>
        <v>0</v>
      </c>
      <c r="AD6278" s="57"/>
      <c r="AE6278" s="57"/>
      <c r="AF6278" s="57"/>
      <c r="AG6278" s="57"/>
      <c r="AH6278" s="57"/>
      <c r="AI6278" s="57"/>
      <c r="AJ6278" s="57"/>
      <c r="AK6278" s="57"/>
      <c r="AL6278" s="57"/>
      <c r="AM6278" s="385"/>
    </row>
    <row r="6279" spans="1:39" s="47" customFormat="1">
      <c r="A6279" s="121"/>
      <c r="B6279" s="121"/>
      <c r="C6279" s="121"/>
      <c r="D6279" s="121"/>
      <c r="E6279" s="121"/>
      <c r="F6279" s="121"/>
      <c r="G6279" s="121"/>
      <c r="H6279" s="121"/>
      <c r="I6279" s="121"/>
      <c r="J6279" s="121"/>
      <c r="K6279" s="121"/>
      <c r="L6279" s="121"/>
      <c r="M6279" s="121"/>
      <c r="N6279" s="504" t="s">
        <v>2318</v>
      </c>
      <c r="O6279" s="533" t="s">
        <v>2426</v>
      </c>
      <c r="P6279" s="257"/>
      <c r="Q6279" s="321"/>
      <c r="R6279" s="260"/>
      <c r="S6279" s="260"/>
      <c r="T6279" s="260"/>
      <c r="U6279" s="260"/>
      <c r="V6279" s="261"/>
      <c r="W6279" s="548">
        <f t="shared" si="25"/>
        <v>0</v>
      </c>
      <c r="X6279" s="261"/>
      <c r="Y6279" s="260"/>
      <c r="Z6279" s="548">
        <f t="shared" si="26"/>
        <v>0</v>
      </c>
      <c r="AA6279" s="261"/>
      <c r="AB6279" s="261"/>
      <c r="AC6279" s="548">
        <f t="shared" si="27"/>
        <v>0</v>
      </c>
      <c r="AD6279" s="57"/>
      <c r="AE6279" s="57"/>
      <c r="AF6279" s="57"/>
      <c r="AG6279" s="57"/>
      <c r="AH6279" s="57"/>
      <c r="AI6279" s="57"/>
      <c r="AJ6279" s="57"/>
      <c r="AK6279" s="57"/>
      <c r="AL6279" s="57"/>
      <c r="AM6279" s="385"/>
    </row>
    <row r="6280" spans="1:39" s="47" customFormat="1">
      <c r="A6280" s="121"/>
      <c r="B6280" s="121"/>
      <c r="C6280" s="121"/>
      <c r="D6280" s="121"/>
      <c r="E6280" s="121"/>
      <c r="F6280" s="121"/>
      <c r="G6280" s="121"/>
      <c r="H6280" s="121"/>
      <c r="I6280" s="121"/>
      <c r="J6280" s="121"/>
      <c r="K6280" s="121"/>
      <c r="L6280" s="121"/>
      <c r="M6280" s="121"/>
      <c r="N6280" s="560" t="str">
        <f>IF(TEMPLATE_SPHERE="водоснабжения","2.9","")</f>
        <v/>
      </c>
      <c r="O6280" s="561" t="str">
        <f>IF(TEMPLATE_SPHERE="водоснабжения","Покупная вода","")</f>
        <v/>
      </c>
      <c r="P6280" s="257"/>
      <c r="Q6280" s="321"/>
      <c r="R6280" s="260"/>
      <c r="S6280" s="260"/>
      <c r="T6280" s="260"/>
      <c r="U6280" s="260"/>
      <c r="V6280" s="257">
        <f>V6281*V6282+V6283</f>
        <v>0</v>
      </c>
      <c r="W6280" s="548">
        <f t="shared" si="25"/>
        <v>0</v>
      </c>
      <c r="X6280" s="257">
        <f>X6281*X6282+X6283</f>
        <v>0</v>
      </c>
      <c r="Y6280" s="260"/>
      <c r="Z6280" s="548">
        <f t="shared" si="26"/>
        <v>0</v>
      </c>
      <c r="AA6280" s="257">
        <f>AA6281*AA6282+AA6283</f>
        <v>0</v>
      </c>
      <c r="AB6280" s="257">
        <f>AB6281*AB6282+AB6283</f>
        <v>0</v>
      </c>
      <c r="AC6280" s="548">
        <f t="shared" si="27"/>
        <v>0</v>
      </c>
      <c r="AD6280" s="57"/>
      <c r="AE6280" s="57"/>
      <c r="AF6280" s="57"/>
      <c r="AG6280" s="57"/>
      <c r="AH6280" s="57"/>
      <c r="AI6280" s="57"/>
      <c r="AJ6280" s="57"/>
      <c r="AK6280" s="57"/>
      <c r="AL6280" s="57"/>
      <c r="AM6280" s="385"/>
    </row>
    <row r="6281" spans="1:39" s="47" customFormat="1">
      <c r="A6281" s="121"/>
      <c r="B6281" s="121"/>
      <c r="C6281" s="121"/>
      <c r="D6281" s="121"/>
      <c r="E6281" s="121"/>
      <c r="F6281" s="121"/>
      <c r="G6281" s="121"/>
      <c r="H6281" s="121"/>
      <c r="I6281" s="121"/>
      <c r="J6281" s="121"/>
      <c r="K6281" s="121"/>
      <c r="L6281" s="121"/>
      <c r="M6281" s="121"/>
      <c r="N6281" s="560" t="str">
        <f>IF(TEMPLATE_SPHERE="водоснабжения","2.9.1","")</f>
        <v/>
      </c>
      <c r="O6281" s="562" t="str">
        <f>IF(TEMPLATE_SPHERE="водоснабжения","тариф (руб./куб.м)","")</f>
        <v/>
      </c>
      <c r="P6281" s="257"/>
      <c r="Q6281" s="321"/>
      <c r="R6281" s="260"/>
      <c r="S6281" s="260"/>
      <c r="T6281" s="260"/>
      <c r="U6281" s="260"/>
      <c r="V6281" s="261"/>
      <c r="W6281" s="548">
        <f t="shared" si="25"/>
        <v>0</v>
      </c>
      <c r="X6281" s="261"/>
      <c r="Y6281" s="260"/>
      <c r="Z6281" s="548">
        <f t="shared" si="26"/>
        <v>0</v>
      </c>
      <c r="AA6281" s="261"/>
      <c r="AB6281" s="261"/>
      <c r="AC6281" s="548">
        <f t="shared" si="27"/>
        <v>0</v>
      </c>
      <c r="AD6281" s="57"/>
      <c r="AE6281" s="57"/>
      <c r="AF6281" s="57"/>
      <c r="AG6281" s="57"/>
      <c r="AH6281" s="57"/>
      <c r="AI6281" s="57"/>
      <c r="AJ6281" s="57"/>
      <c r="AK6281" s="57"/>
      <c r="AL6281" s="57"/>
      <c r="AM6281" s="385"/>
    </row>
    <row r="6282" spans="1:39" s="47" customFormat="1">
      <c r="A6282" s="121"/>
      <c r="B6282" s="121"/>
      <c r="C6282" s="121"/>
      <c r="D6282" s="121"/>
      <c r="E6282" s="121"/>
      <c r="F6282" s="121"/>
      <c r="G6282" s="121"/>
      <c r="H6282" s="121"/>
      <c r="I6282" s="121"/>
      <c r="J6282" s="121"/>
      <c r="K6282" s="121"/>
      <c r="L6282" s="121"/>
      <c r="M6282" s="121"/>
      <c r="N6282" s="560" t="str">
        <f>IF(TEMPLATE_SPHERE="водоснабжения","2.9.2","")</f>
        <v/>
      </c>
      <c r="O6282" s="562" t="str">
        <f>IF(TEMPLATE_SPHERE="водоснабжения","объём (тыс. куб.м)","")</f>
        <v/>
      </c>
      <c r="P6282" s="257"/>
      <c r="Q6282" s="321"/>
      <c r="R6282" s="260"/>
      <c r="S6282" s="260"/>
      <c r="T6282" s="260"/>
      <c r="U6282" s="260"/>
      <c r="V6282" s="261"/>
      <c r="W6282" s="548">
        <f t="shared" si="25"/>
        <v>0</v>
      </c>
      <c r="X6282" s="261"/>
      <c r="Y6282" s="260"/>
      <c r="Z6282" s="548">
        <f t="shared" si="26"/>
        <v>0</v>
      </c>
      <c r="AA6282" s="261"/>
      <c r="AB6282" s="261"/>
      <c r="AC6282" s="548">
        <f t="shared" si="27"/>
        <v>0</v>
      </c>
      <c r="AD6282" s="57"/>
      <c r="AE6282" s="57"/>
      <c r="AF6282" s="57"/>
      <c r="AG6282" s="57"/>
      <c r="AH6282" s="57"/>
      <c r="AI6282" s="57"/>
      <c r="AJ6282" s="57"/>
      <c r="AK6282" s="57"/>
      <c r="AL6282" s="57"/>
      <c r="AM6282" s="385"/>
    </row>
    <row r="6283" spans="1:39" s="47" customFormat="1">
      <c r="A6283" s="121"/>
      <c r="B6283" s="121"/>
      <c r="C6283" s="121"/>
      <c r="D6283" s="121"/>
      <c r="E6283" s="121"/>
      <c r="F6283" s="121"/>
      <c r="G6283" s="121"/>
      <c r="H6283" s="121"/>
      <c r="I6283" s="121"/>
      <c r="J6283" s="121"/>
      <c r="K6283" s="121"/>
      <c r="L6283" s="121"/>
      <c r="M6283" s="121"/>
      <c r="N6283" s="560" t="str">
        <f>IF(TEMPLATE_SPHERE="водоснабжения","2.9.3","")</f>
        <v/>
      </c>
      <c r="O6283" s="562" t="str">
        <f>IF(TEMPLATE_SPHERE="водоснабжения","покупка потерь","")</f>
        <v/>
      </c>
      <c r="P6283" s="257"/>
      <c r="Q6283" s="321"/>
      <c r="R6283" s="260"/>
      <c r="S6283" s="260"/>
      <c r="T6283" s="260"/>
      <c r="U6283" s="260"/>
      <c r="V6283" s="261"/>
      <c r="W6283" s="548">
        <f t="shared" si="25"/>
        <v>0</v>
      </c>
      <c r="X6283" s="261"/>
      <c r="Y6283" s="260"/>
      <c r="Z6283" s="548">
        <f t="shared" si="26"/>
        <v>0</v>
      </c>
      <c r="AA6283" s="261"/>
      <c r="AB6283" s="261"/>
      <c r="AC6283" s="548">
        <f t="shared" si="27"/>
        <v>0</v>
      </c>
      <c r="AD6283" s="57"/>
      <c r="AE6283" s="57"/>
      <c r="AF6283" s="57"/>
      <c r="AG6283" s="57"/>
      <c r="AH6283" s="57"/>
      <c r="AI6283" s="57"/>
      <c r="AJ6283" s="57"/>
      <c r="AK6283" s="57"/>
      <c r="AL6283" s="57"/>
      <c r="AM6283" s="385"/>
    </row>
    <row r="6284" spans="1:39" s="47" customFormat="1" ht="22.5">
      <c r="A6284" s="121"/>
      <c r="B6284" s="121"/>
      <c r="C6284" s="121"/>
      <c r="D6284" s="121"/>
      <c r="E6284" s="121"/>
      <c r="F6284" s="121"/>
      <c r="G6284" s="121"/>
      <c r="H6284" s="121"/>
      <c r="I6284" s="121"/>
      <c r="J6284" s="121"/>
      <c r="K6284" s="121"/>
      <c r="L6284" s="121"/>
      <c r="M6284" s="121"/>
      <c r="N6284" s="504" t="s">
        <v>2323</v>
      </c>
      <c r="O6284"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P6284" s="257"/>
      <c r="Q6284" s="321"/>
      <c r="R6284" s="260"/>
      <c r="S6284" s="260"/>
      <c r="T6284" s="260"/>
      <c r="U6284" s="260"/>
      <c r="V6284" s="261"/>
      <c r="W6284" s="548">
        <f t="shared" si="25"/>
        <v>0</v>
      </c>
      <c r="X6284" s="261"/>
      <c r="Y6284" s="260"/>
      <c r="Z6284" s="548">
        <f t="shared" si="26"/>
        <v>0</v>
      </c>
      <c r="AA6284" s="261"/>
      <c r="AB6284" s="261"/>
      <c r="AC6284" s="548">
        <f t="shared" si="27"/>
        <v>0</v>
      </c>
      <c r="AD6284" s="57"/>
      <c r="AE6284" s="57"/>
      <c r="AF6284" s="57"/>
      <c r="AG6284" s="57"/>
      <c r="AH6284" s="57"/>
      <c r="AI6284" s="57"/>
      <c r="AJ6284" s="57"/>
      <c r="AK6284" s="57"/>
      <c r="AL6284" s="57"/>
      <c r="AM6284" s="385"/>
    </row>
    <row r="6285" spans="1:39" s="47" customFormat="1" ht="22.5">
      <c r="A6285" s="121"/>
      <c r="B6285" s="121"/>
      <c r="C6285" s="121"/>
      <c r="D6285" s="121"/>
      <c r="E6285" s="121"/>
      <c r="F6285" s="121"/>
      <c r="G6285" s="121"/>
      <c r="H6285" s="121"/>
      <c r="I6285" s="121"/>
      <c r="J6285" s="121"/>
      <c r="K6285" s="121"/>
      <c r="L6285" s="121"/>
      <c r="M6285" s="121"/>
      <c r="N6285" s="504" t="s">
        <v>2324</v>
      </c>
      <c r="O6285"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P6285" s="257"/>
      <c r="Q6285" s="321"/>
      <c r="R6285" s="260"/>
      <c r="S6285" s="260"/>
      <c r="T6285" s="260"/>
      <c r="U6285" s="260"/>
      <c r="V6285" s="261"/>
      <c r="W6285" s="548">
        <f t="shared" si="25"/>
        <v>0</v>
      </c>
      <c r="X6285" s="261"/>
      <c r="Y6285" s="260"/>
      <c r="Z6285" s="548">
        <f t="shared" si="26"/>
        <v>0</v>
      </c>
      <c r="AA6285" s="261"/>
      <c r="AB6285" s="261"/>
      <c r="AC6285" s="548">
        <f t="shared" si="27"/>
        <v>0</v>
      </c>
      <c r="AD6285" s="57"/>
      <c r="AE6285" s="57"/>
      <c r="AF6285" s="57"/>
      <c r="AG6285" s="57"/>
      <c r="AH6285" s="57"/>
      <c r="AI6285" s="57"/>
      <c r="AJ6285" s="57"/>
      <c r="AK6285" s="57"/>
      <c r="AL6285" s="57"/>
      <c r="AM6285" s="385"/>
    </row>
    <row r="6286" spans="1:39" s="47" customFormat="1">
      <c r="A6286" s="121"/>
      <c r="B6286" s="121"/>
      <c r="C6286" s="121"/>
      <c r="D6286" s="121"/>
      <c r="E6286" s="121"/>
      <c r="F6286" s="121"/>
      <c r="G6286" s="121"/>
      <c r="H6286" s="121"/>
      <c r="I6286" s="121"/>
      <c r="J6286" s="121"/>
      <c r="K6286" s="121"/>
      <c r="L6286" s="121"/>
      <c r="M6286" s="121"/>
      <c r="N6286" s="504" t="s">
        <v>2325</v>
      </c>
      <c r="O6286"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P6286" s="257"/>
      <c r="Q6286" s="321"/>
      <c r="R6286" s="260"/>
      <c r="S6286" s="260"/>
      <c r="T6286" s="260"/>
      <c r="U6286" s="260"/>
      <c r="V6286" s="261"/>
      <c r="W6286" s="548">
        <f t="shared" si="25"/>
        <v>0</v>
      </c>
      <c r="X6286" s="261"/>
      <c r="Y6286" s="260"/>
      <c r="Z6286" s="548">
        <f t="shared" si="26"/>
        <v>0</v>
      </c>
      <c r="AA6286" s="261"/>
      <c r="AB6286" s="261"/>
      <c r="AC6286" s="548">
        <f t="shared" si="27"/>
        <v>0</v>
      </c>
      <c r="AD6286" s="57"/>
      <c r="AE6286" s="57"/>
      <c r="AF6286" s="57"/>
      <c r="AG6286" s="57"/>
      <c r="AH6286" s="57"/>
      <c r="AI6286" s="57"/>
      <c r="AJ6286" s="57"/>
      <c r="AK6286" s="57"/>
      <c r="AL6286" s="57"/>
      <c r="AM6286" s="385"/>
    </row>
    <row r="6287" spans="1:39" s="47" customFormat="1">
      <c r="A6287" s="121"/>
      <c r="B6287" s="121"/>
      <c r="C6287" s="121"/>
      <c r="D6287" s="121"/>
      <c r="E6287" s="121"/>
      <c r="F6287" s="121"/>
      <c r="G6287" s="121"/>
      <c r="H6287" s="121"/>
      <c r="I6287" s="121"/>
      <c r="J6287" s="121"/>
      <c r="K6287" s="121"/>
      <c r="L6287" s="121"/>
      <c r="M6287" s="121"/>
      <c r="N6287" s="504" t="s">
        <v>2326</v>
      </c>
      <c r="O6287" s="527" t="s">
        <v>2327</v>
      </c>
      <c r="P6287" s="257"/>
      <c r="Q6287" s="321"/>
      <c r="R6287" s="260"/>
      <c r="S6287" s="260"/>
      <c r="T6287" s="260"/>
      <c r="U6287" s="260"/>
      <c r="V6287" s="257">
        <f>SUM(V6288:V6289)</f>
        <v>0</v>
      </c>
      <c r="W6287" s="548">
        <f t="shared" si="25"/>
        <v>0</v>
      </c>
      <c r="X6287" s="257">
        <f>SUM(X6288:X6289)</f>
        <v>0</v>
      </c>
      <c r="Y6287" s="260"/>
      <c r="Z6287" s="548">
        <f t="shared" si="26"/>
        <v>0</v>
      </c>
      <c r="AA6287" s="257">
        <f>SUM(AA6288:AA6289)</f>
        <v>0</v>
      </c>
      <c r="AB6287" s="257">
        <f>SUM(AB6288:AB6289)</f>
        <v>0</v>
      </c>
      <c r="AC6287" s="548">
        <f t="shared" si="27"/>
        <v>0</v>
      </c>
      <c r="AD6287" s="57"/>
      <c r="AE6287" s="57"/>
      <c r="AF6287" s="57"/>
      <c r="AG6287" s="57"/>
      <c r="AH6287" s="57"/>
      <c r="AI6287" s="57"/>
      <c r="AJ6287" s="57"/>
      <c r="AK6287" s="57"/>
      <c r="AL6287" s="57"/>
      <c r="AM6287" s="385"/>
    </row>
    <row r="6288" spans="1:39" s="47" customFormat="1">
      <c r="A6288" s="121"/>
      <c r="B6288" s="121"/>
      <c r="C6288" s="121"/>
      <c r="D6288" s="121"/>
      <c r="E6288" s="121"/>
      <c r="F6288" s="121"/>
      <c r="G6288" s="121"/>
      <c r="H6288" s="121"/>
      <c r="I6288" s="121"/>
      <c r="J6288" s="121"/>
      <c r="K6288" s="121"/>
      <c r="L6288" s="121"/>
      <c r="M6288" s="121"/>
      <c r="N6288" s="504" t="s">
        <v>2328</v>
      </c>
      <c r="O6288" s="528" t="s">
        <v>2329</v>
      </c>
      <c r="P6288" s="257"/>
      <c r="Q6288" s="321"/>
      <c r="R6288" s="260"/>
      <c r="S6288" s="260"/>
      <c r="T6288" s="260"/>
      <c r="U6288" s="260"/>
      <c r="V6288" s="261"/>
      <c r="W6288" s="548">
        <f t="shared" si="25"/>
        <v>0</v>
      </c>
      <c r="X6288" s="261"/>
      <c r="Y6288" s="260"/>
      <c r="Z6288" s="548">
        <f t="shared" si="26"/>
        <v>0</v>
      </c>
      <c r="AA6288" s="261"/>
      <c r="AB6288" s="261"/>
      <c r="AC6288" s="548">
        <f t="shared" si="27"/>
        <v>0</v>
      </c>
      <c r="AD6288" s="57"/>
      <c r="AE6288" s="57"/>
      <c r="AF6288" s="57"/>
      <c r="AG6288" s="57"/>
      <c r="AH6288" s="57"/>
      <c r="AI6288" s="57"/>
      <c r="AJ6288" s="57"/>
      <c r="AK6288" s="57"/>
      <c r="AL6288" s="57"/>
      <c r="AM6288" s="385"/>
    </row>
    <row r="6289" spans="1:39" s="47" customFormat="1">
      <c r="A6289" s="121"/>
      <c r="B6289" s="121"/>
      <c r="C6289" s="121"/>
      <c r="D6289" s="121"/>
      <c r="E6289" s="121"/>
      <c r="F6289" s="121"/>
      <c r="G6289" s="121"/>
      <c r="H6289" s="121"/>
      <c r="I6289" s="121"/>
      <c r="J6289" s="121"/>
      <c r="K6289" s="121"/>
      <c r="L6289" s="121"/>
      <c r="M6289" s="121"/>
      <c r="N6289" s="504" t="s">
        <v>2330</v>
      </c>
      <c r="O6289" s="528" t="s">
        <v>2331</v>
      </c>
      <c r="P6289" s="257"/>
      <c r="Q6289" s="321"/>
      <c r="R6289" s="260"/>
      <c r="S6289" s="260"/>
      <c r="T6289" s="260"/>
      <c r="U6289" s="260"/>
      <c r="V6289" s="261"/>
      <c r="W6289" s="548">
        <f t="shared" si="25"/>
        <v>0</v>
      </c>
      <c r="X6289" s="261"/>
      <c r="Y6289" s="260"/>
      <c r="Z6289" s="548">
        <f t="shared" si="26"/>
        <v>0</v>
      </c>
      <c r="AA6289" s="261"/>
      <c r="AB6289" s="261"/>
      <c r="AC6289" s="548">
        <f t="shared" si="27"/>
        <v>0</v>
      </c>
      <c r="AD6289" s="57"/>
      <c r="AE6289" s="57"/>
      <c r="AF6289" s="57"/>
      <c r="AG6289" s="57"/>
      <c r="AH6289" s="57"/>
      <c r="AI6289" s="57"/>
      <c r="AJ6289" s="57"/>
      <c r="AK6289" s="57"/>
      <c r="AL6289" s="57"/>
      <c r="AM6289" s="385"/>
    </row>
    <row r="6290" spans="1:39" s="47" customFormat="1">
      <c r="A6290" s="121"/>
      <c r="B6290" s="121"/>
      <c r="C6290" s="121"/>
      <c r="D6290" s="121"/>
      <c r="E6290" s="121"/>
      <c r="F6290" s="121"/>
      <c r="G6290" s="121"/>
      <c r="H6290" s="121"/>
      <c r="I6290" s="121"/>
      <c r="J6290" s="121"/>
      <c r="K6290" s="121"/>
      <c r="L6290" s="121"/>
      <c r="M6290" s="121"/>
      <c r="N6290" s="504" t="s">
        <v>2332</v>
      </c>
      <c r="O6290" s="527" t="s">
        <v>2333</v>
      </c>
      <c r="P6290" s="257"/>
      <c r="Q6290" s="321"/>
      <c r="R6290" s="260"/>
      <c r="S6290" s="260"/>
      <c r="T6290" s="260"/>
      <c r="U6290" s="260"/>
      <c r="V6290" s="261"/>
      <c r="W6290" s="548">
        <f t="shared" si="25"/>
        <v>0</v>
      </c>
      <c r="X6290" s="261"/>
      <c r="Y6290" s="260"/>
      <c r="Z6290" s="548">
        <f t="shared" si="26"/>
        <v>0</v>
      </c>
      <c r="AA6290" s="261"/>
      <c r="AB6290" s="261"/>
      <c r="AC6290" s="548">
        <f t="shared" si="27"/>
        <v>0</v>
      </c>
      <c r="AD6290" s="57"/>
      <c r="AE6290" s="57"/>
      <c r="AF6290" s="57"/>
      <c r="AG6290" s="57"/>
      <c r="AH6290" s="57"/>
      <c r="AI6290" s="57"/>
      <c r="AJ6290" s="57"/>
      <c r="AK6290" s="57"/>
      <c r="AL6290" s="57"/>
      <c r="AM6290" s="385"/>
    </row>
    <row r="6291" spans="1:39" s="47" customFormat="1">
      <c r="A6291" s="121"/>
      <c r="B6291" s="121"/>
      <c r="C6291" s="121"/>
      <c r="D6291" s="121"/>
      <c r="E6291" s="121"/>
      <c r="F6291" s="121"/>
      <c r="G6291" s="121"/>
      <c r="H6291" s="121"/>
      <c r="I6291" s="121"/>
      <c r="J6291" s="121"/>
      <c r="K6291" s="121"/>
      <c r="L6291" s="121"/>
      <c r="M6291" s="121"/>
      <c r="N6291" s="504" t="s">
        <v>2334</v>
      </c>
      <c r="O6291" s="527" t="s">
        <v>2335</v>
      </c>
      <c r="P6291" s="257"/>
      <c r="Q6291" s="321"/>
      <c r="R6291" s="260"/>
      <c r="S6291" s="260"/>
      <c r="T6291" s="260"/>
      <c r="U6291" s="260"/>
      <c r="V6291" s="261"/>
      <c r="W6291" s="548">
        <f t="shared" si="25"/>
        <v>0</v>
      </c>
      <c r="X6291" s="261"/>
      <c r="Y6291" s="260"/>
      <c r="Z6291" s="548">
        <f t="shared" si="26"/>
        <v>0</v>
      </c>
      <c r="AA6291" s="261"/>
      <c r="AB6291" s="261"/>
      <c r="AC6291" s="548">
        <f t="shared" si="27"/>
        <v>0</v>
      </c>
      <c r="AD6291" s="57"/>
      <c r="AE6291" s="57"/>
      <c r="AF6291" s="57"/>
      <c r="AG6291" s="57"/>
      <c r="AH6291" s="57"/>
      <c r="AI6291" s="57"/>
      <c r="AJ6291" s="57"/>
      <c r="AK6291" s="57"/>
      <c r="AL6291" s="57"/>
      <c r="AM6291" s="385"/>
    </row>
    <row r="6292" spans="1:39" s="47" customFormat="1" ht="22.5">
      <c r="A6292" s="121"/>
      <c r="B6292" s="121"/>
      <c r="C6292" s="121"/>
      <c r="D6292" s="121"/>
      <c r="E6292" s="121"/>
      <c r="F6292" s="121"/>
      <c r="G6292" s="121"/>
      <c r="H6292" s="121"/>
      <c r="I6292" s="121"/>
      <c r="J6292" s="121"/>
      <c r="K6292" s="121"/>
      <c r="L6292" s="121"/>
      <c r="M6292" s="121"/>
      <c r="N6292" s="504" t="s">
        <v>2336</v>
      </c>
      <c r="O6292" s="527" t="s">
        <v>2337</v>
      </c>
      <c r="P6292" s="257"/>
      <c r="Q6292" s="321"/>
      <c r="R6292" s="260"/>
      <c r="S6292" s="260"/>
      <c r="T6292" s="260"/>
      <c r="U6292" s="260"/>
      <c r="V6292" s="261"/>
      <c r="W6292" s="548">
        <f t="shared" si="25"/>
        <v>0</v>
      </c>
      <c r="X6292" s="261"/>
      <c r="Y6292" s="260"/>
      <c r="Z6292" s="548">
        <f t="shared" si="26"/>
        <v>0</v>
      </c>
      <c r="AA6292" s="261"/>
      <c r="AB6292" s="261"/>
      <c r="AC6292" s="548">
        <f t="shared" si="27"/>
        <v>0</v>
      </c>
      <c r="AD6292" s="57"/>
      <c r="AE6292" s="57"/>
      <c r="AF6292" s="57"/>
      <c r="AG6292" s="57"/>
      <c r="AH6292" s="57"/>
      <c r="AI6292" s="57"/>
      <c r="AJ6292" s="57"/>
      <c r="AK6292" s="57"/>
      <c r="AL6292" s="57"/>
      <c r="AM6292" s="385"/>
    </row>
    <row r="6293" spans="1:39" s="47" customFormat="1">
      <c r="A6293" s="121"/>
      <c r="B6293" s="121"/>
      <c r="C6293" s="121"/>
      <c r="D6293" s="121"/>
      <c r="E6293" s="121"/>
      <c r="F6293" s="121"/>
      <c r="G6293" s="121"/>
      <c r="H6293" s="121"/>
      <c r="I6293" s="121"/>
      <c r="J6293" s="121"/>
      <c r="K6293" s="121"/>
      <c r="L6293" s="121"/>
      <c r="M6293" s="121"/>
      <c r="N6293" s="504" t="s">
        <v>2338</v>
      </c>
      <c r="O6293" s="527" t="s">
        <v>2339</v>
      </c>
      <c r="P6293" s="257"/>
      <c r="Q6293" s="321"/>
      <c r="R6293" s="260"/>
      <c r="S6293" s="260"/>
      <c r="T6293" s="260"/>
      <c r="U6293" s="260"/>
      <c r="V6293" s="257">
        <f>SUM(V6294:V6302)</f>
        <v>0</v>
      </c>
      <c r="W6293" s="548">
        <f t="shared" si="25"/>
        <v>0</v>
      </c>
      <c r="X6293" s="257">
        <f>SUM(X6294:X6302)</f>
        <v>0</v>
      </c>
      <c r="Y6293" s="260"/>
      <c r="Z6293" s="548">
        <f t="shared" si="26"/>
        <v>0</v>
      </c>
      <c r="AA6293" s="257">
        <f>SUM(AA6294:AA6302)</f>
        <v>0</v>
      </c>
      <c r="AB6293" s="257">
        <f>SUM(AB6294:AB6302)</f>
        <v>0</v>
      </c>
      <c r="AC6293" s="548">
        <f t="shared" si="27"/>
        <v>0</v>
      </c>
      <c r="AD6293" s="57"/>
      <c r="AE6293" s="57"/>
      <c r="AF6293" s="57"/>
      <c r="AG6293" s="57"/>
      <c r="AH6293" s="57"/>
      <c r="AI6293" s="57"/>
      <c r="AJ6293" s="57"/>
      <c r="AK6293" s="57"/>
      <c r="AL6293" s="57"/>
      <c r="AM6293" s="385"/>
    </row>
    <row r="6294" spans="1:39" s="47" customFormat="1">
      <c r="A6294" s="121"/>
      <c r="B6294" s="121"/>
      <c r="C6294" s="121"/>
      <c r="D6294" s="121"/>
      <c r="E6294" s="121"/>
      <c r="F6294" s="121"/>
      <c r="G6294" s="121"/>
      <c r="H6294" s="121"/>
      <c r="I6294" s="121"/>
      <c r="J6294" s="121"/>
      <c r="K6294" s="121"/>
      <c r="L6294" s="121"/>
      <c r="M6294" s="121"/>
      <c r="N6294" s="504" t="s">
        <v>2340</v>
      </c>
      <c r="O6294" s="528" t="s">
        <v>2341</v>
      </c>
      <c r="P6294" s="257"/>
      <c r="Q6294" s="321"/>
      <c r="R6294" s="260"/>
      <c r="S6294" s="260"/>
      <c r="T6294" s="260"/>
      <c r="U6294" s="260"/>
      <c r="V6294" s="261"/>
      <c r="W6294" s="548">
        <f t="shared" si="25"/>
        <v>0</v>
      </c>
      <c r="X6294" s="261"/>
      <c r="Y6294" s="260"/>
      <c r="Z6294" s="548">
        <f t="shared" si="26"/>
        <v>0</v>
      </c>
      <c r="AA6294" s="261"/>
      <c r="AB6294" s="261"/>
      <c r="AC6294" s="548">
        <f t="shared" si="27"/>
        <v>0</v>
      </c>
      <c r="AD6294" s="57"/>
      <c r="AE6294" s="57"/>
      <c r="AF6294" s="57"/>
      <c r="AG6294" s="57"/>
      <c r="AH6294" s="57"/>
      <c r="AI6294" s="57"/>
      <c r="AJ6294" s="57"/>
      <c r="AK6294" s="57"/>
      <c r="AL6294" s="57"/>
      <c r="AM6294" s="385"/>
    </row>
    <row r="6295" spans="1:39" s="47" customFormat="1">
      <c r="A6295" s="121"/>
      <c r="B6295" s="121"/>
      <c r="C6295" s="121"/>
      <c r="D6295" s="121"/>
      <c r="E6295" s="121"/>
      <c r="F6295" s="121"/>
      <c r="G6295" s="121"/>
      <c r="H6295" s="121"/>
      <c r="I6295" s="121"/>
      <c r="J6295" s="121"/>
      <c r="K6295" s="121"/>
      <c r="L6295" s="121"/>
      <c r="M6295" s="121"/>
      <c r="N6295" s="504" t="s">
        <v>2342</v>
      </c>
      <c r="O6295" s="528" t="s">
        <v>2343</v>
      </c>
      <c r="P6295" s="257"/>
      <c r="Q6295" s="321"/>
      <c r="R6295" s="260"/>
      <c r="S6295" s="260"/>
      <c r="T6295" s="260"/>
      <c r="U6295" s="260"/>
      <c r="V6295" s="261"/>
      <c r="W6295" s="548">
        <f t="shared" si="25"/>
        <v>0</v>
      </c>
      <c r="X6295" s="261"/>
      <c r="Y6295" s="260"/>
      <c r="Z6295" s="548">
        <f t="shared" si="26"/>
        <v>0</v>
      </c>
      <c r="AA6295" s="261"/>
      <c r="AB6295" s="261"/>
      <c r="AC6295" s="548">
        <f t="shared" si="27"/>
        <v>0</v>
      </c>
      <c r="AD6295" s="57"/>
      <c r="AE6295" s="57"/>
      <c r="AF6295" s="57"/>
      <c r="AG6295" s="57"/>
      <c r="AH6295" s="57"/>
      <c r="AI6295" s="57"/>
      <c r="AJ6295" s="57"/>
      <c r="AK6295" s="57"/>
      <c r="AL6295" s="57"/>
      <c r="AM6295" s="385"/>
    </row>
    <row r="6296" spans="1:39" s="47" customFormat="1">
      <c r="A6296" s="121"/>
      <c r="B6296" s="121"/>
      <c r="C6296" s="121"/>
      <c r="D6296" s="121"/>
      <c r="E6296" s="121"/>
      <c r="F6296" s="121"/>
      <c r="G6296" s="121"/>
      <c r="H6296" s="121"/>
      <c r="I6296" s="121"/>
      <c r="J6296" s="121"/>
      <c r="K6296" s="121"/>
      <c r="L6296" s="121"/>
      <c r="M6296" s="121"/>
      <c r="N6296" s="504" t="s">
        <v>2344</v>
      </c>
      <c r="O6296" s="528" t="s">
        <v>2345</v>
      </c>
      <c r="P6296" s="257"/>
      <c r="Q6296" s="321"/>
      <c r="R6296" s="260"/>
      <c r="S6296" s="260"/>
      <c r="T6296" s="260"/>
      <c r="U6296" s="260"/>
      <c r="V6296" s="261"/>
      <c r="W6296" s="548">
        <f t="shared" si="25"/>
        <v>0</v>
      </c>
      <c r="X6296" s="261"/>
      <c r="Y6296" s="260"/>
      <c r="Z6296" s="548">
        <f t="shared" si="26"/>
        <v>0</v>
      </c>
      <c r="AA6296" s="261"/>
      <c r="AB6296" s="261"/>
      <c r="AC6296" s="548">
        <f t="shared" si="27"/>
        <v>0</v>
      </c>
      <c r="AD6296" s="57"/>
      <c r="AE6296" s="57"/>
      <c r="AF6296" s="57"/>
      <c r="AG6296" s="57"/>
      <c r="AH6296" s="57"/>
      <c r="AI6296" s="57"/>
      <c r="AJ6296" s="57"/>
      <c r="AK6296" s="57"/>
      <c r="AL6296" s="57"/>
      <c r="AM6296" s="385"/>
    </row>
    <row r="6297" spans="1:39" s="47" customFormat="1">
      <c r="A6297" s="121"/>
      <c r="B6297" s="121"/>
      <c r="C6297" s="121"/>
      <c r="D6297" s="121"/>
      <c r="E6297" s="121"/>
      <c r="F6297" s="121"/>
      <c r="G6297" s="121"/>
      <c r="H6297" s="121"/>
      <c r="I6297" s="121"/>
      <c r="J6297" s="121"/>
      <c r="K6297" s="121"/>
      <c r="L6297" s="121"/>
      <c r="M6297" s="121"/>
      <c r="N6297" s="504" t="s">
        <v>2346</v>
      </c>
      <c r="O6297" s="528" t="s">
        <v>2347</v>
      </c>
      <c r="P6297" s="257"/>
      <c r="Q6297" s="321"/>
      <c r="R6297" s="260"/>
      <c r="S6297" s="260"/>
      <c r="T6297" s="260"/>
      <c r="U6297" s="260"/>
      <c r="V6297" s="261"/>
      <c r="W6297" s="548">
        <f t="shared" si="25"/>
        <v>0</v>
      </c>
      <c r="X6297" s="261"/>
      <c r="Y6297" s="260"/>
      <c r="Z6297" s="548">
        <f t="shared" si="26"/>
        <v>0</v>
      </c>
      <c r="AA6297" s="261"/>
      <c r="AB6297" s="261"/>
      <c r="AC6297" s="548">
        <f t="shared" si="27"/>
        <v>0</v>
      </c>
      <c r="AD6297" s="57"/>
      <c r="AE6297" s="57"/>
      <c r="AF6297" s="57"/>
      <c r="AG6297" s="57"/>
      <c r="AH6297" s="57"/>
      <c r="AI6297" s="57"/>
      <c r="AJ6297" s="57"/>
      <c r="AK6297" s="57"/>
      <c r="AL6297" s="57"/>
      <c r="AM6297" s="385"/>
    </row>
    <row r="6298" spans="1:39" s="47" customFormat="1">
      <c r="A6298" s="121"/>
      <c r="B6298" s="121"/>
      <c r="C6298" s="121"/>
      <c r="D6298" s="121"/>
      <c r="E6298" s="121"/>
      <c r="F6298" s="121"/>
      <c r="G6298" s="121"/>
      <c r="H6298" s="121"/>
      <c r="I6298" s="121"/>
      <c r="J6298" s="121"/>
      <c r="K6298" s="121"/>
      <c r="L6298" s="121"/>
      <c r="M6298" s="121"/>
      <c r="N6298" s="504" t="s">
        <v>2348</v>
      </c>
      <c r="O6298" s="528" t="s">
        <v>2349</v>
      </c>
      <c r="P6298" s="257"/>
      <c r="Q6298" s="321"/>
      <c r="R6298" s="260"/>
      <c r="S6298" s="260"/>
      <c r="T6298" s="260"/>
      <c r="U6298" s="260"/>
      <c r="V6298" s="261"/>
      <c r="W6298" s="548">
        <f t="shared" si="25"/>
        <v>0</v>
      </c>
      <c r="X6298" s="261"/>
      <c r="Y6298" s="260"/>
      <c r="Z6298" s="548">
        <f t="shared" si="26"/>
        <v>0</v>
      </c>
      <c r="AA6298" s="261"/>
      <c r="AB6298" s="261"/>
      <c r="AC6298" s="548">
        <f t="shared" si="27"/>
        <v>0</v>
      </c>
      <c r="AD6298" s="57"/>
      <c r="AE6298" s="57"/>
      <c r="AF6298" s="57"/>
      <c r="AG6298" s="57"/>
      <c r="AH6298" s="57"/>
      <c r="AI6298" s="57"/>
      <c r="AJ6298" s="57"/>
      <c r="AK6298" s="57"/>
      <c r="AL6298" s="57"/>
      <c r="AM6298" s="385"/>
    </row>
    <row r="6299" spans="1:39" s="47" customFormat="1">
      <c r="A6299" s="121"/>
      <c r="B6299" s="121"/>
      <c r="C6299" s="121"/>
      <c r="D6299" s="121"/>
      <c r="E6299" s="121"/>
      <c r="F6299" s="121"/>
      <c r="G6299" s="121"/>
      <c r="H6299" s="121"/>
      <c r="I6299" s="121"/>
      <c r="J6299" s="121"/>
      <c r="K6299" s="121"/>
      <c r="L6299" s="121"/>
      <c r="M6299" s="121"/>
      <c r="N6299" s="504" t="s">
        <v>2350</v>
      </c>
      <c r="O6299" s="528" t="s">
        <v>2351</v>
      </c>
      <c r="P6299" s="257"/>
      <c r="Q6299" s="321"/>
      <c r="R6299" s="260"/>
      <c r="S6299" s="260"/>
      <c r="T6299" s="260"/>
      <c r="U6299" s="260"/>
      <c r="V6299" s="261"/>
      <c r="W6299" s="548">
        <f t="shared" si="25"/>
        <v>0</v>
      </c>
      <c r="X6299" s="261"/>
      <c r="Y6299" s="260"/>
      <c r="Z6299" s="548">
        <f t="shared" si="26"/>
        <v>0</v>
      </c>
      <c r="AA6299" s="261"/>
      <c r="AB6299" s="261"/>
      <c r="AC6299" s="548">
        <f t="shared" si="27"/>
        <v>0</v>
      </c>
      <c r="AD6299" s="57"/>
      <c r="AE6299" s="57"/>
      <c r="AF6299" s="57"/>
      <c r="AG6299" s="57"/>
      <c r="AH6299" s="57"/>
      <c r="AI6299" s="57"/>
      <c r="AJ6299" s="57"/>
      <c r="AK6299" s="57"/>
      <c r="AL6299" s="57"/>
      <c r="AM6299" s="385"/>
    </row>
    <row r="6300" spans="1:39" s="47" customFormat="1">
      <c r="A6300" s="121"/>
      <c r="B6300" s="121"/>
      <c r="C6300" s="121"/>
      <c r="D6300" s="121"/>
      <c r="E6300" s="121"/>
      <c r="F6300" s="121"/>
      <c r="G6300" s="121"/>
      <c r="H6300" s="121"/>
      <c r="I6300" s="121"/>
      <c r="J6300" s="121"/>
      <c r="K6300" s="121"/>
      <c r="L6300" s="121"/>
      <c r="M6300" s="121"/>
      <c r="N6300" s="504" t="s">
        <v>2352</v>
      </c>
      <c r="O6300" s="528" t="s">
        <v>2353</v>
      </c>
      <c r="P6300" s="257"/>
      <c r="Q6300" s="321"/>
      <c r="R6300" s="260"/>
      <c r="S6300" s="260"/>
      <c r="T6300" s="260"/>
      <c r="U6300" s="260"/>
      <c r="V6300" s="261"/>
      <c r="W6300" s="548">
        <f t="shared" si="25"/>
        <v>0</v>
      </c>
      <c r="X6300" s="261"/>
      <c r="Y6300" s="260"/>
      <c r="Z6300" s="548">
        <f t="shared" si="26"/>
        <v>0</v>
      </c>
      <c r="AA6300" s="261"/>
      <c r="AB6300" s="261"/>
      <c r="AC6300" s="548">
        <f t="shared" si="27"/>
        <v>0</v>
      </c>
      <c r="AD6300" s="57"/>
      <c r="AE6300" s="57"/>
      <c r="AF6300" s="57"/>
      <c r="AG6300" s="57"/>
      <c r="AH6300" s="57"/>
      <c r="AI6300" s="57"/>
      <c r="AJ6300" s="57"/>
      <c r="AK6300" s="57"/>
      <c r="AL6300" s="57"/>
      <c r="AM6300" s="385"/>
    </row>
    <row r="6301" spans="1:39" s="47" customFormat="1">
      <c r="A6301" s="121"/>
      <c r="B6301" s="121"/>
      <c r="C6301" s="121"/>
      <c r="D6301" s="121"/>
      <c r="E6301" s="121"/>
      <c r="F6301" s="121"/>
      <c r="G6301" s="121"/>
      <c r="H6301" s="121"/>
      <c r="I6301" s="121"/>
      <c r="J6301" s="121"/>
      <c r="K6301" s="121"/>
      <c r="L6301" s="121"/>
      <c r="M6301" s="121"/>
      <c r="N6301" s="504" t="s">
        <v>2354</v>
      </c>
      <c r="O6301" s="528" t="s">
        <v>2355</v>
      </c>
      <c r="P6301" s="257"/>
      <c r="Q6301" s="321"/>
      <c r="R6301" s="260"/>
      <c r="S6301" s="260"/>
      <c r="T6301" s="260"/>
      <c r="U6301" s="260"/>
      <c r="V6301" s="261"/>
      <c r="W6301" s="548">
        <f t="shared" si="25"/>
        <v>0</v>
      </c>
      <c r="X6301" s="261"/>
      <c r="Y6301" s="260"/>
      <c r="Z6301" s="548">
        <f t="shared" si="26"/>
        <v>0</v>
      </c>
      <c r="AA6301" s="261"/>
      <c r="AB6301" s="261"/>
      <c r="AC6301" s="548">
        <f t="shared" si="27"/>
        <v>0</v>
      </c>
      <c r="AD6301" s="57"/>
      <c r="AE6301" s="57"/>
      <c r="AF6301" s="57"/>
      <c r="AG6301" s="57"/>
      <c r="AH6301" s="57"/>
      <c r="AI6301" s="57"/>
      <c r="AJ6301" s="57"/>
      <c r="AK6301" s="57"/>
      <c r="AL6301" s="57"/>
      <c r="AM6301" s="385"/>
    </row>
    <row r="6302" spans="1:39" s="47" customFormat="1">
      <c r="A6302" s="121"/>
      <c r="B6302" s="121"/>
      <c r="C6302" s="121"/>
      <c r="D6302" s="121"/>
      <c r="E6302" s="121"/>
      <c r="F6302" s="121"/>
      <c r="G6302" s="121"/>
      <c r="H6302" s="121"/>
      <c r="I6302" s="121"/>
      <c r="J6302" s="121"/>
      <c r="K6302" s="121"/>
      <c r="L6302" s="121"/>
      <c r="M6302" s="121"/>
      <c r="N6302" s="504" t="s">
        <v>2356</v>
      </c>
      <c r="O6302" s="528" t="s">
        <v>2357</v>
      </c>
      <c r="P6302" s="257"/>
      <c r="Q6302" s="321"/>
      <c r="R6302" s="260"/>
      <c r="S6302" s="260"/>
      <c r="T6302" s="260"/>
      <c r="U6302" s="260"/>
      <c r="V6302" s="261"/>
      <c r="W6302" s="548">
        <f t="shared" si="25"/>
        <v>0</v>
      </c>
      <c r="X6302" s="261"/>
      <c r="Y6302" s="260"/>
      <c r="Z6302" s="548">
        <f t="shared" si="26"/>
        <v>0</v>
      </c>
      <c r="AA6302" s="261"/>
      <c r="AB6302" s="261"/>
      <c r="AC6302" s="548">
        <f t="shared" si="27"/>
        <v>0</v>
      </c>
      <c r="AD6302" s="57"/>
      <c r="AE6302" s="57"/>
      <c r="AF6302" s="57"/>
      <c r="AG6302" s="57"/>
      <c r="AH6302" s="57"/>
      <c r="AI6302" s="57"/>
      <c r="AJ6302" s="57"/>
      <c r="AK6302" s="57"/>
      <c r="AL6302" s="57"/>
      <c r="AM6302" s="385"/>
    </row>
    <row r="6303" spans="1:39" s="47" customFormat="1">
      <c r="A6303" s="121"/>
      <c r="B6303" s="121"/>
      <c r="C6303" s="121"/>
      <c r="D6303" s="121"/>
      <c r="E6303" s="121"/>
      <c r="F6303" s="121"/>
      <c r="G6303" s="121"/>
      <c r="H6303" s="121"/>
      <c r="I6303" s="121"/>
      <c r="J6303" s="121"/>
      <c r="K6303" s="121"/>
      <c r="L6303" s="121"/>
      <c r="M6303" s="121"/>
      <c r="N6303" s="504" t="s">
        <v>2358</v>
      </c>
      <c r="O6303" s="536" t="s">
        <v>2359</v>
      </c>
      <c r="P6303" s="257"/>
      <c r="Q6303" s="321"/>
      <c r="R6303" s="260"/>
      <c r="S6303" s="260"/>
      <c r="T6303" s="260"/>
      <c r="U6303" s="260"/>
      <c r="V6303" s="257">
        <f>SUM(V6304:V6308)</f>
        <v>0</v>
      </c>
      <c r="W6303" s="548">
        <f t="shared" si="25"/>
        <v>0</v>
      </c>
      <c r="X6303" s="257">
        <f>SUM(X6304:X6308)</f>
        <v>0</v>
      </c>
      <c r="Y6303" s="260"/>
      <c r="Z6303" s="548">
        <f t="shared" si="26"/>
        <v>0</v>
      </c>
      <c r="AA6303" s="257">
        <f>SUM(AA6304:AA6308)</f>
        <v>0</v>
      </c>
      <c r="AB6303" s="257">
        <f>SUM(AB6304:AB6308)</f>
        <v>0</v>
      </c>
      <c r="AC6303" s="548">
        <f t="shared" si="27"/>
        <v>0</v>
      </c>
      <c r="AD6303" s="57"/>
      <c r="AE6303" s="57"/>
      <c r="AF6303" s="57"/>
      <c r="AG6303" s="57"/>
      <c r="AH6303" s="57"/>
      <c r="AI6303" s="57"/>
      <c r="AJ6303" s="57"/>
      <c r="AK6303" s="57"/>
      <c r="AL6303" s="57"/>
      <c r="AM6303" s="385"/>
    </row>
    <row r="6304" spans="1:39" s="47" customFormat="1">
      <c r="A6304" s="121"/>
      <c r="B6304" s="121"/>
      <c r="C6304" s="121"/>
      <c r="D6304" s="121"/>
      <c r="E6304" s="121"/>
      <c r="F6304" s="121"/>
      <c r="G6304" s="121"/>
      <c r="H6304" s="121"/>
      <c r="I6304" s="121"/>
      <c r="J6304" s="121"/>
      <c r="K6304" s="121"/>
      <c r="L6304" s="121"/>
      <c r="M6304" s="121"/>
      <c r="N6304" s="504" t="s">
        <v>2360</v>
      </c>
      <c r="O6304" s="537" t="s">
        <v>2444</v>
      </c>
      <c r="P6304" s="257"/>
      <c r="Q6304" s="321"/>
      <c r="R6304" s="260"/>
      <c r="S6304" s="260"/>
      <c r="T6304" s="260"/>
      <c r="U6304" s="260"/>
      <c r="V6304" s="261"/>
      <c r="W6304" s="548">
        <f t="shared" si="25"/>
        <v>0</v>
      </c>
      <c r="X6304" s="261"/>
      <c r="Y6304" s="260"/>
      <c r="Z6304" s="548">
        <f t="shared" si="26"/>
        <v>0</v>
      </c>
      <c r="AA6304" s="261"/>
      <c r="AB6304" s="261"/>
      <c r="AC6304" s="548">
        <f t="shared" si="27"/>
        <v>0</v>
      </c>
      <c r="AD6304" s="57"/>
      <c r="AE6304" s="57"/>
      <c r="AF6304" s="57"/>
      <c r="AG6304" s="57"/>
      <c r="AH6304" s="57"/>
      <c r="AI6304" s="57"/>
      <c r="AJ6304" s="57"/>
      <c r="AK6304" s="57"/>
      <c r="AL6304" s="57"/>
      <c r="AM6304" s="385"/>
    </row>
    <row r="6305" spans="1:39" s="47" customFormat="1">
      <c r="A6305" s="121"/>
      <c r="B6305" s="121"/>
      <c r="C6305" s="121"/>
      <c r="D6305" s="121"/>
      <c r="E6305" s="121"/>
      <c r="F6305" s="121"/>
      <c r="G6305" s="121"/>
      <c r="H6305" s="121"/>
      <c r="I6305" s="121"/>
      <c r="J6305" s="121"/>
      <c r="K6305" s="121"/>
      <c r="L6305" s="121"/>
      <c r="M6305" s="121"/>
      <c r="N6305" s="504" t="s">
        <v>2361</v>
      </c>
      <c r="O6305" s="537" t="s">
        <v>2362</v>
      </c>
      <c r="P6305" s="257"/>
      <c r="Q6305" s="321"/>
      <c r="R6305" s="260"/>
      <c r="S6305" s="260"/>
      <c r="T6305" s="260"/>
      <c r="U6305" s="260"/>
      <c r="V6305" s="261"/>
      <c r="W6305" s="548">
        <f t="shared" si="25"/>
        <v>0</v>
      </c>
      <c r="X6305" s="261"/>
      <c r="Y6305" s="260"/>
      <c r="Z6305" s="548">
        <f t="shared" si="26"/>
        <v>0</v>
      </c>
      <c r="AA6305" s="261"/>
      <c r="AB6305" s="261"/>
      <c r="AC6305" s="548">
        <f t="shared" si="27"/>
        <v>0</v>
      </c>
      <c r="AD6305" s="57"/>
      <c r="AE6305" s="57"/>
      <c r="AF6305" s="57"/>
      <c r="AG6305" s="57"/>
      <c r="AH6305" s="57"/>
      <c r="AI6305" s="57"/>
      <c r="AJ6305" s="57"/>
      <c r="AK6305" s="57"/>
      <c r="AL6305" s="57"/>
      <c r="AM6305" s="385"/>
    </row>
    <row r="6306" spans="1:39" s="47" customFormat="1">
      <c r="A6306" s="121"/>
      <c r="B6306" s="121"/>
      <c r="C6306" s="121"/>
      <c r="D6306" s="121"/>
      <c r="E6306" s="121"/>
      <c r="F6306" s="121"/>
      <c r="G6306" s="121"/>
      <c r="H6306" s="121"/>
      <c r="I6306" s="121"/>
      <c r="J6306" s="121"/>
      <c r="K6306" s="121"/>
      <c r="L6306" s="121"/>
      <c r="M6306" s="121"/>
      <c r="N6306" s="504" t="s">
        <v>2363</v>
      </c>
      <c r="O6306" s="528" t="s">
        <v>872</v>
      </c>
      <c r="P6306" s="257"/>
      <c r="Q6306" s="321"/>
      <c r="R6306" s="260"/>
      <c r="S6306" s="260"/>
      <c r="T6306" s="260"/>
      <c r="U6306" s="260"/>
      <c r="V6306" s="261"/>
      <c r="W6306" s="548">
        <f t="shared" si="25"/>
        <v>0</v>
      </c>
      <c r="X6306" s="261"/>
      <c r="Y6306" s="260"/>
      <c r="Z6306" s="548">
        <f t="shared" si="26"/>
        <v>0</v>
      </c>
      <c r="AA6306" s="261"/>
      <c r="AB6306" s="261"/>
      <c r="AC6306" s="548">
        <f t="shared" si="27"/>
        <v>0</v>
      </c>
      <c r="AD6306" s="57"/>
      <c r="AE6306" s="57"/>
      <c r="AF6306" s="57"/>
      <c r="AG6306" s="57"/>
      <c r="AH6306" s="57"/>
      <c r="AI6306" s="57"/>
      <c r="AJ6306" s="57"/>
      <c r="AK6306" s="57"/>
      <c r="AL6306" s="57"/>
      <c r="AM6306" s="385"/>
    </row>
    <row r="6307" spans="1:39" s="47" customFormat="1" ht="22.5">
      <c r="A6307" s="121"/>
      <c r="B6307" s="121"/>
      <c r="C6307" s="121"/>
      <c r="D6307" s="121"/>
      <c r="E6307" s="121"/>
      <c r="F6307" s="121"/>
      <c r="G6307" s="121"/>
      <c r="H6307" s="121"/>
      <c r="I6307" s="121"/>
      <c r="J6307" s="121"/>
      <c r="K6307" s="121"/>
      <c r="L6307" s="121"/>
      <c r="M6307" s="121"/>
      <c r="N6307" s="504" t="s">
        <v>2364</v>
      </c>
      <c r="O6307" s="528" t="s">
        <v>2365</v>
      </c>
      <c r="P6307" s="257"/>
      <c r="Q6307" s="321"/>
      <c r="R6307" s="260"/>
      <c r="S6307" s="260"/>
      <c r="T6307" s="260"/>
      <c r="U6307" s="260"/>
      <c r="V6307" s="261"/>
      <c r="W6307" s="548">
        <f t="shared" si="25"/>
        <v>0</v>
      </c>
      <c r="X6307" s="261"/>
      <c r="Y6307" s="260"/>
      <c r="Z6307" s="548">
        <f t="shared" si="26"/>
        <v>0</v>
      </c>
      <c r="AA6307" s="261"/>
      <c r="AB6307" s="261"/>
      <c r="AC6307" s="548">
        <f t="shared" si="27"/>
        <v>0</v>
      </c>
      <c r="AD6307" s="57"/>
      <c r="AE6307" s="57"/>
      <c r="AF6307" s="57"/>
      <c r="AG6307" s="57"/>
      <c r="AH6307" s="57"/>
      <c r="AI6307" s="57"/>
      <c r="AJ6307" s="57"/>
      <c r="AK6307" s="57"/>
      <c r="AL6307" s="57"/>
      <c r="AM6307" s="385"/>
    </row>
    <row r="6308" spans="1:39" s="47" customFormat="1">
      <c r="A6308" s="121"/>
      <c r="B6308" s="121"/>
      <c r="C6308" s="121"/>
      <c r="D6308" s="121"/>
      <c r="E6308" s="121"/>
      <c r="F6308" s="121"/>
      <c r="G6308" s="121"/>
      <c r="H6308" s="121"/>
      <c r="I6308" s="121"/>
      <c r="J6308" s="121"/>
      <c r="K6308" s="121"/>
      <c r="L6308" s="121"/>
      <c r="M6308" s="121"/>
      <c r="N6308" s="504" t="s">
        <v>2366</v>
      </c>
      <c r="O6308" s="528" t="s">
        <v>2367</v>
      </c>
      <c r="P6308" s="257"/>
      <c r="Q6308" s="321"/>
      <c r="R6308" s="260"/>
      <c r="S6308" s="260"/>
      <c r="T6308" s="260"/>
      <c r="U6308" s="260"/>
      <c r="V6308" s="261"/>
      <c r="W6308" s="548">
        <f t="shared" si="25"/>
        <v>0</v>
      </c>
      <c r="X6308" s="261"/>
      <c r="Y6308" s="260"/>
      <c r="Z6308" s="548">
        <f t="shared" si="26"/>
        <v>0</v>
      </c>
      <c r="AA6308" s="261"/>
      <c r="AB6308" s="261"/>
      <c r="AC6308" s="548">
        <f t="shared" si="27"/>
        <v>0</v>
      </c>
      <c r="AD6308" s="57"/>
      <c r="AE6308" s="57"/>
      <c r="AF6308" s="57"/>
      <c r="AG6308" s="57"/>
      <c r="AH6308" s="57"/>
      <c r="AI6308" s="57"/>
      <c r="AJ6308" s="57"/>
      <c r="AK6308" s="57"/>
      <c r="AL6308" s="57"/>
      <c r="AM6308" s="385"/>
    </row>
    <row r="6309" spans="1:39" s="47" customFormat="1">
      <c r="A6309" s="121"/>
      <c r="B6309" s="121"/>
      <c r="C6309" s="121"/>
      <c r="D6309" s="121"/>
      <c r="E6309" s="121"/>
      <c r="F6309" s="121"/>
      <c r="G6309" s="121"/>
      <c r="H6309" s="121"/>
      <c r="I6309" s="121"/>
      <c r="J6309" s="121"/>
      <c r="K6309" s="121"/>
      <c r="L6309" s="121"/>
      <c r="M6309" s="121"/>
      <c r="N6309" s="504"/>
      <c r="O6309" s="526"/>
      <c r="P6309" s="260"/>
      <c r="Q6309" s="321"/>
      <c r="R6309" s="260"/>
      <c r="S6309" s="260"/>
      <c r="T6309" s="260"/>
      <c r="U6309" s="260"/>
      <c r="V6309" s="260"/>
      <c r="W6309" s="260"/>
      <c r="X6309" s="260"/>
      <c r="Y6309" s="260"/>
      <c r="Z6309" s="260"/>
      <c r="AA6309" s="260"/>
      <c r="AB6309" s="260"/>
      <c r="AC6309" s="260"/>
      <c r="AD6309" s="57"/>
      <c r="AE6309" s="57"/>
      <c r="AF6309" s="57"/>
      <c r="AG6309" s="57"/>
      <c r="AH6309" s="57"/>
      <c r="AI6309" s="57"/>
      <c r="AJ6309" s="57"/>
      <c r="AK6309" s="57"/>
      <c r="AL6309" s="57"/>
      <c r="AM6309" s="385"/>
    </row>
    <row r="6310" spans="1:39" s="47" customFormat="1">
      <c r="A6310" s="121"/>
      <c r="B6310" s="121"/>
      <c r="C6310" s="121"/>
      <c r="D6310" s="121"/>
      <c r="E6310" s="121"/>
      <c r="F6310" s="121"/>
      <c r="G6310" s="121"/>
      <c r="H6310" s="121"/>
      <c r="I6310" s="121"/>
      <c r="J6310" s="121"/>
      <c r="K6310" s="121"/>
      <c r="L6310" s="121"/>
      <c r="M6310" s="121"/>
      <c r="N6310" s="504"/>
      <c r="O6310" s="527"/>
      <c r="P6310" s="260"/>
      <c r="Q6310" s="321"/>
      <c r="R6310" s="260"/>
      <c r="S6310" s="260"/>
      <c r="T6310" s="260"/>
      <c r="U6310" s="260"/>
      <c r="V6310" s="260"/>
      <c r="W6310" s="260"/>
      <c r="X6310" s="260"/>
      <c r="Y6310" s="260"/>
      <c r="Z6310" s="260"/>
      <c r="AA6310" s="260"/>
      <c r="AB6310" s="260"/>
      <c r="AC6310" s="260"/>
      <c r="AD6310" s="57"/>
      <c r="AE6310" s="57"/>
      <c r="AF6310" s="57"/>
      <c r="AG6310" s="57"/>
      <c r="AH6310" s="57"/>
      <c r="AI6310" s="57"/>
      <c r="AJ6310" s="57"/>
      <c r="AK6310" s="57"/>
      <c r="AL6310" s="57"/>
      <c r="AM6310" s="385"/>
    </row>
    <row r="6311" spans="1:39" s="47" customFormat="1">
      <c r="A6311" s="121"/>
      <c r="B6311" s="121"/>
      <c r="C6311" s="121"/>
      <c r="D6311" s="121"/>
      <c r="E6311" s="121"/>
      <c r="F6311" s="121"/>
      <c r="G6311" s="121"/>
      <c r="H6311" s="121"/>
      <c r="I6311" s="121"/>
      <c r="J6311" s="121"/>
      <c r="K6311" s="121"/>
      <c r="L6311" s="121"/>
      <c r="M6311" s="121"/>
      <c r="N6311" s="504"/>
      <c r="O6311" s="528"/>
      <c r="P6311" s="260"/>
      <c r="Q6311" s="321"/>
      <c r="R6311" s="260"/>
      <c r="S6311" s="260"/>
      <c r="T6311" s="260"/>
      <c r="U6311" s="260"/>
      <c r="V6311" s="260"/>
      <c r="W6311" s="260"/>
      <c r="X6311" s="260"/>
      <c r="Y6311" s="260"/>
      <c r="Z6311" s="260"/>
      <c r="AA6311" s="260"/>
      <c r="AB6311" s="260"/>
      <c r="AC6311" s="260"/>
      <c r="AD6311" s="57"/>
      <c r="AE6311" s="57"/>
      <c r="AF6311" s="57"/>
      <c r="AG6311" s="57"/>
      <c r="AH6311" s="57"/>
      <c r="AI6311" s="57"/>
      <c r="AJ6311" s="57"/>
      <c r="AK6311" s="57"/>
      <c r="AL6311" s="57"/>
      <c r="AM6311" s="385"/>
    </row>
    <row r="6312" spans="1:39" s="47" customFormat="1">
      <c r="A6312" s="121"/>
      <c r="B6312" s="121"/>
      <c r="C6312" s="121"/>
      <c r="D6312" s="121"/>
      <c r="E6312" s="121"/>
      <c r="F6312" s="121"/>
      <c r="G6312" s="121"/>
      <c r="H6312" s="121"/>
      <c r="I6312" s="121"/>
      <c r="J6312" s="121"/>
      <c r="K6312" s="121"/>
      <c r="L6312" s="121"/>
      <c r="M6312" s="121"/>
      <c r="N6312" s="504"/>
      <c r="O6312" s="527"/>
      <c r="P6312" s="260"/>
      <c r="Q6312" s="321"/>
      <c r="R6312" s="260"/>
      <c r="S6312" s="260"/>
      <c r="T6312" s="260"/>
      <c r="U6312" s="260"/>
      <c r="V6312" s="260"/>
      <c r="W6312" s="260"/>
      <c r="X6312" s="260"/>
      <c r="Y6312" s="260"/>
      <c r="Z6312" s="260"/>
      <c r="AA6312" s="260"/>
      <c r="AB6312" s="260"/>
      <c r="AC6312" s="260"/>
      <c r="AD6312" s="57"/>
      <c r="AE6312" s="57"/>
      <c r="AF6312" s="57"/>
      <c r="AG6312" s="57"/>
      <c r="AH6312" s="57"/>
      <c r="AI6312" s="57"/>
      <c r="AJ6312" s="57"/>
      <c r="AK6312" s="57"/>
      <c r="AL6312" s="57"/>
      <c r="AM6312" s="385"/>
    </row>
    <row r="6313" spans="1:39" s="47" customFormat="1">
      <c r="A6313" s="121"/>
      <c r="B6313" s="121"/>
      <c r="C6313" s="121"/>
      <c r="D6313" s="121"/>
      <c r="E6313" s="121"/>
      <c r="F6313" s="121"/>
      <c r="G6313" s="121"/>
      <c r="H6313" s="121"/>
      <c r="I6313" s="121"/>
      <c r="J6313" s="121"/>
      <c r="K6313" s="121"/>
      <c r="L6313" s="121"/>
      <c r="M6313" s="121"/>
      <c r="N6313" s="504"/>
      <c r="O6313" s="527"/>
      <c r="P6313" s="260"/>
      <c r="Q6313" s="321"/>
      <c r="R6313" s="260"/>
      <c r="S6313" s="260"/>
      <c r="T6313" s="260"/>
      <c r="U6313" s="260"/>
      <c r="V6313" s="260"/>
      <c r="W6313" s="260"/>
      <c r="X6313" s="260"/>
      <c r="Y6313" s="260"/>
      <c r="Z6313" s="260"/>
      <c r="AA6313" s="260"/>
      <c r="AB6313" s="260"/>
      <c r="AC6313" s="260"/>
      <c r="AD6313" s="57"/>
      <c r="AE6313" s="57"/>
      <c r="AF6313" s="57"/>
      <c r="AG6313" s="57"/>
      <c r="AH6313" s="57"/>
      <c r="AI6313" s="57"/>
      <c r="AJ6313" s="57"/>
      <c r="AK6313" s="57"/>
      <c r="AL6313" s="57"/>
      <c r="AM6313" s="57"/>
    </row>
    <row r="6314" spans="1:39" s="47" customFormat="1">
      <c r="A6314" s="121"/>
      <c r="B6314" s="121"/>
      <c r="C6314" s="121"/>
      <c r="D6314" s="121"/>
      <c r="E6314" s="121"/>
      <c r="F6314" s="121"/>
      <c r="G6314" s="121"/>
      <c r="H6314" s="121"/>
      <c r="I6314" s="121"/>
      <c r="J6314" s="121"/>
      <c r="K6314" s="121"/>
      <c r="L6314" s="121"/>
      <c r="M6314" s="121"/>
      <c r="N6314" s="504"/>
      <c r="O6314" s="527"/>
      <c r="P6314" s="260"/>
      <c r="Q6314" s="321"/>
      <c r="R6314" s="260"/>
      <c r="S6314" s="260"/>
      <c r="T6314" s="260"/>
      <c r="U6314" s="260"/>
      <c r="V6314" s="260"/>
      <c r="W6314" s="260"/>
      <c r="X6314" s="260"/>
      <c r="Y6314" s="260"/>
      <c r="Z6314" s="260"/>
      <c r="AA6314" s="260"/>
      <c r="AB6314" s="260"/>
      <c r="AC6314" s="260"/>
      <c r="AD6314" s="385"/>
      <c r="AE6314" s="385"/>
      <c r="AF6314" s="385"/>
      <c r="AG6314" s="385"/>
      <c r="AH6314" s="385"/>
      <c r="AI6314" s="385"/>
      <c r="AJ6314" s="385"/>
      <c r="AK6314" s="385"/>
      <c r="AL6314" s="385"/>
      <c r="AM6314" s="385"/>
    </row>
    <row r="6315" spans="1:39" s="47" customFormat="1">
      <c r="A6315" s="121"/>
      <c r="B6315" s="121"/>
      <c r="C6315" s="121"/>
      <c r="D6315" s="121"/>
      <c r="E6315" s="121"/>
      <c r="F6315" s="121"/>
      <c r="G6315" s="121"/>
      <c r="H6315" s="121"/>
      <c r="I6315" s="121"/>
      <c r="J6315" s="121"/>
      <c r="K6315" s="121"/>
      <c r="L6315" s="121"/>
      <c r="M6315" s="121"/>
      <c r="N6315" s="504"/>
      <c r="O6315" s="527"/>
      <c r="P6315" s="260"/>
      <c r="Q6315" s="321"/>
      <c r="R6315" s="260"/>
      <c r="S6315" s="260"/>
      <c r="T6315" s="260"/>
      <c r="U6315" s="260"/>
      <c r="V6315" s="260"/>
      <c r="W6315" s="260"/>
      <c r="X6315" s="260"/>
      <c r="Y6315" s="260"/>
      <c r="Z6315" s="260"/>
      <c r="AA6315" s="260"/>
      <c r="AB6315" s="260"/>
      <c r="AC6315" s="260"/>
      <c r="AD6315" s="385"/>
      <c r="AE6315" s="385"/>
      <c r="AF6315" s="385"/>
      <c r="AG6315" s="385"/>
      <c r="AH6315" s="385"/>
      <c r="AI6315" s="385"/>
      <c r="AJ6315" s="385"/>
      <c r="AK6315" s="385"/>
      <c r="AL6315" s="385"/>
      <c r="AM6315" s="385"/>
    </row>
    <row r="6316" spans="1:39" s="47" customFormat="1">
      <c r="A6316" s="121"/>
      <c r="B6316" s="121"/>
      <c r="C6316" s="121"/>
      <c r="D6316" s="121"/>
      <c r="E6316" s="121"/>
      <c r="F6316" s="121"/>
      <c r="G6316" s="121"/>
      <c r="H6316" s="121"/>
      <c r="I6316" s="121"/>
      <c r="J6316" s="121"/>
      <c r="K6316" s="121"/>
      <c r="L6316" s="121"/>
      <c r="M6316" s="121"/>
      <c r="N6316" s="504"/>
      <c r="O6316" s="528"/>
      <c r="P6316" s="260"/>
      <c r="Q6316" s="321"/>
      <c r="R6316" s="260"/>
      <c r="S6316" s="260"/>
      <c r="T6316" s="260"/>
      <c r="U6316" s="260"/>
      <c r="V6316" s="260"/>
      <c r="W6316" s="260"/>
      <c r="X6316" s="260"/>
      <c r="Y6316" s="260"/>
      <c r="Z6316" s="260"/>
      <c r="AA6316" s="260"/>
      <c r="AB6316" s="260"/>
      <c r="AC6316" s="260"/>
      <c r="AD6316" s="385"/>
      <c r="AE6316" s="385"/>
      <c r="AF6316" s="385"/>
      <c r="AG6316" s="385"/>
      <c r="AH6316" s="385"/>
      <c r="AI6316" s="385"/>
      <c r="AJ6316" s="385"/>
      <c r="AK6316" s="385"/>
      <c r="AL6316" s="385"/>
      <c r="AM6316" s="385"/>
    </row>
    <row r="6317" spans="1:39" s="47" customFormat="1">
      <c r="A6317" s="121"/>
      <c r="B6317" s="121"/>
      <c r="C6317" s="121"/>
      <c r="D6317" s="121"/>
      <c r="E6317" s="121"/>
      <c r="F6317" s="121"/>
      <c r="G6317" s="121"/>
      <c r="H6317" s="121"/>
      <c r="I6317" s="121"/>
      <c r="J6317" s="121"/>
      <c r="K6317" s="121"/>
      <c r="L6317" s="121"/>
      <c r="M6317" s="121"/>
      <c r="N6317" s="504"/>
      <c r="O6317" s="538"/>
      <c r="P6317" s="260"/>
      <c r="Q6317" s="321"/>
      <c r="R6317" s="260"/>
      <c r="S6317" s="260"/>
      <c r="T6317" s="260"/>
      <c r="U6317" s="260"/>
      <c r="V6317" s="260"/>
      <c r="W6317" s="260"/>
      <c r="X6317" s="260"/>
      <c r="Y6317" s="260"/>
      <c r="Z6317" s="260"/>
      <c r="AA6317" s="260"/>
      <c r="AB6317" s="260"/>
      <c r="AC6317" s="260"/>
      <c r="AD6317" s="385"/>
      <c r="AE6317" s="385"/>
      <c r="AF6317" s="385"/>
      <c r="AG6317" s="385"/>
      <c r="AH6317" s="385"/>
      <c r="AI6317" s="385"/>
      <c r="AJ6317" s="385"/>
      <c r="AK6317" s="385"/>
      <c r="AL6317" s="385"/>
      <c r="AM6317" s="385"/>
    </row>
    <row r="6318" spans="1:39" s="47" customFormat="1">
      <c r="A6318" s="121"/>
      <c r="B6318" s="121"/>
      <c r="C6318" s="121"/>
      <c r="D6318" s="121"/>
      <c r="E6318" s="121"/>
      <c r="F6318" s="121"/>
      <c r="G6318" s="121"/>
      <c r="H6318" s="121"/>
      <c r="I6318" s="121"/>
      <c r="J6318" s="121"/>
      <c r="K6318" s="121"/>
      <c r="L6318" s="121"/>
      <c r="M6318" s="121"/>
      <c r="N6318" s="504"/>
      <c r="O6318" s="528"/>
      <c r="P6318" s="260"/>
      <c r="Q6318" s="321"/>
      <c r="R6318" s="260"/>
      <c r="S6318" s="260"/>
      <c r="T6318" s="260"/>
      <c r="U6318" s="260"/>
      <c r="V6318" s="260"/>
      <c r="W6318" s="260"/>
      <c r="X6318" s="260"/>
      <c r="Y6318" s="260"/>
      <c r="Z6318" s="260"/>
      <c r="AA6318" s="260"/>
      <c r="AB6318" s="260"/>
      <c r="AC6318" s="260"/>
      <c r="AD6318" s="385"/>
      <c r="AE6318" s="385"/>
      <c r="AF6318" s="385"/>
      <c r="AG6318" s="385"/>
      <c r="AH6318" s="385"/>
      <c r="AI6318" s="385"/>
      <c r="AJ6318" s="385"/>
      <c r="AK6318" s="385"/>
      <c r="AL6318" s="385"/>
      <c r="AM6318" s="385"/>
    </row>
    <row r="6319" spans="1:39" s="47" customFormat="1">
      <c r="A6319" s="121"/>
      <c r="B6319" s="121"/>
      <c r="C6319" s="121"/>
      <c r="D6319" s="121"/>
      <c r="E6319" s="121"/>
      <c r="F6319" s="121"/>
      <c r="G6319" s="121"/>
      <c r="H6319" s="121"/>
      <c r="I6319" s="121"/>
      <c r="J6319" s="121"/>
      <c r="K6319" s="121"/>
      <c r="L6319" s="121"/>
      <c r="M6319" s="121"/>
      <c r="N6319" s="504"/>
      <c r="O6319" s="527"/>
      <c r="P6319" s="260"/>
      <c r="Q6319" s="321"/>
      <c r="R6319" s="260"/>
      <c r="S6319" s="260"/>
      <c r="T6319" s="260"/>
      <c r="U6319" s="260"/>
      <c r="V6319" s="260"/>
      <c r="W6319" s="260"/>
      <c r="X6319" s="260"/>
      <c r="Y6319" s="260"/>
      <c r="Z6319" s="260"/>
      <c r="AA6319" s="260"/>
      <c r="AB6319" s="260"/>
      <c r="AC6319" s="260"/>
      <c r="AD6319" s="57"/>
      <c r="AE6319" s="57"/>
      <c r="AF6319" s="57"/>
      <c r="AG6319" s="57"/>
      <c r="AH6319" s="57"/>
      <c r="AI6319" s="57"/>
      <c r="AJ6319" s="57"/>
      <c r="AK6319" s="57"/>
      <c r="AL6319" s="57"/>
      <c r="AM6319" s="385"/>
    </row>
    <row r="6320" spans="1:39" s="47" customFormat="1">
      <c r="A6320" s="121"/>
      <c r="B6320" s="121"/>
      <c r="C6320" s="121"/>
      <c r="D6320" s="121"/>
      <c r="E6320" s="121"/>
      <c r="F6320" s="121"/>
      <c r="G6320" s="121"/>
      <c r="H6320" s="121"/>
      <c r="I6320" s="121"/>
      <c r="J6320" s="121"/>
      <c r="K6320" s="121"/>
      <c r="L6320" s="121"/>
      <c r="M6320" s="121"/>
      <c r="N6320" s="504"/>
      <c r="O6320" s="527"/>
      <c r="P6320" s="260"/>
      <c r="Q6320" s="321"/>
      <c r="R6320" s="260"/>
      <c r="S6320" s="260"/>
      <c r="T6320" s="260"/>
      <c r="U6320" s="260"/>
      <c r="V6320" s="260"/>
      <c r="W6320" s="260"/>
      <c r="X6320" s="260"/>
      <c r="Y6320" s="260"/>
      <c r="Z6320" s="260"/>
      <c r="AA6320" s="260"/>
      <c r="AB6320" s="260"/>
      <c r="AC6320" s="260"/>
      <c r="AD6320" s="57"/>
      <c r="AE6320" s="57"/>
      <c r="AF6320" s="57"/>
      <c r="AG6320" s="57"/>
      <c r="AH6320" s="57"/>
      <c r="AI6320" s="57"/>
      <c r="AJ6320" s="57"/>
      <c r="AK6320" s="57"/>
      <c r="AL6320" s="57"/>
      <c r="AM6320" s="385"/>
    </row>
    <row r="6321" spans="1:39" s="47" customFormat="1">
      <c r="A6321" s="121"/>
      <c r="B6321" s="121"/>
      <c r="C6321" s="121"/>
      <c r="D6321" s="121"/>
      <c r="E6321" s="121"/>
      <c r="F6321" s="121"/>
      <c r="G6321" s="121"/>
      <c r="H6321" s="121"/>
      <c r="I6321" s="121"/>
      <c r="J6321" s="121"/>
      <c r="K6321" s="121"/>
      <c r="L6321" s="121"/>
      <c r="M6321" s="121"/>
      <c r="N6321" s="504"/>
      <c r="O6321" s="527"/>
      <c r="P6321" s="260"/>
      <c r="Q6321" s="321"/>
      <c r="R6321" s="260"/>
      <c r="S6321" s="260"/>
      <c r="T6321" s="260"/>
      <c r="U6321" s="260"/>
      <c r="V6321" s="260"/>
      <c r="W6321" s="260"/>
      <c r="X6321" s="260"/>
      <c r="Y6321" s="260"/>
      <c r="Z6321" s="260"/>
      <c r="AA6321" s="260"/>
      <c r="AB6321" s="260"/>
      <c r="AC6321" s="260"/>
      <c r="AD6321" s="57"/>
      <c r="AE6321" s="57"/>
      <c r="AF6321" s="57"/>
      <c r="AG6321" s="57"/>
      <c r="AH6321" s="57"/>
      <c r="AI6321" s="57"/>
      <c r="AJ6321" s="57"/>
      <c r="AK6321" s="57"/>
      <c r="AL6321" s="57"/>
      <c r="AM6321" s="385"/>
    </row>
    <row r="6322" spans="1:39" s="47" customFormat="1">
      <c r="A6322" s="121"/>
      <c r="B6322" s="121"/>
      <c r="C6322" s="121"/>
      <c r="D6322" s="121"/>
      <c r="E6322" s="121"/>
      <c r="F6322" s="121"/>
      <c r="G6322" s="121"/>
      <c r="H6322" s="121"/>
      <c r="I6322" s="121"/>
      <c r="J6322" s="121"/>
      <c r="K6322" s="121"/>
      <c r="L6322" s="121"/>
      <c r="M6322" s="121"/>
      <c r="N6322" s="504"/>
      <c r="O6322" s="527"/>
      <c r="P6322" s="260"/>
      <c r="Q6322" s="321"/>
      <c r="R6322" s="260"/>
      <c r="S6322" s="260"/>
      <c r="T6322" s="260"/>
      <c r="U6322" s="260"/>
      <c r="V6322" s="260"/>
      <c r="W6322" s="260"/>
      <c r="X6322" s="260"/>
      <c r="Y6322" s="260"/>
      <c r="Z6322" s="260"/>
      <c r="AA6322" s="260"/>
      <c r="AB6322" s="260"/>
      <c r="AC6322" s="260"/>
      <c r="AD6322" s="57"/>
      <c r="AE6322" s="57"/>
      <c r="AF6322" s="57"/>
      <c r="AG6322" s="57"/>
      <c r="AH6322" s="57"/>
      <c r="AI6322" s="57"/>
      <c r="AJ6322" s="57"/>
      <c r="AK6322" s="57"/>
      <c r="AL6322" s="57"/>
      <c r="AM6322" s="385"/>
    </row>
    <row r="6323" spans="1:39" s="47" customFormat="1">
      <c r="A6323" s="121"/>
      <c r="B6323" s="121"/>
      <c r="C6323" s="121"/>
      <c r="D6323" s="121"/>
      <c r="E6323" s="121"/>
      <c r="F6323" s="121"/>
      <c r="G6323" s="121"/>
      <c r="H6323" s="121"/>
      <c r="I6323" s="121"/>
      <c r="J6323" s="121"/>
      <c r="K6323" s="121"/>
      <c r="L6323" s="121"/>
      <c r="M6323" s="121"/>
      <c r="N6323" s="504"/>
      <c r="O6323" s="527"/>
      <c r="P6323" s="260"/>
      <c r="Q6323" s="321"/>
      <c r="R6323" s="260"/>
      <c r="S6323" s="260"/>
      <c r="T6323" s="260"/>
      <c r="U6323" s="260"/>
      <c r="V6323" s="260"/>
      <c r="W6323" s="260"/>
      <c r="X6323" s="260"/>
      <c r="Y6323" s="260"/>
      <c r="Z6323" s="260"/>
      <c r="AA6323" s="260"/>
      <c r="AB6323" s="260"/>
      <c r="AC6323" s="260"/>
      <c r="AD6323" s="57"/>
      <c r="AE6323" s="57"/>
      <c r="AF6323" s="57"/>
      <c r="AG6323" s="57"/>
      <c r="AH6323" s="57"/>
      <c r="AI6323" s="57"/>
      <c r="AJ6323" s="57"/>
      <c r="AK6323" s="57"/>
      <c r="AL6323" s="57"/>
      <c r="AM6323" s="385"/>
    </row>
    <row r="6324" spans="1:39" s="47" customFormat="1">
      <c r="A6324" s="121"/>
      <c r="B6324" s="121"/>
      <c r="C6324" s="121"/>
      <c r="D6324" s="121"/>
      <c r="E6324" s="121"/>
      <c r="F6324" s="121"/>
      <c r="G6324" s="121"/>
      <c r="H6324" s="121"/>
      <c r="I6324" s="121"/>
      <c r="J6324" s="121"/>
      <c r="K6324" s="121"/>
      <c r="L6324" s="121"/>
      <c r="M6324" s="121"/>
      <c r="N6324" s="504"/>
      <c r="O6324" s="527"/>
      <c r="P6324" s="260"/>
      <c r="Q6324" s="321"/>
      <c r="R6324" s="260"/>
      <c r="S6324" s="260"/>
      <c r="T6324" s="260"/>
      <c r="U6324" s="260"/>
      <c r="V6324" s="260"/>
      <c r="W6324" s="260"/>
      <c r="X6324" s="260"/>
      <c r="Y6324" s="260"/>
      <c r="Z6324" s="260"/>
      <c r="AA6324" s="260"/>
      <c r="AB6324" s="260"/>
      <c r="AC6324" s="260"/>
      <c r="AD6324" s="57"/>
      <c r="AE6324" s="57"/>
      <c r="AF6324" s="57"/>
      <c r="AG6324" s="57"/>
      <c r="AH6324" s="57"/>
      <c r="AI6324" s="57"/>
      <c r="AJ6324" s="57"/>
      <c r="AK6324" s="57"/>
      <c r="AL6324" s="57"/>
      <c r="AM6324" s="385"/>
    </row>
    <row r="6325" spans="1:39" s="47" customFormat="1">
      <c r="A6325" s="121"/>
      <c r="B6325" s="121"/>
      <c r="C6325" s="121"/>
      <c r="D6325" s="121"/>
      <c r="E6325" s="121"/>
      <c r="F6325" s="121"/>
      <c r="G6325" s="121"/>
      <c r="H6325" s="121"/>
      <c r="I6325" s="121"/>
      <c r="J6325" s="121"/>
      <c r="K6325" s="121"/>
      <c r="L6325" s="121"/>
      <c r="M6325" s="121"/>
      <c r="N6325" s="260"/>
      <c r="O6325" s="260"/>
      <c r="P6325" s="260"/>
      <c r="Q6325" s="321"/>
      <c r="R6325" s="260"/>
      <c r="S6325" s="260"/>
      <c r="T6325" s="260"/>
      <c r="U6325" s="260"/>
      <c r="V6325" s="260"/>
      <c r="W6325" s="260"/>
      <c r="X6325" s="260"/>
      <c r="Y6325" s="260"/>
      <c r="Z6325" s="260"/>
      <c r="AA6325" s="260"/>
      <c r="AB6325" s="260"/>
      <c r="AC6325" s="260"/>
      <c r="AD6325" s="60"/>
      <c r="AE6325" s="60"/>
      <c r="AF6325" s="60"/>
      <c r="AG6325" s="60"/>
      <c r="AH6325" s="60"/>
      <c r="AI6325" s="60"/>
      <c r="AJ6325" s="60"/>
      <c r="AK6325" s="60"/>
      <c r="AL6325" s="60"/>
      <c r="AM6325" s="60"/>
    </row>
    <row r="6326" spans="1:39" s="47" customFormat="1">
      <c r="A6326" s="121"/>
      <c r="B6326" s="121"/>
      <c r="C6326" s="121"/>
      <c r="D6326" s="121"/>
      <c r="E6326" s="121"/>
      <c r="F6326" s="121"/>
      <c r="G6326" s="121"/>
      <c r="H6326" s="121"/>
      <c r="I6326" s="121"/>
      <c r="J6326" s="121"/>
      <c r="K6326" s="121"/>
      <c r="L6326" s="121"/>
      <c r="M6326" s="121"/>
      <c r="N6326" s="260"/>
      <c r="O6326" s="260"/>
      <c r="P6326" s="260"/>
      <c r="Q6326" s="321"/>
      <c r="R6326" s="260"/>
      <c r="S6326" s="260"/>
      <c r="T6326" s="260"/>
      <c r="U6326" s="260"/>
      <c r="V6326" s="260"/>
      <c r="W6326" s="260"/>
      <c r="X6326" s="260"/>
      <c r="Y6326" s="260"/>
      <c r="Z6326" s="260"/>
      <c r="AA6326" s="260"/>
      <c r="AB6326" s="260"/>
      <c r="AC6326" s="260"/>
      <c r="AD6326" s="60"/>
      <c r="AE6326" s="60"/>
      <c r="AF6326" s="60"/>
      <c r="AG6326" s="60"/>
      <c r="AH6326" s="60"/>
      <c r="AI6326" s="60"/>
      <c r="AJ6326" s="60"/>
      <c r="AK6326" s="60"/>
      <c r="AL6326" s="60"/>
      <c r="AM6326" s="60"/>
    </row>
    <row r="6327" spans="1:39" s="47" customFormat="1">
      <c r="A6327" s="121"/>
      <c r="B6327" s="121"/>
      <c r="C6327" s="121"/>
      <c r="D6327" s="121"/>
      <c r="E6327" s="121"/>
      <c r="F6327" s="121"/>
      <c r="G6327" s="121"/>
      <c r="H6327" s="121"/>
      <c r="I6327" s="121"/>
      <c r="J6327" s="121"/>
      <c r="K6327" s="121"/>
      <c r="L6327" s="121"/>
      <c r="M6327" s="121"/>
      <c r="N6327" s="260"/>
      <c r="O6327" s="260"/>
      <c r="P6327" s="260"/>
      <c r="Q6327" s="321"/>
      <c r="R6327" s="260"/>
      <c r="S6327" s="260"/>
      <c r="T6327" s="260"/>
      <c r="U6327" s="260"/>
      <c r="V6327" s="260"/>
      <c r="W6327" s="260"/>
      <c r="X6327" s="260"/>
      <c r="Y6327" s="260"/>
      <c r="Z6327" s="260"/>
      <c r="AA6327" s="260"/>
      <c r="AB6327" s="260"/>
      <c r="AC6327" s="260"/>
      <c r="AD6327" s="60"/>
      <c r="AE6327" s="60"/>
      <c r="AF6327" s="60"/>
      <c r="AG6327" s="60"/>
      <c r="AH6327" s="60"/>
      <c r="AI6327" s="60"/>
      <c r="AJ6327" s="60"/>
      <c r="AK6327" s="60"/>
      <c r="AL6327" s="60"/>
      <c r="AM6327" s="60"/>
    </row>
    <row r="6328" spans="1:39" s="47" customFormat="1">
      <c r="A6328" s="121"/>
      <c r="B6328" s="121"/>
      <c r="C6328" s="121"/>
      <c r="D6328" s="121"/>
      <c r="E6328" s="121"/>
      <c r="F6328" s="121"/>
      <c r="G6328" s="121"/>
      <c r="H6328" s="121"/>
      <c r="I6328" s="121"/>
      <c r="J6328" s="121"/>
      <c r="K6328" s="121"/>
      <c r="L6328" s="121"/>
      <c r="M6328" s="121"/>
      <c r="N6328" s="260"/>
      <c r="O6328" s="260"/>
      <c r="P6328" s="260"/>
      <c r="Q6328" s="321"/>
      <c r="R6328" s="260"/>
      <c r="S6328" s="260"/>
      <c r="T6328" s="260"/>
      <c r="U6328" s="260"/>
      <c r="V6328" s="260"/>
      <c r="W6328" s="260"/>
      <c r="X6328" s="260"/>
      <c r="Y6328" s="260"/>
      <c r="Z6328" s="260"/>
      <c r="AA6328" s="260"/>
      <c r="AB6328" s="260"/>
      <c r="AC6328" s="260"/>
      <c r="AD6328" s="60"/>
      <c r="AE6328" s="60"/>
      <c r="AF6328" s="60"/>
      <c r="AG6328" s="60"/>
      <c r="AH6328" s="60"/>
      <c r="AI6328" s="60"/>
      <c r="AJ6328" s="60"/>
      <c r="AK6328" s="60"/>
      <c r="AL6328" s="60"/>
      <c r="AM6328" s="57"/>
    </row>
    <row r="6329" spans="1:39" s="47" customFormat="1">
      <c r="A6329" s="121"/>
      <c r="B6329" s="121"/>
      <c r="C6329" s="121"/>
      <c r="D6329" s="121"/>
      <c r="E6329" s="121"/>
      <c r="F6329" s="121"/>
      <c r="G6329" s="121"/>
      <c r="H6329" s="121"/>
      <c r="I6329" s="121"/>
      <c r="J6329" s="121"/>
      <c r="K6329" s="121"/>
      <c r="L6329" s="121"/>
      <c r="M6329" s="121"/>
      <c r="N6329" s="260"/>
      <c r="O6329" s="260"/>
      <c r="P6329" s="260"/>
      <c r="Q6329" s="321"/>
      <c r="R6329" s="260"/>
      <c r="S6329" s="260"/>
      <c r="T6329" s="260"/>
      <c r="U6329" s="260"/>
      <c r="V6329" s="260"/>
      <c r="W6329" s="260"/>
      <c r="X6329" s="260"/>
      <c r="Y6329" s="260"/>
      <c r="Z6329" s="260"/>
      <c r="AA6329" s="260"/>
      <c r="AB6329" s="260"/>
      <c r="AC6329" s="260"/>
      <c r="AD6329" s="60"/>
      <c r="AE6329" s="60"/>
      <c r="AF6329" s="60"/>
      <c r="AG6329" s="60"/>
      <c r="AH6329" s="60"/>
      <c r="AI6329" s="60"/>
      <c r="AJ6329" s="60"/>
      <c r="AK6329" s="60"/>
      <c r="AL6329" s="60"/>
      <c r="AM6329" s="57"/>
    </row>
    <row r="6330" spans="1:39" s="47" customFormat="1">
      <c r="A6330" s="121"/>
      <c r="B6330" s="121"/>
      <c r="C6330" s="121"/>
      <c r="D6330" s="121"/>
      <c r="E6330" s="121"/>
      <c r="F6330" s="121"/>
      <c r="G6330" s="121"/>
      <c r="H6330" s="121"/>
      <c r="I6330" s="121"/>
      <c r="J6330" s="121"/>
      <c r="K6330" s="121"/>
      <c r="L6330" s="121"/>
      <c r="M6330" s="121"/>
      <c r="N6330" s="260"/>
      <c r="O6330" s="260"/>
      <c r="P6330" s="260"/>
      <c r="Q6330" s="321"/>
      <c r="R6330" s="260"/>
      <c r="S6330" s="260"/>
      <c r="T6330" s="260"/>
      <c r="U6330" s="260"/>
      <c r="V6330" s="260"/>
      <c r="W6330" s="260"/>
      <c r="X6330" s="260"/>
      <c r="Y6330" s="260"/>
      <c r="Z6330" s="260"/>
      <c r="AA6330" s="260"/>
      <c r="AB6330" s="260"/>
      <c r="AC6330" s="260"/>
      <c r="AD6330" s="57"/>
      <c r="AE6330" s="57"/>
      <c r="AF6330" s="57"/>
      <c r="AG6330" s="57"/>
      <c r="AH6330" s="57"/>
      <c r="AI6330" s="57"/>
      <c r="AJ6330" s="57"/>
      <c r="AK6330" s="57"/>
      <c r="AL6330" s="57"/>
      <c r="AM6330" s="57"/>
    </row>
    <row r="6331" spans="1:39" s="47" customFormat="1">
      <c r="A6331" s="121"/>
      <c r="B6331" s="121"/>
      <c r="C6331" s="121"/>
      <c r="D6331" s="121"/>
      <c r="E6331" s="121"/>
      <c r="F6331" s="121"/>
      <c r="G6331" s="121"/>
      <c r="H6331" s="121"/>
      <c r="I6331" s="121"/>
      <c r="J6331" s="121"/>
      <c r="K6331" s="121"/>
      <c r="L6331" s="121"/>
      <c r="M6331" s="121"/>
      <c r="N6331" s="260"/>
      <c r="O6331" s="260"/>
      <c r="P6331" s="260"/>
      <c r="Q6331" s="321"/>
      <c r="R6331" s="260"/>
      <c r="S6331" s="260"/>
      <c r="T6331" s="260"/>
      <c r="U6331" s="260"/>
      <c r="V6331" s="260"/>
      <c r="W6331" s="260"/>
      <c r="X6331" s="260"/>
      <c r="Y6331" s="260"/>
      <c r="Z6331" s="260"/>
      <c r="AA6331" s="260"/>
      <c r="AB6331" s="260"/>
      <c r="AC6331" s="260"/>
      <c r="AD6331" s="57"/>
      <c r="AE6331" s="57"/>
      <c r="AF6331" s="57"/>
      <c r="AG6331" s="57"/>
      <c r="AH6331" s="57"/>
      <c r="AI6331" s="57"/>
      <c r="AJ6331" s="57"/>
      <c r="AK6331" s="57"/>
      <c r="AL6331" s="57"/>
      <c r="AM6331" s="57"/>
    </row>
    <row r="6332" spans="1:39" s="47" customFormat="1">
      <c r="A6332" s="121"/>
      <c r="B6332" s="121"/>
      <c r="C6332" s="121"/>
      <c r="D6332" s="121"/>
      <c r="E6332" s="121"/>
      <c r="F6332" s="121"/>
      <c r="G6332" s="121"/>
      <c r="H6332" s="121"/>
      <c r="I6332" s="121"/>
      <c r="J6332" s="121"/>
      <c r="K6332" s="121"/>
      <c r="L6332" s="121"/>
      <c r="M6332" s="121"/>
      <c r="N6332" s="260"/>
      <c r="O6332" s="260"/>
      <c r="P6332" s="260"/>
      <c r="Q6332" s="321"/>
      <c r="R6332" s="260"/>
      <c r="S6332" s="260"/>
      <c r="T6332" s="260"/>
      <c r="U6332" s="260"/>
      <c r="V6332" s="260"/>
      <c r="W6332" s="260"/>
      <c r="X6332" s="260"/>
      <c r="Y6332" s="260"/>
      <c r="Z6332" s="260"/>
      <c r="AA6332" s="260"/>
      <c r="AB6332" s="260"/>
      <c r="AC6332" s="260"/>
      <c r="AD6332" s="57"/>
      <c r="AE6332" s="57"/>
      <c r="AF6332" s="57"/>
      <c r="AG6332" s="57"/>
      <c r="AH6332" s="57"/>
      <c r="AI6332" s="57"/>
      <c r="AJ6332" s="57"/>
      <c r="AK6332" s="57"/>
      <c r="AL6332" s="57"/>
      <c r="AM6332" s="57"/>
    </row>
    <row r="6333" spans="1:39" s="47" customFormat="1">
      <c r="A6333" s="121"/>
      <c r="B6333" s="121"/>
      <c r="C6333" s="121"/>
      <c r="D6333" s="121"/>
      <c r="E6333" s="121"/>
      <c r="F6333" s="121"/>
      <c r="G6333" s="121"/>
      <c r="H6333" s="121"/>
      <c r="I6333" s="121"/>
      <c r="J6333" s="121"/>
      <c r="K6333" s="121"/>
      <c r="L6333" s="121"/>
      <c r="M6333" s="121"/>
      <c r="N6333" s="260"/>
      <c r="O6333" s="260"/>
      <c r="P6333" s="260"/>
      <c r="Q6333" s="321"/>
      <c r="R6333" s="260"/>
      <c r="S6333" s="260"/>
      <c r="T6333" s="260"/>
      <c r="U6333" s="260"/>
      <c r="V6333" s="260"/>
      <c r="W6333" s="260"/>
      <c r="X6333" s="260"/>
      <c r="Y6333" s="260"/>
      <c r="Z6333" s="260"/>
      <c r="AA6333" s="260"/>
      <c r="AB6333" s="260"/>
      <c r="AC6333" s="260"/>
      <c r="AD6333" s="57"/>
      <c r="AE6333" s="57"/>
      <c r="AF6333" s="57"/>
      <c r="AG6333" s="57"/>
      <c r="AH6333" s="57"/>
      <c r="AI6333" s="57"/>
      <c r="AJ6333" s="57"/>
      <c r="AK6333" s="57"/>
      <c r="AL6333" s="57"/>
      <c r="AM6333" s="57"/>
    </row>
    <row r="6334" spans="1:39" s="47" customFormat="1">
      <c r="A6334" s="121"/>
      <c r="B6334" s="121"/>
      <c r="C6334" s="121"/>
      <c r="D6334" s="121"/>
      <c r="E6334" s="121"/>
      <c r="F6334" s="121"/>
      <c r="G6334" s="121"/>
      <c r="H6334" s="121"/>
      <c r="I6334" s="121"/>
      <c r="J6334" s="121"/>
      <c r="K6334" s="121"/>
      <c r="L6334" s="121"/>
      <c r="M6334" s="121"/>
      <c r="N6334" s="260"/>
      <c r="O6334" s="260"/>
      <c r="P6334" s="260"/>
      <c r="Q6334" s="321"/>
      <c r="R6334" s="260"/>
      <c r="S6334" s="260"/>
      <c r="T6334" s="260"/>
      <c r="U6334" s="260"/>
      <c r="V6334" s="260"/>
      <c r="W6334" s="260"/>
      <c r="X6334" s="260"/>
      <c r="Y6334" s="260"/>
      <c r="Z6334" s="260"/>
      <c r="AA6334" s="260"/>
      <c r="AB6334" s="260"/>
      <c r="AC6334" s="260"/>
      <c r="AD6334" s="57"/>
      <c r="AE6334" s="57"/>
      <c r="AF6334" s="57"/>
      <c r="AG6334" s="57"/>
      <c r="AH6334" s="57"/>
      <c r="AI6334" s="57"/>
      <c r="AJ6334" s="57"/>
      <c r="AK6334" s="57"/>
      <c r="AL6334" s="57"/>
      <c r="AM6334" s="57"/>
    </row>
    <row r="6335" spans="1:39" s="47" customFormat="1" ht="57" customHeight="1">
      <c r="A6335" s="121"/>
      <c r="B6335" s="121"/>
      <c r="C6335" s="121"/>
      <c r="D6335" s="121"/>
      <c r="E6335" s="121"/>
      <c r="F6335" s="121"/>
      <c r="G6335" s="121"/>
      <c r="H6335" s="121"/>
      <c r="I6335" s="121"/>
      <c r="J6335" s="121"/>
      <c r="K6335" s="121"/>
      <c r="L6335" s="121"/>
      <c r="M6335" s="121"/>
      <c r="N6335" s="260"/>
      <c r="O6335" s="260"/>
      <c r="P6335" s="260"/>
      <c r="Q6335" s="321"/>
      <c r="R6335" s="260"/>
      <c r="S6335" s="260"/>
      <c r="T6335" s="260"/>
      <c r="U6335" s="260"/>
      <c r="V6335" s="260"/>
      <c r="W6335" s="260"/>
      <c r="X6335" s="260"/>
      <c r="Y6335" s="260"/>
      <c r="Z6335" s="260"/>
      <c r="AA6335" s="260"/>
      <c r="AB6335" s="260"/>
      <c r="AC6335" s="260"/>
      <c r="AD6335" s="260"/>
      <c r="AE6335" s="260"/>
      <c r="AF6335" s="260"/>
      <c r="AG6335" s="260"/>
      <c r="AH6335" s="260"/>
      <c r="AI6335" s="260"/>
      <c r="AJ6335" s="260"/>
      <c r="AK6335" s="260"/>
      <c r="AL6335" s="260"/>
      <c r="AM6335" s="816" t="s">
        <v>351</v>
      </c>
    </row>
    <row r="6336" spans="1:39" s="47" customFormat="1" ht="57" customHeight="1">
      <c r="A6336" s="121"/>
      <c r="B6336" s="121"/>
      <c r="C6336" s="121"/>
      <c r="D6336" s="121"/>
      <c r="E6336" s="121"/>
      <c r="F6336" s="121"/>
      <c r="G6336" s="121"/>
      <c r="H6336" s="121"/>
      <c r="I6336" s="121"/>
      <c r="J6336" s="121"/>
      <c r="K6336" s="121"/>
      <c r="L6336" s="121"/>
      <c r="M6336" s="121"/>
      <c r="N6336" s="260"/>
      <c r="O6336" s="260"/>
      <c r="P6336" s="260"/>
      <c r="Q6336" s="321"/>
      <c r="R6336" s="260"/>
      <c r="S6336" s="260"/>
      <c r="T6336" s="260"/>
      <c r="U6336" s="260"/>
      <c r="V6336" s="260"/>
      <c r="W6336" s="260"/>
      <c r="X6336" s="260"/>
      <c r="Y6336" s="260"/>
      <c r="Z6336" s="260"/>
      <c r="AA6336" s="260"/>
      <c r="AB6336" s="260"/>
      <c r="AC6336" s="260"/>
      <c r="AD6336" s="260"/>
      <c r="AE6336" s="260"/>
      <c r="AF6336" s="260"/>
      <c r="AG6336" s="260"/>
      <c r="AH6336" s="260"/>
      <c r="AI6336" s="260"/>
      <c r="AJ6336" s="260"/>
      <c r="AK6336" s="260"/>
      <c r="AL6336" s="260"/>
      <c r="AM6336" s="816"/>
    </row>
    <row r="6337" spans="1:39" s="47" customFormat="1">
      <c r="A6337" s="121"/>
      <c r="B6337" s="121"/>
      <c r="C6337" s="121"/>
      <c r="D6337" s="121"/>
      <c r="E6337" s="121"/>
      <c r="F6337" s="121"/>
      <c r="G6337" s="121"/>
      <c r="H6337" s="121"/>
      <c r="I6337" s="121"/>
      <c r="J6337" s="121"/>
      <c r="K6337" s="121"/>
      <c r="L6337" s="121"/>
      <c r="M6337" s="121"/>
      <c r="N6337" s="260"/>
      <c r="O6337" s="260"/>
      <c r="P6337" s="260"/>
      <c r="Q6337" s="321"/>
      <c r="R6337" s="260"/>
      <c r="S6337" s="260"/>
      <c r="T6337" s="260"/>
      <c r="U6337" s="260"/>
      <c r="V6337" s="260"/>
      <c r="W6337" s="260"/>
      <c r="X6337" s="260"/>
      <c r="Y6337" s="260"/>
      <c r="Z6337" s="260"/>
      <c r="AA6337" s="260"/>
      <c r="AB6337" s="260"/>
      <c r="AC6337" s="260"/>
      <c r="AD6337" s="260"/>
      <c r="AE6337" s="260"/>
      <c r="AF6337" s="260"/>
      <c r="AG6337" s="260"/>
      <c r="AH6337" s="260"/>
      <c r="AI6337" s="260"/>
      <c r="AJ6337" s="260"/>
      <c r="AK6337" s="260"/>
      <c r="AL6337" s="260"/>
      <c r="AM6337" s="816"/>
    </row>
    <row r="6338" spans="1:39" s="47" customFormat="1" ht="57" customHeight="1">
      <c r="A6338" s="121"/>
      <c r="B6338" s="121"/>
      <c r="C6338" s="121"/>
      <c r="D6338" s="121"/>
      <c r="E6338" s="121"/>
      <c r="F6338" s="121"/>
      <c r="G6338" s="121"/>
      <c r="H6338" s="121"/>
      <c r="I6338" s="121"/>
      <c r="J6338" s="121"/>
      <c r="K6338" s="121"/>
      <c r="L6338" s="121"/>
      <c r="M6338" s="121"/>
      <c r="N6338" s="260"/>
      <c r="O6338" s="260"/>
      <c r="P6338" s="260"/>
      <c r="Q6338" s="321"/>
      <c r="R6338" s="260"/>
      <c r="S6338" s="260"/>
      <c r="T6338" s="260"/>
      <c r="U6338" s="260"/>
      <c r="V6338" s="260"/>
      <c r="W6338" s="260"/>
      <c r="X6338" s="260"/>
      <c r="Y6338" s="260"/>
      <c r="Z6338" s="260"/>
      <c r="AA6338" s="260"/>
      <c r="AB6338" s="260"/>
      <c r="AC6338" s="260"/>
      <c r="AD6338" s="260"/>
      <c r="AE6338" s="260"/>
      <c r="AF6338" s="260"/>
      <c r="AG6338" s="260"/>
      <c r="AH6338" s="260"/>
      <c r="AI6338" s="260"/>
      <c r="AJ6338" s="260"/>
      <c r="AK6338" s="260"/>
      <c r="AL6338" s="260"/>
      <c r="AM6338" s="816"/>
    </row>
    <row r="6339" spans="1:39" s="121" customFormat="1">
      <c r="N6339" s="260"/>
      <c r="O6339" s="260"/>
      <c r="P6339" s="260"/>
      <c r="Q6339" s="321"/>
      <c r="R6339" s="260"/>
      <c r="S6339" s="260"/>
      <c r="T6339" s="260"/>
      <c r="U6339" s="260"/>
      <c r="V6339" s="260"/>
      <c r="W6339" s="260"/>
      <c r="X6339" s="260"/>
      <c r="Y6339" s="260"/>
      <c r="Z6339" s="260"/>
      <c r="AA6339" s="260"/>
      <c r="AB6339" s="260"/>
      <c r="AC6339" s="260"/>
      <c r="AD6339" s="260"/>
      <c r="AE6339" s="260"/>
      <c r="AF6339" s="260"/>
      <c r="AG6339" s="260"/>
      <c r="AH6339" s="260"/>
      <c r="AI6339" s="260"/>
      <c r="AJ6339" s="260"/>
      <c r="AK6339" s="260"/>
      <c r="AL6339" s="260"/>
      <c r="AM6339" s="816"/>
    </row>
    <row r="6340" spans="1:39" s="121" customFormat="1">
      <c r="N6340" s="260"/>
      <c r="O6340" s="260"/>
      <c r="P6340" s="260"/>
      <c r="Q6340" s="321"/>
      <c r="R6340" s="260"/>
      <c r="S6340" s="260"/>
      <c r="T6340" s="260"/>
      <c r="U6340" s="260"/>
      <c r="V6340" s="260"/>
      <c r="W6340" s="260"/>
      <c r="X6340" s="260"/>
      <c r="Y6340" s="260"/>
      <c r="Z6340" s="260"/>
      <c r="AA6340" s="260"/>
      <c r="AB6340" s="260"/>
      <c r="AC6340" s="260"/>
      <c r="AD6340" s="260"/>
      <c r="AE6340" s="260"/>
      <c r="AF6340" s="260"/>
      <c r="AG6340" s="260"/>
      <c r="AH6340" s="260"/>
      <c r="AI6340" s="260"/>
      <c r="AJ6340" s="260"/>
      <c r="AK6340" s="260"/>
      <c r="AL6340" s="260"/>
      <c r="AM6340" s="816"/>
    </row>
    <row r="6341" spans="1:39" s="121" customFormat="1" ht="11.25" customHeight="1">
      <c r="N6341" s="260"/>
      <c r="O6341" s="260"/>
      <c r="P6341" s="260"/>
      <c r="Q6341" s="321"/>
      <c r="R6341" s="260"/>
      <c r="S6341" s="260"/>
      <c r="T6341" s="260"/>
      <c r="U6341" s="260"/>
      <c r="V6341" s="260"/>
      <c r="W6341" s="260"/>
      <c r="X6341" s="260"/>
      <c r="Y6341" s="260"/>
      <c r="Z6341" s="260"/>
      <c r="AA6341" s="260"/>
      <c r="AB6341" s="260"/>
      <c r="AC6341" s="260"/>
      <c r="AD6341" s="260"/>
      <c r="AE6341" s="260"/>
      <c r="AF6341" s="260"/>
      <c r="AG6341" s="260"/>
      <c r="AH6341" s="260"/>
      <c r="AI6341" s="260"/>
      <c r="AJ6341" s="260"/>
      <c r="AK6341" s="260"/>
      <c r="AL6341" s="260"/>
      <c r="AM6341" s="816"/>
    </row>
    <row r="6342" spans="1:39" s="121" customFormat="1">
      <c r="N6342" s="260"/>
      <c r="O6342" s="260"/>
      <c r="P6342" s="260"/>
      <c r="Q6342" s="321"/>
      <c r="R6342" s="260"/>
      <c r="S6342" s="260"/>
      <c r="T6342" s="260"/>
      <c r="U6342" s="260"/>
      <c r="V6342" s="260"/>
      <c r="W6342" s="260"/>
      <c r="X6342" s="260"/>
      <c r="Y6342" s="260"/>
      <c r="Z6342" s="260"/>
      <c r="AA6342" s="260"/>
      <c r="AB6342" s="260"/>
      <c r="AC6342" s="260"/>
      <c r="AD6342" s="260"/>
      <c r="AE6342" s="260"/>
      <c r="AF6342" s="260"/>
      <c r="AG6342" s="260"/>
      <c r="AH6342" s="260"/>
      <c r="AI6342" s="260"/>
      <c r="AJ6342" s="260"/>
      <c r="AK6342" s="260"/>
      <c r="AL6342" s="260"/>
      <c r="AM6342" s="816"/>
    </row>
    <row r="6343" spans="1:39" s="47" customFormat="1">
      <c r="A6343" s="121"/>
      <c r="B6343" s="121"/>
      <c r="C6343" s="121"/>
      <c r="D6343" s="121"/>
      <c r="E6343" s="121"/>
      <c r="F6343" s="121"/>
      <c r="G6343" s="121"/>
      <c r="H6343" s="121"/>
      <c r="I6343" s="121"/>
      <c r="J6343" s="121"/>
      <c r="K6343" s="121"/>
      <c r="L6343" s="121"/>
      <c r="M6343" s="121"/>
      <c r="N6343" s="260"/>
      <c r="O6343" s="260"/>
      <c r="P6343" s="260"/>
      <c r="Q6343" s="321"/>
      <c r="R6343" s="260"/>
      <c r="S6343" s="260"/>
      <c r="T6343" s="260"/>
      <c r="U6343" s="260"/>
      <c r="V6343" s="260"/>
      <c r="W6343" s="260"/>
      <c r="X6343" s="260"/>
      <c r="Y6343" s="260"/>
      <c r="Z6343" s="260"/>
      <c r="AA6343" s="260"/>
      <c r="AB6343" s="260"/>
      <c r="AC6343" s="260"/>
      <c r="AD6343" s="260"/>
      <c r="AE6343" s="260"/>
      <c r="AF6343" s="260"/>
      <c r="AG6343" s="260"/>
      <c r="AH6343" s="260"/>
      <c r="AI6343" s="260"/>
      <c r="AJ6343" s="260"/>
      <c r="AK6343" s="260"/>
      <c r="AL6343" s="260"/>
      <c r="AM6343" s="816"/>
    </row>
    <row r="6344" spans="1:39" s="47" customFormat="1">
      <c r="A6344" s="121"/>
      <c r="B6344" s="121"/>
      <c r="C6344" s="121"/>
      <c r="D6344" s="121"/>
      <c r="E6344" s="121"/>
      <c r="F6344" s="121"/>
      <c r="G6344" s="121"/>
      <c r="H6344" s="121"/>
      <c r="I6344" s="121"/>
      <c r="J6344" s="121"/>
      <c r="K6344" s="121"/>
      <c r="L6344" s="121"/>
      <c r="M6344" s="121"/>
      <c r="N6344" s="260"/>
      <c r="O6344" s="260"/>
      <c r="P6344" s="260"/>
      <c r="Q6344" s="321"/>
      <c r="R6344" s="260"/>
      <c r="S6344" s="260"/>
      <c r="T6344" s="260"/>
      <c r="U6344" s="260"/>
      <c r="V6344" s="260"/>
      <c r="W6344" s="260"/>
      <c r="X6344" s="260"/>
      <c r="Y6344" s="260"/>
      <c r="Z6344" s="260"/>
      <c r="AA6344" s="260"/>
      <c r="AB6344" s="260"/>
      <c r="AC6344" s="260"/>
      <c r="AD6344" s="260"/>
      <c r="AE6344" s="260"/>
      <c r="AF6344" s="260"/>
      <c r="AG6344" s="260"/>
      <c r="AH6344" s="260"/>
      <c r="AI6344" s="260"/>
      <c r="AJ6344" s="260"/>
      <c r="AK6344" s="260"/>
      <c r="AL6344" s="260"/>
      <c r="AM6344" s="816"/>
    </row>
    <row r="6345" spans="1:39" s="121" customFormat="1">
      <c r="N6345" s="260"/>
      <c r="O6345" s="260"/>
      <c r="P6345" s="260"/>
      <c r="Q6345" s="321"/>
      <c r="R6345" s="260"/>
      <c r="S6345" s="260"/>
      <c r="T6345" s="260"/>
      <c r="U6345" s="260"/>
      <c r="V6345" s="260"/>
      <c r="W6345" s="260"/>
      <c r="X6345" s="260"/>
      <c r="Y6345" s="260"/>
      <c r="Z6345" s="260"/>
      <c r="AA6345" s="260"/>
      <c r="AB6345" s="260"/>
      <c r="AC6345" s="260"/>
      <c r="AD6345" s="260"/>
      <c r="AE6345" s="260"/>
      <c r="AF6345" s="260"/>
      <c r="AG6345" s="260"/>
      <c r="AH6345" s="260"/>
      <c r="AI6345" s="260"/>
      <c r="AJ6345" s="260"/>
      <c r="AK6345" s="260"/>
      <c r="AL6345" s="260"/>
      <c r="AM6345" s="816"/>
    </row>
    <row r="6346" spans="1:39" s="121" customFormat="1">
      <c r="N6346" s="260"/>
      <c r="O6346" s="260"/>
      <c r="P6346" s="260"/>
      <c r="Q6346" s="321"/>
      <c r="R6346" s="260"/>
      <c r="S6346" s="260"/>
      <c r="T6346" s="260"/>
      <c r="U6346" s="260"/>
      <c r="V6346" s="260"/>
      <c r="W6346" s="260"/>
      <c r="X6346" s="260"/>
      <c r="Y6346" s="260"/>
      <c r="Z6346" s="260"/>
      <c r="AA6346" s="260"/>
      <c r="AB6346" s="260"/>
      <c r="AC6346" s="260"/>
      <c r="AD6346" s="260"/>
      <c r="AE6346" s="260"/>
      <c r="AF6346" s="260"/>
      <c r="AG6346" s="260"/>
      <c r="AH6346" s="260"/>
      <c r="AI6346" s="260"/>
      <c r="AJ6346" s="260"/>
      <c r="AK6346" s="260"/>
      <c r="AL6346" s="260"/>
      <c r="AM6346" s="816"/>
    </row>
    <row r="6347" spans="1:39" s="121" customFormat="1">
      <c r="N6347" s="260"/>
      <c r="O6347" s="260"/>
      <c r="P6347" s="260"/>
      <c r="Q6347" s="321"/>
      <c r="R6347" s="260"/>
      <c r="S6347" s="260"/>
      <c r="T6347" s="260"/>
      <c r="U6347" s="260"/>
      <c r="V6347" s="260"/>
      <c r="W6347" s="260"/>
      <c r="X6347" s="260"/>
      <c r="Y6347" s="260"/>
      <c r="Z6347" s="260"/>
      <c r="AA6347" s="260"/>
      <c r="AB6347" s="260"/>
      <c r="AC6347" s="260"/>
      <c r="AD6347" s="260"/>
      <c r="AE6347" s="260"/>
      <c r="AF6347" s="260"/>
      <c r="AG6347" s="260"/>
      <c r="AH6347" s="260"/>
      <c r="AI6347" s="260"/>
      <c r="AJ6347" s="260"/>
      <c r="AK6347" s="260"/>
      <c r="AL6347" s="260"/>
      <c r="AM6347" s="816"/>
    </row>
    <row r="6348" spans="1:39" s="121" customFormat="1">
      <c r="N6348" s="260"/>
      <c r="O6348" s="260"/>
      <c r="P6348" s="260"/>
      <c r="Q6348" s="321"/>
      <c r="R6348" s="260"/>
      <c r="S6348" s="260"/>
      <c r="T6348" s="260"/>
      <c r="U6348" s="260"/>
      <c r="V6348" s="260"/>
      <c r="W6348" s="260"/>
      <c r="X6348" s="260"/>
      <c r="Y6348" s="260"/>
      <c r="Z6348" s="260"/>
      <c r="AA6348" s="260"/>
      <c r="AB6348" s="260"/>
      <c r="AC6348" s="260"/>
      <c r="AD6348" s="260"/>
      <c r="AE6348" s="260"/>
      <c r="AF6348" s="260"/>
      <c r="AG6348" s="260"/>
      <c r="AH6348" s="260"/>
      <c r="AI6348" s="260"/>
      <c r="AJ6348" s="260"/>
      <c r="AK6348" s="260"/>
      <c r="AL6348" s="260"/>
      <c r="AM6348" s="816"/>
    </row>
    <row r="6349" spans="1:39" s="121" customFormat="1">
      <c r="N6349" s="260"/>
      <c r="O6349" s="260"/>
      <c r="P6349" s="260"/>
      <c r="Q6349" s="321"/>
      <c r="R6349" s="260"/>
      <c r="S6349" s="260"/>
      <c r="T6349" s="260"/>
      <c r="U6349" s="260"/>
      <c r="V6349" s="260"/>
      <c r="W6349" s="260"/>
      <c r="X6349" s="260"/>
      <c r="Y6349" s="260"/>
      <c r="Z6349" s="260"/>
      <c r="AA6349" s="260"/>
      <c r="AB6349" s="260"/>
      <c r="AC6349" s="260"/>
      <c r="AD6349" s="260"/>
      <c r="AE6349" s="260"/>
      <c r="AF6349" s="260"/>
      <c r="AG6349" s="260"/>
      <c r="AH6349" s="260"/>
      <c r="AI6349" s="260"/>
      <c r="AJ6349" s="260"/>
      <c r="AK6349" s="260"/>
      <c r="AL6349" s="260"/>
      <c r="AM6349" s="816"/>
    </row>
    <row r="6350" spans="1:39" s="121" customFormat="1">
      <c r="N6350" s="260"/>
      <c r="O6350" s="260"/>
      <c r="P6350" s="260"/>
      <c r="Q6350" s="321"/>
      <c r="R6350" s="260"/>
      <c r="S6350" s="260"/>
      <c r="T6350" s="260"/>
      <c r="U6350" s="260"/>
      <c r="V6350" s="260"/>
      <c r="W6350" s="260"/>
      <c r="X6350" s="260"/>
      <c r="Y6350" s="260"/>
      <c r="Z6350" s="260"/>
      <c r="AA6350" s="260"/>
      <c r="AB6350" s="260"/>
      <c r="AC6350" s="260"/>
      <c r="AD6350" s="260"/>
      <c r="AE6350" s="260"/>
      <c r="AF6350" s="260"/>
      <c r="AG6350" s="260"/>
      <c r="AH6350" s="260"/>
      <c r="AI6350" s="260"/>
      <c r="AJ6350" s="260"/>
      <c r="AK6350" s="260"/>
      <c r="AL6350" s="260"/>
      <c r="AM6350" s="816"/>
    </row>
    <row r="6351" spans="1:39" s="47" customFormat="1">
      <c r="A6351" s="121"/>
      <c r="B6351" s="121"/>
      <c r="C6351" s="121"/>
      <c r="D6351" s="121"/>
      <c r="E6351" s="121"/>
      <c r="F6351" s="121"/>
      <c r="G6351" s="121"/>
      <c r="H6351" s="121"/>
      <c r="I6351" s="121"/>
      <c r="J6351" s="121"/>
      <c r="K6351" s="121"/>
      <c r="L6351" s="121"/>
      <c r="M6351" s="121"/>
      <c r="N6351" s="260"/>
      <c r="O6351" s="260"/>
      <c r="P6351" s="260"/>
      <c r="Q6351" s="321"/>
      <c r="R6351" s="260"/>
      <c r="S6351" s="260"/>
      <c r="T6351" s="260"/>
      <c r="U6351" s="260"/>
      <c r="V6351" s="260"/>
      <c r="W6351" s="260"/>
      <c r="X6351" s="260"/>
      <c r="Y6351" s="260"/>
      <c r="Z6351" s="260"/>
      <c r="AA6351" s="260"/>
      <c r="AB6351" s="260"/>
      <c r="AC6351" s="260"/>
      <c r="AD6351" s="260"/>
      <c r="AE6351" s="260"/>
      <c r="AF6351" s="260"/>
      <c r="AG6351" s="260"/>
      <c r="AH6351" s="260"/>
      <c r="AI6351" s="260"/>
      <c r="AJ6351" s="260"/>
      <c r="AK6351" s="260"/>
      <c r="AL6351" s="260"/>
      <c r="AM6351" s="816"/>
    </row>
    <row r="6352" spans="1:39" s="121" customFormat="1">
      <c r="N6352" s="260"/>
      <c r="O6352" s="260"/>
      <c r="P6352" s="260"/>
      <c r="Q6352" s="321"/>
      <c r="R6352" s="260"/>
      <c r="S6352" s="260"/>
      <c r="T6352" s="260"/>
      <c r="U6352" s="260"/>
      <c r="V6352" s="260"/>
      <c r="W6352" s="260"/>
      <c r="X6352" s="260"/>
      <c r="Y6352" s="260"/>
      <c r="Z6352" s="260"/>
      <c r="AA6352" s="260"/>
      <c r="AB6352" s="260"/>
      <c r="AC6352" s="260"/>
      <c r="AD6352" s="260"/>
      <c r="AE6352" s="260"/>
      <c r="AF6352" s="260"/>
      <c r="AG6352" s="260"/>
      <c r="AH6352" s="260"/>
      <c r="AI6352" s="260"/>
      <c r="AJ6352" s="260"/>
      <c r="AK6352" s="260"/>
      <c r="AL6352" s="260"/>
      <c r="AM6352" s="816"/>
    </row>
    <row r="6353" spans="1:39" s="121" customFormat="1">
      <c r="N6353" s="260"/>
      <c r="O6353" s="260"/>
      <c r="P6353" s="260"/>
      <c r="Q6353" s="321"/>
      <c r="R6353" s="260"/>
      <c r="S6353" s="260"/>
      <c r="T6353" s="260"/>
      <c r="U6353" s="260"/>
      <c r="V6353" s="260"/>
      <c r="W6353" s="260"/>
      <c r="X6353" s="260"/>
      <c r="Y6353" s="260"/>
      <c r="Z6353" s="260"/>
      <c r="AA6353" s="260"/>
      <c r="AB6353" s="260"/>
      <c r="AC6353" s="260"/>
      <c r="AD6353" s="260"/>
      <c r="AE6353" s="260"/>
      <c r="AF6353" s="260"/>
      <c r="AG6353" s="260"/>
      <c r="AH6353" s="260"/>
      <c r="AI6353" s="260"/>
      <c r="AJ6353" s="260"/>
      <c r="AK6353" s="260"/>
      <c r="AL6353" s="260"/>
      <c r="AM6353" s="816"/>
    </row>
    <row r="6354" spans="1:39" s="121" customFormat="1">
      <c r="N6354" s="260"/>
      <c r="O6354" s="260"/>
      <c r="P6354" s="260"/>
      <c r="Q6354" s="321"/>
      <c r="R6354" s="260"/>
      <c r="S6354" s="260"/>
      <c r="T6354" s="260"/>
      <c r="U6354" s="260"/>
      <c r="V6354" s="260"/>
      <c r="W6354" s="260"/>
      <c r="X6354" s="260"/>
      <c r="Y6354" s="260"/>
      <c r="Z6354" s="260"/>
      <c r="AA6354" s="260"/>
      <c r="AB6354" s="260"/>
      <c r="AC6354" s="260"/>
      <c r="AD6354" s="260"/>
      <c r="AE6354" s="260"/>
      <c r="AF6354" s="260"/>
      <c r="AG6354" s="260"/>
      <c r="AH6354" s="260"/>
      <c r="AI6354" s="260"/>
      <c r="AJ6354" s="260"/>
      <c r="AK6354" s="260"/>
      <c r="AL6354" s="260"/>
      <c r="AM6354" s="816"/>
    </row>
    <row r="6355" spans="1:39" s="121" customFormat="1">
      <c r="N6355" s="260"/>
      <c r="O6355" s="260"/>
      <c r="P6355" s="260"/>
      <c r="Q6355" s="321"/>
      <c r="R6355" s="260"/>
      <c r="S6355" s="260"/>
      <c r="T6355" s="260"/>
      <c r="U6355" s="260"/>
      <c r="V6355" s="260"/>
      <c r="W6355" s="260"/>
      <c r="X6355" s="260"/>
      <c r="Y6355" s="260"/>
      <c r="Z6355" s="260"/>
      <c r="AA6355" s="260"/>
      <c r="AB6355" s="260"/>
      <c r="AC6355" s="260"/>
      <c r="AD6355" s="260"/>
      <c r="AE6355" s="260"/>
      <c r="AF6355" s="260"/>
      <c r="AG6355" s="260"/>
      <c r="AH6355" s="260"/>
      <c r="AI6355" s="260"/>
      <c r="AJ6355" s="260"/>
      <c r="AK6355" s="260"/>
      <c r="AL6355" s="260"/>
      <c r="AM6355" s="816"/>
    </row>
    <row r="6356" spans="1:39" s="121" customFormat="1">
      <c r="N6356" s="222"/>
      <c r="O6356" s="502"/>
      <c r="P6356" s="323"/>
      <c r="Q6356" s="321"/>
      <c r="R6356" s="260"/>
      <c r="S6356" s="260"/>
      <c r="T6356" s="260"/>
      <c r="U6356" s="260"/>
      <c r="V6356" s="260"/>
      <c r="W6356" s="260"/>
      <c r="X6356" s="260"/>
      <c r="Y6356" s="260"/>
      <c r="Z6356" s="260"/>
      <c r="AA6356" s="260"/>
      <c r="AB6356" s="260"/>
      <c r="AC6356" s="260"/>
      <c r="AD6356" s="260"/>
      <c r="AE6356" s="260"/>
      <c r="AF6356" s="260"/>
      <c r="AG6356" s="260"/>
      <c r="AH6356" s="260"/>
      <c r="AI6356" s="260"/>
      <c r="AJ6356" s="260"/>
      <c r="AK6356" s="260"/>
      <c r="AL6356" s="260"/>
      <c r="AM6356" s="816"/>
    </row>
    <row r="6357" spans="1:39" s="47" customFormat="1">
      <c r="A6357" s="121"/>
      <c r="B6357" s="121"/>
      <c r="C6357" s="121"/>
      <c r="D6357" s="121"/>
      <c r="E6357" s="121"/>
      <c r="F6357" s="121"/>
      <c r="G6357" s="121"/>
      <c r="H6357" s="121"/>
      <c r="I6357" s="121"/>
      <c r="J6357" s="121"/>
      <c r="K6357" s="121"/>
      <c r="L6357" s="121"/>
      <c r="M6357" s="121"/>
      <c r="N6357" s="222"/>
      <c r="O6357" s="502"/>
      <c r="P6357" s="323"/>
      <c r="Q6357" s="321"/>
      <c r="R6357" s="260"/>
      <c r="S6357" s="260"/>
      <c r="T6357" s="260"/>
      <c r="U6357" s="260"/>
      <c r="V6357" s="260"/>
      <c r="W6357" s="260"/>
      <c r="X6357" s="260"/>
      <c r="Y6357" s="260"/>
      <c r="Z6357" s="260"/>
      <c r="AA6357" s="260"/>
      <c r="AB6357" s="260"/>
      <c r="AC6357" s="260"/>
      <c r="AD6357" s="260"/>
      <c r="AE6357" s="260"/>
      <c r="AF6357" s="260"/>
      <c r="AG6357" s="260"/>
      <c r="AH6357" s="260"/>
      <c r="AI6357" s="260"/>
      <c r="AJ6357" s="260"/>
      <c r="AK6357" s="260"/>
      <c r="AL6357" s="260"/>
      <c r="AM6357" s="816"/>
    </row>
    <row r="6358" spans="1:39" s="54" customFormat="1">
      <c r="A6358" s="121"/>
      <c r="B6358" s="121"/>
      <c r="C6358" s="121"/>
      <c r="D6358" s="121"/>
      <c r="E6358" s="121"/>
      <c r="F6358" s="121"/>
      <c r="G6358" s="121"/>
      <c r="H6358" s="121"/>
      <c r="I6358" s="121"/>
      <c r="J6358" s="121"/>
      <c r="K6358" s="121"/>
      <c r="L6358" s="121"/>
      <c r="M6358" s="121"/>
      <c r="N6358" s="223"/>
      <c r="O6358" s="216"/>
      <c r="P6358" s="543"/>
      <c r="Q6358" s="523"/>
      <c r="R6358" s="547"/>
      <c r="S6358" s="547"/>
      <c r="T6358" s="547"/>
      <c r="U6358" s="547"/>
      <c r="V6358" s="547"/>
      <c r="W6358" s="547"/>
      <c r="X6358" s="547"/>
      <c r="Y6358" s="547"/>
      <c r="Z6358" s="547"/>
      <c r="AA6358" s="547"/>
      <c r="AB6358" s="547"/>
      <c r="AC6358" s="547"/>
      <c r="AD6358" s="547"/>
      <c r="AE6358" s="547"/>
      <c r="AF6358" s="547"/>
      <c r="AG6358" s="547"/>
      <c r="AH6358" s="547"/>
      <c r="AI6358" s="547"/>
      <c r="AJ6358" s="547"/>
      <c r="AK6358" s="547"/>
      <c r="AL6358" s="547"/>
      <c r="AM6358" s="816"/>
    </row>
    <row r="6359" spans="1:39" s="54" customFormat="1">
      <c r="A6359" s="121"/>
      <c r="B6359" s="121"/>
      <c r="C6359" s="121"/>
      <c r="D6359" s="121"/>
      <c r="E6359" s="121"/>
      <c r="F6359" s="121"/>
      <c r="G6359" s="121"/>
      <c r="H6359" s="121"/>
      <c r="I6359" s="121"/>
      <c r="J6359" s="121"/>
      <c r="K6359" s="121"/>
      <c r="L6359" s="121"/>
      <c r="M6359" s="121"/>
      <c r="N6359" s="121"/>
      <c r="O6359" s="121"/>
      <c r="P6359" s="121"/>
      <c r="Q6359" s="121"/>
      <c r="R6359" s="121"/>
      <c r="S6359" s="121"/>
      <c r="T6359" s="121"/>
      <c r="U6359" s="121"/>
      <c r="V6359" s="121"/>
      <c r="W6359" s="121"/>
      <c r="X6359" s="121"/>
      <c r="Y6359" s="121"/>
      <c r="Z6359" s="121"/>
      <c r="AA6359" s="121"/>
      <c r="AB6359" s="121"/>
      <c r="AC6359" s="121"/>
      <c r="AD6359" s="121"/>
      <c r="AE6359" s="121"/>
      <c r="AF6359" s="121"/>
      <c r="AG6359" s="121"/>
      <c r="AH6359" s="121"/>
      <c r="AI6359" s="121"/>
      <c r="AJ6359" s="121"/>
      <c r="AK6359" s="121"/>
      <c r="AL6359" s="121"/>
      <c r="AM6359" s="60"/>
    </row>
    <row r="6360" spans="1:39" s="47" customFormat="1">
      <c r="A6360" s="121"/>
      <c r="B6360" s="121"/>
      <c r="C6360" s="121"/>
      <c r="D6360" s="121"/>
      <c r="E6360" s="121"/>
      <c r="F6360" s="121"/>
      <c r="G6360" s="121"/>
      <c r="H6360" s="121"/>
      <c r="I6360" s="121"/>
      <c r="J6360" s="121"/>
      <c r="K6360" s="121"/>
      <c r="L6360" s="121"/>
      <c r="M6360" s="121"/>
      <c r="N6360" s="49"/>
      <c r="R6360" s="60"/>
      <c r="S6360" s="60"/>
      <c r="T6360" s="60"/>
      <c r="U6360" s="795" t="s">
        <v>363</v>
      </c>
      <c r="V6360" s="795"/>
      <c r="W6360" s="795"/>
      <c r="X6360" s="795" t="s">
        <v>364</v>
      </c>
      <c r="Y6360" s="795"/>
      <c r="Z6360" s="795"/>
      <c r="AA6360" s="795" t="s">
        <v>365</v>
      </c>
      <c r="AB6360" s="795"/>
      <c r="AC6360" s="795"/>
      <c r="AD6360" s="795" t="s">
        <v>366</v>
      </c>
      <c r="AE6360" s="795"/>
      <c r="AF6360" s="795"/>
      <c r="AG6360" s="795" t="s">
        <v>367</v>
      </c>
      <c r="AH6360" s="795"/>
      <c r="AI6360" s="795"/>
      <c r="AJ6360" s="795" t="s">
        <v>368</v>
      </c>
      <c r="AK6360" s="795"/>
      <c r="AL6360" s="795"/>
    </row>
    <row r="6361" spans="1:39">
      <c r="Q6361" s="47"/>
      <c r="R6361" s="47"/>
      <c r="S6361" s="47"/>
      <c r="T6361" s="47"/>
      <c r="U6361" s="47"/>
      <c r="V6361" s="47"/>
      <c r="W6361" s="47"/>
      <c r="X6361" s="47"/>
      <c r="Y6361" s="47"/>
      <c r="Z6361" s="47"/>
      <c r="AA6361" s="47"/>
      <c r="AB6361" s="47"/>
      <c r="AC6361" s="47"/>
      <c r="AD6361" s="47"/>
      <c r="AE6361" s="47"/>
      <c r="AF6361" s="47"/>
      <c r="AG6361" s="47"/>
      <c r="AH6361" s="47"/>
      <c r="AI6361" s="47"/>
      <c r="AJ6361" s="47"/>
      <c r="AK6361" s="47"/>
      <c r="AL6361" s="47"/>
    </row>
    <row r="6369" spans="1:40">
      <c r="AD6369"/>
      <c r="AE6369"/>
      <c r="AF6369"/>
      <c r="AG6369"/>
      <c r="AH6369"/>
      <c r="AI6369"/>
      <c r="AJ6369"/>
      <c r="AK6369"/>
      <c r="AL6369"/>
      <c r="AM6369"/>
      <c r="AN6369"/>
    </row>
    <row r="6370" spans="1:40">
      <c r="R6370" s="795" t="s">
        <v>384</v>
      </c>
      <c r="S6370" s="795"/>
      <c r="T6370" s="795"/>
      <c r="U6370"/>
      <c r="V6370"/>
      <c r="W6370"/>
      <c r="X6370"/>
      <c r="Y6370"/>
      <c r="Z6370"/>
      <c r="AA6370"/>
      <c r="AB6370"/>
      <c r="AC6370"/>
      <c r="AD6370"/>
      <c r="AE6370"/>
      <c r="AF6370"/>
      <c r="AG6370"/>
      <c r="AH6370"/>
      <c r="AI6370"/>
      <c r="AJ6370"/>
      <c r="AK6370"/>
      <c r="AL6370"/>
      <c r="AM6370"/>
      <c r="AN6370"/>
    </row>
    <row r="6371" spans="1:40">
      <c r="Q6371" s="316"/>
      <c r="R6371" s="795" t="s">
        <v>385</v>
      </c>
      <c r="S6371" s="795"/>
      <c r="T6371" s="795"/>
      <c r="U6371" s="795" t="s">
        <v>386</v>
      </c>
      <c r="V6371" s="795"/>
      <c r="W6371" s="795"/>
      <c r="X6371" s="795" t="s">
        <v>387</v>
      </c>
      <c r="Y6371" s="795"/>
      <c r="Z6371" s="795"/>
      <c r="AA6371" s="795" t="s">
        <v>388</v>
      </c>
      <c r="AB6371" s="795"/>
      <c r="AC6371" s="795"/>
      <c r="AD6371"/>
      <c r="AE6371"/>
      <c r="AF6371"/>
      <c r="AG6371"/>
      <c r="AH6371"/>
      <c r="AI6371"/>
      <c r="AJ6371"/>
      <c r="AK6371"/>
      <c r="AL6371"/>
      <c r="AM6371"/>
      <c r="AN6371"/>
    </row>
    <row r="6372" spans="1:40" ht="11.25" customHeight="1">
      <c r="N6372" s="430" t="s">
        <v>1742</v>
      </c>
      <c r="O6372" s="315"/>
      <c r="P6372" s="309"/>
      <c r="Q6372" s="311"/>
      <c r="R6372" s="624"/>
      <c r="S6372" s="624"/>
      <c r="T6372" s="624"/>
      <c r="U6372" s="624"/>
      <c r="V6372" s="624"/>
      <c r="W6372" s="624"/>
      <c r="X6372" s="624"/>
      <c r="Y6372" s="624"/>
      <c r="Z6372" s="624"/>
      <c r="AA6372" s="624"/>
      <c r="AB6372" s="624"/>
      <c r="AC6372" s="624"/>
      <c r="AD6372"/>
      <c r="AE6372"/>
      <c r="AF6372"/>
      <c r="AG6372"/>
      <c r="AH6372"/>
      <c r="AI6372"/>
      <c r="AJ6372"/>
      <c r="AK6372"/>
      <c r="AL6372"/>
      <c r="AM6372"/>
      <c r="AN6372"/>
    </row>
    <row r="6373" spans="1:40" ht="11.25" customHeight="1">
      <c r="N6373" s="811"/>
      <c r="O6373" s="812"/>
      <c r="P6373" s="813"/>
      <c r="Q6373" s="317"/>
      <c r="R6373" s="625" t="str">
        <f>R6375 &amp; ".1"</f>
        <v>.1</v>
      </c>
      <c r="S6373" s="625" t="str">
        <f>R6375 &amp; ".2"</f>
        <v>.2</v>
      </c>
      <c r="T6373" s="625" t="str">
        <f>R6375 &amp; ".0"</f>
        <v>.0</v>
      </c>
      <c r="U6373" s="625" t="str">
        <f>U6375 &amp; ".1"</f>
        <v>.1</v>
      </c>
      <c r="V6373" s="625" t="str">
        <f>U6375 &amp; ".2"</f>
        <v>.2</v>
      </c>
      <c r="W6373" s="625" t="str">
        <f>U6375 &amp; ".0"</f>
        <v>.0</v>
      </c>
      <c r="X6373" s="625" t="str">
        <f>X6375 &amp; ".1"</f>
        <v>.1</v>
      </c>
      <c r="Y6373" s="625" t="str">
        <f>X6375 &amp; ".2"</f>
        <v>.2</v>
      </c>
      <c r="Z6373" s="625" t="str">
        <f>X6375 &amp; ".0"</f>
        <v>.0</v>
      </c>
      <c r="AA6373" s="625" t="str">
        <f>AA6375 &amp; ".1"</f>
        <v>.1</v>
      </c>
      <c r="AB6373" s="625" t="str">
        <f>AA6375 &amp; ".2"</f>
        <v>.2</v>
      </c>
      <c r="AC6373" s="625" t="str">
        <f>AA6375 &amp; ".0"</f>
        <v>.0</v>
      </c>
      <c r="AD6373"/>
      <c r="AE6373"/>
      <c r="AF6373"/>
      <c r="AG6373"/>
      <c r="AH6373"/>
      <c r="AI6373"/>
      <c r="AJ6373"/>
      <c r="AK6373"/>
      <c r="AL6373"/>
      <c r="AM6373"/>
      <c r="AN6373"/>
    </row>
    <row r="6374" spans="1:40" ht="11.25" customHeight="1">
      <c r="N6374" s="430" t="s">
        <v>1742</v>
      </c>
      <c r="O6374" s="221"/>
      <c r="P6374" s="122" t="s">
        <v>786</v>
      </c>
      <c r="Q6374" s="201"/>
      <c r="R6374" s="814" t="s">
        <v>719</v>
      </c>
      <c r="S6374" s="814"/>
      <c r="T6374" s="814"/>
      <c r="U6374" s="814" t="s">
        <v>719</v>
      </c>
      <c r="V6374" s="814"/>
      <c r="W6374" s="814"/>
      <c r="X6374" s="814" t="s">
        <v>719</v>
      </c>
      <c r="Y6374" s="814"/>
      <c r="Z6374" s="814"/>
      <c r="AA6374" s="814" t="s">
        <v>719</v>
      </c>
      <c r="AB6374" s="814"/>
      <c r="AC6374" s="814"/>
      <c r="AD6374"/>
      <c r="AE6374"/>
      <c r="AF6374"/>
      <c r="AG6374"/>
      <c r="AH6374"/>
      <c r="AI6374"/>
      <c r="AJ6374"/>
      <c r="AK6374"/>
      <c r="AL6374"/>
      <c r="AM6374"/>
      <c r="AN6374"/>
    </row>
    <row r="6375" spans="1:40" ht="11.25" customHeight="1">
      <c r="N6375" s="802" t="s">
        <v>641</v>
      </c>
      <c r="O6375" s="804" t="s">
        <v>787</v>
      </c>
      <c r="P6375" s="806" t="s">
        <v>778</v>
      </c>
      <c r="Q6375" s="206">
        <v>0</v>
      </c>
      <c r="R6375" s="808"/>
      <c r="S6375" s="809"/>
      <c r="T6375" s="810"/>
      <c r="U6375" s="808"/>
      <c r="V6375" s="809"/>
      <c r="W6375" s="810"/>
      <c r="X6375" s="808"/>
      <c r="Y6375" s="809"/>
      <c r="Z6375" s="810"/>
      <c r="AA6375" s="808"/>
      <c r="AB6375" s="809"/>
      <c r="AC6375" s="810"/>
      <c r="AD6375"/>
      <c r="AE6375"/>
      <c r="AF6375"/>
      <c r="AG6375"/>
      <c r="AH6375"/>
      <c r="AI6375"/>
      <c r="AJ6375"/>
      <c r="AK6375"/>
      <c r="AL6375"/>
      <c r="AM6375"/>
      <c r="AN6375"/>
    </row>
    <row r="6376" spans="1:40" ht="12" customHeight="1">
      <c r="N6376" s="803"/>
      <c r="O6376" s="805"/>
      <c r="P6376" s="807"/>
      <c r="Q6376" s="207"/>
      <c r="R6376" s="796"/>
      <c r="S6376" s="797"/>
      <c r="T6376" s="798"/>
      <c r="U6376" s="796"/>
      <c r="V6376" s="797"/>
      <c r="W6376" s="798"/>
      <c r="X6376" s="796"/>
      <c r="Y6376" s="797"/>
      <c r="Z6376" s="798"/>
      <c r="AA6376" s="796"/>
      <c r="AB6376" s="797"/>
      <c r="AC6376" s="798"/>
      <c r="AD6376"/>
      <c r="AE6376"/>
      <c r="AF6376"/>
      <c r="AG6376"/>
      <c r="AH6376"/>
      <c r="AI6376"/>
      <c r="AJ6376"/>
      <c r="AK6376"/>
      <c r="AL6376"/>
      <c r="AM6376"/>
      <c r="AN6376"/>
    </row>
    <row r="6377" spans="1:40" ht="12" customHeight="1">
      <c r="N6377" s="222"/>
      <c r="O6377" s="501" t="s">
        <v>788</v>
      </c>
      <c r="P6377" s="542"/>
      <c r="Q6377" s="207"/>
      <c r="R6377" s="799"/>
      <c r="S6377" s="800"/>
      <c r="T6377" s="801"/>
      <c r="U6377" s="799"/>
      <c r="V6377" s="800"/>
      <c r="W6377" s="801"/>
      <c r="X6377" s="799"/>
      <c r="Y6377" s="800"/>
      <c r="Z6377" s="801"/>
      <c r="AA6377" s="799"/>
      <c r="AB6377" s="800"/>
      <c r="AC6377" s="801"/>
      <c r="AD6377"/>
      <c r="AE6377"/>
      <c r="AF6377"/>
      <c r="AG6377"/>
      <c r="AH6377"/>
      <c r="AI6377"/>
      <c r="AJ6377"/>
      <c r="AK6377"/>
      <c r="AL6377"/>
      <c r="AM6377"/>
      <c r="AN6377"/>
    </row>
    <row r="6378" spans="1:40" ht="12" customHeight="1">
      <c r="N6378" s="222"/>
      <c r="O6378" s="556" t="str">
        <f>IF(CALC_IDENTIFIER="","",CALC_IDENTIFIER)</f>
        <v/>
      </c>
      <c r="P6378" s="557" t="s">
        <v>745</v>
      </c>
      <c r="Q6378" s="328"/>
      <c r="R6378" s="568"/>
      <c r="S6378" s="568"/>
      <c r="T6378" s="568"/>
      <c r="U6378" s="568"/>
      <c r="V6378" s="568" t="s">
        <v>349</v>
      </c>
      <c r="W6378" s="568" t="s">
        <v>745</v>
      </c>
      <c r="X6378" s="569" t="s">
        <v>350</v>
      </c>
      <c r="Y6378" s="568"/>
      <c r="Z6378" s="568" t="s">
        <v>745</v>
      </c>
      <c r="AA6378" s="569" t="s">
        <v>350</v>
      </c>
      <c r="AB6378" s="568" t="s">
        <v>349</v>
      </c>
      <c r="AC6378" s="568" t="s">
        <v>745</v>
      </c>
      <c r="AD6378"/>
      <c r="AE6378"/>
      <c r="AF6378"/>
      <c r="AG6378"/>
      <c r="AH6378"/>
      <c r="AI6378"/>
      <c r="AJ6378"/>
      <c r="AK6378"/>
      <c r="AL6378"/>
      <c r="AM6378"/>
      <c r="AN6378"/>
    </row>
    <row r="6379" spans="1:40" s="47" customFormat="1">
      <c r="A6379" s="121"/>
      <c r="B6379" s="121"/>
      <c r="C6379" s="121"/>
      <c r="D6379" s="121"/>
      <c r="E6379" s="121"/>
      <c r="F6379" s="121"/>
      <c r="G6379" s="121"/>
      <c r="H6379" s="121"/>
      <c r="I6379" s="121"/>
      <c r="J6379" s="121"/>
      <c r="K6379" s="121"/>
      <c r="L6379" s="121"/>
      <c r="M6379" s="121"/>
      <c r="N6379" s="504" t="s">
        <v>642</v>
      </c>
      <c r="O6379" s="566" t="str">
        <f>IF(TEMPLATE_SPHERE="водоснабжения","Объём отпуска воды (тыс. куб.м)",IF(TEMPLATE_SPHERE="водоотведения","Пропущено сточных вод, всего (тыс. куб.м)"))</f>
        <v>Пропущено сточных вод, всего (тыс. куб.м)</v>
      </c>
      <c r="P6379" s="551"/>
      <c r="Q6379" s="321"/>
      <c r="R6379" s="567"/>
      <c r="S6379" s="567"/>
      <c r="T6379" s="567"/>
      <c r="U6379" s="567"/>
      <c r="V6379" s="262"/>
      <c r="W6379" s="552">
        <f t="shared" ref="W6379:W6385" si="28">U6379+V6379</f>
        <v>0</v>
      </c>
      <c r="X6379" s="262"/>
      <c r="Y6379" s="323"/>
      <c r="Z6379" s="552">
        <f t="shared" ref="Z6379:Z6385" si="29">X6379+Y6379</f>
        <v>0</v>
      </c>
      <c r="AA6379" s="262"/>
      <c r="AB6379" s="262"/>
      <c r="AC6379" s="552">
        <f t="shared" ref="AC6379:AC6385" si="30">AA6379+AB6379</f>
        <v>0</v>
      </c>
      <c r="AD6379"/>
      <c r="AE6379"/>
      <c r="AF6379"/>
      <c r="AG6379"/>
      <c r="AH6379"/>
      <c r="AI6379"/>
      <c r="AJ6379"/>
      <c r="AK6379"/>
      <c r="AL6379"/>
      <c r="AM6379"/>
      <c r="AN6379"/>
    </row>
    <row r="6380" spans="1:40" s="47" customFormat="1">
      <c r="A6380" s="121"/>
      <c r="B6380" s="121"/>
      <c r="C6380" s="121"/>
      <c r="D6380" s="121"/>
      <c r="E6380" s="121"/>
      <c r="F6380" s="121"/>
      <c r="G6380" s="121"/>
      <c r="H6380" s="121"/>
      <c r="I6380" s="121"/>
      <c r="J6380" s="121"/>
      <c r="K6380" s="121"/>
      <c r="L6380" s="121"/>
      <c r="M6380" s="121"/>
      <c r="N6380" s="504" t="s">
        <v>790</v>
      </c>
      <c r="O6380" s="527" t="s">
        <v>369</v>
      </c>
      <c r="P6380" s="257"/>
      <c r="Q6380" s="321"/>
      <c r="R6380" s="553"/>
      <c r="S6380" s="553"/>
      <c r="T6380" s="553"/>
      <c r="U6380" s="553"/>
      <c r="V6380" s="262"/>
      <c r="W6380" s="548">
        <f t="shared" si="28"/>
        <v>0</v>
      </c>
      <c r="X6380" s="262"/>
      <c r="Y6380" s="553"/>
      <c r="Z6380" s="548">
        <f t="shared" si="29"/>
        <v>0</v>
      </c>
      <c r="AA6380" s="262"/>
      <c r="AB6380" s="262"/>
      <c r="AC6380" s="555">
        <f t="shared" si="30"/>
        <v>0</v>
      </c>
      <c r="AD6380"/>
      <c r="AE6380"/>
      <c r="AF6380"/>
      <c r="AG6380"/>
      <c r="AH6380"/>
      <c r="AI6380"/>
      <c r="AJ6380"/>
      <c r="AK6380"/>
      <c r="AL6380"/>
      <c r="AM6380"/>
      <c r="AN6380"/>
    </row>
    <row r="6381" spans="1:40" s="47" customFormat="1">
      <c r="A6381" s="121"/>
      <c r="B6381" s="121"/>
      <c r="C6381" s="121"/>
      <c r="D6381" s="121"/>
      <c r="E6381" s="121"/>
      <c r="F6381" s="121"/>
      <c r="G6381" s="121"/>
      <c r="H6381" s="121"/>
      <c r="I6381" s="121"/>
      <c r="J6381" s="121"/>
      <c r="K6381" s="121"/>
      <c r="L6381" s="121"/>
      <c r="M6381" s="121"/>
      <c r="N6381" s="504" t="s">
        <v>751</v>
      </c>
      <c r="O6381" s="526" t="s">
        <v>2814</v>
      </c>
      <c r="P6381" s="257"/>
      <c r="Q6381" s="321"/>
      <c r="R6381" s="260"/>
      <c r="S6381" s="260"/>
      <c r="T6381" s="260"/>
      <c r="U6381" s="260"/>
      <c r="V6381" s="262"/>
      <c r="W6381" s="548">
        <f t="shared" si="28"/>
        <v>0</v>
      </c>
      <c r="X6381" s="262"/>
      <c r="Y6381" s="260"/>
      <c r="Z6381" s="548">
        <f t="shared" si="29"/>
        <v>0</v>
      </c>
      <c r="AA6381" s="262"/>
      <c r="AB6381" s="262"/>
      <c r="AC6381" s="548">
        <f t="shared" si="30"/>
        <v>0</v>
      </c>
      <c r="AD6381"/>
      <c r="AE6381"/>
      <c r="AF6381"/>
      <c r="AG6381"/>
      <c r="AH6381"/>
      <c r="AI6381"/>
      <c r="AJ6381"/>
      <c r="AK6381"/>
      <c r="AL6381"/>
      <c r="AM6381"/>
      <c r="AN6381"/>
    </row>
    <row r="6382" spans="1:40" s="47" customFormat="1">
      <c r="A6382" s="121"/>
      <c r="B6382" s="121"/>
      <c r="C6382" s="121"/>
      <c r="D6382" s="121"/>
      <c r="E6382" s="121"/>
      <c r="F6382" s="121"/>
      <c r="G6382" s="121"/>
      <c r="H6382" s="121"/>
      <c r="I6382" s="121"/>
      <c r="J6382" s="121"/>
      <c r="K6382" s="121"/>
      <c r="L6382" s="121"/>
      <c r="M6382" s="121"/>
      <c r="N6382" s="504" t="s">
        <v>66</v>
      </c>
      <c r="O6382" s="527" t="s">
        <v>2815</v>
      </c>
      <c r="P6382" s="257"/>
      <c r="Q6382" s="321"/>
      <c r="R6382" s="260"/>
      <c r="S6382" s="260"/>
      <c r="T6382" s="260"/>
      <c r="U6382" s="260"/>
      <c r="V6382" s="262"/>
      <c r="W6382" s="548">
        <f t="shared" si="28"/>
        <v>0</v>
      </c>
      <c r="X6382" s="262"/>
      <c r="Y6382" s="260"/>
      <c r="Z6382" s="548">
        <f t="shared" si="29"/>
        <v>0</v>
      </c>
      <c r="AA6382" s="262"/>
      <c r="AB6382" s="262"/>
      <c r="AC6382" s="548">
        <f t="shared" si="30"/>
        <v>0</v>
      </c>
      <c r="AD6382"/>
      <c r="AE6382"/>
      <c r="AF6382"/>
      <c r="AG6382"/>
      <c r="AH6382"/>
      <c r="AI6382"/>
      <c r="AJ6382"/>
      <c r="AK6382"/>
      <c r="AL6382"/>
      <c r="AM6382"/>
      <c r="AN6382"/>
    </row>
    <row r="6383" spans="1:40" s="47" customFormat="1">
      <c r="A6383" s="121"/>
      <c r="B6383" s="121"/>
      <c r="C6383" s="121"/>
      <c r="D6383" s="121"/>
      <c r="E6383" s="121"/>
      <c r="F6383" s="121"/>
      <c r="G6383" s="121"/>
      <c r="H6383" s="121"/>
      <c r="I6383" s="121"/>
      <c r="J6383" s="121"/>
      <c r="K6383" s="121"/>
      <c r="L6383" s="121"/>
      <c r="M6383" s="121"/>
      <c r="N6383" s="504" t="s">
        <v>632</v>
      </c>
      <c r="O6383" s="528" t="s">
        <v>2816</v>
      </c>
      <c r="P6383" s="257"/>
      <c r="Q6383" s="321"/>
      <c r="R6383" s="260"/>
      <c r="S6383" s="260"/>
      <c r="T6383" s="260"/>
      <c r="U6383" s="260"/>
      <c r="V6383" s="262"/>
      <c r="W6383" s="548">
        <f t="shared" si="28"/>
        <v>0</v>
      </c>
      <c r="X6383" s="262"/>
      <c r="Y6383" s="260"/>
      <c r="Z6383" s="548">
        <f t="shared" si="29"/>
        <v>0</v>
      </c>
      <c r="AA6383" s="262"/>
      <c r="AB6383" s="262"/>
      <c r="AC6383" s="548">
        <f t="shared" si="30"/>
        <v>0</v>
      </c>
      <c r="AD6383"/>
      <c r="AE6383"/>
      <c r="AF6383"/>
      <c r="AG6383"/>
      <c r="AH6383"/>
      <c r="AI6383"/>
      <c r="AJ6383"/>
      <c r="AK6383"/>
      <c r="AL6383"/>
      <c r="AM6383"/>
      <c r="AN6383"/>
    </row>
    <row r="6384" spans="1:40" s="47" customFormat="1">
      <c r="A6384" s="121"/>
      <c r="B6384" s="121"/>
      <c r="C6384" s="121"/>
      <c r="D6384" s="121"/>
      <c r="E6384" s="121"/>
      <c r="F6384" s="121"/>
      <c r="G6384" s="121"/>
      <c r="H6384" s="121"/>
      <c r="I6384" s="121"/>
      <c r="J6384" s="121"/>
      <c r="K6384" s="121"/>
      <c r="L6384" s="121"/>
      <c r="M6384" s="121"/>
      <c r="N6384" s="223" t="s">
        <v>2817</v>
      </c>
      <c r="O6384" s="529" t="s">
        <v>2972</v>
      </c>
      <c r="P6384" s="257"/>
      <c r="Q6384" s="321"/>
      <c r="R6384" s="260"/>
      <c r="S6384" s="260"/>
      <c r="T6384" s="260"/>
      <c r="U6384" s="260"/>
      <c r="V6384" s="262"/>
      <c r="W6384" s="548">
        <f t="shared" si="28"/>
        <v>0</v>
      </c>
      <c r="X6384" s="262"/>
      <c r="Y6384" s="260"/>
      <c r="Z6384" s="548">
        <f t="shared" si="29"/>
        <v>0</v>
      </c>
      <c r="AA6384" s="262"/>
      <c r="AB6384" s="262"/>
      <c r="AC6384" s="548">
        <f t="shared" si="30"/>
        <v>0</v>
      </c>
      <c r="AD6384"/>
      <c r="AE6384"/>
      <c r="AF6384"/>
      <c r="AG6384"/>
      <c r="AH6384"/>
      <c r="AI6384"/>
      <c r="AJ6384"/>
      <c r="AK6384"/>
      <c r="AL6384"/>
      <c r="AM6384"/>
      <c r="AN6384"/>
    </row>
    <row r="6385" spans="1:40" s="47" customFormat="1">
      <c r="A6385" s="121"/>
      <c r="B6385" s="121"/>
      <c r="C6385" s="121"/>
      <c r="D6385" s="121"/>
      <c r="E6385" s="121"/>
      <c r="F6385" s="121"/>
      <c r="G6385" s="121"/>
      <c r="H6385" s="121"/>
      <c r="I6385" s="121"/>
      <c r="J6385" s="121"/>
      <c r="K6385" s="121"/>
      <c r="L6385" s="121"/>
      <c r="M6385" s="121"/>
      <c r="N6385" s="223" t="s">
        <v>2818</v>
      </c>
      <c r="O6385" s="529" t="s">
        <v>2988</v>
      </c>
      <c r="P6385" s="257"/>
      <c r="Q6385" s="321"/>
      <c r="R6385" s="260"/>
      <c r="S6385" s="260"/>
      <c r="T6385" s="260"/>
      <c r="U6385" s="260"/>
      <c r="V6385" s="262"/>
      <c r="W6385" s="548">
        <f t="shared" si="28"/>
        <v>0</v>
      </c>
      <c r="X6385" s="262"/>
      <c r="Y6385" s="260"/>
      <c r="Z6385" s="548">
        <f t="shared" si="29"/>
        <v>0</v>
      </c>
      <c r="AA6385" s="262"/>
      <c r="AB6385" s="262"/>
      <c r="AC6385" s="548">
        <f t="shared" si="30"/>
        <v>0</v>
      </c>
      <c r="AD6385"/>
      <c r="AE6385"/>
      <c r="AF6385"/>
      <c r="AG6385"/>
      <c r="AH6385"/>
      <c r="AI6385"/>
      <c r="AJ6385"/>
      <c r="AK6385"/>
      <c r="AL6385"/>
      <c r="AM6385"/>
      <c r="AN6385"/>
    </row>
    <row r="6386" spans="1:40" s="47" customFormat="1">
      <c r="A6386" s="121"/>
      <c r="B6386" s="121"/>
      <c r="C6386" s="121"/>
      <c r="D6386" s="121"/>
      <c r="E6386" s="121"/>
      <c r="F6386" s="121"/>
      <c r="G6386" s="121"/>
      <c r="H6386" s="121"/>
      <c r="I6386" s="121"/>
      <c r="J6386" s="121"/>
      <c r="K6386" s="121"/>
      <c r="L6386" s="121"/>
      <c r="M6386" s="121"/>
      <c r="N6386" s="223"/>
      <c r="O6386" s="529"/>
      <c r="P6386" s="260"/>
      <c r="Q6386" s="321"/>
      <c r="R6386" s="260"/>
      <c r="S6386" s="260"/>
      <c r="T6386" s="260"/>
      <c r="U6386" s="260"/>
      <c r="V6386" s="260"/>
      <c r="W6386" s="260"/>
      <c r="X6386" s="260"/>
      <c r="Y6386" s="260"/>
      <c r="Z6386" s="260"/>
      <c r="AA6386" s="260"/>
      <c r="AB6386" s="260"/>
      <c r="AC6386" s="260"/>
      <c r="AD6386"/>
      <c r="AE6386"/>
      <c r="AF6386"/>
      <c r="AG6386"/>
      <c r="AH6386"/>
      <c r="AI6386"/>
      <c r="AJ6386"/>
      <c r="AK6386"/>
      <c r="AL6386"/>
      <c r="AM6386"/>
      <c r="AN6386"/>
    </row>
    <row r="6387" spans="1:40" s="47" customFormat="1">
      <c r="A6387" s="121"/>
      <c r="B6387" s="121"/>
      <c r="C6387" s="121"/>
      <c r="D6387" s="121"/>
      <c r="E6387" s="121"/>
      <c r="F6387" s="121"/>
      <c r="G6387" s="121"/>
      <c r="H6387" s="121"/>
      <c r="I6387" s="121"/>
      <c r="J6387" s="121"/>
      <c r="K6387" s="121"/>
      <c r="L6387" s="121"/>
      <c r="M6387" s="121"/>
      <c r="N6387" s="524"/>
      <c r="O6387" s="530"/>
      <c r="P6387" s="255"/>
      <c r="Q6387" s="321"/>
      <c r="R6387" s="260"/>
      <c r="S6387" s="260"/>
      <c r="T6387" s="260"/>
      <c r="U6387" s="260"/>
      <c r="V6387" s="260"/>
      <c r="W6387" s="260"/>
      <c r="X6387" s="260"/>
      <c r="Y6387" s="260"/>
      <c r="Z6387" s="260"/>
      <c r="AA6387" s="260"/>
      <c r="AB6387" s="260"/>
      <c r="AC6387" s="260"/>
      <c r="AD6387"/>
      <c r="AE6387"/>
      <c r="AF6387"/>
      <c r="AG6387"/>
      <c r="AH6387"/>
      <c r="AI6387"/>
      <c r="AJ6387"/>
      <c r="AK6387"/>
      <c r="AL6387"/>
      <c r="AM6387"/>
      <c r="AN6387"/>
    </row>
    <row r="6388" spans="1:40" s="47" customFormat="1">
      <c r="A6388" s="121"/>
      <c r="B6388" s="121"/>
      <c r="C6388" s="121"/>
      <c r="D6388" s="121"/>
      <c r="E6388" s="121"/>
      <c r="F6388" s="121"/>
      <c r="G6388" s="121"/>
      <c r="H6388" s="121"/>
      <c r="I6388" s="121"/>
      <c r="J6388" s="121"/>
      <c r="K6388" s="121"/>
      <c r="L6388" s="121"/>
      <c r="M6388" s="121"/>
      <c r="N6388" s="524"/>
      <c r="O6388" s="530"/>
      <c r="P6388" s="260"/>
      <c r="Q6388" s="321"/>
      <c r="R6388" s="260"/>
      <c r="S6388" s="260"/>
      <c r="T6388" s="260"/>
      <c r="U6388" s="260"/>
      <c r="V6388" s="260"/>
      <c r="W6388" s="260"/>
      <c r="X6388" s="260"/>
      <c r="Y6388" s="260"/>
      <c r="Z6388" s="260"/>
      <c r="AA6388" s="260"/>
      <c r="AB6388" s="260"/>
      <c r="AC6388" s="260"/>
      <c r="AD6388"/>
      <c r="AE6388"/>
      <c r="AF6388"/>
      <c r="AG6388"/>
      <c r="AH6388"/>
      <c r="AI6388"/>
      <c r="AJ6388"/>
      <c r="AK6388"/>
      <c r="AL6388"/>
      <c r="AM6388"/>
      <c r="AN6388"/>
    </row>
    <row r="6389" spans="1:40" s="47" customFormat="1">
      <c r="A6389" s="121"/>
      <c r="B6389" s="121"/>
      <c r="C6389" s="121"/>
      <c r="D6389" s="121"/>
      <c r="E6389" s="121"/>
      <c r="F6389" s="121"/>
      <c r="G6389" s="121"/>
      <c r="H6389" s="121"/>
      <c r="I6389" s="121"/>
      <c r="J6389" s="121"/>
      <c r="K6389" s="121"/>
      <c r="L6389" s="121"/>
      <c r="M6389" s="121"/>
      <c r="N6389" s="223"/>
      <c r="O6389" s="531"/>
      <c r="P6389" s="260"/>
      <c r="Q6389" s="321"/>
      <c r="R6389" s="260"/>
      <c r="S6389" s="260"/>
      <c r="T6389" s="260"/>
      <c r="U6389" s="260"/>
      <c r="V6389" s="260"/>
      <c r="W6389" s="260"/>
      <c r="X6389" s="260"/>
      <c r="Y6389" s="260"/>
      <c r="Z6389" s="260"/>
      <c r="AA6389" s="260"/>
      <c r="AB6389" s="260"/>
      <c r="AC6389" s="260"/>
      <c r="AD6389"/>
      <c r="AE6389"/>
      <c r="AF6389"/>
      <c r="AG6389"/>
      <c r="AH6389"/>
      <c r="AI6389"/>
      <c r="AJ6389"/>
      <c r="AK6389"/>
      <c r="AL6389"/>
      <c r="AM6389"/>
      <c r="AN6389"/>
    </row>
    <row r="6390" spans="1:40" s="47" customFormat="1">
      <c r="A6390" s="121"/>
      <c r="B6390" s="121"/>
      <c r="C6390" s="121"/>
      <c r="D6390" s="121"/>
      <c r="E6390" s="121"/>
      <c r="F6390" s="121"/>
      <c r="G6390" s="121"/>
      <c r="H6390" s="121"/>
      <c r="I6390" s="121"/>
      <c r="J6390" s="121"/>
      <c r="K6390" s="121"/>
      <c r="L6390" s="121"/>
      <c r="M6390" s="121"/>
      <c r="N6390" s="524"/>
      <c r="O6390" s="530"/>
      <c r="P6390" s="255"/>
      <c r="Q6390" s="321"/>
      <c r="R6390" s="260"/>
      <c r="S6390" s="260"/>
      <c r="T6390" s="260"/>
      <c r="U6390" s="260"/>
      <c r="V6390" s="260"/>
      <c r="W6390" s="260"/>
      <c r="X6390" s="260"/>
      <c r="Y6390" s="260"/>
      <c r="Z6390" s="260"/>
      <c r="AA6390" s="260"/>
      <c r="AB6390" s="260"/>
      <c r="AC6390" s="260"/>
      <c r="AD6390"/>
      <c r="AE6390"/>
      <c r="AF6390"/>
      <c r="AG6390"/>
      <c r="AH6390"/>
      <c r="AI6390"/>
      <c r="AJ6390"/>
      <c r="AK6390"/>
      <c r="AL6390"/>
      <c r="AM6390"/>
      <c r="AN6390"/>
    </row>
    <row r="6391" spans="1:40" s="47" customFormat="1">
      <c r="A6391" s="121"/>
      <c r="B6391" s="121"/>
      <c r="C6391" s="121"/>
      <c r="D6391" s="121"/>
      <c r="E6391" s="121"/>
      <c r="F6391" s="121"/>
      <c r="G6391" s="121"/>
      <c r="H6391" s="121"/>
      <c r="I6391" s="121"/>
      <c r="J6391" s="121"/>
      <c r="K6391" s="121"/>
      <c r="L6391" s="121"/>
      <c r="M6391" s="121"/>
      <c r="N6391" s="524"/>
      <c r="O6391" s="530"/>
      <c r="P6391" s="260"/>
      <c r="Q6391" s="321"/>
      <c r="R6391" s="260"/>
      <c r="S6391" s="260"/>
      <c r="T6391" s="260"/>
      <c r="U6391" s="260"/>
      <c r="V6391" s="260"/>
      <c r="W6391" s="260"/>
      <c r="X6391" s="260"/>
      <c r="Y6391" s="260"/>
      <c r="Z6391" s="260"/>
      <c r="AA6391" s="260"/>
      <c r="AB6391" s="260"/>
      <c r="AC6391" s="260"/>
      <c r="AD6391"/>
      <c r="AE6391"/>
      <c r="AF6391"/>
      <c r="AG6391"/>
      <c r="AH6391"/>
      <c r="AI6391"/>
      <c r="AJ6391"/>
      <c r="AK6391"/>
      <c r="AL6391"/>
      <c r="AM6391"/>
      <c r="AN6391"/>
    </row>
    <row r="6392" spans="1:40" s="47" customFormat="1">
      <c r="A6392" s="121"/>
      <c r="B6392" s="121"/>
      <c r="C6392" s="121"/>
      <c r="D6392" s="121"/>
      <c r="E6392" s="121"/>
      <c r="F6392" s="121"/>
      <c r="G6392" s="121"/>
      <c r="H6392" s="121"/>
      <c r="I6392" s="121"/>
      <c r="J6392" s="121"/>
      <c r="K6392" s="121"/>
      <c r="L6392" s="121"/>
      <c r="M6392" s="121"/>
      <c r="N6392" s="223"/>
      <c r="O6392" s="529"/>
      <c r="P6392" s="260"/>
      <c r="Q6392" s="321"/>
      <c r="R6392" s="260"/>
      <c r="S6392" s="260"/>
      <c r="T6392" s="260"/>
      <c r="U6392" s="260"/>
      <c r="V6392" s="260"/>
      <c r="W6392" s="260"/>
      <c r="X6392" s="260"/>
      <c r="Y6392" s="260"/>
      <c r="Z6392" s="260"/>
      <c r="AA6392" s="260"/>
      <c r="AB6392" s="260"/>
      <c r="AC6392" s="260"/>
      <c r="AD6392"/>
      <c r="AE6392"/>
      <c r="AF6392"/>
      <c r="AG6392"/>
      <c r="AH6392"/>
      <c r="AI6392"/>
      <c r="AJ6392"/>
      <c r="AK6392"/>
      <c r="AL6392"/>
      <c r="AM6392"/>
      <c r="AN6392"/>
    </row>
    <row r="6393" spans="1:40" s="47" customFormat="1">
      <c r="A6393" s="121"/>
      <c r="B6393" s="121"/>
      <c r="C6393" s="121"/>
      <c r="D6393" s="121"/>
      <c r="E6393" s="121"/>
      <c r="F6393" s="121"/>
      <c r="G6393" s="121"/>
      <c r="H6393" s="121"/>
      <c r="I6393" s="121"/>
      <c r="J6393" s="121"/>
      <c r="K6393" s="121"/>
      <c r="L6393" s="121"/>
      <c r="M6393" s="121"/>
      <c r="N6393" s="524"/>
      <c r="O6393" s="530"/>
      <c r="P6393" s="255"/>
      <c r="Q6393" s="321"/>
      <c r="R6393" s="260"/>
      <c r="S6393" s="260"/>
      <c r="T6393" s="260"/>
      <c r="U6393" s="260"/>
      <c r="V6393" s="260"/>
      <c r="W6393" s="260"/>
      <c r="X6393" s="260"/>
      <c r="Y6393" s="260"/>
      <c r="Z6393" s="260"/>
      <c r="AA6393" s="260"/>
      <c r="AB6393" s="260"/>
      <c r="AC6393" s="260"/>
      <c r="AD6393"/>
      <c r="AE6393"/>
      <c r="AF6393"/>
      <c r="AG6393"/>
      <c r="AH6393"/>
      <c r="AI6393"/>
      <c r="AJ6393"/>
      <c r="AK6393"/>
      <c r="AL6393"/>
      <c r="AM6393"/>
      <c r="AN6393"/>
    </row>
    <row r="6394" spans="1:40" s="47" customFormat="1">
      <c r="A6394" s="121"/>
      <c r="B6394" s="121"/>
      <c r="C6394" s="121"/>
      <c r="D6394" s="121"/>
      <c r="E6394" s="121"/>
      <c r="F6394" s="121"/>
      <c r="G6394" s="121"/>
      <c r="H6394" s="121"/>
      <c r="I6394" s="121"/>
      <c r="J6394" s="121"/>
      <c r="K6394" s="121"/>
      <c r="L6394" s="121"/>
      <c r="M6394" s="121"/>
      <c r="N6394" s="524"/>
      <c r="O6394" s="530"/>
      <c r="P6394" s="260"/>
      <c r="Q6394" s="321"/>
      <c r="R6394" s="260"/>
      <c r="S6394" s="260"/>
      <c r="T6394" s="260"/>
      <c r="U6394" s="260"/>
      <c r="V6394" s="260"/>
      <c r="W6394" s="260"/>
      <c r="X6394" s="260"/>
      <c r="Y6394" s="260"/>
      <c r="Z6394" s="260"/>
      <c r="AA6394" s="260"/>
      <c r="AB6394" s="260"/>
      <c r="AC6394" s="260"/>
      <c r="AD6394"/>
      <c r="AE6394"/>
      <c r="AF6394"/>
      <c r="AG6394"/>
      <c r="AH6394"/>
      <c r="AI6394"/>
      <c r="AJ6394"/>
      <c r="AK6394"/>
      <c r="AL6394"/>
      <c r="AM6394"/>
      <c r="AN6394"/>
    </row>
    <row r="6395" spans="1:40" s="47" customFormat="1">
      <c r="A6395" s="121"/>
      <c r="B6395" s="121"/>
      <c r="C6395" s="121"/>
      <c r="D6395" s="121"/>
      <c r="E6395" s="121"/>
      <c r="F6395" s="121"/>
      <c r="G6395" s="121"/>
      <c r="H6395" s="121"/>
      <c r="I6395" s="121"/>
      <c r="J6395" s="121"/>
      <c r="K6395" s="121"/>
      <c r="L6395" s="121"/>
      <c r="M6395" s="121"/>
      <c r="N6395" s="223"/>
      <c r="O6395" s="531"/>
      <c r="P6395" s="260"/>
      <c r="Q6395" s="321"/>
      <c r="R6395" s="260"/>
      <c r="S6395" s="260"/>
      <c r="T6395" s="260"/>
      <c r="U6395" s="260"/>
      <c r="V6395" s="260"/>
      <c r="W6395" s="260"/>
      <c r="X6395" s="260"/>
      <c r="Y6395" s="260"/>
      <c r="Z6395" s="260"/>
      <c r="AA6395" s="260"/>
      <c r="AB6395" s="260"/>
      <c r="AC6395" s="260"/>
      <c r="AD6395"/>
      <c r="AE6395"/>
      <c r="AF6395"/>
      <c r="AG6395"/>
      <c r="AH6395"/>
      <c r="AI6395"/>
      <c r="AJ6395"/>
      <c r="AK6395"/>
      <c r="AL6395"/>
      <c r="AM6395"/>
      <c r="AN6395"/>
    </row>
    <row r="6396" spans="1:40" s="47" customFormat="1">
      <c r="A6396" s="121"/>
      <c r="B6396" s="121"/>
      <c r="C6396" s="121"/>
      <c r="D6396" s="121"/>
      <c r="E6396" s="121"/>
      <c r="F6396" s="121"/>
      <c r="G6396" s="121"/>
      <c r="H6396" s="121"/>
      <c r="I6396" s="121"/>
      <c r="J6396" s="121"/>
      <c r="K6396" s="121"/>
      <c r="L6396" s="121"/>
      <c r="M6396" s="121"/>
      <c r="N6396" s="524"/>
      <c r="O6396" s="530"/>
      <c r="P6396" s="255"/>
      <c r="Q6396" s="321"/>
      <c r="R6396" s="260"/>
      <c r="S6396" s="260"/>
      <c r="T6396" s="260"/>
      <c r="U6396" s="260"/>
      <c r="V6396" s="260"/>
      <c r="W6396" s="260"/>
      <c r="X6396" s="260"/>
      <c r="Y6396" s="260"/>
      <c r="Z6396" s="260"/>
      <c r="AA6396" s="260"/>
      <c r="AB6396" s="260"/>
      <c r="AC6396" s="260"/>
      <c r="AD6396"/>
      <c r="AE6396"/>
      <c r="AF6396"/>
      <c r="AG6396"/>
      <c r="AH6396"/>
      <c r="AI6396"/>
      <c r="AJ6396"/>
      <c r="AK6396"/>
      <c r="AL6396"/>
      <c r="AM6396"/>
      <c r="AN6396"/>
    </row>
    <row r="6397" spans="1:40" s="47" customFormat="1">
      <c r="A6397" s="121"/>
      <c r="B6397" s="121"/>
      <c r="C6397" s="121"/>
      <c r="D6397" s="121"/>
      <c r="E6397" s="121"/>
      <c r="F6397" s="121"/>
      <c r="G6397" s="121"/>
      <c r="H6397" s="121"/>
      <c r="I6397" s="121"/>
      <c r="J6397" s="121"/>
      <c r="K6397" s="121"/>
      <c r="L6397" s="121"/>
      <c r="M6397" s="121"/>
      <c r="N6397" s="524"/>
      <c r="O6397" s="530"/>
      <c r="P6397" s="260"/>
      <c r="Q6397" s="321"/>
      <c r="R6397" s="260"/>
      <c r="S6397" s="260"/>
      <c r="T6397" s="260"/>
      <c r="U6397" s="260"/>
      <c r="V6397" s="260"/>
      <c r="W6397" s="260"/>
      <c r="X6397" s="260"/>
      <c r="Y6397" s="260"/>
      <c r="Z6397" s="260"/>
      <c r="AA6397" s="260"/>
      <c r="AB6397" s="260"/>
      <c r="AC6397" s="260"/>
      <c r="AD6397"/>
      <c r="AE6397"/>
      <c r="AF6397"/>
      <c r="AG6397"/>
      <c r="AH6397"/>
      <c r="AI6397"/>
      <c r="AJ6397"/>
      <c r="AK6397"/>
      <c r="AL6397"/>
      <c r="AM6397"/>
      <c r="AN6397"/>
    </row>
    <row r="6398" spans="1:40" s="47" customFormat="1">
      <c r="A6398" s="121"/>
      <c r="B6398" s="121"/>
      <c r="C6398" s="121"/>
      <c r="D6398" s="121"/>
      <c r="E6398" s="121"/>
      <c r="F6398" s="121"/>
      <c r="G6398" s="121"/>
      <c r="H6398" s="121"/>
      <c r="I6398" s="121"/>
      <c r="J6398" s="121"/>
      <c r="K6398" s="121"/>
      <c r="L6398" s="121"/>
      <c r="M6398" s="121"/>
      <c r="N6398" s="223"/>
      <c r="O6398" s="529"/>
      <c r="P6398" s="260"/>
      <c r="Q6398" s="321"/>
      <c r="R6398" s="260"/>
      <c r="S6398" s="260"/>
      <c r="T6398" s="260"/>
      <c r="U6398" s="260"/>
      <c r="V6398" s="260"/>
      <c r="W6398" s="260"/>
      <c r="X6398" s="260"/>
      <c r="Y6398" s="260"/>
      <c r="Z6398" s="260"/>
      <c r="AA6398" s="260"/>
      <c r="AB6398" s="260"/>
      <c r="AC6398" s="260"/>
      <c r="AD6398"/>
      <c r="AE6398"/>
      <c r="AF6398"/>
      <c r="AG6398"/>
      <c r="AH6398"/>
      <c r="AI6398"/>
      <c r="AJ6398"/>
      <c r="AK6398"/>
      <c r="AL6398"/>
      <c r="AM6398"/>
      <c r="AN6398"/>
    </row>
    <row r="6399" spans="1:40" s="47" customFormat="1">
      <c r="A6399" s="121"/>
      <c r="B6399" s="121"/>
      <c r="C6399" s="121"/>
      <c r="D6399" s="121"/>
      <c r="E6399" s="121"/>
      <c r="F6399" s="121"/>
      <c r="G6399" s="121"/>
      <c r="H6399" s="121"/>
      <c r="I6399" s="121"/>
      <c r="J6399" s="121"/>
      <c r="K6399" s="121"/>
      <c r="L6399" s="121"/>
      <c r="M6399" s="121"/>
      <c r="N6399" s="524"/>
      <c r="O6399" s="530"/>
      <c r="P6399" s="255"/>
      <c r="Q6399" s="321"/>
      <c r="R6399" s="260"/>
      <c r="S6399" s="260"/>
      <c r="T6399" s="260"/>
      <c r="U6399" s="260"/>
      <c r="V6399" s="260"/>
      <c r="W6399" s="260"/>
      <c r="X6399" s="260"/>
      <c r="Y6399" s="260"/>
      <c r="Z6399" s="260"/>
      <c r="AA6399" s="260"/>
      <c r="AB6399" s="260"/>
      <c r="AC6399" s="260"/>
      <c r="AD6399"/>
      <c r="AE6399"/>
      <c r="AF6399"/>
      <c r="AG6399"/>
      <c r="AH6399"/>
      <c r="AI6399"/>
      <c r="AJ6399"/>
      <c r="AK6399"/>
      <c r="AL6399"/>
      <c r="AM6399"/>
      <c r="AN6399"/>
    </row>
    <row r="6400" spans="1:40" s="47" customFormat="1">
      <c r="A6400" s="121"/>
      <c r="B6400" s="121"/>
      <c r="C6400" s="121"/>
      <c r="D6400" s="121"/>
      <c r="E6400" s="121"/>
      <c r="F6400" s="121"/>
      <c r="G6400" s="121"/>
      <c r="H6400" s="121"/>
      <c r="I6400" s="121"/>
      <c r="J6400" s="121"/>
      <c r="K6400" s="121"/>
      <c r="L6400" s="121"/>
      <c r="M6400" s="121"/>
      <c r="N6400" s="524"/>
      <c r="O6400" s="530"/>
      <c r="P6400" s="260"/>
      <c r="Q6400" s="321"/>
      <c r="R6400" s="260"/>
      <c r="S6400" s="260"/>
      <c r="T6400" s="260"/>
      <c r="U6400" s="260"/>
      <c r="V6400" s="260"/>
      <c r="W6400" s="260"/>
      <c r="X6400" s="260"/>
      <c r="Y6400" s="260"/>
      <c r="Z6400" s="260"/>
      <c r="AA6400" s="260"/>
      <c r="AB6400" s="260"/>
      <c r="AC6400" s="260"/>
      <c r="AD6400"/>
      <c r="AE6400"/>
      <c r="AF6400"/>
      <c r="AG6400"/>
      <c r="AH6400"/>
      <c r="AI6400"/>
      <c r="AJ6400"/>
      <c r="AK6400"/>
      <c r="AL6400"/>
      <c r="AM6400"/>
      <c r="AN6400"/>
    </row>
    <row r="6401" spans="1:40" s="47" customFormat="1">
      <c r="A6401" s="121"/>
      <c r="B6401" s="121"/>
      <c r="C6401" s="121"/>
      <c r="D6401" s="121"/>
      <c r="E6401" s="121"/>
      <c r="F6401" s="121"/>
      <c r="G6401" s="121"/>
      <c r="H6401" s="121"/>
      <c r="I6401" s="121"/>
      <c r="J6401" s="121"/>
      <c r="K6401" s="121"/>
      <c r="L6401" s="121"/>
      <c r="M6401" s="121"/>
      <c r="N6401" s="223"/>
      <c r="O6401" s="531"/>
      <c r="P6401" s="260"/>
      <c r="Q6401" s="321"/>
      <c r="R6401" s="260"/>
      <c r="S6401" s="260"/>
      <c r="T6401" s="260"/>
      <c r="U6401" s="260"/>
      <c r="V6401" s="260"/>
      <c r="W6401" s="260"/>
      <c r="X6401" s="260"/>
      <c r="Y6401" s="260"/>
      <c r="Z6401" s="260"/>
      <c r="AA6401" s="260"/>
      <c r="AB6401" s="260"/>
      <c r="AC6401" s="260"/>
      <c r="AD6401"/>
      <c r="AE6401"/>
      <c r="AF6401"/>
      <c r="AG6401"/>
      <c r="AH6401"/>
      <c r="AI6401"/>
      <c r="AJ6401"/>
      <c r="AK6401"/>
      <c r="AL6401"/>
      <c r="AM6401"/>
      <c r="AN6401"/>
    </row>
    <row r="6402" spans="1:40" s="47" customFormat="1">
      <c r="A6402" s="121"/>
      <c r="B6402" s="121"/>
      <c r="C6402" s="121"/>
      <c r="D6402" s="121"/>
      <c r="E6402" s="121"/>
      <c r="F6402" s="121"/>
      <c r="G6402" s="121"/>
      <c r="H6402" s="121"/>
      <c r="I6402" s="121"/>
      <c r="J6402" s="121"/>
      <c r="K6402" s="121"/>
      <c r="L6402" s="121"/>
      <c r="M6402" s="121"/>
      <c r="N6402" s="524"/>
      <c r="O6402" s="530"/>
      <c r="P6402" s="255"/>
      <c r="Q6402" s="321"/>
      <c r="R6402" s="260"/>
      <c r="S6402" s="260"/>
      <c r="T6402" s="260"/>
      <c r="U6402" s="260"/>
      <c r="V6402" s="260"/>
      <c r="W6402" s="260"/>
      <c r="X6402" s="260"/>
      <c r="Y6402" s="260"/>
      <c r="Z6402" s="260"/>
      <c r="AA6402" s="260"/>
      <c r="AB6402" s="260"/>
      <c r="AC6402" s="260"/>
      <c r="AD6402"/>
      <c r="AE6402"/>
      <c r="AF6402"/>
      <c r="AG6402"/>
      <c r="AH6402"/>
      <c r="AI6402"/>
      <c r="AJ6402"/>
      <c r="AK6402"/>
      <c r="AL6402"/>
      <c r="AM6402"/>
      <c r="AN6402"/>
    </row>
    <row r="6403" spans="1:40" s="47" customFormat="1">
      <c r="A6403" s="121"/>
      <c r="B6403" s="121"/>
      <c r="C6403" s="121"/>
      <c r="D6403" s="121"/>
      <c r="E6403" s="121"/>
      <c r="F6403" s="121"/>
      <c r="G6403" s="121"/>
      <c r="H6403" s="121"/>
      <c r="I6403" s="121"/>
      <c r="J6403" s="121"/>
      <c r="K6403" s="121"/>
      <c r="L6403" s="121"/>
      <c r="M6403" s="121"/>
      <c r="N6403" s="524"/>
      <c r="O6403" s="530"/>
      <c r="P6403" s="260"/>
      <c r="Q6403" s="321"/>
      <c r="R6403" s="260"/>
      <c r="S6403" s="260"/>
      <c r="T6403" s="260"/>
      <c r="U6403" s="260"/>
      <c r="V6403" s="260"/>
      <c r="W6403" s="260"/>
      <c r="X6403" s="260"/>
      <c r="Y6403" s="260"/>
      <c r="Z6403" s="260"/>
      <c r="AA6403" s="260"/>
      <c r="AB6403" s="260"/>
      <c r="AC6403" s="260"/>
      <c r="AD6403"/>
      <c r="AE6403"/>
      <c r="AF6403"/>
      <c r="AG6403"/>
      <c r="AH6403"/>
      <c r="AI6403"/>
      <c r="AJ6403"/>
      <c r="AK6403"/>
      <c r="AL6403"/>
      <c r="AM6403"/>
      <c r="AN6403"/>
    </row>
    <row r="6404" spans="1:40" s="47" customFormat="1">
      <c r="A6404" s="121"/>
      <c r="B6404" s="121"/>
      <c r="C6404" s="121"/>
      <c r="D6404" s="121"/>
      <c r="E6404" s="121"/>
      <c r="F6404" s="121"/>
      <c r="G6404" s="121"/>
      <c r="H6404" s="121"/>
      <c r="I6404" s="121"/>
      <c r="J6404" s="121"/>
      <c r="K6404" s="121"/>
      <c r="L6404" s="121"/>
      <c r="M6404" s="121"/>
      <c r="N6404" s="223"/>
      <c r="O6404" s="529"/>
      <c r="P6404" s="260"/>
      <c r="Q6404" s="321"/>
      <c r="R6404" s="260"/>
      <c r="S6404" s="260"/>
      <c r="T6404" s="260"/>
      <c r="U6404" s="260"/>
      <c r="V6404" s="260"/>
      <c r="W6404" s="260"/>
      <c r="X6404" s="260"/>
      <c r="Y6404" s="260"/>
      <c r="Z6404" s="260"/>
      <c r="AA6404" s="260"/>
      <c r="AB6404" s="260"/>
      <c r="AC6404" s="260"/>
      <c r="AD6404"/>
      <c r="AE6404"/>
      <c r="AF6404"/>
      <c r="AG6404"/>
      <c r="AH6404"/>
      <c r="AI6404"/>
      <c r="AJ6404"/>
      <c r="AK6404"/>
      <c r="AL6404"/>
      <c r="AM6404"/>
      <c r="AN6404"/>
    </row>
    <row r="6405" spans="1:40" s="47" customFormat="1">
      <c r="A6405" s="121"/>
      <c r="B6405" s="121"/>
      <c r="C6405" s="121"/>
      <c r="D6405" s="121"/>
      <c r="E6405" s="121"/>
      <c r="F6405" s="121"/>
      <c r="G6405" s="121"/>
      <c r="H6405" s="121"/>
      <c r="I6405" s="121"/>
      <c r="J6405" s="121"/>
      <c r="K6405" s="121"/>
      <c r="L6405" s="121"/>
      <c r="M6405" s="121"/>
      <c r="N6405" s="524"/>
      <c r="O6405" s="530"/>
      <c r="P6405" s="255"/>
      <c r="Q6405" s="321"/>
      <c r="R6405" s="260"/>
      <c r="S6405" s="260"/>
      <c r="T6405" s="260"/>
      <c r="U6405" s="260"/>
      <c r="V6405" s="260"/>
      <c r="W6405" s="260"/>
      <c r="X6405" s="260"/>
      <c r="Y6405" s="260"/>
      <c r="Z6405" s="260"/>
      <c r="AA6405" s="260"/>
      <c r="AB6405" s="260"/>
      <c r="AC6405" s="260"/>
      <c r="AD6405"/>
      <c r="AE6405"/>
      <c r="AF6405"/>
      <c r="AG6405"/>
      <c r="AH6405"/>
      <c r="AI6405"/>
      <c r="AJ6405"/>
      <c r="AK6405"/>
      <c r="AL6405"/>
      <c r="AM6405"/>
      <c r="AN6405"/>
    </row>
    <row r="6406" spans="1:40" s="47" customFormat="1">
      <c r="A6406" s="121"/>
      <c r="B6406" s="121"/>
      <c r="C6406" s="121"/>
      <c r="D6406" s="121"/>
      <c r="E6406" s="121"/>
      <c r="F6406" s="121"/>
      <c r="G6406" s="121"/>
      <c r="H6406" s="121"/>
      <c r="I6406" s="121"/>
      <c r="J6406" s="121"/>
      <c r="K6406" s="121"/>
      <c r="L6406" s="121"/>
      <c r="M6406" s="121"/>
      <c r="N6406" s="524"/>
      <c r="O6406" s="530"/>
      <c r="P6406" s="260"/>
      <c r="Q6406" s="321"/>
      <c r="R6406" s="260"/>
      <c r="S6406" s="260"/>
      <c r="T6406" s="260"/>
      <c r="U6406" s="260"/>
      <c r="V6406" s="260"/>
      <c r="W6406" s="260"/>
      <c r="X6406" s="260"/>
      <c r="Y6406" s="260"/>
      <c r="Z6406" s="260"/>
      <c r="AA6406" s="260"/>
      <c r="AB6406" s="260"/>
      <c r="AC6406" s="260"/>
      <c r="AD6406"/>
      <c r="AE6406"/>
      <c r="AF6406"/>
      <c r="AG6406"/>
      <c r="AH6406"/>
      <c r="AI6406"/>
      <c r="AJ6406"/>
      <c r="AK6406"/>
      <c r="AL6406"/>
      <c r="AM6406"/>
      <c r="AN6406"/>
    </row>
    <row r="6407" spans="1:40" s="47" customFormat="1">
      <c r="A6407" s="121"/>
      <c r="B6407" s="121"/>
      <c r="C6407" s="121"/>
      <c r="D6407" s="121"/>
      <c r="E6407" s="121"/>
      <c r="F6407" s="121"/>
      <c r="G6407" s="121"/>
      <c r="H6407" s="121"/>
      <c r="I6407" s="121"/>
      <c r="J6407" s="121"/>
      <c r="K6407" s="121"/>
      <c r="L6407" s="121"/>
      <c r="M6407" s="121"/>
      <c r="N6407" s="223"/>
      <c r="O6407" s="531"/>
      <c r="P6407" s="260"/>
      <c r="Q6407" s="321"/>
      <c r="R6407" s="260"/>
      <c r="S6407" s="260"/>
      <c r="T6407" s="260"/>
      <c r="U6407" s="260"/>
      <c r="V6407" s="260"/>
      <c r="W6407" s="260"/>
      <c r="X6407" s="260"/>
      <c r="Y6407" s="260"/>
      <c r="Z6407" s="260"/>
      <c r="AA6407" s="260"/>
      <c r="AB6407" s="260"/>
      <c r="AC6407" s="260"/>
      <c r="AD6407"/>
      <c r="AE6407"/>
      <c r="AF6407"/>
      <c r="AG6407"/>
      <c r="AH6407"/>
      <c r="AI6407"/>
      <c r="AJ6407"/>
      <c r="AK6407"/>
      <c r="AL6407"/>
      <c r="AM6407"/>
      <c r="AN6407"/>
    </row>
    <row r="6408" spans="1:40" s="47" customFormat="1">
      <c r="A6408" s="121"/>
      <c r="B6408" s="121"/>
      <c r="C6408" s="121"/>
      <c r="D6408" s="121"/>
      <c r="E6408" s="121"/>
      <c r="F6408" s="121"/>
      <c r="G6408" s="121"/>
      <c r="H6408" s="121"/>
      <c r="I6408" s="121"/>
      <c r="J6408" s="121"/>
      <c r="K6408" s="121"/>
      <c r="L6408" s="121"/>
      <c r="M6408" s="121"/>
      <c r="N6408" s="524"/>
      <c r="O6408" s="530"/>
      <c r="P6408" s="255"/>
      <c r="Q6408" s="321"/>
      <c r="R6408" s="260"/>
      <c r="S6408" s="260"/>
      <c r="T6408" s="260"/>
      <c r="U6408" s="260"/>
      <c r="V6408" s="260"/>
      <c r="W6408" s="260"/>
      <c r="X6408" s="260"/>
      <c r="Y6408" s="260"/>
      <c r="Z6408" s="260"/>
      <c r="AA6408" s="260"/>
      <c r="AB6408" s="260"/>
      <c r="AC6408" s="260"/>
      <c r="AD6408"/>
      <c r="AE6408"/>
      <c r="AF6408"/>
      <c r="AG6408"/>
      <c r="AH6408"/>
      <c r="AI6408"/>
      <c r="AJ6408"/>
      <c r="AK6408"/>
      <c r="AL6408"/>
      <c r="AM6408"/>
      <c r="AN6408"/>
    </row>
    <row r="6409" spans="1:40" s="47" customFormat="1">
      <c r="A6409" s="121"/>
      <c r="B6409" s="121"/>
      <c r="C6409" s="121"/>
      <c r="D6409" s="121"/>
      <c r="E6409" s="121"/>
      <c r="F6409" s="121"/>
      <c r="G6409" s="121"/>
      <c r="H6409" s="121"/>
      <c r="I6409" s="121"/>
      <c r="J6409" s="121"/>
      <c r="K6409" s="121"/>
      <c r="L6409" s="121"/>
      <c r="M6409" s="121"/>
      <c r="N6409" s="524"/>
      <c r="O6409" s="530"/>
      <c r="P6409" s="260"/>
      <c r="Q6409" s="321"/>
      <c r="R6409" s="260"/>
      <c r="S6409" s="260"/>
      <c r="T6409" s="260"/>
      <c r="U6409" s="260"/>
      <c r="V6409" s="260"/>
      <c r="W6409" s="260"/>
      <c r="X6409" s="260"/>
      <c r="Y6409" s="260"/>
      <c r="Z6409" s="260"/>
      <c r="AA6409" s="260"/>
      <c r="AB6409" s="260"/>
      <c r="AC6409" s="260"/>
      <c r="AD6409"/>
      <c r="AE6409"/>
      <c r="AF6409"/>
      <c r="AG6409"/>
      <c r="AH6409"/>
      <c r="AI6409"/>
      <c r="AJ6409"/>
      <c r="AK6409"/>
      <c r="AL6409"/>
      <c r="AM6409"/>
      <c r="AN6409"/>
    </row>
    <row r="6410" spans="1:40" s="47" customFormat="1">
      <c r="A6410" s="121"/>
      <c r="B6410" s="121"/>
      <c r="C6410" s="121"/>
      <c r="D6410" s="121"/>
      <c r="E6410" s="121"/>
      <c r="F6410" s="121"/>
      <c r="G6410" s="121"/>
      <c r="H6410" s="121"/>
      <c r="I6410" s="121"/>
      <c r="J6410" s="121"/>
      <c r="K6410" s="121"/>
      <c r="L6410" s="121"/>
      <c r="M6410" s="121"/>
      <c r="N6410" s="504" t="s">
        <v>633</v>
      </c>
      <c r="O6410" s="532" t="s">
        <v>2819</v>
      </c>
      <c r="P6410" s="257"/>
      <c r="Q6410" s="321"/>
      <c r="R6410" s="260"/>
      <c r="S6410" s="260"/>
      <c r="T6410" s="260"/>
      <c r="U6410" s="260"/>
      <c r="V6410" s="262"/>
      <c r="W6410" s="548">
        <f t="shared" ref="W6410:W6419" si="31">U6410+V6410</f>
        <v>0</v>
      </c>
      <c r="X6410" s="262"/>
      <c r="Y6410" s="260"/>
      <c r="Z6410" s="548">
        <f t="shared" ref="Z6410:Z6419" si="32">X6410+Y6410</f>
        <v>0</v>
      </c>
      <c r="AA6410" s="262"/>
      <c r="AB6410" s="262"/>
      <c r="AC6410" s="548">
        <f t="shared" ref="AC6410:AC6419" si="33">AA6410+AB6410</f>
        <v>0</v>
      </c>
      <c r="AD6410"/>
      <c r="AE6410"/>
      <c r="AF6410"/>
      <c r="AG6410"/>
      <c r="AH6410"/>
      <c r="AI6410"/>
      <c r="AJ6410"/>
      <c r="AK6410"/>
      <c r="AL6410"/>
      <c r="AM6410"/>
      <c r="AN6410"/>
    </row>
    <row r="6411" spans="1:40" s="47" customFormat="1">
      <c r="A6411" s="121"/>
      <c r="B6411" s="121"/>
      <c r="C6411" s="121"/>
      <c r="D6411" s="121"/>
      <c r="E6411" s="121"/>
      <c r="F6411" s="121"/>
      <c r="G6411" s="121"/>
      <c r="H6411" s="121"/>
      <c r="I6411" s="121"/>
      <c r="J6411" s="121"/>
      <c r="K6411" s="121"/>
      <c r="L6411" s="121"/>
      <c r="M6411" s="121"/>
      <c r="N6411" s="504" t="s">
        <v>69</v>
      </c>
      <c r="O6411" s="527" t="s">
        <v>2820</v>
      </c>
      <c r="P6411" s="257"/>
      <c r="Q6411" s="321"/>
      <c r="R6411" s="260"/>
      <c r="S6411" s="260"/>
      <c r="T6411" s="260"/>
      <c r="U6411" s="260"/>
      <c r="V6411" s="262"/>
      <c r="W6411" s="548">
        <f t="shared" si="31"/>
        <v>0</v>
      </c>
      <c r="X6411" s="262"/>
      <c r="Y6411" s="260"/>
      <c r="Z6411" s="548">
        <f t="shared" si="32"/>
        <v>0</v>
      </c>
      <c r="AA6411" s="262"/>
      <c r="AB6411" s="262"/>
      <c r="AC6411" s="548">
        <f t="shared" si="33"/>
        <v>0</v>
      </c>
      <c r="AD6411"/>
      <c r="AE6411"/>
      <c r="AF6411"/>
      <c r="AG6411"/>
      <c r="AH6411"/>
      <c r="AI6411"/>
      <c r="AJ6411"/>
      <c r="AK6411"/>
      <c r="AL6411"/>
      <c r="AM6411"/>
      <c r="AN6411"/>
    </row>
    <row r="6412" spans="1:40" s="47" customFormat="1">
      <c r="A6412" s="121"/>
      <c r="B6412" s="121"/>
      <c r="C6412" s="121"/>
      <c r="D6412" s="121"/>
      <c r="E6412" s="121"/>
      <c r="F6412" s="121"/>
      <c r="G6412" s="121"/>
      <c r="H6412" s="121"/>
      <c r="I6412" s="121"/>
      <c r="J6412" s="121"/>
      <c r="K6412" s="121"/>
      <c r="L6412" s="121"/>
      <c r="M6412" s="121"/>
      <c r="N6412" s="504" t="s">
        <v>72</v>
      </c>
      <c r="O6412" s="527" t="s">
        <v>2471</v>
      </c>
      <c r="P6412" s="257"/>
      <c r="Q6412" s="321"/>
      <c r="R6412" s="260"/>
      <c r="S6412" s="260"/>
      <c r="T6412" s="260"/>
      <c r="U6412" s="260"/>
      <c r="V6412" s="262"/>
      <c r="W6412" s="548">
        <f t="shared" si="31"/>
        <v>0</v>
      </c>
      <c r="X6412" s="262"/>
      <c r="Y6412" s="260"/>
      <c r="Z6412" s="548">
        <f t="shared" si="32"/>
        <v>0</v>
      </c>
      <c r="AA6412" s="262"/>
      <c r="AB6412" s="262"/>
      <c r="AC6412" s="548">
        <f t="shared" si="33"/>
        <v>0</v>
      </c>
      <c r="AD6412"/>
      <c r="AE6412"/>
      <c r="AF6412"/>
      <c r="AG6412"/>
      <c r="AH6412"/>
      <c r="AI6412"/>
      <c r="AJ6412"/>
      <c r="AK6412"/>
      <c r="AL6412"/>
      <c r="AM6412"/>
      <c r="AN6412"/>
    </row>
    <row r="6413" spans="1:40" s="47" customFormat="1">
      <c r="A6413" s="121"/>
      <c r="B6413" s="121"/>
      <c r="C6413" s="121"/>
      <c r="D6413" s="121"/>
      <c r="E6413" s="121"/>
      <c r="F6413" s="121"/>
      <c r="G6413" s="121"/>
      <c r="H6413" s="121"/>
      <c r="I6413" s="121"/>
      <c r="J6413" s="121"/>
      <c r="K6413" s="121"/>
      <c r="L6413" s="121"/>
      <c r="M6413" s="121"/>
      <c r="N6413" s="504" t="s">
        <v>2821</v>
      </c>
      <c r="O6413" s="527" t="s">
        <v>2822</v>
      </c>
      <c r="P6413" s="257"/>
      <c r="Q6413" s="321"/>
      <c r="R6413" s="260"/>
      <c r="S6413" s="260"/>
      <c r="T6413" s="260"/>
      <c r="U6413" s="260"/>
      <c r="V6413" s="262"/>
      <c r="W6413" s="548">
        <f t="shared" si="31"/>
        <v>0</v>
      </c>
      <c r="X6413" s="262"/>
      <c r="Y6413" s="260"/>
      <c r="Z6413" s="548">
        <f t="shared" si="32"/>
        <v>0</v>
      </c>
      <c r="AA6413" s="262"/>
      <c r="AB6413" s="262"/>
      <c r="AC6413" s="548">
        <f t="shared" si="33"/>
        <v>0</v>
      </c>
      <c r="AD6413"/>
      <c r="AE6413"/>
      <c r="AF6413"/>
      <c r="AG6413"/>
      <c r="AH6413"/>
      <c r="AI6413"/>
      <c r="AJ6413"/>
      <c r="AK6413"/>
      <c r="AL6413"/>
      <c r="AM6413"/>
      <c r="AN6413"/>
    </row>
    <row r="6414" spans="1:40" s="47" customFormat="1">
      <c r="A6414" s="121"/>
      <c r="B6414" s="121"/>
      <c r="C6414" s="121"/>
      <c r="D6414" s="121"/>
      <c r="E6414" s="121"/>
      <c r="F6414" s="121"/>
      <c r="G6414" s="121"/>
      <c r="H6414" s="121"/>
      <c r="I6414" s="121"/>
      <c r="J6414" s="121"/>
      <c r="K6414" s="121"/>
      <c r="L6414" s="121"/>
      <c r="M6414" s="121"/>
      <c r="N6414" s="504" t="s">
        <v>888</v>
      </c>
      <c r="O6414" s="528" t="s">
        <v>2823</v>
      </c>
      <c r="P6414" s="257"/>
      <c r="Q6414" s="321"/>
      <c r="R6414" s="260"/>
      <c r="S6414" s="260"/>
      <c r="T6414" s="260"/>
      <c r="U6414" s="260"/>
      <c r="V6414" s="262"/>
      <c r="W6414" s="548">
        <f t="shared" si="31"/>
        <v>0</v>
      </c>
      <c r="X6414" s="262"/>
      <c r="Y6414" s="260"/>
      <c r="Z6414" s="548">
        <f t="shared" si="32"/>
        <v>0</v>
      </c>
      <c r="AA6414" s="262"/>
      <c r="AB6414" s="262"/>
      <c r="AC6414" s="548">
        <f t="shared" si="33"/>
        <v>0</v>
      </c>
      <c r="AD6414"/>
      <c r="AE6414"/>
      <c r="AF6414"/>
      <c r="AG6414"/>
      <c r="AH6414"/>
      <c r="AI6414"/>
      <c r="AJ6414"/>
      <c r="AK6414"/>
      <c r="AL6414"/>
      <c r="AM6414"/>
      <c r="AN6414"/>
    </row>
    <row r="6415" spans="1:40" s="47" customFormat="1">
      <c r="A6415" s="121"/>
      <c r="B6415" s="121"/>
      <c r="C6415" s="121"/>
      <c r="D6415" s="121"/>
      <c r="E6415" s="121"/>
      <c r="F6415" s="121"/>
      <c r="G6415" s="121"/>
      <c r="H6415" s="121"/>
      <c r="I6415" s="121"/>
      <c r="J6415" s="121"/>
      <c r="K6415" s="121"/>
      <c r="L6415" s="121"/>
      <c r="M6415" s="121"/>
      <c r="N6415" s="504" t="s">
        <v>889</v>
      </c>
      <c r="O6415" s="528" t="s">
        <v>2824</v>
      </c>
      <c r="P6415" s="257"/>
      <c r="Q6415" s="321"/>
      <c r="R6415" s="260"/>
      <c r="S6415" s="260"/>
      <c r="T6415" s="260"/>
      <c r="U6415" s="260"/>
      <c r="V6415" s="262"/>
      <c r="W6415" s="548">
        <f t="shared" si="31"/>
        <v>0</v>
      </c>
      <c r="X6415" s="262"/>
      <c r="Y6415" s="260"/>
      <c r="Z6415" s="548">
        <f t="shared" si="32"/>
        <v>0</v>
      </c>
      <c r="AA6415" s="262"/>
      <c r="AB6415" s="262"/>
      <c r="AC6415" s="548">
        <f t="shared" si="33"/>
        <v>0</v>
      </c>
      <c r="AD6415"/>
      <c r="AE6415"/>
      <c r="AF6415"/>
      <c r="AG6415"/>
      <c r="AH6415"/>
      <c r="AI6415"/>
      <c r="AJ6415"/>
      <c r="AK6415"/>
      <c r="AL6415"/>
      <c r="AM6415"/>
      <c r="AN6415"/>
    </row>
    <row r="6416" spans="1:40" s="47" customFormat="1">
      <c r="A6416" s="121"/>
      <c r="B6416" s="121"/>
      <c r="C6416" s="121"/>
      <c r="D6416" s="121"/>
      <c r="E6416" s="121"/>
      <c r="F6416" s="121"/>
      <c r="G6416" s="121"/>
      <c r="H6416" s="121"/>
      <c r="I6416" s="121"/>
      <c r="J6416" s="121"/>
      <c r="K6416" s="121"/>
      <c r="L6416" s="121"/>
      <c r="M6416" s="121"/>
      <c r="N6416" s="504" t="s">
        <v>890</v>
      </c>
      <c r="O6416" s="528" t="s">
        <v>2825</v>
      </c>
      <c r="P6416" s="257"/>
      <c r="Q6416" s="321"/>
      <c r="R6416" s="260"/>
      <c r="S6416" s="260"/>
      <c r="T6416" s="260"/>
      <c r="U6416" s="260"/>
      <c r="V6416" s="262"/>
      <c r="W6416" s="548">
        <f t="shared" si="31"/>
        <v>0</v>
      </c>
      <c r="X6416" s="262"/>
      <c r="Y6416" s="260"/>
      <c r="Z6416" s="548">
        <f t="shared" si="32"/>
        <v>0</v>
      </c>
      <c r="AA6416" s="262"/>
      <c r="AB6416" s="262"/>
      <c r="AC6416" s="548">
        <f t="shared" si="33"/>
        <v>0</v>
      </c>
      <c r="AD6416"/>
      <c r="AE6416"/>
      <c r="AF6416"/>
      <c r="AG6416"/>
      <c r="AH6416"/>
      <c r="AI6416"/>
      <c r="AJ6416"/>
      <c r="AK6416"/>
      <c r="AL6416"/>
      <c r="AM6416"/>
      <c r="AN6416"/>
    </row>
    <row r="6417" spans="1:40" s="47" customFormat="1">
      <c r="A6417" s="121"/>
      <c r="B6417" s="121"/>
      <c r="C6417" s="121"/>
      <c r="D6417" s="121"/>
      <c r="E6417" s="121"/>
      <c r="F6417" s="121"/>
      <c r="G6417" s="121"/>
      <c r="H6417" s="121"/>
      <c r="I6417" s="121"/>
      <c r="J6417" s="121"/>
      <c r="K6417" s="121"/>
      <c r="L6417" s="121"/>
      <c r="M6417" s="121"/>
      <c r="N6417" s="504" t="s">
        <v>2826</v>
      </c>
      <c r="O6417" s="527" t="s">
        <v>2827</v>
      </c>
      <c r="P6417" s="257"/>
      <c r="Q6417" s="321"/>
      <c r="R6417" s="260"/>
      <c r="S6417" s="260"/>
      <c r="T6417" s="260"/>
      <c r="U6417" s="260"/>
      <c r="V6417" s="262"/>
      <c r="W6417" s="548">
        <f t="shared" si="31"/>
        <v>0</v>
      </c>
      <c r="X6417" s="262"/>
      <c r="Y6417" s="260"/>
      <c r="Z6417" s="548">
        <f t="shared" si="32"/>
        <v>0</v>
      </c>
      <c r="AA6417" s="262"/>
      <c r="AB6417" s="262"/>
      <c r="AC6417" s="548">
        <f t="shared" si="33"/>
        <v>0</v>
      </c>
      <c r="AD6417"/>
      <c r="AE6417"/>
      <c r="AF6417"/>
      <c r="AG6417"/>
      <c r="AH6417"/>
      <c r="AI6417"/>
      <c r="AJ6417"/>
      <c r="AK6417"/>
      <c r="AL6417"/>
      <c r="AM6417"/>
      <c r="AN6417"/>
    </row>
    <row r="6418" spans="1:40" s="47" customFormat="1">
      <c r="A6418" s="121"/>
      <c r="B6418" s="121"/>
      <c r="C6418" s="121"/>
      <c r="D6418" s="121"/>
      <c r="E6418" s="121"/>
      <c r="F6418" s="121"/>
      <c r="G6418" s="121"/>
      <c r="H6418" s="121"/>
      <c r="I6418" s="121"/>
      <c r="J6418" s="121"/>
      <c r="K6418" s="121"/>
      <c r="L6418" s="121"/>
      <c r="M6418" s="121"/>
      <c r="N6418" s="504" t="s">
        <v>2828</v>
      </c>
      <c r="O6418" s="527" t="s">
        <v>2829</v>
      </c>
      <c r="P6418" s="257"/>
      <c r="Q6418" s="321"/>
      <c r="R6418" s="260"/>
      <c r="S6418" s="260"/>
      <c r="T6418" s="260"/>
      <c r="U6418" s="260"/>
      <c r="V6418" s="262"/>
      <c r="W6418" s="548">
        <f t="shared" si="31"/>
        <v>0</v>
      </c>
      <c r="X6418" s="262"/>
      <c r="Y6418" s="260"/>
      <c r="Z6418" s="548">
        <f t="shared" si="32"/>
        <v>0</v>
      </c>
      <c r="AA6418" s="262"/>
      <c r="AB6418" s="262"/>
      <c r="AC6418" s="548">
        <f t="shared" si="33"/>
        <v>0</v>
      </c>
      <c r="AD6418"/>
      <c r="AE6418"/>
      <c r="AF6418"/>
      <c r="AG6418"/>
      <c r="AH6418"/>
      <c r="AI6418"/>
      <c r="AJ6418"/>
      <c r="AK6418"/>
      <c r="AL6418"/>
      <c r="AM6418"/>
      <c r="AN6418"/>
    </row>
    <row r="6419" spans="1:40" s="47" customFormat="1">
      <c r="A6419" s="121"/>
      <c r="B6419" s="121"/>
      <c r="C6419" s="121"/>
      <c r="D6419" s="121"/>
      <c r="E6419" s="121"/>
      <c r="F6419" s="121"/>
      <c r="G6419" s="121"/>
      <c r="H6419" s="121"/>
      <c r="I6419" s="121"/>
      <c r="J6419" s="121"/>
      <c r="K6419" s="121"/>
      <c r="L6419" s="121"/>
      <c r="M6419" s="121"/>
      <c r="N6419" s="504" t="s">
        <v>2830</v>
      </c>
      <c r="O6419" s="527" t="s">
        <v>2831</v>
      </c>
      <c r="P6419" s="257"/>
      <c r="Q6419" s="321"/>
      <c r="R6419" s="260"/>
      <c r="S6419" s="260"/>
      <c r="T6419" s="260"/>
      <c r="U6419" s="260"/>
      <c r="V6419" s="262"/>
      <c r="W6419" s="548">
        <f t="shared" si="31"/>
        <v>0</v>
      </c>
      <c r="X6419" s="262"/>
      <c r="Y6419" s="260"/>
      <c r="Z6419" s="548">
        <f t="shared" si="32"/>
        <v>0</v>
      </c>
      <c r="AA6419" s="262"/>
      <c r="AB6419" s="262"/>
      <c r="AC6419" s="548">
        <f t="shared" si="33"/>
        <v>0</v>
      </c>
      <c r="AD6419"/>
      <c r="AE6419"/>
      <c r="AF6419"/>
      <c r="AG6419"/>
      <c r="AH6419"/>
      <c r="AI6419"/>
      <c r="AJ6419"/>
      <c r="AK6419"/>
      <c r="AL6419"/>
      <c r="AM6419"/>
      <c r="AN6419"/>
    </row>
    <row r="6420" spans="1:40" s="47" customFormat="1">
      <c r="A6420" s="121"/>
      <c r="B6420" s="121"/>
      <c r="C6420" s="121"/>
      <c r="D6420" s="121"/>
      <c r="E6420" s="121"/>
      <c r="F6420" s="121"/>
      <c r="G6420" s="121"/>
      <c r="H6420" s="121"/>
      <c r="I6420" s="121"/>
      <c r="J6420" s="121"/>
      <c r="K6420" s="121"/>
      <c r="L6420" s="121"/>
      <c r="M6420" s="121"/>
      <c r="N6420" s="222"/>
      <c r="O6420" s="529"/>
      <c r="P6420" s="255"/>
      <c r="Q6420" s="321"/>
      <c r="R6420" s="260"/>
      <c r="S6420" s="260"/>
      <c r="T6420" s="260"/>
      <c r="U6420" s="260"/>
      <c r="V6420" s="260"/>
      <c r="W6420" s="260"/>
      <c r="X6420" s="260"/>
      <c r="Y6420" s="260"/>
      <c r="Z6420" s="260"/>
      <c r="AA6420" s="260"/>
      <c r="AB6420" s="260"/>
      <c r="AC6420" s="260"/>
      <c r="AD6420"/>
      <c r="AE6420"/>
      <c r="AF6420"/>
      <c r="AG6420"/>
      <c r="AH6420"/>
      <c r="AI6420"/>
      <c r="AJ6420"/>
      <c r="AK6420"/>
      <c r="AL6420"/>
      <c r="AM6420"/>
      <c r="AN6420"/>
    </row>
    <row r="6421" spans="1:40" s="47" customFormat="1">
      <c r="A6421" s="121"/>
      <c r="B6421" s="121"/>
      <c r="C6421" s="121"/>
      <c r="D6421" s="121"/>
      <c r="E6421" s="121"/>
      <c r="F6421" s="121"/>
      <c r="G6421" s="121"/>
      <c r="H6421" s="121"/>
      <c r="I6421" s="121"/>
      <c r="J6421" s="121"/>
      <c r="K6421" s="121"/>
      <c r="L6421" s="121"/>
      <c r="M6421" s="121"/>
      <c r="N6421" s="222"/>
      <c r="O6421" s="529"/>
      <c r="P6421" s="255"/>
      <c r="Q6421" s="321"/>
      <c r="R6421" s="260"/>
      <c r="S6421" s="260"/>
      <c r="T6421" s="260"/>
      <c r="U6421" s="260"/>
      <c r="V6421" s="260"/>
      <c r="W6421" s="260"/>
      <c r="X6421" s="260"/>
      <c r="Y6421" s="260"/>
      <c r="Z6421" s="260"/>
      <c r="AA6421" s="260"/>
      <c r="AB6421" s="260"/>
      <c r="AC6421" s="260"/>
      <c r="AD6421"/>
      <c r="AE6421"/>
      <c r="AF6421"/>
      <c r="AG6421"/>
      <c r="AH6421"/>
      <c r="AI6421"/>
      <c r="AJ6421"/>
      <c r="AK6421"/>
      <c r="AL6421"/>
      <c r="AM6421"/>
      <c r="AN6421"/>
    </row>
    <row r="6422" spans="1:40" s="47" customFormat="1">
      <c r="A6422" s="121"/>
      <c r="B6422" s="121"/>
      <c r="C6422" s="121"/>
      <c r="D6422" s="121"/>
      <c r="E6422" s="121"/>
      <c r="F6422" s="121"/>
      <c r="G6422" s="121"/>
      <c r="H6422" s="121"/>
      <c r="I6422" s="121"/>
      <c r="J6422" s="121"/>
      <c r="K6422" s="121"/>
      <c r="L6422" s="121"/>
      <c r="M6422" s="121"/>
      <c r="N6422" s="222"/>
      <c r="O6422" s="529"/>
      <c r="P6422" s="255"/>
      <c r="Q6422" s="321"/>
      <c r="R6422" s="260"/>
      <c r="S6422" s="260"/>
      <c r="T6422" s="260"/>
      <c r="U6422" s="260"/>
      <c r="V6422" s="260"/>
      <c r="W6422" s="260"/>
      <c r="X6422" s="260"/>
      <c r="Y6422" s="260"/>
      <c r="Z6422" s="260"/>
      <c r="AA6422" s="260"/>
      <c r="AB6422" s="260"/>
      <c r="AC6422" s="260"/>
      <c r="AD6422"/>
      <c r="AE6422"/>
      <c r="AF6422"/>
      <c r="AG6422"/>
      <c r="AH6422"/>
      <c r="AI6422"/>
      <c r="AJ6422"/>
      <c r="AK6422"/>
      <c r="AL6422"/>
      <c r="AM6422"/>
      <c r="AN6422"/>
    </row>
    <row r="6423" spans="1:40" s="47" customFormat="1">
      <c r="A6423" s="121"/>
      <c r="B6423" s="121"/>
      <c r="C6423" s="121"/>
      <c r="D6423" s="121"/>
      <c r="E6423" s="121"/>
      <c r="F6423" s="121"/>
      <c r="G6423" s="121"/>
      <c r="H6423" s="121"/>
      <c r="I6423" s="121"/>
      <c r="J6423" s="121"/>
      <c r="K6423" s="121"/>
      <c r="L6423" s="121"/>
      <c r="M6423" s="121"/>
      <c r="N6423" s="222" t="s">
        <v>2832</v>
      </c>
      <c r="O6423" s="533" t="s">
        <v>1832</v>
      </c>
      <c r="P6423" s="257"/>
      <c r="Q6423" s="321"/>
      <c r="R6423" s="260"/>
      <c r="S6423" s="260"/>
      <c r="T6423" s="260"/>
      <c r="U6423" s="260"/>
      <c r="V6423" s="262"/>
      <c r="W6423" s="548">
        <f>U6423+V6423</f>
        <v>0</v>
      </c>
      <c r="X6423" s="262"/>
      <c r="Y6423" s="260"/>
      <c r="Z6423" s="548">
        <f>X6423+Y6423</f>
        <v>0</v>
      </c>
      <c r="AA6423" s="262"/>
      <c r="AB6423" s="262"/>
      <c r="AC6423" s="548">
        <f>AA6423+AB6423</f>
        <v>0</v>
      </c>
      <c r="AD6423"/>
      <c r="AE6423"/>
      <c r="AF6423"/>
      <c r="AG6423"/>
      <c r="AH6423"/>
      <c r="AI6423"/>
      <c r="AJ6423"/>
      <c r="AK6423"/>
      <c r="AL6423"/>
      <c r="AM6423"/>
      <c r="AN6423"/>
    </row>
    <row r="6424" spans="1:40" s="47" customFormat="1">
      <c r="A6424" s="121"/>
      <c r="B6424" s="121"/>
      <c r="C6424" s="121"/>
      <c r="D6424" s="121"/>
      <c r="E6424" s="121"/>
      <c r="F6424" s="121"/>
      <c r="G6424" s="121"/>
      <c r="H6424" s="121"/>
      <c r="I6424" s="121"/>
      <c r="J6424" s="121"/>
      <c r="K6424" s="121"/>
      <c r="L6424" s="121"/>
      <c r="M6424" s="121"/>
      <c r="N6424" s="222"/>
      <c r="O6424" s="529"/>
      <c r="P6424" s="255"/>
      <c r="Q6424" s="321"/>
      <c r="R6424" s="260"/>
      <c r="S6424" s="260"/>
      <c r="T6424" s="260"/>
      <c r="U6424" s="260"/>
      <c r="V6424" s="260"/>
      <c r="W6424" s="260"/>
      <c r="X6424" s="260"/>
      <c r="Y6424" s="260"/>
      <c r="Z6424" s="260"/>
      <c r="AA6424" s="260"/>
      <c r="AB6424" s="260"/>
      <c r="AC6424" s="260"/>
      <c r="AD6424"/>
      <c r="AE6424"/>
      <c r="AF6424"/>
      <c r="AG6424"/>
      <c r="AH6424"/>
      <c r="AI6424"/>
      <c r="AJ6424"/>
      <c r="AK6424"/>
      <c r="AL6424"/>
      <c r="AM6424"/>
      <c r="AN6424"/>
    </row>
    <row r="6425" spans="1:40" s="47" customFormat="1">
      <c r="A6425" s="121"/>
      <c r="B6425" s="121"/>
      <c r="C6425" s="121"/>
      <c r="D6425" s="121"/>
      <c r="E6425" s="121"/>
      <c r="F6425" s="121"/>
      <c r="G6425" s="121"/>
      <c r="H6425" s="121"/>
      <c r="I6425" s="121"/>
      <c r="J6425" s="121"/>
      <c r="K6425" s="121"/>
      <c r="L6425" s="121"/>
      <c r="M6425" s="121"/>
      <c r="N6425" s="222"/>
      <c r="O6425" s="529"/>
      <c r="P6425" s="260"/>
      <c r="Q6425" s="321"/>
      <c r="R6425" s="260"/>
      <c r="S6425" s="260"/>
      <c r="T6425" s="260"/>
      <c r="U6425" s="260"/>
      <c r="V6425" s="260"/>
      <c r="W6425" s="260"/>
      <c r="X6425" s="260"/>
      <c r="Y6425" s="260"/>
      <c r="Z6425" s="260"/>
      <c r="AA6425" s="260"/>
      <c r="AB6425" s="260"/>
      <c r="AC6425" s="260"/>
      <c r="AD6425"/>
      <c r="AE6425"/>
      <c r="AF6425"/>
      <c r="AG6425"/>
      <c r="AH6425"/>
      <c r="AI6425"/>
      <c r="AJ6425"/>
      <c r="AK6425"/>
      <c r="AL6425"/>
      <c r="AM6425"/>
      <c r="AN6425"/>
    </row>
    <row r="6426" spans="1:40" s="47" customFormat="1">
      <c r="A6426" s="121"/>
      <c r="B6426" s="121"/>
      <c r="C6426" s="121"/>
      <c r="D6426" s="121"/>
      <c r="E6426" s="121"/>
      <c r="F6426" s="121"/>
      <c r="G6426" s="121"/>
      <c r="H6426" s="121"/>
      <c r="I6426" s="121"/>
      <c r="J6426" s="121"/>
      <c r="K6426" s="121"/>
      <c r="L6426" s="121"/>
      <c r="M6426" s="121"/>
      <c r="N6426" s="222"/>
      <c r="O6426" s="563"/>
      <c r="P6426" s="260"/>
      <c r="Q6426" s="321"/>
      <c r="R6426" s="260"/>
      <c r="S6426" s="260"/>
      <c r="T6426" s="260"/>
      <c r="U6426" s="260"/>
      <c r="V6426" s="260"/>
      <c r="W6426" s="260"/>
      <c r="X6426" s="260"/>
      <c r="Y6426" s="260"/>
      <c r="Z6426" s="260"/>
      <c r="AA6426" s="260"/>
      <c r="AB6426" s="260"/>
      <c r="AC6426" s="260"/>
      <c r="AD6426"/>
      <c r="AE6426"/>
      <c r="AF6426"/>
      <c r="AG6426"/>
      <c r="AH6426"/>
      <c r="AI6426"/>
      <c r="AJ6426"/>
      <c r="AK6426"/>
      <c r="AL6426"/>
      <c r="AM6426"/>
      <c r="AN6426"/>
    </row>
    <row r="6427" spans="1:40" s="47" customFormat="1">
      <c r="A6427" s="121"/>
      <c r="B6427" s="121"/>
      <c r="C6427" s="121"/>
      <c r="D6427" s="121"/>
      <c r="E6427" s="121"/>
      <c r="F6427" s="121"/>
      <c r="G6427" s="121"/>
      <c r="H6427" s="121"/>
      <c r="I6427" s="121"/>
      <c r="J6427" s="121"/>
      <c r="K6427" s="121"/>
      <c r="L6427" s="121"/>
      <c r="M6427" s="121"/>
      <c r="N6427" s="222"/>
      <c r="O6427" s="563"/>
      <c r="P6427" s="260"/>
      <c r="Q6427" s="321"/>
      <c r="R6427" s="260"/>
      <c r="S6427" s="260"/>
      <c r="T6427" s="260"/>
      <c r="U6427" s="260"/>
      <c r="V6427" s="260"/>
      <c r="W6427" s="260"/>
      <c r="X6427" s="260"/>
      <c r="Y6427" s="260"/>
      <c r="Z6427" s="260"/>
      <c r="AA6427" s="260"/>
      <c r="AB6427" s="260"/>
      <c r="AC6427" s="260"/>
      <c r="AD6427"/>
      <c r="AE6427"/>
      <c r="AF6427"/>
      <c r="AG6427"/>
      <c r="AH6427"/>
      <c r="AI6427"/>
      <c r="AJ6427"/>
      <c r="AK6427"/>
      <c r="AL6427"/>
      <c r="AM6427"/>
      <c r="AN6427"/>
    </row>
    <row r="6428" spans="1:40" s="47" customFormat="1">
      <c r="A6428" s="121"/>
      <c r="B6428" s="121"/>
      <c r="C6428" s="121"/>
      <c r="D6428" s="121"/>
      <c r="E6428" s="121"/>
      <c r="F6428" s="121"/>
      <c r="G6428" s="121"/>
      <c r="H6428" s="121"/>
      <c r="I6428" s="121"/>
      <c r="J6428" s="121"/>
      <c r="K6428" s="121"/>
      <c r="L6428" s="121"/>
      <c r="M6428" s="121"/>
      <c r="N6428" s="222"/>
      <c r="O6428" s="563"/>
      <c r="P6428" s="260"/>
      <c r="Q6428" s="321"/>
      <c r="R6428" s="260"/>
      <c r="S6428" s="260"/>
      <c r="T6428" s="260"/>
      <c r="U6428" s="260"/>
      <c r="V6428" s="260"/>
      <c r="W6428" s="260"/>
      <c r="X6428" s="260"/>
      <c r="Y6428" s="260"/>
      <c r="Z6428" s="260"/>
      <c r="AA6428" s="260"/>
      <c r="AB6428" s="260"/>
      <c r="AC6428" s="260"/>
      <c r="AD6428"/>
      <c r="AE6428"/>
      <c r="AF6428"/>
      <c r="AG6428"/>
      <c r="AH6428"/>
      <c r="AI6428"/>
      <c r="AJ6428"/>
      <c r="AK6428"/>
      <c r="AL6428"/>
      <c r="AM6428"/>
      <c r="AN6428"/>
    </row>
    <row r="6429" spans="1:40" s="47" customFormat="1">
      <c r="A6429" s="121"/>
      <c r="B6429" s="121"/>
      <c r="C6429" s="121"/>
      <c r="D6429" s="121"/>
      <c r="E6429" s="121"/>
      <c r="F6429" s="121"/>
      <c r="G6429" s="121"/>
      <c r="H6429" s="121"/>
      <c r="I6429" s="121"/>
      <c r="J6429" s="121"/>
      <c r="K6429" s="121"/>
      <c r="L6429" s="121"/>
      <c r="M6429" s="121"/>
      <c r="N6429" s="222" t="s">
        <v>2835</v>
      </c>
      <c r="O6429" s="533" t="s">
        <v>1838</v>
      </c>
      <c r="P6429" s="257"/>
      <c r="Q6429" s="321"/>
      <c r="R6429" s="260"/>
      <c r="S6429" s="260"/>
      <c r="T6429" s="260"/>
      <c r="U6429" s="260"/>
      <c r="V6429" s="262"/>
      <c r="W6429" s="548">
        <f>U6429+V6429</f>
        <v>0</v>
      </c>
      <c r="X6429" s="262"/>
      <c r="Y6429" s="260"/>
      <c r="Z6429" s="548">
        <f>X6429+Y6429</f>
        <v>0</v>
      </c>
      <c r="AA6429" s="262"/>
      <c r="AB6429" s="262"/>
      <c r="AC6429" s="548">
        <f>AA6429+AB6429</f>
        <v>0</v>
      </c>
      <c r="AD6429"/>
      <c r="AE6429"/>
      <c r="AF6429"/>
      <c r="AG6429"/>
      <c r="AH6429"/>
      <c r="AI6429"/>
      <c r="AJ6429"/>
      <c r="AK6429"/>
      <c r="AL6429"/>
      <c r="AM6429"/>
      <c r="AN6429"/>
    </row>
    <row r="6430" spans="1:40" s="47" customFormat="1">
      <c r="A6430" s="121"/>
      <c r="B6430" s="121"/>
      <c r="C6430" s="121"/>
      <c r="D6430" s="121"/>
      <c r="E6430" s="121"/>
      <c r="F6430" s="121"/>
      <c r="G6430" s="121"/>
      <c r="H6430" s="121"/>
      <c r="I6430" s="121"/>
      <c r="J6430" s="121"/>
      <c r="K6430" s="121"/>
      <c r="L6430" s="121"/>
      <c r="M6430" s="121"/>
      <c r="N6430" s="222"/>
      <c r="O6430" s="529"/>
      <c r="P6430" s="255"/>
      <c r="Q6430" s="321"/>
      <c r="R6430" s="260"/>
      <c r="S6430" s="260"/>
      <c r="T6430" s="260"/>
      <c r="U6430" s="260"/>
      <c r="V6430" s="260"/>
      <c r="W6430" s="260"/>
      <c r="X6430" s="260"/>
      <c r="Y6430" s="260"/>
      <c r="Z6430" s="260"/>
      <c r="AA6430" s="260"/>
      <c r="AB6430" s="260"/>
      <c r="AC6430" s="260"/>
      <c r="AD6430"/>
      <c r="AE6430"/>
      <c r="AF6430"/>
      <c r="AG6430"/>
      <c r="AH6430"/>
      <c r="AI6430"/>
      <c r="AJ6430"/>
      <c r="AK6430"/>
      <c r="AL6430"/>
      <c r="AM6430"/>
      <c r="AN6430"/>
    </row>
    <row r="6431" spans="1:40" s="47" customFormat="1">
      <c r="A6431" s="121"/>
      <c r="B6431" s="121"/>
      <c r="C6431" s="121"/>
      <c r="D6431" s="121"/>
      <c r="E6431" s="121"/>
      <c r="F6431" s="121"/>
      <c r="G6431" s="121"/>
      <c r="H6431" s="121"/>
      <c r="I6431" s="121"/>
      <c r="J6431" s="121"/>
      <c r="K6431" s="121"/>
      <c r="L6431" s="121"/>
      <c r="M6431" s="121"/>
      <c r="N6431" s="222"/>
      <c r="O6431" s="529"/>
      <c r="P6431" s="255"/>
      <c r="Q6431" s="321"/>
      <c r="R6431" s="260"/>
      <c r="S6431" s="260"/>
      <c r="T6431" s="260"/>
      <c r="U6431" s="260"/>
      <c r="V6431" s="260"/>
      <c r="W6431" s="260"/>
      <c r="X6431" s="260"/>
      <c r="Y6431" s="260"/>
      <c r="Z6431" s="260"/>
      <c r="AA6431" s="260"/>
      <c r="AB6431" s="260"/>
      <c r="AC6431" s="260"/>
      <c r="AD6431"/>
      <c r="AE6431"/>
      <c r="AF6431"/>
      <c r="AG6431"/>
      <c r="AH6431"/>
      <c r="AI6431"/>
      <c r="AJ6431"/>
      <c r="AK6431"/>
      <c r="AL6431"/>
      <c r="AM6431"/>
      <c r="AN6431"/>
    </row>
    <row r="6432" spans="1:40" s="47" customFormat="1">
      <c r="A6432" s="121"/>
      <c r="B6432" s="121"/>
      <c r="C6432" s="121"/>
      <c r="D6432" s="121"/>
      <c r="E6432" s="121"/>
      <c r="F6432" s="121"/>
      <c r="G6432" s="121"/>
      <c r="H6432" s="121"/>
      <c r="I6432" s="121"/>
      <c r="J6432" s="121"/>
      <c r="K6432" s="121"/>
      <c r="L6432" s="121"/>
      <c r="M6432" s="121"/>
      <c r="N6432" s="222"/>
      <c r="O6432" s="529"/>
      <c r="P6432" s="255"/>
      <c r="Q6432" s="321"/>
      <c r="R6432" s="260"/>
      <c r="S6432" s="260"/>
      <c r="T6432" s="260"/>
      <c r="U6432" s="260"/>
      <c r="V6432" s="260"/>
      <c r="W6432" s="260"/>
      <c r="X6432" s="260"/>
      <c r="Y6432" s="260"/>
      <c r="Z6432" s="260"/>
      <c r="AA6432" s="260"/>
      <c r="AB6432" s="260"/>
      <c r="AC6432" s="260"/>
      <c r="AD6432"/>
      <c r="AE6432"/>
      <c r="AF6432"/>
      <c r="AG6432"/>
      <c r="AH6432"/>
      <c r="AI6432"/>
      <c r="AJ6432"/>
      <c r="AK6432"/>
      <c r="AL6432"/>
      <c r="AM6432"/>
      <c r="AN6432"/>
    </row>
    <row r="6433" spans="1:40" s="47" customFormat="1">
      <c r="A6433" s="121"/>
      <c r="B6433" s="121"/>
      <c r="C6433" s="121"/>
      <c r="D6433" s="121"/>
      <c r="E6433" s="121"/>
      <c r="F6433" s="121"/>
      <c r="G6433" s="121"/>
      <c r="H6433" s="121"/>
      <c r="I6433" s="121"/>
      <c r="J6433" s="121"/>
      <c r="K6433" s="121"/>
      <c r="L6433" s="121"/>
      <c r="M6433" s="121"/>
      <c r="N6433" s="222"/>
      <c r="O6433" s="529"/>
      <c r="P6433" s="255"/>
      <c r="Q6433" s="321"/>
      <c r="R6433" s="260"/>
      <c r="S6433" s="260"/>
      <c r="T6433" s="260"/>
      <c r="U6433" s="260"/>
      <c r="V6433" s="260"/>
      <c r="W6433" s="260"/>
      <c r="X6433" s="260"/>
      <c r="Y6433" s="260"/>
      <c r="Z6433" s="260"/>
      <c r="AA6433" s="260"/>
      <c r="AB6433" s="260"/>
      <c r="AC6433" s="260"/>
      <c r="AD6433"/>
      <c r="AE6433"/>
      <c r="AF6433"/>
      <c r="AG6433"/>
      <c r="AH6433"/>
      <c r="AI6433"/>
      <c r="AJ6433"/>
      <c r="AK6433"/>
      <c r="AL6433"/>
      <c r="AM6433"/>
      <c r="AN6433"/>
    </row>
    <row r="6434" spans="1:40" s="47" customFormat="1">
      <c r="A6434" s="121"/>
      <c r="B6434" s="121"/>
      <c r="C6434" s="121"/>
      <c r="D6434" s="121"/>
      <c r="E6434" s="121"/>
      <c r="F6434" s="121"/>
      <c r="G6434" s="121"/>
      <c r="H6434" s="121"/>
      <c r="I6434" s="121"/>
      <c r="J6434" s="121"/>
      <c r="K6434" s="121"/>
      <c r="L6434" s="121"/>
      <c r="M6434" s="121"/>
      <c r="N6434" s="222"/>
      <c r="O6434" s="529"/>
      <c r="P6434" s="255"/>
      <c r="Q6434" s="321"/>
      <c r="R6434" s="260"/>
      <c r="S6434" s="260"/>
      <c r="T6434" s="260"/>
      <c r="U6434" s="260"/>
      <c r="V6434" s="260"/>
      <c r="W6434" s="260"/>
      <c r="X6434" s="260"/>
      <c r="Y6434" s="260"/>
      <c r="Z6434" s="260"/>
      <c r="AA6434" s="260"/>
      <c r="AB6434" s="260"/>
      <c r="AC6434" s="260"/>
      <c r="AD6434"/>
      <c r="AE6434"/>
      <c r="AF6434"/>
      <c r="AG6434"/>
      <c r="AH6434"/>
      <c r="AI6434"/>
      <c r="AJ6434"/>
      <c r="AK6434"/>
      <c r="AL6434"/>
      <c r="AM6434"/>
      <c r="AN6434"/>
    </row>
    <row r="6435" spans="1:40" s="47" customFormat="1">
      <c r="A6435" s="121"/>
      <c r="B6435" s="121"/>
      <c r="C6435" s="121"/>
      <c r="D6435" s="121"/>
      <c r="E6435" s="121"/>
      <c r="F6435" s="121"/>
      <c r="G6435" s="121"/>
      <c r="H6435" s="121"/>
      <c r="I6435" s="121"/>
      <c r="J6435" s="121"/>
      <c r="K6435" s="121"/>
      <c r="L6435" s="121"/>
      <c r="M6435" s="121"/>
      <c r="N6435" s="222" t="s">
        <v>2838</v>
      </c>
      <c r="O6435" s="533" t="s">
        <v>1843</v>
      </c>
      <c r="P6435" s="257"/>
      <c r="Q6435" s="321"/>
      <c r="R6435" s="260"/>
      <c r="S6435" s="260"/>
      <c r="T6435" s="260"/>
      <c r="U6435" s="260"/>
      <c r="V6435" s="262"/>
      <c r="W6435" s="548">
        <f>U6435+V6435</f>
        <v>0</v>
      </c>
      <c r="X6435" s="262"/>
      <c r="Y6435" s="260"/>
      <c r="Z6435" s="548">
        <f>X6435+Y6435</f>
        <v>0</v>
      </c>
      <c r="AA6435" s="262"/>
      <c r="AB6435" s="262"/>
      <c r="AC6435" s="548">
        <f>AA6435+AB6435</f>
        <v>0</v>
      </c>
      <c r="AD6435"/>
      <c r="AE6435"/>
      <c r="AF6435"/>
      <c r="AG6435"/>
      <c r="AH6435"/>
      <c r="AI6435"/>
      <c r="AJ6435"/>
      <c r="AK6435"/>
      <c r="AL6435"/>
      <c r="AM6435"/>
      <c r="AN6435"/>
    </row>
    <row r="6436" spans="1:40" s="47" customFormat="1">
      <c r="A6436" s="121"/>
      <c r="B6436" s="121"/>
      <c r="C6436" s="121"/>
      <c r="D6436" s="121"/>
      <c r="E6436" s="121"/>
      <c r="F6436" s="121"/>
      <c r="G6436" s="121"/>
      <c r="H6436" s="121"/>
      <c r="I6436" s="121"/>
      <c r="J6436" s="121"/>
      <c r="K6436" s="121"/>
      <c r="L6436" s="121"/>
      <c r="M6436" s="121"/>
      <c r="N6436" s="222"/>
      <c r="O6436" s="529"/>
      <c r="P6436" s="255"/>
      <c r="Q6436" s="321"/>
      <c r="R6436" s="260"/>
      <c r="S6436" s="260"/>
      <c r="T6436" s="260"/>
      <c r="U6436" s="260"/>
      <c r="V6436" s="260"/>
      <c r="W6436" s="260"/>
      <c r="X6436" s="260"/>
      <c r="Y6436" s="260"/>
      <c r="Z6436" s="260"/>
      <c r="AA6436" s="260"/>
      <c r="AB6436" s="260"/>
      <c r="AC6436" s="260"/>
      <c r="AD6436"/>
      <c r="AE6436"/>
      <c r="AF6436"/>
      <c r="AG6436"/>
      <c r="AH6436"/>
      <c r="AI6436"/>
      <c r="AJ6436"/>
      <c r="AK6436"/>
      <c r="AL6436"/>
      <c r="AM6436"/>
      <c r="AN6436"/>
    </row>
    <row r="6437" spans="1:40" s="47" customFormat="1">
      <c r="A6437" s="121"/>
      <c r="B6437" s="121"/>
      <c r="C6437" s="121"/>
      <c r="D6437" s="121"/>
      <c r="E6437" s="121"/>
      <c r="F6437" s="121"/>
      <c r="G6437" s="121"/>
      <c r="H6437" s="121"/>
      <c r="I6437" s="121"/>
      <c r="J6437" s="121"/>
      <c r="K6437" s="121"/>
      <c r="L6437" s="121"/>
      <c r="M6437" s="121"/>
      <c r="N6437" s="222"/>
      <c r="O6437" s="529"/>
      <c r="P6437" s="255"/>
      <c r="Q6437" s="321"/>
      <c r="R6437" s="260"/>
      <c r="S6437" s="260"/>
      <c r="T6437" s="260"/>
      <c r="U6437" s="260"/>
      <c r="V6437" s="260"/>
      <c r="W6437" s="260"/>
      <c r="X6437" s="260"/>
      <c r="Y6437" s="260"/>
      <c r="Z6437" s="260"/>
      <c r="AA6437" s="260"/>
      <c r="AB6437" s="260"/>
      <c r="AC6437" s="260"/>
      <c r="AD6437"/>
      <c r="AE6437"/>
      <c r="AF6437"/>
      <c r="AG6437"/>
      <c r="AH6437"/>
      <c r="AI6437"/>
      <c r="AJ6437"/>
      <c r="AK6437"/>
      <c r="AL6437"/>
      <c r="AM6437"/>
      <c r="AN6437"/>
    </row>
    <row r="6438" spans="1:40" s="47" customFormat="1">
      <c r="A6438" s="121"/>
      <c r="B6438" s="121"/>
      <c r="C6438" s="121"/>
      <c r="D6438" s="121"/>
      <c r="E6438" s="121"/>
      <c r="F6438" s="121"/>
      <c r="G6438" s="121"/>
      <c r="H6438" s="121"/>
      <c r="I6438" s="121"/>
      <c r="J6438" s="121"/>
      <c r="K6438" s="121"/>
      <c r="L6438" s="121"/>
      <c r="M6438" s="121"/>
      <c r="N6438" s="222" t="s">
        <v>2841</v>
      </c>
      <c r="O6438" s="533" t="s">
        <v>1849</v>
      </c>
      <c r="P6438" s="257"/>
      <c r="Q6438" s="321"/>
      <c r="R6438" s="260"/>
      <c r="S6438" s="260"/>
      <c r="T6438" s="260"/>
      <c r="U6438" s="260"/>
      <c r="V6438" s="262"/>
      <c r="W6438" s="548">
        <f>U6438+V6438</f>
        <v>0</v>
      </c>
      <c r="X6438" s="262"/>
      <c r="Y6438" s="260"/>
      <c r="Z6438" s="548">
        <f>X6438+Y6438</f>
        <v>0</v>
      </c>
      <c r="AA6438" s="262"/>
      <c r="AB6438" s="262"/>
      <c r="AC6438" s="548">
        <f>AA6438+AB6438</f>
        <v>0</v>
      </c>
      <c r="AD6438"/>
      <c r="AE6438"/>
      <c r="AF6438"/>
      <c r="AG6438"/>
      <c r="AH6438"/>
      <c r="AI6438"/>
      <c r="AJ6438"/>
      <c r="AK6438"/>
      <c r="AL6438"/>
      <c r="AM6438"/>
      <c r="AN6438"/>
    </row>
    <row r="6439" spans="1:40" s="47" customFormat="1">
      <c r="A6439" s="121"/>
      <c r="B6439" s="121"/>
      <c r="C6439" s="121"/>
      <c r="D6439" s="121"/>
      <c r="E6439" s="121"/>
      <c r="F6439" s="121"/>
      <c r="G6439" s="121"/>
      <c r="H6439" s="121"/>
      <c r="I6439" s="121"/>
      <c r="J6439" s="121"/>
      <c r="K6439" s="121"/>
      <c r="L6439" s="121"/>
      <c r="M6439" s="121"/>
      <c r="N6439" s="222"/>
      <c r="O6439" s="529"/>
      <c r="P6439" s="255"/>
      <c r="Q6439" s="321"/>
      <c r="R6439" s="260"/>
      <c r="S6439" s="260"/>
      <c r="T6439" s="260"/>
      <c r="U6439" s="260"/>
      <c r="V6439" s="260"/>
      <c r="W6439" s="260"/>
      <c r="X6439" s="260"/>
      <c r="Y6439" s="260"/>
      <c r="Z6439" s="260"/>
      <c r="AA6439" s="260"/>
      <c r="AB6439" s="260"/>
      <c r="AC6439" s="260"/>
      <c r="AD6439"/>
      <c r="AE6439"/>
      <c r="AF6439"/>
      <c r="AG6439"/>
      <c r="AH6439"/>
      <c r="AI6439"/>
      <c r="AJ6439"/>
      <c r="AK6439"/>
      <c r="AL6439"/>
      <c r="AM6439"/>
      <c r="AN6439"/>
    </row>
    <row r="6440" spans="1:40" s="47" customFormat="1">
      <c r="A6440" s="121"/>
      <c r="B6440" s="121"/>
      <c r="C6440" s="121"/>
      <c r="D6440" s="121"/>
      <c r="E6440" s="121"/>
      <c r="F6440" s="121"/>
      <c r="G6440" s="121"/>
      <c r="H6440" s="121"/>
      <c r="I6440" s="121"/>
      <c r="J6440" s="121"/>
      <c r="K6440" s="121"/>
      <c r="L6440" s="121"/>
      <c r="M6440" s="121"/>
      <c r="N6440" s="222"/>
      <c r="O6440" s="529"/>
      <c r="P6440" s="255"/>
      <c r="Q6440" s="321"/>
      <c r="R6440" s="260"/>
      <c r="S6440" s="260"/>
      <c r="T6440" s="260"/>
      <c r="U6440" s="260"/>
      <c r="V6440" s="260"/>
      <c r="W6440" s="260"/>
      <c r="X6440" s="260"/>
      <c r="Y6440" s="260"/>
      <c r="Z6440" s="260"/>
      <c r="AA6440" s="260"/>
      <c r="AB6440" s="260"/>
      <c r="AC6440" s="260"/>
      <c r="AD6440"/>
      <c r="AE6440"/>
      <c r="AF6440"/>
      <c r="AG6440"/>
      <c r="AH6440"/>
      <c r="AI6440"/>
      <c r="AJ6440"/>
      <c r="AK6440"/>
      <c r="AL6440"/>
      <c r="AM6440"/>
      <c r="AN6440"/>
    </row>
    <row r="6441" spans="1:40" s="47" customFormat="1" ht="22.5">
      <c r="A6441" s="121"/>
      <c r="B6441" s="121"/>
      <c r="C6441" s="121"/>
      <c r="D6441" s="121"/>
      <c r="E6441" s="121"/>
      <c r="F6441" s="121"/>
      <c r="G6441" s="121"/>
      <c r="H6441" s="121"/>
      <c r="I6441" s="121"/>
      <c r="J6441" s="121"/>
      <c r="K6441" s="121"/>
      <c r="L6441" s="121"/>
      <c r="M6441" s="121"/>
      <c r="N6441" s="222" t="s">
        <v>2844</v>
      </c>
      <c r="O6441" s="533" t="s">
        <v>1856</v>
      </c>
      <c r="P6441" s="257"/>
      <c r="Q6441" s="321"/>
      <c r="R6441" s="260"/>
      <c r="S6441" s="260"/>
      <c r="T6441" s="260"/>
      <c r="U6441" s="260"/>
      <c r="V6441" s="262"/>
      <c r="W6441" s="548">
        <f>U6441+V6441</f>
        <v>0</v>
      </c>
      <c r="X6441" s="262"/>
      <c r="Y6441" s="260"/>
      <c r="Z6441" s="548">
        <f>X6441+Y6441</f>
        <v>0</v>
      </c>
      <c r="AA6441" s="262"/>
      <c r="AB6441" s="262"/>
      <c r="AC6441" s="548">
        <f>AA6441+AB6441</f>
        <v>0</v>
      </c>
      <c r="AD6441"/>
      <c r="AE6441"/>
      <c r="AF6441"/>
      <c r="AG6441"/>
      <c r="AH6441"/>
      <c r="AI6441"/>
      <c r="AJ6441"/>
      <c r="AK6441"/>
      <c r="AL6441"/>
      <c r="AM6441"/>
      <c r="AN6441"/>
    </row>
    <row r="6442" spans="1:40" s="47" customFormat="1">
      <c r="A6442" s="121"/>
      <c r="B6442" s="121"/>
      <c r="C6442" s="121"/>
      <c r="D6442" s="121"/>
      <c r="E6442" s="121"/>
      <c r="F6442" s="121"/>
      <c r="G6442" s="121"/>
      <c r="H6442" s="121"/>
      <c r="I6442" s="121"/>
      <c r="J6442" s="121"/>
      <c r="K6442" s="121"/>
      <c r="L6442" s="121"/>
      <c r="M6442" s="121"/>
      <c r="N6442" s="222"/>
      <c r="O6442" s="529"/>
      <c r="P6442" s="255"/>
      <c r="Q6442" s="321"/>
      <c r="R6442" s="260"/>
      <c r="S6442" s="260"/>
      <c r="T6442" s="260"/>
      <c r="U6442" s="260"/>
      <c r="V6442" s="260"/>
      <c r="W6442" s="260"/>
      <c r="X6442" s="260"/>
      <c r="Y6442" s="260"/>
      <c r="Z6442" s="260"/>
      <c r="AA6442" s="260"/>
      <c r="AB6442" s="260"/>
      <c r="AC6442" s="260"/>
      <c r="AD6442"/>
      <c r="AE6442"/>
      <c r="AF6442"/>
      <c r="AG6442"/>
      <c r="AH6442"/>
      <c r="AI6442"/>
      <c r="AJ6442"/>
      <c r="AK6442"/>
      <c r="AL6442"/>
      <c r="AM6442"/>
      <c r="AN6442"/>
    </row>
    <row r="6443" spans="1:40" s="47" customFormat="1">
      <c r="A6443" s="121"/>
      <c r="B6443" s="121"/>
      <c r="C6443" s="121"/>
      <c r="D6443" s="121"/>
      <c r="E6443" s="121"/>
      <c r="F6443" s="121"/>
      <c r="G6443" s="121"/>
      <c r="H6443" s="121"/>
      <c r="I6443" s="121"/>
      <c r="J6443" s="121"/>
      <c r="K6443" s="121"/>
      <c r="L6443" s="121"/>
      <c r="M6443" s="121"/>
      <c r="N6443" s="222"/>
      <c r="O6443" s="529"/>
      <c r="P6443" s="255"/>
      <c r="Q6443" s="321"/>
      <c r="R6443" s="260"/>
      <c r="S6443" s="260"/>
      <c r="T6443" s="260"/>
      <c r="U6443" s="260"/>
      <c r="V6443" s="260"/>
      <c r="W6443" s="260"/>
      <c r="X6443" s="260"/>
      <c r="Y6443" s="260"/>
      <c r="Z6443" s="260"/>
      <c r="AA6443" s="260"/>
      <c r="AB6443" s="260"/>
      <c r="AC6443" s="260"/>
      <c r="AD6443"/>
      <c r="AE6443"/>
      <c r="AF6443"/>
      <c r="AG6443"/>
      <c r="AH6443"/>
      <c r="AI6443"/>
      <c r="AJ6443"/>
      <c r="AK6443"/>
      <c r="AL6443"/>
      <c r="AM6443"/>
      <c r="AN6443"/>
    </row>
    <row r="6444" spans="1:40" s="47" customFormat="1">
      <c r="A6444" s="121"/>
      <c r="B6444" s="121"/>
      <c r="C6444" s="121"/>
      <c r="D6444" s="121"/>
      <c r="E6444" s="121"/>
      <c r="F6444" s="121"/>
      <c r="G6444" s="121"/>
      <c r="H6444" s="121"/>
      <c r="I6444" s="121"/>
      <c r="J6444" s="121"/>
      <c r="K6444" s="121"/>
      <c r="L6444" s="121"/>
      <c r="M6444" s="121"/>
      <c r="N6444" s="504" t="s">
        <v>2847</v>
      </c>
      <c r="O6444" s="535" t="s">
        <v>2848</v>
      </c>
      <c r="P6444" s="257"/>
      <c r="Q6444" s="321"/>
      <c r="R6444" s="260"/>
      <c r="S6444" s="260"/>
      <c r="T6444" s="260"/>
      <c r="U6444" s="260"/>
      <c r="V6444" s="262"/>
      <c r="W6444" s="548">
        <f t="shared" ref="W6444:W6478" si="34">U6444+V6444</f>
        <v>0</v>
      </c>
      <c r="X6444" s="262"/>
      <c r="Y6444" s="260"/>
      <c r="Z6444" s="548">
        <f t="shared" ref="Z6444:Z6478" si="35">X6444+Y6444</f>
        <v>0</v>
      </c>
      <c r="AA6444" s="262"/>
      <c r="AB6444" s="262"/>
      <c r="AC6444" s="548">
        <f t="shared" ref="AC6444:AC6478" si="36">AA6444+AB6444</f>
        <v>0</v>
      </c>
      <c r="AD6444"/>
      <c r="AE6444"/>
      <c r="AF6444"/>
      <c r="AG6444"/>
      <c r="AH6444"/>
      <c r="AI6444"/>
      <c r="AJ6444"/>
      <c r="AK6444"/>
      <c r="AL6444"/>
      <c r="AM6444"/>
      <c r="AN6444"/>
    </row>
    <row r="6445" spans="1:40" s="47" customFormat="1" ht="22.5">
      <c r="A6445" s="121"/>
      <c r="B6445" s="121"/>
      <c r="C6445" s="121"/>
      <c r="D6445" s="121"/>
      <c r="E6445" s="121"/>
      <c r="F6445" s="121"/>
      <c r="G6445" s="121"/>
      <c r="H6445" s="121"/>
      <c r="I6445" s="121"/>
      <c r="J6445" s="121"/>
      <c r="K6445" s="121"/>
      <c r="L6445" s="121"/>
      <c r="M6445" s="121"/>
      <c r="N6445" s="504" t="s">
        <v>2849</v>
      </c>
      <c r="O6445" s="533" t="s">
        <v>2415</v>
      </c>
      <c r="P6445" s="257"/>
      <c r="Q6445" s="321"/>
      <c r="R6445" s="260"/>
      <c r="S6445" s="260"/>
      <c r="T6445" s="260"/>
      <c r="U6445" s="260"/>
      <c r="V6445" s="262"/>
      <c r="W6445" s="548">
        <f t="shared" si="34"/>
        <v>0</v>
      </c>
      <c r="X6445" s="262"/>
      <c r="Y6445" s="260"/>
      <c r="Z6445" s="548">
        <f t="shared" si="35"/>
        <v>0</v>
      </c>
      <c r="AA6445" s="262"/>
      <c r="AB6445" s="262"/>
      <c r="AC6445" s="548">
        <f t="shared" si="36"/>
        <v>0</v>
      </c>
      <c r="AD6445"/>
      <c r="AE6445"/>
      <c r="AF6445"/>
      <c r="AG6445"/>
      <c r="AH6445"/>
      <c r="AI6445"/>
      <c r="AJ6445"/>
      <c r="AK6445"/>
      <c r="AL6445"/>
      <c r="AM6445"/>
      <c r="AN6445"/>
    </row>
    <row r="6446" spans="1:40" s="47" customFormat="1" ht="22.5">
      <c r="A6446" s="121"/>
      <c r="B6446" s="121"/>
      <c r="C6446" s="121"/>
      <c r="D6446" s="121"/>
      <c r="E6446" s="121"/>
      <c r="F6446" s="121"/>
      <c r="G6446" s="121"/>
      <c r="H6446" s="121"/>
      <c r="I6446" s="121"/>
      <c r="J6446" s="121"/>
      <c r="K6446" s="121"/>
      <c r="L6446" s="121"/>
      <c r="M6446" s="121"/>
      <c r="N6446" s="504" t="s">
        <v>2850</v>
      </c>
      <c r="O6446" s="533" t="s">
        <v>2417</v>
      </c>
      <c r="P6446" s="257"/>
      <c r="Q6446" s="321"/>
      <c r="R6446" s="260"/>
      <c r="S6446" s="260"/>
      <c r="T6446" s="260"/>
      <c r="U6446" s="260"/>
      <c r="V6446" s="262"/>
      <c r="W6446" s="548">
        <f t="shared" si="34"/>
        <v>0</v>
      </c>
      <c r="X6446" s="262"/>
      <c r="Y6446" s="260"/>
      <c r="Z6446" s="548">
        <f t="shared" si="35"/>
        <v>0</v>
      </c>
      <c r="AA6446" s="262"/>
      <c r="AB6446" s="262"/>
      <c r="AC6446" s="548">
        <f t="shared" si="36"/>
        <v>0</v>
      </c>
      <c r="AD6446"/>
      <c r="AE6446"/>
      <c r="AF6446"/>
      <c r="AG6446"/>
      <c r="AH6446"/>
      <c r="AI6446"/>
      <c r="AJ6446"/>
      <c r="AK6446"/>
      <c r="AL6446"/>
      <c r="AM6446"/>
      <c r="AN6446"/>
    </row>
    <row r="6447" spans="1:40" s="47" customFormat="1">
      <c r="A6447" s="121"/>
      <c r="B6447" s="121"/>
      <c r="C6447" s="121"/>
      <c r="D6447" s="121"/>
      <c r="E6447" s="121"/>
      <c r="F6447" s="121"/>
      <c r="G6447" s="121"/>
      <c r="H6447" s="121"/>
      <c r="I6447" s="121"/>
      <c r="J6447" s="121"/>
      <c r="K6447" s="121"/>
      <c r="L6447" s="121"/>
      <c r="M6447" s="121"/>
      <c r="N6447" s="504" t="s">
        <v>2316</v>
      </c>
      <c r="O6447" s="533" t="s">
        <v>2420</v>
      </c>
      <c r="P6447" s="257"/>
      <c r="Q6447" s="321"/>
      <c r="R6447" s="260"/>
      <c r="S6447" s="260"/>
      <c r="T6447" s="260"/>
      <c r="U6447" s="260"/>
      <c r="V6447" s="262"/>
      <c r="W6447" s="548">
        <f t="shared" si="34"/>
        <v>0</v>
      </c>
      <c r="X6447" s="262"/>
      <c r="Y6447" s="260"/>
      <c r="Z6447" s="548">
        <f t="shared" si="35"/>
        <v>0</v>
      </c>
      <c r="AA6447" s="262"/>
      <c r="AB6447" s="262"/>
      <c r="AC6447" s="548">
        <f t="shared" si="36"/>
        <v>0</v>
      </c>
      <c r="AD6447"/>
      <c r="AE6447"/>
      <c r="AF6447"/>
      <c r="AG6447"/>
      <c r="AH6447"/>
      <c r="AI6447"/>
      <c r="AJ6447"/>
      <c r="AK6447"/>
      <c r="AL6447"/>
      <c r="AM6447"/>
      <c r="AN6447"/>
    </row>
    <row r="6448" spans="1:40" s="47" customFormat="1">
      <c r="A6448" s="121"/>
      <c r="B6448" s="121"/>
      <c r="C6448" s="121"/>
      <c r="D6448" s="121"/>
      <c r="E6448" s="121"/>
      <c r="F6448" s="121"/>
      <c r="G6448" s="121"/>
      <c r="H6448" s="121"/>
      <c r="I6448" s="121"/>
      <c r="J6448" s="121"/>
      <c r="K6448" s="121"/>
      <c r="L6448" s="121"/>
      <c r="M6448" s="121"/>
      <c r="N6448" s="504" t="s">
        <v>2317</v>
      </c>
      <c r="O6448" s="533" t="s">
        <v>2423</v>
      </c>
      <c r="P6448" s="257"/>
      <c r="Q6448" s="321"/>
      <c r="R6448" s="260"/>
      <c r="S6448" s="260"/>
      <c r="T6448" s="260"/>
      <c r="U6448" s="260"/>
      <c r="V6448" s="262"/>
      <c r="W6448" s="548">
        <f t="shared" si="34"/>
        <v>0</v>
      </c>
      <c r="X6448" s="262"/>
      <c r="Y6448" s="260"/>
      <c r="Z6448" s="548">
        <f t="shared" si="35"/>
        <v>0</v>
      </c>
      <c r="AA6448" s="262"/>
      <c r="AB6448" s="262"/>
      <c r="AC6448" s="548">
        <f t="shared" si="36"/>
        <v>0</v>
      </c>
      <c r="AD6448"/>
      <c r="AE6448"/>
      <c r="AF6448"/>
      <c r="AG6448"/>
      <c r="AH6448"/>
      <c r="AI6448"/>
      <c r="AJ6448"/>
      <c r="AK6448"/>
      <c r="AL6448"/>
      <c r="AM6448"/>
      <c r="AN6448"/>
    </row>
    <row r="6449" spans="1:40" s="47" customFormat="1">
      <c r="A6449" s="121"/>
      <c r="B6449" s="121"/>
      <c r="C6449" s="121"/>
      <c r="D6449" s="121"/>
      <c r="E6449" s="121"/>
      <c r="F6449" s="121"/>
      <c r="G6449" s="121"/>
      <c r="H6449" s="121"/>
      <c r="I6449" s="121"/>
      <c r="J6449" s="121"/>
      <c r="K6449" s="121"/>
      <c r="L6449" s="121"/>
      <c r="M6449" s="121"/>
      <c r="N6449" s="504" t="s">
        <v>2318</v>
      </c>
      <c r="O6449" s="533" t="s">
        <v>2426</v>
      </c>
      <c r="P6449" s="257"/>
      <c r="Q6449" s="321"/>
      <c r="R6449" s="260"/>
      <c r="S6449" s="260"/>
      <c r="T6449" s="260"/>
      <c r="U6449" s="260"/>
      <c r="V6449" s="262"/>
      <c r="W6449" s="548">
        <f t="shared" si="34"/>
        <v>0</v>
      </c>
      <c r="X6449" s="262"/>
      <c r="Y6449" s="260"/>
      <c r="Z6449" s="548">
        <f t="shared" si="35"/>
        <v>0</v>
      </c>
      <c r="AA6449" s="262"/>
      <c r="AB6449" s="262"/>
      <c r="AC6449" s="548">
        <f t="shared" si="36"/>
        <v>0</v>
      </c>
      <c r="AD6449"/>
      <c r="AE6449"/>
      <c r="AF6449"/>
      <c r="AG6449"/>
      <c r="AH6449"/>
      <c r="AI6449"/>
      <c r="AJ6449"/>
      <c r="AK6449"/>
      <c r="AL6449"/>
      <c r="AM6449"/>
      <c r="AN6449"/>
    </row>
    <row r="6450" spans="1:40" s="47" customFormat="1">
      <c r="A6450" s="121"/>
      <c r="B6450" s="121"/>
      <c r="C6450" s="121"/>
      <c r="D6450" s="121"/>
      <c r="E6450" s="121"/>
      <c r="F6450" s="121"/>
      <c r="G6450" s="121"/>
      <c r="H6450" s="121"/>
      <c r="I6450" s="121"/>
      <c r="J6450" s="121"/>
      <c r="K6450" s="121"/>
      <c r="L6450" s="121"/>
      <c r="M6450" s="121"/>
      <c r="N6450" s="560" t="str">
        <f>IF(TEMPLATE_SPHERE="водоснабжения","2.9","")</f>
        <v/>
      </c>
      <c r="O6450" s="561" t="str">
        <f>IF(TEMPLATE_SPHERE="водоснабжения","Покупная вода","")</f>
        <v/>
      </c>
      <c r="P6450" s="257"/>
      <c r="Q6450" s="321"/>
      <c r="R6450" s="260"/>
      <c r="S6450" s="260"/>
      <c r="T6450" s="260"/>
      <c r="U6450" s="260"/>
      <c r="V6450" s="262"/>
      <c r="W6450" s="548">
        <f t="shared" si="34"/>
        <v>0</v>
      </c>
      <c r="X6450" s="262"/>
      <c r="Y6450" s="260"/>
      <c r="Z6450" s="548">
        <f t="shared" si="35"/>
        <v>0</v>
      </c>
      <c r="AA6450" s="262"/>
      <c r="AB6450" s="262"/>
      <c r="AC6450" s="548">
        <f t="shared" si="36"/>
        <v>0</v>
      </c>
      <c r="AD6450"/>
      <c r="AE6450"/>
      <c r="AF6450"/>
      <c r="AG6450"/>
      <c r="AH6450"/>
      <c r="AI6450"/>
      <c r="AJ6450"/>
      <c r="AK6450"/>
      <c r="AL6450"/>
      <c r="AM6450"/>
      <c r="AN6450"/>
    </row>
    <row r="6451" spans="1:40" s="47" customFormat="1">
      <c r="A6451" s="121"/>
      <c r="B6451" s="121"/>
      <c r="C6451" s="121"/>
      <c r="D6451" s="121"/>
      <c r="E6451" s="121"/>
      <c r="F6451" s="121"/>
      <c r="G6451" s="121"/>
      <c r="H6451" s="121"/>
      <c r="I6451" s="121"/>
      <c r="J6451" s="121"/>
      <c r="K6451" s="121"/>
      <c r="L6451" s="121"/>
      <c r="M6451" s="121"/>
      <c r="N6451" s="222"/>
      <c r="O6451" s="529"/>
      <c r="P6451" s="255"/>
      <c r="Q6451" s="321"/>
      <c r="R6451" s="260"/>
      <c r="S6451" s="260"/>
      <c r="T6451" s="260"/>
      <c r="U6451" s="260"/>
      <c r="V6451" s="260"/>
      <c r="W6451" s="260"/>
      <c r="X6451" s="260"/>
      <c r="Y6451" s="260"/>
      <c r="Z6451" s="260"/>
      <c r="AA6451" s="260"/>
      <c r="AB6451" s="260"/>
      <c r="AC6451" s="260"/>
      <c r="AD6451"/>
      <c r="AE6451"/>
      <c r="AF6451"/>
      <c r="AG6451"/>
      <c r="AH6451"/>
      <c r="AI6451"/>
      <c r="AJ6451"/>
      <c r="AK6451"/>
      <c r="AL6451"/>
      <c r="AM6451"/>
      <c r="AN6451"/>
    </row>
    <row r="6452" spans="1:40" s="47" customFormat="1">
      <c r="A6452" s="121"/>
      <c r="B6452" s="121"/>
      <c r="C6452" s="121"/>
      <c r="D6452" s="121"/>
      <c r="E6452" s="121"/>
      <c r="F6452" s="121"/>
      <c r="G6452" s="121"/>
      <c r="H6452" s="121"/>
      <c r="I6452" s="121"/>
      <c r="J6452" s="121"/>
      <c r="K6452" s="121"/>
      <c r="L6452" s="121"/>
      <c r="M6452" s="121"/>
      <c r="N6452" s="222"/>
      <c r="O6452" s="529"/>
      <c r="P6452" s="255"/>
      <c r="Q6452" s="321"/>
      <c r="R6452" s="260"/>
      <c r="S6452" s="260"/>
      <c r="T6452" s="260"/>
      <c r="U6452" s="260"/>
      <c r="V6452" s="260"/>
      <c r="W6452" s="260"/>
      <c r="X6452" s="260"/>
      <c r="Y6452" s="260"/>
      <c r="Z6452" s="260"/>
      <c r="AA6452" s="260"/>
      <c r="AB6452" s="260"/>
      <c r="AC6452" s="260"/>
      <c r="AD6452"/>
      <c r="AE6452"/>
      <c r="AF6452"/>
      <c r="AG6452"/>
      <c r="AH6452"/>
      <c r="AI6452"/>
      <c r="AJ6452"/>
      <c r="AK6452"/>
      <c r="AL6452"/>
      <c r="AM6452"/>
      <c r="AN6452"/>
    </row>
    <row r="6453" spans="1:40" s="47" customFormat="1">
      <c r="A6453" s="121"/>
      <c r="B6453" s="121"/>
      <c r="C6453" s="121"/>
      <c r="D6453" s="121"/>
      <c r="E6453" s="121"/>
      <c r="F6453" s="121"/>
      <c r="G6453" s="121"/>
      <c r="H6453" s="121"/>
      <c r="I6453" s="121"/>
      <c r="J6453" s="121"/>
      <c r="K6453" s="121"/>
      <c r="L6453" s="121"/>
      <c r="M6453" s="121"/>
      <c r="N6453" s="222"/>
      <c r="O6453" s="529"/>
      <c r="P6453" s="255"/>
      <c r="Q6453" s="321"/>
      <c r="R6453" s="260"/>
      <c r="S6453" s="260"/>
      <c r="T6453" s="260"/>
      <c r="U6453" s="260"/>
      <c r="V6453" s="260"/>
      <c r="W6453" s="260"/>
      <c r="X6453" s="260"/>
      <c r="Y6453" s="260"/>
      <c r="Z6453" s="260"/>
      <c r="AA6453" s="260"/>
      <c r="AB6453" s="260"/>
      <c r="AC6453" s="260"/>
      <c r="AD6453"/>
      <c r="AE6453"/>
      <c r="AF6453"/>
      <c r="AG6453"/>
      <c r="AH6453"/>
      <c r="AI6453"/>
      <c r="AJ6453"/>
      <c r="AK6453"/>
      <c r="AL6453"/>
      <c r="AM6453"/>
      <c r="AN6453"/>
    </row>
    <row r="6454" spans="1:40" s="47" customFormat="1" ht="22.5">
      <c r="A6454" s="121"/>
      <c r="B6454" s="121"/>
      <c r="C6454" s="121"/>
      <c r="D6454" s="121"/>
      <c r="E6454" s="121"/>
      <c r="F6454" s="121"/>
      <c r="G6454" s="121"/>
      <c r="H6454" s="121"/>
      <c r="I6454" s="121"/>
      <c r="J6454" s="121"/>
      <c r="K6454" s="121"/>
      <c r="L6454" s="121"/>
      <c r="M6454" s="121"/>
      <c r="N6454" s="504" t="s">
        <v>2323</v>
      </c>
      <c r="O6454"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P6454" s="257"/>
      <c r="Q6454" s="321"/>
      <c r="R6454" s="260"/>
      <c r="S6454" s="260"/>
      <c r="T6454" s="260"/>
      <c r="U6454" s="260"/>
      <c r="V6454" s="262"/>
      <c r="W6454" s="548">
        <f t="shared" si="34"/>
        <v>0</v>
      </c>
      <c r="X6454" s="262"/>
      <c r="Y6454" s="260"/>
      <c r="Z6454" s="548">
        <f t="shared" si="35"/>
        <v>0</v>
      </c>
      <c r="AA6454" s="262"/>
      <c r="AB6454" s="262"/>
      <c r="AC6454" s="548">
        <f t="shared" si="36"/>
        <v>0</v>
      </c>
      <c r="AD6454"/>
      <c r="AE6454"/>
      <c r="AF6454"/>
      <c r="AG6454"/>
      <c r="AH6454"/>
      <c r="AI6454"/>
      <c r="AJ6454"/>
      <c r="AK6454"/>
      <c r="AL6454"/>
      <c r="AM6454"/>
      <c r="AN6454"/>
    </row>
    <row r="6455" spans="1:40" s="47" customFormat="1" ht="22.5">
      <c r="A6455" s="121"/>
      <c r="B6455" s="121"/>
      <c r="C6455" s="121"/>
      <c r="D6455" s="121"/>
      <c r="E6455" s="121"/>
      <c r="F6455" s="121"/>
      <c r="G6455" s="121"/>
      <c r="H6455" s="121"/>
      <c r="I6455" s="121"/>
      <c r="J6455" s="121"/>
      <c r="K6455" s="121"/>
      <c r="L6455" s="121"/>
      <c r="M6455" s="121"/>
      <c r="N6455" s="504" t="s">
        <v>2324</v>
      </c>
      <c r="O6455"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P6455" s="257"/>
      <c r="Q6455" s="321"/>
      <c r="R6455" s="260"/>
      <c r="S6455" s="260"/>
      <c r="T6455" s="260"/>
      <c r="U6455" s="260"/>
      <c r="V6455" s="262"/>
      <c r="W6455" s="548">
        <f t="shared" si="34"/>
        <v>0</v>
      </c>
      <c r="X6455" s="262"/>
      <c r="Y6455" s="260"/>
      <c r="Z6455" s="548">
        <f t="shared" si="35"/>
        <v>0</v>
      </c>
      <c r="AA6455" s="262"/>
      <c r="AB6455" s="262"/>
      <c r="AC6455" s="548">
        <f t="shared" si="36"/>
        <v>0</v>
      </c>
      <c r="AD6455"/>
      <c r="AE6455"/>
      <c r="AF6455"/>
      <c r="AG6455"/>
      <c r="AH6455"/>
      <c r="AI6455"/>
      <c r="AJ6455"/>
      <c r="AK6455"/>
      <c r="AL6455"/>
      <c r="AM6455"/>
      <c r="AN6455"/>
    </row>
    <row r="6456" spans="1:40" s="47" customFormat="1">
      <c r="A6456" s="121"/>
      <c r="B6456" s="121"/>
      <c r="C6456" s="121"/>
      <c r="D6456" s="121"/>
      <c r="E6456" s="121"/>
      <c r="F6456" s="121"/>
      <c r="G6456" s="121"/>
      <c r="H6456" s="121"/>
      <c r="I6456" s="121"/>
      <c r="J6456" s="121"/>
      <c r="K6456" s="121"/>
      <c r="L6456" s="121"/>
      <c r="M6456" s="121"/>
      <c r="N6456" s="504" t="s">
        <v>2325</v>
      </c>
      <c r="O6456"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P6456" s="257"/>
      <c r="Q6456" s="321"/>
      <c r="R6456" s="260"/>
      <c r="S6456" s="260"/>
      <c r="T6456" s="260"/>
      <c r="U6456" s="260"/>
      <c r="V6456" s="262"/>
      <c r="W6456" s="548">
        <f t="shared" si="34"/>
        <v>0</v>
      </c>
      <c r="X6456" s="262"/>
      <c r="Y6456" s="260"/>
      <c r="Z6456" s="548">
        <f t="shared" si="35"/>
        <v>0</v>
      </c>
      <c r="AA6456" s="262"/>
      <c r="AB6456" s="262"/>
      <c r="AC6456" s="548">
        <f t="shared" si="36"/>
        <v>0</v>
      </c>
      <c r="AD6456"/>
      <c r="AE6456"/>
      <c r="AF6456"/>
      <c r="AG6456"/>
      <c r="AH6456"/>
      <c r="AI6456"/>
      <c r="AJ6456"/>
      <c r="AK6456"/>
      <c r="AL6456"/>
      <c r="AM6456"/>
      <c r="AN6456"/>
    </row>
    <row r="6457" spans="1:40" s="47" customFormat="1">
      <c r="A6457" s="121"/>
      <c r="B6457" s="121"/>
      <c r="C6457" s="121"/>
      <c r="D6457" s="121"/>
      <c r="E6457" s="121"/>
      <c r="F6457" s="121"/>
      <c r="G6457" s="121"/>
      <c r="H6457" s="121"/>
      <c r="I6457" s="121"/>
      <c r="J6457" s="121"/>
      <c r="K6457" s="121"/>
      <c r="L6457" s="121"/>
      <c r="M6457" s="121"/>
      <c r="N6457" s="504" t="s">
        <v>2326</v>
      </c>
      <c r="O6457" s="527" t="s">
        <v>2327</v>
      </c>
      <c r="P6457" s="257"/>
      <c r="Q6457" s="321"/>
      <c r="R6457" s="260"/>
      <c r="S6457" s="260"/>
      <c r="T6457" s="260"/>
      <c r="U6457" s="260"/>
      <c r="V6457" s="262"/>
      <c r="W6457" s="548">
        <f t="shared" si="34"/>
        <v>0</v>
      </c>
      <c r="X6457" s="262"/>
      <c r="Y6457" s="260"/>
      <c r="Z6457" s="548">
        <f t="shared" si="35"/>
        <v>0</v>
      </c>
      <c r="AA6457" s="262"/>
      <c r="AB6457" s="262"/>
      <c r="AC6457" s="548">
        <f t="shared" si="36"/>
        <v>0</v>
      </c>
      <c r="AD6457"/>
      <c r="AE6457"/>
      <c r="AF6457"/>
      <c r="AG6457"/>
      <c r="AH6457"/>
      <c r="AI6457"/>
      <c r="AJ6457"/>
      <c r="AK6457"/>
      <c r="AL6457"/>
      <c r="AM6457"/>
      <c r="AN6457"/>
    </row>
    <row r="6458" spans="1:40" s="47" customFormat="1">
      <c r="A6458" s="121"/>
      <c r="B6458" s="121"/>
      <c r="C6458" s="121"/>
      <c r="D6458" s="121"/>
      <c r="E6458" s="121"/>
      <c r="F6458" s="121"/>
      <c r="G6458" s="121"/>
      <c r="H6458" s="121"/>
      <c r="I6458" s="121"/>
      <c r="J6458" s="121"/>
      <c r="K6458" s="121"/>
      <c r="L6458" s="121"/>
      <c r="M6458" s="121"/>
      <c r="N6458" s="504" t="s">
        <v>2328</v>
      </c>
      <c r="O6458" s="528" t="s">
        <v>2329</v>
      </c>
      <c r="P6458" s="257"/>
      <c r="Q6458" s="321"/>
      <c r="R6458" s="260"/>
      <c r="S6458" s="260"/>
      <c r="T6458" s="260"/>
      <c r="U6458" s="260"/>
      <c r="V6458" s="262"/>
      <c r="W6458" s="548">
        <f t="shared" si="34"/>
        <v>0</v>
      </c>
      <c r="X6458" s="262"/>
      <c r="Y6458" s="260"/>
      <c r="Z6458" s="548">
        <f t="shared" si="35"/>
        <v>0</v>
      </c>
      <c r="AA6458" s="262"/>
      <c r="AB6458" s="262"/>
      <c r="AC6458" s="548">
        <f t="shared" si="36"/>
        <v>0</v>
      </c>
      <c r="AD6458"/>
      <c r="AE6458"/>
      <c r="AF6458"/>
      <c r="AG6458"/>
      <c r="AH6458"/>
      <c r="AI6458"/>
      <c r="AJ6458"/>
      <c r="AK6458"/>
      <c r="AL6458"/>
      <c r="AM6458"/>
      <c r="AN6458"/>
    </row>
    <row r="6459" spans="1:40" s="47" customFormat="1">
      <c r="A6459" s="121"/>
      <c r="B6459" s="121"/>
      <c r="C6459" s="121"/>
      <c r="D6459" s="121"/>
      <c r="E6459" s="121"/>
      <c r="F6459" s="121"/>
      <c r="G6459" s="121"/>
      <c r="H6459" s="121"/>
      <c r="I6459" s="121"/>
      <c r="J6459" s="121"/>
      <c r="K6459" s="121"/>
      <c r="L6459" s="121"/>
      <c r="M6459" s="121"/>
      <c r="N6459" s="504" t="s">
        <v>2330</v>
      </c>
      <c r="O6459" s="528" t="s">
        <v>2331</v>
      </c>
      <c r="P6459" s="257"/>
      <c r="Q6459" s="321"/>
      <c r="R6459" s="260"/>
      <c r="S6459" s="260"/>
      <c r="T6459" s="260"/>
      <c r="U6459" s="260"/>
      <c r="V6459" s="262"/>
      <c r="W6459" s="548">
        <f t="shared" si="34"/>
        <v>0</v>
      </c>
      <c r="X6459" s="262"/>
      <c r="Y6459" s="260"/>
      <c r="Z6459" s="548">
        <f t="shared" si="35"/>
        <v>0</v>
      </c>
      <c r="AA6459" s="262"/>
      <c r="AB6459" s="262"/>
      <c r="AC6459" s="548">
        <f t="shared" si="36"/>
        <v>0</v>
      </c>
      <c r="AD6459"/>
      <c r="AE6459"/>
      <c r="AF6459"/>
      <c r="AG6459"/>
      <c r="AH6459"/>
      <c r="AI6459"/>
      <c r="AJ6459"/>
      <c r="AK6459"/>
      <c r="AL6459"/>
      <c r="AM6459"/>
      <c r="AN6459"/>
    </row>
    <row r="6460" spans="1:40" s="47" customFormat="1">
      <c r="A6460" s="121"/>
      <c r="B6460" s="121"/>
      <c r="C6460" s="121"/>
      <c r="D6460" s="121"/>
      <c r="E6460" s="121"/>
      <c r="F6460" s="121"/>
      <c r="G6460" s="121"/>
      <c r="H6460" s="121"/>
      <c r="I6460" s="121"/>
      <c r="J6460" s="121"/>
      <c r="K6460" s="121"/>
      <c r="L6460" s="121"/>
      <c r="M6460" s="121"/>
      <c r="N6460" s="504" t="s">
        <v>2332</v>
      </c>
      <c r="O6460" s="527" t="s">
        <v>2333</v>
      </c>
      <c r="P6460" s="257"/>
      <c r="Q6460" s="321"/>
      <c r="R6460" s="260"/>
      <c r="S6460" s="260"/>
      <c r="T6460" s="260"/>
      <c r="U6460" s="260"/>
      <c r="V6460" s="262"/>
      <c r="W6460" s="548">
        <f t="shared" si="34"/>
        <v>0</v>
      </c>
      <c r="X6460" s="262"/>
      <c r="Y6460" s="260"/>
      <c r="Z6460" s="548">
        <f t="shared" si="35"/>
        <v>0</v>
      </c>
      <c r="AA6460" s="262"/>
      <c r="AB6460" s="262"/>
      <c r="AC6460" s="548">
        <f t="shared" si="36"/>
        <v>0</v>
      </c>
      <c r="AD6460"/>
      <c r="AE6460"/>
      <c r="AF6460"/>
      <c r="AG6460"/>
      <c r="AH6460"/>
      <c r="AI6460"/>
      <c r="AJ6460"/>
      <c r="AK6460"/>
      <c r="AL6460"/>
      <c r="AM6460"/>
      <c r="AN6460"/>
    </row>
    <row r="6461" spans="1:40" s="47" customFormat="1">
      <c r="A6461" s="121"/>
      <c r="B6461" s="121"/>
      <c r="C6461" s="121"/>
      <c r="D6461" s="121"/>
      <c r="E6461" s="121"/>
      <c r="F6461" s="121"/>
      <c r="G6461" s="121"/>
      <c r="H6461" s="121"/>
      <c r="I6461" s="121"/>
      <c r="J6461" s="121"/>
      <c r="K6461" s="121"/>
      <c r="L6461" s="121"/>
      <c r="M6461" s="121"/>
      <c r="N6461" s="504" t="s">
        <v>2334</v>
      </c>
      <c r="O6461" s="527" t="s">
        <v>2335</v>
      </c>
      <c r="P6461" s="257"/>
      <c r="Q6461" s="321"/>
      <c r="R6461" s="260"/>
      <c r="S6461" s="260"/>
      <c r="T6461" s="260"/>
      <c r="U6461" s="260"/>
      <c r="V6461" s="262"/>
      <c r="W6461" s="548">
        <f t="shared" si="34"/>
        <v>0</v>
      </c>
      <c r="X6461" s="262"/>
      <c r="Y6461" s="260"/>
      <c r="Z6461" s="548">
        <f t="shared" si="35"/>
        <v>0</v>
      </c>
      <c r="AA6461" s="262"/>
      <c r="AB6461" s="262"/>
      <c r="AC6461" s="548">
        <f t="shared" si="36"/>
        <v>0</v>
      </c>
      <c r="AD6461"/>
      <c r="AE6461"/>
      <c r="AF6461"/>
      <c r="AG6461"/>
      <c r="AH6461"/>
      <c r="AI6461"/>
      <c r="AJ6461"/>
      <c r="AK6461"/>
      <c r="AL6461"/>
      <c r="AM6461"/>
      <c r="AN6461"/>
    </row>
    <row r="6462" spans="1:40" s="47" customFormat="1" ht="22.5">
      <c r="A6462" s="121"/>
      <c r="B6462" s="121"/>
      <c r="C6462" s="121"/>
      <c r="D6462" s="121"/>
      <c r="E6462" s="121"/>
      <c r="F6462" s="121"/>
      <c r="G6462" s="121"/>
      <c r="H6462" s="121"/>
      <c r="I6462" s="121"/>
      <c r="J6462" s="121"/>
      <c r="K6462" s="121"/>
      <c r="L6462" s="121"/>
      <c r="M6462" s="121"/>
      <c r="N6462" s="504" t="s">
        <v>2336</v>
      </c>
      <c r="O6462" s="527" t="s">
        <v>2337</v>
      </c>
      <c r="P6462" s="257"/>
      <c r="Q6462" s="321"/>
      <c r="R6462" s="260"/>
      <c r="S6462" s="260"/>
      <c r="T6462" s="260"/>
      <c r="U6462" s="260"/>
      <c r="V6462" s="262"/>
      <c r="W6462" s="548">
        <f t="shared" si="34"/>
        <v>0</v>
      </c>
      <c r="X6462" s="262"/>
      <c r="Y6462" s="260"/>
      <c r="Z6462" s="548">
        <f t="shared" si="35"/>
        <v>0</v>
      </c>
      <c r="AA6462" s="262"/>
      <c r="AB6462" s="262"/>
      <c r="AC6462" s="548">
        <f t="shared" si="36"/>
        <v>0</v>
      </c>
      <c r="AD6462"/>
      <c r="AE6462"/>
      <c r="AF6462"/>
      <c r="AG6462"/>
      <c r="AH6462"/>
      <c r="AI6462"/>
      <c r="AJ6462"/>
      <c r="AK6462"/>
      <c r="AL6462"/>
      <c r="AM6462"/>
      <c r="AN6462"/>
    </row>
    <row r="6463" spans="1:40" s="47" customFormat="1">
      <c r="A6463" s="121"/>
      <c r="B6463" s="121"/>
      <c r="C6463" s="121"/>
      <c r="D6463" s="121"/>
      <c r="E6463" s="121"/>
      <c r="F6463" s="121"/>
      <c r="G6463" s="121"/>
      <c r="H6463" s="121"/>
      <c r="I6463" s="121"/>
      <c r="J6463" s="121"/>
      <c r="K6463" s="121"/>
      <c r="L6463" s="121"/>
      <c r="M6463" s="121"/>
      <c r="N6463" s="504" t="s">
        <v>2338</v>
      </c>
      <c r="O6463" s="527" t="s">
        <v>2339</v>
      </c>
      <c r="P6463" s="257"/>
      <c r="Q6463" s="321"/>
      <c r="R6463" s="260"/>
      <c r="S6463" s="260"/>
      <c r="T6463" s="260"/>
      <c r="U6463" s="260"/>
      <c r="V6463" s="262"/>
      <c r="W6463" s="548">
        <f t="shared" si="34"/>
        <v>0</v>
      </c>
      <c r="X6463" s="262"/>
      <c r="Y6463" s="260"/>
      <c r="Z6463" s="548">
        <f t="shared" si="35"/>
        <v>0</v>
      </c>
      <c r="AA6463" s="262"/>
      <c r="AB6463" s="262"/>
      <c r="AC6463" s="548">
        <f t="shared" si="36"/>
        <v>0</v>
      </c>
      <c r="AD6463"/>
      <c r="AE6463"/>
      <c r="AF6463"/>
      <c r="AG6463"/>
      <c r="AH6463"/>
      <c r="AI6463"/>
      <c r="AJ6463"/>
      <c r="AK6463"/>
      <c r="AL6463"/>
      <c r="AM6463"/>
      <c r="AN6463"/>
    </row>
    <row r="6464" spans="1:40" s="47" customFormat="1">
      <c r="A6464" s="121"/>
      <c r="B6464" s="121"/>
      <c r="C6464" s="121"/>
      <c r="D6464" s="121"/>
      <c r="E6464" s="121"/>
      <c r="F6464" s="121"/>
      <c r="G6464" s="121"/>
      <c r="H6464" s="121"/>
      <c r="I6464" s="121"/>
      <c r="J6464" s="121"/>
      <c r="K6464" s="121"/>
      <c r="L6464" s="121"/>
      <c r="M6464" s="121"/>
      <c r="N6464" s="504" t="s">
        <v>2340</v>
      </c>
      <c r="O6464" s="528" t="s">
        <v>2341</v>
      </c>
      <c r="P6464" s="257"/>
      <c r="Q6464" s="321"/>
      <c r="R6464" s="260"/>
      <c r="S6464" s="260"/>
      <c r="T6464" s="260"/>
      <c r="U6464" s="260"/>
      <c r="V6464" s="262"/>
      <c r="W6464" s="548">
        <f t="shared" si="34"/>
        <v>0</v>
      </c>
      <c r="X6464" s="262"/>
      <c r="Y6464" s="260"/>
      <c r="Z6464" s="548">
        <f t="shared" si="35"/>
        <v>0</v>
      </c>
      <c r="AA6464" s="262"/>
      <c r="AB6464" s="262"/>
      <c r="AC6464" s="548">
        <f t="shared" si="36"/>
        <v>0</v>
      </c>
      <c r="AD6464"/>
      <c r="AE6464"/>
      <c r="AF6464"/>
      <c r="AG6464"/>
      <c r="AH6464"/>
      <c r="AI6464"/>
      <c r="AJ6464"/>
      <c r="AK6464"/>
      <c r="AL6464"/>
      <c r="AM6464"/>
      <c r="AN6464"/>
    </row>
    <row r="6465" spans="1:40" s="47" customFormat="1">
      <c r="A6465" s="121"/>
      <c r="B6465" s="121"/>
      <c r="C6465" s="121"/>
      <c r="D6465" s="121"/>
      <c r="E6465" s="121"/>
      <c r="F6465" s="121"/>
      <c r="G6465" s="121"/>
      <c r="H6465" s="121"/>
      <c r="I6465" s="121"/>
      <c r="J6465" s="121"/>
      <c r="K6465" s="121"/>
      <c r="L6465" s="121"/>
      <c r="M6465" s="121"/>
      <c r="N6465" s="504" t="s">
        <v>2342</v>
      </c>
      <c r="O6465" s="528" t="s">
        <v>2343</v>
      </c>
      <c r="P6465" s="257"/>
      <c r="Q6465" s="321"/>
      <c r="R6465" s="260"/>
      <c r="S6465" s="260"/>
      <c r="T6465" s="260"/>
      <c r="U6465" s="260"/>
      <c r="V6465" s="262"/>
      <c r="W6465" s="548">
        <f t="shared" si="34"/>
        <v>0</v>
      </c>
      <c r="X6465" s="262"/>
      <c r="Y6465" s="260"/>
      <c r="Z6465" s="548">
        <f t="shared" si="35"/>
        <v>0</v>
      </c>
      <c r="AA6465" s="262"/>
      <c r="AB6465" s="262"/>
      <c r="AC6465" s="548">
        <f t="shared" si="36"/>
        <v>0</v>
      </c>
      <c r="AD6465"/>
      <c r="AE6465"/>
      <c r="AF6465"/>
      <c r="AG6465"/>
      <c r="AH6465"/>
      <c r="AI6465"/>
      <c r="AJ6465"/>
      <c r="AK6465"/>
      <c r="AL6465"/>
      <c r="AM6465"/>
      <c r="AN6465"/>
    </row>
    <row r="6466" spans="1:40" s="47" customFormat="1">
      <c r="A6466" s="121"/>
      <c r="B6466" s="121"/>
      <c r="C6466" s="121"/>
      <c r="D6466" s="121"/>
      <c r="E6466" s="121"/>
      <c r="F6466" s="121"/>
      <c r="G6466" s="121"/>
      <c r="H6466" s="121"/>
      <c r="I6466" s="121"/>
      <c r="J6466" s="121"/>
      <c r="K6466" s="121"/>
      <c r="L6466" s="121"/>
      <c r="M6466" s="121"/>
      <c r="N6466" s="504" t="s">
        <v>2344</v>
      </c>
      <c r="O6466" s="528" t="s">
        <v>2345</v>
      </c>
      <c r="P6466" s="257"/>
      <c r="Q6466" s="321"/>
      <c r="R6466" s="260"/>
      <c r="S6466" s="260"/>
      <c r="T6466" s="260"/>
      <c r="U6466" s="260"/>
      <c r="V6466" s="262"/>
      <c r="W6466" s="548">
        <f t="shared" si="34"/>
        <v>0</v>
      </c>
      <c r="X6466" s="262"/>
      <c r="Y6466" s="260"/>
      <c r="Z6466" s="548">
        <f t="shared" si="35"/>
        <v>0</v>
      </c>
      <c r="AA6466" s="262"/>
      <c r="AB6466" s="262"/>
      <c r="AC6466" s="548">
        <f t="shared" si="36"/>
        <v>0</v>
      </c>
      <c r="AD6466"/>
      <c r="AE6466"/>
      <c r="AF6466"/>
      <c r="AG6466"/>
      <c r="AH6466"/>
      <c r="AI6466"/>
      <c r="AJ6466"/>
      <c r="AK6466"/>
      <c r="AL6466"/>
      <c r="AM6466"/>
      <c r="AN6466"/>
    </row>
    <row r="6467" spans="1:40" s="47" customFormat="1">
      <c r="A6467" s="121"/>
      <c r="B6467" s="121"/>
      <c r="C6467" s="121"/>
      <c r="D6467" s="121"/>
      <c r="E6467" s="121"/>
      <c r="F6467" s="121"/>
      <c r="G6467" s="121"/>
      <c r="H6467" s="121"/>
      <c r="I6467" s="121"/>
      <c r="J6467" s="121"/>
      <c r="K6467" s="121"/>
      <c r="L6467" s="121"/>
      <c r="M6467" s="121"/>
      <c r="N6467" s="504" t="s">
        <v>2346</v>
      </c>
      <c r="O6467" s="528" t="s">
        <v>2347</v>
      </c>
      <c r="P6467" s="257"/>
      <c r="Q6467" s="321"/>
      <c r="R6467" s="260"/>
      <c r="S6467" s="260"/>
      <c r="T6467" s="260"/>
      <c r="U6467" s="260"/>
      <c r="V6467" s="262"/>
      <c r="W6467" s="548">
        <f t="shared" si="34"/>
        <v>0</v>
      </c>
      <c r="X6467" s="262"/>
      <c r="Y6467" s="260"/>
      <c r="Z6467" s="548">
        <f t="shared" si="35"/>
        <v>0</v>
      </c>
      <c r="AA6467" s="262"/>
      <c r="AB6467" s="262"/>
      <c r="AC6467" s="548">
        <f t="shared" si="36"/>
        <v>0</v>
      </c>
      <c r="AD6467"/>
      <c r="AE6467"/>
      <c r="AF6467"/>
      <c r="AG6467"/>
      <c r="AH6467"/>
      <c r="AI6467"/>
      <c r="AJ6467"/>
      <c r="AK6467"/>
      <c r="AL6467"/>
      <c r="AM6467"/>
      <c r="AN6467"/>
    </row>
    <row r="6468" spans="1:40" s="47" customFormat="1">
      <c r="A6468" s="121"/>
      <c r="B6468" s="121"/>
      <c r="C6468" s="121"/>
      <c r="D6468" s="121"/>
      <c r="E6468" s="121"/>
      <c r="F6468" s="121"/>
      <c r="G6468" s="121"/>
      <c r="H6468" s="121"/>
      <c r="I6468" s="121"/>
      <c r="J6468" s="121"/>
      <c r="K6468" s="121"/>
      <c r="L6468" s="121"/>
      <c r="M6468" s="121"/>
      <c r="N6468" s="504" t="s">
        <v>2348</v>
      </c>
      <c r="O6468" s="528" t="s">
        <v>2349</v>
      </c>
      <c r="P6468" s="257"/>
      <c r="Q6468" s="321"/>
      <c r="R6468" s="260"/>
      <c r="S6468" s="260"/>
      <c r="T6468" s="260"/>
      <c r="U6468" s="260"/>
      <c r="V6468" s="262"/>
      <c r="W6468" s="548">
        <f t="shared" si="34"/>
        <v>0</v>
      </c>
      <c r="X6468" s="262"/>
      <c r="Y6468" s="260"/>
      <c r="Z6468" s="548">
        <f t="shared" si="35"/>
        <v>0</v>
      </c>
      <c r="AA6468" s="262"/>
      <c r="AB6468" s="262"/>
      <c r="AC6468" s="548">
        <f t="shared" si="36"/>
        <v>0</v>
      </c>
      <c r="AD6468"/>
      <c r="AE6468"/>
      <c r="AF6468"/>
      <c r="AG6468"/>
      <c r="AH6468"/>
      <c r="AI6468"/>
      <c r="AJ6468"/>
      <c r="AK6468"/>
      <c r="AL6468"/>
      <c r="AM6468"/>
      <c r="AN6468"/>
    </row>
    <row r="6469" spans="1:40" s="47" customFormat="1">
      <c r="A6469" s="121"/>
      <c r="B6469" s="121"/>
      <c r="C6469" s="121"/>
      <c r="D6469" s="121"/>
      <c r="E6469" s="121"/>
      <c r="F6469" s="121"/>
      <c r="G6469" s="121"/>
      <c r="H6469" s="121"/>
      <c r="I6469" s="121"/>
      <c r="J6469" s="121"/>
      <c r="K6469" s="121"/>
      <c r="L6469" s="121"/>
      <c r="M6469" s="121"/>
      <c r="N6469" s="504" t="s">
        <v>2350</v>
      </c>
      <c r="O6469" s="528" t="s">
        <v>2351</v>
      </c>
      <c r="P6469" s="257"/>
      <c r="Q6469" s="321"/>
      <c r="R6469" s="260"/>
      <c r="S6469" s="260"/>
      <c r="T6469" s="260"/>
      <c r="U6469" s="260"/>
      <c r="V6469" s="262"/>
      <c r="W6469" s="548">
        <f t="shared" si="34"/>
        <v>0</v>
      </c>
      <c r="X6469" s="262"/>
      <c r="Y6469" s="260"/>
      <c r="Z6469" s="548">
        <f t="shared" si="35"/>
        <v>0</v>
      </c>
      <c r="AA6469" s="262"/>
      <c r="AB6469" s="262"/>
      <c r="AC6469" s="548">
        <f t="shared" si="36"/>
        <v>0</v>
      </c>
      <c r="AD6469"/>
      <c r="AE6469"/>
      <c r="AF6469"/>
      <c r="AG6469"/>
      <c r="AH6469"/>
      <c r="AI6469"/>
      <c r="AJ6469"/>
      <c r="AK6469"/>
      <c r="AL6469"/>
      <c r="AM6469"/>
      <c r="AN6469"/>
    </row>
    <row r="6470" spans="1:40" s="47" customFormat="1">
      <c r="A6470" s="121"/>
      <c r="B6470" s="121"/>
      <c r="C6470" s="121"/>
      <c r="D6470" s="121"/>
      <c r="E6470" s="121"/>
      <c r="F6470" s="121"/>
      <c r="G6470" s="121"/>
      <c r="H6470" s="121"/>
      <c r="I6470" s="121"/>
      <c r="J6470" s="121"/>
      <c r="K6470" s="121"/>
      <c r="L6470" s="121"/>
      <c r="M6470" s="121"/>
      <c r="N6470" s="504" t="s">
        <v>2352</v>
      </c>
      <c r="O6470" s="528" t="s">
        <v>2353</v>
      </c>
      <c r="P6470" s="257"/>
      <c r="Q6470" s="321"/>
      <c r="R6470" s="260"/>
      <c r="S6470" s="260"/>
      <c r="T6470" s="260"/>
      <c r="U6470" s="260"/>
      <c r="V6470" s="262"/>
      <c r="W6470" s="548">
        <f t="shared" si="34"/>
        <v>0</v>
      </c>
      <c r="X6470" s="262"/>
      <c r="Y6470" s="260"/>
      <c r="Z6470" s="548">
        <f t="shared" si="35"/>
        <v>0</v>
      </c>
      <c r="AA6470" s="262"/>
      <c r="AB6470" s="262"/>
      <c r="AC6470" s="548">
        <f t="shared" si="36"/>
        <v>0</v>
      </c>
      <c r="AD6470"/>
      <c r="AE6470"/>
      <c r="AF6470"/>
      <c r="AG6470"/>
      <c r="AH6470"/>
      <c r="AI6470"/>
      <c r="AJ6470"/>
      <c r="AK6470"/>
      <c r="AL6470"/>
      <c r="AM6470"/>
      <c r="AN6470"/>
    </row>
    <row r="6471" spans="1:40" s="47" customFormat="1">
      <c r="A6471" s="121"/>
      <c r="B6471" s="121"/>
      <c r="C6471" s="121"/>
      <c r="D6471" s="121"/>
      <c r="E6471" s="121"/>
      <c r="F6471" s="121"/>
      <c r="G6471" s="121"/>
      <c r="H6471" s="121"/>
      <c r="I6471" s="121"/>
      <c r="J6471" s="121"/>
      <c r="K6471" s="121"/>
      <c r="L6471" s="121"/>
      <c r="M6471" s="121"/>
      <c r="N6471" s="504" t="s">
        <v>2354</v>
      </c>
      <c r="O6471" s="528" t="s">
        <v>2355</v>
      </c>
      <c r="P6471" s="257"/>
      <c r="Q6471" s="321"/>
      <c r="R6471" s="260"/>
      <c r="S6471" s="260"/>
      <c r="T6471" s="260"/>
      <c r="U6471" s="260"/>
      <c r="V6471" s="262"/>
      <c r="W6471" s="548">
        <f t="shared" si="34"/>
        <v>0</v>
      </c>
      <c r="X6471" s="262"/>
      <c r="Y6471" s="260"/>
      <c r="Z6471" s="548">
        <f t="shared" si="35"/>
        <v>0</v>
      </c>
      <c r="AA6471" s="262"/>
      <c r="AB6471" s="262"/>
      <c r="AC6471" s="548">
        <f t="shared" si="36"/>
        <v>0</v>
      </c>
      <c r="AD6471"/>
      <c r="AE6471"/>
      <c r="AF6471"/>
      <c r="AG6471"/>
      <c r="AH6471"/>
      <c r="AI6471"/>
      <c r="AJ6471"/>
      <c r="AK6471"/>
      <c r="AL6471"/>
      <c r="AM6471"/>
      <c r="AN6471"/>
    </row>
    <row r="6472" spans="1:40" s="47" customFormat="1">
      <c r="A6472" s="121"/>
      <c r="B6472" s="121"/>
      <c r="C6472" s="121"/>
      <c r="D6472" s="121"/>
      <c r="E6472" s="121"/>
      <c r="F6472" s="121"/>
      <c r="G6472" s="121"/>
      <c r="H6472" s="121"/>
      <c r="I6472" s="121"/>
      <c r="J6472" s="121"/>
      <c r="K6472" s="121"/>
      <c r="L6472" s="121"/>
      <c r="M6472" s="121"/>
      <c r="N6472" s="504" t="s">
        <v>2356</v>
      </c>
      <c r="O6472" s="528" t="s">
        <v>2357</v>
      </c>
      <c r="P6472" s="257"/>
      <c r="Q6472" s="321"/>
      <c r="R6472" s="260"/>
      <c r="S6472" s="260"/>
      <c r="T6472" s="260"/>
      <c r="U6472" s="260"/>
      <c r="V6472" s="262"/>
      <c r="W6472" s="548">
        <f t="shared" si="34"/>
        <v>0</v>
      </c>
      <c r="X6472" s="262"/>
      <c r="Y6472" s="260"/>
      <c r="Z6472" s="548">
        <f t="shared" si="35"/>
        <v>0</v>
      </c>
      <c r="AA6472" s="262"/>
      <c r="AB6472" s="262"/>
      <c r="AC6472" s="548">
        <f t="shared" si="36"/>
        <v>0</v>
      </c>
      <c r="AD6472"/>
      <c r="AE6472"/>
      <c r="AF6472"/>
      <c r="AG6472"/>
      <c r="AH6472"/>
      <c r="AI6472"/>
      <c r="AJ6472"/>
      <c r="AK6472"/>
      <c r="AL6472"/>
      <c r="AM6472"/>
      <c r="AN6472"/>
    </row>
    <row r="6473" spans="1:40" s="47" customFormat="1">
      <c r="A6473" s="121"/>
      <c r="B6473" s="121"/>
      <c r="C6473" s="121"/>
      <c r="D6473" s="121"/>
      <c r="E6473" s="121"/>
      <c r="F6473" s="121"/>
      <c r="G6473" s="121"/>
      <c r="H6473" s="121"/>
      <c r="I6473" s="121"/>
      <c r="J6473" s="121"/>
      <c r="K6473" s="121"/>
      <c r="L6473" s="121"/>
      <c r="M6473" s="121"/>
      <c r="N6473" s="504" t="s">
        <v>2358</v>
      </c>
      <c r="O6473" s="536" t="s">
        <v>2359</v>
      </c>
      <c r="P6473" s="257"/>
      <c r="Q6473" s="321"/>
      <c r="R6473" s="260"/>
      <c r="S6473" s="260"/>
      <c r="T6473" s="260"/>
      <c r="U6473" s="260"/>
      <c r="V6473" s="262"/>
      <c r="W6473" s="548">
        <f t="shared" si="34"/>
        <v>0</v>
      </c>
      <c r="X6473" s="262"/>
      <c r="Y6473" s="260"/>
      <c r="Z6473" s="548">
        <f t="shared" si="35"/>
        <v>0</v>
      </c>
      <c r="AA6473" s="262"/>
      <c r="AB6473" s="262"/>
      <c r="AC6473" s="548">
        <f t="shared" si="36"/>
        <v>0</v>
      </c>
      <c r="AD6473"/>
      <c r="AE6473"/>
      <c r="AF6473"/>
      <c r="AG6473"/>
      <c r="AH6473"/>
      <c r="AI6473"/>
      <c r="AJ6473"/>
      <c r="AK6473"/>
      <c r="AL6473"/>
      <c r="AM6473"/>
      <c r="AN6473"/>
    </row>
    <row r="6474" spans="1:40" s="47" customFormat="1">
      <c r="A6474" s="121"/>
      <c r="B6474" s="121"/>
      <c r="C6474" s="121"/>
      <c r="D6474" s="121"/>
      <c r="E6474" s="121"/>
      <c r="F6474" s="121"/>
      <c r="G6474" s="121"/>
      <c r="H6474" s="121"/>
      <c r="I6474" s="121"/>
      <c r="J6474" s="121"/>
      <c r="K6474" s="121"/>
      <c r="L6474" s="121"/>
      <c r="M6474" s="121"/>
      <c r="N6474" s="504" t="s">
        <v>2360</v>
      </c>
      <c r="O6474" s="537" t="s">
        <v>2444</v>
      </c>
      <c r="P6474" s="257"/>
      <c r="Q6474" s="321"/>
      <c r="R6474" s="260"/>
      <c r="S6474" s="260"/>
      <c r="T6474" s="260"/>
      <c r="U6474" s="260"/>
      <c r="V6474" s="262"/>
      <c r="W6474" s="548">
        <f t="shared" si="34"/>
        <v>0</v>
      </c>
      <c r="X6474" s="262"/>
      <c r="Y6474" s="260"/>
      <c r="Z6474" s="548">
        <f t="shared" si="35"/>
        <v>0</v>
      </c>
      <c r="AA6474" s="262"/>
      <c r="AB6474" s="262"/>
      <c r="AC6474" s="548">
        <f t="shared" si="36"/>
        <v>0</v>
      </c>
      <c r="AD6474"/>
      <c r="AE6474"/>
      <c r="AF6474"/>
      <c r="AG6474"/>
      <c r="AH6474"/>
      <c r="AI6474"/>
      <c r="AJ6474"/>
      <c r="AK6474"/>
      <c r="AL6474"/>
      <c r="AM6474"/>
      <c r="AN6474"/>
    </row>
    <row r="6475" spans="1:40" s="47" customFormat="1">
      <c r="A6475" s="121"/>
      <c r="B6475" s="121"/>
      <c r="C6475" s="121"/>
      <c r="D6475" s="121"/>
      <c r="E6475" s="121"/>
      <c r="F6475" s="121"/>
      <c r="G6475" s="121"/>
      <c r="H6475" s="121"/>
      <c r="I6475" s="121"/>
      <c r="J6475" s="121"/>
      <c r="K6475" s="121"/>
      <c r="L6475" s="121"/>
      <c r="M6475" s="121"/>
      <c r="N6475" s="504" t="s">
        <v>2361</v>
      </c>
      <c r="O6475" s="537" t="s">
        <v>2362</v>
      </c>
      <c r="P6475" s="257"/>
      <c r="Q6475" s="321"/>
      <c r="R6475" s="260"/>
      <c r="S6475" s="260"/>
      <c r="T6475" s="260"/>
      <c r="U6475" s="260"/>
      <c r="V6475" s="262"/>
      <c r="W6475" s="548">
        <f t="shared" si="34"/>
        <v>0</v>
      </c>
      <c r="X6475" s="262"/>
      <c r="Y6475" s="260"/>
      <c r="Z6475" s="548">
        <f t="shared" si="35"/>
        <v>0</v>
      </c>
      <c r="AA6475" s="262"/>
      <c r="AB6475" s="262"/>
      <c r="AC6475" s="548">
        <f t="shared" si="36"/>
        <v>0</v>
      </c>
      <c r="AD6475"/>
      <c r="AE6475"/>
      <c r="AF6475"/>
      <c r="AG6475"/>
      <c r="AH6475"/>
      <c r="AI6475"/>
      <c r="AJ6475"/>
      <c r="AK6475"/>
      <c r="AL6475"/>
      <c r="AM6475"/>
      <c r="AN6475"/>
    </row>
    <row r="6476" spans="1:40" s="47" customFormat="1">
      <c r="A6476" s="121"/>
      <c r="B6476" s="121"/>
      <c r="C6476" s="121"/>
      <c r="D6476" s="121"/>
      <c r="E6476" s="121"/>
      <c r="F6476" s="121"/>
      <c r="G6476" s="121"/>
      <c r="H6476" s="121"/>
      <c r="I6476" s="121"/>
      <c r="J6476" s="121"/>
      <c r="K6476" s="121"/>
      <c r="L6476" s="121"/>
      <c r="M6476" s="121"/>
      <c r="N6476" s="504" t="s">
        <v>2363</v>
      </c>
      <c r="O6476" s="528" t="s">
        <v>872</v>
      </c>
      <c r="P6476" s="257"/>
      <c r="Q6476" s="321"/>
      <c r="R6476" s="260"/>
      <c r="S6476" s="260"/>
      <c r="T6476" s="260"/>
      <c r="U6476" s="260"/>
      <c r="V6476" s="262"/>
      <c r="W6476" s="548">
        <f t="shared" si="34"/>
        <v>0</v>
      </c>
      <c r="X6476" s="262"/>
      <c r="Y6476" s="260"/>
      <c r="Z6476" s="548">
        <f t="shared" si="35"/>
        <v>0</v>
      </c>
      <c r="AA6476" s="262"/>
      <c r="AB6476" s="262"/>
      <c r="AC6476" s="548">
        <f t="shared" si="36"/>
        <v>0</v>
      </c>
      <c r="AD6476"/>
      <c r="AE6476"/>
      <c r="AF6476"/>
      <c r="AG6476"/>
      <c r="AH6476"/>
      <c r="AI6476"/>
      <c r="AJ6476"/>
      <c r="AK6476"/>
      <c r="AL6476"/>
      <c r="AM6476"/>
      <c r="AN6476"/>
    </row>
    <row r="6477" spans="1:40" s="47" customFormat="1" ht="22.5">
      <c r="A6477" s="121"/>
      <c r="B6477" s="121"/>
      <c r="C6477" s="121"/>
      <c r="D6477" s="121"/>
      <c r="E6477" s="121"/>
      <c r="F6477" s="121"/>
      <c r="G6477" s="121"/>
      <c r="H6477" s="121"/>
      <c r="I6477" s="121"/>
      <c r="J6477" s="121"/>
      <c r="K6477" s="121"/>
      <c r="L6477" s="121"/>
      <c r="M6477" s="121"/>
      <c r="N6477" s="504" t="s">
        <v>2364</v>
      </c>
      <c r="O6477" s="528" t="s">
        <v>2365</v>
      </c>
      <c r="P6477" s="257"/>
      <c r="Q6477" s="321"/>
      <c r="R6477" s="260"/>
      <c r="S6477" s="260"/>
      <c r="T6477" s="260"/>
      <c r="U6477" s="260"/>
      <c r="V6477" s="262"/>
      <c r="W6477" s="548">
        <f t="shared" si="34"/>
        <v>0</v>
      </c>
      <c r="X6477" s="262"/>
      <c r="Y6477" s="260"/>
      <c r="Z6477" s="548">
        <f t="shared" si="35"/>
        <v>0</v>
      </c>
      <c r="AA6477" s="262"/>
      <c r="AB6477" s="262"/>
      <c r="AC6477" s="548">
        <f t="shared" si="36"/>
        <v>0</v>
      </c>
      <c r="AD6477"/>
      <c r="AE6477"/>
      <c r="AF6477"/>
      <c r="AG6477"/>
      <c r="AH6477"/>
      <c r="AI6477"/>
      <c r="AJ6477"/>
      <c r="AK6477"/>
      <c r="AL6477"/>
      <c r="AM6477"/>
      <c r="AN6477"/>
    </row>
    <row r="6478" spans="1:40" s="47" customFormat="1">
      <c r="A6478" s="121"/>
      <c r="B6478" s="121"/>
      <c r="C6478" s="121"/>
      <c r="D6478" s="121"/>
      <c r="E6478" s="121"/>
      <c r="F6478" s="121"/>
      <c r="G6478" s="121"/>
      <c r="H6478" s="121"/>
      <c r="I6478" s="121"/>
      <c r="J6478" s="121"/>
      <c r="K6478" s="121"/>
      <c r="L6478" s="121"/>
      <c r="M6478" s="121"/>
      <c r="N6478" s="504" t="s">
        <v>2366</v>
      </c>
      <c r="O6478" s="528" t="s">
        <v>2367</v>
      </c>
      <c r="P6478" s="257"/>
      <c r="Q6478" s="321"/>
      <c r="R6478" s="260"/>
      <c r="S6478" s="260"/>
      <c r="T6478" s="260"/>
      <c r="U6478" s="260"/>
      <c r="V6478" s="262"/>
      <c r="W6478" s="548">
        <f t="shared" si="34"/>
        <v>0</v>
      </c>
      <c r="X6478" s="262"/>
      <c r="Y6478" s="260"/>
      <c r="Z6478" s="548">
        <f t="shared" si="35"/>
        <v>0</v>
      </c>
      <c r="AA6478" s="262"/>
      <c r="AB6478" s="262"/>
      <c r="AC6478" s="548">
        <f t="shared" si="36"/>
        <v>0</v>
      </c>
      <c r="AD6478"/>
      <c r="AE6478"/>
      <c r="AF6478"/>
      <c r="AG6478"/>
      <c r="AH6478"/>
      <c r="AI6478"/>
      <c r="AJ6478"/>
      <c r="AK6478"/>
      <c r="AL6478"/>
      <c r="AM6478"/>
      <c r="AN6478"/>
    </row>
    <row r="6479" spans="1:40" s="47" customFormat="1">
      <c r="A6479" s="121"/>
      <c r="B6479" s="121"/>
      <c r="C6479" s="121"/>
      <c r="D6479" s="121"/>
      <c r="E6479" s="121"/>
      <c r="F6479" s="121"/>
      <c r="G6479" s="121"/>
      <c r="H6479" s="121"/>
      <c r="I6479" s="121"/>
      <c r="J6479" s="121"/>
      <c r="K6479" s="121"/>
      <c r="L6479" s="121"/>
      <c r="M6479" s="121"/>
      <c r="N6479" s="504"/>
      <c r="O6479" s="527"/>
      <c r="P6479" s="260"/>
      <c r="Q6479" s="321"/>
      <c r="R6479" s="260"/>
      <c r="S6479" s="260"/>
      <c r="T6479" s="260"/>
      <c r="U6479" s="260"/>
      <c r="V6479" s="260"/>
      <c r="W6479" s="260"/>
      <c r="X6479" s="260"/>
      <c r="Y6479" s="260"/>
      <c r="Z6479" s="260"/>
      <c r="AA6479" s="260"/>
      <c r="AB6479" s="260"/>
      <c r="AC6479" s="260"/>
      <c r="AD6479"/>
      <c r="AE6479"/>
      <c r="AF6479"/>
      <c r="AG6479"/>
      <c r="AH6479"/>
      <c r="AI6479"/>
      <c r="AJ6479"/>
      <c r="AK6479"/>
      <c r="AL6479"/>
      <c r="AM6479"/>
      <c r="AN6479"/>
    </row>
    <row r="6480" spans="1:40" s="47" customFormat="1">
      <c r="A6480" s="121"/>
      <c r="B6480" s="121"/>
      <c r="C6480" s="121"/>
      <c r="D6480" s="121"/>
      <c r="E6480" s="121"/>
      <c r="F6480" s="121"/>
      <c r="G6480" s="121"/>
      <c r="H6480" s="121"/>
      <c r="I6480" s="121"/>
      <c r="J6480" s="121"/>
      <c r="K6480" s="121"/>
      <c r="L6480" s="121"/>
      <c r="M6480" s="121"/>
      <c r="N6480" s="504"/>
      <c r="O6480" s="527"/>
      <c r="P6480" s="260"/>
      <c r="Q6480" s="321"/>
      <c r="R6480" s="260"/>
      <c r="S6480" s="260"/>
      <c r="T6480" s="260"/>
      <c r="U6480" s="260"/>
      <c r="V6480" s="260"/>
      <c r="W6480" s="260"/>
      <c r="X6480" s="260"/>
      <c r="Y6480" s="260"/>
      <c r="Z6480" s="260"/>
      <c r="AA6480" s="260"/>
      <c r="AB6480" s="260"/>
      <c r="AC6480" s="260"/>
      <c r="AD6480"/>
      <c r="AE6480"/>
      <c r="AF6480"/>
      <c r="AG6480"/>
      <c r="AH6480"/>
      <c r="AI6480"/>
      <c r="AJ6480"/>
      <c r="AK6480"/>
      <c r="AL6480"/>
      <c r="AM6480"/>
      <c r="AN6480"/>
    </row>
    <row r="6481" spans="1:40" s="47" customFormat="1">
      <c r="A6481" s="121"/>
      <c r="B6481" s="121"/>
      <c r="C6481" s="121"/>
      <c r="D6481" s="121"/>
      <c r="E6481" s="121"/>
      <c r="F6481" s="121"/>
      <c r="G6481" s="121"/>
      <c r="H6481" s="121"/>
      <c r="I6481" s="121"/>
      <c r="J6481" s="121"/>
      <c r="K6481" s="121"/>
      <c r="L6481" s="121"/>
      <c r="M6481" s="121"/>
      <c r="N6481" s="504"/>
      <c r="O6481" s="527"/>
      <c r="P6481" s="260"/>
      <c r="Q6481" s="321"/>
      <c r="R6481" s="260"/>
      <c r="S6481" s="260"/>
      <c r="T6481" s="260"/>
      <c r="U6481" s="260"/>
      <c r="V6481" s="260"/>
      <c r="W6481" s="260"/>
      <c r="X6481" s="260"/>
      <c r="Y6481" s="260"/>
      <c r="Z6481" s="260"/>
      <c r="AA6481" s="260"/>
      <c r="AB6481" s="260"/>
      <c r="AC6481" s="260"/>
      <c r="AD6481"/>
      <c r="AE6481"/>
      <c r="AF6481"/>
      <c r="AG6481"/>
      <c r="AH6481"/>
      <c r="AI6481"/>
      <c r="AJ6481"/>
      <c r="AK6481"/>
      <c r="AL6481"/>
      <c r="AM6481"/>
      <c r="AN6481"/>
    </row>
    <row r="6482" spans="1:40" s="47" customFormat="1">
      <c r="A6482" s="121"/>
      <c r="B6482" s="121"/>
      <c r="C6482" s="121"/>
      <c r="D6482" s="121"/>
      <c r="E6482" s="121"/>
      <c r="F6482" s="121"/>
      <c r="G6482" s="121"/>
      <c r="H6482" s="121"/>
      <c r="I6482" s="121"/>
      <c r="J6482" s="121"/>
      <c r="K6482" s="121"/>
      <c r="L6482" s="121"/>
      <c r="M6482" s="121"/>
      <c r="N6482" s="504"/>
      <c r="O6482" s="527"/>
      <c r="P6482" s="260"/>
      <c r="Q6482" s="321"/>
      <c r="R6482" s="260"/>
      <c r="S6482" s="260"/>
      <c r="T6482" s="260"/>
      <c r="U6482" s="260"/>
      <c r="V6482" s="260"/>
      <c r="W6482" s="260"/>
      <c r="X6482" s="260"/>
      <c r="Y6482" s="260"/>
      <c r="Z6482" s="260"/>
      <c r="AA6482" s="260"/>
      <c r="AB6482" s="260"/>
      <c r="AC6482" s="260"/>
      <c r="AD6482"/>
      <c r="AE6482"/>
      <c r="AF6482"/>
      <c r="AG6482"/>
      <c r="AH6482"/>
      <c r="AI6482"/>
      <c r="AJ6482"/>
      <c r="AK6482"/>
      <c r="AL6482"/>
      <c r="AM6482"/>
      <c r="AN6482"/>
    </row>
    <row r="6483" spans="1:40" s="47" customFormat="1">
      <c r="A6483" s="121"/>
      <c r="B6483" s="121"/>
      <c r="C6483" s="121"/>
      <c r="D6483" s="121"/>
      <c r="E6483" s="121"/>
      <c r="F6483" s="121"/>
      <c r="G6483" s="121"/>
      <c r="H6483" s="121"/>
      <c r="I6483" s="121"/>
      <c r="J6483" s="121"/>
      <c r="K6483" s="121"/>
      <c r="L6483" s="121"/>
      <c r="M6483" s="121"/>
      <c r="N6483" s="504"/>
      <c r="O6483" s="527"/>
      <c r="P6483" s="260"/>
      <c r="Q6483" s="321"/>
      <c r="R6483" s="260"/>
      <c r="S6483" s="260"/>
      <c r="T6483" s="260"/>
      <c r="U6483" s="260"/>
      <c r="V6483" s="260"/>
      <c r="W6483" s="260"/>
      <c r="X6483" s="260"/>
      <c r="Y6483" s="260"/>
      <c r="Z6483" s="260"/>
      <c r="AA6483" s="260"/>
      <c r="AB6483" s="260"/>
      <c r="AC6483" s="260"/>
      <c r="AD6483"/>
      <c r="AE6483"/>
      <c r="AF6483"/>
      <c r="AG6483"/>
      <c r="AH6483"/>
      <c r="AI6483"/>
      <c r="AJ6483"/>
      <c r="AK6483"/>
      <c r="AL6483"/>
      <c r="AM6483"/>
      <c r="AN6483"/>
    </row>
    <row r="6484" spans="1:40" s="47" customFormat="1">
      <c r="A6484" s="121"/>
      <c r="B6484" s="121"/>
      <c r="C6484" s="121"/>
      <c r="D6484" s="121"/>
      <c r="E6484" s="121"/>
      <c r="F6484" s="121"/>
      <c r="G6484" s="121"/>
      <c r="H6484" s="121"/>
      <c r="I6484" s="121"/>
      <c r="J6484" s="121"/>
      <c r="K6484" s="121"/>
      <c r="L6484" s="121"/>
      <c r="M6484" s="121"/>
      <c r="N6484" s="504"/>
      <c r="O6484" s="527"/>
      <c r="P6484" s="260"/>
      <c r="Q6484" s="321"/>
      <c r="R6484" s="260"/>
      <c r="S6484" s="260"/>
      <c r="T6484" s="260"/>
      <c r="U6484" s="260"/>
      <c r="V6484" s="260"/>
      <c r="W6484" s="260"/>
      <c r="X6484" s="260"/>
      <c r="Y6484" s="260"/>
      <c r="Z6484" s="260"/>
      <c r="AA6484" s="260"/>
      <c r="AB6484" s="260"/>
      <c r="AC6484" s="260"/>
      <c r="AD6484"/>
      <c r="AE6484"/>
      <c r="AF6484"/>
      <c r="AG6484"/>
      <c r="AH6484"/>
      <c r="AI6484"/>
      <c r="AJ6484"/>
      <c r="AK6484"/>
      <c r="AL6484"/>
      <c r="AM6484"/>
      <c r="AN6484"/>
    </row>
    <row r="6485" spans="1:40" s="47" customFormat="1">
      <c r="A6485" s="121"/>
      <c r="B6485" s="121"/>
      <c r="C6485" s="121"/>
      <c r="D6485" s="121"/>
      <c r="E6485" s="121"/>
      <c r="F6485" s="121"/>
      <c r="G6485" s="121"/>
      <c r="H6485" s="121"/>
      <c r="I6485" s="121"/>
      <c r="J6485" s="121"/>
      <c r="K6485" s="121"/>
      <c r="L6485" s="121"/>
      <c r="M6485" s="121"/>
      <c r="N6485" s="504"/>
      <c r="O6485" s="527"/>
      <c r="P6485" s="260"/>
      <c r="Q6485" s="321"/>
      <c r="R6485" s="260"/>
      <c r="S6485" s="260"/>
      <c r="T6485" s="260"/>
      <c r="U6485" s="260"/>
      <c r="V6485" s="260"/>
      <c r="W6485" s="260"/>
      <c r="X6485" s="260"/>
      <c r="Y6485" s="260"/>
      <c r="Z6485" s="260"/>
      <c r="AA6485" s="260"/>
      <c r="AB6485" s="260"/>
      <c r="AC6485" s="260"/>
      <c r="AD6485"/>
      <c r="AE6485"/>
      <c r="AF6485"/>
      <c r="AG6485"/>
      <c r="AH6485"/>
      <c r="AI6485"/>
      <c r="AJ6485"/>
      <c r="AK6485"/>
      <c r="AL6485"/>
      <c r="AM6485"/>
      <c r="AN6485"/>
    </row>
    <row r="6486" spans="1:40" s="47" customFormat="1">
      <c r="A6486" s="121"/>
      <c r="B6486" s="121"/>
      <c r="C6486" s="121"/>
      <c r="D6486" s="121"/>
      <c r="E6486" s="121"/>
      <c r="F6486" s="121"/>
      <c r="G6486" s="121"/>
      <c r="H6486" s="121"/>
      <c r="I6486" s="121"/>
      <c r="J6486" s="121"/>
      <c r="K6486" s="121"/>
      <c r="L6486" s="121"/>
      <c r="M6486" s="121"/>
      <c r="N6486" s="504"/>
      <c r="O6486" s="527"/>
      <c r="P6486" s="260"/>
      <c r="Q6486" s="321"/>
      <c r="R6486" s="260"/>
      <c r="S6486" s="260"/>
      <c r="T6486" s="260"/>
      <c r="U6486" s="260"/>
      <c r="V6486" s="260"/>
      <c r="W6486" s="260"/>
      <c r="X6486" s="260"/>
      <c r="Y6486" s="260"/>
      <c r="Z6486" s="260"/>
      <c r="AA6486" s="260"/>
      <c r="AB6486" s="260"/>
      <c r="AC6486" s="260"/>
      <c r="AD6486"/>
      <c r="AE6486"/>
      <c r="AF6486"/>
      <c r="AG6486"/>
      <c r="AH6486"/>
      <c r="AI6486"/>
      <c r="AJ6486"/>
      <c r="AK6486"/>
      <c r="AL6486"/>
      <c r="AM6486"/>
      <c r="AN6486"/>
    </row>
    <row r="6487" spans="1:40" s="47" customFormat="1">
      <c r="A6487" s="121"/>
      <c r="B6487" s="121"/>
      <c r="C6487" s="121"/>
      <c r="D6487" s="121"/>
      <c r="E6487" s="121"/>
      <c r="F6487" s="121"/>
      <c r="G6487" s="121"/>
      <c r="H6487" s="121"/>
      <c r="I6487" s="121"/>
      <c r="J6487" s="121"/>
      <c r="K6487" s="121"/>
      <c r="L6487" s="121"/>
      <c r="M6487" s="121"/>
      <c r="N6487" s="504"/>
      <c r="O6487" s="527"/>
      <c r="P6487" s="260"/>
      <c r="Q6487" s="321"/>
      <c r="R6487" s="260"/>
      <c r="S6487" s="260"/>
      <c r="T6487" s="260"/>
      <c r="U6487" s="260"/>
      <c r="V6487" s="260"/>
      <c r="W6487" s="260"/>
      <c r="X6487" s="260"/>
      <c r="Y6487" s="260"/>
      <c r="Z6487" s="260"/>
      <c r="AA6487" s="260"/>
      <c r="AB6487" s="260"/>
      <c r="AC6487" s="260"/>
      <c r="AD6487"/>
      <c r="AE6487"/>
      <c r="AF6487"/>
      <c r="AG6487"/>
      <c r="AH6487"/>
      <c r="AI6487"/>
      <c r="AJ6487"/>
      <c r="AK6487"/>
      <c r="AL6487"/>
      <c r="AM6487"/>
      <c r="AN6487"/>
    </row>
    <row r="6488" spans="1:40" s="47" customFormat="1">
      <c r="A6488" s="121"/>
      <c r="B6488" s="121"/>
      <c r="C6488" s="121"/>
      <c r="D6488" s="121"/>
      <c r="E6488" s="121"/>
      <c r="F6488" s="121"/>
      <c r="G6488" s="121"/>
      <c r="H6488" s="121"/>
      <c r="I6488" s="121"/>
      <c r="J6488" s="121"/>
      <c r="K6488" s="121"/>
      <c r="L6488" s="121"/>
      <c r="M6488" s="121"/>
      <c r="N6488" s="504"/>
      <c r="O6488" s="527"/>
      <c r="P6488" s="260"/>
      <c r="Q6488" s="321"/>
      <c r="R6488" s="260"/>
      <c r="S6488" s="260"/>
      <c r="T6488" s="260"/>
      <c r="U6488" s="260"/>
      <c r="V6488" s="260"/>
      <c r="W6488" s="260"/>
      <c r="X6488" s="260"/>
      <c r="Y6488" s="260"/>
      <c r="Z6488" s="260"/>
      <c r="AA6488" s="260"/>
      <c r="AB6488" s="260"/>
      <c r="AC6488" s="260"/>
      <c r="AD6488"/>
      <c r="AE6488"/>
      <c r="AF6488"/>
      <c r="AG6488"/>
      <c r="AH6488"/>
      <c r="AI6488"/>
      <c r="AJ6488"/>
      <c r="AK6488"/>
      <c r="AL6488"/>
      <c r="AM6488"/>
      <c r="AN6488"/>
    </row>
    <row r="6489" spans="1:40" s="47" customFormat="1">
      <c r="A6489" s="121"/>
      <c r="B6489" s="121"/>
      <c r="C6489" s="121"/>
      <c r="D6489" s="121"/>
      <c r="E6489" s="121"/>
      <c r="F6489" s="121"/>
      <c r="G6489" s="121"/>
      <c r="H6489" s="121"/>
      <c r="I6489" s="121"/>
      <c r="J6489" s="121"/>
      <c r="K6489" s="121"/>
      <c r="L6489" s="121"/>
      <c r="M6489" s="121"/>
      <c r="N6489" s="504"/>
      <c r="O6489" s="527"/>
      <c r="P6489" s="260"/>
      <c r="Q6489" s="321"/>
      <c r="R6489" s="260"/>
      <c r="S6489" s="260"/>
      <c r="T6489" s="260"/>
      <c r="U6489" s="260"/>
      <c r="V6489" s="260"/>
      <c r="W6489" s="260"/>
      <c r="X6489" s="260"/>
      <c r="Y6489" s="260"/>
      <c r="Z6489" s="260"/>
      <c r="AA6489" s="260"/>
      <c r="AB6489" s="260"/>
      <c r="AC6489" s="260"/>
      <c r="AD6489" s="57"/>
      <c r="AE6489" s="57"/>
      <c r="AF6489" s="57"/>
      <c r="AG6489" s="57"/>
      <c r="AH6489" s="57"/>
      <c r="AI6489" s="57"/>
      <c r="AJ6489" s="57"/>
      <c r="AK6489" s="57"/>
      <c r="AL6489" s="57"/>
      <c r="AM6489" s="385"/>
    </row>
    <row r="6490" spans="1:40" s="47" customFormat="1">
      <c r="A6490" s="121"/>
      <c r="B6490" s="121"/>
      <c r="C6490" s="121"/>
      <c r="D6490" s="121"/>
      <c r="E6490" s="121"/>
      <c r="F6490" s="121"/>
      <c r="G6490" s="121"/>
      <c r="H6490" s="121"/>
      <c r="I6490" s="121"/>
      <c r="J6490" s="121"/>
      <c r="K6490" s="121"/>
      <c r="L6490" s="121"/>
      <c r="M6490" s="121"/>
      <c r="N6490" s="504"/>
      <c r="O6490" s="527"/>
      <c r="P6490" s="260"/>
      <c r="Q6490" s="321"/>
      <c r="R6490" s="260"/>
      <c r="S6490" s="260"/>
      <c r="T6490" s="260"/>
      <c r="U6490" s="260"/>
      <c r="V6490" s="260"/>
      <c r="W6490" s="260"/>
      <c r="X6490" s="260"/>
      <c r="Y6490" s="260"/>
      <c r="Z6490" s="260"/>
      <c r="AA6490" s="260"/>
      <c r="AB6490" s="260"/>
      <c r="AC6490" s="260"/>
      <c r="AD6490" s="57"/>
      <c r="AE6490" s="57"/>
      <c r="AF6490" s="57"/>
      <c r="AG6490" s="57"/>
      <c r="AH6490" s="57"/>
      <c r="AI6490" s="57"/>
      <c r="AJ6490" s="57"/>
      <c r="AK6490" s="57"/>
      <c r="AL6490" s="57"/>
      <c r="AM6490" s="385"/>
    </row>
    <row r="6491" spans="1:40" s="47" customFormat="1">
      <c r="A6491" s="121"/>
      <c r="B6491" s="121"/>
      <c r="C6491" s="121"/>
      <c r="D6491" s="121"/>
      <c r="E6491" s="121"/>
      <c r="F6491" s="121"/>
      <c r="G6491" s="121"/>
      <c r="H6491" s="121"/>
      <c r="I6491" s="121"/>
      <c r="J6491" s="121"/>
      <c r="K6491" s="121"/>
      <c r="L6491" s="121"/>
      <c r="M6491" s="121"/>
      <c r="N6491" s="504"/>
      <c r="O6491" s="527"/>
      <c r="P6491" s="260"/>
      <c r="Q6491" s="321"/>
      <c r="R6491" s="260"/>
      <c r="S6491" s="260"/>
      <c r="T6491" s="260"/>
      <c r="U6491" s="260"/>
      <c r="V6491" s="260"/>
      <c r="W6491" s="260"/>
      <c r="X6491" s="260"/>
      <c r="Y6491" s="260"/>
      <c r="Z6491" s="260"/>
      <c r="AA6491" s="260"/>
      <c r="AB6491" s="260"/>
      <c r="AC6491" s="260"/>
      <c r="AD6491" s="57"/>
      <c r="AE6491" s="57"/>
      <c r="AF6491" s="57"/>
      <c r="AG6491" s="57"/>
      <c r="AH6491" s="57"/>
      <c r="AI6491" s="57"/>
      <c r="AJ6491" s="57"/>
      <c r="AK6491" s="57"/>
      <c r="AL6491" s="57"/>
      <c r="AM6491" s="385"/>
    </row>
    <row r="6492" spans="1:40" s="47" customFormat="1">
      <c r="A6492" s="121"/>
      <c r="B6492" s="121"/>
      <c r="C6492" s="121"/>
      <c r="D6492" s="121"/>
      <c r="E6492" s="121"/>
      <c r="F6492" s="121"/>
      <c r="G6492" s="121"/>
      <c r="H6492" s="121"/>
      <c r="I6492" s="121"/>
      <c r="J6492" s="121"/>
      <c r="K6492" s="121"/>
      <c r="L6492" s="121"/>
      <c r="M6492" s="121"/>
      <c r="N6492" s="504"/>
      <c r="O6492" s="527"/>
      <c r="P6492" s="260"/>
      <c r="Q6492" s="321"/>
      <c r="R6492" s="260"/>
      <c r="S6492" s="260"/>
      <c r="T6492" s="260"/>
      <c r="U6492" s="260"/>
      <c r="V6492" s="260"/>
      <c r="W6492" s="260"/>
      <c r="X6492" s="260"/>
      <c r="Y6492" s="260"/>
      <c r="Z6492" s="260"/>
      <c r="AA6492" s="260"/>
      <c r="AB6492" s="260"/>
      <c r="AC6492" s="260"/>
      <c r="AD6492" s="57"/>
      <c r="AE6492" s="57"/>
      <c r="AF6492" s="57"/>
      <c r="AG6492" s="57"/>
      <c r="AH6492" s="57"/>
      <c r="AI6492" s="57"/>
      <c r="AJ6492" s="57"/>
      <c r="AK6492" s="57"/>
      <c r="AL6492" s="57"/>
      <c r="AM6492" s="385"/>
    </row>
    <row r="6493" spans="1:40" s="47" customFormat="1">
      <c r="A6493" s="121"/>
      <c r="B6493" s="121"/>
      <c r="C6493" s="121"/>
      <c r="D6493" s="121"/>
      <c r="E6493" s="121"/>
      <c r="F6493" s="121"/>
      <c r="G6493" s="121"/>
      <c r="H6493" s="121"/>
      <c r="I6493" s="121"/>
      <c r="J6493" s="121"/>
      <c r="K6493" s="121"/>
      <c r="L6493" s="121"/>
      <c r="M6493" s="121"/>
      <c r="N6493" s="504"/>
      <c r="O6493" s="527"/>
      <c r="P6493" s="260"/>
      <c r="Q6493" s="321"/>
      <c r="R6493" s="260"/>
      <c r="S6493" s="260"/>
      <c r="T6493" s="260"/>
      <c r="U6493" s="260"/>
      <c r="V6493" s="260"/>
      <c r="W6493" s="260"/>
      <c r="X6493" s="260"/>
      <c r="Y6493" s="260"/>
      <c r="Z6493" s="260"/>
      <c r="AA6493" s="260"/>
      <c r="AB6493" s="260"/>
      <c r="AC6493" s="260"/>
      <c r="AD6493" s="57"/>
      <c r="AE6493" s="57"/>
      <c r="AF6493" s="57"/>
      <c r="AG6493" s="57"/>
      <c r="AH6493" s="57"/>
      <c r="AI6493" s="57"/>
      <c r="AJ6493" s="57"/>
      <c r="AK6493" s="57"/>
      <c r="AL6493" s="57"/>
      <c r="AM6493" s="385"/>
    </row>
    <row r="6494" spans="1:40" s="47" customFormat="1">
      <c r="A6494" s="121"/>
      <c r="B6494" s="121"/>
      <c r="C6494" s="121"/>
      <c r="D6494" s="121"/>
      <c r="E6494" s="121"/>
      <c r="F6494" s="121"/>
      <c r="G6494" s="121"/>
      <c r="H6494" s="121"/>
      <c r="I6494" s="121"/>
      <c r="J6494" s="121"/>
      <c r="K6494" s="121"/>
      <c r="L6494" s="121"/>
      <c r="M6494" s="121"/>
      <c r="N6494" s="504"/>
      <c r="O6494" s="527"/>
      <c r="P6494" s="260"/>
      <c r="Q6494" s="321"/>
      <c r="R6494" s="260"/>
      <c r="S6494" s="260"/>
      <c r="T6494" s="260"/>
      <c r="U6494" s="260"/>
      <c r="V6494" s="260"/>
      <c r="W6494" s="260"/>
      <c r="X6494" s="260"/>
      <c r="Y6494" s="260"/>
      <c r="Z6494" s="260"/>
      <c r="AA6494" s="260"/>
      <c r="AB6494" s="260"/>
      <c r="AC6494" s="260"/>
      <c r="AD6494" s="57"/>
      <c r="AE6494" s="57"/>
      <c r="AF6494" s="57"/>
      <c r="AG6494" s="57"/>
      <c r="AH6494" s="57"/>
      <c r="AI6494" s="57"/>
      <c r="AJ6494" s="57"/>
      <c r="AK6494" s="57"/>
      <c r="AL6494" s="57"/>
      <c r="AM6494" s="385"/>
    </row>
    <row r="6495" spans="1:40" s="47" customFormat="1">
      <c r="A6495" s="121"/>
      <c r="B6495" s="121"/>
      <c r="C6495" s="121"/>
      <c r="D6495" s="121"/>
      <c r="E6495" s="121"/>
      <c r="F6495" s="121"/>
      <c r="G6495" s="121"/>
      <c r="H6495" s="121"/>
      <c r="I6495" s="121"/>
      <c r="J6495" s="121"/>
      <c r="K6495" s="121"/>
      <c r="L6495" s="121"/>
      <c r="M6495" s="121"/>
      <c r="N6495" s="260"/>
      <c r="O6495" s="260"/>
      <c r="P6495" s="260"/>
      <c r="Q6495" s="321"/>
      <c r="R6495" s="260"/>
      <c r="S6495" s="260"/>
      <c r="T6495" s="260"/>
      <c r="U6495" s="260"/>
      <c r="V6495" s="260"/>
      <c r="W6495" s="260"/>
      <c r="X6495" s="260"/>
      <c r="Y6495" s="260"/>
      <c r="Z6495" s="260"/>
      <c r="AA6495" s="260"/>
      <c r="AB6495" s="260"/>
      <c r="AC6495" s="260"/>
      <c r="AD6495"/>
      <c r="AE6495"/>
      <c r="AF6495"/>
      <c r="AG6495"/>
      <c r="AH6495"/>
      <c r="AI6495"/>
      <c r="AJ6495"/>
      <c r="AK6495"/>
      <c r="AL6495"/>
      <c r="AM6495"/>
      <c r="AN6495"/>
    </row>
    <row r="6496" spans="1:40" s="47" customFormat="1">
      <c r="A6496" s="121"/>
      <c r="B6496" s="121"/>
      <c r="C6496" s="121"/>
      <c r="D6496" s="121"/>
      <c r="E6496" s="121"/>
      <c r="F6496" s="121"/>
      <c r="G6496" s="121"/>
      <c r="H6496" s="121"/>
      <c r="I6496" s="121"/>
      <c r="J6496" s="121"/>
      <c r="K6496" s="121"/>
      <c r="L6496" s="121"/>
      <c r="M6496" s="121"/>
      <c r="N6496" s="260"/>
      <c r="O6496" s="260"/>
      <c r="P6496" s="260"/>
      <c r="Q6496" s="321"/>
      <c r="R6496" s="260"/>
      <c r="S6496" s="260"/>
      <c r="T6496" s="260"/>
      <c r="U6496" s="260"/>
      <c r="V6496" s="260"/>
      <c r="W6496" s="260"/>
      <c r="X6496" s="260"/>
      <c r="Y6496" s="260"/>
      <c r="Z6496" s="260"/>
      <c r="AA6496" s="260"/>
      <c r="AB6496" s="260"/>
      <c r="AC6496" s="260"/>
      <c r="AD6496"/>
      <c r="AE6496"/>
      <c r="AF6496"/>
      <c r="AG6496"/>
      <c r="AH6496"/>
      <c r="AI6496"/>
      <c r="AJ6496"/>
      <c r="AK6496"/>
      <c r="AL6496"/>
      <c r="AM6496"/>
      <c r="AN6496"/>
    </row>
    <row r="6497" spans="1:40" s="47" customFormat="1">
      <c r="A6497" s="121"/>
      <c r="B6497" s="121"/>
      <c r="C6497" s="121"/>
      <c r="D6497" s="121"/>
      <c r="E6497" s="121"/>
      <c r="F6497" s="121"/>
      <c r="G6497" s="121"/>
      <c r="H6497" s="121"/>
      <c r="I6497" s="121"/>
      <c r="J6497" s="121"/>
      <c r="K6497" s="121"/>
      <c r="L6497" s="121"/>
      <c r="M6497" s="121"/>
      <c r="N6497" s="260"/>
      <c r="O6497" s="260"/>
      <c r="P6497" s="260"/>
      <c r="Q6497" s="321"/>
      <c r="R6497" s="260"/>
      <c r="S6497" s="260"/>
      <c r="T6497" s="260"/>
      <c r="U6497" s="260"/>
      <c r="V6497" s="260"/>
      <c r="W6497" s="260"/>
      <c r="X6497" s="260"/>
      <c r="Y6497" s="260"/>
      <c r="Z6497" s="260"/>
      <c r="AA6497" s="260"/>
      <c r="AB6497" s="260"/>
      <c r="AC6497" s="260"/>
      <c r="AD6497"/>
      <c r="AE6497"/>
      <c r="AF6497"/>
      <c r="AG6497"/>
      <c r="AH6497"/>
      <c r="AI6497"/>
      <c r="AJ6497"/>
      <c r="AK6497"/>
      <c r="AL6497"/>
      <c r="AM6497"/>
      <c r="AN6497"/>
    </row>
    <row r="6498" spans="1:40" s="47" customFormat="1">
      <c r="A6498" s="121"/>
      <c r="B6498" s="121"/>
      <c r="C6498" s="121"/>
      <c r="D6498" s="121"/>
      <c r="E6498" s="121"/>
      <c r="F6498" s="121"/>
      <c r="G6498" s="121"/>
      <c r="H6498" s="121"/>
      <c r="I6498" s="121"/>
      <c r="J6498" s="121"/>
      <c r="K6498" s="121"/>
      <c r="L6498" s="121"/>
      <c r="M6498" s="121"/>
      <c r="N6498" s="260"/>
      <c r="O6498" s="260"/>
      <c r="P6498" s="260"/>
      <c r="Q6498" s="321"/>
      <c r="R6498" s="260"/>
      <c r="S6498" s="260"/>
      <c r="T6498" s="260"/>
      <c r="U6498" s="260"/>
      <c r="V6498" s="260"/>
      <c r="W6498" s="260"/>
      <c r="X6498" s="260"/>
      <c r="Y6498" s="260"/>
      <c r="Z6498" s="260"/>
      <c r="AA6498" s="260"/>
      <c r="AB6498" s="260"/>
      <c r="AC6498" s="260"/>
      <c r="AD6498"/>
      <c r="AE6498"/>
      <c r="AF6498"/>
      <c r="AG6498"/>
      <c r="AH6498"/>
      <c r="AI6498"/>
      <c r="AJ6498"/>
      <c r="AK6498"/>
      <c r="AL6498"/>
      <c r="AM6498"/>
      <c r="AN6498"/>
    </row>
    <row r="6499" spans="1:40" s="47" customFormat="1">
      <c r="A6499" s="121"/>
      <c r="B6499" s="121"/>
      <c r="C6499" s="121"/>
      <c r="D6499" s="121"/>
      <c r="E6499" s="121"/>
      <c r="F6499" s="121"/>
      <c r="G6499" s="121"/>
      <c r="H6499" s="121"/>
      <c r="I6499" s="121"/>
      <c r="J6499" s="121"/>
      <c r="K6499" s="121"/>
      <c r="L6499" s="121"/>
      <c r="M6499" s="121"/>
      <c r="N6499" s="260"/>
      <c r="O6499" s="260"/>
      <c r="P6499" s="260"/>
      <c r="Q6499" s="321"/>
      <c r="R6499" s="260"/>
      <c r="S6499" s="260"/>
      <c r="T6499" s="260"/>
      <c r="U6499" s="260"/>
      <c r="V6499" s="260"/>
      <c r="W6499" s="260"/>
      <c r="X6499" s="260"/>
      <c r="Y6499" s="260"/>
      <c r="Z6499" s="260"/>
      <c r="AA6499" s="260"/>
      <c r="AB6499" s="260"/>
      <c r="AC6499" s="260"/>
      <c r="AD6499"/>
      <c r="AE6499"/>
      <c r="AF6499"/>
      <c r="AG6499"/>
      <c r="AH6499"/>
      <c r="AI6499"/>
      <c r="AJ6499"/>
      <c r="AK6499"/>
      <c r="AL6499"/>
      <c r="AM6499"/>
      <c r="AN6499"/>
    </row>
    <row r="6500" spans="1:40" s="47" customFormat="1">
      <c r="A6500" s="121"/>
      <c r="B6500" s="121"/>
      <c r="C6500" s="121"/>
      <c r="D6500" s="121"/>
      <c r="E6500" s="121"/>
      <c r="F6500" s="121"/>
      <c r="G6500" s="121"/>
      <c r="H6500" s="121"/>
      <c r="I6500" s="121"/>
      <c r="J6500" s="121"/>
      <c r="K6500" s="121"/>
      <c r="L6500" s="121"/>
      <c r="M6500" s="121"/>
      <c r="N6500" s="260"/>
      <c r="O6500" s="260"/>
      <c r="P6500" s="260"/>
      <c r="Q6500" s="321"/>
      <c r="R6500" s="260"/>
      <c r="S6500" s="260"/>
      <c r="T6500" s="260"/>
      <c r="U6500" s="260"/>
      <c r="V6500" s="260"/>
      <c r="W6500" s="260"/>
      <c r="X6500" s="260"/>
      <c r="Y6500" s="260"/>
      <c r="Z6500" s="260"/>
      <c r="AA6500" s="260"/>
      <c r="AB6500" s="260"/>
      <c r="AC6500" s="260"/>
      <c r="AD6500"/>
      <c r="AE6500"/>
      <c r="AF6500"/>
      <c r="AG6500"/>
      <c r="AH6500"/>
      <c r="AI6500"/>
      <c r="AJ6500"/>
      <c r="AK6500"/>
      <c r="AL6500"/>
      <c r="AM6500"/>
      <c r="AN6500"/>
    </row>
    <row r="6501" spans="1:40" s="47" customFormat="1">
      <c r="A6501" s="121"/>
      <c r="B6501" s="121"/>
      <c r="C6501" s="121"/>
      <c r="D6501" s="121"/>
      <c r="E6501" s="121"/>
      <c r="F6501" s="121"/>
      <c r="G6501" s="121"/>
      <c r="H6501" s="121"/>
      <c r="I6501" s="121"/>
      <c r="J6501" s="121"/>
      <c r="K6501" s="121"/>
      <c r="L6501" s="121"/>
      <c r="M6501" s="121"/>
      <c r="N6501" s="260"/>
      <c r="O6501" s="260"/>
      <c r="P6501" s="260"/>
      <c r="Q6501" s="321"/>
      <c r="R6501" s="260"/>
      <c r="S6501" s="260"/>
      <c r="T6501" s="260"/>
      <c r="U6501" s="260"/>
      <c r="V6501" s="260"/>
      <c r="W6501" s="260"/>
      <c r="X6501" s="260"/>
      <c r="Y6501" s="260"/>
      <c r="Z6501" s="260"/>
      <c r="AA6501" s="260"/>
      <c r="AB6501" s="260"/>
      <c r="AC6501" s="260"/>
      <c r="AD6501"/>
      <c r="AE6501"/>
      <c r="AF6501"/>
      <c r="AG6501"/>
      <c r="AH6501"/>
      <c r="AI6501"/>
      <c r="AJ6501"/>
      <c r="AK6501"/>
      <c r="AL6501"/>
      <c r="AM6501"/>
      <c r="AN6501"/>
    </row>
    <row r="6502" spans="1:40" s="47" customFormat="1">
      <c r="A6502" s="121"/>
      <c r="B6502" s="121"/>
      <c r="C6502" s="121"/>
      <c r="D6502" s="121"/>
      <c r="E6502" s="121"/>
      <c r="F6502" s="121"/>
      <c r="G6502" s="121"/>
      <c r="H6502" s="121"/>
      <c r="I6502" s="121"/>
      <c r="J6502" s="121"/>
      <c r="K6502" s="121"/>
      <c r="L6502" s="121"/>
      <c r="M6502" s="121"/>
      <c r="N6502" s="260"/>
      <c r="O6502" s="260"/>
      <c r="P6502" s="260"/>
      <c r="Q6502" s="321"/>
      <c r="R6502" s="260"/>
      <c r="S6502" s="260"/>
      <c r="T6502" s="260"/>
      <c r="U6502" s="260"/>
      <c r="V6502" s="260"/>
      <c r="W6502" s="260"/>
      <c r="X6502" s="260"/>
      <c r="Y6502" s="260"/>
      <c r="Z6502" s="260"/>
      <c r="AA6502" s="260"/>
      <c r="AB6502" s="260"/>
      <c r="AC6502" s="260"/>
      <c r="AD6502"/>
      <c r="AE6502"/>
      <c r="AF6502"/>
      <c r="AG6502"/>
      <c r="AH6502"/>
      <c r="AI6502"/>
      <c r="AJ6502"/>
      <c r="AK6502"/>
      <c r="AL6502"/>
      <c r="AM6502"/>
      <c r="AN6502"/>
    </row>
    <row r="6503" spans="1:40" s="47" customFormat="1">
      <c r="A6503" s="121"/>
      <c r="B6503" s="121"/>
      <c r="C6503" s="121"/>
      <c r="D6503" s="121"/>
      <c r="E6503" s="121"/>
      <c r="F6503" s="121"/>
      <c r="G6503" s="121"/>
      <c r="H6503" s="121"/>
      <c r="I6503" s="121"/>
      <c r="J6503" s="121"/>
      <c r="K6503" s="121"/>
      <c r="L6503" s="121"/>
      <c r="M6503" s="121"/>
      <c r="N6503" s="260"/>
      <c r="O6503" s="260"/>
      <c r="P6503" s="260"/>
      <c r="Q6503" s="321"/>
      <c r="R6503" s="260"/>
      <c r="S6503" s="260"/>
      <c r="T6503" s="260"/>
      <c r="U6503" s="260"/>
      <c r="V6503" s="260"/>
      <c r="W6503" s="260"/>
      <c r="X6503" s="260"/>
      <c r="Y6503" s="260"/>
      <c r="Z6503" s="260"/>
      <c r="AA6503" s="260"/>
      <c r="AB6503" s="260"/>
      <c r="AC6503" s="260"/>
      <c r="AD6503"/>
      <c r="AE6503"/>
      <c r="AF6503"/>
      <c r="AG6503"/>
      <c r="AH6503"/>
      <c r="AI6503"/>
      <c r="AJ6503"/>
      <c r="AK6503"/>
      <c r="AL6503"/>
      <c r="AM6503"/>
      <c r="AN6503"/>
    </row>
    <row r="6504" spans="1:40" s="47" customFormat="1">
      <c r="A6504" s="121"/>
      <c r="B6504" s="121"/>
      <c r="C6504" s="121"/>
      <c r="D6504" s="121"/>
      <c r="E6504" s="121"/>
      <c r="F6504" s="121"/>
      <c r="G6504" s="121"/>
      <c r="H6504" s="121"/>
      <c r="I6504" s="121"/>
      <c r="J6504" s="121"/>
      <c r="K6504" s="121"/>
      <c r="L6504" s="121"/>
      <c r="M6504" s="121"/>
      <c r="N6504" s="260"/>
      <c r="O6504" s="260"/>
      <c r="P6504" s="260"/>
      <c r="Q6504" s="321"/>
      <c r="R6504" s="260"/>
      <c r="S6504" s="260"/>
      <c r="T6504" s="260"/>
      <c r="U6504" s="260"/>
      <c r="V6504" s="260"/>
      <c r="W6504" s="260"/>
      <c r="X6504" s="260"/>
      <c r="Y6504" s="260"/>
      <c r="Z6504" s="260"/>
      <c r="AA6504" s="260"/>
      <c r="AB6504" s="260"/>
      <c r="AC6504" s="260"/>
      <c r="AD6504"/>
      <c r="AE6504"/>
      <c r="AF6504"/>
      <c r="AG6504"/>
      <c r="AH6504"/>
      <c r="AI6504"/>
      <c r="AJ6504"/>
      <c r="AK6504"/>
      <c r="AL6504"/>
      <c r="AM6504"/>
      <c r="AN6504"/>
    </row>
    <row r="6505" spans="1:40" s="47" customFormat="1" ht="57" customHeight="1">
      <c r="A6505" s="121"/>
      <c r="B6505" s="121"/>
      <c r="C6505" s="121"/>
      <c r="D6505" s="121"/>
      <c r="E6505" s="121"/>
      <c r="F6505" s="121"/>
      <c r="G6505" s="121"/>
      <c r="H6505" s="121"/>
      <c r="I6505" s="121"/>
      <c r="J6505" s="121"/>
      <c r="K6505" s="121"/>
      <c r="L6505" s="121"/>
      <c r="M6505" s="121"/>
      <c r="N6505" s="260"/>
      <c r="O6505" s="260"/>
      <c r="P6505" s="260"/>
      <c r="Q6505" s="321"/>
      <c r="R6505" s="323"/>
      <c r="S6505" s="260"/>
      <c r="T6505" s="260"/>
      <c r="U6505" s="260"/>
      <c r="V6505" s="260"/>
      <c r="W6505" s="260"/>
      <c r="X6505" s="260"/>
      <c r="Y6505" s="260"/>
      <c r="Z6505" s="260"/>
      <c r="AA6505" s="260"/>
      <c r="AB6505" s="260"/>
      <c r="AC6505" s="260"/>
      <c r="AD6505" s="260"/>
      <c r="AE6505" s="260"/>
      <c r="AF6505" s="260"/>
      <c r="AG6505" s="260"/>
      <c r="AH6505" s="260"/>
      <c r="AI6505" s="260"/>
      <c r="AJ6505" s="260"/>
      <c r="AK6505" s="260"/>
      <c r="AL6505" s="260"/>
      <c r="AM6505" s="816" t="s">
        <v>351</v>
      </c>
      <c r="AN6505"/>
    </row>
    <row r="6506" spans="1:40" s="47" customFormat="1" ht="57" customHeight="1">
      <c r="A6506" s="121"/>
      <c r="B6506" s="121"/>
      <c r="C6506" s="121"/>
      <c r="D6506" s="121"/>
      <c r="E6506" s="121"/>
      <c r="F6506" s="121"/>
      <c r="G6506" s="121"/>
      <c r="H6506" s="121"/>
      <c r="I6506" s="121"/>
      <c r="J6506" s="121"/>
      <c r="K6506" s="121"/>
      <c r="L6506" s="121"/>
      <c r="M6506" s="121"/>
      <c r="N6506" s="260"/>
      <c r="O6506" s="260"/>
      <c r="P6506" s="260"/>
      <c r="Q6506" s="321"/>
      <c r="R6506" s="260"/>
      <c r="S6506" s="260"/>
      <c r="T6506" s="260"/>
      <c r="U6506" s="260"/>
      <c r="V6506" s="260"/>
      <c r="W6506" s="260"/>
      <c r="X6506" s="260"/>
      <c r="Y6506" s="260"/>
      <c r="Z6506" s="260"/>
      <c r="AA6506" s="260"/>
      <c r="AB6506" s="260"/>
      <c r="AC6506" s="260"/>
      <c r="AD6506" s="260"/>
      <c r="AE6506" s="260"/>
      <c r="AF6506" s="260"/>
      <c r="AG6506" s="260"/>
      <c r="AH6506" s="260"/>
      <c r="AI6506" s="260"/>
      <c r="AJ6506" s="260"/>
      <c r="AK6506" s="260"/>
      <c r="AL6506" s="260"/>
      <c r="AM6506" s="816"/>
      <c r="AN6506"/>
    </row>
    <row r="6507" spans="1:40" s="47" customFormat="1">
      <c r="A6507" s="121"/>
      <c r="B6507" s="121"/>
      <c r="C6507" s="121"/>
      <c r="D6507" s="121"/>
      <c r="E6507" s="121"/>
      <c r="F6507" s="121"/>
      <c r="G6507" s="121"/>
      <c r="H6507" s="121"/>
      <c r="I6507" s="121"/>
      <c r="J6507" s="121"/>
      <c r="K6507" s="121"/>
      <c r="L6507" s="121"/>
      <c r="M6507" s="121"/>
      <c r="N6507" s="260"/>
      <c r="O6507" s="260"/>
      <c r="P6507" s="260"/>
      <c r="Q6507" s="321"/>
      <c r="R6507" s="260"/>
      <c r="S6507" s="260"/>
      <c r="T6507" s="260"/>
      <c r="U6507" s="260"/>
      <c r="V6507" s="260"/>
      <c r="W6507" s="260"/>
      <c r="X6507" s="260"/>
      <c r="Y6507" s="260"/>
      <c r="Z6507" s="260"/>
      <c r="AA6507" s="260"/>
      <c r="AB6507" s="260"/>
      <c r="AC6507" s="260"/>
      <c r="AD6507" s="260"/>
      <c r="AE6507" s="260"/>
      <c r="AF6507" s="260"/>
      <c r="AG6507" s="260"/>
      <c r="AH6507" s="260"/>
      <c r="AI6507" s="260"/>
      <c r="AJ6507" s="260"/>
      <c r="AK6507" s="260"/>
      <c r="AL6507" s="260"/>
      <c r="AM6507" s="816"/>
      <c r="AN6507"/>
    </row>
    <row r="6508" spans="1:40" s="47" customFormat="1" ht="57" customHeight="1">
      <c r="A6508" s="121"/>
      <c r="B6508" s="121"/>
      <c r="C6508" s="121"/>
      <c r="D6508" s="121"/>
      <c r="E6508" s="121"/>
      <c r="F6508" s="121"/>
      <c r="G6508" s="121"/>
      <c r="H6508" s="121"/>
      <c r="I6508" s="121"/>
      <c r="J6508" s="121"/>
      <c r="K6508" s="121"/>
      <c r="L6508" s="121"/>
      <c r="M6508" s="121"/>
      <c r="N6508" s="260"/>
      <c r="O6508" s="260"/>
      <c r="P6508" s="260"/>
      <c r="Q6508" s="321"/>
      <c r="R6508" s="260"/>
      <c r="S6508" s="260"/>
      <c r="T6508" s="260"/>
      <c r="U6508" s="260"/>
      <c r="V6508" s="260"/>
      <c r="W6508" s="260"/>
      <c r="X6508" s="260"/>
      <c r="Y6508" s="260"/>
      <c r="Z6508" s="260"/>
      <c r="AA6508" s="260"/>
      <c r="AB6508" s="260"/>
      <c r="AC6508" s="260"/>
      <c r="AD6508" s="260"/>
      <c r="AE6508" s="260"/>
      <c r="AF6508" s="260"/>
      <c r="AG6508" s="260"/>
      <c r="AH6508" s="260"/>
      <c r="AI6508" s="260"/>
      <c r="AJ6508" s="260"/>
      <c r="AK6508" s="260"/>
      <c r="AL6508" s="260"/>
      <c r="AM6508" s="816"/>
      <c r="AN6508"/>
    </row>
    <row r="6509" spans="1:40" s="121" customFormat="1">
      <c r="N6509" s="260"/>
      <c r="O6509" s="260"/>
      <c r="P6509" s="260"/>
      <c r="Q6509" s="321"/>
      <c r="R6509" s="260"/>
      <c r="S6509" s="260"/>
      <c r="T6509" s="260"/>
      <c r="U6509" s="260"/>
      <c r="V6509" s="260"/>
      <c r="W6509" s="260"/>
      <c r="X6509" s="260"/>
      <c r="Y6509" s="260"/>
      <c r="Z6509" s="260"/>
      <c r="AA6509" s="260"/>
      <c r="AB6509" s="260"/>
      <c r="AC6509" s="260"/>
      <c r="AD6509" s="260"/>
      <c r="AE6509" s="260"/>
      <c r="AF6509" s="260"/>
      <c r="AG6509" s="260"/>
      <c r="AH6509" s="260"/>
      <c r="AI6509" s="260"/>
      <c r="AJ6509" s="260"/>
      <c r="AK6509" s="260"/>
      <c r="AL6509" s="260"/>
      <c r="AM6509" s="816"/>
      <c r="AN6509"/>
    </row>
    <row r="6510" spans="1:40" s="121" customFormat="1">
      <c r="N6510" s="260"/>
      <c r="O6510" s="260"/>
      <c r="P6510" s="260"/>
      <c r="Q6510" s="321"/>
      <c r="R6510" s="260"/>
      <c r="S6510" s="260"/>
      <c r="T6510" s="260"/>
      <c r="U6510" s="260"/>
      <c r="V6510" s="260"/>
      <c r="W6510" s="260"/>
      <c r="X6510" s="260"/>
      <c r="Y6510" s="260"/>
      <c r="Z6510" s="260"/>
      <c r="AA6510" s="260"/>
      <c r="AB6510" s="260"/>
      <c r="AC6510" s="260"/>
      <c r="AD6510" s="260"/>
      <c r="AE6510" s="260"/>
      <c r="AF6510" s="260"/>
      <c r="AG6510" s="260"/>
      <c r="AH6510" s="260"/>
      <c r="AI6510" s="260"/>
      <c r="AJ6510" s="260"/>
      <c r="AK6510" s="260"/>
      <c r="AL6510" s="260"/>
      <c r="AM6510" s="816"/>
      <c r="AN6510"/>
    </row>
    <row r="6511" spans="1:40" s="121" customFormat="1" ht="11.25" customHeight="1">
      <c r="N6511" s="260"/>
      <c r="O6511" s="260"/>
      <c r="P6511" s="260"/>
      <c r="Q6511" s="321"/>
      <c r="R6511" s="260"/>
      <c r="S6511" s="260"/>
      <c r="T6511" s="260"/>
      <c r="U6511" s="260"/>
      <c r="V6511" s="260"/>
      <c r="W6511" s="260"/>
      <c r="X6511" s="260"/>
      <c r="Y6511" s="260"/>
      <c r="Z6511" s="260"/>
      <c r="AA6511" s="260"/>
      <c r="AB6511" s="260"/>
      <c r="AC6511" s="260"/>
      <c r="AD6511" s="260"/>
      <c r="AE6511" s="260"/>
      <c r="AF6511" s="260"/>
      <c r="AG6511" s="260"/>
      <c r="AH6511" s="260"/>
      <c r="AI6511" s="260"/>
      <c r="AJ6511" s="260"/>
      <c r="AK6511" s="260"/>
      <c r="AL6511" s="260"/>
      <c r="AM6511" s="816"/>
      <c r="AN6511"/>
    </row>
    <row r="6512" spans="1:40" s="121" customFormat="1">
      <c r="N6512" s="260"/>
      <c r="O6512" s="260"/>
      <c r="P6512" s="260"/>
      <c r="Q6512" s="321"/>
      <c r="R6512" s="260"/>
      <c r="S6512" s="260"/>
      <c r="T6512" s="260"/>
      <c r="U6512" s="260"/>
      <c r="V6512" s="260"/>
      <c r="W6512" s="260"/>
      <c r="X6512" s="260"/>
      <c r="Y6512" s="260"/>
      <c r="Z6512" s="260"/>
      <c r="AA6512" s="260"/>
      <c r="AB6512" s="260"/>
      <c r="AC6512" s="260"/>
      <c r="AD6512" s="260"/>
      <c r="AE6512" s="260"/>
      <c r="AF6512" s="260"/>
      <c r="AG6512" s="260"/>
      <c r="AH6512" s="260"/>
      <c r="AI6512" s="260"/>
      <c r="AJ6512" s="260"/>
      <c r="AK6512" s="260"/>
      <c r="AL6512" s="260"/>
      <c r="AM6512" s="816"/>
      <c r="AN6512"/>
    </row>
    <row r="6513" spans="1:40" s="47" customFormat="1">
      <c r="A6513" s="121"/>
      <c r="B6513" s="121"/>
      <c r="C6513" s="121"/>
      <c r="D6513" s="121"/>
      <c r="E6513" s="121"/>
      <c r="F6513" s="121"/>
      <c r="G6513" s="121"/>
      <c r="H6513" s="121"/>
      <c r="I6513" s="121"/>
      <c r="J6513" s="121"/>
      <c r="K6513" s="121"/>
      <c r="L6513" s="121"/>
      <c r="M6513" s="121"/>
      <c r="N6513" s="222"/>
      <c r="O6513" s="502"/>
      <c r="P6513" s="285"/>
      <c r="Q6513" s="321"/>
      <c r="R6513" s="260"/>
      <c r="S6513" s="260"/>
      <c r="T6513" s="260"/>
      <c r="U6513" s="260"/>
      <c r="V6513" s="260"/>
      <c r="W6513" s="260"/>
      <c r="X6513" s="260"/>
      <c r="Y6513" s="260"/>
      <c r="Z6513" s="260"/>
      <c r="AA6513" s="260"/>
      <c r="AB6513" s="260"/>
      <c r="AC6513" s="260"/>
      <c r="AD6513" s="260"/>
      <c r="AE6513" s="260"/>
      <c r="AF6513" s="260"/>
      <c r="AG6513" s="260"/>
      <c r="AH6513" s="260"/>
      <c r="AI6513" s="260"/>
      <c r="AJ6513" s="260"/>
      <c r="AK6513" s="260"/>
      <c r="AL6513" s="260"/>
      <c r="AM6513" s="816"/>
      <c r="AN6513"/>
    </row>
    <row r="6514" spans="1:40" s="47" customFormat="1">
      <c r="A6514" s="121"/>
      <c r="B6514" s="121"/>
      <c r="C6514" s="121"/>
      <c r="D6514" s="121"/>
      <c r="E6514" s="121"/>
      <c r="F6514" s="121"/>
      <c r="G6514" s="121"/>
      <c r="H6514" s="121"/>
      <c r="I6514" s="121"/>
      <c r="J6514" s="121"/>
      <c r="K6514" s="121"/>
      <c r="L6514" s="121"/>
      <c r="M6514" s="121"/>
      <c r="N6514" s="222"/>
      <c r="O6514" s="502"/>
      <c r="P6514" s="285"/>
      <c r="Q6514" s="321"/>
      <c r="R6514" s="260"/>
      <c r="S6514" s="260"/>
      <c r="T6514" s="260"/>
      <c r="U6514" s="260"/>
      <c r="V6514" s="260"/>
      <c r="W6514" s="260"/>
      <c r="X6514" s="260"/>
      <c r="Y6514" s="260"/>
      <c r="Z6514" s="260"/>
      <c r="AA6514" s="260"/>
      <c r="AB6514" s="260"/>
      <c r="AC6514" s="260"/>
      <c r="AD6514" s="260"/>
      <c r="AE6514" s="260"/>
      <c r="AF6514" s="260"/>
      <c r="AG6514" s="260"/>
      <c r="AH6514" s="260"/>
      <c r="AI6514" s="260"/>
      <c r="AJ6514" s="260"/>
      <c r="AK6514" s="260"/>
      <c r="AL6514" s="260"/>
      <c r="AM6514" s="816"/>
      <c r="AN6514"/>
    </row>
    <row r="6515" spans="1:40" s="121" customFormat="1">
      <c r="N6515" s="222"/>
      <c r="O6515" s="540"/>
      <c r="P6515" s="285"/>
      <c r="Q6515" s="321"/>
      <c r="R6515" s="260"/>
      <c r="S6515" s="260"/>
      <c r="T6515" s="260"/>
      <c r="U6515" s="260"/>
      <c r="V6515" s="260"/>
      <c r="W6515" s="260"/>
      <c r="X6515" s="260"/>
      <c r="Y6515" s="260"/>
      <c r="Z6515" s="260"/>
      <c r="AA6515" s="260"/>
      <c r="AB6515" s="260"/>
      <c r="AC6515" s="260"/>
      <c r="AD6515" s="260"/>
      <c r="AE6515" s="260"/>
      <c r="AF6515" s="260"/>
      <c r="AG6515" s="260"/>
      <c r="AH6515" s="260"/>
      <c r="AI6515" s="260"/>
      <c r="AJ6515" s="260"/>
      <c r="AK6515" s="260"/>
      <c r="AL6515" s="260"/>
      <c r="AM6515" s="816"/>
      <c r="AN6515"/>
    </row>
    <row r="6516" spans="1:40" s="121" customFormat="1">
      <c r="N6516" s="222"/>
      <c r="O6516" s="502"/>
      <c r="P6516" s="285"/>
      <c r="Q6516" s="321"/>
      <c r="R6516" s="260"/>
      <c r="S6516" s="260"/>
      <c r="T6516" s="260"/>
      <c r="U6516" s="260"/>
      <c r="V6516" s="260"/>
      <c r="W6516" s="260"/>
      <c r="X6516" s="260"/>
      <c r="Y6516" s="260"/>
      <c r="Z6516" s="260"/>
      <c r="AA6516" s="260"/>
      <c r="AB6516" s="260"/>
      <c r="AC6516" s="260"/>
      <c r="AD6516" s="260"/>
      <c r="AE6516" s="260"/>
      <c r="AF6516" s="260"/>
      <c r="AG6516" s="260"/>
      <c r="AH6516" s="260"/>
      <c r="AI6516" s="260"/>
      <c r="AJ6516" s="260"/>
      <c r="AK6516" s="260"/>
      <c r="AL6516" s="260"/>
      <c r="AM6516" s="816"/>
      <c r="AN6516"/>
    </row>
    <row r="6517" spans="1:40" s="121" customFormat="1">
      <c r="N6517" s="222"/>
      <c r="O6517" s="502"/>
      <c r="P6517" s="285"/>
      <c r="Q6517" s="321"/>
      <c r="R6517" s="260"/>
      <c r="S6517" s="260"/>
      <c r="T6517" s="260"/>
      <c r="U6517" s="260"/>
      <c r="V6517" s="260"/>
      <c r="W6517" s="260"/>
      <c r="X6517" s="260"/>
      <c r="Y6517" s="260"/>
      <c r="Z6517" s="260"/>
      <c r="AA6517" s="260"/>
      <c r="AB6517" s="260"/>
      <c r="AC6517" s="260"/>
      <c r="AD6517" s="260"/>
      <c r="AE6517" s="260"/>
      <c r="AF6517" s="260"/>
      <c r="AG6517" s="260"/>
      <c r="AH6517" s="260"/>
      <c r="AI6517" s="260"/>
      <c r="AJ6517" s="260"/>
      <c r="AK6517" s="260"/>
      <c r="AL6517" s="260"/>
      <c r="AM6517" s="816"/>
      <c r="AN6517"/>
    </row>
    <row r="6518" spans="1:40" s="121" customFormat="1">
      <c r="N6518" s="222"/>
      <c r="O6518" s="540"/>
      <c r="P6518" s="285"/>
      <c r="Q6518" s="321"/>
      <c r="R6518" s="260"/>
      <c r="S6518" s="260"/>
      <c r="T6518" s="260"/>
      <c r="U6518" s="260"/>
      <c r="V6518" s="260"/>
      <c r="W6518" s="260"/>
      <c r="X6518" s="260"/>
      <c r="Y6518" s="260"/>
      <c r="Z6518" s="260"/>
      <c r="AA6518" s="260"/>
      <c r="AB6518" s="260"/>
      <c r="AC6518" s="260"/>
      <c r="AD6518" s="260"/>
      <c r="AE6518" s="260"/>
      <c r="AF6518" s="260"/>
      <c r="AG6518" s="260"/>
      <c r="AH6518" s="260"/>
      <c r="AI6518" s="260"/>
      <c r="AJ6518" s="260"/>
      <c r="AK6518" s="260"/>
      <c r="AL6518" s="260"/>
      <c r="AM6518" s="816"/>
      <c r="AN6518"/>
    </row>
    <row r="6519" spans="1:40" s="121" customFormat="1">
      <c r="N6519" s="222"/>
      <c r="O6519" s="502"/>
      <c r="P6519" s="285"/>
      <c r="Q6519" s="321"/>
      <c r="R6519" s="260"/>
      <c r="S6519" s="260"/>
      <c r="T6519" s="260"/>
      <c r="U6519" s="260"/>
      <c r="V6519" s="260"/>
      <c r="W6519" s="260"/>
      <c r="X6519" s="260"/>
      <c r="Y6519" s="260"/>
      <c r="Z6519" s="260"/>
      <c r="AA6519" s="260"/>
      <c r="AB6519" s="260"/>
      <c r="AC6519" s="260"/>
      <c r="AD6519" s="260"/>
      <c r="AE6519" s="260"/>
      <c r="AF6519" s="260"/>
      <c r="AG6519" s="260"/>
      <c r="AH6519" s="260"/>
      <c r="AI6519" s="260"/>
      <c r="AJ6519" s="260"/>
      <c r="AK6519" s="260"/>
      <c r="AL6519" s="260"/>
      <c r="AM6519" s="816"/>
      <c r="AN6519"/>
    </row>
    <row r="6520" spans="1:40" s="121" customFormat="1">
      <c r="N6520" s="222"/>
      <c r="O6520" s="502"/>
      <c r="P6520" s="285"/>
      <c r="Q6520" s="321"/>
      <c r="R6520" s="260"/>
      <c r="S6520" s="260"/>
      <c r="T6520" s="260"/>
      <c r="U6520" s="260"/>
      <c r="V6520" s="260"/>
      <c r="W6520" s="260"/>
      <c r="X6520" s="260"/>
      <c r="Y6520" s="260"/>
      <c r="Z6520" s="260"/>
      <c r="AA6520" s="260"/>
      <c r="AB6520" s="260"/>
      <c r="AC6520" s="260"/>
      <c r="AD6520" s="260"/>
      <c r="AE6520" s="260"/>
      <c r="AF6520" s="260"/>
      <c r="AG6520" s="260"/>
      <c r="AH6520" s="260"/>
      <c r="AI6520" s="260"/>
      <c r="AJ6520" s="260"/>
      <c r="AK6520" s="260"/>
      <c r="AL6520" s="260"/>
      <c r="AM6520" s="816"/>
      <c r="AN6520"/>
    </row>
    <row r="6521" spans="1:40" s="47" customFormat="1">
      <c r="A6521" s="121"/>
      <c r="B6521" s="121"/>
      <c r="C6521" s="121"/>
      <c r="D6521" s="121"/>
      <c r="E6521" s="121"/>
      <c r="F6521" s="121"/>
      <c r="G6521" s="121"/>
      <c r="H6521" s="121"/>
      <c r="I6521" s="121"/>
      <c r="J6521" s="121"/>
      <c r="K6521" s="121"/>
      <c r="L6521" s="121"/>
      <c r="M6521" s="121"/>
      <c r="N6521" s="222"/>
      <c r="O6521" s="540"/>
      <c r="P6521" s="285"/>
      <c r="Q6521" s="321"/>
      <c r="R6521" s="260"/>
      <c r="S6521" s="260"/>
      <c r="T6521" s="260"/>
      <c r="U6521" s="260"/>
      <c r="V6521" s="260"/>
      <c r="W6521" s="260"/>
      <c r="X6521" s="260"/>
      <c r="Y6521" s="260"/>
      <c r="Z6521" s="260"/>
      <c r="AA6521" s="260"/>
      <c r="AB6521" s="260"/>
      <c r="AC6521" s="260"/>
      <c r="AD6521" s="260"/>
      <c r="AE6521" s="260"/>
      <c r="AF6521" s="260"/>
      <c r="AG6521" s="260"/>
      <c r="AH6521" s="260"/>
      <c r="AI6521" s="260"/>
      <c r="AJ6521" s="260"/>
      <c r="AK6521" s="260"/>
      <c r="AL6521" s="260"/>
      <c r="AM6521" s="816"/>
      <c r="AN6521"/>
    </row>
    <row r="6522" spans="1:40" s="121" customFormat="1">
      <c r="N6522" s="222"/>
      <c r="O6522" s="502"/>
      <c r="P6522" s="285"/>
      <c r="Q6522" s="321"/>
      <c r="R6522" s="260"/>
      <c r="S6522" s="260"/>
      <c r="T6522" s="260"/>
      <c r="U6522" s="260"/>
      <c r="V6522" s="260"/>
      <c r="W6522" s="260"/>
      <c r="X6522" s="260"/>
      <c r="Y6522" s="260"/>
      <c r="Z6522" s="260"/>
      <c r="AA6522" s="260"/>
      <c r="AB6522" s="260"/>
      <c r="AC6522" s="260"/>
      <c r="AD6522" s="260"/>
      <c r="AE6522" s="260"/>
      <c r="AF6522" s="260"/>
      <c r="AG6522" s="260"/>
      <c r="AH6522" s="260"/>
      <c r="AI6522" s="260"/>
      <c r="AJ6522" s="260"/>
      <c r="AK6522" s="260"/>
      <c r="AL6522" s="260"/>
      <c r="AM6522" s="816"/>
      <c r="AN6522"/>
    </row>
    <row r="6523" spans="1:40" s="121" customFormat="1">
      <c r="N6523" s="222"/>
      <c r="O6523" s="502"/>
      <c r="P6523" s="260"/>
      <c r="Q6523" s="321"/>
      <c r="R6523" s="260"/>
      <c r="S6523" s="260"/>
      <c r="T6523" s="260"/>
      <c r="U6523" s="260"/>
      <c r="V6523" s="260"/>
      <c r="W6523" s="260"/>
      <c r="X6523" s="260"/>
      <c r="Y6523" s="260"/>
      <c r="Z6523" s="260"/>
      <c r="AA6523" s="260"/>
      <c r="AB6523" s="260"/>
      <c r="AC6523" s="260"/>
      <c r="AD6523" s="260"/>
      <c r="AE6523" s="260"/>
      <c r="AF6523" s="260"/>
      <c r="AG6523" s="260"/>
      <c r="AH6523" s="260"/>
      <c r="AI6523" s="260"/>
      <c r="AJ6523" s="260"/>
      <c r="AK6523" s="260"/>
      <c r="AL6523" s="260"/>
      <c r="AM6523" s="816"/>
      <c r="AN6523"/>
    </row>
    <row r="6524" spans="1:40" s="121" customFormat="1">
      <c r="N6524" s="222"/>
      <c r="O6524" s="502"/>
      <c r="P6524" s="260"/>
      <c r="Q6524" s="321"/>
      <c r="R6524" s="260"/>
      <c r="S6524" s="260"/>
      <c r="T6524" s="260"/>
      <c r="U6524" s="260"/>
      <c r="V6524" s="260"/>
      <c r="W6524" s="260"/>
      <c r="X6524" s="260"/>
      <c r="Y6524" s="260"/>
      <c r="Z6524" s="260"/>
      <c r="AA6524" s="260"/>
      <c r="AB6524" s="260"/>
      <c r="AC6524" s="260"/>
      <c r="AD6524" s="260"/>
      <c r="AE6524" s="260"/>
      <c r="AF6524" s="260"/>
      <c r="AG6524" s="260"/>
      <c r="AH6524" s="260"/>
      <c r="AI6524" s="260"/>
      <c r="AJ6524" s="260"/>
      <c r="AK6524" s="260"/>
      <c r="AL6524" s="260"/>
      <c r="AM6524" s="816"/>
      <c r="AN6524"/>
    </row>
    <row r="6525" spans="1:40" s="121" customFormat="1">
      <c r="N6525" s="436"/>
      <c r="O6525" s="235"/>
      <c r="P6525" s="260"/>
      <c r="Q6525" s="321"/>
      <c r="R6525" s="260"/>
      <c r="S6525" s="260"/>
      <c r="T6525" s="260"/>
      <c r="U6525" s="260"/>
      <c r="V6525" s="260"/>
      <c r="W6525" s="260"/>
      <c r="X6525" s="260"/>
      <c r="Y6525" s="260"/>
      <c r="Z6525" s="260"/>
      <c r="AA6525" s="260"/>
      <c r="AB6525" s="260"/>
      <c r="AC6525" s="260"/>
      <c r="AD6525" s="260"/>
      <c r="AE6525" s="260"/>
      <c r="AF6525" s="260"/>
      <c r="AG6525" s="260"/>
      <c r="AH6525" s="260"/>
      <c r="AI6525" s="260"/>
      <c r="AJ6525" s="260"/>
      <c r="AK6525" s="260"/>
      <c r="AL6525" s="260"/>
      <c r="AM6525" s="816"/>
      <c r="AN6525"/>
    </row>
    <row r="6526" spans="1:40" s="121" customFormat="1">
      <c r="N6526" s="436"/>
      <c r="O6526" s="571"/>
      <c r="P6526" s="260"/>
      <c r="Q6526" s="321"/>
      <c r="R6526" s="260"/>
      <c r="S6526" s="260"/>
      <c r="T6526" s="260"/>
      <c r="U6526" s="260"/>
      <c r="V6526" s="260"/>
      <c r="W6526" s="260"/>
      <c r="X6526" s="260"/>
      <c r="Y6526" s="260"/>
      <c r="Z6526" s="260"/>
      <c r="AA6526" s="260"/>
      <c r="AB6526" s="260"/>
      <c r="AC6526" s="260"/>
      <c r="AD6526" s="260"/>
      <c r="AE6526" s="260"/>
      <c r="AF6526" s="260"/>
      <c r="AG6526" s="260"/>
      <c r="AH6526" s="260"/>
      <c r="AI6526" s="260"/>
      <c r="AJ6526" s="260"/>
      <c r="AK6526" s="260"/>
      <c r="AL6526" s="260"/>
      <c r="AM6526" s="816"/>
      <c r="AN6526"/>
    </row>
    <row r="6527" spans="1:40" s="47" customFormat="1">
      <c r="A6527" s="121"/>
      <c r="B6527" s="121"/>
      <c r="C6527" s="121"/>
      <c r="D6527" s="121"/>
      <c r="E6527" s="121"/>
      <c r="F6527" s="121"/>
      <c r="G6527" s="121"/>
      <c r="H6527" s="121"/>
      <c r="I6527" s="121"/>
      <c r="J6527" s="121"/>
      <c r="K6527" s="121"/>
      <c r="L6527" s="121"/>
      <c r="M6527" s="121"/>
      <c r="N6527" s="496"/>
      <c r="O6527" s="571"/>
      <c r="P6527" s="260"/>
      <c r="Q6527" s="321"/>
      <c r="R6527" s="260"/>
      <c r="S6527" s="260"/>
      <c r="T6527" s="260"/>
      <c r="U6527" s="260"/>
      <c r="V6527" s="260"/>
      <c r="W6527" s="260"/>
      <c r="X6527" s="260"/>
      <c r="Y6527" s="260"/>
      <c r="Z6527" s="260"/>
      <c r="AA6527" s="260"/>
      <c r="AB6527" s="260"/>
      <c r="AC6527" s="260"/>
      <c r="AD6527" s="260"/>
      <c r="AE6527" s="260"/>
      <c r="AF6527" s="260"/>
      <c r="AG6527" s="260"/>
      <c r="AH6527" s="260"/>
      <c r="AI6527" s="260"/>
      <c r="AJ6527" s="260"/>
      <c r="AK6527" s="260"/>
      <c r="AL6527" s="260"/>
      <c r="AM6527" s="816"/>
      <c r="AN6527"/>
    </row>
    <row r="6528" spans="1:40" s="54" customFormat="1">
      <c r="A6528" s="121"/>
      <c r="B6528" s="121"/>
      <c r="C6528" s="121"/>
      <c r="D6528" s="121"/>
      <c r="E6528" s="121"/>
      <c r="F6528" s="121"/>
      <c r="G6528" s="121"/>
      <c r="H6528" s="121"/>
      <c r="I6528" s="121"/>
      <c r="J6528" s="121"/>
      <c r="K6528" s="121"/>
      <c r="L6528" s="121"/>
      <c r="M6528" s="121"/>
      <c r="N6528" s="223"/>
      <c r="O6528" s="216"/>
      <c r="P6528" s="216"/>
      <c r="Q6528" s="523"/>
      <c r="R6528" s="547"/>
      <c r="S6528" s="547"/>
      <c r="T6528" s="547"/>
      <c r="U6528" s="547"/>
      <c r="V6528" s="547"/>
      <c r="W6528" s="547"/>
      <c r="X6528" s="547"/>
      <c r="Y6528" s="547"/>
      <c r="Z6528" s="547"/>
      <c r="AA6528" s="547"/>
      <c r="AB6528" s="547"/>
      <c r="AC6528" s="547"/>
      <c r="AD6528" s="547"/>
      <c r="AE6528" s="547"/>
      <c r="AF6528" s="547"/>
      <c r="AG6528" s="547"/>
      <c r="AH6528" s="547"/>
      <c r="AI6528" s="547"/>
      <c r="AJ6528" s="547"/>
      <c r="AK6528" s="547"/>
      <c r="AL6528" s="547"/>
      <c r="AM6528" s="816"/>
      <c r="AN6528"/>
    </row>
    <row r="6529" spans="1:40" s="54" customFormat="1">
      <c r="A6529" s="121"/>
      <c r="B6529" s="121"/>
      <c r="C6529" s="121"/>
      <c r="D6529" s="121"/>
      <c r="E6529" s="121"/>
      <c r="F6529" s="121"/>
      <c r="G6529" s="121"/>
      <c r="H6529" s="121"/>
      <c r="I6529" s="121"/>
      <c r="J6529" s="121"/>
      <c r="K6529" s="121"/>
      <c r="L6529" s="121"/>
      <c r="M6529" s="121"/>
      <c r="N6529" s="56"/>
      <c r="P6529" s="121"/>
      <c r="Q6529" s="121"/>
      <c r="R6529" s="121"/>
      <c r="S6529" s="121"/>
      <c r="T6529" s="121"/>
      <c r="U6529" s="121"/>
      <c r="V6529" s="121"/>
      <c r="W6529" s="121"/>
      <c r="X6529" s="121"/>
      <c r="Y6529" s="121"/>
      <c r="Z6529" s="121"/>
      <c r="AA6529" s="121"/>
      <c r="AB6529" s="121"/>
      <c r="AC6529" s="121"/>
      <c r="AD6529" s="121"/>
      <c r="AE6529" s="121"/>
      <c r="AF6529" s="121"/>
      <c r="AG6529" s="121"/>
      <c r="AH6529" s="121"/>
      <c r="AI6529" s="121"/>
      <c r="AJ6529" s="121"/>
      <c r="AK6529" s="121"/>
      <c r="AL6529" s="121"/>
      <c r="AM6529" s="60"/>
      <c r="AN6529"/>
    </row>
    <row r="6530" spans="1:40" s="47" customFormat="1">
      <c r="A6530" s="121"/>
      <c r="B6530" s="121"/>
      <c r="C6530" s="121"/>
      <c r="D6530" s="121"/>
      <c r="E6530" s="121"/>
      <c r="F6530" s="121"/>
      <c r="G6530" s="121"/>
      <c r="H6530" s="121"/>
      <c r="I6530" s="121"/>
      <c r="J6530" s="121"/>
      <c r="K6530" s="121"/>
      <c r="L6530" s="121"/>
      <c r="M6530" s="121"/>
      <c r="N6530" s="49"/>
      <c r="R6530" s="60"/>
      <c r="S6530" s="60"/>
      <c r="T6530" s="60"/>
      <c r="U6530" s="795" t="s">
        <v>389</v>
      </c>
      <c r="V6530" s="795"/>
      <c r="W6530" s="795"/>
      <c r="X6530" s="795" t="s">
        <v>390</v>
      </c>
      <c r="Y6530" s="795"/>
      <c r="Z6530" s="795"/>
      <c r="AA6530" s="795" t="s">
        <v>391</v>
      </c>
      <c r="AB6530" s="795"/>
      <c r="AC6530" s="795"/>
      <c r="AD6530" s="795" t="s">
        <v>392</v>
      </c>
      <c r="AE6530" s="795"/>
      <c r="AF6530" s="795"/>
      <c r="AG6530" s="795" t="s">
        <v>393</v>
      </c>
      <c r="AH6530" s="795"/>
      <c r="AI6530" s="795"/>
      <c r="AJ6530" s="795" t="s">
        <v>394</v>
      </c>
      <c r="AK6530" s="795"/>
      <c r="AL6530" s="795"/>
      <c r="AN6530"/>
    </row>
    <row r="6531" spans="1:40">
      <c r="AD6531"/>
      <c r="AE6531"/>
      <c r="AF6531"/>
      <c r="AG6531"/>
      <c r="AH6531"/>
      <c r="AI6531"/>
      <c r="AJ6531"/>
      <c r="AK6531"/>
      <c r="AL6531"/>
      <c r="AM6531"/>
      <c r="AN6531"/>
    </row>
    <row r="6532" spans="1:40">
      <c r="AD6532"/>
      <c r="AE6532"/>
      <c r="AF6532"/>
      <c r="AG6532"/>
      <c r="AH6532"/>
      <c r="AI6532"/>
      <c r="AJ6532"/>
      <c r="AK6532"/>
      <c r="AL6532"/>
      <c r="AM6532"/>
      <c r="AN6532"/>
    </row>
    <row r="6533" spans="1:40">
      <c r="AD6533"/>
      <c r="AE6533"/>
      <c r="AF6533"/>
      <c r="AG6533"/>
      <c r="AH6533"/>
      <c r="AI6533"/>
      <c r="AJ6533"/>
      <c r="AK6533"/>
      <c r="AL6533"/>
      <c r="AM6533"/>
      <c r="AN6533"/>
    </row>
    <row r="6534" spans="1:40">
      <c r="AD6534"/>
      <c r="AE6534"/>
      <c r="AF6534"/>
      <c r="AG6534"/>
      <c r="AH6534"/>
      <c r="AI6534"/>
      <c r="AJ6534"/>
      <c r="AK6534"/>
      <c r="AL6534"/>
      <c r="AM6534"/>
      <c r="AN6534"/>
    </row>
    <row r="6535" spans="1:40">
      <c r="AD6535"/>
      <c r="AE6535"/>
      <c r="AF6535"/>
      <c r="AG6535"/>
      <c r="AH6535"/>
      <c r="AI6535"/>
      <c r="AJ6535"/>
      <c r="AK6535"/>
      <c r="AL6535"/>
      <c r="AM6535"/>
      <c r="AN6535"/>
    </row>
    <row r="6536" spans="1:40">
      <c r="AD6536"/>
      <c r="AE6536"/>
      <c r="AF6536"/>
      <c r="AG6536"/>
      <c r="AH6536"/>
      <c r="AI6536"/>
      <c r="AJ6536"/>
      <c r="AK6536"/>
      <c r="AL6536"/>
      <c r="AM6536"/>
      <c r="AN6536"/>
    </row>
    <row r="6537" spans="1:40">
      <c r="AD6537"/>
      <c r="AE6537"/>
      <c r="AF6537"/>
      <c r="AG6537"/>
      <c r="AH6537"/>
      <c r="AI6537"/>
      <c r="AJ6537"/>
      <c r="AK6537"/>
      <c r="AL6537"/>
      <c r="AM6537"/>
      <c r="AN6537"/>
    </row>
    <row r="6538" spans="1:40">
      <c r="AD6538"/>
      <c r="AE6538"/>
      <c r="AF6538"/>
      <c r="AG6538"/>
      <c r="AH6538"/>
      <c r="AI6538"/>
      <c r="AJ6538"/>
      <c r="AK6538"/>
      <c r="AL6538"/>
      <c r="AM6538"/>
      <c r="AN6538"/>
    </row>
    <row r="6539" spans="1:40">
      <c r="AD6539"/>
      <c r="AE6539"/>
      <c r="AF6539"/>
      <c r="AG6539"/>
      <c r="AH6539"/>
      <c r="AI6539"/>
      <c r="AJ6539"/>
      <c r="AK6539"/>
      <c r="AL6539"/>
      <c r="AM6539"/>
      <c r="AN6539"/>
    </row>
    <row r="6540" spans="1:40">
      <c r="AD6540"/>
      <c r="AE6540"/>
      <c r="AF6540"/>
      <c r="AG6540"/>
      <c r="AH6540"/>
      <c r="AI6540"/>
      <c r="AJ6540"/>
      <c r="AK6540"/>
      <c r="AL6540"/>
      <c r="AM6540"/>
      <c r="AN6540"/>
    </row>
    <row r="6541" spans="1:40">
      <c r="AD6541"/>
      <c r="AE6541"/>
      <c r="AF6541"/>
      <c r="AG6541"/>
      <c r="AH6541"/>
      <c r="AI6541"/>
      <c r="AJ6541"/>
      <c r="AK6541"/>
      <c r="AL6541"/>
      <c r="AM6541"/>
      <c r="AN6541"/>
    </row>
    <row r="6542" spans="1:40">
      <c r="AD6542"/>
      <c r="AE6542"/>
      <c r="AF6542"/>
      <c r="AG6542"/>
      <c r="AH6542"/>
      <c r="AI6542"/>
      <c r="AJ6542"/>
      <c r="AK6542"/>
      <c r="AL6542"/>
      <c r="AM6542"/>
      <c r="AN6542"/>
    </row>
    <row r="6543" spans="1:40">
      <c r="AD6543"/>
      <c r="AE6543"/>
      <c r="AF6543"/>
      <c r="AG6543"/>
      <c r="AH6543"/>
      <c r="AI6543"/>
      <c r="AJ6543"/>
      <c r="AK6543"/>
      <c r="AL6543"/>
      <c r="AM6543"/>
      <c r="AN6543"/>
    </row>
    <row r="6544" spans="1:40">
      <c r="AD6544"/>
      <c r="AE6544"/>
      <c r="AF6544"/>
      <c r="AG6544"/>
      <c r="AH6544"/>
      <c r="AI6544"/>
      <c r="AJ6544"/>
      <c r="AK6544"/>
      <c r="AL6544"/>
      <c r="AM6544"/>
      <c r="AN6544"/>
    </row>
    <row r="6545" spans="30:40">
      <c r="AD6545"/>
      <c r="AE6545"/>
      <c r="AF6545"/>
      <c r="AG6545"/>
      <c r="AH6545"/>
      <c r="AI6545"/>
      <c r="AJ6545"/>
      <c r="AK6545"/>
      <c r="AL6545"/>
      <c r="AM6545"/>
      <c r="AN6545"/>
    </row>
    <row r="6546" spans="30:40">
      <c r="AD6546"/>
      <c r="AE6546"/>
      <c r="AF6546"/>
      <c r="AG6546"/>
      <c r="AH6546"/>
      <c r="AI6546"/>
      <c r="AJ6546"/>
      <c r="AK6546"/>
      <c r="AL6546"/>
      <c r="AM6546"/>
      <c r="AN6546"/>
    </row>
    <row r="6547" spans="30:40">
      <c r="AD6547"/>
      <c r="AE6547"/>
      <c r="AF6547"/>
      <c r="AG6547"/>
      <c r="AH6547"/>
      <c r="AI6547"/>
      <c r="AJ6547"/>
      <c r="AK6547"/>
      <c r="AL6547"/>
      <c r="AM6547"/>
      <c r="AN6547"/>
    </row>
    <row r="6548" spans="30:40">
      <c r="AD6548"/>
      <c r="AE6548"/>
      <c r="AF6548"/>
      <c r="AG6548"/>
      <c r="AH6548"/>
      <c r="AI6548"/>
      <c r="AJ6548"/>
      <c r="AK6548"/>
      <c r="AL6548"/>
      <c r="AM6548"/>
      <c r="AN6548"/>
    </row>
    <row r="6549" spans="30:40">
      <c r="AD6549"/>
      <c r="AE6549"/>
      <c r="AF6549"/>
      <c r="AG6549"/>
      <c r="AH6549"/>
      <c r="AI6549"/>
      <c r="AJ6549"/>
      <c r="AK6549"/>
      <c r="AL6549"/>
      <c r="AM6549"/>
      <c r="AN6549"/>
    </row>
    <row r="6550" spans="30:40">
      <c r="AD6550"/>
      <c r="AE6550"/>
      <c r="AF6550"/>
      <c r="AG6550"/>
      <c r="AH6550"/>
      <c r="AI6550"/>
      <c r="AJ6550"/>
      <c r="AK6550"/>
      <c r="AL6550"/>
      <c r="AM6550"/>
      <c r="AN6550"/>
    </row>
    <row r="6551" spans="30:40">
      <c r="AD6551"/>
      <c r="AE6551"/>
      <c r="AF6551"/>
      <c r="AG6551"/>
      <c r="AH6551"/>
      <c r="AI6551"/>
      <c r="AJ6551"/>
      <c r="AK6551"/>
      <c r="AL6551"/>
      <c r="AM6551"/>
      <c r="AN6551"/>
    </row>
    <row r="6552" spans="30:40">
      <c r="AD6552"/>
      <c r="AE6552"/>
      <c r="AF6552"/>
      <c r="AG6552"/>
      <c r="AH6552"/>
      <c r="AI6552"/>
      <c r="AJ6552"/>
      <c r="AK6552"/>
      <c r="AL6552"/>
      <c r="AM6552"/>
      <c r="AN6552"/>
    </row>
    <row r="6553" spans="30:40">
      <c r="AD6553"/>
      <c r="AE6553"/>
      <c r="AF6553"/>
      <c r="AG6553"/>
      <c r="AH6553"/>
      <c r="AI6553"/>
      <c r="AJ6553"/>
      <c r="AK6553"/>
      <c r="AL6553"/>
      <c r="AM6553"/>
      <c r="AN6553"/>
    </row>
    <row r="6554" spans="30:40">
      <c r="AD6554"/>
      <c r="AE6554"/>
      <c r="AF6554"/>
      <c r="AG6554"/>
      <c r="AH6554"/>
      <c r="AI6554"/>
      <c r="AJ6554"/>
      <c r="AK6554"/>
      <c r="AL6554"/>
      <c r="AM6554"/>
      <c r="AN6554"/>
    </row>
    <row r="6555" spans="30:40">
      <c r="AD6555"/>
      <c r="AE6555"/>
      <c r="AF6555"/>
      <c r="AG6555"/>
      <c r="AH6555"/>
      <c r="AI6555"/>
      <c r="AJ6555"/>
      <c r="AK6555"/>
      <c r="AL6555"/>
      <c r="AM6555"/>
      <c r="AN6555"/>
    </row>
    <row r="6556" spans="30:40">
      <c r="AD6556"/>
      <c r="AE6556"/>
      <c r="AF6556"/>
      <c r="AG6556"/>
      <c r="AH6556"/>
      <c r="AI6556"/>
      <c r="AJ6556"/>
      <c r="AK6556"/>
      <c r="AL6556"/>
      <c r="AM6556"/>
      <c r="AN6556"/>
    </row>
    <row r="6557" spans="30:40">
      <c r="AD6557"/>
      <c r="AE6557"/>
      <c r="AF6557"/>
      <c r="AG6557"/>
      <c r="AH6557"/>
      <c r="AI6557"/>
      <c r="AJ6557"/>
      <c r="AK6557"/>
      <c r="AL6557"/>
      <c r="AM6557"/>
      <c r="AN6557"/>
    </row>
    <row r="6558" spans="30:40">
      <c r="AD6558"/>
      <c r="AE6558"/>
      <c r="AF6558"/>
      <c r="AG6558"/>
      <c r="AH6558"/>
      <c r="AI6558"/>
      <c r="AJ6558"/>
      <c r="AK6558"/>
      <c r="AL6558"/>
      <c r="AM6558"/>
      <c r="AN6558"/>
    </row>
    <row r="6559" spans="30:40">
      <c r="AD6559"/>
      <c r="AE6559"/>
      <c r="AF6559"/>
      <c r="AG6559"/>
      <c r="AH6559"/>
      <c r="AI6559"/>
      <c r="AJ6559"/>
      <c r="AK6559"/>
      <c r="AL6559"/>
      <c r="AM6559"/>
      <c r="AN6559"/>
    </row>
    <row r="6560" spans="30:40">
      <c r="AD6560"/>
      <c r="AE6560"/>
      <c r="AF6560"/>
      <c r="AG6560"/>
      <c r="AH6560"/>
      <c r="AI6560"/>
      <c r="AJ6560"/>
      <c r="AK6560"/>
      <c r="AL6560"/>
      <c r="AM6560"/>
      <c r="AN6560"/>
    </row>
    <row r="6561" spans="30:40">
      <c r="AD6561"/>
      <c r="AE6561"/>
      <c r="AF6561"/>
      <c r="AG6561"/>
      <c r="AH6561"/>
      <c r="AI6561"/>
      <c r="AJ6561"/>
      <c r="AK6561"/>
      <c r="AL6561"/>
      <c r="AM6561"/>
      <c r="AN6561"/>
    </row>
    <row r="6562" spans="30:40">
      <c r="AD6562"/>
      <c r="AE6562"/>
      <c r="AF6562"/>
      <c r="AG6562"/>
      <c r="AH6562"/>
      <c r="AI6562"/>
      <c r="AJ6562"/>
      <c r="AK6562"/>
      <c r="AL6562"/>
      <c r="AM6562"/>
      <c r="AN6562"/>
    </row>
    <row r="6563" spans="30:40">
      <c r="AD6563"/>
      <c r="AE6563"/>
      <c r="AF6563"/>
      <c r="AG6563"/>
      <c r="AH6563"/>
      <c r="AI6563"/>
      <c r="AJ6563"/>
      <c r="AK6563"/>
      <c r="AL6563"/>
      <c r="AM6563"/>
      <c r="AN6563"/>
    </row>
    <row r="6564" spans="30:40">
      <c r="AD6564"/>
      <c r="AE6564"/>
      <c r="AF6564"/>
      <c r="AG6564"/>
      <c r="AH6564"/>
      <c r="AI6564"/>
      <c r="AJ6564"/>
      <c r="AK6564"/>
      <c r="AL6564"/>
      <c r="AM6564"/>
      <c r="AN6564"/>
    </row>
    <row r="6565" spans="30:40">
      <c r="AD6565"/>
      <c r="AE6565"/>
      <c r="AF6565"/>
      <c r="AG6565"/>
      <c r="AH6565"/>
      <c r="AI6565"/>
      <c r="AJ6565"/>
      <c r="AK6565"/>
      <c r="AL6565"/>
      <c r="AM6565"/>
      <c r="AN6565"/>
    </row>
    <row r="6566" spans="30:40">
      <c r="AD6566"/>
      <c r="AE6566"/>
      <c r="AF6566"/>
      <c r="AG6566"/>
      <c r="AH6566"/>
      <c r="AI6566"/>
      <c r="AJ6566"/>
      <c r="AK6566"/>
      <c r="AL6566"/>
      <c r="AM6566"/>
      <c r="AN6566"/>
    </row>
    <row r="6567" spans="30:40">
      <c r="AD6567"/>
      <c r="AE6567"/>
      <c r="AF6567"/>
      <c r="AG6567"/>
      <c r="AH6567"/>
      <c r="AI6567"/>
      <c r="AJ6567"/>
      <c r="AK6567"/>
      <c r="AL6567"/>
      <c r="AM6567"/>
      <c r="AN6567"/>
    </row>
    <row r="6568" spans="30:40">
      <c r="AD6568"/>
      <c r="AE6568"/>
      <c r="AF6568"/>
      <c r="AG6568"/>
      <c r="AH6568"/>
      <c r="AI6568"/>
      <c r="AJ6568"/>
      <c r="AK6568"/>
      <c r="AL6568"/>
      <c r="AM6568"/>
      <c r="AN6568"/>
    </row>
    <row r="6569" spans="30:40">
      <c r="AD6569"/>
      <c r="AE6569"/>
      <c r="AF6569"/>
      <c r="AG6569"/>
      <c r="AH6569"/>
      <c r="AI6569"/>
      <c r="AJ6569"/>
      <c r="AK6569"/>
      <c r="AL6569"/>
      <c r="AM6569"/>
      <c r="AN6569"/>
    </row>
    <row r="6570" spans="30:40">
      <c r="AD6570"/>
      <c r="AE6570"/>
      <c r="AF6570"/>
      <c r="AG6570"/>
      <c r="AH6570"/>
      <c r="AI6570"/>
      <c r="AJ6570"/>
      <c r="AK6570"/>
      <c r="AL6570"/>
      <c r="AM6570"/>
      <c r="AN6570"/>
    </row>
    <row r="6571" spans="30:40">
      <c r="AD6571"/>
      <c r="AE6571"/>
      <c r="AF6571"/>
      <c r="AG6571"/>
      <c r="AH6571"/>
      <c r="AI6571"/>
      <c r="AJ6571"/>
      <c r="AK6571"/>
      <c r="AL6571"/>
      <c r="AM6571"/>
      <c r="AN6571"/>
    </row>
    <row r="6572" spans="30:40">
      <c r="AD6572"/>
      <c r="AE6572"/>
      <c r="AF6572"/>
      <c r="AG6572"/>
      <c r="AH6572"/>
      <c r="AI6572"/>
      <c r="AJ6572"/>
      <c r="AK6572"/>
      <c r="AL6572"/>
      <c r="AM6572"/>
      <c r="AN6572"/>
    </row>
    <row r="6573" spans="30:40">
      <c r="AD6573"/>
      <c r="AE6573"/>
      <c r="AF6573"/>
      <c r="AG6573"/>
      <c r="AH6573"/>
      <c r="AI6573"/>
      <c r="AJ6573"/>
      <c r="AK6573"/>
      <c r="AL6573"/>
      <c r="AM6573"/>
      <c r="AN6573"/>
    </row>
    <row r="6574" spans="30:40">
      <c r="AD6574"/>
      <c r="AE6574"/>
      <c r="AF6574"/>
      <c r="AG6574"/>
      <c r="AH6574"/>
      <c r="AI6574"/>
      <c r="AJ6574"/>
      <c r="AK6574"/>
      <c r="AL6574"/>
      <c r="AM6574"/>
      <c r="AN6574"/>
    </row>
    <row r="6575" spans="30:40">
      <c r="AD6575"/>
      <c r="AE6575"/>
      <c r="AF6575"/>
      <c r="AG6575"/>
      <c r="AH6575"/>
      <c r="AI6575"/>
      <c r="AJ6575"/>
      <c r="AK6575"/>
      <c r="AL6575"/>
      <c r="AM6575"/>
      <c r="AN6575"/>
    </row>
    <row r="6576" spans="30:40">
      <c r="AD6576"/>
      <c r="AE6576"/>
      <c r="AF6576"/>
      <c r="AG6576"/>
      <c r="AH6576"/>
      <c r="AI6576"/>
      <c r="AJ6576"/>
      <c r="AK6576"/>
      <c r="AL6576"/>
      <c r="AM6576"/>
      <c r="AN6576"/>
    </row>
    <row r="6577" spans="30:40">
      <c r="AD6577"/>
      <c r="AE6577"/>
      <c r="AF6577"/>
      <c r="AG6577"/>
      <c r="AH6577"/>
      <c r="AI6577"/>
      <c r="AJ6577"/>
      <c r="AK6577"/>
      <c r="AL6577"/>
      <c r="AM6577"/>
      <c r="AN6577"/>
    </row>
    <row r="6578" spans="30:40">
      <c r="AD6578"/>
      <c r="AE6578"/>
      <c r="AF6578"/>
      <c r="AG6578"/>
      <c r="AH6578"/>
      <c r="AI6578"/>
      <c r="AJ6578"/>
      <c r="AK6578"/>
      <c r="AL6578"/>
      <c r="AM6578"/>
      <c r="AN6578"/>
    </row>
    <row r="6579" spans="30:40">
      <c r="AD6579"/>
      <c r="AE6579"/>
      <c r="AF6579"/>
      <c r="AG6579"/>
      <c r="AH6579"/>
      <c r="AI6579"/>
      <c r="AJ6579"/>
      <c r="AK6579"/>
      <c r="AL6579"/>
      <c r="AM6579"/>
      <c r="AN6579"/>
    </row>
    <row r="6580" spans="30:40">
      <c r="AD6580"/>
      <c r="AE6580"/>
      <c r="AF6580"/>
      <c r="AG6580"/>
      <c r="AH6580"/>
      <c r="AI6580"/>
      <c r="AJ6580"/>
      <c r="AK6580"/>
      <c r="AL6580"/>
      <c r="AM6580"/>
      <c r="AN6580"/>
    </row>
    <row r="6581" spans="30:40">
      <c r="AD6581"/>
      <c r="AE6581"/>
      <c r="AF6581"/>
      <c r="AG6581"/>
      <c r="AH6581"/>
      <c r="AI6581"/>
      <c r="AJ6581"/>
      <c r="AK6581"/>
      <c r="AL6581"/>
      <c r="AM6581"/>
      <c r="AN6581"/>
    </row>
    <row r="6582" spans="30:40">
      <c r="AD6582"/>
      <c r="AE6582"/>
      <c r="AF6582"/>
      <c r="AG6582"/>
      <c r="AH6582"/>
      <c r="AI6582"/>
      <c r="AJ6582"/>
      <c r="AK6582"/>
      <c r="AL6582"/>
      <c r="AM6582"/>
      <c r="AN6582"/>
    </row>
    <row r="6583" spans="30:40">
      <c r="AD6583"/>
      <c r="AE6583"/>
      <c r="AF6583"/>
      <c r="AG6583"/>
      <c r="AH6583"/>
      <c r="AI6583"/>
      <c r="AJ6583"/>
      <c r="AK6583"/>
      <c r="AL6583"/>
      <c r="AM6583"/>
      <c r="AN6583"/>
    </row>
    <row r="6584" spans="30:40">
      <c r="AD6584"/>
      <c r="AE6584"/>
      <c r="AF6584"/>
      <c r="AG6584"/>
      <c r="AH6584"/>
      <c r="AI6584"/>
      <c r="AJ6584"/>
      <c r="AK6584"/>
      <c r="AL6584"/>
      <c r="AM6584"/>
      <c r="AN6584"/>
    </row>
    <row r="6585" spans="30:40">
      <c r="AD6585"/>
      <c r="AE6585"/>
      <c r="AF6585"/>
      <c r="AG6585"/>
      <c r="AH6585"/>
      <c r="AI6585"/>
      <c r="AJ6585"/>
      <c r="AK6585"/>
      <c r="AL6585"/>
      <c r="AM6585"/>
      <c r="AN6585"/>
    </row>
    <row r="6586" spans="30:40">
      <c r="AD6586"/>
      <c r="AE6586"/>
      <c r="AF6586"/>
      <c r="AG6586"/>
      <c r="AH6586"/>
      <c r="AI6586"/>
      <c r="AJ6586"/>
      <c r="AK6586"/>
      <c r="AL6586"/>
      <c r="AM6586"/>
      <c r="AN6586"/>
    </row>
    <row r="6587" spans="30:40">
      <c r="AD6587"/>
      <c r="AE6587"/>
      <c r="AF6587"/>
      <c r="AG6587"/>
      <c r="AH6587"/>
      <c r="AI6587"/>
      <c r="AJ6587"/>
      <c r="AK6587"/>
      <c r="AL6587"/>
      <c r="AM6587"/>
      <c r="AN6587"/>
    </row>
    <row r="6588" spans="30:40">
      <c r="AD6588"/>
      <c r="AE6588"/>
      <c r="AF6588"/>
      <c r="AG6588"/>
      <c r="AH6588"/>
      <c r="AI6588"/>
      <c r="AJ6588"/>
      <c r="AK6588"/>
      <c r="AL6588"/>
      <c r="AM6588"/>
      <c r="AN6588"/>
    </row>
    <row r="6589" spans="30:40">
      <c r="AD6589"/>
      <c r="AE6589"/>
      <c r="AF6589"/>
      <c r="AG6589"/>
      <c r="AH6589"/>
      <c r="AI6589"/>
      <c r="AJ6589"/>
      <c r="AK6589"/>
      <c r="AL6589"/>
      <c r="AM6589"/>
      <c r="AN6589"/>
    </row>
    <row r="6590" spans="30:40">
      <c r="AD6590"/>
      <c r="AE6590"/>
      <c r="AF6590"/>
      <c r="AG6590"/>
      <c r="AH6590"/>
      <c r="AI6590"/>
      <c r="AJ6590"/>
      <c r="AK6590"/>
      <c r="AL6590"/>
      <c r="AM6590"/>
      <c r="AN6590"/>
    </row>
    <row r="6591" spans="30:40">
      <c r="AD6591"/>
      <c r="AE6591"/>
      <c r="AF6591"/>
      <c r="AG6591"/>
      <c r="AH6591"/>
      <c r="AI6591"/>
      <c r="AJ6591"/>
      <c r="AK6591"/>
      <c r="AL6591"/>
      <c r="AM6591"/>
      <c r="AN6591"/>
    </row>
    <row r="6592" spans="30:40">
      <c r="AD6592"/>
      <c r="AE6592"/>
      <c r="AF6592"/>
      <c r="AG6592"/>
      <c r="AH6592"/>
      <c r="AI6592"/>
      <c r="AJ6592"/>
      <c r="AK6592"/>
      <c r="AL6592"/>
      <c r="AM6592"/>
      <c r="AN6592"/>
    </row>
    <row r="6593" spans="14:40">
      <c r="AD6593"/>
      <c r="AE6593"/>
      <c r="AF6593"/>
      <c r="AG6593"/>
      <c r="AH6593"/>
      <c r="AI6593"/>
      <c r="AJ6593"/>
      <c r="AK6593"/>
      <c r="AL6593"/>
      <c r="AM6593"/>
      <c r="AN6593"/>
    </row>
    <row r="6594" spans="14:40">
      <c r="AD6594"/>
      <c r="AE6594"/>
      <c r="AF6594"/>
      <c r="AG6594"/>
      <c r="AH6594"/>
      <c r="AI6594"/>
      <c r="AJ6594"/>
      <c r="AK6594"/>
      <c r="AL6594"/>
      <c r="AM6594"/>
      <c r="AN6594"/>
    </row>
    <row r="6595" spans="14:40">
      <c r="AD6595"/>
      <c r="AE6595"/>
      <c r="AF6595"/>
      <c r="AG6595"/>
      <c r="AH6595"/>
      <c r="AI6595"/>
      <c r="AJ6595"/>
      <c r="AK6595"/>
      <c r="AL6595"/>
      <c r="AM6595"/>
      <c r="AN6595"/>
    </row>
    <row r="6596" spans="14:40">
      <c r="AA6596"/>
      <c r="AB6596"/>
      <c r="AC6596"/>
      <c r="AD6596"/>
      <c r="AE6596"/>
      <c r="AF6596"/>
      <c r="AG6596"/>
      <c r="AH6596"/>
      <c r="AI6596"/>
      <c r="AJ6596"/>
      <c r="AK6596"/>
      <c r="AL6596"/>
      <c r="AM6596"/>
      <c r="AN6596"/>
    </row>
    <row r="6597" spans="14:40">
      <c r="AA6597"/>
      <c r="AB6597"/>
      <c r="AC6597"/>
      <c r="AD6597"/>
      <c r="AE6597"/>
      <c r="AF6597"/>
      <c r="AG6597"/>
      <c r="AH6597"/>
      <c r="AI6597"/>
      <c r="AJ6597"/>
      <c r="AK6597"/>
      <c r="AL6597"/>
      <c r="AM6597"/>
      <c r="AN6597"/>
    </row>
    <row r="6598" spans="14:40">
      <c r="AA6598"/>
      <c r="AB6598"/>
      <c r="AC6598"/>
      <c r="AD6598"/>
      <c r="AE6598"/>
      <c r="AF6598"/>
      <c r="AG6598"/>
      <c r="AH6598"/>
      <c r="AI6598"/>
      <c r="AJ6598"/>
      <c r="AK6598"/>
      <c r="AL6598"/>
      <c r="AM6598"/>
      <c r="AN6598"/>
    </row>
    <row r="6599" spans="14:40">
      <c r="AA6599"/>
      <c r="AB6599"/>
      <c r="AC6599"/>
      <c r="AD6599"/>
      <c r="AE6599"/>
      <c r="AF6599"/>
      <c r="AG6599"/>
      <c r="AH6599"/>
      <c r="AI6599"/>
      <c r="AJ6599"/>
      <c r="AK6599"/>
      <c r="AL6599"/>
      <c r="AM6599"/>
      <c r="AN6599"/>
    </row>
    <row r="6600" spans="14:40">
      <c r="R6600" s="795" t="s">
        <v>396</v>
      </c>
      <c r="S6600" s="795"/>
      <c r="T6600" s="795"/>
      <c r="U6600" s="795" t="s">
        <v>403</v>
      </c>
      <c r="V6600" s="795"/>
      <c r="W6600" s="795"/>
      <c r="X6600" s="795" t="s">
        <v>402</v>
      </c>
      <c r="Y6600" s="795"/>
      <c r="Z6600" s="795"/>
      <c r="AA6600"/>
      <c r="AB6600"/>
      <c r="AC6600"/>
      <c r="AD6600"/>
      <c r="AE6600"/>
      <c r="AF6600"/>
      <c r="AG6600"/>
      <c r="AH6600"/>
      <c r="AI6600"/>
      <c r="AJ6600"/>
      <c r="AK6600"/>
      <c r="AL6600"/>
      <c r="AM6600"/>
    </row>
    <row r="6601" spans="14:40">
      <c r="Q6601" s="316"/>
      <c r="R6601" s="795" t="s">
        <v>397</v>
      </c>
      <c r="S6601" s="795"/>
      <c r="T6601" s="795"/>
      <c r="U6601" s="795" t="s">
        <v>400</v>
      </c>
      <c r="V6601" s="795"/>
      <c r="W6601" s="795"/>
      <c r="X6601" s="795" t="s">
        <v>401</v>
      </c>
      <c r="Y6601" s="795"/>
      <c r="Z6601" s="795"/>
      <c r="AA6601"/>
      <c r="AB6601"/>
      <c r="AC6601"/>
      <c r="AD6601"/>
      <c r="AE6601"/>
      <c r="AF6601"/>
      <c r="AG6601"/>
      <c r="AH6601"/>
      <c r="AI6601"/>
      <c r="AJ6601"/>
      <c r="AK6601"/>
      <c r="AL6601"/>
      <c r="AM6601"/>
    </row>
    <row r="6602" spans="14:40" ht="11.25" customHeight="1">
      <c r="N6602" s="430" t="s">
        <v>1742</v>
      </c>
      <c r="O6602" s="315"/>
      <c r="P6602" s="309"/>
      <c r="Q6602" s="311"/>
      <c r="R6602" s="624"/>
      <c r="S6602" s="624"/>
      <c r="T6602" s="624"/>
      <c r="U6602" s="624"/>
      <c r="V6602" s="624"/>
      <c r="W6602" s="624"/>
      <c r="X6602" s="624"/>
      <c r="Y6602" s="624"/>
      <c r="Z6602" s="624"/>
      <c r="AA6602"/>
      <c r="AB6602"/>
      <c r="AC6602"/>
      <c r="AD6602"/>
      <c r="AE6602"/>
      <c r="AF6602"/>
      <c r="AG6602"/>
      <c r="AH6602"/>
      <c r="AI6602"/>
      <c r="AJ6602"/>
      <c r="AK6602"/>
      <c r="AL6602"/>
      <c r="AM6602"/>
    </row>
    <row r="6603" spans="14:40" ht="11.25" customHeight="1">
      <c r="N6603" s="811"/>
      <c r="O6603" s="812"/>
      <c r="P6603" s="813"/>
      <c r="Q6603" s="317"/>
      <c r="R6603" s="625" t="str">
        <f>R6605 &amp; ".1"</f>
        <v>.1</v>
      </c>
      <c r="S6603" s="625" t="str">
        <f>R6605 &amp; ".2"</f>
        <v>.2</v>
      </c>
      <c r="T6603" s="625" t="str">
        <f>R6605 &amp; ".0"</f>
        <v>.0</v>
      </c>
      <c r="U6603" s="625" t="str">
        <f>U6605 &amp; ".1"</f>
        <v>.1</v>
      </c>
      <c r="V6603" s="625" t="str">
        <f>U6605 &amp; ".2"</f>
        <v>.2</v>
      </c>
      <c r="W6603" s="625" t="str">
        <f>U6605 &amp; ".0"</f>
        <v>.0</v>
      </c>
      <c r="X6603" s="625" t="str">
        <f>X6605 &amp; ".1"</f>
        <v>.1</v>
      </c>
      <c r="Y6603" s="625" t="str">
        <f>X6605 &amp; ".2"</f>
        <v>.2</v>
      </c>
      <c r="Z6603" s="625" t="str">
        <f>X6605 &amp; ".0"</f>
        <v>.0</v>
      </c>
      <c r="AA6603"/>
      <c r="AB6603"/>
      <c r="AC6603"/>
      <c r="AD6603"/>
      <c r="AE6603"/>
      <c r="AF6603"/>
      <c r="AG6603"/>
      <c r="AH6603"/>
      <c r="AI6603"/>
      <c r="AJ6603"/>
      <c r="AK6603"/>
      <c r="AL6603"/>
      <c r="AM6603"/>
    </row>
    <row r="6604" spans="14:40" ht="11.25" customHeight="1">
      <c r="N6604" s="430" t="s">
        <v>1742</v>
      </c>
      <c r="O6604" s="221"/>
      <c r="P6604" s="122" t="s">
        <v>786</v>
      </c>
      <c r="Q6604" s="201"/>
      <c r="R6604" s="814" t="s">
        <v>719</v>
      </c>
      <c r="S6604" s="814"/>
      <c r="T6604" s="814"/>
      <c r="U6604" s="814" t="s">
        <v>719</v>
      </c>
      <c r="V6604" s="814"/>
      <c r="W6604" s="814"/>
      <c r="X6604" s="814" t="s">
        <v>719</v>
      </c>
      <c r="Y6604" s="814"/>
      <c r="Z6604" s="814"/>
      <c r="AA6604"/>
      <c r="AB6604"/>
      <c r="AC6604"/>
      <c r="AD6604"/>
      <c r="AE6604"/>
      <c r="AF6604"/>
      <c r="AG6604"/>
      <c r="AH6604"/>
      <c r="AI6604"/>
      <c r="AJ6604"/>
      <c r="AK6604"/>
      <c r="AL6604"/>
      <c r="AM6604"/>
    </row>
    <row r="6605" spans="14:40" ht="11.25" customHeight="1">
      <c r="N6605" s="802" t="s">
        <v>641</v>
      </c>
      <c r="O6605" s="804" t="s">
        <v>787</v>
      </c>
      <c r="P6605" s="806" t="s">
        <v>778</v>
      </c>
      <c r="Q6605" s="206">
        <v>0</v>
      </c>
      <c r="R6605" s="808"/>
      <c r="S6605" s="809"/>
      <c r="T6605" s="810"/>
      <c r="U6605" s="808"/>
      <c r="V6605" s="809"/>
      <c r="W6605" s="810"/>
      <c r="X6605" s="808"/>
      <c r="Y6605" s="809"/>
      <c r="Z6605" s="810"/>
      <c r="AA6605"/>
      <c r="AB6605"/>
      <c r="AC6605"/>
      <c r="AD6605"/>
      <c r="AE6605"/>
      <c r="AF6605"/>
      <c r="AG6605"/>
      <c r="AH6605"/>
      <c r="AI6605"/>
      <c r="AJ6605"/>
      <c r="AK6605"/>
      <c r="AL6605"/>
      <c r="AM6605"/>
    </row>
    <row r="6606" spans="14:40" ht="12" customHeight="1">
      <c r="N6606" s="803"/>
      <c r="O6606" s="805"/>
      <c r="P6606" s="807"/>
      <c r="Q6606" s="207"/>
      <c r="R6606" s="796"/>
      <c r="S6606" s="797"/>
      <c r="T6606" s="798"/>
      <c r="U6606" s="796"/>
      <c r="V6606" s="797"/>
      <c r="W6606" s="798"/>
      <c r="X6606" s="796"/>
      <c r="Y6606" s="797"/>
      <c r="Z6606" s="798"/>
      <c r="AA6606"/>
      <c r="AB6606"/>
      <c r="AC6606"/>
      <c r="AD6606"/>
      <c r="AE6606"/>
      <c r="AF6606"/>
      <c r="AG6606"/>
      <c r="AH6606"/>
      <c r="AI6606"/>
      <c r="AJ6606"/>
      <c r="AK6606"/>
      <c r="AL6606"/>
      <c r="AM6606"/>
    </row>
    <row r="6607" spans="14:40" ht="12" customHeight="1">
      <c r="N6607" s="222"/>
      <c r="O6607" s="501" t="s">
        <v>788</v>
      </c>
      <c r="P6607" s="542"/>
      <c r="Q6607" s="207"/>
      <c r="R6607" s="799"/>
      <c r="S6607" s="800"/>
      <c r="T6607" s="801"/>
      <c r="U6607" s="799"/>
      <c r="V6607" s="800"/>
      <c r="W6607" s="801"/>
      <c r="X6607" s="799"/>
      <c r="Y6607" s="800"/>
      <c r="Z6607" s="801"/>
      <c r="AA6607"/>
      <c r="AB6607"/>
      <c r="AC6607"/>
      <c r="AD6607"/>
      <c r="AE6607"/>
      <c r="AF6607"/>
      <c r="AG6607"/>
      <c r="AH6607"/>
      <c r="AI6607"/>
      <c r="AJ6607"/>
      <c r="AK6607"/>
      <c r="AL6607"/>
      <c r="AM6607"/>
    </row>
    <row r="6608" spans="14:40" ht="12" customHeight="1">
      <c r="N6608" s="222"/>
      <c r="O6608" s="556" t="str">
        <f>IF(CALC_IDENTIFIER="","",CALC_IDENTIFIER)</f>
        <v/>
      </c>
      <c r="P6608" s="557" t="s">
        <v>745</v>
      </c>
      <c r="Q6608" s="328"/>
      <c r="R6608" s="568"/>
      <c r="S6608" s="568"/>
      <c r="T6608" s="568"/>
      <c r="U6608" s="568"/>
      <c r="V6608" s="568"/>
      <c r="W6608" s="568" t="s">
        <v>745</v>
      </c>
      <c r="X6608" s="568"/>
      <c r="Y6608" s="568"/>
      <c r="Z6608" s="568" t="s">
        <v>745</v>
      </c>
      <c r="AA6608"/>
      <c r="AB6608"/>
      <c r="AC6608"/>
      <c r="AD6608"/>
      <c r="AE6608"/>
      <c r="AF6608"/>
      <c r="AG6608"/>
      <c r="AH6608"/>
      <c r="AI6608"/>
      <c r="AJ6608"/>
      <c r="AK6608"/>
      <c r="AL6608"/>
      <c r="AM6608"/>
    </row>
    <row r="6609" spans="1:39" s="47" customFormat="1">
      <c r="A6609" s="121"/>
      <c r="B6609" s="121"/>
      <c r="C6609" s="121"/>
      <c r="D6609" s="121"/>
      <c r="E6609" s="121"/>
      <c r="F6609" s="121"/>
      <c r="G6609" s="121"/>
      <c r="H6609" s="121"/>
      <c r="I6609" s="121"/>
      <c r="J6609" s="121"/>
      <c r="K6609" s="121"/>
      <c r="L6609" s="121"/>
      <c r="M6609" s="121"/>
      <c r="N6609" s="504" t="s">
        <v>642</v>
      </c>
      <c r="O6609" s="566" t="str">
        <f>IF(TEMPLATE_SPHERE="водоснабжения","Объём отпуска воды (тыс. куб.м)",IF(TEMPLATE_SPHERE="водоотведения","Пропущено сточных вод, всего (тыс. куб.м)"))</f>
        <v>Пропущено сточных вод, всего (тыс. куб.м)</v>
      </c>
      <c r="P6609" s="551"/>
      <c r="Q6609" s="321"/>
      <c r="R6609" s="567"/>
      <c r="S6609" s="567"/>
      <c r="T6609" s="567"/>
      <c r="U6609" s="567"/>
      <c r="V6609" s="567"/>
      <c r="W6609" s="632">
        <f>IF(TARIFF_SETUP_METHOD_CODE="BY_MONTHS",SUMIF(БТр!$BF$129:$BF$158,W$9&amp;"-"&amp;$AP$8,БТр!$L$129:$L$158),IF(TARIFF_SETUP_METHOD_CODE="BY_PSEUDO_YEARS",SUMIF(БТр!$F$129:$F$158,W$9,БТр!$L$129:$L$158),0))/1000</f>
        <v>0</v>
      </c>
      <c r="X6609" s="567"/>
      <c r="Y6609" s="323"/>
      <c r="Z6609" s="632">
        <f>IF(TARIFF_SETUP_METHOD_CODE="BY_MONTHS",SUMIF(БПр!$BF$129:$BF$158,Z$9&amp;"-"&amp;$AP$8,БПр!$J$129:$J$158),IF(TARIFF_SETUP_METHOD_CODE="BY_PSEUDO_YEARS",SUMIF(БПр!$F$129:$F$158,Z$9,БПр!$J$129:$J$158),0))/1000</f>
        <v>0</v>
      </c>
      <c r="AA6609"/>
      <c r="AB6609"/>
      <c r="AC6609"/>
      <c r="AD6609"/>
      <c r="AE6609"/>
      <c r="AF6609"/>
      <c r="AG6609"/>
      <c r="AH6609"/>
      <c r="AI6609"/>
      <c r="AJ6609"/>
      <c r="AK6609"/>
      <c r="AL6609"/>
      <c r="AM6609"/>
    </row>
    <row r="6610" spans="1:39" s="47" customFormat="1">
      <c r="A6610" s="121"/>
      <c r="B6610" s="121"/>
      <c r="C6610" s="121"/>
      <c r="D6610" s="121"/>
      <c r="E6610" s="121"/>
      <c r="F6610" s="121"/>
      <c r="G6610" s="121"/>
      <c r="H6610" s="121"/>
      <c r="I6610" s="121"/>
      <c r="J6610" s="121"/>
      <c r="K6610" s="121"/>
      <c r="L6610" s="121"/>
      <c r="M6610" s="121"/>
      <c r="N6610" s="504" t="s">
        <v>790</v>
      </c>
      <c r="O6610" s="527" t="s">
        <v>369</v>
      </c>
      <c r="P6610" s="257"/>
      <c r="Q6610" s="321"/>
      <c r="R6610" s="553"/>
      <c r="S6610" s="553"/>
      <c r="T6610" s="553"/>
      <c r="U6610" s="553"/>
      <c r="V6610" s="553"/>
      <c r="W6610" s="629">
        <f>IF($AP$8="I",SUMIF('ТМ1 01.01 - 30.06'!$C$21:$C$25,W$9,'ТМ1 01.01 - 30.06'!$AJ$21:$AJ$25),IF($AP$8="II",SUMIF('ТМ1 01.07 - 31.08'!$C$21:$C$25,W$9,'ТМ1 01.07 - 31.08'!$AJ$21:$AJ$25),IF($AP$8="III",SUMIF('ТМ1 01.09 - 31.12'!$C$21:$C$25,W$9,'ТМ1 01.09 - 31.12'!$AJ$21:$AJ$25),0)))/1000</f>
        <v>0</v>
      </c>
      <c r="X6610" s="553"/>
      <c r="Y6610" s="553"/>
      <c r="Z6610" s="629">
        <f>IF($AP$8="I",SUMIF('ТМ2 01.01 - 30.06'!$C$21:$C$25,Z$9,'ТМ2 01.01 - 30.06'!$AL$21:$AL$25),IF($AP$8="II",SUMIF('ТМ2 01.07 - 31.08'!$C$21:$C$25,Z$9,'ТМ2 01.07 - 31.08'!$AL$21:$AL$25),IF($AP$8="III",SUMIF('ТМ2 01.09 - 31.12'!$C$21:$C$25,Z$9,'ТМ2 01.09 - 31.12'!$AL$21:$AL$25),0)))/1000</f>
        <v>0</v>
      </c>
      <c r="AA6610"/>
      <c r="AB6610"/>
      <c r="AC6610"/>
      <c r="AD6610"/>
      <c r="AE6610"/>
      <c r="AF6610"/>
      <c r="AG6610"/>
      <c r="AH6610"/>
      <c r="AI6610"/>
      <c r="AJ6610"/>
      <c r="AK6610"/>
      <c r="AL6610"/>
      <c r="AM6610"/>
    </row>
    <row r="6611" spans="1:39" s="47" customFormat="1">
      <c r="A6611" s="121"/>
      <c r="B6611" s="121"/>
      <c r="C6611" s="121"/>
      <c r="D6611" s="121"/>
      <c r="E6611" s="121"/>
      <c r="F6611" s="121"/>
      <c r="G6611" s="121"/>
      <c r="H6611" s="121"/>
      <c r="I6611" s="121"/>
      <c r="J6611" s="121"/>
      <c r="K6611" s="121"/>
      <c r="L6611" s="121"/>
      <c r="M6611" s="121"/>
      <c r="N6611" s="504" t="s">
        <v>751</v>
      </c>
      <c r="O6611" s="526" t="s">
        <v>2814</v>
      </c>
      <c r="P6611" s="257"/>
      <c r="Q6611" s="321"/>
      <c r="R6611" s="260"/>
      <c r="S6611" s="260"/>
      <c r="T6611" s="260"/>
      <c r="U6611" s="260"/>
      <c r="V6611" s="260"/>
      <c r="W6611" s="257">
        <f>W6612+W6641+W6642+W6643+W6647+W6648+W6649+W6674+W6680+W6684+W6685+W6686+W6687+W6690+W6691+W6692+W6693+W6703</f>
        <v>0</v>
      </c>
      <c r="X6611" s="260"/>
      <c r="Y6611" s="260"/>
      <c r="Z6611" s="257">
        <f>Z6612+Z6641+Z6642+Z6643+Z6647+Z6648+Z6649+Z6674+Z6680+Z6684+Z6685+Z6686+Z6687+Z6690+Z6691+Z6692+Z6693+Z6703</f>
        <v>0</v>
      </c>
      <c r="AA6611"/>
      <c r="AB6611"/>
      <c r="AC6611"/>
      <c r="AD6611"/>
      <c r="AE6611"/>
      <c r="AF6611"/>
      <c r="AG6611"/>
      <c r="AH6611"/>
      <c r="AI6611"/>
      <c r="AJ6611"/>
      <c r="AK6611"/>
      <c r="AL6611"/>
      <c r="AM6611"/>
    </row>
    <row r="6612" spans="1:39" s="47" customFormat="1">
      <c r="A6612" s="121"/>
      <c r="B6612" s="121"/>
      <c r="C6612" s="121"/>
      <c r="D6612" s="121"/>
      <c r="E6612" s="121"/>
      <c r="F6612" s="121"/>
      <c r="G6612" s="121"/>
      <c r="H6612" s="121"/>
      <c r="I6612" s="121"/>
      <c r="J6612" s="121"/>
      <c r="K6612" s="121"/>
      <c r="L6612" s="121"/>
      <c r="M6612" s="121"/>
      <c r="N6612" s="504" t="s">
        <v>66</v>
      </c>
      <c r="O6612" s="527" t="s">
        <v>2815</v>
      </c>
      <c r="P6612" s="257"/>
      <c r="Q6612" s="321"/>
      <c r="R6612" s="260"/>
      <c r="S6612" s="260"/>
      <c r="T6612" s="260"/>
      <c r="U6612" s="260"/>
      <c r="V6612" s="260"/>
      <c r="W6612" s="257">
        <f>W6613+W6640</f>
        <v>0</v>
      </c>
      <c r="X6612" s="260"/>
      <c r="Y6612" s="260"/>
      <c r="Z6612" s="257">
        <f>Z6613+Z6640</f>
        <v>0</v>
      </c>
      <c r="AA6612"/>
      <c r="AB6612"/>
      <c r="AC6612"/>
      <c r="AD6612"/>
      <c r="AE6612"/>
      <c r="AF6612"/>
      <c r="AG6612"/>
      <c r="AH6612"/>
      <c r="AI6612"/>
      <c r="AJ6612"/>
      <c r="AK6612"/>
      <c r="AL6612"/>
      <c r="AM6612"/>
    </row>
    <row r="6613" spans="1:39" s="47" customFormat="1">
      <c r="A6613" s="121"/>
      <c r="B6613" s="121"/>
      <c r="C6613" s="121"/>
      <c r="D6613" s="121"/>
      <c r="E6613" s="121"/>
      <c r="F6613" s="121"/>
      <c r="G6613" s="121"/>
      <c r="H6613" s="121"/>
      <c r="I6613" s="121"/>
      <c r="J6613" s="121"/>
      <c r="K6613" s="121"/>
      <c r="L6613" s="121"/>
      <c r="M6613" s="121"/>
      <c r="N6613" s="504" t="s">
        <v>632</v>
      </c>
      <c r="O6613" s="528" t="s">
        <v>2816</v>
      </c>
      <c r="P6613" s="257"/>
      <c r="Q6613" s="321"/>
      <c r="R6613" s="260"/>
      <c r="S6613" s="260"/>
      <c r="T6613" s="260"/>
      <c r="U6613" s="260"/>
      <c r="V6613" s="260"/>
      <c r="W6613" s="257">
        <f>W6616+W6619+W6622+W6625+W6628+W6631+W6634+W6637</f>
        <v>0</v>
      </c>
      <c r="X6613" s="260"/>
      <c r="Y6613" s="260"/>
      <c r="Z6613" s="257">
        <f>Z6616+Z6619+Z6622+Z6625+Z6628+Z6631+Z6634+Z6637</f>
        <v>0</v>
      </c>
      <c r="AA6613"/>
      <c r="AB6613"/>
      <c r="AC6613"/>
      <c r="AD6613"/>
      <c r="AE6613"/>
      <c r="AF6613"/>
      <c r="AG6613"/>
      <c r="AH6613"/>
      <c r="AI6613"/>
      <c r="AJ6613"/>
      <c r="AK6613"/>
      <c r="AL6613"/>
      <c r="AM6613"/>
    </row>
    <row r="6614" spans="1:39" s="47" customFormat="1">
      <c r="A6614" s="121"/>
      <c r="B6614" s="121"/>
      <c r="C6614" s="121"/>
      <c r="D6614" s="121"/>
      <c r="E6614" s="121"/>
      <c r="F6614" s="121"/>
      <c r="G6614" s="121"/>
      <c r="H6614" s="121"/>
      <c r="I6614" s="121"/>
      <c r="J6614" s="121"/>
      <c r="K6614" s="121"/>
      <c r="L6614" s="121"/>
      <c r="M6614" s="121"/>
      <c r="N6614" s="223" t="s">
        <v>2817</v>
      </c>
      <c r="O6614" s="529" t="s">
        <v>2986</v>
      </c>
      <c r="P6614" s="257"/>
      <c r="Q6614" s="321"/>
      <c r="R6614" s="260"/>
      <c r="S6614" s="260"/>
      <c r="T6614" s="260"/>
      <c r="U6614" s="260"/>
      <c r="V6614" s="260"/>
      <c r="W6614" s="257">
        <f>W6618+W6624+W6630+W6636</f>
        <v>0</v>
      </c>
      <c r="X6614" s="260"/>
      <c r="Y6614" s="260"/>
      <c r="Z6614" s="257">
        <f>Z6618+Z6624+Z6630+Z6636</f>
        <v>0</v>
      </c>
      <c r="AA6614"/>
      <c r="AB6614"/>
      <c r="AC6614"/>
      <c r="AD6614"/>
      <c r="AE6614"/>
      <c r="AF6614"/>
      <c r="AG6614"/>
      <c r="AH6614"/>
      <c r="AI6614"/>
      <c r="AJ6614"/>
      <c r="AK6614"/>
      <c r="AL6614"/>
      <c r="AM6614"/>
    </row>
    <row r="6615" spans="1:39" s="47" customFormat="1">
      <c r="A6615" s="121"/>
      <c r="B6615" s="121"/>
      <c r="C6615" s="121"/>
      <c r="D6615" s="121"/>
      <c r="E6615" s="121"/>
      <c r="F6615" s="121"/>
      <c r="G6615" s="121"/>
      <c r="H6615" s="121"/>
      <c r="I6615" s="121"/>
      <c r="J6615" s="121"/>
      <c r="K6615" s="121"/>
      <c r="L6615" s="121"/>
      <c r="M6615" s="121"/>
      <c r="N6615" s="223" t="s">
        <v>2818</v>
      </c>
      <c r="O6615" s="529" t="s">
        <v>2988</v>
      </c>
      <c r="P6615" s="257"/>
      <c r="Q6615" s="321"/>
      <c r="R6615" s="260"/>
      <c r="S6615" s="260"/>
      <c r="T6615" s="260"/>
      <c r="U6615" s="260"/>
      <c r="V6615" s="260"/>
      <c r="W6615" s="257">
        <f>W6621+W6627+W6633+W6639</f>
        <v>0</v>
      </c>
      <c r="X6615" s="260"/>
      <c r="Y6615" s="260"/>
      <c r="Z6615" s="257">
        <f>Z6621+Z6627+Z6633+Z6639</f>
        <v>0</v>
      </c>
      <c r="AA6615"/>
      <c r="AB6615"/>
      <c r="AC6615"/>
      <c r="AD6615"/>
      <c r="AE6615"/>
      <c r="AF6615"/>
      <c r="AG6615"/>
      <c r="AH6615"/>
      <c r="AI6615"/>
      <c r="AJ6615"/>
      <c r="AK6615"/>
      <c r="AL6615"/>
      <c r="AM6615"/>
    </row>
    <row r="6616" spans="1:39" s="47" customFormat="1">
      <c r="A6616" s="121"/>
      <c r="B6616" s="121"/>
      <c r="C6616" s="121"/>
      <c r="D6616" s="121"/>
      <c r="E6616" s="121"/>
      <c r="F6616" s="121"/>
      <c r="G6616" s="121"/>
      <c r="H6616" s="121"/>
      <c r="I6616" s="121"/>
      <c r="J6616" s="121"/>
      <c r="K6616" s="121"/>
      <c r="L6616" s="121"/>
      <c r="M6616" s="121"/>
      <c r="N6616" s="223" t="s">
        <v>8</v>
      </c>
      <c r="O6616" s="529" t="s">
        <v>3011</v>
      </c>
      <c r="P6616" s="257"/>
      <c r="Q6616" s="321"/>
      <c r="R6616" s="260"/>
      <c r="S6616" s="260"/>
      <c r="T6616" s="260"/>
      <c r="U6616" s="260"/>
      <c r="V6616" s="260"/>
      <c r="W6616" s="257">
        <f>W6617*W6618</f>
        <v>0</v>
      </c>
      <c r="X6616" s="260"/>
      <c r="Y6616" s="260"/>
      <c r="Z6616" s="257">
        <f>Z6617*Z6618</f>
        <v>0</v>
      </c>
      <c r="AA6616"/>
      <c r="AB6616"/>
      <c r="AC6616"/>
      <c r="AD6616"/>
      <c r="AE6616"/>
      <c r="AF6616"/>
      <c r="AG6616"/>
      <c r="AH6616"/>
      <c r="AI6616"/>
      <c r="AJ6616"/>
      <c r="AK6616"/>
      <c r="AL6616"/>
      <c r="AM6616"/>
    </row>
    <row r="6617" spans="1:39" s="47" customFormat="1">
      <c r="A6617" s="121"/>
      <c r="B6617" s="121"/>
      <c r="C6617" s="121"/>
      <c r="D6617" s="121"/>
      <c r="E6617" s="121"/>
      <c r="F6617" s="121"/>
      <c r="G6617" s="121"/>
      <c r="H6617" s="121"/>
      <c r="I6617" s="121"/>
      <c r="J6617" s="121"/>
      <c r="K6617" s="121"/>
      <c r="L6617" s="121"/>
      <c r="M6617" s="121"/>
      <c r="N6617" s="524" t="s">
        <v>9</v>
      </c>
      <c r="O6617" s="530" t="s">
        <v>2968</v>
      </c>
      <c r="P6617" s="544"/>
      <c r="Q6617" s="321"/>
      <c r="R6617" s="260"/>
      <c r="S6617" s="260"/>
      <c r="T6617" s="260"/>
      <c r="U6617" s="260"/>
      <c r="V6617" s="260"/>
      <c r="W6617" s="261"/>
      <c r="X6617" s="260"/>
      <c r="Y6617" s="260"/>
      <c r="Z6617" s="261"/>
      <c r="AA6617"/>
      <c r="AB6617"/>
      <c r="AC6617"/>
      <c r="AD6617"/>
      <c r="AE6617"/>
      <c r="AF6617"/>
      <c r="AG6617"/>
      <c r="AH6617"/>
      <c r="AI6617"/>
      <c r="AJ6617"/>
      <c r="AK6617"/>
      <c r="AL6617"/>
      <c r="AM6617"/>
    </row>
    <row r="6618" spans="1:39" s="47" customFormat="1">
      <c r="A6618" s="121"/>
      <c r="B6618" s="121"/>
      <c r="C6618" s="121"/>
      <c r="D6618" s="121"/>
      <c r="E6618" s="121"/>
      <c r="F6618" s="121"/>
      <c r="G6618" s="121"/>
      <c r="H6618" s="121"/>
      <c r="I6618" s="121"/>
      <c r="J6618" s="121"/>
      <c r="K6618" s="121"/>
      <c r="L6618" s="121"/>
      <c r="M6618" s="121"/>
      <c r="N6618" s="524" t="s">
        <v>10</v>
      </c>
      <c r="O6618" s="530" t="s">
        <v>2986</v>
      </c>
      <c r="P6618" s="257"/>
      <c r="Q6618" s="321"/>
      <c r="R6618" s="260"/>
      <c r="S6618" s="260"/>
      <c r="T6618" s="260"/>
      <c r="U6618" s="260"/>
      <c r="V6618" s="260"/>
      <c r="W6618" s="261"/>
      <c r="X6618" s="260"/>
      <c r="Y6618" s="260"/>
      <c r="Z6618" s="261"/>
      <c r="AA6618"/>
      <c r="AB6618"/>
      <c r="AC6618"/>
      <c r="AD6618"/>
      <c r="AE6618"/>
      <c r="AF6618"/>
      <c r="AG6618"/>
      <c r="AH6618"/>
      <c r="AI6618"/>
      <c r="AJ6618"/>
      <c r="AK6618"/>
      <c r="AL6618"/>
      <c r="AM6618"/>
    </row>
    <row r="6619" spans="1:39" s="47" customFormat="1">
      <c r="A6619" s="121"/>
      <c r="B6619" s="121"/>
      <c r="C6619" s="121"/>
      <c r="D6619" s="121"/>
      <c r="E6619" s="121"/>
      <c r="F6619" s="121"/>
      <c r="G6619" s="121"/>
      <c r="H6619" s="121"/>
      <c r="I6619" s="121"/>
      <c r="J6619" s="121"/>
      <c r="K6619" s="121"/>
      <c r="L6619" s="121"/>
      <c r="M6619" s="121"/>
      <c r="N6619" s="223" t="s">
        <v>11</v>
      </c>
      <c r="O6619" s="531" t="s">
        <v>3015</v>
      </c>
      <c r="P6619" s="257"/>
      <c r="Q6619" s="321"/>
      <c r="R6619" s="260"/>
      <c r="S6619" s="260"/>
      <c r="T6619" s="260"/>
      <c r="U6619" s="260"/>
      <c r="V6619" s="260"/>
      <c r="W6619" s="257">
        <f>W6620*W6621</f>
        <v>0</v>
      </c>
      <c r="X6619" s="260"/>
      <c r="Y6619" s="260"/>
      <c r="Z6619" s="257">
        <f>Z6620*Z6621</f>
        <v>0</v>
      </c>
      <c r="AA6619"/>
      <c r="AB6619"/>
      <c r="AC6619"/>
      <c r="AD6619"/>
      <c r="AE6619"/>
      <c r="AF6619"/>
      <c r="AG6619"/>
      <c r="AH6619"/>
      <c r="AI6619"/>
      <c r="AJ6619"/>
      <c r="AK6619"/>
      <c r="AL6619"/>
      <c r="AM6619"/>
    </row>
    <row r="6620" spans="1:39" s="47" customFormat="1">
      <c r="A6620" s="121"/>
      <c r="B6620" s="121"/>
      <c r="C6620" s="121"/>
      <c r="D6620" s="121"/>
      <c r="E6620" s="121"/>
      <c r="F6620" s="121"/>
      <c r="G6620" s="121"/>
      <c r="H6620" s="121"/>
      <c r="I6620" s="121"/>
      <c r="J6620" s="121"/>
      <c r="K6620" s="121"/>
      <c r="L6620" s="121"/>
      <c r="M6620" s="121"/>
      <c r="N6620" s="524" t="s">
        <v>12</v>
      </c>
      <c r="O6620" s="530" t="s">
        <v>2970</v>
      </c>
      <c r="P6620" s="544"/>
      <c r="Q6620" s="321"/>
      <c r="R6620" s="260"/>
      <c r="S6620" s="260"/>
      <c r="T6620" s="260"/>
      <c r="U6620" s="260"/>
      <c r="V6620" s="260"/>
      <c r="W6620" s="261"/>
      <c r="X6620" s="260"/>
      <c r="Y6620" s="260"/>
      <c r="Z6620" s="261"/>
      <c r="AA6620"/>
      <c r="AB6620"/>
      <c r="AC6620"/>
      <c r="AD6620"/>
      <c r="AE6620"/>
      <c r="AF6620"/>
      <c r="AG6620"/>
      <c r="AH6620"/>
      <c r="AI6620"/>
      <c r="AJ6620"/>
      <c r="AK6620"/>
      <c r="AL6620"/>
      <c r="AM6620"/>
    </row>
    <row r="6621" spans="1:39" s="47" customFormat="1">
      <c r="A6621" s="121"/>
      <c r="B6621" s="121"/>
      <c r="C6621" s="121"/>
      <c r="D6621" s="121"/>
      <c r="E6621" s="121"/>
      <c r="F6621" s="121"/>
      <c r="G6621" s="121"/>
      <c r="H6621" s="121"/>
      <c r="I6621" s="121"/>
      <c r="J6621" s="121"/>
      <c r="K6621" s="121"/>
      <c r="L6621" s="121"/>
      <c r="M6621" s="121"/>
      <c r="N6621" s="524" t="s">
        <v>13</v>
      </c>
      <c r="O6621" s="530" t="s">
        <v>3018</v>
      </c>
      <c r="P6621" s="257"/>
      <c r="Q6621" s="321"/>
      <c r="R6621" s="260"/>
      <c r="S6621" s="260"/>
      <c r="T6621" s="260"/>
      <c r="U6621" s="260"/>
      <c r="V6621" s="260"/>
      <c r="W6621" s="261"/>
      <c r="X6621" s="260"/>
      <c r="Y6621" s="260"/>
      <c r="Z6621" s="261"/>
      <c r="AA6621"/>
      <c r="AB6621"/>
      <c r="AC6621"/>
      <c r="AD6621"/>
      <c r="AE6621"/>
      <c r="AF6621"/>
      <c r="AG6621"/>
      <c r="AH6621"/>
      <c r="AI6621"/>
      <c r="AJ6621"/>
      <c r="AK6621"/>
      <c r="AL6621"/>
      <c r="AM6621"/>
    </row>
    <row r="6622" spans="1:39" s="47" customFormat="1">
      <c r="A6622" s="121"/>
      <c r="B6622" s="121"/>
      <c r="C6622" s="121"/>
      <c r="D6622" s="121"/>
      <c r="E6622" s="121"/>
      <c r="F6622" s="121"/>
      <c r="G6622" s="121"/>
      <c r="H6622" s="121"/>
      <c r="I6622" s="121"/>
      <c r="J6622" s="121"/>
      <c r="K6622" s="121"/>
      <c r="L6622" s="121"/>
      <c r="M6622" s="121"/>
      <c r="N6622" s="223" t="s">
        <v>14</v>
      </c>
      <c r="O6622" s="529" t="s">
        <v>3020</v>
      </c>
      <c r="P6622" s="257"/>
      <c r="Q6622" s="321"/>
      <c r="R6622" s="260"/>
      <c r="S6622" s="260"/>
      <c r="T6622" s="260"/>
      <c r="U6622" s="260"/>
      <c r="V6622" s="260"/>
      <c r="W6622" s="257">
        <f>W6623*W6624</f>
        <v>0</v>
      </c>
      <c r="X6622" s="260"/>
      <c r="Y6622" s="260"/>
      <c r="Z6622" s="257">
        <f>Z6623*Z6624</f>
        <v>0</v>
      </c>
      <c r="AA6622"/>
      <c r="AB6622"/>
      <c r="AC6622"/>
      <c r="AD6622"/>
      <c r="AE6622"/>
      <c r="AF6622"/>
      <c r="AG6622"/>
      <c r="AH6622"/>
      <c r="AI6622"/>
      <c r="AJ6622"/>
      <c r="AK6622"/>
      <c r="AL6622"/>
      <c r="AM6622"/>
    </row>
    <row r="6623" spans="1:39" s="47" customFormat="1">
      <c r="A6623" s="121"/>
      <c r="B6623" s="121"/>
      <c r="C6623" s="121"/>
      <c r="D6623" s="121"/>
      <c r="E6623" s="121"/>
      <c r="F6623" s="121"/>
      <c r="G6623" s="121"/>
      <c r="H6623" s="121"/>
      <c r="I6623" s="121"/>
      <c r="J6623" s="121"/>
      <c r="K6623" s="121"/>
      <c r="L6623" s="121"/>
      <c r="M6623" s="121"/>
      <c r="N6623" s="524" t="s">
        <v>15</v>
      </c>
      <c r="O6623" s="530" t="s">
        <v>2968</v>
      </c>
      <c r="P6623" s="544"/>
      <c r="Q6623" s="321"/>
      <c r="R6623" s="260"/>
      <c r="S6623" s="260"/>
      <c r="T6623" s="260"/>
      <c r="U6623" s="260"/>
      <c r="V6623" s="260"/>
      <c r="W6623" s="261"/>
      <c r="X6623" s="260"/>
      <c r="Y6623" s="260"/>
      <c r="Z6623" s="261"/>
      <c r="AA6623"/>
      <c r="AB6623"/>
      <c r="AC6623"/>
      <c r="AD6623"/>
      <c r="AE6623"/>
      <c r="AF6623"/>
      <c r="AG6623"/>
      <c r="AH6623"/>
      <c r="AI6623"/>
      <c r="AJ6623"/>
      <c r="AK6623"/>
      <c r="AL6623"/>
      <c r="AM6623"/>
    </row>
    <row r="6624" spans="1:39" s="47" customFormat="1">
      <c r="A6624" s="121"/>
      <c r="B6624" s="121"/>
      <c r="C6624" s="121"/>
      <c r="D6624" s="121"/>
      <c r="E6624" s="121"/>
      <c r="F6624" s="121"/>
      <c r="G6624" s="121"/>
      <c r="H6624" s="121"/>
      <c r="I6624" s="121"/>
      <c r="J6624" s="121"/>
      <c r="K6624" s="121"/>
      <c r="L6624" s="121"/>
      <c r="M6624" s="121"/>
      <c r="N6624" s="524" t="s">
        <v>16</v>
      </c>
      <c r="O6624" s="530" t="s">
        <v>2986</v>
      </c>
      <c r="P6624" s="257"/>
      <c r="Q6624" s="321"/>
      <c r="R6624" s="260"/>
      <c r="S6624" s="260"/>
      <c r="T6624" s="260"/>
      <c r="U6624" s="260"/>
      <c r="V6624" s="260"/>
      <c r="W6624" s="261"/>
      <c r="X6624" s="260"/>
      <c r="Y6624" s="260"/>
      <c r="Z6624" s="261"/>
      <c r="AA6624"/>
      <c r="AB6624"/>
      <c r="AC6624"/>
      <c r="AD6624"/>
      <c r="AE6624"/>
      <c r="AF6624"/>
      <c r="AG6624"/>
      <c r="AH6624"/>
      <c r="AI6624"/>
      <c r="AJ6624"/>
      <c r="AK6624"/>
      <c r="AL6624"/>
      <c r="AM6624"/>
    </row>
    <row r="6625" spans="1:39" s="47" customFormat="1">
      <c r="A6625" s="121"/>
      <c r="B6625" s="121"/>
      <c r="C6625" s="121"/>
      <c r="D6625" s="121"/>
      <c r="E6625" s="121"/>
      <c r="F6625" s="121"/>
      <c r="G6625" s="121"/>
      <c r="H6625" s="121"/>
      <c r="I6625" s="121"/>
      <c r="J6625" s="121"/>
      <c r="K6625" s="121"/>
      <c r="L6625" s="121"/>
      <c r="M6625" s="121"/>
      <c r="N6625" s="223" t="s">
        <v>17</v>
      </c>
      <c r="O6625" s="531" t="s">
        <v>3024</v>
      </c>
      <c r="P6625" s="257"/>
      <c r="Q6625" s="321"/>
      <c r="R6625" s="260"/>
      <c r="S6625" s="260"/>
      <c r="T6625" s="260"/>
      <c r="U6625" s="260"/>
      <c r="V6625" s="260"/>
      <c r="W6625" s="257">
        <f>W6626*W6627</f>
        <v>0</v>
      </c>
      <c r="X6625" s="260"/>
      <c r="Y6625" s="260"/>
      <c r="Z6625" s="257">
        <f>Z6626*Z6627</f>
        <v>0</v>
      </c>
      <c r="AA6625"/>
      <c r="AB6625"/>
      <c r="AC6625"/>
      <c r="AD6625"/>
      <c r="AE6625"/>
      <c r="AF6625"/>
      <c r="AG6625"/>
      <c r="AH6625"/>
      <c r="AI6625"/>
      <c r="AJ6625"/>
      <c r="AK6625"/>
      <c r="AL6625"/>
      <c r="AM6625"/>
    </row>
    <row r="6626" spans="1:39" s="47" customFormat="1">
      <c r="A6626" s="121"/>
      <c r="B6626" s="121"/>
      <c r="C6626" s="121"/>
      <c r="D6626" s="121"/>
      <c r="E6626" s="121"/>
      <c r="F6626" s="121"/>
      <c r="G6626" s="121"/>
      <c r="H6626" s="121"/>
      <c r="I6626" s="121"/>
      <c r="J6626" s="121"/>
      <c r="K6626" s="121"/>
      <c r="L6626" s="121"/>
      <c r="M6626" s="121"/>
      <c r="N6626" s="524" t="s">
        <v>18</v>
      </c>
      <c r="O6626" s="530" t="s">
        <v>2970</v>
      </c>
      <c r="P6626" s="544"/>
      <c r="Q6626" s="321"/>
      <c r="R6626" s="260"/>
      <c r="S6626" s="260"/>
      <c r="T6626" s="260"/>
      <c r="U6626" s="260"/>
      <c r="V6626" s="260"/>
      <c r="W6626" s="261"/>
      <c r="X6626" s="260"/>
      <c r="Y6626" s="260"/>
      <c r="Z6626" s="261"/>
      <c r="AA6626"/>
      <c r="AB6626"/>
      <c r="AC6626"/>
      <c r="AD6626"/>
      <c r="AE6626"/>
      <c r="AF6626"/>
      <c r="AG6626"/>
      <c r="AH6626"/>
      <c r="AI6626"/>
      <c r="AJ6626"/>
      <c r="AK6626"/>
      <c r="AL6626"/>
      <c r="AM6626"/>
    </row>
    <row r="6627" spans="1:39" s="47" customFormat="1">
      <c r="A6627" s="121"/>
      <c r="B6627" s="121"/>
      <c r="C6627" s="121"/>
      <c r="D6627" s="121"/>
      <c r="E6627" s="121"/>
      <c r="F6627" s="121"/>
      <c r="G6627" s="121"/>
      <c r="H6627" s="121"/>
      <c r="I6627" s="121"/>
      <c r="J6627" s="121"/>
      <c r="K6627" s="121"/>
      <c r="L6627" s="121"/>
      <c r="M6627" s="121"/>
      <c r="N6627" s="524" t="s">
        <v>19</v>
      </c>
      <c r="O6627" s="530" t="s">
        <v>3018</v>
      </c>
      <c r="P6627" s="257"/>
      <c r="Q6627" s="321"/>
      <c r="R6627" s="260"/>
      <c r="S6627" s="260"/>
      <c r="T6627" s="260"/>
      <c r="U6627" s="260"/>
      <c r="V6627" s="260"/>
      <c r="W6627" s="261"/>
      <c r="X6627" s="260"/>
      <c r="Y6627" s="260"/>
      <c r="Z6627" s="261"/>
      <c r="AA6627"/>
      <c r="AB6627"/>
      <c r="AC6627"/>
      <c r="AD6627"/>
      <c r="AE6627"/>
      <c r="AF6627"/>
      <c r="AG6627"/>
      <c r="AH6627"/>
      <c r="AI6627"/>
      <c r="AJ6627"/>
      <c r="AK6627"/>
      <c r="AL6627"/>
      <c r="AM6627"/>
    </row>
    <row r="6628" spans="1:39" s="47" customFormat="1">
      <c r="A6628" s="121"/>
      <c r="B6628" s="121"/>
      <c r="C6628" s="121"/>
      <c r="D6628" s="121"/>
      <c r="E6628" s="121"/>
      <c r="F6628" s="121"/>
      <c r="G6628" s="121"/>
      <c r="H6628" s="121"/>
      <c r="I6628" s="121"/>
      <c r="J6628" s="121"/>
      <c r="K6628" s="121"/>
      <c r="L6628" s="121"/>
      <c r="M6628" s="121"/>
      <c r="N6628" s="223" t="s">
        <v>20</v>
      </c>
      <c r="O6628" s="529" t="s">
        <v>3028</v>
      </c>
      <c r="P6628" s="257"/>
      <c r="Q6628" s="321"/>
      <c r="R6628" s="260"/>
      <c r="S6628" s="260"/>
      <c r="T6628" s="260"/>
      <c r="U6628" s="260"/>
      <c r="V6628" s="260"/>
      <c r="W6628" s="257">
        <f>W6629*W6630</f>
        <v>0</v>
      </c>
      <c r="X6628" s="260"/>
      <c r="Y6628" s="260"/>
      <c r="Z6628" s="257">
        <f>Z6629*Z6630</f>
        <v>0</v>
      </c>
      <c r="AA6628"/>
      <c r="AB6628"/>
      <c r="AC6628"/>
      <c r="AD6628"/>
      <c r="AE6628"/>
      <c r="AF6628"/>
      <c r="AG6628"/>
      <c r="AH6628"/>
      <c r="AI6628"/>
      <c r="AJ6628"/>
      <c r="AK6628"/>
      <c r="AL6628"/>
      <c r="AM6628"/>
    </row>
    <row r="6629" spans="1:39" s="47" customFormat="1">
      <c r="A6629" s="121"/>
      <c r="B6629" s="121"/>
      <c r="C6629" s="121"/>
      <c r="D6629" s="121"/>
      <c r="E6629" s="121"/>
      <c r="F6629" s="121"/>
      <c r="G6629" s="121"/>
      <c r="H6629" s="121"/>
      <c r="I6629" s="121"/>
      <c r="J6629" s="121"/>
      <c r="K6629" s="121"/>
      <c r="L6629" s="121"/>
      <c r="M6629" s="121"/>
      <c r="N6629" s="524" t="s">
        <v>21</v>
      </c>
      <c r="O6629" s="530" t="s">
        <v>2968</v>
      </c>
      <c r="P6629" s="544"/>
      <c r="Q6629" s="321"/>
      <c r="R6629" s="260"/>
      <c r="S6629" s="260"/>
      <c r="T6629" s="260"/>
      <c r="U6629" s="260"/>
      <c r="V6629" s="260"/>
      <c r="W6629" s="261"/>
      <c r="X6629" s="260"/>
      <c r="Y6629" s="260"/>
      <c r="Z6629" s="261"/>
      <c r="AA6629"/>
      <c r="AB6629"/>
      <c r="AC6629"/>
      <c r="AD6629"/>
      <c r="AE6629"/>
      <c r="AF6629"/>
      <c r="AG6629"/>
      <c r="AH6629"/>
      <c r="AI6629"/>
      <c r="AJ6629"/>
      <c r="AK6629"/>
      <c r="AL6629"/>
      <c r="AM6629"/>
    </row>
    <row r="6630" spans="1:39" s="47" customFormat="1">
      <c r="A6630" s="121"/>
      <c r="B6630" s="121"/>
      <c r="C6630" s="121"/>
      <c r="D6630" s="121"/>
      <c r="E6630" s="121"/>
      <c r="F6630" s="121"/>
      <c r="G6630" s="121"/>
      <c r="H6630" s="121"/>
      <c r="I6630" s="121"/>
      <c r="J6630" s="121"/>
      <c r="K6630" s="121"/>
      <c r="L6630" s="121"/>
      <c r="M6630" s="121"/>
      <c r="N6630" s="524" t="s">
        <v>22</v>
      </c>
      <c r="O6630" s="530" t="s">
        <v>2986</v>
      </c>
      <c r="P6630" s="257"/>
      <c r="Q6630" s="321"/>
      <c r="R6630" s="260"/>
      <c r="S6630" s="260"/>
      <c r="T6630" s="260"/>
      <c r="U6630" s="260"/>
      <c r="V6630" s="260"/>
      <c r="W6630" s="261"/>
      <c r="X6630" s="260"/>
      <c r="Y6630" s="260"/>
      <c r="Z6630" s="261"/>
      <c r="AA6630"/>
      <c r="AB6630"/>
      <c r="AC6630"/>
      <c r="AD6630"/>
      <c r="AE6630"/>
      <c r="AF6630"/>
      <c r="AG6630"/>
      <c r="AH6630"/>
      <c r="AI6630"/>
      <c r="AJ6630"/>
      <c r="AK6630"/>
      <c r="AL6630"/>
      <c r="AM6630"/>
    </row>
    <row r="6631" spans="1:39" s="47" customFormat="1">
      <c r="A6631" s="121"/>
      <c r="B6631" s="121"/>
      <c r="C6631" s="121"/>
      <c r="D6631" s="121"/>
      <c r="E6631" s="121"/>
      <c r="F6631" s="121"/>
      <c r="G6631" s="121"/>
      <c r="H6631" s="121"/>
      <c r="I6631" s="121"/>
      <c r="J6631" s="121"/>
      <c r="K6631" s="121"/>
      <c r="L6631" s="121"/>
      <c r="M6631" s="121"/>
      <c r="N6631" s="223" t="s">
        <v>23</v>
      </c>
      <c r="O6631" s="531" t="s">
        <v>3032</v>
      </c>
      <c r="P6631" s="257"/>
      <c r="Q6631" s="321"/>
      <c r="R6631" s="260"/>
      <c r="S6631" s="260"/>
      <c r="T6631" s="260"/>
      <c r="U6631" s="260"/>
      <c r="V6631" s="260"/>
      <c r="W6631" s="257">
        <f>W6632*W6633</f>
        <v>0</v>
      </c>
      <c r="X6631" s="260"/>
      <c r="Y6631" s="260"/>
      <c r="Z6631" s="257">
        <f>Z6632*Z6633</f>
        <v>0</v>
      </c>
      <c r="AA6631"/>
      <c r="AB6631"/>
      <c r="AC6631"/>
      <c r="AD6631"/>
      <c r="AE6631"/>
      <c r="AF6631"/>
      <c r="AG6631"/>
      <c r="AH6631"/>
      <c r="AI6631"/>
      <c r="AJ6631"/>
      <c r="AK6631"/>
      <c r="AL6631"/>
      <c r="AM6631"/>
    </row>
    <row r="6632" spans="1:39" s="47" customFormat="1">
      <c r="A6632" s="121"/>
      <c r="B6632" s="121"/>
      <c r="C6632" s="121"/>
      <c r="D6632" s="121"/>
      <c r="E6632" s="121"/>
      <c r="F6632" s="121"/>
      <c r="G6632" s="121"/>
      <c r="H6632" s="121"/>
      <c r="I6632" s="121"/>
      <c r="J6632" s="121"/>
      <c r="K6632" s="121"/>
      <c r="L6632" s="121"/>
      <c r="M6632" s="121"/>
      <c r="N6632" s="524" t="s">
        <v>24</v>
      </c>
      <c r="O6632" s="530" t="s">
        <v>2970</v>
      </c>
      <c r="P6632" s="544"/>
      <c r="Q6632" s="321"/>
      <c r="R6632" s="260"/>
      <c r="S6632" s="260"/>
      <c r="T6632" s="260"/>
      <c r="U6632" s="260"/>
      <c r="V6632" s="260"/>
      <c r="W6632" s="261"/>
      <c r="X6632" s="260"/>
      <c r="Y6632" s="260"/>
      <c r="Z6632" s="261"/>
      <c r="AA6632"/>
      <c r="AB6632"/>
      <c r="AC6632"/>
      <c r="AD6632"/>
      <c r="AE6632"/>
      <c r="AF6632"/>
      <c r="AG6632"/>
      <c r="AH6632"/>
      <c r="AI6632"/>
      <c r="AJ6632"/>
      <c r="AK6632"/>
      <c r="AL6632"/>
      <c r="AM6632"/>
    </row>
    <row r="6633" spans="1:39" s="47" customFormat="1">
      <c r="A6633" s="121"/>
      <c r="B6633" s="121"/>
      <c r="C6633" s="121"/>
      <c r="D6633" s="121"/>
      <c r="E6633" s="121"/>
      <c r="F6633" s="121"/>
      <c r="G6633" s="121"/>
      <c r="H6633" s="121"/>
      <c r="I6633" s="121"/>
      <c r="J6633" s="121"/>
      <c r="K6633" s="121"/>
      <c r="L6633" s="121"/>
      <c r="M6633" s="121"/>
      <c r="N6633" s="524" t="s">
        <v>25</v>
      </c>
      <c r="O6633" s="530" t="s">
        <v>3018</v>
      </c>
      <c r="P6633" s="257"/>
      <c r="Q6633" s="321"/>
      <c r="R6633" s="260"/>
      <c r="S6633" s="260"/>
      <c r="T6633" s="260"/>
      <c r="U6633" s="260"/>
      <c r="V6633" s="260"/>
      <c r="W6633" s="261"/>
      <c r="X6633" s="260"/>
      <c r="Y6633" s="260"/>
      <c r="Z6633" s="261"/>
      <c r="AA6633"/>
      <c r="AB6633"/>
      <c r="AC6633"/>
      <c r="AD6633"/>
      <c r="AE6633"/>
      <c r="AF6633"/>
      <c r="AG6633"/>
      <c r="AH6633"/>
      <c r="AI6633"/>
      <c r="AJ6633"/>
      <c r="AK6633"/>
      <c r="AL6633"/>
      <c r="AM6633"/>
    </row>
    <row r="6634" spans="1:39" s="47" customFormat="1">
      <c r="A6634" s="121"/>
      <c r="B6634" s="121"/>
      <c r="C6634" s="121"/>
      <c r="D6634" s="121"/>
      <c r="E6634" s="121"/>
      <c r="F6634" s="121"/>
      <c r="G6634" s="121"/>
      <c r="H6634" s="121"/>
      <c r="I6634" s="121"/>
      <c r="J6634" s="121"/>
      <c r="K6634" s="121"/>
      <c r="L6634" s="121"/>
      <c r="M6634" s="121"/>
      <c r="N6634" s="223" t="s">
        <v>26</v>
      </c>
      <c r="O6634" s="529" t="s">
        <v>3036</v>
      </c>
      <c r="P6634" s="257"/>
      <c r="Q6634" s="321"/>
      <c r="R6634" s="260"/>
      <c r="S6634" s="260"/>
      <c r="T6634" s="260"/>
      <c r="U6634" s="260"/>
      <c r="V6634" s="260"/>
      <c r="W6634" s="257">
        <f>W6635*W6636</f>
        <v>0</v>
      </c>
      <c r="X6634" s="260"/>
      <c r="Y6634" s="260"/>
      <c r="Z6634" s="257">
        <f>Z6635*Z6636</f>
        <v>0</v>
      </c>
      <c r="AA6634"/>
      <c r="AB6634"/>
      <c r="AC6634"/>
      <c r="AD6634"/>
      <c r="AE6634"/>
      <c r="AF6634"/>
      <c r="AG6634"/>
      <c r="AH6634"/>
      <c r="AI6634"/>
      <c r="AJ6634"/>
      <c r="AK6634"/>
      <c r="AL6634"/>
      <c r="AM6634"/>
    </row>
    <row r="6635" spans="1:39" s="47" customFormat="1">
      <c r="A6635" s="121"/>
      <c r="B6635" s="121"/>
      <c r="C6635" s="121"/>
      <c r="D6635" s="121"/>
      <c r="E6635" s="121"/>
      <c r="F6635" s="121"/>
      <c r="G6635" s="121"/>
      <c r="H6635" s="121"/>
      <c r="I6635" s="121"/>
      <c r="J6635" s="121"/>
      <c r="K6635" s="121"/>
      <c r="L6635" s="121"/>
      <c r="M6635" s="121"/>
      <c r="N6635" s="524" t="s">
        <v>27</v>
      </c>
      <c r="O6635" s="530" t="s">
        <v>2968</v>
      </c>
      <c r="P6635" s="544"/>
      <c r="Q6635" s="321"/>
      <c r="R6635" s="260"/>
      <c r="S6635" s="260"/>
      <c r="T6635" s="260"/>
      <c r="U6635" s="260"/>
      <c r="V6635" s="260"/>
      <c r="W6635" s="261"/>
      <c r="X6635" s="260"/>
      <c r="Y6635" s="260"/>
      <c r="Z6635" s="261"/>
      <c r="AA6635"/>
      <c r="AB6635"/>
      <c r="AC6635"/>
      <c r="AD6635"/>
      <c r="AE6635"/>
      <c r="AF6635"/>
      <c r="AG6635"/>
      <c r="AH6635"/>
      <c r="AI6635"/>
      <c r="AJ6635"/>
      <c r="AK6635"/>
      <c r="AL6635"/>
      <c r="AM6635"/>
    </row>
    <row r="6636" spans="1:39" s="47" customFormat="1">
      <c r="A6636" s="121"/>
      <c r="B6636" s="121"/>
      <c r="C6636" s="121"/>
      <c r="D6636" s="121"/>
      <c r="E6636" s="121"/>
      <c r="F6636" s="121"/>
      <c r="G6636" s="121"/>
      <c r="H6636" s="121"/>
      <c r="I6636" s="121"/>
      <c r="J6636" s="121"/>
      <c r="K6636" s="121"/>
      <c r="L6636" s="121"/>
      <c r="M6636" s="121"/>
      <c r="N6636" s="524" t="s">
        <v>28</v>
      </c>
      <c r="O6636" s="530" t="s">
        <v>2986</v>
      </c>
      <c r="P6636" s="257"/>
      <c r="Q6636" s="321"/>
      <c r="R6636" s="260"/>
      <c r="S6636" s="260"/>
      <c r="T6636" s="260"/>
      <c r="U6636" s="260"/>
      <c r="V6636" s="260"/>
      <c r="W6636" s="261"/>
      <c r="X6636" s="260"/>
      <c r="Y6636" s="260"/>
      <c r="Z6636" s="261"/>
      <c r="AA6636"/>
      <c r="AB6636"/>
      <c r="AC6636"/>
      <c r="AD6636"/>
      <c r="AE6636"/>
      <c r="AF6636"/>
      <c r="AG6636"/>
      <c r="AH6636"/>
      <c r="AI6636"/>
      <c r="AJ6636"/>
      <c r="AK6636"/>
      <c r="AL6636"/>
      <c r="AM6636"/>
    </row>
    <row r="6637" spans="1:39" s="47" customFormat="1">
      <c r="A6637" s="121"/>
      <c r="B6637" s="121"/>
      <c r="C6637" s="121"/>
      <c r="D6637" s="121"/>
      <c r="E6637" s="121"/>
      <c r="F6637" s="121"/>
      <c r="G6637" s="121"/>
      <c r="H6637" s="121"/>
      <c r="I6637" s="121"/>
      <c r="J6637" s="121"/>
      <c r="K6637" s="121"/>
      <c r="L6637" s="121"/>
      <c r="M6637" s="121"/>
      <c r="N6637" s="223" t="s">
        <v>29</v>
      </c>
      <c r="O6637" s="531" t="s">
        <v>3040</v>
      </c>
      <c r="P6637" s="257"/>
      <c r="Q6637" s="321"/>
      <c r="R6637" s="260"/>
      <c r="S6637" s="260"/>
      <c r="T6637" s="260"/>
      <c r="U6637" s="260"/>
      <c r="V6637" s="260"/>
      <c r="W6637" s="257">
        <f>W6638*W6639</f>
        <v>0</v>
      </c>
      <c r="X6637" s="260"/>
      <c r="Y6637" s="260"/>
      <c r="Z6637" s="257">
        <f>Z6638*Z6639</f>
        <v>0</v>
      </c>
      <c r="AA6637"/>
      <c r="AB6637"/>
      <c r="AC6637"/>
      <c r="AD6637"/>
      <c r="AE6637"/>
      <c r="AF6637"/>
      <c r="AG6637"/>
      <c r="AH6637"/>
      <c r="AI6637"/>
      <c r="AJ6637"/>
      <c r="AK6637"/>
      <c r="AL6637"/>
      <c r="AM6637"/>
    </row>
    <row r="6638" spans="1:39" s="47" customFormat="1">
      <c r="A6638" s="121"/>
      <c r="B6638" s="121"/>
      <c r="C6638" s="121"/>
      <c r="D6638" s="121"/>
      <c r="E6638" s="121"/>
      <c r="F6638" s="121"/>
      <c r="G6638" s="121"/>
      <c r="H6638" s="121"/>
      <c r="I6638" s="121"/>
      <c r="J6638" s="121"/>
      <c r="K6638" s="121"/>
      <c r="L6638" s="121"/>
      <c r="M6638" s="121"/>
      <c r="N6638" s="524" t="s">
        <v>30</v>
      </c>
      <c r="O6638" s="530" t="s">
        <v>2970</v>
      </c>
      <c r="P6638" s="544"/>
      <c r="Q6638" s="321"/>
      <c r="R6638" s="260"/>
      <c r="S6638" s="260"/>
      <c r="T6638" s="260"/>
      <c r="U6638" s="260"/>
      <c r="V6638" s="260"/>
      <c r="W6638" s="261"/>
      <c r="X6638" s="260"/>
      <c r="Y6638" s="260"/>
      <c r="Z6638" s="261"/>
      <c r="AA6638"/>
      <c r="AB6638"/>
      <c r="AC6638"/>
      <c r="AD6638"/>
      <c r="AE6638"/>
      <c r="AF6638"/>
      <c r="AG6638"/>
      <c r="AH6638"/>
      <c r="AI6638"/>
      <c r="AJ6638"/>
      <c r="AK6638"/>
      <c r="AL6638"/>
      <c r="AM6638"/>
    </row>
    <row r="6639" spans="1:39" s="47" customFormat="1">
      <c r="A6639" s="121"/>
      <c r="B6639" s="121"/>
      <c r="C6639" s="121"/>
      <c r="D6639" s="121"/>
      <c r="E6639" s="121"/>
      <c r="F6639" s="121"/>
      <c r="G6639" s="121"/>
      <c r="H6639" s="121"/>
      <c r="I6639" s="121"/>
      <c r="J6639" s="121"/>
      <c r="K6639" s="121"/>
      <c r="L6639" s="121"/>
      <c r="M6639" s="121"/>
      <c r="N6639" s="524" t="s">
        <v>31</v>
      </c>
      <c r="O6639" s="530" t="s">
        <v>3018</v>
      </c>
      <c r="P6639" s="257"/>
      <c r="Q6639" s="321"/>
      <c r="R6639" s="260"/>
      <c r="S6639" s="260"/>
      <c r="T6639" s="260"/>
      <c r="U6639" s="260"/>
      <c r="V6639" s="260"/>
      <c r="W6639" s="261"/>
      <c r="X6639" s="260"/>
      <c r="Y6639" s="260"/>
      <c r="Z6639" s="261"/>
      <c r="AA6639"/>
      <c r="AB6639"/>
      <c r="AC6639"/>
      <c r="AD6639"/>
      <c r="AE6639"/>
      <c r="AF6639"/>
      <c r="AG6639"/>
      <c r="AH6639"/>
      <c r="AI6639"/>
      <c r="AJ6639"/>
      <c r="AK6639"/>
      <c r="AL6639"/>
      <c r="AM6639"/>
    </row>
    <row r="6640" spans="1:39" s="47" customFormat="1">
      <c r="A6640" s="121"/>
      <c r="B6640" s="121"/>
      <c r="C6640" s="121"/>
      <c r="D6640" s="121"/>
      <c r="E6640" s="121"/>
      <c r="F6640" s="121"/>
      <c r="G6640" s="121"/>
      <c r="H6640" s="121"/>
      <c r="I6640" s="121"/>
      <c r="J6640" s="121"/>
      <c r="K6640" s="121"/>
      <c r="L6640" s="121"/>
      <c r="M6640" s="121"/>
      <c r="N6640" s="504" t="s">
        <v>633</v>
      </c>
      <c r="O6640" s="532" t="s">
        <v>2819</v>
      </c>
      <c r="P6640" s="257"/>
      <c r="Q6640" s="321"/>
      <c r="R6640" s="260"/>
      <c r="S6640" s="260"/>
      <c r="T6640" s="260"/>
      <c r="U6640" s="260"/>
      <c r="V6640" s="260"/>
      <c r="W6640" s="261"/>
      <c r="X6640" s="260"/>
      <c r="Y6640" s="260"/>
      <c r="Z6640" s="261"/>
      <c r="AA6640"/>
      <c r="AB6640"/>
      <c r="AC6640"/>
      <c r="AD6640"/>
      <c r="AE6640"/>
      <c r="AF6640"/>
      <c r="AG6640"/>
      <c r="AH6640"/>
      <c r="AI6640"/>
      <c r="AJ6640"/>
      <c r="AK6640"/>
      <c r="AL6640"/>
      <c r="AM6640"/>
    </row>
    <row r="6641" spans="1:39" s="47" customFormat="1">
      <c r="A6641" s="121"/>
      <c r="B6641" s="121"/>
      <c r="C6641" s="121"/>
      <c r="D6641" s="121"/>
      <c r="E6641" s="121"/>
      <c r="F6641" s="121"/>
      <c r="G6641" s="121"/>
      <c r="H6641" s="121"/>
      <c r="I6641" s="121"/>
      <c r="J6641" s="121"/>
      <c r="K6641" s="121"/>
      <c r="L6641" s="121"/>
      <c r="M6641" s="121"/>
      <c r="N6641" s="504" t="s">
        <v>69</v>
      </c>
      <c r="O6641" s="527" t="s">
        <v>2820</v>
      </c>
      <c r="P6641" s="257"/>
      <c r="Q6641" s="321"/>
      <c r="R6641" s="260"/>
      <c r="S6641" s="260"/>
      <c r="T6641" s="260"/>
      <c r="U6641" s="260"/>
      <c r="V6641" s="260"/>
      <c r="W6641" s="261"/>
      <c r="X6641" s="260"/>
      <c r="Y6641" s="260"/>
      <c r="Z6641" s="261"/>
      <c r="AA6641"/>
      <c r="AB6641"/>
      <c r="AC6641"/>
      <c r="AD6641"/>
      <c r="AE6641"/>
      <c r="AF6641"/>
      <c r="AG6641"/>
      <c r="AH6641"/>
      <c r="AI6641"/>
      <c r="AJ6641"/>
      <c r="AK6641"/>
      <c r="AL6641"/>
      <c r="AM6641"/>
    </row>
    <row r="6642" spans="1:39" s="47" customFormat="1">
      <c r="A6642" s="121"/>
      <c r="B6642" s="121"/>
      <c r="C6642" s="121"/>
      <c r="D6642" s="121"/>
      <c r="E6642" s="121"/>
      <c r="F6642" s="121"/>
      <c r="G6642" s="121"/>
      <c r="H6642" s="121"/>
      <c r="I6642" s="121"/>
      <c r="J6642" s="121"/>
      <c r="K6642" s="121"/>
      <c r="L6642" s="121"/>
      <c r="M6642" s="121"/>
      <c r="N6642" s="504" t="s">
        <v>72</v>
      </c>
      <c r="O6642" s="527" t="s">
        <v>2471</v>
      </c>
      <c r="P6642" s="257"/>
      <c r="Q6642" s="321"/>
      <c r="R6642" s="260"/>
      <c r="S6642" s="260"/>
      <c r="T6642" s="260"/>
      <c r="U6642" s="260"/>
      <c r="V6642" s="260"/>
      <c r="W6642" s="261"/>
      <c r="X6642" s="260"/>
      <c r="Y6642" s="260"/>
      <c r="Z6642" s="261"/>
      <c r="AA6642"/>
      <c r="AB6642"/>
      <c r="AC6642"/>
      <c r="AD6642"/>
      <c r="AE6642"/>
      <c r="AF6642"/>
      <c r="AG6642"/>
      <c r="AH6642"/>
      <c r="AI6642"/>
      <c r="AJ6642"/>
      <c r="AK6642"/>
      <c r="AL6642"/>
      <c r="AM6642"/>
    </row>
    <row r="6643" spans="1:39" s="47" customFormat="1">
      <c r="A6643" s="121"/>
      <c r="B6643" s="121"/>
      <c r="C6643" s="121"/>
      <c r="D6643" s="121"/>
      <c r="E6643" s="121"/>
      <c r="F6643" s="121"/>
      <c r="G6643" s="121"/>
      <c r="H6643" s="121"/>
      <c r="I6643" s="121"/>
      <c r="J6643" s="121"/>
      <c r="K6643" s="121"/>
      <c r="L6643" s="121"/>
      <c r="M6643" s="121"/>
      <c r="N6643" s="504" t="s">
        <v>2821</v>
      </c>
      <c r="O6643" s="527" t="s">
        <v>2822</v>
      </c>
      <c r="P6643" s="257"/>
      <c r="Q6643" s="321"/>
      <c r="R6643" s="260"/>
      <c r="S6643" s="260"/>
      <c r="T6643" s="260"/>
      <c r="U6643" s="260"/>
      <c r="V6643" s="260"/>
      <c r="W6643" s="257">
        <f>SUM(W6644:W6646)</f>
        <v>0</v>
      </c>
      <c r="X6643" s="260"/>
      <c r="Y6643" s="260"/>
      <c r="Z6643" s="257">
        <f>SUM(Z6644:Z6646)</f>
        <v>0</v>
      </c>
      <c r="AA6643"/>
      <c r="AB6643"/>
      <c r="AC6643"/>
      <c r="AD6643"/>
      <c r="AE6643"/>
      <c r="AF6643"/>
      <c r="AG6643"/>
      <c r="AH6643"/>
      <c r="AI6643"/>
      <c r="AJ6643"/>
      <c r="AK6643"/>
      <c r="AL6643"/>
      <c r="AM6643"/>
    </row>
    <row r="6644" spans="1:39" s="47" customFormat="1">
      <c r="A6644" s="121"/>
      <c r="B6644" s="121"/>
      <c r="C6644" s="121"/>
      <c r="D6644" s="121"/>
      <c r="E6644" s="121"/>
      <c r="F6644" s="121"/>
      <c r="G6644" s="121"/>
      <c r="H6644" s="121"/>
      <c r="I6644" s="121"/>
      <c r="J6644" s="121"/>
      <c r="K6644" s="121"/>
      <c r="L6644" s="121"/>
      <c r="M6644" s="121"/>
      <c r="N6644" s="504" t="s">
        <v>888</v>
      </c>
      <c r="O6644" s="528" t="s">
        <v>2823</v>
      </c>
      <c r="P6644" s="257"/>
      <c r="Q6644" s="321"/>
      <c r="R6644" s="260"/>
      <c r="S6644" s="260"/>
      <c r="T6644" s="260"/>
      <c r="U6644" s="260"/>
      <c r="V6644" s="260"/>
      <c r="W6644" s="261"/>
      <c r="X6644" s="260"/>
      <c r="Y6644" s="260"/>
      <c r="Z6644" s="261"/>
      <c r="AA6644"/>
      <c r="AB6644"/>
      <c r="AC6644"/>
      <c r="AD6644"/>
      <c r="AE6644"/>
      <c r="AF6644"/>
      <c r="AG6644"/>
      <c r="AH6644"/>
      <c r="AI6644"/>
      <c r="AJ6644"/>
      <c r="AK6644"/>
      <c r="AL6644"/>
      <c r="AM6644"/>
    </row>
    <row r="6645" spans="1:39" s="47" customFormat="1">
      <c r="A6645" s="121"/>
      <c r="B6645" s="121"/>
      <c r="C6645" s="121"/>
      <c r="D6645" s="121"/>
      <c r="E6645" s="121"/>
      <c r="F6645" s="121"/>
      <c r="G6645" s="121"/>
      <c r="H6645" s="121"/>
      <c r="I6645" s="121"/>
      <c r="J6645" s="121"/>
      <c r="K6645" s="121"/>
      <c r="L6645" s="121"/>
      <c r="M6645" s="121"/>
      <c r="N6645" s="504" t="s">
        <v>889</v>
      </c>
      <c r="O6645" s="528" t="s">
        <v>2824</v>
      </c>
      <c r="P6645" s="257"/>
      <c r="Q6645" s="321"/>
      <c r="R6645" s="260"/>
      <c r="S6645" s="260"/>
      <c r="T6645" s="260"/>
      <c r="U6645" s="260"/>
      <c r="V6645" s="260"/>
      <c r="W6645" s="261"/>
      <c r="X6645" s="260"/>
      <c r="Y6645" s="260"/>
      <c r="Z6645" s="261"/>
      <c r="AA6645"/>
      <c r="AB6645"/>
      <c r="AC6645"/>
      <c r="AD6645"/>
      <c r="AE6645"/>
      <c r="AF6645"/>
      <c r="AG6645"/>
      <c r="AH6645"/>
      <c r="AI6645"/>
      <c r="AJ6645"/>
      <c r="AK6645"/>
      <c r="AL6645"/>
      <c r="AM6645"/>
    </row>
    <row r="6646" spans="1:39" s="47" customFormat="1">
      <c r="A6646" s="121"/>
      <c r="B6646" s="121"/>
      <c r="C6646" s="121"/>
      <c r="D6646" s="121"/>
      <c r="E6646" s="121"/>
      <c r="F6646" s="121"/>
      <c r="G6646" s="121"/>
      <c r="H6646" s="121"/>
      <c r="I6646" s="121"/>
      <c r="J6646" s="121"/>
      <c r="K6646" s="121"/>
      <c r="L6646" s="121"/>
      <c r="M6646" s="121"/>
      <c r="N6646" s="504" t="s">
        <v>890</v>
      </c>
      <c r="O6646" s="528" t="s">
        <v>2825</v>
      </c>
      <c r="P6646" s="257"/>
      <c r="Q6646" s="321"/>
      <c r="R6646" s="260"/>
      <c r="S6646" s="260"/>
      <c r="T6646" s="260"/>
      <c r="U6646" s="260"/>
      <c r="V6646" s="260"/>
      <c r="W6646" s="261"/>
      <c r="X6646" s="260"/>
      <c r="Y6646" s="260"/>
      <c r="Z6646" s="261"/>
      <c r="AA6646"/>
      <c r="AB6646"/>
      <c r="AC6646"/>
      <c r="AD6646"/>
      <c r="AE6646"/>
      <c r="AF6646"/>
      <c r="AG6646"/>
      <c r="AH6646"/>
      <c r="AI6646"/>
      <c r="AJ6646"/>
      <c r="AK6646"/>
      <c r="AL6646"/>
      <c r="AM6646"/>
    </row>
    <row r="6647" spans="1:39" s="47" customFormat="1">
      <c r="A6647" s="121"/>
      <c r="B6647" s="121"/>
      <c r="C6647" s="121"/>
      <c r="D6647" s="121"/>
      <c r="E6647" s="121"/>
      <c r="F6647" s="121"/>
      <c r="G6647" s="121"/>
      <c r="H6647" s="121"/>
      <c r="I6647" s="121"/>
      <c r="J6647" s="121"/>
      <c r="K6647" s="121"/>
      <c r="L6647" s="121"/>
      <c r="M6647" s="121"/>
      <c r="N6647" s="504" t="s">
        <v>2826</v>
      </c>
      <c r="O6647" s="527" t="s">
        <v>2827</v>
      </c>
      <c r="P6647" s="257"/>
      <c r="Q6647" s="321"/>
      <c r="R6647" s="260"/>
      <c r="S6647" s="260"/>
      <c r="T6647" s="260"/>
      <c r="U6647" s="260"/>
      <c r="V6647" s="260"/>
      <c r="W6647" s="261"/>
      <c r="X6647" s="260"/>
      <c r="Y6647" s="260"/>
      <c r="Z6647" s="261"/>
      <c r="AA6647"/>
      <c r="AB6647"/>
      <c r="AC6647"/>
      <c r="AD6647"/>
      <c r="AE6647"/>
      <c r="AF6647"/>
      <c r="AG6647"/>
      <c r="AH6647"/>
      <c r="AI6647"/>
      <c r="AJ6647"/>
      <c r="AK6647"/>
      <c r="AL6647"/>
      <c r="AM6647"/>
    </row>
    <row r="6648" spans="1:39" s="47" customFormat="1">
      <c r="A6648" s="121"/>
      <c r="B6648" s="121"/>
      <c r="C6648" s="121"/>
      <c r="D6648" s="121"/>
      <c r="E6648" s="121"/>
      <c r="F6648" s="121"/>
      <c r="G6648" s="121"/>
      <c r="H6648" s="121"/>
      <c r="I6648" s="121"/>
      <c r="J6648" s="121"/>
      <c r="K6648" s="121"/>
      <c r="L6648" s="121"/>
      <c r="M6648" s="121"/>
      <c r="N6648" s="504" t="s">
        <v>2828</v>
      </c>
      <c r="O6648" s="527" t="s">
        <v>2829</v>
      </c>
      <c r="P6648" s="257"/>
      <c r="Q6648" s="321"/>
      <c r="R6648" s="260"/>
      <c r="S6648" s="260"/>
      <c r="T6648" s="260"/>
      <c r="U6648" s="260"/>
      <c r="V6648" s="260"/>
      <c r="W6648" s="261"/>
      <c r="X6648" s="260"/>
      <c r="Y6648" s="260"/>
      <c r="Z6648" s="261"/>
      <c r="AA6648"/>
      <c r="AB6648"/>
      <c r="AC6648"/>
      <c r="AD6648"/>
      <c r="AE6648"/>
      <c r="AF6648"/>
      <c r="AG6648"/>
      <c r="AH6648"/>
      <c r="AI6648"/>
      <c r="AJ6648"/>
      <c r="AK6648"/>
      <c r="AL6648"/>
      <c r="AM6648"/>
    </row>
    <row r="6649" spans="1:39" s="47" customFormat="1">
      <c r="A6649" s="121"/>
      <c r="B6649" s="121"/>
      <c r="C6649" s="121"/>
      <c r="D6649" s="121"/>
      <c r="E6649" s="121"/>
      <c r="F6649" s="121"/>
      <c r="G6649" s="121"/>
      <c r="H6649" s="121"/>
      <c r="I6649" s="121"/>
      <c r="J6649" s="121"/>
      <c r="K6649" s="121"/>
      <c r="L6649" s="121"/>
      <c r="M6649" s="121"/>
      <c r="N6649" s="504" t="s">
        <v>2830</v>
      </c>
      <c r="O6649" s="527" t="s">
        <v>2831</v>
      </c>
      <c r="P6649" s="257"/>
      <c r="Q6649" s="321"/>
      <c r="R6649" s="260"/>
      <c r="S6649" s="260"/>
      <c r="T6649" s="260"/>
      <c r="U6649" s="260"/>
      <c r="V6649" s="260"/>
      <c r="W6649" s="257">
        <f>SUM(W6653,W6659,W6665,W6668,W6671)</f>
        <v>0</v>
      </c>
      <c r="X6649" s="260"/>
      <c r="Y6649" s="260"/>
      <c r="Z6649" s="257">
        <f>SUM(Z6653,Z6659,Z6665,Z6668,Z6671)</f>
        <v>0</v>
      </c>
      <c r="AA6649"/>
      <c r="AB6649"/>
      <c r="AC6649"/>
      <c r="AD6649"/>
      <c r="AE6649"/>
      <c r="AF6649"/>
      <c r="AG6649"/>
      <c r="AH6649"/>
      <c r="AI6649"/>
      <c r="AJ6649"/>
      <c r="AK6649"/>
      <c r="AL6649"/>
      <c r="AM6649"/>
    </row>
    <row r="6650" spans="1:39" s="47" customFormat="1" ht="22.5">
      <c r="A6650" s="121"/>
      <c r="B6650" s="121"/>
      <c r="C6650" s="121"/>
      <c r="D6650" s="121"/>
      <c r="E6650" s="121"/>
      <c r="F6650" s="121"/>
      <c r="G6650" s="121"/>
      <c r="H6650" s="121"/>
      <c r="I6650" s="121"/>
      <c r="J6650" s="121"/>
      <c r="K6650" s="121"/>
      <c r="L6650" s="121"/>
      <c r="M6650" s="121"/>
      <c r="N6650" s="279" t="s">
        <v>353</v>
      </c>
      <c r="O6650" s="558" t="s">
        <v>2782</v>
      </c>
      <c r="P6650" s="257"/>
      <c r="Q6650" s="321"/>
      <c r="R6650" s="260"/>
      <c r="S6650" s="260"/>
      <c r="T6650" s="260"/>
      <c r="U6650" s="260"/>
      <c r="V6650" s="260"/>
      <c r="W6650" s="257">
        <f>IF(W6651=0,0,(1000*W6649/W6651)/$AN$8)</f>
        <v>0</v>
      </c>
      <c r="X6650" s="260"/>
      <c r="Y6650" s="260"/>
      <c r="Z6650" s="257">
        <f>IF(Z6651=0,0,(1000*Z6649/Z6651)/$AN$8)</f>
        <v>0</v>
      </c>
      <c r="AA6650"/>
      <c r="AB6650"/>
      <c r="AC6650"/>
      <c r="AD6650"/>
      <c r="AE6650"/>
      <c r="AF6650"/>
      <c r="AG6650"/>
      <c r="AH6650"/>
      <c r="AI6650"/>
      <c r="AJ6650"/>
      <c r="AK6650"/>
      <c r="AL6650"/>
      <c r="AM6650"/>
    </row>
    <row r="6651" spans="1:39" s="47" customFormat="1">
      <c r="A6651" s="121"/>
      <c r="B6651" s="121"/>
      <c r="C6651" s="121"/>
      <c r="D6651" s="121"/>
      <c r="E6651" s="121"/>
      <c r="F6651" s="121"/>
      <c r="G6651" s="121"/>
      <c r="H6651" s="121"/>
      <c r="I6651" s="121"/>
      <c r="J6651" s="121"/>
      <c r="K6651" s="121"/>
      <c r="L6651" s="121"/>
      <c r="M6651" s="121"/>
      <c r="N6651" s="279" t="s">
        <v>354</v>
      </c>
      <c r="O6651" s="558" t="s">
        <v>2783</v>
      </c>
      <c r="P6651" s="257"/>
      <c r="Q6651" s="321"/>
      <c r="R6651" s="260"/>
      <c r="S6651" s="260"/>
      <c r="T6651" s="260"/>
      <c r="U6651" s="260"/>
      <c r="V6651" s="260"/>
      <c r="W6651" s="257">
        <f>SUM(W6655,W6661,W6667,W6670,W6673)</f>
        <v>0</v>
      </c>
      <c r="X6651" s="260"/>
      <c r="Y6651" s="260"/>
      <c r="Z6651" s="257">
        <f>SUM(Z6655,Z6661,Z6667,Z6670,Z6673)</f>
        <v>0</v>
      </c>
      <c r="AA6651"/>
      <c r="AB6651"/>
      <c r="AC6651"/>
      <c r="AD6651"/>
      <c r="AE6651"/>
      <c r="AF6651"/>
      <c r="AG6651"/>
      <c r="AH6651"/>
      <c r="AI6651"/>
      <c r="AJ6651"/>
      <c r="AK6651"/>
      <c r="AL6651"/>
      <c r="AM6651"/>
    </row>
    <row r="6652" spans="1:39" s="47" customFormat="1">
      <c r="A6652" s="121"/>
      <c r="B6652" s="121"/>
      <c r="C6652" s="121"/>
      <c r="D6652" s="121"/>
      <c r="E6652" s="121"/>
      <c r="F6652" s="121"/>
      <c r="G6652" s="121"/>
      <c r="H6652" s="121"/>
      <c r="I6652" s="121"/>
      <c r="J6652" s="121"/>
      <c r="K6652" s="121"/>
      <c r="L6652" s="121"/>
      <c r="M6652" s="121"/>
      <c r="N6652" s="279" t="s">
        <v>355</v>
      </c>
      <c r="O6652" s="558" t="s">
        <v>120</v>
      </c>
      <c r="P6652" s="263"/>
      <c r="Q6652" s="321"/>
      <c r="R6652" s="260"/>
      <c r="S6652" s="260"/>
      <c r="T6652" s="260"/>
      <c r="U6652" s="260"/>
      <c r="V6652" s="260"/>
      <c r="W6652" s="261"/>
      <c r="X6652" s="260"/>
      <c r="Y6652" s="260"/>
      <c r="Z6652" s="261"/>
      <c r="AA6652"/>
      <c r="AB6652"/>
      <c r="AC6652"/>
      <c r="AD6652"/>
      <c r="AE6652"/>
      <c r="AF6652"/>
      <c r="AG6652"/>
      <c r="AH6652"/>
      <c r="AI6652"/>
      <c r="AJ6652"/>
      <c r="AK6652"/>
      <c r="AL6652"/>
      <c r="AM6652"/>
    </row>
    <row r="6653" spans="1:39" s="47" customFormat="1">
      <c r="A6653" s="121"/>
      <c r="B6653" s="121"/>
      <c r="C6653" s="121"/>
      <c r="D6653" s="121"/>
      <c r="E6653" s="121"/>
      <c r="F6653" s="121"/>
      <c r="G6653" s="121"/>
      <c r="H6653" s="121"/>
      <c r="I6653" s="121"/>
      <c r="J6653" s="121"/>
      <c r="K6653" s="121"/>
      <c r="L6653" s="121"/>
      <c r="M6653" s="121"/>
      <c r="N6653" s="222" t="s">
        <v>2832</v>
      </c>
      <c r="O6653" s="533" t="s">
        <v>1832</v>
      </c>
      <c r="P6653" s="257"/>
      <c r="Q6653" s="321"/>
      <c r="R6653" s="260"/>
      <c r="S6653" s="260"/>
      <c r="T6653" s="260"/>
      <c r="U6653" s="260"/>
      <c r="V6653" s="260"/>
      <c r="W6653" s="261"/>
      <c r="X6653" s="260"/>
      <c r="Y6653" s="260"/>
      <c r="Z6653" s="261"/>
      <c r="AA6653"/>
      <c r="AB6653"/>
      <c r="AC6653"/>
      <c r="AD6653"/>
      <c r="AE6653"/>
      <c r="AF6653"/>
      <c r="AG6653"/>
      <c r="AH6653"/>
      <c r="AI6653"/>
      <c r="AJ6653"/>
      <c r="AK6653"/>
      <c r="AL6653"/>
      <c r="AM6653"/>
    </row>
    <row r="6654" spans="1:39" s="47" customFormat="1" ht="22.5">
      <c r="A6654" s="121"/>
      <c r="B6654" s="121"/>
      <c r="C6654" s="121"/>
      <c r="D6654" s="121"/>
      <c r="E6654" s="121"/>
      <c r="F6654" s="121"/>
      <c r="G6654" s="121"/>
      <c r="H6654" s="121"/>
      <c r="I6654" s="121"/>
      <c r="J6654" s="121"/>
      <c r="K6654" s="121"/>
      <c r="L6654" s="121"/>
      <c r="M6654" s="121"/>
      <c r="N6654" s="222" t="s">
        <v>2833</v>
      </c>
      <c r="O6654" s="529" t="s">
        <v>1834</v>
      </c>
      <c r="P6654" s="254"/>
      <c r="Q6654" s="321"/>
      <c r="R6654" s="260"/>
      <c r="S6654" s="260"/>
      <c r="T6654" s="260"/>
      <c r="U6654" s="260"/>
      <c r="V6654" s="260"/>
      <c r="W6654" s="257">
        <f>IF(W6655&lt;&gt;0,(1000*W6653/W6655)/$AN$8,0)</f>
        <v>0</v>
      </c>
      <c r="X6654" s="260"/>
      <c r="Y6654" s="260"/>
      <c r="Z6654" s="257">
        <f>IF(Z6655&lt;&gt;0,(1000*Z6653/Z6655)/$AN$8,0)</f>
        <v>0</v>
      </c>
      <c r="AA6654"/>
      <c r="AB6654"/>
      <c r="AC6654"/>
      <c r="AD6654"/>
      <c r="AE6654"/>
      <c r="AF6654"/>
      <c r="AG6654"/>
      <c r="AH6654"/>
      <c r="AI6654"/>
      <c r="AJ6654"/>
      <c r="AK6654"/>
      <c r="AL6654"/>
      <c r="AM6654"/>
    </row>
    <row r="6655" spans="1:39" s="47" customFormat="1" ht="22.5">
      <c r="A6655" s="121"/>
      <c r="B6655" s="121"/>
      <c r="C6655" s="121"/>
      <c r="D6655" s="121"/>
      <c r="E6655" s="121"/>
      <c r="F6655" s="121"/>
      <c r="G6655" s="121"/>
      <c r="H6655" s="121"/>
      <c r="I6655" s="121"/>
      <c r="J6655" s="121"/>
      <c r="K6655" s="121"/>
      <c r="L6655" s="121"/>
      <c r="M6655" s="121"/>
      <c r="N6655" s="222" t="s">
        <v>2834</v>
      </c>
      <c r="O6655" s="529" t="s">
        <v>1836</v>
      </c>
      <c r="P6655" s="257"/>
      <c r="Q6655" s="321"/>
      <c r="R6655" s="260"/>
      <c r="S6655" s="260"/>
      <c r="T6655" s="260"/>
      <c r="U6655" s="260"/>
      <c r="V6655" s="260"/>
      <c r="W6655" s="261"/>
      <c r="X6655" s="260"/>
      <c r="Y6655" s="260"/>
      <c r="Z6655" s="261"/>
      <c r="AA6655"/>
      <c r="AB6655"/>
      <c r="AC6655"/>
      <c r="AD6655"/>
      <c r="AE6655"/>
      <c r="AF6655"/>
      <c r="AG6655"/>
      <c r="AH6655"/>
      <c r="AI6655"/>
      <c r="AJ6655"/>
      <c r="AK6655"/>
      <c r="AL6655"/>
      <c r="AM6655"/>
    </row>
    <row r="6656" spans="1:39" s="47" customFormat="1">
      <c r="A6656" s="121"/>
      <c r="B6656" s="121"/>
      <c r="C6656" s="121"/>
      <c r="D6656" s="121"/>
      <c r="E6656" s="121"/>
      <c r="F6656" s="121"/>
      <c r="G6656" s="121"/>
      <c r="H6656" s="121"/>
      <c r="I6656" s="121"/>
      <c r="J6656" s="121"/>
      <c r="K6656" s="121"/>
      <c r="L6656" s="121"/>
      <c r="M6656" s="121"/>
      <c r="N6656" s="222" t="s">
        <v>356</v>
      </c>
      <c r="O6656" s="558" t="s">
        <v>119</v>
      </c>
      <c r="P6656" s="263"/>
      <c r="Q6656" s="321"/>
      <c r="R6656" s="260"/>
      <c r="S6656" s="260"/>
      <c r="T6656" s="260"/>
      <c r="U6656" s="260"/>
      <c r="V6656" s="260"/>
      <c r="W6656" s="261"/>
      <c r="X6656" s="260"/>
      <c r="Y6656" s="260"/>
      <c r="Z6656" s="261"/>
      <c r="AA6656"/>
      <c r="AB6656"/>
      <c r="AC6656"/>
      <c r="AD6656"/>
      <c r="AE6656"/>
      <c r="AF6656"/>
      <c r="AG6656"/>
      <c r="AH6656"/>
      <c r="AI6656"/>
      <c r="AJ6656"/>
      <c r="AK6656"/>
      <c r="AL6656"/>
      <c r="AM6656"/>
    </row>
    <row r="6657" spans="1:39" s="47" customFormat="1">
      <c r="A6657" s="121"/>
      <c r="B6657" s="121"/>
      <c r="C6657" s="121"/>
      <c r="D6657" s="121"/>
      <c r="E6657" s="121"/>
      <c r="F6657" s="121"/>
      <c r="G6657" s="121"/>
      <c r="H6657" s="121"/>
      <c r="I6657" s="121"/>
      <c r="J6657" s="121"/>
      <c r="K6657" s="121"/>
      <c r="L6657" s="121"/>
      <c r="M6657" s="121"/>
      <c r="N6657" s="222" t="s">
        <v>357</v>
      </c>
      <c r="O6657" s="558" t="s">
        <v>121</v>
      </c>
      <c r="P6657" s="263"/>
      <c r="Q6657" s="321"/>
      <c r="R6657" s="260"/>
      <c r="S6657" s="260"/>
      <c r="T6657" s="260"/>
      <c r="U6657" s="260"/>
      <c r="V6657" s="260"/>
      <c r="W6657" s="261"/>
      <c r="X6657" s="260"/>
      <c r="Y6657" s="260"/>
      <c r="Z6657" s="261"/>
      <c r="AA6657"/>
      <c r="AB6657"/>
      <c r="AC6657"/>
      <c r="AD6657"/>
      <c r="AE6657"/>
      <c r="AF6657"/>
      <c r="AG6657"/>
      <c r="AH6657"/>
      <c r="AI6657"/>
      <c r="AJ6657"/>
      <c r="AK6657"/>
      <c r="AL6657"/>
      <c r="AM6657"/>
    </row>
    <row r="6658" spans="1:39" s="47" customFormat="1">
      <c r="A6658" s="121"/>
      <c r="B6658" s="121"/>
      <c r="C6658" s="121"/>
      <c r="D6658" s="121"/>
      <c r="E6658" s="121"/>
      <c r="F6658" s="121"/>
      <c r="G6658" s="121"/>
      <c r="H6658" s="121"/>
      <c r="I6658" s="121"/>
      <c r="J6658" s="121"/>
      <c r="K6658" s="121"/>
      <c r="L6658" s="121"/>
      <c r="M6658" s="121"/>
      <c r="N6658" s="222" t="s">
        <v>358</v>
      </c>
      <c r="O6658" s="558" t="s">
        <v>122</v>
      </c>
      <c r="P6658" s="263"/>
      <c r="Q6658" s="321"/>
      <c r="R6658" s="260"/>
      <c r="S6658" s="260"/>
      <c r="T6658" s="260"/>
      <c r="U6658" s="260"/>
      <c r="V6658" s="260"/>
      <c r="W6658" s="261"/>
      <c r="X6658" s="260"/>
      <c r="Y6658" s="260"/>
      <c r="Z6658" s="261"/>
      <c r="AA6658"/>
      <c r="AB6658"/>
      <c r="AC6658"/>
      <c r="AD6658"/>
      <c r="AE6658"/>
      <c r="AF6658"/>
      <c r="AG6658"/>
      <c r="AH6658"/>
      <c r="AI6658"/>
      <c r="AJ6658"/>
      <c r="AK6658"/>
      <c r="AL6658"/>
      <c r="AM6658"/>
    </row>
    <row r="6659" spans="1:39" s="47" customFormat="1">
      <c r="A6659" s="121"/>
      <c r="B6659" s="121"/>
      <c r="C6659" s="121"/>
      <c r="D6659" s="121"/>
      <c r="E6659" s="121"/>
      <c r="F6659" s="121"/>
      <c r="G6659" s="121"/>
      <c r="H6659" s="121"/>
      <c r="I6659" s="121"/>
      <c r="J6659" s="121"/>
      <c r="K6659" s="121"/>
      <c r="L6659" s="121"/>
      <c r="M6659" s="121"/>
      <c r="N6659" s="222" t="s">
        <v>2835</v>
      </c>
      <c r="O6659" s="533" t="s">
        <v>1838</v>
      </c>
      <c r="P6659" s="257"/>
      <c r="Q6659" s="321"/>
      <c r="R6659" s="260"/>
      <c r="S6659" s="260"/>
      <c r="T6659" s="260"/>
      <c r="U6659" s="260"/>
      <c r="V6659" s="260"/>
      <c r="W6659" s="261"/>
      <c r="X6659" s="260"/>
      <c r="Y6659" s="260"/>
      <c r="Z6659" s="261"/>
      <c r="AA6659"/>
      <c r="AB6659"/>
      <c r="AC6659"/>
      <c r="AD6659"/>
      <c r="AE6659"/>
      <c r="AF6659"/>
      <c r="AG6659"/>
      <c r="AH6659"/>
      <c r="AI6659"/>
      <c r="AJ6659"/>
      <c r="AK6659"/>
      <c r="AL6659"/>
      <c r="AM6659"/>
    </row>
    <row r="6660" spans="1:39" s="47" customFormat="1">
      <c r="A6660" s="121"/>
      <c r="B6660" s="121"/>
      <c r="C6660" s="121"/>
      <c r="D6660" s="121"/>
      <c r="E6660" s="121"/>
      <c r="F6660" s="121"/>
      <c r="G6660" s="121"/>
      <c r="H6660" s="121"/>
      <c r="I6660" s="121"/>
      <c r="J6660" s="121"/>
      <c r="K6660" s="121"/>
      <c r="L6660" s="121"/>
      <c r="M6660" s="121"/>
      <c r="N6660" s="222" t="s">
        <v>2836</v>
      </c>
      <c r="O6660" s="534" t="s">
        <v>1839</v>
      </c>
      <c r="P6660" s="254"/>
      <c r="Q6660" s="321"/>
      <c r="R6660" s="260"/>
      <c r="S6660" s="260"/>
      <c r="T6660" s="260"/>
      <c r="U6660" s="260"/>
      <c r="V6660" s="260"/>
      <c r="W6660" s="257">
        <f>IF(W6661&lt;&gt;0,(1000*W6659/W6661)/$AN$8,0)</f>
        <v>0</v>
      </c>
      <c r="X6660" s="260"/>
      <c r="Y6660" s="260"/>
      <c r="Z6660" s="257">
        <f>IF(Z6661&lt;&gt;0,(1000*Z6659/Z6661)/$AN$8,0)</f>
        <v>0</v>
      </c>
      <c r="AA6660"/>
      <c r="AB6660"/>
      <c r="AC6660"/>
      <c r="AD6660"/>
      <c r="AE6660"/>
      <c r="AF6660"/>
      <c r="AG6660"/>
      <c r="AH6660"/>
      <c r="AI6660"/>
      <c r="AJ6660"/>
      <c r="AK6660"/>
      <c r="AL6660"/>
      <c r="AM6660"/>
    </row>
    <row r="6661" spans="1:39" s="47" customFormat="1" ht="22.5">
      <c r="A6661" s="121"/>
      <c r="B6661" s="121"/>
      <c r="C6661" s="121"/>
      <c r="D6661" s="121"/>
      <c r="E6661" s="121"/>
      <c r="F6661" s="121"/>
      <c r="G6661" s="121"/>
      <c r="H6661" s="121"/>
      <c r="I6661" s="121"/>
      <c r="J6661" s="121"/>
      <c r="K6661" s="121"/>
      <c r="L6661" s="121"/>
      <c r="M6661" s="121"/>
      <c r="N6661" s="222" t="s">
        <v>2837</v>
      </c>
      <c r="O6661" s="534" t="s">
        <v>1841</v>
      </c>
      <c r="P6661" s="257"/>
      <c r="Q6661" s="321"/>
      <c r="R6661" s="260"/>
      <c r="S6661" s="260"/>
      <c r="T6661" s="260"/>
      <c r="U6661" s="260"/>
      <c r="V6661" s="260"/>
      <c r="W6661" s="261"/>
      <c r="X6661" s="260"/>
      <c r="Y6661" s="260"/>
      <c r="Z6661" s="261"/>
      <c r="AA6661"/>
      <c r="AB6661"/>
      <c r="AC6661"/>
      <c r="AD6661"/>
      <c r="AE6661"/>
      <c r="AF6661"/>
      <c r="AG6661"/>
      <c r="AH6661"/>
      <c r="AI6661"/>
      <c r="AJ6661"/>
      <c r="AK6661"/>
      <c r="AL6661"/>
      <c r="AM6661"/>
    </row>
    <row r="6662" spans="1:39" s="47" customFormat="1">
      <c r="A6662" s="121"/>
      <c r="B6662" s="121"/>
      <c r="C6662" s="121"/>
      <c r="D6662" s="121"/>
      <c r="E6662" s="121"/>
      <c r="F6662" s="121"/>
      <c r="G6662" s="121"/>
      <c r="H6662" s="121"/>
      <c r="I6662" s="121"/>
      <c r="J6662" s="121"/>
      <c r="K6662" s="121"/>
      <c r="L6662" s="121"/>
      <c r="M6662" s="121"/>
      <c r="N6662" s="222" t="s">
        <v>359</v>
      </c>
      <c r="O6662" s="558" t="s">
        <v>119</v>
      </c>
      <c r="P6662" s="263"/>
      <c r="Q6662" s="321"/>
      <c r="R6662" s="260"/>
      <c r="S6662" s="260"/>
      <c r="T6662" s="260"/>
      <c r="U6662" s="260"/>
      <c r="V6662" s="260"/>
      <c r="W6662" s="261"/>
      <c r="X6662" s="260"/>
      <c r="Y6662" s="260"/>
      <c r="Z6662" s="261"/>
      <c r="AA6662"/>
      <c r="AB6662"/>
      <c r="AC6662"/>
      <c r="AD6662"/>
      <c r="AE6662"/>
      <c r="AF6662"/>
      <c r="AG6662"/>
      <c r="AH6662"/>
      <c r="AI6662"/>
      <c r="AJ6662"/>
      <c r="AK6662"/>
      <c r="AL6662"/>
      <c r="AM6662"/>
    </row>
    <row r="6663" spans="1:39" s="47" customFormat="1">
      <c r="A6663" s="121"/>
      <c r="B6663" s="121"/>
      <c r="C6663" s="121"/>
      <c r="D6663" s="121"/>
      <c r="E6663" s="121"/>
      <c r="F6663" s="121"/>
      <c r="G6663" s="121"/>
      <c r="H6663" s="121"/>
      <c r="I6663" s="121"/>
      <c r="J6663" s="121"/>
      <c r="K6663" s="121"/>
      <c r="L6663" s="121"/>
      <c r="M6663" s="121"/>
      <c r="N6663" s="222" t="s">
        <v>360</v>
      </c>
      <c r="O6663" s="558" t="s">
        <v>121</v>
      </c>
      <c r="P6663" s="263"/>
      <c r="Q6663" s="321"/>
      <c r="R6663" s="260"/>
      <c r="S6663" s="260"/>
      <c r="T6663" s="260"/>
      <c r="U6663" s="260"/>
      <c r="V6663" s="260"/>
      <c r="W6663" s="261"/>
      <c r="X6663" s="260"/>
      <c r="Y6663" s="260"/>
      <c r="Z6663" s="261"/>
      <c r="AA6663"/>
      <c r="AB6663"/>
      <c r="AC6663"/>
      <c r="AD6663"/>
      <c r="AE6663"/>
      <c r="AF6663"/>
      <c r="AG6663"/>
      <c r="AH6663"/>
      <c r="AI6663"/>
      <c r="AJ6663"/>
      <c r="AK6663"/>
      <c r="AL6663"/>
      <c r="AM6663"/>
    </row>
    <row r="6664" spans="1:39" s="47" customFormat="1">
      <c r="A6664" s="121"/>
      <c r="B6664" s="121"/>
      <c r="C6664" s="121"/>
      <c r="D6664" s="121"/>
      <c r="E6664" s="121"/>
      <c r="F6664" s="121"/>
      <c r="G6664" s="121"/>
      <c r="H6664" s="121"/>
      <c r="I6664" s="121"/>
      <c r="J6664" s="121"/>
      <c r="K6664" s="121"/>
      <c r="L6664" s="121"/>
      <c r="M6664" s="121"/>
      <c r="N6664" s="222" t="s">
        <v>361</v>
      </c>
      <c r="O6664" s="558" t="s">
        <v>122</v>
      </c>
      <c r="P6664" s="263"/>
      <c r="Q6664" s="321"/>
      <c r="R6664" s="260"/>
      <c r="S6664" s="260"/>
      <c r="T6664" s="260"/>
      <c r="U6664" s="260"/>
      <c r="V6664" s="260"/>
      <c r="W6664" s="261"/>
      <c r="X6664" s="260"/>
      <c r="Y6664" s="260"/>
      <c r="Z6664" s="261"/>
      <c r="AA6664"/>
      <c r="AB6664"/>
      <c r="AC6664"/>
      <c r="AD6664"/>
      <c r="AE6664"/>
      <c r="AF6664"/>
      <c r="AG6664"/>
      <c r="AH6664"/>
      <c r="AI6664"/>
      <c r="AJ6664"/>
      <c r="AK6664"/>
      <c r="AL6664"/>
      <c r="AM6664"/>
    </row>
    <row r="6665" spans="1:39" s="47" customFormat="1">
      <c r="A6665" s="121"/>
      <c r="B6665" s="121"/>
      <c r="C6665" s="121"/>
      <c r="D6665" s="121"/>
      <c r="E6665" s="121"/>
      <c r="F6665" s="121"/>
      <c r="G6665" s="121"/>
      <c r="H6665" s="121"/>
      <c r="I6665" s="121"/>
      <c r="J6665" s="121"/>
      <c r="K6665" s="121"/>
      <c r="L6665" s="121"/>
      <c r="M6665" s="121"/>
      <c r="N6665" s="222" t="s">
        <v>2838</v>
      </c>
      <c r="O6665" s="533" t="s">
        <v>1843</v>
      </c>
      <c r="P6665" s="257"/>
      <c r="Q6665" s="321"/>
      <c r="R6665" s="260"/>
      <c r="S6665" s="260"/>
      <c r="T6665" s="260"/>
      <c r="U6665" s="260"/>
      <c r="V6665" s="260"/>
      <c r="W6665" s="261"/>
      <c r="X6665" s="260"/>
      <c r="Y6665" s="260"/>
      <c r="Z6665" s="261"/>
      <c r="AA6665"/>
      <c r="AB6665"/>
      <c r="AC6665"/>
      <c r="AD6665"/>
      <c r="AE6665"/>
      <c r="AF6665"/>
      <c r="AG6665"/>
      <c r="AH6665"/>
      <c r="AI6665"/>
      <c r="AJ6665"/>
      <c r="AK6665"/>
      <c r="AL6665"/>
      <c r="AM6665"/>
    </row>
    <row r="6666" spans="1:39" s="47" customFormat="1">
      <c r="A6666" s="121"/>
      <c r="B6666" s="121"/>
      <c r="C6666" s="121"/>
      <c r="D6666" s="121"/>
      <c r="E6666" s="121"/>
      <c r="F6666" s="121"/>
      <c r="G6666" s="121"/>
      <c r="H6666" s="121"/>
      <c r="I6666" s="121"/>
      <c r="J6666" s="121"/>
      <c r="K6666" s="121"/>
      <c r="L6666" s="121"/>
      <c r="M6666" s="121"/>
      <c r="N6666" s="222" t="s">
        <v>2839</v>
      </c>
      <c r="O6666" s="534" t="s">
        <v>1844</v>
      </c>
      <c r="P6666" s="254"/>
      <c r="Q6666" s="321"/>
      <c r="R6666" s="260"/>
      <c r="S6666" s="260"/>
      <c r="T6666" s="260"/>
      <c r="U6666" s="260"/>
      <c r="V6666" s="260"/>
      <c r="W6666" s="257">
        <f>IF(W6667&lt;&gt;0,(1000*W6665/W6667)/$AN$8,0)</f>
        <v>0</v>
      </c>
      <c r="X6666" s="260"/>
      <c r="Y6666" s="260"/>
      <c r="Z6666" s="257">
        <f>IF(Z6667&lt;&gt;0,(1000*Z6665/Z6667)/$AN$8,0)</f>
        <v>0</v>
      </c>
      <c r="AA6666"/>
      <c r="AB6666"/>
      <c r="AC6666"/>
      <c r="AD6666"/>
      <c r="AE6666"/>
      <c r="AF6666"/>
      <c r="AG6666"/>
      <c r="AH6666"/>
      <c r="AI6666"/>
      <c r="AJ6666"/>
      <c r="AK6666"/>
      <c r="AL6666"/>
      <c r="AM6666"/>
    </row>
    <row r="6667" spans="1:39" s="47" customFormat="1" ht="22.5">
      <c r="A6667" s="121"/>
      <c r="B6667" s="121"/>
      <c r="C6667" s="121"/>
      <c r="D6667" s="121"/>
      <c r="E6667" s="121"/>
      <c r="F6667" s="121"/>
      <c r="G6667" s="121"/>
      <c r="H6667" s="121"/>
      <c r="I6667" s="121"/>
      <c r="J6667" s="121"/>
      <c r="K6667" s="121"/>
      <c r="L6667" s="121"/>
      <c r="M6667" s="121"/>
      <c r="N6667" s="222" t="s">
        <v>2840</v>
      </c>
      <c r="O6667" s="534" t="s">
        <v>1846</v>
      </c>
      <c r="P6667" s="257"/>
      <c r="Q6667" s="321"/>
      <c r="R6667" s="260"/>
      <c r="S6667" s="260"/>
      <c r="T6667" s="260"/>
      <c r="U6667" s="260"/>
      <c r="V6667" s="260"/>
      <c r="W6667" s="261"/>
      <c r="X6667" s="260"/>
      <c r="Y6667" s="260"/>
      <c r="Z6667" s="261"/>
      <c r="AA6667"/>
      <c r="AB6667"/>
      <c r="AC6667"/>
      <c r="AD6667"/>
      <c r="AE6667"/>
      <c r="AF6667"/>
      <c r="AG6667"/>
      <c r="AH6667"/>
      <c r="AI6667"/>
      <c r="AJ6667"/>
      <c r="AK6667"/>
      <c r="AL6667"/>
      <c r="AM6667"/>
    </row>
    <row r="6668" spans="1:39" s="47" customFormat="1">
      <c r="A6668" s="121"/>
      <c r="B6668" s="121"/>
      <c r="C6668" s="121"/>
      <c r="D6668" s="121"/>
      <c r="E6668" s="121"/>
      <c r="F6668" s="121"/>
      <c r="G6668" s="121"/>
      <c r="H6668" s="121"/>
      <c r="I6668" s="121"/>
      <c r="J6668" s="121"/>
      <c r="K6668" s="121"/>
      <c r="L6668" s="121"/>
      <c r="M6668" s="121"/>
      <c r="N6668" s="222" t="s">
        <v>2841</v>
      </c>
      <c r="O6668" s="533" t="s">
        <v>1849</v>
      </c>
      <c r="P6668" s="257"/>
      <c r="Q6668" s="321"/>
      <c r="R6668" s="260"/>
      <c r="S6668" s="260"/>
      <c r="T6668" s="260"/>
      <c r="U6668" s="260"/>
      <c r="V6668" s="260"/>
      <c r="W6668" s="261"/>
      <c r="X6668" s="260"/>
      <c r="Y6668" s="260"/>
      <c r="Z6668" s="261"/>
      <c r="AA6668"/>
      <c r="AB6668"/>
      <c r="AC6668"/>
      <c r="AD6668"/>
      <c r="AE6668"/>
      <c r="AF6668"/>
      <c r="AG6668"/>
      <c r="AH6668"/>
      <c r="AI6668"/>
      <c r="AJ6668"/>
      <c r="AK6668"/>
      <c r="AL6668"/>
      <c r="AM6668"/>
    </row>
    <row r="6669" spans="1:39" s="47" customFormat="1">
      <c r="A6669" s="121"/>
      <c r="B6669" s="121"/>
      <c r="C6669" s="121"/>
      <c r="D6669" s="121"/>
      <c r="E6669" s="121"/>
      <c r="F6669" s="121"/>
      <c r="G6669" s="121"/>
      <c r="H6669" s="121"/>
      <c r="I6669" s="121"/>
      <c r="J6669" s="121"/>
      <c r="K6669" s="121"/>
      <c r="L6669" s="121"/>
      <c r="M6669" s="121"/>
      <c r="N6669" s="222" t="s">
        <v>2842</v>
      </c>
      <c r="O6669" s="534" t="s">
        <v>1851</v>
      </c>
      <c r="P6669" s="254"/>
      <c r="Q6669" s="321"/>
      <c r="R6669" s="260"/>
      <c r="S6669" s="260"/>
      <c r="T6669" s="260"/>
      <c r="U6669" s="260"/>
      <c r="V6669" s="260"/>
      <c r="W6669" s="257">
        <f>IF(W6670&lt;&gt;0,(1000*W6668/W6670)/$AN$8,0)</f>
        <v>0</v>
      </c>
      <c r="X6669" s="260"/>
      <c r="Y6669" s="260"/>
      <c r="Z6669" s="257">
        <f>IF(Z6670&lt;&gt;0,(1000*Z6668/Z6670)/$AN$8,0)</f>
        <v>0</v>
      </c>
      <c r="AA6669"/>
      <c r="AB6669"/>
      <c r="AC6669"/>
      <c r="AD6669"/>
      <c r="AE6669"/>
      <c r="AF6669"/>
      <c r="AG6669"/>
      <c r="AH6669"/>
      <c r="AI6669"/>
      <c r="AJ6669"/>
      <c r="AK6669"/>
      <c r="AL6669"/>
      <c r="AM6669"/>
    </row>
    <row r="6670" spans="1:39" s="47" customFormat="1" ht="22.5">
      <c r="A6670" s="121"/>
      <c r="B6670" s="121"/>
      <c r="C6670" s="121"/>
      <c r="D6670" s="121"/>
      <c r="E6670" s="121"/>
      <c r="F6670" s="121"/>
      <c r="G6670" s="121"/>
      <c r="H6670" s="121"/>
      <c r="I6670" s="121"/>
      <c r="J6670" s="121"/>
      <c r="K6670" s="121"/>
      <c r="L6670" s="121"/>
      <c r="M6670" s="121"/>
      <c r="N6670" s="222" t="s">
        <v>2843</v>
      </c>
      <c r="O6670" s="529" t="s">
        <v>1853</v>
      </c>
      <c r="P6670" s="257"/>
      <c r="Q6670" s="321"/>
      <c r="R6670" s="260"/>
      <c r="S6670" s="260"/>
      <c r="T6670" s="260"/>
      <c r="U6670" s="260"/>
      <c r="V6670" s="260"/>
      <c r="W6670" s="261"/>
      <c r="X6670" s="260"/>
      <c r="Y6670" s="260"/>
      <c r="Z6670" s="261"/>
      <c r="AA6670"/>
      <c r="AB6670"/>
      <c r="AC6670"/>
      <c r="AD6670"/>
      <c r="AE6670"/>
      <c r="AF6670"/>
      <c r="AG6670"/>
      <c r="AH6670"/>
      <c r="AI6670"/>
      <c r="AJ6670"/>
      <c r="AK6670"/>
      <c r="AL6670"/>
      <c r="AM6670"/>
    </row>
    <row r="6671" spans="1:39" s="47" customFormat="1" ht="22.5">
      <c r="A6671" s="121"/>
      <c r="B6671" s="121"/>
      <c r="C6671" s="121"/>
      <c r="D6671" s="121"/>
      <c r="E6671" s="121"/>
      <c r="F6671" s="121"/>
      <c r="G6671" s="121"/>
      <c r="H6671" s="121"/>
      <c r="I6671" s="121"/>
      <c r="J6671" s="121"/>
      <c r="K6671" s="121"/>
      <c r="L6671" s="121"/>
      <c r="M6671" s="121"/>
      <c r="N6671" s="222" t="s">
        <v>2844</v>
      </c>
      <c r="O6671" s="533" t="s">
        <v>1856</v>
      </c>
      <c r="P6671" s="257"/>
      <c r="Q6671" s="321"/>
      <c r="R6671" s="260"/>
      <c r="S6671" s="260"/>
      <c r="T6671" s="260"/>
      <c r="U6671" s="260"/>
      <c r="V6671" s="260"/>
      <c r="W6671" s="261"/>
      <c r="X6671" s="260"/>
      <c r="Y6671" s="260"/>
      <c r="Z6671" s="261"/>
      <c r="AA6671"/>
      <c r="AB6671"/>
      <c r="AC6671"/>
      <c r="AD6671"/>
      <c r="AE6671"/>
      <c r="AF6671"/>
      <c r="AG6671"/>
      <c r="AH6671"/>
      <c r="AI6671"/>
      <c r="AJ6671"/>
      <c r="AK6671"/>
      <c r="AL6671"/>
      <c r="AM6671"/>
    </row>
    <row r="6672" spans="1:39" s="47" customFormat="1" ht="22.5">
      <c r="A6672" s="121"/>
      <c r="B6672" s="121"/>
      <c r="C6672" s="121"/>
      <c r="D6672" s="121"/>
      <c r="E6672" s="121"/>
      <c r="F6672" s="121"/>
      <c r="G6672" s="121"/>
      <c r="H6672" s="121"/>
      <c r="I6672" s="121"/>
      <c r="J6672" s="121"/>
      <c r="K6672" s="121"/>
      <c r="L6672" s="121"/>
      <c r="M6672" s="121"/>
      <c r="N6672" s="222" t="s">
        <v>2845</v>
      </c>
      <c r="O6672" s="534" t="s">
        <v>2307</v>
      </c>
      <c r="P6672" s="254"/>
      <c r="Q6672" s="321"/>
      <c r="R6672" s="260"/>
      <c r="S6672" s="260"/>
      <c r="T6672" s="260"/>
      <c r="U6672" s="260"/>
      <c r="V6672" s="260"/>
      <c r="W6672" s="257">
        <f>IF(W6673&lt;&gt;0,(1000*W6671/W6673)/$AN$8,0)</f>
        <v>0</v>
      </c>
      <c r="X6672" s="260"/>
      <c r="Y6672" s="260"/>
      <c r="Z6672" s="257">
        <f>IF(Z6673&lt;&gt;0,(1000*Z6671/Z6673)/$AN$8,0)</f>
        <v>0</v>
      </c>
      <c r="AA6672"/>
      <c r="AB6672"/>
      <c r="AC6672"/>
      <c r="AD6672"/>
      <c r="AE6672"/>
      <c r="AF6672"/>
      <c r="AG6672"/>
      <c r="AH6672"/>
      <c r="AI6672"/>
      <c r="AJ6672"/>
      <c r="AK6672"/>
      <c r="AL6672"/>
      <c r="AM6672"/>
    </row>
    <row r="6673" spans="1:39" s="47" customFormat="1" ht="22.5">
      <c r="A6673" s="121"/>
      <c r="B6673" s="121"/>
      <c r="C6673" s="121"/>
      <c r="D6673" s="121"/>
      <c r="E6673" s="121"/>
      <c r="F6673" s="121"/>
      <c r="G6673" s="121"/>
      <c r="H6673" s="121"/>
      <c r="I6673" s="121"/>
      <c r="J6673" s="121"/>
      <c r="K6673" s="121"/>
      <c r="L6673" s="121"/>
      <c r="M6673" s="121"/>
      <c r="N6673" s="222" t="s">
        <v>2846</v>
      </c>
      <c r="O6673" s="529" t="s">
        <v>1860</v>
      </c>
      <c r="P6673" s="257"/>
      <c r="Q6673" s="321"/>
      <c r="R6673" s="260"/>
      <c r="S6673" s="260"/>
      <c r="T6673" s="260"/>
      <c r="U6673" s="260"/>
      <c r="V6673" s="260"/>
      <c r="W6673" s="261"/>
      <c r="X6673" s="260"/>
      <c r="Y6673" s="260"/>
      <c r="Z6673" s="261"/>
      <c r="AA6673"/>
      <c r="AB6673"/>
      <c r="AC6673"/>
      <c r="AD6673"/>
      <c r="AE6673"/>
      <c r="AF6673"/>
      <c r="AG6673"/>
      <c r="AH6673"/>
      <c r="AI6673"/>
      <c r="AJ6673"/>
      <c r="AK6673"/>
      <c r="AL6673"/>
      <c r="AM6673"/>
    </row>
    <row r="6674" spans="1:39" s="47" customFormat="1">
      <c r="A6674" s="121"/>
      <c r="B6674" s="121"/>
      <c r="C6674" s="121"/>
      <c r="D6674" s="121"/>
      <c r="E6674" s="121"/>
      <c r="F6674" s="121"/>
      <c r="G6674" s="121"/>
      <c r="H6674" s="121"/>
      <c r="I6674" s="121"/>
      <c r="J6674" s="121"/>
      <c r="K6674" s="121"/>
      <c r="L6674" s="121"/>
      <c r="M6674" s="121"/>
      <c r="N6674" s="504" t="s">
        <v>2847</v>
      </c>
      <c r="O6674" s="535" t="s">
        <v>2848</v>
      </c>
      <c r="P6674" s="257"/>
      <c r="Q6674" s="321"/>
      <c r="R6674" s="260"/>
      <c r="S6674" s="260"/>
      <c r="T6674" s="260"/>
      <c r="U6674" s="260"/>
      <c r="V6674" s="260"/>
      <c r="W6674" s="257">
        <f>SUM(W6675:W6679)</f>
        <v>0</v>
      </c>
      <c r="X6674" s="260"/>
      <c r="Y6674" s="260"/>
      <c r="Z6674" s="257">
        <f>SUM(Z6675:Z6679)</f>
        <v>0</v>
      </c>
      <c r="AA6674"/>
      <c r="AB6674"/>
      <c r="AC6674"/>
      <c r="AD6674"/>
      <c r="AE6674"/>
      <c r="AF6674"/>
      <c r="AG6674"/>
      <c r="AH6674"/>
      <c r="AI6674"/>
      <c r="AJ6674"/>
      <c r="AK6674"/>
      <c r="AL6674"/>
      <c r="AM6674"/>
    </row>
    <row r="6675" spans="1:39" s="47" customFormat="1" ht="22.5">
      <c r="A6675" s="121"/>
      <c r="B6675" s="121"/>
      <c r="C6675" s="121"/>
      <c r="D6675" s="121"/>
      <c r="E6675" s="121"/>
      <c r="F6675" s="121"/>
      <c r="G6675" s="121"/>
      <c r="H6675" s="121"/>
      <c r="I6675" s="121"/>
      <c r="J6675" s="121"/>
      <c r="K6675" s="121"/>
      <c r="L6675" s="121"/>
      <c r="M6675" s="121"/>
      <c r="N6675" s="504" t="s">
        <v>2849</v>
      </c>
      <c r="O6675" s="533" t="s">
        <v>2415</v>
      </c>
      <c r="P6675" s="257"/>
      <c r="Q6675" s="321"/>
      <c r="R6675" s="260"/>
      <c r="S6675" s="260"/>
      <c r="T6675" s="260"/>
      <c r="U6675" s="260"/>
      <c r="V6675" s="260"/>
      <c r="W6675" s="261"/>
      <c r="X6675" s="260"/>
      <c r="Y6675" s="260"/>
      <c r="Z6675" s="261"/>
      <c r="AA6675"/>
      <c r="AB6675"/>
      <c r="AC6675"/>
      <c r="AD6675"/>
      <c r="AE6675"/>
      <c r="AF6675"/>
      <c r="AG6675"/>
      <c r="AH6675"/>
      <c r="AI6675"/>
      <c r="AJ6675"/>
      <c r="AK6675"/>
      <c r="AL6675"/>
      <c r="AM6675"/>
    </row>
    <row r="6676" spans="1:39" s="47" customFormat="1" ht="22.5">
      <c r="A6676" s="121"/>
      <c r="B6676" s="121"/>
      <c r="C6676" s="121"/>
      <c r="D6676" s="121"/>
      <c r="E6676" s="121"/>
      <c r="F6676" s="121"/>
      <c r="G6676" s="121"/>
      <c r="H6676" s="121"/>
      <c r="I6676" s="121"/>
      <c r="J6676" s="121"/>
      <c r="K6676" s="121"/>
      <c r="L6676" s="121"/>
      <c r="M6676" s="121"/>
      <c r="N6676" s="504" t="s">
        <v>2850</v>
      </c>
      <c r="O6676" s="533" t="s">
        <v>2417</v>
      </c>
      <c r="P6676" s="257"/>
      <c r="Q6676" s="321"/>
      <c r="R6676" s="260"/>
      <c r="S6676" s="260"/>
      <c r="T6676" s="260"/>
      <c r="U6676" s="260"/>
      <c r="V6676" s="260"/>
      <c r="W6676" s="261"/>
      <c r="X6676" s="260"/>
      <c r="Y6676" s="260"/>
      <c r="Z6676" s="261"/>
      <c r="AA6676"/>
      <c r="AB6676"/>
      <c r="AC6676"/>
      <c r="AD6676"/>
      <c r="AE6676"/>
      <c r="AF6676"/>
      <c r="AG6676"/>
      <c r="AH6676"/>
      <c r="AI6676"/>
      <c r="AJ6676"/>
      <c r="AK6676"/>
      <c r="AL6676"/>
      <c r="AM6676"/>
    </row>
    <row r="6677" spans="1:39" s="47" customFormat="1">
      <c r="A6677" s="121"/>
      <c r="B6677" s="121"/>
      <c r="C6677" s="121"/>
      <c r="D6677" s="121"/>
      <c r="E6677" s="121"/>
      <c r="F6677" s="121"/>
      <c r="G6677" s="121"/>
      <c r="H6677" s="121"/>
      <c r="I6677" s="121"/>
      <c r="J6677" s="121"/>
      <c r="K6677" s="121"/>
      <c r="L6677" s="121"/>
      <c r="M6677" s="121"/>
      <c r="N6677" s="504" t="s">
        <v>2316</v>
      </c>
      <c r="O6677" s="533" t="s">
        <v>2420</v>
      </c>
      <c r="P6677" s="257"/>
      <c r="Q6677" s="321"/>
      <c r="R6677" s="260"/>
      <c r="S6677" s="260"/>
      <c r="T6677" s="260"/>
      <c r="U6677" s="260"/>
      <c r="V6677" s="260"/>
      <c r="W6677" s="261"/>
      <c r="X6677" s="260"/>
      <c r="Y6677" s="260"/>
      <c r="Z6677" s="261"/>
      <c r="AA6677"/>
      <c r="AB6677"/>
      <c r="AC6677"/>
      <c r="AD6677"/>
      <c r="AE6677"/>
      <c r="AF6677"/>
      <c r="AG6677"/>
      <c r="AH6677"/>
      <c r="AI6677"/>
      <c r="AJ6677"/>
      <c r="AK6677"/>
      <c r="AL6677"/>
      <c r="AM6677"/>
    </row>
    <row r="6678" spans="1:39" s="47" customFormat="1">
      <c r="A6678" s="121"/>
      <c r="B6678" s="121"/>
      <c r="C6678" s="121"/>
      <c r="D6678" s="121"/>
      <c r="E6678" s="121"/>
      <c r="F6678" s="121"/>
      <c r="G6678" s="121"/>
      <c r="H6678" s="121"/>
      <c r="I6678" s="121"/>
      <c r="J6678" s="121"/>
      <c r="K6678" s="121"/>
      <c r="L6678" s="121"/>
      <c r="M6678" s="121"/>
      <c r="N6678" s="504" t="s">
        <v>2317</v>
      </c>
      <c r="O6678" s="533" t="s">
        <v>2423</v>
      </c>
      <c r="P6678" s="257"/>
      <c r="Q6678" s="321"/>
      <c r="R6678" s="260"/>
      <c r="S6678" s="260"/>
      <c r="T6678" s="260"/>
      <c r="U6678" s="260"/>
      <c r="V6678" s="260"/>
      <c r="W6678" s="261"/>
      <c r="X6678" s="260"/>
      <c r="Y6678" s="260"/>
      <c r="Z6678" s="261"/>
      <c r="AA6678"/>
      <c r="AB6678"/>
      <c r="AC6678"/>
      <c r="AD6678"/>
      <c r="AE6678"/>
      <c r="AF6678"/>
      <c r="AG6678"/>
      <c r="AH6678"/>
      <c r="AI6678"/>
      <c r="AJ6678"/>
      <c r="AK6678"/>
      <c r="AL6678"/>
      <c r="AM6678"/>
    </row>
    <row r="6679" spans="1:39" s="47" customFormat="1">
      <c r="A6679" s="121"/>
      <c r="B6679" s="121"/>
      <c r="C6679" s="121"/>
      <c r="D6679" s="121"/>
      <c r="E6679" s="121"/>
      <c r="F6679" s="121"/>
      <c r="G6679" s="121"/>
      <c r="H6679" s="121"/>
      <c r="I6679" s="121"/>
      <c r="J6679" s="121"/>
      <c r="K6679" s="121"/>
      <c r="L6679" s="121"/>
      <c r="M6679" s="121"/>
      <c r="N6679" s="504" t="s">
        <v>2318</v>
      </c>
      <c r="O6679" s="533" t="s">
        <v>2426</v>
      </c>
      <c r="P6679" s="257"/>
      <c r="Q6679" s="321"/>
      <c r="R6679" s="260"/>
      <c r="S6679" s="260"/>
      <c r="T6679" s="260"/>
      <c r="U6679" s="260"/>
      <c r="V6679" s="260"/>
      <c r="W6679" s="261"/>
      <c r="X6679" s="260"/>
      <c r="Y6679" s="260"/>
      <c r="Z6679" s="261"/>
      <c r="AA6679"/>
      <c r="AB6679"/>
      <c r="AC6679"/>
      <c r="AD6679"/>
      <c r="AE6679"/>
      <c r="AF6679"/>
      <c r="AG6679"/>
      <c r="AH6679"/>
      <c r="AI6679"/>
      <c r="AJ6679"/>
      <c r="AK6679"/>
      <c r="AL6679"/>
      <c r="AM6679"/>
    </row>
    <row r="6680" spans="1:39" s="47" customFormat="1">
      <c r="A6680" s="121"/>
      <c r="B6680" s="121"/>
      <c r="C6680" s="121"/>
      <c r="D6680" s="121"/>
      <c r="E6680" s="121"/>
      <c r="F6680" s="121"/>
      <c r="G6680" s="121"/>
      <c r="H6680" s="121"/>
      <c r="I6680" s="121"/>
      <c r="J6680" s="121"/>
      <c r="K6680" s="121"/>
      <c r="L6680" s="121"/>
      <c r="M6680" s="121"/>
      <c r="N6680" s="260"/>
      <c r="O6680" s="260"/>
      <c r="P6680" s="260"/>
      <c r="Q6680" s="321"/>
      <c r="R6680" s="260"/>
      <c r="S6680" s="260"/>
      <c r="T6680" s="260"/>
      <c r="U6680" s="260"/>
      <c r="V6680" s="260"/>
      <c r="W6680" s="260"/>
      <c r="X6680" s="260"/>
      <c r="Y6680" s="260"/>
      <c r="Z6680" s="260"/>
      <c r="AA6680"/>
      <c r="AB6680"/>
      <c r="AC6680"/>
      <c r="AD6680"/>
      <c r="AE6680"/>
      <c r="AF6680"/>
      <c r="AG6680"/>
      <c r="AH6680"/>
      <c r="AI6680"/>
      <c r="AJ6680"/>
      <c r="AK6680"/>
      <c r="AL6680"/>
      <c r="AM6680"/>
    </row>
    <row r="6681" spans="1:39" s="47" customFormat="1">
      <c r="A6681" s="121"/>
      <c r="B6681" s="121"/>
      <c r="C6681" s="121"/>
      <c r="D6681" s="121"/>
      <c r="E6681" s="121"/>
      <c r="F6681" s="121"/>
      <c r="G6681" s="121"/>
      <c r="H6681" s="121"/>
      <c r="I6681" s="121"/>
      <c r="J6681" s="121"/>
      <c r="K6681" s="121"/>
      <c r="L6681" s="121"/>
      <c r="M6681" s="121"/>
      <c r="N6681" s="260"/>
      <c r="O6681" s="260"/>
      <c r="P6681" s="260"/>
      <c r="Q6681" s="321"/>
      <c r="R6681" s="260"/>
      <c r="S6681" s="260"/>
      <c r="T6681" s="260"/>
      <c r="U6681" s="260"/>
      <c r="V6681" s="260"/>
      <c r="W6681" s="260"/>
      <c r="X6681" s="260"/>
      <c r="Y6681" s="260"/>
      <c r="Z6681" s="260"/>
      <c r="AA6681"/>
      <c r="AB6681"/>
      <c r="AC6681"/>
      <c r="AD6681"/>
      <c r="AE6681"/>
      <c r="AF6681"/>
      <c r="AG6681"/>
      <c r="AH6681"/>
      <c r="AI6681"/>
      <c r="AJ6681"/>
      <c r="AK6681"/>
      <c r="AL6681"/>
      <c r="AM6681"/>
    </row>
    <row r="6682" spans="1:39" s="47" customFormat="1">
      <c r="A6682" s="121"/>
      <c r="B6682" s="121"/>
      <c r="C6682" s="121"/>
      <c r="D6682" s="121"/>
      <c r="E6682" s="121"/>
      <c r="F6682" s="121"/>
      <c r="G6682" s="121"/>
      <c r="H6682" s="121"/>
      <c r="I6682" s="121"/>
      <c r="J6682" s="121"/>
      <c r="K6682" s="121"/>
      <c r="L6682" s="121"/>
      <c r="M6682" s="121"/>
      <c r="N6682" s="260"/>
      <c r="O6682" s="260"/>
      <c r="P6682" s="260"/>
      <c r="Q6682" s="321"/>
      <c r="R6682" s="260"/>
      <c r="S6682" s="260"/>
      <c r="T6682" s="260"/>
      <c r="U6682" s="260"/>
      <c r="V6682" s="260"/>
      <c r="W6682" s="260"/>
      <c r="X6682" s="260"/>
      <c r="Y6682" s="260"/>
      <c r="Z6682" s="260"/>
      <c r="AA6682"/>
      <c r="AB6682"/>
      <c r="AC6682"/>
      <c r="AD6682"/>
      <c r="AE6682"/>
      <c r="AF6682"/>
      <c r="AG6682"/>
      <c r="AH6682"/>
      <c r="AI6682"/>
      <c r="AJ6682"/>
      <c r="AK6682"/>
      <c r="AL6682"/>
      <c r="AM6682"/>
    </row>
    <row r="6683" spans="1:39" s="47" customFormat="1">
      <c r="A6683" s="121"/>
      <c r="B6683" s="121"/>
      <c r="C6683" s="121"/>
      <c r="D6683" s="121"/>
      <c r="E6683" s="121"/>
      <c r="F6683" s="121"/>
      <c r="G6683" s="121"/>
      <c r="H6683" s="121"/>
      <c r="I6683" s="121"/>
      <c r="J6683" s="121"/>
      <c r="K6683" s="121"/>
      <c r="L6683" s="121"/>
      <c r="M6683" s="121"/>
      <c r="N6683" s="260"/>
      <c r="O6683" s="260"/>
      <c r="P6683" s="260"/>
      <c r="Q6683" s="321"/>
      <c r="R6683" s="260"/>
      <c r="S6683" s="260"/>
      <c r="T6683" s="260"/>
      <c r="U6683" s="260"/>
      <c r="V6683" s="260"/>
      <c r="W6683" s="260"/>
      <c r="X6683" s="260"/>
      <c r="Y6683" s="260"/>
      <c r="Z6683" s="260"/>
      <c r="AA6683"/>
      <c r="AB6683"/>
      <c r="AC6683"/>
      <c r="AD6683"/>
      <c r="AE6683"/>
      <c r="AF6683"/>
      <c r="AG6683"/>
      <c r="AH6683"/>
      <c r="AI6683"/>
      <c r="AJ6683"/>
      <c r="AK6683"/>
      <c r="AL6683"/>
      <c r="AM6683"/>
    </row>
    <row r="6684" spans="1:39" s="47" customFormat="1" ht="22.5">
      <c r="A6684" s="121"/>
      <c r="B6684" s="121"/>
      <c r="C6684" s="121"/>
      <c r="D6684" s="121"/>
      <c r="E6684" s="121"/>
      <c r="F6684" s="121"/>
      <c r="G6684" s="121"/>
      <c r="H6684" s="121"/>
      <c r="I6684" s="121"/>
      <c r="J6684" s="121"/>
      <c r="K6684" s="121"/>
      <c r="L6684" s="121"/>
      <c r="M6684" s="121"/>
      <c r="N6684" s="504" t="s">
        <v>2323</v>
      </c>
      <c r="O6684"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P6684" s="257"/>
      <c r="Q6684" s="321"/>
      <c r="R6684" s="260"/>
      <c r="S6684" s="260"/>
      <c r="T6684" s="260"/>
      <c r="U6684" s="260"/>
      <c r="V6684" s="260"/>
      <c r="W6684" s="261"/>
      <c r="X6684" s="260"/>
      <c r="Y6684" s="260"/>
      <c r="Z6684" s="261"/>
      <c r="AA6684"/>
      <c r="AB6684"/>
      <c r="AC6684"/>
      <c r="AD6684"/>
      <c r="AE6684"/>
      <c r="AF6684"/>
      <c r="AG6684"/>
      <c r="AH6684"/>
      <c r="AI6684"/>
      <c r="AJ6684"/>
      <c r="AK6684"/>
      <c r="AL6684"/>
      <c r="AM6684"/>
    </row>
    <row r="6685" spans="1:39" s="47" customFormat="1" ht="22.5">
      <c r="A6685" s="121"/>
      <c r="B6685" s="121"/>
      <c r="C6685" s="121"/>
      <c r="D6685" s="121"/>
      <c r="E6685" s="121"/>
      <c r="F6685" s="121"/>
      <c r="G6685" s="121"/>
      <c r="H6685" s="121"/>
      <c r="I6685" s="121"/>
      <c r="J6685" s="121"/>
      <c r="K6685" s="121"/>
      <c r="L6685" s="121"/>
      <c r="M6685" s="121"/>
      <c r="N6685" s="504" t="s">
        <v>2324</v>
      </c>
      <c r="O6685"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P6685" s="257"/>
      <c r="Q6685" s="321"/>
      <c r="R6685" s="260"/>
      <c r="S6685" s="260"/>
      <c r="T6685" s="260"/>
      <c r="U6685" s="260"/>
      <c r="V6685" s="260"/>
      <c r="W6685" s="261"/>
      <c r="X6685" s="260"/>
      <c r="Y6685" s="260"/>
      <c r="Z6685" s="261"/>
      <c r="AA6685"/>
      <c r="AB6685"/>
      <c r="AC6685"/>
      <c r="AD6685"/>
      <c r="AE6685"/>
      <c r="AF6685"/>
      <c r="AG6685"/>
      <c r="AH6685"/>
      <c r="AI6685"/>
      <c r="AJ6685"/>
      <c r="AK6685"/>
      <c r="AL6685"/>
      <c r="AM6685"/>
    </row>
    <row r="6686" spans="1:39" s="47" customFormat="1">
      <c r="A6686" s="121"/>
      <c r="B6686" s="121"/>
      <c r="C6686" s="121"/>
      <c r="D6686" s="121"/>
      <c r="E6686" s="121"/>
      <c r="F6686" s="121"/>
      <c r="G6686" s="121"/>
      <c r="H6686" s="121"/>
      <c r="I6686" s="121"/>
      <c r="J6686" s="121"/>
      <c r="K6686" s="121"/>
      <c r="L6686" s="121"/>
      <c r="M6686" s="121"/>
      <c r="N6686" s="504" t="s">
        <v>2325</v>
      </c>
      <c r="O6686"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P6686" s="257"/>
      <c r="Q6686" s="321"/>
      <c r="R6686" s="260"/>
      <c r="S6686" s="260"/>
      <c r="T6686" s="260"/>
      <c r="U6686" s="260"/>
      <c r="V6686" s="260"/>
      <c r="W6686" s="261"/>
      <c r="X6686" s="260"/>
      <c r="Y6686" s="260"/>
      <c r="Z6686" s="261"/>
      <c r="AA6686"/>
      <c r="AB6686"/>
      <c r="AC6686"/>
      <c r="AD6686"/>
      <c r="AE6686"/>
      <c r="AF6686"/>
      <c r="AG6686"/>
      <c r="AH6686"/>
      <c r="AI6686"/>
      <c r="AJ6686"/>
      <c r="AK6686"/>
      <c r="AL6686"/>
      <c r="AM6686"/>
    </row>
    <row r="6687" spans="1:39" s="47" customFormat="1">
      <c r="A6687" s="121"/>
      <c r="B6687" s="121"/>
      <c r="C6687" s="121"/>
      <c r="D6687" s="121"/>
      <c r="E6687" s="121"/>
      <c r="F6687" s="121"/>
      <c r="G6687" s="121"/>
      <c r="H6687" s="121"/>
      <c r="I6687" s="121"/>
      <c r="J6687" s="121"/>
      <c r="K6687" s="121"/>
      <c r="L6687" s="121"/>
      <c r="M6687" s="121"/>
      <c r="N6687" s="504" t="s">
        <v>2326</v>
      </c>
      <c r="O6687" s="527" t="s">
        <v>2327</v>
      </c>
      <c r="P6687" s="257"/>
      <c r="Q6687" s="321"/>
      <c r="R6687" s="260"/>
      <c r="S6687" s="260"/>
      <c r="T6687" s="260"/>
      <c r="U6687" s="260"/>
      <c r="V6687" s="260"/>
      <c r="W6687" s="257">
        <f>SUM(W6688:W6689)</f>
        <v>0</v>
      </c>
      <c r="X6687" s="260"/>
      <c r="Y6687" s="260"/>
      <c r="Z6687" s="257">
        <f>SUM(Z6688:Z6689)</f>
        <v>0</v>
      </c>
      <c r="AA6687"/>
      <c r="AB6687"/>
      <c r="AC6687"/>
      <c r="AD6687"/>
      <c r="AE6687"/>
      <c r="AF6687"/>
      <c r="AG6687"/>
      <c r="AH6687"/>
      <c r="AI6687"/>
      <c r="AJ6687"/>
      <c r="AK6687"/>
      <c r="AL6687"/>
      <c r="AM6687"/>
    </row>
    <row r="6688" spans="1:39" s="47" customFormat="1">
      <c r="A6688" s="121"/>
      <c r="B6688" s="121"/>
      <c r="C6688" s="121"/>
      <c r="D6688" s="121"/>
      <c r="E6688" s="121"/>
      <c r="F6688" s="121"/>
      <c r="G6688" s="121"/>
      <c r="H6688" s="121"/>
      <c r="I6688" s="121"/>
      <c r="J6688" s="121"/>
      <c r="K6688" s="121"/>
      <c r="L6688" s="121"/>
      <c r="M6688" s="121"/>
      <c r="N6688" s="504" t="s">
        <v>2328</v>
      </c>
      <c r="O6688" s="528" t="s">
        <v>2329</v>
      </c>
      <c r="P6688" s="257"/>
      <c r="Q6688" s="321"/>
      <c r="R6688" s="260"/>
      <c r="S6688" s="260"/>
      <c r="T6688" s="260"/>
      <c r="U6688" s="260"/>
      <c r="V6688" s="260"/>
      <c r="W6688" s="261"/>
      <c r="X6688" s="260"/>
      <c r="Y6688" s="260"/>
      <c r="Z6688" s="261"/>
      <c r="AA6688"/>
      <c r="AB6688"/>
      <c r="AC6688"/>
      <c r="AD6688"/>
      <c r="AE6688"/>
      <c r="AF6688"/>
      <c r="AG6688"/>
      <c r="AH6688"/>
      <c r="AI6688"/>
      <c r="AJ6688"/>
      <c r="AK6688"/>
      <c r="AL6688"/>
      <c r="AM6688"/>
    </row>
    <row r="6689" spans="1:39" s="47" customFormat="1">
      <c r="A6689" s="121"/>
      <c r="B6689" s="121"/>
      <c r="C6689" s="121"/>
      <c r="D6689" s="121"/>
      <c r="E6689" s="121"/>
      <c r="F6689" s="121"/>
      <c r="G6689" s="121"/>
      <c r="H6689" s="121"/>
      <c r="I6689" s="121"/>
      <c r="J6689" s="121"/>
      <c r="K6689" s="121"/>
      <c r="L6689" s="121"/>
      <c r="M6689" s="121"/>
      <c r="N6689" s="504" t="s">
        <v>2330</v>
      </c>
      <c r="O6689" s="528" t="s">
        <v>2331</v>
      </c>
      <c r="P6689" s="257"/>
      <c r="Q6689" s="321"/>
      <c r="R6689" s="260"/>
      <c r="S6689" s="260"/>
      <c r="T6689" s="260"/>
      <c r="U6689" s="260"/>
      <c r="V6689" s="260"/>
      <c r="W6689" s="261"/>
      <c r="X6689" s="260"/>
      <c r="Y6689" s="260"/>
      <c r="Z6689" s="261"/>
      <c r="AA6689"/>
      <c r="AB6689"/>
      <c r="AC6689"/>
      <c r="AD6689"/>
      <c r="AE6689"/>
      <c r="AF6689"/>
      <c r="AG6689"/>
      <c r="AH6689"/>
      <c r="AI6689"/>
      <c r="AJ6689"/>
      <c r="AK6689"/>
      <c r="AL6689"/>
      <c r="AM6689"/>
    </row>
    <row r="6690" spans="1:39" s="47" customFormat="1">
      <c r="A6690" s="121"/>
      <c r="B6690" s="121"/>
      <c r="C6690" s="121"/>
      <c r="D6690" s="121"/>
      <c r="E6690" s="121"/>
      <c r="F6690" s="121"/>
      <c r="G6690" s="121"/>
      <c r="H6690" s="121"/>
      <c r="I6690" s="121"/>
      <c r="J6690" s="121"/>
      <c r="K6690" s="121"/>
      <c r="L6690" s="121"/>
      <c r="M6690" s="121"/>
      <c r="N6690" s="504" t="s">
        <v>2332</v>
      </c>
      <c r="O6690" s="527" t="s">
        <v>2333</v>
      </c>
      <c r="P6690" s="257"/>
      <c r="Q6690" s="321"/>
      <c r="R6690" s="260"/>
      <c r="S6690" s="260"/>
      <c r="T6690" s="260"/>
      <c r="U6690" s="260"/>
      <c r="V6690" s="260"/>
      <c r="W6690" s="261"/>
      <c r="X6690" s="260"/>
      <c r="Y6690" s="260"/>
      <c r="Z6690" s="261"/>
      <c r="AA6690"/>
      <c r="AB6690"/>
      <c r="AC6690"/>
      <c r="AD6690"/>
      <c r="AE6690"/>
      <c r="AF6690"/>
      <c r="AG6690"/>
      <c r="AH6690"/>
      <c r="AI6690"/>
      <c r="AJ6690"/>
      <c r="AK6690"/>
      <c r="AL6690"/>
      <c r="AM6690"/>
    </row>
    <row r="6691" spans="1:39" s="47" customFormat="1">
      <c r="A6691" s="121"/>
      <c r="B6691" s="121"/>
      <c r="C6691" s="121"/>
      <c r="D6691" s="121"/>
      <c r="E6691" s="121"/>
      <c r="F6691" s="121"/>
      <c r="G6691" s="121"/>
      <c r="H6691" s="121"/>
      <c r="I6691" s="121"/>
      <c r="J6691" s="121"/>
      <c r="K6691" s="121"/>
      <c r="L6691" s="121"/>
      <c r="M6691" s="121"/>
      <c r="N6691" s="504" t="s">
        <v>2334</v>
      </c>
      <c r="O6691" s="527" t="s">
        <v>2335</v>
      </c>
      <c r="P6691" s="257"/>
      <c r="Q6691" s="321"/>
      <c r="R6691" s="260"/>
      <c r="S6691" s="260"/>
      <c r="T6691" s="260"/>
      <c r="U6691" s="260"/>
      <c r="V6691" s="260"/>
      <c r="W6691" s="261"/>
      <c r="X6691" s="260"/>
      <c r="Y6691" s="260"/>
      <c r="Z6691" s="261"/>
      <c r="AA6691"/>
      <c r="AB6691"/>
      <c r="AC6691"/>
      <c r="AD6691"/>
      <c r="AE6691"/>
      <c r="AF6691"/>
      <c r="AG6691"/>
      <c r="AH6691"/>
      <c r="AI6691"/>
      <c r="AJ6691"/>
      <c r="AK6691"/>
      <c r="AL6691"/>
      <c r="AM6691"/>
    </row>
    <row r="6692" spans="1:39" s="47" customFormat="1" ht="22.5">
      <c r="A6692" s="121"/>
      <c r="B6692" s="121"/>
      <c r="C6692" s="121"/>
      <c r="D6692" s="121"/>
      <c r="E6692" s="121"/>
      <c r="F6692" s="121"/>
      <c r="G6692" s="121"/>
      <c r="H6692" s="121"/>
      <c r="I6692" s="121"/>
      <c r="J6692" s="121"/>
      <c r="K6692" s="121"/>
      <c r="L6692" s="121"/>
      <c r="M6692" s="121"/>
      <c r="N6692" s="504" t="s">
        <v>2336</v>
      </c>
      <c r="O6692" s="527" t="s">
        <v>2337</v>
      </c>
      <c r="P6692" s="257"/>
      <c r="Q6692" s="321"/>
      <c r="R6692" s="260"/>
      <c r="S6692" s="260"/>
      <c r="T6692" s="260"/>
      <c r="U6692" s="260"/>
      <c r="V6692" s="260"/>
      <c r="W6692" s="261"/>
      <c r="X6692" s="260"/>
      <c r="Y6692" s="260"/>
      <c r="Z6692" s="261"/>
      <c r="AA6692"/>
      <c r="AB6692"/>
      <c r="AC6692"/>
      <c r="AD6692"/>
      <c r="AE6692"/>
      <c r="AF6692"/>
      <c r="AG6692"/>
      <c r="AH6692"/>
      <c r="AI6692"/>
      <c r="AJ6692"/>
      <c r="AK6692"/>
      <c r="AL6692"/>
      <c r="AM6692"/>
    </row>
    <row r="6693" spans="1:39" s="47" customFormat="1">
      <c r="A6693" s="121"/>
      <c r="B6693" s="121"/>
      <c r="C6693" s="121"/>
      <c r="D6693" s="121"/>
      <c r="E6693" s="121"/>
      <c r="F6693" s="121"/>
      <c r="G6693" s="121"/>
      <c r="H6693" s="121"/>
      <c r="I6693" s="121"/>
      <c r="J6693" s="121"/>
      <c r="K6693" s="121"/>
      <c r="L6693" s="121"/>
      <c r="M6693" s="121"/>
      <c r="N6693" s="504" t="s">
        <v>2338</v>
      </c>
      <c r="O6693" s="527" t="s">
        <v>2339</v>
      </c>
      <c r="P6693" s="257"/>
      <c r="Q6693" s="321"/>
      <c r="R6693" s="260"/>
      <c r="S6693" s="260"/>
      <c r="T6693" s="260"/>
      <c r="U6693" s="260"/>
      <c r="V6693" s="260"/>
      <c r="W6693" s="257">
        <f>SUM(W6694:W6702)</f>
        <v>0</v>
      </c>
      <c r="X6693" s="260"/>
      <c r="Y6693" s="260"/>
      <c r="Z6693" s="257">
        <f>SUM(Z6694:Z6702)</f>
        <v>0</v>
      </c>
      <c r="AA6693"/>
      <c r="AB6693"/>
      <c r="AC6693"/>
      <c r="AD6693"/>
      <c r="AE6693"/>
      <c r="AF6693"/>
      <c r="AG6693"/>
      <c r="AH6693"/>
      <c r="AI6693"/>
      <c r="AJ6693"/>
      <c r="AK6693"/>
      <c r="AL6693"/>
      <c r="AM6693"/>
    </row>
    <row r="6694" spans="1:39" s="47" customFormat="1">
      <c r="A6694" s="121"/>
      <c r="B6694" s="121"/>
      <c r="C6694" s="121"/>
      <c r="D6694" s="121"/>
      <c r="E6694" s="121"/>
      <c r="F6694" s="121"/>
      <c r="G6694" s="121"/>
      <c r="H6694" s="121"/>
      <c r="I6694" s="121"/>
      <c r="J6694" s="121"/>
      <c r="K6694" s="121"/>
      <c r="L6694" s="121"/>
      <c r="M6694" s="121"/>
      <c r="N6694" s="504" t="s">
        <v>2340</v>
      </c>
      <c r="O6694" s="528" t="s">
        <v>2341</v>
      </c>
      <c r="P6694" s="257"/>
      <c r="Q6694" s="321"/>
      <c r="R6694" s="260"/>
      <c r="S6694" s="260"/>
      <c r="T6694" s="260"/>
      <c r="U6694" s="260"/>
      <c r="V6694" s="260"/>
      <c r="W6694" s="261"/>
      <c r="X6694" s="260"/>
      <c r="Y6694" s="260"/>
      <c r="Z6694" s="261"/>
      <c r="AA6694"/>
      <c r="AB6694"/>
      <c r="AC6694"/>
      <c r="AD6694"/>
      <c r="AE6694"/>
      <c r="AF6694"/>
      <c r="AG6694"/>
      <c r="AH6694"/>
      <c r="AI6694"/>
      <c r="AJ6694"/>
      <c r="AK6694"/>
      <c r="AL6694"/>
      <c r="AM6694"/>
    </row>
    <row r="6695" spans="1:39" s="47" customFormat="1">
      <c r="A6695" s="121"/>
      <c r="B6695" s="121"/>
      <c r="C6695" s="121"/>
      <c r="D6695" s="121"/>
      <c r="E6695" s="121"/>
      <c r="F6695" s="121"/>
      <c r="G6695" s="121"/>
      <c r="H6695" s="121"/>
      <c r="I6695" s="121"/>
      <c r="J6695" s="121"/>
      <c r="K6695" s="121"/>
      <c r="L6695" s="121"/>
      <c r="M6695" s="121"/>
      <c r="N6695" s="504" t="s">
        <v>2342</v>
      </c>
      <c r="O6695" s="528" t="s">
        <v>2343</v>
      </c>
      <c r="P6695" s="257"/>
      <c r="Q6695" s="321"/>
      <c r="R6695" s="260"/>
      <c r="S6695" s="260"/>
      <c r="T6695" s="260"/>
      <c r="U6695" s="260"/>
      <c r="V6695" s="260"/>
      <c r="W6695" s="261"/>
      <c r="X6695" s="260"/>
      <c r="Y6695" s="260"/>
      <c r="Z6695" s="261"/>
      <c r="AA6695"/>
      <c r="AB6695"/>
      <c r="AC6695"/>
      <c r="AD6695"/>
      <c r="AE6695"/>
      <c r="AF6695"/>
      <c r="AG6695"/>
      <c r="AH6695"/>
      <c r="AI6695"/>
      <c r="AJ6695"/>
      <c r="AK6695"/>
      <c r="AL6695"/>
      <c r="AM6695"/>
    </row>
    <row r="6696" spans="1:39" s="47" customFormat="1">
      <c r="A6696" s="121"/>
      <c r="B6696" s="121"/>
      <c r="C6696" s="121"/>
      <c r="D6696" s="121"/>
      <c r="E6696" s="121"/>
      <c r="F6696" s="121"/>
      <c r="G6696" s="121"/>
      <c r="H6696" s="121"/>
      <c r="I6696" s="121"/>
      <c r="J6696" s="121"/>
      <c r="K6696" s="121"/>
      <c r="L6696" s="121"/>
      <c r="M6696" s="121"/>
      <c r="N6696" s="504" t="s">
        <v>2344</v>
      </c>
      <c r="O6696" s="528" t="s">
        <v>2345</v>
      </c>
      <c r="P6696" s="257"/>
      <c r="Q6696" s="321"/>
      <c r="R6696" s="260"/>
      <c r="S6696" s="260"/>
      <c r="T6696" s="260"/>
      <c r="U6696" s="260"/>
      <c r="V6696" s="260"/>
      <c r="W6696" s="261"/>
      <c r="X6696" s="260"/>
      <c r="Y6696" s="260"/>
      <c r="Z6696" s="261"/>
      <c r="AA6696"/>
      <c r="AB6696"/>
      <c r="AC6696"/>
      <c r="AD6696"/>
      <c r="AE6696"/>
      <c r="AF6696"/>
      <c r="AG6696"/>
      <c r="AH6696"/>
      <c r="AI6696"/>
      <c r="AJ6696"/>
      <c r="AK6696"/>
      <c r="AL6696"/>
      <c r="AM6696"/>
    </row>
    <row r="6697" spans="1:39" s="47" customFormat="1">
      <c r="A6697" s="121"/>
      <c r="B6697" s="121"/>
      <c r="C6697" s="121"/>
      <c r="D6697" s="121"/>
      <c r="E6697" s="121"/>
      <c r="F6697" s="121"/>
      <c r="G6697" s="121"/>
      <c r="H6697" s="121"/>
      <c r="I6697" s="121"/>
      <c r="J6697" s="121"/>
      <c r="K6697" s="121"/>
      <c r="L6697" s="121"/>
      <c r="M6697" s="121"/>
      <c r="N6697" s="504" t="s">
        <v>2346</v>
      </c>
      <c r="O6697" s="528" t="s">
        <v>2347</v>
      </c>
      <c r="P6697" s="257"/>
      <c r="Q6697" s="321"/>
      <c r="R6697" s="260"/>
      <c r="S6697" s="260"/>
      <c r="T6697" s="260"/>
      <c r="U6697" s="260"/>
      <c r="V6697" s="260"/>
      <c r="W6697" s="261"/>
      <c r="X6697" s="260"/>
      <c r="Y6697" s="260"/>
      <c r="Z6697" s="261"/>
      <c r="AA6697"/>
      <c r="AB6697"/>
      <c r="AC6697"/>
      <c r="AD6697"/>
      <c r="AE6697"/>
      <c r="AF6697"/>
      <c r="AG6697"/>
      <c r="AH6697"/>
      <c r="AI6697"/>
      <c r="AJ6697"/>
      <c r="AK6697"/>
      <c r="AL6697"/>
      <c r="AM6697"/>
    </row>
    <row r="6698" spans="1:39" s="47" customFormat="1">
      <c r="A6698" s="121"/>
      <c r="B6698" s="121"/>
      <c r="C6698" s="121"/>
      <c r="D6698" s="121"/>
      <c r="E6698" s="121"/>
      <c r="F6698" s="121"/>
      <c r="G6698" s="121"/>
      <c r="H6698" s="121"/>
      <c r="I6698" s="121"/>
      <c r="J6698" s="121"/>
      <c r="K6698" s="121"/>
      <c r="L6698" s="121"/>
      <c r="M6698" s="121"/>
      <c r="N6698" s="504" t="s">
        <v>2348</v>
      </c>
      <c r="O6698" s="528" t="s">
        <v>2349</v>
      </c>
      <c r="P6698" s="257"/>
      <c r="Q6698" s="321"/>
      <c r="R6698" s="260"/>
      <c r="S6698" s="260"/>
      <c r="T6698" s="260"/>
      <c r="U6698" s="260"/>
      <c r="V6698" s="260"/>
      <c r="W6698" s="261"/>
      <c r="X6698" s="260"/>
      <c r="Y6698" s="260"/>
      <c r="Z6698" s="261"/>
      <c r="AA6698"/>
      <c r="AB6698"/>
      <c r="AC6698"/>
      <c r="AD6698"/>
      <c r="AE6698"/>
      <c r="AF6698"/>
      <c r="AG6698"/>
      <c r="AH6698"/>
      <c r="AI6698"/>
      <c r="AJ6698"/>
      <c r="AK6698"/>
      <c r="AL6698"/>
      <c r="AM6698"/>
    </row>
    <row r="6699" spans="1:39" s="47" customFormat="1">
      <c r="A6699" s="121"/>
      <c r="B6699" s="121"/>
      <c r="C6699" s="121"/>
      <c r="D6699" s="121"/>
      <c r="E6699" s="121"/>
      <c r="F6699" s="121"/>
      <c r="G6699" s="121"/>
      <c r="H6699" s="121"/>
      <c r="I6699" s="121"/>
      <c r="J6699" s="121"/>
      <c r="K6699" s="121"/>
      <c r="L6699" s="121"/>
      <c r="M6699" s="121"/>
      <c r="N6699" s="504" t="s">
        <v>2350</v>
      </c>
      <c r="O6699" s="528" t="s">
        <v>2351</v>
      </c>
      <c r="P6699" s="257"/>
      <c r="Q6699" s="321"/>
      <c r="R6699" s="260"/>
      <c r="S6699" s="260"/>
      <c r="T6699" s="260"/>
      <c r="U6699" s="260"/>
      <c r="V6699" s="260"/>
      <c r="W6699" s="261"/>
      <c r="X6699" s="260"/>
      <c r="Y6699" s="260"/>
      <c r="Z6699" s="261"/>
      <c r="AA6699"/>
      <c r="AB6699"/>
      <c r="AC6699"/>
      <c r="AD6699"/>
      <c r="AE6699"/>
      <c r="AF6699"/>
      <c r="AG6699"/>
      <c r="AH6699"/>
      <c r="AI6699"/>
      <c r="AJ6699"/>
      <c r="AK6699"/>
      <c r="AL6699"/>
      <c r="AM6699"/>
    </row>
    <row r="6700" spans="1:39" s="47" customFormat="1">
      <c r="A6700" s="121"/>
      <c r="B6700" s="121"/>
      <c r="C6700" s="121"/>
      <c r="D6700" s="121"/>
      <c r="E6700" s="121"/>
      <c r="F6700" s="121"/>
      <c r="G6700" s="121"/>
      <c r="H6700" s="121"/>
      <c r="I6700" s="121"/>
      <c r="J6700" s="121"/>
      <c r="K6700" s="121"/>
      <c r="L6700" s="121"/>
      <c r="M6700" s="121"/>
      <c r="N6700" s="504" t="s">
        <v>2352</v>
      </c>
      <c r="O6700" s="528" t="s">
        <v>2353</v>
      </c>
      <c r="P6700" s="257"/>
      <c r="Q6700" s="321"/>
      <c r="R6700" s="260"/>
      <c r="S6700" s="260"/>
      <c r="T6700" s="260"/>
      <c r="U6700" s="260"/>
      <c r="V6700" s="260"/>
      <c r="W6700" s="261"/>
      <c r="X6700" s="260"/>
      <c r="Y6700" s="260"/>
      <c r="Z6700" s="261"/>
      <c r="AA6700"/>
      <c r="AB6700"/>
      <c r="AC6700"/>
      <c r="AD6700"/>
      <c r="AE6700"/>
      <c r="AF6700"/>
      <c r="AG6700"/>
      <c r="AH6700"/>
      <c r="AI6700"/>
      <c r="AJ6700"/>
      <c r="AK6700"/>
      <c r="AL6700"/>
      <c r="AM6700"/>
    </row>
    <row r="6701" spans="1:39" s="47" customFormat="1">
      <c r="A6701" s="121"/>
      <c r="B6701" s="121"/>
      <c r="C6701" s="121"/>
      <c r="D6701" s="121"/>
      <c r="E6701" s="121"/>
      <c r="F6701" s="121"/>
      <c r="G6701" s="121"/>
      <c r="H6701" s="121"/>
      <c r="I6701" s="121"/>
      <c r="J6701" s="121"/>
      <c r="K6701" s="121"/>
      <c r="L6701" s="121"/>
      <c r="M6701" s="121"/>
      <c r="N6701" s="504" t="s">
        <v>2354</v>
      </c>
      <c r="O6701" s="528" t="s">
        <v>2355</v>
      </c>
      <c r="P6701" s="257"/>
      <c r="Q6701" s="321"/>
      <c r="R6701" s="260"/>
      <c r="S6701" s="260"/>
      <c r="T6701" s="260"/>
      <c r="U6701" s="260"/>
      <c r="V6701" s="260"/>
      <c r="W6701" s="261"/>
      <c r="X6701" s="260"/>
      <c r="Y6701" s="260"/>
      <c r="Z6701" s="261"/>
      <c r="AA6701"/>
      <c r="AB6701"/>
      <c r="AC6701"/>
      <c r="AD6701"/>
      <c r="AE6701"/>
      <c r="AF6701"/>
      <c r="AG6701"/>
      <c r="AH6701"/>
      <c r="AI6701"/>
      <c r="AJ6701"/>
      <c r="AK6701"/>
      <c r="AL6701"/>
      <c r="AM6701"/>
    </row>
    <row r="6702" spans="1:39" s="47" customFormat="1">
      <c r="A6702" s="121"/>
      <c r="B6702" s="121"/>
      <c r="C6702" s="121"/>
      <c r="D6702" s="121"/>
      <c r="E6702" s="121"/>
      <c r="F6702" s="121"/>
      <c r="G6702" s="121"/>
      <c r="H6702" s="121"/>
      <c r="I6702" s="121"/>
      <c r="J6702" s="121"/>
      <c r="K6702" s="121"/>
      <c r="L6702" s="121"/>
      <c r="M6702" s="121"/>
      <c r="N6702" s="504" t="s">
        <v>2356</v>
      </c>
      <c r="O6702" s="528" t="s">
        <v>2357</v>
      </c>
      <c r="P6702" s="257"/>
      <c r="Q6702" s="321"/>
      <c r="R6702" s="260"/>
      <c r="S6702" s="260"/>
      <c r="T6702" s="260"/>
      <c r="U6702" s="260"/>
      <c r="V6702" s="260"/>
      <c r="W6702" s="261"/>
      <c r="X6702" s="260"/>
      <c r="Y6702" s="260"/>
      <c r="Z6702" s="261"/>
      <c r="AA6702"/>
      <c r="AB6702"/>
      <c r="AC6702"/>
      <c r="AD6702"/>
      <c r="AE6702"/>
      <c r="AF6702"/>
      <c r="AG6702"/>
      <c r="AH6702"/>
      <c r="AI6702"/>
      <c r="AJ6702"/>
      <c r="AK6702"/>
      <c r="AL6702"/>
      <c r="AM6702"/>
    </row>
    <row r="6703" spans="1:39" s="47" customFormat="1">
      <c r="A6703" s="121"/>
      <c r="B6703" s="121"/>
      <c r="C6703" s="121"/>
      <c r="D6703" s="121"/>
      <c r="E6703" s="121"/>
      <c r="F6703" s="121"/>
      <c r="G6703" s="121"/>
      <c r="H6703" s="121"/>
      <c r="I6703" s="121"/>
      <c r="J6703" s="121"/>
      <c r="K6703" s="121"/>
      <c r="L6703" s="121"/>
      <c r="M6703" s="121"/>
      <c r="N6703" s="504" t="s">
        <v>2358</v>
      </c>
      <c r="O6703" s="536" t="s">
        <v>2359</v>
      </c>
      <c r="P6703" s="257"/>
      <c r="Q6703" s="321"/>
      <c r="R6703" s="260"/>
      <c r="S6703" s="260"/>
      <c r="T6703" s="260"/>
      <c r="U6703" s="260"/>
      <c r="V6703" s="260"/>
      <c r="W6703" s="257">
        <f>SUM(W6704:W6708)</f>
        <v>0</v>
      </c>
      <c r="X6703" s="260"/>
      <c r="Y6703" s="260"/>
      <c r="Z6703" s="257">
        <f>SUM(Z6704:Z6708)</f>
        <v>0</v>
      </c>
      <c r="AA6703"/>
      <c r="AB6703"/>
      <c r="AC6703"/>
      <c r="AD6703"/>
      <c r="AE6703"/>
      <c r="AF6703"/>
      <c r="AG6703"/>
      <c r="AH6703"/>
      <c r="AI6703"/>
      <c r="AJ6703"/>
      <c r="AK6703"/>
      <c r="AL6703"/>
      <c r="AM6703"/>
    </row>
    <row r="6704" spans="1:39" s="47" customFormat="1">
      <c r="A6704" s="121"/>
      <c r="B6704" s="121"/>
      <c r="C6704" s="121"/>
      <c r="D6704" s="121"/>
      <c r="E6704" s="121"/>
      <c r="F6704" s="121"/>
      <c r="G6704" s="121"/>
      <c r="H6704" s="121"/>
      <c r="I6704" s="121"/>
      <c r="J6704" s="121"/>
      <c r="K6704" s="121"/>
      <c r="L6704" s="121"/>
      <c r="M6704" s="121"/>
      <c r="N6704" s="504" t="s">
        <v>2360</v>
      </c>
      <c r="O6704" s="537" t="s">
        <v>2444</v>
      </c>
      <c r="P6704" s="257"/>
      <c r="Q6704" s="321"/>
      <c r="R6704" s="260"/>
      <c r="S6704" s="260"/>
      <c r="T6704" s="260"/>
      <c r="U6704" s="260"/>
      <c r="V6704" s="260"/>
      <c r="W6704" s="261"/>
      <c r="X6704" s="260"/>
      <c r="Y6704" s="260"/>
      <c r="Z6704" s="261"/>
      <c r="AA6704"/>
      <c r="AB6704"/>
      <c r="AC6704"/>
      <c r="AD6704"/>
      <c r="AE6704"/>
      <c r="AF6704"/>
      <c r="AG6704"/>
      <c r="AH6704"/>
      <c r="AI6704"/>
      <c r="AJ6704"/>
      <c r="AK6704"/>
      <c r="AL6704"/>
      <c r="AM6704"/>
    </row>
    <row r="6705" spans="1:39" s="47" customFormat="1">
      <c r="A6705" s="121"/>
      <c r="B6705" s="121"/>
      <c r="C6705" s="121"/>
      <c r="D6705" s="121"/>
      <c r="E6705" s="121"/>
      <c r="F6705" s="121"/>
      <c r="G6705" s="121"/>
      <c r="H6705" s="121"/>
      <c r="I6705" s="121"/>
      <c r="J6705" s="121"/>
      <c r="K6705" s="121"/>
      <c r="L6705" s="121"/>
      <c r="M6705" s="121"/>
      <c r="N6705" s="504" t="s">
        <v>2361</v>
      </c>
      <c r="O6705" s="537" t="s">
        <v>2362</v>
      </c>
      <c r="P6705" s="257"/>
      <c r="Q6705" s="321"/>
      <c r="R6705" s="260"/>
      <c r="S6705" s="260"/>
      <c r="T6705" s="260"/>
      <c r="U6705" s="260"/>
      <c r="V6705" s="260"/>
      <c r="W6705" s="261"/>
      <c r="X6705" s="260"/>
      <c r="Y6705" s="260"/>
      <c r="Z6705" s="261"/>
      <c r="AA6705"/>
      <c r="AB6705"/>
      <c r="AC6705"/>
      <c r="AD6705"/>
      <c r="AE6705"/>
      <c r="AF6705"/>
      <c r="AG6705"/>
      <c r="AH6705"/>
      <c r="AI6705"/>
      <c r="AJ6705"/>
      <c r="AK6705"/>
      <c r="AL6705"/>
      <c r="AM6705"/>
    </row>
    <row r="6706" spans="1:39" s="47" customFormat="1">
      <c r="A6706" s="121"/>
      <c r="B6706" s="121"/>
      <c r="C6706" s="121"/>
      <c r="D6706" s="121"/>
      <c r="E6706" s="121"/>
      <c r="F6706" s="121"/>
      <c r="G6706" s="121"/>
      <c r="H6706" s="121"/>
      <c r="I6706" s="121"/>
      <c r="J6706" s="121"/>
      <c r="K6706" s="121"/>
      <c r="L6706" s="121"/>
      <c r="M6706" s="121"/>
      <c r="N6706" s="504" t="s">
        <v>2363</v>
      </c>
      <c r="O6706" s="528" t="s">
        <v>872</v>
      </c>
      <c r="P6706" s="257"/>
      <c r="Q6706" s="321"/>
      <c r="R6706" s="260"/>
      <c r="S6706" s="260"/>
      <c r="T6706" s="260"/>
      <c r="U6706" s="260"/>
      <c r="V6706" s="260"/>
      <c r="W6706" s="261"/>
      <c r="X6706" s="260"/>
      <c r="Y6706" s="260"/>
      <c r="Z6706" s="261"/>
      <c r="AA6706"/>
      <c r="AB6706"/>
      <c r="AC6706"/>
      <c r="AD6706"/>
      <c r="AE6706"/>
      <c r="AF6706"/>
      <c r="AG6706"/>
      <c r="AH6706"/>
      <c r="AI6706"/>
      <c r="AJ6706"/>
      <c r="AK6706"/>
      <c r="AL6706"/>
      <c r="AM6706"/>
    </row>
    <row r="6707" spans="1:39" s="47" customFormat="1" ht="22.5">
      <c r="A6707" s="121"/>
      <c r="B6707" s="121"/>
      <c r="C6707" s="121"/>
      <c r="D6707" s="121"/>
      <c r="E6707" s="121"/>
      <c r="F6707" s="121"/>
      <c r="G6707" s="121"/>
      <c r="H6707" s="121"/>
      <c r="I6707" s="121"/>
      <c r="J6707" s="121"/>
      <c r="K6707" s="121"/>
      <c r="L6707" s="121"/>
      <c r="M6707" s="121"/>
      <c r="N6707" s="504" t="s">
        <v>2364</v>
      </c>
      <c r="O6707" s="528" t="s">
        <v>2365</v>
      </c>
      <c r="P6707" s="257"/>
      <c r="Q6707" s="321"/>
      <c r="R6707" s="260"/>
      <c r="S6707" s="260"/>
      <c r="T6707" s="260"/>
      <c r="U6707" s="260"/>
      <c r="V6707" s="260"/>
      <c r="W6707" s="261"/>
      <c r="X6707" s="260"/>
      <c r="Y6707" s="260"/>
      <c r="Z6707" s="261"/>
      <c r="AA6707"/>
      <c r="AB6707"/>
      <c r="AC6707"/>
      <c r="AD6707"/>
      <c r="AE6707"/>
      <c r="AF6707"/>
      <c r="AG6707"/>
      <c r="AH6707"/>
      <c r="AI6707"/>
      <c r="AJ6707"/>
      <c r="AK6707"/>
      <c r="AL6707"/>
      <c r="AM6707"/>
    </row>
    <row r="6708" spans="1:39" s="47" customFormat="1">
      <c r="A6708" s="121"/>
      <c r="B6708" s="121"/>
      <c r="C6708" s="121"/>
      <c r="D6708" s="121"/>
      <c r="E6708" s="121"/>
      <c r="F6708" s="121"/>
      <c r="G6708" s="121"/>
      <c r="H6708" s="121"/>
      <c r="I6708" s="121"/>
      <c r="J6708" s="121"/>
      <c r="K6708" s="121"/>
      <c r="L6708" s="121"/>
      <c r="M6708" s="121"/>
      <c r="N6708" s="504" t="s">
        <v>2366</v>
      </c>
      <c r="O6708" s="528" t="s">
        <v>2367</v>
      </c>
      <c r="P6708" s="257"/>
      <c r="Q6708" s="321"/>
      <c r="R6708" s="260"/>
      <c r="S6708" s="260"/>
      <c r="T6708" s="260"/>
      <c r="U6708" s="260"/>
      <c r="V6708" s="260"/>
      <c r="W6708" s="261"/>
      <c r="X6708" s="260"/>
      <c r="Y6708" s="260"/>
      <c r="Z6708" s="261"/>
      <c r="AA6708"/>
      <c r="AB6708"/>
      <c r="AC6708"/>
      <c r="AD6708"/>
      <c r="AE6708"/>
      <c r="AF6708"/>
      <c r="AG6708"/>
      <c r="AH6708"/>
      <c r="AI6708"/>
      <c r="AJ6708"/>
      <c r="AK6708"/>
      <c r="AL6708"/>
      <c r="AM6708"/>
    </row>
    <row r="6709" spans="1:39" s="47" customFormat="1">
      <c r="A6709" s="121"/>
      <c r="B6709" s="121"/>
      <c r="C6709" s="121"/>
      <c r="D6709" s="121"/>
      <c r="E6709" s="121"/>
      <c r="F6709" s="121"/>
      <c r="G6709" s="121"/>
      <c r="H6709" s="121"/>
      <c r="I6709" s="121"/>
      <c r="J6709" s="121"/>
      <c r="K6709" s="121"/>
      <c r="L6709" s="121"/>
      <c r="M6709" s="121"/>
      <c r="N6709" s="260"/>
      <c r="O6709" s="260"/>
      <c r="P6709" s="260"/>
      <c r="Q6709" s="321"/>
      <c r="R6709" s="260"/>
      <c r="S6709" s="260"/>
      <c r="T6709" s="260"/>
      <c r="U6709" s="260"/>
      <c r="V6709" s="260"/>
      <c r="W6709" s="260"/>
      <c r="X6709" s="260"/>
      <c r="Y6709" s="260"/>
      <c r="Z6709" s="260"/>
      <c r="AA6709"/>
      <c r="AB6709"/>
      <c r="AC6709"/>
      <c r="AD6709"/>
      <c r="AE6709"/>
      <c r="AF6709"/>
      <c r="AG6709"/>
      <c r="AH6709"/>
      <c r="AI6709"/>
      <c r="AJ6709"/>
      <c r="AK6709"/>
      <c r="AL6709"/>
      <c r="AM6709"/>
    </row>
    <row r="6710" spans="1:39" s="47" customFormat="1">
      <c r="A6710" s="121"/>
      <c r="B6710" s="121"/>
      <c r="C6710" s="121"/>
      <c r="D6710" s="121"/>
      <c r="E6710" s="121"/>
      <c r="F6710" s="121"/>
      <c r="G6710" s="121"/>
      <c r="H6710" s="121"/>
      <c r="I6710" s="121"/>
      <c r="J6710" s="121"/>
      <c r="K6710" s="121"/>
      <c r="L6710" s="121"/>
      <c r="M6710" s="121"/>
      <c r="N6710" s="260"/>
      <c r="O6710" s="260"/>
      <c r="P6710" s="260"/>
      <c r="Q6710" s="321"/>
      <c r="R6710" s="260"/>
      <c r="S6710" s="260"/>
      <c r="T6710" s="260"/>
      <c r="U6710" s="260"/>
      <c r="V6710" s="260"/>
      <c r="W6710" s="260"/>
      <c r="X6710" s="260"/>
      <c r="Y6710" s="260"/>
      <c r="Z6710" s="260"/>
      <c r="AA6710"/>
      <c r="AB6710"/>
      <c r="AC6710"/>
      <c r="AD6710"/>
      <c r="AE6710"/>
      <c r="AF6710"/>
      <c r="AG6710"/>
      <c r="AH6710"/>
      <c r="AI6710"/>
      <c r="AJ6710"/>
      <c r="AK6710"/>
      <c r="AL6710"/>
      <c r="AM6710"/>
    </row>
    <row r="6711" spans="1:39" s="47" customFormat="1">
      <c r="A6711" s="121"/>
      <c r="B6711" s="121"/>
      <c r="C6711" s="121"/>
      <c r="D6711" s="121"/>
      <c r="E6711" s="121"/>
      <c r="F6711" s="121"/>
      <c r="G6711" s="121"/>
      <c r="H6711" s="121"/>
      <c r="I6711" s="121"/>
      <c r="J6711" s="121"/>
      <c r="K6711" s="121"/>
      <c r="L6711" s="121"/>
      <c r="M6711" s="121"/>
      <c r="N6711" s="260"/>
      <c r="O6711" s="260"/>
      <c r="P6711" s="260"/>
      <c r="Q6711" s="321"/>
      <c r="R6711" s="260"/>
      <c r="S6711" s="260"/>
      <c r="T6711" s="260"/>
      <c r="U6711" s="260"/>
      <c r="V6711" s="260"/>
      <c r="W6711" s="260"/>
      <c r="X6711" s="260"/>
      <c r="Y6711" s="260"/>
      <c r="Z6711" s="260"/>
      <c r="AA6711"/>
      <c r="AB6711"/>
      <c r="AC6711"/>
      <c r="AD6711"/>
      <c r="AE6711"/>
      <c r="AF6711"/>
      <c r="AG6711"/>
      <c r="AH6711"/>
      <c r="AI6711"/>
      <c r="AJ6711"/>
      <c r="AK6711"/>
      <c r="AL6711"/>
      <c r="AM6711"/>
    </row>
    <row r="6712" spans="1:39" s="47" customFormat="1">
      <c r="A6712" s="121"/>
      <c r="B6712" s="121"/>
      <c r="C6712" s="121"/>
      <c r="D6712" s="121"/>
      <c r="E6712" s="121"/>
      <c r="F6712" s="121"/>
      <c r="G6712" s="121"/>
      <c r="H6712" s="121"/>
      <c r="I6712" s="121"/>
      <c r="J6712" s="121"/>
      <c r="K6712" s="121"/>
      <c r="L6712" s="121"/>
      <c r="M6712" s="121"/>
      <c r="N6712" s="260"/>
      <c r="O6712" s="260"/>
      <c r="P6712" s="260"/>
      <c r="Q6712" s="321"/>
      <c r="R6712" s="260"/>
      <c r="S6712" s="260"/>
      <c r="T6712" s="260"/>
      <c r="U6712" s="260"/>
      <c r="V6712" s="260"/>
      <c r="W6712" s="260"/>
      <c r="X6712" s="260"/>
      <c r="Y6712" s="260"/>
      <c r="Z6712" s="260"/>
      <c r="AA6712"/>
      <c r="AB6712"/>
      <c r="AC6712"/>
      <c r="AD6712"/>
      <c r="AE6712"/>
      <c r="AF6712"/>
      <c r="AG6712"/>
      <c r="AH6712"/>
      <c r="AI6712"/>
      <c r="AJ6712"/>
      <c r="AK6712"/>
      <c r="AL6712"/>
      <c r="AM6712"/>
    </row>
    <row r="6713" spans="1:39" s="47" customFormat="1">
      <c r="A6713" s="121"/>
      <c r="B6713" s="121"/>
      <c r="C6713" s="121"/>
      <c r="D6713" s="121"/>
      <c r="E6713" s="121"/>
      <c r="F6713" s="121"/>
      <c r="G6713" s="121"/>
      <c r="H6713" s="121"/>
      <c r="I6713" s="121"/>
      <c r="J6713" s="121"/>
      <c r="K6713" s="121"/>
      <c r="L6713" s="121"/>
      <c r="M6713" s="121"/>
      <c r="N6713" s="260"/>
      <c r="O6713" s="260"/>
      <c r="P6713" s="260"/>
      <c r="Q6713" s="321"/>
      <c r="R6713" s="260"/>
      <c r="S6713" s="260"/>
      <c r="T6713" s="260"/>
      <c r="U6713" s="260"/>
      <c r="V6713" s="260"/>
      <c r="W6713" s="260"/>
      <c r="X6713" s="260"/>
      <c r="Y6713" s="260"/>
      <c r="Z6713" s="260"/>
      <c r="AA6713"/>
      <c r="AB6713"/>
      <c r="AC6713"/>
      <c r="AD6713"/>
      <c r="AE6713"/>
      <c r="AF6713"/>
      <c r="AG6713"/>
      <c r="AH6713"/>
      <c r="AI6713"/>
      <c r="AJ6713"/>
      <c r="AK6713"/>
      <c r="AL6713"/>
      <c r="AM6713"/>
    </row>
    <row r="6714" spans="1:39" s="47" customFormat="1">
      <c r="A6714" s="121"/>
      <c r="B6714" s="121"/>
      <c r="C6714" s="121"/>
      <c r="D6714" s="121"/>
      <c r="E6714" s="121"/>
      <c r="F6714" s="121"/>
      <c r="G6714" s="121"/>
      <c r="H6714" s="121"/>
      <c r="I6714" s="121"/>
      <c r="J6714" s="121"/>
      <c r="K6714" s="121"/>
      <c r="L6714" s="121"/>
      <c r="M6714" s="121"/>
      <c r="N6714" s="260"/>
      <c r="O6714" s="260"/>
      <c r="P6714" s="260"/>
      <c r="Q6714" s="321"/>
      <c r="R6714" s="260"/>
      <c r="S6714" s="260"/>
      <c r="T6714" s="260"/>
      <c r="U6714" s="260"/>
      <c r="V6714" s="260"/>
      <c r="W6714" s="260"/>
      <c r="X6714" s="260"/>
      <c r="Y6714" s="260"/>
      <c r="Z6714" s="260"/>
      <c r="AA6714"/>
      <c r="AB6714"/>
      <c r="AC6714"/>
      <c r="AD6714"/>
      <c r="AE6714"/>
      <c r="AF6714"/>
      <c r="AG6714"/>
      <c r="AH6714"/>
      <c r="AI6714"/>
      <c r="AJ6714"/>
      <c r="AK6714"/>
      <c r="AL6714"/>
      <c r="AM6714"/>
    </row>
    <row r="6715" spans="1:39" s="47" customFormat="1">
      <c r="A6715" s="121"/>
      <c r="B6715" s="121"/>
      <c r="C6715" s="121"/>
      <c r="D6715" s="121"/>
      <c r="E6715" s="121"/>
      <c r="F6715" s="121"/>
      <c r="G6715" s="121"/>
      <c r="H6715" s="121"/>
      <c r="I6715" s="121"/>
      <c r="J6715" s="121"/>
      <c r="K6715" s="121"/>
      <c r="L6715" s="121"/>
      <c r="M6715" s="121"/>
      <c r="N6715" s="260"/>
      <c r="O6715" s="260"/>
      <c r="P6715" s="260"/>
      <c r="Q6715" s="321"/>
      <c r="R6715" s="260"/>
      <c r="S6715" s="260"/>
      <c r="T6715" s="260"/>
      <c r="U6715" s="260"/>
      <c r="V6715" s="260"/>
      <c r="W6715" s="260"/>
      <c r="X6715" s="260"/>
      <c r="Y6715" s="260"/>
      <c r="Z6715" s="260"/>
      <c r="AA6715"/>
      <c r="AB6715"/>
      <c r="AC6715"/>
      <c r="AD6715"/>
      <c r="AE6715"/>
      <c r="AF6715"/>
      <c r="AG6715"/>
      <c r="AH6715"/>
      <c r="AI6715"/>
      <c r="AJ6715"/>
      <c r="AK6715"/>
      <c r="AL6715"/>
      <c r="AM6715"/>
    </row>
    <row r="6716" spans="1:39" s="47" customFormat="1">
      <c r="A6716" s="121"/>
      <c r="B6716" s="121"/>
      <c r="C6716" s="121"/>
      <c r="D6716" s="121"/>
      <c r="E6716" s="121"/>
      <c r="F6716" s="121"/>
      <c r="G6716" s="121"/>
      <c r="H6716" s="121"/>
      <c r="I6716" s="121"/>
      <c r="J6716" s="121"/>
      <c r="K6716" s="121"/>
      <c r="L6716" s="121"/>
      <c r="M6716" s="121"/>
      <c r="N6716" s="260"/>
      <c r="O6716" s="260"/>
      <c r="P6716" s="260"/>
      <c r="Q6716" s="321"/>
      <c r="R6716" s="260"/>
      <c r="S6716" s="260"/>
      <c r="T6716" s="260"/>
      <c r="U6716" s="260"/>
      <c r="V6716" s="260"/>
      <c r="W6716" s="260"/>
      <c r="X6716" s="260"/>
      <c r="Y6716" s="260"/>
      <c r="Z6716" s="260"/>
      <c r="AA6716"/>
      <c r="AB6716"/>
      <c r="AC6716"/>
      <c r="AD6716"/>
      <c r="AE6716"/>
      <c r="AF6716"/>
      <c r="AG6716"/>
      <c r="AH6716"/>
      <c r="AI6716"/>
      <c r="AJ6716"/>
      <c r="AK6716"/>
      <c r="AL6716"/>
      <c r="AM6716"/>
    </row>
    <row r="6717" spans="1:39" s="47" customFormat="1">
      <c r="A6717" s="121"/>
      <c r="B6717" s="121"/>
      <c r="C6717" s="121"/>
      <c r="D6717" s="121"/>
      <c r="E6717" s="121"/>
      <c r="F6717" s="121"/>
      <c r="G6717" s="121"/>
      <c r="H6717" s="121"/>
      <c r="I6717" s="121"/>
      <c r="J6717" s="121"/>
      <c r="K6717" s="121"/>
      <c r="L6717" s="121"/>
      <c r="M6717" s="121"/>
      <c r="N6717" s="260"/>
      <c r="O6717" s="260"/>
      <c r="P6717" s="260"/>
      <c r="Q6717" s="321"/>
      <c r="R6717" s="260"/>
      <c r="S6717" s="260"/>
      <c r="T6717" s="260"/>
      <c r="U6717" s="260"/>
      <c r="V6717" s="260"/>
      <c r="W6717" s="260"/>
      <c r="X6717" s="260"/>
      <c r="Y6717" s="260"/>
      <c r="Z6717" s="260"/>
      <c r="AA6717"/>
      <c r="AB6717"/>
      <c r="AC6717"/>
      <c r="AD6717"/>
      <c r="AE6717"/>
      <c r="AF6717"/>
      <c r="AG6717"/>
      <c r="AH6717"/>
      <c r="AI6717"/>
      <c r="AJ6717"/>
      <c r="AK6717"/>
      <c r="AL6717"/>
      <c r="AM6717"/>
    </row>
    <row r="6718" spans="1:39" s="47" customFormat="1">
      <c r="A6718" s="121"/>
      <c r="B6718" s="121"/>
      <c r="C6718" s="121"/>
      <c r="D6718" s="121"/>
      <c r="E6718" s="121"/>
      <c r="F6718" s="121"/>
      <c r="G6718" s="121"/>
      <c r="H6718" s="121"/>
      <c r="I6718" s="121"/>
      <c r="J6718" s="121"/>
      <c r="K6718" s="121"/>
      <c r="L6718" s="121"/>
      <c r="M6718" s="121"/>
      <c r="N6718" s="260"/>
      <c r="O6718" s="260"/>
      <c r="P6718" s="260"/>
      <c r="Q6718" s="321"/>
      <c r="R6718" s="260"/>
      <c r="S6718" s="260"/>
      <c r="T6718" s="260"/>
      <c r="U6718" s="260"/>
      <c r="V6718" s="260"/>
      <c r="W6718" s="260"/>
      <c r="X6718" s="260"/>
      <c r="Y6718" s="260"/>
      <c r="Z6718" s="260"/>
      <c r="AA6718"/>
      <c r="AB6718"/>
      <c r="AC6718"/>
      <c r="AD6718"/>
      <c r="AE6718"/>
      <c r="AF6718"/>
      <c r="AG6718"/>
      <c r="AH6718"/>
      <c r="AI6718"/>
      <c r="AJ6718"/>
      <c r="AK6718"/>
      <c r="AL6718"/>
      <c r="AM6718"/>
    </row>
    <row r="6719" spans="1:39" s="47" customFormat="1">
      <c r="A6719" s="121"/>
      <c r="B6719" s="121"/>
      <c r="C6719" s="121"/>
      <c r="D6719" s="121"/>
      <c r="E6719" s="121"/>
      <c r="F6719" s="121"/>
      <c r="G6719" s="121"/>
      <c r="H6719" s="121"/>
      <c r="I6719" s="121"/>
      <c r="J6719" s="121"/>
      <c r="K6719" s="121"/>
      <c r="L6719" s="121"/>
      <c r="M6719" s="121"/>
      <c r="N6719" s="260"/>
      <c r="O6719" s="260"/>
      <c r="P6719" s="260"/>
      <c r="Q6719" s="321"/>
      <c r="R6719" s="260"/>
      <c r="S6719" s="260"/>
      <c r="T6719" s="260"/>
      <c r="U6719" s="260"/>
      <c r="V6719" s="260"/>
      <c r="W6719" s="260"/>
      <c r="X6719" s="260"/>
      <c r="Y6719" s="260"/>
      <c r="Z6719" s="260"/>
      <c r="AA6719"/>
      <c r="AB6719"/>
      <c r="AC6719"/>
      <c r="AD6719"/>
      <c r="AE6719"/>
      <c r="AF6719"/>
      <c r="AG6719"/>
      <c r="AH6719"/>
      <c r="AI6719"/>
      <c r="AJ6719"/>
      <c r="AK6719"/>
      <c r="AL6719"/>
      <c r="AM6719"/>
    </row>
    <row r="6720" spans="1:39" s="47" customFormat="1">
      <c r="A6720" s="121"/>
      <c r="B6720" s="121"/>
      <c r="C6720" s="121"/>
      <c r="D6720" s="121"/>
      <c r="E6720" s="121"/>
      <c r="F6720" s="121"/>
      <c r="G6720" s="121"/>
      <c r="H6720" s="121"/>
      <c r="I6720" s="121"/>
      <c r="J6720" s="121"/>
      <c r="K6720" s="121"/>
      <c r="L6720" s="121"/>
      <c r="M6720" s="121"/>
      <c r="N6720" s="260"/>
      <c r="O6720" s="260"/>
      <c r="P6720" s="260"/>
      <c r="Q6720" s="321"/>
      <c r="R6720" s="260"/>
      <c r="S6720" s="260"/>
      <c r="T6720" s="260"/>
      <c r="U6720" s="260"/>
      <c r="V6720" s="260"/>
      <c r="W6720" s="260"/>
      <c r="X6720" s="260"/>
      <c r="Y6720" s="260"/>
      <c r="Z6720" s="260"/>
      <c r="AA6720"/>
      <c r="AB6720"/>
      <c r="AC6720"/>
      <c r="AD6720"/>
      <c r="AE6720"/>
      <c r="AF6720"/>
      <c r="AG6720"/>
      <c r="AH6720"/>
      <c r="AI6720"/>
      <c r="AJ6720"/>
      <c r="AK6720"/>
      <c r="AL6720"/>
      <c r="AM6720"/>
    </row>
    <row r="6721" spans="1:39" s="47" customFormat="1">
      <c r="A6721" s="121"/>
      <c r="B6721" s="121"/>
      <c r="C6721" s="121"/>
      <c r="D6721" s="121"/>
      <c r="E6721" s="121"/>
      <c r="F6721" s="121"/>
      <c r="G6721" s="121"/>
      <c r="H6721" s="121"/>
      <c r="I6721" s="121"/>
      <c r="J6721" s="121"/>
      <c r="K6721" s="121"/>
      <c r="L6721" s="121"/>
      <c r="M6721" s="121"/>
      <c r="N6721" s="260"/>
      <c r="O6721" s="260"/>
      <c r="P6721" s="260"/>
      <c r="Q6721" s="321"/>
      <c r="R6721" s="260"/>
      <c r="S6721" s="260"/>
      <c r="T6721" s="260"/>
      <c r="U6721" s="260"/>
      <c r="V6721" s="260"/>
      <c r="W6721" s="260"/>
      <c r="X6721" s="260"/>
      <c r="Y6721" s="260"/>
      <c r="Z6721" s="260"/>
      <c r="AA6721"/>
      <c r="AB6721"/>
      <c r="AC6721"/>
      <c r="AD6721"/>
      <c r="AE6721"/>
      <c r="AF6721"/>
      <c r="AG6721"/>
      <c r="AH6721"/>
      <c r="AI6721"/>
      <c r="AJ6721"/>
      <c r="AK6721"/>
      <c r="AL6721"/>
      <c r="AM6721"/>
    </row>
    <row r="6722" spans="1:39" s="47" customFormat="1">
      <c r="A6722" s="121"/>
      <c r="B6722" s="121"/>
      <c r="C6722" s="121"/>
      <c r="D6722" s="121"/>
      <c r="E6722" s="121"/>
      <c r="F6722" s="121"/>
      <c r="G6722" s="121"/>
      <c r="H6722" s="121"/>
      <c r="I6722" s="121"/>
      <c r="J6722" s="121"/>
      <c r="K6722" s="121"/>
      <c r="L6722" s="121"/>
      <c r="M6722" s="121"/>
      <c r="N6722" s="260"/>
      <c r="O6722" s="260"/>
      <c r="P6722" s="260"/>
      <c r="Q6722" s="321"/>
      <c r="R6722" s="260"/>
      <c r="S6722" s="260"/>
      <c r="T6722" s="260"/>
      <c r="U6722" s="260"/>
      <c r="V6722" s="260"/>
      <c r="W6722" s="260"/>
      <c r="X6722" s="260"/>
      <c r="Y6722" s="260"/>
      <c r="Z6722" s="260"/>
      <c r="AA6722"/>
      <c r="AB6722"/>
      <c r="AC6722"/>
      <c r="AD6722"/>
      <c r="AE6722"/>
      <c r="AF6722"/>
      <c r="AG6722"/>
      <c r="AH6722"/>
      <c r="AI6722"/>
      <c r="AJ6722"/>
      <c r="AK6722"/>
      <c r="AL6722"/>
      <c r="AM6722"/>
    </row>
    <row r="6723" spans="1:39" s="47" customFormat="1">
      <c r="A6723" s="121"/>
      <c r="B6723" s="121"/>
      <c r="C6723" s="121"/>
      <c r="D6723" s="121"/>
      <c r="E6723" s="121"/>
      <c r="F6723" s="121"/>
      <c r="G6723" s="121"/>
      <c r="H6723" s="121"/>
      <c r="I6723" s="121"/>
      <c r="J6723" s="121"/>
      <c r="K6723" s="121"/>
      <c r="L6723" s="121"/>
      <c r="M6723" s="121"/>
      <c r="N6723" s="260"/>
      <c r="O6723" s="260"/>
      <c r="P6723" s="260"/>
      <c r="Q6723" s="321"/>
      <c r="R6723" s="260"/>
      <c r="S6723" s="260"/>
      <c r="T6723" s="260"/>
      <c r="U6723" s="260"/>
      <c r="V6723" s="260"/>
      <c r="W6723" s="260"/>
      <c r="X6723" s="260"/>
      <c r="Y6723" s="260"/>
      <c r="Z6723" s="260"/>
      <c r="AA6723"/>
      <c r="AB6723"/>
      <c r="AC6723"/>
      <c r="AD6723"/>
      <c r="AE6723"/>
      <c r="AF6723"/>
      <c r="AG6723"/>
      <c r="AH6723"/>
      <c r="AI6723"/>
      <c r="AJ6723"/>
      <c r="AK6723"/>
      <c r="AL6723"/>
      <c r="AM6723"/>
    </row>
    <row r="6724" spans="1:39" s="47" customFormat="1">
      <c r="A6724" s="121"/>
      <c r="B6724" s="121"/>
      <c r="C6724" s="121"/>
      <c r="D6724" s="121"/>
      <c r="E6724" s="121"/>
      <c r="F6724" s="121"/>
      <c r="G6724" s="121"/>
      <c r="H6724" s="121"/>
      <c r="I6724" s="121"/>
      <c r="J6724" s="121"/>
      <c r="K6724" s="121"/>
      <c r="L6724" s="121"/>
      <c r="M6724" s="121"/>
      <c r="N6724" s="260"/>
      <c r="O6724" s="260"/>
      <c r="P6724" s="260"/>
      <c r="Q6724" s="321"/>
      <c r="R6724" s="260"/>
      <c r="S6724" s="260"/>
      <c r="T6724" s="260"/>
      <c r="U6724" s="260"/>
      <c r="V6724" s="260"/>
      <c r="W6724" s="260"/>
      <c r="X6724" s="260"/>
      <c r="Y6724" s="260"/>
      <c r="Z6724" s="260"/>
      <c r="AA6724"/>
      <c r="AB6724"/>
      <c r="AC6724"/>
      <c r="AD6724"/>
      <c r="AE6724"/>
      <c r="AF6724"/>
      <c r="AG6724"/>
      <c r="AH6724"/>
      <c r="AI6724"/>
      <c r="AJ6724"/>
      <c r="AK6724"/>
      <c r="AL6724"/>
      <c r="AM6724"/>
    </row>
    <row r="6725" spans="1:39" s="47" customFormat="1">
      <c r="A6725" s="121"/>
      <c r="B6725" s="121"/>
      <c r="C6725" s="121"/>
      <c r="D6725" s="121"/>
      <c r="E6725" s="121"/>
      <c r="F6725" s="121"/>
      <c r="G6725" s="121"/>
      <c r="H6725" s="121"/>
      <c r="I6725" s="121"/>
      <c r="J6725" s="121"/>
      <c r="K6725" s="121"/>
      <c r="L6725" s="121"/>
      <c r="M6725" s="121"/>
      <c r="N6725" s="260"/>
      <c r="O6725" s="260"/>
      <c r="P6725" s="260"/>
      <c r="Q6725" s="321"/>
      <c r="R6725" s="260"/>
      <c r="S6725" s="260"/>
      <c r="T6725" s="260"/>
      <c r="U6725" s="260"/>
      <c r="V6725" s="260"/>
      <c r="W6725" s="260"/>
      <c r="X6725" s="260"/>
      <c r="Y6725" s="260"/>
      <c r="Z6725" s="260"/>
      <c r="AA6725"/>
      <c r="AB6725"/>
      <c r="AC6725"/>
      <c r="AD6725"/>
      <c r="AE6725"/>
      <c r="AF6725"/>
      <c r="AG6725"/>
      <c r="AH6725"/>
      <c r="AI6725"/>
      <c r="AJ6725"/>
      <c r="AK6725"/>
      <c r="AL6725"/>
      <c r="AM6725"/>
    </row>
    <row r="6726" spans="1:39" s="47" customFormat="1">
      <c r="A6726" s="121"/>
      <c r="B6726" s="121"/>
      <c r="C6726" s="121"/>
      <c r="D6726" s="121"/>
      <c r="E6726" s="121"/>
      <c r="F6726" s="121"/>
      <c r="G6726" s="121"/>
      <c r="H6726" s="121"/>
      <c r="I6726" s="121"/>
      <c r="J6726" s="121"/>
      <c r="K6726" s="121"/>
      <c r="L6726" s="121"/>
      <c r="M6726" s="121"/>
      <c r="N6726" s="260"/>
      <c r="O6726" s="260"/>
      <c r="P6726" s="260"/>
      <c r="Q6726" s="321"/>
      <c r="R6726" s="260"/>
      <c r="S6726" s="260"/>
      <c r="T6726" s="260"/>
      <c r="U6726" s="260"/>
      <c r="V6726" s="260"/>
      <c r="W6726" s="260"/>
      <c r="X6726" s="260"/>
      <c r="Y6726" s="260"/>
      <c r="Z6726" s="260"/>
      <c r="AA6726"/>
      <c r="AB6726"/>
      <c r="AC6726"/>
      <c r="AD6726"/>
      <c r="AE6726"/>
      <c r="AF6726"/>
      <c r="AG6726"/>
      <c r="AH6726"/>
      <c r="AI6726"/>
      <c r="AJ6726"/>
      <c r="AK6726"/>
      <c r="AL6726"/>
      <c r="AM6726"/>
    </row>
    <row r="6727" spans="1:39" s="47" customFormat="1">
      <c r="A6727" s="121"/>
      <c r="B6727" s="121"/>
      <c r="C6727" s="121"/>
      <c r="D6727" s="121"/>
      <c r="E6727" s="121"/>
      <c r="F6727" s="121"/>
      <c r="G6727" s="121"/>
      <c r="H6727" s="121"/>
      <c r="I6727" s="121"/>
      <c r="J6727" s="121"/>
      <c r="K6727" s="121"/>
      <c r="L6727" s="121"/>
      <c r="M6727" s="121"/>
      <c r="N6727" s="260"/>
      <c r="O6727" s="260"/>
      <c r="P6727" s="260"/>
      <c r="Q6727" s="321"/>
      <c r="R6727" s="260"/>
      <c r="S6727" s="260"/>
      <c r="T6727" s="260"/>
      <c r="U6727" s="260"/>
      <c r="V6727" s="260"/>
      <c r="W6727" s="260"/>
      <c r="X6727" s="260"/>
      <c r="Y6727" s="260"/>
      <c r="Z6727" s="260"/>
      <c r="AA6727"/>
      <c r="AB6727"/>
      <c r="AC6727"/>
      <c r="AD6727"/>
      <c r="AE6727"/>
      <c r="AF6727"/>
      <c r="AG6727"/>
      <c r="AH6727"/>
      <c r="AI6727"/>
      <c r="AJ6727"/>
      <c r="AK6727"/>
      <c r="AL6727"/>
      <c r="AM6727"/>
    </row>
    <row r="6728" spans="1:39" s="47" customFormat="1">
      <c r="A6728" s="121"/>
      <c r="B6728" s="121"/>
      <c r="C6728" s="121"/>
      <c r="D6728" s="121"/>
      <c r="E6728" s="121"/>
      <c r="F6728" s="121"/>
      <c r="G6728" s="121"/>
      <c r="H6728" s="121"/>
      <c r="I6728" s="121"/>
      <c r="J6728" s="121"/>
      <c r="K6728" s="121"/>
      <c r="L6728" s="121"/>
      <c r="M6728" s="121"/>
      <c r="N6728" s="260"/>
      <c r="O6728" s="260"/>
      <c r="P6728" s="260"/>
      <c r="Q6728" s="321"/>
      <c r="R6728" s="260"/>
      <c r="S6728" s="260"/>
      <c r="T6728" s="260"/>
      <c r="U6728" s="260"/>
      <c r="V6728" s="260"/>
      <c r="W6728" s="260"/>
      <c r="X6728" s="260"/>
      <c r="Y6728" s="260"/>
      <c r="Z6728" s="260"/>
      <c r="AA6728"/>
      <c r="AB6728"/>
      <c r="AC6728"/>
      <c r="AD6728"/>
      <c r="AE6728"/>
      <c r="AF6728"/>
      <c r="AG6728"/>
      <c r="AH6728"/>
      <c r="AI6728"/>
      <c r="AJ6728"/>
      <c r="AK6728"/>
      <c r="AL6728"/>
      <c r="AM6728"/>
    </row>
    <row r="6729" spans="1:39" s="47" customFormat="1">
      <c r="A6729" s="121"/>
      <c r="B6729" s="121"/>
      <c r="C6729" s="121"/>
      <c r="D6729" s="121"/>
      <c r="E6729" s="121"/>
      <c r="F6729" s="121"/>
      <c r="G6729" s="121"/>
      <c r="H6729" s="121"/>
      <c r="I6729" s="121"/>
      <c r="J6729" s="121"/>
      <c r="K6729" s="121"/>
      <c r="L6729" s="121"/>
      <c r="M6729" s="121"/>
      <c r="N6729" s="260"/>
      <c r="O6729" s="260"/>
      <c r="P6729" s="260"/>
      <c r="Q6729" s="321"/>
      <c r="R6729" s="260"/>
      <c r="S6729" s="260"/>
      <c r="T6729" s="260"/>
      <c r="U6729" s="260"/>
      <c r="V6729" s="260"/>
      <c r="W6729" s="260"/>
      <c r="X6729" s="260"/>
      <c r="Y6729" s="260"/>
      <c r="Z6729" s="260"/>
      <c r="AA6729"/>
      <c r="AB6729"/>
      <c r="AC6729"/>
      <c r="AD6729"/>
      <c r="AE6729"/>
      <c r="AF6729"/>
      <c r="AG6729"/>
      <c r="AH6729"/>
      <c r="AI6729"/>
      <c r="AJ6729"/>
      <c r="AK6729"/>
      <c r="AL6729"/>
      <c r="AM6729"/>
    </row>
    <row r="6730" spans="1:39" s="47" customFormat="1">
      <c r="A6730" s="121"/>
      <c r="B6730" s="121"/>
      <c r="C6730" s="121"/>
      <c r="D6730" s="121"/>
      <c r="E6730" s="121"/>
      <c r="F6730" s="121"/>
      <c r="G6730" s="121"/>
      <c r="H6730" s="121"/>
      <c r="I6730" s="121"/>
      <c r="J6730" s="121"/>
      <c r="K6730" s="121"/>
      <c r="L6730" s="121"/>
      <c r="M6730" s="121"/>
      <c r="N6730" s="260"/>
      <c r="O6730" s="260"/>
      <c r="P6730" s="260"/>
      <c r="Q6730" s="321"/>
      <c r="R6730" s="260"/>
      <c r="S6730" s="260"/>
      <c r="T6730" s="260"/>
      <c r="U6730" s="260"/>
      <c r="V6730" s="260"/>
      <c r="W6730" s="260"/>
      <c r="X6730" s="260"/>
      <c r="Y6730" s="260"/>
      <c r="Z6730" s="260"/>
      <c r="AA6730"/>
      <c r="AB6730"/>
      <c r="AC6730"/>
      <c r="AD6730"/>
      <c r="AE6730"/>
      <c r="AF6730"/>
      <c r="AG6730"/>
      <c r="AH6730"/>
      <c r="AI6730"/>
      <c r="AJ6730"/>
      <c r="AK6730"/>
      <c r="AL6730"/>
      <c r="AM6730"/>
    </row>
    <row r="6731" spans="1:39" s="47" customFormat="1">
      <c r="A6731" s="121"/>
      <c r="B6731" s="121"/>
      <c r="C6731" s="121"/>
      <c r="D6731" s="121"/>
      <c r="E6731" s="121"/>
      <c r="F6731" s="121"/>
      <c r="G6731" s="121"/>
      <c r="H6731" s="121"/>
      <c r="I6731" s="121"/>
      <c r="J6731" s="121"/>
      <c r="K6731" s="121"/>
      <c r="L6731" s="121"/>
      <c r="M6731" s="121"/>
      <c r="N6731" s="260"/>
      <c r="O6731" s="260"/>
      <c r="P6731" s="260"/>
      <c r="Q6731" s="321"/>
      <c r="R6731" s="260"/>
      <c r="S6731" s="260"/>
      <c r="T6731" s="260"/>
      <c r="U6731" s="260"/>
      <c r="V6731" s="260"/>
      <c r="W6731" s="260"/>
      <c r="X6731" s="260"/>
      <c r="Y6731" s="260"/>
      <c r="Z6731" s="260"/>
      <c r="AA6731"/>
      <c r="AB6731"/>
      <c r="AC6731"/>
      <c r="AD6731"/>
      <c r="AE6731"/>
      <c r="AF6731"/>
      <c r="AG6731"/>
      <c r="AH6731"/>
      <c r="AI6731"/>
      <c r="AJ6731"/>
      <c r="AK6731"/>
      <c r="AL6731"/>
      <c r="AM6731"/>
    </row>
    <row r="6732" spans="1:39" s="47" customFormat="1">
      <c r="A6732" s="121"/>
      <c r="B6732" s="121"/>
      <c r="C6732" s="121"/>
      <c r="D6732" s="121"/>
      <c r="E6732" s="121"/>
      <c r="F6732" s="121"/>
      <c r="G6732" s="121"/>
      <c r="H6732" s="121"/>
      <c r="I6732" s="121"/>
      <c r="J6732" s="121"/>
      <c r="K6732" s="121"/>
      <c r="L6732" s="121"/>
      <c r="M6732" s="121"/>
      <c r="N6732" s="260"/>
      <c r="O6732" s="260"/>
      <c r="P6732" s="260"/>
      <c r="Q6732" s="321"/>
      <c r="R6732" s="260"/>
      <c r="S6732" s="260"/>
      <c r="T6732" s="260"/>
      <c r="U6732" s="260"/>
      <c r="V6732" s="260"/>
      <c r="W6732" s="260"/>
      <c r="X6732" s="260"/>
      <c r="Y6732" s="260"/>
      <c r="Z6732" s="260"/>
      <c r="AA6732"/>
      <c r="AB6732"/>
      <c r="AC6732"/>
      <c r="AD6732"/>
      <c r="AE6732"/>
      <c r="AF6732"/>
      <c r="AG6732"/>
      <c r="AH6732"/>
      <c r="AI6732"/>
      <c r="AJ6732"/>
      <c r="AK6732"/>
      <c r="AL6732"/>
      <c r="AM6732"/>
    </row>
    <row r="6733" spans="1:39" s="47" customFormat="1">
      <c r="A6733" s="121"/>
      <c r="B6733" s="121"/>
      <c r="C6733" s="121"/>
      <c r="D6733" s="121"/>
      <c r="E6733" s="121"/>
      <c r="F6733" s="121"/>
      <c r="G6733" s="121"/>
      <c r="H6733" s="121"/>
      <c r="I6733" s="121"/>
      <c r="J6733" s="121"/>
      <c r="K6733" s="121"/>
      <c r="L6733" s="121"/>
      <c r="M6733" s="121"/>
      <c r="N6733" s="260"/>
      <c r="O6733" s="260"/>
      <c r="P6733" s="260"/>
      <c r="Q6733" s="321"/>
      <c r="R6733" s="260"/>
      <c r="S6733" s="260"/>
      <c r="T6733" s="260"/>
      <c r="U6733" s="260"/>
      <c r="V6733" s="260"/>
      <c r="W6733" s="260"/>
      <c r="X6733" s="260"/>
      <c r="Y6733" s="260"/>
      <c r="Z6733" s="260"/>
      <c r="AA6733"/>
      <c r="AB6733"/>
      <c r="AC6733"/>
      <c r="AD6733"/>
      <c r="AE6733"/>
      <c r="AF6733"/>
      <c r="AG6733"/>
      <c r="AH6733"/>
      <c r="AI6733"/>
      <c r="AJ6733"/>
      <c r="AK6733"/>
      <c r="AL6733"/>
      <c r="AM6733"/>
    </row>
    <row r="6734" spans="1:39" s="47" customFormat="1">
      <c r="A6734" s="121"/>
      <c r="B6734" s="121"/>
      <c r="C6734" s="121"/>
      <c r="D6734" s="121"/>
      <c r="E6734" s="121"/>
      <c r="F6734" s="121"/>
      <c r="G6734" s="121"/>
      <c r="H6734" s="121"/>
      <c r="I6734" s="121"/>
      <c r="J6734" s="121"/>
      <c r="K6734" s="121"/>
      <c r="L6734" s="121"/>
      <c r="M6734" s="121"/>
      <c r="N6734" s="260"/>
      <c r="O6734" s="260"/>
      <c r="P6734" s="260"/>
      <c r="Q6734" s="321"/>
      <c r="R6734" s="260"/>
      <c r="S6734" s="260"/>
      <c r="T6734" s="260"/>
      <c r="U6734" s="260"/>
      <c r="V6734" s="260"/>
      <c r="W6734" s="260"/>
      <c r="X6734" s="260"/>
      <c r="Y6734" s="260"/>
      <c r="Z6734" s="260"/>
      <c r="AA6734"/>
      <c r="AB6734"/>
      <c r="AC6734"/>
      <c r="AD6734"/>
      <c r="AE6734"/>
      <c r="AF6734"/>
      <c r="AG6734"/>
      <c r="AH6734"/>
      <c r="AI6734"/>
      <c r="AJ6734"/>
      <c r="AK6734"/>
      <c r="AL6734"/>
      <c r="AM6734"/>
    </row>
    <row r="6735" spans="1:39" s="47" customFormat="1" ht="57" customHeight="1">
      <c r="A6735" s="121"/>
      <c r="B6735" s="121"/>
      <c r="C6735" s="121"/>
      <c r="D6735" s="121"/>
      <c r="E6735" s="121"/>
      <c r="F6735" s="121"/>
      <c r="G6735" s="121"/>
      <c r="H6735" s="121"/>
      <c r="I6735" s="121"/>
      <c r="J6735" s="121"/>
      <c r="K6735" s="121"/>
      <c r="L6735" s="121"/>
      <c r="M6735" s="121"/>
      <c r="N6735" s="260"/>
      <c r="O6735" s="260"/>
      <c r="P6735" s="260"/>
      <c r="Q6735" s="321"/>
      <c r="R6735" s="260"/>
      <c r="S6735" s="260"/>
      <c r="T6735" s="260"/>
      <c r="U6735" s="260"/>
      <c r="V6735" s="260"/>
      <c r="W6735" s="260"/>
      <c r="X6735" s="260"/>
      <c r="Y6735" s="260"/>
      <c r="Z6735" s="260"/>
      <c r="AA6735"/>
      <c r="AB6735"/>
      <c r="AC6735"/>
      <c r="AD6735"/>
      <c r="AE6735"/>
      <c r="AF6735"/>
      <c r="AG6735"/>
      <c r="AH6735"/>
      <c r="AI6735"/>
      <c r="AJ6735"/>
      <c r="AK6735"/>
      <c r="AL6735"/>
      <c r="AM6735"/>
    </row>
    <row r="6736" spans="1:39" s="47" customFormat="1" ht="57" customHeight="1">
      <c r="A6736" s="121"/>
      <c r="B6736" s="121"/>
      <c r="C6736" s="121"/>
      <c r="D6736" s="121"/>
      <c r="E6736" s="121"/>
      <c r="F6736" s="121"/>
      <c r="G6736" s="121"/>
      <c r="H6736" s="121"/>
      <c r="I6736" s="121"/>
      <c r="J6736" s="121"/>
      <c r="K6736" s="121"/>
      <c r="L6736" s="121"/>
      <c r="M6736" s="121"/>
      <c r="N6736" s="260"/>
      <c r="O6736" s="260"/>
      <c r="P6736" s="260"/>
      <c r="Q6736" s="321"/>
      <c r="R6736" s="260"/>
      <c r="S6736" s="260"/>
      <c r="T6736" s="260"/>
      <c r="U6736" s="260"/>
      <c r="V6736" s="260"/>
      <c r="W6736" s="260"/>
      <c r="X6736" s="260"/>
      <c r="Y6736" s="260"/>
      <c r="Z6736" s="260"/>
      <c r="AA6736"/>
      <c r="AB6736"/>
      <c r="AC6736"/>
      <c r="AD6736"/>
      <c r="AE6736"/>
      <c r="AF6736"/>
      <c r="AG6736"/>
      <c r="AH6736"/>
      <c r="AI6736"/>
      <c r="AJ6736"/>
      <c r="AK6736"/>
      <c r="AL6736"/>
      <c r="AM6736"/>
    </row>
    <row r="6737" spans="1:39" s="47" customFormat="1">
      <c r="A6737" s="121"/>
      <c r="B6737" s="121"/>
      <c r="C6737" s="121"/>
      <c r="D6737" s="121"/>
      <c r="E6737" s="121"/>
      <c r="F6737" s="121"/>
      <c r="G6737" s="121"/>
      <c r="H6737" s="121"/>
      <c r="I6737" s="121"/>
      <c r="J6737" s="121"/>
      <c r="K6737" s="121"/>
      <c r="L6737" s="121"/>
      <c r="M6737" s="121"/>
      <c r="N6737" s="260"/>
      <c r="O6737" s="260"/>
      <c r="P6737" s="260"/>
      <c r="Q6737" s="321"/>
      <c r="R6737" s="260"/>
      <c r="S6737" s="260"/>
      <c r="T6737" s="260"/>
      <c r="U6737" s="260"/>
      <c r="V6737" s="260"/>
      <c r="W6737" s="260"/>
      <c r="X6737" s="260"/>
      <c r="Y6737" s="260"/>
      <c r="Z6737" s="260"/>
      <c r="AA6737"/>
      <c r="AB6737"/>
      <c r="AC6737"/>
      <c r="AD6737"/>
      <c r="AE6737"/>
      <c r="AF6737"/>
      <c r="AG6737"/>
      <c r="AH6737"/>
      <c r="AI6737"/>
      <c r="AJ6737"/>
      <c r="AK6737"/>
      <c r="AL6737"/>
      <c r="AM6737"/>
    </row>
    <row r="6738" spans="1:39" s="47" customFormat="1" ht="57" customHeight="1">
      <c r="A6738" s="121"/>
      <c r="B6738" s="121"/>
      <c r="C6738" s="121"/>
      <c r="D6738" s="121"/>
      <c r="E6738" s="121"/>
      <c r="F6738" s="121"/>
      <c r="G6738" s="121"/>
      <c r="H6738" s="121"/>
      <c r="I6738" s="121"/>
      <c r="J6738" s="121"/>
      <c r="K6738" s="121"/>
      <c r="L6738" s="121"/>
      <c r="M6738" s="121"/>
      <c r="N6738" s="260"/>
      <c r="O6738" s="260"/>
      <c r="P6738" s="260"/>
      <c r="Q6738" s="321"/>
      <c r="R6738" s="260"/>
      <c r="S6738" s="260"/>
      <c r="T6738" s="260"/>
      <c r="U6738" s="260"/>
      <c r="V6738" s="260"/>
      <c r="W6738" s="260"/>
      <c r="X6738" s="260"/>
      <c r="Y6738" s="260"/>
      <c r="Z6738" s="260"/>
      <c r="AA6738"/>
      <c r="AB6738"/>
      <c r="AC6738"/>
      <c r="AD6738"/>
      <c r="AE6738"/>
      <c r="AF6738"/>
      <c r="AG6738"/>
      <c r="AH6738"/>
      <c r="AI6738"/>
      <c r="AJ6738"/>
      <c r="AK6738"/>
      <c r="AL6738"/>
      <c r="AM6738"/>
    </row>
    <row r="6739" spans="1:39" s="121" customFormat="1">
      <c r="N6739" s="260"/>
      <c r="O6739" s="260"/>
      <c r="P6739" s="260"/>
      <c r="Q6739" s="321"/>
      <c r="R6739" s="260"/>
      <c r="S6739" s="260"/>
      <c r="T6739" s="260"/>
      <c r="U6739" s="260"/>
      <c r="V6739" s="260"/>
      <c r="W6739" s="260"/>
      <c r="X6739" s="260"/>
      <c r="Y6739" s="260"/>
      <c r="Z6739" s="260"/>
      <c r="AA6739"/>
      <c r="AB6739"/>
      <c r="AC6739"/>
      <c r="AD6739"/>
      <c r="AE6739"/>
      <c r="AF6739"/>
      <c r="AG6739"/>
      <c r="AH6739"/>
      <c r="AI6739"/>
      <c r="AJ6739"/>
      <c r="AK6739"/>
      <c r="AL6739"/>
      <c r="AM6739"/>
    </row>
    <row r="6740" spans="1:39" s="121" customFormat="1">
      <c r="N6740" s="260"/>
      <c r="O6740" s="260"/>
      <c r="P6740" s="260"/>
      <c r="Q6740" s="321"/>
      <c r="R6740" s="260"/>
      <c r="S6740" s="260"/>
      <c r="T6740" s="260"/>
      <c r="U6740" s="260"/>
      <c r="V6740" s="260"/>
      <c r="W6740" s="260"/>
      <c r="X6740" s="260"/>
      <c r="Y6740" s="260"/>
      <c r="Z6740" s="260"/>
      <c r="AA6740"/>
      <c r="AB6740"/>
      <c r="AC6740"/>
      <c r="AD6740"/>
      <c r="AE6740"/>
      <c r="AF6740"/>
      <c r="AG6740"/>
      <c r="AH6740"/>
      <c r="AI6740"/>
      <c r="AJ6740"/>
      <c r="AK6740"/>
      <c r="AL6740"/>
      <c r="AM6740"/>
    </row>
    <row r="6741" spans="1:39" s="121" customFormat="1" ht="11.25" customHeight="1">
      <c r="N6741" s="260"/>
      <c r="O6741" s="260"/>
      <c r="P6741" s="260"/>
      <c r="Q6741" s="321"/>
      <c r="R6741" s="260"/>
      <c r="S6741" s="260"/>
      <c r="T6741" s="260"/>
      <c r="U6741" s="260"/>
      <c r="V6741" s="260"/>
      <c r="W6741" s="260"/>
      <c r="X6741" s="260"/>
      <c r="Y6741" s="260"/>
      <c r="Z6741" s="260"/>
      <c r="AA6741"/>
      <c r="AB6741"/>
      <c r="AC6741"/>
      <c r="AD6741"/>
      <c r="AE6741"/>
      <c r="AF6741"/>
      <c r="AG6741"/>
      <c r="AH6741"/>
      <c r="AI6741"/>
      <c r="AJ6741"/>
      <c r="AK6741"/>
      <c r="AL6741"/>
      <c r="AM6741"/>
    </row>
    <row r="6742" spans="1:39" s="121" customFormat="1">
      <c r="N6742" s="260"/>
      <c r="O6742" s="260"/>
      <c r="P6742" s="260"/>
      <c r="Q6742" s="321"/>
      <c r="R6742" s="260"/>
      <c r="S6742" s="260"/>
      <c r="T6742" s="260"/>
      <c r="U6742" s="260"/>
      <c r="V6742" s="260"/>
      <c r="W6742" s="260"/>
      <c r="X6742" s="260"/>
      <c r="Y6742" s="260"/>
      <c r="Z6742" s="260"/>
      <c r="AA6742"/>
      <c r="AB6742"/>
      <c r="AC6742"/>
      <c r="AD6742"/>
      <c r="AE6742"/>
      <c r="AF6742"/>
      <c r="AG6742"/>
      <c r="AH6742"/>
      <c r="AI6742"/>
      <c r="AJ6742"/>
      <c r="AK6742"/>
      <c r="AL6742"/>
      <c r="AM6742"/>
    </row>
    <row r="6743" spans="1:39" s="47" customFormat="1">
      <c r="A6743" s="121"/>
      <c r="B6743" s="121"/>
      <c r="C6743" s="121"/>
      <c r="D6743" s="121"/>
      <c r="E6743" s="121"/>
      <c r="F6743" s="121"/>
      <c r="G6743" s="121"/>
      <c r="H6743" s="121"/>
      <c r="I6743" s="121"/>
      <c r="J6743" s="121"/>
      <c r="K6743" s="121"/>
      <c r="L6743" s="121"/>
      <c r="M6743" s="121"/>
      <c r="N6743" s="260"/>
      <c r="O6743" s="260"/>
      <c r="P6743" s="260"/>
      <c r="Q6743" s="321"/>
      <c r="R6743" s="260"/>
      <c r="S6743" s="260"/>
      <c r="T6743" s="260"/>
      <c r="U6743" s="260"/>
      <c r="V6743" s="260"/>
      <c r="W6743" s="260"/>
      <c r="X6743" s="260"/>
      <c r="Y6743" s="260"/>
      <c r="Z6743" s="260"/>
      <c r="AA6743"/>
      <c r="AB6743"/>
      <c r="AC6743"/>
      <c r="AD6743"/>
      <c r="AE6743"/>
      <c r="AF6743"/>
      <c r="AG6743"/>
      <c r="AH6743"/>
      <c r="AI6743"/>
      <c r="AJ6743"/>
      <c r="AK6743"/>
      <c r="AL6743"/>
      <c r="AM6743"/>
    </row>
    <row r="6744" spans="1:39" s="47" customFormat="1">
      <c r="A6744" s="121"/>
      <c r="B6744" s="121"/>
      <c r="C6744" s="121"/>
      <c r="D6744" s="121"/>
      <c r="E6744" s="121"/>
      <c r="F6744" s="121"/>
      <c r="G6744" s="121"/>
      <c r="H6744" s="121"/>
      <c r="I6744" s="121"/>
      <c r="J6744" s="121"/>
      <c r="K6744" s="121"/>
      <c r="L6744" s="121"/>
      <c r="M6744" s="121"/>
      <c r="N6744" s="260"/>
      <c r="O6744" s="260"/>
      <c r="P6744" s="260"/>
      <c r="Q6744" s="321"/>
      <c r="R6744" s="260"/>
      <c r="S6744" s="260"/>
      <c r="T6744" s="260"/>
      <c r="U6744" s="260"/>
      <c r="V6744" s="260"/>
      <c r="W6744" s="260"/>
      <c r="X6744" s="260"/>
      <c r="Y6744" s="260"/>
      <c r="Z6744" s="260"/>
      <c r="AA6744"/>
      <c r="AB6744"/>
      <c r="AC6744"/>
      <c r="AD6744"/>
      <c r="AE6744"/>
      <c r="AF6744"/>
      <c r="AG6744"/>
      <c r="AH6744"/>
      <c r="AI6744"/>
      <c r="AJ6744"/>
      <c r="AK6744"/>
      <c r="AL6744"/>
      <c r="AM6744"/>
    </row>
    <row r="6745" spans="1:39" s="121" customFormat="1">
      <c r="N6745" s="260"/>
      <c r="O6745" s="260"/>
      <c r="P6745" s="260"/>
      <c r="Q6745" s="321"/>
      <c r="R6745" s="260"/>
      <c r="S6745" s="260"/>
      <c r="T6745" s="260"/>
      <c r="U6745" s="260"/>
      <c r="V6745" s="260"/>
      <c r="W6745" s="260"/>
      <c r="X6745" s="260"/>
      <c r="Y6745" s="260"/>
      <c r="Z6745" s="260"/>
      <c r="AA6745"/>
      <c r="AB6745"/>
      <c r="AC6745"/>
      <c r="AD6745"/>
      <c r="AE6745"/>
      <c r="AF6745"/>
      <c r="AG6745"/>
      <c r="AH6745"/>
      <c r="AI6745"/>
      <c r="AJ6745"/>
      <c r="AK6745"/>
      <c r="AL6745"/>
      <c r="AM6745"/>
    </row>
    <row r="6746" spans="1:39" s="121" customFormat="1">
      <c r="N6746" s="260"/>
      <c r="O6746" s="260"/>
      <c r="P6746" s="260"/>
      <c r="Q6746" s="321"/>
      <c r="R6746" s="260"/>
      <c r="S6746" s="260"/>
      <c r="T6746" s="260"/>
      <c r="U6746" s="260"/>
      <c r="V6746" s="260"/>
      <c r="W6746" s="260"/>
      <c r="X6746" s="260"/>
      <c r="Y6746" s="260"/>
      <c r="Z6746" s="260"/>
      <c r="AA6746"/>
      <c r="AB6746"/>
      <c r="AC6746"/>
      <c r="AD6746"/>
      <c r="AE6746"/>
      <c r="AF6746"/>
      <c r="AG6746"/>
      <c r="AH6746"/>
      <c r="AI6746"/>
      <c r="AJ6746"/>
      <c r="AK6746"/>
      <c r="AL6746"/>
      <c r="AM6746"/>
    </row>
    <row r="6747" spans="1:39" s="121" customFormat="1">
      <c r="N6747" s="260"/>
      <c r="O6747" s="260"/>
      <c r="P6747" s="260"/>
      <c r="Q6747" s="321"/>
      <c r="R6747" s="260"/>
      <c r="S6747" s="260"/>
      <c r="T6747" s="260"/>
      <c r="U6747" s="260"/>
      <c r="V6747" s="260"/>
      <c r="W6747" s="260"/>
      <c r="X6747" s="260"/>
      <c r="Y6747" s="260"/>
      <c r="Z6747" s="260"/>
      <c r="AA6747"/>
      <c r="AB6747"/>
      <c r="AC6747"/>
      <c r="AD6747"/>
      <c r="AE6747"/>
      <c r="AF6747"/>
      <c r="AG6747"/>
      <c r="AH6747"/>
      <c r="AI6747"/>
      <c r="AJ6747"/>
      <c r="AK6747"/>
      <c r="AL6747"/>
      <c r="AM6747"/>
    </row>
    <row r="6748" spans="1:39" s="121" customFormat="1">
      <c r="N6748" s="260"/>
      <c r="O6748" s="260"/>
      <c r="P6748" s="260"/>
      <c r="Q6748" s="321"/>
      <c r="R6748" s="260"/>
      <c r="S6748" s="260"/>
      <c r="T6748" s="260"/>
      <c r="U6748" s="260"/>
      <c r="V6748" s="260"/>
      <c r="W6748" s="260"/>
      <c r="X6748" s="260"/>
      <c r="Y6748" s="260"/>
      <c r="Z6748" s="260"/>
      <c r="AA6748"/>
      <c r="AB6748"/>
      <c r="AC6748"/>
      <c r="AD6748"/>
      <c r="AE6748"/>
      <c r="AF6748"/>
      <c r="AG6748"/>
      <c r="AH6748"/>
      <c r="AI6748"/>
      <c r="AJ6748"/>
      <c r="AK6748"/>
      <c r="AL6748"/>
      <c r="AM6748"/>
    </row>
    <row r="6749" spans="1:39" s="121" customFormat="1">
      <c r="N6749" s="260"/>
      <c r="O6749" s="260"/>
      <c r="P6749" s="260"/>
      <c r="Q6749" s="321"/>
      <c r="R6749" s="260"/>
      <c r="S6749" s="260"/>
      <c r="T6749" s="260"/>
      <c r="U6749" s="260"/>
      <c r="V6749" s="260"/>
      <c r="W6749" s="260"/>
      <c r="X6749" s="260"/>
      <c r="Y6749" s="260"/>
      <c r="Z6749" s="260"/>
      <c r="AA6749"/>
      <c r="AB6749"/>
      <c r="AC6749"/>
      <c r="AD6749"/>
      <c r="AE6749"/>
      <c r="AF6749"/>
      <c r="AG6749"/>
      <c r="AH6749"/>
      <c r="AI6749"/>
      <c r="AJ6749"/>
      <c r="AK6749"/>
      <c r="AL6749"/>
      <c r="AM6749"/>
    </row>
    <row r="6750" spans="1:39" s="121" customFormat="1">
      <c r="N6750" s="260"/>
      <c r="O6750" s="260"/>
      <c r="P6750" s="260"/>
      <c r="Q6750" s="321"/>
      <c r="R6750" s="260"/>
      <c r="S6750" s="260"/>
      <c r="T6750" s="260"/>
      <c r="U6750" s="260"/>
      <c r="V6750" s="260"/>
      <c r="W6750" s="260"/>
      <c r="X6750" s="260"/>
      <c r="Y6750" s="260"/>
      <c r="Z6750" s="260"/>
      <c r="AA6750"/>
      <c r="AB6750"/>
      <c r="AC6750"/>
      <c r="AD6750"/>
      <c r="AE6750"/>
      <c r="AF6750"/>
      <c r="AG6750"/>
      <c r="AH6750"/>
      <c r="AI6750"/>
      <c r="AJ6750"/>
      <c r="AK6750"/>
      <c r="AL6750"/>
      <c r="AM6750"/>
    </row>
    <row r="6751" spans="1:39" s="47" customFormat="1">
      <c r="A6751" s="121"/>
      <c r="B6751" s="121"/>
      <c r="C6751" s="121"/>
      <c r="D6751" s="121"/>
      <c r="E6751" s="121"/>
      <c r="F6751" s="121"/>
      <c r="G6751" s="121"/>
      <c r="H6751" s="121"/>
      <c r="I6751" s="121"/>
      <c r="J6751" s="121"/>
      <c r="K6751" s="121"/>
      <c r="L6751" s="121"/>
      <c r="M6751" s="121"/>
      <c r="N6751" s="260"/>
      <c r="O6751" s="260"/>
      <c r="P6751" s="260"/>
      <c r="Q6751" s="321"/>
      <c r="R6751" s="260"/>
      <c r="S6751" s="260"/>
      <c r="T6751" s="260"/>
      <c r="U6751" s="260"/>
      <c r="V6751" s="260"/>
      <c r="W6751" s="260"/>
      <c r="X6751" s="260"/>
      <c r="Y6751" s="260"/>
      <c r="Z6751" s="260"/>
      <c r="AA6751"/>
      <c r="AB6751"/>
      <c r="AC6751"/>
      <c r="AD6751"/>
      <c r="AE6751"/>
      <c r="AF6751"/>
      <c r="AG6751"/>
      <c r="AH6751"/>
      <c r="AI6751"/>
      <c r="AJ6751"/>
      <c r="AK6751"/>
      <c r="AL6751"/>
      <c r="AM6751"/>
    </row>
    <row r="6752" spans="1:39" s="121" customFormat="1">
      <c r="N6752" s="260"/>
      <c r="O6752" s="260"/>
      <c r="P6752" s="260"/>
      <c r="Q6752" s="321"/>
      <c r="R6752" s="260"/>
      <c r="S6752" s="260"/>
      <c r="T6752" s="260"/>
      <c r="U6752" s="260"/>
      <c r="V6752" s="260"/>
      <c r="W6752" s="260"/>
      <c r="X6752" s="260"/>
      <c r="Y6752" s="260"/>
      <c r="Z6752" s="260"/>
      <c r="AA6752"/>
      <c r="AB6752"/>
      <c r="AC6752"/>
      <c r="AD6752"/>
      <c r="AE6752"/>
      <c r="AF6752"/>
      <c r="AG6752"/>
      <c r="AH6752"/>
      <c r="AI6752"/>
      <c r="AJ6752"/>
      <c r="AK6752"/>
      <c r="AL6752"/>
      <c r="AM6752"/>
    </row>
    <row r="6753" spans="1:39" s="121" customFormat="1">
      <c r="N6753" s="260"/>
      <c r="O6753" s="260"/>
      <c r="P6753" s="260"/>
      <c r="Q6753" s="321"/>
      <c r="R6753" s="260"/>
      <c r="S6753" s="260"/>
      <c r="T6753" s="260"/>
      <c r="U6753" s="260"/>
      <c r="V6753" s="260"/>
      <c r="W6753" s="260"/>
      <c r="X6753" s="260"/>
      <c r="Y6753" s="260"/>
      <c r="Z6753" s="260"/>
      <c r="AA6753"/>
      <c r="AB6753"/>
      <c r="AC6753"/>
      <c r="AD6753"/>
      <c r="AE6753"/>
      <c r="AF6753"/>
      <c r="AG6753"/>
      <c r="AH6753"/>
      <c r="AI6753"/>
      <c r="AJ6753"/>
      <c r="AK6753"/>
      <c r="AL6753"/>
      <c r="AM6753"/>
    </row>
    <row r="6754" spans="1:39" s="121" customFormat="1">
      <c r="N6754" s="222"/>
      <c r="O6754" s="502"/>
      <c r="P6754" s="323"/>
      <c r="Q6754" s="321"/>
      <c r="R6754" s="260"/>
      <c r="S6754" s="260"/>
      <c r="T6754" s="260"/>
      <c r="U6754" s="260"/>
      <c r="V6754" s="260"/>
      <c r="W6754" s="260"/>
      <c r="X6754" s="260"/>
      <c r="Y6754" s="260"/>
      <c r="Z6754" s="260"/>
      <c r="AA6754"/>
      <c r="AB6754"/>
      <c r="AC6754"/>
      <c r="AD6754"/>
      <c r="AE6754"/>
      <c r="AF6754"/>
      <c r="AG6754"/>
      <c r="AH6754"/>
      <c r="AI6754"/>
      <c r="AJ6754"/>
      <c r="AK6754"/>
      <c r="AL6754"/>
      <c r="AM6754"/>
    </row>
    <row r="6755" spans="1:39" s="121" customFormat="1">
      <c r="N6755" s="222"/>
      <c r="O6755" s="502"/>
      <c r="P6755" s="323"/>
      <c r="Q6755" s="321"/>
      <c r="R6755" s="260"/>
      <c r="S6755" s="260"/>
      <c r="T6755" s="260"/>
      <c r="U6755" s="260"/>
      <c r="V6755" s="260"/>
      <c r="W6755" s="260"/>
      <c r="X6755" s="260"/>
      <c r="Y6755" s="260"/>
      <c r="Z6755" s="260"/>
      <c r="AA6755"/>
      <c r="AB6755"/>
      <c r="AC6755"/>
      <c r="AD6755"/>
      <c r="AE6755"/>
      <c r="AF6755"/>
      <c r="AG6755"/>
      <c r="AH6755"/>
      <c r="AI6755"/>
      <c r="AJ6755"/>
      <c r="AK6755"/>
      <c r="AL6755"/>
      <c r="AM6755"/>
    </row>
    <row r="6756" spans="1:39" s="121" customFormat="1">
      <c r="N6756" s="222"/>
      <c r="O6756" s="502"/>
      <c r="P6756" s="323"/>
      <c r="Q6756" s="321"/>
      <c r="R6756" s="260"/>
      <c r="S6756" s="260"/>
      <c r="T6756" s="260"/>
      <c r="U6756" s="260"/>
      <c r="V6756" s="260"/>
      <c r="W6756" s="260"/>
      <c r="X6756" s="260"/>
      <c r="Y6756" s="260"/>
      <c r="Z6756" s="260"/>
      <c r="AA6756"/>
      <c r="AB6756"/>
      <c r="AC6756"/>
      <c r="AD6756"/>
      <c r="AE6756"/>
      <c r="AF6756"/>
      <c r="AG6756"/>
      <c r="AH6756"/>
      <c r="AI6756"/>
      <c r="AJ6756"/>
      <c r="AK6756"/>
      <c r="AL6756"/>
      <c r="AM6756"/>
    </row>
    <row r="6757" spans="1:39" s="47" customFormat="1">
      <c r="A6757" s="121"/>
      <c r="B6757" s="121"/>
      <c r="C6757" s="121"/>
      <c r="D6757" s="121"/>
      <c r="E6757" s="121"/>
      <c r="F6757" s="121"/>
      <c r="G6757" s="121"/>
      <c r="H6757" s="121"/>
      <c r="I6757" s="121"/>
      <c r="J6757" s="121"/>
      <c r="K6757" s="121"/>
      <c r="L6757" s="121"/>
      <c r="M6757" s="121"/>
      <c r="N6757" s="222"/>
      <c r="O6757" s="502"/>
      <c r="P6757" s="323"/>
      <c r="Q6757" s="321"/>
      <c r="R6757" s="260"/>
      <c r="S6757" s="260"/>
      <c r="T6757" s="260"/>
      <c r="U6757" s="260"/>
      <c r="V6757" s="260"/>
      <c r="W6757" s="260"/>
      <c r="X6757" s="260"/>
      <c r="Y6757" s="260"/>
      <c r="Z6757" s="260"/>
      <c r="AA6757"/>
      <c r="AB6757"/>
      <c r="AC6757"/>
      <c r="AD6757"/>
      <c r="AE6757"/>
      <c r="AF6757"/>
      <c r="AG6757"/>
      <c r="AH6757"/>
      <c r="AI6757"/>
      <c r="AJ6757"/>
      <c r="AK6757"/>
      <c r="AL6757"/>
      <c r="AM6757"/>
    </row>
    <row r="6758" spans="1:39" s="54" customFormat="1">
      <c r="A6758" s="121"/>
      <c r="B6758" s="121"/>
      <c r="C6758" s="121"/>
      <c r="D6758" s="121"/>
      <c r="E6758" s="121"/>
      <c r="F6758" s="121"/>
      <c r="G6758" s="121"/>
      <c r="H6758" s="121"/>
      <c r="I6758" s="121"/>
      <c r="J6758" s="121"/>
      <c r="K6758" s="121"/>
      <c r="L6758" s="121"/>
      <c r="M6758" s="121"/>
      <c r="N6758" s="223"/>
      <c r="O6758" s="216"/>
      <c r="P6758" s="543"/>
      <c r="Q6758" s="523"/>
      <c r="R6758" s="547"/>
      <c r="S6758" s="547"/>
      <c r="T6758" s="547"/>
      <c r="U6758" s="547"/>
      <c r="V6758" s="547"/>
      <c r="W6758" s="547"/>
      <c r="X6758" s="547"/>
      <c r="Y6758" s="547"/>
      <c r="Z6758" s="547"/>
      <c r="AA6758"/>
      <c r="AB6758"/>
      <c r="AC6758"/>
      <c r="AD6758"/>
      <c r="AE6758"/>
      <c r="AF6758"/>
      <c r="AG6758"/>
      <c r="AH6758"/>
      <c r="AI6758"/>
      <c r="AJ6758"/>
      <c r="AK6758"/>
      <c r="AL6758"/>
      <c r="AM6758"/>
    </row>
    <row r="6759" spans="1:39" s="54" customFormat="1">
      <c r="A6759" s="121"/>
      <c r="B6759" s="121"/>
      <c r="C6759" s="121"/>
      <c r="D6759" s="121"/>
      <c r="E6759" s="121"/>
      <c r="F6759" s="121"/>
      <c r="G6759" s="121"/>
      <c r="H6759" s="121"/>
      <c r="I6759" s="121"/>
      <c r="J6759" s="121"/>
      <c r="K6759" s="121"/>
      <c r="L6759" s="121"/>
      <c r="M6759" s="121"/>
      <c r="N6759" s="121"/>
      <c r="O6759" s="121"/>
      <c r="P6759" s="121"/>
      <c r="Q6759" s="121"/>
      <c r="R6759" s="121"/>
      <c r="S6759" s="121"/>
      <c r="T6759" s="121"/>
      <c r="U6759" s="121"/>
      <c r="V6759" s="121"/>
      <c r="W6759" s="121"/>
      <c r="X6759" s="121"/>
      <c r="Y6759" s="121"/>
      <c r="Z6759" s="121"/>
      <c r="AA6759"/>
      <c r="AB6759"/>
      <c r="AC6759"/>
      <c r="AD6759"/>
      <c r="AE6759"/>
      <c r="AF6759"/>
      <c r="AG6759"/>
      <c r="AH6759"/>
      <c r="AI6759"/>
      <c r="AJ6759"/>
      <c r="AK6759"/>
      <c r="AL6759"/>
      <c r="AM6759"/>
    </row>
    <row r="6760" spans="1:39" s="47" customFormat="1">
      <c r="A6760" s="121"/>
      <c r="B6760" s="121"/>
      <c r="C6760" s="121"/>
      <c r="D6760" s="121"/>
      <c r="E6760" s="121"/>
      <c r="F6760" s="121"/>
      <c r="G6760" s="121"/>
      <c r="H6760" s="121"/>
      <c r="I6760" s="121"/>
      <c r="J6760" s="121"/>
      <c r="K6760" s="121"/>
      <c r="L6760" s="121"/>
      <c r="M6760" s="121"/>
      <c r="N6760" s="49"/>
      <c r="R6760" s="60"/>
      <c r="S6760" s="60"/>
      <c r="T6760" s="60"/>
      <c r="U6760" s="795" t="s">
        <v>404</v>
      </c>
      <c r="V6760" s="795"/>
      <c r="W6760" s="795"/>
      <c r="X6760" s="795" t="s">
        <v>405</v>
      </c>
      <c r="Y6760" s="795"/>
      <c r="Z6760" s="795"/>
      <c r="AA6760"/>
      <c r="AB6760"/>
      <c r="AC6760"/>
      <c r="AD6760"/>
      <c r="AE6760"/>
      <c r="AF6760"/>
      <c r="AG6760"/>
      <c r="AH6760"/>
      <c r="AI6760"/>
      <c r="AJ6760"/>
      <c r="AK6760"/>
      <c r="AL6760"/>
      <c r="AM6760"/>
    </row>
    <row r="6761" spans="1:39">
      <c r="Q6761" s="47"/>
      <c r="R6761" s="47"/>
      <c r="S6761" s="47"/>
      <c r="T6761" s="47"/>
      <c r="U6761" s="47"/>
      <c r="V6761" s="47"/>
      <c r="W6761" s="47"/>
      <c r="X6761" s="47"/>
      <c r="Y6761" s="47"/>
      <c r="Z6761" s="47"/>
      <c r="AA6761"/>
      <c r="AB6761"/>
      <c r="AC6761"/>
      <c r="AD6761"/>
      <c r="AE6761"/>
      <c r="AF6761"/>
      <c r="AG6761"/>
      <c r="AH6761"/>
      <c r="AI6761"/>
      <c r="AJ6761"/>
      <c r="AK6761"/>
      <c r="AL6761"/>
      <c r="AM6761"/>
    </row>
    <row r="6762" spans="1:39">
      <c r="AA6762"/>
      <c r="AB6762"/>
      <c r="AC6762"/>
      <c r="AD6762"/>
      <c r="AE6762"/>
      <c r="AF6762"/>
      <c r="AG6762"/>
      <c r="AH6762"/>
      <c r="AI6762"/>
      <c r="AJ6762"/>
      <c r="AK6762"/>
      <c r="AL6762"/>
      <c r="AM6762"/>
    </row>
    <row r="6763" spans="1:39">
      <c r="AA6763"/>
      <c r="AB6763"/>
      <c r="AC6763"/>
      <c r="AD6763"/>
      <c r="AE6763"/>
      <c r="AF6763"/>
      <c r="AG6763"/>
      <c r="AH6763"/>
      <c r="AI6763"/>
      <c r="AJ6763"/>
      <c r="AK6763"/>
      <c r="AL6763"/>
      <c r="AM6763"/>
    </row>
    <row r="6764" spans="1:39">
      <c r="AA6764"/>
      <c r="AB6764"/>
      <c r="AC6764"/>
      <c r="AD6764"/>
      <c r="AE6764"/>
      <c r="AF6764"/>
      <c r="AG6764"/>
      <c r="AH6764"/>
      <c r="AI6764"/>
      <c r="AJ6764"/>
      <c r="AK6764"/>
      <c r="AL6764"/>
      <c r="AM6764"/>
    </row>
    <row r="6765" spans="1:39">
      <c r="AA6765"/>
      <c r="AB6765"/>
      <c r="AC6765"/>
      <c r="AD6765"/>
      <c r="AE6765"/>
      <c r="AF6765"/>
      <c r="AG6765"/>
      <c r="AH6765"/>
      <c r="AI6765"/>
      <c r="AJ6765"/>
      <c r="AK6765"/>
      <c r="AL6765"/>
      <c r="AM6765"/>
    </row>
    <row r="6766" spans="1:39">
      <c r="AA6766"/>
      <c r="AB6766"/>
      <c r="AC6766"/>
      <c r="AD6766"/>
      <c r="AE6766"/>
      <c r="AF6766"/>
      <c r="AG6766"/>
      <c r="AH6766"/>
      <c r="AI6766"/>
      <c r="AJ6766"/>
      <c r="AK6766"/>
      <c r="AL6766"/>
      <c r="AM6766"/>
    </row>
    <row r="6767" spans="1:39">
      <c r="AA6767"/>
      <c r="AB6767"/>
      <c r="AC6767"/>
      <c r="AD6767"/>
      <c r="AE6767"/>
      <c r="AF6767"/>
      <c r="AG6767"/>
      <c r="AH6767"/>
      <c r="AI6767"/>
      <c r="AJ6767"/>
      <c r="AK6767"/>
      <c r="AL6767"/>
      <c r="AM6767"/>
    </row>
    <row r="6768" spans="1:39">
      <c r="AA6768"/>
      <c r="AB6768"/>
      <c r="AC6768"/>
      <c r="AD6768"/>
      <c r="AE6768"/>
      <c r="AF6768"/>
      <c r="AG6768"/>
      <c r="AH6768"/>
      <c r="AI6768"/>
      <c r="AJ6768"/>
      <c r="AK6768"/>
      <c r="AL6768"/>
      <c r="AM6768"/>
    </row>
    <row r="6769" spans="1:40">
      <c r="AA6769"/>
      <c r="AB6769"/>
      <c r="AC6769"/>
      <c r="AD6769"/>
      <c r="AE6769"/>
      <c r="AF6769"/>
      <c r="AG6769"/>
      <c r="AH6769"/>
      <c r="AI6769"/>
      <c r="AJ6769"/>
      <c r="AK6769"/>
      <c r="AL6769"/>
      <c r="AM6769"/>
      <c r="AN6769"/>
    </row>
    <row r="6770" spans="1:40">
      <c r="R6770" s="795" t="s">
        <v>398</v>
      </c>
      <c r="S6770" s="795"/>
      <c r="T6770" s="795"/>
      <c r="U6770"/>
      <c r="V6770"/>
      <c r="W6770"/>
      <c r="X6770"/>
      <c r="Y6770"/>
      <c r="Z6770"/>
      <c r="AA6770"/>
      <c r="AB6770"/>
      <c r="AC6770"/>
      <c r="AD6770"/>
      <c r="AE6770"/>
      <c r="AF6770"/>
      <c r="AG6770"/>
      <c r="AH6770"/>
      <c r="AI6770"/>
      <c r="AJ6770"/>
      <c r="AK6770"/>
      <c r="AL6770"/>
      <c r="AM6770"/>
      <c r="AN6770"/>
    </row>
    <row r="6771" spans="1:40">
      <c r="Q6771" s="316"/>
      <c r="R6771" s="795" t="s">
        <v>399</v>
      </c>
      <c r="S6771" s="795"/>
      <c r="T6771" s="795"/>
      <c r="U6771" s="795" t="s">
        <v>406</v>
      </c>
      <c r="V6771" s="795"/>
      <c r="W6771" s="795"/>
      <c r="X6771" s="795" t="s">
        <v>407</v>
      </c>
      <c r="Y6771" s="795"/>
      <c r="Z6771" s="795"/>
      <c r="AA6771"/>
      <c r="AB6771"/>
      <c r="AC6771"/>
      <c r="AD6771"/>
      <c r="AE6771"/>
      <c r="AF6771"/>
      <c r="AG6771"/>
      <c r="AH6771"/>
      <c r="AI6771"/>
      <c r="AJ6771"/>
      <c r="AK6771"/>
      <c r="AL6771"/>
      <c r="AM6771"/>
      <c r="AN6771"/>
    </row>
    <row r="6772" spans="1:40" ht="11.25" customHeight="1">
      <c r="N6772" s="430" t="s">
        <v>1742</v>
      </c>
      <c r="O6772" s="315"/>
      <c r="P6772" s="309"/>
      <c r="Q6772" s="311"/>
      <c r="R6772" s="624"/>
      <c r="S6772" s="624"/>
      <c r="T6772" s="624"/>
      <c r="U6772" s="624"/>
      <c r="V6772" s="624"/>
      <c r="W6772" s="624"/>
      <c r="X6772" s="624"/>
      <c r="Y6772" s="624"/>
      <c r="Z6772" s="624"/>
      <c r="AA6772"/>
      <c r="AB6772"/>
      <c r="AC6772"/>
      <c r="AD6772"/>
      <c r="AE6772"/>
      <c r="AF6772"/>
      <c r="AG6772"/>
      <c r="AH6772"/>
      <c r="AI6772"/>
      <c r="AJ6772"/>
      <c r="AK6772"/>
      <c r="AL6772"/>
      <c r="AM6772"/>
      <c r="AN6772"/>
    </row>
    <row r="6773" spans="1:40" ht="11.25" customHeight="1">
      <c r="N6773" s="811"/>
      <c r="O6773" s="812"/>
      <c r="P6773" s="813"/>
      <c r="Q6773" s="317"/>
      <c r="R6773" s="625" t="str">
        <f>R6775 &amp; ".1"</f>
        <v>.1</v>
      </c>
      <c r="S6773" s="625" t="str">
        <f>R6775 &amp; ".2"</f>
        <v>.2</v>
      </c>
      <c r="T6773" s="625" t="str">
        <f>R6775 &amp; ".0"</f>
        <v>.0</v>
      </c>
      <c r="U6773" s="625" t="str">
        <f>U6775 &amp; ".1"</f>
        <v>.1</v>
      </c>
      <c r="V6773" s="625" t="str">
        <f>U6775 &amp; ".2"</f>
        <v>.2</v>
      </c>
      <c r="W6773" s="625" t="str">
        <f>U6775 &amp; ".0"</f>
        <v>.0</v>
      </c>
      <c r="X6773" s="625" t="str">
        <f>X6775 &amp; ".1"</f>
        <v>.1</v>
      </c>
      <c r="Y6773" s="625" t="str">
        <f>X6775 &amp; ".2"</f>
        <v>.2</v>
      </c>
      <c r="Z6773" s="625" t="str">
        <f>X6775 &amp; ".0"</f>
        <v>.0</v>
      </c>
      <c r="AA6773"/>
      <c r="AB6773"/>
      <c r="AC6773"/>
      <c r="AD6773"/>
      <c r="AE6773"/>
      <c r="AF6773"/>
      <c r="AG6773"/>
      <c r="AH6773"/>
      <c r="AI6773"/>
      <c r="AJ6773"/>
      <c r="AK6773"/>
      <c r="AL6773"/>
      <c r="AM6773"/>
      <c r="AN6773"/>
    </row>
    <row r="6774" spans="1:40" ht="11.25" customHeight="1">
      <c r="N6774" s="430" t="s">
        <v>1742</v>
      </c>
      <c r="O6774" s="221"/>
      <c r="P6774" s="122" t="s">
        <v>786</v>
      </c>
      <c r="Q6774" s="201"/>
      <c r="R6774" s="814" t="s">
        <v>719</v>
      </c>
      <c r="S6774" s="814"/>
      <c r="T6774" s="814"/>
      <c r="U6774" s="814" t="s">
        <v>719</v>
      </c>
      <c r="V6774" s="814"/>
      <c r="W6774" s="814"/>
      <c r="X6774" s="814" t="s">
        <v>719</v>
      </c>
      <c r="Y6774" s="814"/>
      <c r="Z6774" s="814"/>
      <c r="AA6774"/>
      <c r="AB6774"/>
      <c r="AC6774"/>
      <c r="AD6774"/>
      <c r="AE6774"/>
      <c r="AF6774"/>
      <c r="AG6774"/>
      <c r="AH6774"/>
      <c r="AI6774"/>
      <c r="AJ6774"/>
      <c r="AK6774"/>
      <c r="AL6774"/>
      <c r="AM6774"/>
      <c r="AN6774"/>
    </row>
    <row r="6775" spans="1:40" ht="11.25" customHeight="1">
      <c r="N6775" s="802" t="s">
        <v>641</v>
      </c>
      <c r="O6775" s="804" t="s">
        <v>787</v>
      </c>
      <c r="P6775" s="806" t="s">
        <v>778</v>
      </c>
      <c r="Q6775" s="206">
        <v>0</v>
      </c>
      <c r="R6775" s="808"/>
      <c r="S6775" s="809"/>
      <c r="T6775" s="810"/>
      <c r="U6775" s="808"/>
      <c r="V6775" s="809"/>
      <c r="W6775" s="810"/>
      <c r="X6775" s="808"/>
      <c r="Y6775" s="809"/>
      <c r="Z6775" s="810"/>
      <c r="AA6775"/>
      <c r="AB6775"/>
      <c r="AC6775"/>
      <c r="AD6775"/>
      <c r="AE6775"/>
      <c r="AF6775"/>
      <c r="AG6775"/>
      <c r="AH6775"/>
      <c r="AI6775"/>
      <c r="AJ6775"/>
      <c r="AK6775"/>
      <c r="AL6775"/>
      <c r="AM6775"/>
      <c r="AN6775"/>
    </row>
    <row r="6776" spans="1:40" ht="12" customHeight="1">
      <c r="N6776" s="803"/>
      <c r="O6776" s="805"/>
      <c r="P6776" s="807"/>
      <c r="Q6776" s="207"/>
      <c r="R6776" s="796"/>
      <c r="S6776" s="797"/>
      <c r="T6776" s="798"/>
      <c r="U6776" s="796"/>
      <c r="V6776" s="797"/>
      <c r="W6776" s="798"/>
      <c r="X6776" s="796"/>
      <c r="Y6776" s="797"/>
      <c r="Z6776" s="798"/>
      <c r="AA6776"/>
      <c r="AB6776"/>
      <c r="AC6776"/>
      <c r="AD6776"/>
      <c r="AE6776"/>
      <c r="AF6776"/>
      <c r="AG6776"/>
      <c r="AH6776"/>
      <c r="AI6776"/>
      <c r="AJ6776"/>
      <c r="AK6776"/>
      <c r="AL6776"/>
      <c r="AM6776"/>
      <c r="AN6776"/>
    </row>
    <row r="6777" spans="1:40" ht="12" customHeight="1">
      <c r="N6777" s="222"/>
      <c r="O6777" s="501" t="s">
        <v>788</v>
      </c>
      <c r="P6777" s="542"/>
      <c r="Q6777" s="207"/>
      <c r="R6777" s="799"/>
      <c r="S6777" s="800"/>
      <c r="T6777" s="801"/>
      <c r="U6777" s="799"/>
      <c r="V6777" s="800"/>
      <c r="W6777" s="801"/>
      <c r="X6777" s="799"/>
      <c r="Y6777" s="800"/>
      <c r="Z6777" s="801"/>
      <c r="AA6777"/>
      <c r="AB6777"/>
      <c r="AC6777"/>
      <c r="AD6777"/>
      <c r="AE6777"/>
      <c r="AF6777"/>
      <c r="AG6777"/>
      <c r="AH6777"/>
      <c r="AI6777"/>
      <c r="AJ6777"/>
      <c r="AK6777"/>
      <c r="AL6777"/>
      <c r="AM6777"/>
      <c r="AN6777"/>
    </row>
    <row r="6778" spans="1:40" ht="12" customHeight="1">
      <c r="N6778" s="222"/>
      <c r="O6778" s="556" t="str">
        <f>IF(CALC_IDENTIFIER="","",CALC_IDENTIFIER)</f>
        <v/>
      </c>
      <c r="P6778" s="557" t="s">
        <v>745</v>
      </c>
      <c r="Q6778" s="328"/>
      <c r="R6778" s="568"/>
      <c r="S6778" s="568"/>
      <c r="T6778" s="568"/>
      <c r="U6778" s="568"/>
      <c r="V6778" s="568"/>
      <c r="W6778" s="568" t="s">
        <v>745</v>
      </c>
      <c r="X6778" s="568"/>
      <c r="Y6778" s="568"/>
      <c r="Z6778" s="568" t="s">
        <v>745</v>
      </c>
      <c r="AA6778"/>
      <c r="AB6778"/>
      <c r="AC6778"/>
      <c r="AD6778"/>
      <c r="AE6778"/>
      <c r="AF6778"/>
      <c r="AG6778"/>
      <c r="AH6778"/>
      <c r="AI6778"/>
      <c r="AJ6778"/>
      <c r="AK6778"/>
      <c r="AL6778"/>
      <c r="AM6778"/>
      <c r="AN6778"/>
    </row>
    <row r="6779" spans="1:40" s="47" customFormat="1">
      <c r="A6779" s="121"/>
      <c r="B6779" s="121"/>
      <c r="C6779" s="121"/>
      <c r="D6779" s="121"/>
      <c r="E6779" s="121"/>
      <c r="F6779" s="121"/>
      <c r="G6779" s="121"/>
      <c r="H6779" s="121"/>
      <c r="I6779" s="121"/>
      <c r="J6779" s="121"/>
      <c r="K6779" s="121"/>
      <c r="L6779" s="121"/>
      <c r="M6779" s="121"/>
      <c r="N6779" s="504" t="s">
        <v>642</v>
      </c>
      <c r="O6779" s="566" t="str">
        <f>IF(TEMPLATE_SPHERE="водоснабжения","Объём отпуска воды (тыс. куб.м)",IF(TEMPLATE_SPHERE="водоотведения","Пропущено сточных вод, всего (тыс. куб.м)"))</f>
        <v>Пропущено сточных вод, всего (тыс. куб.м)</v>
      </c>
      <c r="P6779" s="551"/>
      <c r="Q6779" s="321"/>
      <c r="R6779" s="567"/>
      <c r="S6779" s="567"/>
      <c r="T6779" s="567"/>
      <c r="U6779" s="567"/>
      <c r="V6779" s="567"/>
      <c r="W6779" s="262">
        <f>'РО 01.01 - 30.06'!W6779+'РО 01.07 - 31.08'!W6779+'РО 01.09 - 31.12'!W6779</f>
        <v>0</v>
      </c>
      <c r="X6779" s="567"/>
      <c r="Y6779" s="323"/>
      <c r="Z6779" s="262">
        <f>'РО 01.01 - 30.06'!Z6779+'РО 01.07 - 31.08'!Z6779+'РО 01.09 - 31.12'!Z6779</f>
        <v>0</v>
      </c>
      <c r="AA6779"/>
      <c r="AB6779"/>
      <c r="AC6779"/>
      <c r="AD6779"/>
      <c r="AE6779"/>
      <c r="AF6779"/>
      <c r="AG6779"/>
      <c r="AH6779"/>
      <c r="AI6779"/>
      <c r="AJ6779"/>
      <c r="AK6779"/>
      <c r="AL6779"/>
      <c r="AM6779"/>
      <c r="AN6779"/>
    </row>
    <row r="6780" spans="1:40" s="47" customFormat="1">
      <c r="A6780" s="121"/>
      <c r="B6780" s="121"/>
      <c r="C6780" s="121"/>
      <c r="D6780" s="121"/>
      <c r="E6780" s="121"/>
      <c r="F6780" s="121"/>
      <c r="G6780" s="121"/>
      <c r="H6780" s="121"/>
      <c r="I6780" s="121"/>
      <c r="J6780" s="121"/>
      <c r="K6780" s="121"/>
      <c r="L6780" s="121"/>
      <c r="M6780" s="121"/>
      <c r="N6780" s="504" t="s">
        <v>790</v>
      </c>
      <c r="O6780" s="527" t="s">
        <v>369</v>
      </c>
      <c r="P6780" s="257"/>
      <c r="Q6780" s="321"/>
      <c r="R6780" s="553"/>
      <c r="S6780" s="553"/>
      <c r="T6780" s="553"/>
      <c r="U6780" s="553"/>
      <c r="V6780" s="553"/>
      <c r="W6780" s="262">
        <f>'РО 01.01 - 30.06'!W6780+'РО 01.07 - 31.08'!W6780+'РО 01.09 - 31.12'!W6780</f>
        <v>0</v>
      </c>
      <c r="X6780" s="553"/>
      <c r="Y6780" s="553"/>
      <c r="Z6780" s="262">
        <f>'РО 01.01 - 30.06'!Z6780+'РО 01.07 - 31.08'!Z6780+'РО 01.09 - 31.12'!Z6780</f>
        <v>0</v>
      </c>
      <c r="AA6780"/>
      <c r="AB6780"/>
      <c r="AC6780"/>
      <c r="AD6780"/>
      <c r="AE6780"/>
      <c r="AF6780"/>
      <c r="AG6780"/>
      <c r="AH6780"/>
      <c r="AI6780"/>
      <c r="AJ6780"/>
      <c r="AK6780"/>
      <c r="AL6780"/>
      <c r="AM6780"/>
      <c r="AN6780"/>
    </row>
    <row r="6781" spans="1:40" s="47" customFormat="1">
      <c r="A6781" s="121"/>
      <c r="B6781" s="121"/>
      <c r="C6781" s="121"/>
      <c r="D6781" s="121"/>
      <c r="E6781" s="121"/>
      <c r="F6781" s="121"/>
      <c r="G6781" s="121"/>
      <c r="H6781" s="121"/>
      <c r="I6781" s="121"/>
      <c r="J6781" s="121"/>
      <c r="K6781" s="121"/>
      <c r="L6781" s="121"/>
      <c r="M6781" s="121"/>
      <c r="N6781" s="504" t="s">
        <v>751</v>
      </c>
      <c r="O6781" s="526" t="s">
        <v>2814</v>
      </c>
      <c r="P6781" s="257"/>
      <c r="Q6781" s="321"/>
      <c r="R6781" s="260"/>
      <c r="S6781" s="260"/>
      <c r="T6781" s="260"/>
      <c r="U6781" s="260"/>
      <c r="V6781" s="260"/>
      <c r="W6781" s="262">
        <f>'РО 01.01 - 30.06'!W6781+'РО 01.07 - 31.08'!W6781+'РО 01.09 - 31.12'!W6781</f>
        <v>0</v>
      </c>
      <c r="X6781" s="260"/>
      <c r="Y6781" s="260"/>
      <c r="Z6781" s="262">
        <f>'РО 01.01 - 30.06'!Z6781+'РО 01.07 - 31.08'!Z6781+'РО 01.09 - 31.12'!Z6781</f>
        <v>0</v>
      </c>
      <c r="AA6781"/>
      <c r="AB6781"/>
      <c r="AC6781"/>
      <c r="AD6781"/>
      <c r="AE6781"/>
      <c r="AF6781"/>
      <c r="AG6781"/>
      <c r="AH6781"/>
      <c r="AI6781"/>
      <c r="AJ6781"/>
      <c r="AK6781"/>
      <c r="AL6781"/>
      <c r="AM6781"/>
      <c r="AN6781"/>
    </row>
    <row r="6782" spans="1:40" s="47" customFormat="1">
      <c r="A6782" s="121"/>
      <c r="B6782" s="121"/>
      <c r="C6782" s="121"/>
      <c r="D6782" s="121"/>
      <c r="E6782" s="121"/>
      <c r="F6782" s="121"/>
      <c r="G6782" s="121"/>
      <c r="H6782" s="121"/>
      <c r="I6782" s="121"/>
      <c r="J6782" s="121"/>
      <c r="K6782" s="121"/>
      <c r="L6782" s="121"/>
      <c r="M6782" s="121"/>
      <c r="N6782" s="504" t="s">
        <v>66</v>
      </c>
      <c r="O6782" s="527" t="s">
        <v>2815</v>
      </c>
      <c r="P6782" s="257"/>
      <c r="Q6782" s="321"/>
      <c r="R6782" s="260"/>
      <c r="S6782" s="260"/>
      <c r="T6782" s="260"/>
      <c r="U6782" s="260"/>
      <c r="V6782" s="260"/>
      <c r="W6782" s="262">
        <f>'РО 01.01 - 30.06'!W6782+'РО 01.07 - 31.08'!W6782+'РО 01.09 - 31.12'!W6782</f>
        <v>0</v>
      </c>
      <c r="X6782" s="260"/>
      <c r="Y6782" s="260"/>
      <c r="Z6782" s="262">
        <f>'РО 01.01 - 30.06'!Z6782+'РО 01.07 - 31.08'!Z6782+'РО 01.09 - 31.12'!Z6782</f>
        <v>0</v>
      </c>
      <c r="AA6782"/>
      <c r="AB6782"/>
      <c r="AC6782"/>
      <c r="AD6782"/>
      <c r="AE6782"/>
      <c r="AF6782"/>
      <c r="AG6782"/>
      <c r="AH6782"/>
      <c r="AI6782"/>
      <c r="AJ6782"/>
      <c r="AK6782"/>
      <c r="AL6782"/>
      <c r="AM6782"/>
      <c r="AN6782"/>
    </row>
    <row r="6783" spans="1:40" s="47" customFormat="1">
      <c r="A6783" s="121"/>
      <c r="B6783" s="121"/>
      <c r="C6783" s="121"/>
      <c r="D6783" s="121"/>
      <c r="E6783" s="121"/>
      <c r="F6783" s="121"/>
      <c r="G6783" s="121"/>
      <c r="H6783" s="121"/>
      <c r="I6783" s="121"/>
      <c r="J6783" s="121"/>
      <c r="K6783" s="121"/>
      <c r="L6783" s="121"/>
      <c r="M6783" s="121"/>
      <c r="N6783" s="504" t="s">
        <v>632</v>
      </c>
      <c r="O6783" s="528" t="s">
        <v>2816</v>
      </c>
      <c r="P6783" s="257"/>
      <c r="Q6783" s="321"/>
      <c r="R6783" s="260"/>
      <c r="S6783" s="260"/>
      <c r="T6783" s="260"/>
      <c r="U6783" s="260"/>
      <c r="V6783" s="260"/>
      <c r="W6783" s="262">
        <f>'РО 01.01 - 30.06'!W6783+'РО 01.07 - 31.08'!W6783+'РО 01.09 - 31.12'!W6783</f>
        <v>0</v>
      </c>
      <c r="X6783" s="260"/>
      <c r="Y6783" s="260"/>
      <c r="Z6783" s="262">
        <f>'РО 01.01 - 30.06'!Z6783+'РО 01.07 - 31.08'!Z6783+'РО 01.09 - 31.12'!Z6783</f>
        <v>0</v>
      </c>
      <c r="AA6783"/>
      <c r="AB6783"/>
      <c r="AC6783"/>
      <c r="AD6783"/>
      <c r="AE6783"/>
      <c r="AF6783"/>
      <c r="AG6783"/>
      <c r="AH6783"/>
      <c r="AI6783"/>
      <c r="AJ6783"/>
      <c r="AK6783"/>
      <c r="AL6783"/>
      <c r="AM6783"/>
      <c r="AN6783"/>
    </row>
    <row r="6784" spans="1:40" s="47" customFormat="1">
      <c r="A6784" s="121"/>
      <c r="B6784" s="121"/>
      <c r="C6784" s="121"/>
      <c r="D6784" s="121"/>
      <c r="E6784" s="121"/>
      <c r="F6784" s="121"/>
      <c r="G6784" s="121"/>
      <c r="H6784" s="121"/>
      <c r="I6784" s="121"/>
      <c r="J6784" s="121"/>
      <c r="K6784" s="121"/>
      <c r="L6784" s="121"/>
      <c r="M6784" s="121"/>
      <c r="N6784" s="223" t="s">
        <v>2817</v>
      </c>
      <c r="O6784" s="529" t="s">
        <v>2986</v>
      </c>
      <c r="P6784" s="257"/>
      <c r="Q6784" s="321"/>
      <c r="R6784" s="260"/>
      <c r="S6784" s="260"/>
      <c r="T6784" s="260"/>
      <c r="U6784" s="260"/>
      <c r="V6784" s="260"/>
      <c r="W6784" s="262">
        <f>'РО 01.01 - 30.06'!W6784+'РО 01.07 - 31.08'!W6784+'РО 01.09 - 31.12'!W6784</f>
        <v>0</v>
      </c>
      <c r="X6784" s="260"/>
      <c r="Y6784" s="260"/>
      <c r="Z6784" s="262">
        <f>'РО 01.01 - 30.06'!Z6784+'РО 01.07 - 31.08'!Z6784+'РО 01.09 - 31.12'!Z6784</f>
        <v>0</v>
      </c>
      <c r="AA6784"/>
      <c r="AB6784"/>
      <c r="AC6784"/>
      <c r="AD6784"/>
      <c r="AE6784"/>
      <c r="AF6784"/>
      <c r="AG6784"/>
      <c r="AH6784"/>
      <c r="AI6784"/>
      <c r="AJ6784"/>
      <c r="AK6784"/>
      <c r="AL6784"/>
      <c r="AM6784"/>
      <c r="AN6784"/>
    </row>
    <row r="6785" spans="1:40" s="47" customFormat="1">
      <c r="A6785" s="121"/>
      <c r="B6785" s="121"/>
      <c r="C6785" s="121"/>
      <c r="D6785" s="121"/>
      <c r="E6785" s="121"/>
      <c r="F6785" s="121"/>
      <c r="G6785" s="121"/>
      <c r="H6785" s="121"/>
      <c r="I6785" s="121"/>
      <c r="J6785" s="121"/>
      <c r="K6785" s="121"/>
      <c r="L6785" s="121"/>
      <c r="M6785" s="121"/>
      <c r="N6785" s="223" t="s">
        <v>2818</v>
      </c>
      <c r="O6785" s="529" t="s">
        <v>2988</v>
      </c>
      <c r="P6785" s="257"/>
      <c r="Q6785" s="321"/>
      <c r="R6785" s="260"/>
      <c r="S6785" s="260"/>
      <c r="T6785" s="260"/>
      <c r="U6785" s="260"/>
      <c r="V6785" s="260"/>
      <c r="W6785" s="262">
        <f>'РО 01.01 - 30.06'!W6785+'РО 01.07 - 31.08'!W6785+'РО 01.09 - 31.12'!W6785</f>
        <v>0</v>
      </c>
      <c r="X6785" s="260"/>
      <c r="Y6785" s="260"/>
      <c r="Z6785" s="262">
        <f>'РО 01.01 - 30.06'!Z6785+'РО 01.07 - 31.08'!Z6785+'РО 01.09 - 31.12'!Z6785</f>
        <v>0</v>
      </c>
      <c r="AA6785"/>
      <c r="AB6785"/>
      <c r="AC6785"/>
      <c r="AD6785"/>
      <c r="AE6785"/>
      <c r="AF6785"/>
      <c r="AG6785"/>
      <c r="AH6785"/>
      <c r="AI6785"/>
      <c r="AJ6785"/>
      <c r="AK6785"/>
      <c r="AL6785"/>
      <c r="AM6785"/>
      <c r="AN6785"/>
    </row>
    <row r="6786" spans="1:40" s="47" customFormat="1">
      <c r="A6786" s="121"/>
      <c r="B6786" s="121"/>
      <c r="C6786" s="121"/>
      <c r="D6786" s="121"/>
      <c r="E6786" s="121"/>
      <c r="F6786" s="121"/>
      <c r="G6786" s="121"/>
      <c r="H6786" s="121"/>
      <c r="I6786" s="121"/>
      <c r="J6786" s="121"/>
      <c r="K6786" s="121"/>
      <c r="L6786" s="121"/>
      <c r="M6786" s="121"/>
      <c r="N6786" s="223"/>
      <c r="O6786" s="529"/>
      <c r="P6786" s="260"/>
      <c r="Q6786" s="321"/>
      <c r="R6786" s="260"/>
      <c r="S6786" s="260"/>
      <c r="T6786" s="260"/>
      <c r="U6786" s="260"/>
      <c r="V6786" s="260"/>
      <c r="W6786" s="260"/>
      <c r="X6786" s="260"/>
      <c r="Y6786" s="260"/>
      <c r="Z6786" s="260"/>
      <c r="AA6786"/>
      <c r="AB6786"/>
      <c r="AC6786"/>
      <c r="AD6786"/>
      <c r="AE6786"/>
      <c r="AF6786"/>
      <c r="AG6786"/>
      <c r="AH6786"/>
      <c r="AI6786"/>
      <c r="AJ6786"/>
      <c r="AK6786"/>
      <c r="AL6786"/>
      <c r="AM6786"/>
      <c r="AN6786"/>
    </row>
    <row r="6787" spans="1:40" s="47" customFormat="1">
      <c r="A6787" s="121"/>
      <c r="B6787" s="121"/>
      <c r="C6787" s="121"/>
      <c r="D6787" s="121"/>
      <c r="E6787" s="121"/>
      <c r="F6787" s="121"/>
      <c r="G6787" s="121"/>
      <c r="H6787" s="121"/>
      <c r="I6787" s="121"/>
      <c r="J6787" s="121"/>
      <c r="K6787" s="121"/>
      <c r="L6787" s="121"/>
      <c r="M6787" s="121"/>
      <c r="N6787" s="524"/>
      <c r="O6787" s="530"/>
      <c r="P6787" s="255"/>
      <c r="Q6787" s="321"/>
      <c r="R6787" s="260"/>
      <c r="S6787" s="260"/>
      <c r="T6787" s="260"/>
      <c r="U6787" s="260"/>
      <c r="V6787" s="260"/>
      <c r="W6787" s="260"/>
      <c r="X6787" s="260"/>
      <c r="Y6787" s="260"/>
      <c r="Z6787" s="260"/>
      <c r="AA6787"/>
      <c r="AB6787"/>
      <c r="AC6787"/>
      <c r="AD6787"/>
      <c r="AE6787"/>
      <c r="AF6787"/>
      <c r="AG6787"/>
      <c r="AH6787"/>
      <c r="AI6787"/>
      <c r="AJ6787"/>
      <c r="AK6787"/>
      <c r="AL6787"/>
      <c r="AM6787"/>
      <c r="AN6787"/>
    </row>
    <row r="6788" spans="1:40" s="47" customFormat="1">
      <c r="A6788" s="121"/>
      <c r="B6788" s="121"/>
      <c r="C6788" s="121"/>
      <c r="D6788" s="121"/>
      <c r="E6788" s="121"/>
      <c r="F6788" s="121"/>
      <c r="G6788" s="121"/>
      <c r="H6788" s="121"/>
      <c r="I6788" s="121"/>
      <c r="J6788" s="121"/>
      <c r="K6788" s="121"/>
      <c r="L6788" s="121"/>
      <c r="M6788" s="121"/>
      <c r="N6788" s="524"/>
      <c r="O6788" s="530"/>
      <c r="P6788" s="260"/>
      <c r="Q6788" s="321"/>
      <c r="R6788" s="260"/>
      <c r="S6788" s="260"/>
      <c r="T6788" s="260"/>
      <c r="U6788" s="260"/>
      <c r="V6788" s="260"/>
      <c r="W6788" s="260"/>
      <c r="X6788" s="260"/>
      <c r="Y6788" s="260"/>
      <c r="Z6788" s="260"/>
      <c r="AA6788"/>
      <c r="AB6788"/>
      <c r="AC6788"/>
      <c r="AD6788"/>
      <c r="AE6788"/>
      <c r="AF6788"/>
      <c r="AG6788"/>
      <c r="AH6788"/>
      <c r="AI6788"/>
      <c r="AJ6788"/>
      <c r="AK6788"/>
      <c r="AL6788"/>
      <c r="AM6788"/>
      <c r="AN6788"/>
    </row>
    <row r="6789" spans="1:40" s="47" customFormat="1">
      <c r="A6789" s="121"/>
      <c r="B6789" s="121"/>
      <c r="C6789" s="121"/>
      <c r="D6789" s="121"/>
      <c r="E6789" s="121"/>
      <c r="F6789" s="121"/>
      <c r="G6789" s="121"/>
      <c r="H6789" s="121"/>
      <c r="I6789" s="121"/>
      <c r="J6789" s="121"/>
      <c r="K6789" s="121"/>
      <c r="L6789" s="121"/>
      <c r="M6789" s="121"/>
      <c r="N6789" s="223"/>
      <c r="O6789" s="531"/>
      <c r="P6789" s="260"/>
      <c r="Q6789" s="321"/>
      <c r="R6789" s="260"/>
      <c r="S6789" s="260"/>
      <c r="T6789" s="260"/>
      <c r="U6789" s="260"/>
      <c r="V6789" s="260"/>
      <c r="W6789" s="260"/>
      <c r="X6789" s="260"/>
      <c r="Y6789" s="260"/>
      <c r="Z6789" s="260"/>
      <c r="AA6789"/>
      <c r="AB6789"/>
      <c r="AC6789"/>
      <c r="AD6789"/>
      <c r="AE6789"/>
      <c r="AF6789"/>
      <c r="AG6789"/>
      <c r="AH6789"/>
      <c r="AI6789"/>
      <c r="AJ6789"/>
      <c r="AK6789"/>
      <c r="AL6789"/>
      <c r="AM6789"/>
      <c r="AN6789"/>
    </row>
    <row r="6790" spans="1:40" s="47" customFormat="1">
      <c r="A6790" s="121"/>
      <c r="B6790" s="121"/>
      <c r="C6790" s="121"/>
      <c r="D6790" s="121"/>
      <c r="E6790" s="121"/>
      <c r="F6790" s="121"/>
      <c r="G6790" s="121"/>
      <c r="H6790" s="121"/>
      <c r="I6790" s="121"/>
      <c r="J6790" s="121"/>
      <c r="K6790" s="121"/>
      <c r="L6790" s="121"/>
      <c r="M6790" s="121"/>
      <c r="N6790" s="524"/>
      <c r="O6790" s="530"/>
      <c r="P6790" s="255"/>
      <c r="Q6790" s="321"/>
      <c r="R6790" s="260"/>
      <c r="S6790" s="260"/>
      <c r="T6790" s="260"/>
      <c r="U6790" s="260"/>
      <c r="V6790" s="260"/>
      <c r="W6790" s="260"/>
      <c r="X6790" s="260"/>
      <c r="Y6790" s="260"/>
      <c r="Z6790" s="260"/>
      <c r="AA6790"/>
      <c r="AB6790"/>
      <c r="AC6790"/>
      <c r="AD6790"/>
      <c r="AE6790"/>
      <c r="AF6790"/>
      <c r="AG6790"/>
      <c r="AH6790"/>
      <c r="AI6790"/>
      <c r="AJ6790"/>
      <c r="AK6790"/>
      <c r="AL6790"/>
      <c r="AM6790"/>
      <c r="AN6790"/>
    </row>
    <row r="6791" spans="1:40" s="47" customFormat="1">
      <c r="A6791" s="121"/>
      <c r="B6791" s="121"/>
      <c r="C6791" s="121"/>
      <c r="D6791" s="121"/>
      <c r="E6791" s="121"/>
      <c r="F6791" s="121"/>
      <c r="G6791" s="121"/>
      <c r="H6791" s="121"/>
      <c r="I6791" s="121"/>
      <c r="J6791" s="121"/>
      <c r="K6791" s="121"/>
      <c r="L6791" s="121"/>
      <c r="M6791" s="121"/>
      <c r="N6791" s="524"/>
      <c r="O6791" s="530"/>
      <c r="P6791" s="260"/>
      <c r="Q6791" s="321"/>
      <c r="R6791" s="260"/>
      <c r="S6791" s="260"/>
      <c r="T6791" s="260"/>
      <c r="U6791" s="260"/>
      <c r="V6791" s="260"/>
      <c r="W6791" s="260"/>
      <c r="X6791" s="260"/>
      <c r="Y6791" s="260"/>
      <c r="Z6791" s="260"/>
      <c r="AA6791"/>
      <c r="AB6791"/>
      <c r="AC6791"/>
      <c r="AD6791"/>
      <c r="AE6791"/>
      <c r="AF6791"/>
      <c r="AG6791"/>
      <c r="AH6791"/>
      <c r="AI6791"/>
      <c r="AJ6791"/>
      <c r="AK6791"/>
      <c r="AL6791"/>
      <c r="AM6791"/>
      <c r="AN6791"/>
    </row>
    <row r="6792" spans="1:40" s="47" customFormat="1">
      <c r="A6792" s="121"/>
      <c r="B6792" s="121"/>
      <c r="C6792" s="121"/>
      <c r="D6792" s="121"/>
      <c r="E6792" s="121"/>
      <c r="F6792" s="121"/>
      <c r="G6792" s="121"/>
      <c r="H6792" s="121"/>
      <c r="I6792" s="121"/>
      <c r="J6792" s="121"/>
      <c r="K6792" s="121"/>
      <c r="L6792" s="121"/>
      <c r="M6792" s="121"/>
      <c r="N6792" s="223"/>
      <c r="O6792" s="529"/>
      <c r="P6792" s="260"/>
      <c r="Q6792" s="321"/>
      <c r="R6792" s="260"/>
      <c r="S6792" s="260"/>
      <c r="T6792" s="260"/>
      <c r="U6792" s="260"/>
      <c r="V6792" s="260"/>
      <c r="W6792" s="260"/>
      <c r="X6792" s="260"/>
      <c r="Y6792" s="260"/>
      <c r="Z6792" s="260"/>
      <c r="AA6792"/>
      <c r="AB6792"/>
      <c r="AC6792"/>
      <c r="AD6792"/>
      <c r="AE6792"/>
      <c r="AF6792"/>
      <c r="AG6792"/>
      <c r="AH6792"/>
      <c r="AI6792"/>
      <c r="AJ6792"/>
      <c r="AK6792"/>
      <c r="AL6792"/>
      <c r="AM6792"/>
      <c r="AN6792"/>
    </row>
    <row r="6793" spans="1:40" s="47" customFormat="1">
      <c r="A6793" s="121"/>
      <c r="B6793" s="121"/>
      <c r="C6793" s="121"/>
      <c r="D6793" s="121"/>
      <c r="E6793" s="121"/>
      <c r="F6793" s="121"/>
      <c r="G6793" s="121"/>
      <c r="H6793" s="121"/>
      <c r="I6793" s="121"/>
      <c r="J6793" s="121"/>
      <c r="K6793" s="121"/>
      <c r="L6793" s="121"/>
      <c r="M6793" s="121"/>
      <c r="N6793" s="524"/>
      <c r="O6793" s="530"/>
      <c r="P6793" s="255"/>
      <c r="Q6793" s="321"/>
      <c r="R6793" s="260"/>
      <c r="S6793" s="260"/>
      <c r="T6793" s="260"/>
      <c r="U6793" s="260"/>
      <c r="V6793" s="260"/>
      <c r="W6793" s="260"/>
      <c r="X6793" s="260"/>
      <c r="Y6793" s="260"/>
      <c r="Z6793" s="260"/>
      <c r="AA6793"/>
      <c r="AB6793"/>
      <c r="AC6793"/>
      <c r="AD6793"/>
      <c r="AE6793"/>
      <c r="AF6793"/>
      <c r="AG6793"/>
      <c r="AH6793"/>
      <c r="AI6793"/>
      <c r="AJ6793"/>
      <c r="AK6793"/>
      <c r="AL6793"/>
      <c r="AM6793"/>
      <c r="AN6793"/>
    </row>
    <row r="6794" spans="1:40" s="47" customFormat="1">
      <c r="A6794" s="121"/>
      <c r="B6794" s="121"/>
      <c r="C6794" s="121"/>
      <c r="D6794" s="121"/>
      <c r="E6794" s="121"/>
      <c r="F6794" s="121"/>
      <c r="G6794" s="121"/>
      <c r="H6794" s="121"/>
      <c r="I6794" s="121"/>
      <c r="J6794" s="121"/>
      <c r="K6794" s="121"/>
      <c r="L6794" s="121"/>
      <c r="M6794" s="121"/>
      <c r="N6794" s="524"/>
      <c r="O6794" s="530"/>
      <c r="P6794" s="260"/>
      <c r="Q6794" s="321"/>
      <c r="R6794" s="260"/>
      <c r="S6794" s="260"/>
      <c r="T6794" s="260"/>
      <c r="U6794" s="260"/>
      <c r="V6794" s="260"/>
      <c r="W6794" s="260"/>
      <c r="X6794" s="260"/>
      <c r="Y6794" s="260"/>
      <c r="Z6794" s="260"/>
      <c r="AA6794"/>
      <c r="AB6794"/>
      <c r="AC6794"/>
      <c r="AD6794"/>
      <c r="AE6794"/>
      <c r="AF6794"/>
      <c r="AG6794"/>
      <c r="AH6794"/>
      <c r="AI6794"/>
      <c r="AJ6794"/>
      <c r="AK6794"/>
      <c r="AL6794"/>
      <c r="AM6794"/>
      <c r="AN6794"/>
    </row>
    <row r="6795" spans="1:40" s="47" customFormat="1">
      <c r="A6795" s="121"/>
      <c r="B6795" s="121"/>
      <c r="C6795" s="121"/>
      <c r="D6795" s="121"/>
      <c r="E6795" s="121"/>
      <c r="F6795" s="121"/>
      <c r="G6795" s="121"/>
      <c r="H6795" s="121"/>
      <c r="I6795" s="121"/>
      <c r="J6795" s="121"/>
      <c r="K6795" s="121"/>
      <c r="L6795" s="121"/>
      <c r="M6795" s="121"/>
      <c r="N6795" s="223"/>
      <c r="O6795" s="531"/>
      <c r="P6795" s="260"/>
      <c r="Q6795" s="321"/>
      <c r="R6795" s="260"/>
      <c r="S6795" s="260"/>
      <c r="T6795" s="260"/>
      <c r="U6795" s="260"/>
      <c r="V6795" s="260"/>
      <c r="W6795" s="260"/>
      <c r="X6795" s="260"/>
      <c r="Y6795" s="260"/>
      <c r="Z6795" s="260"/>
      <c r="AA6795"/>
      <c r="AB6795"/>
      <c r="AC6795"/>
      <c r="AD6795"/>
      <c r="AE6795"/>
      <c r="AF6795"/>
      <c r="AG6795"/>
      <c r="AH6795"/>
      <c r="AI6795"/>
      <c r="AJ6795"/>
      <c r="AK6795"/>
      <c r="AL6795"/>
      <c r="AM6795"/>
      <c r="AN6795"/>
    </row>
    <row r="6796" spans="1:40" s="47" customFormat="1">
      <c r="A6796" s="121"/>
      <c r="B6796" s="121"/>
      <c r="C6796" s="121"/>
      <c r="D6796" s="121"/>
      <c r="E6796" s="121"/>
      <c r="F6796" s="121"/>
      <c r="G6796" s="121"/>
      <c r="H6796" s="121"/>
      <c r="I6796" s="121"/>
      <c r="J6796" s="121"/>
      <c r="K6796" s="121"/>
      <c r="L6796" s="121"/>
      <c r="M6796" s="121"/>
      <c r="N6796" s="524"/>
      <c r="O6796" s="530"/>
      <c r="P6796" s="255"/>
      <c r="Q6796" s="321"/>
      <c r="R6796" s="260"/>
      <c r="S6796" s="260"/>
      <c r="T6796" s="260"/>
      <c r="U6796" s="260"/>
      <c r="V6796" s="260"/>
      <c r="W6796" s="260"/>
      <c r="X6796" s="260"/>
      <c r="Y6796" s="260"/>
      <c r="Z6796" s="260"/>
      <c r="AA6796"/>
      <c r="AB6796"/>
      <c r="AC6796"/>
      <c r="AD6796"/>
      <c r="AE6796"/>
      <c r="AF6796"/>
      <c r="AG6796"/>
      <c r="AH6796"/>
      <c r="AI6796"/>
      <c r="AJ6796"/>
      <c r="AK6796"/>
      <c r="AL6796"/>
      <c r="AM6796"/>
      <c r="AN6796"/>
    </row>
    <row r="6797" spans="1:40" s="47" customFormat="1">
      <c r="A6797" s="121"/>
      <c r="B6797" s="121"/>
      <c r="C6797" s="121"/>
      <c r="D6797" s="121"/>
      <c r="E6797" s="121"/>
      <c r="F6797" s="121"/>
      <c r="G6797" s="121"/>
      <c r="H6797" s="121"/>
      <c r="I6797" s="121"/>
      <c r="J6797" s="121"/>
      <c r="K6797" s="121"/>
      <c r="L6797" s="121"/>
      <c r="M6797" s="121"/>
      <c r="N6797" s="524"/>
      <c r="O6797" s="530"/>
      <c r="P6797" s="260"/>
      <c r="Q6797" s="321"/>
      <c r="R6797" s="260"/>
      <c r="S6797" s="260"/>
      <c r="T6797" s="260"/>
      <c r="U6797" s="260"/>
      <c r="V6797" s="260"/>
      <c r="W6797" s="260"/>
      <c r="X6797" s="260"/>
      <c r="Y6797" s="260"/>
      <c r="Z6797" s="260"/>
      <c r="AA6797"/>
      <c r="AB6797"/>
      <c r="AC6797"/>
      <c r="AD6797"/>
      <c r="AE6797"/>
      <c r="AF6797"/>
      <c r="AG6797"/>
      <c r="AH6797"/>
      <c r="AI6797"/>
      <c r="AJ6797"/>
      <c r="AK6797"/>
      <c r="AL6797"/>
      <c r="AM6797"/>
      <c r="AN6797"/>
    </row>
    <row r="6798" spans="1:40" s="47" customFormat="1">
      <c r="A6798" s="121"/>
      <c r="B6798" s="121"/>
      <c r="C6798" s="121"/>
      <c r="D6798" s="121"/>
      <c r="E6798" s="121"/>
      <c r="F6798" s="121"/>
      <c r="G6798" s="121"/>
      <c r="H6798" s="121"/>
      <c r="I6798" s="121"/>
      <c r="J6798" s="121"/>
      <c r="K6798" s="121"/>
      <c r="L6798" s="121"/>
      <c r="M6798" s="121"/>
      <c r="N6798" s="223"/>
      <c r="O6798" s="529"/>
      <c r="P6798" s="260"/>
      <c r="Q6798" s="321"/>
      <c r="R6798" s="260"/>
      <c r="S6798" s="260"/>
      <c r="T6798" s="260"/>
      <c r="U6798" s="260"/>
      <c r="V6798" s="260"/>
      <c r="W6798" s="260"/>
      <c r="X6798" s="260"/>
      <c r="Y6798" s="260"/>
      <c r="Z6798" s="260"/>
      <c r="AA6798"/>
      <c r="AB6798"/>
      <c r="AC6798"/>
      <c r="AD6798"/>
      <c r="AE6798"/>
      <c r="AF6798"/>
      <c r="AG6798"/>
      <c r="AH6798"/>
      <c r="AI6798"/>
      <c r="AJ6798"/>
      <c r="AK6798"/>
      <c r="AL6798"/>
      <c r="AM6798"/>
      <c r="AN6798"/>
    </row>
    <row r="6799" spans="1:40" s="47" customFormat="1">
      <c r="A6799" s="121"/>
      <c r="B6799" s="121"/>
      <c r="C6799" s="121"/>
      <c r="D6799" s="121"/>
      <c r="E6799" s="121"/>
      <c r="F6799" s="121"/>
      <c r="G6799" s="121"/>
      <c r="H6799" s="121"/>
      <c r="I6799" s="121"/>
      <c r="J6799" s="121"/>
      <c r="K6799" s="121"/>
      <c r="L6799" s="121"/>
      <c r="M6799" s="121"/>
      <c r="N6799" s="524"/>
      <c r="O6799" s="530"/>
      <c r="P6799" s="255"/>
      <c r="Q6799" s="321"/>
      <c r="R6799" s="260"/>
      <c r="S6799" s="260"/>
      <c r="T6799" s="260"/>
      <c r="U6799" s="260"/>
      <c r="V6799" s="260"/>
      <c r="W6799" s="260"/>
      <c r="X6799" s="260"/>
      <c r="Y6799" s="260"/>
      <c r="Z6799" s="260"/>
      <c r="AA6799"/>
      <c r="AB6799"/>
      <c r="AC6799"/>
      <c r="AD6799"/>
      <c r="AE6799"/>
      <c r="AF6799"/>
      <c r="AG6799"/>
      <c r="AH6799"/>
      <c r="AI6799"/>
      <c r="AJ6799"/>
      <c r="AK6799"/>
      <c r="AL6799"/>
      <c r="AM6799"/>
      <c r="AN6799"/>
    </row>
    <row r="6800" spans="1:40" s="47" customFormat="1">
      <c r="A6800" s="121"/>
      <c r="B6800" s="121"/>
      <c r="C6800" s="121"/>
      <c r="D6800" s="121"/>
      <c r="E6800" s="121"/>
      <c r="F6800" s="121"/>
      <c r="G6800" s="121"/>
      <c r="H6800" s="121"/>
      <c r="I6800" s="121"/>
      <c r="J6800" s="121"/>
      <c r="K6800" s="121"/>
      <c r="L6800" s="121"/>
      <c r="M6800" s="121"/>
      <c r="N6800" s="524"/>
      <c r="O6800" s="530"/>
      <c r="P6800" s="260"/>
      <c r="Q6800" s="321"/>
      <c r="R6800" s="260"/>
      <c r="S6800" s="260"/>
      <c r="T6800" s="260"/>
      <c r="U6800" s="260"/>
      <c r="V6800" s="260"/>
      <c r="W6800" s="260"/>
      <c r="X6800" s="260"/>
      <c r="Y6800" s="260"/>
      <c r="Z6800" s="260"/>
      <c r="AA6800"/>
      <c r="AB6800"/>
      <c r="AC6800"/>
      <c r="AD6800"/>
      <c r="AE6800"/>
      <c r="AF6800"/>
      <c r="AG6800"/>
      <c r="AH6800"/>
      <c r="AI6800"/>
      <c r="AJ6800"/>
      <c r="AK6800"/>
      <c r="AL6800"/>
      <c r="AM6800"/>
      <c r="AN6800"/>
    </row>
    <row r="6801" spans="1:40" s="47" customFormat="1">
      <c r="A6801" s="121"/>
      <c r="B6801" s="121"/>
      <c r="C6801" s="121"/>
      <c r="D6801" s="121"/>
      <c r="E6801" s="121"/>
      <c r="F6801" s="121"/>
      <c r="G6801" s="121"/>
      <c r="H6801" s="121"/>
      <c r="I6801" s="121"/>
      <c r="J6801" s="121"/>
      <c r="K6801" s="121"/>
      <c r="L6801" s="121"/>
      <c r="M6801" s="121"/>
      <c r="N6801" s="223"/>
      <c r="O6801" s="531"/>
      <c r="P6801" s="260"/>
      <c r="Q6801" s="321"/>
      <c r="R6801" s="260"/>
      <c r="S6801" s="260"/>
      <c r="T6801" s="260"/>
      <c r="U6801" s="260"/>
      <c r="V6801" s="260"/>
      <c r="W6801" s="260"/>
      <c r="X6801" s="260"/>
      <c r="Y6801" s="260"/>
      <c r="Z6801" s="260"/>
      <c r="AA6801"/>
      <c r="AB6801"/>
      <c r="AC6801"/>
      <c r="AD6801"/>
      <c r="AE6801"/>
      <c r="AF6801"/>
      <c r="AG6801"/>
      <c r="AH6801"/>
      <c r="AI6801"/>
      <c r="AJ6801"/>
      <c r="AK6801"/>
      <c r="AL6801"/>
      <c r="AM6801"/>
      <c r="AN6801"/>
    </row>
    <row r="6802" spans="1:40" s="47" customFormat="1">
      <c r="A6802" s="121"/>
      <c r="B6802" s="121"/>
      <c r="C6802" s="121"/>
      <c r="D6802" s="121"/>
      <c r="E6802" s="121"/>
      <c r="F6802" s="121"/>
      <c r="G6802" s="121"/>
      <c r="H6802" s="121"/>
      <c r="I6802" s="121"/>
      <c r="J6802" s="121"/>
      <c r="K6802" s="121"/>
      <c r="L6802" s="121"/>
      <c r="M6802" s="121"/>
      <c r="N6802" s="524"/>
      <c r="O6802" s="530"/>
      <c r="P6802" s="255"/>
      <c r="Q6802" s="321"/>
      <c r="R6802" s="260"/>
      <c r="S6802" s="260"/>
      <c r="T6802" s="260"/>
      <c r="U6802" s="260"/>
      <c r="V6802" s="260"/>
      <c r="W6802" s="260"/>
      <c r="X6802" s="260"/>
      <c r="Y6802" s="260"/>
      <c r="Z6802" s="260"/>
      <c r="AA6802"/>
      <c r="AB6802"/>
      <c r="AC6802"/>
      <c r="AD6802"/>
      <c r="AE6802"/>
      <c r="AF6802"/>
      <c r="AG6802"/>
      <c r="AH6802"/>
      <c r="AI6802"/>
      <c r="AJ6802"/>
      <c r="AK6802"/>
      <c r="AL6802"/>
      <c r="AM6802"/>
      <c r="AN6802"/>
    </row>
    <row r="6803" spans="1:40" s="47" customFormat="1">
      <c r="A6803" s="121"/>
      <c r="B6803" s="121"/>
      <c r="C6803" s="121"/>
      <c r="D6803" s="121"/>
      <c r="E6803" s="121"/>
      <c r="F6803" s="121"/>
      <c r="G6803" s="121"/>
      <c r="H6803" s="121"/>
      <c r="I6803" s="121"/>
      <c r="J6803" s="121"/>
      <c r="K6803" s="121"/>
      <c r="L6803" s="121"/>
      <c r="M6803" s="121"/>
      <c r="N6803" s="524"/>
      <c r="O6803" s="530"/>
      <c r="P6803" s="260"/>
      <c r="Q6803" s="321"/>
      <c r="R6803" s="260"/>
      <c r="S6803" s="260"/>
      <c r="T6803" s="260"/>
      <c r="U6803" s="260"/>
      <c r="V6803" s="260"/>
      <c r="W6803" s="260"/>
      <c r="X6803" s="260"/>
      <c r="Y6803" s="260"/>
      <c r="Z6803" s="260"/>
      <c r="AA6803"/>
      <c r="AB6803"/>
      <c r="AC6803"/>
      <c r="AD6803"/>
      <c r="AE6803"/>
      <c r="AF6803"/>
      <c r="AG6803"/>
      <c r="AH6803"/>
      <c r="AI6803"/>
      <c r="AJ6803"/>
      <c r="AK6803"/>
      <c r="AL6803"/>
      <c r="AM6803"/>
      <c r="AN6803"/>
    </row>
    <row r="6804" spans="1:40" s="47" customFormat="1">
      <c r="A6804" s="121"/>
      <c r="B6804" s="121"/>
      <c r="C6804" s="121"/>
      <c r="D6804" s="121"/>
      <c r="E6804" s="121"/>
      <c r="F6804" s="121"/>
      <c r="G6804" s="121"/>
      <c r="H6804" s="121"/>
      <c r="I6804" s="121"/>
      <c r="J6804" s="121"/>
      <c r="K6804" s="121"/>
      <c r="L6804" s="121"/>
      <c r="M6804" s="121"/>
      <c r="N6804" s="223"/>
      <c r="O6804" s="529"/>
      <c r="P6804" s="260"/>
      <c r="Q6804" s="321"/>
      <c r="R6804" s="260"/>
      <c r="S6804" s="260"/>
      <c r="T6804" s="260"/>
      <c r="U6804" s="260"/>
      <c r="V6804" s="260"/>
      <c r="W6804" s="260"/>
      <c r="X6804" s="260"/>
      <c r="Y6804" s="260"/>
      <c r="Z6804" s="260"/>
      <c r="AA6804"/>
      <c r="AB6804"/>
      <c r="AC6804"/>
      <c r="AD6804"/>
      <c r="AE6804"/>
      <c r="AF6804"/>
      <c r="AG6804"/>
      <c r="AH6804"/>
      <c r="AI6804"/>
      <c r="AJ6804"/>
      <c r="AK6804"/>
      <c r="AL6804"/>
      <c r="AM6804"/>
      <c r="AN6804"/>
    </row>
    <row r="6805" spans="1:40" s="47" customFormat="1">
      <c r="A6805" s="121"/>
      <c r="B6805" s="121"/>
      <c r="C6805" s="121"/>
      <c r="D6805" s="121"/>
      <c r="E6805" s="121"/>
      <c r="F6805" s="121"/>
      <c r="G6805" s="121"/>
      <c r="H6805" s="121"/>
      <c r="I6805" s="121"/>
      <c r="J6805" s="121"/>
      <c r="K6805" s="121"/>
      <c r="L6805" s="121"/>
      <c r="M6805" s="121"/>
      <c r="N6805" s="524"/>
      <c r="O6805" s="530"/>
      <c r="P6805" s="255"/>
      <c r="Q6805" s="321"/>
      <c r="R6805" s="260"/>
      <c r="S6805" s="260"/>
      <c r="T6805" s="260"/>
      <c r="U6805" s="260"/>
      <c r="V6805" s="260"/>
      <c r="W6805" s="260"/>
      <c r="X6805" s="260"/>
      <c r="Y6805" s="260"/>
      <c r="Z6805" s="260"/>
      <c r="AA6805"/>
      <c r="AB6805"/>
      <c r="AC6805"/>
      <c r="AD6805"/>
      <c r="AE6805"/>
      <c r="AF6805"/>
      <c r="AG6805"/>
      <c r="AH6805"/>
      <c r="AI6805"/>
      <c r="AJ6805"/>
      <c r="AK6805"/>
      <c r="AL6805"/>
      <c r="AM6805"/>
      <c r="AN6805"/>
    </row>
    <row r="6806" spans="1:40" s="47" customFormat="1">
      <c r="A6806" s="121"/>
      <c r="B6806" s="121"/>
      <c r="C6806" s="121"/>
      <c r="D6806" s="121"/>
      <c r="E6806" s="121"/>
      <c r="F6806" s="121"/>
      <c r="G6806" s="121"/>
      <c r="H6806" s="121"/>
      <c r="I6806" s="121"/>
      <c r="J6806" s="121"/>
      <c r="K6806" s="121"/>
      <c r="L6806" s="121"/>
      <c r="M6806" s="121"/>
      <c r="N6806" s="524"/>
      <c r="O6806" s="530"/>
      <c r="P6806" s="260"/>
      <c r="Q6806" s="321"/>
      <c r="R6806" s="260"/>
      <c r="S6806" s="260"/>
      <c r="T6806" s="260"/>
      <c r="U6806" s="260"/>
      <c r="V6806" s="260"/>
      <c r="W6806" s="260"/>
      <c r="X6806" s="260"/>
      <c r="Y6806" s="260"/>
      <c r="Z6806" s="260"/>
      <c r="AA6806"/>
      <c r="AB6806"/>
      <c r="AC6806"/>
      <c r="AD6806"/>
      <c r="AE6806"/>
      <c r="AF6806"/>
      <c r="AG6806"/>
      <c r="AH6806"/>
      <c r="AI6806"/>
      <c r="AJ6806"/>
      <c r="AK6806"/>
      <c r="AL6806"/>
      <c r="AM6806"/>
      <c r="AN6806"/>
    </row>
    <row r="6807" spans="1:40" s="47" customFormat="1">
      <c r="A6807" s="121"/>
      <c r="B6807" s="121"/>
      <c r="C6807" s="121"/>
      <c r="D6807" s="121"/>
      <c r="E6807" s="121"/>
      <c r="F6807" s="121"/>
      <c r="G6807" s="121"/>
      <c r="H6807" s="121"/>
      <c r="I6807" s="121"/>
      <c r="J6807" s="121"/>
      <c r="K6807" s="121"/>
      <c r="L6807" s="121"/>
      <c r="M6807" s="121"/>
      <c r="N6807" s="223"/>
      <c r="O6807" s="531"/>
      <c r="P6807" s="260"/>
      <c r="Q6807" s="321"/>
      <c r="R6807" s="260"/>
      <c r="S6807" s="260"/>
      <c r="T6807" s="260"/>
      <c r="U6807" s="260"/>
      <c r="V6807" s="260"/>
      <c r="W6807" s="260"/>
      <c r="X6807" s="260"/>
      <c r="Y6807" s="260"/>
      <c r="Z6807" s="260"/>
      <c r="AA6807"/>
      <c r="AB6807"/>
      <c r="AC6807"/>
      <c r="AD6807"/>
      <c r="AE6807"/>
      <c r="AF6807"/>
      <c r="AG6807"/>
      <c r="AH6807"/>
      <c r="AI6807"/>
      <c r="AJ6807"/>
      <c r="AK6807"/>
      <c r="AL6807"/>
      <c r="AM6807"/>
      <c r="AN6807"/>
    </row>
    <row r="6808" spans="1:40" s="47" customFormat="1">
      <c r="A6808" s="121"/>
      <c r="B6808" s="121"/>
      <c r="C6808" s="121"/>
      <c r="D6808" s="121"/>
      <c r="E6808" s="121"/>
      <c r="F6808" s="121"/>
      <c r="G6808" s="121"/>
      <c r="H6808" s="121"/>
      <c r="I6808" s="121"/>
      <c r="J6808" s="121"/>
      <c r="K6808" s="121"/>
      <c r="L6808" s="121"/>
      <c r="M6808" s="121"/>
      <c r="N6808" s="524"/>
      <c r="O6808" s="530"/>
      <c r="P6808" s="255"/>
      <c r="Q6808" s="321"/>
      <c r="R6808" s="260"/>
      <c r="S6808" s="260"/>
      <c r="T6808" s="260"/>
      <c r="U6808" s="260"/>
      <c r="V6808" s="260"/>
      <c r="W6808" s="260"/>
      <c r="X6808" s="260"/>
      <c r="Y6808" s="260"/>
      <c r="Z6808" s="260"/>
      <c r="AA6808"/>
      <c r="AB6808"/>
      <c r="AC6808"/>
      <c r="AD6808"/>
      <c r="AE6808"/>
      <c r="AF6808"/>
      <c r="AG6808"/>
      <c r="AH6808"/>
      <c r="AI6808"/>
      <c r="AJ6808"/>
      <c r="AK6808"/>
      <c r="AL6808"/>
      <c r="AM6808"/>
      <c r="AN6808"/>
    </row>
    <row r="6809" spans="1:40" s="47" customFormat="1">
      <c r="A6809" s="121"/>
      <c r="B6809" s="121"/>
      <c r="C6809" s="121"/>
      <c r="D6809" s="121"/>
      <c r="E6809" s="121"/>
      <c r="F6809" s="121"/>
      <c r="G6809" s="121"/>
      <c r="H6809" s="121"/>
      <c r="I6809" s="121"/>
      <c r="J6809" s="121"/>
      <c r="K6809" s="121"/>
      <c r="L6809" s="121"/>
      <c r="M6809" s="121"/>
      <c r="N6809" s="524"/>
      <c r="O6809" s="530"/>
      <c r="P6809" s="260"/>
      <c r="Q6809" s="321"/>
      <c r="R6809" s="260"/>
      <c r="S6809" s="260"/>
      <c r="T6809" s="260"/>
      <c r="U6809" s="260"/>
      <c r="V6809" s="260"/>
      <c r="W6809" s="260"/>
      <c r="X6809" s="260"/>
      <c r="Y6809" s="260"/>
      <c r="Z6809" s="260"/>
      <c r="AA6809"/>
      <c r="AB6809"/>
      <c r="AC6809"/>
      <c r="AD6809"/>
      <c r="AE6809"/>
      <c r="AF6809"/>
      <c r="AG6809"/>
      <c r="AH6809"/>
      <c r="AI6809"/>
      <c r="AJ6809"/>
      <c r="AK6809"/>
      <c r="AL6809"/>
      <c r="AM6809"/>
      <c r="AN6809"/>
    </row>
    <row r="6810" spans="1:40" s="47" customFormat="1">
      <c r="A6810" s="121"/>
      <c r="B6810" s="121"/>
      <c r="C6810" s="121"/>
      <c r="D6810" s="121"/>
      <c r="E6810" s="121"/>
      <c r="F6810" s="121"/>
      <c r="G6810" s="121"/>
      <c r="H6810" s="121"/>
      <c r="I6810" s="121"/>
      <c r="J6810" s="121"/>
      <c r="K6810" s="121"/>
      <c r="L6810" s="121"/>
      <c r="M6810" s="121"/>
      <c r="N6810" s="504" t="s">
        <v>633</v>
      </c>
      <c r="O6810" s="532" t="s">
        <v>2819</v>
      </c>
      <c r="P6810" s="257"/>
      <c r="Q6810" s="321"/>
      <c r="R6810" s="260"/>
      <c r="S6810" s="260"/>
      <c r="T6810" s="260"/>
      <c r="U6810" s="260"/>
      <c r="V6810" s="260"/>
      <c r="W6810" s="262">
        <f>'РО 01.01 - 30.06'!W6810+'РО 01.07 - 31.08'!W6810+'РО 01.09 - 31.12'!W6810</f>
        <v>0</v>
      </c>
      <c r="X6810" s="260"/>
      <c r="Y6810" s="260"/>
      <c r="Z6810" s="262">
        <f>'РО 01.01 - 30.06'!Z6810+'РО 01.07 - 31.08'!Z6810+'РО 01.09 - 31.12'!Z6810</f>
        <v>0</v>
      </c>
      <c r="AA6810"/>
      <c r="AB6810"/>
      <c r="AC6810"/>
      <c r="AD6810"/>
      <c r="AE6810"/>
      <c r="AF6810"/>
      <c r="AG6810"/>
      <c r="AH6810"/>
      <c r="AI6810"/>
      <c r="AJ6810"/>
      <c r="AK6810"/>
      <c r="AL6810"/>
      <c r="AM6810"/>
      <c r="AN6810"/>
    </row>
    <row r="6811" spans="1:40" s="47" customFormat="1">
      <c r="A6811" s="121"/>
      <c r="B6811" s="121"/>
      <c r="C6811" s="121"/>
      <c r="D6811" s="121"/>
      <c r="E6811" s="121"/>
      <c r="F6811" s="121"/>
      <c r="G6811" s="121"/>
      <c r="H6811" s="121"/>
      <c r="I6811" s="121"/>
      <c r="J6811" s="121"/>
      <c r="K6811" s="121"/>
      <c r="L6811" s="121"/>
      <c r="M6811" s="121"/>
      <c r="N6811" s="504" t="s">
        <v>69</v>
      </c>
      <c r="O6811" s="527" t="s">
        <v>2820</v>
      </c>
      <c r="P6811" s="257"/>
      <c r="Q6811" s="321"/>
      <c r="R6811" s="260"/>
      <c r="S6811" s="260"/>
      <c r="T6811" s="260"/>
      <c r="U6811" s="260"/>
      <c r="V6811" s="260"/>
      <c r="W6811" s="262">
        <f>'РО 01.01 - 30.06'!W6811+'РО 01.07 - 31.08'!W6811+'РО 01.09 - 31.12'!W6811</f>
        <v>0</v>
      </c>
      <c r="X6811" s="260"/>
      <c r="Y6811" s="260"/>
      <c r="Z6811" s="262">
        <f>'РО 01.01 - 30.06'!Z6811+'РО 01.07 - 31.08'!Z6811+'РО 01.09 - 31.12'!Z6811</f>
        <v>0</v>
      </c>
      <c r="AA6811"/>
      <c r="AB6811"/>
      <c r="AC6811"/>
      <c r="AD6811"/>
      <c r="AE6811"/>
      <c r="AF6811"/>
      <c r="AG6811"/>
      <c r="AH6811"/>
      <c r="AI6811"/>
      <c r="AJ6811"/>
      <c r="AK6811"/>
      <c r="AL6811"/>
      <c r="AM6811"/>
      <c r="AN6811"/>
    </row>
    <row r="6812" spans="1:40" s="47" customFormat="1">
      <c r="A6812" s="121"/>
      <c r="B6812" s="121"/>
      <c r="C6812" s="121"/>
      <c r="D6812" s="121"/>
      <c r="E6812" s="121"/>
      <c r="F6812" s="121"/>
      <c r="G6812" s="121"/>
      <c r="H6812" s="121"/>
      <c r="I6812" s="121"/>
      <c r="J6812" s="121"/>
      <c r="K6812" s="121"/>
      <c r="L6812" s="121"/>
      <c r="M6812" s="121"/>
      <c r="N6812" s="504" t="s">
        <v>72</v>
      </c>
      <c r="O6812" s="527" t="s">
        <v>2471</v>
      </c>
      <c r="P6812" s="257"/>
      <c r="Q6812" s="321"/>
      <c r="R6812" s="260"/>
      <c r="S6812" s="260"/>
      <c r="T6812" s="260"/>
      <c r="U6812" s="260"/>
      <c r="V6812" s="260"/>
      <c r="W6812" s="262">
        <f>'РО 01.01 - 30.06'!W6812+'РО 01.07 - 31.08'!W6812+'РО 01.09 - 31.12'!W6812</f>
        <v>0</v>
      </c>
      <c r="X6812" s="260"/>
      <c r="Y6812" s="260"/>
      <c r="Z6812" s="262">
        <f>'РО 01.01 - 30.06'!Z6812+'РО 01.07 - 31.08'!Z6812+'РО 01.09 - 31.12'!Z6812</f>
        <v>0</v>
      </c>
      <c r="AA6812"/>
      <c r="AB6812"/>
      <c r="AC6812"/>
      <c r="AD6812"/>
      <c r="AE6812"/>
      <c r="AF6812"/>
      <c r="AG6812"/>
      <c r="AH6812"/>
      <c r="AI6812"/>
      <c r="AJ6812"/>
      <c r="AK6812"/>
      <c r="AL6812"/>
      <c r="AM6812"/>
      <c r="AN6812"/>
    </row>
    <row r="6813" spans="1:40" s="47" customFormat="1">
      <c r="A6813" s="121"/>
      <c r="B6813" s="121"/>
      <c r="C6813" s="121"/>
      <c r="D6813" s="121"/>
      <c r="E6813" s="121"/>
      <c r="F6813" s="121"/>
      <c r="G6813" s="121"/>
      <c r="H6813" s="121"/>
      <c r="I6813" s="121"/>
      <c r="J6813" s="121"/>
      <c r="K6813" s="121"/>
      <c r="L6813" s="121"/>
      <c r="M6813" s="121"/>
      <c r="N6813" s="504" t="s">
        <v>2821</v>
      </c>
      <c r="O6813" s="527" t="s">
        <v>2822</v>
      </c>
      <c r="P6813" s="257"/>
      <c r="Q6813" s="321"/>
      <c r="R6813" s="260"/>
      <c r="S6813" s="260"/>
      <c r="T6813" s="260"/>
      <c r="U6813" s="260"/>
      <c r="V6813" s="260"/>
      <c r="W6813" s="262">
        <f>'РО 01.01 - 30.06'!W6813+'РО 01.07 - 31.08'!W6813+'РО 01.09 - 31.12'!W6813</f>
        <v>0</v>
      </c>
      <c r="X6813" s="260"/>
      <c r="Y6813" s="260"/>
      <c r="Z6813" s="262">
        <f>'РО 01.01 - 30.06'!Z6813+'РО 01.07 - 31.08'!Z6813+'РО 01.09 - 31.12'!Z6813</f>
        <v>0</v>
      </c>
      <c r="AA6813"/>
      <c r="AB6813"/>
      <c r="AC6813"/>
      <c r="AD6813"/>
      <c r="AE6813"/>
      <c r="AF6813"/>
      <c r="AG6813"/>
      <c r="AH6813"/>
      <c r="AI6813"/>
      <c r="AJ6813"/>
      <c r="AK6813"/>
      <c r="AL6813"/>
      <c r="AM6813"/>
      <c r="AN6813"/>
    </row>
    <row r="6814" spans="1:40" s="47" customFormat="1">
      <c r="A6814" s="121"/>
      <c r="B6814" s="121"/>
      <c r="C6814" s="121"/>
      <c r="D6814" s="121"/>
      <c r="E6814" s="121"/>
      <c r="F6814" s="121"/>
      <c r="G6814" s="121"/>
      <c r="H6814" s="121"/>
      <c r="I6814" s="121"/>
      <c r="J6814" s="121"/>
      <c r="K6814" s="121"/>
      <c r="L6814" s="121"/>
      <c r="M6814" s="121"/>
      <c r="N6814" s="504" t="s">
        <v>888</v>
      </c>
      <c r="O6814" s="528" t="s">
        <v>2823</v>
      </c>
      <c r="P6814" s="257"/>
      <c r="Q6814" s="321"/>
      <c r="R6814" s="260"/>
      <c r="S6814" s="260"/>
      <c r="T6814" s="260"/>
      <c r="U6814" s="260"/>
      <c r="V6814" s="260"/>
      <c r="W6814" s="262">
        <f>'РО 01.01 - 30.06'!W6814+'РО 01.07 - 31.08'!W6814+'РО 01.09 - 31.12'!W6814</f>
        <v>0</v>
      </c>
      <c r="X6814" s="260"/>
      <c r="Y6814" s="260"/>
      <c r="Z6814" s="262">
        <f>'РО 01.01 - 30.06'!Z6814+'РО 01.07 - 31.08'!Z6814+'РО 01.09 - 31.12'!Z6814</f>
        <v>0</v>
      </c>
      <c r="AA6814"/>
      <c r="AB6814"/>
      <c r="AC6814"/>
      <c r="AD6814"/>
      <c r="AE6814"/>
      <c r="AF6814"/>
      <c r="AG6814"/>
      <c r="AH6814"/>
      <c r="AI6814"/>
      <c r="AJ6814"/>
      <c r="AK6814"/>
      <c r="AL6814"/>
      <c r="AM6814"/>
      <c r="AN6814"/>
    </row>
    <row r="6815" spans="1:40" s="47" customFormat="1">
      <c r="A6815" s="121"/>
      <c r="B6815" s="121"/>
      <c r="C6815" s="121"/>
      <c r="D6815" s="121"/>
      <c r="E6815" s="121"/>
      <c r="F6815" s="121"/>
      <c r="G6815" s="121"/>
      <c r="H6815" s="121"/>
      <c r="I6815" s="121"/>
      <c r="J6815" s="121"/>
      <c r="K6815" s="121"/>
      <c r="L6815" s="121"/>
      <c r="M6815" s="121"/>
      <c r="N6815" s="504" t="s">
        <v>889</v>
      </c>
      <c r="O6815" s="528" t="s">
        <v>2824</v>
      </c>
      <c r="P6815" s="257"/>
      <c r="Q6815" s="321"/>
      <c r="R6815" s="260"/>
      <c r="S6815" s="260"/>
      <c r="T6815" s="260"/>
      <c r="U6815" s="260"/>
      <c r="V6815" s="260"/>
      <c r="W6815" s="262">
        <f>'РО 01.01 - 30.06'!W6815+'РО 01.07 - 31.08'!W6815+'РО 01.09 - 31.12'!W6815</f>
        <v>0</v>
      </c>
      <c r="X6815" s="260"/>
      <c r="Y6815" s="260"/>
      <c r="Z6815" s="262">
        <f>'РО 01.01 - 30.06'!Z6815+'РО 01.07 - 31.08'!Z6815+'РО 01.09 - 31.12'!Z6815</f>
        <v>0</v>
      </c>
      <c r="AA6815"/>
      <c r="AB6815"/>
      <c r="AC6815"/>
      <c r="AD6815"/>
      <c r="AE6815"/>
      <c r="AF6815"/>
      <c r="AG6815"/>
      <c r="AH6815"/>
      <c r="AI6815"/>
      <c r="AJ6815"/>
      <c r="AK6815"/>
      <c r="AL6815"/>
      <c r="AM6815"/>
      <c r="AN6815"/>
    </row>
    <row r="6816" spans="1:40" s="47" customFormat="1">
      <c r="A6816" s="121"/>
      <c r="B6816" s="121"/>
      <c r="C6816" s="121"/>
      <c r="D6816" s="121"/>
      <c r="E6816" s="121"/>
      <c r="F6816" s="121"/>
      <c r="G6816" s="121"/>
      <c r="H6816" s="121"/>
      <c r="I6816" s="121"/>
      <c r="J6816" s="121"/>
      <c r="K6816" s="121"/>
      <c r="L6816" s="121"/>
      <c r="M6816" s="121"/>
      <c r="N6816" s="504" t="s">
        <v>890</v>
      </c>
      <c r="O6816" s="528" t="s">
        <v>2825</v>
      </c>
      <c r="P6816" s="257"/>
      <c r="Q6816" s="321"/>
      <c r="R6816" s="260"/>
      <c r="S6816" s="260"/>
      <c r="T6816" s="260"/>
      <c r="U6816" s="260"/>
      <c r="V6816" s="260"/>
      <c r="W6816" s="262">
        <f>'РО 01.01 - 30.06'!W6816+'РО 01.07 - 31.08'!W6816+'РО 01.09 - 31.12'!W6816</f>
        <v>0</v>
      </c>
      <c r="X6816" s="260"/>
      <c r="Y6816" s="260"/>
      <c r="Z6816" s="262">
        <f>'РО 01.01 - 30.06'!Z6816+'РО 01.07 - 31.08'!Z6816+'РО 01.09 - 31.12'!Z6816</f>
        <v>0</v>
      </c>
      <c r="AA6816"/>
      <c r="AB6816"/>
      <c r="AC6816"/>
      <c r="AD6816"/>
      <c r="AE6816"/>
      <c r="AF6816"/>
      <c r="AG6816"/>
      <c r="AH6816"/>
      <c r="AI6816"/>
      <c r="AJ6816"/>
      <c r="AK6816"/>
      <c r="AL6816"/>
      <c r="AM6816"/>
      <c r="AN6816"/>
    </row>
    <row r="6817" spans="1:40" s="47" customFormat="1">
      <c r="A6817" s="121"/>
      <c r="B6817" s="121"/>
      <c r="C6817" s="121"/>
      <c r="D6817" s="121"/>
      <c r="E6817" s="121"/>
      <c r="F6817" s="121"/>
      <c r="G6817" s="121"/>
      <c r="H6817" s="121"/>
      <c r="I6817" s="121"/>
      <c r="J6817" s="121"/>
      <c r="K6817" s="121"/>
      <c r="L6817" s="121"/>
      <c r="M6817" s="121"/>
      <c r="N6817" s="504" t="s">
        <v>2826</v>
      </c>
      <c r="O6817" s="527" t="s">
        <v>2827</v>
      </c>
      <c r="P6817" s="257"/>
      <c r="Q6817" s="321"/>
      <c r="R6817" s="260"/>
      <c r="S6817" s="260"/>
      <c r="T6817" s="260"/>
      <c r="U6817" s="260"/>
      <c r="V6817" s="260"/>
      <c r="W6817" s="262">
        <f>'РО 01.01 - 30.06'!W6817+'РО 01.07 - 31.08'!W6817+'РО 01.09 - 31.12'!W6817</f>
        <v>0</v>
      </c>
      <c r="X6817" s="260"/>
      <c r="Y6817" s="260"/>
      <c r="Z6817" s="262">
        <f>'РО 01.01 - 30.06'!Z6817+'РО 01.07 - 31.08'!Z6817+'РО 01.09 - 31.12'!Z6817</f>
        <v>0</v>
      </c>
      <c r="AA6817"/>
      <c r="AB6817"/>
      <c r="AC6817"/>
      <c r="AD6817"/>
      <c r="AE6817"/>
      <c r="AF6817"/>
      <c r="AG6817"/>
      <c r="AH6817"/>
      <c r="AI6817"/>
      <c r="AJ6817"/>
      <c r="AK6817"/>
      <c r="AL6817"/>
      <c r="AM6817"/>
      <c r="AN6817"/>
    </row>
    <row r="6818" spans="1:40" s="47" customFormat="1">
      <c r="A6818" s="121"/>
      <c r="B6818" s="121"/>
      <c r="C6818" s="121"/>
      <c r="D6818" s="121"/>
      <c r="E6818" s="121"/>
      <c r="F6818" s="121"/>
      <c r="G6818" s="121"/>
      <c r="H6818" s="121"/>
      <c r="I6818" s="121"/>
      <c r="J6818" s="121"/>
      <c r="K6818" s="121"/>
      <c r="L6818" s="121"/>
      <c r="M6818" s="121"/>
      <c r="N6818" s="504" t="s">
        <v>2828</v>
      </c>
      <c r="O6818" s="527" t="s">
        <v>2829</v>
      </c>
      <c r="P6818" s="257"/>
      <c r="Q6818" s="321"/>
      <c r="R6818" s="260"/>
      <c r="S6818" s="260"/>
      <c r="T6818" s="260"/>
      <c r="U6818" s="260"/>
      <c r="V6818" s="260"/>
      <c r="W6818" s="262">
        <f>'РО 01.01 - 30.06'!W6818+'РО 01.07 - 31.08'!W6818+'РО 01.09 - 31.12'!W6818</f>
        <v>0</v>
      </c>
      <c r="X6818" s="260"/>
      <c r="Y6818" s="260"/>
      <c r="Z6818" s="262">
        <f>'РО 01.01 - 30.06'!Z6818+'РО 01.07 - 31.08'!Z6818+'РО 01.09 - 31.12'!Z6818</f>
        <v>0</v>
      </c>
      <c r="AA6818"/>
      <c r="AB6818"/>
      <c r="AC6818"/>
      <c r="AD6818"/>
      <c r="AE6818"/>
      <c r="AF6818"/>
      <c r="AG6818"/>
      <c r="AH6818"/>
      <c r="AI6818"/>
      <c r="AJ6818"/>
      <c r="AK6818"/>
      <c r="AL6818"/>
      <c r="AM6818"/>
      <c r="AN6818"/>
    </row>
    <row r="6819" spans="1:40" s="47" customFormat="1">
      <c r="A6819" s="121"/>
      <c r="B6819" s="121"/>
      <c r="C6819" s="121"/>
      <c r="D6819" s="121"/>
      <c r="E6819" s="121"/>
      <c r="F6819" s="121"/>
      <c r="G6819" s="121"/>
      <c r="H6819" s="121"/>
      <c r="I6819" s="121"/>
      <c r="J6819" s="121"/>
      <c r="K6819" s="121"/>
      <c r="L6819" s="121"/>
      <c r="M6819" s="121"/>
      <c r="N6819" s="504" t="s">
        <v>2830</v>
      </c>
      <c r="O6819" s="527" t="s">
        <v>2831</v>
      </c>
      <c r="P6819" s="257"/>
      <c r="Q6819" s="321"/>
      <c r="R6819" s="260"/>
      <c r="S6819" s="260"/>
      <c r="T6819" s="260"/>
      <c r="U6819" s="260"/>
      <c r="V6819" s="260"/>
      <c r="W6819" s="262">
        <f>'РО 01.01 - 30.06'!W6819+'РО 01.07 - 31.08'!W6819+'РО 01.09 - 31.12'!W6819</f>
        <v>0</v>
      </c>
      <c r="X6819" s="260"/>
      <c r="Y6819" s="260"/>
      <c r="Z6819" s="262">
        <f>'РО 01.01 - 30.06'!Z6819+'РО 01.07 - 31.08'!Z6819+'РО 01.09 - 31.12'!Z6819</f>
        <v>0</v>
      </c>
      <c r="AA6819"/>
      <c r="AB6819"/>
      <c r="AC6819"/>
      <c r="AD6819"/>
      <c r="AE6819"/>
      <c r="AF6819"/>
      <c r="AG6819"/>
      <c r="AH6819"/>
      <c r="AI6819"/>
      <c r="AJ6819"/>
      <c r="AK6819"/>
      <c r="AL6819"/>
      <c r="AM6819"/>
      <c r="AN6819"/>
    </row>
    <row r="6820" spans="1:40" s="47" customFormat="1">
      <c r="A6820" s="121"/>
      <c r="B6820" s="121"/>
      <c r="C6820" s="121"/>
      <c r="D6820" s="121"/>
      <c r="E6820" s="121"/>
      <c r="F6820" s="121"/>
      <c r="G6820" s="121"/>
      <c r="H6820" s="121"/>
      <c r="I6820" s="121"/>
      <c r="J6820" s="121"/>
      <c r="K6820" s="121"/>
      <c r="L6820" s="121"/>
      <c r="M6820" s="121"/>
      <c r="N6820" s="222"/>
      <c r="O6820" s="529"/>
      <c r="P6820" s="255"/>
      <c r="Q6820" s="321"/>
      <c r="R6820" s="260"/>
      <c r="S6820" s="260"/>
      <c r="T6820" s="260"/>
      <c r="U6820" s="260"/>
      <c r="V6820" s="260"/>
      <c r="W6820" s="260"/>
      <c r="X6820" s="260"/>
      <c r="Y6820" s="260"/>
      <c r="Z6820" s="260"/>
      <c r="AA6820"/>
      <c r="AB6820"/>
      <c r="AC6820"/>
      <c r="AD6820"/>
      <c r="AE6820"/>
      <c r="AF6820"/>
      <c r="AG6820"/>
      <c r="AH6820"/>
      <c r="AI6820"/>
      <c r="AJ6820"/>
      <c r="AK6820"/>
      <c r="AL6820"/>
      <c r="AM6820"/>
      <c r="AN6820"/>
    </row>
    <row r="6821" spans="1:40" s="47" customFormat="1">
      <c r="A6821" s="121"/>
      <c r="B6821" s="121"/>
      <c r="C6821" s="121"/>
      <c r="D6821" s="121"/>
      <c r="E6821" s="121"/>
      <c r="F6821" s="121"/>
      <c r="G6821" s="121"/>
      <c r="H6821" s="121"/>
      <c r="I6821" s="121"/>
      <c r="J6821" s="121"/>
      <c r="K6821" s="121"/>
      <c r="L6821" s="121"/>
      <c r="M6821" s="121"/>
      <c r="N6821" s="222"/>
      <c r="O6821" s="529"/>
      <c r="P6821" s="255"/>
      <c r="Q6821" s="321"/>
      <c r="R6821" s="260"/>
      <c r="S6821" s="260"/>
      <c r="T6821" s="260"/>
      <c r="U6821" s="260"/>
      <c r="V6821" s="260"/>
      <c r="W6821" s="260"/>
      <c r="X6821" s="260"/>
      <c r="Y6821" s="260"/>
      <c r="Z6821" s="260"/>
      <c r="AA6821"/>
      <c r="AB6821"/>
      <c r="AC6821"/>
      <c r="AD6821"/>
      <c r="AE6821"/>
      <c r="AF6821"/>
      <c r="AG6821"/>
      <c r="AH6821"/>
      <c r="AI6821"/>
      <c r="AJ6821"/>
      <c r="AK6821"/>
      <c r="AL6821"/>
      <c r="AM6821"/>
      <c r="AN6821"/>
    </row>
    <row r="6822" spans="1:40" s="47" customFormat="1">
      <c r="A6822" s="121"/>
      <c r="B6822" s="121"/>
      <c r="C6822" s="121"/>
      <c r="D6822" s="121"/>
      <c r="E6822" s="121"/>
      <c r="F6822" s="121"/>
      <c r="G6822" s="121"/>
      <c r="H6822" s="121"/>
      <c r="I6822" s="121"/>
      <c r="J6822" s="121"/>
      <c r="K6822" s="121"/>
      <c r="L6822" s="121"/>
      <c r="M6822" s="121"/>
      <c r="N6822" s="222"/>
      <c r="O6822" s="529"/>
      <c r="P6822" s="255"/>
      <c r="Q6822" s="321"/>
      <c r="R6822" s="260"/>
      <c r="S6822" s="260"/>
      <c r="T6822" s="260"/>
      <c r="U6822" s="260"/>
      <c r="V6822" s="260"/>
      <c r="W6822" s="260"/>
      <c r="X6822" s="260"/>
      <c r="Y6822" s="260"/>
      <c r="Z6822" s="260"/>
      <c r="AA6822"/>
      <c r="AB6822"/>
      <c r="AC6822"/>
      <c r="AD6822"/>
      <c r="AE6822"/>
      <c r="AF6822"/>
      <c r="AG6822"/>
      <c r="AH6822"/>
      <c r="AI6822"/>
      <c r="AJ6822"/>
      <c r="AK6822"/>
      <c r="AL6822"/>
      <c r="AM6822"/>
      <c r="AN6822"/>
    </row>
    <row r="6823" spans="1:40" s="47" customFormat="1">
      <c r="A6823" s="121"/>
      <c r="B6823" s="121"/>
      <c r="C6823" s="121"/>
      <c r="D6823" s="121"/>
      <c r="E6823" s="121"/>
      <c r="F6823" s="121"/>
      <c r="G6823" s="121"/>
      <c r="H6823" s="121"/>
      <c r="I6823" s="121"/>
      <c r="J6823" s="121"/>
      <c r="K6823" s="121"/>
      <c r="L6823" s="121"/>
      <c r="M6823" s="121"/>
      <c r="N6823" s="222" t="s">
        <v>2832</v>
      </c>
      <c r="O6823" s="533" t="s">
        <v>1832</v>
      </c>
      <c r="P6823" s="257"/>
      <c r="Q6823" s="321"/>
      <c r="R6823" s="260"/>
      <c r="S6823" s="260"/>
      <c r="T6823" s="260"/>
      <c r="U6823" s="260"/>
      <c r="V6823" s="260"/>
      <c r="W6823" s="262">
        <f>'РО 01.01 - 30.06'!W6823+'РО 01.07 - 31.08'!W6823+'РО 01.09 - 31.12'!W6823</f>
        <v>0</v>
      </c>
      <c r="X6823" s="260"/>
      <c r="Y6823" s="260"/>
      <c r="Z6823" s="262">
        <f>'РО 01.01 - 30.06'!Z6823+'РО 01.07 - 31.08'!Z6823+'РО 01.09 - 31.12'!Z6823</f>
        <v>0</v>
      </c>
      <c r="AA6823"/>
      <c r="AB6823"/>
      <c r="AC6823"/>
      <c r="AD6823"/>
      <c r="AE6823"/>
      <c r="AF6823"/>
      <c r="AG6823"/>
      <c r="AH6823"/>
      <c r="AI6823"/>
      <c r="AJ6823"/>
      <c r="AK6823"/>
      <c r="AL6823"/>
      <c r="AM6823"/>
      <c r="AN6823"/>
    </row>
    <row r="6824" spans="1:40" s="47" customFormat="1">
      <c r="A6824" s="121"/>
      <c r="B6824" s="121"/>
      <c r="C6824" s="121"/>
      <c r="D6824" s="121"/>
      <c r="E6824" s="121"/>
      <c r="F6824" s="121"/>
      <c r="G6824" s="121"/>
      <c r="H6824" s="121"/>
      <c r="I6824" s="121"/>
      <c r="J6824" s="121"/>
      <c r="K6824" s="121"/>
      <c r="L6824" s="121"/>
      <c r="M6824" s="121"/>
      <c r="N6824" s="222"/>
      <c r="O6824" s="529"/>
      <c r="P6824" s="255"/>
      <c r="Q6824" s="321"/>
      <c r="R6824" s="260"/>
      <c r="S6824" s="260"/>
      <c r="T6824" s="260"/>
      <c r="U6824" s="260"/>
      <c r="V6824" s="260"/>
      <c r="W6824" s="260"/>
      <c r="X6824" s="260"/>
      <c r="Y6824" s="260"/>
      <c r="Z6824" s="260"/>
      <c r="AA6824"/>
      <c r="AB6824"/>
      <c r="AC6824"/>
      <c r="AD6824"/>
      <c r="AE6824"/>
      <c r="AF6824"/>
      <c r="AG6824"/>
      <c r="AH6824"/>
      <c r="AI6824"/>
      <c r="AJ6824"/>
      <c r="AK6824"/>
      <c r="AL6824"/>
      <c r="AM6824"/>
      <c r="AN6824"/>
    </row>
    <row r="6825" spans="1:40" s="47" customFormat="1">
      <c r="A6825" s="121"/>
      <c r="B6825" s="121"/>
      <c r="C6825" s="121"/>
      <c r="D6825" s="121"/>
      <c r="E6825" s="121"/>
      <c r="F6825" s="121"/>
      <c r="G6825" s="121"/>
      <c r="H6825" s="121"/>
      <c r="I6825" s="121"/>
      <c r="J6825" s="121"/>
      <c r="K6825" s="121"/>
      <c r="L6825" s="121"/>
      <c r="M6825" s="121"/>
      <c r="N6825" s="222"/>
      <c r="O6825" s="529"/>
      <c r="P6825" s="260"/>
      <c r="Q6825" s="321"/>
      <c r="R6825" s="260"/>
      <c r="S6825" s="260"/>
      <c r="T6825" s="260"/>
      <c r="U6825" s="260"/>
      <c r="V6825" s="260"/>
      <c r="W6825" s="260"/>
      <c r="X6825" s="260"/>
      <c r="Y6825" s="260"/>
      <c r="Z6825" s="260"/>
      <c r="AA6825"/>
      <c r="AB6825"/>
      <c r="AC6825"/>
      <c r="AD6825"/>
      <c r="AE6825"/>
      <c r="AF6825"/>
      <c r="AG6825"/>
      <c r="AH6825"/>
      <c r="AI6825"/>
      <c r="AJ6825"/>
      <c r="AK6825"/>
      <c r="AL6825"/>
      <c r="AM6825"/>
      <c r="AN6825"/>
    </row>
    <row r="6826" spans="1:40" s="47" customFormat="1">
      <c r="A6826" s="121"/>
      <c r="B6826" s="121"/>
      <c r="C6826" s="121"/>
      <c r="D6826" s="121"/>
      <c r="E6826" s="121"/>
      <c r="F6826" s="121"/>
      <c r="G6826" s="121"/>
      <c r="H6826" s="121"/>
      <c r="I6826" s="121"/>
      <c r="J6826" s="121"/>
      <c r="K6826" s="121"/>
      <c r="L6826" s="121"/>
      <c r="M6826" s="121"/>
      <c r="N6826" s="222"/>
      <c r="O6826" s="563"/>
      <c r="P6826" s="260"/>
      <c r="Q6826" s="321"/>
      <c r="R6826" s="260"/>
      <c r="S6826" s="260"/>
      <c r="T6826" s="260"/>
      <c r="U6826" s="260"/>
      <c r="V6826" s="260"/>
      <c r="W6826" s="260"/>
      <c r="X6826" s="260"/>
      <c r="Y6826" s="260"/>
      <c r="Z6826" s="260"/>
      <c r="AA6826"/>
      <c r="AB6826"/>
      <c r="AC6826"/>
      <c r="AD6826"/>
      <c r="AE6826"/>
      <c r="AF6826"/>
      <c r="AG6826"/>
      <c r="AH6826"/>
      <c r="AI6826"/>
      <c r="AJ6826"/>
      <c r="AK6826"/>
      <c r="AL6826"/>
      <c r="AM6826"/>
      <c r="AN6826"/>
    </row>
    <row r="6827" spans="1:40" s="47" customFormat="1">
      <c r="A6827" s="121"/>
      <c r="B6827" s="121"/>
      <c r="C6827" s="121"/>
      <c r="D6827" s="121"/>
      <c r="E6827" s="121"/>
      <c r="F6827" s="121"/>
      <c r="G6827" s="121"/>
      <c r="H6827" s="121"/>
      <c r="I6827" s="121"/>
      <c r="J6827" s="121"/>
      <c r="K6827" s="121"/>
      <c r="L6827" s="121"/>
      <c r="M6827" s="121"/>
      <c r="N6827" s="222"/>
      <c r="O6827" s="563"/>
      <c r="P6827" s="260"/>
      <c r="Q6827" s="321"/>
      <c r="R6827" s="260"/>
      <c r="S6827" s="260"/>
      <c r="T6827" s="260"/>
      <c r="U6827" s="260"/>
      <c r="V6827" s="260"/>
      <c r="W6827" s="260"/>
      <c r="X6827" s="260"/>
      <c r="Y6827" s="260"/>
      <c r="Z6827" s="260"/>
      <c r="AA6827"/>
      <c r="AB6827"/>
      <c r="AC6827"/>
      <c r="AD6827"/>
      <c r="AE6827"/>
      <c r="AF6827"/>
      <c r="AG6827"/>
      <c r="AH6827"/>
      <c r="AI6827"/>
      <c r="AJ6827"/>
      <c r="AK6827"/>
      <c r="AL6827"/>
      <c r="AM6827"/>
      <c r="AN6827"/>
    </row>
    <row r="6828" spans="1:40" s="47" customFormat="1">
      <c r="A6828" s="121"/>
      <c r="B6828" s="121"/>
      <c r="C6828" s="121"/>
      <c r="D6828" s="121"/>
      <c r="E6828" s="121"/>
      <c r="F6828" s="121"/>
      <c r="G6828" s="121"/>
      <c r="H6828" s="121"/>
      <c r="I6828" s="121"/>
      <c r="J6828" s="121"/>
      <c r="K6828" s="121"/>
      <c r="L6828" s="121"/>
      <c r="M6828" s="121"/>
      <c r="N6828" s="222"/>
      <c r="O6828" s="563"/>
      <c r="P6828" s="260"/>
      <c r="Q6828" s="321"/>
      <c r="R6828" s="260"/>
      <c r="S6828" s="260"/>
      <c r="T6828" s="260"/>
      <c r="U6828" s="260"/>
      <c r="V6828" s="260"/>
      <c r="W6828" s="260"/>
      <c r="X6828" s="260"/>
      <c r="Y6828" s="260"/>
      <c r="Z6828" s="260"/>
      <c r="AA6828"/>
      <c r="AB6828"/>
      <c r="AC6828"/>
      <c r="AD6828"/>
      <c r="AE6828"/>
      <c r="AF6828"/>
      <c r="AG6828"/>
      <c r="AH6828"/>
      <c r="AI6828"/>
      <c r="AJ6828"/>
      <c r="AK6828"/>
      <c r="AL6828"/>
      <c r="AM6828"/>
      <c r="AN6828"/>
    </row>
    <row r="6829" spans="1:40" s="47" customFormat="1">
      <c r="A6829" s="121"/>
      <c r="B6829" s="121"/>
      <c r="C6829" s="121"/>
      <c r="D6829" s="121"/>
      <c r="E6829" s="121"/>
      <c r="F6829" s="121"/>
      <c r="G6829" s="121"/>
      <c r="H6829" s="121"/>
      <c r="I6829" s="121"/>
      <c r="J6829" s="121"/>
      <c r="K6829" s="121"/>
      <c r="L6829" s="121"/>
      <c r="M6829" s="121"/>
      <c r="N6829" s="222" t="s">
        <v>2835</v>
      </c>
      <c r="O6829" s="533" t="s">
        <v>1838</v>
      </c>
      <c r="P6829" s="257"/>
      <c r="Q6829" s="321"/>
      <c r="R6829" s="260"/>
      <c r="S6829" s="260"/>
      <c r="T6829" s="260"/>
      <c r="U6829" s="260"/>
      <c r="V6829" s="260"/>
      <c r="W6829" s="262">
        <f>'РО 01.01 - 30.06'!W6829+'РО 01.07 - 31.08'!W6829+'РО 01.09 - 31.12'!W6829</f>
        <v>0</v>
      </c>
      <c r="X6829" s="260"/>
      <c r="Y6829" s="260"/>
      <c r="Z6829" s="262">
        <f>'РО 01.01 - 30.06'!Z6829+'РО 01.07 - 31.08'!Z6829+'РО 01.09 - 31.12'!Z6829</f>
        <v>0</v>
      </c>
      <c r="AA6829"/>
      <c r="AB6829"/>
      <c r="AC6829"/>
      <c r="AD6829"/>
      <c r="AE6829"/>
      <c r="AF6829"/>
      <c r="AG6829"/>
      <c r="AH6829"/>
      <c r="AI6829"/>
      <c r="AJ6829"/>
      <c r="AK6829"/>
      <c r="AL6829"/>
      <c r="AM6829"/>
      <c r="AN6829"/>
    </row>
    <row r="6830" spans="1:40" s="47" customFormat="1">
      <c r="A6830" s="121"/>
      <c r="B6830" s="121"/>
      <c r="C6830" s="121"/>
      <c r="D6830" s="121"/>
      <c r="E6830" s="121"/>
      <c r="F6830" s="121"/>
      <c r="G6830" s="121"/>
      <c r="H6830" s="121"/>
      <c r="I6830" s="121"/>
      <c r="J6830" s="121"/>
      <c r="K6830" s="121"/>
      <c r="L6830" s="121"/>
      <c r="M6830" s="121"/>
      <c r="N6830" s="222"/>
      <c r="O6830" s="529"/>
      <c r="P6830" s="255"/>
      <c r="Q6830" s="321"/>
      <c r="R6830" s="260"/>
      <c r="S6830" s="260"/>
      <c r="T6830" s="260"/>
      <c r="U6830" s="260"/>
      <c r="V6830" s="260"/>
      <c r="W6830" s="260"/>
      <c r="X6830" s="260"/>
      <c r="Y6830" s="260"/>
      <c r="Z6830" s="260"/>
      <c r="AA6830"/>
      <c r="AB6830"/>
      <c r="AC6830"/>
      <c r="AD6830"/>
      <c r="AE6830"/>
      <c r="AF6830"/>
      <c r="AG6830"/>
      <c r="AH6830"/>
      <c r="AI6830"/>
      <c r="AJ6830"/>
      <c r="AK6830"/>
      <c r="AL6830"/>
      <c r="AM6830"/>
      <c r="AN6830"/>
    </row>
    <row r="6831" spans="1:40" s="47" customFormat="1">
      <c r="A6831" s="121"/>
      <c r="B6831" s="121"/>
      <c r="C6831" s="121"/>
      <c r="D6831" s="121"/>
      <c r="E6831" s="121"/>
      <c r="F6831" s="121"/>
      <c r="G6831" s="121"/>
      <c r="H6831" s="121"/>
      <c r="I6831" s="121"/>
      <c r="J6831" s="121"/>
      <c r="K6831" s="121"/>
      <c r="L6831" s="121"/>
      <c r="M6831" s="121"/>
      <c r="N6831" s="222"/>
      <c r="O6831" s="529"/>
      <c r="P6831" s="255"/>
      <c r="Q6831" s="321"/>
      <c r="R6831" s="260"/>
      <c r="S6831" s="260"/>
      <c r="T6831" s="260"/>
      <c r="U6831" s="260"/>
      <c r="V6831" s="260"/>
      <c r="W6831" s="260"/>
      <c r="X6831" s="260"/>
      <c r="Y6831" s="260"/>
      <c r="Z6831" s="260"/>
      <c r="AA6831"/>
      <c r="AB6831"/>
      <c r="AC6831"/>
      <c r="AD6831"/>
      <c r="AE6831"/>
      <c r="AF6831"/>
      <c r="AG6831"/>
      <c r="AH6831"/>
      <c r="AI6831"/>
      <c r="AJ6831"/>
      <c r="AK6831"/>
      <c r="AL6831"/>
      <c r="AM6831"/>
      <c r="AN6831"/>
    </row>
    <row r="6832" spans="1:40" s="47" customFormat="1">
      <c r="A6832" s="121"/>
      <c r="B6832" s="121"/>
      <c r="C6832" s="121"/>
      <c r="D6832" s="121"/>
      <c r="E6832" s="121"/>
      <c r="F6832" s="121"/>
      <c r="G6832" s="121"/>
      <c r="H6832" s="121"/>
      <c r="I6832" s="121"/>
      <c r="J6832" s="121"/>
      <c r="K6832" s="121"/>
      <c r="L6832" s="121"/>
      <c r="M6832" s="121"/>
      <c r="N6832" s="222"/>
      <c r="O6832" s="529"/>
      <c r="P6832" s="255"/>
      <c r="Q6832" s="321"/>
      <c r="R6832" s="260"/>
      <c r="S6832" s="260"/>
      <c r="T6832" s="260"/>
      <c r="U6832" s="260"/>
      <c r="V6832" s="260"/>
      <c r="W6832" s="260"/>
      <c r="X6832" s="260"/>
      <c r="Y6832" s="260"/>
      <c r="Z6832" s="260"/>
      <c r="AA6832"/>
      <c r="AB6832"/>
      <c r="AC6832"/>
      <c r="AD6832"/>
      <c r="AE6832"/>
      <c r="AF6832"/>
      <c r="AG6832"/>
      <c r="AH6832"/>
      <c r="AI6832"/>
      <c r="AJ6832"/>
      <c r="AK6832"/>
      <c r="AL6832"/>
      <c r="AM6832"/>
      <c r="AN6832"/>
    </row>
    <row r="6833" spans="1:40" s="47" customFormat="1">
      <c r="A6833" s="121"/>
      <c r="B6833" s="121"/>
      <c r="C6833" s="121"/>
      <c r="D6833" s="121"/>
      <c r="E6833" s="121"/>
      <c r="F6833" s="121"/>
      <c r="G6833" s="121"/>
      <c r="H6833" s="121"/>
      <c r="I6833" s="121"/>
      <c r="J6833" s="121"/>
      <c r="K6833" s="121"/>
      <c r="L6833" s="121"/>
      <c r="M6833" s="121"/>
      <c r="N6833" s="222"/>
      <c r="O6833" s="529"/>
      <c r="P6833" s="255"/>
      <c r="Q6833" s="321"/>
      <c r="R6833" s="260"/>
      <c r="S6833" s="260"/>
      <c r="T6833" s="260"/>
      <c r="U6833" s="260"/>
      <c r="V6833" s="260"/>
      <c r="W6833" s="260"/>
      <c r="X6833" s="260"/>
      <c r="Y6833" s="260"/>
      <c r="Z6833" s="260"/>
      <c r="AA6833"/>
      <c r="AB6833"/>
      <c r="AC6833"/>
      <c r="AD6833"/>
      <c r="AE6833"/>
      <c r="AF6833"/>
      <c r="AG6833"/>
      <c r="AH6833"/>
      <c r="AI6833"/>
      <c r="AJ6833"/>
      <c r="AK6833"/>
      <c r="AL6833"/>
      <c r="AM6833"/>
      <c r="AN6833"/>
    </row>
    <row r="6834" spans="1:40" s="47" customFormat="1">
      <c r="A6834" s="121"/>
      <c r="B6834" s="121"/>
      <c r="C6834" s="121"/>
      <c r="D6834" s="121"/>
      <c r="E6834" s="121"/>
      <c r="F6834" s="121"/>
      <c r="G6834" s="121"/>
      <c r="H6834" s="121"/>
      <c r="I6834" s="121"/>
      <c r="J6834" s="121"/>
      <c r="K6834" s="121"/>
      <c r="L6834" s="121"/>
      <c r="M6834" s="121"/>
      <c r="N6834" s="222"/>
      <c r="O6834" s="529"/>
      <c r="P6834" s="255"/>
      <c r="Q6834" s="321"/>
      <c r="R6834" s="260"/>
      <c r="S6834" s="260"/>
      <c r="T6834" s="260"/>
      <c r="U6834" s="260"/>
      <c r="V6834" s="260"/>
      <c r="W6834" s="260"/>
      <c r="X6834" s="260"/>
      <c r="Y6834" s="260"/>
      <c r="Z6834" s="260"/>
      <c r="AA6834"/>
      <c r="AB6834"/>
      <c r="AC6834"/>
      <c r="AD6834"/>
      <c r="AE6834"/>
      <c r="AF6834"/>
      <c r="AG6834"/>
      <c r="AH6834"/>
      <c r="AI6834"/>
      <c r="AJ6834"/>
      <c r="AK6834"/>
      <c r="AL6834"/>
      <c r="AM6834"/>
      <c r="AN6834"/>
    </row>
    <row r="6835" spans="1:40" s="47" customFormat="1">
      <c r="A6835" s="121"/>
      <c r="B6835" s="121"/>
      <c r="C6835" s="121"/>
      <c r="D6835" s="121"/>
      <c r="E6835" s="121"/>
      <c r="F6835" s="121"/>
      <c r="G6835" s="121"/>
      <c r="H6835" s="121"/>
      <c r="I6835" s="121"/>
      <c r="J6835" s="121"/>
      <c r="K6835" s="121"/>
      <c r="L6835" s="121"/>
      <c r="M6835" s="121"/>
      <c r="N6835" s="222" t="s">
        <v>2838</v>
      </c>
      <c r="O6835" s="533" t="s">
        <v>1843</v>
      </c>
      <c r="P6835" s="257"/>
      <c r="Q6835" s="321"/>
      <c r="R6835" s="260"/>
      <c r="S6835" s="260"/>
      <c r="T6835" s="260"/>
      <c r="U6835" s="260"/>
      <c r="V6835" s="260"/>
      <c r="W6835" s="262">
        <f>'РО 01.01 - 30.06'!W6835+'РО 01.07 - 31.08'!W6835+'РО 01.09 - 31.12'!W6835</f>
        <v>0</v>
      </c>
      <c r="X6835" s="260"/>
      <c r="Y6835" s="260"/>
      <c r="Z6835" s="262">
        <f>'РО 01.01 - 30.06'!Z6835+'РО 01.07 - 31.08'!Z6835+'РО 01.09 - 31.12'!Z6835</f>
        <v>0</v>
      </c>
      <c r="AA6835"/>
      <c r="AB6835"/>
      <c r="AC6835"/>
      <c r="AD6835"/>
      <c r="AE6835"/>
      <c r="AF6835"/>
      <c r="AG6835"/>
      <c r="AH6835"/>
      <c r="AI6835"/>
      <c r="AJ6835"/>
      <c r="AK6835"/>
      <c r="AL6835"/>
      <c r="AM6835"/>
      <c r="AN6835"/>
    </row>
    <row r="6836" spans="1:40" s="47" customFormat="1">
      <c r="A6836" s="121"/>
      <c r="B6836" s="121"/>
      <c r="C6836" s="121"/>
      <c r="D6836" s="121"/>
      <c r="E6836" s="121"/>
      <c r="F6836" s="121"/>
      <c r="G6836" s="121"/>
      <c r="H6836" s="121"/>
      <c r="I6836" s="121"/>
      <c r="J6836" s="121"/>
      <c r="K6836" s="121"/>
      <c r="L6836" s="121"/>
      <c r="M6836" s="121"/>
      <c r="N6836" s="222"/>
      <c r="O6836" s="529"/>
      <c r="P6836" s="255"/>
      <c r="Q6836" s="321"/>
      <c r="R6836" s="260"/>
      <c r="S6836" s="260"/>
      <c r="T6836" s="260"/>
      <c r="U6836" s="260"/>
      <c r="V6836" s="260"/>
      <c r="W6836" s="260"/>
      <c r="X6836" s="260"/>
      <c r="Y6836" s="260"/>
      <c r="Z6836" s="260"/>
      <c r="AA6836"/>
      <c r="AB6836"/>
      <c r="AC6836"/>
      <c r="AD6836"/>
      <c r="AE6836"/>
      <c r="AF6836"/>
      <c r="AG6836"/>
      <c r="AH6836"/>
      <c r="AI6836"/>
      <c r="AJ6836"/>
      <c r="AK6836"/>
      <c r="AL6836"/>
      <c r="AM6836"/>
      <c r="AN6836"/>
    </row>
    <row r="6837" spans="1:40" s="47" customFormat="1">
      <c r="A6837" s="121"/>
      <c r="B6837" s="121"/>
      <c r="C6837" s="121"/>
      <c r="D6837" s="121"/>
      <c r="E6837" s="121"/>
      <c r="F6837" s="121"/>
      <c r="G6837" s="121"/>
      <c r="H6837" s="121"/>
      <c r="I6837" s="121"/>
      <c r="J6837" s="121"/>
      <c r="K6837" s="121"/>
      <c r="L6837" s="121"/>
      <c r="M6837" s="121"/>
      <c r="N6837" s="222"/>
      <c r="O6837" s="529"/>
      <c r="P6837" s="255"/>
      <c r="Q6837" s="321"/>
      <c r="R6837" s="260"/>
      <c r="S6837" s="260"/>
      <c r="T6837" s="260"/>
      <c r="U6837" s="260"/>
      <c r="V6837" s="260"/>
      <c r="W6837" s="260"/>
      <c r="X6837" s="260"/>
      <c r="Y6837" s="260"/>
      <c r="Z6837" s="260"/>
      <c r="AA6837"/>
      <c r="AB6837"/>
      <c r="AC6837"/>
      <c r="AD6837"/>
      <c r="AE6837"/>
      <c r="AF6837"/>
      <c r="AG6837"/>
      <c r="AH6837"/>
      <c r="AI6837"/>
      <c r="AJ6837"/>
      <c r="AK6837"/>
      <c r="AL6837"/>
      <c r="AM6837"/>
      <c r="AN6837"/>
    </row>
    <row r="6838" spans="1:40" s="47" customFormat="1">
      <c r="A6838" s="121"/>
      <c r="B6838" s="121"/>
      <c r="C6838" s="121"/>
      <c r="D6838" s="121"/>
      <c r="E6838" s="121"/>
      <c r="F6838" s="121"/>
      <c r="G6838" s="121"/>
      <c r="H6838" s="121"/>
      <c r="I6838" s="121"/>
      <c r="J6838" s="121"/>
      <c r="K6838" s="121"/>
      <c r="L6838" s="121"/>
      <c r="M6838" s="121"/>
      <c r="N6838" s="222" t="s">
        <v>2841</v>
      </c>
      <c r="O6838" s="533" t="s">
        <v>1849</v>
      </c>
      <c r="P6838" s="257"/>
      <c r="Q6838" s="321"/>
      <c r="R6838" s="260"/>
      <c r="S6838" s="260"/>
      <c r="T6838" s="260"/>
      <c r="U6838" s="260"/>
      <c r="V6838" s="260"/>
      <c r="W6838" s="262">
        <f>'РО 01.01 - 30.06'!W6838+'РО 01.07 - 31.08'!W6838+'РО 01.09 - 31.12'!W6838</f>
        <v>0</v>
      </c>
      <c r="X6838" s="260"/>
      <c r="Y6838" s="260"/>
      <c r="Z6838" s="262">
        <f>'РО 01.01 - 30.06'!Z6838+'РО 01.07 - 31.08'!Z6838+'РО 01.09 - 31.12'!Z6838</f>
        <v>0</v>
      </c>
      <c r="AA6838"/>
      <c r="AB6838"/>
      <c r="AC6838"/>
      <c r="AD6838"/>
      <c r="AE6838"/>
      <c r="AF6838"/>
      <c r="AG6838"/>
      <c r="AH6838"/>
      <c r="AI6838"/>
      <c r="AJ6838"/>
      <c r="AK6838"/>
      <c r="AL6838"/>
      <c r="AM6838"/>
      <c r="AN6838"/>
    </row>
    <row r="6839" spans="1:40" s="47" customFormat="1">
      <c r="A6839" s="121"/>
      <c r="B6839" s="121"/>
      <c r="C6839" s="121"/>
      <c r="D6839" s="121"/>
      <c r="E6839" s="121"/>
      <c r="F6839" s="121"/>
      <c r="G6839" s="121"/>
      <c r="H6839" s="121"/>
      <c r="I6839" s="121"/>
      <c r="J6839" s="121"/>
      <c r="K6839" s="121"/>
      <c r="L6839" s="121"/>
      <c r="M6839" s="121"/>
      <c r="N6839" s="222"/>
      <c r="O6839" s="529"/>
      <c r="P6839" s="255"/>
      <c r="Q6839" s="321"/>
      <c r="R6839" s="260"/>
      <c r="S6839" s="260"/>
      <c r="T6839" s="260"/>
      <c r="U6839" s="260"/>
      <c r="V6839" s="260"/>
      <c r="W6839" s="260"/>
      <c r="X6839" s="260"/>
      <c r="Y6839" s="260"/>
      <c r="Z6839" s="260"/>
      <c r="AA6839"/>
      <c r="AB6839"/>
      <c r="AC6839"/>
      <c r="AD6839"/>
      <c r="AE6839"/>
      <c r="AF6839"/>
      <c r="AG6839"/>
      <c r="AH6839"/>
      <c r="AI6839"/>
      <c r="AJ6839"/>
      <c r="AK6839"/>
      <c r="AL6839"/>
      <c r="AM6839"/>
      <c r="AN6839"/>
    </row>
    <row r="6840" spans="1:40" s="47" customFormat="1">
      <c r="A6840" s="121"/>
      <c r="B6840" s="121"/>
      <c r="C6840" s="121"/>
      <c r="D6840" s="121"/>
      <c r="E6840" s="121"/>
      <c r="F6840" s="121"/>
      <c r="G6840" s="121"/>
      <c r="H6840" s="121"/>
      <c r="I6840" s="121"/>
      <c r="J6840" s="121"/>
      <c r="K6840" s="121"/>
      <c r="L6840" s="121"/>
      <c r="M6840" s="121"/>
      <c r="N6840" s="222"/>
      <c r="O6840" s="529"/>
      <c r="P6840" s="255"/>
      <c r="Q6840" s="321"/>
      <c r="R6840" s="260"/>
      <c r="S6840" s="260"/>
      <c r="T6840" s="260"/>
      <c r="U6840" s="260"/>
      <c r="V6840" s="260"/>
      <c r="W6840" s="260"/>
      <c r="X6840" s="260"/>
      <c r="Y6840" s="260"/>
      <c r="Z6840" s="260"/>
      <c r="AA6840"/>
      <c r="AB6840"/>
      <c r="AC6840"/>
      <c r="AD6840"/>
      <c r="AE6840"/>
      <c r="AF6840"/>
      <c r="AG6840"/>
      <c r="AH6840"/>
      <c r="AI6840"/>
      <c r="AJ6840"/>
      <c r="AK6840"/>
      <c r="AL6840"/>
      <c r="AM6840"/>
      <c r="AN6840"/>
    </row>
    <row r="6841" spans="1:40" s="47" customFormat="1" ht="22.5">
      <c r="A6841" s="121"/>
      <c r="B6841" s="121"/>
      <c r="C6841" s="121"/>
      <c r="D6841" s="121"/>
      <c r="E6841" s="121"/>
      <c r="F6841" s="121"/>
      <c r="G6841" s="121"/>
      <c r="H6841" s="121"/>
      <c r="I6841" s="121"/>
      <c r="J6841" s="121"/>
      <c r="K6841" s="121"/>
      <c r="L6841" s="121"/>
      <c r="M6841" s="121"/>
      <c r="N6841" s="222" t="s">
        <v>2844</v>
      </c>
      <c r="O6841" s="533" t="s">
        <v>1856</v>
      </c>
      <c r="P6841" s="257"/>
      <c r="Q6841" s="321"/>
      <c r="R6841" s="260"/>
      <c r="S6841" s="260"/>
      <c r="T6841" s="260"/>
      <c r="U6841" s="260"/>
      <c r="V6841" s="260"/>
      <c r="W6841" s="262">
        <f>'РО 01.01 - 30.06'!W6841+'РО 01.07 - 31.08'!W6841+'РО 01.09 - 31.12'!W6841</f>
        <v>0</v>
      </c>
      <c r="X6841" s="260"/>
      <c r="Y6841" s="260"/>
      <c r="Z6841" s="262">
        <f>'РО 01.01 - 30.06'!Z6841+'РО 01.07 - 31.08'!Z6841+'РО 01.09 - 31.12'!Z6841</f>
        <v>0</v>
      </c>
      <c r="AA6841"/>
      <c r="AB6841"/>
      <c r="AC6841"/>
      <c r="AD6841"/>
      <c r="AE6841"/>
      <c r="AF6841"/>
      <c r="AG6841"/>
      <c r="AH6841"/>
      <c r="AI6841"/>
      <c r="AJ6841"/>
      <c r="AK6841"/>
      <c r="AL6841"/>
      <c r="AM6841"/>
      <c r="AN6841"/>
    </row>
    <row r="6842" spans="1:40" s="47" customFormat="1">
      <c r="A6842" s="121"/>
      <c r="B6842" s="121"/>
      <c r="C6842" s="121"/>
      <c r="D6842" s="121"/>
      <c r="E6842" s="121"/>
      <c r="F6842" s="121"/>
      <c r="G6842" s="121"/>
      <c r="H6842" s="121"/>
      <c r="I6842" s="121"/>
      <c r="J6842" s="121"/>
      <c r="K6842" s="121"/>
      <c r="L6842" s="121"/>
      <c r="M6842" s="121"/>
      <c r="N6842" s="222"/>
      <c r="O6842" s="529"/>
      <c r="P6842" s="255"/>
      <c r="Q6842" s="321"/>
      <c r="R6842" s="260"/>
      <c r="S6842" s="260"/>
      <c r="T6842" s="260"/>
      <c r="U6842" s="260"/>
      <c r="V6842" s="260"/>
      <c r="W6842" s="260"/>
      <c r="X6842" s="260"/>
      <c r="Y6842" s="260"/>
      <c r="Z6842" s="260"/>
      <c r="AA6842"/>
      <c r="AB6842"/>
      <c r="AC6842"/>
      <c r="AD6842"/>
      <c r="AE6842"/>
      <c r="AF6842"/>
      <c r="AG6842"/>
      <c r="AH6842"/>
      <c r="AI6842"/>
      <c r="AJ6842"/>
      <c r="AK6842"/>
      <c r="AL6842"/>
      <c r="AM6842"/>
      <c r="AN6842"/>
    </row>
    <row r="6843" spans="1:40" s="47" customFormat="1">
      <c r="A6843" s="121"/>
      <c r="B6843" s="121"/>
      <c r="C6843" s="121"/>
      <c r="D6843" s="121"/>
      <c r="E6843" s="121"/>
      <c r="F6843" s="121"/>
      <c r="G6843" s="121"/>
      <c r="H6843" s="121"/>
      <c r="I6843" s="121"/>
      <c r="J6843" s="121"/>
      <c r="K6843" s="121"/>
      <c r="L6843" s="121"/>
      <c r="M6843" s="121"/>
      <c r="N6843" s="222"/>
      <c r="O6843" s="529"/>
      <c r="P6843" s="255"/>
      <c r="Q6843" s="321"/>
      <c r="R6843" s="260"/>
      <c r="S6843" s="260"/>
      <c r="T6843" s="260"/>
      <c r="U6843" s="260"/>
      <c r="V6843" s="260"/>
      <c r="W6843" s="260"/>
      <c r="X6843" s="260"/>
      <c r="Y6843" s="260"/>
      <c r="Z6843" s="260"/>
      <c r="AA6843"/>
      <c r="AB6843"/>
      <c r="AC6843"/>
      <c r="AD6843"/>
      <c r="AE6843"/>
      <c r="AF6843"/>
      <c r="AG6843"/>
      <c r="AH6843"/>
      <c r="AI6843"/>
      <c r="AJ6843"/>
      <c r="AK6843"/>
      <c r="AL6843"/>
      <c r="AM6843"/>
      <c r="AN6843"/>
    </row>
    <row r="6844" spans="1:40" s="47" customFormat="1">
      <c r="A6844" s="121"/>
      <c r="B6844" s="121"/>
      <c r="C6844" s="121"/>
      <c r="D6844" s="121"/>
      <c r="E6844" s="121"/>
      <c r="F6844" s="121"/>
      <c r="G6844" s="121"/>
      <c r="H6844" s="121"/>
      <c r="I6844" s="121"/>
      <c r="J6844" s="121"/>
      <c r="K6844" s="121"/>
      <c r="L6844" s="121"/>
      <c r="M6844" s="121"/>
      <c r="N6844" s="504" t="s">
        <v>2847</v>
      </c>
      <c r="O6844" s="535" t="s">
        <v>2848</v>
      </c>
      <c r="P6844" s="257"/>
      <c r="Q6844" s="321"/>
      <c r="R6844" s="260"/>
      <c r="S6844" s="260"/>
      <c r="T6844" s="260"/>
      <c r="U6844" s="260"/>
      <c r="V6844" s="260"/>
      <c r="W6844" s="262">
        <f>'РО 01.01 - 30.06'!W6844+'РО 01.07 - 31.08'!W6844+'РО 01.09 - 31.12'!W6844</f>
        <v>0</v>
      </c>
      <c r="X6844" s="260"/>
      <c r="Y6844" s="260"/>
      <c r="Z6844" s="262">
        <f>'РО 01.01 - 30.06'!Z6844+'РО 01.07 - 31.08'!Z6844+'РО 01.09 - 31.12'!Z6844</f>
        <v>0</v>
      </c>
      <c r="AA6844"/>
      <c r="AB6844"/>
      <c r="AC6844"/>
      <c r="AD6844"/>
      <c r="AE6844"/>
      <c r="AF6844"/>
      <c r="AG6844"/>
      <c r="AH6844"/>
      <c r="AI6844"/>
      <c r="AJ6844"/>
      <c r="AK6844"/>
      <c r="AL6844"/>
      <c r="AM6844"/>
      <c r="AN6844"/>
    </row>
    <row r="6845" spans="1:40" s="47" customFormat="1" ht="22.5">
      <c r="A6845" s="121"/>
      <c r="B6845" s="121"/>
      <c r="C6845" s="121"/>
      <c r="D6845" s="121"/>
      <c r="E6845" s="121"/>
      <c r="F6845" s="121"/>
      <c r="G6845" s="121"/>
      <c r="H6845" s="121"/>
      <c r="I6845" s="121"/>
      <c r="J6845" s="121"/>
      <c r="K6845" s="121"/>
      <c r="L6845" s="121"/>
      <c r="M6845" s="121"/>
      <c r="N6845" s="504" t="s">
        <v>2849</v>
      </c>
      <c r="O6845" s="533" t="s">
        <v>2415</v>
      </c>
      <c r="P6845" s="257"/>
      <c r="Q6845" s="321"/>
      <c r="R6845" s="260"/>
      <c r="S6845" s="260"/>
      <c r="T6845" s="260"/>
      <c r="U6845" s="260"/>
      <c r="V6845" s="260"/>
      <c r="W6845" s="262">
        <f>'РО 01.01 - 30.06'!W6845+'РО 01.07 - 31.08'!W6845+'РО 01.09 - 31.12'!W6845</f>
        <v>0</v>
      </c>
      <c r="X6845" s="260"/>
      <c r="Y6845" s="260"/>
      <c r="Z6845" s="262">
        <f>'РО 01.01 - 30.06'!Z6845+'РО 01.07 - 31.08'!Z6845+'РО 01.09 - 31.12'!Z6845</f>
        <v>0</v>
      </c>
      <c r="AA6845"/>
      <c r="AB6845"/>
      <c r="AC6845"/>
      <c r="AD6845"/>
      <c r="AE6845"/>
      <c r="AF6845"/>
      <c r="AG6845"/>
      <c r="AH6845"/>
      <c r="AI6845"/>
      <c r="AJ6845"/>
      <c r="AK6845"/>
      <c r="AL6845"/>
      <c r="AM6845"/>
      <c r="AN6845"/>
    </row>
    <row r="6846" spans="1:40" s="47" customFormat="1" ht="22.5">
      <c r="A6846" s="121"/>
      <c r="B6846" s="121"/>
      <c r="C6846" s="121"/>
      <c r="D6846" s="121"/>
      <c r="E6846" s="121"/>
      <c r="F6846" s="121"/>
      <c r="G6846" s="121"/>
      <c r="H6846" s="121"/>
      <c r="I6846" s="121"/>
      <c r="J6846" s="121"/>
      <c r="K6846" s="121"/>
      <c r="L6846" s="121"/>
      <c r="M6846" s="121"/>
      <c r="N6846" s="504" t="s">
        <v>2850</v>
      </c>
      <c r="O6846" s="533" t="s">
        <v>2417</v>
      </c>
      <c r="P6846" s="257"/>
      <c r="Q6846" s="321"/>
      <c r="R6846" s="260"/>
      <c r="S6846" s="260"/>
      <c r="T6846" s="260"/>
      <c r="U6846" s="260"/>
      <c r="V6846" s="260"/>
      <c r="W6846" s="262">
        <f>'РО 01.01 - 30.06'!W6846+'РО 01.07 - 31.08'!W6846+'РО 01.09 - 31.12'!W6846</f>
        <v>0</v>
      </c>
      <c r="X6846" s="260"/>
      <c r="Y6846" s="260"/>
      <c r="Z6846" s="262">
        <f>'РО 01.01 - 30.06'!Z6846+'РО 01.07 - 31.08'!Z6846+'РО 01.09 - 31.12'!Z6846</f>
        <v>0</v>
      </c>
      <c r="AA6846"/>
      <c r="AB6846"/>
      <c r="AC6846"/>
      <c r="AD6846"/>
      <c r="AE6846"/>
      <c r="AF6846"/>
      <c r="AG6846"/>
      <c r="AH6846"/>
      <c r="AI6846"/>
      <c r="AJ6846"/>
      <c r="AK6846"/>
      <c r="AL6846"/>
      <c r="AM6846"/>
      <c r="AN6846"/>
    </row>
    <row r="6847" spans="1:40" s="47" customFormat="1">
      <c r="A6847" s="121"/>
      <c r="B6847" s="121"/>
      <c r="C6847" s="121"/>
      <c r="D6847" s="121"/>
      <c r="E6847" s="121"/>
      <c r="F6847" s="121"/>
      <c r="G6847" s="121"/>
      <c r="H6847" s="121"/>
      <c r="I6847" s="121"/>
      <c r="J6847" s="121"/>
      <c r="K6847" s="121"/>
      <c r="L6847" s="121"/>
      <c r="M6847" s="121"/>
      <c r="N6847" s="504" t="s">
        <v>2316</v>
      </c>
      <c r="O6847" s="533" t="s">
        <v>2420</v>
      </c>
      <c r="P6847" s="257"/>
      <c r="Q6847" s="321"/>
      <c r="R6847" s="260"/>
      <c r="S6847" s="260"/>
      <c r="T6847" s="260"/>
      <c r="U6847" s="260"/>
      <c r="V6847" s="260"/>
      <c r="W6847" s="262">
        <f>'РО 01.01 - 30.06'!W6847+'РО 01.07 - 31.08'!W6847+'РО 01.09 - 31.12'!W6847</f>
        <v>0</v>
      </c>
      <c r="X6847" s="260"/>
      <c r="Y6847" s="260"/>
      <c r="Z6847" s="262">
        <f>'РО 01.01 - 30.06'!Z6847+'РО 01.07 - 31.08'!Z6847+'РО 01.09 - 31.12'!Z6847</f>
        <v>0</v>
      </c>
      <c r="AA6847"/>
      <c r="AB6847"/>
      <c r="AC6847"/>
      <c r="AD6847"/>
      <c r="AE6847"/>
      <c r="AF6847"/>
      <c r="AG6847"/>
      <c r="AH6847"/>
      <c r="AI6847"/>
      <c r="AJ6847"/>
      <c r="AK6847"/>
      <c r="AL6847"/>
      <c r="AM6847"/>
      <c r="AN6847"/>
    </row>
    <row r="6848" spans="1:40" s="47" customFormat="1">
      <c r="A6848" s="121"/>
      <c r="B6848" s="121"/>
      <c r="C6848" s="121"/>
      <c r="D6848" s="121"/>
      <c r="E6848" s="121"/>
      <c r="F6848" s="121"/>
      <c r="G6848" s="121"/>
      <c r="H6848" s="121"/>
      <c r="I6848" s="121"/>
      <c r="J6848" s="121"/>
      <c r="K6848" s="121"/>
      <c r="L6848" s="121"/>
      <c r="M6848" s="121"/>
      <c r="N6848" s="504" t="s">
        <v>2317</v>
      </c>
      <c r="O6848" s="533" t="s">
        <v>2423</v>
      </c>
      <c r="P6848" s="257"/>
      <c r="Q6848" s="321"/>
      <c r="R6848" s="260"/>
      <c r="S6848" s="260"/>
      <c r="T6848" s="260"/>
      <c r="U6848" s="260"/>
      <c r="V6848" s="260"/>
      <c r="W6848" s="262">
        <f>'РО 01.01 - 30.06'!W6848+'РО 01.07 - 31.08'!W6848+'РО 01.09 - 31.12'!W6848</f>
        <v>0</v>
      </c>
      <c r="X6848" s="260"/>
      <c r="Y6848" s="260"/>
      <c r="Z6848" s="262">
        <f>'РО 01.01 - 30.06'!Z6848+'РО 01.07 - 31.08'!Z6848+'РО 01.09 - 31.12'!Z6848</f>
        <v>0</v>
      </c>
      <c r="AA6848"/>
      <c r="AB6848"/>
      <c r="AC6848"/>
      <c r="AD6848"/>
      <c r="AE6848"/>
      <c r="AF6848"/>
      <c r="AG6848"/>
      <c r="AH6848"/>
      <c r="AI6848"/>
      <c r="AJ6848"/>
      <c r="AK6848"/>
      <c r="AL6848"/>
      <c r="AM6848"/>
      <c r="AN6848"/>
    </row>
    <row r="6849" spans="1:40" s="47" customFormat="1">
      <c r="A6849" s="121"/>
      <c r="B6849" s="121"/>
      <c r="C6849" s="121"/>
      <c r="D6849" s="121"/>
      <c r="E6849" s="121"/>
      <c r="F6849" s="121"/>
      <c r="G6849" s="121"/>
      <c r="H6849" s="121"/>
      <c r="I6849" s="121"/>
      <c r="J6849" s="121"/>
      <c r="K6849" s="121"/>
      <c r="L6849" s="121"/>
      <c r="M6849" s="121"/>
      <c r="N6849" s="504" t="s">
        <v>2318</v>
      </c>
      <c r="O6849" s="533" t="s">
        <v>2426</v>
      </c>
      <c r="P6849" s="257"/>
      <c r="Q6849" s="321"/>
      <c r="R6849" s="260"/>
      <c r="S6849" s="260"/>
      <c r="T6849" s="260"/>
      <c r="U6849" s="260"/>
      <c r="V6849" s="260"/>
      <c r="W6849" s="262">
        <f>'РО 01.01 - 30.06'!W6849+'РО 01.07 - 31.08'!W6849+'РО 01.09 - 31.12'!W6849</f>
        <v>0</v>
      </c>
      <c r="X6849" s="260"/>
      <c r="Y6849" s="260"/>
      <c r="Z6849" s="262">
        <f>'РО 01.01 - 30.06'!Z6849+'РО 01.07 - 31.08'!Z6849+'РО 01.09 - 31.12'!Z6849</f>
        <v>0</v>
      </c>
      <c r="AA6849"/>
      <c r="AB6849"/>
      <c r="AC6849"/>
      <c r="AD6849"/>
      <c r="AE6849"/>
      <c r="AF6849"/>
      <c r="AG6849"/>
      <c r="AH6849"/>
      <c r="AI6849"/>
      <c r="AJ6849"/>
      <c r="AK6849"/>
      <c r="AL6849"/>
      <c r="AM6849"/>
      <c r="AN6849"/>
    </row>
    <row r="6850" spans="1:40" s="47" customFormat="1">
      <c r="A6850" s="121"/>
      <c r="B6850" s="121"/>
      <c r="C6850" s="121"/>
      <c r="D6850" s="121"/>
      <c r="E6850" s="121"/>
      <c r="F6850" s="121"/>
      <c r="G6850" s="121"/>
      <c r="H6850" s="121"/>
      <c r="I6850" s="121"/>
      <c r="J6850" s="121"/>
      <c r="K6850" s="121"/>
      <c r="L6850" s="121"/>
      <c r="M6850" s="121"/>
      <c r="N6850" s="560" t="str">
        <f>IF(TEMPLATE_SPHERE="водоснабжения","2.9","")</f>
        <v/>
      </c>
      <c r="O6850" s="561" t="str">
        <f>IF(TEMPLATE_SPHERE="водоснабжения","Покупная вода","")</f>
        <v/>
      </c>
      <c r="P6850" s="257"/>
      <c r="Q6850" s="321"/>
      <c r="R6850" s="260"/>
      <c r="S6850" s="260"/>
      <c r="T6850" s="260"/>
      <c r="U6850" s="260"/>
      <c r="V6850" s="260"/>
      <c r="W6850" s="260"/>
      <c r="X6850" s="260"/>
      <c r="Y6850" s="260"/>
      <c r="Z6850" s="260"/>
      <c r="AA6850"/>
      <c r="AB6850"/>
      <c r="AC6850"/>
      <c r="AD6850"/>
      <c r="AE6850"/>
      <c r="AF6850"/>
      <c r="AG6850"/>
      <c r="AH6850"/>
      <c r="AI6850"/>
      <c r="AJ6850"/>
      <c r="AK6850"/>
      <c r="AL6850"/>
      <c r="AM6850"/>
      <c r="AN6850"/>
    </row>
    <row r="6851" spans="1:40" s="47" customFormat="1">
      <c r="A6851" s="121"/>
      <c r="B6851" s="121"/>
      <c r="C6851" s="121"/>
      <c r="D6851" s="121"/>
      <c r="E6851" s="121"/>
      <c r="F6851" s="121"/>
      <c r="G6851" s="121"/>
      <c r="H6851" s="121"/>
      <c r="I6851" s="121"/>
      <c r="J6851" s="121"/>
      <c r="K6851" s="121"/>
      <c r="L6851" s="121"/>
      <c r="M6851" s="121"/>
      <c r="N6851" s="222"/>
      <c r="O6851" s="529"/>
      <c r="P6851" s="255"/>
      <c r="Q6851" s="321"/>
      <c r="R6851" s="260"/>
      <c r="S6851" s="260"/>
      <c r="T6851" s="260"/>
      <c r="U6851" s="260"/>
      <c r="V6851" s="260"/>
      <c r="W6851" s="260"/>
      <c r="X6851" s="260"/>
      <c r="Y6851" s="260"/>
      <c r="Z6851" s="260"/>
      <c r="AA6851"/>
      <c r="AB6851"/>
      <c r="AC6851"/>
      <c r="AD6851"/>
      <c r="AE6851"/>
      <c r="AF6851"/>
      <c r="AG6851"/>
      <c r="AH6851"/>
      <c r="AI6851"/>
      <c r="AJ6851"/>
      <c r="AK6851"/>
      <c r="AL6851"/>
      <c r="AM6851"/>
      <c r="AN6851"/>
    </row>
    <row r="6852" spans="1:40" s="47" customFormat="1">
      <c r="A6852" s="121"/>
      <c r="B6852" s="121"/>
      <c r="C6852" s="121"/>
      <c r="D6852" s="121"/>
      <c r="E6852" s="121"/>
      <c r="F6852" s="121"/>
      <c r="G6852" s="121"/>
      <c r="H6852" s="121"/>
      <c r="I6852" s="121"/>
      <c r="J6852" s="121"/>
      <c r="K6852" s="121"/>
      <c r="L6852" s="121"/>
      <c r="M6852" s="121"/>
      <c r="N6852" s="222"/>
      <c r="O6852" s="529"/>
      <c r="P6852" s="255"/>
      <c r="Q6852" s="321"/>
      <c r="R6852" s="260"/>
      <c r="S6852" s="260"/>
      <c r="T6852" s="260"/>
      <c r="U6852" s="260"/>
      <c r="V6852" s="260"/>
      <c r="W6852" s="260"/>
      <c r="X6852" s="260"/>
      <c r="Y6852" s="260"/>
      <c r="Z6852" s="260"/>
      <c r="AA6852"/>
      <c r="AB6852"/>
      <c r="AC6852"/>
      <c r="AD6852"/>
      <c r="AE6852"/>
      <c r="AF6852"/>
      <c r="AG6852"/>
      <c r="AH6852"/>
      <c r="AI6852"/>
      <c r="AJ6852"/>
      <c r="AK6852"/>
      <c r="AL6852"/>
      <c r="AM6852"/>
      <c r="AN6852"/>
    </row>
    <row r="6853" spans="1:40" s="47" customFormat="1">
      <c r="A6853" s="121"/>
      <c r="B6853" s="121"/>
      <c r="C6853" s="121"/>
      <c r="D6853" s="121"/>
      <c r="E6853" s="121"/>
      <c r="F6853" s="121"/>
      <c r="G6853" s="121"/>
      <c r="H6853" s="121"/>
      <c r="I6853" s="121"/>
      <c r="J6853" s="121"/>
      <c r="K6853" s="121"/>
      <c r="L6853" s="121"/>
      <c r="M6853" s="121"/>
      <c r="N6853" s="222"/>
      <c r="O6853" s="529"/>
      <c r="P6853" s="255"/>
      <c r="Q6853" s="321"/>
      <c r="R6853" s="260"/>
      <c r="S6853" s="260"/>
      <c r="T6853" s="260"/>
      <c r="U6853" s="260"/>
      <c r="V6853" s="260"/>
      <c r="W6853" s="260"/>
      <c r="X6853" s="260"/>
      <c r="Y6853" s="260"/>
      <c r="Z6853" s="260"/>
      <c r="AA6853"/>
      <c r="AB6853"/>
      <c r="AC6853"/>
      <c r="AD6853"/>
      <c r="AE6853"/>
      <c r="AF6853"/>
      <c r="AG6853"/>
      <c r="AH6853"/>
      <c r="AI6853"/>
      <c r="AJ6853"/>
      <c r="AK6853"/>
      <c r="AL6853"/>
      <c r="AM6853"/>
      <c r="AN6853"/>
    </row>
    <row r="6854" spans="1:40" s="47" customFormat="1" ht="22.5">
      <c r="A6854" s="121"/>
      <c r="B6854" s="121"/>
      <c r="C6854" s="121"/>
      <c r="D6854" s="121"/>
      <c r="E6854" s="121"/>
      <c r="F6854" s="121"/>
      <c r="G6854" s="121"/>
      <c r="H6854" s="121"/>
      <c r="I6854" s="121"/>
      <c r="J6854" s="121"/>
      <c r="K6854" s="121"/>
      <c r="L6854" s="121"/>
      <c r="M6854" s="121"/>
      <c r="N6854" s="504" t="s">
        <v>2323</v>
      </c>
      <c r="O6854"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P6854" s="257"/>
      <c r="Q6854" s="321"/>
      <c r="R6854" s="260"/>
      <c r="S6854" s="260"/>
      <c r="T6854" s="260"/>
      <c r="U6854" s="260"/>
      <c r="V6854" s="260"/>
      <c r="W6854" s="262">
        <f>'РО 01.01 - 30.06'!W6854+'РО 01.07 - 31.08'!W6854+'РО 01.09 - 31.12'!W6854</f>
        <v>0</v>
      </c>
      <c r="X6854" s="260"/>
      <c r="Y6854" s="260"/>
      <c r="Z6854" s="262">
        <f>'РО 01.01 - 30.06'!Z6854+'РО 01.07 - 31.08'!Z6854+'РО 01.09 - 31.12'!Z6854</f>
        <v>0</v>
      </c>
      <c r="AA6854"/>
      <c r="AB6854"/>
      <c r="AC6854"/>
      <c r="AD6854"/>
      <c r="AE6854"/>
      <c r="AF6854"/>
      <c r="AG6854"/>
      <c r="AH6854"/>
      <c r="AI6854"/>
      <c r="AJ6854"/>
      <c r="AK6854"/>
      <c r="AL6854"/>
      <c r="AM6854"/>
      <c r="AN6854"/>
    </row>
    <row r="6855" spans="1:40" s="47" customFormat="1" ht="22.5">
      <c r="A6855" s="121"/>
      <c r="B6855" s="121"/>
      <c r="C6855" s="121"/>
      <c r="D6855" s="121"/>
      <c r="E6855" s="121"/>
      <c r="F6855" s="121"/>
      <c r="G6855" s="121"/>
      <c r="H6855" s="121"/>
      <c r="I6855" s="121"/>
      <c r="J6855" s="121"/>
      <c r="K6855" s="121"/>
      <c r="L6855" s="121"/>
      <c r="M6855" s="121"/>
      <c r="N6855" s="504" t="s">
        <v>2324</v>
      </c>
      <c r="O6855"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P6855" s="257"/>
      <c r="Q6855" s="321"/>
      <c r="R6855" s="260"/>
      <c r="S6855" s="260"/>
      <c r="T6855" s="260"/>
      <c r="U6855" s="260"/>
      <c r="V6855" s="260"/>
      <c r="W6855" s="262">
        <f>'РО 01.01 - 30.06'!W6855+'РО 01.07 - 31.08'!W6855+'РО 01.09 - 31.12'!W6855</f>
        <v>0</v>
      </c>
      <c r="X6855" s="260"/>
      <c r="Y6855" s="260"/>
      <c r="Z6855" s="262">
        <f>'РО 01.01 - 30.06'!Z6855+'РО 01.07 - 31.08'!Z6855+'РО 01.09 - 31.12'!Z6855</f>
        <v>0</v>
      </c>
      <c r="AA6855"/>
      <c r="AB6855"/>
      <c r="AC6855"/>
      <c r="AD6855"/>
      <c r="AE6855"/>
      <c r="AF6855"/>
      <c r="AG6855"/>
      <c r="AH6855"/>
      <c r="AI6855"/>
      <c r="AJ6855"/>
      <c r="AK6855"/>
      <c r="AL6855"/>
      <c r="AM6855"/>
      <c r="AN6855"/>
    </row>
    <row r="6856" spans="1:40" s="47" customFormat="1">
      <c r="A6856" s="121"/>
      <c r="B6856" s="121"/>
      <c r="C6856" s="121"/>
      <c r="D6856" s="121"/>
      <c r="E6856" s="121"/>
      <c r="F6856" s="121"/>
      <c r="G6856" s="121"/>
      <c r="H6856" s="121"/>
      <c r="I6856" s="121"/>
      <c r="J6856" s="121"/>
      <c r="K6856" s="121"/>
      <c r="L6856" s="121"/>
      <c r="M6856" s="121"/>
      <c r="N6856" s="504" t="s">
        <v>2325</v>
      </c>
      <c r="O6856"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P6856" s="257"/>
      <c r="Q6856" s="321"/>
      <c r="R6856" s="260"/>
      <c r="S6856" s="260"/>
      <c r="T6856" s="260"/>
      <c r="U6856" s="260"/>
      <c r="V6856" s="260"/>
      <c r="W6856" s="262">
        <f>'РО 01.01 - 30.06'!W6856+'РО 01.07 - 31.08'!W6856+'РО 01.09 - 31.12'!W6856</f>
        <v>0</v>
      </c>
      <c r="X6856" s="260"/>
      <c r="Y6856" s="260"/>
      <c r="Z6856" s="262">
        <f>'РО 01.01 - 30.06'!Z6856+'РО 01.07 - 31.08'!Z6856+'РО 01.09 - 31.12'!Z6856</f>
        <v>0</v>
      </c>
      <c r="AA6856"/>
      <c r="AB6856"/>
      <c r="AC6856"/>
      <c r="AD6856"/>
      <c r="AE6856"/>
      <c r="AF6856"/>
      <c r="AG6856"/>
      <c r="AH6856"/>
      <c r="AI6856"/>
      <c r="AJ6856"/>
      <c r="AK6856"/>
      <c r="AL6856"/>
      <c r="AM6856"/>
      <c r="AN6856"/>
    </row>
    <row r="6857" spans="1:40" s="47" customFormat="1">
      <c r="A6857" s="121"/>
      <c r="B6857" s="121"/>
      <c r="C6857" s="121"/>
      <c r="D6857" s="121"/>
      <c r="E6857" s="121"/>
      <c r="F6857" s="121"/>
      <c r="G6857" s="121"/>
      <c r="H6857" s="121"/>
      <c r="I6857" s="121"/>
      <c r="J6857" s="121"/>
      <c r="K6857" s="121"/>
      <c r="L6857" s="121"/>
      <c r="M6857" s="121"/>
      <c r="N6857" s="504" t="s">
        <v>2326</v>
      </c>
      <c r="O6857" s="527" t="s">
        <v>2327</v>
      </c>
      <c r="P6857" s="257"/>
      <c r="Q6857" s="321"/>
      <c r="R6857" s="260"/>
      <c r="S6857" s="260"/>
      <c r="T6857" s="260"/>
      <c r="U6857" s="260"/>
      <c r="V6857" s="260"/>
      <c r="W6857" s="262">
        <f>'РО 01.01 - 30.06'!W6857+'РО 01.07 - 31.08'!W6857+'РО 01.09 - 31.12'!W6857</f>
        <v>0</v>
      </c>
      <c r="X6857" s="260"/>
      <c r="Y6857" s="260"/>
      <c r="Z6857" s="262">
        <f>'РО 01.01 - 30.06'!Z6857+'РО 01.07 - 31.08'!Z6857+'РО 01.09 - 31.12'!Z6857</f>
        <v>0</v>
      </c>
      <c r="AA6857"/>
      <c r="AB6857"/>
      <c r="AC6857"/>
      <c r="AD6857"/>
      <c r="AE6857"/>
      <c r="AF6857"/>
      <c r="AG6857"/>
      <c r="AH6857"/>
      <c r="AI6857"/>
      <c r="AJ6857"/>
      <c r="AK6857"/>
      <c r="AL6857"/>
      <c r="AM6857"/>
      <c r="AN6857"/>
    </row>
    <row r="6858" spans="1:40" s="47" customFormat="1">
      <c r="A6858" s="121"/>
      <c r="B6858" s="121"/>
      <c r="C6858" s="121"/>
      <c r="D6858" s="121"/>
      <c r="E6858" s="121"/>
      <c r="F6858" s="121"/>
      <c r="G6858" s="121"/>
      <c r="H6858" s="121"/>
      <c r="I6858" s="121"/>
      <c r="J6858" s="121"/>
      <c r="K6858" s="121"/>
      <c r="L6858" s="121"/>
      <c r="M6858" s="121"/>
      <c r="N6858" s="504" t="s">
        <v>2328</v>
      </c>
      <c r="O6858" s="528" t="s">
        <v>2329</v>
      </c>
      <c r="P6858" s="257"/>
      <c r="Q6858" s="321"/>
      <c r="R6858" s="260"/>
      <c r="S6858" s="260"/>
      <c r="T6858" s="260"/>
      <c r="U6858" s="260"/>
      <c r="V6858" s="260"/>
      <c r="W6858" s="262">
        <f>'РО 01.01 - 30.06'!W6858+'РО 01.07 - 31.08'!W6858+'РО 01.09 - 31.12'!W6858</f>
        <v>0</v>
      </c>
      <c r="X6858" s="260"/>
      <c r="Y6858" s="260"/>
      <c r="Z6858" s="262">
        <f>'РО 01.01 - 30.06'!Z6858+'РО 01.07 - 31.08'!Z6858+'РО 01.09 - 31.12'!Z6858</f>
        <v>0</v>
      </c>
      <c r="AA6858"/>
      <c r="AB6858"/>
      <c r="AC6858"/>
      <c r="AD6858"/>
      <c r="AE6858"/>
      <c r="AF6858"/>
      <c r="AG6858"/>
      <c r="AH6858"/>
      <c r="AI6858"/>
      <c r="AJ6858"/>
      <c r="AK6858"/>
      <c r="AL6858"/>
      <c r="AM6858"/>
      <c r="AN6858"/>
    </row>
    <row r="6859" spans="1:40" s="47" customFormat="1">
      <c r="A6859" s="121"/>
      <c r="B6859" s="121"/>
      <c r="C6859" s="121"/>
      <c r="D6859" s="121"/>
      <c r="E6859" s="121"/>
      <c r="F6859" s="121"/>
      <c r="G6859" s="121"/>
      <c r="H6859" s="121"/>
      <c r="I6859" s="121"/>
      <c r="J6859" s="121"/>
      <c r="K6859" s="121"/>
      <c r="L6859" s="121"/>
      <c r="M6859" s="121"/>
      <c r="N6859" s="504" t="s">
        <v>2330</v>
      </c>
      <c r="O6859" s="528" t="s">
        <v>2331</v>
      </c>
      <c r="P6859" s="257"/>
      <c r="Q6859" s="321"/>
      <c r="R6859" s="260"/>
      <c r="S6859" s="260"/>
      <c r="T6859" s="260"/>
      <c r="U6859" s="260"/>
      <c r="V6859" s="260"/>
      <c r="W6859" s="262">
        <f>'РО 01.01 - 30.06'!W6859+'РО 01.07 - 31.08'!W6859+'РО 01.09 - 31.12'!W6859</f>
        <v>0</v>
      </c>
      <c r="X6859" s="260"/>
      <c r="Y6859" s="260"/>
      <c r="Z6859" s="262">
        <f>'РО 01.01 - 30.06'!Z6859+'РО 01.07 - 31.08'!Z6859+'РО 01.09 - 31.12'!Z6859</f>
        <v>0</v>
      </c>
      <c r="AA6859"/>
      <c r="AB6859"/>
      <c r="AC6859"/>
      <c r="AD6859"/>
      <c r="AE6859"/>
      <c r="AF6859"/>
      <c r="AG6859"/>
      <c r="AH6859"/>
      <c r="AI6859"/>
      <c r="AJ6859"/>
      <c r="AK6859"/>
      <c r="AL6859"/>
      <c r="AM6859"/>
      <c r="AN6859"/>
    </row>
    <row r="6860" spans="1:40" s="47" customFormat="1">
      <c r="A6860" s="121"/>
      <c r="B6860" s="121"/>
      <c r="C6860" s="121"/>
      <c r="D6860" s="121"/>
      <c r="E6860" s="121"/>
      <c r="F6860" s="121"/>
      <c r="G6860" s="121"/>
      <c r="H6860" s="121"/>
      <c r="I6860" s="121"/>
      <c r="J6860" s="121"/>
      <c r="K6860" s="121"/>
      <c r="L6860" s="121"/>
      <c r="M6860" s="121"/>
      <c r="N6860" s="504" t="s">
        <v>2332</v>
      </c>
      <c r="O6860" s="527" t="s">
        <v>2333</v>
      </c>
      <c r="P6860" s="257"/>
      <c r="Q6860" s="321"/>
      <c r="R6860" s="260"/>
      <c r="S6860" s="260"/>
      <c r="T6860" s="260"/>
      <c r="U6860" s="260"/>
      <c r="V6860" s="260"/>
      <c r="W6860" s="262">
        <f>'РО 01.01 - 30.06'!W6860+'РО 01.07 - 31.08'!W6860+'РО 01.09 - 31.12'!W6860</f>
        <v>0</v>
      </c>
      <c r="X6860" s="260"/>
      <c r="Y6860" s="260"/>
      <c r="Z6860" s="262">
        <f>'РО 01.01 - 30.06'!Z6860+'РО 01.07 - 31.08'!Z6860+'РО 01.09 - 31.12'!Z6860</f>
        <v>0</v>
      </c>
      <c r="AA6860"/>
      <c r="AB6860"/>
      <c r="AC6860"/>
      <c r="AD6860"/>
      <c r="AE6860"/>
      <c r="AF6860"/>
      <c r="AG6860"/>
      <c r="AH6860"/>
      <c r="AI6860"/>
      <c r="AJ6860"/>
      <c r="AK6860"/>
      <c r="AL6860"/>
      <c r="AM6860"/>
      <c r="AN6860"/>
    </row>
    <row r="6861" spans="1:40" s="47" customFormat="1">
      <c r="A6861" s="121"/>
      <c r="B6861" s="121"/>
      <c r="C6861" s="121"/>
      <c r="D6861" s="121"/>
      <c r="E6861" s="121"/>
      <c r="F6861" s="121"/>
      <c r="G6861" s="121"/>
      <c r="H6861" s="121"/>
      <c r="I6861" s="121"/>
      <c r="J6861" s="121"/>
      <c r="K6861" s="121"/>
      <c r="L6861" s="121"/>
      <c r="M6861" s="121"/>
      <c r="N6861" s="504" t="s">
        <v>2334</v>
      </c>
      <c r="O6861" s="527" t="s">
        <v>2335</v>
      </c>
      <c r="P6861" s="257"/>
      <c r="Q6861" s="321"/>
      <c r="R6861" s="260"/>
      <c r="S6861" s="260"/>
      <c r="T6861" s="260"/>
      <c r="U6861" s="260"/>
      <c r="V6861" s="260"/>
      <c r="W6861" s="262">
        <f>'РО 01.01 - 30.06'!W6861+'РО 01.07 - 31.08'!W6861+'РО 01.09 - 31.12'!W6861</f>
        <v>0</v>
      </c>
      <c r="X6861" s="260"/>
      <c r="Y6861" s="260"/>
      <c r="Z6861" s="262">
        <f>'РО 01.01 - 30.06'!Z6861+'РО 01.07 - 31.08'!Z6861+'РО 01.09 - 31.12'!Z6861</f>
        <v>0</v>
      </c>
      <c r="AA6861"/>
      <c r="AB6861"/>
      <c r="AC6861"/>
      <c r="AD6861"/>
      <c r="AE6861"/>
      <c r="AF6861"/>
      <c r="AG6861"/>
      <c r="AH6861"/>
      <c r="AI6861"/>
      <c r="AJ6861"/>
      <c r="AK6861"/>
      <c r="AL6861"/>
      <c r="AM6861"/>
      <c r="AN6861"/>
    </row>
    <row r="6862" spans="1:40" s="47" customFormat="1" ht="22.5">
      <c r="A6862" s="121"/>
      <c r="B6862" s="121"/>
      <c r="C6862" s="121"/>
      <c r="D6862" s="121"/>
      <c r="E6862" s="121"/>
      <c r="F6862" s="121"/>
      <c r="G6862" s="121"/>
      <c r="H6862" s="121"/>
      <c r="I6862" s="121"/>
      <c r="J6862" s="121"/>
      <c r="K6862" s="121"/>
      <c r="L6862" s="121"/>
      <c r="M6862" s="121"/>
      <c r="N6862" s="504" t="s">
        <v>2336</v>
      </c>
      <c r="O6862" s="527" t="s">
        <v>2337</v>
      </c>
      <c r="P6862" s="257"/>
      <c r="Q6862" s="321"/>
      <c r="R6862" s="260"/>
      <c r="S6862" s="260"/>
      <c r="T6862" s="260"/>
      <c r="U6862" s="260"/>
      <c r="V6862" s="260"/>
      <c r="W6862" s="262">
        <f>'РО 01.01 - 30.06'!W6862+'РО 01.07 - 31.08'!W6862+'РО 01.09 - 31.12'!W6862</f>
        <v>0</v>
      </c>
      <c r="X6862" s="260"/>
      <c r="Y6862" s="260"/>
      <c r="Z6862" s="262">
        <f>'РО 01.01 - 30.06'!Z6862+'РО 01.07 - 31.08'!Z6862+'РО 01.09 - 31.12'!Z6862</f>
        <v>0</v>
      </c>
      <c r="AA6862"/>
      <c r="AB6862"/>
      <c r="AC6862"/>
      <c r="AD6862"/>
      <c r="AE6862"/>
      <c r="AF6862"/>
      <c r="AG6862"/>
      <c r="AH6862"/>
      <c r="AI6862"/>
      <c r="AJ6862"/>
      <c r="AK6862"/>
      <c r="AL6862"/>
      <c r="AM6862"/>
      <c r="AN6862"/>
    </row>
    <row r="6863" spans="1:40" s="47" customFormat="1">
      <c r="A6863" s="121"/>
      <c r="B6863" s="121"/>
      <c r="C6863" s="121"/>
      <c r="D6863" s="121"/>
      <c r="E6863" s="121"/>
      <c r="F6863" s="121"/>
      <c r="G6863" s="121"/>
      <c r="H6863" s="121"/>
      <c r="I6863" s="121"/>
      <c r="J6863" s="121"/>
      <c r="K6863" s="121"/>
      <c r="L6863" s="121"/>
      <c r="M6863" s="121"/>
      <c r="N6863" s="504" t="s">
        <v>2338</v>
      </c>
      <c r="O6863" s="527" t="s">
        <v>2339</v>
      </c>
      <c r="P6863" s="257"/>
      <c r="Q6863" s="321"/>
      <c r="R6863" s="260"/>
      <c r="S6863" s="260"/>
      <c r="T6863" s="260"/>
      <c r="U6863" s="260"/>
      <c r="V6863" s="260"/>
      <c r="W6863" s="262">
        <f>'РО 01.01 - 30.06'!W6863+'РО 01.07 - 31.08'!W6863+'РО 01.09 - 31.12'!W6863</f>
        <v>0</v>
      </c>
      <c r="X6863" s="260"/>
      <c r="Y6863" s="260"/>
      <c r="Z6863" s="262">
        <f>'РО 01.01 - 30.06'!Z6863+'РО 01.07 - 31.08'!Z6863+'РО 01.09 - 31.12'!Z6863</f>
        <v>0</v>
      </c>
      <c r="AA6863"/>
      <c r="AB6863"/>
      <c r="AC6863"/>
      <c r="AD6863"/>
      <c r="AE6863"/>
      <c r="AF6863"/>
      <c r="AG6863"/>
      <c r="AH6863"/>
      <c r="AI6863"/>
      <c r="AJ6863"/>
      <c r="AK6863"/>
      <c r="AL6863"/>
      <c r="AM6863"/>
      <c r="AN6863"/>
    </row>
    <row r="6864" spans="1:40" s="47" customFormat="1">
      <c r="A6864" s="121"/>
      <c r="B6864" s="121"/>
      <c r="C6864" s="121"/>
      <c r="D6864" s="121"/>
      <c r="E6864" s="121"/>
      <c r="F6864" s="121"/>
      <c r="G6864" s="121"/>
      <c r="H6864" s="121"/>
      <c r="I6864" s="121"/>
      <c r="J6864" s="121"/>
      <c r="K6864" s="121"/>
      <c r="L6864" s="121"/>
      <c r="M6864" s="121"/>
      <c r="N6864" s="504" t="s">
        <v>2340</v>
      </c>
      <c r="O6864" s="528" t="s">
        <v>2341</v>
      </c>
      <c r="P6864" s="257"/>
      <c r="Q6864" s="321"/>
      <c r="R6864" s="260"/>
      <c r="S6864" s="260"/>
      <c r="T6864" s="260"/>
      <c r="U6864" s="260"/>
      <c r="V6864" s="260"/>
      <c r="W6864" s="262">
        <f>'РО 01.01 - 30.06'!W6864+'РО 01.07 - 31.08'!W6864+'РО 01.09 - 31.12'!W6864</f>
        <v>0</v>
      </c>
      <c r="X6864" s="260"/>
      <c r="Y6864" s="260"/>
      <c r="Z6864" s="262">
        <f>'РО 01.01 - 30.06'!Z6864+'РО 01.07 - 31.08'!Z6864+'РО 01.09 - 31.12'!Z6864</f>
        <v>0</v>
      </c>
      <c r="AA6864"/>
      <c r="AB6864"/>
      <c r="AC6864"/>
      <c r="AD6864"/>
      <c r="AE6864"/>
      <c r="AF6864"/>
      <c r="AG6864"/>
      <c r="AH6864"/>
      <c r="AI6864"/>
      <c r="AJ6864"/>
      <c r="AK6864"/>
      <c r="AL6864"/>
      <c r="AM6864"/>
      <c r="AN6864"/>
    </row>
    <row r="6865" spans="1:40" s="47" customFormat="1">
      <c r="A6865" s="121"/>
      <c r="B6865" s="121"/>
      <c r="C6865" s="121"/>
      <c r="D6865" s="121"/>
      <c r="E6865" s="121"/>
      <c r="F6865" s="121"/>
      <c r="G6865" s="121"/>
      <c r="H6865" s="121"/>
      <c r="I6865" s="121"/>
      <c r="J6865" s="121"/>
      <c r="K6865" s="121"/>
      <c r="L6865" s="121"/>
      <c r="M6865" s="121"/>
      <c r="N6865" s="504" t="s">
        <v>2342</v>
      </c>
      <c r="O6865" s="528" t="s">
        <v>2343</v>
      </c>
      <c r="P6865" s="257"/>
      <c r="Q6865" s="321"/>
      <c r="R6865" s="260"/>
      <c r="S6865" s="260"/>
      <c r="T6865" s="260"/>
      <c r="U6865" s="260"/>
      <c r="V6865" s="260"/>
      <c r="W6865" s="262">
        <f>'РО 01.01 - 30.06'!W6865+'РО 01.07 - 31.08'!W6865+'РО 01.09 - 31.12'!W6865</f>
        <v>0</v>
      </c>
      <c r="X6865" s="260"/>
      <c r="Y6865" s="260"/>
      <c r="Z6865" s="262">
        <f>'РО 01.01 - 30.06'!Z6865+'РО 01.07 - 31.08'!Z6865+'РО 01.09 - 31.12'!Z6865</f>
        <v>0</v>
      </c>
      <c r="AA6865"/>
      <c r="AB6865"/>
      <c r="AC6865"/>
      <c r="AD6865"/>
      <c r="AE6865"/>
      <c r="AF6865"/>
      <c r="AG6865"/>
      <c r="AH6865"/>
      <c r="AI6865"/>
      <c r="AJ6865"/>
      <c r="AK6865"/>
      <c r="AL6865"/>
      <c r="AM6865"/>
      <c r="AN6865"/>
    </row>
    <row r="6866" spans="1:40" s="47" customFormat="1">
      <c r="A6866" s="121"/>
      <c r="B6866" s="121"/>
      <c r="C6866" s="121"/>
      <c r="D6866" s="121"/>
      <c r="E6866" s="121"/>
      <c r="F6866" s="121"/>
      <c r="G6866" s="121"/>
      <c r="H6866" s="121"/>
      <c r="I6866" s="121"/>
      <c r="J6866" s="121"/>
      <c r="K6866" s="121"/>
      <c r="L6866" s="121"/>
      <c r="M6866" s="121"/>
      <c r="N6866" s="504" t="s">
        <v>2344</v>
      </c>
      <c r="O6866" s="528" t="s">
        <v>2345</v>
      </c>
      <c r="P6866" s="257"/>
      <c r="Q6866" s="321"/>
      <c r="R6866" s="260"/>
      <c r="S6866" s="260"/>
      <c r="T6866" s="260"/>
      <c r="U6866" s="260"/>
      <c r="V6866" s="260"/>
      <c r="W6866" s="262">
        <f>'РО 01.01 - 30.06'!W6866+'РО 01.07 - 31.08'!W6866+'РО 01.09 - 31.12'!W6866</f>
        <v>0</v>
      </c>
      <c r="X6866" s="260"/>
      <c r="Y6866" s="260"/>
      <c r="Z6866" s="262">
        <f>'РО 01.01 - 30.06'!Z6866+'РО 01.07 - 31.08'!Z6866+'РО 01.09 - 31.12'!Z6866</f>
        <v>0</v>
      </c>
      <c r="AA6866"/>
      <c r="AB6866"/>
      <c r="AC6866"/>
      <c r="AD6866"/>
      <c r="AE6866"/>
      <c r="AF6866"/>
      <c r="AG6866"/>
      <c r="AH6866"/>
      <c r="AI6866"/>
      <c r="AJ6866"/>
      <c r="AK6866"/>
      <c r="AL6866"/>
      <c r="AM6866"/>
      <c r="AN6866"/>
    </row>
    <row r="6867" spans="1:40" s="47" customFormat="1">
      <c r="A6867" s="121"/>
      <c r="B6867" s="121"/>
      <c r="C6867" s="121"/>
      <c r="D6867" s="121"/>
      <c r="E6867" s="121"/>
      <c r="F6867" s="121"/>
      <c r="G6867" s="121"/>
      <c r="H6867" s="121"/>
      <c r="I6867" s="121"/>
      <c r="J6867" s="121"/>
      <c r="K6867" s="121"/>
      <c r="L6867" s="121"/>
      <c r="M6867" s="121"/>
      <c r="N6867" s="504" t="s">
        <v>2346</v>
      </c>
      <c r="O6867" s="528" t="s">
        <v>2347</v>
      </c>
      <c r="P6867" s="257"/>
      <c r="Q6867" s="321"/>
      <c r="R6867" s="260"/>
      <c r="S6867" s="260"/>
      <c r="T6867" s="260"/>
      <c r="U6867" s="260"/>
      <c r="V6867" s="260"/>
      <c r="W6867" s="262">
        <f>'РО 01.01 - 30.06'!W6867+'РО 01.07 - 31.08'!W6867+'РО 01.09 - 31.12'!W6867</f>
        <v>0</v>
      </c>
      <c r="X6867" s="260"/>
      <c r="Y6867" s="260"/>
      <c r="Z6867" s="262">
        <f>'РО 01.01 - 30.06'!Z6867+'РО 01.07 - 31.08'!Z6867+'РО 01.09 - 31.12'!Z6867</f>
        <v>0</v>
      </c>
      <c r="AA6867"/>
      <c r="AB6867"/>
      <c r="AC6867"/>
      <c r="AD6867"/>
      <c r="AE6867"/>
      <c r="AF6867"/>
      <c r="AG6867"/>
      <c r="AH6867"/>
      <c r="AI6867"/>
      <c r="AJ6867"/>
      <c r="AK6867"/>
      <c r="AL6867"/>
      <c r="AM6867"/>
      <c r="AN6867"/>
    </row>
    <row r="6868" spans="1:40" s="47" customFormat="1">
      <c r="A6868" s="121"/>
      <c r="B6868" s="121"/>
      <c r="C6868" s="121"/>
      <c r="D6868" s="121"/>
      <c r="E6868" s="121"/>
      <c r="F6868" s="121"/>
      <c r="G6868" s="121"/>
      <c r="H6868" s="121"/>
      <c r="I6868" s="121"/>
      <c r="J6868" s="121"/>
      <c r="K6868" s="121"/>
      <c r="L6868" s="121"/>
      <c r="M6868" s="121"/>
      <c r="N6868" s="504" t="s">
        <v>2348</v>
      </c>
      <c r="O6868" s="528" t="s">
        <v>2349</v>
      </c>
      <c r="P6868" s="257"/>
      <c r="Q6868" s="321"/>
      <c r="R6868" s="260"/>
      <c r="S6868" s="260"/>
      <c r="T6868" s="260"/>
      <c r="U6868" s="260"/>
      <c r="V6868" s="260"/>
      <c r="W6868" s="262">
        <f>'РО 01.01 - 30.06'!W6868+'РО 01.07 - 31.08'!W6868+'РО 01.09 - 31.12'!W6868</f>
        <v>0</v>
      </c>
      <c r="X6868" s="260"/>
      <c r="Y6868" s="260"/>
      <c r="Z6868" s="262">
        <f>'РО 01.01 - 30.06'!Z6868+'РО 01.07 - 31.08'!Z6868+'РО 01.09 - 31.12'!Z6868</f>
        <v>0</v>
      </c>
      <c r="AA6868"/>
      <c r="AB6868"/>
      <c r="AC6868"/>
      <c r="AD6868"/>
      <c r="AE6868"/>
      <c r="AF6868"/>
      <c r="AG6868"/>
      <c r="AH6868"/>
      <c r="AI6868"/>
      <c r="AJ6868"/>
      <c r="AK6868"/>
      <c r="AL6868"/>
      <c r="AM6868"/>
      <c r="AN6868"/>
    </row>
    <row r="6869" spans="1:40" s="47" customFormat="1">
      <c r="A6869" s="121"/>
      <c r="B6869" s="121"/>
      <c r="C6869" s="121"/>
      <c r="D6869" s="121"/>
      <c r="E6869" s="121"/>
      <c r="F6869" s="121"/>
      <c r="G6869" s="121"/>
      <c r="H6869" s="121"/>
      <c r="I6869" s="121"/>
      <c r="J6869" s="121"/>
      <c r="K6869" s="121"/>
      <c r="L6869" s="121"/>
      <c r="M6869" s="121"/>
      <c r="N6869" s="504" t="s">
        <v>2350</v>
      </c>
      <c r="O6869" s="528" t="s">
        <v>2351</v>
      </c>
      <c r="P6869" s="257"/>
      <c r="Q6869" s="321"/>
      <c r="R6869" s="260"/>
      <c r="S6869" s="260"/>
      <c r="T6869" s="260"/>
      <c r="U6869" s="260"/>
      <c r="V6869" s="260"/>
      <c r="W6869" s="262">
        <f>'РО 01.01 - 30.06'!W6869+'РО 01.07 - 31.08'!W6869+'РО 01.09 - 31.12'!W6869</f>
        <v>0</v>
      </c>
      <c r="X6869" s="260"/>
      <c r="Y6869" s="260"/>
      <c r="Z6869" s="262">
        <f>'РО 01.01 - 30.06'!Z6869+'РО 01.07 - 31.08'!Z6869+'РО 01.09 - 31.12'!Z6869</f>
        <v>0</v>
      </c>
      <c r="AA6869"/>
      <c r="AB6869"/>
      <c r="AC6869"/>
      <c r="AD6869"/>
      <c r="AE6869"/>
      <c r="AF6869"/>
      <c r="AG6869"/>
      <c r="AH6869"/>
      <c r="AI6869"/>
      <c r="AJ6869"/>
      <c r="AK6869"/>
      <c r="AL6869"/>
      <c r="AM6869"/>
      <c r="AN6869"/>
    </row>
    <row r="6870" spans="1:40" s="47" customFormat="1">
      <c r="A6870" s="121"/>
      <c r="B6870" s="121"/>
      <c r="C6870" s="121"/>
      <c r="D6870" s="121"/>
      <c r="E6870" s="121"/>
      <c r="F6870" s="121"/>
      <c r="G6870" s="121"/>
      <c r="H6870" s="121"/>
      <c r="I6870" s="121"/>
      <c r="J6870" s="121"/>
      <c r="K6870" s="121"/>
      <c r="L6870" s="121"/>
      <c r="M6870" s="121"/>
      <c r="N6870" s="504" t="s">
        <v>2352</v>
      </c>
      <c r="O6870" s="528" t="s">
        <v>2353</v>
      </c>
      <c r="P6870" s="257"/>
      <c r="Q6870" s="321"/>
      <c r="R6870" s="260"/>
      <c r="S6870" s="260"/>
      <c r="T6870" s="260"/>
      <c r="U6870" s="260"/>
      <c r="V6870" s="260"/>
      <c r="W6870" s="262">
        <f>'РО 01.01 - 30.06'!W6870+'РО 01.07 - 31.08'!W6870+'РО 01.09 - 31.12'!W6870</f>
        <v>0</v>
      </c>
      <c r="X6870" s="260"/>
      <c r="Y6870" s="260"/>
      <c r="Z6870" s="262">
        <f>'РО 01.01 - 30.06'!Z6870+'РО 01.07 - 31.08'!Z6870+'РО 01.09 - 31.12'!Z6870</f>
        <v>0</v>
      </c>
      <c r="AA6870"/>
      <c r="AB6870"/>
      <c r="AC6870"/>
      <c r="AD6870"/>
      <c r="AE6870"/>
      <c r="AF6870"/>
      <c r="AG6870"/>
      <c r="AH6870"/>
      <c r="AI6870"/>
      <c r="AJ6870"/>
      <c r="AK6870"/>
      <c r="AL6870"/>
      <c r="AM6870"/>
      <c r="AN6870"/>
    </row>
    <row r="6871" spans="1:40" s="47" customFormat="1">
      <c r="A6871" s="121"/>
      <c r="B6871" s="121"/>
      <c r="C6871" s="121"/>
      <c r="D6871" s="121"/>
      <c r="E6871" s="121"/>
      <c r="F6871" s="121"/>
      <c r="G6871" s="121"/>
      <c r="H6871" s="121"/>
      <c r="I6871" s="121"/>
      <c r="J6871" s="121"/>
      <c r="K6871" s="121"/>
      <c r="L6871" s="121"/>
      <c r="M6871" s="121"/>
      <c r="N6871" s="504" t="s">
        <v>2354</v>
      </c>
      <c r="O6871" s="528" t="s">
        <v>2355</v>
      </c>
      <c r="P6871" s="257"/>
      <c r="Q6871" s="321"/>
      <c r="R6871" s="260"/>
      <c r="S6871" s="260"/>
      <c r="T6871" s="260"/>
      <c r="U6871" s="260"/>
      <c r="V6871" s="260"/>
      <c r="W6871" s="262">
        <f>'РО 01.01 - 30.06'!W6871+'РО 01.07 - 31.08'!W6871+'РО 01.09 - 31.12'!W6871</f>
        <v>0</v>
      </c>
      <c r="X6871" s="260"/>
      <c r="Y6871" s="260"/>
      <c r="Z6871" s="262">
        <f>'РО 01.01 - 30.06'!Z6871+'РО 01.07 - 31.08'!Z6871+'РО 01.09 - 31.12'!Z6871</f>
        <v>0</v>
      </c>
      <c r="AA6871"/>
      <c r="AB6871"/>
      <c r="AC6871"/>
      <c r="AD6871"/>
      <c r="AE6871"/>
      <c r="AF6871"/>
      <c r="AG6871"/>
      <c r="AH6871"/>
      <c r="AI6871"/>
      <c r="AJ6871"/>
      <c r="AK6871"/>
      <c r="AL6871"/>
      <c r="AM6871"/>
      <c r="AN6871"/>
    </row>
    <row r="6872" spans="1:40" s="47" customFormat="1">
      <c r="A6872" s="121"/>
      <c r="B6872" s="121"/>
      <c r="C6872" s="121"/>
      <c r="D6872" s="121"/>
      <c r="E6872" s="121"/>
      <c r="F6872" s="121"/>
      <c r="G6872" s="121"/>
      <c r="H6872" s="121"/>
      <c r="I6872" s="121"/>
      <c r="J6872" s="121"/>
      <c r="K6872" s="121"/>
      <c r="L6872" s="121"/>
      <c r="M6872" s="121"/>
      <c r="N6872" s="504" t="s">
        <v>2356</v>
      </c>
      <c r="O6872" s="528" t="s">
        <v>2357</v>
      </c>
      <c r="P6872" s="257"/>
      <c r="Q6872" s="321"/>
      <c r="R6872" s="260"/>
      <c r="S6872" s="260"/>
      <c r="T6872" s="260"/>
      <c r="U6872" s="260"/>
      <c r="V6872" s="260"/>
      <c r="W6872" s="262">
        <f>'РО 01.01 - 30.06'!W6872+'РО 01.07 - 31.08'!W6872+'РО 01.09 - 31.12'!W6872</f>
        <v>0</v>
      </c>
      <c r="X6872" s="260"/>
      <c r="Y6872" s="260"/>
      <c r="Z6872" s="262">
        <f>'РО 01.01 - 30.06'!Z6872+'РО 01.07 - 31.08'!Z6872+'РО 01.09 - 31.12'!Z6872</f>
        <v>0</v>
      </c>
      <c r="AA6872"/>
      <c r="AB6872"/>
      <c r="AC6872"/>
      <c r="AD6872"/>
      <c r="AE6872"/>
      <c r="AF6872"/>
      <c r="AG6872"/>
      <c r="AH6872"/>
      <c r="AI6872"/>
      <c r="AJ6872"/>
      <c r="AK6872"/>
      <c r="AL6872"/>
      <c r="AM6872"/>
      <c r="AN6872"/>
    </row>
    <row r="6873" spans="1:40" s="47" customFormat="1">
      <c r="A6873" s="121"/>
      <c r="B6873" s="121"/>
      <c r="C6873" s="121"/>
      <c r="D6873" s="121"/>
      <c r="E6873" s="121"/>
      <c r="F6873" s="121"/>
      <c r="G6873" s="121"/>
      <c r="H6873" s="121"/>
      <c r="I6873" s="121"/>
      <c r="J6873" s="121"/>
      <c r="K6873" s="121"/>
      <c r="L6873" s="121"/>
      <c r="M6873" s="121"/>
      <c r="N6873" s="504" t="s">
        <v>2358</v>
      </c>
      <c r="O6873" s="536" t="s">
        <v>2359</v>
      </c>
      <c r="P6873" s="257"/>
      <c r="Q6873" s="321"/>
      <c r="R6873" s="260"/>
      <c r="S6873" s="260"/>
      <c r="T6873" s="260"/>
      <c r="U6873" s="260"/>
      <c r="V6873" s="260"/>
      <c r="W6873" s="262">
        <f>'РО 01.01 - 30.06'!W6873+'РО 01.07 - 31.08'!W6873+'РО 01.09 - 31.12'!W6873</f>
        <v>0</v>
      </c>
      <c r="X6873" s="260"/>
      <c r="Y6873" s="260"/>
      <c r="Z6873" s="262">
        <f>'РО 01.01 - 30.06'!Z6873+'РО 01.07 - 31.08'!Z6873+'РО 01.09 - 31.12'!Z6873</f>
        <v>0</v>
      </c>
      <c r="AA6873"/>
      <c r="AB6873"/>
      <c r="AC6873"/>
      <c r="AD6873"/>
      <c r="AE6873"/>
      <c r="AF6873"/>
      <c r="AG6873"/>
      <c r="AH6873"/>
      <c r="AI6873"/>
      <c r="AJ6873"/>
      <c r="AK6873"/>
      <c r="AL6873"/>
      <c r="AM6873"/>
      <c r="AN6873"/>
    </row>
    <row r="6874" spans="1:40" s="47" customFormat="1">
      <c r="A6874" s="121"/>
      <c r="B6874" s="121"/>
      <c r="C6874" s="121"/>
      <c r="D6874" s="121"/>
      <c r="E6874" s="121"/>
      <c r="F6874" s="121"/>
      <c r="G6874" s="121"/>
      <c r="H6874" s="121"/>
      <c r="I6874" s="121"/>
      <c r="J6874" s="121"/>
      <c r="K6874" s="121"/>
      <c r="L6874" s="121"/>
      <c r="M6874" s="121"/>
      <c r="N6874" s="504" t="s">
        <v>2360</v>
      </c>
      <c r="O6874" s="537" t="s">
        <v>2444</v>
      </c>
      <c r="P6874" s="257"/>
      <c r="Q6874" s="321"/>
      <c r="R6874" s="260"/>
      <c r="S6874" s="260"/>
      <c r="T6874" s="260"/>
      <c r="U6874" s="260"/>
      <c r="V6874" s="260"/>
      <c r="W6874" s="262">
        <f>'РО 01.01 - 30.06'!W6874+'РО 01.07 - 31.08'!W6874+'РО 01.09 - 31.12'!W6874</f>
        <v>0</v>
      </c>
      <c r="X6874" s="260"/>
      <c r="Y6874" s="260"/>
      <c r="Z6874" s="262">
        <f>'РО 01.01 - 30.06'!Z6874+'РО 01.07 - 31.08'!Z6874+'РО 01.09 - 31.12'!Z6874</f>
        <v>0</v>
      </c>
      <c r="AA6874"/>
      <c r="AB6874"/>
      <c r="AC6874"/>
      <c r="AD6874"/>
      <c r="AE6874"/>
      <c r="AF6874"/>
      <c r="AG6874"/>
      <c r="AH6874"/>
      <c r="AI6874"/>
      <c r="AJ6874"/>
      <c r="AK6874"/>
      <c r="AL6874"/>
      <c r="AM6874"/>
      <c r="AN6874"/>
    </row>
    <row r="6875" spans="1:40" s="47" customFormat="1">
      <c r="A6875" s="121"/>
      <c r="B6875" s="121"/>
      <c r="C6875" s="121"/>
      <c r="D6875" s="121"/>
      <c r="E6875" s="121"/>
      <c r="F6875" s="121"/>
      <c r="G6875" s="121"/>
      <c r="H6875" s="121"/>
      <c r="I6875" s="121"/>
      <c r="J6875" s="121"/>
      <c r="K6875" s="121"/>
      <c r="L6875" s="121"/>
      <c r="M6875" s="121"/>
      <c r="N6875" s="504" t="s">
        <v>2361</v>
      </c>
      <c r="O6875" s="537" t="s">
        <v>2362</v>
      </c>
      <c r="P6875" s="257"/>
      <c r="Q6875" s="321"/>
      <c r="R6875" s="260"/>
      <c r="S6875" s="260"/>
      <c r="T6875" s="260"/>
      <c r="U6875" s="260"/>
      <c r="V6875" s="260"/>
      <c r="W6875" s="262">
        <f>'РО 01.01 - 30.06'!W6875+'РО 01.07 - 31.08'!W6875+'РО 01.09 - 31.12'!W6875</f>
        <v>0</v>
      </c>
      <c r="X6875" s="260"/>
      <c r="Y6875" s="260"/>
      <c r="Z6875" s="262">
        <f>'РО 01.01 - 30.06'!Z6875+'РО 01.07 - 31.08'!Z6875+'РО 01.09 - 31.12'!Z6875</f>
        <v>0</v>
      </c>
      <c r="AA6875"/>
      <c r="AB6875"/>
      <c r="AC6875"/>
      <c r="AD6875"/>
      <c r="AE6875"/>
      <c r="AF6875"/>
      <c r="AG6875"/>
      <c r="AH6875"/>
      <c r="AI6875"/>
      <c r="AJ6875"/>
      <c r="AK6875"/>
      <c r="AL6875"/>
      <c r="AM6875"/>
      <c r="AN6875"/>
    </row>
    <row r="6876" spans="1:40" s="47" customFormat="1">
      <c r="A6876" s="121"/>
      <c r="B6876" s="121"/>
      <c r="C6876" s="121"/>
      <c r="D6876" s="121"/>
      <c r="E6876" s="121"/>
      <c r="F6876" s="121"/>
      <c r="G6876" s="121"/>
      <c r="H6876" s="121"/>
      <c r="I6876" s="121"/>
      <c r="J6876" s="121"/>
      <c r="K6876" s="121"/>
      <c r="L6876" s="121"/>
      <c r="M6876" s="121"/>
      <c r="N6876" s="504" t="s">
        <v>2363</v>
      </c>
      <c r="O6876" s="528" t="s">
        <v>872</v>
      </c>
      <c r="P6876" s="257"/>
      <c r="Q6876" s="321"/>
      <c r="R6876" s="260"/>
      <c r="S6876" s="260"/>
      <c r="T6876" s="260"/>
      <c r="U6876" s="260"/>
      <c r="V6876" s="260"/>
      <c r="W6876" s="262">
        <f>'РО 01.01 - 30.06'!W6876+'РО 01.07 - 31.08'!W6876+'РО 01.09 - 31.12'!W6876</f>
        <v>0</v>
      </c>
      <c r="X6876" s="260"/>
      <c r="Y6876" s="260"/>
      <c r="Z6876" s="262">
        <f>'РО 01.01 - 30.06'!Z6876+'РО 01.07 - 31.08'!Z6876+'РО 01.09 - 31.12'!Z6876</f>
        <v>0</v>
      </c>
      <c r="AA6876"/>
      <c r="AB6876"/>
      <c r="AC6876"/>
      <c r="AD6876"/>
      <c r="AE6876"/>
      <c r="AF6876"/>
      <c r="AG6876"/>
      <c r="AH6876"/>
      <c r="AI6876"/>
      <c r="AJ6876"/>
      <c r="AK6876"/>
      <c r="AL6876"/>
      <c r="AM6876"/>
      <c r="AN6876"/>
    </row>
    <row r="6877" spans="1:40" s="47" customFormat="1" ht="22.5">
      <c r="A6877" s="121"/>
      <c r="B6877" s="121"/>
      <c r="C6877" s="121"/>
      <c r="D6877" s="121"/>
      <c r="E6877" s="121"/>
      <c r="F6877" s="121"/>
      <c r="G6877" s="121"/>
      <c r="H6877" s="121"/>
      <c r="I6877" s="121"/>
      <c r="J6877" s="121"/>
      <c r="K6877" s="121"/>
      <c r="L6877" s="121"/>
      <c r="M6877" s="121"/>
      <c r="N6877" s="504" t="s">
        <v>2364</v>
      </c>
      <c r="O6877" s="528" t="s">
        <v>2365</v>
      </c>
      <c r="P6877" s="257"/>
      <c r="Q6877" s="321"/>
      <c r="R6877" s="260"/>
      <c r="S6877" s="260"/>
      <c r="T6877" s="260"/>
      <c r="U6877" s="260"/>
      <c r="V6877" s="260"/>
      <c r="W6877" s="262">
        <f>'РО 01.01 - 30.06'!W6877+'РО 01.07 - 31.08'!W6877+'РО 01.09 - 31.12'!W6877</f>
        <v>0</v>
      </c>
      <c r="X6877" s="260"/>
      <c r="Y6877" s="260"/>
      <c r="Z6877" s="262">
        <f>'РО 01.01 - 30.06'!Z6877+'РО 01.07 - 31.08'!Z6877+'РО 01.09 - 31.12'!Z6877</f>
        <v>0</v>
      </c>
      <c r="AA6877"/>
      <c r="AB6877"/>
      <c r="AC6877"/>
      <c r="AD6877"/>
      <c r="AE6877"/>
      <c r="AF6877"/>
      <c r="AG6877"/>
      <c r="AH6877"/>
      <c r="AI6877"/>
      <c r="AJ6877"/>
      <c r="AK6877"/>
      <c r="AL6877"/>
      <c r="AM6877"/>
      <c r="AN6877"/>
    </row>
    <row r="6878" spans="1:40" s="47" customFormat="1">
      <c r="A6878" s="121"/>
      <c r="B6878" s="121"/>
      <c r="C6878" s="121"/>
      <c r="D6878" s="121"/>
      <c r="E6878" s="121"/>
      <c r="F6878" s="121"/>
      <c r="G6878" s="121"/>
      <c r="H6878" s="121"/>
      <c r="I6878" s="121"/>
      <c r="J6878" s="121"/>
      <c r="K6878" s="121"/>
      <c r="L6878" s="121"/>
      <c r="M6878" s="121"/>
      <c r="N6878" s="504" t="s">
        <v>2366</v>
      </c>
      <c r="O6878" s="528" t="s">
        <v>2367</v>
      </c>
      <c r="P6878" s="257"/>
      <c r="Q6878" s="321"/>
      <c r="R6878" s="260"/>
      <c r="S6878" s="260"/>
      <c r="T6878" s="260"/>
      <c r="U6878" s="260"/>
      <c r="V6878" s="260"/>
      <c r="W6878" s="262">
        <f>'РО 01.01 - 30.06'!W6878+'РО 01.07 - 31.08'!W6878+'РО 01.09 - 31.12'!W6878</f>
        <v>0</v>
      </c>
      <c r="X6878" s="260"/>
      <c r="Y6878" s="260"/>
      <c r="Z6878" s="262">
        <f>'РО 01.01 - 30.06'!Z6878+'РО 01.07 - 31.08'!Z6878+'РО 01.09 - 31.12'!Z6878</f>
        <v>0</v>
      </c>
      <c r="AA6878"/>
      <c r="AB6878"/>
      <c r="AC6878"/>
      <c r="AD6878"/>
      <c r="AE6878"/>
      <c r="AF6878"/>
      <c r="AG6878"/>
      <c r="AH6878"/>
      <c r="AI6878"/>
      <c r="AJ6878"/>
      <c r="AK6878"/>
      <c r="AL6878"/>
      <c r="AM6878"/>
      <c r="AN6878"/>
    </row>
    <row r="6879" spans="1:40" s="47" customFormat="1">
      <c r="A6879" s="121"/>
      <c r="B6879" s="121"/>
      <c r="C6879" s="121"/>
      <c r="D6879" s="121"/>
      <c r="E6879" s="121"/>
      <c r="F6879" s="121"/>
      <c r="G6879" s="121"/>
      <c r="H6879" s="121"/>
      <c r="I6879" s="121"/>
      <c r="J6879" s="121"/>
      <c r="K6879" s="121"/>
      <c r="L6879" s="121"/>
      <c r="M6879" s="121"/>
      <c r="N6879" s="260"/>
      <c r="O6879" s="260"/>
      <c r="P6879" s="260"/>
      <c r="Q6879" s="321"/>
      <c r="R6879" s="260"/>
      <c r="S6879" s="260"/>
      <c r="T6879" s="260"/>
      <c r="U6879" s="260"/>
      <c r="V6879" s="260"/>
      <c r="W6879" s="260"/>
      <c r="X6879" s="260"/>
      <c r="Y6879" s="260"/>
      <c r="Z6879" s="260"/>
      <c r="AA6879"/>
      <c r="AB6879"/>
      <c r="AC6879"/>
      <c r="AD6879"/>
      <c r="AE6879"/>
      <c r="AF6879"/>
      <c r="AG6879"/>
      <c r="AH6879"/>
      <c r="AI6879"/>
      <c r="AJ6879"/>
      <c r="AK6879"/>
      <c r="AL6879"/>
      <c r="AM6879"/>
      <c r="AN6879"/>
    </row>
    <row r="6880" spans="1:40" s="47" customFormat="1">
      <c r="A6880" s="121"/>
      <c r="B6880" s="121"/>
      <c r="C6880" s="121"/>
      <c r="D6880" s="121"/>
      <c r="E6880" s="121"/>
      <c r="F6880" s="121"/>
      <c r="G6880" s="121"/>
      <c r="H6880" s="121"/>
      <c r="I6880" s="121"/>
      <c r="J6880" s="121"/>
      <c r="K6880" s="121"/>
      <c r="L6880" s="121"/>
      <c r="M6880" s="121"/>
      <c r="N6880" s="260"/>
      <c r="O6880" s="260"/>
      <c r="P6880" s="260"/>
      <c r="Q6880" s="321"/>
      <c r="R6880" s="260"/>
      <c r="S6880" s="260"/>
      <c r="T6880" s="260"/>
      <c r="U6880" s="260"/>
      <c r="V6880" s="260"/>
      <c r="W6880" s="260"/>
      <c r="X6880" s="260"/>
      <c r="Y6880" s="260"/>
      <c r="Z6880" s="260"/>
      <c r="AA6880"/>
      <c r="AB6880"/>
      <c r="AC6880"/>
      <c r="AD6880"/>
      <c r="AE6880"/>
      <c r="AF6880"/>
      <c r="AG6880"/>
      <c r="AH6880"/>
      <c r="AI6880"/>
      <c r="AJ6880"/>
      <c r="AK6880"/>
      <c r="AL6880"/>
      <c r="AM6880"/>
      <c r="AN6880"/>
    </row>
    <row r="6881" spans="1:40" s="47" customFormat="1">
      <c r="A6881" s="121"/>
      <c r="B6881" s="121"/>
      <c r="C6881" s="121"/>
      <c r="D6881" s="121"/>
      <c r="E6881" s="121"/>
      <c r="F6881" s="121"/>
      <c r="G6881" s="121"/>
      <c r="H6881" s="121"/>
      <c r="I6881" s="121"/>
      <c r="J6881" s="121"/>
      <c r="K6881" s="121"/>
      <c r="L6881" s="121"/>
      <c r="M6881" s="121"/>
      <c r="N6881" s="260"/>
      <c r="O6881" s="260"/>
      <c r="P6881" s="260"/>
      <c r="Q6881" s="321"/>
      <c r="R6881" s="260"/>
      <c r="S6881" s="260"/>
      <c r="T6881" s="260"/>
      <c r="U6881" s="260"/>
      <c r="V6881" s="260"/>
      <c r="W6881" s="260"/>
      <c r="X6881" s="260"/>
      <c r="Y6881" s="260"/>
      <c r="Z6881" s="260"/>
      <c r="AA6881"/>
      <c r="AB6881"/>
      <c r="AC6881"/>
      <c r="AD6881"/>
      <c r="AE6881"/>
      <c r="AF6881"/>
      <c r="AG6881"/>
      <c r="AH6881"/>
      <c r="AI6881"/>
      <c r="AJ6881"/>
      <c r="AK6881"/>
      <c r="AL6881"/>
      <c r="AM6881"/>
      <c r="AN6881"/>
    </row>
    <row r="6882" spans="1:40" s="47" customFormat="1">
      <c r="A6882" s="121"/>
      <c r="B6882" s="121"/>
      <c r="C6882" s="121"/>
      <c r="D6882" s="121"/>
      <c r="E6882" s="121"/>
      <c r="F6882" s="121"/>
      <c r="G6882" s="121"/>
      <c r="H6882" s="121"/>
      <c r="I6882" s="121"/>
      <c r="J6882" s="121"/>
      <c r="K6882" s="121"/>
      <c r="L6882" s="121"/>
      <c r="M6882" s="121"/>
      <c r="N6882" s="260"/>
      <c r="O6882" s="260"/>
      <c r="P6882" s="260"/>
      <c r="Q6882" s="321"/>
      <c r="R6882" s="260"/>
      <c r="S6882" s="260"/>
      <c r="T6882" s="260"/>
      <c r="U6882" s="260"/>
      <c r="V6882" s="260"/>
      <c r="W6882" s="260"/>
      <c r="X6882" s="260"/>
      <c r="Y6882" s="260"/>
      <c r="Z6882" s="260"/>
      <c r="AA6882"/>
      <c r="AB6882"/>
      <c r="AC6882"/>
      <c r="AD6882"/>
      <c r="AE6882"/>
      <c r="AF6882"/>
      <c r="AG6882"/>
      <c r="AH6882"/>
      <c r="AI6882"/>
      <c r="AJ6882"/>
      <c r="AK6882"/>
      <c r="AL6882"/>
      <c r="AM6882"/>
      <c r="AN6882"/>
    </row>
    <row r="6883" spans="1:40" s="47" customFormat="1">
      <c r="A6883" s="121"/>
      <c r="B6883" s="121"/>
      <c r="C6883" s="121"/>
      <c r="D6883" s="121"/>
      <c r="E6883" s="121"/>
      <c r="F6883" s="121"/>
      <c r="G6883" s="121"/>
      <c r="H6883" s="121"/>
      <c r="I6883" s="121"/>
      <c r="J6883" s="121"/>
      <c r="K6883" s="121"/>
      <c r="L6883" s="121"/>
      <c r="M6883" s="121"/>
      <c r="N6883" s="260"/>
      <c r="O6883" s="260"/>
      <c r="P6883" s="260"/>
      <c r="Q6883" s="321"/>
      <c r="R6883" s="260"/>
      <c r="S6883" s="260"/>
      <c r="T6883" s="260"/>
      <c r="U6883" s="260"/>
      <c r="V6883" s="260"/>
      <c r="W6883" s="260"/>
      <c r="X6883" s="260"/>
      <c r="Y6883" s="260"/>
      <c r="Z6883" s="260"/>
      <c r="AA6883"/>
      <c r="AB6883"/>
      <c r="AC6883"/>
      <c r="AD6883"/>
      <c r="AE6883"/>
      <c r="AF6883"/>
      <c r="AG6883"/>
      <c r="AH6883"/>
      <c r="AI6883"/>
      <c r="AJ6883"/>
      <c r="AK6883"/>
      <c r="AL6883"/>
      <c r="AM6883"/>
      <c r="AN6883"/>
    </row>
    <row r="6884" spans="1:40" s="47" customFormat="1">
      <c r="A6884" s="121"/>
      <c r="B6884" s="121"/>
      <c r="C6884" s="121"/>
      <c r="D6884" s="121"/>
      <c r="E6884" s="121"/>
      <c r="F6884" s="121"/>
      <c r="G6884" s="121"/>
      <c r="H6884" s="121"/>
      <c r="I6884" s="121"/>
      <c r="J6884" s="121"/>
      <c r="K6884" s="121"/>
      <c r="L6884" s="121"/>
      <c r="M6884" s="121"/>
      <c r="N6884" s="260"/>
      <c r="O6884" s="260"/>
      <c r="P6884" s="260"/>
      <c r="Q6884" s="321"/>
      <c r="R6884" s="260"/>
      <c r="S6884" s="260"/>
      <c r="T6884" s="260"/>
      <c r="U6884" s="260"/>
      <c r="V6884" s="260"/>
      <c r="W6884" s="260"/>
      <c r="X6884" s="260"/>
      <c r="Y6884" s="260"/>
      <c r="Z6884" s="260"/>
      <c r="AA6884"/>
      <c r="AB6884"/>
      <c r="AC6884"/>
      <c r="AD6884"/>
      <c r="AE6884"/>
      <c r="AF6884"/>
      <c r="AG6884"/>
      <c r="AH6884"/>
      <c r="AI6884"/>
      <c r="AJ6884"/>
      <c r="AK6884"/>
      <c r="AL6884"/>
      <c r="AM6884"/>
      <c r="AN6884"/>
    </row>
    <row r="6885" spans="1:40" s="47" customFormat="1">
      <c r="A6885" s="121"/>
      <c r="B6885" s="121"/>
      <c r="C6885" s="121"/>
      <c r="D6885" s="121"/>
      <c r="E6885" s="121"/>
      <c r="F6885" s="121"/>
      <c r="G6885" s="121"/>
      <c r="H6885" s="121"/>
      <c r="I6885" s="121"/>
      <c r="J6885" s="121"/>
      <c r="K6885" s="121"/>
      <c r="L6885" s="121"/>
      <c r="M6885" s="121"/>
      <c r="N6885" s="260"/>
      <c r="O6885" s="260"/>
      <c r="P6885" s="260"/>
      <c r="Q6885" s="321"/>
      <c r="R6885" s="260"/>
      <c r="S6885" s="260"/>
      <c r="T6885" s="260"/>
      <c r="U6885" s="260"/>
      <c r="V6885" s="260"/>
      <c r="W6885" s="260"/>
      <c r="X6885" s="260"/>
      <c r="Y6885" s="260"/>
      <c r="Z6885" s="260"/>
      <c r="AA6885"/>
      <c r="AB6885"/>
      <c r="AC6885"/>
      <c r="AD6885"/>
      <c r="AE6885"/>
      <c r="AF6885"/>
      <c r="AG6885"/>
      <c r="AH6885"/>
      <c r="AI6885"/>
      <c r="AJ6885"/>
      <c r="AK6885"/>
      <c r="AL6885"/>
      <c r="AM6885"/>
      <c r="AN6885"/>
    </row>
    <row r="6886" spans="1:40" s="47" customFormat="1">
      <c r="A6886" s="121"/>
      <c r="B6886" s="121"/>
      <c r="C6886" s="121"/>
      <c r="D6886" s="121"/>
      <c r="E6886" s="121"/>
      <c r="F6886" s="121"/>
      <c r="G6886" s="121"/>
      <c r="H6886" s="121"/>
      <c r="I6886" s="121"/>
      <c r="J6886" s="121"/>
      <c r="K6886" s="121"/>
      <c r="L6886" s="121"/>
      <c r="M6886" s="121"/>
      <c r="N6886" s="260"/>
      <c r="O6886" s="260"/>
      <c r="P6886" s="260"/>
      <c r="Q6886" s="321"/>
      <c r="R6886" s="260"/>
      <c r="S6886" s="260"/>
      <c r="T6886" s="260"/>
      <c r="U6886" s="260"/>
      <c r="V6886" s="260"/>
      <c r="W6886" s="260"/>
      <c r="X6886" s="260"/>
      <c r="Y6886" s="260"/>
      <c r="Z6886" s="260"/>
      <c r="AA6886"/>
      <c r="AB6886"/>
      <c r="AC6886"/>
      <c r="AD6886"/>
      <c r="AE6886"/>
      <c r="AF6886"/>
      <c r="AG6886"/>
      <c r="AH6886"/>
      <c r="AI6886"/>
      <c r="AJ6886"/>
      <c r="AK6886"/>
      <c r="AL6886"/>
      <c r="AM6886"/>
      <c r="AN6886"/>
    </row>
    <row r="6887" spans="1:40" s="47" customFormat="1">
      <c r="A6887" s="121"/>
      <c r="B6887" s="121"/>
      <c r="C6887" s="121"/>
      <c r="D6887" s="121"/>
      <c r="E6887" s="121"/>
      <c r="F6887" s="121"/>
      <c r="G6887" s="121"/>
      <c r="H6887" s="121"/>
      <c r="I6887" s="121"/>
      <c r="J6887" s="121"/>
      <c r="K6887" s="121"/>
      <c r="L6887" s="121"/>
      <c r="M6887" s="121"/>
      <c r="N6887" s="260"/>
      <c r="O6887" s="260"/>
      <c r="P6887" s="260"/>
      <c r="Q6887" s="321"/>
      <c r="R6887" s="260"/>
      <c r="S6887" s="260"/>
      <c r="T6887" s="260"/>
      <c r="U6887" s="260"/>
      <c r="V6887" s="260"/>
      <c r="W6887" s="260"/>
      <c r="X6887" s="260"/>
      <c r="Y6887" s="260"/>
      <c r="Z6887" s="260"/>
      <c r="AA6887"/>
      <c r="AB6887"/>
      <c r="AC6887"/>
      <c r="AD6887"/>
      <c r="AE6887"/>
      <c r="AF6887"/>
      <c r="AG6887"/>
      <c r="AH6887"/>
      <c r="AI6887"/>
      <c r="AJ6887"/>
      <c r="AK6887"/>
      <c r="AL6887"/>
      <c r="AM6887"/>
      <c r="AN6887"/>
    </row>
    <row r="6888" spans="1:40" s="47" customFormat="1">
      <c r="A6888" s="121"/>
      <c r="B6888" s="121"/>
      <c r="C6888" s="121"/>
      <c r="D6888" s="121"/>
      <c r="E6888" s="121"/>
      <c r="F6888" s="121"/>
      <c r="G6888" s="121"/>
      <c r="H6888" s="121"/>
      <c r="I6888" s="121"/>
      <c r="J6888" s="121"/>
      <c r="K6888" s="121"/>
      <c r="L6888" s="121"/>
      <c r="M6888" s="121"/>
      <c r="N6888" s="260"/>
      <c r="O6888" s="260"/>
      <c r="P6888" s="260"/>
      <c r="Q6888" s="321"/>
      <c r="R6888" s="260"/>
      <c r="S6888" s="260"/>
      <c r="T6888" s="260"/>
      <c r="U6888" s="260"/>
      <c r="V6888" s="260"/>
      <c r="W6888" s="260"/>
      <c r="X6888" s="260"/>
      <c r="Y6888" s="260"/>
      <c r="Z6888" s="260"/>
      <c r="AA6888"/>
      <c r="AB6888"/>
      <c r="AC6888"/>
      <c r="AD6888"/>
      <c r="AE6888"/>
      <c r="AF6888"/>
      <c r="AG6888"/>
      <c r="AH6888"/>
      <c r="AI6888"/>
      <c r="AJ6888"/>
      <c r="AK6888"/>
      <c r="AL6888"/>
      <c r="AM6888"/>
      <c r="AN6888"/>
    </row>
    <row r="6889" spans="1:40" s="47" customFormat="1">
      <c r="A6889" s="121"/>
      <c r="B6889" s="121"/>
      <c r="C6889" s="121"/>
      <c r="D6889" s="121"/>
      <c r="E6889" s="121"/>
      <c r="F6889" s="121"/>
      <c r="G6889" s="121"/>
      <c r="H6889" s="121"/>
      <c r="I6889" s="121"/>
      <c r="J6889" s="121"/>
      <c r="K6889" s="121"/>
      <c r="L6889" s="121"/>
      <c r="M6889" s="121"/>
      <c r="N6889" s="260"/>
      <c r="O6889" s="260"/>
      <c r="P6889" s="260"/>
      <c r="Q6889" s="321"/>
      <c r="R6889" s="260"/>
      <c r="S6889" s="260"/>
      <c r="T6889" s="260"/>
      <c r="U6889" s="260"/>
      <c r="V6889" s="260"/>
      <c r="W6889" s="260"/>
      <c r="X6889" s="260"/>
      <c r="Y6889" s="260"/>
      <c r="Z6889" s="260"/>
      <c r="AA6889"/>
      <c r="AB6889"/>
      <c r="AC6889"/>
      <c r="AD6889"/>
      <c r="AE6889"/>
      <c r="AF6889"/>
      <c r="AG6889"/>
      <c r="AH6889"/>
      <c r="AI6889"/>
      <c r="AJ6889"/>
      <c r="AK6889"/>
      <c r="AL6889"/>
      <c r="AM6889"/>
    </row>
    <row r="6890" spans="1:40" s="47" customFormat="1">
      <c r="A6890" s="121"/>
      <c r="B6890" s="121"/>
      <c r="C6890" s="121"/>
      <c r="D6890" s="121"/>
      <c r="E6890" s="121"/>
      <c r="F6890" s="121"/>
      <c r="G6890" s="121"/>
      <c r="H6890" s="121"/>
      <c r="I6890" s="121"/>
      <c r="J6890" s="121"/>
      <c r="K6890" s="121"/>
      <c r="L6890" s="121"/>
      <c r="M6890" s="121"/>
      <c r="N6890" s="260"/>
      <c r="O6890" s="260"/>
      <c r="P6890" s="260"/>
      <c r="Q6890" s="321"/>
      <c r="R6890" s="260"/>
      <c r="S6890" s="260"/>
      <c r="T6890" s="260"/>
      <c r="U6890" s="260"/>
      <c r="V6890" s="260"/>
      <c r="W6890" s="260"/>
      <c r="X6890" s="260"/>
      <c r="Y6890" s="260"/>
      <c r="Z6890" s="260"/>
      <c r="AA6890"/>
      <c r="AB6890"/>
      <c r="AC6890"/>
      <c r="AD6890"/>
      <c r="AE6890"/>
      <c r="AF6890"/>
      <c r="AG6890"/>
      <c r="AH6890"/>
      <c r="AI6890"/>
      <c r="AJ6890"/>
      <c r="AK6890"/>
      <c r="AL6890"/>
      <c r="AM6890"/>
    </row>
    <row r="6891" spans="1:40" s="47" customFormat="1">
      <c r="A6891" s="121"/>
      <c r="B6891" s="121"/>
      <c r="C6891" s="121"/>
      <c r="D6891" s="121"/>
      <c r="E6891" s="121"/>
      <c r="F6891" s="121"/>
      <c r="G6891" s="121"/>
      <c r="H6891" s="121"/>
      <c r="I6891" s="121"/>
      <c r="J6891" s="121"/>
      <c r="K6891" s="121"/>
      <c r="L6891" s="121"/>
      <c r="M6891" s="121"/>
      <c r="N6891" s="260"/>
      <c r="O6891" s="260"/>
      <c r="P6891" s="260"/>
      <c r="Q6891" s="321"/>
      <c r="R6891" s="260"/>
      <c r="S6891" s="260"/>
      <c r="T6891" s="260"/>
      <c r="U6891" s="260"/>
      <c r="V6891" s="260"/>
      <c r="W6891" s="260"/>
      <c r="X6891" s="260"/>
      <c r="Y6891" s="260"/>
      <c r="Z6891" s="260"/>
      <c r="AA6891"/>
      <c r="AB6891"/>
      <c r="AC6891"/>
      <c r="AD6891"/>
      <c r="AE6891"/>
      <c r="AF6891"/>
      <c r="AG6891"/>
      <c r="AH6891"/>
      <c r="AI6891"/>
      <c r="AJ6891"/>
      <c r="AK6891"/>
      <c r="AL6891"/>
      <c r="AM6891"/>
    </row>
    <row r="6892" spans="1:40" s="47" customFormat="1">
      <c r="A6892" s="121"/>
      <c r="B6892" s="121"/>
      <c r="C6892" s="121"/>
      <c r="D6892" s="121"/>
      <c r="E6892" s="121"/>
      <c r="F6892" s="121"/>
      <c r="G6892" s="121"/>
      <c r="H6892" s="121"/>
      <c r="I6892" s="121"/>
      <c r="J6892" s="121"/>
      <c r="K6892" s="121"/>
      <c r="L6892" s="121"/>
      <c r="M6892" s="121"/>
      <c r="N6892" s="260"/>
      <c r="O6892" s="260"/>
      <c r="P6892" s="260"/>
      <c r="Q6892" s="321"/>
      <c r="R6892" s="260"/>
      <c r="S6892" s="260"/>
      <c r="T6892" s="260"/>
      <c r="U6892" s="260"/>
      <c r="V6892" s="260"/>
      <c r="W6892" s="260"/>
      <c r="X6892" s="260"/>
      <c r="Y6892" s="260"/>
      <c r="Z6892" s="260"/>
      <c r="AA6892"/>
      <c r="AB6892"/>
      <c r="AC6892"/>
      <c r="AD6892"/>
      <c r="AE6892"/>
      <c r="AF6892"/>
      <c r="AG6892"/>
      <c r="AH6892"/>
      <c r="AI6892"/>
      <c r="AJ6892"/>
      <c r="AK6892"/>
      <c r="AL6892"/>
      <c r="AM6892"/>
    </row>
    <row r="6893" spans="1:40" s="47" customFormat="1">
      <c r="A6893" s="121"/>
      <c r="B6893" s="121"/>
      <c r="C6893" s="121"/>
      <c r="D6893" s="121"/>
      <c r="E6893" s="121"/>
      <c r="F6893" s="121"/>
      <c r="G6893" s="121"/>
      <c r="H6893" s="121"/>
      <c r="I6893" s="121"/>
      <c r="J6893" s="121"/>
      <c r="K6893" s="121"/>
      <c r="L6893" s="121"/>
      <c r="M6893" s="121"/>
      <c r="N6893" s="260"/>
      <c r="O6893" s="260"/>
      <c r="P6893" s="260"/>
      <c r="Q6893" s="321"/>
      <c r="R6893" s="260"/>
      <c r="S6893" s="260"/>
      <c r="T6893" s="260"/>
      <c r="U6893" s="260"/>
      <c r="V6893" s="260"/>
      <c r="W6893" s="260"/>
      <c r="X6893" s="260"/>
      <c r="Y6893" s="260"/>
      <c r="Z6893" s="260"/>
      <c r="AA6893"/>
      <c r="AB6893"/>
      <c r="AC6893"/>
      <c r="AD6893"/>
      <c r="AE6893"/>
      <c r="AF6893"/>
      <c r="AG6893"/>
      <c r="AH6893"/>
      <c r="AI6893"/>
      <c r="AJ6893"/>
      <c r="AK6893"/>
      <c r="AL6893"/>
      <c r="AM6893"/>
    </row>
    <row r="6894" spans="1:40" s="47" customFormat="1">
      <c r="A6894" s="121"/>
      <c r="B6894" s="121"/>
      <c r="C6894" s="121"/>
      <c r="D6894" s="121"/>
      <c r="E6894" s="121"/>
      <c r="F6894" s="121"/>
      <c r="G6894" s="121"/>
      <c r="H6894" s="121"/>
      <c r="I6894" s="121"/>
      <c r="J6894" s="121"/>
      <c r="K6894" s="121"/>
      <c r="L6894" s="121"/>
      <c r="M6894" s="121"/>
      <c r="N6894" s="260"/>
      <c r="O6894" s="260"/>
      <c r="P6894" s="260"/>
      <c r="Q6894" s="321"/>
      <c r="R6894" s="260"/>
      <c r="S6894" s="260"/>
      <c r="T6894" s="260"/>
      <c r="U6894" s="260"/>
      <c r="V6894" s="260"/>
      <c r="W6894" s="260"/>
      <c r="X6894" s="260"/>
      <c r="Y6894" s="260"/>
      <c r="Z6894" s="260"/>
      <c r="AA6894"/>
      <c r="AB6894"/>
      <c r="AC6894"/>
      <c r="AD6894"/>
      <c r="AE6894"/>
      <c r="AF6894"/>
      <c r="AG6894"/>
      <c r="AH6894"/>
      <c r="AI6894"/>
      <c r="AJ6894"/>
      <c r="AK6894"/>
      <c r="AL6894"/>
      <c r="AM6894"/>
    </row>
    <row r="6895" spans="1:40" s="47" customFormat="1">
      <c r="A6895" s="121"/>
      <c r="B6895" s="121"/>
      <c r="C6895" s="121"/>
      <c r="D6895" s="121"/>
      <c r="E6895" s="121"/>
      <c r="F6895" s="121"/>
      <c r="G6895" s="121"/>
      <c r="H6895" s="121"/>
      <c r="I6895" s="121"/>
      <c r="J6895" s="121"/>
      <c r="K6895" s="121"/>
      <c r="L6895" s="121"/>
      <c r="M6895" s="121"/>
      <c r="N6895" s="260"/>
      <c r="O6895" s="260"/>
      <c r="P6895" s="260"/>
      <c r="Q6895" s="321"/>
      <c r="R6895" s="260"/>
      <c r="S6895" s="260"/>
      <c r="T6895" s="260"/>
      <c r="U6895" s="260"/>
      <c r="V6895" s="260"/>
      <c r="W6895" s="260"/>
      <c r="X6895" s="260"/>
      <c r="Y6895" s="260"/>
      <c r="Z6895" s="260"/>
      <c r="AA6895"/>
      <c r="AB6895"/>
      <c r="AC6895"/>
      <c r="AD6895"/>
      <c r="AE6895"/>
      <c r="AF6895"/>
      <c r="AG6895"/>
      <c r="AH6895"/>
      <c r="AI6895"/>
      <c r="AJ6895"/>
      <c r="AK6895"/>
      <c r="AL6895"/>
      <c r="AM6895"/>
      <c r="AN6895"/>
    </row>
    <row r="6896" spans="1:40" s="47" customFormat="1">
      <c r="A6896" s="121"/>
      <c r="B6896" s="121"/>
      <c r="C6896" s="121"/>
      <c r="D6896" s="121"/>
      <c r="E6896" s="121"/>
      <c r="F6896" s="121"/>
      <c r="G6896" s="121"/>
      <c r="H6896" s="121"/>
      <c r="I6896" s="121"/>
      <c r="J6896" s="121"/>
      <c r="K6896" s="121"/>
      <c r="L6896" s="121"/>
      <c r="M6896" s="121"/>
      <c r="N6896" s="260"/>
      <c r="O6896" s="260"/>
      <c r="P6896" s="260"/>
      <c r="Q6896" s="321"/>
      <c r="R6896" s="260"/>
      <c r="S6896" s="260"/>
      <c r="T6896" s="260"/>
      <c r="U6896" s="260"/>
      <c r="V6896" s="260"/>
      <c r="W6896" s="260"/>
      <c r="X6896" s="260"/>
      <c r="Y6896" s="260"/>
      <c r="Z6896" s="260"/>
      <c r="AA6896"/>
      <c r="AB6896"/>
      <c r="AC6896"/>
      <c r="AD6896"/>
      <c r="AE6896"/>
      <c r="AF6896"/>
      <c r="AG6896"/>
      <c r="AH6896"/>
      <c r="AI6896"/>
      <c r="AJ6896"/>
      <c r="AK6896"/>
      <c r="AL6896"/>
      <c r="AM6896"/>
      <c r="AN6896"/>
    </row>
    <row r="6897" spans="1:40" s="47" customFormat="1">
      <c r="A6897" s="121"/>
      <c r="B6897" s="121"/>
      <c r="C6897" s="121"/>
      <c r="D6897" s="121"/>
      <c r="E6897" s="121"/>
      <c r="F6897" s="121"/>
      <c r="G6897" s="121"/>
      <c r="H6897" s="121"/>
      <c r="I6897" s="121"/>
      <c r="J6897" s="121"/>
      <c r="K6897" s="121"/>
      <c r="L6897" s="121"/>
      <c r="M6897" s="121"/>
      <c r="N6897" s="260"/>
      <c r="O6897" s="260"/>
      <c r="P6897" s="260"/>
      <c r="Q6897" s="321"/>
      <c r="R6897" s="260"/>
      <c r="S6897" s="260"/>
      <c r="T6897" s="260"/>
      <c r="U6897" s="260"/>
      <c r="V6897" s="260"/>
      <c r="W6897" s="260"/>
      <c r="X6897" s="260"/>
      <c r="Y6897" s="260"/>
      <c r="Z6897" s="260"/>
      <c r="AA6897"/>
      <c r="AB6897"/>
      <c r="AC6897"/>
      <c r="AD6897"/>
      <c r="AE6897"/>
      <c r="AF6897"/>
      <c r="AG6897"/>
      <c r="AH6897"/>
      <c r="AI6897"/>
      <c r="AJ6897"/>
      <c r="AK6897"/>
      <c r="AL6897"/>
      <c r="AM6897"/>
      <c r="AN6897"/>
    </row>
    <row r="6898" spans="1:40" s="47" customFormat="1">
      <c r="A6898" s="121"/>
      <c r="B6898" s="121"/>
      <c r="C6898" s="121"/>
      <c r="D6898" s="121"/>
      <c r="E6898" s="121"/>
      <c r="F6898" s="121"/>
      <c r="G6898" s="121"/>
      <c r="H6898" s="121"/>
      <c r="I6898" s="121"/>
      <c r="J6898" s="121"/>
      <c r="K6898" s="121"/>
      <c r="L6898" s="121"/>
      <c r="M6898" s="121"/>
      <c r="N6898" s="260"/>
      <c r="O6898" s="260"/>
      <c r="P6898" s="260"/>
      <c r="Q6898" s="321"/>
      <c r="R6898" s="260"/>
      <c r="S6898" s="260"/>
      <c r="T6898" s="260"/>
      <c r="U6898" s="260"/>
      <c r="V6898" s="260"/>
      <c r="W6898" s="260"/>
      <c r="X6898" s="260"/>
      <c r="Y6898" s="260"/>
      <c r="Z6898" s="260"/>
      <c r="AA6898"/>
      <c r="AB6898"/>
      <c r="AC6898"/>
      <c r="AD6898"/>
      <c r="AE6898"/>
      <c r="AF6898"/>
      <c r="AG6898"/>
      <c r="AH6898"/>
      <c r="AI6898"/>
      <c r="AJ6898"/>
      <c r="AK6898"/>
      <c r="AL6898"/>
      <c r="AM6898"/>
      <c r="AN6898"/>
    </row>
    <row r="6899" spans="1:40" s="47" customFormat="1">
      <c r="A6899" s="121"/>
      <c r="B6899" s="121"/>
      <c r="C6899" s="121"/>
      <c r="D6899" s="121"/>
      <c r="E6899" s="121"/>
      <c r="F6899" s="121"/>
      <c r="G6899" s="121"/>
      <c r="H6899" s="121"/>
      <c r="I6899" s="121"/>
      <c r="J6899" s="121"/>
      <c r="K6899" s="121"/>
      <c r="L6899" s="121"/>
      <c r="M6899" s="121"/>
      <c r="N6899" s="260"/>
      <c r="O6899" s="260"/>
      <c r="P6899" s="260"/>
      <c r="Q6899" s="321"/>
      <c r="R6899" s="260"/>
      <c r="S6899" s="260"/>
      <c r="T6899" s="260"/>
      <c r="U6899" s="260"/>
      <c r="V6899" s="260"/>
      <c r="W6899" s="260"/>
      <c r="X6899" s="260"/>
      <c r="Y6899" s="260"/>
      <c r="Z6899" s="260"/>
      <c r="AA6899"/>
      <c r="AB6899"/>
      <c r="AC6899"/>
      <c r="AD6899"/>
      <c r="AE6899"/>
      <c r="AF6899"/>
      <c r="AG6899"/>
      <c r="AH6899"/>
      <c r="AI6899"/>
      <c r="AJ6899"/>
      <c r="AK6899"/>
      <c r="AL6899"/>
      <c r="AM6899"/>
      <c r="AN6899"/>
    </row>
    <row r="6900" spans="1:40" s="47" customFormat="1">
      <c r="A6900" s="121"/>
      <c r="B6900" s="121"/>
      <c r="C6900" s="121"/>
      <c r="D6900" s="121"/>
      <c r="E6900" s="121"/>
      <c r="F6900" s="121"/>
      <c r="G6900" s="121"/>
      <c r="H6900" s="121"/>
      <c r="I6900" s="121"/>
      <c r="J6900" s="121"/>
      <c r="K6900" s="121"/>
      <c r="L6900" s="121"/>
      <c r="M6900" s="121"/>
      <c r="N6900" s="260"/>
      <c r="O6900" s="260"/>
      <c r="P6900" s="260"/>
      <c r="Q6900" s="321"/>
      <c r="R6900" s="260"/>
      <c r="S6900" s="260"/>
      <c r="T6900" s="260"/>
      <c r="U6900" s="260"/>
      <c r="V6900" s="260"/>
      <c r="W6900" s="260"/>
      <c r="X6900" s="260"/>
      <c r="Y6900" s="260"/>
      <c r="Z6900" s="260"/>
      <c r="AA6900"/>
      <c r="AB6900"/>
      <c r="AC6900"/>
      <c r="AD6900"/>
      <c r="AE6900"/>
      <c r="AF6900"/>
      <c r="AG6900"/>
      <c r="AH6900"/>
      <c r="AI6900"/>
      <c r="AJ6900"/>
      <c r="AK6900"/>
      <c r="AL6900"/>
      <c r="AM6900"/>
      <c r="AN6900"/>
    </row>
    <row r="6901" spans="1:40" s="47" customFormat="1">
      <c r="A6901" s="121"/>
      <c r="B6901" s="121"/>
      <c r="C6901" s="121"/>
      <c r="D6901" s="121"/>
      <c r="E6901" s="121"/>
      <c r="F6901" s="121"/>
      <c r="G6901" s="121"/>
      <c r="H6901" s="121"/>
      <c r="I6901" s="121"/>
      <c r="J6901" s="121"/>
      <c r="K6901" s="121"/>
      <c r="L6901" s="121"/>
      <c r="M6901" s="121"/>
      <c r="N6901" s="260"/>
      <c r="O6901" s="260"/>
      <c r="P6901" s="260"/>
      <c r="Q6901" s="321"/>
      <c r="R6901" s="260"/>
      <c r="S6901" s="260"/>
      <c r="T6901" s="260"/>
      <c r="U6901" s="260"/>
      <c r="V6901" s="260"/>
      <c r="W6901" s="260"/>
      <c r="X6901" s="260"/>
      <c r="Y6901" s="260"/>
      <c r="Z6901" s="260"/>
      <c r="AA6901"/>
      <c r="AB6901"/>
      <c r="AC6901"/>
      <c r="AD6901"/>
      <c r="AE6901"/>
      <c r="AF6901"/>
      <c r="AG6901"/>
      <c r="AH6901"/>
      <c r="AI6901"/>
      <c r="AJ6901"/>
      <c r="AK6901"/>
      <c r="AL6901"/>
      <c r="AM6901"/>
      <c r="AN6901"/>
    </row>
    <row r="6902" spans="1:40" s="47" customFormat="1">
      <c r="A6902" s="121"/>
      <c r="B6902" s="121"/>
      <c r="C6902" s="121"/>
      <c r="D6902" s="121"/>
      <c r="E6902" s="121"/>
      <c r="F6902" s="121"/>
      <c r="G6902" s="121"/>
      <c r="H6902" s="121"/>
      <c r="I6902" s="121"/>
      <c r="J6902" s="121"/>
      <c r="K6902" s="121"/>
      <c r="L6902" s="121"/>
      <c r="M6902" s="121"/>
      <c r="N6902" s="260"/>
      <c r="O6902" s="260"/>
      <c r="P6902" s="260"/>
      <c r="Q6902" s="321"/>
      <c r="R6902" s="260"/>
      <c r="S6902" s="260"/>
      <c r="T6902" s="260"/>
      <c r="U6902" s="260"/>
      <c r="V6902" s="260"/>
      <c r="W6902" s="260"/>
      <c r="X6902" s="260"/>
      <c r="Y6902" s="260"/>
      <c r="Z6902" s="260"/>
      <c r="AA6902"/>
      <c r="AB6902"/>
      <c r="AC6902"/>
      <c r="AD6902"/>
      <c r="AE6902"/>
      <c r="AF6902"/>
      <c r="AG6902"/>
      <c r="AH6902"/>
      <c r="AI6902"/>
      <c r="AJ6902"/>
      <c r="AK6902"/>
      <c r="AL6902"/>
      <c r="AM6902"/>
      <c r="AN6902"/>
    </row>
    <row r="6903" spans="1:40" s="47" customFormat="1">
      <c r="A6903" s="121"/>
      <c r="B6903" s="121"/>
      <c r="C6903" s="121"/>
      <c r="D6903" s="121"/>
      <c r="E6903" s="121"/>
      <c r="F6903" s="121"/>
      <c r="G6903" s="121"/>
      <c r="H6903" s="121"/>
      <c r="I6903" s="121"/>
      <c r="J6903" s="121"/>
      <c r="K6903" s="121"/>
      <c r="L6903" s="121"/>
      <c r="M6903" s="121"/>
      <c r="N6903" s="260"/>
      <c r="O6903" s="260"/>
      <c r="P6903" s="260"/>
      <c r="Q6903" s="321"/>
      <c r="R6903" s="260"/>
      <c r="S6903" s="260"/>
      <c r="T6903" s="260"/>
      <c r="U6903" s="260"/>
      <c r="V6903" s="260"/>
      <c r="W6903" s="260"/>
      <c r="X6903" s="260"/>
      <c r="Y6903" s="260"/>
      <c r="Z6903" s="260"/>
      <c r="AA6903"/>
      <c r="AB6903"/>
      <c r="AC6903"/>
      <c r="AD6903"/>
      <c r="AE6903"/>
      <c r="AF6903"/>
      <c r="AG6903"/>
      <c r="AH6903"/>
      <c r="AI6903"/>
      <c r="AJ6903"/>
      <c r="AK6903"/>
      <c r="AL6903"/>
      <c r="AM6903"/>
      <c r="AN6903"/>
    </row>
    <row r="6904" spans="1:40" s="47" customFormat="1">
      <c r="A6904" s="121"/>
      <c r="B6904" s="121"/>
      <c r="C6904" s="121"/>
      <c r="D6904" s="121"/>
      <c r="E6904" s="121"/>
      <c r="F6904" s="121"/>
      <c r="G6904" s="121"/>
      <c r="H6904" s="121"/>
      <c r="I6904" s="121"/>
      <c r="J6904" s="121"/>
      <c r="K6904" s="121"/>
      <c r="L6904" s="121"/>
      <c r="M6904" s="121"/>
      <c r="N6904" s="260"/>
      <c r="O6904" s="260"/>
      <c r="P6904" s="260"/>
      <c r="Q6904" s="321"/>
      <c r="R6904" s="260"/>
      <c r="S6904" s="260"/>
      <c r="T6904" s="260"/>
      <c r="U6904" s="260"/>
      <c r="V6904" s="260"/>
      <c r="W6904" s="260"/>
      <c r="X6904" s="260"/>
      <c r="Y6904" s="260"/>
      <c r="Z6904" s="260"/>
      <c r="AA6904"/>
      <c r="AB6904"/>
      <c r="AC6904"/>
      <c r="AD6904"/>
      <c r="AE6904"/>
      <c r="AF6904"/>
      <c r="AG6904"/>
      <c r="AH6904"/>
      <c r="AI6904"/>
      <c r="AJ6904"/>
      <c r="AK6904"/>
      <c r="AL6904"/>
      <c r="AM6904"/>
      <c r="AN6904"/>
    </row>
    <row r="6905" spans="1:40" s="47" customFormat="1" ht="57" customHeight="1">
      <c r="A6905" s="121"/>
      <c r="B6905" s="121"/>
      <c r="C6905" s="121"/>
      <c r="D6905" s="121"/>
      <c r="E6905" s="121"/>
      <c r="F6905" s="121"/>
      <c r="G6905" s="121"/>
      <c r="H6905" s="121"/>
      <c r="I6905" s="121"/>
      <c r="J6905" s="121"/>
      <c r="K6905" s="121"/>
      <c r="L6905" s="121"/>
      <c r="M6905" s="121"/>
      <c r="N6905" s="260"/>
      <c r="O6905" s="260"/>
      <c r="P6905" s="260"/>
      <c r="Q6905" s="321"/>
      <c r="R6905" s="260"/>
      <c r="S6905" s="260"/>
      <c r="T6905" s="260"/>
      <c r="U6905" s="260"/>
      <c r="V6905" s="260"/>
      <c r="W6905" s="260"/>
      <c r="X6905" s="260"/>
      <c r="Y6905" s="260"/>
      <c r="Z6905" s="260"/>
      <c r="AA6905"/>
      <c r="AB6905"/>
      <c r="AC6905"/>
      <c r="AD6905"/>
      <c r="AE6905"/>
      <c r="AF6905"/>
      <c r="AG6905"/>
      <c r="AH6905"/>
      <c r="AI6905"/>
      <c r="AJ6905"/>
      <c r="AK6905"/>
      <c r="AL6905"/>
      <c r="AM6905"/>
      <c r="AN6905"/>
    </row>
    <row r="6906" spans="1:40" s="47" customFormat="1" ht="57" customHeight="1">
      <c r="A6906" s="121"/>
      <c r="B6906" s="121"/>
      <c r="C6906" s="121"/>
      <c r="D6906" s="121"/>
      <c r="E6906" s="121"/>
      <c r="F6906" s="121"/>
      <c r="G6906" s="121"/>
      <c r="H6906" s="121"/>
      <c r="I6906" s="121"/>
      <c r="J6906" s="121"/>
      <c r="K6906" s="121"/>
      <c r="L6906" s="121"/>
      <c r="M6906" s="121"/>
      <c r="N6906" s="260"/>
      <c r="O6906" s="260"/>
      <c r="P6906" s="260"/>
      <c r="Q6906" s="321"/>
      <c r="R6906" s="260"/>
      <c r="S6906" s="260"/>
      <c r="T6906" s="260"/>
      <c r="U6906" s="260"/>
      <c r="V6906" s="260"/>
      <c r="W6906" s="260"/>
      <c r="X6906" s="260"/>
      <c r="Y6906" s="260"/>
      <c r="Z6906" s="260"/>
      <c r="AA6906"/>
      <c r="AB6906"/>
      <c r="AC6906"/>
      <c r="AD6906"/>
      <c r="AE6906"/>
      <c r="AF6906"/>
      <c r="AG6906"/>
      <c r="AH6906"/>
      <c r="AI6906"/>
      <c r="AJ6906"/>
      <c r="AK6906"/>
      <c r="AL6906"/>
      <c r="AM6906"/>
      <c r="AN6906"/>
    </row>
    <row r="6907" spans="1:40" s="47" customFormat="1">
      <c r="A6907" s="121"/>
      <c r="B6907" s="121"/>
      <c r="C6907" s="121"/>
      <c r="D6907" s="121"/>
      <c r="E6907" s="121"/>
      <c r="F6907" s="121"/>
      <c r="G6907" s="121"/>
      <c r="H6907" s="121"/>
      <c r="I6907" s="121"/>
      <c r="J6907" s="121"/>
      <c r="K6907" s="121"/>
      <c r="L6907" s="121"/>
      <c r="M6907" s="121"/>
      <c r="N6907" s="260"/>
      <c r="O6907" s="260"/>
      <c r="P6907" s="260"/>
      <c r="Q6907" s="321"/>
      <c r="R6907" s="260"/>
      <c r="S6907" s="260"/>
      <c r="T6907" s="260"/>
      <c r="U6907" s="260"/>
      <c r="V6907" s="260"/>
      <c r="W6907" s="260"/>
      <c r="X6907" s="260"/>
      <c r="Y6907" s="260"/>
      <c r="Z6907" s="260"/>
      <c r="AA6907"/>
      <c r="AB6907"/>
      <c r="AC6907"/>
      <c r="AD6907"/>
      <c r="AE6907"/>
      <c r="AF6907"/>
      <c r="AG6907"/>
      <c r="AH6907"/>
      <c r="AI6907"/>
      <c r="AJ6907"/>
      <c r="AK6907"/>
      <c r="AL6907"/>
      <c r="AM6907"/>
      <c r="AN6907"/>
    </row>
    <row r="6908" spans="1:40" s="47" customFormat="1" ht="57" customHeight="1">
      <c r="A6908" s="121"/>
      <c r="B6908" s="121"/>
      <c r="C6908" s="121"/>
      <c r="D6908" s="121"/>
      <c r="E6908" s="121"/>
      <c r="F6908" s="121"/>
      <c r="G6908" s="121"/>
      <c r="H6908" s="121"/>
      <c r="I6908" s="121"/>
      <c r="J6908" s="121"/>
      <c r="K6908" s="121"/>
      <c r="L6908" s="121"/>
      <c r="M6908" s="121"/>
      <c r="N6908" s="260"/>
      <c r="O6908" s="260"/>
      <c r="P6908" s="260"/>
      <c r="Q6908" s="321"/>
      <c r="R6908" s="260"/>
      <c r="S6908" s="260"/>
      <c r="T6908" s="260"/>
      <c r="U6908" s="260"/>
      <c r="V6908" s="260"/>
      <c r="W6908" s="260"/>
      <c r="X6908" s="260"/>
      <c r="Y6908" s="260"/>
      <c r="Z6908" s="260"/>
      <c r="AA6908"/>
      <c r="AB6908"/>
      <c r="AC6908"/>
      <c r="AD6908"/>
      <c r="AE6908"/>
      <c r="AF6908"/>
      <c r="AG6908"/>
      <c r="AH6908"/>
      <c r="AI6908"/>
      <c r="AJ6908"/>
      <c r="AK6908"/>
      <c r="AL6908"/>
      <c r="AM6908"/>
      <c r="AN6908"/>
    </row>
    <row r="6909" spans="1:40" s="121" customFormat="1">
      <c r="N6909" s="260"/>
      <c r="O6909" s="260"/>
      <c r="P6909" s="260"/>
      <c r="Q6909" s="321"/>
      <c r="R6909" s="260"/>
      <c r="S6909" s="260"/>
      <c r="T6909" s="260"/>
      <c r="U6909" s="260"/>
      <c r="V6909" s="260"/>
      <c r="W6909" s="260"/>
      <c r="X6909" s="260"/>
      <c r="Y6909" s="260"/>
      <c r="Z6909" s="260"/>
      <c r="AA6909"/>
      <c r="AB6909"/>
      <c r="AC6909"/>
      <c r="AD6909"/>
      <c r="AE6909"/>
      <c r="AF6909"/>
      <c r="AG6909"/>
      <c r="AH6909"/>
      <c r="AI6909"/>
      <c r="AJ6909"/>
      <c r="AK6909"/>
      <c r="AL6909"/>
      <c r="AM6909"/>
      <c r="AN6909"/>
    </row>
    <row r="6910" spans="1:40" s="121" customFormat="1">
      <c r="N6910" s="222"/>
      <c r="O6910" s="540"/>
      <c r="P6910" s="285"/>
      <c r="Q6910" s="321"/>
      <c r="R6910" s="260"/>
      <c r="S6910" s="260"/>
      <c r="T6910" s="260"/>
      <c r="U6910" s="260"/>
      <c r="V6910" s="260"/>
      <c r="W6910" s="260"/>
      <c r="X6910" s="260"/>
      <c r="Y6910" s="260"/>
      <c r="Z6910" s="260"/>
      <c r="AA6910"/>
      <c r="AB6910"/>
      <c r="AC6910"/>
      <c r="AD6910"/>
      <c r="AE6910"/>
      <c r="AF6910"/>
      <c r="AG6910"/>
      <c r="AH6910"/>
      <c r="AI6910"/>
      <c r="AJ6910"/>
      <c r="AK6910"/>
      <c r="AL6910"/>
      <c r="AM6910"/>
      <c r="AN6910"/>
    </row>
    <row r="6911" spans="1:40" s="121" customFormat="1" ht="11.25" customHeight="1">
      <c r="N6911" s="222"/>
      <c r="O6911" s="540"/>
      <c r="P6911" s="285"/>
      <c r="Q6911" s="321"/>
      <c r="R6911" s="260"/>
      <c r="S6911" s="260"/>
      <c r="T6911" s="260"/>
      <c r="U6911" s="260"/>
      <c r="V6911" s="260"/>
      <c r="W6911" s="260"/>
      <c r="X6911" s="260"/>
      <c r="Y6911" s="260"/>
      <c r="Z6911" s="260"/>
      <c r="AA6911"/>
      <c r="AB6911"/>
      <c r="AC6911"/>
      <c r="AD6911"/>
      <c r="AE6911"/>
      <c r="AF6911"/>
      <c r="AG6911"/>
      <c r="AH6911"/>
      <c r="AI6911"/>
      <c r="AJ6911"/>
      <c r="AK6911"/>
      <c r="AL6911"/>
      <c r="AM6911"/>
      <c r="AN6911"/>
    </row>
    <row r="6912" spans="1:40" s="121" customFormat="1">
      <c r="N6912" s="222"/>
      <c r="O6912" s="541"/>
      <c r="P6912" s="285"/>
      <c r="Q6912" s="321"/>
      <c r="R6912" s="260"/>
      <c r="S6912" s="260"/>
      <c r="T6912" s="260"/>
      <c r="U6912" s="260"/>
      <c r="V6912" s="260"/>
      <c r="W6912" s="260"/>
      <c r="X6912" s="260"/>
      <c r="Y6912" s="260"/>
      <c r="Z6912" s="260"/>
      <c r="AA6912"/>
      <c r="AB6912"/>
      <c r="AC6912"/>
      <c r="AD6912"/>
      <c r="AE6912"/>
      <c r="AF6912"/>
      <c r="AG6912"/>
      <c r="AH6912"/>
      <c r="AI6912"/>
      <c r="AJ6912"/>
      <c r="AK6912"/>
      <c r="AL6912"/>
      <c r="AM6912"/>
      <c r="AN6912"/>
    </row>
    <row r="6913" spans="1:40" s="47" customFormat="1">
      <c r="A6913" s="121"/>
      <c r="B6913" s="121"/>
      <c r="C6913" s="121"/>
      <c r="D6913" s="121"/>
      <c r="E6913" s="121"/>
      <c r="F6913" s="121"/>
      <c r="G6913" s="121"/>
      <c r="H6913" s="121"/>
      <c r="I6913" s="121"/>
      <c r="J6913" s="121"/>
      <c r="K6913" s="121"/>
      <c r="L6913" s="121"/>
      <c r="M6913" s="121"/>
      <c r="N6913" s="222"/>
      <c r="O6913" s="502"/>
      <c r="P6913" s="285"/>
      <c r="Q6913" s="321"/>
      <c r="R6913" s="260"/>
      <c r="S6913" s="260"/>
      <c r="T6913" s="260"/>
      <c r="U6913" s="260"/>
      <c r="V6913" s="260"/>
      <c r="W6913" s="260"/>
      <c r="X6913" s="260"/>
      <c r="Y6913" s="260"/>
      <c r="Z6913" s="260"/>
      <c r="AA6913"/>
      <c r="AB6913"/>
      <c r="AC6913"/>
      <c r="AD6913"/>
      <c r="AE6913"/>
      <c r="AF6913"/>
      <c r="AG6913"/>
      <c r="AH6913"/>
      <c r="AI6913"/>
      <c r="AJ6913"/>
      <c r="AK6913"/>
      <c r="AL6913"/>
      <c r="AM6913"/>
      <c r="AN6913"/>
    </row>
    <row r="6914" spans="1:40" s="47" customFormat="1">
      <c r="A6914" s="121"/>
      <c r="B6914" s="121"/>
      <c r="C6914" s="121"/>
      <c r="D6914" s="121"/>
      <c r="E6914" s="121"/>
      <c r="F6914" s="121"/>
      <c r="G6914" s="121"/>
      <c r="H6914" s="121"/>
      <c r="I6914" s="121"/>
      <c r="J6914" s="121"/>
      <c r="K6914" s="121"/>
      <c r="L6914" s="121"/>
      <c r="M6914" s="121"/>
      <c r="N6914" s="222"/>
      <c r="O6914" s="502"/>
      <c r="P6914" s="285"/>
      <c r="Q6914" s="321"/>
      <c r="R6914" s="260"/>
      <c r="S6914" s="260"/>
      <c r="T6914" s="260"/>
      <c r="U6914" s="260"/>
      <c r="V6914" s="260"/>
      <c r="W6914" s="260"/>
      <c r="X6914" s="260"/>
      <c r="Y6914" s="260"/>
      <c r="Z6914" s="260"/>
      <c r="AA6914"/>
      <c r="AB6914"/>
      <c r="AC6914"/>
      <c r="AD6914"/>
      <c r="AE6914"/>
      <c r="AF6914"/>
      <c r="AG6914"/>
      <c r="AH6914"/>
      <c r="AI6914"/>
      <c r="AJ6914"/>
      <c r="AK6914"/>
      <c r="AL6914"/>
      <c r="AM6914"/>
      <c r="AN6914"/>
    </row>
    <row r="6915" spans="1:40" s="121" customFormat="1">
      <c r="N6915" s="222"/>
      <c r="O6915" s="540"/>
      <c r="P6915" s="285"/>
      <c r="Q6915" s="321"/>
      <c r="R6915" s="260"/>
      <c r="S6915" s="260"/>
      <c r="T6915" s="260"/>
      <c r="U6915" s="260"/>
      <c r="V6915" s="260"/>
      <c r="W6915" s="260"/>
      <c r="X6915" s="260"/>
      <c r="Y6915" s="260"/>
      <c r="Z6915" s="260"/>
      <c r="AA6915"/>
      <c r="AB6915"/>
      <c r="AC6915"/>
      <c r="AD6915"/>
      <c r="AE6915"/>
      <c r="AF6915"/>
      <c r="AG6915"/>
      <c r="AH6915"/>
      <c r="AI6915"/>
      <c r="AJ6915"/>
      <c r="AK6915"/>
      <c r="AL6915"/>
      <c r="AM6915"/>
      <c r="AN6915"/>
    </row>
    <row r="6916" spans="1:40" s="121" customFormat="1">
      <c r="N6916" s="222"/>
      <c r="O6916" s="502"/>
      <c r="P6916" s="285"/>
      <c r="Q6916" s="321"/>
      <c r="R6916" s="260"/>
      <c r="S6916" s="260"/>
      <c r="T6916" s="260"/>
      <c r="U6916" s="260"/>
      <c r="V6916" s="260"/>
      <c r="W6916" s="260"/>
      <c r="X6916" s="260"/>
      <c r="Y6916" s="260"/>
      <c r="Z6916" s="260"/>
      <c r="AA6916"/>
      <c r="AB6916"/>
      <c r="AC6916"/>
      <c r="AD6916"/>
      <c r="AE6916"/>
      <c r="AF6916"/>
      <c r="AG6916"/>
      <c r="AH6916"/>
      <c r="AI6916"/>
      <c r="AJ6916"/>
      <c r="AK6916"/>
      <c r="AL6916"/>
      <c r="AM6916"/>
      <c r="AN6916"/>
    </row>
    <row r="6917" spans="1:40" s="121" customFormat="1">
      <c r="N6917" s="222"/>
      <c r="O6917" s="502"/>
      <c r="P6917" s="285"/>
      <c r="Q6917" s="321"/>
      <c r="R6917" s="260"/>
      <c r="S6917" s="260"/>
      <c r="T6917" s="260"/>
      <c r="U6917" s="260"/>
      <c r="V6917" s="260"/>
      <c r="W6917" s="260"/>
      <c r="X6917" s="260"/>
      <c r="Y6917" s="260"/>
      <c r="Z6917" s="260"/>
      <c r="AA6917"/>
      <c r="AB6917"/>
      <c r="AC6917"/>
      <c r="AD6917"/>
      <c r="AE6917"/>
      <c r="AF6917"/>
      <c r="AG6917"/>
      <c r="AH6917"/>
      <c r="AI6917"/>
      <c r="AJ6917"/>
      <c r="AK6917"/>
      <c r="AL6917"/>
      <c r="AM6917"/>
      <c r="AN6917"/>
    </row>
    <row r="6918" spans="1:40" s="121" customFormat="1">
      <c r="N6918" s="222"/>
      <c r="O6918" s="540"/>
      <c r="P6918" s="285"/>
      <c r="Q6918" s="321"/>
      <c r="R6918" s="260"/>
      <c r="S6918" s="260"/>
      <c r="T6918" s="260"/>
      <c r="U6918" s="260"/>
      <c r="V6918" s="260"/>
      <c r="W6918" s="260"/>
      <c r="X6918" s="260"/>
      <c r="Y6918" s="260"/>
      <c r="Z6918" s="260"/>
      <c r="AA6918"/>
      <c r="AB6918"/>
      <c r="AC6918"/>
      <c r="AD6918"/>
      <c r="AE6918"/>
      <c r="AF6918"/>
      <c r="AG6918"/>
      <c r="AH6918"/>
      <c r="AI6918"/>
      <c r="AJ6918"/>
      <c r="AK6918"/>
      <c r="AL6918"/>
      <c r="AM6918"/>
      <c r="AN6918"/>
    </row>
    <row r="6919" spans="1:40" s="121" customFormat="1">
      <c r="N6919" s="222"/>
      <c r="O6919" s="502"/>
      <c r="P6919" s="285"/>
      <c r="Q6919" s="321"/>
      <c r="R6919" s="260"/>
      <c r="S6919" s="260"/>
      <c r="T6919" s="260"/>
      <c r="U6919" s="260"/>
      <c r="V6919" s="260"/>
      <c r="W6919" s="260"/>
      <c r="X6919" s="260"/>
      <c r="Y6919" s="260"/>
      <c r="Z6919" s="260"/>
      <c r="AA6919"/>
      <c r="AB6919"/>
      <c r="AC6919"/>
      <c r="AD6919"/>
      <c r="AE6919"/>
      <c r="AF6919"/>
      <c r="AG6919"/>
      <c r="AH6919"/>
      <c r="AI6919"/>
      <c r="AJ6919"/>
      <c r="AK6919"/>
      <c r="AL6919"/>
      <c r="AM6919"/>
      <c r="AN6919"/>
    </row>
    <row r="6920" spans="1:40" s="121" customFormat="1">
      <c r="N6920" s="222"/>
      <c r="O6920" s="502"/>
      <c r="P6920" s="285"/>
      <c r="Q6920" s="321"/>
      <c r="R6920" s="260"/>
      <c r="S6920" s="260"/>
      <c r="T6920" s="260"/>
      <c r="U6920" s="260"/>
      <c r="V6920" s="260"/>
      <c r="W6920" s="260"/>
      <c r="X6920" s="260"/>
      <c r="Y6920" s="260"/>
      <c r="Z6920" s="260"/>
      <c r="AA6920"/>
      <c r="AB6920"/>
      <c r="AC6920"/>
      <c r="AD6920"/>
      <c r="AE6920"/>
      <c r="AF6920"/>
      <c r="AG6920"/>
      <c r="AH6920"/>
      <c r="AI6920"/>
      <c r="AJ6920"/>
      <c r="AK6920"/>
      <c r="AL6920"/>
      <c r="AM6920"/>
      <c r="AN6920"/>
    </row>
    <row r="6921" spans="1:40" s="47" customFormat="1">
      <c r="A6921" s="121"/>
      <c r="B6921" s="121"/>
      <c r="C6921" s="121"/>
      <c r="D6921" s="121"/>
      <c r="E6921" s="121"/>
      <c r="F6921" s="121"/>
      <c r="G6921" s="121"/>
      <c r="H6921" s="121"/>
      <c r="I6921" s="121"/>
      <c r="J6921" s="121"/>
      <c r="K6921" s="121"/>
      <c r="L6921" s="121"/>
      <c r="M6921" s="121"/>
      <c r="N6921" s="222"/>
      <c r="O6921" s="540"/>
      <c r="P6921" s="285"/>
      <c r="Q6921" s="321"/>
      <c r="R6921" s="260"/>
      <c r="S6921" s="260"/>
      <c r="T6921" s="260"/>
      <c r="U6921" s="260"/>
      <c r="V6921" s="260"/>
      <c r="W6921" s="260"/>
      <c r="X6921" s="260"/>
      <c r="Y6921" s="260"/>
      <c r="Z6921" s="260"/>
      <c r="AA6921"/>
      <c r="AB6921"/>
      <c r="AC6921"/>
      <c r="AD6921"/>
      <c r="AE6921"/>
      <c r="AF6921"/>
      <c r="AG6921"/>
      <c r="AH6921"/>
      <c r="AI6921"/>
      <c r="AJ6921"/>
      <c r="AK6921"/>
      <c r="AL6921"/>
      <c r="AM6921"/>
      <c r="AN6921"/>
    </row>
    <row r="6922" spans="1:40" s="121" customFormat="1">
      <c r="N6922" s="222"/>
      <c r="O6922" s="502"/>
      <c r="P6922" s="285"/>
      <c r="Q6922" s="321"/>
      <c r="R6922" s="260"/>
      <c r="S6922" s="260"/>
      <c r="T6922" s="260"/>
      <c r="U6922" s="260"/>
      <c r="V6922" s="260"/>
      <c r="W6922" s="260"/>
      <c r="X6922" s="260"/>
      <c r="Y6922" s="260"/>
      <c r="Z6922" s="260"/>
      <c r="AA6922"/>
      <c r="AB6922"/>
      <c r="AC6922"/>
      <c r="AD6922"/>
      <c r="AE6922"/>
      <c r="AF6922"/>
      <c r="AG6922"/>
      <c r="AH6922"/>
      <c r="AI6922"/>
      <c r="AJ6922"/>
      <c r="AK6922"/>
      <c r="AL6922"/>
      <c r="AM6922"/>
      <c r="AN6922"/>
    </row>
    <row r="6923" spans="1:40" s="121" customFormat="1">
      <c r="N6923" s="260"/>
      <c r="O6923" s="260"/>
      <c r="P6923" s="260"/>
      <c r="Q6923" s="321"/>
      <c r="R6923" s="260"/>
      <c r="S6923" s="260"/>
      <c r="T6923" s="260"/>
      <c r="U6923" s="260"/>
      <c r="V6923" s="260"/>
      <c r="W6923" s="260"/>
      <c r="X6923" s="260"/>
      <c r="Y6923" s="260"/>
      <c r="Z6923" s="260"/>
      <c r="AA6923"/>
      <c r="AB6923"/>
      <c r="AC6923"/>
      <c r="AD6923"/>
      <c r="AE6923"/>
      <c r="AF6923"/>
      <c r="AG6923"/>
      <c r="AH6923"/>
      <c r="AI6923"/>
      <c r="AJ6923"/>
      <c r="AK6923"/>
      <c r="AL6923"/>
      <c r="AM6923"/>
      <c r="AN6923"/>
    </row>
    <row r="6924" spans="1:40" s="121" customFormat="1">
      <c r="N6924" s="260"/>
      <c r="O6924" s="260"/>
      <c r="P6924" s="260"/>
      <c r="Q6924" s="321"/>
      <c r="R6924" s="260"/>
      <c r="S6924" s="260"/>
      <c r="T6924" s="260"/>
      <c r="U6924" s="260"/>
      <c r="V6924" s="260"/>
      <c r="W6924" s="260"/>
      <c r="X6924" s="260"/>
      <c r="Y6924" s="260"/>
      <c r="Z6924" s="260"/>
      <c r="AA6924"/>
      <c r="AB6924"/>
      <c r="AC6924"/>
      <c r="AD6924"/>
      <c r="AE6924"/>
      <c r="AF6924"/>
      <c r="AG6924"/>
      <c r="AH6924"/>
      <c r="AI6924"/>
      <c r="AJ6924"/>
      <c r="AK6924"/>
      <c r="AL6924"/>
      <c r="AM6924"/>
      <c r="AN6924"/>
    </row>
    <row r="6925" spans="1:40" s="121" customFormat="1">
      <c r="N6925" s="260"/>
      <c r="O6925" s="260"/>
      <c r="P6925" s="260"/>
      <c r="Q6925" s="321"/>
      <c r="R6925" s="260"/>
      <c r="S6925" s="260"/>
      <c r="T6925" s="260"/>
      <c r="U6925" s="260"/>
      <c r="V6925" s="260"/>
      <c r="W6925" s="260"/>
      <c r="X6925" s="260"/>
      <c r="Y6925" s="260"/>
      <c r="Z6925" s="260"/>
      <c r="AA6925"/>
      <c r="AB6925"/>
      <c r="AC6925"/>
      <c r="AD6925"/>
      <c r="AE6925"/>
      <c r="AF6925"/>
      <c r="AG6925"/>
      <c r="AH6925"/>
      <c r="AI6925"/>
      <c r="AJ6925"/>
      <c r="AK6925"/>
      <c r="AL6925"/>
      <c r="AM6925"/>
      <c r="AN6925"/>
    </row>
    <row r="6926" spans="1:40" s="121" customFormat="1">
      <c r="N6926" s="260"/>
      <c r="O6926" s="260"/>
      <c r="P6926" s="260"/>
      <c r="Q6926" s="321"/>
      <c r="R6926" s="260"/>
      <c r="S6926" s="260"/>
      <c r="T6926" s="260"/>
      <c r="U6926" s="260"/>
      <c r="V6926" s="260"/>
      <c r="W6926" s="260"/>
      <c r="X6926" s="260"/>
      <c r="Y6926" s="260"/>
      <c r="Z6926" s="260"/>
      <c r="AA6926"/>
      <c r="AB6926"/>
      <c r="AC6926"/>
      <c r="AD6926"/>
      <c r="AE6926"/>
      <c r="AF6926"/>
      <c r="AG6926"/>
      <c r="AH6926"/>
      <c r="AI6926"/>
      <c r="AJ6926"/>
      <c r="AK6926"/>
      <c r="AL6926"/>
      <c r="AM6926"/>
      <c r="AN6926"/>
    </row>
    <row r="6927" spans="1:40" s="47" customFormat="1">
      <c r="A6927" s="121"/>
      <c r="B6927" s="121"/>
      <c r="C6927" s="121"/>
      <c r="D6927" s="121"/>
      <c r="E6927" s="121"/>
      <c r="F6927" s="121"/>
      <c r="G6927" s="121"/>
      <c r="H6927" s="121"/>
      <c r="I6927" s="121"/>
      <c r="J6927" s="121"/>
      <c r="K6927" s="121"/>
      <c r="L6927" s="121"/>
      <c r="M6927" s="121"/>
      <c r="N6927" s="260"/>
      <c r="O6927" s="260"/>
      <c r="P6927" s="260"/>
      <c r="Q6927" s="321"/>
      <c r="R6927" s="260"/>
      <c r="S6927" s="260"/>
      <c r="T6927" s="260"/>
      <c r="U6927" s="260"/>
      <c r="V6927" s="260"/>
      <c r="W6927" s="260"/>
      <c r="X6927" s="260"/>
      <c r="Y6927" s="260"/>
      <c r="Z6927" s="260"/>
      <c r="AA6927"/>
      <c r="AB6927"/>
      <c r="AC6927"/>
      <c r="AD6927"/>
      <c r="AE6927"/>
      <c r="AF6927"/>
      <c r="AG6927"/>
      <c r="AH6927"/>
      <c r="AI6927"/>
      <c r="AJ6927"/>
      <c r="AK6927"/>
      <c r="AL6927"/>
      <c r="AM6927"/>
      <c r="AN6927"/>
    </row>
    <row r="6928" spans="1:40" s="54" customFormat="1">
      <c r="A6928" s="121"/>
      <c r="B6928" s="121"/>
      <c r="C6928" s="121"/>
      <c r="D6928" s="121"/>
      <c r="E6928" s="121"/>
      <c r="F6928" s="121"/>
      <c r="G6928" s="121"/>
      <c r="H6928" s="121"/>
      <c r="I6928" s="121"/>
      <c r="J6928" s="121"/>
      <c r="K6928" s="121"/>
      <c r="L6928" s="121"/>
      <c r="M6928" s="121"/>
      <c r="N6928" s="223"/>
      <c r="O6928" s="572"/>
      <c r="P6928" s="216"/>
      <c r="Q6928" s="523"/>
      <c r="R6928" s="547"/>
      <c r="S6928" s="547"/>
      <c r="T6928" s="547"/>
      <c r="U6928" s="547"/>
      <c r="V6928" s="547"/>
      <c r="W6928" s="547"/>
      <c r="X6928" s="547"/>
      <c r="Y6928" s="547"/>
      <c r="Z6928" s="547"/>
      <c r="AA6928"/>
      <c r="AB6928"/>
      <c r="AC6928"/>
      <c r="AD6928"/>
      <c r="AE6928"/>
      <c r="AF6928"/>
      <c r="AG6928"/>
      <c r="AH6928"/>
      <c r="AI6928"/>
      <c r="AJ6928"/>
      <c r="AK6928"/>
      <c r="AL6928"/>
      <c r="AM6928"/>
      <c r="AN6928"/>
    </row>
    <row r="6929" spans="1:40" s="54" customFormat="1">
      <c r="A6929" s="121"/>
      <c r="B6929" s="121"/>
      <c r="C6929" s="121"/>
      <c r="D6929" s="121"/>
      <c r="E6929" s="121"/>
      <c r="F6929" s="121"/>
      <c r="G6929" s="121"/>
      <c r="H6929" s="121"/>
      <c r="I6929" s="121"/>
      <c r="J6929" s="121"/>
      <c r="K6929" s="121"/>
      <c r="L6929" s="121"/>
      <c r="M6929" s="121"/>
      <c r="N6929" s="121"/>
      <c r="O6929" s="121"/>
      <c r="P6929" s="121"/>
      <c r="Q6929" s="121"/>
      <c r="R6929" s="121"/>
      <c r="S6929" s="121"/>
      <c r="T6929" s="121"/>
      <c r="U6929" s="121"/>
      <c r="V6929" s="121"/>
      <c r="W6929" s="121"/>
      <c r="X6929" s="121"/>
      <c r="Y6929" s="121"/>
      <c r="Z6929" s="121"/>
      <c r="AA6929"/>
      <c r="AB6929"/>
      <c r="AC6929"/>
      <c r="AD6929"/>
      <c r="AE6929"/>
      <c r="AF6929"/>
      <c r="AG6929"/>
      <c r="AH6929"/>
      <c r="AI6929"/>
      <c r="AJ6929"/>
      <c r="AK6929"/>
      <c r="AL6929"/>
      <c r="AM6929"/>
      <c r="AN6929"/>
    </row>
    <row r="6930" spans="1:40" s="47" customFormat="1">
      <c r="A6930" s="121"/>
      <c r="B6930" s="121"/>
      <c r="C6930" s="121"/>
      <c r="D6930" s="121"/>
      <c r="E6930" s="121"/>
      <c r="F6930" s="121"/>
      <c r="G6930" s="121"/>
      <c r="H6930" s="121"/>
      <c r="I6930" s="121"/>
      <c r="J6930" s="121"/>
      <c r="K6930" s="121"/>
      <c r="L6930" s="121"/>
      <c r="M6930" s="121"/>
      <c r="N6930" s="49"/>
      <c r="R6930" s="60"/>
      <c r="S6930" s="60"/>
      <c r="T6930" s="60"/>
      <c r="U6930" s="795" t="s">
        <v>408</v>
      </c>
      <c r="V6930" s="795"/>
      <c r="W6930" s="795"/>
      <c r="X6930" s="795" t="s">
        <v>409</v>
      </c>
      <c r="Y6930" s="795"/>
      <c r="Z6930" s="795"/>
      <c r="AA6930"/>
      <c r="AB6930"/>
      <c r="AC6930"/>
      <c r="AD6930"/>
      <c r="AE6930"/>
      <c r="AF6930"/>
      <c r="AG6930"/>
      <c r="AH6930"/>
      <c r="AI6930"/>
      <c r="AJ6930"/>
      <c r="AK6930"/>
      <c r="AL6930"/>
      <c r="AM6930"/>
      <c r="AN6930"/>
    </row>
    <row r="6931" spans="1:40">
      <c r="AA6931"/>
      <c r="AB6931"/>
      <c r="AC6931"/>
      <c r="AD6931"/>
      <c r="AE6931"/>
      <c r="AF6931"/>
      <c r="AG6931"/>
      <c r="AH6931"/>
      <c r="AI6931"/>
      <c r="AJ6931"/>
      <c r="AK6931"/>
      <c r="AL6931"/>
      <c r="AM6931"/>
    </row>
    <row r="6932" spans="1:40">
      <c r="AD6932"/>
      <c r="AE6932"/>
      <c r="AF6932"/>
      <c r="AG6932"/>
      <c r="AH6932"/>
      <c r="AI6932"/>
      <c r="AJ6932"/>
      <c r="AK6932"/>
      <c r="AL6932"/>
      <c r="AM6932"/>
    </row>
    <row r="6998" spans="14:39">
      <c r="X6998"/>
      <c r="Y6998"/>
      <c r="Z6998"/>
    </row>
    <row r="6999" spans="14:39">
      <c r="X6999"/>
      <c r="Y6999"/>
      <c r="Z6999"/>
    </row>
    <row r="7000" spans="14:39">
      <c r="R7000" s="795" t="s">
        <v>410</v>
      </c>
      <c r="S7000" s="795"/>
      <c r="T7000" s="795"/>
      <c r="U7000"/>
      <c r="V7000"/>
      <c r="W7000"/>
      <c r="X7000"/>
      <c r="Y7000"/>
      <c r="Z7000"/>
      <c r="AA7000"/>
      <c r="AB7000"/>
      <c r="AC7000"/>
      <c r="AD7000"/>
      <c r="AE7000"/>
      <c r="AF7000"/>
      <c r="AG7000"/>
      <c r="AH7000"/>
      <c r="AI7000"/>
      <c r="AJ7000"/>
      <c r="AK7000"/>
      <c r="AL7000"/>
      <c r="AM7000"/>
    </row>
    <row r="7001" spans="14:39">
      <c r="Q7001" s="316"/>
      <c r="R7001" s="795" t="s">
        <v>411</v>
      </c>
      <c r="S7001" s="795"/>
      <c r="T7001" s="795"/>
      <c r="U7001" s="795" t="s">
        <v>415</v>
      </c>
      <c r="V7001" s="795"/>
      <c r="W7001" s="795"/>
      <c r="X7001"/>
      <c r="Y7001"/>
      <c r="Z7001"/>
      <c r="AA7001"/>
      <c r="AB7001"/>
      <c r="AC7001"/>
      <c r="AD7001"/>
      <c r="AE7001"/>
      <c r="AF7001"/>
      <c r="AG7001"/>
      <c r="AH7001"/>
      <c r="AI7001"/>
      <c r="AJ7001"/>
      <c r="AK7001"/>
      <c r="AL7001"/>
      <c r="AM7001"/>
    </row>
    <row r="7002" spans="14:39" ht="11.25" customHeight="1">
      <c r="N7002" s="430" t="s">
        <v>1742</v>
      </c>
      <c r="O7002" s="315"/>
      <c r="P7002" s="309"/>
      <c r="Q7002" s="311"/>
      <c r="R7002" s="624"/>
      <c r="S7002" s="624"/>
      <c r="T7002" s="624"/>
      <c r="U7002" s="624"/>
      <c r="V7002" s="624"/>
      <c r="W7002" s="624"/>
      <c r="X7002"/>
      <c r="Y7002"/>
      <c r="Z7002"/>
      <c r="AA7002"/>
      <c r="AB7002"/>
      <c r="AC7002"/>
      <c r="AD7002"/>
      <c r="AE7002"/>
      <c r="AF7002"/>
      <c r="AG7002"/>
      <c r="AH7002"/>
      <c r="AI7002"/>
      <c r="AJ7002"/>
      <c r="AK7002"/>
      <c r="AL7002"/>
      <c r="AM7002"/>
    </row>
    <row r="7003" spans="14:39" ht="11.25" customHeight="1">
      <c r="N7003" s="811"/>
      <c r="O7003" s="812"/>
      <c r="P7003" s="813"/>
      <c r="Q7003" s="317"/>
      <c r="R7003" s="625" t="str">
        <f>R7005 &amp; ".1"</f>
        <v>.1</v>
      </c>
      <c r="S7003" s="625" t="str">
        <f>R7005 &amp; ".2"</f>
        <v>.2</v>
      </c>
      <c r="T7003" s="625" t="str">
        <f>R7005 &amp; ".0"</f>
        <v>.0</v>
      </c>
      <c r="U7003" s="625" t="str">
        <f>U7005 &amp; ".1"</f>
        <v>.1</v>
      </c>
      <c r="V7003" s="625" t="str">
        <f>U7005 &amp; ".2"</f>
        <v>.2</v>
      </c>
      <c r="W7003" s="625" t="str">
        <f>U7005 &amp; ".0"</f>
        <v>.0</v>
      </c>
      <c r="X7003"/>
      <c r="Y7003"/>
      <c r="Z7003"/>
      <c r="AA7003"/>
      <c r="AB7003"/>
      <c r="AC7003"/>
      <c r="AD7003"/>
      <c r="AE7003"/>
      <c r="AF7003"/>
      <c r="AG7003"/>
      <c r="AH7003"/>
      <c r="AI7003"/>
      <c r="AJ7003"/>
      <c r="AK7003"/>
      <c r="AL7003"/>
      <c r="AM7003"/>
    </row>
    <row r="7004" spans="14:39" ht="11.25" customHeight="1">
      <c r="N7004" s="430" t="s">
        <v>1742</v>
      </c>
      <c r="O7004" s="221"/>
      <c r="P7004" s="122" t="s">
        <v>786</v>
      </c>
      <c r="Q7004" s="201"/>
      <c r="R7004" s="814" t="s">
        <v>719</v>
      </c>
      <c r="S7004" s="814"/>
      <c r="T7004" s="814"/>
      <c r="U7004" s="814" t="s">
        <v>719</v>
      </c>
      <c r="V7004" s="814"/>
      <c r="W7004" s="814"/>
      <c r="X7004"/>
      <c r="Y7004"/>
      <c r="Z7004"/>
      <c r="AA7004"/>
      <c r="AB7004"/>
      <c r="AC7004"/>
      <c r="AD7004"/>
      <c r="AE7004"/>
      <c r="AF7004"/>
      <c r="AG7004"/>
      <c r="AH7004"/>
      <c r="AI7004"/>
      <c r="AJ7004"/>
      <c r="AK7004"/>
      <c r="AL7004"/>
      <c r="AM7004"/>
    </row>
    <row r="7005" spans="14:39" ht="11.25" customHeight="1">
      <c r="N7005" s="802" t="s">
        <v>641</v>
      </c>
      <c r="O7005" s="804" t="s">
        <v>787</v>
      </c>
      <c r="P7005" s="806" t="s">
        <v>778</v>
      </c>
      <c r="Q7005" s="206">
        <v>0</v>
      </c>
      <c r="R7005" s="808"/>
      <c r="S7005" s="809"/>
      <c r="T7005" s="810"/>
      <c r="U7005" s="808"/>
      <c r="V7005" s="809"/>
      <c r="W7005" s="810"/>
      <c r="X7005"/>
      <c r="Y7005"/>
      <c r="Z7005"/>
      <c r="AA7005"/>
      <c r="AB7005"/>
      <c r="AC7005"/>
      <c r="AD7005"/>
      <c r="AE7005"/>
      <c r="AF7005"/>
      <c r="AG7005"/>
      <c r="AH7005"/>
      <c r="AI7005"/>
      <c r="AJ7005"/>
      <c r="AK7005"/>
      <c r="AL7005"/>
      <c r="AM7005"/>
    </row>
    <row r="7006" spans="14:39" ht="12" customHeight="1">
      <c r="N7006" s="803"/>
      <c r="O7006" s="805"/>
      <c r="P7006" s="807"/>
      <c r="Q7006" s="207"/>
      <c r="R7006" s="796"/>
      <c r="S7006" s="797"/>
      <c r="T7006" s="798"/>
      <c r="U7006" s="796"/>
      <c r="V7006" s="797"/>
      <c r="W7006" s="798"/>
      <c r="X7006"/>
      <c r="Y7006"/>
      <c r="Z7006"/>
      <c r="AA7006"/>
      <c r="AB7006"/>
      <c r="AC7006"/>
      <c r="AD7006"/>
      <c r="AE7006"/>
      <c r="AF7006"/>
      <c r="AG7006"/>
      <c r="AH7006"/>
      <c r="AI7006"/>
      <c r="AJ7006"/>
      <c r="AK7006"/>
      <c r="AL7006"/>
      <c r="AM7006"/>
    </row>
    <row r="7007" spans="14:39" ht="12" customHeight="1">
      <c r="N7007" s="222"/>
      <c r="O7007" s="501" t="s">
        <v>788</v>
      </c>
      <c r="P7007" s="542"/>
      <c r="Q7007" s="207"/>
      <c r="R7007" s="799"/>
      <c r="S7007" s="800"/>
      <c r="T7007" s="801"/>
      <c r="U7007" s="799"/>
      <c r="V7007" s="800"/>
      <c r="W7007" s="801"/>
      <c r="X7007"/>
      <c r="Y7007"/>
      <c r="Z7007"/>
      <c r="AA7007"/>
      <c r="AB7007"/>
      <c r="AC7007"/>
      <c r="AD7007"/>
      <c r="AE7007"/>
      <c r="AF7007"/>
      <c r="AG7007"/>
      <c r="AH7007"/>
      <c r="AI7007"/>
      <c r="AJ7007"/>
      <c r="AK7007"/>
      <c r="AL7007"/>
      <c r="AM7007"/>
    </row>
    <row r="7008" spans="14:39" ht="12" customHeight="1">
      <c r="N7008" s="222"/>
      <c r="O7008" s="556" t="str">
        <f>IF(CALC_IDENTIFIER="","",CALC_IDENTIFIER)</f>
        <v/>
      </c>
      <c r="P7008" s="557" t="s">
        <v>745</v>
      </c>
      <c r="Q7008" s="328"/>
      <c r="R7008" s="568"/>
      <c r="S7008" s="568"/>
      <c r="T7008" s="568"/>
      <c r="U7008" s="568"/>
      <c r="V7008" s="568"/>
      <c r="W7008" s="568" t="s">
        <v>745</v>
      </c>
      <c r="X7008"/>
      <c r="Y7008"/>
      <c r="Z7008"/>
      <c r="AA7008"/>
      <c r="AB7008"/>
      <c r="AC7008"/>
      <c r="AD7008"/>
      <c r="AE7008"/>
      <c r="AF7008"/>
      <c r="AG7008"/>
      <c r="AH7008"/>
      <c r="AI7008"/>
      <c r="AJ7008"/>
      <c r="AK7008"/>
      <c r="AL7008"/>
      <c r="AM7008"/>
    </row>
    <row r="7009" spans="1:39" s="47" customFormat="1" ht="12.75">
      <c r="A7009" s="121"/>
      <c r="B7009" s="121"/>
      <c r="C7009" s="121"/>
      <c r="D7009" s="121"/>
      <c r="E7009" s="121"/>
      <c r="F7009" s="121"/>
      <c r="G7009" s="121"/>
      <c r="H7009" s="121"/>
      <c r="I7009" s="121"/>
      <c r="J7009" s="121"/>
      <c r="K7009" s="121"/>
      <c r="L7009" s="121"/>
      <c r="M7009" s="121"/>
      <c r="N7009" s="223" t="s">
        <v>642</v>
      </c>
      <c r="O7009" s="284" t="s">
        <v>338</v>
      </c>
      <c r="P7009" s="544"/>
      <c r="Q7009" s="321"/>
      <c r="R7009" s="567"/>
      <c r="S7009" s="567"/>
      <c r="T7009" s="567"/>
      <c r="U7009" s="567"/>
      <c r="V7009" s="567"/>
      <c r="W7009" s="544">
        <f>W7010+W7011</f>
        <v>0</v>
      </c>
      <c r="X7009"/>
      <c r="Y7009"/>
      <c r="Z7009"/>
      <c r="AA7009"/>
      <c r="AB7009"/>
      <c r="AC7009"/>
      <c r="AD7009"/>
      <c r="AE7009"/>
      <c r="AF7009"/>
      <c r="AG7009"/>
      <c r="AH7009"/>
      <c r="AI7009"/>
      <c r="AJ7009"/>
      <c r="AK7009"/>
      <c r="AL7009"/>
      <c r="AM7009"/>
    </row>
    <row r="7010" spans="1:39" s="47" customFormat="1" ht="12.75">
      <c r="A7010" s="121"/>
      <c r="B7010" s="121"/>
      <c r="C7010" s="121"/>
      <c r="D7010" s="121"/>
      <c r="E7010" s="121"/>
      <c r="F7010" s="121"/>
      <c r="G7010" s="121"/>
      <c r="H7010" s="121"/>
      <c r="I7010" s="121"/>
      <c r="J7010" s="121"/>
      <c r="K7010" s="121"/>
      <c r="L7010" s="121"/>
      <c r="M7010" s="121"/>
      <c r="N7010" s="223" t="s">
        <v>790</v>
      </c>
      <c r="O7010" s="445" t="s">
        <v>339</v>
      </c>
      <c r="P7010" s="544"/>
      <c r="Q7010" s="321"/>
      <c r="R7010" s="553"/>
      <c r="S7010" s="553"/>
      <c r="T7010" s="553"/>
      <c r="U7010" s="553"/>
      <c r="V7010" s="553"/>
      <c r="W7010" s="261"/>
      <c r="X7010"/>
      <c r="Y7010"/>
      <c r="Z7010"/>
      <c r="AA7010"/>
      <c r="AB7010"/>
      <c r="AC7010"/>
      <c r="AD7010"/>
      <c r="AE7010"/>
      <c r="AF7010"/>
      <c r="AG7010"/>
      <c r="AH7010"/>
      <c r="AI7010"/>
      <c r="AJ7010"/>
      <c r="AK7010"/>
      <c r="AL7010"/>
      <c r="AM7010"/>
    </row>
    <row r="7011" spans="1:39" s="47" customFormat="1" ht="12.75">
      <c r="A7011" s="121"/>
      <c r="B7011" s="121"/>
      <c r="C7011" s="121"/>
      <c r="D7011" s="121"/>
      <c r="E7011" s="121"/>
      <c r="F7011" s="121"/>
      <c r="G7011" s="121"/>
      <c r="H7011" s="121"/>
      <c r="I7011" s="121"/>
      <c r="J7011" s="121"/>
      <c r="K7011" s="121"/>
      <c r="L7011" s="121"/>
      <c r="M7011" s="121"/>
      <c r="N7011" s="223" t="s">
        <v>792</v>
      </c>
      <c r="O7011" s="445" t="s">
        <v>340</v>
      </c>
      <c r="P7011" s="544"/>
      <c r="Q7011" s="321"/>
      <c r="R7011" s="260"/>
      <c r="S7011" s="260"/>
      <c r="T7011" s="260"/>
      <c r="U7011" s="260"/>
      <c r="V7011" s="260"/>
      <c r="W7011" s="261"/>
      <c r="X7011"/>
      <c r="Y7011"/>
      <c r="Z7011"/>
      <c r="AA7011"/>
      <c r="AB7011"/>
      <c r="AC7011"/>
      <c r="AD7011"/>
      <c r="AE7011"/>
      <c r="AF7011"/>
      <c r="AG7011"/>
      <c r="AH7011"/>
      <c r="AI7011"/>
      <c r="AJ7011"/>
      <c r="AK7011"/>
      <c r="AL7011"/>
      <c r="AM7011"/>
    </row>
    <row r="7012" spans="1:39" s="47" customFormat="1">
      <c r="A7012" s="121"/>
      <c r="B7012" s="121"/>
      <c r="C7012" s="121"/>
      <c r="D7012" s="121"/>
      <c r="E7012" s="121"/>
      <c r="F7012" s="121"/>
      <c r="G7012" s="121"/>
      <c r="H7012" s="121"/>
      <c r="I7012" s="121"/>
      <c r="J7012" s="121"/>
      <c r="K7012" s="121"/>
      <c r="L7012" s="121"/>
      <c r="M7012" s="121"/>
      <c r="N7012" s="223" t="s">
        <v>751</v>
      </c>
      <c r="O7012" s="284" t="s">
        <v>2814</v>
      </c>
      <c r="P7012" s="544"/>
      <c r="Q7012" s="321"/>
      <c r="R7012" s="260"/>
      <c r="S7012" s="260"/>
      <c r="T7012" s="260"/>
      <c r="U7012" s="260"/>
      <c r="V7012" s="260"/>
      <c r="W7012" s="544">
        <f>W7013+W7016+W7019+W7020+W7021+W7022+W7028+W7029+W7034+W7041+W7042+W7048+W7049</f>
        <v>0</v>
      </c>
      <c r="X7012"/>
      <c r="Y7012"/>
      <c r="Z7012"/>
      <c r="AA7012"/>
      <c r="AB7012"/>
      <c r="AC7012"/>
      <c r="AD7012"/>
      <c r="AE7012"/>
      <c r="AF7012"/>
      <c r="AG7012"/>
      <c r="AH7012"/>
      <c r="AI7012"/>
      <c r="AJ7012"/>
      <c r="AK7012"/>
      <c r="AL7012"/>
      <c r="AM7012"/>
    </row>
    <row r="7013" spans="1:39" s="47" customFormat="1">
      <c r="A7013" s="121"/>
      <c r="B7013" s="121"/>
      <c r="C7013" s="121"/>
      <c r="D7013" s="121"/>
      <c r="E7013" s="121"/>
      <c r="F7013" s="121"/>
      <c r="G7013" s="121"/>
      <c r="H7013" s="121"/>
      <c r="I7013" s="121"/>
      <c r="J7013" s="121"/>
      <c r="K7013" s="121"/>
      <c r="L7013" s="121"/>
      <c r="M7013" s="121"/>
      <c r="N7013" s="223" t="s">
        <v>66</v>
      </c>
      <c r="O7013" s="445" t="s">
        <v>133</v>
      </c>
      <c r="P7013" s="544"/>
      <c r="Q7013" s="321"/>
      <c r="R7013" s="260"/>
      <c r="S7013" s="260"/>
      <c r="T7013" s="260"/>
      <c r="U7013" s="260"/>
      <c r="V7013" s="260"/>
      <c r="W7013" s="257">
        <f>W7014*W7015</f>
        <v>0</v>
      </c>
      <c r="X7013"/>
      <c r="Y7013"/>
      <c r="Z7013"/>
      <c r="AA7013"/>
      <c r="AB7013"/>
      <c r="AC7013"/>
      <c r="AD7013"/>
      <c r="AE7013"/>
      <c r="AF7013"/>
      <c r="AG7013"/>
      <c r="AH7013"/>
      <c r="AI7013"/>
      <c r="AJ7013"/>
      <c r="AK7013"/>
      <c r="AL7013"/>
      <c r="AM7013"/>
    </row>
    <row r="7014" spans="1:39" s="47" customFormat="1">
      <c r="A7014" s="121"/>
      <c r="B7014" s="121"/>
      <c r="C7014" s="121"/>
      <c r="D7014" s="121"/>
      <c r="E7014" s="121"/>
      <c r="F7014" s="121"/>
      <c r="G7014" s="121"/>
      <c r="H7014" s="121"/>
      <c r="I7014" s="121"/>
      <c r="J7014" s="121"/>
      <c r="K7014" s="121"/>
      <c r="L7014" s="121"/>
      <c r="M7014" s="121"/>
      <c r="N7014" s="223" t="s">
        <v>632</v>
      </c>
      <c r="O7014" s="446" t="s">
        <v>134</v>
      </c>
      <c r="P7014" s="544"/>
      <c r="Q7014" s="321"/>
      <c r="R7014" s="260"/>
      <c r="S7014" s="260"/>
      <c r="T7014" s="260"/>
      <c r="U7014" s="260"/>
      <c r="V7014" s="260"/>
      <c r="W7014" s="261"/>
      <c r="X7014"/>
      <c r="Y7014"/>
      <c r="Z7014"/>
      <c r="AA7014"/>
      <c r="AB7014"/>
      <c r="AC7014"/>
      <c r="AD7014"/>
      <c r="AE7014"/>
      <c r="AF7014"/>
      <c r="AG7014"/>
      <c r="AH7014"/>
      <c r="AI7014"/>
      <c r="AJ7014"/>
      <c r="AK7014"/>
      <c r="AL7014"/>
      <c r="AM7014"/>
    </row>
    <row r="7015" spans="1:39" s="47" customFormat="1" ht="22.5">
      <c r="A7015" s="121"/>
      <c r="B7015" s="121"/>
      <c r="C7015" s="121"/>
      <c r="D7015" s="121"/>
      <c r="E7015" s="121"/>
      <c r="F7015" s="121"/>
      <c r="G7015" s="121"/>
      <c r="H7015" s="121"/>
      <c r="I7015" s="121"/>
      <c r="J7015" s="121"/>
      <c r="K7015" s="121"/>
      <c r="L7015" s="121"/>
      <c r="M7015" s="121"/>
      <c r="N7015" s="223" t="s">
        <v>633</v>
      </c>
      <c r="O7015" s="446" t="s">
        <v>135</v>
      </c>
      <c r="P7015" s="544"/>
      <c r="Q7015" s="321"/>
      <c r="R7015" s="260"/>
      <c r="S7015" s="260"/>
      <c r="T7015" s="260"/>
      <c r="U7015" s="260"/>
      <c r="V7015" s="260"/>
      <c r="W7015" s="261"/>
      <c r="X7015"/>
      <c r="Y7015"/>
      <c r="Z7015"/>
      <c r="AA7015"/>
      <c r="AB7015"/>
      <c r="AC7015"/>
      <c r="AD7015"/>
      <c r="AE7015"/>
      <c r="AF7015"/>
      <c r="AG7015"/>
      <c r="AH7015"/>
      <c r="AI7015"/>
      <c r="AJ7015"/>
      <c r="AK7015"/>
      <c r="AL7015"/>
      <c r="AM7015"/>
    </row>
    <row r="7016" spans="1:39" s="47" customFormat="1">
      <c r="A7016" s="121"/>
      <c r="B7016" s="121"/>
      <c r="C7016" s="121"/>
      <c r="D7016" s="121"/>
      <c r="E7016" s="121"/>
      <c r="F7016" s="121"/>
      <c r="G7016" s="121"/>
      <c r="H7016" s="121"/>
      <c r="I7016" s="121"/>
      <c r="J7016" s="121"/>
      <c r="K7016" s="121"/>
      <c r="L7016" s="121"/>
      <c r="M7016" s="121"/>
      <c r="N7016" s="223" t="s">
        <v>69</v>
      </c>
      <c r="O7016" s="445" t="s">
        <v>136</v>
      </c>
      <c r="P7016" s="544"/>
      <c r="Q7016" s="321"/>
      <c r="R7016" s="260"/>
      <c r="S7016" s="260"/>
      <c r="T7016" s="260"/>
      <c r="U7016" s="260"/>
      <c r="V7016" s="260"/>
      <c r="W7016" s="261"/>
      <c r="X7016"/>
      <c r="Y7016"/>
      <c r="Z7016"/>
      <c r="AA7016"/>
      <c r="AB7016"/>
      <c r="AC7016"/>
      <c r="AD7016"/>
      <c r="AE7016"/>
      <c r="AF7016"/>
      <c r="AG7016"/>
      <c r="AH7016"/>
      <c r="AI7016"/>
      <c r="AJ7016"/>
      <c r="AK7016"/>
      <c r="AL7016"/>
      <c r="AM7016"/>
    </row>
    <row r="7017" spans="1:39" s="47" customFormat="1" ht="22.5">
      <c r="A7017" s="121"/>
      <c r="B7017" s="121"/>
      <c r="C7017" s="121"/>
      <c r="D7017" s="121"/>
      <c r="E7017" s="121"/>
      <c r="F7017" s="121"/>
      <c r="G7017" s="121"/>
      <c r="H7017" s="121"/>
      <c r="I7017" s="121"/>
      <c r="J7017" s="121"/>
      <c r="K7017" s="121"/>
      <c r="L7017" s="121"/>
      <c r="M7017" s="121"/>
      <c r="N7017" s="223" t="s">
        <v>635</v>
      </c>
      <c r="O7017" s="217" t="s">
        <v>137</v>
      </c>
      <c r="P7017" s="254"/>
      <c r="Q7017" s="321"/>
      <c r="R7017" s="260"/>
      <c r="S7017" s="260"/>
      <c r="T7017" s="260"/>
      <c r="U7017" s="260"/>
      <c r="V7017" s="260"/>
      <c r="W7017" s="257">
        <f>IF(W7018&lt;&gt;0,(1000*W7016/W7018)/$AN$8,0)</f>
        <v>0</v>
      </c>
      <c r="X7017"/>
      <c r="Y7017"/>
      <c r="Z7017"/>
      <c r="AA7017"/>
      <c r="AB7017"/>
      <c r="AC7017"/>
      <c r="AD7017"/>
      <c r="AE7017"/>
      <c r="AF7017"/>
      <c r="AG7017"/>
      <c r="AH7017"/>
      <c r="AI7017"/>
      <c r="AJ7017"/>
      <c r="AK7017"/>
      <c r="AL7017"/>
      <c r="AM7017"/>
    </row>
    <row r="7018" spans="1:39" s="47" customFormat="1" ht="22.5">
      <c r="A7018" s="121"/>
      <c r="B7018" s="121"/>
      <c r="C7018" s="121"/>
      <c r="D7018" s="121"/>
      <c r="E7018" s="121"/>
      <c r="F7018" s="121"/>
      <c r="G7018" s="121"/>
      <c r="H7018" s="121"/>
      <c r="I7018" s="121"/>
      <c r="J7018" s="121"/>
      <c r="K7018" s="121"/>
      <c r="L7018" s="121"/>
      <c r="M7018" s="121"/>
      <c r="N7018" s="223" t="s">
        <v>883</v>
      </c>
      <c r="O7018" s="217" t="s">
        <v>138</v>
      </c>
      <c r="P7018" s="544"/>
      <c r="Q7018" s="321"/>
      <c r="R7018" s="260"/>
      <c r="S7018" s="260"/>
      <c r="T7018" s="260"/>
      <c r="U7018" s="260"/>
      <c r="V7018" s="260"/>
      <c r="W7018" s="261"/>
      <c r="X7018"/>
      <c r="Y7018"/>
      <c r="Z7018"/>
      <c r="AA7018"/>
      <c r="AB7018"/>
      <c r="AC7018"/>
      <c r="AD7018"/>
      <c r="AE7018"/>
      <c r="AF7018"/>
      <c r="AG7018"/>
      <c r="AH7018"/>
      <c r="AI7018"/>
      <c r="AJ7018"/>
      <c r="AK7018"/>
      <c r="AL7018"/>
      <c r="AM7018"/>
    </row>
    <row r="7019" spans="1:39" s="47" customFormat="1" ht="22.5">
      <c r="A7019" s="121"/>
      <c r="B7019" s="121"/>
      <c r="C7019" s="121"/>
      <c r="D7019" s="121"/>
      <c r="E7019" s="121"/>
      <c r="F7019" s="121"/>
      <c r="G7019" s="121"/>
      <c r="H7019" s="121"/>
      <c r="I7019" s="121"/>
      <c r="J7019" s="121"/>
      <c r="K7019" s="121"/>
      <c r="L7019" s="121"/>
      <c r="M7019" s="121"/>
      <c r="N7019" s="223" t="s">
        <v>72</v>
      </c>
      <c r="O7019" s="445" t="s">
        <v>139</v>
      </c>
      <c r="P7019" s="544"/>
      <c r="Q7019" s="321"/>
      <c r="R7019" s="260"/>
      <c r="S7019" s="260"/>
      <c r="T7019" s="260"/>
      <c r="U7019" s="260"/>
      <c r="V7019" s="260"/>
      <c r="W7019" s="261"/>
      <c r="X7019"/>
      <c r="Y7019"/>
      <c r="Z7019"/>
      <c r="AA7019"/>
      <c r="AB7019"/>
      <c r="AC7019"/>
      <c r="AD7019"/>
      <c r="AE7019"/>
      <c r="AF7019"/>
      <c r="AG7019"/>
      <c r="AH7019"/>
      <c r="AI7019"/>
      <c r="AJ7019"/>
      <c r="AK7019"/>
      <c r="AL7019"/>
      <c r="AM7019"/>
    </row>
    <row r="7020" spans="1:39" s="47" customFormat="1">
      <c r="A7020" s="121"/>
      <c r="B7020" s="121"/>
      <c r="C7020" s="121"/>
      <c r="D7020" s="121"/>
      <c r="E7020" s="121"/>
      <c r="F7020" s="121"/>
      <c r="G7020" s="121"/>
      <c r="H7020" s="121"/>
      <c r="I7020" s="121"/>
      <c r="J7020" s="121"/>
      <c r="K7020" s="121"/>
      <c r="L7020" s="121"/>
      <c r="M7020" s="121"/>
      <c r="N7020" s="223" t="s">
        <v>2821</v>
      </c>
      <c r="O7020" s="445" t="s">
        <v>140</v>
      </c>
      <c r="P7020" s="544"/>
      <c r="Q7020" s="321"/>
      <c r="R7020" s="260"/>
      <c r="S7020" s="260"/>
      <c r="T7020" s="260"/>
      <c r="U7020" s="260"/>
      <c r="V7020" s="260"/>
      <c r="W7020" s="261"/>
      <c r="X7020"/>
      <c r="Y7020"/>
      <c r="Z7020"/>
      <c r="AA7020"/>
      <c r="AB7020"/>
      <c r="AC7020"/>
      <c r="AD7020"/>
      <c r="AE7020"/>
      <c r="AF7020"/>
      <c r="AG7020"/>
      <c r="AH7020"/>
      <c r="AI7020"/>
      <c r="AJ7020"/>
      <c r="AK7020"/>
      <c r="AL7020"/>
      <c r="AM7020"/>
    </row>
    <row r="7021" spans="1:39" s="47" customFormat="1">
      <c r="A7021" s="121"/>
      <c r="B7021" s="121"/>
      <c r="C7021" s="121"/>
      <c r="D7021" s="121"/>
      <c r="E7021" s="121"/>
      <c r="F7021" s="121"/>
      <c r="G7021" s="121"/>
      <c r="H7021" s="121"/>
      <c r="I7021" s="121"/>
      <c r="J7021" s="121"/>
      <c r="K7021" s="121"/>
      <c r="L7021" s="121"/>
      <c r="M7021" s="121"/>
      <c r="N7021" s="223" t="s">
        <v>2826</v>
      </c>
      <c r="O7021" s="445" t="s">
        <v>141</v>
      </c>
      <c r="P7021" s="544"/>
      <c r="Q7021" s="321"/>
      <c r="R7021" s="260"/>
      <c r="S7021" s="260"/>
      <c r="T7021" s="260"/>
      <c r="U7021" s="260"/>
      <c r="V7021" s="260"/>
      <c r="W7021" s="261"/>
      <c r="X7021"/>
      <c r="Y7021"/>
      <c r="Z7021"/>
      <c r="AA7021"/>
      <c r="AB7021"/>
      <c r="AC7021"/>
      <c r="AD7021"/>
      <c r="AE7021"/>
      <c r="AF7021"/>
      <c r="AG7021"/>
      <c r="AH7021"/>
      <c r="AI7021"/>
      <c r="AJ7021"/>
      <c r="AK7021"/>
      <c r="AL7021"/>
      <c r="AM7021"/>
    </row>
    <row r="7022" spans="1:39" s="47" customFormat="1">
      <c r="A7022" s="121"/>
      <c r="B7022" s="121"/>
      <c r="C7022" s="121"/>
      <c r="D7022" s="121"/>
      <c r="E7022" s="121"/>
      <c r="F7022" s="121"/>
      <c r="G7022" s="121"/>
      <c r="H7022" s="121"/>
      <c r="I7022" s="121"/>
      <c r="J7022" s="121"/>
      <c r="K7022" s="121"/>
      <c r="L7022" s="121"/>
      <c r="M7022" s="121"/>
      <c r="N7022" s="223" t="s">
        <v>2828</v>
      </c>
      <c r="O7022" s="445" t="s">
        <v>142</v>
      </c>
      <c r="P7022" s="544"/>
      <c r="Q7022" s="321"/>
      <c r="R7022" s="260"/>
      <c r="S7022" s="260"/>
      <c r="T7022" s="260"/>
      <c r="U7022" s="260"/>
      <c r="V7022" s="260"/>
      <c r="W7022" s="261"/>
      <c r="X7022"/>
      <c r="Y7022"/>
      <c r="Z7022"/>
      <c r="AA7022"/>
      <c r="AB7022"/>
      <c r="AC7022"/>
      <c r="AD7022"/>
      <c r="AE7022"/>
      <c r="AF7022"/>
      <c r="AG7022"/>
      <c r="AH7022"/>
      <c r="AI7022"/>
      <c r="AJ7022"/>
      <c r="AK7022"/>
      <c r="AL7022"/>
      <c r="AM7022"/>
    </row>
    <row r="7023" spans="1:39" s="47" customFormat="1">
      <c r="A7023" s="121"/>
      <c r="B7023" s="121"/>
      <c r="C7023" s="121"/>
      <c r="D7023" s="121"/>
      <c r="E7023" s="121"/>
      <c r="F7023" s="121"/>
      <c r="G7023" s="121"/>
      <c r="H7023" s="121"/>
      <c r="I7023" s="121"/>
      <c r="J7023" s="121"/>
      <c r="K7023" s="121"/>
      <c r="L7023" s="121"/>
      <c r="M7023" s="121"/>
      <c r="N7023" s="223" t="s">
        <v>143</v>
      </c>
      <c r="O7023" s="446" t="s">
        <v>144</v>
      </c>
      <c r="P7023" s="544"/>
      <c r="Q7023" s="321"/>
      <c r="R7023" s="260"/>
      <c r="S7023" s="260"/>
      <c r="T7023" s="260"/>
      <c r="U7023" s="260"/>
      <c r="V7023" s="260"/>
      <c r="W7023" s="261"/>
      <c r="X7023"/>
      <c r="Y7023"/>
      <c r="Z7023"/>
      <c r="AA7023"/>
      <c r="AB7023"/>
      <c r="AC7023"/>
      <c r="AD7023"/>
      <c r="AE7023"/>
      <c r="AF7023"/>
      <c r="AG7023"/>
      <c r="AH7023"/>
      <c r="AI7023"/>
      <c r="AJ7023"/>
      <c r="AK7023"/>
      <c r="AL7023"/>
      <c r="AM7023"/>
    </row>
    <row r="7024" spans="1:39" s="47" customFormat="1">
      <c r="A7024" s="121"/>
      <c r="B7024" s="121"/>
      <c r="C7024" s="121"/>
      <c r="D7024" s="121"/>
      <c r="E7024" s="121"/>
      <c r="F7024" s="121"/>
      <c r="G7024" s="121"/>
      <c r="H7024" s="121"/>
      <c r="I7024" s="121"/>
      <c r="J7024" s="121"/>
      <c r="K7024" s="121"/>
      <c r="L7024" s="121"/>
      <c r="M7024" s="121"/>
      <c r="N7024" s="223" t="s">
        <v>145</v>
      </c>
      <c r="O7024" s="446" t="s">
        <v>146</v>
      </c>
      <c r="P7024" s="544"/>
      <c r="Q7024" s="321"/>
      <c r="R7024" s="260"/>
      <c r="S7024" s="260"/>
      <c r="T7024" s="260"/>
      <c r="U7024" s="260"/>
      <c r="V7024" s="260"/>
      <c r="W7024" s="261"/>
      <c r="X7024"/>
      <c r="Y7024"/>
      <c r="Z7024"/>
      <c r="AA7024"/>
      <c r="AB7024"/>
      <c r="AC7024"/>
      <c r="AD7024"/>
      <c r="AE7024"/>
      <c r="AF7024"/>
      <c r="AG7024"/>
      <c r="AH7024"/>
      <c r="AI7024"/>
      <c r="AJ7024"/>
      <c r="AK7024"/>
      <c r="AL7024"/>
      <c r="AM7024"/>
    </row>
    <row r="7025" spans="1:39" s="47" customFormat="1">
      <c r="A7025" s="121"/>
      <c r="B7025" s="121"/>
      <c r="C7025" s="121"/>
      <c r="D7025" s="121"/>
      <c r="E7025" s="121"/>
      <c r="F7025" s="121"/>
      <c r="G7025" s="121"/>
      <c r="H7025" s="121"/>
      <c r="I7025" s="121"/>
      <c r="J7025" s="121"/>
      <c r="K7025" s="121"/>
      <c r="L7025" s="121"/>
      <c r="M7025" s="121"/>
      <c r="N7025" s="223" t="s">
        <v>147</v>
      </c>
      <c r="O7025" s="525" t="s">
        <v>1839</v>
      </c>
      <c r="P7025" s="257"/>
      <c r="Q7025" s="321"/>
      <c r="R7025" s="260"/>
      <c r="S7025" s="260"/>
      <c r="T7025" s="260"/>
      <c r="U7025" s="260"/>
      <c r="V7025" s="260"/>
      <c r="W7025" s="257">
        <f>IF(W7026&lt;&gt;0,(1000*W7024/W7026)/$AN$8,0)</f>
        <v>0</v>
      </c>
      <c r="X7025"/>
      <c r="Y7025"/>
      <c r="Z7025"/>
      <c r="AA7025"/>
      <c r="AB7025"/>
      <c r="AC7025"/>
      <c r="AD7025"/>
      <c r="AE7025"/>
      <c r="AF7025"/>
      <c r="AG7025"/>
      <c r="AH7025"/>
      <c r="AI7025"/>
      <c r="AJ7025"/>
      <c r="AK7025"/>
      <c r="AL7025"/>
      <c r="AM7025"/>
    </row>
    <row r="7026" spans="1:39" s="47" customFormat="1" ht="22.5">
      <c r="A7026" s="121"/>
      <c r="B7026" s="121"/>
      <c r="C7026" s="121"/>
      <c r="D7026" s="121"/>
      <c r="E7026" s="121"/>
      <c r="F7026" s="121"/>
      <c r="G7026" s="121"/>
      <c r="H7026" s="121"/>
      <c r="I7026" s="121"/>
      <c r="J7026" s="121"/>
      <c r="K7026" s="121"/>
      <c r="L7026" s="121"/>
      <c r="M7026" s="121"/>
      <c r="N7026" s="223" t="s">
        <v>148</v>
      </c>
      <c r="O7026" s="525" t="s">
        <v>149</v>
      </c>
      <c r="P7026" s="257"/>
      <c r="Q7026" s="321"/>
      <c r="R7026" s="260"/>
      <c r="S7026" s="260"/>
      <c r="T7026" s="260"/>
      <c r="U7026" s="260"/>
      <c r="V7026" s="260"/>
      <c r="W7026" s="261"/>
      <c r="X7026"/>
      <c r="Y7026"/>
      <c r="Z7026"/>
      <c r="AA7026"/>
      <c r="AB7026"/>
      <c r="AC7026"/>
      <c r="AD7026"/>
      <c r="AE7026"/>
      <c r="AF7026"/>
      <c r="AG7026"/>
      <c r="AH7026"/>
      <c r="AI7026"/>
      <c r="AJ7026"/>
      <c r="AK7026"/>
      <c r="AL7026"/>
      <c r="AM7026"/>
    </row>
    <row r="7027" spans="1:39" s="47" customFormat="1" ht="22.5">
      <c r="A7027" s="121"/>
      <c r="B7027" s="121"/>
      <c r="C7027" s="121"/>
      <c r="D7027" s="121"/>
      <c r="E7027" s="121"/>
      <c r="F7027" s="121"/>
      <c r="G7027" s="121"/>
      <c r="H7027" s="121"/>
      <c r="I7027" s="121"/>
      <c r="J7027" s="121"/>
      <c r="K7027" s="121"/>
      <c r="L7027" s="121"/>
      <c r="M7027" s="121"/>
      <c r="N7027" s="223" t="s">
        <v>150</v>
      </c>
      <c r="O7027" s="446" t="s">
        <v>151</v>
      </c>
      <c r="P7027" s="544"/>
      <c r="Q7027" s="321"/>
      <c r="R7027" s="260"/>
      <c r="S7027" s="260"/>
      <c r="T7027" s="260"/>
      <c r="U7027" s="260"/>
      <c r="V7027" s="260"/>
      <c r="W7027" s="261"/>
      <c r="X7027"/>
      <c r="Y7027"/>
      <c r="Z7027"/>
      <c r="AA7027"/>
      <c r="AB7027"/>
      <c r="AC7027"/>
      <c r="AD7027"/>
      <c r="AE7027"/>
      <c r="AF7027"/>
      <c r="AG7027"/>
      <c r="AH7027"/>
      <c r="AI7027"/>
      <c r="AJ7027"/>
      <c r="AK7027"/>
      <c r="AL7027"/>
      <c r="AM7027"/>
    </row>
    <row r="7028" spans="1:39" s="47" customFormat="1">
      <c r="A7028" s="121"/>
      <c r="B7028" s="121"/>
      <c r="C7028" s="121"/>
      <c r="D7028" s="121"/>
      <c r="E7028" s="121"/>
      <c r="F7028" s="121"/>
      <c r="G7028" s="121"/>
      <c r="H7028" s="121"/>
      <c r="I7028" s="121"/>
      <c r="J7028" s="121"/>
      <c r="K7028" s="121"/>
      <c r="L7028" s="121"/>
      <c r="M7028" s="121"/>
      <c r="N7028" s="223" t="s">
        <v>2830</v>
      </c>
      <c r="O7028" s="445" t="s">
        <v>152</v>
      </c>
      <c r="P7028" s="544"/>
      <c r="Q7028" s="321"/>
      <c r="R7028" s="260"/>
      <c r="S7028" s="260"/>
      <c r="T7028" s="260"/>
      <c r="U7028" s="260"/>
      <c r="V7028" s="260"/>
      <c r="W7028" s="261"/>
      <c r="X7028"/>
      <c r="Y7028"/>
      <c r="Z7028"/>
      <c r="AA7028"/>
      <c r="AB7028"/>
      <c r="AC7028"/>
      <c r="AD7028"/>
      <c r="AE7028"/>
      <c r="AF7028"/>
      <c r="AG7028"/>
      <c r="AH7028"/>
      <c r="AI7028"/>
      <c r="AJ7028"/>
      <c r="AK7028"/>
      <c r="AL7028"/>
      <c r="AM7028"/>
    </row>
    <row r="7029" spans="1:39" s="47" customFormat="1">
      <c r="A7029" s="121"/>
      <c r="B7029" s="121"/>
      <c r="C7029" s="121"/>
      <c r="D7029" s="121"/>
      <c r="E7029" s="121"/>
      <c r="F7029" s="121"/>
      <c r="G7029" s="121"/>
      <c r="H7029" s="121"/>
      <c r="I7029" s="121"/>
      <c r="J7029" s="121"/>
      <c r="K7029" s="121"/>
      <c r="L7029" s="121"/>
      <c r="M7029" s="121"/>
      <c r="N7029" s="223" t="s">
        <v>2847</v>
      </c>
      <c r="O7029" s="445" t="s">
        <v>153</v>
      </c>
      <c r="P7029" s="544"/>
      <c r="Q7029" s="321"/>
      <c r="R7029" s="260"/>
      <c r="S7029" s="260"/>
      <c r="T7029" s="260"/>
      <c r="U7029" s="260"/>
      <c r="V7029" s="260"/>
      <c r="W7029" s="261"/>
      <c r="X7029"/>
      <c r="Y7029"/>
      <c r="Z7029"/>
      <c r="AA7029"/>
      <c r="AB7029"/>
      <c r="AC7029"/>
      <c r="AD7029"/>
      <c r="AE7029"/>
      <c r="AF7029"/>
      <c r="AG7029"/>
      <c r="AH7029"/>
      <c r="AI7029"/>
      <c r="AJ7029"/>
      <c r="AK7029"/>
      <c r="AL7029"/>
      <c r="AM7029"/>
    </row>
    <row r="7030" spans="1:39" s="47" customFormat="1">
      <c r="A7030" s="121"/>
      <c r="B7030" s="121"/>
      <c r="C7030" s="121"/>
      <c r="D7030" s="121"/>
      <c r="E7030" s="121"/>
      <c r="F7030" s="121"/>
      <c r="G7030" s="121"/>
      <c r="H7030" s="121"/>
      <c r="I7030" s="121"/>
      <c r="J7030" s="121"/>
      <c r="K7030" s="121"/>
      <c r="L7030" s="121"/>
      <c r="M7030" s="121"/>
      <c r="N7030" s="223" t="s">
        <v>2849</v>
      </c>
      <c r="O7030" s="446" t="s">
        <v>154</v>
      </c>
      <c r="P7030" s="544"/>
      <c r="Q7030" s="321"/>
      <c r="R7030" s="260"/>
      <c r="S7030" s="260"/>
      <c r="T7030" s="260"/>
      <c r="U7030" s="260"/>
      <c r="V7030" s="260"/>
      <c r="W7030" s="261"/>
      <c r="X7030"/>
      <c r="Y7030"/>
      <c r="Z7030"/>
      <c r="AA7030"/>
      <c r="AB7030"/>
      <c r="AC7030"/>
      <c r="AD7030"/>
      <c r="AE7030"/>
      <c r="AF7030"/>
      <c r="AG7030"/>
      <c r="AH7030"/>
      <c r="AI7030"/>
      <c r="AJ7030"/>
      <c r="AK7030"/>
      <c r="AL7030"/>
      <c r="AM7030"/>
    </row>
    <row r="7031" spans="1:39" s="47" customFormat="1">
      <c r="A7031" s="121"/>
      <c r="B7031" s="121"/>
      <c r="C7031" s="121"/>
      <c r="D7031" s="121"/>
      <c r="E7031" s="121"/>
      <c r="F7031" s="121"/>
      <c r="G7031" s="121"/>
      <c r="H7031" s="121"/>
      <c r="I7031" s="121"/>
      <c r="J7031" s="121"/>
      <c r="K7031" s="121"/>
      <c r="L7031" s="121"/>
      <c r="M7031" s="121"/>
      <c r="N7031" s="223" t="s">
        <v>155</v>
      </c>
      <c r="O7031" s="525" t="s">
        <v>1844</v>
      </c>
      <c r="P7031" s="257"/>
      <c r="Q7031" s="321"/>
      <c r="R7031" s="260"/>
      <c r="S7031" s="260"/>
      <c r="T7031" s="260"/>
      <c r="U7031" s="260"/>
      <c r="V7031" s="260"/>
      <c r="W7031" s="257">
        <f>IF(W7032&lt;&gt;0,(1000*W7030/W7032)/$AN$8,0)</f>
        <v>0</v>
      </c>
      <c r="X7031"/>
      <c r="Y7031"/>
      <c r="Z7031"/>
      <c r="AA7031"/>
      <c r="AB7031"/>
      <c r="AC7031"/>
      <c r="AD7031"/>
      <c r="AE7031"/>
      <c r="AF7031"/>
      <c r="AG7031"/>
      <c r="AH7031"/>
      <c r="AI7031"/>
      <c r="AJ7031"/>
      <c r="AK7031"/>
      <c r="AL7031"/>
      <c r="AM7031"/>
    </row>
    <row r="7032" spans="1:39" s="47" customFormat="1" ht="22.5">
      <c r="A7032" s="121"/>
      <c r="B7032" s="121"/>
      <c r="C7032" s="121"/>
      <c r="D7032" s="121"/>
      <c r="E7032" s="121"/>
      <c r="F7032" s="121"/>
      <c r="G7032" s="121"/>
      <c r="H7032" s="121"/>
      <c r="I7032" s="121"/>
      <c r="J7032" s="121"/>
      <c r="K7032" s="121"/>
      <c r="L7032" s="121"/>
      <c r="M7032" s="121"/>
      <c r="N7032" s="223" t="s">
        <v>156</v>
      </c>
      <c r="O7032" s="525" t="s">
        <v>157</v>
      </c>
      <c r="P7032" s="257"/>
      <c r="Q7032" s="321"/>
      <c r="R7032" s="260"/>
      <c r="S7032" s="260"/>
      <c r="T7032" s="260"/>
      <c r="U7032" s="260"/>
      <c r="V7032" s="260"/>
      <c r="W7032" s="261"/>
      <c r="X7032"/>
      <c r="Y7032"/>
      <c r="Z7032"/>
      <c r="AA7032"/>
      <c r="AB7032"/>
      <c r="AC7032"/>
      <c r="AD7032"/>
      <c r="AE7032"/>
      <c r="AF7032"/>
      <c r="AG7032"/>
      <c r="AH7032"/>
      <c r="AI7032"/>
      <c r="AJ7032"/>
      <c r="AK7032"/>
      <c r="AL7032"/>
      <c r="AM7032"/>
    </row>
    <row r="7033" spans="1:39" s="47" customFormat="1">
      <c r="A7033" s="121"/>
      <c r="B7033" s="121"/>
      <c r="C7033" s="121"/>
      <c r="D7033" s="121"/>
      <c r="E7033" s="121"/>
      <c r="F7033" s="121"/>
      <c r="G7033" s="121"/>
      <c r="H7033" s="121"/>
      <c r="I7033" s="121"/>
      <c r="J7033" s="121"/>
      <c r="K7033" s="121"/>
      <c r="L7033" s="121"/>
      <c r="M7033" s="121"/>
      <c r="N7033" s="223" t="s">
        <v>2850</v>
      </c>
      <c r="O7033" s="446" t="s">
        <v>158</v>
      </c>
      <c r="P7033" s="544"/>
      <c r="Q7033" s="321"/>
      <c r="R7033" s="260"/>
      <c r="S7033" s="260"/>
      <c r="T7033" s="260"/>
      <c r="U7033" s="260"/>
      <c r="V7033" s="260"/>
      <c r="W7033" s="261"/>
      <c r="X7033"/>
      <c r="Y7033"/>
      <c r="Z7033"/>
      <c r="AA7033"/>
      <c r="AB7033"/>
      <c r="AC7033"/>
      <c r="AD7033"/>
      <c r="AE7033"/>
      <c r="AF7033"/>
      <c r="AG7033"/>
      <c r="AH7033"/>
      <c r="AI7033"/>
      <c r="AJ7033"/>
      <c r="AK7033"/>
      <c r="AL7033"/>
      <c r="AM7033"/>
    </row>
    <row r="7034" spans="1:39" s="47" customFormat="1">
      <c r="A7034" s="121"/>
      <c r="B7034" s="121"/>
      <c r="C7034" s="121"/>
      <c r="D7034" s="121"/>
      <c r="E7034" s="121"/>
      <c r="F7034" s="121"/>
      <c r="G7034" s="121"/>
      <c r="H7034" s="121"/>
      <c r="I7034" s="121"/>
      <c r="J7034" s="121"/>
      <c r="K7034" s="121"/>
      <c r="L7034" s="121"/>
      <c r="M7034" s="121"/>
      <c r="N7034" s="223" t="s">
        <v>2319</v>
      </c>
      <c r="O7034" s="445" t="s">
        <v>159</v>
      </c>
      <c r="P7034" s="544"/>
      <c r="Q7034" s="321"/>
      <c r="R7034" s="260"/>
      <c r="S7034" s="260"/>
      <c r="T7034" s="260"/>
      <c r="U7034" s="260"/>
      <c r="V7034" s="260"/>
      <c r="W7034" s="261"/>
      <c r="X7034"/>
      <c r="Y7034"/>
      <c r="Z7034"/>
      <c r="AA7034"/>
      <c r="AB7034"/>
      <c r="AC7034"/>
      <c r="AD7034"/>
      <c r="AE7034"/>
      <c r="AF7034"/>
      <c r="AG7034"/>
      <c r="AH7034"/>
      <c r="AI7034"/>
      <c r="AJ7034"/>
      <c r="AK7034"/>
      <c r="AL7034"/>
      <c r="AM7034"/>
    </row>
    <row r="7035" spans="1:39" s="47" customFormat="1">
      <c r="A7035" s="121"/>
      <c r="B7035" s="121"/>
      <c r="C7035" s="121"/>
      <c r="D7035" s="121"/>
      <c r="E7035" s="121"/>
      <c r="F7035" s="121"/>
      <c r="G7035" s="121"/>
      <c r="H7035" s="121"/>
      <c r="I7035" s="121"/>
      <c r="J7035" s="121"/>
      <c r="K7035" s="121"/>
      <c r="L7035" s="121"/>
      <c r="M7035" s="121"/>
      <c r="N7035" s="223" t="s">
        <v>2320</v>
      </c>
      <c r="O7035" s="446" t="s">
        <v>160</v>
      </c>
      <c r="P7035" s="544"/>
      <c r="Q7035" s="321"/>
      <c r="R7035" s="260"/>
      <c r="S7035" s="260"/>
      <c r="T7035" s="260"/>
      <c r="U7035" s="260"/>
      <c r="V7035" s="260"/>
      <c r="W7035" s="261"/>
      <c r="X7035"/>
      <c r="Y7035"/>
      <c r="Z7035"/>
      <c r="AA7035"/>
      <c r="AB7035"/>
      <c r="AC7035"/>
      <c r="AD7035"/>
      <c r="AE7035"/>
      <c r="AF7035"/>
      <c r="AG7035"/>
      <c r="AH7035"/>
      <c r="AI7035"/>
      <c r="AJ7035"/>
      <c r="AK7035"/>
      <c r="AL7035"/>
      <c r="AM7035"/>
    </row>
    <row r="7036" spans="1:39" s="47" customFormat="1" ht="22.5">
      <c r="A7036" s="121"/>
      <c r="B7036" s="121"/>
      <c r="C7036" s="121"/>
      <c r="D7036" s="121"/>
      <c r="E7036" s="121"/>
      <c r="F7036" s="121"/>
      <c r="G7036" s="121"/>
      <c r="H7036" s="121"/>
      <c r="I7036" s="121"/>
      <c r="J7036" s="121"/>
      <c r="K7036" s="121"/>
      <c r="L7036" s="121"/>
      <c r="M7036" s="121"/>
      <c r="N7036" s="223" t="s">
        <v>161</v>
      </c>
      <c r="O7036" s="447" t="s">
        <v>162</v>
      </c>
      <c r="P7036" s="544"/>
      <c r="Q7036" s="321"/>
      <c r="R7036" s="260"/>
      <c r="S7036" s="260"/>
      <c r="T7036" s="260"/>
      <c r="U7036" s="260"/>
      <c r="V7036" s="260"/>
      <c r="W7036" s="261"/>
      <c r="X7036"/>
      <c r="Y7036"/>
      <c r="Z7036"/>
      <c r="AA7036"/>
      <c r="AB7036"/>
      <c r="AC7036"/>
      <c r="AD7036"/>
      <c r="AE7036"/>
      <c r="AF7036"/>
      <c r="AG7036"/>
      <c r="AH7036"/>
      <c r="AI7036"/>
      <c r="AJ7036"/>
      <c r="AK7036"/>
      <c r="AL7036"/>
      <c r="AM7036"/>
    </row>
    <row r="7037" spans="1:39" s="47" customFormat="1">
      <c r="A7037" s="121"/>
      <c r="B7037" s="121"/>
      <c r="C7037" s="121"/>
      <c r="D7037" s="121"/>
      <c r="E7037" s="121"/>
      <c r="F7037" s="121"/>
      <c r="G7037" s="121"/>
      <c r="H7037" s="121"/>
      <c r="I7037" s="121"/>
      <c r="J7037" s="121"/>
      <c r="K7037" s="121"/>
      <c r="L7037" s="121"/>
      <c r="M7037" s="121"/>
      <c r="N7037" s="223" t="s">
        <v>2321</v>
      </c>
      <c r="O7037" s="445" t="s">
        <v>163</v>
      </c>
      <c r="P7037" s="544"/>
      <c r="Q7037" s="321"/>
      <c r="R7037" s="260"/>
      <c r="S7037" s="260"/>
      <c r="T7037" s="260"/>
      <c r="U7037" s="260"/>
      <c r="V7037" s="260"/>
      <c r="W7037" s="261"/>
      <c r="X7037"/>
      <c r="Y7037"/>
      <c r="Z7037"/>
      <c r="AA7037"/>
      <c r="AB7037"/>
      <c r="AC7037"/>
      <c r="AD7037"/>
      <c r="AE7037"/>
      <c r="AF7037"/>
      <c r="AG7037"/>
      <c r="AH7037"/>
      <c r="AI7037"/>
      <c r="AJ7037"/>
      <c r="AK7037"/>
      <c r="AL7037"/>
      <c r="AM7037"/>
    </row>
    <row r="7038" spans="1:39" s="47" customFormat="1">
      <c r="A7038" s="121"/>
      <c r="B7038" s="121"/>
      <c r="C7038" s="121"/>
      <c r="D7038" s="121"/>
      <c r="E7038" s="121"/>
      <c r="F7038" s="121"/>
      <c r="G7038" s="121"/>
      <c r="H7038" s="121"/>
      <c r="I7038" s="121"/>
      <c r="J7038" s="121"/>
      <c r="K7038" s="121"/>
      <c r="L7038" s="121"/>
      <c r="M7038" s="121"/>
      <c r="N7038" s="223" t="s">
        <v>2322</v>
      </c>
      <c r="O7038" s="446" t="s">
        <v>164</v>
      </c>
      <c r="P7038" s="544"/>
      <c r="Q7038" s="321"/>
      <c r="R7038" s="260"/>
      <c r="S7038" s="260"/>
      <c r="T7038" s="260"/>
      <c r="U7038" s="260"/>
      <c r="V7038" s="260"/>
      <c r="W7038" s="261"/>
      <c r="X7038"/>
      <c r="Y7038"/>
      <c r="Z7038"/>
      <c r="AA7038"/>
      <c r="AB7038"/>
      <c r="AC7038"/>
      <c r="AD7038"/>
      <c r="AE7038"/>
      <c r="AF7038"/>
      <c r="AG7038"/>
      <c r="AH7038"/>
      <c r="AI7038"/>
      <c r="AJ7038"/>
      <c r="AK7038"/>
      <c r="AL7038"/>
      <c r="AM7038"/>
    </row>
    <row r="7039" spans="1:39" s="47" customFormat="1" ht="22.5">
      <c r="A7039" s="121"/>
      <c r="B7039" s="121"/>
      <c r="C7039" s="121"/>
      <c r="D7039" s="121"/>
      <c r="E7039" s="121"/>
      <c r="F7039" s="121"/>
      <c r="G7039" s="121"/>
      <c r="H7039" s="121"/>
      <c r="I7039" s="121"/>
      <c r="J7039" s="121"/>
      <c r="K7039" s="121"/>
      <c r="L7039" s="121"/>
      <c r="M7039" s="121"/>
      <c r="N7039" s="223" t="s">
        <v>165</v>
      </c>
      <c r="O7039" s="447" t="s">
        <v>166</v>
      </c>
      <c r="P7039" s="544"/>
      <c r="Q7039" s="321"/>
      <c r="R7039" s="260"/>
      <c r="S7039" s="260"/>
      <c r="T7039" s="260"/>
      <c r="U7039" s="260"/>
      <c r="V7039" s="260"/>
      <c r="W7039" s="261"/>
      <c r="X7039"/>
      <c r="Y7039"/>
      <c r="Z7039"/>
      <c r="AA7039"/>
      <c r="AB7039"/>
      <c r="AC7039"/>
      <c r="AD7039"/>
      <c r="AE7039"/>
      <c r="AF7039"/>
      <c r="AG7039"/>
      <c r="AH7039"/>
      <c r="AI7039"/>
      <c r="AJ7039"/>
      <c r="AK7039"/>
      <c r="AL7039"/>
      <c r="AM7039"/>
    </row>
    <row r="7040" spans="1:39" s="47" customFormat="1" ht="22.5">
      <c r="A7040" s="121"/>
      <c r="B7040" s="121"/>
      <c r="C7040" s="121"/>
      <c r="D7040" s="121"/>
      <c r="E7040" s="121"/>
      <c r="F7040" s="121"/>
      <c r="G7040" s="121"/>
      <c r="H7040" s="121"/>
      <c r="I7040" s="121"/>
      <c r="J7040" s="121"/>
      <c r="K7040" s="121"/>
      <c r="L7040" s="121"/>
      <c r="M7040" s="121"/>
      <c r="N7040" s="223" t="s">
        <v>167</v>
      </c>
      <c r="O7040" s="446" t="s">
        <v>168</v>
      </c>
      <c r="P7040" s="544"/>
      <c r="Q7040" s="321"/>
      <c r="R7040" s="260"/>
      <c r="S7040" s="260"/>
      <c r="T7040" s="260"/>
      <c r="U7040" s="260"/>
      <c r="V7040" s="260"/>
      <c r="W7040" s="261"/>
      <c r="X7040"/>
      <c r="Y7040"/>
      <c r="Z7040"/>
      <c r="AA7040"/>
      <c r="AB7040"/>
      <c r="AC7040"/>
      <c r="AD7040"/>
      <c r="AE7040"/>
      <c r="AF7040"/>
      <c r="AG7040"/>
      <c r="AH7040"/>
      <c r="AI7040"/>
      <c r="AJ7040"/>
      <c r="AK7040"/>
      <c r="AL7040"/>
      <c r="AM7040"/>
    </row>
    <row r="7041" spans="1:39" s="47" customFormat="1">
      <c r="A7041" s="121"/>
      <c r="B7041" s="121"/>
      <c r="C7041" s="121"/>
      <c r="D7041" s="121"/>
      <c r="E7041" s="121"/>
      <c r="F7041" s="121"/>
      <c r="G7041" s="121"/>
      <c r="H7041" s="121"/>
      <c r="I7041" s="121"/>
      <c r="J7041" s="121"/>
      <c r="K7041" s="121"/>
      <c r="L7041" s="121"/>
      <c r="M7041" s="121"/>
      <c r="N7041" s="223" t="s">
        <v>2323</v>
      </c>
      <c r="O7041" s="445" t="s">
        <v>2327</v>
      </c>
      <c r="P7041" s="544"/>
      <c r="Q7041" s="321"/>
      <c r="R7041" s="260"/>
      <c r="S7041" s="260"/>
      <c r="T7041" s="260"/>
      <c r="U7041" s="260"/>
      <c r="V7041" s="260"/>
      <c r="W7041" s="261"/>
      <c r="X7041"/>
      <c r="Y7041"/>
      <c r="Z7041"/>
      <c r="AA7041"/>
      <c r="AB7041"/>
      <c r="AC7041"/>
      <c r="AD7041"/>
      <c r="AE7041"/>
      <c r="AF7041"/>
      <c r="AG7041"/>
      <c r="AH7041"/>
      <c r="AI7041"/>
      <c r="AJ7041"/>
      <c r="AK7041"/>
      <c r="AL7041"/>
      <c r="AM7041"/>
    </row>
    <row r="7042" spans="1:39" s="47" customFormat="1" ht="22.5">
      <c r="A7042" s="121"/>
      <c r="B7042" s="121"/>
      <c r="C7042" s="121"/>
      <c r="D7042" s="121"/>
      <c r="E7042" s="121"/>
      <c r="F7042" s="121"/>
      <c r="G7042" s="121"/>
      <c r="H7042" s="121"/>
      <c r="I7042" s="121"/>
      <c r="J7042" s="121"/>
      <c r="K7042" s="121"/>
      <c r="L7042" s="121"/>
      <c r="M7042" s="121"/>
      <c r="N7042" s="223" t="s">
        <v>2324</v>
      </c>
      <c r="O7042" s="445" t="s">
        <v>169</v>
      </c>
      <c r="P7042" s="544"/>
      <c r="Q7042" s="321"/>
      <c r="R7042" s="260"/>
      <c r="S7042" s="260"/>
      <c r="T7042" s="260"/>
      <c r="U7042" s="260"/>
      <c r="V7042" s="260"/>
      <c r="W7042" s="261"/>
      <c r="X7042"/>
      <c r="Y7042"/>
      <c r="Z7042"/>
      <c r="AA7042"/>
      <c r="AB7042"/>
      <c r="AC7042"/>
      <c r="AD7042"/>
      <c r="AE7042"/>
      <c r="AF7042"/>
      <c r="AG7042"/>
      <c r="AH7042"/>
      <c r="AI7042"/>
      <c r="AJ7042"/>
      <c r="AK7042"/>
      <c r="AL7042"/>
      <c r="AM7042"/>
    </row>
    <row r="7043" spans="1:39" s="47" customFormat="1">
      <c r="A7043" s="121"/>
      <c r="B7043" s="121"/>
      <c r="C7043" s="121"/>
      <c r="D7043" s="121"/>
      <c r="E7043" s="121"/>
      <c r="F7043" s="121"/>
      <c r="G7043" s="121"/>
      <c r="H7043" s="121"/>
      <c r="I7043" s="121"/>
      <c r="J7043" s="121"/>
      <c r="K7043" s="121"/>
      <c r="L7043" s="121"/>
      <c r="M7043" s="121"/>
      <c r="N7043" s="223" t="s">
        <v>170</v>
      </c>
      <c r="O7043" s="445" t="s">
        <v>171</v>
      </c>
      <c r="P7043" s="544"/>
      <c r="Q7043" s="321"/>
      <c r="R7043" s="260"/>
      <c r="S7043" s="260"/>
      <c r="T7043" s="260"/>
      <c r="U7043" s="260"/>
      <c r="V7043" s="260"/>
      <c r="W7043" s="261"/>
      <c r="X7043"/>
      <c r="Y7043"/>
      <c r="Z7043"/>
      <c r="AA7043"/>
      <c r="AB7043"/>
      <c r="AC7043"/>
      <c r="AD7043"/>
      <c r="AE7043"/>
      <c r="AF7043"/>
      <c r="AG7043"/>
      <c r="AH7043"/>
      <c r="AI7043"/>
      <c r="AJ7043"/>
      <c r="AK7043"/>
      <c r="AL7043"/>
      <c r="AM7043"/>
    </row>
    <row r="7044" spans="1:39" s="47" customFormat="1">
      <c r="A7044" s="121"/>
      <c r="B7044" s="121"/>
      <c r="C7044" s="121"/>
      <c r="D7044" s="121"/>
      <c r="E7044" s="121"/>
      <c r="F7044" s="121"/>
      <c r="G7044" s="121"/>
      <c r="H7044" s="121"/>
      <c r="I7044" s="121"/>
      <c r="J7044" s="121"/>
      <c r="K7044" s="121"/>
      <c r="L7044" s="121"/>
      <c r="M7044" s="121"/>
      <c r="N7044" s="223" t="s">
        <v>172</v>
      </c>
      <c r="O7044" s="445" t="s">
        <v>173</v>
      </c>
      <c r="P7044" s="544"/>
      <c r="Q7044" s="321"/>
      <c r="R7044" s="260"/>
      <c r="S7044" s="260"/>
      <c r="T7044" s="260"/>
      <c r="U7044" s="260"/>
      <c r="V7044" s="260"/>
      <c r="W7044" s="261"/>
      <c r="X7044"/>
      <c r="Y7044"/>
      <c r="Z7044"/>
      <c r="AA7044"/>
      <c r="AB7044"/>
      <c r="AC7044"/>
      <c r="AD7044"/>
      <c r="AE7044"/>
      <c r="AF7044"/>
      <c r="AG7044"/>
      <c r="AH7044"/>
      <c r="AI7044"/>
      <c r="AJ7044"/>
      <c r="AK7044"/>
      <c r="AL7044"/>
      <c r="AM7044"/>
    </row>
    <row r="7045" spans="1:39" s="47" customFormat="1">
      <c r="A7045" s="121"/>
      <c r="B7045" s="121"/>
      <c r="C7045" s="121"/>
      <c r="D7045" s="121"/>
      <c r="E7045" s="121"/>
      <c r="F7045" s="121"/>
      <c r="G7045" s="121"/>
      <c r="H7045" s="121"/>
      <c r="I7045" s="121"/>
      <c r="J7045" s="121"/>
      <c r="K7045" s="121"/>
      <c r="L7045" s="121"/>
      <c r="M7045" s="121"/>
      <c r="N7045" s="223" t="s">
        <v>174</v>
      </c>
      <c r="O7045" s="445" t="s">
        <v>175</v>
      </c>
      <c r="P7045" s="544"/>
      <c r="Q7045" s="321"/>
      <c r="R7045" s="260"/>
      <c r="S7045" s="260"/>
      <c r="T7045" s="260"/>
      <c r="U7045" s="260"/>
      <c r="V7045" s="260"/>
      <c r="W7045" s="261"/>
      <c r="X7045"/>
      <c r="Y7045"/>
      <c r="Z7045"/>
      <c r="AA7045"/>
      <c r="AB7045"/>
      <c r="AC7045"/>
      <c r="AD7045"/>
      <c r="AE7045"/>
      <c r="AF7045"/>
      <c r="AG7045"/>
      <c r="AH7045"/>
      <c r="AI7045"/>
      <c r="AJ7045"/>
      <c r="AK7045"/>
      <c r="AL7045"/>
      <c r="AM7045"/>
    </row>
    <row r="7046" spans="1:39" s="47" customFormat="1">
      <c r="A7046" s="121"/>
      <c r="B7046" s="121"/>
      <c r="C7046" s="121"/>
      <c r="D7046" s="121"/>
      <c r="E7046" s="121"/>
      <c r="F7046" s="121"/>
      <c r="G7046" s="121"/>
      <c r="H7046" s="121"/>
      <c r="I7046" s="121"/>
      <c r="J7046" s="121"/>
      <c r="K7046" s="121"/>
      <c r="L7046" s="121"/>
      <c r="M7046" s="121"/>
      <c r="N7046" s="223" t="s">
        <v>176</v>
      </c>
      <c r="O7046" s="445" t="s">
        <v>177</v>
      </c>
      <c r="P7046" s="544"/>
      <c r="Q7046" s="321"/>
      <c r="R7046" s="260"/>
      <c r="S7046" s="260"/>
      <c r="T7046" s="260"/>
      <c r="U7046" s="260"/>
      <c r="V7046" s="260"/>
      <c r="W7046" s="261"/>
      <c r="X7046"/>
      <c r="Y7046"/>
      <c r="Z7046"/>
      <c r="AA7046"/>
      <c r="AB7046"/>
      <c r="AC7046"/>
      <c r="AD7046"/>
      <c r="AE7046"/>
      <c r="AF7046"/>
      <c r="AG7046"/>
      <c r="AH7046"/>
      <c r="AI7046"/>
      <c r="AJ7046"/>
      <c r="AK7046"/>
      <c r="AL7046"/>
      <c r="AM7046"/>
    </row>
    <row r="7047" spans="1:39" s="47" customFormat="1" ht="22.5">
      <c r="A7047" s="121"/>
      <c r="B7047" s="121"/>
      <c r="C7047" s="121"/>
      <c r="D7047" s="121"/>
      <c r="E7047" s="121"/>
      <c r="F7047" s="121"/>
      <c r="G7047" s="121"/>
      <c r="H7047" s="121"/>
      <c r="I7047" s="121"/>
      <c r="J7047" s="121"/>
      <c r="K7047" s="121"/>
      <c r="L7047" s="121"/>
      <c r="M7047" s="121"/>
      <c r="N7047" s="223" t="s">
        <v>178</v>
      </c>
      <c r="O7047" s="446" t="s">
        <v>2365</v>
      </c>
      <c r="P7047" s="544"/>
      <c r="Q7047" s="321"/>
      <c r="R7047" s="260"/>
      <c r="S7047" s="260"/>
      <c r="T7047" s="260"/>
      <c r="U7047" s="260"/>
      <c r="V7047" s="260"/>
      <c r="W7047" s="261"/>
      <c r="X7047"/>
      <c r="Y7047"/>
      <c r="Z7047"/>
      <c r="AA7047"/>
      <c r="AB7047"/>
      <c r="AC7047"/>
      <c r="AD7047"/>
      <c r="AE7047"/>
      <c r="AF7047"/>
      <c r="AG7047"/>
      <c r="AH7047"/>
      <c r="AI7047"/>
      <c r="AJ7047"/>
      <c r="AK7047"/>
      <c r="AL7047"/>
      <c r="AM7047"/>
    </row>
    <row r="7048" spans="1:39" s="47" customFormat="1">
      <c r="A7048" s="121"/>
      <c r="B7048" s="121"/>
      <c r="C7048" s="121"/>
      <c r="D7048" s="121"/>
      <c r="E7048" s="121"/>
      <c r="F7048" s="121"/>
      <c r="G7048" s="121"/>
      <c r="H7048" s="121"/>
      <c r="I7048" s="121"/>
      <c r="J7048" s="121"/>
      <c r="K7048" s="121"/>
      <c r="L7048" s="121"/>
      <c r="M7048" s="121"/>
      <c r="N7048" s="223" t="s">
        <v>2325</v>
      </c>
      <c r="O7048" s="445" t="s">
        <v>179</v>
      </c>
      <c r="P7048" s="544"/>
      <c r="Q7048" s="321"/>
      <c r="R7048" s="260"/>
      <c r="S7048" s="260"/>
      <c r="T7048" s="260"/>
      <c r="U7048" s="260"/>
      <c r="V7048" s="260"/>
      <c r="W7048" s="261"/>
      <c r="X7048"/>
      <c r="Y7048"/>
      <c r="Z7048"/>
      <c r="AA7048"/>
      <c r="AB7048"/>
      <c r="AC7048"/>
      <c r="AD7048"/>
      <c r="AE7048"/>
      <c r="AF7048"/>
      <c r="AG7048"/>
      <c r="AH7048"/>
      <c r="AI7048"/>
      <c r="AJ7048"/>
      <c r="AK7048"/>
      <c r="AL7048"/>
      <c r="AM7048"/>
    </row>
    <row r="7049" spans="1:39" s="47" customFormat="1">
      <c r="A7049" s="121"/>
      <c r="B7049" s="121"/>
      <c r="C7049" s="121"/>
      <c r="D7049" s="121"/>
      <c r="E7049" s="121"/>
      <c r="F7049" s="121"/>
      <c r="G7049" s="121"/>
      <c r="H7049" s="121"/>
      <c r="I7049" s="121"/>
      <c r="J7049" s="121"/>
      <c r="K7049" s="121"/>
      <c r="L7049" s="121"/>
      <c r="M7049" s="121"/>
      <c r="N7049" s="223" t="s">
        <v>2326</v>
      </c>
      <c r="O7049" s="445" t="s">
        <v>180</v>
      </c>
      <c r="P7049" s="544"/>
      <c r="Q7049" s="321"/>
      <c r="R7049" s="260"/>
      <c r="S7049" s="260"/>
      <c r="T7049" s="260"/>
      <c r="U7049" s="260"/>
      <c r="V7049" s="260"/>
      <c r="W7049" s="261"/>
      <c r="X7049"/>
      <c r="Y7049"/>
      <c r="Z7049"/>
      <c r="AA7049"/>
      <c r="AB7049"/>
      <c r="AC7049"/>
      <c r="AD7049"/>
      <c r="AE7049"/>
      <c r="AF7049"/>
      <c r="AG7049"/>
      <c r="AH7049"/>
      <c r="AI7049"/>
      <c r="AJ7049"/>
      <c r="AK7049"/>
      <c r="AL7049"/>
      <c r="AM7049"/>
    </row>
    <row r="7050" spans="1:39" s="47" customFormat="1">
      <c r="A7050" s="121"/>
      <c r="B7050" s="121"/>
      <c r="C7050" s="121"/>
      <c r="D7050" s="121"/>
      <c r="E7050" s="121"/>
      <c r="F7050" s="121"/>
      <c r="G7050" s="121"/>
      <c r="H7050" s="121"/>
      <c r="I7050" s="121"/>
      <c r="J7050" s="121"/>
      <c r="K7050" s="121"/>
      <c r="L7050" s="121"/>
      <c r="M7050" s="121"/>
      <c r="N7050" s="223" t="s">
        <v>752</v>
      </c>
      <c r="O7050" s="284" t="s">
        <v>856</v>
      </c>
      <c r="P7050" s="544"/>
      <c r="Q7050" s="321"/>
      <c r="R7050" s="260"/>
      <c r="S7050" s="260"/>
      <c r="T7050" s="260"/>
      <c r="U7050" s="260"/>
      <c r="V7050" s="260"/>
      <c r="W7050" s="544">
        <f>W7051+W7052+W7053+W7054+W7055</f>
        <v>0</v>
      </c>
      <c r="X7050"/>
      <c r="Y7050"/>
      <c r="Z7050"/>
      <c r="AA7050"/>
      <c r="AB7050"/>
      <c r="AC7050"/>
      <c r="AD7050"/>
      <c r="AE7050"/>
      <c r="AF7050"/>
      <c r="AG7050"/>
      <c r="AH7050"/>
      <c r="AI7050"/>
      <c r="AJ7050"/>
      <c r="AK7050"/>
      <c r="AL7050"/>
      <c r="AM7050"/>
    </row>
    <row r="7051" spans="1:39" s="47" customFormat="1">
      <c r="A7051" s="121"/>
      <c r="B7051" s="121"/>
      <c r="C7051" s="121"/>
      <c r="D7051" s="121"/>
      <c r="E7051" s="121"/>
      <c r="F7051" s="121"/>
      <c r="G7051" s="121"/>
      <c r="H7051" s="121"/>
      <c r="I7051" s="121"/>
      <c r="J7051" s="121"/>
      <c r="K7051" s="121"/>
      <c r="L7051" s="121"/>
      <c r="M7051" s="121"/>
      <c r="N7051" s="223" t="s">
        <v>760</v>
      </c>
      <c r="O7051" s="445" t="s">
        <v>859</v>
      </c>
      <c r="P7051" s="544"/>
      <c r="Q7051" s="321"/>
      <c r="R7051" s="260"/>
      <c r="S7051" s="260"/>
      <c r="T7051" s="260"/>
      <c r="U7051" s="260"/>
      <c r="V7051" s="260"/>
      <c r="W7051" s="261"/>
      <c r="X7051"/>
      <c r="Y7051"/>
      <c r="Z7051"/>
      <c r="AA7051"/>
      <c r="AB7051"/>
      <c r="AC7051"/>
      <c r="AD7051"/>
      <c r="AE7051"/>
      <c r="AF7051"/>
      <c r="AG7051"/>
      <c r="AH7051"/>
      <c r="AI7051"/>
      <c r="AJ7051"/>
      <c r="AK7051"/>
      <c r="AL7051"/>
      <c r="AM7051"/>
    </row>
    <row r="7052" spans="1:39" s="47" customFormat="1">
      <c r="A7052" s="121"/>
      <c r="B7052" s="121"/>
      <c r="C7052" s="121"/>
      <c r="D7052" s="121"/>
      <c r="E7052" s="121"/>
      <c r="F7052" s="121"/>
      <c r="G7052" s="121"/>
      <c r="H7052" s="121"/>
      <c r="I7052" s="121"/>
      <c r="J7052" s="121"/>
      <c r="K7052" s="121"/>
      <c r="L7052" s="121"/>
      <c r="M7052" s="121"/>
      <c r="N7052" s="223" t="s">
        <v>761</v>
      </c>
      <c r="O7052" s="445" t="s">
        <v>862</v>
      </c>
      <c r="P7052" s="544"/>
      <c r="Q7052" s="321"/>
      <c r="R7052" s="260"/>
      <c r="S7052" s="260"/>
      <c r="T7052" s="260"/>
      <c r="U7052" s="260"/>
      <c r="V7052" s="260"/>
      <c r="W7052" s="261"/>
      <c r="X7052"/>
      <c r="Y7052"/>
      <c r="Z7052"/>
      <c r="AA7052"/>
      <c r="AB7052"/>
      <c r="AC7052"/>
      <c r="AD7052"/>
      <c r="AE7052"/>
      <c r="AF7052"/>
      <c r="AG7052"/>
      <c r="AH7052"/>
      <c r="AI7052"/>
      <c r="AJ7052"/>
      <c r="AK7052"/>
      <c r="AL7052"/>
      <c r="AM7052"/>
    </row>
    <row r="7053" spans="1:39" s="47" customFormat="1">
      <c r="A7053" s="121"/>
      <c r="B7053" s="121"/>
      <c r="C7053" s="121"/>
      <c r="D7053" s="121"/>
      <c r="E7053" s="121"/>
      <c r="F7053" s="121"/>
      <c r="G7053" s="121"/>
      <c r="H7053" s="121"/>
      <c r="I7053" s="121"/>
      <c r="J7053" s="121"/>
      <c r="K7053" s="121"/>
      <c r="L7053" s="121"/>
      <c r="M7053" s="121"/>
      <c r="N7053" s="223" t="s">
        <v>762</v>
      </c>
      <c r="O7053" s="445" t="s">
        <v>864</v>
      </c>
      <c r="P7053" s="544"/>
      <c r="Q7053" s="321"/>
      <c r="R7053" s="260"/>
      <c r="S7053" s="260"/>
      <c r="T7053" s="260"/>
      <c r="U7053" s="260"/>
      <c r="V7053" s="260"/>
      <c r="W7053" s="261"/>
      <c r="X7053"/>
      <c r="Y7053"/>
      <c r="Z7053"/>
      <c r="AA7053"/>
      <c r="AB7053"/>
      <c r="AC7053"/>
      <c r="AD7053"/>
      <c r="AE7053"/>
      <c r="AF7053"/>
      <c r="AG7053"/>
      <c r="AH7053"/>
      <c r="AI7053"/>
      <c r="AJ7053"/>
      <c r="AK7053"/>
      <c r="AL7053"/>
      <c r="AM7053"/>
    </row>
    <row r="7054" spans="1:39" s="47" customFormat="1">
      <c r="A7054" s="121"/>
      <c r="B7054" s="121"/>
      <c r="C7054" s="121"/>
      <c r="D7054" s="121"/>
      <c r="E7054" s="121"/>
      <c r="F7054" s="121"/>
      <c r="G7054" s="121"/>
      <c r="H7054" s="121"/>
      <c r="I7054" s="121"/>
      <c r="J7054" s="121"/>
      <c r="K7054" s="121"/>
      <c r="L7054" s="121"/>
      <c r="M7054" s="121"/>
      <c r="N7054" s="223" t="s">
        <v>763</v>
      </c>
      <c r="O7054" s="445" t="s">
        <v>866</v>
      </c>
      <c r="P7054" s="544"/>
      <c r="Q7054" s="321"/>
      <c r="R7054" s="260"/>
      <c r="S7054" s="260"/>
      <c r="T7054" s="260"/>
      <c r="U7054" s="260"/>
      <c r="V7054" s="260"/>
      <c r="W7054" s="261"/>
      <c r="X7054"/>
      <c r="Y7054"/>
      <c r="Z7054"/>
      <c r="AA7054"/>
      <c r="AB7054"/>
      <c r="AC7054"/>
      <c r="AD7054"/>
      <c r="AE7054"/>
      <c r="AF7054"/>
      <c r="AG7054"/>
      <c r="AH7054"/>
      <c r="AI7054"/>
      <c r="AJ7054"/>
      <c r="AK7054"/>
      <c r="AL7054"/>
      <c r="AM7054"/>
    </row>
    <row r="7055" spans="1:39" s="47" customFormat="1">
      <c r="A7055" s="121"/>
      <c r="B7055" s="121"/>
      <c r="C7055" s="121"/>
      <c r="D7055" s="121"/>
      <c r="E7055" s="121"/>
      <c r="F7055" s="121"/>
      <c r="G7055" s="121"/>
      <c r="H7055" s="121"/>
      <c r="I7055" s="121"/>
      <c r="J7055" s="121"/>
      <c r="K7055" s="121"/>
      <c r="L7055" s="121"/>
      <c r="M7055" s="121"/>
      <c r="N7055" s="223" t="s">
        <v>764</v>
      </c>
      <c r="O7055" s="445" t="s">
        <v>181</v>
      </c>
      <c r="P7055" s="544"/>
      <c r="Q7055" s="321"/>
      <c r="R7055" s="260"/>
      <c r="S7055" s="260"/>
      <c r="T7055" s="260"/>
      <c r="U7055" s="260"/>
      <c r="V7055" s="260"/>
      <c r="W7055" s="261"/>
      <c r="X7055"/>
      <c r="Y7055"/>
      <c r="Z7055"/>
      <c r="AA7055"/>
      <c r="AB7055"/>
      <c r="AC7055"/>
      <c r="AD7055"/>
      <c r="AE7055"/>
      <c r="AF7055"/>
      <c r="AG7055"/>
      <c r="AH7055"/>
      <c r="AI7055"/>
      <c r="AJ7055"/>
      <c r="AK7055"/>
      <c r="AL7055"/>
      <c r="AM7055"/>
    </row>
    <row r="7056" spans="1:39" s="47" customFormat="1">
      <c r="A7056" s="121"/>
      <c r="B7056" s="121"/>
      <c r="C7056" s="121"/>
      <c r="D7056" s="121"/>
      <c r="E7056" s="121"/>
      <c r="F7056" s="121"/>
      <c r="G7056" s="121"/>
      <c r="H7056" s="121"/>
      <c r="I7056" s="121"/>
      <c r="J7056" s="121"/>
      <c r="K7056" s="121"/>
      <c r="L7056" s="121"/>
      <c r="M7056" s="121"/>
      <c r="N7056" s="223" t="s">
        <v>2371</v>
      </c>
      <c r="O7056" s="446" t="s">
        <v>182</v>
      </c>
      <c r="P7056" s="544"/>
      <c r="Q7056" s="321"/>
      <c r="R7056" s="260"/>
      <c r="S7056" s="260"/>
      <c r="T7056" s="260"/>
      <c r="U7056" s="260"/>
      <c r="V7056" s="260"/>
      <c r="W7056" s="544">
        <f>SUM(W7057:W7058)</f>
        <v>0</v>
      </c>
      <c r="X7056"/>
      <c r="Y7056"/>
      <c r="Z7056"/>
      <c r="AA7056"/>
      <c r="AB7056"/>
      <c r="AC7056"/>
      <c r="AD7056"/>
      <c r="AE7056"/>
      <c r="AF7056"/>
      <c r="AG7056"/>
      <c r="AH7056"/>
      <c r="AI7056"/>
      <c r="AJ7056"/>
      <c r="AK7056"/>
      <c r="AL7056"/>
      <c r="AM7056"/>
    </row>
    <row r="7057" spans="1:39" s="47" customFormat="1">
      <c r="A7057" s="121"/>
      <c r="B7057" s="121"/>
      <c r="C7057" s="121"/>
      <c r="D7057" s="121"/>
      <c r="E7057" s="121"/>
      <c r="F7057" s="121"/>
      <c r="G7057" s="121"/>
      <c r="H7057" s="121"/>
      <c r="I7057" s="121"/>
      <c r="J7057" s="121"/>
      <c r="K7057" s="121"/>
      <c r="L7057" s="121"/>
      <c r="M7057" s="121"/>
      <c r="N7057" s="223" t="s">
        <v>2373</v>
      </c>
      <c r="O7057" s="525" t="s">
        <v>183</v>
      </c>
      <c r="P7057" s="544"/>
      <c r="Q7057" s="321"/>
      <c r="R7057" s="260"/>
      <c r="S7057" s="260"/>
      <c r="T7057" s="260"/>
      <c r="U7057" s="260"/>
      <c r="V7057" s="260"/>
      <c r="W7057" s="261"/>
      <c r="X7057"/>
      <c r="Y7057"/>
      <c r="Z7057"/>
      <c r="AA7057"/>
      <c r="AB7057"/>
      <c r="AC7057"/>
      <c r="AD7057"/>
      <c r="AE7057"/>
      <c r="AF7057"/>
      <c r="AG7057"/>
      <c r="AH7057"/>
      <c r="AI7057"/>
      <c r="AJ7057"/>
      <c r="AK7057"/>
      <c r="AL7057"/>
      <c r="AM7057"/>
    </row>
    <row r="7058" spans="1:39" s="47" customFormat="1">
      <c r="A7058" s="121"/>
      <c r="B7058" s="121"/>
      <c r="C7058" s="121"/>
      <c r="D7058" s="121"/>
      <c r="E7058" s="121"/>
      <c r="F7058" s="121"/>
      <c r="G7058" s="121"/>
      <c r="H7058" s="121"/>
      <c r="I7058" s="121"/>
      <c r="J7058" s="121"/>
      <c r="K7058" s="121"/>
      <c r="L7058" s="121"/>
      <c r="M7058" s="121"/>
      <c r="N7058" s="223" t="s">
        <v>184</v>
      </c>
      <c r="O7058" s="525" t="s">
        <v>2809</v>
      </c>
      <c r="P7058" s="544"/>
      <c r="Q7058" s="321"/>
      <c r="R7058" s="260"/>
      <c r="S7058" s="260"/>
      <c r="T7058" s="260"/>
      <c r="U7058" s="260"/>
      <c r="V7058" s="260"/>
      <c r="W7058" s="261"/>
      <c r="X7058"/>
      <c r="Y7058"/>
      <c r="Z7058"/>
      <c r="AA7058"/>
      <c r="AB7058"/>
      <c r="AC7058"/>
      <c r="AD7058"/>
      <c r="AE7058"/>
      <c r="AF7058"/>
      <c r="AG7058"/>
      <c r="AH7058"/>
      <c r="AI7058"/>
      <c r="AJ7058"/>
      <c r="AK7058"/>
      <c r="AL7058"/>
      <c r="AM7058"/>
    </row>
    <row r="7059" spans="1:39" s="47" customFormat="1">
      <c r="A7059" s="121"/>
      <c r="B7059" s="121"/>
      <c r="C7059" s="121"/>
      <c r="D7059" s="121"/>
      <c r="E7059" s="121"/>
      <c r="F7059" s="121"/>
      <c r="G7059" s="121"/>
      <c r="H7059" s="121"/>
      <c r="I7059" s="121"/>
      <c r="J7059" s="121"/>
      <c r="K7059" s="121"/>
      <c r="L7059" s="121"/>
      <c r="M7059" s="121"/>
      <c r="N7059" s="223" t="s">
        <v>753</v>
      </c>
      <c r="O7059" s="573" t="s">
        <v>185</v>
      </c>
      <c r="P7059" s="544"/>
      <c r="Q7059" s="321"/>
      <c r="R7059" s="260"/>
      <c r="S7059" s="260"/>
      <c r="T7059" s="260"/>
      <c r="U7059" s="260"/>
      <c r="V7059" s="260"/>
      <c r="W7059" s="261"/>
      <c r="X7059"/>
      <c r="Y7059"/>
      <c r="Z7059"/>
      <c r="AA7059"/>
      <c r="AB7059"/>
      <c r="AC7059"/>
      <c r="AD7059"/>
      <c r="AE7059"/>
      <c r="AF7059"/>
      <c r="AG7059"/>
      <c r="AH7059"/>
      <c r="AI7059"/>
      <c r="AJ7059"/>
      <c r="AK7059"/>
      <c r="AL7059"/>
      <c r="AM7059"/>
    </row>
    <row r="7060" spans="1:39" s="47" customFormat="1">
      <c r="A7060" s="121"/>
      <c r="B7060" s="121"/>
      <c r="C7060" s="121"/>
      <c r="D7060" s="121"/>
      <c r="E7060" s="121"/>
      <c r="F7060" s="121"/>
      <c r="G7060" s="121"/>
      <c r="H7060" s="121"/>
      <c r="I7060" s="121"/>
      <c r="J7060" s="121"/>
      <c r="K7060" s="121"/>
      <c r="L7060" s="121"/>
      <c r="M7060" s="121"/>
      <c r="N7060" s="223" t="s">
        <v>769</v>
      </c>
      <c r="O7060" s="284" t="s">
        <v>186</v>
      </c>
      <c r="P7060" s="544"/>
      <c r="Q7060" s="321"/>
      <c r="R7060" s="260"/>
      <c r="S7060" s="260"/>
      <c r="T7060" s="260"/>
      <c r="U7060" s="260"/>
      <c r="V7060" s="260"/>
      <c r="W7060" s="261"/>
      <c r="X7060"/>
      <c r="Y7060"/>
      <c r="Z7060"/>
      <c r="AA7060"/>
      <c r="AB7060"/>
      <c r="AC7060"/>
      <c r="AD7060"/>
      <c r="AE7060"/>
      <c r="AF7060"/>
      <c r="AG7060"/>
      <c r="AH7060"/>
      <c r="AI7060"/>
      <c r="AJ7060"/>
      <c r="AK7060"/>
      <c r="AL7060"/>
      <c r="AM7060"/>
    </row>
    <row r="7061" spans="1:39" s="47" customFormat="1">
      <c r="A7061" s="121"/>
      <c r="B7061" s="121"/>
      <c r="C7061" s="121"/>
      <c r="D7061" s="121"/>
      <c r="E7061" s="121"/>
      <c r="F7061" s="121"/>
      <c r="G7061" s="121"/>
      <c r="H7061" s="121"/>
      <c r="I7061" s="121"/>
      <c r="J7061" s="121"/>
      <c r="K7061" s="121"/>
      <c r="L7061" s="121"/>
      <c r="M7061" s="121"/>
      <c r="N7061" s="223" t="s">
        <v>3072</v>
      </c>
      <c r="O7061" s="284" t="s">
        <v>187</v>
      </c>
      <c r="P7061" s="544"/>
      <c r="Q7061" s="321"/>
      <c r="R7061" s="260"/>
      <c r="S7061" s="260"/>
      <c r="T7061" s="260"/>
      <c r="U7061" s="260"/>
      <c r="V7061" s="260"/>
      <c r="W7061" s="544">
        <f>W7012+W7050+W7059-W7060</f>
        <v>0</v>
      </c>
      <c r="X7061"/>
      <c r="Y7061"/>
      <c r="Z7061"/>
      <c r="AA7061"/>
      <c r="AB7061"/>
      <c r="AC7061"/>
      <c r="AD7061"/>
      <c r="AE7061"/>
      <c r="AF7061"/>
      <c r="AG7061"/>
      <c r="AH7061"/>
      <c r="AI7061"/>
      <c r="AJ7061"/>
      <c r="AK7061"/>
      <c r="AL7061"/>
      <c r="AM7061"/>
    </row>
    <row r="7062" spans="1:39" s="47" customFormat="1">
      <c r="A7062" s="121"/>
      <c r="B7062" s="121"/>
      <c r="C7062" s="121"/>
      <c r="D7062" s="121"/>
      <c r="E7062" s="121"/>
      <c r="F7062" s="121"/>
      <c r="G7062" s="121"/>
      <c r="H7062" s="121"/>
      <c r="I7062" s="121"/>
      <c r="J7062" s="121"/>
      <c r="K7062" s="121"/>
      <c r="L7062" s="121"/>
      <c r="M7062" s="121"/>
      <c r="N7062" s="223" t="s">
        <v>75</v>
      </c>
      <c r="O7062" s="445" t="s">
        <v>188</v>
      </c>
      <c r="P7062" s="544"/>
      <c r="Q7062" s="321"/>
      <c r="R7062" s="260"/>
      <c r="S7062" s="260"/>
      <c r="T7062" s="260"/>
      <c r="U7062" s="260"/>
      <c r="V7062" s="260"/>
      <c r="W7062" s="257">
        <f>IF(W7007="нет",W7061,W7061*1.18)</f>
        <v>0</v>
      </c>
      <c r="X7062"/>
      <c r="Y7062"/>
      <c r="Z7062"/>
      <c r="AA7062"/>
      <c r="AB7062"/>
      <c r="AC7062"/>
      <c r="AD7062"/>
      <c r="AE7062"/>
      <c r="AF7062"/>
      <c r="AG7062"/>
      <c r="AH7062"/>
      <c r="AI7062"/>
      <c r="AJ7062"/>
      <c r="AK7062"/>
      <c r="AL7062"/>
      <c r="AM7062"/>
    </row>
    <row r="7063" spans="1:39" s="47" customFormat="1">
      <c r="A7063" s="121"/>
      <c r="B7063" s="121"/>
      <c r="C7063" s="121"/>
      <c r="D7063" s="121"/>
      <c r="E7063" s="121"/>
      <c r="F7063" s="121"/>
      <c r="G7063" s="121"/>
      <c r="H7063" s="121"/>
      <c r="I7063" s="121"/>
      <c r="J7063" s="121"/>
      <c r="K7063" s="121"/>
      <c r="L7063" s="121"/>
      <c r="M7063" s="121"/>
      <c r="N7063" s="223" t="s">
        <v>62</v>
      </c>
      <c r="O7063" s="445" t="s">
        <v>189</v>
      </c>
      <c r="P7063" s="544"/>
      <c r="Q7063" s="321"/>
      <c r="R7063" s="260"/>
      <c r="S7063" s="260"/>
      <c r="T7063" s="260"/>
      <c r="U7063" s="260"/>
      <c r="V7063" s="260"/>
      <c r="W7063" s="261"/>
      <c r="X7063"/>
      <c r="Y7063"/>
      <c r="Z7063"/>
      <c r="AA7063"/>
      <c r="AB7063"/>
      <c r="AC7063"/>
      <c r="AD7063"/>
      <c r="AE7063"/>
      <c r="AF7063"/>
      <c r="AG7063"/>
      <c r="AH7063"/>
      <c r="AI7063"/>
      <c r="AJ7063"/>
      <c r="AK7063"/>
      <c r="AL7063"/>
      <c r="AM7063"/>
    </row>
    <row r="7064" spans="1:39" s="47" customFormat="1">
      <c r="A7064" s="121"/>
      <c r="B7064" s="121"/>
      <c r="C7064" s="121"/>
      <c r="D7064" s="121"/>
      <c r="E7064" s="121"/>
      <c r="F7064" s="121"/>
      <c r="G7064" s="121"/>
      <c r="H7064" s="121"/>
      <c r="I7064" s="121"/>
      <c r="J7064" s="121"/>
      <c r="K7064" s="121"/>
      <c r="L7064" s="121"/>
      <c r="M7064" s="121"/>
      <c r="N7064" s="223" t="s">
        <v>68</v>
      </c>
      <c r="O7064" s="445" t="s">
        <v>190</v>
      </c>
      <c r="P7064" s="544"/>
      <c r="Q7064" s="321"/>
      <c r="R7064" s="260"/>
      <c r="S7064" s="260"/>
      <c r="T7064" s="260"/>
      <c r="U7064" s="260"/>
      <c r="V7064" s="260"/>
      <c r="W7064" s="257">
        <f>IF(W7007="нет",W7063,W7063*1.18)</f>
        <v>0</v>
      </c>
      <c r="X7064"/>
      <c r="Y7064"/>
      <c r="Z7064"/>
      <c r="AA7064"/>
      <c r="AB7064"/>
      <c r="AC7064"/>
      <c r="AD7064"/>
      <c r="AE7064"/>
      <c r="AF7064"/>
      <c r="AG7064"/>
      <c r="AH7064"/>
      <c r="AI7064"/>
      <c r="AJ7064"/>
      <c r="AK7064"/>
      <c r="AL7064"/>
      <c r="AM7064"/>
    </row>
    <row r="7065" spans="1:39" s="47" customFormat="1">
      <c r="A7065" s="121"/>
      <c r="B7065" s="121"/>
      <c r="C7065" s="121"/>
      <c r="D7065" s="121"/>
      <c r="E7065" s="121"/>
      <c r="F7065" s="121"/>
      <c r="G7065" s="121"/>
      <c r="H7065" s="121"/>
      <c r="I7065" s="121"/>
      <c r="J7065" s="121"/>
      <c r="K7065" s="121"/>
      <c r="L7065" s="121"/>
      <c r="M7065" s="121"/>
      <c r="N7065" s="223" t="s">
        <v>1848</v>
      </c>
      <c r="O7065" s="445" t="s">
        <v>191</v>
      </c>
      <c r="P7065" s="544"/>
      <c r="Q7065" s="321"/>
      <c r="R7065" s="260"/>
      <c r="S7065" s="260"/>
      <c r="T7065" s="260"/>
      <c r="U7065" s="260"/>
      <c r="V7065" s="260"/>
      <c r="W7065" s="554">
        <f>W7062+W7064</f>
        <v>0</v>
      </c>
      <c r="X7065"/>
      <c r="Y7065"/>
      <c r="Z7065"/>
      <c r="AA7065"/>
      <c r="AB7065"/>
      <c r="AC7065"/>
      <c r="AD7065"/>
      <c r="AE7065"/>
      <c r="AF7065"/>
      <c r="AG7065"/>
      <c r="AH7065"/>
      <c r="AI7065"/>
      <c r="AJ7065"/>
      <c r="AK7065"/>
      <c r="AL7065"/>
      <c r="AM7065"/>
    </row>
    <row r="7066" spans="1:39" s="47" customFormat="1" ht="33.75">
      <c r="A7066" s="121"/>
      <c r="B7066" s="121"/>
      <c r="C7066" s="121"/>
      <c r="D7066" s="121"/>
      <c r="E7066" s="121"/>
      <c r="F7066" s="121"/>
      <c r="G7066" s="121"/>
      <c r="H7066" s="121"/>
      <c r="I7066" s="121"/>
      <c r="J7066" s="121"/>
      <c r="K7066" s="121"/>
      <c r="L7066" s="121"/>
      <c r="M7066" s="121"/>
      <c r="N7066" s="223" t="s">
        <v>2412</v>
      </c>
      <c r="O7066" s="284" t="s">
        <v>192</v>
      </c>
      <c r="P7066" s="544"/>
      <c r="Q7066" s="321"/>
      <c r="R7066" s="260"/>
      <c r="S7066" s="260"/>
      <c r="T7066" s="260"/>
      <c r="U7066" s="260"/>
      <c r="V7066" s="260"/>
      <c r="W7066" s="544">
        <f>SUM(W7067:W7071)</f>
        <v>0</v>
      </c>
      <c r="X7066"/>
      <c r="Y7066"/>
      <c r="Z7066"/>
      <c r="AA7066"/>
      <c r="AB7066"/>
      <c r="AC7066"/>
      <c r="AD7066"/>
      <c r="AE7066"/>
      <c r="AF7066"/>
      <c r="AG7066"/>
      <c r="AH7066"/>
      <c r="AI7066"/>
      <c r="AJ7066"/>
      <c r="AK7066"/>
      <c r="AL7066"/>
      <c r="AM7066"/>
    </row>
    <row r="7067" spans="1:39" s="47" customFormat="1">
      <c r="A7067" s="121"/>
      <c r="B7067" s="121"/>
      <c r="C7067" s="121"/>
      <c r="D7067" s="121"/>
      <c r="E7067" s="121"/>
      <c r="F7067" s="121"/>
      <c r="G7067" s="121"/>
      <c r="H7067" s="121"/>
      <c r="I7067" s="121"/>
      <c r="J7067" s="121"/>
      <c r="K7067" s="121"/>
      <c r="L7067" s="121"/>
      <c r="M7067" s="121"/>
      <c r="N7067" s="223" t="s">
        <v>2414</v>
      </c>
      <c r="O7067" s="445" t="s">
        <v>193</v>
      </c>
      <c r="P7067" s="544"/>
      <c r="Q7067" s="321"/>
      <c r="R7067" s="260"/>
      <c r="S7067" s="260"/>
      <c r="T7067" s="260"/>
      <c r="U7067" s="260"/>
      <c r="V7067" s="260"/>
      <c r="W7067" s="261"/>
      <c r="X7067"/>
      <c r="Y7067"/>
      <c r="Z7067"/>
      <c r="AA7067"/>
      <c r="AB7067"/>
      <c r="AC7067"/>
      <c r="AD7067"/>
      <c r="AE7067"/>
      <c r="AF7067"/>
      <c r="AG7067"/>
      <c r="AH7067"/>
      <c r="AI7067"/>
      <c r="AJ7067"/>
      <c r="AK7067"/>
      <c r="AL7067"/>
      <c r="AM7067"/>
    </row>
    <row r="7068" spans="1:39" s="47" customFormat="1">
      <c r="A7068" s="121"/>
      <c r="B7068" s="121"/>
      <c r="C7068" s="121"/>
      <c r="D7068" s="121"/>
      <c r="E7068" s="121"/>
      <c r="F7068" s="121"/>
      <c r="G7068" s="121"/>
      <c r="H7068" s="121"/>
      <c r="I7068" s="121"/>
      <c r="J7068" s="121"/>
      <c r="K7068" s="121"/>
      <c r="L7068" s="121"/>
      <c r="M7068" s="121"/>
      <c r="N7068" s="223" t="s">
        <v>2416</v>
      </c>
      <c r="O7068" s="445" t="s">
        <v>194</v>
      </c>
      <c r="P7068" s="544"/>
      <c r="Q7068" s="321"/>
      <c r="R7068" s="260"/>
      <c r="S7068" s="260"/>
      <c r="T7068" s="260"/>
      <c r="U7068" s="260"/>
      <c r="V7068" s="260"/>
      <c r="W7068" s="261"/>
      <c r="X7068"/>
      <c r="Y7068"/>
      <c r="Z7068"/>
      <c r="AA7068"/>
      <c r="AB7068"/>
      <c r="AC7068"/>
      <c r="AD7068"/>
      <c r="AE7068"/>
      <c r="AF7068"/>
      <c r="AG7068"/>
      <c r="AH7068"/>
      <c r="AI7068"/>
      <c r="AJ7068"/>
      <c r="AK7068"/>
      <c r="AL7068"/>
      <c r="AM7068"/>
    </row>
    <row r="7069" spans="1:39" s="47" customFormat="1">
      <c r="A7069" s="121"/>
      <c r="B7069" s="121"/>
      <c r="C7069" s="121"/>
      <c r="D7069" s="121"/>
      <c r="E7069" s="121"/>
      <c r="F7069" s="121"/>
      <c r="G7069" s="121"/>
      <c r="H7069" s="121"/>
      <c r="I7069" s="121"/>
      <c r="J7069" s="121"/>
      <c r="K7069" s="121"/>
      <c r="L7069" s="121"/>
      <c r="M7069" s="121"/>
      <c r="N7069" s="223" t="s">
        <v>2419</v>
      </c>
      <c r="O7069" s="445" t="s">
        <v>195</v>
      </c>
      <c r="P7069" s="544"/>
      <c r="Q7069" s="321"/>
      <c r="R7069" s="260"/>
      <c r="S7069" s="260"/>
      <c r="T7069" s="260"/>
      <c r="U7069" s="260"/>
      <c r="V7069" s="260"/>
      <c r="W7069" s="261"/>
      <c r="X7069"/>
      <c r="Y7069"/>
      <c r="Z7069"/>
      <c r="AA7069"/>
      <c r="AB7069"/>
      <c r="AC7069"/>
      <c r="AD7069"/>
      <c r="AE7069"/>
      <c r="AF7069"/>
      <c r="AG7069"/>
      <c r="AH7069"/>
      <c r="AI7069"/>
      <c r="AJ7069"/>
      <c r="AK7069"/>
      <c r="AL7069"/>
      <c r="AM7069"/>
    </row>
    <row r="7070" spans="1:39" s="47" customFormat="1">
      <c r="A7070" s="121"/>
      <c r="B7070" s="121"/>
      <c r="C7070" s="121"/>
      <c r="D7070" s="121"/>
      <c r="E7070" s="121"/>
      <c r="F7070" s="121"/>
      <c r="G7070" s="121"/>
      <c r="H7070" s="121"/>
      <c r="I7070" s="121"/>
      <c r="J7070" s="121"/>
      <c r="K7070" s="121"/>
      <c r="L7070" s="121"/>
      <c r="M7070" s="121"/>
      <c r="N7070" s="223" t="s">
        <v>2422</v>
      </c>
      <c r="O7070" s="445" t="s">
        <v>196</v>
      </c>
      <c r="P7070" s="544"/>
      <c r="Q7070" s="321"/>
      <c r="R7070" s="260"/>
      <c r="S7070" s="260"/>
      <c r="T7070" s="260"/>
      <c r="U7070" s="260"/>
      <c r="V7070" s="260"/>
      <c r="W7070" s="261"/>
      <c r="X7070"/>
      <c r="Y7070"/>
      <c r="Z7070"/>
      <c r="AA7070"/>
      <c r="AB7070"/>
      <c r="AC7070"/>
      <c r="AD7070"/>
      <c r="AE7070"/>
      <c r="AF7070"/>
      <c r="AG7070"/>
      <c r="AH7070"/>
      <c r="AI7070"/>
      <c r="AJ7070"/>
      <c r="AK7070"/>
      <c r="AL7070"/>
      <c r="AM7070"/>
    </row>
    <row r="7071" spans="1:39" s="47" customFormat="1">
      <c r="A7071" s="121"/>
      <c r="B7071" s="121"/>
      <c r="C7071" s="121"/>
      <c r="D7071" s="121"/>
      <c r="E7071" s="121"/>
      <c r="F7071" s="121"/>
      <c r="G7071" s="121"/>
      <c r="H7071" s="121"/>
      <c r="I7071" s="121"/>
      <c r="J7071" s="121"/>
      <c r="K7071" s="121"/>
      <c r="L7071" s="121"/>
      <c r="M7071" s="121"/>
      <c r="N7071" s="223" t="s">
        <v>2425</v>
      </c>
      <c r="O7071" s="445" t="s">
        <v>197</v>
      </c>
      <c r="P7071" s="544"/>
      <c r="Q7071" s="321"/>
      <c r="R7071" s="260"/>
      <c r="S7071" s="260"/>
      <c r="T7071" s="260"/>
      <c r="U7071" s="260"/>
      <c r="V7071" s="260"/>
      <c r="W7071" s="261"/>
      <c r="X7071"/>
      <c r="Y7071"/>
      <c r="Z7071"/>
      <c r="AA7071"/>
      <c r="AB7071"/>
      <c r="AC7071"/>
      <c r="AD7071"/>
      <c r="AE7071"/>
      <c r="AF7071"/>
      <c r="AG7071"/>
      <c r="AH7071"/>
      <c r="AI7071"/>
      <c r="AJ7071"/>
      <c r="AK7071"/>
      <c r="AL7071"/>
      <c r="AM7071"/>
    </row>
    <row r="7072" spans="1:39" s="47" customFormat="1" ht="12.75">
      <c r="A7072" s="121"/>
      <c r="B7072" s="121"/>
      <c r="C7072" s="121"/>
      <c r="D7072" s="121"/>
      <c r="E7072" s="121"/>
      <c r="F7072" s="121"/>
      <c r="G7072" s="121"/>
      <c r="H7072" s="121"/>
      <c r="I7072" s="121"/>
      <c r="J7072" s="121"/>
      <c r="K7072" s="121"/>
      <c r="L7072" s="121"/>
      <c r="M7072" s="121"/>
      <c r="N7072" s="223" t="s">
        <v>2427</v>
      </c>
      <c r="O7072" s="573" t="s">
        <v>341</v>
      </c>
      <c r="P7072" s="544"/>
      <c r="Q7072" s="321"/>
      <c r="R7072" s="260"/>
      <c r="S7072" s="260"/>
      <c r="T7072" s="260"/>
      <c r="U7072" s="260"/>
      <c r="V7072" s="260"/>
      <c r="W7072" s="261"/>
      <c r="X7072"/>
      <c r="Y7072"/>
      <c r="Z7072"/>
      <c r="AA7072"/>
      <c r="AB7072"/>
      <c r="AC7072"/>
      <c r="AD7072"/>
      <c r="AE7072"/>
      <c r="AF7072"/>
      <c r="AG7072"/>
      <c r="AH7072"/>
      <c r="AI7072"/>
      <c r="AJ7072"/>
      <c r="AK7072"/>
      <c r="AL7072"/>
      <c r="AM7072"/>
    </row>
    <row r="7073" spans="1:39" s="47" customFormat="1" ht="12.75">
      <c r="A7073" s="121"/>
      <c r="B7073" s="121"/>
      <c r="C7073" s="121"/>
      <c r="D7073" s="121"/>
      <c r="E7073" s="121"/>
      <c r="F7073" s="121"/>
      <c r="G7073" s="121"/>
      <c r="H7073" s="121"/>
      <c r="I7073" s="121"/>
      <c r="J7073" s="121"/>
      <c r="K7073" s="121"/>
      <c r="L7073" s="121"/>
      <c r="M7073" s="121"/>
      <c r="N7073" s="223" t="s">
        <v>2431</v>
      </c>
      <c r="O7073" s="284" t="s">
        <v>342</v>
      </c>
      <c r="P7073" s="544"/>
      <c r="Q7073" s="321"/>
      <c r="R7073" s="260"/>
      <c r="S7073" s="260"/>
      <c r="T7073" s="260"/>
      <c r="U7073" s="260"/>
      <c r="V7073" s="260"/>
      <c r="W7073" s="261"/>
      <c r="X7073"/>
      <c r="Y7073"/>
      <c r="Z7073"/>
      <c r="AA7073"/>
      <c r="AB7073"/>
      <c r="AC7073"/>
      <c r="AD7073"/>
      <c r="AE7073"/>
      <c r="AF7073"/>
      <c r="AG7073"/>
      <c r="AH7073"/>
      <c r="AI7073"/>
      <c r="AJ7073"/>
      <c r="AK7073"/>
      <c r="AL7073"/>
      <c r="AM7073"/>
    </row>
    <row r="7074" spans="1:39" s="47" customFormat="1">
      <c r="A7074" s="121"/>
      <c r="B7074" s="121"/>
      <c r="C7074" s="121"/>
      <c r="D7074" s="121"/>
      <c r="E7074" s="121"/>
      <c r="F7074" s="121"/>
      <c r="G7074" s="121"/>
      <c r="H7074" s="121"/>
      <c r="I7074" s="121"/>
      <c r="J7074" s="121"/>
      <c r="K7074" s="121"/>
      <c r="L7074" s="121"/>
      <c r="M7074" s="121"/>
      <c r="N7074" s="560"/>
      <c r="O7074" s="562"/>
      <c r="P7074" s="323"/>
      <c r="Q7074" s="321"/>
      <c r="R7074" s="260"/>
      <c r="S7074" s="260"/>
      <c r="T7074" s="260"/>
      <c r="U7074" s="260"/>
      <c r="V7074" s="260"/>
      <c r="W7074" s="260"/>
      <c r="X7074"/>
      <c r="Y7074"/>
      <c r="Z7074"/>
      <c r="AA7074"/>
      <c r="AB7074"/>
      <c r="AC7074"/>
      <c r="AD7074"/>
      <c r="AE7074"/>
      <c r="AF7074"/>
      <c r="AG7074"/>
      <c r="AH7074"/>
      <c r="AI7074"/>
      <c r="AJ7074"/>
      <c r="AK7074"/>
      <c r="AL7074"/>
      <c r="AM7074"/>
    </row>
    <row r="7075" spans="1:39" s="47" customFormat="1">
      <c r="A7075" s="121"/>
      <c r="B7075" s="121"/>
      <c r="C7075" s="121"/>
      <c r="D7075" s="121"/>
      <c r="E7075" s="121"/>
      <c r="F7075" s="121"/>
      <c r="G7075" s="121"/>
      <c r="H7075" s="121"/>
      <c r="I7075" s="121"/>
      <c r="J7075" s="121"/>
      <c r="K7075" s="121"/>
      <c r="L7075" s="121"/>
      <c r="M7075" s="121"/>
      <c r="N7075" s="560"/>
      <c r="O7075" s="562"/>
      <c r="P7075" s="323"/>
      <c r="Q7075" s="321"/>
      <c r="R7075" s="260"/>
      <c r="S7075" s="260"/>
      <c r="T7075" s="260"/>
      <c r="U7075" s="260"/>
      <c r="V7075" s="260"/>
      <c r="W7075" s="260"/>
      <c r="X7075"/>
      <c r="Y7075"/>
      <c r="Z7075"/>
      <c r="AA7075"/>
      <c r="AB7075"/>
      <c r="AC7075"/>
      <c r="AD7075"/>
      <c r="AE7075"/>
      <c r="AF7075"/>
      <c r="AG7075"/>
      <c r="AH7075"/>
      <c r="AI7075"/>
      <c r="AJ7075"/>
      <c r="AK7075"/>
      <c r="AL7075"/>
      <c r="AM7075"/>
    </row>
    <row r="7076" spans="1:39" s="47" customFormat="1">
      <c r="A7076" s="121"/>
      <c r="B7076" s="121"/>
      <c r="C7076" s="121"/>
      <c r="D7076" s="121"/>
      <c r="E7076" s="121"/>
      <c r="F7076" s="121"/>
      <c r="G7076" s="121"/>
      <c r="H7076" s="121"/>
      <c r="I7076" s="121"/>
      <c r="J7076" s="121"/>
      <c r="K7076" s="121"/>
      <c r="L7076" s="121"/>
      <c r="M7076" s="121"/>
      <c r="N7076" s="560"/>
      <c r="O7076" s="562"/>
      <c r="P7076" s="323"/>
      <c r="Q7076" s="321"/>
      <c r="R7076" s="260"/>
      <c r="S7076" s="260"/>
      <c r="T7076" s="260"/>
      <c r="U7076" s="260"/>
      <c r="V7076" s="260"/>
      <c r="W7076" s="260"/>
      <c r="X7076"/>
      <c r="Y7076"/>
      <c r="Z7076"/>
      <c r="AA7076"/>
      <c r="AB7076"/>
      <c r="AC7076"/>
      <c r="AD7076"/>
      <c r="AE7076"/>
      <c r="AF7076"/>
      <c r="AG7076"/>
      <c r="AH7076"/>
      <c r="AI7076"/>
      <c r="AJ7076"/>
      <c r="AK7076"/>
      <c r="AL7076"/>
      <c r="AM7076"/>
    </row>
    <row r="7077" spans="1:39" s="47" customFormat="1">
      <c r="A7077" s="121"/>
      <c r="B7077" s="121"/>
      <c r="C7077" s="121"/>
      <c r="D7077" s="121"/>
      <c r="E7077" s="121"/>
      <c r="F7077" s="121"/>
      <c r="G7077" s="121"/>
      <c r="H7077" s="121"/>
      <c r="I7077" s="121"/>
      <c r="J7077" s="121"/>
      <c r="K7077" s="121"/>
      <c r="L7077" s="121"/>
      <c r="M7077" s="121"/>
      <c r="N7077" s="560"/>
      <c r="O7077" s="562"/>
      <c r="P7077" s="323"/>
      <c r="Q7077" s="321"/>
      <c r="R7077" s="260"/>
      <c r="S7077" s="260"/>
      <c r="T7077" s="260"/>
      <c r="U7077" s="260"/>
      <c r="V7077" s="260"/>
      <c r="W7077" s="260"/>
      <c r="X7077"/>
      <c r="Y7077"/>
      <c r="Z7077"/>
      <c r="AA7077"/>
      <c r="AB7077"/>
      <c r="AC7077"/>
      <c r="AD7077"/>
      <c r="AE7077"/>
      <c r="AF7077"/>
      <c r="AG7077"/>
      <c r="AH7077"/>
      <c r="AI7077"/>
      <c r="AJ7077"/>
      <c r="AK7077"/>
      <c r="AL7077"/>
      <c r="AM7077"/>
    </row>
    <row r="7078" spans="1:39" s="47" customFormat="1">
      <c r="A7078" s="121"/>
      <c r="B7078" s="121"/>
      <c r="C7078" s="121"/>
      <c r="D7078" s="121"/>
      <c r="E7078" s="121"/>
      <c r="F7078" s="121"/>
      <c r="G7078" s="121"/>
      <c r="H7078" s="121"/>
      <c r="I7078" s="121"/>
      <c r="J7078" s="121"/>
      <c r="K7078" s="121"/>
      <c r="L7078" s="121"/>
      <c r="M7078" s="121"/>
      <c r="N7078" s="560"/>
      <c r="O7078" s="562"/>
      <c r="P7078" s="323"/>
      <c r="Q7078" s="321"/>
      <c r="R7078" s="260"/>
      <c r="S7078" s="260"/>
      <c r="T7078" s="260"/>
      <c r="U7078" s="260"/>
      <c r="V7078" s="260"/>
      <c r="W7078" s="260"/>
      <c r="X7078"/>
      <c r="Y7078"/>
      <c r="Z7078"/>
      <c r="AA7078"/>
      <c r="AB7078"/>
      <c r="AC7078"/>
      <c r="AD7078"/>
      <c r="AE7078"/>
      <c r="AF7078"/>
      <c r="AG7078"/>
      <c r="AH7078"/>
      <c r="AI7078"/>
      <c r="AJ7078"/>
      <c r="AK7078"/>
      <c r="AL7078"/>
      <c r="AM7078"/>
    </row>
    <row r="7079" spans="1:39" s="47" customFormat="1">
      <c r="A7079" s="121"/>
      <c r="B7079" s="121"/>
      <c r="C7079" s="121"/>
      <c r="D7079" s="121"/>
      <c r="E7079" s="121"/>
      <c r="F7079" s="121"/>
      <c r="G7079" s="121"/>
      <c r="H7079" s="121"/>
      <c r="I7079" s="121"/>
      <c r="J7079" s="121"/>
      <c r="K7079" s="121"/>
      <c r="L7079" s="121"/>
      <c r="M7079" s="121"/>
      <c r="N7079" s="560"/>
      <c r="O7079" s="562"/>
      <c r="P7079" s="323"/>
      <c r="Q7079" s="321"/>
      <c r="R7079" s="260"/>
      <c r="S7079" s="260"/>
      <c r="T7079" s="260"/>
      <c r="U7079" s="260"/>
      <c r="V7079" s="260"/>
      <c r="W7079" s="260"/>
      <c r="X7079"/>
      <c r="Y7079"/>
      <c r="Z7079"/>
      <c r="AA7079"/>
      <c r="AB7079"/>
      <c r="AC7079"/>
      <c r="AD7079"/>
      <c r="AE7079"/>
      <c r="AF7079"/>
      <c r="AG7079"/>
      <c r="AH7079"/>
      <c r="AI7079"/>
      <c r="AJ7079"/>
      <c r="AK7079"/>
      <c r="AL7079"/>
      <c r="AM7079"/>
    </row>
    <row r="7080" spans="1:39" s="47" customFormat="1">
      <c r="A7080" s="121"/>
      <c r="B7080" s="121"/>
      <c r="C7080" s="121"/>
      <c r="D7080" s="121"/>
      <c r="E7080" s="121"/>
      <c r="F7080" s="121"/>
      <c r="G7080" s="121"/>
      <c r="H7080" s="121"/>
      <c r="I7080" s="121"/>
      <c r="J7080" s="121"/>
      <c r="K7080" s="121"/>
      <c r="L7080" s="121"/>
      <c r="M7080" s="121"/>
      <c r="N7080" s="560"/>
      <c r="O7080" s="562"/>
      <c r="P7080" s="323"/>
      <c r="Q7080" s="321"/>
      <c r="R7080" s="260"/>
      <c r="S7080" s="260"/>
      <c r="T7080" s="260"/>
      <c r="U7080" s="260"/>
      <c r="V7080" s="260"/>
      <c r="W7080" s="260"/>
      <c r="X7080"/>
      <c r="Y7080"/>
      <c r="Z7080"/>
      <c r="AA7080"/>
      <c r="AB7080"/>
      <c r="AC7080"/>
      <c r="AD7080"/>
      <c r="AE7080"/>
      <c r="AF7080"/>
      <c r="AG7080"/>
      <c r="AH7080"/>
      <c r="AI7080"/>
      <c r="AJ7080"/>
      <c r="AK7080"/>
      <c r="AL7080"/>
      <c r="AM7080"/>
    </row>
    <row r="7081" spans="1:39" s="47" customFormat="1">
      <c r="A7081" s="121"/>
      <c r="B7081" s="121"/>
      <c r="C7081" s="121"/>
      <c r="D7081" s="121"/>
      <c r="E7081" s="121"/>
      <c r="F7081" s="121"/>
      <c r="G7081" s="121"/>
      <c r="H7081" s="121"/>
      <c r="I7081" s="121"/>
      <c r="J7081" s="121"/>
      <c r="K7081" s="121"/>
      <c r="L7081" s="121"/>
      <c r="M7081" s="121"/>
      <c r="N7081" s="560"/>
      <c r="O7081" s="562"/>
      <c r="P7081" s="323"/>
      <c r="Q7081" s="321"/>
      <c r="R7081" s="260"/>
      <c r="S7081" s="260"/>
      <c r="T7081" s="260"/>
      <c r="U7081" s="260"/>
      <c r="V7081" s="260"/>
      <c r="W7081" s="260"/>
      <c r="X7081"/>
      <c r="Y7081"/>
      <c r="Z7081"/>
      <c r="AA7081"/>
      <c r="AB7081"/>
      <c r="AC7081"/>
      <c r="AD7081"/>
      <c r="AE7081"/>
      <c r="AF7081"/>
      <c r="AG7081"/>
      <c r="AH7081"/>
      <c r="AI7081"/>
      <c r="AJ7081"/>
      <c r="AK7081"/>
      <c r="AL7081"/>
      <c r="AM7081"/>
    </row>
    <row r="7082" spans="1:39" s="47" customFormat="1">
      <c r="A7082" s="121"/>
      <c r="B7082" s="121"/>
      <c r="C7082" s="121"/>
      <c r="D7082" s="121"/>
      <c r="E7082" s="121"/>
      <c r="F7082" s="121"/>
      <c r="G7082" s="121"/>
      <c r="H7082" s="121"/>
      <c r="I7082" s="121"/>
      <c r="J7082" s="121"/>
      <c r="K7082" s="121"/>
      <c r="L7082" s="121"/>
      <c r="M7082" s="121"/>
      <c r="N7082" s="560"/>
      <c r="O7082" s="562"/>
      <c r="P7082" s="323"/>
      <c r="Q7082" s="321"/>
      <c r="R7082" s="260"/>
      <c r="S7082" s="260"/>
      <c r="T7082" s="260"/>
      <c r="U7082" s="260"/>
      <c r="V7082" s="260"/>
      <c r="W7082" s="260"/>
      <c r="X7082"/>
      <c r="Y7082"/>
      <c r="Z7082"/>
      <c r="AA7082"/>
      <c r="AB7082"/>
      <c r="AC7082"/>
      <c r="AD7082"/>
      <c r="AE7082"/>
      <c r="AF7082"/>
      <c r="AG7082"/>
      <c r="AH7082"/>
      <c r="AI7082"/>
      <c r="AJ7082"/>
      <c r="AK7082"/>
      <c r="AL7082"/>
      <c r="AM7082"/>
    </row>
    <row r="7083" spans="1:39" s="47" customFormat="1">
      <c r="A7083" s="121"/>
      <c r="B7083" s="121"/>
      <c r="C7083" s="121"/>
      <c r="D7083" s="121"/>
      <c r="E7083" s="121"/>
      <c r="F7083" s="121"/>
      <c r="G7083" s="121"/>
      <c r="H7083" s="121"/>
      <c r="I7083" s="121"/>
      <c r="J7083" s="121"/>
      <c r="K7083" s="121"/>
      <c r="L7083" s="121"/>
      <c r="M7083" s="121"/>
      <c r="N7083" s="560"/>
      <c r="O7083" s="562"/>
      <c r="P7083" s="323"/>
      <c r="Q7083" s="321"/>
      <c r="R7083" s="260"/>
      <c r="S7083" s="260"/>
      <c r="T7083" s="260"/>
      <c r="U7083" s="260"/>
      <c r="V7083" s="260"/>
      <c r="W7083" s="260"/>
      <c r="X7083"/>
      <c r="Y7083"/>
      <c r="Z7083"/>
      <c r="AA7083"/>
      <c r="AB7083"/>
      <c r="AC7083"/>
      <c r="AD7083"/>
      <c r="AE7083"/>
      <c r="AF7083"/>
      <c r="AG7083"/>
      <c r="AH7083"/>
      <c r="AI7083"/>
      <c r="AJ7083"/>
      <c r="AK7083"/>
      <c r="AL7083"/>
      <c r="AM7083"/>
    </row>
    <row r="7084" spans="1:39" s="47" customFormat="1">
      <c r="A7084" s="121"/>
      <c r="B7084" s="121"/>
      <c r="C7084" s="121"/>
      <c r="D7084" s="121"/>
      <c r="E7084" s="121"/>
      <c r="F7084" s="121"/>
      <c r="G7084" s="121"/>
      <c r="H7084" s="121"/>
      <c r="I7084" s="121"/>
      <c r="J7084" s="121"/>
      <c r="K7084" s="121"/>
      <c r="L7084" s="121"/>
      <c r="M7084" s="121"/>
      <c r="N7084" s="560"/>
      <c r="O7084" s="562"/>
      <c r="P7084" s="323"/>
      <c r="Q7084" s="321"/>
      <c r="R7084" s="260"/>
      <c r="S7084" s="260"/>
      <c r="T7084" s="260"/>
      <c r="U7084" s="260"/>
      <c r="V7084" s="260"/>
      <c r="W7084" s="260"/>
      <c r="X7084"/>
      <c r="Y7084"/>
      <c r="Z7084"/>
      <c r="AA7084"/>
      <c r="AB7084"/>
      <c r="AC7084"/>
      <c r="AD7084"/>
      <c r="AE7084"/>
      <c r="AF7084"/>
      <c r="AG7084"/>
      <c r="AH7084"/>
      <c r="AI7084"/>
      <c r="AJ7084"/>
      <c r="AK7084"/>
      <c r="AL7084"/>
      <c r="AM7084"/>
    </row>
    <row r="7085" spans="1:39" s="47" customFormat="1">
      <c r="A7085" s="121"/>
      <c r="B7085" s="121"/>
      <c r="C7085" s="121"/>
      <c r="D7085" s="121"/>
      <c r="E7085" s="121"/>
      <c r="F7085" s="121"/>
      <c r="G7085" s="121"/>
      <c r="H7085" s="121"/>
      <c r="I7085" s="121"/>
      <c r="J7085" s="121"/>
      <c r="K7085" s="121"/>
      <c r="L7085" s="121"/>
      <c r="M7085" s="121"/>
      <c r="N7085" s="560"/>
      <c r="O7085" s="562"/>
      <c r="P7085" s="323"/>
      <c r="Q7085" s="321"/>
      <c r="R7085" s="260"/>
      <c r="S7085" s="260"/>
      <c r="T7085" s="260"/>
      <c r="U7085" s="260"/>
      <c r="V7085" s="260"/>
      <c r="W7085" s="260"/>
      <c r="X7085"/>
      <c r="Y7085"/>
      <c r="Z7085"/>
      <c r="AA7085"/>
      <c r="AB7085"/>
      <c r="AC7085"/>
      <c r="AD7085"/>
      <c r="AE7085"/>
      <c r="AF7085"/>
      <c r="AG7085"/>
      <c r="AH7085"/>
      <c r="AI7085"/>
      <c r="AJ7085"/>
      <c r="AK7085"/>
      <c r="AL7085"/>
      <c r="AM7085"/>
    </row>
    <row r="7086" spans="1:39" s="47" customFormat="1">
      <c r="A7086" s="121"/>
      <c r="B7086" s="121"/>
      <c r="C7086" s="121"/>
      <c r="D7086" s="121"/>
      <c r="E7086" s="121"/>
      <c r="F7086" s="121"/>
      <c r="G7086" s="121"/>
      <c r="H7086" s="121"/>
      <c r="I7086" s="121"/>
      <c r="J7086" s="121"/>
      <c r="K7086" s="121"/>
      <c r="L7086" s="121"/>
      <c r="M7086" s="121"/>
      <c r="N7086" s="560"/>
      <c r="O7086" s="562"/>
      <c r="P7086" s="323"/>
      <c r="Q7086" s="321"/>
      <c r="R7086" s="260"/>
      <c r="S7086" s="260"/>
      <c r="T7086" s="260"/>
      <c r="U7086" s="260"/>
      <c r="V7086" s="260"/>
      <c r="W7086" s="260"/>
      <c r="X7086"/>
      <c r="Y7086"/>
      <c r="Z7086"/>
      <c r="AA7086"/>
      <c r="AB7086"/>
      <c r="AC7086"/>
      <c r="AD7086"/>
      <c r="AE7086"/>
      <c r="AF7086"/>
      <c r="AG7086"/>
      <c r="AH7086"/>
      <c r="AI7086"/>
      <c r="AJ7086"/>
      <c r="AK7086"/>
      <c r="AL7086"/>
      <c r="AM7086"/>
    </row>
    <row r="7087" spans="1:39" s="47" customFormat="1">
      <c r="A7087" s="121"/>
      <c r="B7087" s="121"/>
      <c r="C7087" s="121"/>
      <c r="D7087" s="121"/>
      <c r="E7087" s="121"/>
      <c r="F7087" s="121"/>
      <c r="G7087" s="121"/>
      <c r="H7087" s="121"/>
      <c r="I7087" s="121"/>
      <c r="J7087" s="121"/>
      <c r="K7087" s="121"/>
      <c r="L7087" s="121"/>
      <c r="M7087" s="121"/>
      <c r="N7087" s="560"/>
      <c r="O7087" s="562"/>
      <c r="P7087" s="323"/>
      <c r="Q7087" s="321"/>
      <c r="R7087" s="260"/>
      <c r="S7087" s="260"/>
      <c r="T7087" s="260"/>
      <c r="U7087" s="260"/>
      <c r="V7087" s="260"/>
      <c r="W7087" s="260"/>
      <c r="X7087"/>
      <c r="Y7087"/>
      <c r="Z7087"/>
      <c r="AA7087"/>
      <c r="AB7087"/>
      <c r="AC7087"/>
      <c r="AD7087"/>
      <c r="AE7087"/>
      <c r="AF7087"/>
      <c r="AG7087"/>
      <c r="AH7087"/>
      <c r="AI7087"/>
      <c r="AJ7087"/>
      <c r="AK7087"/>
      <c r="AL7087"/>
      <c r="AM7087"/>
    </row>
    <row r="7088" spans="1:39" s="47" customFormat="1">
      <c r="A7088" s="121"/>
      <c r="B7088" s="121"/>
      <c r="C7088" s="121"/>
      <c r="D7088" s="121"/>
      <c r="E7088" s="121"/>
      <c r="F7088" s="121"/>
      <c r="G7088" s="121"/>
      <c r="H7088" s="121"/>
      <c r="I7088" s="121"/>
      <c r="J7088" s="121"/>
      <c r="K7088" s="121"/>
      <c r="L7088" s="121"/>
      <c r="M7088" s="121"/>
      <c r="N7088" s="560"/>
      <c r="O7088" s="562"/>
      <c r="P7088" s="323"/>
      <c r="Q7088" s="321"/>
      <c r="R7088" s="260"/>
      <c r="S7088" s="260"/>
      <c r="T7088" s="260"/>
      <c r="U7088" s="260"/>
      <c r="V7088" s="260"/>
      <c r="W7088" s="260"/>
      <c r="X7088"/>
      <c r="Y7088"/>
      <c r="Z7088"/>
      <c r="AA7088"/>
      <c r="AB7088"/>
      <c r="AC7088"/>
      <c r="AD7088"/>
      <c r="AE7088"/>
      <c r="AF7088"/>
      <c r="AG7088"/>
      <c r="AH7088"/>
      <c r="AI7088"/>
      <c r="AJ7088"/>
      <c r="AK7088"/>
      <c r="AL7088"/>
      <c r="AM7088"/>
    </row>
    <row r="7089" spans="1:39" s="47" customFormat="1">
      <c r="A7089" s="121"/>
      <c r="B7089" s="121"/>
      <c r="C7089" s="121"/>
      <c r="D7089" s="121"/>
      <c r="E7089" s="121"/>
      <c r="F7089" s="121"/>
      <c r="G7089" s="121"/>
      <c r="H7089" s="121"/>
      <c r="I7089" s="121"/>
      <c r="J7089" s="121"/>
      <c r="K7089" s="121"/>
      <c r="L7089" s="121"/>
      <c r="M7089" s="121"/>
      <c r="N7089" s="560"/>
      <c r="O7089" s="562"/>
      <c r="P7089" s="323"/>
      <c r="Q7089" s="321"/>
      <c r="R7089" s="260"/>
      <c r="S7089" s="260"/>
      <c r="T7089" s="260"/>
      <c r="U7089" s="260"/>
      <c r="V7089" s="260"/>
      <c r="W7089" s="260"/>
      <c r="X7089"/>
      <c r="Y7089"/>
      <c r="Z7089"/>
      <c r="AA7089"/>
      <c r="AB7089"/>
      <c r="AC7089"/>
      <c r="AD7089"/>
      <c r="AE7089"/>
      <c r="AF7089"/>
      <c r="AG7089"/>
      <c r="AH7089"/>
      <c r="AI7089"/>
      <c r="AJ7089"/>
      <c r="AK7089"/>
      <c r="AL7089"/>
      <c r="AM7089"/>
    </row>
    <row r="7090" spans="1:39" s="47" customFormat="1">
      <c r="A7090" s="121"/>
      <c r="B7090" s="121"/>
      <c r="C7090" s="121"/>
      <c r="D7090" s="121"/>
      <c r="E7090" s="121"/>
      <c r="F7090" s="121"/>
      <c r="G7090" s="121"/>
      <c r="H7090" s="121"/>
      <c r="I7090" s="121"/>
      <c r="J7090" s="121"/>
      <c r="K7090" s="121"/>
      <c r="L7090" s="121"/>
      <c r="M7090" s="121"/>
      <c r="N7090" s="560"/>
      <c r="O7090" s="562"/>
      <c r="P7090" s="323"/>
      <c r="Q7090" s="321"/>
      <c r="R7090" s="260"/>
      <c r="S7090" s="260"/>
      <c r="T7090" s="260"/>
      <c r="U7090" s="260"/>
      <c r="V7090" s="260"/>
      <c r="W7090" s="260"/>
      <c r="X7090"/>
      <c r="Y7090"/>
      <c r="Z7090"/>
      <c r="AA7090"/>
      <c r="AB7090"/>
      <c r="AC7090"/>
      <c r="AD7090"/>
      <c r="AE7090"/>
      <c r="AF7090"/>
      <c r="AG7090"/>
      <c r="AH7090"/>
      <c r="AI7090"/>
      <c r="AJ7090"/>
      <c r="AK7090"/>
      <c r="AL7090"/>
      <c r="AM7090"/>
    </row>
    <row r="7091" spans="1:39" s="47" customFormat="1">
      <c r="A7091" s="121"/>
      <c r="B7091" s="121"/>
      <c r="C7091" s="121"/>
      <c r="D7091" s="121"/>
      <c r="E7091" s="121"/>
      <c r="F7091" s="121"/>
      <c r="G7091" s="121"/>
      <c r="H7091" s="121"/>
      <c r="I7091" s="121"/>
      <c r="J7091" s="121"/>
      <c r="K7091" s="121"/>
      <c r="L7091" s="121"/>
      <c r="M7091" s="121"/>
      <c r="N7091" s="560"/>
      <c r="O7091" s="562"/>
      <c r="P7091" s="323"/>
      <c r="Q7091" s="321"/>
      <c r="R7091" s="260"/>
      <c r="S7091" s="260"/>
      <c r="T7091" s="260"/>
      <c r="U7091" s="260"/>
      <c r="V7091" s="260"/>
      <c r="W7091" s="260"/>
      <c r="X7091"/>
      <c r="Y7091"/>
      <c r="Z7091"/>
      <c r="AA7091"/>
      <c r="AB7091"/>
      <c r="AC7091"/>
      <c r="AD7091"/>
      <c r="AE7091"/>
      <c r="AF7091"/>
      <c r="AG7091"/>
      <c r="AH7091"/>
      <c r="AI7091"/>
      <c r="AJ7091"/>
      <c r="AK7091"/>
      <c r="AL7091"/>
      <c r="AM7091"/>
    </row>
    <row r="7092" spans="1:39" s="47" customFormat="1">
      <c r="A7092" s="121"/>
      <c r="B7092" s="121"/>
      <c r="C7092" s="121"/>
      <c r="D7092" s="121"/>
      <c r="E7092" s="121"/>
      <c r="F7092" s="121"/>
      <c r="G7092" s="121"/>
      <c r="H7092" s="121"/>
      <c r="I7092" s="121"/>
      <c r="J7092" s="121"/>
      <c r="K7092" s="121"/>
      <c r="L7092" s="121"/>
      <c r="M7092" s="121"/>
      <c r="N7092" s="560"/>
      <c r="O7092" s="562"/>
      <c r="P7092" s="323"/>
      <c r="Q7092" s="321"/>
      <c r="R7092" s="260"/>
      <c r="S7092" s="260"/>
      <c r="T7092" s="260"/>
      <c r="U7092" s="260"/>
      <c r="V7092" s="260"/>
      <c r="W7092" s="260"/>
      <c r="X7092"/>
      <c r="Y7092"/>
      <c r="Z7092"/>
      <c r="AA7092"/>
      <c r="AB7092"/>
      <c r="AC7092"/>
      <c r="AD7092"/>
      <c r="AE7092"/>
      <c r="AF7092"/>
      <c r="AG7092"/>
      <c r="AH7092"/>
      <c r="AI7092"/>
      <c r="AJ7092"/>
      <c r="AK7092"/>
      <c r="AL7092"/>
      <c r="AM7092"/>
    </row>
    <row r="7093" spans="1:39" s="47" customFormat="1">
      <c r="A7093" s="121"/>
      <c r="B7093" s="121"/>
      <c r="C7093" s="121"/>
      <c r="D7093" s="121"/>
      <c r="E7093" s="121"/>
      <c r="F7093" s="121"/>
      <c r="G7093" s="121"/>
      <c r="H7093" s="121"/>
      <c r="I7093" s="121"/>
      <c r="J7093" s="121"/>
      <c r="K7093" s="121"/>
      <c r="L7093" s="121"/>
      <c r="M7093" s="121"/>
      <c r="N7093" s="560"/>
      <c r="O7093" s="562"/>
      <c r="P7093" s="323"/>
      <c r="Q7093" s="321"/>
      <c r="R7093" s="260"/>
      <c r="S7093" s="260"/>
      <c r="T7093" s="260"/>
      <c r="U7093" s="260"/>
      <c r="V7093" s="260"/>
      <c r="W7093" s="260"/>
      <c r="X7093"/>
      <c r="Y7093"/>
      <c r="Z7093"/>
      <c r="AA7093"/>
      <c r="AB7093"/>
      <c r="AC7093"/>
      <c r="AD7093"/>
      <c r="AE7093"/>
      <c r="AF7093"/>
      <c r="AG7093"/>
      <c r="AH7093"/>
      <c r="AI7093"/>
      <c r="AJ7093"/>
      <c r="AK7093"/>
      <c r="AL7093"/>
      <c r="AM7093"/>
    </row>
    <row r="7094" spans="1:39" s="47" customFormat="1">
      <c r="A7094" s="121"/>
      <c r="B7094" s="121"/>
      <c r="C7094" s="121"/>
      <c r="D7094" s="121"/>
      <c r="E7094" s="121"/>
      <c r="F7094" s="121"/>
      <c r="G7094" s="121"/>
      <c r="H7094" s="121"/>
      <c r="I7094" s="121"/>
      <c r="J7094" s="121"/>
      <c r="K7094" s="121"/>
      <c r="L7094" s="121"/>
      <c r="M7094" s="121"/>
      <c r="N7094" s="560"/>
      <c r="O7094" s="562"/>
      <c r="P7094" s="323"/>
      <c r="Q7094" s="321"/>
      <c r="R7094" s="260"/>
      <c r="S7094" s="260"/>
      <c r="T7094" s="260"/>
      <c r="U7094" s="260"/>
      <c r="V7094" s="260"/>
      <c r="W7094" s="260"/>
      <c r="X7094"/>
      <c r="Y7094"/>
      <c r="Z7094"/>
      <c r="AA7094"/>
      <c r="AB7094"/>
      <c r="AC7094"/>
      <c r="AD7094"/>
      <c r="AE7094"/>
      <c r="AF7094"/>
      <c r="AG7094"/>
      <c r="AH7094"/>
      <c r="AI7094"/>
      <c r="AJ7094"/>
      <c r="AK7094"/>
      <c r="AL7094"/>
      <c r="AM7094"/>
    </row>
    <row r="7095" spans="1:39" s="47" customFormat="1">
      <c r="A7095" s="121"/>
      <c r="B7095" s="121"/>
      <c r="C7095" s="121"/>
      <c r="D7095" s="121"/>
      <c r="E7095" s="121"/>
      <c r="F7095" s="121"/>
      <c r="G7095" s="121"/>
      <c r="H7095" s="121"/>
      <c r="I7095" s="121"/>
      <c r="J7095" s="121"/>
      <c r="K7095" s="121"/>
      <c r="L7095" s="121"/>
      <c r="M7095" s="121"/>
      <c r="N7095" s="560"/>
      <c r="O7095" s="562"/>
      <c r="P7095" s="323"/>
      <c r="Q7095" s="321"/>
      <c r="R7095" s="260"/>
      <c r="S7095" s="260"/>
      <c r="T7095" s="260"/>
      <c r="U7095" s="260"/>
      <c r="V7095" s="260"/>
      <c r="W7095" s="260"/>
      <c r="X7095"/>
      <c r="Y7095"/>
      <c r="Z7095"/>
      <c r="AA7095"/>
      <c r="AB7095"/>
      <c r="AC7095"/>
      <c r="AD7095"/>
      <c r="AE7095"/>
      <c r="AF7095"/>
      <c r="AG7095"/>
      <c r="AH7095"/>
      <c r="AI7095"/>
      <c r="AJ7095"/>
      <c r="AK7095"/>
      <c r="AL7095"/>
      <c r="AM7095"/>
    </row>
    <row r="7096" spans="1:39" s="47" customFormat="1">
      <c r="A7096" s="121"/>
      <c r="B7096" s="121"/>
      <c r="C7096" s="121"/>
      <c r="D7096" s="121"/>
      <c r="E7096" s="121"/>
      <c r="F7096" s="121"/>
      <c r="G7096" s="121"/>
      <c r="H7096" s="121"/>
      <c r="I7096" s="121"/>
      <c r="J7096" s="121"/>
      <c r="K7096" s="121"/>
      <c r="L7096" s="121"/>
      <c r="M7096" s="121"/>
      <c r="N7096" s="560"/>
      <c r="O7096" s="562"/>
      <c r="P7096" s="323"/>
      <c r="Q7096" s="321"/>
      <c r="R7096" s="260"/>
      <c r="S7096" s="260"/>
      <c r="T7096" s="260"/>
      <c r="U7096" s="260"/>
      <c r="V7096" s="260"/>
      <c r="W7096" s="260"/>
      <c r="X7096"/>
      <c r="Y7096"/>
      <c r="Z7096"/>
      <c r="AA7096"/>
      <c r="AB7096"/>
      <c r="AC7096"/>
      <c r="AD7096"/>
      <c r="AE7096"/>
      <c r="AF7096"/>
      <c r="AG7096"/>
      <c r="AH7096"/>
      <c r="AI7096"/>
      <c r="AJ7096"/>
      <c r="AK7096"/>
      <c r="AL7096"/>
      <c r="AM7096"/>
    </row>
    <row r="7097" spans="1:39" s="47" customFormat="1">
      <c r="A7097" s="121"/>
      <c r="B7097" s="121"/>
      <c r="C7097" s="121"/>
      <c r="D7097" s="121"/>
      <c r="E7097" s="121"/>
      <c r="F7097" s="121"/>
      <c r="G7097" s="121"/>
      <c r="H7097" s="121"/>
      <c r="I7097" s="121"/>
      <c r="J7097" s="121"/>
      <c r="K7097" s="121"/>
      <c r="L7097" s="121"/>
      <c r="M7097" s="121"/>
      <c r="N7097" s="560"/>
      <c r="O7097" s="562"/>
      <c r="P7097" s="323"/>
      <c r="Q7097" s="321"/>
      <c r="R7097" s="260"/>
      <c r="S7097" s="260"/>
      <c r="T7097" s="260"/>
      <c r="U7097" s="260"/>
      <c r="V7097" s="260"/>
      <c r="W7097" s="260"/>
      <c r="X7097"/>
      <c r="Y7097"/>
      <c r="Z7097"/>
      <c r="AA7097"/>
      <c r="AB7097"/>
      <c r="AC7097"/>
      <c r="AD7097"/>
      <c r="AE7097"/>
      <c r="AF7097"/>
      <c r="AG7097"/>
      <c r="AH7097"/>
      <c r="AI7097"/>
      <c r="AJ7097"/>
      <c r="AK7097"/>
      <c r="AL7097"/>
      <c r="AM7097"/>
    </row>
    <row r="7098" spans="1:39" s="47" customFormat="1">
      <c r="A7098" s="121"/>
      <c r="B7098" s="121"/>
      <c r="C7098" s="121"/>
      <c r="D7098" s="121"/>
      <c r="E7098" s="121"/>
      <c r="F7098" s="121"/>
      <c r="G7098" s="121"/>
      <c r="H7098" s="121"/>
      <c r="I7098" s="121"/>
      <c r="J7098" s="121"/>
      <c r="K7098" s="121"/>
      <c r="L7098" s="121"/>
      <c r="M7098" s="121"/>
      <c r="N7098" s="560"/>
      <c r="O7098" s="562"/>
      <c r="P7098" s="323"/>
      <c r="Q7098" s="321"/>
      <c r="R7098" s="260"/>
      <c r="S7098" s="260"/>
      <c r="T7098" s="260"/>
      <c r="U7098" s="260"/>
      <c r="V7098" s="260"/>
      <c r="W7098" s="260"/>
      <c r="X7098"/>
      <c r="Y7098"/>
      <c r="Z7098"/>
      <c r="AA7098"/>
      <c r="AB7098"/>
      <c r="AC7098"/>
      <c r="AD7098"/>
      <c r="AE7098"/>
      <c r="AF7098"/>
      <c r="AG7098"/>
      <c r="AH7098"/>
      <c r="AI7098"/>
      <c r="AJ7098"/>
      <c r="AK7098"/>
      <c r="AL7098"/>
      <c r="AM7098"/>
    </row>
    <row r="7099" spans="1:39" s="47" customFormat="1">
      <c r="A7099" s="121"/>
      <c r="B7099" s="121"/>
      <c r="C7099" s="121"/>
      <c r="D7099" s="121"/>
      <c r="E7099" s="121"/>
      <c r="F7099" s="121"/>
      <c r="G7099" s="121"/>
      <c r="H7099" s="121"/>
      <c r="I7099" s="121"/>
      <c r="J7099" s="121"/>
      <c r="K7099" s="121"/>
      <c r="L7099" s="121"/>
      <c r="M7099" s="121"/>
      <c r="N7099" s="560"/>
      <c r="O7099" s="562"/>
      <c r="P7099" s="323"/>
      <c r="Q7099" s="321"/>
      <c r="R7099" s="260"/>
      <c r="S7099" s="260"/>
      <c r="T7099" s="260"/>
      <c r="U7099" s="260"/>
      <c r="V7099" s="260"/>
      <c r="W7099" s="260"/>
      <c r="X7099"/>
      <c r="Y7099"/>
      <c r="Z7099"/>
      <c r="AA7099"/>
      <c r="AB7099"/>
      <c r="AC7099"/>
      <c r="AD7099"/>
      <c r="AE7099"/>
      <c r="AF7099"/>
      <c r="AG7099"/>
      <c r="AH7099"/>
      <c r="AI7099"/>
      <c r="AJ7099"/>
      <c r="AK7099"/>
      <c r="AL7099"/>
      <c r="AM7099"/>
    </row>
    <row r="7100" spans="1:39" s="47" customFormat="1">
      <c r="A7100" s="121"/>
      <c r="B7100" s="121"/>
      <c r="C7100" s="121"/>
      <c r="D7100" s="121"/>
      <c r="E7100" s="121"/>
      <c r="F7100" s="121"/>
      <c r="G7100" s="121"/>
      <c r="H7100" s="121"/>
      <c r="I7100" s="121"/>
      <c r="J7100" s="121"/>
      <c r="K7100" s="121"/>
      <c r="L7100" s="121"/>
      <c r="M7100" s="121"/>
      <c r="N7100" s="560"/>
      <c r="O7100" s="562"/>
      <c r="P7100" s="323"/>
      <c r="Q7100" s="321"/>
      <c r="R7100" s="260"/>
      <c r="S7100" s="260"/>
      <c r="T7100" s="260"/>
      <c r="U7100" s="260"/>
      <c r="V7100" s="260"/>
      <c r="W7100" s="260"/>
      <c r="X7100"/>
      <c r="Y7100"/>
      <c r="Z7100"/>
      <c r="AA7100"/>
      <c r="AB7100"/>
      <c r="AC7100"/>
      <c r="AD7100"/>
      <c r="AE7100"/>
      <c r="AF7100"/>
      <c r="AG7100"/>
      <c r="AH7100"/>
      <c r="AI7100"/>
      <c r="AJ7100"/>
      <c r="AK7100"/>
      <c r="AL7100"/>
      <c r="AM7100"/>
    </row>
    <row r="7101" spans="1:39" s="47" customFormat="1">
      <c r="A7101" s="121"/>
      <c r="B7101" s="121"/>
      <c r="C7101" s="121"/>
      <c r="D7101" s="121"/>
      <c r="E7101" s="121"/>
      <c r="F7101" s="121"/>
      <c r="G7101" s="121"/>
      <c r="H7101" s="121"/>
      <c r="I7101" s="121"/>
      <c r="J7101" s="121"/>
      <c r="K7101" s="121"/>
      <c r="L7101" s="121"/>
      <c r="M7101" s="121"/>
      <c r="N7101" s="560"/>
      <c r="O7101" s="562"/>
      <c r="P7101" s="323"/>
      <c r="Q7101" s="321"/>
      <c r="R7101" s="260"/>
      <c r="S7101" s="260"/>
      <c r="T7101" s="260"/>
      <c r="U7101" s="260"/>
      <c r="V7101" s="260"/>
      <c r="W7101" s="260"/>
      <c r="X7101"/>
      <c r="Y7101"/>
      <c r="Z7101"/>
      <c r="AA7101"/>
      <c r="AB7101"/>
      <c r="AC7101"/>
      <c r="AD7101"/>
      <c r="AE7101"/>
      <c r="AF7101"/>
      <c r="AG7101"/>
      <c r="AH7101"/>
      <c r="AI7101"/>
      <c r="AJ7101"/>
      <c r="AK7101"/>
      <c r="AL7101"/>
      <c r="AM7101"/>
    </row>
    <row r="7102" spans="1:39" s="47" customFormat="1">
      <c r="A7102" s="121"/>
      <c r="B7102" s="121"/>
      <c r="C7102" s="121"/>
      <c r="D7102" s="121"/>
      <c r="E7102" s="121"/>
      <c r="F7102" s="121"/>
      <c r="G7102" s="121"/>
      <c r="H7102" s="121"/>
      <c r="I7102" s="121"/>
      <c r="J7102" s="121"/>
      <c r="K7102" s="121"/>
      <c r="L7102" s="121"/>
      <c r="M7102" s="121"/>
      <c r="N7102" s="560"/>
      <c r="O7102" s="562"/>
      <c r="P7102" s="323"/>
      <c r="Q7102" s="321"/>
      <c r="R7102" s="260"/>
      <c r="S7102" s="260"/>
      <c r="T7102" s="260"/>
      <c r="U7102" s="260"/>
      <c r="V7102" s="260"/>
      <c r="W7102" s="260"/>
      <c r="X7102"/>
      <c r="Y7102"/>
      <c r="Z7102"/>
      <c r="AA7102"/>
      <c r="AB7102"/>
      <c r="AC7102"/>
      <c r="AD7102"/>
      <c r="AE7102"/>
      <c r="AF7102"/>
      <c r="AG7102"/>
      <c r="AH7102"/>
      <c r="AI7102"/>
      <c r="AJ7102"/>
      <c r="AK7102"/>
      <c r="AL7102"/>
      <c r="AM7102"/>
    </row>
    <row r="7103" spans="1:39" s="47" customFormat="1">
      <c r="A7103" s="121"/>
      <c r="B7103" s="121"/>
      <c r="C7103" s="121"/>
      <c r="D7103" s="121"/>
      <c r="E7103" s="121"/>
      <c r="F7103" s="121"/>
      <c r="G7103" s="121"/>
      <c r="H7103" s="121"/>
      <c r="I7103" s="121"/>
      <c r="J7103" s="121"/>
      <c r="K7103" s="121"/>
      <c r="L7103" s="121"/>
      <c r="M7103" s="121"/>
      <c r="N7103" s="560"/>
      <c r="O7103" s="562"/>
      <c r="P7103" s="323"/>
      <c r="Q7103" s="321"/>
      <c r="R7103" s="260"/>
      <c r="S7103" s="260"/>
      <c r="T7103" s="260"/>
      <c r="U7103" s="260"/>
      <c r="V7103" s="260"/>
      <c r="W7103" s="260"/>
      <c r="X7103"/>
      <c r="Y7103"/>
      <c r="Z7103"/>
      <c r="AA7103"/>
      <c r="AB7103"/>
      <c r="AC7103"/>
      <c r="AD7103"/>
      <c r="AE7103"/>
      <c r="AF7103"/>
      <c r="AG7103"/>
      <c r="AH7103"/>
      <c r="AI7103"/>
      <c r="AJ7103"/>
      <c r="AK7103"/>
      <c r="AL7103"/>
      <c r="AM7103"/>
    </row>
    <row r="7104" spans="1:39" s="47" customFormat="1">
      <c r="A7104" s="121"/>
      <c r="B7104" s="121"/>
      <c r="C7104" s="121"/>
      <c r="D7104" s="121"/>
      <c r="E7104" s="121"/>
      <c r="F7104" s="121"/>
      <c r="G7104" s="121"/>
      <c r="H7104" s="121"/>
      <c r="I7104" s="121"/>
      <c r="J7104" s="121"/>
      <c r="K7104" s="121"/>
      <c r="L7104" s="121"/>
      <c r="M7104" s="121"/>
      <c r="N7104" s="560"/>
      <c r="O7104" s="562"/>
      <c r="P7104" s="323"/>
      <c r="Q7104" s="321"/>
      <c r="R7104" s="260"/>
      <c r="S7104" s="260"/>
      <c r="T7104" s="260"/>
      <c r="U7104" s="260"/>
      <c r="V7104" s="260"/>
      <c r="W7104" s="260"/>
      <c r="X7104"/>
      <c r="Y7104"/>
      <c r="Z7104"/>
      <c r="AA7104"/>
      <c r="AB7104"/>
      <c r="AC7104"/>
      <c r="AD7104"/>
      <c r="AE7104"/>
      <c r="AF7104"/>
      <c r="AG7104"/>
      <c r="AH7104"/>
      <c r="AI7104"/>
      <c r="AJ7104"/>
      <c r="AK7104"/>
      <c r="AL7104"/>
      <c r="AM7104"/>
    </row>
    <row r="7105" spans="1:39" s="47" customFormat="1">
      <c r="A7105" s="121"/>
      <c r="B7105" s="121"/>
      <c r="C7105" s="121"/>
      <c r="D7105" s="121"/>
      <c r="E7105" s="121"/>
      <c r="F7105" s="121"/>
      <c r="G7105" s="121"/>
      <c r="H7105" s="121"/>
      <c r="I7105" s="121"/>
      <c r="J7105" s="121"/>
      <c r="K7105" s="121"/>
      <c r="L7105" s="121"/>
      <c r="M7105" s="121"/>
      <c r="N7105" s="560"/>
      <c r="O7105" s="562"/>
      <c r="P7105" s="323"/>
      <c r="Q7105" s="321"/>
      <c r="R7105" s="260"/>
      <c r="S7105" s="260"/>
      <c r="T7105" s="260"/>
      <c r="U7105" s="260"/>
      <c r="V7105" s="260"/>
      <c r="W7105" s="260"/>
      <c r="X7105"/>
      <c r="Y7105"/>
      <c r="Z7105"/>
      <c r="AA7105"/>
      <c r="AB7105"/>
      <c r="AC7105"/>
      <c r="AD7105"/>
      <c r="AE7105"/>
      <c r="AF7105"/>
      <c r="AG7105"/>
      <c r="AH7105"/>
      <c r="AI7105"/>
      <c r="AJ7105"/>
      <c r="AK7105"/>
      <c r="AL7105"/>
      <c r="AM7105"/>
    </row>
    <row r="7106" spans="1:39" s="47" customFormat="1">
      <c r="A7106" s="121"/>
      <c r="B7106" s="121"/>
      <c r="C7106" s="121"/>
      <c r="D7106" s="121"/>
      <c r="E7106" s="121"/>
      <c r="F7106" s="121"/>
      <c r="G7106" s="121"/>
      <c r="H7106" s="121"/>
      <c r="I7106" s="121"/>
      <c r="J7106" s="121"/>
      <c r="K7106" s="121"/>
      <c r="L7106" s="121"/>
      <c r="M7106" s="121"/>
      <c r="N7106" s="560"/>
      <c r="O7106" s="562"/>
      <c r="P7106" s="323"/>
      <c r="Q7106" s="321"/>
      <c r="R7106" s="260"/>
      <c r="S7106" s="260"/>
      <c r="T7106" s="260"/>
      <c r="U7106" s="260"/>
      <c r="V7106" s="260"/>
      <c r="W7106" s="260"/>
      <c r="X7106"/>
      <c r="Y7106"/>
      <c r="Z7106"/>
      <c r="AA7106"/>
      <c r="AB7106"/>
      <c r="AC7106"/>
      <c r="AD7106"/>
      <c r="AE7106"/>
      <c r="AF7106"/>
      <c r="AG7106"/>
      <c r="AH7106"/>
      <c r="AI7106"/>
      <c r="AJ7106"/>
      <c r="AK7106"/>
      <c r="AL7106"/>
      <c r="AM7106"/>
    </row>
    <row r="7107" spans="1:39" s="47" customFormat="1">
      <c r="A7107" s="121"/>
      <c r="B7107" s="121"/>
      <c r="C7107" s="121"/>
      <c r="D7107" s="121"/>
      <c r="E7107" s="121"/>
      <c r="F7107" s="121"/>
      <c r="G7107" s="121"/>
      <c r="H7107" s="121"/>
      <c r="I7107" s="121"/>
      <c r="J7107" s="121"/>
      <c r="K7107" s="121"/>
      <c r="L7107" s="121"/>
      <c r="M7107" s="121"/>
      <c r="N7107" s="560"/>
      <c r="O7107" s="562"/>
      <c r="P7107" s="323"/>
      <c r="Q7107" s="321"/>
      <c r="R7107" s="260"/>
      <c r="S7107" s="260"/>
      <c r="T7107" s="260"/>
      <c r="U7107" s="260"/>
      <c r="V7107" s="260"/>
      <c r="W7107" s="260"/>
      <c r="X7107"/>
      <c r="Y7107"/>
      <c r="Z7107"/>
      <c r="AA7107"/>
      <c r="AB7107"/>
      <c r="AC7107"/>
      <c r="AD7107"/>
      <c r="AE7107"/>
      <c r="AF7107"/>
      <c r="AG7107"/>
      <c r="AH7107"/>
      <c r="AI7107"/>
      <c r="AJ7107"/>
      <c r="AK7107"/>
      <c r="AL7107"/>
      <c r="AM7107"/>
    </row>
    <row r="7108" spans="1:39" s="47" customFormat="1">
      <c r="A7108" s="121"/>
      <c r="B7108" s="121"/>
      <c r="C7108" s="121"/>
      <c r="D7108" s="121"/>
      <c r="E7108" s="121"/>
      <c r="F7108" s="121"/>
      <c r="G7108" s="121"/>
      <c r="H7108" s="121"/>
      <c r="I7108" s="121"/>
      <c r="J7108" s="121"/>
      <c r="K7108" s="121"/>
      <c r="L7108" s="121"/>
      <c r="M7108" s="121"/>
      <c r="N7108" s="560"/>
      <c r="O7108" s="562"/>
      <c r="P7108" s="323"/>
      <c r="Q7108" s="321"/>
      <c r="R7108" s="260"/>
      <c r="S7108" s="260"/>
      <c r="T7108" s="260"/>
      <c r="U7108" s="260"/>
      <c r="V7108" s="260"/>
      <c r="W7108" s="260"/>
      <c r="X7108"/>
      <c r="Y7108"/>
      <c r="Z7108"/>
      <c r="AA7108"/>
      <c r="AB7108"/>
      <c r="AC7108"/>
      <c r="AD7108"/>
      <c r="AE7108"/>
      <c r="AF7108"/>
      <c r="AG7108"/>
      <c r="AH7108"/>
      <c r="AI7108"/>
      <c r="AJ7108"/>
      <c r="AK7108"/>
      <c r="AL7108"/>
      <c r="AM7108"/>
    </row>
    <row r="7109" spans="1:39" s="47" customFormat="1">
      <c r="A7109" s="121"/>
      <c r="B7109" s="121"/>
      <c r="C7109" s="121"/>
      <c r="D7109" s="121"/>
      <c r="E7109" s="121"/>
      <c r="F7109" s="121"/>
      <c r="G7109" s="121"/>
      <c r="H7109" s="121"/>
      <c r="I7109" s="121"/>
      <c r="J7109" s="121"/>
      <c r="K7109" s="121"/>
      <c r="L7109" s="121"/>
      <c r="M7109" s="121"/>
      <c r="N7109" s="560"/>
      <c r="O7109" s="562"/>
      <c r="P7109" s="323"/>
      <c r="Q7109" s="321"/>
      <c r="R7109" s="260"/>
      <c r="S7109" s="260"/>
      <c r="T7109" s="260"/>
      <c r="U7109" s="260"/>
      <c r="V7109" s="260"/>
      <c r="W7109" s="260"/>
      <c r="X7109"/>
      <c r="Y7109"/>
      <c r="Z7109"/>
      <c r="AA7109"/>
      <c r="AB7109"/>
      <c r="AC7109"/>
      <c r="AD7109"/>
      <c r="AE7109"/>
      <c r="AF7109"/>
      <c r="AG7109"/>
      <c r="AH7109"/>
      <c r="AI7109"/>
      <c r="AJ7109"/>
      <c r="AK7109"/>
      <c r="AL7109"/>
      <c r="AM7109"/>
    </row>
    <row r="7110" spans="1:39" s="47" customFormat="1">
      <c r="A7110" s="121"/>
      <c r="B7110" s="121"/>
      <c r="C7110" s="121"/>
      <c r="D7110" s="121"/>
      <c r="E7110" s="121"/>
      <c r="F7110" s="121"/>
      <c r="G7110" s="121"/>
      <c r="H7110" s="121"/>
      <c r="I7110" s="121"/>
      <c r="J7110" s="121"/>
      <c r="K7110" s="121"/>
      <c r="L7110" s="121"/>
      <c r="M7110" s="121"/>
      <c r="N7110" s="560"/>
      <c r="O7110" s="562"/>
      <c r="P7110" s="323"/>
      <c r="Q7110" s="321"/>
      <c r="R7110" s="260"/>
      <c r="S7110" s="260"/>
      <c r="T7110" s="260"/>
      <c r="U7110" s="260"/>
      <c r="V7110" s="260"/>
      <c r="W7110" s="260"/>
      <c r="X7110"/>
      <c r="Y7110"/>
      <c r="Z7110"/>
      <c r="AA7110"/>
      <c r="AB7110"/>
      <c r="AC7110"/>
      <c r="AD7110"/>
      <c r="AE7110"/>
      <c r="AF7110"/>
      <c r="AG7110"/>
      <c r="AH7110"/>
      <c r="AI7110"/>
      <c r="AJ7110"/>
      <c r="AK7110"/>
      <c r="AL7110"/>
      <c r="AM7110"/>
    </row>
    <row r="7111" spans="1:39" s="47" customFormat="1">
      <c r="A7111" s="121"/>
      <c r="B7111" s="121"/>
      <c r="C7111" s="121"/>
      <c r="D7111" s="121"/>
      <c r="E7111" s="121"/>
      <c r="F7111" s="121"/>
      <c r="G7111" s="121"/>
      <c r="H7111" s="121"/>
      <c r="I7111" s="121"/>
      <c r="J7111" s="121"/>
      <c r="K7111" s="121"/>
      <c r="L7111" s="121"/>
      <c r="M7111" s="121"/>
      <c r="N7111" s="560"/>
      <c r="O7111" s="562"/>
      <c r="P7111" s="323"/>
      <c r="Q7111" s="321"/>
      <c r="R7111" s="260"/>
      <c r="S7111" s="260"/>
      <c r="T7111" s="260"/>
      <c r="U7111" s="260"/>
      <c r="V7111" s="260"/>
      <c r="W7111" s="260"/>
      <c r="X7111"/>
      <c r="Y7111"/>
      <c r="Z7111"/>
      <c r="AA7111"/>
      <c r="AB7111"/>
      <c r="AC7111"/>
      <c r="AD7111"/>
      <c r="AE7111"/>
      <c r="AF7111"/>
      <c r="AG7111"/>
      <c r="AH7111"/>
      <c r="AI7111"/>
      <c r="AJ7111"/>
      <c r="AK7111"/>
      <c r="AL7111"/>
      <c r="AM7111"/>
    </row>
    <row r="7112" spans="1:39" s="47" customFormat="1">
      <c r="A7112" s="121"/>
      <c r="B7112" s="121"/>
      <c r="C7112" s="121"/>
      <c r="D7112" s="121"/>
      <c r="E7112" s="121"/>
      <c r="F7112" s="121"/>
      <c r="G7112" s="121"/>
      <c r="H7112" s="121"/>
      <c r="I7112" s="121"/>
      <c r="J7112" s="121"/>
      <c r="K7112" s="121"/>
      <c r="L7112" s="121"/>
      <c r="M7112" s="121"/>
      <c r="N7112" s="560"/>
      <c r="O7112" s="562"/>
      <c r="P7112" s="323"/>
      <c r="Q7112" s="321"/>
      <c r="R7112" s="260"/>
      <c r="S7112" s="260"/>
      <c r="T7112" s="260"/>
      <c r="U7112" s="260"/>
      <c r="V7112" s="260"/>
      <c r="W7112" s="260"/>
      <c r="X7112"/>
      <c r="Y7112"/>
      <c r="Z7112"/>
      <c r="AA7112"/>
      <c r="AB7112"/>
      <c r="AC7112"/>
      <c r="AD7112"/>
      <c r="AE7112"/>
      <c r="AF7112"/>
      <c r="AG7112"/>
      <c r="AH7112"/>
      <c r="AI7112"/>
      <c r="AJ7112"/>
      <c r="AK7112"/>
      <c r="AL7112"/>
      <c r="AM7112"/>
    </row>
    <row r="7113" spans="1:39" s="47" customFormat="1">
      <c r="A7113" s="121"/>
      <c r="B7113" s="121"/>
      <c r="C7113" s="121"/>
      <c r="D7113" s="121"/>
      <c r="E7113" s="121"/>
      <c r="F7113" s="121"/>
      <c r="G7113" s="121"/>
      <c r="H7113" s="121"/>
      <c r="I7113" s="121"/>
      <c r="J7113" s="121"/>
      <c r="K7113" s="121"/>
      <c r="L7113" s="121"/>
      <c r="M7113" s="121"/>
      <c r="N7113" s="560"/>
      <c r="O7113" s="562"/>
      <c r="P7113" s="323"/>
      <c r="Q7113" s="321"/>
      <c r="R7113" s="260"/>
      <c r="S7113" s="260"/>
      <c r="T7113" s="260"/>
      <c r="U7113" s="260"/>
      <c r="V7113" s="260"/>
      <c r="W7113" s="260"/>
      <c r="X7113"/>
      <c r="Y7113"/>
      <c r="Z7113"/>
      <c r="AA7113"/>
      <c r="AB7113"/>
      <c r="AC7113"/>
      <c r="AD7113"/>
      <c r="AE7113"/>
      <c r="AF7113"/>
      <c r="AG7113"/>
      <c r="AH7113"/>
      <c r="AI7113"/>
      <c r="AJ7113"/>
      <c r="AK7113"/>
      <c r="AL7113"/>
      <c r="AM7113"/>
    </row>
    <row r="7114" spans="1:39" s="47" customFormat="1">
      <c r="A7114" s="121"/>
      <c r="B7114" s="121"/>
      <c r="C7114" s="121"/>
      <c r="D7114" s="121"/>
      <c r="E7114" s="121"/>
      <c r="F7114" s="121"/>
      <c r="G7114" s="121"/>
      <c r="H7114" s="121"/>
      <c r="I7114" s="121"/>
      <c r="J7114" s="121"/>
      <c r="K7114" s="121"/>
      <c r="L7114" s="121"/>
      <c r="M7114" s="121"/>
      <c r="N7114" s="560"/>
      <c r="O7114" s="562"/>
      <c r="P7114" s="323"/>
      <c r="Q7114" s="321"/>
      <c r="R7114" s="260"/>
      <c r="S7114" s="260"/>
      <c r="T7114" s="260"/>
      <c r="U7114" s="260"/>
      <c r="V7114" s="260"/>
      <c r="W7114" s="260"/>
      <c r="X7114"/>
      <c r="Y7114"/>
      <c r="Z7114"/>
      <c r="AA7114"/>
      <c r="AB7114"/>
      <c r="AC7114"/>
      <c r="AD7114"/>
      <c r="AE7114"/>
      <c r="AF7114"/>
      <c r="AG7114"/>
      <c r="AH7114"/>
      <c r="AI7114"/>
      <c r="AJ7114"/>
      <c r="AK7114"/>
      <c r="AL7114"/>
      <c r="AM7114"/>
    </row>
    <row r="7115" spans="1:39" s="47" customFormat="1">
      <c r="A7115" s="121"/>
      <c r="B7115" s="121"/>
      <c r="C7115" s="121"/>
      <c r="D7115" s="121"/>
      <c r="E7115" s="121"/>
      <c r="F7115" s="121"/>
      <c r="G7115" s="121"/>
      <c r="H7115" s="121"/>
      <c r="I7115" s="121"/>
      <c r="J7115" s="121"/>
      <c r="K7115" s="121"/>
      <c r="L7115" s="121"/>
      <c r="M7115" s="121"/>
      <c r="N7115" s="560"/>
      <c r="O7115" s="562"/>
      <c r="P7115" s="323"/>
      <c r="Q7115" s="321"/>
      <c r="R7115" s="260"/>
      <c r="S7115" s="260"/>
      <c r="T7115" s="260"/>
      <c r="U7115" s="260"/>
      <c r="V7115" s="260"/>
      <c r="W7115" s="260"/>
      <c r="X7115"/>
      <c r="Y7115"/>
      <c r="Z7115"/>
      <c r="AA7115"/>
      <c r="AB7115"/>
      <c r="AC7115"/>
      <c r="AD7115"/>
      <c r="AE7115"/>
      <c r="AF7115"/>
      <c r="AG7115"/>
      <c r="AH7115"/>
      <c r="AI7115"/>
      <c r="AJ7115"/>
      <c r="AK7115"/>
      <c r="AL7115"/>
      <c r="AM7115"/>
    </row>
    <row r="7116" spans="1:39" s="47" customFormat="1">
      <c r="A7116" s="121"/>
      <c r="B7116" s="121"/>
      <c r="C7116" s="121"/>
      <c r="D7116" s="121"/>
      <c r="E7116" s="121"/>
      <c r="F7116" s="121"/>
      <c r="G7116" s="121"/>
      <c r="H7116" s="121"/>
      <c r="I7116" s="121"/>
      <c r="J7116" s="121"/>
      <c r="K7116" s="121"/>
      <c r="L7116" s="121"/>
      <c r="M7116" s="121"/>
      <c r="N7116" s="560"/>
      <c r="O7116" s="562"/>
      <c r="P7116" s="323"/>
      <c r="Q7116" s="321"/>
      <c r="R7116" s="260"/>
      <c r="S7116" s="260"/>
      <c r="T7116" s="260"/>
      <c r="U7116" s="260"/>
      <c r="V7116" s="260"/>
      <c r="W7116" s="260"/>
      <c r="X7116"/>
      <c r="Y7116"/>
      <c r="Z7116"/>
      <c r="AA7116"/>
      <c r="AB7116"/>
      <c r="AC7116"/>
      <c r="AD7116"/>
      <c r="AE7116"/>
      <c r="AF7116"/>
      <c r="AG7116"/>
      <c r="AH7116"/>
      <c r="AI7116"/>
      <c r="AJ7116"/>
      <c r="AK7116"/>
      <c r="AL7116"/>
      <c r="AM7116"/>
    </row>
    <row r="7117" spans="1:39" s="47" customFormat="1">
      <c r="A7117" s="121"/>
      <c r="B7117" s="121"/>
      <c r="C7117" s="121"/>
      <c r="D7117" s="121"/>
      <c r="E7117" s="121"/>
      <c r="F7117" s="121"/>
      <c r="G7117" s="121"/>
      <c r="H7117" s="121"/>
      <c r="I7117" s="121"/>
      <c r="J7117" s="121"/>
      <c r="K7117" s="121"/>
      <c r="L7117" s="121"/>
      <c r="M7117" s="121"/>
      <c r="N7117" s="560"/>
      <c r="O7117" s="562"/>
      <c r="P7117" s="323"/>
      <c r="Q7117" s="321"/>
      <c r="R7117" s="260"/>
      <c r="S7117" s="260"/>
      <c r="T7117" s="260"/>
      <c r="U7117" s="260"/>
      <c r="V7117" s="260"/>
      <c r="W7117" s="260"/>
      <c r="X7117"/>
      <c r="Y7117"/>
      <c r="Z7117"/>
      <c r="AA7117"/>
      <c r="AB7117"/>
      <c r="AC7117"/>
      <c r="AD7117"/>
      <c r="AE7117"/>
      <c r="AF7117"/>
      <c r="AG7117"/>
      <c r="AH7117"/>
      <c r="AI7117"/>
      <c r="AJ7117"/>
      <c r="AK7117"/>
      <c r="AL7117"/>
      <c r="AM7117"/>
    </row>
    <row r="7118" spans="1:39" s="47" customFormat="1">
      <c r="A7118" s="121"/>
      <c r="B7118" s="121"/>
      <c r="C7118" s="121"/>
      <c r="D7118" s="121"/>
      <c r="E7118" s="121"/>
      <c r="F7118" s="121"/>
      <c r="G7118" s="121"/>
      <c r="H7118" s="121"/>
      <c r="I7118" s="121"/>
      <c r="J7118" s="121"/>
      <c r="K7118" s="121"/>
      <c r="L7118" s="121"/>
      <c r="M7118" s="121"/>
      <c r="N7118" s="560"/>
      <c r="O7118" s="562"/>
      <c r="P7118" s="323"/>
      <c r="Q7118" s="321"/>
      <c r="R7118" s="260"/>
      <c r="S7118" s="260"/>
      <c r="T7118" s="260"/>
      <c r="U7118" s="260"/>
      <c r="V7118" s="260"/>
      <c r="W7118" s="260"/>
      <c r="X7118"/>
      <c r="Y7118"/>
      <c r="Z7118"/>
      <c r="AA7118"/>
      <c r="AB7118"/>
      <c r="AC7118"/>
      <c r="AD7118"/>
      <c r="AE7118"/>
      <c r="AF7118"/>
      <c r="AG7118"/>
      <c r="AH7118"/>
      <c r="AI7118"/>
      <c r="AJ7118"/>
      <c r="AK7118"/>
      <c r="AL7118"/>
      <c r="AM7118"/>
    </row>
    <row r="7119" spans="1:39" s="47" customFormat="1">
      <c r="A7119" s="121"/>
      <c r="B7119" s="121"/>
      <c r="C7119" s="121"/>
      <c r="D7119" s="121"/>
      <c r="E7119" s="121"/>
      <c r="F7119" s="121"/>
      <c r="G7119" s="121"/>
      <c r="H7119" s="121"/>
      <c r="I7119" s="121"/>
      <c r="J7119" s="121"/>
      <c r="K7119" s="121"/>
      <c r="L7119" s="121"/>
      <c r="M7119" s="121"/>
      <c r="N7119" s="560"/>
      <c r="O7119" s="562"/>
      <c r="P7119" s="323"/>
      <c r="Q7119" s="321"/>
      <c r="R7119" s="260"/>
      <c r="S7119" s="260"/>
      <c r="T7119" s="260"/>
      <c r="U7119" s="260"/>
      <c r="V7119" s="260"/>
      <c r="W7119" s="260"/>
      <c r="X7119"/>
      <c r="Y7119"/>
      <c r="Z7119"/>
      <c r="AA7119"/>
      <c r="AB7119"/>
      <c r="AC7119"/>
      <c r="AD7119"/>
      <c r="AE7119"/>
      <c r="AF7119"/>
      <c r="AG7119"/>
      <c r="AH7119"/>
      <c r="AI7119"/>
      <c r="AJ7119"/>
      <c r="AK7119"/>
      <c r="AL7119"/>
      <c r="AM7119"/>
    </row>
    <row r="7120" spans="1:39" s="47" customFormat="1">
      <c r="A7120" s="121"/>
      <c r="B7120" s="121"/>
      <c r="C7120" s="121"/>
      <c r="D7120" s="121"/>
      <c r="E7120" s="121"/>
      <c r="F7120" s="121"/>
      <c r="G7120" s="121"/>
      <c r="H7120" s="121"/>
      <c r="I7120" s="121"/>
      <c r="J7120" s="121"/>
      <c r="K7120" s="121"/>
      <c r="L7120" s="121"/>
      <c r="M7120" s="121"/>
      <c r="N7120" s="560"/>
      <c r="O7120" s="562"/>
      <c r="P7120" s="323"/>
      <c r="Q7120" s="321"/>
      <c r="R7120" s="260"/>
      <c r="S7120" s="260"/>
      <c r="T7120" s="260"/>
      <c r="U7120" s="260"/>
      <c r="V7120" s="260"/>
      <c r="W7120" s="260"/>
      <c r="X7120"/>
      <c r="Y7120"/>
      <c r="Z7120"/>
      <c r="AA7120"/>
      <c r="AB7120"/>
      <c r="AC7120"/>
      <c r="AD7120"/>
      <c r="AE7120"/>
      <c r="AF7120"/>
      <c r="AG7120"/>
      <c r="AH7120"/>
      <c r="AI7120"/>
      <c r="AJ7120"/>
      <c r="AK7120"/>
      <c r="AL7120"/>
      <c r="AM7120"/>
    </row>
    <row r="7121" spans="1:39" s="47" customFormat="1">
      <c r="A7121" s="121"/>
      <c r="B7121" s="121"/>
      <c r="C7121" s="121"/>
      <c r="D7121" s="121"/>
      <c r="E7121" s="121"/>
      <c r="F7121" s="121"/>
      <c r="G7121" s="121"/>
      <c r="H7121" s="121"/>
      <c r="I7121" s="121"/>
      <c r="J7121" s="121"/>
      <c r="K7121" s="121"/>
      <c r="L7121" s="121"/>
      <c r="M7121" s="121"/>
      <c r="N7121" s="560"/>
      <c r="O7121" s="562"/>
      <c r="P7121" s="323"/>
      <c r="Q7121" s="321"/>
      <c r="R7121" s="260"/>
      <c r="S7121" s="260"/>
      <c r="T7121" s="260"/>
      <c r="U7121" s="260"/>
      <c r="V7121" s="260"/>
      <c r="W7121" s="260"/>
      <c r="X7121"/>
      <c r="Y7121"/>
      <c r="Z7121"/>
      <c r="AA7121"/>
      <c r="AB7121"/>
      <c r="AC7121"/>
      <c r="AD7121"/>
      <c r="AE7121"/>
      <c r="AF7121"/>
      <c r="AG7121"/>
      <c r="AH7121"/>
      <c r="AI7121"/>
      <c r="AJ7121"/>
      <c r="AK7121"/>
      <c r="AL7121"/>
      <c r="AM7121"/>
    </row>
    <row r="7122" spans="1:39" s="47" customFormat="1">
      <c r="A7122" s="121"/>
      <c r="B7122" s="121"/>
      <c r="C7122" s="121"/>
      <c r="D7122" s="121"/>
      <c r="E7122" s="121"/>
      <c r="F7122" s="121"/>
      <c r="G7122" s="121"/>
      <c r="H7122" s="121"/>
      <c r="I7122" s="121"/>
      <c r="J7122" s="121"/>
      <c r="K7122" s="121"/>
      <c r="L7122" s="121"/>
      <c r="M7122" s="121"/>
      <c r="N7122" s="560"/>
      <c r="O7122" s="562"/>
      <c r="P7122" s="323"/>
      <c r="Q7122" s="321"/>
      <c r="R7122" s="260"/>
      <c r="S7122" s="260"/>
      <c r="T7122" s="260"/>
      <c r="U7122" s="260"/>
      <c r="V7122" s="260"/>
      <c r="W7122" s="260"/>
      <c r="X7122"/>
      <c r="Y7122"/>
      <c r="Z7122"/>
      <c r="AA7122"/>
      <c r="AB7122"/>
      <c r="AC7122"/>
      <c r="AD7122"/>
      <c r="AE7122"/>
      <c r="AF7122"/>
      <c r="AG7122"/>
      <c r="AH7122"/>
      <c r="AI7122"/>
      <c r="AJ7122"/>
      <c r="AK7122"/>
      <c r="AL7122"/>
      <c r="AM7122"/>
    </row>
    <row r="7123" spans="1:39" s="47" customFormat="1">
      <c r="A7123" s="121"/>
      <c r="B7123" s="121"/>
      <c r="C7123" s="121"/>
      <c r="D7123" s="121"/>
      <c r="E7123" s="121"/>
      <c r="F7123" s="121"/>
      <c r="G7123" s="121"/>
      <c r="H7123" s="121"/>
      <c r="I7123" s="121"/>
      <c r="J7123" s="121"/>
      <c r="K7123" s="121"/>
      <c r="L7123" s="121"/>
      <c r="M7123" s="121"/>
      <c r="N7123" s="560"/>
      <c r="O7123" s="562"/>
      <c r="P7123" s="323"/>
      <c r="Q7123" s="321"/>
      <c r="R7123" s="260"/>
      <c r="S7123" s="260"/>
      <c r="T7123" s="260"/>
      <c r="U7123" s="260"/>
      <c r="V7123" s="260"/>
      <c r="W7123" s="260"/>
      <c r="X7123"/>
      <c r="Y7123"/>
      <c r="Z7123"/>
      <c r="AA7123"/>
      <c r="AB7123"/>
      <c r="AC7123"/>
      <c r="AD7123"/>
      <c r="AE7123"/>
      <c r="AF7123"/>
      <c r="AG7123"/>
      <c r="AH7123"/>
      <c r="AI7123"/>
      <c r="AJ7123"/>
      <c r="AK7123"/>
      <c r="AL7123"/>
      <c r="AM7123"/>
    </row>
    <row r="7124" spans="1:39" s="47" customFormat="1">
      <c r="A7124" s="121"/>
      <c r="B7124" s="121"/>
      <c r="C7124" s="121"/>
      <c r="D7124" s="121"/>
      <c r="E7124" s="121"/>
      <c r="F7124" s="121"/>
      <c r="G7124" s="121"/>
      <c r="H7124" s="121"/>
      <c r="I7124" s="121"/>
      <c r="J7124" s="121"/>
      <c r="K7124" s="121"/>
      <c r="L7124" s="121"/>
      <c r="M7124" s="121"/>
      <c r="N7124" s="560"/>
      <c r="O7124" s="562"/>
      <c r="P7124" s="323"/>
      <c r="Q7124" s="321"/>
      <c r="R7124" s="260"/>
      <c r="S7124" s="260"/>
      <c r="T7124" s="260"/>
      <c r="U7124" s="260"/>
      <c r="V7124" s="260"/>
      <c r="W7124" s="260"/>
      <c r="X7124"/>
      <c r="Y7124"/>
      <c r="Z7124"/>
      <c r="AA7124"/>
      <c r="AB7124"/>
      <c r="AC7124"/>
      <c r="AD7124"/>
      <c r="AE7124"/>
      <c r="AF7124"/>
      <c r="AG7124"/>
      <c r="AH7124"/>
      <c r="AI7124"/>
      <c r="AJ7124"/>
      <c r="AK7124"/>
      <c r="AL7124"/>
      <c r="AM7124"/>
    </row>
    <row r="7125" spans="1:39" s="47" customFormat="1">
      <c r="A7125" s="121"/>
      <c r="B7125" s="121"/>
      <c r="C7125" s="121"/>
      <c r="D7125" s="121"/>
      <c r="E7125" s="121"/>
      <c r="F7125" s="121"/>
      <c r="G7125" s="121"/>
      <c r="H7125" s="121"/>
      <c r="I7125" s="121"/>
      <c r="J7125" s="121"/>
      <c r="K7125" s="121"/>
      <c r="L7125" s="121"/>
      <c r="M7125" s="121"/>
      <c r="N7125" s="560"/>
      <c r="O7125" s="562"/>
      <c r="P7125" s="323"/>
      <c r="Q7125" s="321"/>
      <c r="R7125" s="260"/>
      <c r="S7125" s="260"/>
      <c r="T7125" s="260"/>
      <c r="U7125" s="260"/>
      <c r="V7125" s="260"/>
      <c r="W7125" s="260"/>
      <c r="X7125"/>
      <c r="Y7125"/>
      <c r="Z7125"/>
      <c r="AA7125"/>
      <c r="AB7125"/>
      <c r="AC7125"/>
      <c r="AD7125"/>
      <c r="AE7125"/>
      <c r="AF7125"/>
      <c r="AG7125"/>
      <c r="AH7125"/>
      <c r="AI7125"/>
      <c r="AJ7125"/>
      <c r="AK7125"/>
      <c r="AL7125"/>
      <c r="AM7125"/>
    </row>
    <row r="7126" spans="1:39" s="47" customFormat="1">
      <c r="A7126" s="121"/>
      <c r="B7126" s="121"/>
      <c r="C7126" s="121"/>
      <c r="D7126" s="121"/>
      <c r="E7126" s="121"/>
      <c r="F7126" s="121"/>
      <c r="G7126" s="121"/>
      <c r="H7126" s="121"/>
      <c r="I7126" s="121"/>
      <c r="J7126" s="121"/>
      <c r="K7126" s="121"/>
      <c r="L7126" s="121"/>
      <c r="M7126" s="121"/>
      <c r="N7126" s="560"/>
      <c r="O7126" s="562"/>
      <c r="P7126" s="323"/>
      <c r="Q7126" s="321"/>
      <c r="R7126" s="260"/>
      <c r="S7126" s="260"/>
      <c r="T7126" s="260"/>
      <c r="U7126" s="260"/>
      <c r="V7126" s="260"/>
      <c r="W7126" s="260"/>
      <c r="X7126"/>
      <c r="Y7126"/>
      <c r="Z7126"/>
      <c r="AA7126"/>
      <c r="AB7126"/>
      <c r="AC7126"/>
      <c r="AD7126"/>
      <c r="AE7126"/>
      <c r="AF7126"/>
      <c r="AG7126"/>
      <c r="AH7126"/>
      <c r="AI7126"/>
      <c r="AJ7126"/>
      <c r="AK7126"/>
      <c r="AL7126"/>
      <c r="AM7126"/>
    </row>
    <row r="7127" spans="1:39" s="47" customFormat="1">
      <c r="A7127" s="121"/>
      <c r="B7127" s="121"/>
      <c r="C7127" s="121"/>
      <c r="D7127" s="121"/>
      <c r="E7127" s="121"/>
      <c r="F7127" s="121"/>
      <c r="G7127" s="121"/>
      <c r="H7127" s="121"/>
      <c r="I7127" s="121"/>
      <c r="J7127" s="121"/>
      <c r="K7127" s="121"/>
      <c r="L7127" s="121"/>
      <c r="M7127" s="121"/>
      <c r="N7127" s="560"/>
      <c r="O7127" s="562"/>
      <c r="P7127" s="323"/>
      <c r="Q7127" s="321"/>
      <c r="R7127" s="260"/>
      <c r="S7127" s="260"/>
      <c r="T7127" s="260"/>
      <c r="U7127" s="260"/>
      <c r="V7127" s="260"/>
      <c r="W7127" s="260"/>
      <c r="X7127"/>
      <c r="Y7127"/>
      <c r="Z7127"/>
      <c r="AA7127"/>
      <c r="AB7127"/>
      <c r="AC7127"/>
      <c r="AD7127"/>
      <c r="AE7127"/>
      <c r="AF7127"/>
      <c r="AG7127"/>
      <c r="AH7127"/>
      <c r="AI7127"/>
      <c r="AJ7127"/>
      <c r="AK7127"/>
      <c r="AL7127"/>
      <c r="AM7127"/>
    </row>
    <row r="7128" spans="1:39" s="47" customFormat="1">
      <c r="A7128" s="121"/>
      <c r="B7128" s="121"/>
      <c r="C7128" s="121"/>
      <c r="D7128" s="121"/>
      <c r="E7128" s="121"/>
      <c r="F7128" s="121"/>
      <c r="G7128" s="121"/>
      <c r="H7128" s="121"/>
      <c r="I7128" s="121"/>
      <c r="J7128" s="121"/>
      <c r="K7128" s="121"/>
      <c r="L7128" s="121"/>
      <c r="M7128" s="121"/>
      <c r="N7128" s="560"/>
      <c r="O7128" s="562"/>
      <c r="P7128" s="323"/>
      <c r="Q7128" s="321"/>
      <c r="R7128" s="260"/>
      <c r="S7128" s="260"/>
      <c r="T7128" s="260"/>
      <c r="U7128" s="260"/>
      <c r="V7128" s="260"/>
      <c r="W7128" s="260"/>
      <c r="X7128"/>
      <c r="Y7128"/>
      <c r="Z7128"/>
      <c r="AA7128"/>
      <c r="AB7128"/>
      <c r="AC7128"/>
      <c r="AD7128"/>
      <c r="AE7128"/>
      <c r="AF7128"/>
      <c r="AG7128"/>
      <c r="AH7128"/>
      <c r="AI7128"/>
      <c r="AJ7128"/>
      <c r="AK7128"/>
      <c r="AL7128"/>
      <c r="AM7128"/>
    </row>
    <row r="7129" spans="1:39" s="47" customFormat="1">
      <c r="A7129" s="121"/>
      <c r="B7129" s="121"/>
      <c r="C7129" s="121"/>
      <c r="D7129" s="121"/>
      <c r="E7129" s="121"/>
      <c r="F7129" s="121"/>
      <c r="G7129" s="121"/>
      <c r="H7129" s="121"/>
      <c r="I7129" s="121"/>
      <c r="J7129" s="121"/>
      <c r="K7129" s="121"/>
      <c r="L7129" s="121"/>
      <c r="M7129" s="121"/>
      <c r="N7129" s="560"/>
      <c r="O7129" s="562"/>
      <c r="P7129" s="323"/>
      <c r="Q7129" s="321"/>
      <c r="R7129" s="260"/>
      <c r="S7129" s="260"/>
      <c r="T7129" s="260"/>
      <c r="U7129" s="260"/>
      <c r="V7129" s="260"/>
      <c r="W7129" s="260"/>
      <c r="X7129"/>
      <c r="Y7129"/>
      <c r="Z7129"/>
      <c r="AA7129"/>
      <c r="AB7129"/>
      <c r="AC7129"/>
      <c r="AD7129"/>
      <c r="AE7129"/>
      <c r="AF7129"/>
      <c r="AG7129"/>
      <c r="AH7129"/>
      <c r="AI7129"/>
      <c r="AJ7129"/>
      <c r="AK7129"/>
      <c r="AL7129"/>
      <c r="AM7129"/>
    </row>
    <row r="7130" spans="1:39" s="47" customFormat="1">
      <c r="A7130" s="121"/>
      <c r="B7130" s="121"/>
      <c r="C7130" s="121"/>
      <c r="D7130" s="121"/>
      <c r="E7130" s="121"/>
      <c r="F7130" s="121"/>
      <c r="G7130" s="121"/>
      <c r="H7130" s="121"/>
      <c r="I7130" s="121"/>
      <c r="J7130" s="121"/>
      <c r="K7130" s="121"/>
      <c r="L7130" s="121"/>
      <c r="M7130" s="121"/>
      <c r="N7130" s="560"/>
      <c r="O7130" s="562"/>
      <c r="P7130" s="323"/>
      <c r="Q7130" s="321"/>
      <c r="R7130" s="260"/>
      <c r="S7130" s="260"/>
      <c r="T7130" s="260"/>
      <c r="U7130" s="260"/>
      <c r="V7130" s="260"/>
      <c r="W7130" s="260"/>
      <c r="X7130"/>
      <c r="Y7130"/>
      <c r="Z7130"/>
      <c r="AA7130"/>
      <c r="AB7130"/>
      <c r="AC7130"/>
      <c r="AD7130"/>
      <c r="AE7130"/>
      <c r="AF7130"/>
      <c r="AG7130"/>
      <c r="AH7130"/>
      <c r="AI7130"/>
      <c r="AJ7130"/>
      <c r="AK7130"/>
      <c r="AL7130"/>
      <c r="AM7130"/>
    </row>
    <row r="7131" spans="1:39" s="47" customFormat="1">
      <c r="A7131" s="121"/>
      <c r="B7131" s="121"/>
      <c r="C7131" s="121"/>
      <c r="D7131" s="121"/>
      <c r="E7131" s="121"/>
      <c r="F7131" s="121"/>
      <c r="G7131" s="121"/>
      <c r="H7131" s="121"/>
      <c r="I7131" s="121"/>
      <c r="J7131" s="121"/>
      <c r="K7131" s="121"/>
      <c r="L7131" s="121"/>
      <c r="M7131" s="121"/>
      <c r="N7131" s="560"/>
      <c r="O7131" s="562"/>
      <c r="P7131" s="323"/>
      <c r="Q7131" s="321"/>
      <c r="R7131" s="260"/>
      <c r="S7131" s="260"/>
      <c r="T7131" s="260"/>
      <c r="U7131" s="260"/>
      <c r="V7131" s="260"/>
      <c r="W7131" s="260"/>
      <c r="X7131"/>
      <c r="Y7131"/>
      <c r="Z7131"/>
      <c r="AA7131"/>
      <c r="AB7131"/>
      <c r="AC7131"/>
      <c r="AD7131"/>
      <c r="AE7131"/>
      <c r="AF7131"/>
      <c r="AG7131"/>
      <c r="AH7131"/>
      <c r="AI7131"/>
      <c r="AJ7131"/>
      <c r="AK7131"/>
      <c r="AL7131"/>
      <c r="AM7131"/>
    </row>
    <row r="7132" spans="1:39" s="47" customFormat="1">
      <c r="A7132" s="121"/>
      <c r="B7132" s="121"/>
      <c r="C7132" s="121"/>
      <c r="D7132" s="121"/>
      <c r="E7132" s="121"/>
      <c r="F7132" s="121"/>
      <c r="G7132" s="121"/>
      <c r="H7132" s="121"/>
      <c r="I7132" s="121"/>
      <c r="J7132" s="121"/>
      <c r="K7132" s="121"/>
      <c r="L7132" s="121"/>
      <c r="M7132" s="121"/>
      <c r="N7132" s="560"/>
      <c r="O7132" s="562"/>
      <c r="P7132" s="323"/>
      <c r="Q7132" s="321"/>
      <c r="R7132" s="260"/>
      <c r="S7132" s="260"/>
      <c r="T7132" s="260"/>
      <c r="U7132" s="260"/>
      <c r="V7132" s="260"/>
      <c r="W7132" s="260"/>
      <c r="X7132"/>
      <c r="Y7132"/>
      <c r="Z7132"/>
      <c r="AA7132"/>
      <c r="AB7132"/>
      <c r="AC7132"/>
      <c r="AD7132"/>
      <c r="AE7132"/>
      <c r="AF7132"/>
      <c r="AG7132"/>
      <c r="AH7132"/>
      <c r="AI7132"/>
      <c r="AJ7132"/>
      <c r="AK7132"/>
      <c r="AL7132"/>
      <c r="AM7132"/>
    </row>
    <row r="7133" spans="1:39" s="47" customFormat="1">
      <c r="A7133" s="121"/>
      <c r="B7133" s="121"/>
      <c r="C7133" s="121"/>
      <c r="D7133" s="121"/>
      <c r="E7133" s="121"/>
      <c r="F7133" s="121"/>
      <c r="G7133" s="121"/>
      <c r="H7133" s="121"/>
      <c r="I7133" s="121"/>
      <c r="J7133" s="121"/>
      <c r="K7133" s="121"/>
      <c r="L7133" s="121"/>
      <c r="M7133" s="121"/>
      <c r="N7133" s="560"/>
      <c r="O7133" s="562"/>
      <c r="P7133" s="323"/>
      <c r="Q7133" s="321"/>
      <c r="R7133" s="260"/>
      <c r="S7133" s="260"/>
      <c r="T7133" s="260"/>
      <c r="U7133" s="260"/>
      <c r="V7133" s="260"/>
      <c r="W7133" s="260"/>
      <c r="X7133"/>
      <c r="Y7133"/>
      <c r="Z7133"/>
      <c r="AA7133"/>
      <c r="AB7133"/>
      <c r="AC7133"/>
      <c r="AD7133"/>
      <c r="AE7133"/>
      <c r="AF7133"/>
      <c r="AG7133"/>
      <c r="AH7133"/>
      <c r="AI7133"/>
      <c r="AJ7133"/>
      <c r="AK7133"/>
      <c r="AL7133"/>
      <c r="AM7133"/>
    </row>
    <row r="7134" spans="1:39" s="47" customFormat="1">
      <c r="A7134" s="121"/>
      <c r="B7134" s="121"/>
      <c r="C7134" s="121"/>
      <c r="D7134" s="121"/>
      <c r="E7134" s="121"/>
      <c r="F7134" s="121"/>
      <c r="G7134" s="121"/>
      <c r="H7134" s="121"/>
      <c r="I7134" s="121"/>
      <c r="J7134" s="121"/>
      <c r="K7134" s="121"/>
      <c r="L7134" s="121"/>
      <c r="M7134" s="121"/>
      <c r="N7134" s="560"/>
      <c r="O7134" s="562"/>
      <c r="P7134" s="323"/>
      <c r="Q7134" s="321"/>
      <c r="R7134" s="260"/>
      <c r="S7134" s="260"/>
      <c r="T7134" s="260"/>
      <c r="U7134" s="260"/>
      <c r="V7134" s="260"/>
      <c r="W7134" s="260"/>
      <c r="X7134"/>
      <c r="Y7134"/>
      <c r="Z7134"/>
      <c r="AA7134"/>
      <c r="AB7134"/>
      <c r="AC7134"/>
      <c r="AD7134"/>
      <c r="AE7134"/>
      <c r="AF7134"/>
      <c r="AG7134"/>
      <c r="AH7134"/>
      <c r="AI7134"/>
      <c r="AJ7134"/>
      <c r="AK7134"/>
      <c r="AL7134"/>
      <c r="AM7134"/>
    </row>
    <row r="7135" spans="1:39" s="47" customFormat="1">
      <c r="A7135" s="121"/>
      <c r="B7135" s="121"/>
      <c r="C7135" s="121"/>
      <c r="D7135" s="121"/>
      <c r="E7135" s="121"/>
      <c r="F7135" s="121"/>
      <c r="G7135" s="121"/>
      <c r="H7135" s="121"/>
      <c r="I7135" s="121"/>
      <c r="J7135" s="121"/>
      <c r="K7135" s="121"/>
      <c r="L7135" s="121"/>
      <c r="M7135" s="121"/>
      <c r="N7135" s="560"/>
      <c r="O7135" s="562"/>
      <c r="P7135" s="323"/>
      <c r="Q7135" s="321"/>
      <c r="R7135" s="260"/>
      <c r="S7135" s="260"/>
      <c r="T7135" s="260"/>
      <c r="U7135" s="260"/>
      <c r="V7135" s="260"/>
      <c r="W7135" s="260"/>
      <c r="X7135"/>
      <c r="Y7135"/>
      <c r="Z7135"/>
      <c r="AA7135"/>
      <c r="AB7135"/>
      <c r="AC7135"/>
      <c r="AD7135"/>
      <c r="AE7135"/>
      <c r="AF7135"/>
      <c r="AG7135"/>
      <c r="AH7135"/>
      <c r="AI7135"/>
      <c r="AJ7135"/>
      <c r="AK7135"/>
      <c r="AL7135"/>
      <c r="AM7135"/>
    </row>
    <row r="7136" spans="1:39" s="47" customFormat="1">
      <c r="A7136" s="121"/>
      <c r="B7136" s="121"/>
      <c r="C7136" s="121"/>
      <c r="D7136" s="121"/>
      <c r="E7136" s="121"/>
      <c r="F7136" s="121"/>
      <c r="G7136" s="121"/>
      <c r="H7136" s="121"/>
      <c r="I7136" s="121"/>
      <c r="J7136" s="121"/>
      <c r="K7136" s="121"/>
      <c r="L7136" s="121"/>
      <c r="M7136" s="121"/>
      <c r="N7136" s="560"/>
      <c r="O7136" s="562"/>
      <c r="P7136" s="323"/>
      <c r="Q7136" s="321"/>
      <c r="R7136" s="260"/>
      <c r="S7136" s="260"/>
      <c r="T7136" s="260"/>
      <c r="U7136" s="260"/>
      <c r="V7136" s="260"/>
      <c r="W7136" s="260"/>
      <c r="X7136"/>
      <c r="Y7136"/>
      <c r="Z7136"/>
      <c r="AA7136"/>
      <c r="AB7136"/>
      <c r="AC7136"/>
      <c r="AD7136"/>
      <c r="AE7136"/>
      <c r="AF7136"/>
      <c r="AG7136"/>
      <c r="AH7136"/>
      <c r="AI7136"/>
      <c r="AJ7136"/>
      <c r="AK7136"/>
      <c r="AL7136"/>
      <c r="AM7136"/>
    </row>
    <row r="7137" spans="1:39" s="47" customFormat="1">
      <c r="A7137" s="121"/>
      <c r="B7137" s="121"/>
      <c r="C7137" s="121"/>
      <c r="D7137" s="121"/>
      <c r="E7137" s="121"/>
      <c r="F7137" s="121"/>
      <c r="G7137" s="121"/>
      <c r="H7137" s="121"/>
      <c r="I7137" s="121"/>
      <c r="J7137" s="121"/>
      <c r="K7137" s="121"/>
      <c r="L7137" s="121"/>
      <c r="M7137" s="121"/>
      <c r="N7137" s="560"/>
      <c r="O7137" s="562"/>
      <c r="P7137" s="323"/>
      <c r="Q7137" s="321"/>
      <c r="R7137" s="260"/>
      <c r="S7137" s="260"/>
      <c r="T7137" s="260"/>
      <c r="U7137" s="260"/>
      <c r="V7137" s="260"/>
      <c r="W7137" s="260"/>
      <c r="X7137"/>
      <c r="Y7137"/>
      <c r="Z7137"/>
      <c r="AA7137"/>
      <c r="AB7137"/>
      <c r="AC7137"/>
      <c r="AD7137"/>
      <c r="AE7137"/>
      <c r="AF7137"/>
      <c r="AG7137"/>
      <c r="AH7137"/>
      <c r="AI7137"/>
      <c r="AJ7137"/>
      <c r="AK7137"/>
      <c r="AL7137"/>
      <c r="AM7137"/>
    </row>
    <row r="7138" spans="1:39" s="47" customFormat="1">
      <c r="A7138" s="121"/>
      <c r="B7138" s="121"/>
      <c r="C7138" s="121"/>
      <c r="D7138" s="121"/>
      <c r="E7138" s="121"/>
      <c r="F7138" s="121"/>
      <c r="G7138" s="121"/>
      <c r="H7138" s="121"/>
      <c r="I7138" s="121"/>
      <c r="J7138" s="121"/>
      <c r="K7138" s="121"/>
      <c r="L7138" s="121"/>
      <c r="M7138" s="121"/>
      <c r="N7138" s="560"/>
      <c r="O7138" s="562"/>
      <c r="P7138" s="323"/>
      <c r="Q7138" s="321"/>
      <c r="R7138" s="260"/>
      <c r="S7138" s="260"/>
      <c r="T7138" s="260"/>
      <c r="U7138" s="260"/>
      <c r="V7138" s="260"/>
      <c r="W7138" s="260"/>
      <c r="X7138"/>
      <c r="Y7138"/>
      <c r="Z7138"/>
      <c r="AA7138"/>
      <c r="AB7138"/>
      <c r="AC7138"/>
      <c r="AD7138"/>
      <c r="AE7138"/>
      <c r="AF7138"/>
      <c r="AG7138"/>
      <c r="AH7138"/>
      <c r="AI7138"/>
      <c r="AJ7138"/>
      <c r="AK7138"/>
      <c r="AL7138"/>
      <c r="AM7138"/>
    </row>
    <row r="7139" spans="1:39" s="47" customFormat="1">
      <c r="A7139" s="121"/>
      <c r="B7139" s="121"/>
      <c r="C7139" s="121"/>
      <c r="D7139" s="121"/>
      <c r="E7139" s="121"/>
      <c r="F7139" s="121"/>
      <c r="G7139" s="121"/>
      <c r="H7139" s="121"/>
      <c r="I7139" s="121"/>
      <c r="J7139" s="121"/>
      <c r="K7139" s="121"/>
      <c r="L7139" s="121"/>
      <c r="M7139" s="121"/>
      <c r="N7139" s="560"/>
      <c r="O7139" s="562"/>
      <c r="P7139" s="323"/>
      <c r="Q7139" s="321"/>
      <c r="R7139" s="260"/>
      <c r="S7139" s="260"/>
      <c r="T7139" s="260"/>
      <c r="U7139" s="260"/>
      <c r="V7139" s="260"/>
      <c r="W7139" s="260"/>
      <c r="X7139"/>
      <c r="Y7139"/>
      <c r="Z7139"/>
      <c r="AA7139"/>
      <c r="AB7139"/>
      <c r="AC7139"/>
      <c r="AD7139"/>
      <c r="AE7139"/>
      <c r="AF7139"/>
      <c r="AG7139"/>
      <c r="AH7139"/>
      <c r="AI7139"/>
      <c r="AJ7139"/>
      <c r="AK7139"/>
      <c r="AL7139"/>
      <c r="AM7139"/>
    </row>
    <row r="7140" spans="1:39" s="47" customFormat="1">
      <c r="A7140" s="121"/>
      <c r="B7140" s="121"/>
      <c r="C7140" s="121"/>
      <c r="D7140" s="121"/>
      <c r="E7140" s="121"/>
      <c r="F7140" s="121"/>
      <c r="G7140" s="121"/>
      <c r="H7140" s="121"/>
      <c r="I7140" s="121"/>
      <c r="J7140" s="121"/>
      <c r="K7140" s="121"/>
      <c r="L7140" s="121"/>
      <c r="M7140" s="121"/>
      <c r="N7140" s="560"/>
      <c r="O7140" s="562"/>
      <c r="P7140" s="323"/>
      <c r="Q7140" s="321"/>
      <c r="R7140" s="260"/>
      <c r="S7140" s="260"/>
      <c r="T7140" s="260"/>
      <c r="U7140" s="260"/>
      <c r="V7140" s="260"/>
      <c r="W7140" s="260"/>
      <c r="X7140"/>
      <c r="Y7140"/>
      <c r="Z7140"/>
      <c r="AA7140"/>
      <c r="AB7140"/>
      <c r="AC7140"/>
      <c r="AD7140"/>
      <c r="AE7140"/>
      <c r="AF7140"/>
      <c r="AG7140"/>
      <c r="AH7140"/>
      <c r="AI7140"/>
      <c r="AJ7140"/>
      <c r="AK7140"/>
      <c r="AL7140"/>
      <c r="AM7140"/>
    </row>
    <row r="7141" spans="1:39" s="47" customFormat="1">
      <c r="A7141" s="121"/>
      <c r="B7141" s="121"/>
      <c r="C7141" s="121"/>
      <c r="D7141" s="121"/>
      <c r="E7141" s="121"/>
      <c r="F7141" s="121"/>
      <c r="G7141" s="121"/>
      <c r="H7141" s="121"/>
      <c r="I7141" s="121"/>
      <c r="J7141" s="121"/>
      <c r="K7141" s="121"/>
      <c r="L7141" s="121"/>
      <c r="M7141" s="121"/>
      <c r="N7141" s="560"/>
      <c r="O7141" s="562"/>
      <c r="P7141" s="323"/>
      <c r="Q7141" s="321"/>
      <c r="R7141" s="260"/>
      <c r="S7141" s="260"/>
      <c r="T7141" s="260"/>
      <c r="U7141" s="260"/>
      <c r="V7141" s="260"/>
      <c r="W7141" s="260"/>
      <c r="X7141"/>
      <c r="Y7141"/>
      <c r="Z7141"/>
      <c r="AA7141"/>
      <c r="AB7141"/>
      <c r="AC7141"/>
      <c r="AD7141"/>
      <c r="AE7141"/>
      <c r="AF7141"/>
      <c r="AG7141"/>
      <c r="AH7141"/>
      <c r="AI7141"/>
      <c r="AJ7141"/>
      <c r="AK7141"/>
      <c r="AL7141"/>
      <c r="AM7141"/>
    </row>
    <row r="7142" spans="1:39" s="47" customFormat="1">
      <c r="A7142" s="121"/>
      <c r="B7142" s="121"/>
      <c r="C7142" s="121"/>
      <c r="D7142" s="121"/>
      <c r="E7142" s="121"/>
      <c r="F7142" s="121"/>
      <c r="G7142" s="121"/>
      <c r="H7142" s="121"/>
      <c r="I7142" s="121"/>
      <c r="J7142" s="121"/>
      <c r="K7142" s="121"/>
      <c r="L7142" s="121"/>
      <c r="M7142" s="121"/>
      <c r="N7142" s="560"/>
      <c r="O7142" s="562"/>
      <c r="P7142" s="323"/>
      <c r="Q7142" s="321"/>
      <c r="R7142" s="260"/>
      <c r="S7142" s="260"/>
      <c r="T7142" s="260"/>
      <c r="U7142" s="260"/>
      <c r="V7142" s="260"/>
      <c r="W7142" s="260"/>
      <c r="X7142"/>
      <c r="Y7142"/>
      <c r="Z7142"/>
      <c r="AA7142"/>
      <c r="AB7142"/>
      <c r="AC7142"/>
      <c r="AD7142"/>
      <c r="AE7142"/>
      <c r="AF7142"/>
      <c r="AG7142"/>
      <c r="AH7142"/>
      <c r="AI7142"/>
      <c r="AJ7142"/>
      <c r="AK7142"/>
      <c r="AL7142"/>
      <c r="AM7142"/>
    </row>
    <row r="7143" spans="1:39" s="47" customFormat="1">
      <c r="A7143" s="121"/>
      <c r="B7143" s="121"/>
      <c r="C7143" s="121"/>
      <c r="D7143" s="121"/>
      <c r="E7143" s="121"/>
      <c r="F7143" s="121"/>
      <c r="G7143" s="121"/>
      <c r="H7143" s="121"/>
      <c r="I7143" s="121"/>
      <c r="J7143" s="121"/>
      <c r="K7143" s="121"/>
      <c r="L7143" s="121"/>
      <c r="M7143" s="121"/>
      <c r="N7143" s="560"/>
      <c r="O7143" s="562"/>
      <c r="P7143" s="323"/>
      <c r="Q7143" s="321"/>
      <c r="R7143" s="260"/>
      <c r="S7143" s="260"/>
      <c r="T7143" s="260"/>
      <c r="U7143" s="260"/>
      <c r="V7143" s="260"/>
      <c r="W7143" s="260"/>
      <c r="X7143"/>
      <c r="Y7143"/>
      <c r="Z7143"/>
      <c r="AA7143"/>
      <c r="AB7143"/>
      <c r="AC7143"/>
      <c r="AD7143"/>
      <c r="AE7143"/>
      <c r="AF7143"/>
      <c r="AG7143"/>
      <c r="AH7143"/>
      <c r="AI7143"/>
      <c r="AJ7143"/>
      <c r="AK7143"/>
      <c r="AL7143"/>
      <c r="AM7143"/>
    </row>
    <row r="7144" spans="1:39" s="47" customFormat="1">
      <c r="A7144" s="121"/>
      <c r="B7144" s="121"/>
      <c r="C7144" s="121"/>
      <c r="D7144" s="121"/>
      <c r="E7144" s="121"/>
      <c r="F7144" s="121"/>
      <c r="G7144" s="121"/>
      <c r="H7144" s="121"/>
      <c r="I7144" s="121"/>
      <c r="J7144" s="121"/>
      <c r="K7144" s="121"/>
      <c r="L7144" s="121"/>
      <c r="M7144" s="121"/>
      <c r="N7144" s="560"/>
      <c r="O7144" s="562"/>
      <c r="P7144" s="323"/>
      <c r="Q7144" s="321"/>
      <c r="R7144" s="260"/>
      <c r="S7144" s="260"/>
      <c r="T7144" s="260"/>
      <c r="U7144" s="260"/>
      <c r="V7144" s="260"/>
      <c r="W7144" s="260"/>
      <c r="X7144"/>
      <c r="Y7144"/>
      <c r="Z7144"/>
      <c r="AA7144"/>
      <c r="AB7144"/>
      <c r="AC7144"/>
      <c r="AD7144"/>
      <c r="AE7144"/>
      <c r="AF7144"/>
      <c r="AG7144"/>
      <c r="AH7144"/>
      <c r="AI7144"/>
      <c r="AJ7144"/>
      <c r="AK7144"/>
      <c r="AL7144"/>
      <c r="AM7144"/>
    </row>
    <row r="7145" spans="1:39" s="47" customFormat="1">
      <c r="A7145" s="121"/>
      <c r="B7145" s="121"/>
      <c r="C7145" s="121"/>
      <c r="D7145" s="121"/>
      <c r="E7145" s="121"/>
      <c r="F7145" s="121"/>
      <c r="G7145" s="121"/>
      <c r="H7145" s="121"/>
      <c r="I7145" s="121"/>
      <c r="J7145" s="121"/>
      <c r="K7145" s="121"/>
      <c r="L7145" s="121"/>
      <c r="M7145" s="121"/>
      <c r="N7145" s="560"/>
      <c r="O7145" s="562"/>
      <c r="P7145" s="323"/>
      <c r="Q7145" s="321"/>
      <c r="R7145" s="260"/>
      <c r="S7145" s="260"/>
      <c r="T7145" s="260"/>
      <c r="U7145" s="260"/>
      <c r="V7145" s="260"/>
      <c r="W7145" s="260"/>
      <c r="X7145"/>
      <c r="Y7145"/>
      <c r="Z7145"/>
      <c r="AA7145"/>
      <c r="AB7145"/>
      <c r="AC7145"/>
      <c r="AD7145"/>
      <c r="AE7145"/>
      <c r="AF7145"/>
      <c r="AG7145"/>
      <c r="AH7145"/>
      <c r="AI7145"/>
      <c r="AJ7145"/>
      <c r="AK7145"/>
      <c r="AL7145"/>
      <c r="AM7145"/>
    </row>
    <row r="7146" spans="1:39" s="47" customFormat="1">
      <c r="A7146" s="121"/>
      <c r="B7146" s="121"/>
      <c r="C7146" s="121"/>
      <c r="D7146" s="121"/>
      <c r="E7146" s="121"/>
      <c r="F7146" s="121"/>
      <c r="G7146" s="121"/>
      <c r="H7146" s="121"/>
      <c r="I7146" s="121"/>
      <c r="J7146" s="121"/>
      <c r="K7146" s="121"/>
      <c r="L7146" s="121"/>
      <c r="M7146" s="121"/>
      <c r="N7146" s="560"/>
      <c r="O7146" s="562"/>
      <c r="P7146" s="323"/>
      <c r="Q7146" s="321"/>
      <c r="R7146" s="260"/>
      <c r="S7146" s="260"/>
      <c r="T7146" s="260"/>
      <c r="U7146" s="260"/>
      <c r="V7146" s="260"/>
      <c r="W7146" s="260"/>
      <c r="X7146"/>
      <c r="Y7146"/>
      <c r="Z7146"/>
      <c r="AA7146"/>
      <c r="AB7146"/>
      <c r="AC7146"/>
      <c r="AD7146"/>
      <c r="AE7146"/>
      <c r="AF7146"/>
      <c r="AG7146"/>
      <c r="AH7146"/>
      <c r="AI7146"/>
      <c r="AJ7146"/>
      <c r="AK7146"/>
      <c r="AL7146"/>
      <c r="AM7146"/>
    </row>
    <row r="7147" spans="1:39" s="47" customFormat="1">
      <c r="A7147" s="121"/>
      <c r="B7147" s="121"/>
      <c r="C7147" s="121"/>
      <c r="D7147" s="121"/>
      <c r="E7147" s="121"/>
      <c r="F7147" s="121"/>
      <c r="G7147" s="121"/>
      <c r="H7147" s="121"/>
      <c r="I7147" s="121"/>
      <c r="J7147" s="121"/>
      <c r="K7147" s="121"/>
      <c r="L7147" s="121"/>
      <c r="M7147" s="121"/>
      <c r="N7147" s="560"/>
      <c r="O7147" s="562"/>
      <c r="P7147" s="323"/>
      <c r="Q7147" s="321"/>
      <c r="R7147" s="260"/>
      <c r="S7147" s="260"/>
      <c r="T7147" s="260"/>
      <c r="U7147" s="260"/>
      <c r="V7147" s="260"/>
      <c r="W7147" s="260"/>
      <c r="X7147"/>
      <c r="Y7147"/>
      <c r="Z7147"/>
      <c r="AA7147"/>
      <c r="AB7147"/>
      <c r="AC7147"/>
      <c r="AD7147"/>
      <c r="AE7147"/>
      <c r="AF7147"/>
      <c r="AG7147"/>
      <c r="AH7147"/>
      <c r="AI7147"/>
      <c r="AJ7147"/>
      <c r="AK7147"/>
      <c r="AL7147"/>
      <c r="AM7147"/>
    </row>
    <row r="7148" spans="1:39" s="47" customFormat="1">
      <c r="A7148" s="121"/>
      <c r="B7148" s="121"/>
      <c r="C7148" s="121"/>
      <c r="D7148" s="121"/>
      <c r="E7148" s="121"/>
      <c r="F7148" s="121"/>
      <c r="G7148" s="121"/>
      <c r="H7148" s="121"/>
      <c r="I7148" s="121"/>
      <c r="J7148" s="121"/>
      <c r="K7148" s="121"/>
      <c r="L7148" s="121"/>
      <c r="M7148" s="121"/>
      <c r="N7148" s="560"/>
      <c r="O7148" s="562"/>
      <c r="P7148" s="323"/>
      <c r="Q7148" s="321"/>
      <c r="R7148" s="260"/>
      <c r="S7148" s="260"/>
      <c r="T7148" s="260"/>
      <c r="U7148" s="260"/>
      <c r="V7148" s="260"/>
      <c r="W7148" s="260"/>
      <c r="X7148"/>
      <c r="Y7148"/>
      <c r="Z7148"/>
      <c r="AA7148"/>
      <c r="AB7148"/>
      <c r="AC7148"/>
      <c r="AD7148"/>
      <c r="AE7148"/>
      <c r="AF7148"/>
      <c r="AG7148"/>
      <c r="AH7148"/>
      <c r="AI7148"/>
      <c r="AJ7148"/>
      <c r="AK7148"/>
      <c r="AL7148"/>
      <c r="AM7148"/>
    </row>
    <row r="7149" spans="1:39" s="47" customFormat="1">
      <c r="A7149" s="121"/>
      <c r="B7149" s="121"/>
      <c r="C7149" s="121"/>
      <c r="D7149" s="121"/>
      <c r="E7149" s="121"/>
      <c r="F7149" s="121"/>
      <c r="G7149" s="121"/>
      <c r="H7149" s="121"/>
      <c r="I7149" s="121"/>
      <c r="J7149" s="121"/>
      <c r="K7149" s="121"/>
      <c r="L7149" s="121"/>
      <c r="M7149" s="121"/>
      <c r="N7149" s="560"/>
      <c r="O7149" s="562"/>
      <c r="P7149" s="323"/>
      <c r="Q7149" s="321"/>
      <c r="R7149" s="260"/>
      <c r="S7149" s="260"/>
      <c r="T7149" s="260"/>
      <c r="U7149" s="260"/>
      <c r="V7149" s="260"/>
      <c r="W7149" s="260"/>
      <c r="X7149"/>
      <c r="Y7149"/>
      <c r="Z7149"/>
      <c r="AA7149"/>
      <c r="AB7149"/>
      <c r="AC7149"/>
      <c r="AD7149"/>
      <c r="AE7149"/>
      <c r="AF7149"/>
      <c r="AG7149"/>
      <c r="AH7149"/>
      <c r="AI7149"/>
      <c r="AJ7149"/>
      <c r="AK7149"/>
      <c r="AL7149"/>
      <c r="AM7149"/>
    </row>
    <row r="7150" spans="1:39" s="47" customFormat="1">
      <c r="A7150" s="121"/>
      <c r="B7150" s="121"/>
      <c r="C7150" s="121"/>
      <c r="D7150" s="121"/>
      <c r="E7150" s="121"/>
      <c r="F7150" s="121"/>
      <c r="G7150" s="121"/>
      <c r="H7150" s="121"/>
      <c r="I7150" s="121"/>
      <c r="J7150" s="121"/>
      <c r="K7150" s="121"/>
      <c r="L7150" s="121"/>
      <c r="M7150" s="121"/>
      <c r="N7150" s="560"/>
      <c r="O7150" s="562"/>
      <c r="P7150" s="323"/>
      <c r="Q7150" s="321"/>
      <c r="R7150" s="260"/>
      <c r="S7150" s="260"/>
      <c r="T7150" s="260"/>
      <c r="U7150" s="260"/>
      <c r="V7150" s="260"/>
      <c r="W7150" s="260"/>
      <c r="X7150"/>
      <c r="Y7150"/>
      <c r="Z7150"/>
      <c r="AA7150"/>
      <c r="AB7150"/>
      <c r="AC7150"/>
      <c r="AD7150"/>
      <c r="AE7150"/>
      <c r="AF7150"/>
      <c r="AG7150"/>
      <c r="AH7150"/>
      <c r="AI7150"/>
      <c r="AJ7150"/>
      <c r="AK7150"/>
      <c r="AL7150"/>
      <c r="AM7150"/>
    </row>
    <row r="7151" spans="1:39" s="47" customFormat="1">
      <c r="A7151" s="121"/>
      <c r="B7151" s="121"/>
      <c r="C7151" s="121"/>
      <c r="D7151" s="121"/>
      <c r="E7151" s="121"/>
      <c r="F7151" s="121"/>
      <c r="G7151" s="121"/>
      <c r="H7151" s="121"/>
      <c r="I7151" s="121"/>
      <c r="J7151" s="121"/>
      <c r="K7151" s="121"/>
      <c r="L7151" s="121"/>
      <c r="M7151" s="121"/>
      <c r="N7151" s="560"/>
      <c r="O7151" s="562"/>
      <c r="P7151" s="323"/>
      <c r="Q7151" s="321"/>
      <c r="R7151" s="260"/>
      <c r="S7151" s="260"/>
      <c r="T7151" s="260"/>
      <c r="U7151" s="260"/>
      <c r="V7151" s="260"/>
      <c r="W7151" s="260"/>
      <c r="X7151"/>
      <c r="Y7151"/>
      <c r="Z7151"/>
      <c r="AA7151"/>
      <c r="AB7151"/>
      <c r="AC7151"/>
      <c r="AD7151"/>
      <c r="AE7151"/>
      <c r="AF7151"/>
      <c r="AG7151"/>
      <c r="AH7151"/>
      <c r="AI7151"/>
      <c r="AJ7151"/>
      <c r="AK7151"/>
      <c r="AL7151"/>
      <c r="AM7151"/>
    </row>
    <row r="7152" spans="1:39" s="47" customFormat="1">
      <c r="A7152" s="121"/>
      <c r="B7152" s="121"/>
      <c r="C7152" s="121"/>
      <c r="D7152" s="121"/>
      <c r="E7152" s="121"/>
      <c r="F7152" s="121"/>
      <c r="G7152" s="121"/>
      <c r="H7152" s="121"/>
      <c r="I7152" s="121"/>
      <c r="J7152" s="121"/>
      <c r="K7152" s="121"/>
      <c r="L7152" s="121"/>
      <c r="M7152" s="121"/>
      <c r="N7152" s="560"/>
      <c r="O7152" s="562"/>
      <c r="P7152" s="323"/>
      <c r="Q7152" s="321"/>
      <c r="R7152" s="260"/>
      <c r="S7152" s="260"/>
      <c r="T7152" s="260"/>
      <c r="U7152" s="260"/>
      <c r="V7152" s="260"/>
      <c r="W7152" s="260"/>
      <c r="X7152"/>
      <c r="Y7152"/>
      <c r="Z7152"/>
      <c r="AA7152"/>
      <c r="AB7152"/>
      <c r="AC7152"/>
      <c r="AD7152"/>
      <c r="AE7152"/>
      <c r="AF7152"/>
      <c r="AG7152"/>
      <c r="AH7152"/>
      <c r="AI7152"/>
      <c r="AJ7152"/>
      <c r="AK7152"/>
      <c r="AL7152"/>
      <c r="AM7152"/>
    </row>
    <row r="7153" spans="1:39" s="47" customFormat="1">
      <c r="A7153" s="121"/>
      <c r="B7153" s="121"/>
      <c r="C7153" s="121"/>
      <c r="D7153" s="121"/>
      <c r="E7153" s="121"/>
      <c r="F7153" s="121"/>
      <c r="G7153" s="121"/>
      <c r="H7153" s="121"/>
      <c r="I7153" s="121"/>
      <c r="J7153" s="121"/>
      <c r="K7153" s="121"/>
      <c r="L7153" s="121"/>
      <c r="M7153" s="121"/>
      <c r="N7153" s="560"/>
      <c r="O7153" s="562"/>
      <c r="P7153" s="323"/>
      <c r="Q7153" s="321"/>
      <c r="R7153" s="260"/>
      <c r="S7153" s="260"/>
      <c r="T7153" s="260"/>
      <c r="U7153" s="260"/>
      <c r="V7153" s="260"/>
      <c r="W7153" s="260"/>
      <c r="X7153"/>
      <c r="Y7153"/>
      <c r="Z7153"/>
      <c r="AA7153"/>
      <c r="AB7153"/>
      <c r="AC7153"/>
      <c r="AD7153"/>
      <c r="AE7153"/>
      <c r="AF7153"/>
      <c r="AG7153"/>
      <c r="AH7153"/>
      <c r="AI7153"/>
      <c r="AJ7153"/>
      <c r="AK7153"/>
      <c r="AL7153"/>
      <c r="AM7153"/>
    </row>
    <row r="7154" spans="1:39" s="47" customFormat="1">
      <c r="A7154" s="121"/>
      <c r="B7154" s="121"/>
      <c r="C7154" s="121"/>
      <c r="D7154" s="121"/>
      <c r="E7154" s="121"/>
      <c r="F7154" s="121"/>
      <c r="G7154" s="121"/>
      <c r="H7154" s="121"/>
      <c r="I7154" s="121"/>
      <c r="J7154" s="121"/>
      <c r="K7154" s="121"/>
      <c r="L7154" s="121"/>
      <c r="M7154" s="121"/>
      <c r="N7154" s="560"/>
      <c r="O7154" s="562"/>
      <c r="P7154" s="323"/>
      <c r="Q7154" s="321"/>
      <c r="R7154" s="260"/>
      <c r="S7154" s="260"/>
      <c r="T7154" s="260"/>
      <c r="U7154" s="260"/>
      <c r="V7154" s="260"/>
      <c r="W7154" s="260"/>
      <c r="X7154"/>
      <c r="Y7154"/>
      <c r="Z7154"/>
      <c r="AA7154"/>
      <c r="AB7154"/>
      <c r="AC7154"/>
      <c r="AD7154"/>
      <c r="AE7154"/>
      <c r="AF7154"/>
      <c r="AG7154"/>
      <c r="AH7154"/>
      <c r="AI7154"/>
      <c r="AJ7154"/>
      <c r="AK7154"/>
      <c r="AL7154"/>
      <c r="AM7154"/>
    </row>
    <row r="7155" spans="1:39" s="47" customFormat="1">
      <c r="A7155" s="121"/>
      <c r="B7155" s="121"/>
      <c r="C7155" s="121"/>
      <c r="D7155" s="121"/>
      <c r="E7155" s="121"/>
      <c r="F7155" s="121"/>
      <c r="G7155" s="121"/>
      <c r="H7155" s="121"/>
      <c r="I7155" s="121"/>
      <c r="J7155" s="121"/>
      <c r="K7155" s="121"/>
      <c r="L7155" s="121"/>
      <c r="M7155" s="121"/>
      <c r="N7155" s="560"/>
      <c r="O7155" s="562"/>
      <c r="P7155" s="323"/>
      <c r="Q7155" s="321"/>
      <c r="R7155" s="260"/>
      <c r="S7155" s="260"/>
      <c r="T7155" s="260"/>
      <c r="U7155" s="260"/>
      <c r="V7155" s="260"/>
      <c r="W7155" s="260"/>
      <c r="X7155"/>
      <c r="Y7155"/>
      <c r="Z7155"/>
      <c r="AA7155"/>
      <c r="AB7155"/>
      <c r="AC7155"/>
      <c r="AD7155"/>
      <c r="AE7155"/>
      <c r="AF7155"/>
      <c r="AG7155"/>
      <c r="AH7155"/>
      <c r="AI7155"/>
      <c r="AJ7155"/>
      <c r="AK7155"/>
      <c r="AL7155"/>
      <c r="AM7155"/>
    </row>
    <row r="7156" spans="1:39" s="121" customFormat="1">
      <c r="N7156" s="222"/>
      <c r="O7156" s="502"/>
      <c r="P7156" s="323"/>
      <c r="Q7156" s="321"/>
      <c r="R7156" s="260"/>
      <c r="S7156" s="260"/>
      <c r="T7156" s="260"/>
      <c r="U7156" s="260"/>
      <c r="V7156" s="260"/>
      <c r="W7156" s="260"/>
      <c r="X7156"/>
      <c r="Y7156"/>
      <c r="Z7156"/>
      <c r="AA7156"/>
      <c r="AB7156"/>
      <c r="AC7156"/>
      <c r="AD7156"/>
      <c r="AE7156"/>
      <c r="AF7156"/>
      <c r="AG7156"/>
      <c r="AH7156"/>
      <c r="AI7156"/>
      <c r="AJ7156"/>
      <c r="AK7156"/>
      <c r="AL7156"/>
      <c r="AM7156"/>
    </row>
    <row r="7157" spans="1:39" s="47" customFormat="1">
      <c r="A7157" s="121"/>
      <c r="B7157" s="121"/>
      <c r="C7157" s="121"/>
      <c r="D7157" s="121"/>
      <c r="E7157" s="121"/>
      <c r="F7157" s="121"/>
      <c r="G7157" s="121"/>
      <c r="H7157" s="121"/>
      <c r="I7157" s="121"/>
      <c r="J7157" s="121"/>
      <c r="K7157" s="121"/>
      <c r="L7157" s="121"/>
      <c r="M7157" s="121"/>
      <c r="N7157" s="222"/>
      <c r="O7157" s="502"/>
      <c r="P7157" s="323"/>
      <c r="Q7157" s="321"/>
      <c r="R7157" s="260"/>
      <c r="S7157" s="260"/>
      <c r="T7157" s="260"/>
      <c r="U7157" s="260"/>
      <c r="V7157" s="260"/>
      <c r="W7157" s="260"/>
      <c r="X7157"/>
      <c r="Y7157"/>
      <c r="Z7157"/>
      <c r="AA7157"/>
      <c r="AB7157"/>
      <c r="AC7157"/>
      <c r="AD7157"/>
      <c r="AE7157"/>
      <c r="AF7157"/>
      <c r="AG7157"/>
      <c r="AH7157"/>
      <c r="AI7157"/>
      <c r="AJ7157"/>
      <c r="AK7157"/>
      <c r="AL7157"/>
      <c r="AM7157"/>
    </row>
    <row r="7158" spans="1:39" s="54" customFormat="1">
      <c r="A7158" s="121"/>
      <c r="B7158" s="121"/>
      <c r="C7158" s="121"/>
      <c r="D7158" s="121"/>
      <c r="E7158" s="121"/>
      <c r="F7158" s="121"/>
      <c r="G7158" s="121"/>
      <c r="H7158" s="121"/>
      <c r="I7158" s="121"/>
      <c r="J7158" s="121"/>
      <c r="K7158" s="121"/>
      <c r="L7158" s="121"/>
      <c r="M7158" s="121"/>
      <c r="N7158" s="223"/>
      <c r="O7158" s="216"/>
      <c r="P7158" s="543"/>
      <c r="Q7158" s="523"/>
      <c r="R7158" s="547"/>
      <c r="S7158" s="547"/>
      <c r="T7158" s="547"/>
      <c r="U7158" s="547"/>
      <c r="V7158" s="547"/>
      <c r="W7158" s="547"/>
      <c r="X7158"/>
      <c r="Y7158"/>
      <c r="Z7158"/>
      <c r="AA7158"/>
      <c r="AB7158"/>
      <c r="AC7158"/>
      <c r="AD7158"/>
      <c r="AE7158"/>
      <c r="AF7158"/>
      <c r="AG7158"/>
      <c r="AH7158"/>
      <c r="AI7158"/>
      <c r="AJ7158"/>
      <c r="AK7158"/>
      <c r="AL7158"/>
      <c r="AM7158"/>
    </row>
    <row r="7159" spans="1:39" s="54" customFormat="1">
      <c r="A7159" s="121"/>
      <c r="B7159" s="121"/>
      <c r="C7159" s="121"/>
      <c r="D7159" s="121"/>
      <c r="E7159" s="121"/>
      <c r="F7159" s="121"/>
      <c r="G7159" s="121"/>
      <c r="H7159" s="121"/>
      <c r="I7159" s="121"/>
      <c r="J7159" s="121"/>
      <c r="K7159" s="121"/>
      <c r="L7159" s="121"/>
      <c r="M7159" s="121"/>
      <c r="N7159" s="121"/>
      <c r="O7159" s="121"/>
      <c r="P7159" s="121"/>
      <c r="Q7159" s="121"/>
      <c r="R7159" s="121"/>
      <c r="S7159" s="121"/>
      <c r="T7159" s="121"/>
      <c r="U7159" s="121"/>
      <c r="V7159" s="121"/>
      <c r="W7159" s="121"/>
      <c r="X7159"/>
      <c r="Y7159"/>
      <c r="Z7159"/>
      <c r="AA7159"/>
      <c r="AB7159"/>
      <c r="AC7159"/>
      <c r="AD7159"/>
      <c r="AE7159"/>
      <c r="AF7159"/>
      <c r="AG7159"/>
      <c r="AH7159"/>
      <c r="AI7159"/>
      <c r="AJ7159"/>
      <c r="AK7159"/>
      <c r="AL7159"/>
      <c r="AM7159"/>
    </row>
    <row r="7160" spans="1:39" s="47" customFormat="1">
      <c r="A7160" s="121"/>
      <c r="B7160" s="121"/>
      <c r="C7160" s="121"/>
      <c r="D7160" s="121"/>
      <c r="E7160" s="121"/>
      <c r="F7160" s="121"/>
      <c r="G7160" s="121"/>
      <c r="H7160" s="121"/>
      <c r="I7160" s="121"/>
      <c r="J7160" s="121"/>
      <c r="K7160" s="121"/>
      <c r="L7160" s="121"/>
      <c r="M7160" s="121"/>
      <c r="N7160" s="49"/>
      <c r="R7160" s="60"/>
      <c r="S7160" s="60"/>
      <c r="T7160" s="60"/>
      <c r="U7160"/>
      <c r="V7160"/>
      <c r="W7160"/>
      <c r="X7160"/>
      <c r="Y7160"/>
      <c r="Z7160"/>
      <c r="AA7160"/>
      <c r="AB7160"/>
      <c r="AC7160"/>
      <c r="AD7160"/>
      <c r="AE7160"/>
      <c r="AF7160"/>
      <c r="AG7160"/>
      <c r="AH7160"/>
      <c r="AI7160"/>
      <c r="AJ7160"/>
      <c r="AK7160"/>
      <c r="AL7160"/>
      <c r="AM7160"/>
    </row>
    <row r="7161" spans="1:39">
      <c r="Q7161" s="47"/>
      <c r="R7161" s="47"/>
      <c r="S7161" s="47"/>
      <c r="T7161" s="47"/>
      <c r="U7161" s="47"/>
      <c r="V7161" s="47"/>
      <c r="W7161" s="47"/>
      <c r="X7161"/>
      <c r="Y7161"/>
      <c r="Z7161"/>
      <c r="AA7161"/>
      <c r="AB7161"/>
      <c r="AC7161"/>
      <c r="AD7161"/>
      <c r="AE7161"/>
      <c r="AF7161"/>
      <c r="AG7161"/>
      <c r="AH7161"/>
      <c r="AI7161"/>
      <c r="AJ7161"/>
      <c r="AK7161"/>
      <c r="AL7161"/>
      <c r="AM7161"/>
    </row>
    <row r="7162" spans="1:39">
      <c r="X7162"/>
      <c r="Y7162"/>
      <c r="Z7162"/>
      <c r="AA7162"/>
      <c r="AB7162"/>
      <c r="AC7162"/>
      <c r="AD7162"/>
      <c r="AE7162"/>
      <c r="AF7162"/>
      <c r="AG7162"/>
      <c r="AH7162"/>
      <c r="AI7162"/>
      <c r="AJ7162"/>
      <c r="AK7162"/>
      <c r="AL7162"/>
      <c r="AM7162"/>
    </row>
    <row r="7163" spans="1:39">
      <c r="X7163"/>
      <c r="Y7163"/>
      <c r="Z7163"/>
      <c r="AA7163"/>
      <c r="AB7163"/>
      <c r="AC7163"/>
      <c r="AD7163"/>
      <c r="AE7163"/>
      <c r="AF7163"/>
      <c r="AG7163"/>
      <c r="AH7163"/>
      <c r="AI7163"/>
      <c r="AJ7163"/>
      <c r="AK7163"/>
      <c r="AL7163"/>
      <c r="AM7163"/>
    </row>
    <row r="7164" spans="1:39">
      <c r="X7164"/>
      <c r="Y7164"/>
      <c r="Z7164"/>
      <c r="AA7164"/>
      <c r="AB7164"/>
      <c r="AC7164"/>
      <c r="AD7164"/>
      <c r="AE7164"/>
      <c r="AF7164"/>
      <c r="AG7164"/>
      <c r="AH7164"/>
      <c r="AI7164"/>
      <c r="AJ7164"/>
      <c r="AK7164"/>
      <c r="AL7164"/>
      <c r="AM7164"/>
    </row>
    <row r="7165" spans="1:39">
      <c r="X7165"/>
      <c r="Y7165"/>
      <c r="Z7165"/>
      <c r="AA7165"/>
      <c r="AB7165"/>
      <c r="AC7165"/>
      <c r="AD7165"/>
      <c r="AE7165"/>
      <c r="AF7165"/>
      <c r="AG7165"/>
      <c r="AH7165"/>
      <c r="AI7165"/>
      <c r="AJ7165"/>
      <c r="AK7165"/>
      <c r="AL7165"/>
      <c r="AM7165"/>
    </row>
    <row r="7166" spans="1:39">
      <c r="X7166"/>
      <c r="Y7166"/>
      <c r="Z7166"/>
      <c r="AA7166"/>
      <c r="AB7166"/>
      <c r="AC7166"/>
      <c r="AD7166"/>
      <c r="AE7166"/>
      <c r="AF7166"/>
      <c r="AG7166"/>
      <c r="AH7166"/>
      <c r="AI7166"/>
      <c r="AJ7166"/>
      <c r="AK7166"/>
      <c r="AL7166"/>
      <c r="AM7166"/>
    </row>
    <row r="7167" spans="1:39">
      <c r="X7167"/>
      <c r="Y7167"/>
      <c r="Z7167"/>
      <c r="AA7167"/>
      <c r="AB7167"/>
      <c r="AC7167"/>
      <c r="AD7167"/>
      <c r="AE7167"/>
      <c r="AF7167"/>
      <c r="AG7167"/>
      <c r="AH7167"/>
      <c r="AI7167"/>
      <c r="AJ7167"/>
      <c r="AK7167"/>
      <c r="AL7167"/>
      <c r="AM7167"/>
    </row>
    <row r="7168" spans="1:39">
      <c r="X7168"/>
      <c r="Y7168"/>
      <c r="Z7168"/>
      <c r="AA7168"/>
      <c r="AB7168"/>
      <c r="AC7168"/>
      <c r="AD7168"/>
      <c r="AE7168"/>
      <c r="AF7168"/>
      <c r="AG7168"/>
      <c r="AH7168"/>
      <c r="AI7168"/>
      <c r="AJ7168"/>
      <c r="AK7168"/>
      <c r="AL7168"/>
      <c r="AM7168"/>
    </row>
    <row r="7169" spans="1:40">
      <c r="X7169"/>
      <c r="Y7169"/>
      <c r="Z7169"/>
      <c r="AA7169"/>
      <c r="AB7169"/>
      <c r="AC7169"/>
      <c r="AD7169"/>
      <c r="AE7169"/>
      <c r="AF7169"/>
      <c r="AG7169"/>
      <c r="AH7169"/>
      <c r="AI7169"/>
      <c r="AJ7169"/>
      <c r="AK7169"/>
      <c r="AL7169"/>
      <c r="AM7169"/>
      <c r="AN7169"/>
    </row>
    <row r="7170" spans="1:40">
      <c r="R7170" s="795" t="s">
        <v>412</v>
      </c>
      <c r="S7170" s="795"/>
      <c r="T7170" s="795"/>
      <c r="U7170"/>
      <c r="V7170"/>
      <c r="W7170"/>
      <c r="X7170"/>
      <c r="Y7170"/>
      <c r="Z7170"/>
      <c r="AA7170"/>
      <c r="AB7170"/>
      <c r="AC7170"/>
      <c r="AD7170"/>
      <c r="AE7170"/>
      <c r="AF7170"/>
      <c r="AG7170"/>
      <c r="AH7170"/>
      <c r="AI7170"/>
      <c r="AJ7170"/>
      <c r="AK7170"/>
      <c r="AL7170"/>
      <c r="AM7170"/>
      <c r="AN7170"/>
    </row>
    <row r="7171" spans="1:40">
      <c r="Q7171" s="316"/>
      <c r="R7171" s="795" t="s">
        <v>413</v>
      </c>
      <c r="S7171" s="795"/>
      <c r="T7171" s="795"/>
      <c r="U7171" s="795" t="s">
        <v>414</v>
      </c>
      <c r="V7171" s="795"/>
      <c r="W7171" s="795"/>
      <c r="X7171"/>
      <c r="Y7171"/>
      <c r="Z7171"/>
      <c r="AA7171"/>
      <c r="AB7171"/>
      <c r="AC7171"/>
      <c r="AD7171"/>
      <c r="AE7171"/>
      <c r="AF7171"/>
      <c r="AG7171"/>
      <c r="AH7171"/>
      <c r="AI7171"/>
      <c r="AJ7171"/>
      <c r="AK7171"/>
      <c r="AL7171"/>
      <c r="AM7171"/>
      <c r="AN7171"/>
    </row>
    <row r="7172" spans="1:40" ht="11.25" customHeight="1">
      <c r="N7172" s="430" t="s">
        <v>1742</v>
      </c>
      <c r="O7172" s="315"/>
      <c r="P7172" s="309"/>
      <c r="Q7172" s="311"/>
      <c r="R7172" s="23"/>
      <c r="S7172" s="23"/>
      <c r="T7172" s="23"/>
      <c r="U7172" s="23"/>
      <c r="V7172" s="23"/>
      <c r="W7172" s="23"/>
      <c r="X7172"/>
      <c r="Y7172"/>
      <c r="Z7172"/>
      <c r="AA7172"/>
      <c r="AB7172"/>
      <c r="AC7172"/>
      <c r="AD7172"/>
      <c r="AE7172"/>
      <c r="AF7172"/>
      <c r="AG7172"/>
      <c r="AH7172"/>
      <c r="AI7172"/>
      <c r="AJ7172"/>
      <c r="AK7172"/>
      <c r="AL7172"/>
      <c r="AM7172"/>
      <c r="AN7172"/>
    </row>
    <row r="7173" spans="1:40" ht="11.25" customHeight="1">
      <c r="N7173" s="811"/>
      <c r="O7173" s="812"/>
      <c r="P7173" s="813"/>
      <c r="Q7173" s="317"/>
      <c r="R7173" s="433" t="str">
        <f>R7175 &amp; ".1"</f>
        <v>.1</v>
      </c>
      <c r="S7173" s="433" t="str">
        <f>R7175 &amp; ".2"</f>
        <v>.2</v>
      </c>
      <c r="T7173" s="433" t="str">
        <f>R7175 &amp; ".0"</f>
        <v>.0</v>
      </c>
      <c r="U7173" s="433" t="str">
        <f>U7175 &amp; ".1"</f>
        <v>.1</v>
      </c>
      <c r="V7173" s="433" t="str">
        <f>U7175 &amp; ".2"</f>
        <v>.2</v>
      </c>
      <c r="W7173" s="433" t="str">
        <f>U7175 &amp; ".0"</f>
        <v>.0</v>
      </c>
      <c r="X7173"/>
      <c r="Y7173"/>
      <c r="Z7173"/>
      <c r="AA7173"/>
      <c r="AB7173"/>
      <c r="AC7173"/>
      <c r="AD7173"/>
      <c r="AE7173"/>
      <c r="AF7173"/>
      <c r="AG7173"/>
      <c r="AH7173"/>
      <c r="AI7173"/>
      <c r="AJ7173"/>
      <c r="AK7173"/>
      <c r="AL7173"/>
      <c r="AM7173"/>
      <c r="AN7173"/>
    </row>
    <row r="7174" spans="1:40" ht="11.25" customHeight="1">
      <c r="N7174" s="430" t="s">
        <v>1742</v>
      </c>
      <c r="O7174" s="221"/>
      <c r="P7174" s="122" t="s">
        <v>786</v>
      </c>
      <c r="Q7174" s="201"/>
      <c r="R7174" s="814" t="s">
        <v>719</v>
      </c>
      <c r="S7174" s="814"/>
      <c r="T7174" s="814"/>
      <c r="U7174" s="814" t="s">
        <v>719</v>
      </c>
      <c r="V7174" s="814"/>
      <c r="W7174" s="814"/>
      <c r="X7174"/>
      <c r="Y7174"/>
      <c r="Z7174"/>
      <c r="AA7174"/>
      <c r="AB7174"/>
      <c r="AC7174"/>
      <c r="AD7174"/>
      <c r="AE7174"/>
      <c r="AF7174"/>
      <c r="AG7174"/>
      <c r="AH7174"/>
      <c r="AI7174"/>
      <c r="AJ7174"/>
      <c r="AK7174"/>
      <c r="AL7174"/>
      <c r="AM7174"/>
      <c r="AN7174"/>
    </row>
    <row r="7175" spans="1:40" ht="11.25" customHeight="1">
      <c r="N7175" s="802" t="s">
        <v>641</v>
      </c>
      <c r="O7175" s="804" t="s">
        <v>787</v>
      </c>
      <c r="P7175" s="806" t="s">
        <v>778</v>
      </c>
      <c r="Q7175" s="206">
        <v>0</v>
      </c>
      <c r="R7175" s="808"/>
      <c r="S7175" s="809"/>
      <c r="T7175" s="810"/>
      <c r="U7175" s="808"/>
      <c r="V7175" s="809"/>
      <c r="W7175" s="810"/>
      <c r="X7175"/>
      <c r="Y7175"/>
      <c r="Z7175"/>
      <c r="AA7175"/>
      <c r="AB7175"/>
      <c r="AC7175"/>
      <c r="AD7175"/>
      <c r="AE7175"/>
      <c r="AF7175"/>
      <c r="AG7175"/>
      <c r="AH7175"/>
      <c r="AI7175"/>
      <c r="AJ7175"/>
      <c r="AK7175"/>
      <c r="AL7175"/>
      <c r="AM7175"/>
      <c r="AN7175"/>
    </row>
    <row r="7176" spans="1:40" ht="12" customHeight="1">
      <c r="N7176" s="803"/>
      <c r="O7176" s="805"/>
      <c r="P7176" s="807"/>
      <c r="Q7176" s="207"/>
      <c r="R7176" s="796"/>
      <c r="S7176" s="797"/>
      <c r="T7176" s="798"/>
      <c r="U7176" s="796"/>
      <c r="V7176" s="797"/>
      <c r="W7176" s="798"/>
      <c r="X7176"/>
      <c r="Y7176"/>
      <c r="Z7176"/>
      <c r="AA7176"/>
      <c r="AB7176"/>
      <c r="AC7176"/>
      <c r="AD7176"/>
      <c r="AE7176"/>
      <c r="AF7176"/>
      <c r="AG7176"/>
      <c r="AH7176"/>
      <c r="AI7176"/>
      <c r="AJ7176"/>
      <c r="AK7176"/>
      <c r="AL7176"/>
      <c r="AM7176"/>
      <c r="AN7176"/>
    </row>
    <row r="7177" spans="1:40" ht="12" customHeight="1">
      <c r="N7177" s="222"/>
      <c r="O7177" s="501" t="s">
        <v>788</v>
      </c>
      <c r="P7177" s="542"/>
      <c r="Q7177" s="207"/>
      <c r="R7177" s="799"/>
      <c r="S7177" s="800"/>
      <c r="T7177" s="801"/>
      <c r="U7177" s="799"/>
      <c r="V7177" s="800"/>
      <c r="W7177" s="801"/>
      <c r="X7177"/>
      <c r="Y7177"/>
      <c r="Z7177"/>
      <c r="AA7177"/>
      <c r="AB7177"/>
      <c r="AC7177"/>
      <c r="AD7177"/>
      <c r="AE7177"/>
      <c r="AF7177"/>
      <c r="AG7177"/>
      <c r="AH7177"/>
      <c r="AI7177"/>
      <c r="AJ7177"/>
      <c r="AK7177"/>
      <c r="AL7177"/>
      <c r="AM7177"/>
      <c r="AN7177"/>
    </row>
    <row r="7178" spans="1:40" ht="12" customHeight="1">
      <c r="N7178" s="222"/>
      <c r="O7178" s="556" t="str">
        <f>IF(CALC_IDENTIFIER="","",CALC_IDENTIFIER)</f>
        <v/>
      </c>
      <c r="P7178" s="557" t="s">
        <v>745</v>
      </c>
      <c r="Q7178" s="328"/>
      <c r="R7178" s="568"/>
      <c r="S7178" s="568"/>
      <c r="T7178" s="568"/>
      <c r="U7178" s="568"/>
      <c r="V7178" s="568"/>
      <c r="W7178" s="568" t="s">
        <v>745</v>
      </c>
      <c r="X7178"/>
      <c r="Y7178"/>
      <c r="Z7178"/>
      <c r="AA7178"/>
      <c r="AB7178"/>
      <c r="AC7178"/>
      <c r="AD7178"/>
      <c r="AE7178"/>
      <c r="AF7178"/>
      <c r="AG7178"/>
      <c r="AH7178"/>
      <c r="AI7178"/>
      <c r="AJ7178"/>
      <c r="AK7178"/>
      <c r="AL7178"/>
      <c r="AM7178"/>
      <c r="AN7178"/>
    </row>
    <row r="7179" spans="1:40" s="47" customFormat="1" ht="12.75">
      <c r="A7179" s="121"/>
      <c r="B7179" s="121"/>
      <c r="C7179" s="121"/>
      <c r="D7179" s="121"/>
      <c r="E7179" s="121"/>
      <c r="F7179" s="121"/>
      <c r="G7179" s="121"/>
      <c r="H7179" s="121"/>
      <c r="I7179" s="121"/>
      <c r="J7179" s="121"/>
      <c r="K7179" s="121"/>
      <c r="L7179" s="121"/>
      <c r="M7179" s="121"/>
      <c r="N7179" s="223" t="s">
        <v>642</v>
      </c>
      <c r="O7179" s="284" t="s">
        <v>338</v>
      </c>
      <c r="P7179" s="544"/>
      <c r="Q7179" s="321"/>
      <c r="R7179" s="567"/>
      <c r="S7179" s="567"/>
      <c r="T7179" s="567"/>
      <c r="U7179" s="567"/>
      <c r="V7179" s="567"/>
      <c r="W7179" s="262"/>
      <c r="X7179"/>
      <c r="Y7179"/>
      <c r="Z7179"/>
      <c r="AA7179"/>
      <c r="AB7179"/>
      <c r="AC7179"/>
      <c r="AD7179"/>
      <c r="AE7179"/>
      <c r="AF7179"/>
      <c r="AG7179"/>
      <c r="AH7179"/>
      <c r="AI7179"/>
      <c r="AJ7179"/>
      <c r="AK7179"/>
      <c r="AL7179"/>
      <c r="AM7179"/>
      <c r="AN7179"/>
    </row>
    <row r="7180" spans="1:40" s="47" customFormat="1" ht="12.75">
      <c r="A7180" s="121"/>
      <c r="B7180" s="121"/>
      <c r="C7180" s="121"/>
      <c r="D7180" s="121"/>
      <c r="E7180" s="121"/>
      <c r="F7180" s="121"/>
      <c r="G7180" s="121"/>
      <c r="H7180" s="121"/>
      <c r="I7180" s="121"/>
      <c r="J7180" s="121"/>
      <c r="K7180" s="121"/>
      <c r="L7180" s="121"/>
      <c r="M7180" s="121"/>
      <c r="N7180" s="223" t="s">
        <v>790</v>
      </c>
      <c r="O7180" s="445" t="s">
        <v>339</v>
      </c>
      <c r="P7180" s="544"/>
      <c r="Q7180" s="321"/>
      <c r="R7180" s="553"/>
      <c r="S7180" s="553"/>
      <c r="T7180" s="553"/>
      <c r="U7180" s="553"/>
      <c r="V7180" s="553"/>
      <c r="W7180" s="262"/>
      <c r="X7180"/>
      <c r="Y7180"/>
      <c r="Z7180"/>
      <c r="AA7180"/>
      <c r="AB7180"/>
      <c r="AC7180"/>
      <c r="AD7180"/>
      <c r="AE7180"/>
      <c r="AF7180"/>
      <c r="AG7180"/>
      <c r="AH7180"/>
      <c r="AI7180"/>
      <c r="AJ7180"/>
      <c r="AK7180"/>
      <c r="AL7180"/>
      <c r="AM7180"/>
      <c r="AN7180"/>
    </row>
    <row r="7181" spans="1:40" s="47" customFormat="1" ht="12.75">
      <c r="A7181" s="121"/>
      <c r="B7181" s="121"/>
      <c r="C7181" s="121"/>
      <c r="D7181" s="121"/>
      <c r="E7181" s="121"/>
      <c r="F7181" s="121"/>
      <c r="G7181" s="121"/>
      <c r="H7181" s="121"/>
      <c r="I7181" s="121"/>
      <c r="J7181" s="121"/>
      <c r="K7181" s="121"/>
      <c r="L7181" s="121"/>
      <c r="M7181" s="121"/>
      <c r="N7181" s="223" t="s">
        <v>792</v>
      </c>
      <c r="O7181" s="445" t="s">
        <v>340</v>
      </c>
      <c r="P7181" s="544"/>
      <c r="Q7181" s="321"/>
      <c r="R7181" s="260"/>
      <c r="S7181" s="260"/>
      <c r="T7181" s="260"/>
      <c r="U7181" s="260"/>
      <c r="V7181" s="260"/>
      <c r="W7181" s="262"/>
      <c r="X7181"/>
      <c r="Y7181"/>
      <c r="Z7181"/>
      <c r="AA7181"/>
      <c r="AB7181"/>
      <c r="AC7181"/>
      <c r="AD7181"/>
      <c r="AE7181"/>
      <c r="AF7181"/>
      <c r="AG7181"/>
      <c r="AH7181"/>
      <c r="AI7181"/>
      <c r="AJ7181"/>
      <c r="AK7181"/>
      <c r="AL7181"/>
      <c r="AM7181"/>
      <c r="AN7181"/>
    </row>
    <row r="7182" spans="1:40" s="47" customFormat="1">
      <c r="A7182" s="121"/>
      <c r="B7182" s="121"/>
      <c r="C7182" s="121"/>
      <c r="D7182" s="121"/>
      <c r="E7182" s="121"/>
      <c r="F7182" s="121"/>
      <c r="G7182" s="121"/>
      <c r="H7182" s="121"/>
      <c r="I7182" s="121"/>
      <c r="J7182" s="121"/>
      <c r="K7182" s="121"/>
      <c r="L7182" s="121"/>
      <c r="M7182" s="121"/>
      <c r="N7182" s="223" t="s">
        <v>751</v>
      </c>
      <c r="O7182" s="284" t="s">
        <v>2814</v>
      </c>
      <c r="P7182" s="544"/>
      <c r="Q7182" s="321"/>
      <c r="R7182" s="260"/>
      <c r="S7182" s="260"/>
      <c r="T7182" s="260"/>
      <c r="U7182" s="260"/>
      <c r="V7182" s="260"/>
      <c r="W7182" s="262"/>
      <c r="X7182"/>
      <c r="Y7182"/>
      <c r="Z7182"/>
      <c r="AA7182"/>
      <c r="AB7182"/>
      <c r="AC7182"/>
      <c r="AD7182"/>
      <c r="AE7182"/>
      <c r="AF7182"/>
      <c r="AG7182"/>
      <c r="AH7182"/>
      <c r="AI7182"/>
      <c r="AJ7182"/>
      <c r="AK7182"/>
      <c r="AL7182"/>
      <c r="AM7182"/>
      <c r="AN7182"/>
    </row>
    <row r="7183" spans="1:40" s="47" customFormat="1">
      <c r="A7183" s="121"/>
      <c r="B7183" s="121"/>
      <c r="C7183" s="121"/>
      <c r="D7183" s="121"/>
      <c r="E7183" s="121"/>
      <c r="F7183" s="121"/>
      <c r="G7183" s="121"/>
      <c r="H7183" s="121"/>
      <c r="I7183" s="121"/>
      <c r="J7183" s="121"/>
      <c r="K7183" s="121"/>
      <c r="L7183" s="121"/>
      <c r="M7183" s="121"/>
      <c r="N7183" s="223" t="s">
        <v>66</v>
      </c>
      <c r="O7183" s="445" t="s">
        <v>133</v>
      </c>
      <c r="P7183" s="544"/>
      <c r="Q7183" s="321"/>
      <c r="R7183" s="260"/>
      <c r="S7183" s="260"/>
      <c r="T7183" s="260"/>
      <c r="U7183" s="260"/>
      <c r="V7183" s="260"/>
      <c r="W7183" s="262"/>
      <c r="X7183"/>
      <c r="Y7183"/>
      <c r="Z7183"/>
      <c r="AA7183"/>
      <c r="AB7183"/>
      <c r="AC7183"/>
      <c r="AD7183"/>
      <c r="AE7183"/>
      <c r="AF7183"/>
      <c r="AG7183"/>
      <c r="AH7183"/>
      <c r="AI7183"/>
      <c r="AJ7183"/>
      <c r="AK7183"/>
      <c r="AL7183"/>
      <c r="AM7183"/>
      <c r="AN7183"/>
    </row>
    <row r="7184" spans="1:40" s="47" customFormat="1">
      <c r="A7184" s="121"/>
      <c r="B7184" s="121"/>
      <c r="C7184" s="121"/>
      <c r="D7184" s="121"/>
      <c r="E7184" s="121"/>
      <c r="F7184" s="121"/>
      <c r="G7184" s="121"/>
      <c r="H7184" s="121"/>
      <c r="I7184" s="121"/>
      <c r="J7184" s="121"/>
      <c r="K7184" s="121"/>
      <c r="L7184" s="121"/>
      <c r="M7184" s="121"/>
      <c r="N7184" s="223" t="s">
        <v>632</v>
      </c>
      <c r="O7184" s="446" t="s">
        <v>134</v>
      </c>
      <c r="P7184" s="544"/>
      <c r="Q7184" s="321"/>
      <c r="R7184" s="260"/>
      <c r="S7184" s="260"/>
      <c r="T7184" s="260"/>
      <c r="U7184" s="260"/>
      <c r="V7184" s="260"/>
      <c r="W7184" s="262"/>
      <c r="X7184"/>
      <c r="Y7184"/>
      <c r="Z7184"/>
      <c r="AA7184"/>
      <c r="AB7184"/>
      <c r="AC7184"/>
      <c r="AD7184"/>
      <c r="AE7184"/>
      <c r="AF7184"/>
      <c r="AG7184"/>
      <c r="AH7184"/>
      <c r="AI7184"/>
      <c r="AJ7184"/>
      <c r="AK7184"/>
      <c r="AL7184"/>
      <c r="AM7184"/>
      <c r="AN7184"/>
    </row>
    <row r="7185" spans="1:40" s="47" customFormat="1" ht="22.5">
      <c r="A7185" s="121"/>
      <c r="B7185" s="121"/>
      <c r="C7185" s="121"/>
      <c r="D7185" s="121"/>
      <c r="E7185" s="121"/>
      <c r="F7185" s="121"/>
      <c r="G7185" s="121"/>
      <c r="H7185" s="121"/>
      <c r="I7185" s="121"/>
      <c r="J7185" s="121"/>
      <c r="K7185" s="121"/>
      <c r="L7185" s="121"/>
      <c r="M7185" s="121"/>
      <c r="N7185" s="223" t="s">
        <v>633</v>
      </c>
      <c r="O7185" s="446" t="s">
        <v>135</v>
      </c>
      <c r="P7185" s="544"/>
      <c r="Q7185" s="321"/>
      <c r="R7185" s="260"/>
      <c r="S7185" s="260"/>
      <c r="T7185" s="260"/>
      <c r="U7185" s="260"/>
      <c r="V7185" s="260"/>
      <c r="W7185" s="262"/>
      <c r="X7185"/>
      <c r="Y7185"/>
      <c r="Z7185"/>
      <c r="AA7185"/>
      <c r="AB7185"/>
      <c r="AC7185"/>
      <c r="AD7185"/>
      <c r="AE7185"/>
      <c r="AF7185"/>
      <c r="AG7185"/>
      <c r="AH7185"/>
      <c r="AI7185"/>
      <c r="AJ7185"/>
      <c r="AK7185"/>
      <c r="AL7185"/>
      <c r="AM7185"/>
      <c r="AN7185"/>
    </row>
    <row r="7186" spans="1:40" s="47" customFormat="1">
      <c r="A7186" s="121"/>
      <c r="B7186" s="121"/>
      <c r="C7186" s="121"/>
      <c r="D7186" s="121"/>
      <c r="E7186" s="121"/>
      <c r="F7186" s="121"/>
      <c r="G7186" s="121"/>
      <c r="H7186" s="121"/>
      <c r="I7186" s="121"/>
      <c r="J7186" s="121"/>
      <c r="K7186" s="121"/>
      <c r="L7186" s="121"/>
      <c r="M7186" s="121"/>
      <c r="N7186" s="223" t="s">
        <v>69</v>
      </c>
      <c r="O7186" s="445" t="s">
        <v>136</v>
      </c>
      <c r="P7186" s="544"/>
      <c r="Q7186" s="321"/>
      <c r="R7186" s="260"/>
      <c r="S7186" s="260"/>
      <c r="T7186" s="260"/>
      <c r="U7186" s="260"/>
      <c r="V7186" s="260"/>
      <c r="W7186" s="262"/>
      <c r="X7186"/>
      <c r="Y7186"/>
      <c r="Z7186"/>
      <c r="AA7186"/>
      <c r="AB7186"/>
      <c r="AC7186"/>
      <c r="AD7186"/>
      <c r="AE7186"/>
      <c r="AF7186"/>
      <c r="AG7186"/>
      <c r="AH7186"/>
      <c r="AI7186"/>
      <c r="AJ7186"/>
      <c r="AK7186"/>
      <c r="AL7186"/>
      <c r="AM7186"/>
      <c r="AN7186"/>
    </row>
    <row r="7187" spans="1:40" s="47" customFormat="1">
      <c r="A7187" s="121"/>
      <c r="B7187" s="121"/>
      <c r="C7187" s="121"/>
      <c r="D7187" s="121"/>
      <c r="E7187" s="121"/>
      <c r="F7187" s="121"/>
      <c r="G7187" s="121"/>
      <c r="H7187" s="121"/>
      <c r="I7187" s="121"/>
      <c r="J7187" s="121"/>
      <c r="K7187" s="121"/>
      <c r="L7187" s="121"/>
      <c r="M7187" s="121"/>
      <c r="N7187" s="222"/>
      <c r="O7187" s="502"/>
      <c r="P7187" s="285"/>
      <c r="Q7187" s="321"/>
      <c r="R7187" s="260"/>
      <c r="S7187" s="260"/>
      <c r="T7187" s="260"/>
      <c r="U7187" s="260"/>
      <c r="V7187" s="260"/>
      <c r="W7187" s="260"/>
      <c r="X7187"/>
      <c r="Y7187"/>
      <c r="Z7187"/>
      <c r="AA7187"/>
      <c r="AB7187"/>
      <c r="AC7187"/>
      <c r="AD7187"/>
      <c r="AE7187"/>
      <c r="AF7187"/>
      <c r="AG7187"/>
      <c r="AH7187"/>
      <c r="AI7187"/>
      <c r="AJ7187"/>
      <c r="AK7187"/>
      <c r="AL7187"/>
      <c r="AM7187"/>
      <c r="AN7187"/>
    </row>
    <row r="7188" spans="1:40" s="47" customFormat="1">
      <c r="A7188" s="121"/>
      <c r="B7188" s="121"/>
      <c r="C7188" s="121"/>
      <c r="D7188" s="121"/>
      <c r="E7188" s="121"/>
      <c r="F7188" s="121"/>
      <c r="G7188" s="121"/>
      <c r="H7188" s="121"/>
      <c r="I7188" s="121"/>
      <c r="J7188" s="121"/>
      <c r="K7188" s="121"/>
      <c r="L7188" s="121"/>
      <c r="M7188" s="121"/>
      <c r="N7188" s="222"/>
      <c r="O7188" s="502"/>
      <c r="P7188" s="285"/>
      <c r="Q7188" s="321"/>
      <c r="R7188" s="260"/>
      <c r="S7188" s="260"/>
      <c r="T7188" s="260"/>
      <c r="U7188" s="260"/>
      <c r="V7188" s="260"/>
      <c r="W7188" s="260"/>
      <c r="X7188"/>
      <c r="Y7188"/>
      <c r="Z7188"/>
      <c r="AA7188"/>
      <c r="AB7188"/>
      <c r="AC7188"/>
      <c r="AD7188"/>
      <c r="AE7188"/>
      <c r="AF7188"/>
      <c r="AG7188"/>
      <c r="AH7188"/>
      <c r="AI7188"/>
      <c r="AJ7188"/>
      <c r="AK7188"/>
      <c r="AL7188"/>
      <c r="AM7188"/>
      <c r="AN7188"/>
    </row>
    <row r="7189" spans="1:40" s="47" customFormat="1" ht="22.5">
      <c r="A7189" s="121"/>
      <c r="B7189" s="121"/>
      <c r="C7189" s="121"/>
      <c r="D7189" s="121"/>
      <c r="E7189" s="121"/>
      <c r="F7189" s="121"/>
      <c r="G7189" s="121"/>
      <c r="H7189" s="121"/>
      <c r="I7189" s="121"/>
      <c r="J7189" s="121"/>
      <c r="K7189" s="121"/>
      <c r="L7189" s="121"/>
      <c r="M7189" s="121"/>
      <c r="N7189" s="223" t="s">
        <v>72</v>
      </c>
      <c r="O7189" s="445" t="s">
        <v>139</v>
      </c>
      <c r="P7189" s="544"/>
      <c r="Q7189" s="321"/>
      <c r="R7189" s="260"/>
      <c r="S7189" s="260"/>
      <c r="T7189" s="260"/>
      <c r="U7189" s="260"/>
      <c r="V7189" s="260"/>
      <c r="W7189" s="262"/>
      <c r="X7189"/>
      <c r="Y7189"/>
      <c r="Z7189"/>
      <c r="AA7189"/>
      <c r="AB7189"/>
      <c r="AC7189"/>
      <c r="AD7189"/>
      <c r="AE7189"/>
      <c r="AF7189"/>
      <c r="AG7189"/>
      <c r="AH7189"/>
      <c r="AI7189"/>
      <c r="AJ7189"/>
      <c r="AK7189"/>
      <c r="AL7189"/>
      <c r="AM7189"/>
      <c r="AN7189"/>
    </row>
    <row r="7190" spans="1:40" s="47" customFormat="1">
      <c r="A7190" s="121"/>
      <c r="B7190" s="121"/>
      <c r="C7190" s="121"/>
      <c r="D7190" s="121"/>
      <c r="E7190" s="121"/>
      <c r="F7190" s="121"/>
      <c r="G7190" s="121"/>
      <c r="H7190" s="121"/>
      <c r="I7190" s="121"/>
      <c r="J7190" s="121"/>
      <c r="K7190" s="121"/>
      <c r="L7190" s="121"/>
      <c r="M7190" s="121"/>
      <c r="N7190" s="223" t="s">
        <v>2821</v>
      </c>
      <c r="O7190" s="445" t="s">
        <v>140</v>
      </c>
      <c r="P7190" s="544"/>
      <c r="Q7190" s="321"/>
      <c r="R7190" s="260"/>
      <c r="S7190" s="260"/>
      <c r="T7190" s="260"/>
      <c r="U7190" s="260"/>
      <c r="V7190" s="260"/>
      <c r="W7190" s="262"/>
      <c r="X7190"/>
      <c r="Y7190"/>
      <c r="Z7190"/>
      <c r="AA7190"/>
      <c r="AB7190"/>
      <c r="AC7190"/>
      <c r="AD7190"/>
      <c r="AE7190"/>
      <c r="AF7190"/>
      <c r="AG7190"/>
      <c r="AH7190"/>
      <c r="AI7190"/>
      <c r="AJ7190"/>
      <c r="AK7190"/>
      <c r="AL7190"/>
      <c r="AM7190"/>
      <c r="AN7190"/>
    </row>
    <row r="7191" spans="1:40" s="47" customFormat="1">
      <c r="A7191" s="121"/>
      <c r="B7191" s="121"/>
      <c r="C7191" s="121"/>
      <c r="D7191" s="121"/>
      <c r="E7191" s="121"/>
      <c r="F7191" s="121"/>
      <c r="G7191" s="121"/>
      <c r="H7191" s="121"/>
      <c r="I7191" s="121"/>
      <c r="J7191" s="121"/>
      <c r="K7191" s="121"/>
      <c r="L7191" s="121"/>
      <c r="M7191" s="121"/>
      <c r="N7191" s="223" t="s">
        <v>2826</v>
      </c>
      <c r="O7191" s="445" t="s">
        <v>141</v>
      </c>
      <c r="P7191" s="544"/>
      <c r="Q7191" s="321"/>
      <c r="R7191" s="260"/>
      <c r="S7191" s="260"/>
      <c r="T7191" s="260"/>
      <c r="U7191" s="260"/>
      <c r="V7191" s="260"/>
      <c r="W7191" s="262"/>
      <c r="X7191"/>
      <c r="Y7191"/>
      <c r="Z7191"/>
      <c r="AA7191"/>
      <c r="AB7191"/>
      <c r="AC7191"/>
      <c r="AD7191"/>
      <c r="AE7191"/>
      <c r="AF7191"/>
      <c r="AG7191"/>
      <c r="AH7191"/>
      <c r="AI7191"/>
      <c r="AJ7191"/>
      <c r="AK7191"/>
      <c r="AL7191"/>
      <c r="AM7191"/>
      <c r="AN7191"/>
    </row>
    <row r="7192" spans="1:40" s="47" customFormat="1">
      <c r="A7192" s="121"/>
      <c r="B7192" s="121"/>
      <c r="C7192" s="121"/>
      <c r="D7192" s="121"/>
      <c r="E7192" s="121"/>
      <c r="F7192" s="121"/>
      <c r="G7192" s="121"/>
      <c r="H7192" s="121"/>
      <c r="I7192" s="121"/>
      <c r="J7192" s="121"/>
      <c r="K7192" s="121"/>
      <c r="L7192" s="121"/>
      <c r="M7192" s="121"/>
      <c r="N7192" s="223" t="s">
        <v>2828</v>
      </c>
      <c r="O7192" s="445" t="s">
        <v>142</v>
      </c>
      <c r="P7192" s="544"/>
      <c r="Q7192" s="321"/>
      <c r="R7192" s="260"/>
      <c r="S7192" s="260"/>
      <c r="T7192" s="260"/>
      <c r="U7192" s="260"/>
      <c r="V7192" s="260"/>
      <c r="W7192" s="262"/>
      <c r="X7192"/>
      <c r="Y7192"/>
      <c r="Z7192"/>
      <c r="AA7192"/>
      <c r="AB7192"/>
      <c r="AC7192"/>
      <c r="AD7192"/>
      <c r="AE7192"/>
      <c r="AF7192"/>
      <c r="AG7192"/>
      <c r="AH7192"/>
      <c r="AI7192"/>
      <c r="AJ7192"/>
      <c r="AK7192"/>
      <c r="AL7192"/>
      <c r="AM7192"/>
      <c r="AN7192"/>
    </row>
    <row r="7193" spans="1:40" s="47" customFormat="1">
      <c r="A7193" s="121"/>
      <c r="B7193" s="121"/>
      <c r="C7193" s="121"/>
      <c r="D7193" s="121"/>
      <c r="E7193" s="121"/>
      <c r="F7193" s="121"/>
      <c r="G7193" s="121"/>
      <c r="H7193" s="121"/>
      <c r="I7193" s="121"/>
      <c r="J7193" s="121"/>
      <c r="K7193" s="121"/>
      <c r="L7193" s="121"/>
      <c r="M7193" s="121"/>
      <c r="N7193" s="223" t="s">
        <v>143</v>
      </c>
      <c r="O7193" s="446" t="s">
        <v>144</v>
      </c>
      <c r="P7193" s="544"/>
      <c r="Q7193" s="321"/>
      <c r="R7193" s="260"/>
      <c r="S7193" s="260"/>
      <c r="T7193" s="260"/>
      <c r="U7193" s="260"/>
      <c r="V7193" s="260"/>
      <c r="W7193" s="262"/>
      <c r="X7193"/>
      <c r="Y7193"/>
      <c r="Z7193"/>
      <c r="AA7193"/>
      <c r="AB7193"/>
      <c r="AC7193"/>
      <c r="AD7193"/>
      <c r="AE7193"/>
      <c r="AF7193"/>
      <c r="AG7193"/>
      <c r="AH7193"/>
      <c r="AI7193"/>
      <c r="AJ7193"/>
      <c r="AK7193"/>
      <c r="AL7193"/>
      <c r="AM7193"/>
      <c r="AN7193"/>
    </row>
    <row r="7194" spans="1:40" s="47" customFormat="1">
      <c r="A7194" s="121"/>
      <c r="B7194" s="121"/>
      <c r="C7194" s="121"/>
      <c r="D7194" s="121"/>
      <c r="E7194" s="121"/>
      <c r="F7194" s="121"/>
      <c r="G7194" s="121"/>
      <c r="H7194" s="121"/>
      <c r="I7194" s="121"/>
      <c r="J7194" s="121"/>
      <c r="K7194" s="121"/>
      <c r="L7194" s="121"/>
      <c r="M7194" s="121"/>
      <c r="N7194" s="223" t="s">
        <v>145</v>
      </c>
      <c r="O7194" s="446" t="s">
        <v>146</v>
      </c>
      <c r="P7194" s="544"/>
      <c r="Q7194" s="321"/>
      <c r="R7194" s="260"/>
      <c r="S7194" s="260"/>
      <c r="T7194" s="260"/>
      <c r="U7194" s="260"/>
      <c r="V7194" s="260"/>
      <c r="W7194" s="262"/>
      <c r="X7194"/>
      <c r="Y7194"/>
      <c r="Z7194"/>
      <c r="AA7194"/>
      <c r="AB7194"/>
      <c r="AC7194"/>
      <c r="AD7194"/>
      <c r="AE7194"/>
      <c r="AF7194"/>
      <c r="AG7194"/>
      <c r="AH7194"/>
      <c r="AI7194"/>
      <c r="AJ7194"/>
      <c r="AK7194"/>
      <c r="AL7194"/>
      <c r="AM7194"/>
      <c r="AN7194"/>
    </row>
    <row r="7195" spans="1:40" s="47" customFormat="1">
      <c r="A7195" s="121"/>
      <c r="B7195" s="121"/>
      <c r="C7195" s="121"/>
      <c r="D7195" s="121"/>
      <c r="E7195" s="121"/>
      <c r="F7195" s="121"/>
      <c r="G7195" s="121"/>
      <c r="H7195" s="121"/>
      <c r="I7195" s="121"/>
      <c r="J7195" s="121"/>
      <c r="K7195" s="121"/>
      <c r="L7195" s="121"/>
      <c r="M7195" s="121"/>
      <c r="N7195" s="222"/>
      <c r="O7195" s="502"/>
      <c r="P7195" s="285"/>
      <c r="Q7195" s="321"/>
      <c r="R7195" s="260"/>
      <c r="S7195" s="260"/>
      <c r="T7195" s="260"/>
      <c r="U7195" s="260"/>
      <c r="V7195" s="260"/>
      <c r="W7195" s="260"/>
      <c r="X7195"/>
      <c r="Y7195"/>
      <c r="Z7195"/>
      <c r="AA7195"/>
      <c r="AB7195"/>
      <c r="AC7195"/>
      <c r="AD7195"/>
      <c r="AE7195"/>
      <c r="AF7195"/>
      <c r="AG7195"/>
      <c r="AH7195"/>
      <c r="AI7195"/>
      <c r="AJ7195"/>
      <c r="AK7195"/>
      <c r="AL7195"/>
      <c r="AM7195"/>
      <c r="AN7195"/>
    </row>
    <row r="7196" spans="1:40" s="47" customFormat="1">
      <c r="A7196" s="121"/>
      <c r="B7196" s="121"/>
      <c r="C7196" s="121"/>
      <c r="D7196" s="121"/>
      <c r="E7196" s="121"/>
      <c r="F7196" s="121"/>
      <c r="G7196" s="121"/>
      <c r="H7196" s="121"/>
      <c r="I7196" s="121"/>
      <c r="J7196" s="121"/>
      <c r="K7196" s="121"/>
      <c r="L7196" s="121"/>
      <c r="M7196" s="121"/>
      <c r="N7196" s="222"/>
      <c r="O7196" s="502"/>
      <c r="P7196" s="285"/>
      <c r="Q7196" s="321"/>
      <c r="R7196" s="260"/>
      <c r="S7196" s="260"/>
      <c r="T7196" s="260"/>
      <c r="U7196" s="260"/>
      <c r="V7196" s="260"/>
      <c r="W7196" s="260"/>
      <c r="X7196"/>
      <c r="Y7196"/>
      <c r="Z7196"/>
      <c r="AA7196"/>
      <c r="AB7196"/>
      <c r="AC7196"/>
      <c r="AD7196"/>
      <c r="AE7196"/>
      <c r="AF7196"/>
      <c r="AG7196"/>
      <c r="AH7196"/>
      <c r="AI7196"/>
      <c r="AJ7196"/>
      <c r="AK7196"/>
      <c r="AL7196"/>
      <c r="AM7196"/>
      <c r="AN7196"/>
    </row>
    <row r="7197" spans="1:40" s="47" customFormat="1" ht="22.5">
      <c r="A7197" s="121"/>
      <c r="B7197" s="121"/>
      <c r="C7197" s="121"/>
      <c r="D7197" s="121"/>
      <c r="E7197" s="121"/>
      <c r="F7197" s="121"/>
      <c r="G7197" s="121"/>
      <c r="H7197" s="121"/>
      <c r="I7197" s="121"/>
      <c r="J7197" s="121"/>
      <c r="K7197" s="121"/>
      <c r="L7197" s="121"/>
      <c r="M7197" s="121"/>
      <c r="N7197" s="223" t="s">
        <v>150</v>
      </c>
      <c r="O7197" s="446" t="s">
        <v>151</v>
      </c>
      <c r="P7197" s="544"/>
      <c r="Q7197" s="321"/>
      <c r="R7197" s="260"/>
      <c r="S7197" s="260"/>
      <c r="T7197" s="260"/>
      <c r="U7197" s="260"/>
      <c r="V7197" s="260"/>
      <c r="W7197" s="262"/>
      <c r="X7197"/>
      <c r="Y7197"/>
      <c r="Z7197"/>
      <c r="AA7197"/>
      <c r="AB7197"/>
      <c r="AC7197"/>
      <c r="AD7197"/>
      <c r="AE7197"/>
      <c r="AF7197"/>
      <c r="AG7197"/>
      <c r="AH7197"/>
      <c r="AI7197"/>
      <c r="AJ7197"/>
      <c r="AK7197"/>
      <c r="AL7197"/>
      <c r="AM7197"/>
      <c r="AN7197"/>
    </row>
    <row r="7198" spans="1:40" s="47" customFormat="1">
      <c r="A7198" s="121"/>
      <c r="B7198" s="121"/>
      <c r="C7198" s="121"/>
      <c r="D7198" s="121"/>
      <c r="E7198" s="121"/>
      <c r="F7198" s="121"/>
      <c r="G7198" s="121"/>
      <c r="H7198" s="121"/>
      <c r="I7198" s="121"/>
      <c r="J7198" s="121"/>
      <c r="K7198" s="121"/>
      <c r="L7198" s="121"/>
      <c r="M7198" s="121"/>
      <c r="N7198" s="223" t="s">
        <v>2830</v>
      </c>
      <c r="O7198" s="445" t="s">
        <v>152</v>
      </c>
      <c r="P7198" s="544"/>
      <c r="Q7198" s="321"/>
      <c r="R7198" s="260"/>
      <c r="S7198" s="260"/>
      <c r="T7198" s="260"/>
      <c r="U7198" s="260"/>
      <c r="V7198" s="260"/>
      <c r="W7198" s="262"/>
      <c r="X7198"/>
      <c r="Y7198"/>
      <c r="Z7198"/>
      <c r="AA7198"/>
      <c r="AB7198"/>
      <c r="AC7198"/>
      <c r="AD7198"/>
      <c r="AE7198"/>
      <c r="AF7198"/>
      <c r="AG7198"/>
      <c r="AH7198"/>
      <c r="AI7198"/>
      <c r="AJ7198"/>
      <c r="AK7198"/>
      <c r="AL7198"/>
      <c r="AM7198"/>
      <c r="AN7198"/>
    </row>
    <row r="7199" spans="1:40" s="47" customFormat="1">
      <c r="A7199" s="121"/>
      <c r="B7199" s="121"/>
      <c r="C7199" s="121"/>
      <c r="D7199" s="121"/>
      <c r="E7199" s="121"/>
      <c r="F7199" s="121"/>
      <c r="G7199" s="121"/>
      <c r="H7199" s="121"/>
      <c r="I7199" s="121"/>
      <c r="J7199" s="121"/>
      <c r="K7199" s="121"/>
      <c r="L7199" s="121"/>
      <c r="M7199" s="121"/>
      <c r="N7199" s="223" t="s">
        <v>2847</v>
      </c>
      <c r="O7199" s="445" t="s">
        <v>153</v>
      </c>
      <c r="P7199" s="544"/>
      <c r="Q7199" s="321"/>
      <c r="R7199" s="260"/>
      <c r="S7199" s="260"/>
      <c r="T7199" s="260"/>
      <c r="U7199" s="260"/>
      <c r="V7199" s="260"/>
      <c r="W7199" s="262"/>
      <c r="X7199"/>
      <c r="Y7199"/>
      <c r="Z7199"/>
      <c r="AA7199"/>
      <c r="AB7199"/>
      <c r="AC7199"/>
      <c r="AD7199"/>
      <c r="AE7199"/>
      <c r="AF7199"/>
      <c r="AG7199"/>
      <c r="AH7199"/>
      <c r="AI7199"/>
      <c r="AJ7199"/>
      <c r="AK7199"/>
      <c r="AL7199"/>
      <c r="AM7199"/>
      <c r="AN7199"/>
    </row>
    <row r="7200" spans="1:40" s="47" customFormat="1">
      <c r="A7200" s="121"/>
      <c r="B7200" s="121"/>
      <c r="C7200" s="121"/>
      <c r="D7200" s="121"/>
      <c r="E7200" s="121"/>
      <c r="F7200" s="121"/>
      <c r="G7200" s="121"/>
      <c r="H7200" s="121"/>
      <c r="I7200" s="121"/>
      <c r="J7200" s="121"/>
      <c r="K7200" s="121"/>
      <c r="L7200" s="121"/>
      <c r="M7200" s="121"/>
      <c r="N7200" s="223" t="s">
        <v>2849</v>
      </c>
      <c r="O7200" s="446" t="s">
        <v>154</v>
      </c>
      <c r="P7200" s="544"/>
      <c r="Q7200" s="321"/>
      <c r="R7200" s="260"/>
      <c r="S7200" s="260"/>
      <c r="T7200" s="260"/>
      <c r="U7200" s="260"/>
      <c r="V7200" s="260"/>
      <c r="W7200" s="262"/>
      <c r="X7200"/>
      <c r="Y7200"/>
      <c r="Z7200"/>
      <c r="AA7200"/>
      <c r="AB7200"/>
      <c r="AC7200"/>
      <c r="AD7200"/>
      <c r="AE7200"/>
      <c r="AF7200"/>
      <c r="AG7200"/>
      <c r="AH7200"/>
      <c r="AI7200"/>
      <c r="AJ7200"/>
      <c r="AK7200"/>
      <c r="AL7200"/>
      <c r="AM7200"/>
      <c r="AN7200"/>
    </row>
    <row r="7201" spans="1:40" s="47" customFormat="1">
      <c r="A7201" s="121"/>
      <c r="B7201" s="121"/>
      <c r="C7201" s="121"/>
      <c r="D7201" s="121"/>
      <c r="E7201" s="121"/>
      <c r="F7201" s="121"/>
      <c r="G7201" s="121"/>
      <c r="H7201" s="121"/>
      <c r="I7201" s="121"/>
      <c r="J7201" s="121"/>
      <c r="K7201" s="121"/>
      <c r="L7201" s="121"/>
      <c r="M7201" s="121"/>
      <c r="N7201" s="222"/>
      <c r="O7201" s="502"/>
      <c r="P7201" s="285"/>
      <c r="Q7201" s="321"/>
      <c r="R7201" s="260"/>
      <c r="S7201" s="260"/>
      <c r="T7201" s="260"/>
      <c r="U7201" s="260"/>
      <c r="V7201" s="260"/>
      <c r="W7201" s="260"/>
      <c r="X7201"/>
      <c r="Y7201"/>
      <c r="Z7201"/>
      <c r="AA7201"/>
      <c r="AB7201"/>
      <c r="AC7201"/>
      <c r="AD7201"/>
      <c r="AE7201"/>
      <c r="AF7201"/>
      <c r="AG7201"/>
      <c r="AH7201"/>
      <c r="AI7201"/>
      <c r="AJ7201"/>
      <c r="AK7201"/>
      <c r="AL7201"/>
      <c r="AM7201"/>
      <c r="AN7201"/>
    </row>
    <row r="7202" spans="1:40" s="47" customFormat="1">
      <c r="A7202" s="121"/>
      <c r="B7202" s="121"/>
      <c r="C7202" s="121"/>
      <c r="D7202" s="121"/>
      <c r="E7202" s="121"/>
      <c r="F7202" s="121"/>
      <c r="G7202" s="121"/>
      <c r="H7202" s="121"/>
      <c r="I7202" s="121"/>
      <c r="J7202" s="121"/>
      <c r="K7202" s="121"/>
      <c r="L7202" s="121"/>
      <c r="M7202" s="121"/>
      <c r="N7202" s="222"/>
      <c r="O7202" s="502"/>
      <c r="P7202" s="285"/>
      <c r="Q7202" s="321"/>
      <c r="R7202" s="260"/>
      <c r="S7202" s="260"/>
      <c r="T7202" s="260"/>
      <c r="U7202" s="260"/>
      <c r="V7202" s="260"/>
      <c r="W7202" s="260"/>
      <c r="X7202"/>
      <c r="Y7202"/>
      <c r="Z7202"/>
      <c r="AA7202"/>
      <c r="AB7202"/>
      <c r="AC7202"/>
      <c r="AD7202"/>
      <c r="AE7202"/>
      <c r="AF7202"/>
      <c r="AG7202"/>
      <c r="AH7202"/>
      <c r="AI7202"/>
      <c r="AJ7202"/>
      <c r="AK7202"/>
      <c r="AL7202"/>
      <c r="AM7202"/>
      <c r="AN7202"/>
    </row>
    <row r="7203" spans="1:40" s="47" customFormat="1">
      <c r="A7203" s="121"/>
      <c r="B7203" s="121"/>
      <c r="C7203" s="121"/>
      <c r="D7203" s="121"/>
      <c r="E7203" s="121"/>
      <c r="F7203" s="121"/>
      <c r="G7203" s="121"/>
      <c r="H7203" s="121"/>
      <c r="I7203" s="121"/>
      <c r="J7203" s="121"/>
      <c r="K7203" s="121"/>
      <c r="L7203" s="121"/>
      <c r="M7203" s="121"/>
      <c r="N7203" s="223" t="s">
        <v>2850</v>
      </c>
      <c r="O7203" s="446" t="s">
        <v>158</v>
      </c>
      <c r="P7203" s="544"/>
      <c r="Q7203" s="321"/>
      <c r="R7203" s="260"/>
      <c r="S7203" s="260"/>
      <c r="T7203" s="260"/>
      <c r="U7203" s="260"/>
      <c r="V7203" s="260"/>
      <c r="W7203" s="262"/>
      <c r="X7203"/>
      <c r="Y7203"/>
      <c r="Z7203"/>
      <c r="AA7203"/>
      <c r="AB7203"/>
      <c r="AC7203"/>
      <c r="AD7203"/>
      <c r="AE7203"/>
      <c r="AF7203"/>
      <c r="AG7203"/>
      <c r="AH7203"/>
      <c r="AI7203"/>
      <c r="AJ7203"/>
      <c r="AK7203"/>
      <c r="AL7203"/>
      <c r="AM7203"/>
      <c r="AN7203"/>
    </row>
    <row r="7204" spans="1:40" s="47" customFormat="1">
      <c r="A7204" s="121"/>
      <c r="B7204" s="121"/>
      <c r="C7204" s="121"/>
      <c r="D7204" s="121"/>
      <c r="E7204" s="121"/>
      <c r="F7204" s="121"/>
      <c r="G7204" s="121"/>
      <c r="H7204" s="121"/>
      <c r="I7204" s="121"/>
      <c r="J7204" s="121"/>
      <c r="K7204" s="121"/>
      <c r="L7204" s="121"/>
      <c r="M7204" s="121"/>
      <c r="N7204" s="223" t="s">
        <v>2319</v>
      </c>
      <c r="O7204" s="445" t="s">
        <v>159</v>
      </c>
      <c r="P7204" s="544"/>
      <c r="Q7204" s="321"/>
      <c r="R7204" s="260"/>
      <c r="S7204" s="260"/>
      <c r="T7204" s="260"/>
      <c r="U7204" s="260"/>
      <c r="V7204" s="260"/>
      <c r="W7204" s="262"/>
      <c r="X7204"/>
      <c r="Y7204"/>
      <c r="Z7204"/>
      <c r="AA7204"/>
      <c r="AB7204"/>
      <c r="AC7204"/>
      <c r="AD7204"/>
      <c r="AE7204"/>
      <c r="AF7204"/>
      <c r="AG7204"/>
      <c r="AH7204"/>
      <c r="AI7204"/>
      <c r="AJ7204"/>
      <c r="AK7204"/>
      <c r="AL7204"/>
      <c r="AM7204"/>
      <c r="AN7204"/>
    </row>
    <row r="7205" spans="1:40" s="47" customFormat="1">
      <c r="A7205" s="121"/>
      <c r="B7205" s="121"/>
      <c r="C7205" s="121"/>
      <c r="D7205" s="121"/>
      <c r="E7205" s="121"/>
      <c r="F7205" s="121"/>
      <c r="G7205" s="121"/>
      <c r="H7205" s="121"/>
      <c r="I7205" s="121"/>
      <c r="J7205" s="121"/>
      <c r="K7205" s="121"/>
      <c r="L7205" s="121"/>
      <c r="M7205" s="121"/>
      <c r="N7205" s="223" t="s">
        <v>2320</v>
      </c>
      <c r="O7205" s="446" t="s">
        <v>160</v>
      </c>
      <c r="P7205" s="544"/>
      <c r="Q7205" s="321"/>
      <c r="R7205" s="260"/>
      <c r="S7205" s="260"/>
      <c r="T7205" s="260"/>
      <c r="U7205" s="260"/>
      <c r="V7205" s="260"/>
      <c r="W7205" s="262"/>
      <c r="X7205"/>
      <c r="Y7205"/>
      <c r="Z7205"/>
      <c r="AA7205"/>
      <c r="AB7205"/>
      <c r="AC7205"/>
      <c r="AD7205"/>
      <c r="AE7205"/>
      <c r="AF7205"/>
      <c r="AG7205"/>
      <c r="AH7205"/>
      <c r="AI7205"/>
      <c r="AJ7205"/>
      <c r="AK7205"/>
      <c r="AL7205"/>
      <c r="AM7205"/>
      <c r="AN7205"/>
    </row>
    <row r="7206" spans="1:40" s="47" customFormat="1">
      <c r="A7206" s="121"/>
      <c r="B7206" s="121"/>
      <c r="C7206" s="121"/>
      <c r="D7206" s="121"/>
      <c r="E7206" s="121"/>
      <c r="F7206" s="121"/>
      <c r="G7206" s="121"/>
      <c r="H7206" s="121"/>
      <c r="I7206" s="121"/>
      <c r="J7206" s="121"/>
      <c r="K7206" s="121"/>
      <c r="L7206" s="121"/>
      <c r="M7206" s="121"/>
      <c r="N7206" s="222"/>
      <c r="O7206" s="502"/>
      <c r="P7206" s="285"/>
      <c r="Q7206" s="321"/>
      <c r="R7206" s="260"/>
      <c r="S7206" s="260"/>
      <c r="T7206" s="260"/>
      <c r="U7206" s="260"/>
      <c r="V7206" s="260"/>
      <c r="W7206" s="260"/>
      <c r="X7206"/>
      <c r="Y7206"/>
      <c r="Z7206"/>
      <c r="AA7206"/>
      <c r="AB7206"/>
      <c r="AC7206"/>
      <c r="AD7206"/>
      <c r="AE7206"/>
      <c r="AF7206"/>
      <c r="AG7206"/>
      <c r="AH7206"/>
      <c r="AI7206"/>
      <c r="AJ7206"/>
      <c r="AK7206"/>
      <c r="AL7206"/>
      <c r="AM7206"/>
      <c r="AN7206"/>
    </row>
    <row r="7207" spans="1:40" s="47" customFormat="1">
      <c r="A7207" s="121"/>
      <c r="B7207" s="121"/>
      <c r="C7207" s="121"/>
      <c r="D7207" s="121"/>
      <c r="E7207" s="121"/>
      <c r="F7207" s="121"/>
      <c r="G7207" s="121"/>
      <c r="H7207" s="121"/>
      <c r="I7207" s="121"/>
      <c r="J7207" s="121"/>
      <c r="K7207" s="121"/>
      <c r="L7207" s="121"/>
      <c r="M7207" s="121"/>
      <c r="N7207" s="223" t="s">
        <v>2321</v>
      </c>
      <c r="O7207" s="445" t="s">
        <v>163</v>
      </c>
      <c r="P7207" s="544"/>
      <c r="Q7207" s="321"/>
      <c r="R7207" s="260"/>
      <c r="S7207" s="260"/>
      <c r="T7207" s="260"/>
      <c r="U7207" s="260"/>
      <c r="V7207" s="260"/>
      <c r="W7207" s="262"/>
      <c r="X7207"/>
      <c r="Y7207"/>
      <c r="Z7207"/>
      <c r="AA7207"/>
      <c r="AB7207"/>
      <c r="AC7207"/>
      <c r="AD7207"/>
      <c r="AE7207"/>
      <c r="AF7207"/>
      <c r="AG7207"/>
      <c r="AH7207"/>
      <c r="AI7207"/>
      <c r="AJ7207"/>
      <c r="AK7207"/>
      <c r="AL7207"/>
      <c r="AM7207"/>
      <c r="AN7207"/>
    </row>
    <row r="7208" spans="1:40" s="47" customFormat="1">
      <c r="A7208" s="121"/>
      <c r="B7208" s="121"/>
      <c r="C7208" s="121"/>
      <c r="D7208" s="121"/>
      <c r="E7208" s="121"/>
      <c r="F7208" s="121"/>
      <c r="G7208" s="121"/>
      <c r="H7208" s="121"/>
      <c r="I7208" s="121"/>
      <c r="J7208" s="121"/>
      <c r="K7208" s="121"/>
      <c r="L7208" s="121"/>
      <c r="M7208" s="121"/>
      <c r="N7208" s="223" t="s">
        <v>2322</v>
      </c>
      <c r="O7208" s="446" t="s">
        <v>164</v>
      </c>
      <c r="P7208" s="544"/>
      <c r="Q7208" s="321"/>
      <c r="R7208" s="260"/>
      <c r="S7208" s="260"/>
      <c r="T7208" s="260"/>
      <c r="U7208" s="260"/>
      <c r="V7208" s="260"/>
      <c r="W7208" s="262"/>
      <c r="X7208"/>
      <c r="Y7208"/>
      <c r="Z7208"/>
      <c r="AA7208"/>
      <c r="AB7208"/>
      <c r="AC7208"/>
      <c r="AD7208"/>
      <c r="AE7208"/>
      <c r="AF7208"/>
      <c r="AG7208"/>
      <c r="AH7208"/>
      <c r="AI7208"/>
      <c r="AJ7208"/>
      <c r="AK7208"/>
      <c r="AL7208"/>
      <c r="AM7208"/>
      <c r="AN7208"/>
    </row>
    <row r="7209" spans="1:40" s="47" customFormat="1">
      <c r="A7209" s="121"/>
      <c r="B7209" s="121"/>
      <c r="C7209" s="121"/>
      <c r="D7209" s="121"/>
      <c r="E7209" s="121"/>
      <c r="F7209" s="121"/>
      <c r="G7209" s="121"/>
      <c r="H7209" s="121"/>
      <c r="I7209" s="121"/>
      <c r="J7209" s="121"/>
      <c r="K7209" s="121"/>
      <c r="L7209" s="121"/>
      <c r="M7209" s="121"/>
      <c r="N7209" s="222"/>
      <c r="O7209" s="502"/>
      <c r="P7209" s="285"/>
      <c r="Q7209" s="321"/>
      <c r="R7209" s="260"/>
      <c r="S7209" s="260"/>
      <c r="T7209" s="260"/>
      <c r="U7209" s="260"/>
      <c r="V7209" s="260"/>
      <c r="W7209" s="260"/>
      <c r="X7209"/>
      <c r="Y7209"/>
      <c r="Z7209"/>
      <c r="AA7209"/>
      <c r="AB7209"/>
      <c r="AC7209"/>
      <c r="AD7209"/>
      <c r="AE7209"/>
      <c r="AF7209"/>
      <c r="AG7209"/>
      <c r="AH7209"/>
      <c r="AI7209"/>
      <c r="AJ7209"/>
      <c r="AK7209"/>
      <c r="AL7209"/>
      <c r="AM7209"/>
      <c r="AN7209"/>
    </row>
    <row r="7210" spans="1:40" s="47" customFormat="1" ht="22.5">
      <c r="A7210" s="121"/>
      <c r="B7210" s="121"/>
      <c r="C7210" s="121"/>
      <c r="D7210" s="121"/>
      <c r="E7210" s="121"/>
      <c r="F7210" s="121"/>
      <c r="G7210" s="121"/>
      <c r="H7210" s="121"/>
      <c r="I7210" s="121"/>
      <c r="J7210" s="121"/>
      <c r="K7210" s="121"/>
      <c r="L7210" s="121"/>
      <c r="M7210" s="121"/>
      <c r="N7210" s="223" t="s">
        <v>167</v>
      </c>
      <c r="O7210" s="446" t="s">
        <v>168</v>
      </c>
      <c r="P7210" s="544"/>
      <c r="Q7210" s="321"/>
      <c r="R7210" s="260"/>
      <c r="S7210" s="260"/>
      <c r="T7210" s="260"/>
      <c r="U7210" s="260"/>
      <c r="V7210" s="260"/>
      <c r="W7210" s="262"/>
      <c r="X7210"/>
      <c r="Y7210"/>
      <c r="Z7210"/>
      <c r="AA7210"/>
      <c r="AB7210"/>
      <c r="AC7210"/>
      <c r="AD7210"/>
      <c r="AE7210"/>
      <c r="AF7210"/>
      <c r="AG7210"/>
      <c r="AH7210"/>
      <c r="AI7210"/>
      <c r="AJ7210"/>
      <c r="AK7210"/>
      <c r="AL7210"/>
      <c r="AM7210"/>
      <c r="AN7210"/>
    </row>
    <row r="7211" spans="1:40" s="47" customFormat="1">
      <c r="A7211" s="121"/>
      <c r="B7211" s="121"/>
      <c r="C7211" s="121"/>
      <c r="D7211" s="121"/>
      <c r="E7211" s="121"/>
      <c r="F7211" s="121"/>
      <c r="G7211" s="121"/>
      <c r="H7211" s="121"/>
      <c r="I7211" s="121"/>
      <c r="J7211" s="121"/>
      <c r="K7211" s="121"/>
      <c r="L7211" s="121"/>
      <c r="M7211" s="121"/>
      <c r="N7211" s="223" t="s">
        <v>2323</v>
      </c>
      <c r="O7211" s="445" t="s">
        <v>2327</v>
      </c>
      <c r="P7211" s="544"/>
      <c r="Q7211" s="321"/>
      <c r="R7211" s="260"/>
      <c r="S7211" s="260"/>
      <c r="T7211" s="260"/>
      <c r="U7211" s="260"/>
      <c r="V7211" s="260"/>
      <c r="W7211" s="262"/>
      <c r="X7211"/>
      <c r="Y7211"/>
      <c r="Z7211"/>
      <c r="AA7211"/>
      <c r="AB7211"/>
      <c r="AC7211"/>
      <c r="AD7211"/>
      <c r="AE7211"/>
      <c r="AF7211"/>
      <c r="AG7211"/>
      <c r="AH7211"/>
      <c r="AI7211"/>
      <c r="AJ7211"/>
      <c r="AK7211"/>
      <c r="AL7211"/>
      <c r="AM7211"/>
      <c r="AN7211"/>
    </row>
    <row r="7212" spans="1:40" s="47" customFormat="1" ht="22.5">
      <c r="A7212" s="121"/>
      <c r="B7212" s="121"/>
      <c r="C7212" s="121"/>
      <c r="D7212" s="121"/>
      <c r="E7212" s="121"/>
      <c r="F7212" s="121"/>
      <c r="G7212" s="121"/>
      <c r="H7212" s="121"/>
      <c r="I7212" s="121"/>
      <c r="J7212" s="121"/>
      <c r="K7212" s="121"/>
      <c r="L7212" s="121"/>
      <c r="M7212" s="121"/>
      <c r="N7212" s="223" t="s">
        <v>2324</v>
      </c>
      <c r="O7212" s="445" t="s">
        <v>169</v>
      </c>
      <c r="P7212" s="544"/>
      <c r="Q7212" s="321"/>
      <c r="R7212" s="260"/>
      <c r="S7212" s="260"/>
      <c r="T7212" s="260"/>
      <c r="U7212" s="260"/>
      <c r="V7212" s="260"/>
      <c r="W7212" s="262"/>
      <c r="X7212"/>
      <c r="Y7212"/>
      <c r="Z7212"/>
      <c r="AA7212"/>
      <c r="AB7212"/>
      <c r="AC7212"/>
      <c r="AD7212"/>
      <c r="AE7212"/>
      <c r="AF7212"/>
      <c r="AG7212"/>
      <c r="AH7212"/>
      <c r="AI7212"/>
      <c r="AJ7212"/>
      <c r="AK7212"/>
      <c r="AL7212"/>
      <c r="AM7212"/>
      <c r="AN7212"/>
    </row>
    <row r="7213" spans="1:40" s="47" customFormat="1">
      <c r="A7213" s="121"/>
      <c r="B7213" s="121"/>
      <c r="C7213" s="121"/>
      <c r="D7213" s="121"/>
      <c r="E7213" s="121"/>
      <c r="F7213" s="121"/>
      <c r="G7213" s="121"/>
      <c r="H7213" s="121"/>
      <c r="I7213" s="121"/>
      <c r="J7213" s="121"/>
      <c r="K7213" s="121"/>
      <c r="L7213" s="121"/>
      <c r="M7213" s="121"/>
      <c r="N7213" s="223" t="s">
        <v>170</v>
      </c>
      <c r="O7213" s="445" t="s">
        <v>171</v>
      </c>
      <c r="P7213" s="544"/>
      <c r="Q7213" s="321"/>
      <c r="R7213" s="260"/>
      <c r="S7213" s="260"/>
      <c r="T7213" s="260"/>
      <c r="U7213" s="260"/>
      <c r="V7213" s="260"/>
      <c r="W7213" s="262"/>
      <c r="X7213"/>
      <c r="Y7213"/>
      <c r="Z7213"/>
      <c r="AA7213"/>
      <c r="AB7213"/>
      <c r="AC7213"/>
      <c r="AD7213"/>
      <c r="AE7213"/>
      <c r="AF7213"/>
      <c r="AG7213"/>
      <c r="AH7213"/>
      <c r="AI7213"/>
      <c r="AJ7213"/>
      <c r="AK7213"/>
      <c r="AL7213"/>
      <c r="AM7213"/>
      <c r="AN7213"/>
    </row>
    <row r="7214" spans="1:40" s="47" customFormat="1">
      <c r="A7214" s="121"/>
      <c r="B7214" s="121"/>
      <c r="C7214" s="121"/>
      <c r="D7214" s="121"/>
      <c r="E7214" s="121"/>
      <c r="F7214" s="121"/>
      <c r="G7214" s="121"/>
      <c r="H7214" s="121"/>
      <c r="I7214" s="121"/>
      <c r="J7214" s="121"/>
      <c r="K7214" s="121"/>
      <c r="L7214" s="121"/>
      <c r="M7214" s="121"/>
      <c r="N7214" s="223" t="s">
        <v>172</v>
      </c>
      <c r="O7214" s="445" t="s">
        <v>173</v>
      </c>
      <c r="P7214" s="544"/>
      <c r="Q7214" s="321"/>
      <c r="R7214" s="260"/>
      <c r="S7214" s="260"/>
      <c r="T7214" s="260"/>
      <c r="U7214" s="260"/>
      <c r="V7214" s="260"/>
      <c r="W7214" s="262"/>
      <c r="X7214"/>
      <c r="Y7214"/>
      <c r="Z7214"/>
      <c r="AA7214"/>
      <c r="AB7214"/>
      <c r="AC7214"/>
      <c r="AD7214"/>
      <c r="AE7214"/>
      <c r="AF7214"/>
      <c r="AG7214"/>
      <c r="AH7214"/>
      <c r="AI7214"/>
      <c r="AJ7214"/>
      <c r="AK7214"/>
      <c r="AL7214"/>
      <c r="AM7214"/>
      <c r="AN7214"/>
    </row>
    <row r="7215" spans="1:40" s="47" customFormat="1">
      <c r="A7215" s="121"/>
      <c r="B7215" s="121"/>
      <c r="C7215" s="121"/>
      <c r="D7215" s="121"/>
      <c r="E7215" s="121"/>
      <c r="F7215" s="121"/>
      <c r="G7215" s="121"/>
      <c r="H7215" s="121"/>
      <c r="I7215" s="121"/>
      <c r="J7215" s="121"/>
      <c r="K7215" s="121"/>
      <c r="L7215" s="121"/>
      <c r="M7215" s="121"/>
      <c r="N7215" s="223" t="s">
        <v>174</v>
      </c>
      <c r="O7215" s="445" t="s">
        <v>175</v>
      </c>
      <c r="P7215" s="544"/>
      <c r="Q7215" s="321"/>
      <c r="R7215" s="260"/>
      <c r="S7215" s="260"/>
      <c r="T7215" s="260"/>
      <c r="U7215" s="260"/>
      <c r="V7215" s="260"/>
      <c r="W7215" s="262"/>
      <c r="X7215"/>
      <c r="Y7215"/>
      <c r="Z7215"/>
      <c r="AA7215"/>
      <c r="AB7215"/>
      <c r="AC7215"/>
      <c r="AD7215"/>
      <c r="AE7215"/>
      <c r="AF7215"/>
      <c r="AG7215"/>
      <c r="AH7215"/>
      <c r="AI7215"/>
      <c r="AJ7215"/>
      <c r="AK7215"/>
      <c r="AL7215"/>
      <c r="AM7215"/>
      <c r="AN7215"/>
    </row>
    <row r="7216" spans="1:40" s="47" customFormat="1">
      <c r="A7216" s="121"/>
      <c r="B7216" s="121"/>
      <c r="C7216" s="121"/>
      <c r="D7216" s="121"/>
      <c r="E7216" s="121"/>
      <c r="F7216" s="121"/>
      <c r="G7216" s="121"/>
      <c r="H7216" s="121"/>
      <c r="I7216" s="121"/>
      <c r="J7216" s="121"/>
      <c r="K7216" s="121"/>
      <c r="L7216" s="121"/>
      <c r="M7216" s="121"/>
      <c r="N7216" s="223" t="s">
        <v>176</v>
      </c>
      <c r="O7216" s="445" t="s">
        <v>177</v>
      </c>
      <c r="P7216" s="544"/>
      <c r="Q7216" s="321"/>
      <c r="R7216" s="260"/>
      <c r="S7216" s="260"/>
      <c r="T7216" s="260"/>
      <c r="U7216" s="260"/>
      <c r="V7216" s="260"/>
      <c r="W7216" s="262"/>
      <c r="X7216"/>
      <c r="Y7216"/>
      <c r="Z7216"/>
      <c r="AA7216"/>
      <c r="AB7216"/>
      <c r="AC7216"/>
      <c r="AD7216"/>
      <c r="AE7216"/>
      <c r="AF7216"/>
      <c r="AG7216"/>
      <c r="AH7216"/>
      <c r="AI7216"/>
      <c r="AJ7216"/>
      <c r="AK7216"/>
      <c r="AL7216"/>
      <c r="AM7216"/>
      <c r="AN7216"/>
    </row>
    <row r="7217" spans="1:40" s="47" customFormat="1" ht="22.5">
      <c r="A7217" s="121"/>
      <c r="B7217" s="121"/>
      <c r="C7217" s="121"/>
      <c r="D7217" s="121"/>
      <c r="E7217" s="121"/>
      <c r="F7217" s="121"/>
      <c r="G7217" s="121"/>
      <c r="H7217" s="121"/>
      <c r="I7217" s="121"/>
      <c r="J7217" s="121"/>
      <c r="K7217" s="121"/>
      <c r="L7217" s="121"/>
      <c r="M7217" s="121"/>
      <c r="N7217" s="223" t="s">
        <v>178</v>
      </c>
      <c r="O7217" s="446" t="s">
        <v>2365</v>
      </c>
      <c r="P7217" s="544"/>
      <c r="Q7217" s="321"/>
      <c r="R7217" s="260"/>
      <c r="S7217" s="260"/>
      <c r="T7217" s="260"/>
      <c r="U7217" s="260"/>
      <c r="V7217" s="260"/>
      <c r="W7217" s="262"/>
      <c r="X7217"/>
      <c r="Y7217"/>
      <c r="Z7217"/>
      <c r="AA7217"/>
      <c r="AB7217"/>
      <c r="AC7217"/>
      <c r="AD7217"/>
      <c r="AE7217"/>
      <c r="AF7217"/>
      <c r="AG7217"/>
      <c r="AH7217"/>
      <c r="AI7217"/>
      <c r="AJ7217"/>
      <c r="AK7217"/>
      <c r="AL7217"/>
      <c r="AM7217"/>
      <c r="AN7217"/>
    </row>
    <row r="7218" spans="1:40" s="47" customFormat="1">
      <c r="A7218" s="121"/>
      <c r="B7218" s="121"/>
      <c r="C7218" s="121"/>
      <c r="D7218" s="121"/>
      <c r="E7218" s="121"/>
      <c r="F7218" s="121"/>
      <c r="G7218" s="121"/>
      <c r="H7218" s="121"/>
      <c r="I7218" s="121"/>
      <c r="J7218" s="121"/>
      <c r="K7218" s="121"/>
      <c r="L7218" s="121"/>
      <c r="M7218" s="121"/>
      <c r="N7218" s="223" t="s">
        <v>2325</v>
      </c>
      <c r="O7218" s="445" t="s">
        <v>179</v>
      </c>
      <c r="P7218" s="544"/>
      <c r="Q7218" s="321"/>
      <c r="R7218" s="260"/>
      <c r="S7218" s="260"/>
      <c r="T7218" s="260"/>
      <c r="U7218" s="260"/>
      <c r="V7218" s="260"/>
      <c r="W7218" s="262"/>
      <c r="X7218"/>
      <c r="Y7218"/>
      <c r="Z7218"/>
      <c r="AA7218"/>
      <c r="AB7218"/>
      <c r="AC7218"/>
      <c r="AD7218"/>
      <c r="AE7218"/>
      <c r="AF7218"/>
      <c r="AG7218"/>
      <c r="AH7218"/>
      <c r="AI7218"/>
      <c r="AJ7218"/>
      <c r="AK7218"/>
      <c r="AL7218"/>
      <c r="AM7218"/>
      <c r="AN7218"/>
    </row>
    <row r="7219" spans="1:40" s="47" customFormat="1">
      <c r="A7219" s="121"/>
      <c r="B7219" s="121"/>
      <c r="C7219" s="121"/>
      <c r="D7219" s="121"/>
      <c r="E7219" s="121"/>
      <c r="F7219" s="121"/>
      <c r="G7219" s="121"/>
      <c r="H7219" s="121"/>
      <c r="I7219" s="121"/>
      <c r="J7219" s="121"/>
      <c r="K7219" s="121"/>
      <c r="L7219" s="121"/>
      <c r="M7219" s="121"/>
      <c r="N7219" s="223" t="s">
        <v>2326</v>
      </c>
      <c r="O7219" s="445" t="s">
        <v>180</v>
      </c>
      <c r="P7219" s="544"/>
      <c r="Q7219" s="321"/>
      <c r="R7219" s="260"/>
      <c r="S7219" s="260"/>
      <c r="T7219" s="260"/>
      <c r="U7219" s="260"/>
      <c r="V7219" s="260"/>
      <c r="W7219" s="262"/>
      <c r="X7219"/>
      <c r="Y7219"/>
      <c r="Z7219"/>
      <c r="AA7219"/>
      <c r="AB7219"/>
      <c r="AC7219"/>
      <c r="AD7219"/>
      <c r="AE7219"/>
      <c r="AF7219"/>
      <c r="AG7219"/>
      <c r="AH7219"/>
      <c r="AI7219"/>
      <c r="AJ7219"/>
      <c r="AK7219"/>
      <c r="AL7219"/>
      <c r="AM7219"/>
      <c r="AN7219"/>
    </row>
    <row r="7220" spans="1:40" s="47" customFormat="1">
      <c r="A7220" s="121"/>
      <c r="B7220" s="121"/>
      <c r="C7220" s="121"/>
      <c r="D7220" s="121"/>
      <c r="E7220" s="121"/>
      <c r="F7220" s="121"/>
      <c r="G7220" s="121"/>
      <c r="H7220" s="121"/>
      <c r="I7220" s="121"/>
      <c r="J7220" s="121"/>
      <c r="K7220" s="121"/>
      <c r="L7220" s="121"/>
      <c r="M7220" s="121"/>
      <c r="N7220" s="223" t="s">
        <v>752</v>
      </c>
      <c r="O7220" s="284" t="s">
        <v>856</v>
      </c>
      <c r="P7220" s="544"/>
      <c r="Q7220" s="321"/>
      <c r="R7220" s="260"/>
      <c r="S7220" s="260"/>
      <c r="T7220" s="260"/>
      <c r="U7220" s="260"/>
      <c r="V7220" s="260"/>
      <c r="W7220" s="262"/>
      <c r="X7220"/>
      <c r="Y7220"/>
      <c r="Z7220"/>
      <c r="AA7220"/>
      <c r="AB7220"/>
      <c r="AC7220"/>
      <c r="AD7220"/>
      <c r="AE7220"/>
      <c r="AF7220"/>
      <c r="AG7220"/>
      <c r="AH7220"/>
      <c r="AI7220"/>
      <c r="AJ7220"/>
      <c r="AK7220"/>
      <c r="AL7220"/>
      <c r="AM7220"/>
      <c r="AN7220"/>
    </row>
    <row r="7221" spans="1:40" s="47" customFormat="1">
      <c r="A7221" s="121"/>
      <c r="B7221" s="121"/>
      <c r="C7221" s="121"/>
      <c r="D7221" s="121"/>
      <c r="E7221" s="121"/>
      <c r="F7221" s="121"/>
      <c r="G7221" s="121"/>
      <c r="H7221" s="121"/>
      <c r="I7221" s="121"/>
      <c r="J7221" s="121"/>
      <c r="K7221" s="121"/>
      <c r="L7221" s="121"/>
      <c r="M7221" s="121"/>
      <c r="N7221" s="223" t="s">
        <v>760</v>
      </c>
      <c r="O7221" s="445" t="s">
        <v>859</v>
      </c>
      <c r="P7221" s="544"/>
      <c r="Q7221" s="321"/>
      <c r="R7221" s="260"/>
      <c r="S7221" s="260"/>
      <c r="T7221" s="260"/>
      <c r="U7221" s="260"/>
      <c r="V7221" s="260"/>
      <c r="W7221" s="262"/>
      <c r="X7221"/>
      <c r="Y7221"/>
      <c r="Z7221"/>
      <c r="AA7221"/>
      <c r="AB7221"/>
      <c r="AC7221"/>
      <c r="AD7221"/>
      <c r="AE7221"/>
      <c r="AF7221"/>
      <c r="AG7221"/>
      <c r="AH7221"/>
      <c r="AI7221"/>
      <c r="AJ7221"/>
      <c r="AK7221"/>
      <c r="AL7221"/>
      <c r="AM7221"/>
      <c r="AN7221"/>
    </row>
    <row r="7222" spans="1:40" s="47" customFormat="1">
      <c r="A7222" s="121"/>
      <c r="B7222" s="121"/>
      <c r="C7222" s="121"/>
      <c r="D7222" s="121"/>
      <c r="E7222" s="121"/>
      <c r="F7222" s="121"/>
      <c r="G7222" s="121"/>
      <c r="H7222" s="121"/>
      <c r="I7222" s="121"/>
      <c r="J7222" s="121"/>
      <c r="K7222" s="121"/>
      <c r="L7222" s="121"/>
      <c r="M7222" s="121"/>
      <c r="N7222" s="223" t="s">
        <v>761</v>
      </c>
      <c r="O7222" s="445" t="s">
        <v>862</v>
      </c>
      <c r="P7222" s="544"/>
      <c r="Q7222" s="321"/>
      <c r="R7222" s="260"/>
      <c r="S7222" s="260"/>
      <c r="T7222" s="260"/>
      <c r="U7222" s="260"/>
      <c r="V7222" s="260"/>
      <c r="W7222" s="262"/>
      <c r="X7222"/>
      <c r="Y7222"/>
      <c r="Z7222"/>
      <c r="AA7222"/>
      <c r="AB7222"/>
      <c r="AC7222"/>
      <c r="AD7222"/>
      <c r="AE7222"/>
      <c r="AF7222"/>
      <c r="AG7222"/>
      <c r="AH7222"/>
      <c r="AI7222"/>
      <c r="AJ7222"/>
      <c r="AK7222"/>
      <c r="AL7222"/>
      <c r="AM7222"/>
      <c r="AN7222"/>
    </row>
    <row r="7223" spans="1:40" s="47" customFormat="1">
      <c r="A7223" s="121"/>
      <c r="B7223" s="121"/>
      <c r="C7223" s="121"/>
      <c r="D7223" s="121"/>
      <c r="E7223" s="121"/>
      <c r="F7223" s="121"/>
      <c r="G7223" s="121"/>
      <c r="H7223" s="121"/>
      <c r="I7223" s="121"/>
      <c r="J7223" s="121"/>
      <c r="K7223" s="121"/>
      <c r="L7223" s="121"/>
      <c r="M7223" s="121"/>
      <c r="N7223" s="223" t="s">
        <v>762</v>
      </c>
      <c r="O7223" s="445" t="s">
        <v>864</v>
      </c>
      <c r="P7223" s="544"/>
      <c r="Q7223" s="321"/>
      <c r="R7223" s="260"/>
      <c r="S7223" s="260"/>
      <c r="T7223" s="260"/>
      <c r="U7223" s="260"/>
      <c r="V7223" s="260"/>
      <c r="W7223" s="262"/>
      <c r="X7223"/>
      <c r="Y7223"/>
      <c r="Z7223"/>
      <c r="AA7223"/>
      <c r="AB7223"/>
      <c r="AC7223"/>
      <c r="AD7223"/>
      <c r="AE7223"/>
      <c r="AF7223"/>
      <c r="AG7223"/>
      <c r="AH7223"/>
      <c r="AI7223"/>
      <c r="AJ7223"/>
      <c r="AK7223"/>
      <c r="AL7223"/>
      <c r="AM7223"/>
      <c r="AN7223"/>
    </row>
    <row r="7224" spans="1:40" s="47" customFormat="1">
      <c r="A7224" s="121"/>
      <c r="B7224" s="121"/>
      <c r="C7224" s="121"/>
      <c r="D7224" s="121"/>
      <c r="E7224" s="121"/>
      <c r="F7224" s="121"/>
      <c r="G7224" s="121"/>
      <c r="H7224" s="121"/>
      <c r="I7224" s="121"/>
      <c r="J7224" s="121"/>
      <c r="K7224" s="121"/>
      <c r="L7224" s="121"/>
      <c r="M7224" s="121"/>
      <c r="N7224" s="223" t="s">
        <v>763</v>
      </c>
      <c r="O7224" s="445" t="s">
        <v>866</v>
      </c>
      <c r="P7224" s="544"/>
      <c r="Q7224" s="321"/>
      <c r="R7224" s="260"/>
      <c r="S7224" s="260"/>
      <c r="T7224" s="260"/>
      <c r="U7224" s="260"/>
      <c r="V7224" s="260"/>
      <c r="W7224" s="262"/>
      <c r="X7224"/>
      <c r="Y7224"/>
      <c r="Z7224"/>
      <c r="AA7224"/>
      <c r="AB7224"/>
      <c r="AC7224"/>
      <c r="AD7224"/>
      <c r="AE7224"/>
      <c r="AF7224"/>
      <c r="AG7224"/>
      <c r="AH7224"/>
      <c r="AI7224"/>
      <c r="AJ7224"/>
      <c r="AK7224"/>
      <c r="AL7224"/>
      <c r="AM7224"/>
      <c r="AN7224"/>
    </row>
    <row r="7225" spans="1:40" s="47" customFormat="1">
      <c r="A7225" s="121"/>
      <c r="B7225" s="121"/>
      <c r="C7225" s="121"/>
      <c r="D7225" s="121"/>
      <c r="E7225" s="121"/>
      <c r="F7225" s="121"/>
      <c r="G7225" s="121"/>
      <c r="H7225" s="121"/>
      <c r="I7225" s="121"/>
      <c r="J7225" s="121"/>
      <c r="K7225" s="121"/>
      <c r="L7225" s="121"/>
      <c r="M7225" s="121"/>
      <c r="N7225" s="223" t="s">
        <v>764</v>
      </c>
      <c r="O7225" s="445" t="s">
        <v>181</v>
      </c>
      <c r="P7225" s="544"/>
      <c r="Q7225" s="321"/>
      <c r="R7225" s="260"/>
      <c r="S7225" s="260"/>
      <c r="T7225" s="260"/>
      <c r="U7225" s="260"/>
      <c r="V7225" s="260"/>
      <c r="W7225" s="262"/>
      <c r="X7225"/>
      <c r="Y7225"/>
      <c r="Z7225"/>
      <c r="AA7225"/>
      <c r="AB7225"/>
      <c r="AC7225"/>
      <c r="AD7225"/>
      <c r="AE7225"/>
      <c r="AF7225"/>
      <c r="AG7225"/>
      <c r="AH7225"/>
      <c r="AI7225"/>
      <c r="AJ7225"/>
      <c r="AK7225"/>
      <c r="AL7225"/>
      <c r="AM7225"/>
      <c r="AN7225"/>
    </row>
    <row r="7226" spans="1:40" s="47" customFormat="1">
      <c r="A7226" s="121"/>
      <c r="B7226" s="121"/>
      <c r="C7226" s="121"/>
      <c r="D7226" s="121"/>
      <c r="E7226" s="121"/>
      <c r="F7226" s="121"/>
      <c r="G7226" s="121"/>
      <c r="H7226" s="121"/>
      <c r="I7226" s="121"/>
      <c r="J7226" s="121"/>
      <c r="K7226" s="121"/>
      <c r="L7226" s="121"/>
      <c r="M7226" s="121"/>
      <c r="N7226" s="223" t="s">
        <v>2371</v>
      </c>
      <c r="O7226" s="446" t="s">
        <v>182</v>
      </c>
      <c r="P7226" s="544"/>
      <c r="Q7226" s="321"/>
      <c r="R7226" s="260"/>
      <c r="S7226" s="260"/>
      <c r="T7226" s="260"/>
      <c r="U7226" s="260"/>
      <c r="V7226" s="260"/>
      <c r="W7226" s="262"/>
      <c r="X7226"/>
      <c r="Y7226"/>
      <c r="Z7226"/>
      <c r="AA7226"/>
      <c r="AB7226"/>
      <c r="AC7226"/>
      <c r="AD7226"/>
      <c r="AE7226"/>
      <c r="AF7226"/>
      <c r="AG7226"/>
      <c r="AH7226"/>
      <c r="AI7226"/>
      <c r="AJ7226"/>
      <c r="AK7226"/>
      <c r="AL7226"/>
      <c r="AM7226"/>
      <c r="AN7226"/>
    </row>
    <row r="7227" spans="1:40" s="47" customFormat="1">
      <c r="A7227" s="121"/>
      <c r="B7227" s="121"/>
      <c r="C7227" s="121"/>
      <c r="D7227" s="121"/>
      <c r="E7227" s="121"/>
      <c r="F7227" s="121"/>
      <c r="G7227" s="121"/>
      <c r="H7227" s="121"/>
      <c r="I7227" s="121"/>
      <c r="J7227" s="121"/>
      <c r="K7227" s="121"/>
      <c r="L7227" s="121"/>
      <c r="M7227" s="121"/>
      <c r="N7227" s="223" t="s">
        <v>2373</v>
      </c>
      <c r="O7227" s="525" t="s">
        <v>183</v>
      </c>
      <c r="P7227" s="544"/>
      <c r="Q7227" s="321"/>
      <c r="R7227" s="260"/>
      <c r="S7227" s="260"/>
      <c r="T7227" s="260"/>
      <c r="U7227" s="260"/>
      <c r="V7227" s="260"/>
      <c r="W7227" s="262"/>
      <c r="X7227"/>
      <c r="Y7227"/>
      <c r="Z7227"/>
      <c r="AA7227"/>
      <c r="AB7227"/>
      <c r="AC7227"/>
      <c r="AD7227"/>
      <c r="AE7227"/>
      <c r="AF7227"/>
      <c r="AG7227"/>
      <c r="AH7227"/>
      <c r="AI7227"/>
      <c r="AJ7227"/>
      <c r="AK7227"/>
      <c r="AL7227"/>
      <c r="AM7227"/>
      <c r="AN7227"/>
    </row>
    <row r="7228" spans="1:40" s="47" customFormat="1">
      <c r="A7228" s="121"/>
      <c r="B7228" s="121"/>
      <c r="C7228" s="121"/>
      <c r="D7228" s="121"/>
      <c r="E7228" s="121"/>
      <c r="F7228" s="121"/>
      <c r="G7228" s="121"/>
      <c r="H7228" s="121"/>
      <c r="I7228" s="121"/>
      <c r="J7228" s="121"/>
      <c r="K7228" s="121"/>
      <c r="L7228" s="121"/>
      <c r="M7228" s="121"/>
      <c r="N7228" s="223" t="s">
        <v>184</v>
      </c>
      <c r="O7228" s="525" t="s">
        <v>2809</v>
      </c>
      <c r="P7228" s="544"/>
      <c r="Q7228" s="321"/>
      <c r="R7228" s="260"/>
      <c r="S7228" s="260"/>
      <c r="T7228" s="260"/>
      <c r="U7228" s="260"/>
      <c r="V7228" s="260"/>
      <c r="W7228" s="262"/>
      <c r="X7228"/>
      <c r="Y7228"/>
      <c r="Z7228"/>
      <c r="AA7228"/>
      <c r="AB7228"/>
      <c r="AC7228"/>
      <c r="AD7228"/>
      <c r="AE7228"/>
      <c r="AF7228"/>
      <c r="AG7228"/>
      <c r="AH7228"/>
      <c r="AI7228"/>
      <c r="AJ7228"/>
      <c r="AK7228"/>
      <c r="AL7228"/>
      <c r="AM7228"/>
      <c r="AN7228"/>
    </row>
    <row r="7229" spans="1:40" s="47" customFormat="1">
      <c r="A7229" s="121"/>
      <c r="B7229" s="121"/>
      <c r="C7229" s="121"/>
      <c r="D7229" s="121"/>
      <c r="E7229" s="121"/>
      <c r="F7229" s="121"/>
      <c r="G7229" s="121"/>
      <c r="H7229" s="121"/>
      <c r="I7229" s="121"/>
      <c r="J7229" s="121"/>
      <c r="K7229" s="121"/>
      <c r="L7229" s="121"/>
      <c r="M7229" s="121"/>
      <c r="N7229" s="223" t="s">
        <v>753</v>
      </c>
      <c r="O7229" s="573" t="s">
        <v>185</v>
      </c>
      <c r="P7229" s="544"/>
      <c r="Q7229" s="321"/>
      <c r="R7229" s="260"/>
      <c r="S7229" s="260"/>
      <c r="T7229" s="260"/>
      <c r="U7229" s="260"/>
      <c r="V7229" s="260"/>
      <c r="W7229" s="262"/>
      <c r="X7229"/>
      <c r="Y7229"/>
      <c r="Z7229"/>
      <c r="AA7229"/>
      <c r="AB7229"/>
      <c r="AC7229"/>
      <c r="AD7229"/>
      <c r="AE7229"/>
      <c r="AF7229"/>
      <c r="AG7229"/>
      <c r="AH7229"/>
      <c r="AI7229"/>
      <c r="AJ7229"/>
      <c r="AK7229"/>
      <c r="AL7229"/>
      <c r="AM7229"/>
      <c r="AN7229"/>
    </row>
    <row r="7230" spans="1:40" s="47" customFormat="1">
      <c r="A7230" s="121"/>
      <c r="B7230" s="121"/>
      <c r="C7230" s="121"/>
      <c r="D7230" s="121"/>
      <c r="E7230" s="121"/>
      <c r="F7230" s="121"/>
      <c r="G7230" s="121"/>
      <c r="H7230" s="121"/>
      <c r="I7230" s="121"/>
      <c r="J7230" s="121"/>
      <c r="K7230" s="121"/>
      <c r="L7230" s="121"/>
      <c r="M7230" s="121"/>
      <c r="N7230" s="223" t="s">
        <v>769</v>
      </c>
      <c r="O7230" s="284" t="s">
        <v>186</v>
      </c>
      <c r="P7230" s="544"/>
      <c r="Q7230" s="321"/>
      <c r="R7230" s="260"/>
      <c r="S7230" s="260"/>
      <c r="T7230" s="260"/>
      <c r="U7230" s="260"/>
      <c r="V7230" s="260"/>
      <c r="W7230" s="262"/>
      <c r="X7230"/>
      <c r="Y7230"/>
      <c r="Z7230"/>
      <c r="AA7230"/>
      <c r="AB7230"/>
      <c r="AC7230"/>
      <c r="AD7230"/>
      <c r="AE7230"/>
      <c r="AF7230"/>
      <c r="AG7230"/>
      <c r="AH7230"/>
      <c r="AI7230"/>
      <c r="AJ7230"/>
      <c r="AK7230"/>
      <c r="AL7230"/>
      <c r="AM7230"/>
      <c r="AN7230"/>
    </row>
    <row r="7231" spans="1:40" s="47" customFormat="1">
      <c r="A7231" s="121"/>
      <c r="B7231" s="121"/>
      <c r="C7231" s="121"/>
      <c r="D7231" s="121"/>
      <c r="E7231" s="121"/>
      <c r="F7231" s="121"/>
      <c r="G7231" s="121"/>
      <c r="H7231" s="121"/>
      <c r="I7231" s="121"/>
      <c r="J7231" s="121"/>
      <c r="K7231" s="121"/>
      <c r="L7231" s="121"/>
      <c r="M7231" s="121"/>
      <c r="N7231" s="223" t="s">
        <v>3072</v>
      </c>
      <c r="O7231" s="284" t="s">
        <v>187</v>
      </c>
      <c r="P7231" s="544"/>
      <c r="Q7231" s="321"/>
      <c r="R7231" s="260"/>
      <c r="S7231" s="260"/>
      <c r="T7231" s="260"/>
      <c r="U7231" s="260"/>
      <c r="V7231" s="260"/>
      <c r="W7231" s="262"/>
      <c r="X7231"/>
      <c r="Y7231"/>
      <c r="Z7231"/>
      <c r="AA7231"/>
      <c r="AB7231"/>
      <c r="AC7231"/>
      <c r="AD7231"/>
      <c r="AE7231"/>
      <c r="AF7231"/>
      <c r="AG7231"/>
      <c r="AH7231"/>
      <c r="AI7231"/>
      <c r="AJ7231"/>
      <c r="AK7231"/>
      <c r="AL7231"/>
      <c r="AM7231"/>
      <c r="AN7231"/>
    </row>
    <row r="7232" spans="1:40" s="47" customFormat="1">
      <c r="A7232" s="121"/>
      <c r="B7232" s="121"/>
      <c r="C7232" s="121"/>
      <c r="D7232" s="121"/>
      <c r="E7232" s="121"/>
      <c r="F7232" s="121"/>
      <c r="G7232" s="121"/>
      <c r="H7232" s="121"/>
      <c r="I7232" s="121"/>
      <c r="J7232" s="121"/>
      <c r="K7232" s="121"/>
      <c r="L7232" s="121"/>
      <c r="M7232" s="121"/>
      <c r="N7232" s="223" t="s">
        <v>75</v>
      </c>
      <c r="O7232" s="445" t="s">
        <v>188</v>
      </c>
      <c r="P7232" s="544"/>
      <c r="Q7232" s="321"/>
      <c r="R7232" s="260"/>
      <c r="S7232" s="260"/>
      <c r="T7232" s="260"/>
      <c r="U7232" s="260"/>
      <c r="V7232" s="260"/>
      <c r="W7232" s="262"/>
      <c r="X7232"/>
      <c r="Y7232"/>
      <c r="Z7232"/>
      <c r="AA7232"/>
      <c r="AB7232"/>
      <c r="AC7232"/>
      <c r="AD7232"/>
      <c r="AE7232"/>
      <c r="AF7232"/>
      <c r="AG7232"/>
      <c r="AH7232"/>
      <c r="AI7232"/>
      <c r="AJ7232"/>
      <c r="AK7232"/>
      <c r="AL7232"/>
      <c r="AM7232"/>
      <c r="AN7232"/>
    </row>
    <row r="7233" spans="1:40" s="47" customFormat="1">
      <c r="A7233" s="121"/>
      <c r="B7233" s="121"/>
      <c r="C7233" s="121"/>
      <c r="D7233" s="121"/>
      <c r="E7233" s="121"/>
      <c r="F7233" s="121"/>
      <c r="G7233" s="121"/>
      <c r="H7233" s="121"/>
      <c r="I7233" s="121"/>
      <c r="J7233" s="121"/>
      <c r="K7233" s="121"/>
      <c r="L7233" s="121"/>
      <c r="M7233" s="121"/>
      <c r="N7233" s="223" t="s">
        <v>62</v>
      </c>
      <c r="O7233" s="445" t="s">
        <v>189</v>
      </c>
      <c r="P7233" s="544"/>
      <c r="Q7233" s="321"/>
      <c r="R7233" s="260"/>
      <c r="S7233" s="260"/>
      <c r="T7233" s="260"/>
      <c r="U7233" s="260"/>
      <c r="V7233" s="260"/>
      <c r="W7233" s="262"/>
      <c r="X7233"/>
      <c r="Y7233"/>
      <c r="Z7233"/>
      <c r="AA7233"/>
      <c r="AB7233"/>
      <c r="AC7233"/>
      <c r="AD7233"/>
      <c r="AE7233"/>
      <c r="AF7233"/>
      <c r="AG7233"/>
      <c r="AH7233"/>
      <c r="AI7233"/>
      <c r="AJ7233"/>
      <c r="AK7233"/>
      <c r="AL7233"/>
      <c r="AM7233"/>
      <c r="AN7233"/>
    </row>
    <row r="7234" spans="1:40" s="47" customFormat="1">
      <c r="A7234" s="121"/>
      <c r="B7234" s="121"/>
      <c r="C7234" s="121"/>
      <c r="D7234" s="121"/>
      <c r="E7234" s="121"/>
      <c r="F7234" s="121"/>
      <c r="G7234" s="121"/>
      <c r="H7234" s="121"/>
      <c r="I7234" s="121"/>
      <c r="J7234" s="121"/>
      <c r="K7234" s="121"/>
      <c r="L7234" s="121"/>
      <c r="M7234" s="121"/>
      <c r="N7234" s="223" t="s">
        <v>68</v>
      </c>
      <c r="O7234" s="445" t="s">
        <v>190</v>
      </c>
      <c r="P7234" s="544"/>
      <c r="Q7234" s="321"/>
      <c r="R7234" s="260"/>
      <c r="S7234" s="260"/>
      <c r="T7234" s="260"/>
      <c r="U7234" s="260"/>
      <c r="V7234" s="260"/>
      <c r="W7234" s="262"/>
      <c r="X7234"/>
      <c r="Y7234"/>
      <c r="Z7234"/>
      <c r="AA7234"/>
      <c r="AB7234"/>
      <c r="AC7234"/>
      <c r="AD7234"/>
      <c r="AE7234"/>
      <c r="AF7234"/>
      <c r="AG7234"/>
      <c r="AH7234"/>
      <c r="AI7234"/>
      <c r="AJ7234"/>
      <c r="AK7234"/>
      <c r="AL7234"/>
      <c r="AM7234"/>
      <c r="AN7234"/>
    </row>
    <row r="7235" spans="1:40" s="47" customFormat="1">
      <c r="A7235" s="121"/>
      <c r="B7235" s="121"/>
      <c r="C7235" s="121"/>
      <c r="D7235" s="121"/>
      <c r="E7235" s="121"/>
      <c r="F7235" s="121"/>
      <c r="G7235" s="121"/>
      <c r="H7235" s="121"/>
      <c r="I7235" s="121"/>
      <c r="J7235" s="121"/>
      <c r="K7235" s="121"/>
      <c r="L7235" s="121"/>
      <c r="M7235" s="121"/>
      <c r="N7235" s="223" t="s">
        <v>1848</v>
      </c>
      <c r="O7235" s="445" t="s">
        <v>191</v>
      </c>
      <c r="P7235" s="544"/>
      <c r="Q7235" s="321"/>
      <c r="R7235" s="260"/>
      <c r="S7235" s="260"/>
      <c r="T7235" s="260"/>
      <c r="U7235" s="260"/>
      <c r="V7235" s="260"/>
      <c r="W7235" s="262"/>
      <c r="X7235"/>
      <c r="Y7235"/>
      <c r="Z7235"/>
      <c r="AA7235"/>
      <c r="AB7235"/>
      <c r="AC7235"/>
      <c r="AD7235"/>
      <c r="AE7235"/>
      <c r="AF7235"/>
      <c r="AG7235"/>
      <c r="AH7235"/>
      <c r="AI7235"/>
      <c r="AJ7235"/>
      <c r="AK7235"/>
      <c r="AL7235"/>
      <c r="AM7235"/>
      <c r="AN7235"/>
    </row>
    <row r="7236" spans="1:40" s="47" customFormat="1" ht="33.75">
      <c r="A7236" s="121"/>
      <c r="B7236" s="121"/>
      <c r="C7236" s="121"/>
      <c r="D7236" s="121"/>
      <c r="E7236" s="121"/>
      <c r="F7236" s="121"/>
      <c r="G7236" s="121"/>
      <c r="H7236" s="121"/>
      <c r="I7236" s="121"/>
      <c r="J7236" s="121"/>
      <c r="K7236" s="121"/>
      <c r="L7236" s="121"/>
      <c r="M7236" s="121"/>
      <c r="N7236" s="223" t="s">
        <v>2412</v>
      </c>
      <c r="O7236" s="284" t="s">
        <v>192</v>
      </c>
      <c r="P7236" s="544"/>
      <c r="Q7236" s="321"/>
      <c r="R7236" s="260"/>
      <c r="S7236" s="260"/>
      <c r="T7236" s="260"/>
      <c r="U7236" s="260"/>
      <c r="V7236" s="260"/>
      <c r="W7236" s="262"/>
      <c r="X7236"/>
      <c r="Y7236"/>
      <c r="Z7236"/>
      <c r="AA7236"/>
      <c r="AB7236"/>
      <c r="AC7236"/>
      <c r="AD7236"/>
      <c r="AE7236"/>
      <c r="AF7236"/>
      <c r="AG7236"/>
      <c r="AH7236"/>
      <c r="AI7236"/>
      <c r="AJ7236"/>
      <c r="AK7236"/>
      <c r="AL7236"/>
      <c r="AM7236"/>
      <c r="AN7236"/>
    </row>
    <row r="7237" spans="1:40" s="47" customFormat="1">
      <c r="A7237" s="121"/>
      <c r="B7237" s="121"/>
      <c r="C7237" s="121"/>
      <c r="D7237" s="121"/>
      <c r="E7237" s="121"/>
      <c r="F7237" s="121"/>
      <c r="G7237" s="121"/>
      <c r="H7237" s="121"/>
      <c r="I7237" s="121"/>
      <c r="J7237" s="121"/>
      <c r="K7237" s="121"/>
      <c r="L7237" s="121"/>
      <c r="M7237" s="121"/>
      <c r="N7237" s="223" t="s">
        <v>2414</v>
      </c>
      <c r="O7237" s="445" t="s">
        <v>193</v>
      </c>
      <c r="P7237" s="544"/>
      <c r="Q7237" s="321"/>
      <c r="R7237" s="260"/>
      <c r="S7237" s="260"/>
      <c r="T7237" s="260"/>
      <c r="U7237" s="260"/>
      <c r="V7237" s="260"/>
      <c r="W7237" s="262"/>
      <c r="X7237"/>
      <c r="Y7237"/>
      <c r="Z7237"/>
      <c r="AA7237"/>
      <c r="AB7237"/>
      <c r="AC7237"/>
      <c r="AD7237"/>
      <c r="AE7237"/>
      <c r="AF7237"/>
      <c r="AG7237"/>
      <c r="AH7237"/>
      <c r="AI7237"/>
      <c r="AJ7237"/>
      <c r="AK7237"/>
      <c r="AL7237"/>
      <c r="AM7237"/>
      <c r="AN7237"/>
    </row>
    <row r="7238" spans="1:40" s="47" customFormat="1">
      <c r="A7238" s="121"/>
      <c r="B7238" s="121"/>
      <c r="C7238" s="121"/>
      <c r="D7238" s="121"/>
      <c r="E7238" s="121"/>
      <c r="F7238" s="121"/>
      <c r="G7238" s="121"/>
      <c r="H7238" s="121"/>
      <c r="I7238" s="121"/>
      <c r="J7238" s="121"/>
      <c r="K7238" s="121"/>
      <c r="L7238" s="121"/>
      <c r="M7238" s="121"/>
      <c r="N7238" s="223" t="s">
        <v>2416</v>
      </c>
      <c r="O7238" s="445" t="s">
        <v>194</v>
      </c>
      <c r="P7238" s="544"/>
      <c r="Q7238" s="321"/>
      <c r="R7238" s="260"/>
      <c r="S7238" s="260"/>
      <c r="T7238" s="260"/>
      <c r="U7238" s="260"/>
      <c r="V7238" s="260"/>
      <c r="W7238" s="262"/>
      <c r="X7238"/>
      <c r="Y7238"/>
      <c r="Z7238"/>
      <c r="AA7238"/>
      <c r="AB7238"/>
      <c r="AC7238"/>
      <c r="AD7238"/>
      <c r="AE7238"/>
      <c r="AF7238"/>
      <c r="AG7238"/>
      <c r="AH7238"/>
      <c r="AI7238"/>
      <c r="AJ7238"/>
      <c r="AK7238"/>
      <c r="AL7238"/>
      <c r="AM7238"/>
      <c r="AN7238"/>
    </row>
    <row r="7239" spans="1:40" s="47" customFormat="1">
      <c r="A7239" s="121"/>
      <c r="B7239" s="121"/>
      <c r="C7239" s="121"/>
      <c r="D7239" s="121"/>
      <c r="E7239" s="121"/>
      <c r="F7239" s="121"/>
      <c r="G7239" s="121"/>
      <c r="H7239" s="121"/>
      <c r="I7239" s="121"/>
      <c r="J7239" s="121"/>
      <c r="K7239" s="121"/>
      <c r="L7239" s="121"/>
      <c r="M7239" s="121"/>
      <c r="N7239" s="223" t="s">
        <v>2419</v>
      </c>
      <c r="O7239" s="445" t="s">
        <v>195</v>
      </c>
      <c r="P7239" s="544"/>
      <c r="Q7239" s="321"/>
      <c r="R7239" s="260"/>
      <c r="S7239" s="260"/>
      <c r="T7239" s="260"/>
      <c r="U7239" s="260"/>
      <c r="V7239" s="260"/>
      <c r="W7239" s="262"/>
      <c r="X7239"/>
      <c r="Y7239"/>
      <c r="Z7239"/>
      <c r="AA7239"/>
      <c r="AB7239"/>
      <c r="AC7239"/>
      <c r="AD7239"/>
      <c r="AE7239"/>
      <c r="AF7239"/>
      <c r="AG7239"/>
      <c r="AH7239"/>
      <c r="AI7239"/>
      <c r="AJ7239"/>
      <c r="AK7239"/>
      <c r="AL7239"/>
      <c r="AM7239"/>
      <c r="AN7239"/>
    </row>
    <row r="7240" spans="1:40" s="47" customFormat="1">
      <c r="A7240" s="121"/>
      <c r="B7240" s="121"/>
      <c r="C7240" s="121"/>
      <c r="D7240" s="121"/>
      <c r="E7240" s="121"/>
      <c r="F7240" s="121"/>
      <c r="G7240" s="121"/>
      <c r="H7240" s="121"/>
      <c r="I7240" s="121"/>
      <c r="J7240" s="121"/>
      <c r="K7240" s="121"/>
      <c r="L7240" s="121"/>
      <c r="M7240" s="121"/>
      <c r="N7240" s="223" t="s">
        <v>2422</v>
      </c>
      <c r="O7240" s="445" t="s">
        <v>196</v>
      </c>
      <c r="P7240" s="544"/>
      <c r="Q7240" s="321"/>
      <c r="R7240" s="260"/>
      <c r="S7240" s="260"/>
      <c r="T7240" s="260"/>
      <c r="U7240" s="260"/>
      <c r="V7240" s="260"/>
      <c r="W7240" s="262"/>
      <c r="X7240"/>
      <c r="Y7240"/>
      <c r="Z7240"/>
      <c r="AA7240"/>
      <c r="AB7240"/>
      <c r="AC7240"/>
      <c r="AD7240"/>
      <c r="AE7240"/>
      <c r="AF7240"/>
      <c r="AG7240"/>
      <c r="AH7240"/>
      <c r="AI7240"/>
      <c r="AJ7240"/>
      <c r="AK7240"/>
      <c r="AL7240"/>
      <c r="AM7240"/>
      <c r="AN7240"/>
    </row>
    <row r="7241" spans="1:40" s="47" customFormat="1">
      <c r="A7241" s="121"/>
      <c r="B7241" s="121"/>
      <c r="C7241" s="121"/>
      <c r="D7241" s="121"/>
      <c r="E7241" s="121"/>
      <c r="F7241" s="121"/>
      <c r="G7241" s="121"/>
      <c r="H7241" s="121"/>
      <c r="I7241" s="121"/>
      <c r="J7241" s="121"/>
      <c r="K7241" s="121"/>
      <c r="L7241" s="121"/>
      <c r="M7241" s="121"/>
      <c r="N7241" s="223" t="s">
        <v>2425</v>
      </c>
      <c r="O7241" s="445" t="s">
        <v>197</v>
      </c>
      <c r="P7241" s="544"/>
      <c r="Q7241" s="321"/>
      <c r="R7241" s="260"/>
      <c r="S7241" s="260"/>
      <c r="T7241" s="260"/>
      <c r="U7241" s="260"/>
      <c r="V7241" s="260"/>
      <c r="W7241" s="262"/>
      <c r="X7241"/>
      <c r="Y7241"/>
      <c r="Z7241"/>
      <c r="AA7241"/>
      <c r="AB7241"/>
      <c r="AC7241"/>
      <c r="AD7241"/>
      <c r="AE7241"/>
      <c r="AF7241"/>
      <c r="AG7241"/>
      <c r="AH7241"/>
      <c r="AI7241"/>
      <c r="AJ7241"/>
      <c r="AK7241"/>
      <c r="AL7241"/>
      <c r="AM7241"/>
      <c r="AN7241"/>
    </row>
    <row r="7242" spans="1:40" s="47" customFormat="1" ht="12.75">
      <c r="A7242" s="121"/>
      <c r="B7242" s="121"/>
      <c r="C7242" s="121"/>
      <c r="D7242" s="121"/>
      <c r="E7242" s="121"/>
      <c r="F7242" s="121"/>
      <c r="G7242" s="121"/>
      <c r="H7242" s="121"/>
      <c r="I7242" s="121"/>
      <c r="J7242" s="121"/>
      <c r="K7242" s="121"/>
      <c r="L7242" s="121"/>
      <c r="M7242" s="121"/>
      <c r="N7242" s="223" t="s">
        <v>2427</v>
      </c>
      <c r="O7242" s="573" t="s">
        <v>341</v>
      </c>
      <c r="P7242" s="544"/>
      <c r="Q7242" s="321"/>
      <c r="R7242" s="260"/>
      <c r="S7242" s="260"/>
      <c r="T7242" s="260"/>
      <c r="U7242" s="260"/>
      <c r="V7242" s="260"/>
      <c r="W7242" s="262"/>
      <c r="X7242"/>
      <c r="Y7242"/>
      <c r="Z7242"/>
      <c r="AA7242"/>
      <c r="AB7242"/>
      <c r="AC7242"/>
      <c r="AD7242"/>
      <c r="AE7242"/>
      <c r="AF7242"/>
      <c r="AG7242"/>
      <c r="AH7242"/>
      <c r="AI7242"/>
      <c r="AJ7242"/>
      <c r="AK7242"/>
      <c r="AL7242"/>
      <c r="AM7242"/>
      <c r="AN7242"/>
    </row>
    <row r="7243" spans="1:40" s="47" customFormat="1" ht="12.75">
      <c r="A7243" s="121"/>
      <c r="B7243" s="121"/>
      <c r="C7243" s="121"/>
      <c r="D7243" s="121"/>
      <c r="E7243" s="121"/>
      <c r="F7243" s="121"/>
      <c r="G7243" s="121"/>
      <c r="H7243" s="121"/>
      <c r="I7243" s="121"/>
      <c r="J7243" s="121"/>
      <c r="K7243" s="121"/>
      <c r="L7243" s="121"/>
      <c r="M7243" s="121"/>
      <c r="N7243" s="223" t="s">
        <v>2431</v>
      </c>
      <c r="O7243" s="284" t="s">
        <v>342</v>
      </c>
      <c r="P7243" s="544"/>
      <c r="Q7243" s="321"/>
      <c r="R7243" s="260"/>
      <c r="S7243" s="260"/>
      <c r="T7243" s="260"/>
      <c r="U7243" s="260"/>
      <c r="V7243" s="260"/>
      <c r="W7243" s="262"/>
      <c r="X7243"/>
      <c r="Y7243"/>
      <c r="Z7243"/>
      <c r="AA7243"/>
      <c r="AB7243"/>
      <c r="AC7243"/>
      <c r="AD7243"/>
      <c r="AE7243"/>
      <c r="AF7243"/>
      <c r="AG7243"/>
      <c r="AH7243"/>
      <c r="AI7243"/>
      <c r="AJ7243"/>
      <c r="AK7243"/>
      <c r="AL7243"/>
      <c r="AM7243"/>
      <c r="AN7243"/>
    </row>
    <row r="7244" spans="1:40" s="47" customFormat="1">
      <c r="A7244" s="121"/>
      <c r="B7244" s="121"/>
      <c r="C7244" s="121"/>
      <c r="D7244" s="121"/>
      <c r="E7244" s="121"/>
      <c r="F7244" s="121"/>
      <c r="G7244" s="121"/>
      <c r="H7244" s="121"/>
      <c r="I7244" s="121"/>
      <c r="J7244" s="121"/>
      <c r="K7244" s="121"/>
      <c r="L7244" s="121"/>
      <c r="M7244" s="121"/>
      <c r="N7244" s="222"/>
      <c r="O7244" s="502"/>
      <c r="P7244" s="285"/>
      <c r="Q7244" s="321"/>
      <c r="R7244" s="260"/>
      <c r="S7244" s="260"/>
      <c r="T7244" s="260"/>
      <c r="U7244" s="260"/>
      <c r="V7244" s="260"/>
      <c r="W7244" s="260"/>
      <c r="X7244"/>
      <c r="Y7244"/>
      <c r="Z7244"/>
      <c r="AA7244"/>
      <c r="AB7244"/>
      <c r="AC7244"/>
      <c r="AD7244"/>
      <c r="AE7244"/>
      <c r="AF7244"/>
      <c r="AG7244"/>
      <c r="AH7244"/>
      <c r="AI7244"/>
      <c r="AJ7244"/>
      <c r="AK7244"/>
      <c r="AL7244"/>
      <c r="AM7244"/>
      <c r="AN7244"/>
    </row>
    <row r="7245" spans="1:40" s="47" customFormat="1">
      <c r="A7245" s="121"/>
      <c r="B7245" s="121"/>
      <c r="C7245" s="121"/>
      <c r="D7245" s="121"/>
      <c r="E7245" s="121"/>
      <c r="F7245" s="121"/>
      <c r="G7245" s="121"/>
      <c r="H7245" s="121"/>
      <c r="I7245" s="121"/>
      <c r="J7245" s="121"/>
      <c r="K7245" s="121"/>
      <c r="L7245" s="121"/>
      <c r="M7245" s="121"/>
      <c r="N7245" s="222"/>
      <c r="O7245" s="502"/>
      <c r="P7245" s="285"/>
      <c r="Q7245" s="321"/>
      <c r="R7245" s="260"/>
      <c r="S7245" s="260"/>
      <c r="T7245" s="260"/>
      <c r="U7245" s="260"/>
      <c r="V7245" s="260"/>
      <c r="W7245" s="260"/>
      <c r="X7245"/>
      <c r="Y7245"/>
      <c r="Z7245"/>
      <c r="AA7245"/>
      <c r="AB7245"/>
      <c r="AC7245"/>
      <c r="AD7245"/>
      <c r="AE7245"/>
      <c r="AF7245"/>
      <c r="AG7245"/>
      <c r="AH7245"/>
      <c r="AI7245"/>
      <c r="AJ7245"/>
      <c r="AK7245"/>
      <c r="AL7245"/>
      <c r="AM7245"/>
      <c r="AN7245"/>
    </row>
    <row r="7246" spans="1:40" s="47" customFormat="1">
      <c r="A7246" s="121"/>
      <c r="B7246" s="121"/>
      <c r="C7246" s="121"/>
      <c r="D7246" s="121"/>
      <c r="E7246" s="121"/>
      <c r="F7246" s="121"/>
      <c r="G7246" s="121"/>
      <c r="H7246" s="121"/>
      <c r="I7246" s="121"/>
      <c r="J7246" s="121"/>
      <c r="K7246" s="121"/>
      <c r="L7246" s="121"/>
      <c r="M7246" s="121"/>
      <c r="N7246" s="222"/>
      <c r="O7246" s="502"/>
      <c r="P7246" s="285"/>
      <c r="Q7246" s="321"/>
      <c r="R7246" s="260"/>
      <c r="S7246" s="260"/>
      <c r="T7246" s="260"/>
      <c r="U7246" s="260"/>
      <c r="V7246" s="260"/>
      <c r="W7246" s="260"/>
      <c r="X7246"/>
      <c r="Y7246"/>
      <c r="Z7246"/>
      <c r="AA7246"/>
      <c r="AB7246"/>
      <c r="AC7246"/>
      <c r="AD7246"/>
      <c r="AE7246"/>
      <c r="AF7246"/>
      <c r="AG7246"/>
      <c r="AH7246"/>
      <c r="AI7246"/>
      <c r="AJ7246"/>
      <c r="AK7246"/>
      <c r="AL7246"/>
      <c r="AM7246"/>
      <c r="AN7246"/>
    </row>
    <row r="7247" spans="1:40" s="47" customFormat="1">
      <c r="A7247" s="121"/>
      <c r="B7247" s="121"/>
      <c r="C7247" s="121"/>
      <c r="D7247" s="121"/>
      <c r="E7247" s="121"/>
      <c r="F7247" s="121"/>
      <c r="G7247" s="121"/>
      <c r="H7247" s="121"/>
      <c r="I7247" s="121"/>
      <c r="J7247" s="121"/>
      <c r="K7247" s="121"/>
      <c r="L7247" s="121"/>
      <c r="M7247" s="121"/>
      <c r="N7247" s="222"/>
      <c r="O7247" s="502"/>
      <c r="P7247" s="285"/>
      <c r="Q7247" s="321"/>
      <c r="R7247" s="260"/>
      <c r="S7247" s="260"/>
      <c r="T7247" s="260"/>
      <c r="U7247" s="260"/>
      <c r="V7247" s="260"/>
      <c r="W7247" s="260"/>
      <c r="X7247"/>
      <c r="Y7247"/>
      <c r="Z7247"/>
      <c r="AA7247"/>
      <c r="AB7247"/>
      <c r="AC7247"/>
      <c r="AD7247"/>
      <c r="AE7247"/>
      <c r="AF7247"/>
      <c r="AG7247"/>
      <c r="AH7247"/>
      <c r="AI7247"/>
      <c r="AJ7247"/>
      <c r="AK7247"/>
      <c r="AL7247"/>
      <c r="AM7247"/>
      <c r="AN7247"/>
    </row>
    <row r="7248" spans="1:40" s="47" customFormat="1">
      <c r="A7248" s="121"/>
      <c r="B7248" s="121"/>
      <c r="C7248" s="121"/>
      <c r="D7248" s="121"/>
      <c r="E7248" s="121"/>
      <c r="F7248" s="121"/>
      <c r="G7248" s="121"/>
      <c r="H7248" s="121"/>
      <c r="I7248" s="121"/>
      <c r="J7248" s="121"/>
      <c r="K7248" s="121"/>
      <c r="L7248" s="121"/>
      <c r="M7248" s="121"/>
      <c r="N7248" s="222"/>
      <c r="O7248" s="502"/>
      <c r="P7248" s="285"/>
      <c r="Q7248" s="321"/>
      <c r="R7248" s="260"/>
      <c r="S7248" s="260"/>
      <c r="T7248" s="260"/>
      <c r="U7248" s="260"/>
      <c r="V7248" s="260"/>
      <c r="W7248" s="260"/>
      <c r="X7248"/>
      <c r="Y7248"/>
      <c r="Z7248"/>
      <c r="AA7248"/>
      <c r="AB7248"/>
      <c r="AC7248"/>
      <c r="AD7248"/>
      <c r="AE7248"/>
      <c r="AF7248"/>
      <c r="AG7248"/>
      <c r="AH7248"/>
      <c r="AI7248"/>
      <c r="AJ7248"/>
      <c r="AK7248"/>
      <c r="AL7248"/>
      <c r="AM7248"/>
      <c r="AN7248"/>
    </row>
    <row r="7249" spans="1:40" s="47" customFormat="1">
      <c r="A7249" s="121"/>
      <c r="B7249" s="121"/>
      <c r="C7249" s="121"/>
      <c r="D7249" s="121"/>
      <c r="E7249" s="121"/>
      <c r="F7249" s="121"/>
      <c r="G7249" s="121"/>
      <c r="H7249" s="121"/>
      <c r="I7249" s="121"/>
      <c r="J7249" s="121"/>
      <c r="K7249" s="121"/>
      <c r="L7249" s="121"/>
      <c r="M7249" s="121"/>
      <c r="N7249" s="222"/>
      <c r="O7249" s="502"/>
      <c r="P7249" s="285"/>
      <c r="Q7249" s="321"/>
      <c r="R7249" s="260"/>
      <c r="S7249" s="260"/>
      <c r="T7249" s="260"/>
      <c r="U7249" s="260"/>
      <c r="V7249" s="260"/>
      <c r="W7249" s="260"/>
      <c r="X7249"/>
      <c r="Y7249"/>
      <c r="Z7249"/>
      <c r="AA7249"/>
      <c r="AB7249"/>
      <c r="AC7249"/>
      <c r="AD7249"/>
      <c r="AE7249"/>
      <c r="AF7249"/>
      <c r="AG7249"/>
      <c r="AH7249"/>
      <c r="AI7249"/>
      <c r="AJ7249"/>
      <c r="AK7249"/>
      <c r="AL7249"/>
      <c r="AM7249"/>
      <c r="AN7249"/>
    </row>
    <row r="7250" spans="1:40" s="47" customFormat="1">
      <c r="A7250" s="121"/>
      <c r="B7250" s="121"/>
      <c r="C7250" s="121"/>
      <c r="D7250" s="121"/>
      <c r="E7250" s="121"/>
      <c r="F7250" s="121"/>
      <c r="G7250" s="121"/>
      <c r="H7250" s="121"/>
      <c r="I7250" s="121"/>
      <c r="J7250" s="121"/>
      <c r="K7250" s="121"/>
      <c r="L7250" s="121"/>
      <c r="M7250" s="121"/>
      <c r="N7250" s="222"/>
      <c r="O7250" s="502"/>
      <c r="P7250" s="285"/>
      <c r="Q7250" s="321"/>
      <c r="R7250" s="260"/>
      <c r="S7250" s="260"/>
      <c r="T7250" s="260"/>
      <c r="U7250" s="260"/>
      <c r="V7250" s="260"/>
      <c r="W7250" s="260"/>
      <c r="X7250"/>
      <c r="Y7250"/>
      <c r="Z7250"/>
      <c r="AA7250"/>
      <c r="AB7250"/>
      <c r="AC7250"/>
      <c r="AD7250"/>
      <c r="AE7250"/>
      <c r="AF7250"/>
      <c r="AG7250"/>
      <c r="AH7250"/>
      <c r="AI7250"/>
      <c r="AJ7250"/>
      <c r="AK7250"/>
      <c r="AL7250"/>
      <c r="AM7250"/>
      <c r="AN7250"/>
    </row>
    <row r="7251" spans="1:40" s="47" customFormat="1">
      <c r="A7251" s="121"/>
      <c r="B7251" s="121"/>
      <c r="C7251" s="121"/>
      <c r="D7251" s="121"/>
      <c r="E7251" s="121"/>
      <c r="F7251" s="121"/>
      <c r="G7251" s="121"/>
      <c r="H7251" s="121"/>
      <c r="I7251" s="121"/>
      <c r="J7251" s="121"/>
      <c r="K7251" s="121"/>
      <c r="L7251" s="121"/>
      <c r="M7251" s="121"/>
      <c r="N7251" s="222"/>
      <c r="O7251" s="502"/>
      <c r="P7251" s="285"/>
      <c r="Q7251" s="321"/>
      <c r="R7251" s="260"/>
      <c r="S7251" s="260"/>
      <c r="T7251" s="260"/>
      <c r="U7251" s="260"/>
      <c r="V7251" s="260"/>
      <c r="W7251" s="260"/>
      <c r="X7251"/>
      <c r="Y7251"/>
      <c r="Z7251"/>
      <c r="AA7251"/>
      <c r="AB7251"/>
      <c r="AC7251"/>
      <c r="AD7251"/>
      <c r="AE7251"/>
      <c r="AF7251"/>
      <c r="AG7251"/>
      <c r="AH7251"/>
      <c r="AI7251"/>
      <c r="AJ7251"/>
      <c r="AK7251"/>
      <c r="AL7251"/>
      <c r="AM7251"/>
      <c r="AN7251"/>
    </row>
    <row r="7252" spans="1:40" s="47" customFormat="1">
      <c r="A7252" s="121"/>
      <c r="B7252" s="121"/>
      <c r="C7252" s="121"/>
      <c r="D7252" s="121"/>
      <c r="E7252" s="121"/>
      <c r="F7252" s="121"/>
      <c r="G7252" s="121"/>
      <c r="H7252" s="121"/>
      <c r="I7252" s="121"/>
      <c r="J7252" s="121"/>
      <c r="K7252" s="121"/>
      <c r="L7252" s="121"/>
      <c r="M7252" s="121"/>
      <c r="N7252" s="222"/>
      <c r="O7252" s="502"/>
      <c r="P7252" s="285"/>
      <c r="Q7252" s="321"/>
      <c r="R7252" s="260"/>
      <c r="S7252" s="260"/>
      <c r="T7252" s="260"/>
      <c r="U7252" s="260"/>
      <c r="V7252" s="260"/>
      <c r="W7252" s="260"/>
      <c r="X7252"/>
      <c r="Y7252"/>
      <c r="Z7252"/>
      <c r="AA7252"/>
      <c r="AB7252"/>
      <c r="AC7252"/>
      <c r="AD7252"/>
      <c r="AE7252"/>
      <c r="AF7252"/>
      <c r="AG7252"/>
      <c r="AH7252"/>
      <c r="AI7252"/>
      <c r="AJ7252"/>
      <c r="AK7252"/>
      <c r="AL7252"/>
      <c r="AM7252"/>
      <c r="AN7252"/>
    </row>
    <row r="7253" spans="1:40" s="47" customFormat="1">
      <c r="A7253" s="121"/>
      <c r="B7253" s="121"/>
      <c r="C7253" s="121"/>
      <c r="D7253" s="121"/>
      <c r="E7253" s="121"/>
      <c r="F7253" s="121"/>
      <c r="G7253" s="121"/>
      <c r="H7253" s="121"/>
      <c r="I7253" s="121"/>
      <c r="J7253" s="121"/>
      <c r="K7253" s="121"/>
      <c r="L7253" s="121"/>
      <c r="M7253" s="121"/>
      <c r="N7253" s="222"/>
      <c r="O7253" s="502"/>
      <c r="P7253" s="285"/>
      <c r="Q7253" s="321"/>
      <c r="R7253" s="260"/>
      <c r="S7253" s="260"/>
      <c r="T7253" s="260"/>
      <c r="U7253" s="260"/>
      <c r="V7253" s="260"/>
      <c r="W7253" s="260"/>
      <c r="X7253"/>
      <c r="Y7253"/>
      <c r="Z7253"/>
      <c r="AA7253"/>
      <c r="AB7253"/>
      <c r="AC7253"/>
      <c r="AD7253"/>
      <c r="AE7253"/>
      <c r="AF7253"/>
      <c r="AG7253"/>
      <c r="AH7253"/>
      <c r="AI7253"/>
      <c r="AJ7253"/>
      <c r="AK7253"/>
      <c r="AL7253"/>
      <c r="AM7253"/>
      <c r="AN7253"/>
    </row>
    <row r="7254" spans="1:40" s="47" customFormat="1">
      <c r="A7254" s="121"/>
      <c r="B7254" s="121"/>
      <c r="C7254" s="121"/>
      <c r="D7254" s="121"/>
      <c r="E7254" s="121"/>
      <c r="F7254" s="121"/>
      <c r="G7254" s="121"/>
      <c r="H7254" s="121"/>
      <c r="I7254" s="121"/>
      <c r="J7254" s="121"/>
      <c r="K7254" s="121"/>
      <c r="L7254" s="121"/>
      <c r="M7254" s="121"/>
      <c r="N7254" s="222"/>
      <c r="O7254" s="502"/>
      <c r="P7254" s="285"/>
      <c r="Q7254" s="321"/>
      <c r="R7254" s="260"/>
      <c r="S7254" s="260"/>
      <c r="T7254" s="260"/>
      <c r="U7254" s="260"/>
      <c r="V7254" s="260"/>
      <c r="W7254" s="260"/>
      <c r="X7254"/>
      <c r="Y7254"/>
      <c r="Z7254"/>
      <c r="AA7254"/>
      <c r="AB7254"/>
      <c r="AC7254"/>
      <c r="AD7254"/>
      <c r="AE7254"/>
      <c r="AF7254"/>
      <c r="AG7254"/>
      <c r="AH7254"/>
      <c r="AI7254"/>
      <c r="AJ7254"/>
      <c r="AK7254"/>
      <c r="AL7254"/>
      <c r="AM7254"/>
      <c r="AN7254"/>
    </row>
    <row r="7255" spans="1:40" s="47" customFormat="1">
      <c r="A7255" s="121"/>
      <c r="B7255" s="121"/>
      <c r="C7255" s="121"/>
      <c r="D7255" s="121"/>
      <c r="E7255" s="121"/>
      <c r="F7255" s="121"/>
      <c r="G7255" s="121"/>
      <c r="H7255" s="121"/>
      <c r="I7255" s="121"/>
      <c r="J7255" s="121"/>
      <c r="K7255" s="121"/>
      <c r="L7255" s="121"/>
      <c r="M7255" s="121"/>
      <c r="N7255" s="222"/>
      <c r="O7255" s="502"/>
      <c r="P7255" s="285"/>
      <c r="Q7255" s="321"/>
      <c r="R7255" s="260"/>
      <c r="S7255" s="260"/>
      <c r="T7255" s="260"/>
      <c r="U7255" s="260"/>
      <c r="V7255" s="260"/>
      <c r="W7255" s="260"/>
      <c r="X7255"/>
      <c r="Y7255"/>
      <c r="Z7255"/>
      <c r="AA7255"/>
      <c r="AB7255"/>
      <c r="AC7255"/>
      <c r="AD7255"/>
      <c r="AE7255"/>
      <c r="AF7255"/>
      <c r="AG7255"/>
      <c r="AH7255"/>
      <c r="AI7255"/>
      <c r="AJ7255"/>
      <c r="AK7255"/>
      <c r="AL7255"/>
      <c r="AM7255"/>
      <c r="AN7255"/>
    </row>
    <row r="7256" spans="1:40" s="47" customFormat="1">
      <c r="A7256" s="121"/>
      <c r="B7256" s="121"/>
      <c r="C7256" s="121"/>
      <c r="D7256" s="121"/>
      <c r="E7256" s="121"/>
      <c r="F7256" s="121"/>
      <c r="G7256" s="121"/>
      <c r="H7256" s="121"/>
      <c r="I7256" s="121"/>
      <c r="J7256" s="121"/>
      <c r="K7256" s="121"/>
      <c r="L7256" s="121"/>
      <c r="M7256" s="121"/>
      <c r="N7256" s="222"/>
      <c r="O7256" s="502"/>
      <c r="P7256" s="285"/>
      <c r="Q7256" s="321"/>
      <c r="R7256" s="260"/>
      <c r="S7256" s="260"/>
      <c r="T7256" s="260"/>
      <c r="U7256" s="260"/>
      <c r="V7256" s="260"/>
      <c r="W7256" s="260"/>
      <c r="X7256"/>
      <c r="Y7256"/>
      <c r="Z7256"/>
      <c r="AA7256"/>
      <c r="AB7256"/>
      <c r="AC7256"/>
      <c r="AD7256"/>
      <c r="AE7256"/>
      <c r="AF7256"/>
      <c r="AG7256"/>
      <c r="AH7256"/>
      <c r="AI7256"/>
      <c r="AJ7256"/>
      <c r="AK7256"/>
      <c r="AL7256"/>
      <c r="AM7256"/>
      <c r="AN7256"/>
    </row>
    <row r="7257" spans="1:40" s="47" customFormat="1">
      <c r="A7257" s="121"/>
      <c r="B7257" s="121"/>
      <c r="C7257" s="121"/>
      <c r="D7257" s="121"/>
      <c r="E7257" s="121"/>
      <c r="F7257" s="121"/>
      <c r="G7257" s="121"/>
      <c r="H7257" s="121"/>
      <c r="I7257" s="121"/>
      <c r="J7257" s="121"/>
      <c r="K7257" s="121"/>
      <c r="L7257" s="121"/>
      <c r="M7257" s="121"/>
      <c r="N7257" s="222"/>
      <c r="O7257" s="502"/>
      <c r="P7257" s="285"/>
      <c r="Q7257" s="321"/>
      <c r="R7257" s="260"/>
      <c r="S7257" s="260"/>
      <c r="T7257" s="260"/>
      <c r="U7257" s="260"/>
      <c r="V7257" s="260"/>
      <c r="W7257" s="260"/>
      <c r="X7257"/>
      <c r="Y7257"/>
      <c r="Z7257"/>
      <c r="AA7257"/>
      <c r="AB7257"/>
      <c r="AC7257"/>
      <c r="AD7257"/>
      <c r="AE7257"/>
      <c r="AF7257"/>
      <c r="AG7257"/>
      <c r="AH7257"/>
      <c r="AI7257"/>
      <c r="AJ7257"/>
      <c r="AK7257"/>
      <c r="AL7257"/>
      <c r="AM7257"/>
      <c r="AN7257"/>
    </row>
    <row r="7258" spans="1:40" s="47" customFormat="1">
      <c r="A7258" s="121"/>
      <c r="B7258" s="121"/>
      <c r="C7258" s="121"/>
      <c r="D7258" s="121"/>
      <c r="E7258" s="121"/>
      <c r="F7258" s="121"/>
      <c r="G7258" s="121"/>
      <c r="H7258" s="121"/>
      <c r="I7258" s="121"/>
      <c r="J7258" s="121"/>
      <c r="K7258" s="121"/>
      <c r="L7258" s="121"/>
      <c r="M7258" s="121"/>
      <c r="N7258" s="222"/>
      <c r="O7258" s="502"/>
      <c r="P7258" s="285"/>
      <c r="Q7258" s="321"/>
      <c r="R7258" s="260"/>
      <c r="S7258" s="260"/>
      <c r="T7258" s="260"/>
      <c r="U7258" s="260"/>
      <c r="V7258" s="260"/>
      <c r="W7258" s="260"/>
      <c r="X7258"/>
      <c r="Y7258"/>
      <c r="Z7258"/>
      <c r="AA7258"/>
      <c r="AB7258"/>
      <c r="AC7258"/>
      <c r="AD7258"/>
      <c r="AE7258"/>
      <c r="AF7258"/>
      <c r="AG7258"/>
      <c r="AH7258"/>
      <c r="AI7258"/>
      <c r="AJ7258"/>
      <c r="AK7258"/>
      <c r="AL7258"/>
      <c r="AM7258"/>
      <c r="AN7258"/>
    </row>
    <row r="7259" spans="1:40" s="47" customFormat="1">
      <c r="A7259" s="121"/>
      <c r="B7259" s="121"/>
      <c r="C7259" s="121"/>
      <c r="D7259" s="121"/>
      <c r="E7259" s="121"/>
      <c r="F7259" s="121"/>
      <c r="G7259" s="121"/>
      <c r="H7259" s="121"/>
      <c r="I7259" s="121"/>
      <c r="J7259" s="121"/>
      <c r="K7259" s="121"/>
      <c r="L7259" s="121"/>
      <c r="M7259" s="121"/>
      <c r="N7259" s="222"/>
      <c r="O7259" s="502"/>
      <c r="P7259" s="285"/>
      <c r="Q7259" s="321"/>
      <c r="R7259" s="260"/>
      <c r="S7259" s="260"/>
      <c r="T7259" s="260"/>
      <c r="U7259" s="260"/>
      <c r="V7259" s="260"/>
      <c r="W7259" s="260"/>
      <c r="X7259"/>
      <c r="Y7259"/>
      <c r="Z7259"/>
      <c r="AA7259"/>
      <c r="AB7259"/>
      <c r="AC7259"/>
      <c r="AD7259"/>
      <c r="AE7259"/>
      <c r="AF7259"/>
      <c r="AG7259"/>
      <c r="AH7259"/>
      <c r="AI7259"/>
      <c r="AJ7259"/>
      <c r="AK7259"/>
      <c r="AL7259"/>
      <c r="AM7259"/>
      <c r="AN7259"/>
    </row>
    <row r="7260" spans="1:40" s="47" customFormat="1">
      <c r="A7260" s="121"/>
      <c r="B7260" s="121"/>
      <c r="C7260" s="121"/>
      <c r="D7260" s="121"/>
      <c r="E7260" s="121"/>
      <c r="F7260" s="121"/>
      <c r="G7260" s="121"/>
      <c r="H7260" s="121"/>
      <c r="I7260" s="121"/>
      <c r="J7260" s="121"/>
      <c r="K7260" s="121"/>
      <c r="L7260" s="121"/>
      <c r="M7260" s="121"/>
      <c r="N7260" s="222"/>
      <c r="O7260" s="502"/>
      <c r="P7260" s="285"/>
      <c r="Q7260" s="321"/>
      <c r="R7260" s="260"/>
      <c r="S7260" s="260"/>
      <c r="T7260" s="260"/>
      <c r="U7260" s="260"/>
      <c r="V7260" s="260"/>
      <c r="W7260" s="260"/>
      <c r="X7260"/>
      <c r="Y7260"/>
      <c r="Z7260"/>
      <c r="AA7260"/>
      <c r="AB7260"/>
      <c r="AC7260"/>
      <c r="AD7260"/>
      <c r="AE7260"/>
      <c r="AF7260"/>
      <c r="AG7260"/>
      <c r="AH7260"/>
      <c r="AI7260"/>
      <c r="AJ7260"/>
      <c r="AK7260"/>
      <c r="AL7260"/>
      <c r="AM7260"/>
      <c r="AN7260"/>
    </row>
    <row r="7261" spans="1:40" s="47" customFormat="1">
      <c r="A7261" s="121"/>
      <c r="B7261" s="121"/>
      <c r="C7261" s="121"/>
      <c r="D7261" s="121"/>
      <c r="E7261" s="121"/>
      <c r="F7261" s="121"/>
      <c r="G7261" s="121"/>
      <c r="H7261" s="121"/>
      <c r="I7261" s="121"/>
      <c r="J7261" s="121"/>
      <c r="K7261" s="121"/>
      <c r="L7261" s="121"/>
      <c r="M7261" s="121"/>
      <c r="N7261" s="222"/>
      <c r="O7261" s="502"/>
      <c r="P7261" s="285"/>
      <c r="Q7261" s="321"/>
      <c r="R7261" s="260"/>
      <c r="S7261" s="260"/>
      <c r="T7261" s="260"/>
      <c r="U7261" s="260"/>
      <c r="V7261" s="260"/>
      <c r="W7261" s="260"/>
      <c r="X7261"/>
      <c r="Y7261"/>
      <c r="Z7261"/>
      <c r="AA7261"/>
      <c r="AB7261"/>
      <c r="AC7261"/>
      <c r="AD7261"/>
      <c r="AE7261"/>
      <c r="AF7261"/>
      <c r="AG7261"/>
      <c r="AH7261"/>
      <c r="AI7261"/>
      <c r="AJ7261"/>
      <c r="AK7261"/>
      <c r="AL7261"/>
      <c r="AM7261"/>
      <c r="AN7261"/>
    </row>
    <row r="7262" spans="1:40" s="47" customFormat="1">
      <c r="A7262" s="121"/>
      <c r="B7262" s="121"/>
      <c r="C7262" s="121"/>
      <c r="D7262" s="121"/>
      <c r="E7262" s="121"/>
      <c r="F7262" s="121"/>
      <c r="G7262" s="121"/>
      <c r="H7262" s="121"/>
      <c r="I7262" s="121"/>
      <c r="J7262" s="121"/>
      <c r="K7262" s="121"/>
      <c r="L7262" s="121"/>
      <c r="M7262" s="121"/>
      <c r="N7262" s="222"/>
      <c r="O7262" s="502"/>
      <c r="P7262" s="285"/>
      <c r="Q7262" s="321"/>
      <c r="R7262" s="260"/>
      <c r="S7262" s="260"/>
      <c r="T7262" s="260"/>
      <c r="U7262" s="260"/>
      <c r="V7262" s="260"/>
      <c r="W7262" s="260"/>
      <c r="X7262"/>
      <c r="Y7262"/>
      <c r="Z7262"/>
      <c r="AA7262"/>
      <c r="AB7262"/>
      <c r="AC7262"/>
      <c r="AD7262"/>
      <c r="AE7262"/>
      <c r="AF7262"/>
      <c r="AG7262"/>
      <c r="AH7262"/>
      <c r="AI7262"/>
      <c r="AJ7262"/>
      <c r="AK7262"/>
      <c r="AL7262"/>
      <c r="AM7262"/>
      <c r="AN7262"/>
    </row>
    <row r="7263" spans="1:40" s="47" customFormat="1">
      <c r="A7263" s="121"/>
      <c r="B7263" s="121"/>
      <c r="C7263" s="121"/>
      <c r="D7263" s="121"/>
      <c r="E7263" s="121"/>
      <c r="F7263" s="121"/>
      <c r="G7263" s="121"/>
      <c r="H7263" s="121"/>
      <c r="I7263" s="121"/>
      <c r="J7263" s="121"/>
      <c r="K7263" s="121"/>
      <c r="L7263" s="121"/>
      <c r="M7263" s="121"/>
      <c r="N7263" s="222"/>
      <c r="O7263" s="502"/>
      <c r="P7263" s="285"/>
      <c r="Q7263" s="321"/>
      <c r="R7263" s="260"/>
      <c r="S7263" s="260"/>
      <c r="T7263" s="260"/>
      <c r="U7263" s="260"/>
      <c r="V7263" s="260"/>
      <c r="W7263" s="260"/>
      <c r="X7263"/>
      <c r="Y7263"/>
      <c r="Z7263"/>
      <c r="AA7263"/>
      <c r="AB7263"/>
      <c r="AC7263"/>
      <c r="AD7263"/>
      <c r="AE7263"/>
      <c r="AF7263"/>
      <c r="AG7263"/>
      <c r="AH7263"/>
      <c r="AI7263"/>
      <c r="AJ7263"/>
      <c r="AK7263"/>
      <c r="AL7263"/>
      <c r="AM7263"/>
      <c r="AN7263"/>
    </row>
    <row r="7264" spans="1:40" s="47" customFormat="1">
      <c r="A7264" s="121"/>
      <c r="B7264" s="121"/>
      <c r="C7264" s="121"/>
      <c r="D7264" s="121"/>
      <c r="E7264" s="121"/>
      <c r="F7264" s="121"/>
      <c r="G7264" s="121"/>
      <c r="H7264" s="121"/>
      <c r="I7264" s="121"/>
      <c r="J7264" s="121"/>
      <c r="K7264" s="121"/>
      <c r="L7264" s="121"/>
      <c r="M7264" s="121"/>
      <c r="N7264" s="222"/>
      <c r="O7264" s="502"/>
      <c r="P7264" s="285"/>
      <c r="Q7264" s="321"/>
      <c r="R7264" s="260"/>
      <c r="S7264" s="260"/>
      <c r="T7264" s="260"/>
      <c r="U7264" s="260"/>
      <c r="V7264" s="260"/>
      <c r="W7264" s="260"/>
      <c r="X7264"/>
      <c r="Y7264"/>
      <c r="Z7264"/>
      <c r="AA7264"/>
      <c r="AB7264"/>
      <c r="AC7264"/>
      <c r="AD7264"/>
      <c r="AE7264"/>
      <c r="AF7264"/>
      <c r="AG7264"/>
      <c r="AH7264"/>
      <c r="AI7264"/>
      <c r="AJ7264"/>
      <c r="AK7264"/>
      <c r="AL7264"/>
      <c r="AM7264"/>
      <c r="AN7264"/>
    </row>
    <row r="7265" spans="1:40" s="47" customFormat="1">
      <c r="A7265" s="121"/>
      <c r="B7265" s="121"/>
      <c r="C7265" s="121"/>
      <c r="D7265" s="121"/>
      <c r="E7265" s="121"/>
      <c r="F7265" s="121"/>
      <c r="G7265" s="121"/>
      <c r="H7265" s="121"/>
      <c r="I7265" s="121"/>
      <c r="J7265" s="121"/>
      <c r="K7265" s="121"/>
      <c r="L7265" s="121"/>
      <c r="M7265" s="121"/>
      <c r="N7265" s="222"/>
      <c r="O7265" s="502"/>
      <c r="P7265" s="285"/>
      <c r="Q7265" s="321"/>
      <c r="R7265" s="260"/>
      <c r="S7265" s="260"/>
      <c r="T7265" s="260"/>
      <c r="U7265" s="260"/>
      <c r="V7265" s="260"/>
      <c r="W7265" s="260"/>
      <c r="X7265"/>
      <c r="Y7265"/>
      <c r="Z7265"/>
      <c r="AA7265"/>
      <c r="AB7265"/>
      <c r="AC7265"/>
      <c r="AD7265"/>
      <c r="AE7265"/>
      <c r="AF7265"/>
      <c r="AG7265"/>
      <c r="AH7265"/>
      <c r="AI7265"/>
      <c r="AJ7265"/>
      <c r="AK7265"/>
      <c r="AL7265"/>
      <c r="AM7265"/>
      <c r="AN7265"/>
    </row>
    <row r="7266" spans="1:40" s="47" customFormat="1">
      <c r="A7266" s="121"/>
      <c r="B7266" s="121"/>
      <c r="C7266" s="121"/>
      <c r="D7266" s="121"/>
      <c r="E7266" s="121"/>
      <c r="F7266" s="121"/>
      <c r="G7266" s="121"/>
      <c r="H7266" s="121"/>
      <c r="I7266" s="121"/>
      <c r="J7266" s="121"/>
      <c r="K7266" s="121"/>
      <c r="L7266" s="121"/>
      <c r="M7266" s="121"/>
      <c r="N7266" s="222"/>
      <c r="O7266" s="502"/>
      <c r="P7266" s="285"/>
      <c r="Q7266" s="321"/>
      <c r="R7266" s="260"/>
      <c r="S7266" s="260"/>
      <c r="T7266" s="260"/>
      <c r="U7266" s="260"/>
      <c r="V7266" s="260"/>
      <c r="W7266" s="260"/>
      <c r="X7266"/>
      <c r="Y7266"/>
      <c r="Z7266"/>
      <c r="AA7266"/>
      <c r="AB7266"/>
      <c r="AC7266"/>
      <c r="AD7266"/>
      <c r="AE7266"/>
      <c r="AF7266"/>
      <c r="AG7266"/>
      <c r="AH7266"/>
      <c r="AI7266"/>
      <c r="AJ7266"/>
      <c r="AK7266"/>
      <c r="AL7266"/>
      <c r="AM7266"/>
      <c r="AN7266"/>
    </row>
    <row r="7267" spans="1:40" s="47" customFormat="1">
      <c r="A7267" s="121"/>
      <c r="B7267" s="121"/>
      <c r="C7267" s="121"/>
      <c r="D7267" s="121"/>
      <c r="E7267" s="121"/>
      <c r="F7267" s="121"/>
      <c r="G7267" s="121"/>
      <c r="H7267" s="121"/>
      <c r="I7267" s="121"/>
      <c r="J7267" s="121"/>
      <c r="K7267" s="121"/>
      <c r="L7267" s="121"/>
      <c r="M7267" s="121"/>
      <c r="N7267" s="222"/>
      <c r="O7267" s="502"/>
      <c r="P7267" s="285"/>
      <c r="Q7267" s="321"/>
      <c r="R7267" s="260"/>
      <c r="S7267" s="260"/>
      <c r="T7267" s="260"/>
      <c r="U7267" s="260"/>
      <c r="V7267" s="260"/>
      <c r="W7267" s="260"/>
      <c r="X7267"/>
      <c r="Y7267"/>
      <c r="Z7267"/>
      <c r="AA7267"/>
      <c r="AB7267"/>
      <c r="AC7267"/>
      <c r="AD7267"/>
      <c r="AE7267"/>
      <c r="AF7267"/>
      <c r="AG7267"/>
      <c r="AH7267"/>
      <c r="AI7267"/>
      <c r="AJ7267"/>
      <c r="AK7267"/>
      <c r="AL7267"/>
      <c r="AM7267"/>
      <c r="AN7267"/>
    </row>
    <row r="7268" spans="1:40" s="47" customFormat="1">
      <c r="A7268" s="121"/>
      <c r="B7268" s="121"/>
      <c r="C7268" s="121"/>
      <c r="D7268" s="121"/>
      <c r="E7268" s="121"/>
      <c r="F7268" s="121"/>
      <c r="G7268" s="121"/>
      <c r="H7268" s="121"/>
      <c r="I7268" s="121"/>
      <c r="J7268" s="121"/>
      <c r="K7268" s="121"/>
      <c r="L7268" s="121"/>
      <c r="M7268" s="121"/>
      <c r="N7268" s="222"/>
      <c r="O7268" s="502"/>
      <c r="P7268" s="285"/>
      <c r="Q7268" s="321"/>
      <c r="R7268" s="260"/>
      <c r="S7268" s="260"/>
      <c r="T7268" s="260"/>
      <c r="U7268" s="260"/>
      <c r="V7268" s="260"/>
      <c r="W7268" s="260"/>
      <c r="X7268"/>
      <c r="Y7268"/>
      <c r="Z7268"/>
      <c r="AA7268"/>
      <c r="AB7268"/>
      <c r="AC7268"/>
      <c r="AD7268"/>
      <c r="AE7268"/>
      <c r="AF7268"/>
      <c r="AG7268"/>
      <c r="AH7268"/>
      <c r="AI7268"/>
      <c r="AJ7268"/>
      <c r="AK7268"/>
      <c r="AL7268"/>
      <c r="AM7268"/>
      <c r="AN7268"/>
    </row>
    <row r="7269" spans="1:40" s="47" customFormat="1">
      <c r="A7269" s="121"/>
      <c r="B7269" s="121"/>
      <c r="C7269" s="121"/>
      <c r="D7269" s="121"/>
      <c r="E7269" s="121"/>
      <c r="F7269" s="121"/>
      <c r="G7269" s="121"/>
      <c r="H7269" s="121"/>
      <c r="I7269" s="121"/>
      <c r="J7269" s="121"/>
      <c r="K7269" s="121"/>
      <c r="L7269" s="121"/>
      <c r="M7269" s="121"/>
      <c r="N7269" s="222"/>
      <c r="O7269" s="502"/>
      <c r="P7269" s="285"/>
      <c r="Q7269" s="321"/>
      <c r="R7269" s="260"/>
      <c r="S7269" s="260"/>
      <c r="T7269" s="260"/>
      <c r="U7269" s="260"/>
      <c r="V7269" s="260"/>
      <c r="W7269" s="260"/>
      <c r="X7269"/>
      <c r="Y7269"/>
      <c r="Z7269"/>
      <c r="AA7269"/>
      <c r="AB7269"/>
      <c r="AC7269"/>
      <c r="AD7269"/>
      <c r="AE7269"/>
      <c r="AF7269"/>
      <c r="AG7269"/>
      <c r="AH7269"/>
      <c r="AI7269"/>
      <c r="AJ7269"/>
      <c r="AK7269"/>
      <c r="AL7269"/>
      <c r="AM7269"/>
      <c r="AN7269"/>
    </row>
    <row r="7270" spans="1:40" s="47" customFormat="1">
      <c r="A7270" s="121"/>
      <c r="B7270" s="121"/>
      <c r="C7270" s="121"/>
      <c r="D7270" s="121"/>
      <c r="E7270" s="121"/>
      <c r="F7270" s="121"/>
      <c r="G7270" s="121"/>
      <c r="H7270" s="121"/>
      <c r="I7270" s="121"/>
      <c r="J7270" s="121"/>
      <c r="K7270" s="121"/>
      <c r="L7270" s="121"/>
      <c r="M7270" s="121"/>
      <c r="N7270" s="222"/>
      <c r="O7270" s="502"/>
      <c r="P7270" s="285"/>
      <c r="Q7270" s="321"/>
      <c r="R7270" s="260"/>
      <c r="S7270" s="260"/>
      <c r="T7270" s="260"/>
      <c r="U7270" s="260"/>
      <c r="V7270" s="260"/>
      <c r="W7270" s="260"/>
      <c r="X7270"/>
      <c r="Y7270"/>
      <c r="Z7270"/>
      <c r="AA7270"/>
      <c r="AB7270"/>
      <c r="AC7270"/>
      <c r="AD7270"/>
      <c r="AE7270"/>
      <c r="AF7270"/>
      <c r="AG7270"/>
      <c r="AH7270"/>
      <c r="AI7270"/>
      <c r="AJ7270"/>
      <c r="AK7270"/>
      <c r="AL7270"/>
      <c r="AM7270"/>
      <c r="AN7270"/>
    </row>
    <row r="7271" spans="1:40" s="47" customFormat="1">
      <c r="A7271" s="121"/>
      <c r="B7271" s="121"/>
      <c r="C7271" s="121"/>
      <c r="D7271" s="121"/>
      <c r="E7271" s="121"/>
      <c r="F7271" s="121"/>
      <c r="G7271" s="121"/>
      <c r="H7271" s="121"/>
      <c r="I7271" s="121"/>
      <c r="J7271" s="121"/>
      <c r="K7271" s="121"/>
      <c r="L7271" s="121"/>
      <c r="M7271" s="121"/>
      <c r="N7271" s="222"/>
      <c r="O7271" s="502"/>
      <c r="P7271" s="285"/>
      <c r="Q7271" s="321"/>
      <c r="R7271" s="260"/>
      <c r="S7271" s="260"/>
      <c r="T7271" s="260"/>
      <c r="U7271" s="260"/>
      <c r="V7271" s="260"/>
      <c r="W7271" s="260"/>
      <c r="X7271"/>
      <c r="Y7271"/>
      <c r="Z7271"/>
      <c r="AA7271"/>
      <c r="AB7271"/>
      <c r="AC7271"/>
      <c r="AD7271"/>
      <c r="AE7271"/>
      <c r="AF7271"/>
      <c r="AG7271"/>
      <c r="AH7271"/>
      <c r="AI7271"/>
      <c r="AJ7271"/>
      <c r="AK7271"/>
      <c r="AL7271"/>
      <c r="AM7271"/>
      <c r="AN7271"/>
    </row>
    <row r="7272" spans="1:40" s="47" customFormat="1">
      <c r="A7272" s="121"/>
      <c r="B7272" s="121"/>
      <c r="C7272" s="121"/>
      <c r="D7272" s="121"/>
      <c r="E7272" s="121"/>
      <c r="F7272" s="121"/>
      <c r="G7272" s="121"/>
      <c r="H7272" s="121"/>
      <c r="I7272" s="121"/>
      <c r="J7272" s="121"/>
      <c r="K7272" s="121"/>
      <c r="L7272" s="121"/>
      <c r="M7272" s="121"/>
      <c r="N7272" s="222"/>
      <c r="O7272" s="502"/>
      <c r="P7272" s="285"/>
      <c r="Q7272" s="321"/>
      <c r="R7272" s="260"/>
      <c r="S7272" s="260"/>
      <c r="T7272" s="260"/>
      <c r="U7272" s="260"/>
      <c r="V7272" s="260"/>
      <c r="W7272" s="260"/>
      <c r="X7272"/>
      <c r="Y7272"/>
      <c r="Z7272"/>
      <c r="AA7272"/>
      <c r="AB7272"/>
      <c r="AC7272"/>
      <c r="AD7272"/>
      <c r="AE7272"/>
      <c r="AF7272"/>
      <c r="AG7272"/>
      <c r="AH7272"/>
      <c r="AI7272"/>
      <c r="AJ7272"/>
      <c r="AK7272"/>
      <c r="AL7272"/>
      <c r="AM7272"/>
      <c r="AN7272"/>
    </row>
    <row r="7273" spans="1:40" s="47" customFormat="1">
      <c r="A7273" s="121"/>
      <c r="B7273" s="121"/>
      <c r="C7273" s="121"/>
      <c r="D7273" s="121"/>
      <c r="E7273" s="121"/>
      <c r="F7273" s="121"/>
      <c r="G7273" s="121"/>
      <c r="H7273" s="121"/>
      <c r="I7273" s="121"/>
      <c r="J7273" s="121"/>
      <c r="K7273" s="121"/>
      <c r="L7273" s="121"/>
      <c r="M7273" s="121"/>
      <c r="N7273" s="222"/>
      <c r="O7273" s="502"/>
      <c r="P7273" s="285"/>
      <c r="Q7273" s="321"/>
      <c r="R7273" s="260"/>
      <c r="S7273" s="260"/>
      <c r="T7273" s="260"/>
      <c r="U7273" s="260"/>
      <c r="V7273" s="260"/>
      <c r="W7273" s="260"/>
      <c r="X7273"/>
      <c r="Y7273"/>
      <c r="Z7273"/>
      <c r="AA7273"/>
      <c r="AB7273"/>
      <c r="AC7273"/>
      <c r="AD7273"/>
      <c r="AE7273"/>
      <c r="AF7273"/>
      <c r="AG7273"/>
      <c r="AH7273"/>
      <c r="AI7273"/>
      <c r="AJ7273"/>
      <c r="AK7273"/>
      <c r="AL7273"/>
      <c r="AM7273"/>
      <c r="AN7273"/>
    </row>
    <row r="7274" spans="1:40" s="47" customFormat="1">
      <c r="A7274" s="121"/>
      <c r="B7274" s="121"/>
      <c r="C7274" s="121"/>
      <c r="D7274" s="121"/>
      <c r="E7274" s="121"/>
      <c r="F7274" s="121"/>
      <c r="G7274" s="121"/>
      <c r="H7274" s="121"/>
      <c r="I7274" s="121"/>
      <c r="J7274" s="121"/>
      <c r="K7274" s="121"/>
      <c r="L7274" s="121"/>
      <c r="M7274" s="121"/>
      <c r="N7274" s="222"/>
      <c r="O7274" s="502"/>
      <c r="P7274" s="285"/>
      <c r="Q7274" s="321"/>
      <c r="R7274" s="260"/>
      <c r="S7274" s="260"/>
      <c r="T7274" s="260"/>
      <c r="U7274" s="260"/>
      <c r="V7274" s="260"/>
      <c r="W7274" s="260"/>
      <c r="X7274"/>
      <c r="Y7274"/>
      <c r="Z7274"/>
      <c r="AA7274"/>
      <c r="AB7274"/>
      <c r="AC7274"/>
      <c r="AD7274"/>
      <c r="AE7274"/>
      <c r="AF7274"/>
      <c r="AG7274"/>
      <c r="AH7274"/>
      <c r="AI7274"/>
      <c r="AJ7274"/>
      <c r="AK7274"/>
      <c r="AL7274"/>
      <c r="AM7274"/>
      <c r="AN7274"/>
    </row>
    <row r="7275" spans="1:40" s="47" customFormat="1">
      <c r="A7275" s="121"/>
      <c r="B7275" s="121"/>
      <c r="C7275" s="121"/>
      <c r="D7275" s="121"/>
      <c r="E7275" s="121"/>
      <c r="F7275" s="121"/>
      <c r="G7275" s="121"/>
      <c r="H7275" s="121"/>
      <c r="I7275" s="121"/>
      <c r="J7275" s="121"/>
      <c r="K7275" s="121"/>
      <c r="L7275" s="121"/>
      <c r="M7275" s="121"/>
      <c r="N7275" s="222"/>
      <c r="O7275" s="502"/>
      <c r="P7275" s="285"/>
      <c r="Q7275" s="321"/>
      <c r="R7275" s="260"/>
      <c r="S7275" s="260"/>
      <c r="T7275" s="260"/>
      <c r="U7275" s="260"/>
      <c r="V7275" s="260"/>
      <c r="W7275" s="260"/>
      <c r="X7275"/>
      <c r="Y7275"/>
      <c r="Z7275"/>
      <c r="AA7275"/>
      <c r="AB7275"/>
      <c r="AC7275"/>
      <c r="AD7275"/>
      <c r="AE7275"/>
      <c r="AF7275"/>
      <c r="AG7275"/>
      <c r="AH7275"/>
      <c r="AI7275"/>
      <c r="AJ7275"/>
      <c r="AK7275"/>
      <c r="AL7275"/>
      <c r="AM7275"/>
      <c r="AN7275"/>
    </row>
    <row r="7276" spans="1:40" s="47" customFormat="1">
      <c r="A7276" s="121"/>
      <c r="B7276" s="121"/>
      <c r="C7276" s="121"/>
      <c r="D7276" s="121"/>
      <c r="E7276" s="121"/>
      <c r="F7276" s="121"/>
      <c r="G7276" s="121"/>
      <c r="H7276" s="121"/>
      <c r="I7276" s="121"/>
      <c r="J7276" s="121"/>
      <c r="K7276" s="121"/>
      <c r="L7276" s="121"/>
      <c r="M7276" s="121"/>
      <c r="N7276" s="222"/>
      <c r="O7276" s="502"/>
      <c r="P7276" s="285"/>
      <c r="Q7276" s="321"/>
      <c r="R7276" s="260"/>
      <c r="S7276" s="260"/>
      <c r="T7276" s="260"/>
      <c r="U7276" s="260"/>
      <c r="V7276" s="260"/>
      <c r="W7276" s="260"/>
      <c r="X7276"/>
      <c r="Y7276"/>
      <c r="Z7276"/>
      <c r="AA7276"/>
      <c r="AB7276"/>
      <c r="AC7276"/>
      <c r="AD7276"/>
      <c r="AE7276"/>
      <c r="AF7276"/>
      <c r="AG7276"/>
      <c r="AH7276"/>
      <c r="AI7276"/>
      <c r="AJ7276"/>
      <c r="AK7276"/>
      <c r="AL7276"/>
      <c r="AM7276"/>
      <c r="AN7276"/>
    </row>
    <row r="7277" spans="1:40" s="47" customFormat="1">
      <c r="A7277" s="121"/>
      <c r="B7277" s="121"/>
      <c r="C7277" s="121"/>
      <c r="D7277" s="121"/>
      <c r="E7277" s="121"/>
      <c r="F7277" s="121"/>
      <c r="G7277" s="121"/>
      <c r="H7277" s="121"/>
      <c r="I7277" s="121"/>
      <c r="J7277" s="121"/>
      <c r="K7277" s="121"/>
      <c r="L7277" s="121"/>
      <c r="M7277" s="121"/>
      <c r="N7277" s="222"/>
      <c r="O7277" s="502"/>
      <c r="P7277" s="285"/>
      <c r="Q7277" s="321"/>
      <c r="R7277" s="260"/>
      <c r="S7277" s="260"/>
      <c r="T7277" s="260"/>
      <c r="U7277" s="260"/>
      <c r="V7277" s="260"/>
      <c r="W7277" s="260"/>
      <c r="X7277"/>
      <c r="Y7277"/>
      <c r="Z7277"/>
      <c r="AA7277"/>
      <c r="AB7277"/>
      <c r="AC7277"/>
      <c r="AD7277"/>
      <c r="AE7277"/>
      <c r="AF7277"/>
      <c r="AG7277"/>
      <c r="AH7277"/>
      <c r="AI7277"/>
      <c r="AJ7277"/>
      <c r="AK7277"/>
      <c r="AL7277"/>
      <c r="AM7277"/>
      <c r="AN7277"/>
    </row>
    <row r="7278" spans="1:40" s="47" customFormat="1">
      <c r="A7278" s="121"/>
      <c r="B7278" s="121"/>
      <c r="C7278" s="121"/>
      <c r="D7278" s="121"/>
      <c r="E7278" s="121"/>
      <c r="F7278" s="121"/>
      <c r="G7278" s="121"/>
      <c r="H7278" s="121"/>
      <c r="I7278" s="121"/>
      <c r="J7278" s="121"/>
      <c r="K7278" s="121"/>
      <c r="L7278" s="121"/>
      <c r="M7278" s="121"/>
      <c r="N7278" s="222"/>
      <c r="O7278" s="502"/>
      <c r="P7278" s="285"/>
      <c r="Q7278" s="321"/>
      <c r="R7278" s="260"/>
      <c r="S7278" s="260"/>
      <c r="T7278" s="260"/>
      <c r="U7278" s="260"/>
      <c r="V7278" s="260"/>
      <c r="W7278" s="260"/>
      <c r="X7278"/>
      <c r="Y7278"/>
      <c r="Z7278"/>
      <c r="AA7278"/>
      <c r="AB7278"/>
      <c r="AC7278"/>
      <c r="AD7278"/>
      <c r="AE7278"/>
      <c r="AF7278"/>
      <c r="AG7278"/>
      <c r="AH7278"/>
      <c r="AI7278"/>
      <c r="AJ7278"/>
      <c r="AK7278"/>
      <c r="AL7278"/>
      <c r="AM7278"/>
      <c r="AN7278"/>
    </row>
    <row r="7279" spans="1:40" s="47" customFormat="1">
      <c r="A7279" s="121"/>
      <c r="B7279" s="121"/>
      <c r="C7279" s="121"/>
      <c r="D7279" s="121"/>
      <c r="E7279" s="121"/>
      <c r="F7279" s="121"/>
      <c r="G7279" s="121"/>
      <c r="H7279" s="121"/>
      <c r="I7279" s="121"/>
      <c r="J7279" s="121"/>
      <c r="K7279" s="121"/>
      <c r="L7279" s="121"/>
      <c r="M7279" s="121"/>
      <c r="N7279" s="222"/>
      <c r="O7279" s="502"/>
      <c r="P7279" s="285"/>
      <c r="Q7279" s="321"/>
      <c r="R7279" s="260"/>
      <c r="S7279" s="260"/>
      <c r="T7279" s="260"/>
      <c r="U7279" s="260"/>
      <c r="V7279" s="260"/>
      <c r="W7279" s="260"/>
      <c r="X7279"/>
      <c r="Y7279"/>
      <c r="Z7279"/>
      <c r="AA7279"/>
      <c r="AB7279"/>
      <c r="AC7279"/>
      <c r="AD7279"/>
      <c r="AE7279"/>
      <c r="AF7279"/>
      <c r="AG7279"/>
      <c r="AH7279"/>
      <c r="AI7279"/>
      <c r="AJ7279"/>
      <c r="AK7279"/>
      <c r="AL7279"/>
      <c r="AM7279"/>
      <c r="AN7279"/>
    </row>
    <row r="7280" spans="1:40" s="47" customFormat="1">
      <c r="A7280" s="121"/>
      <c r="B7280" s="121"/>
      <c r="C7280" s="121"/>
      <c r="D7280" s="121"/>
      <c r="E7280" s="121"/>
      <c r="F7280" s="121"/>
      <c r="G7280" s="121"/>
      <c r="H7280" s="121"/>
      <c r="I7280" s="121"/>
      <c r="J7280" s="121"/>
      <c r="K7280" s="121"/>
      <c r="L7280" s="121"/>
      <c r="M7280" s="121"/>
      <c r="N7280" s="222"/>
      <c r="O7280" s="502"/>
      <c r="P7280" s="285"/>
      <c r="Q7280" s="321"/>
      <c r="R7280" s="260"/>
      <c r="S7280" s="260"/>
      <c r="T7280" s="260"/>
      <c r="U7280" s="260"/>
      <c r="V7280" s="260"/>
      <c r="W7280" s="260"/>
      <c r="X7280"/>
      <c r="Y7280"/>
      <c r="Z7280"/>
      <c r="AA7280"/>
      <c r="AB7280"/>
      <c r="AC7280"/>
      <c r="AD7280"/>
      <c r="AE7280"/>
      <c r="AF7280"/>
      <c r="AG7280"/>
      <c r="AH7280"/>
      <c r="AI7280"/>
      <c r="AJ7280"/>
      <c r="AK7280"/>
      <c r="AL7280"/>
      <c r="AM7280"/>
      <c r="AN7280"/>
    </row>
    <row r="7281" spans="1:40" s="47" customFormat="1">
      <c r="A7281" s="121"/>
      <c r="B7281" s="121"/>
      <c r="C7281" s="121"/>
      <c r="D7281" s="121"/>
      <c r="E7281" s="121"/>
      <c r="F7281" s="121"/>
      <c r="G7281" s="121"/>
      <c r="H7281" s="121"/>
      <c r="I7281" s="121"/>
      <c r="J7281" s="121"/>
      <c r="K7281" s="121"/>
      <c r="L7281" s="121"/>
      <c r="M7281" s="121"/>
      <c r="N7281" s="222"/>
      <c r="O7281" s="502"/>
      <c r="P7281" s="285"/>
      <c r="Q7281" s="321"/>
      <c r="R7281" s="260"/>
      <c r="S7281" s="260"/>
      <c r="T7281" s="260"/>
      <c r="U7281" s="260"/>
      <c r="V7281" s="260"/>
      <c r="W7281" s="260"/>
      <c r="X7281"/>
      <c r="Y7281"/>
      <c r="Z7281"/>
      <c r="AA7281"/>
      <c r="AB7281"/>
      <c r="AC7281"/>
      <c r="AD7281"/>
      <c r="AE7281"/>
      <c r="AF7281"/>
      <c r="AG7281"/>
      <c r="AH7281"/>
      <c r="AI7281"/>
      <c r="AJ7281"/>
      <c r="AK7281"/>
      <c r="AL7281"/>
      <c r="AM7281"/>
      <c r="AN7281"/>
    </row>
    <row r="7282" spans="1:40" s="47" customFormat="1">
      <c r="A7282" s="121"/>
      <c r="B7282" s="121"/>
      <c r="C7282" s="121"/>
      <c r="D7282" s="121"/>
      <c r="E7282" s="121"/>
      <c r="F7282" s="121"/>
      <c r="G7282" s="121"/>
      <c r="H7282" s="121"/>
      <c r="I7282" s="121"/>
      <c r="J7282" s="121"/>
      <c r="K7282" s="121"/>
      <c r="L7282" s="121"/>
      <c r="M7282" s="121"/>
      <c r="N7282" s="222"/>
      <c r="O7282" s="502"/>
      <c r="P7282" s="285"/>
      <c r="Q7282" s="321"/>
      <c r="R7282" s="260"/>
      <c r="S7282" s="260"/>
      <c r="T7282" s="260"/>
      <c r="U7282" s="260"/>
      <c r="V7282" s="260"/>
      <c r="W7282" s="260"/>
      <c r="X7282"/>
      <c r="Y7282"/>
      <c r="Z7282"/>
      <c r="AA7282"/>
      <c r="AB7282"/>
      <c r="AC7282"/>
      <c r="AD7282"/>
      <c r="AE7282"/>
      <c r="AF7282"/>
      <c r="AG7282"/>
      <c r="AH7282"/>
      <c r="AI7282"/>
      <c r="AJ7282"/>
      <c r="AK7282"/>
      <c r="AL7282"/>
      <c r="AM7282"/>
      <c r="AN7282"/>
    </row>
    <row r="7283" spans="1:40" s="47" customFormat="1">
      <c r="A7283" s="121"/>
      <c r="B7283" s="121"/>
      <c r="C7283" s="121"/>
      <c r="D7283" s="121"/>
      <c r="E7283" s="121"/>
      <c r="F7283" s="121"/>
      <c r="G7283" s="121"/>
      <c r="H7283" s="121"/>
      <c r="I7283" s="121"/>
      <c r="J7283" s="121"/>
      <c r="K7283" s="121"/>
      <c r="L7283" s="121"/>
      <c r="M7283" s="121"/>
      <c r="N7283" s="222"/>
      <c r="O7283" s="502"/>
      <c r="P7283" s="285"/>
      <c r="Q7283" s="321"/>
      <c r="R7283" s="260"/>
      <c r="S7283" s="260"/>
      <c r="T7283" s="260"/>
      <c r="U7283" s="260"/>
      <c r="V7283" s="260"/>
      <c r="W7283" s="260"/>
      <c r="X7283"/>
      <c r="Y7283"/>
      <c r="Z7283"/>
      <c r="AA7283"/>
      <c r="AB7283"/>
      <c r="AC7283"/>
      <c r="AD7283"/>
      <c r="AE7283"/>
      <c r="AF7283"/>
      <c r="AG7283"/>
      <c r="AH7283"/>
      <c r="AI7283"/>
      <c r="AJ7283"/>
      <c r="AK7283"/>
      <c r="AL7283"/>
      <c r="AM7283"/>
      <c r="AN7283"/>
    </row>
    <row r="7284" spans="1:40" s="47" customFormat="1">
      <c r="A7284" s="121"/>
      <c r="B7284" s="121"/>
      <c r="C7284" s="121"/>
      <c r="D7284" s="121"/>
      <c r="E7284" s="121"/>
      <c r="F7284" s="121"/>
      <c r="G7284" s="121"/>
      <c r="H7284" s="121"/>
      <c r="I7284" s="121"/>
      <c r="J7284" s="121"/>
      <c r="K7284" s="121"/>
      <c r="L7284" s="121"/>
      <c r="M7284" s="121"/>
      <c r="N7284" s="222"/>
      <c r="O7284" s="502"/>
      <c r="P7284" s="285"/>
      <c r="Q7284" s="321"/>
      <c r="R7284" s="260"/>
      <c r="S7284" s="260"/>
      <c r="T7284" s="260"/>
      <c r="U7284" s="260"/>
      <c r="V7284" s="260"/>
      <c r="W7284" s="260"/>
      <c r="X7284"/>
      <c r="Y7284"/>
      <c r="Z7284"/>
      <c r="AA7284"/>
      <c r="AB7284"/>
      <c r="AC7284"/>
      <c r="AD7284"/>
      <c r="AE7284"/>
      <c r="AF7284"/>
      <c r="AG7284"/>
      <c r="AH7284"/>
      <c r="AI7284"/>
      <c r="AJ7284"/>
      <c r="AK7284"/>
      <c r="AL7284"/>
      <c r="AM7284"/>
      <c r="AN7284"/>
    </row>
    <row r="7285" spans="1:40" s="47" customFormat="1">
      <c r="A7285" s="121"/>
      <c r="B7285" s="121"/>
      <c r="C7285" s="121"/>
      <c r="D7285" s="121"/>
      <c r="E7285" s="121"/>
      <c r="F7285" s="121"/>
      <c r="G7285" s="121"/>
      <c r="H7285" s="121"/>
      <c r="I7285" s="121"/>
      <c r="J7285" s="121"/>
      <c r="K7285" s="121"/>
      <c r="L7285" s="121"/>
      <c r="M7285" s="121"/>
      <c r="N7285" s="222"/>
      <c r="O7285" s="502"/>
      <c r="P7285" s="285"/>
      <c r="Q7285" s="321"/>
      <c r="R7285" s="260"/>
      <c r="S7285" s="260"/>
      <c r="T7285" s="260"/>
      <c r="U7285" s="260"/>
      <c r="V7285" s="260"/>
      <c r="W7285" s="260"/>
      <c r="X7285"/>
      <c r="Y7285"/>
      <c r="Z7285"/>
      <c r="AA7285"/>
      <c r="AB7285"/>
      <c r="AC7285"/>
      <c r="AD7285"/>
      <c r="AE7285"/>
      <c r="AF7285"/>
      <c r="AG7285"/>
      <c r="AH7285"/>
      <c r="AI7285"/>
      <c r="AJ7285"/>
      <c r="AK7285"/>
      <c r="AL7285"/>
      <c r="AM7285"/>
      <c r="AN7285"/>
    </row>
    <row r="7286" spans="1:40" s="47" customFormat="1">
      <c r="A7286" s="121"/>
      <c r="B7286" s="121"/>
      <c r="C7286" s="121"/>
      <c r="D7286" s="121"/>
      <c r="E7286" s="121"/>
      <c r="F7286" s="121"/>
      <c r="G7286" s="121"/>
      <c r="H7286" s="121"/>
      <c r="I7286" s="121"/>
      <c r="J7286" s="121"/>
      <c r="K7286" s="121"/>
      <c r="L7286" s="121"/>
      <c r="M7286" s="121"/>
      <c r="N7286" s="222"/>
      <c r="O7286" s="502"/>
      <c r="P7286" s="285"/>
      <c r="Q7286" s="321"/>
      <c r="R7286" s="260"/>
      <c r="S7286" s="260"/>
      <c r="T7286" s="260"/>
      <c r="U7286" s="260"/>
      <c r="V7286" s="260"/>
      <c r="W7286" s="260"/>
      <c r="X7286"/>
      <c r="Y7286"/>
      <c r="Z7286"/>
      <c r="AA7286"/>
      <c r="AB7286"/>
      <c r="AC7286"/>
      <c r="AD7286"/>
      <c r="AE7286"/>
      <c r="AF7286"/>
      <c r="AG7286"/>
      <c r="AH7286"/>
      <c r="AI7286"/>
      <c r="AJ7286"/>
      <c r="AK7286"/>
      <c r="AL7286"/>
      <c r="AM7286"/>
      <c r="AN7286"/>
    </row>
    <row r="7287" spans="1:40" s="47" customFormat="1">
      <c r="A7287" s="121"/>
      <c r="B7287" s="121"/>
      <c r="C7287" s="121"/>
      <c r="D7287" s="121"/>
      <c r="E7287" s="121"/>
      <c r="F7287" s="121"/>
      <c r="G7287" s="121"/>
      <c r="H7287" s="121"/>
      <c r="I7287" s="121"/>
      <c r="J7287" s="121"/>
      <c r="K7287" s="121"/>
      <c r="L7287" s="121"/>
      <c r="M7287" s="121"/>
      <c r="N7287" s="222"/>
      <c r="O7287" s="502"/>
      <c r="P7287" s="285"/>
      <c r="Q7287" s="321"/>
      <c r="R7287" s="260"/>
      <c r="S7287" s="260"/>
      <c r="T7287" s="260"/>
      <c r="U7287" s="260"/>
      <c r="V7287" s="260"/>
      <c r="W7287" s="260"/>
      <c r="X7287"/>
      <c r="Y7287"/>
      <c r="Z7287"/>
      <c r="AA7287"/>
      <c r="AB7287"/>
      <c r="AC7287"/>
      <c r="AD7287"/>
      <c r="AE7287"/>
      <c r="AF7287"/>
      <c r="AG7287"/>
      <c r="AH7287"/>
      <c r="AI7287"/>
      <c r="AJ7287"/>
      <c r="AK7287"/>
      <c r="AL7287"/>
      <c r="AM7287"/>
      <c r="AN7287"/>
    </row>
    <row r="7288" spans="1:40" s="47" customFormat="1">
      <c r="A7288" s="121"/>
      <c r="B7288" s="121"/>
      <c r="C7288" s="121"/>
      <c r="D7288" s="121"/>
      <c r="E7288" s="121"/>
      <c r="F7288" s="121"/>
      <c r="G7288" s="121"/>
      <c r="H7288" s="121"/>
      <c r="I7288" s="121"/>
      <c r="J7288" s="121"/>
      <c r="K7288" s="121"/>
      <c r="L7288" s="121"/>
      <c r="M7288" s="121"/>
      <c r="N7288" s="222"/>
      <c r="O7288" s="502"/>
      <c r="P7288" s="285"/>
      <c r="Q7288" s="321"/>
      <c r="R7288" s="260"/>
      <c r="S7288" s="260"/>
      <c r="T7288" s="260"/>
      <c r="U7288" s="260"/>
      <c r="V7288" s="260"/>
      <c r="W7288" s="260"/>
      <c r="X7288"/>
      <c r="Y7288"/>
      <c r="Z7288"/>
      <c r="AA7288"/>
      <c r="AB7288"/>
      <c r="AC7288"/>
      <c r="AD7288"/>
      <c r="AE7288"/>
      <c r="AF7288"/>
      <c r="AG7288"/>
      <c r="AH7288"/>
      <c r="AI7288"/>
      <c r="AJ7288"/>
      <c r="AK7288"/>
      <c r="AL7288"/>
      <c r="AM7288"/>
      <c r="AN7288"/>
    </row>
    <row r="7289" spans="1:40" s="47" customFormat="1">
      <c r="A7289" s="121"/>
      <c r="B7289" s="121"/>
      <c r="C7289" s="121"/>
      <c r="D7289" s="121"/>
      <c r="E7289" s="121"/>
      <c r="F7289" s="121"/>
      <c r="G7289" s="121"/>
      <c r="H7289" s="121"/>
      <c r="I7289" s="121"/>
      <c r="J7289" s="121"/>
      <c r="K7289" s="121"/>
      <c r="L7289" s="121"/>
      <c r="M7289" s="121"/>
      <c r="N7289" s="222"/>
      <c r="O7289" s="502"/>
      <c r="P7289" s="285"/>
      <c r="Q7289" s="321"/>
      <c r="R7289" s="260"/>
      <c r="S7289" s="260"/>
      <c r="T7289" s="260"/>
      <c r="U7289" s="260"/>
      <c r="V7289" s="260"/>
      <c r="W7289" s="260"/>
      <c r="X7289"/>
      <c r="Y7289"/>
      <c r="Z7289"/>
      <c r="AA7289"/>
      <c r="AB7289"/>
      <c r="AC7289"/>
      <c r="AD7289"/>
      <c r="AE7289"/>
      <c r="AF7289"/>
      <c r="AG7289"/>
      <c r="AH7289"/>
      <c r="AI7289"/>
      <c r="AJ7289"/>
      <c r="AK7289"/>
      <c r="AL7289"/>
      <c r="AM7289"/>
      <c r="AN7289"/>
    </row>
    <row r="7290" spans="1:40" s="47" customFormat="1">
      <c r="A7290" s="121"/>
      <c r="B7290" s="121"/>
      <c r="C7290" s="121"/>
      <c r="D7290" s="121"/>
      <c r="E7290" s="121"/>
      <c r="F7290" s="121"/>
      <c r="G7290" s="121"/>
      <c r="H7290" s="121"/>
      <c r="I7290" s="121"/>
      <c r="J7290" s="121"/>
      <c r="K7290" s="121"/>
      <c r="L7290" s="121"/>
      <c r="M7290" s="121"/>
      <c r="N7290" s="222"/>
      <c r="O7290" s="502"/>
      <c r="P7290" s="285"/>
      <c r="Q7290" s="321"/>
      <c r="R7290" s="260"/>
      <c r="S7290" s="260"/>
      <c r="T7290" s="260"/>
      <c r="U7290" s="260"/>
      <c r="V7290" s="260"/>
      <c r="W7290" s="260"/>
      <c r="X7290"/>
      <c r="Y7290"/>
      <c r="Z7290"/>
      <c r="AA7290"/>
      <c r="AB7290"/>
      <c r="AC7290"/>
      <c r="AD7290"/>
      <c r="AE7290"/>
      <c r="AF7290"/>
      <c r="AG7290"/>
      <c r="AH7290"/>
      <c r="AI7290"/>
      <c r="AJ7290"/>
      <c r="AK7290"/>
      <c r="AL7290"/>
      <c r="AM7290"/>
      <c r="AN7290"/>
    </row>
    <row r="7291" spans="1:40" s="47" customFormat="1">
      <c r="A7291" s="121"/>
      <c r="B7291" s="121"/>
      <c r="C7291" s="121"/>
      <c r="D7291" s="121"/>
      <c r="E7291" s="121"/>
      <c r="F7291" s="121"/>
      <c r="G7291" s="121"/>
      <c r="H7291" s="121"/>
      <c r="I7291" s="121"/>
      <c r="J7291" s="121"/>
      <c r="K7291" s="121"/>
      <c r="L7291" s="121"/>
      <c r="M7291" s="121"/>
      <c r="N7291" s="222"/>
      <c r="O7291" s="502"/>
      <c r="P7291" s="285"/>
      <c r="Q7291" s="321"/>
      <c r="R7291" s="260"/>
      <c r="S7291" s="260"/>
      <c r="T7291" s="260"/>
      <c r="U7291" s="260"/>
      <c r="V7291" s="260"/>
      <c r="W7291" s="260"/>
      <c r="X7291"/>
      <c r="Y7291"/>
      <c r="Z7291"/>
      <c r="AA7291"/>
      <c r="AB7291"/>
      <c r="AC7291"/>
      <c r="AD7291"/>
      <c r="AE7291"/>
      <c r="AF7291"/>
      <c r="AG7291"/>
      <c r="AH7291"/>
      <c r="AI7291"/>
      <c r="AJ7291"/>
      <c r="AK7291"/>
      <c r="AL7291"/>
      <c r="AM7291"/>
      <c r="AN7291"/>
    </row>
    <row r="7292" spans="1:40" s="47" customFormat="1">
      <c r="A7292" s="121"/>
      <c r="B7292" s="121"/>
      <c r="C7292" s="121"/>
      <c r="D7292" s="121"/>
      <c r="E7292" s="121"/>
      <c r="F7292" s="121"/>
      <c r="G7292" s="121"/>
      <c r="H7292" s="121"/>
      <c r="I7292" s="121"/>
      <c r="J7292" s="121"/>
      <c r="K7292" s="121"/>
      <c r="L7292" s="121"/>
      <c r="M7292" s="121"/>
      <c r="N7292" s="222"/>
      <c r="O7292" s="502"/>
      <c r="P7292" s="285"/>
      <c r="Q7292" s="321"/>
      <c r="R7292" s="260"/>
      <c r="S7292" s="260"/>
      <c r="T7292" s="260"/>
      <c r="U7292" s="260"/>
      <c r="V7292" s="260"/>
      <c r="W7292" s="260"/>
      <c r="X7292"/>
      <c r="Y7292"/>
      <c r="Z7292"/>
      <c r="AA7292"/>
      <c r="AB7292"/>
      <c r="AC7292"/>
      <c r="AD7292"/>
      <c r="AE7292"/>
      <c r="AF7292"/>
      <c r="AG7292"/>
      <c r="AH7292"/>
      <c r="AI7292"/>
      <c r="AJ7292"/>
      <c r="AK7292"/>
      <c r="AL7292"/>
      <c r="AM7292"/>
      <c r="AN7292"/>
    </row>
    <row r="7293" spans="1:40" s="47" customFormat="1">
      <c r="A7293" s="121"/>
      <c r="B7293" s="121"/>
      <c r="C7293" s="121"/>
      <c r="D7293" s="121"/>
      <c r="E7293" s="121"/>
      <c r="F7293" s="121"/>
      <c r="G7293" s="121"/>
      <c r="H7293" s="121"/>
      <c r="I7293" s="121"/>
      <c r="J7293" s="121"/>
      <c r="K7293" s="121"/>
      <c r="L7293" s="121"/>
      <c r="M7293" s="121"/>
      <c r="N7293" s="222"/>
      <c r="O7293" s="502"/>
      <c r="P7293" s="285"/>
      <c r="Q7293" s="321"/>
      <c r="R7293" s="260"/>
      <c r="S7293" s="260"/>
      <c r="T7293" s="260"/>
      <c r="U7293" s="260"/>
      <c r="V7293" s="260"/>
      <c r="W7293" s="260"/>
      <c r="X7293"/>
      <c r="Y7293"/>
      <c r="Z7293"/>
      <c r="AA7293"/>
      <c r="AB7293"/>
      <c r="AC7293"/>
      <c r="AD7293"/>
      <c r="AE7293"/>
      <c r="AF7293"/>
      <c r="AG7293"/>
      <c r="AH7293"/>
      <c r="AI7293"/>
      <c r="AJ7293"/>
      <c r="AK7293"/>
      <c r="AL7293"/>
      <c r="AM7293"/>
      <c r="AN7293"/>
    </row>
    <row r="7294" spans="1:40" s="47" customFormat="1">
      <c r="A7294" s="121"/>
      <c r="B7294" s="121"/>
      <c r="C7294" s="121"/>
      <c r="D7294" s="121"/>
      <c r="E7294" s="121"/>
      <c r="F7294" s="121"/>
      <c r="G7294" s="121"/>
      <c r="H7294" s="121"/>
      <c r="I7294" s="121"/>
      <c r="J7294" s="121"/>
      <c r="K7294" s="121"/>
      <c r="L7294" s="121"/>
      <c r="M7294" s="121"/>
      <c r="N7294" s="222"/>
      <c r="O7294" s="502"/>
      <c r="P7294" s="285"/>
      <c r="Q7294" s="321"/>
      <c r="R7294" s="260"/>
      <c r="S7294" s="260"/>
      <c r="T7294" s="260"/>
      <c r="U7294" s="260"/>
      <c r="V7294" s="260"/>
      <c r="W7294" s="260"/>
      <c r="X7294"/>
      <c r="Y7294"/>
      <c r="Z7294"/>
      <c r="AA7294"/>
      <c r="AB7294"/>
      <c r="AC7294"/>
      <c r="AD7294"/>
      <c r="AE7294"/>
      <c r="AF7294"/>
      <c r="AG7294"/>
      <c r="AH7294"/>
      <c r="AI7294"/>
      <c r="AJ7294"/>
      <c r="AK7294"/>
      <c r="AL7294"/>
      <c r="AM7294"/>
      <c r="AN7294"/>
    </row>
    <row r="7295" spans="1:40" s="47" customFormat="1">
      <c r="A7295" s="121"/>
      <c r="B7295" s="121"/>
      <c r="C7295" s="121"/>
      <c r="D7295" s="121"/>
      <c r="E7295" s="121"/>
      <c r="F7295" s="121"/>
      <c r="G7295" s="121"/>
      <c r="H7295" s="121"/>
      <c r="I7295" s="121"/>
      <c r="J7295" s="121"/>
      <c r="K7295" s="121"/>
      <c r="L7295" s="121"/>
      <c r="M7295" s="121"/>
      <c r="N7295" s="222"/>
      <c r="O7295" s="502"/>
      <c r="P7295" s="285"/>
      <c r="Q7295" s="321"/>
      <c r="R7295" s="260"/>
      <c r="S7295" s="260"/>
      <c r="T7295" s="260"/>
      <c r="U7295" s="260"/>
      <c r="V7295" s="260"/>
      <c r="W7295" s="260"/>
      <c r="X7295"/>
      <c r="Y7295"/>
      <c r="Z7295"/>
      <c r="AA7295"/>
      <c r="AB7295"/>
      <c r="AC7295"/>
      <c r="AD7295"/>
      <c r="AE7295"/>
      <c r="AF7295"/>
      <c r="AG7295"/>
      <c r="AH7295"/>
      <c r="AI7295"/>
      <c r="AJ7295"/>
      <c r="AK7295"/>
      <c r="AL7295"/>
      <c r="AM7295"/>
      <c r="AN7295"/>
    </row>
    <row r="7296" spans="1:40" s="47" customFormat="1">
      <c r="A7296" s="121"/>
      <c r="B7296" s="121"/>
      <c r="C7296" s="121"/>
      <c r="D7296" s="121"/>
      <c r="E7296" s="121"/>
      <c r="F7296" s="121"/>
      <c r="G7296" s="121"/>
      <c r="H7296" s="121"/>
      <c r="I7296" s="121"/>
      <c r="J7296" s="121"/>
      <c r="K7296" s="121"/>
      <c r="L7296" s="121"/>
      <c r="M7296" s="121"/>
      <c r="N7296" s="222"/>
      <c r="O7296" s="502"/>
      <c r="P7296" s="285"/>
      <c r="Q7296" s="321"/>
      <c r="R7296" s="260"/>
      <c r="S7296" s="260"/>
      <c r="T7296" s="260"/>
      <c r="U7296" s="260"/>
      <c r="V7296" s="260"/>
      <c r="W7296" s="260"/>
      <c r="X7296"/>
      <c r="Y7296"/>
      <c r="Z7296"/>
      <c r="AA7296"/>
      <c r="AB7296"/>
      <c r="AC7296"/>
      <c r="AD7296"/>
      <c r="AE7296"/>
      <c r="AF7296"/>
      <c r="AG7296"/>
      <c r="AH7296"/>
      <c r="AI7296"/>
      <c r="AJ7296"/>
      <c r="AK7296"/>
      <c r="AL7296"/>
      <c r="AM7296"/>
      <c r="AN7296"/>
    </row>
    <row r="7297" spans="1:40" s="47" customFormat="1">
      <c r="A7297" s="121"/>
      <c r="B7297" s="121"/>
      <c r="C7297" s="121"/>
      <c r="D7297" s="121"/>
      <c r="E7297" s="121"/>
      <c r="F7297" s="121"/>
      <c r="G7297" s="121"/>
      <c r="H7297" s="121"/>
      <c r="I7297" s="121"/>
      <c r="J7297" s="121"/>
      <c r="K7297" s="121"/>
      <c r="L7297" s="121"/>
      <c r="M7297" s="121"/>
      <c r="N7297" s="222"/>
      <c r="O7297" s="502"/>
      <c r="P7297" s="285"/>
      <c r="Q7297" s="321"/>
      <c r="R7297" s="260"/>
      <c r="S7297" s="260"/>
      <c r="T7297" s="260"/>
      <c r="U7297" s="260"/>
      <c r="V7297" s="260"/>
      <c r="W7297" s="260"/>
      <c r="X7297"/>
      <c r="Y7297"/>
      <c r="Z7297"/>
      <c r="AA7297"/>
      <c r="AB7297"/>
      <c r="AC7297"/>
      <c r="AD7297"/>
      <c r="AE7297"/>
      <c r="AF7297"/>
      <c r="AG7297"/>
      <c r="AH7297"/>
      <c r="AI7297"/>
      <c r="AJ7297"/>
      <c r="AK7297"/>
      <c r="AL7297"/>
      <c r="AM7297"/>
      <c r="AN7297"/>
    </row>
    <row r="7298" spans="1:40" s="47" customFormat="1">
      <c r="A7298" s="121"/>
      <c r="B7298" s="121"/>
      <c r="C7298" s="121"/>
      <c r="D7298" s="121"/>
      <c r="E7298" s="121"/>
      <c r="F7298" s="121"/>
      <c r="G7298" s="121"/>
      <c r="H7298" s="121"/>
      <c r="I7298" s="121"/>
      <c r="J7298" s="121"/>
      <c r="K7298" s="121"/>
      <c r="L7298" s="121"/>
      <c r="M7298" s="121"/>
      <c r="N7298" s="222"/>
      <c r="O7298" s="502"/>
      <c r="P7298" s="285"/>
      <c r="Q7298" s="321"/>
      <c r="R7298" s="260"/>
      <c r="S7298" s="260"/>
      <c r="T7298" s="260"/>
      <c r="U7298" s="260"/>
      <c r="V7298" s="260"/>
      <c r="W7298" s="260"/>
      <c r="X7298"/>
      <c r="Y7298"/>
      <c r="Z7298"/>
      <c r="AA7298"/>
      <c r="AB7298"/>
      <c r="AC7298"/>
      <c r="AD7298"/>
      <c r="AE7298"/>
      <c r="AF7298"/>
      <c r="AG7298"/>
      <c r="AH7298"/>
      <c r="AI7298"/>
      <c r="AJ7298"/>
      <c r="AK7298"/>
      <c r="AL7298"/>
      <c r="AM7298"/>
      <c r="AN7298"/>
    </row>
    <row r="7299" spans="1:40" s="47" customFormat="1">
      <c r="A7299" s="121"/>
      <c r="B7299" s="121"/>
      <c r="C7299" s="121"/>
      <c r="D7299" s="121"/>
      <c r="E7299" s="121"/>
      <c r="F7299" s="121"/>
      <c r="G7299" s="121"/>
      <c r="H7299" s="121"/>
      <c r="I7299" s="121"/>
      <c r="J7299" s="121"/>
      <c r="K7299" s="121"/>
      <c r="L7299" s="121"/>
      <c r="M7299" s="121"/>
      <c r="N7299" s="222"/>
      <c r="O7299" s="502"/>
      <c r="P7299" s="285"/>
      <c r="Q7299" s="321"/>
      <c r="R7299" s="260"/>
      <c r="S7299" s="260"/>
      <c r="T7299" s="260"/>
      <c r="U7299" s="260"/>
      <c r="V7299" s="260"/>
      <c r="W7299" s="260"/>
      <c r="X7299"/>
      <c r="Y7299"/>
      <c r="Z7299"/>
      <c r="AA7299"/>
      <c r="AB7299"/>
      <c r="AC7299"/>
      <c r="AD7299"/>
      <c r="AE7299"/>
      <c r="AF7299"/>
      <c r="AG7299"/>
      <c r="AH7299"/>
      <c r="AI7299"/>
      <c r="AJ7299"/>
      <c r="AK7299"/>
      <c r="AL7299"/>
      <c r="AM7299"/>
      <c r="AN7299"/>
    </row>
    <row r="7300" spans="1:40" s="47" customFormat="1">
      <c r="A7300" s="121"/>
      <c r="B7300" s="121"/>
      <c r="C7300" s="121"/>
      <c r="D7300" s="121"/>
      <c r="E7300" s="121"/>
      <c r="F7300" s="121"/>
      <c r="G7300" s="121"/>
      <c r="H7300" s="121"/>
      <c r="I7300" s="121"/>
      <c r="J7300" s="121"/>
      <c r="K7300" s="121"/>
      <c r="L7300" s="121"/>
      <c r="M7300" s="121"/>
      <c r="N7300" s="222"/>
      <c r="O7300" s="502"/>
      <c r="P7300" s="285"/>
      <c r="Q7300" s="321"/>
      <c r="R7300" s="260"/>
      <c r="S7300" s="260"/>
      <c r="T7300" s="260"/>
      <c r="U7300" s="260"/>
      <c r="V7300" s="260"/>
      <c r="W7300" s="260"/>
      <c r="X7300"/>
      <c r="Y7300"/>
      <c r="Z7300"/>
      <c r="AA7300"/>
      <c r="AB7300"/>
      <c r="AC7300"/>
      <c r="AD7300"/>
      <c r="AE7300"/>
      <c r="AF7300"/>
      <c r="AG7300"/>
      <c r="AH7300"/>
      <c r="AI7300"/>
      <c r="AJ7300"/>
      <c r="AK7300"/>
      <c r="AL7300"/>
      <c r="AM7300"/>
      <c r="AN7300"/>
    </row>
    <row r="7301" spans="1:40" s="47" customFormat="1">
      <c r="A7301" s="121"/>
      <c r="B7301" s="121"/>
      <c r="C7301" s="121"/>
      <c r="D7301" s="121"/>
      <c r="E7301" s="121"/>
      <c r="F7301" s="121"/>
      <c r="G7301" s="121"/>
      <c r="H7301" s="121"/>
      <c r="I7301" s="121"/>
      <c r="J7301" s="121"/>
      <c r="K7301" s="121"/>
      <c r="L7301" s="121"/>
      <c r="M7301" s="121"/>
      <c r="N7301" s="222"/>
      <c r="O7301" s="502"/>
      <c r="P7301" s="285"/>
      <c r="Q7301" s="321"/>
      <c r="R7301" s="260"/>
      <c r="S7301" s="260"/>
      <c r="T7301" s="260"/>
      <c r="U7301" s="260"/>
      <c r="V7301" s="260"/>
      <c r="W7301" s="260"/>
      <c r="X7301"/>
      <c r="Y7301"/>
      <c r="Z7301"/>
      <c r="AA7301"/>
      <c r="AB7301"/>
      <c r="AC7301"/>
      <c r="AD7301"/>
      <c r="AE7301"/>
      <c r="AF7301"/>
      <c r="AG7301"/>
      <c r="AH7301"/>
      <c r="AI7301"/>
      <c r="AJ7301"/>
      <c r="AK7301"/>
      <c r="AL7301"/>
      <c r="AM7301"/>
      <c r="AN7301"/>
    </row>
    <row r="7302" spans="1:40" s="47" customFormat="1">
      <c r="A7302" s="121"/>
      <c r="B7302" s="121"/>
      <c r="C7302" s="121"/>
      <c r="D7302" s="121"/>
      <c r="E7302" s="121"/>
      <c r="F7302" s="121"/>
      <c r="G7302" s="121"/>
      <c r="H7302" s="121"/>
      <c r="I7302" s="121"/>
      <c r="J7302" s="121"/>
      <c r="K7302" s="121"/>
      <c r="L7302" s="121"/>
      <c r="M7302" s="121"/>
      <c r="N7302" s="222"/>
      <c r="O7302" s="502"/>
      <c r="P7302" s="285"/>
      <c r="Q7302" s="321"/>
      <c r="R7302" s="260"/>
      <c r="S7302" s="260"/>
      <c r="T7302" s="260"/>
      <c r="U7302" s="260"/>
      <c r="V7302" s="260"/>
      <c r="W7302" s="260"/>
      <c r="X7302"/>
      <c r="Y7302"/>
      <c r="Z7302"/>
      <c r="AA7302"/>
      <c r="AB7302"/>
      <c r="AC7302"/>
      <c r="AD7302"/>
      <c r="AE7302"/>
      <c r="AF7302"/>
      <c r="AG7302"/>
      <c r="AH7302"/>
      <c r="AI7302"/>
      <c r="AJ7302"/>
      <c r="AK7302"/>
      <c r="AL7302"/>
      <c r="AM7302"/>
      <c r="AN7302"/>
    </row>
    <row r="7303" spans="1:40" s="47" customFormat="1">
      <c r="A7303" s="121"/>
      <c r="B7303" s="121"/>
      <c r="C7303" s="121"/>
      <c r="D7303" s="121"/>
      <c r="E7303" s="121"/>
      <c r="F7303" s="121"/>
      <c r="G7303" s="121"/>
      <c r="H7303" s="121"/>
      <c r="I7303" s="121"/>
      <c r="J7303" s="121"/>
      <c r="K7303" s="121"/>
      <c r="L7303" s="121"/>
      <c r="M7303" s="121"/>
      <c r="N7303" s="222"/>
      <c r="O7303" s="502"/>
      <c r="P7303" s="285"/>
      <c r="Q7303" s="321"/>
      <c r="R7303" s="260"/>
      <c r="S7303" s="260"/>
      <c r="T7303" s="260"/>
      <c r="U7303" s="260"/>
      <c r="V7303" s="260"/>
      <c r="W7303" s="260"/>
      <c r="X7303"/>
      <c r="Y7303"/>
      <c r="Z7303"/>
      <c r="AA7303"/>
      <c r="AB7303"/>
      <c r="AC7303"/>
      <c r="AD7303"/>
      <c r="AE7303"/>
      <c r="AF7303"/>
      <c r="AG7303"/>
      <c r="AH7303"/>
      <c r="AI7303"/>
      <c r="AJ7303"/>
      <c r="AK7303"/>
      <c r="AL7303"/>
      <c r="AM7303"/>
      <c r="AN7303"/>
    </row>
    <row r="7304" spans="1:40" s="47" customFormat="1">
      <c r="A7304" s="121"/>
      <c r="B7304" s="121"/>
      <c r="C7304" s="121"/>
      <c r="D7304" s="121"/>
      <c r="E7304" s="121"/>
      <c r="F7304" s="121"/>
      <c r="G7304" s="121"/>
      <c r="H7304" s="121"/>
      <c r="I7304" s="121"/>
      <c r="J7304" s="121"/>
      <c r="K7304" s="121"/>
      <c r="L7304" s="121"/>
      <c r="M7304" s="121"/>
      <c r="N7304" s="222"/>
      <c r="O7304" s="502"/>
      <c r="P7304" s="285"/>
      <c r="Q7304" s="321"/>
      <c r="R7304" s="260"/>
      <c r="S7304" s="260"/>
      <c r="T7304" s="260"/>
      <c r="U7304" s="260"/>
      <c r="V7304" s="260"/>
      <c r="W7304" s="260"/>
      <c r="X7304"/>
      <c r="Y7304"/>
      <c r="Z7304"/>
      <c r="AA7304"/>
      <c r="AB7304"/>
      <c r="AC7304"/>
      <c r="AD7304"/>
      <c r="AE7304"/>
      <c r="AF7304"/>
      <c r="AG7304"/>
      <c r="AH7304"/>
      <c r="AI7304"/>
      <c r="AJ7304"/>
      <c r="AK7304"/>
      <c r="AL7304"/>
      <c r="AM7304"/>
      <c r="AN7304"/>
    </row>
    <row r="7305" spans="1:40" s="47" customFormat="1">
      <c r="A7305" s="121"/>
      <c r="B7305" s="121"/>
      <c r="C7305" s="121"/>
      <c r="D7305" s="121"/>
      <c r="E7305" s="121"/>
      <c r="F7305" s="121"/>
      <c r="G7305" s="121"/>
      <c r="H7305" s="121"/>
      <c r="I7305" s="121"/>
      <c r="J7305" s="121"/>
      <c r="K7305" s="121"/>
      <c r="L7305" s="121"/>
      <c r="M7305" s="121"/>
      <c r="N7305" s="222"/>
      <c r="O7305" s="502"/>
      <c r="P7305" s="285"/>
      <c r="Q7305" s="321"/>
      <c r="R7305" s="260"/>
      <c r="S7305" s="260"/>
      <c r="T7305" s="260"/>
      <c r="U7305" s="260"/>
      <c r="V7305" s="260"/>
      <c r="W7305" s="260"/>
      <c r="X7305"/>
      <c r="Y7305"/>
      <c r="Z7305"/>
      <c r="AA7305"/>
      <c r="AB7305"/>
      <c r="AC7305"/>
      <c r="AD7305"/>
      <c r="AE7305"/>
      <c r="AF7305"/>
      <c r="AG7305"/>
      <c r="AH7305"/>
      <c r="AI7305"/>
      <c r="AJ7305"/>
      <c r="AK7305"/>
      <c r="AL7305"/>
      <c r="AM7305"/>
      <c r="AN7305"/>
    </row>
    <row r="7306" spans="1:40" s="47" customFormat="1">
      <c r="A7306" s="121"/>
      <c r="B7306" s="121"/>
      <c r="C7306" s="121"/>
      <c r="D7306" s="121"/>
      <c r="E7306" s="121"/>
      <c r="F7306" s="121"/>
      <c r="G7306" s="121"/>
      <c r="H7306" s="121"/>
      <c r="I7306" s="121"/>
      <c r="J7306" s="121"/>
      <c r="K7306" s="121"/>
      <c r="L7306" s="121"/>
      <c r="M7306" s="121"/>
      <c r="N7306" s="222"/>
      <c r="O7306" s="502"/>
      <c r="P7306" s="285"/>
      <c r="Q7306" s="321"/>
      <c r="R7306" s="260"/>
      <c r="S7306" s="260"/>
      <c r="T7306" s="260"/>
      <c r="U7306" s="260"/>
      <c r="V7306" s="260"/>
      <c r="W7306" s="260"/>
      <c r="X7306"/>
      <c r="Y7306"/>
      <c r="Z7306"/>
      <c r="AA7306"/>
      <c r="AB7306"/>
      <c r="AC7306"/>
      <c r="AD7306"/>
      <c r="AE7306"/>
      <c r="AF7306"/>
      <c r="AG7306"/>
      <c r="AH7306"/>
      <c r="AI7306"/>
      <c r="AJ7306"/>
      <c r="AK7306"/>
      <c r="AL7306"/>
      <c r="AM7306"/>
      <c r="AN7306"/>
    </row>
    <row r="7307" spans="1:40" s="47" customFormat="1">
      <c r="A7307" s="121"/>
      <c r="B7307" s="121"/>
      <c r="C7307" s="121"/>
      <c r="D7307" s="121"/>
      <c r="E7307" s="121"/>
      <c r="F7307" s="121"/>
      <c r="G7307" s="121"/>
      <c r="H7307" s="121"/>
      <c r="I7307" s="121"/>
      <c r="J7307" s="121"/>
      <c r="K7307" s="121"/>
      <c r="L7307" s="121"/>
      <c r="M7307" s="121"/>
      <c r="N7307" s="222"/>
      <c r="O7307" s="502"/>
      <c r="P7307" s="285"/>
      <c r="Q7307" s="321"/>
      <c r="R7307" s="260"/>
      <c r="S7307" s="260"/>
      <c r="T7307" s="260"/>
      <c r="U7307" s="260"/>
      <c r="V7307" s="260"/>
      <c r="W7307" s="260"/>
      <c r="X7307"/>
      <c r="Y7307"/>
      <c r="Z7307"/>
      <c r="AA7307"/>
      <c r="AB7307"/>
      <c r="AC7307"/>
      <c r="AD7307"/>
      <c r="AE7307"/>
      <c r="AF7307"/>
      <c r="AG7307"/>
      <c r="AH7307"/>
      <c r="AI7307"/>
      <c r="AJ7307"/>
      <c r="AK7307"/>
      <c r="AL7307"/>
      <c r="AM7307"/>
      <c r="AN7307"/>
    </row>
    <row r="7308" spans="1:40" s="47" customFormat="1">
      <c r="A7308" s="121"/>
      <c r="B7308" s="121"/>
      <c r="C7308" s="121"/>
      <c r="D7308" s="121"/>
      <c r="E7308" s="121"/>
      <c r="F7308" s="121"/>
      <c r="G7308" s="121"/>
      <c r="H7308" s="121"/>
      <c r="I7308" s="121"/>
      <c r="J7308" s="121"/>
      <c r="K7308" s="121"/>
      <c r="L7308" s="121"/>
      <c r="M7308" s="121"/>
      <c r="N7308" s="222"/>
      <c r="O7308" s="502"/>
      <c r="P7308" s="285"/>
      <c r="Q7308" s="321"/>
      <c r="R7308" s="260"/>
      <c r="S7308" s="260"/>
      <c r="T7308" s="260"/>
      <c r="U7308" s="260"/>
      <c r="V7308" s="260"/>
      <c r="W7308" s="260"/>
      <c r="X7308"/>
      <c r="Y7308"/>
      <c r="Z7308"/>
      <c r="AA7308"/>
      <c r="AB7308"/>
      <c r="AC7308"/>
      <c r="AD7308"/>
      <c r="AE7308"/>
      <c r="AF7308"/>
      <c r="AG7308"/>
      <c r="AH7308"/>
      <c r="AI7308"/>
      <c r="AJ7308"/>
      <c r="AK7308"/>
      <c r="AL7308"/>
      <c r="AM7308"/>
      <c r="AN7308"/>
    </row>
    <row r="7309" spans="1:40" s="47" customFormat="1">
      <c r="A7309" s="121"/>
      <c r="B7309" s="121"/>
      <c r="C7309" s="121"/>
      <c r="D7309" s="121"/>
      <c r="E7309" s="121"/>
      <c r="F7309" s="121"/>
      <c r="G7309" s="121"/>
      <c r="H7309" s="121"/>
      <c r="I7309" s="121"/>
      <c r="J7309" s="121"/>
      <c r="K7309" s="121"/>
      <c r="L7309" s="121"/>
      <c r="M7309" s="121"/>
      <c r="N7309" s="222"/>
      <c r="O7309" s="502"/>
      <c r="P7309" s="285"/>
      <c r="Q7309" s="321"/>
      <c r="R7309" s="260"/>
      <c r="S7309" s="260"/>
      <c r="T7309" s="260"/>
      <c r="U7309" s="260"/>
      <c r="V7309" s="260"/>
      <c r="W7309" s="260"/>
      <c r="X7309"/>
      <c r="Y7309"/>
      <c r="Z7309"/>
      <c r="AA7309"/>
      <c r="AB7309"/>
      <c r="AC7309"/>
      <c r="AD7309"/>
      <c r="AE7309"/>
      <c r="AF7309"/>
      <c r="AG7309"/>
      <c r="AH7309"/>
      <c r="AI7309"/>
      <c r="AJ7309"/>
      <c r="AK7309"/>
      <c r="AL7309"/>
      <c r="AM7309"/>
      <c r="AN7309"/>
    </row>
    <row r="7310" spans="1:40" s="47" customFormat="1">
      <c r="A7310" s="121"/>
      <c r="B7310" s="121"/>
      <c r="C7310" s="121"/>
      <c r="D7310" s="121"/>
      <c r="E7310" s="121"/>
      <c r="F7310" s="121"/>
      <c r="G7310" s="121"/>
      <c r="H7310" s="121"/>
      <c r="I7310" s="121"/>
      <c r="J7310" s="121"/>
      <c r="K7310" s="121"/>
      <c r="L7310" s="121"/>
      <c r="M7310" s="121"/>
      <c r="N7310" s="222"/>
      <c r="O7310" s="502"/>
      <c r="P7310" s="285"/>
      <c r="Q7310" s="321"/>
      <c r="R7310" s="260"/>
      <c r="S7310" s="260"/>
      <c r="T7310" s="260"/>
      <c r="U7310" s="260"/>
      <c r="V7310" s="260"/>
      <c r="W7310" s="260"/>
      <c r="X7310"/>
      <c r="Y7310"/>
      <c r="Z7310"/>
      <c r="AA7310"/>
      <c r="AB7310"/>
      <c r="AC7310"/>
      <c r="AD7310"/>
      <c r="AE7310"/>
      <c r="AF7310"/>
      <c r="AG7310"/>
      <c r="AH7310"/>
      <c r="AI7310"/>
      <c r="AJ7310"/>
      <c r="AK7310"/>
      <c r="AL7310"/>
      <c r="AM7310"/>
      <c r="AN7310"/>
    </row>
    <row r="7311" spans="1:40" s="47" customFormat="1">
      <c r="A7311" s="121"/>
      <c r="B7311" s="121"/>
      <c r="C7311" s="121"/>
      <c r="D7311" s="121"/>
      <c r="E7311" s="121"/>
      <c r="F7311" s="121"/>
      <c r="G7311" s="121"/>
      <c r="H7311" s="121"/>
      <c r="I7311" s="121"/>
      <c r="J7311" s="121"/>
      <c r="K7311" s="121"/>
      <c r="L7311" s="121"/>
      <c r="M7311" s="121"/>
      <c r="N7311" s="222"/>
      <c r="O7311" s="502"/>
      <c r="P7311" s="285"/>
      <c r="Q7311" s="321"/>
      <c r="R7311" s="260"/>
      <c r="S7311" s="260"/>
      <c r="T7311" s="260"/>
      <c r="U7311" s="260"/>
      <c r="V7311" s="260"/>
      <c r="W7311" s="260"/>
      <c r="X7311"/>
      <c r="Y7311"/>
      <c r="Z7311"/>
      <c r="AA7311"/>
      <c r="AB7311"/>
      <c r="AC7311"/>
      <c r="AD7311"/>
      <c r="AE7311"/>
      <c r="AF7311"/>
      <c r="AG7311"/>
      <c r="AH7311"/>
      <c r="AI7311"/>
      <c r="AJ7311"/>
      <c r="AK7311"/>
      <c r="AL7311"/>
      <c r="AM7311"/>
      <c r="AN7311"/>
    </row>
    <row r="7312" spans="1:40" s="47" customFormat="1">
      <c r="A7312" s="121"/>
      <c r="B7312" s="121"/>
      <c r="C7312" s="121"/>
      <c r="D7312" s="121"/>
      <c r="E7312" s="121"/>
      <c r="F7312" s="121"/>
      <c r="G7312" s="121"/>
      <c r="H7312" s="121"/>
      <c r="I7312" s="121"/>
      <c r="J7312" s="121"/>
      <c r="K7312" s="121"/>
      <c r="L7312" s="121"/>
      <c r="M7312" s="121"/>
      <c r="N7312" s="222"/>
      <c r="O7312" s="502"/>
      <c r="P7312" s="285"/>
      <c r="Q7312" s="321"/>
      <c r="R7312" s="260"/>
      <c r="S7312" s="260"/>
      <c r="T7312" s="260"/>
      <c r="U7312" s="260"/>
      <c r="V7312" s="260"/>
      <c r="W7312" s="260"/>
      <c r="X7312"/>
      <c r="Y7312"/>
      <c r="Z7312"/>
      <c r="AA7312"/>
      <c r="AB7312"/>
      <c r="AC7312"/>
      <c r="AD7312"/>
      <c r="AE7312"/>
      <c r="AF7312"/>
      <c r="AG7312"/>
      <c r="AH7312"/>
      <c r="AI7312"/>
      <c r="AJ7312"/>
      <c r="AK7312"/>
      <c r="AL7312"/>
      <c r="AM7312"/>
      <c r="AN7312"/>
    </row>
    <row r="7313" spans="1:40" s="47" customFormat="1">
      <c r="A7313" s="121"/>
      <c r="B7313" s="121"/>
      <c r="C7313" s="121"/>
      <c r="D7313" s="121"/>
      <c r="E7313" s="121"/>
      <c r="F7313" s="121"/>
      <c r="G7313" s="121"/>
      <c r="H7313" s="121"/>
      <c r="I7313" s="121"/>
      <c r="J7313" s="121"/>
      <c r="K7313" s="121"/>
      <c r="L7313" s="121"/>
      <c r="M7313" s="121"/>
      <c r="N7313" s="222"/>
      <c r="O7313" s="502"/>
      <c r="P7313" s="285"/>
      <c r="Q7313" s="321"/>
      <c r="R7313" s="260"/>
      <c r="S7313" s="260"/>
      <c r="T7313" s="260"/>
      <c r="U7313" s="260"/>
      <c r="V7313" s="260"/>
      <c r="W7313" s="260"/>
      <c r="X7313"/>
      <c r="Y7313"/>
      <c r="Z7313"/>
      <c r="AA7313"/>
      <c r="AB7313"/>
      <c r="AC7313"/>
      <c r="AD7313"/>
      <c r="AE7313"/>
      <c r="AF7313"/>
      <c r="AG7313"/>
      <c r="AH7313"/>
      <c r="AI7313"/>
      <c r="AJ7313"/>
      <c r="AK7313"/>
      <c r="AL7313"/>
      <c r="AM7313"/>
      <c r="AN7313"/>
    </row>
    <row r="7314" spans="1:40" s="47" customFormat="1">
      <c r="A7314" s="121"/>
      <c r="B7314" s="121"/>
      <c r="C7314" s="121"/>
      <c r="D7314" s="121"/>
      <c r="E7314" s="121"/>
      <c r="F7314" s="121"/>
      <c r="G7314" s="121"/>
      <c r="H7314" s="121"/>
      <c r="I7314" s="121"/>
      <c r="J7314" s="121"/>
      <c r="K7314" s="121"/>
      <c r="L7314" s="121"/>
      <c r="M7314" s="121"/>
      <c r="N7314" s="222"/>
      <c r="O7314" s="502"/>
      <c r="P7314" s="285"/>
      <c r="Q7314" s="321"/>
      <c r="R7314" s="260"/>
      <c r="S7314" s="260"/>
      <c r="T7314" s="260"/>
      <c r="U7314" s="260"/>
      <c r="V7314" s="260"/>
      <c r="W7314" s="260"/>
      <c r="X7314"/>
      <c r="Y7314"/>
      <c r="Z7314"/>
      <c r="AA7314"/>
      <c r="AB7314"/>
      <c r="AC7314"/>
      <c r="AD7314"/>
      <c r="AE7314"/>
      <c r="AF7314"/>
      <c r="AG7314"/>
      <c r="AH7314"/>
      <c r="AI7314"/>
      <c r="AJ7314"/>
      <c r="AK7314"/>
      <c r="AL7314"/>
      <c r="AM7314"/>
      <c r="AN7314"/>
    </row>
    <row r="7315" spans="1:40" s="47" customFormat="1">
      <c r="A7315" s="121"/>
      <c r="B7315" s="121"/>
      <c r="C7315" s="121"/>
      <c r="D7315" s="121"/>
      <c r="E7315" s="121"/>
      <c r="F7315" s="121"/>
      <c r="G7315" s="121"/>
      <c r="H7315" s="121"/>
      <c r="I7315" s="121"/>
      <c r="J7315" s="121"/>
      <c r="K7315" s="121"/>
      <c r="L7315" s="121"/>
      <c r="M7315" s="121"/>
      <c r="N7315" s="222"/>
      <c r="O7315" s="502"/>
      <c r="P7315" s="285"/>
      <c r="Q7315" s="321"/>
      <c r="R7315" s="260"/>
      <c r="S7315" s="260"/>
      <c r="T7315" s="260"/>
      <c r="U7315" s="260"/>
      <c r="V7315" s="260"/>
      <c r="W7315" s="260"/>
      <c r="X7315"/>
      <c r="Y7315"/>
      <c r="Z7315"/>
      <c r="AA7315"/>
      <c r="AB7315"/>
      <c r="AC7315"/>
      <c r="AD7315"/>
      <c r="AE7315"/>
      <c r="AF7315"/>
      <c r="AG7315"/>
      <c r="AH7315"/>
      <c r="AI7315"/>
      <c r="AJ7315"/>
      <c r="AK7315"/>
      <c r="AL7315"/>
      <c r="AM7315"/>
      <c r="AN7315"/>
    </row>
    <row r="7316" spans="1:40" s="47" customFormat="1">
      <c r="A7316" s="121"/>
      <c r="B7316" s="121"/>
      <c r="C7316" s="121"/>
      <c r="D7316" s="121"/>
      <c r="E7316" s="121"/>
      <c r="F7316" s="121"/>
      <c r="G7316" s="121"/>
      <c r="H7316" s="121"/>
      <c r="I7316" s="121"/>
      <c r="J7316" s="121"/>
      <c r="K7316" s="121"/>
      <c r="L7316" s="121"/>
      <c r="M7316" s="121"/>
      <c r="N7316" s="222"/>
      <c r="O7316" s="502"/>
      <c r="P7316" s="285"/>
      <c r="Q7316" s="321"/>
      <c r="R7316" s="260"/>
      <c r="S7316" s="260"/>
      <c r="T7316" s="260"/>
      <c r="U7316" s="260"/>
      <c r="V7316" s="260"/>
      <c r="W7316" s="260"/>
      <c r="X7316"/>
      <c r="Y7316"/>
      <c r="Z7316"/>
      <c r="AA7316"/>
      <c r="AB7316"/>
      <c r="AC7316"/>
      <c r="AD7316"/>
      <c r="AE7316"/>
      <c r="AF7316"/>
      <c r="AG7316"/>
      <c r="AH7316"/>
      <c r="AI7316"/>
      <c r="AJ7316"/>
      <c r="AK7316"/>
      <c r="AL7316"/>
      <c r="AM7316"/>
      <c r="AN7316"/>
    </row>
    <row r="7317" spans="1:40" s="47" customFormat="1">
      <c r="A7317" s="121"/>
      <c r="B7317" s="121"/>
      <c r="C7317" s="121"/>
      <c r="D7317" s="121"/>
      <c r="E7317" s="121"/>
      <c r="F7317" s="121"/>
      <c r="G7317" s="121"/>
      <c r="H7317" s="121"/>
      <c r="I7317" s="121"/>
      <c r="J7317" s="121"/>
      <c r="K7317" s="121"/>
      <c r="L7317" s="121"/>
      <c r="M7317" s="121"/>
      <c r="N7317" s="222"/>
      <c r="O7317" s="502"/>
      <c r="P7317" s="285"/>
      <c r="Q7317" s="321"/>
      <c r="R7317" s="260"/>
      <c r="S7317" s="260"/>
      <c r="T7317" s="260"/>
      <c r="U7317" s="260"/>
      <c r="V7317" s="260"/>
      <c r="W7317" s="260"/>
      <c r="X7317"/>
      <c r="Y7317"/>
      <c r="Z7317"/>
      <c r="AA7317"/>
      <c r="AB7317"/>
      <c r="AC7317"/>
      <c r="AD7317"/>
      <c r="AE7317"/>
      <c r="AF7317"/>
      <c r="AG7317"/>
      <c r="AH7317"/>
      <c r="AI7317"/>
      <c r="AJ7317"/>
      <c r="AK7317"/>
      <c r="AL7317"/>
      <c r="AM7317"/>
      <c r="AN7317"/>
    </row>
    <row r="7318" spans="1:40" s="47" customFormat="1">
      <c r="A7318" s="121"/>
      <c r="B7318" s="121"/>
      <c r="C7318" s="121"/>
      <c r="D7318" s="121"/>
      <c r="E7318" s="121"/>
      <c r="F7318" s="121"/>
      <c r="G7318" s="121"/>
      <c r="H7318" s="121"/>
      <c r="I7318" s="121"/>
      <c r="J7318" s="121"/>
      <c r="K7318" s="121"/>
      <c r="L7318" s="121"/>
      <c r="M7318" s="121"/>
      <c r="N7318" s="222"/>
      <c r="O7318" s="502"/>
      <c r="P7318" s="285"/>
      <c r="Q7318" s="321"/>
      <c r="R7318" s="260"/>
      <c r="S7318" s="260"/>
      <c r="T7318" s="260"/>
      <c r="U7318" s="260"/>
      <c r="V7318" s="260"/>
      <c r="W7318" s="260"/>
      <c r="X7318"/>
      <c r="Y7318"/>
      <c r="Z7318"/>
      <c r="AA7318"/>
      <c r="AB7318"/>
      <c r="AC7318"/>
      <c r="AD7318"/>
      <c r="AE7318"/>
      <c r="AF7318"/>
      <c r="AG7318"/>
      <c r="AH7318"/>
      <c r="AI7318"/>
      <c r="AJ7318"/>
      <c r="AK7318"/>
      <c r="AL7318"/>
      <c r="AM7318"/>
      <c r="AN7318"/>
    </row>
    <row r="7319" spans="1:40" s="47" customFormat="1">
      <c r="A7319" s="121"/>
      <c r="B7319" s="121"/>
      <c r="C7319" s="121"/>
      <c r="D7319" s="121"/>
      <c r="E7319" s="121"/>
      <c r="F7319" s="121"/>
      <c r="G7319" s="121"/>
      <c r="H7319" s="121"/>
      <c r="I7319" s="121"/>
      <c r="J7319" s="121"/>
      <c r="K7319" s="121"/>
      <c r="L7319" s="121"/>
      <c r="M7319" s="121"/>
      <c r="N7319" s="222"/>
      <c r="O7319" s="502"/>
      <c r="P7319" s="285"/>
      <c r="Q7319" s="321"/>
      <c r="R7319" s="260"/>
      <c r="S7319" s="260"/>
      <c r="T7319" s="260"/>
      <c r="U7319" s="260"/>
      <c r="V7319" s="260"/>
      <c r="W7319" s="260"/>
      <c r="X7319"/>
      <c r="Y7319"/>
      <c r="Z7319"/>
      <c r="AA7319"/>
      <c r="AB7319"/>
      <c r="AC7319"/>
      <c r="AD7319"/>
      <c r="AE7319"/>
      <c r="AF7319"/>
      <c r="AG7319"/>
      <c r="AH7319"/>
      <c r="AI7319"/>
      <c r="AJ7319"/>
      <c r="AK7319"/>
      <c r="AL7319"/>
      <c r="AM7319"/>
      <c r="AN7319"/>
    </row>
    <row r="7320" spans="1:40" s="47" customFormat="1">
      <c r="A7320" s="121"/>
      <c r="B7320" s="121"/>
      <c r="C7320" s="121"/>
      <c r="D7320" s="121"/>
      <c r="E7320" s="121"/>
      <c r="F7320" s="121"/>
      <c r="G7320" s="121"/>
      <c r="H7320" s="121"/>
      <c r="I7320" s="121"/>
      <c r="J7320" s="121"/>
      <c r="K7320" s="121"/>
      <c r="L7320" s="121"/>
      <c r="M7320" s="121"/>
      <c r="N7320" s="222"/>
      <c r="O7320" s="502"/>
      <c r="P7320" s="285"/>
      <c r="Q7320" s="321"/>
      <c r="R7320" s="260"/>
      <c r="S7320" s="260"/>
      <c r="T7320" s="260"/>
      <c r="U7320" s="260"/>
      <c r="V7320" s="260"/>
      <c r="W7320" s="260"/>
      <c r="X7320"/>
      <c r="Y7320"/>
      <c r="Z7320"/>
      <c r="AA7320"/>
      <c r="AB7320"/>
      <c r="AC7320"/>
      <c r="AD7320"/>
      <c r="AE7320"/>
      <c r="AF7320"/>
      <c r="AG7320"/>
      <c r="AH7320"/>
      <c r="AI7320"/>
      <c r="AJ7320"/>
      <c r="AK7320"/>
      <c r="AL7320"/>
      <c r="AM7320"/>
      <c r="AN7320"/>
    </row>
    <row r="7321" spans="1:40" s="47" customFormat="1">
      <c r="A7321" s="121"/>
      <c r="B7321" s="121"/>
      <c r="C7321" s="121"/>
      <c r="D7321" s="121"/>
      <c r="E7321" s="121"/>
      <c r="F7321" s="121"/>
      <c r="G7321" s="121"/>
      <c r="H7321" s="121"/>
      <c r="I7321" s="121"/>
      <c r="J7321" s="121"/>
      <c r="K7321" s="121"/>
      <c r="L7321" s="121"/>
      <c r="M7321" s="121"/>
      <c r="N7321" s="222"/>
      <c r="O7321" s="502"/>
      <c r="P7321" s="285"/>
      <c r="Q7321" s="321"/>
      <c r="R7321" s="260"/>
      <c r="S7321" s="260"/>
      <c r="T7321" s="260"/>
      <c r="U7321" s="260"/>
      <c r="V7321" s="260"/>
      <c r="W7321" s="260"/>
      <c r="X7321"/>
      <c r="Y7321"/>
      <c r="Z7321"/>
      <c r="AA7321"/>
      <c r="AB7321"/>
      <c r="AC7321"/>
      <c r="AD7321"/>
      <c r="AE7321"/>
      <c r="AF7321"/>
      <c r="AG7321"/>
      <c r="AH7321"/>
      <c r="AI7321"/>
      <c r="AJ7321"/>
      <c r="AK7321"/>
      <c r="AL7321"/>
      <c r="AM7321"/>
      <c r="AN7321"/>
    </row>
    <row r="7322" spans="1:40" s="47" customFormat="1">
      <c r="A7322" s="121"/>
      <c r="B7322" s="121"/>
      <c r="C7322" s="121"/>
      <c r="D7322" s="121"/>
      <c r="E7322" s="121"/>
      <c r="F7322" s="121"/>
      <c r="G7322" s="121"/>
      <c r="H7322" s="121"/>
      <c r="I7322" s="121"/>
      <c r="J7322" s="121"/>
      <c r="K7322" s="121"/>
      <c r="L7322" s="121"/>
      <c r="M7322" s="121"/>
      <c r="N7322" s="222"/>
      <c r="O7322" s="502"/>
      <c r="P7322" s="285"/>
      <c r="Q7322" s="321"/>
      <c r="R7322" s="260"/>
      <c r="S7322" s="260"/>
      <c r="T7322" s="260"/>
      <c r="U7322" s="260"/>
      <c r="V7322" s="260"/>
      <c r="W7322" s="260"/>
      <c r="X7322"/>
      <c r="Y7322"/>
      <c r="Z7322"/>
      <c r="AA7322"/>
      <c r="AB7322"/>
      <c r="AC7322"/>
      <c r="AD7322"/>
      <c r="AE7322"/>
      <c r="AF7322"/>
      <c r="AG7322"/>
      <c r="AH7322"/>
      <c r="AI7322"/>
      <c r="AJ7322"/>
      <c r="AK7322"/>
      <c r="AL7322"/>
      <c r="AM7322"/>
      <c r="AN7322"/>
    </row>
    <row r="7323" spans="1:40" s="47" customFormat="1">
      <c r="A7323" s="121"/>
      <c r="B7323" s="121"/>
      <c r="C7323" s="121"/>
      <c r="D7323" s="121"/>
      <c r="E7323" s="121"/>
      <c r="F7323" s="121"/>
      <c r="G7323" s="121"/>
      <c r="H7323" s="121"/>
      <c r="I7323" s="121"/>
      <c r="J7323" s="121"/>
      <c r="K7323" s="121"/>
      <c r="L7323" s="121"/>
      <c r="M7323" s="121"/>
      <c r="N7323" s="222"/>
      <c r="O7323" s="502"/>
      <c r="P7323" s="285"/>
      <c r="Q7323" s="321"/>
      <c r="R7323" s="260"/>
      <c r="S7323" s="260"/>
      <c r="T7323" s="260"/>
      <c r="U7323" s="260"/>
      <c r="V7323" s="260"/>
      <c r="W7323" s="260"/>
      <c r="X7323"/>
      <c r="Y7323"/>
      <c r="Z7323"/>
      <c r="AA7323"/>
      <c r="AB7323"/>
      <c r="AC7323"/>
      <c r="AD7323"/>
      <c r="AE7323"/>
      <c r="AF7323"/>
      <c r="AG7323"/>
      <c r="AH7323"/>
      <c r="AI7323"/>
      <c r="AJ7323"/>
      <c r="AK7323"/>
      <c r="AL7323"/>
      <c r="AM7323"/>
      <c r="AN7323"/>
    </row>
    <row r="7324" spans="1:40" s="47" customFormat="1">
      <c r="A7324" s="121"/>
      <c r="B7324" s="121"/>
      <c r="C7324" s="121"/>
      <c r="D7324" s="121"/>
      <c r="E7324" s="121"/>
      <c r="F7324" s="121"/>
      <c r="G7324" s="121"/>
      <c r="H7324" s="121"/>
      <c r="I7324" s="121"/>
      <c r="J7324" s="121"/>
      <c r="K7324" s="121"/>
      <c r="L7324" s="121"/>
      <c r="M7324" s="121"/>
      <c r="N7324" s="222"/>
      <c r="O7324" s="502"/>
      <c r="P7324" s="285"/>
      <c r="Q7324" s="321"/>
      <c r="R7324" s="260"/>
      <c r="S7324" s="260"/>
      <c r="T7324" s="260"/>
      <c r="U7324" s="260"/>
      <c r="V7324" s="260"/>
      <c r="W7324" s="260"/>
      <c r="X7324"/>
      <c r="Y7324"/>
      <c r="Z7324"/>
      <c r="AA7324"/>
      <c r="AB7324"/>
      <c r="AC7324"/>
      <c r="AD7324"/>
      <c r="AE7324"/>
      <c r="AF7324"/>
      <c r="AG7324"/>
      <c r="AH7324"/>
      <c r="AI7324"/>
      <c r="AJ7324"/>
      <c r="AK7324"/>
      <c r="AL7324"/>
      <c r="AM7324"/>
      <c r="AN7324"/>
    </row>
    <row r="7325" spans="1:40" s="47" customFormat="1">
      <c r="A7325" s="121"/>
      <c r="B7325" s="121"/>
      <c r="C7325" s="121"/>
      <c r="D7325" s="121"/>
      <c r="E7325" s="121"/>
      <c r="F7325" s="121"/>
      <c r="G7325" s="121"/>
      <c r="H7325" s="121"/>
      <c r="I7325" s="121"/>
      <c r="J7325" s="121"/>
      <c r="K7325" s="121"/>
      <c r="L7325" s="121"/>
      <c r="M7325" s="121"/>
      <c r="N7325" s="222"/>
      <c r="O7325" s="502"/>
      <c r="P7325" s="285"/>
      <c r="Q7325" s="321"/>
      <c r="R7325" s="260"/>
      <c r="S7325" s="260"/>
      <c r="T7325" s="260"/>
      <c r="U7325" s="260"/>
      <c r="V7325" s="260"/>
      <c r="W7325" s="260"/>
      <c r="X7325"/>
      <c r="Y7325"/>
      <c r="Z7325"/>
      <c r="AA7325"/>
      <c r="AB7325"/>
      <c r="AC7325"/>
      <c r="AD7325"/>
      <c r="AE7325"/>
      <c r="AF7325"/>
      <c r="AG7325"/>
      <c r="AH7325"/>
      <c r="AI7325"/>
      <c r="AJ7325"/>
      <c r="AK7325"/>
      <c r="AL7325"/>
      <c r="AM7325"/>
      <c r="AN7325"/>
    </row>
    <row r="7326" spans="1:40" s="47" customFormat="1">
      <c r="A7326" s="121"/>
      <c r="B7326" s="121"/>
      <c r="C7326" s="121"/>
      <c r="D7326" s="121"/>
      <c r="E7326" s="121"/>
      <c r="F7326" s="121"/>
      <c r="G7326" s="121"/>
      <c r="H7326" s="121"/>
      <c r="I7326" s="121"/>
      <c r="J7326" s="121"/>
      <c r="K7326" s="121"/>
      <c r="L7326" s="121"/>
      <c r="M7326" s="121"/>
      <c r="N7326" s="222"/>
      <c r="O7326" s="502"/>
      <c r="P7326" s="285"/>
      <c r="Q7326" s="321"/>
      <c r="R7326" s="260"/>
      <c r="S7326" s="260"/>
      <c r="T7326" s="260"/>
      <c r="U7326" s="260"/>
      <c r="V7326" s="260"/>
      <c r="W7326" s="260"/>
      <c r="X7326"/>
      <c r="Y7326"/>
      <c r="Z7326"/>
      <c r="AA7326"/>
      <c r="AB7326"/>
      <c r="AC7326"/>
      <c r="AD7326"/>
      <c r="AE7326"/>
      <c r="AF7326"/>
      <c r="AG7326"/>
      <c r="AH7326"/>
      <c r="AI7326"/>
      <c r="AJ7326"/>
      <c r="AK7326"/>
      <c r="AL7326"/>
      <c r="AM7326"/>
      <c r="AN7326"/>
    </row>
    <row r="7327" spans="1:40" s="47" customFormat="1">
      <c r="A7327" s="121"/>
      <c r="B7327" s="121"/>
      <c r="C7327" s="121"/>
      <c r="D7327" s="121"/>
      <c r="E7327" s="121"/>
      <c r="F7327" s="121"/>
      <c r="G7327" s="121"/>
      <c r="H7327" s="121"/>
      <c r="I7327" s="121"/>
      <c r="J7327" s="121"/>
      <c r="K7327" s="121"/>
      <c r="L7327" s="121"/>
      <c r="M7327" s="121"/>
      <c r="N7327" s="222"/>
      <c r="O7327" s="502"/>
      <c r="P7327" s="285"/>
      <c r="Q7327" s="321"/>
      <c r="R7327" s="260"/>
      <c r="S7327" s="260"/>
      <c r="T7327" s="260"/>
      <c r="U7327" s="260"/>
      <c r="V7327" s="260"/>
      <c r="W7327" s="260"/>
      <c r="X7327"/>
      <c r="Y7327"/>
      <c r="Z7327"/>
      <c r="AA7327"/>
      <c r="AB7327"/>
      <c r="AC7327"/>
      <c r="AD7327"/>
      <c r="AE7327"/>
      <c r="AF7327"/>
      <c r="AG7327"/>
      <c r="AH7327"/>
      <c r="AI7327"/>
      <c r="AJ7327"/>
      <c r="AK7327"/>
      <c r="AL7327"/>
      <c r="AM7327"/>
      <c r="AN7327"/>
    </row>
    <row r="7328" spans="1:40" s="47" customFormat="1">
      <c r="A7328" s="121"/>
      <c r="B7328" s="121"/>
      <c r="C7328" s="121"/>
      <c r="D7328" s="121"/>
      <c r="E7328" s="121"/>
      <c r="F7328" s="121"/>
      <c r="G7328" s="121"/>
      <c r="H7328" s="121"/>
      <c r="I7328" s="121"/>
      <c r="J7328" s="121"/>
      <c r="K7328" s="121"/>
      <c r="L7328" s="121"/>
      <c r="M7328" s="121"/>
      <c r="N7328" s="222"/>
      <c r="O7328" s="502"/>
      <c r="P7328" s="285"/>
      <c r="Q7328" s="321"/>
      <c r="R7328" s="260"/>
      <c r="S7328" s="260"/>
      <c r="T7328" s="260"/>
      <c r="U7328" s="260"/>
      <c r="V7328" s="260"/>
      <c r="W7328" s="260"/>
      <c r="X7328"/>
      <c r="Y7328"/>
      <c r="Z7328"/>
      <c r="AA7328"/>
      <c r="AB7328"/>
      <c r="AC7328"/>
      <c r="AD7328"/>
      <c r="AE7328"/>
      <c r="AF7328"/>
      <c r="AG7328"/>
      <c r="AH7328"/>
      <c r="AI7328"/>
      <c r="AJ7328"/>
      <c r="AK7328"/>
      <c r="AL7328"/>
      <c r="AM7328"/>
      <c r="AN7328"/>
    </row>
    <row r="7329" spans="1:40" s="54" customFormat="1">
      <c r="A7329" s="121"/>
      <c r="B7329" s="121"/>
      <c r="C7329" s="121"/>
      <c r="D7329" s="121"/>
      <c r="E7329" s="121"/>
      <c r="F7329" s="121"/>
      <c r="G7329" s="121"/>
      <c r="H7329" s="121"/>
      <c r="I7329" s="121"/>
      <c r="J7329" s="121"/>
      <c r="K7329" s="121"/>
      <c r="L7329" s="121"/>
      <c r="M7329" s="121"/>
      <c r="N7329" s="121"/>
      <c r="O7329" s="121"/>
      <c r="P7329" s="121"/>
      <c r="Q7329" s="121"/>
      <c r="R7329" s="121"/>
      <c r="S7329" s="121"/>
      <c r="T7329" s="121"/>
      <c r="U7329" s="121"/>
      <c r="V7329" s="121"/>
      <c r="W7329" s="121"/>
      <c r="X7329"/>
      <c r="Y7329"/>
      <c r="Z7329"/>
      <c r="AA7329"/>
      <c r="AB7329"/>
      <c r="AC7329"/>
      <c r="AD7329"/>
      <c r="AE7329"/>
      <c r="AF7329"/>
      <c r="AG7329"/>
      <c r="AH7329"/>
      <c r="AI7329"/>
      <c r="AJ7329"/>
      <c r="AK7329"/>
      <c r="AL7329"/>
      <c r="AM7329"/>
      <c r="AN7329"/>
    </row>
    <row r="7330" spans="1:40" s="47" customFormat="1">
      <c r="A7330" s="121"/>
      <c r="B7330" s="121"/>
      <c r="C7330" s="121"/>
      <c r="D7330" s="121"/>
      <c r="E7330" s="121"/>
      <c r="F7330" s="121"/>
      <c r="G7330" s="121"/>
      <c r="H7330" s="121"/>
      <c r="I7330" s="121"/>
      <c r="J7330" s="121"/>
      <c r="K7330" s="121"/>
      <c r="L7330" s="121"/>
      <c r="M7330" s="121"/>
      <c r="N7330" s="49"/>
      <c r="R7330" s="60"/>
      <c r="S7330" s="60"/>
      <c r="T7330" s="60"/>
      <c r="U7330"/>
      <c r="V7330"/>
      <c r="W7330"/>
      <c r="X7330"/>
      <c r="Y7330"/>
      <c r="Z7330"/>
      <c r="AA7330"/>
      <c r="AB7330"/>
      <c r="AC7330"/>
      <c r="AD7330"/>
      <c r="AE7330"/>
      <c r="AF7330"/>
      <c r="AG7330"/>
      <c r="AH7330"/>
      <c r="AI7330"/>
      <c r="AJ7330"/>
      <c r="AK7330"/>
      <c r="AL7330"/>
      <c r="AM7330"/>
      <c r="AN7330"/>
    </row>
    <row r="7331" spans="1:40">
      <c r="X7331"/>
      <c r="Y7331"/>
      <c r="Z7331"/>
    </row>
    <row r="7340" spans="1:40" ht="22.5" customHeight="1">
      <c r="R7340" s="815" t="s">
        <v>524</v>
      </c>
      <c r="S7340" s="815"/>
      <c r="T7340" s="815"/>
      <c r="U7340" s="326"/>
      <c r="V7340" s="326"/>
      <c r="W7340" s="327"/>
      <c r="X7340" s="326"/>
      <c r="Y7340" s="11"/>
      <c r="Z7340" s="11"/>
      <c r="AA7340" s="11"/>
      <c r="AB7340" s="11"/>
      <c r="AC7340" s="11"/>
      <c r="AD7340" s="11"/>
      <c r="AE7340" s="11"/>
      <c r="AF7340" s="11"/>
    </row>
    <row r="7341" spans="1:40" ht="22.5" customHeight="1">
      <c r="R7341" s="815" t="s">
        <v>525</v>
      </c>
      <c r="S7341" s="815"/>
      <c r="T7341" s="815"/>
      <c r="U7341" s="815" t="s">
        <v>526</v>
      </c>
      <c r="V7341" s="815"/>
      <c r="W7341" s="815"/>
      <c r="X7341" s="815" t="s">
        <v>527</v>
      </c>
      <c r="Y7341" s="815"/>
      <c r="Z7341" s="815"/>
      <c r="AA7341" s="815" t="s">
        <v>528</v>
      </c>
      <c r="AB7341" s="815"/>
      <c r="AC7341" s="815"/>
      <c r="AD7341" s="815" t="s">
        <v>529</v>
      </c>
      <c r="AE7341" s="815"/>
      <c r="AF7341" s="815"/>
    </row>
    <row r="7342" spans="1:40" customFormat="1">
      <c r="R7342" s="621"/>
      <c r="S7342" s="621"/>
      <c r="T7342" s="621"/>
      <c r="U7342" s="621"/>
      <c r="V7342" s="621"/>
      <c r="W7342" s="621"/>
      <c r="X7342" s="621"/>
      <c r="Y7342" s="621"/>
      <c r="Z7342" s="621"/>
      <c r="AA7342" s="621"/>
      <c r="AB7342" s="621"/>
      <c r="AC7342" s="621"/>
      <c r="AD7342" s="621"/>
      <c r="AE7342" s="621"/>
      <c r="AF7342" s="621"/>
    </row>
    <row r="7343" spans="1:40" customFormat="1">
      <c r="Q7343" s="1"/>
      <c r="R7343" s="622"/>
      <c r="S7343" s="622"/>
      <c r="T7343" s="622"/>
      <c r="U7343" s="622"/>
      <c r="V7343" s="622"/>
      <c r="W7343" s="622"/>
      <c r="X7343" s="622"/>
      <c r="Y7343" s="622"/>
      <c r="Z7343" s="622"/>
      <c r="AA7343" s="622"/>
      <c r="AB7343" s="622"/>
      <c r="AC7343" s="622"/>
      <c r="AD7343" s="622"/>
      <c r="AE7343" s="622"/>
      <c r="AF7343" s="622"/>
      <c r="AG7343" s="1"/>
    </row>
    <row r="7344" spans="1:40" customFormat="1">
      <c r="M7344" s="317"/>
      <c r="Q7344" s="316"/>
      <c r="R7344" s="623"/>
      <c r="S7344" s="623"/>
      <c r="T7344" s="623"/>
      <c r="U7344" s="623"/>
      <c r="V7344" s="623"/>
      <c r="W7344" s="623"/>
      <c r="X7344" s="623"/>
      <c r="Y7344" s="623"/>
      <c r="Z7344" s="623"/>
      <c r="AA7344" s="623"/>
      <c r="AB7344" s="623"/>
      <c r="AC7344" s="623"/>
      <c r="AD7344" s="623"/>
      <c r="AE7344" s="623"/>
      <c r="AF7344" s="623"/>
      <c r="AG7344" s="316"/>
    </row>
    <row r="7345" spans="1:33" s="314" customFormat="1" ht="12" customHeight="1">
      <c r="A7345"/>
      <c r="B7345"/>
      <c r="C7345"/>
      <c r="D7345"/>
      <c r="E7345"/>
      <c r="F7345"/>
      <c r="G7345"/>
      <c r="H7345"/>
      <c r="I7345"/>
      <c r="J7345"/>
      <c r="K7345"/>
      <c r="L7345"/>
      <c r="M7345" s="311"/>
      <c r="N7345" s="434"/>
      <c r="O7345" s="315"/>
      <c r="P7345" s="309"/>
      <c r="Q7345" s="311"/>
      <c r="R7345" s="624"/>
      <c r="S7345" s="624"/>
      <c r="T7345" s="624"/>
      <c r="U7345" s="624"/>
      <c r="V7345" s="624"/>
      <c r="W7345" s="624"/>
      <c r="X7345" s="624"/>
      <c r="Y7345" s="624"/>
      <c r="Z7345" s="624"/>
      <c r="AA7345" s="624"/>
      <c r="AB7345" s="624"/>
      <c r="AC7345" s="624"/>
      <c r="AD7345" s="624"/>
      <c r="AE7345" s="624"/>
      <c r="AF7345" s="624"/>
      <c r="AG7345" s="311"/>
    </row>
    <row r="7346" spans="1:33" s="47" customFormat="1" ht="12.75">
      <c r="A7346"/>
      <c r="B7346"/>
      <c r="C7346"/>
      <c r="D7346"/>
      <c r="E7346"/>
      <c r="F7346"/>
      <c r="G7346"/>
      <c r="H7346"/>
      <c r="I7346"/>
      <c r="J7346"/>
      <c r="K7346"/>
      <c r="L7346"/>
      <c r="M7346" s="200"/>
      <c r="N7346" s="817"/>
      <c r="O7346" s="818"/>
      <c r="P7346" s="818"/>
      <c r="Q7346" s="317"/>
      <c r="R7346" s="625" t="str">
        <f>R7348 &amp; ".1"</f>
        <v>.1</v>
      </c>
      <c r="S7346" s="625" t="str">
        <f>R7348 &amp; ".2"</f>
        <v>.2</v>
      </c>
      <c r="T7346" s="625" t="str">
        <f>R7348 &amp; ".0"</f>
        <v>.0</v>
      </c>
      <c r="U7346" s="625" t="str">
        <f>U7348 &amp; ".1"</f>
        <v>.1</v>
      </c>
      <c r="V7346" s="625" t="str">
        <f>U7348 &amp; ".2"</f>
        <v>.2</v>
      </c>
      <c r="W7346" s="625" t="str">
        <f>U7348 &amp; ".0"</f>
        <v>.0</v>
      </c>
      <c r="X7346" s="625" t="str">
        <f>X7348 &amp; ".1"</f>
        <v>.1</v>
      </c>
      <c r="Y7346" s="625" t="str">
        <f>X7348 &amp; ".2"</f>
        <v>.2</v>
      </c>
      <c r="Z7346" s="625" t="str">
        <f>X7348 &amp; ".0"</f>
        <v>.0</v>
      </c>
      <c r="AA7346" s="625" t="str">
        <f>AA7348 &amp; ".1"</f>
        <v>.1</v>
      </c>
      <c r="AB7346" s="625" t="str">
        <f>AA7348 &amp; ".2"</f>
        <v>.2</v>
      </c>
      <c r="AC7346" s="625" t="str">
        <f>AA7348 &amp; ".0"</f>
        <v>.0</v>
      </c>
      <c r="AD7346" s="625" t="str">
        <f>AD7348 &amp; ".1"</f>
        <v>.1</v>
      </c>
      <c r="AE7346" s="625" t="str">
        <f>AD7348 &amp; ".2"</f>
        <v>.2</v>
      </c>
      <c r="AF7346" s="625" t="str">
        <f>AD7348 &amp; ".0"</f>
        <v>.0</v>
      </c>
      <c r="AG7346" s="214"/>
    </row>
    <row r="7347" spans="1:33" s="200" customFormat="1" ht="12" customHeight="1">
      <c r="A7347"/>
      <c r="B7347"/>
      <c r="C7347"/>
      <c r="D7347"/>
      <c r="E7347"/>
      <c r="F7347"/>
      <c r="G7347"/>
      <c r="H7347"/>
      <c r="I7347"/>
      <c r="J7347"/>
      <c r="K7347"/>
      <c r="L7347"/>
      <c r="N7347" s="430"/>
      <c r="O7347" s="209"/>
      <c r="P7347" s="214" t="s">
        <v>786</v>
      </c>
      <c r="Q7347" s="201"/>
      <c r="R7347" s="814" t="s">
        <v>719</v>
      </c>
      <c r="S7347" s="814"/>
      <c r="T7347" s="814"/>
      <c r="U7347" s="814" t="s">
        <v>719</v>
      </c>
      <c r="V7347" s="814"/>
      <c r="W7347" s="814"/>
      <c r="X7347" s="814" t="s">
        <v>719</v>
      </c>
      <c r="Y7347" s="814"/>
      <c r="Z7347" s="814"/>
      <c r="AA7347" s="814" t="s">
        <v>719</v>
      </c>
      <c r="AB7347" s="814"/>
      <c r="AC7347" s="814"/>
      <c r="AD7347" s="814" t="s">
        <v>719</v>
      </c>
      <c r="AE7347" s="814"/>
      <c r="AF7347" s="814"/>
      <c r="AG7347" s="168" t="s">
        <v>720</v>
      </c>
    </row>
    <row r="7348" spans="1:33">
      <c r="N7348" s="802" t="s">
        <v>641</v>
      </c>
      <c r="O7348" s="804" t="s">
        <v>787</v>
      </c>
      <c r="P7348" s="819" t="s">
        <v>778</v>
      </c>
      <c r="Q7348" s="206">
        <v>0</v>
      </c>
      <c r="R7348" s="808"/>
      <c r="S7348" s="809"/>
      <c r="T7348" s="810"/>
      <c r="U7348" s="808"/>
      <c r="V7348" s="809"/>
      <c r="W7348" s="810"/>
      <c r="X7348" s="808"/>
      <c r="Y7348" s="809"/>
      <c r="Z7348" s="810"/>
      <c r="AA7348" s="808"/>
      <c r="AB7348" s="809"/>
      <c r="AC7348" s="810"/>
      <c r="AD7348" s="808"/>
      <c r="AE7348" s="809"/>
      <c r="AF7348" s="810"/>
      <c r="AG7348" s="206"/>
    </row>
    <row r="7349" spans="1:33">
      <c r="N7349" s="802"/>
      <c r="O7349" s="804"/>
      <c r="P7349" s="819"/>
      <c r="Q7349" s="207"/>
      <c r="R7349" s="796"/>
      <c r="S7349" s="797"/>
      <c r="T7349" s="798"/>
      <c r="U7349" s="796"/>
      <c r="V7349" s="797"/>
      <c r="W7349" s="798"/>
      <c r="X7349" s="796"/>
      <c r="Y7349" s="797"/>
      <c r="Z7349" s="798"/>
      <c r="AA7349" s="796"/>
      <c r="AB7349" s="797"/>
      <c r="AC7349" s="798"/>
      <c r="AD7349" s="796"/>
      <c r="AE7349" s="797"/>
      <c r="AF7349" s="798"/>
      <c r="AG7349" s="207"/>
    </row>
    <row r="7350" spans="1:33">
      <c r="N7350" s="232"/>
      <c r="O7350" s="233" t="s">
        <v>788</v>
      </c>
      <c r="P7350" s="304"/>
      <c r="Q7350" s="207"/>
      <c r="R7350" s="796"/>
      <c r="S7350" s="797"/>
      <c r="T7350" s="798"/>
      <c r="U7350" s="796"/>
      <c r="V7350" s="797"/>
      <c r="W7350" s="798"/>
      <c r="X7350" s="796"/>
      <c r="Y7350" s="797"/>
      <c r="Z7350" s="798"/>
      <c r="AA7350" s="796"/>
      <c r="AB7350" s="797"/>
      <c r="AC7350" s="798"/>
      <c r="AD7350" s="796"/>
      <c r="AE7350" s="797"/>
      <c r="AF7350" s="798"/>
      <c r="AG7350" s="207"/>
    </row>
    <row r="7351" spans="1:33">
      <c r="N7351" s="232"/>
      <c r="O7351" s="490" t="str">
        <f>IF(CALC_IDENTIFIER="","",CALC_IDENTIFIER)</f>
        <v/>
      </c>
      <c r="P7351" s="304"/>
      <c r="Q7351" s="207"/>
      <c r="R7351" s="799"/>
      <c r="S7351" s="800"/>
      <c r="T7351" s="801"/>
      <c r="U7351" s="799"/>
      <c r="V7351" s="800"/>
      <c r="W7351" s="801"/>
      <c r="X7351" s="799"/>
      <c r="Y7351" s="800"/>
      <c r="Z7351" s="801"/>
      <c r="AA7351" s="799"/>
      <c r="AB7351" s="800"/>
      <c r="AC7351" s="801"/>
      <c r="AD7351" s="799"/>
      <c r="AE7351" s="800"/>
      <c r="AF7351" s="801"/>
      <c r="AG7351" s="207"/>
    </row>
    <row r="7352" spans="1:33">
      <c r="N7352" s="234" t="s">
        <v>642</v>
      </c>
      <c r="O7352" s="235" t="s">
        <v>789</v>
      </c>
      <c r="P7352" s="305"/>
      <c r="Q7352" s="328"/>
      <c r="R7352" s="260"/>
      <c r="S7352" s="260"/>
      <c r="T7352" s="257">
        <f>SUM(T7353,T7354,T7357)</f>
        <v>0</v>
      </c>
      <c r="U7352" s="260"/>
      <c r="V7352" s="260"/>
      <c r="W7352" s="257">
        <f>SUM(W7353,W7354,W7357)</f>
        <v>0</v>
      </c>
      <c r="X7352" s="260"/>
      <c r="Y7352" s="260"/>
      <c r="Z7352" s="257">
        <f>SUM(Z7353,Z7354,Z7357)</f>
        <v>0</v>
      </c>
      <c r="AA7352" s="260"/>
      <c r="AB7352" s="260"/>
      <c r="AC7352" s="257">
        <f>SUM(AC7353,AC7354,AC7357)</f>
        <v>0</v>
      </c>
      <c r="AD7352" s="260"/>
      <c r="AE7352" s="260"/>
      <c r="AF7352" s="257">
        <f>SUM(AF7353,AF7354,AF7357)</f>
        <v>0</v>
      </c>
      <c r="AG7352" s="330"/>
    </row>
    <row r="7353" spans="1:33">
      <c r="N7353" s="234" t="s">
        <v>790</v>
      </c>
      <c r="O7353" s="224" t="s">
        <v>791</v>
      </c>
      <c r="P7353" s="305"/>
      <c r="Q7353" s="328"/>
      <c r="R7353" s="260"/>
      <c r="S7353" s="260"/>
      <c r="T7353" s="261"/>
      <c r="U7353" s="260"/>
      <c r="V7353" s="260"/>
      <c r="W7353" s="261"/>
      <c r="X7353" s="260"/>
      <c r="Y7353" s="260"/>
      <c r="Z7353" s="261"/>
      <c r="AA7353" s="260"/>
      <c r="AB7353" s="260"/>
      <c r="AC7353" s="261"/>
      <c r="AD7353" s="260"/>
      <c r="AE7353" s="260"/>
      <c r="AF7353" s="261"/>
      <c r="AG7353" s="330"/>
    </row>
    <row r="7354" spans="1:33">
      <c r="N7354" s="236" t="s">
        <v>792</v>
      </c>
      <c r="O7354" s="237" t="s">
        <v>793</v>
      </c>
      <c r="P7354" s="305"/>
      <c r="Q7354" s="328"/>
      <c r="R7354" s="260"/>
      <c r="S7354" s="260"/>
      <c r="T7354" s="261"/>
      <c r="U7354" s="260"/>
      <c r="V7354" s="260"/>
      <c r="W7354" s="261"/>
      <c r="X7354" s="260"/>
      <c r="Y7354" s="260"/>
      <c r="Z7354" s="261"/>
      <c r="AA7354" s="260"/>
      <c r="AB7354" s="260"/>
      <c r="AC7354" s="261"/>
      <c r="AD7354" s="260"/>
      <c r="AE7354" s="260"/>
      <c r="AF7354" s="261"/>
      <c r="AG7354" s="330"/>
    </row>
    <row r="7355" spans="1:33">
      <c r="N7355" s="234"/>
      <c r="O7355" s="238"/>
      <c r="P7355" s="287"/>
      <c r="Q7355" s="328"/>
      <c r="R7355" s="260"/>
      <c r="S7355" s="260"/>
      <c r="T7355" s="260"/>
      <c r="U7355" s="260"/>
      <c r="V7355" s="260"/>
      <c r="W7355" s="260"/>
      <c r="X7355" s="260"/>
      <c r="Y7355" s="260"/>
      <c r="Z7355" s="260"/>
      <c r="AA7355" s="260"/>
      <c r="AB7355" s="260"/>
      <c r="AC7355" s="260"/>
      <c r="AD7355" s="260"/>
      <c r="AE7355" s="260"/>
      <c r="AF7355" s="260"/>
      <c r="AG7355" s="330"/>
    </row>
    <row r="7356" spans="1:33">
      <c r="N7356" s="234"/>
      <c r="O7356" s="238"/>
      <c r="P7356" s="287"/>
      <c r="Q7356" s="328"/>
      <c r="R7356" s="260"/>
      <c r="S7356" s="260"/>
      <c r="T7356" s="260"/>
      <c r="U7356" s="260"/>
      <c r="V7356" s="260"/>
      <c r="W7356" s="260"/>
      <c r="X7356" s="260"/>
      <c r="Y7356" s="260"/>
      <c r="Z7356" s="260"/>
      <c r="AA7356" s="260"/>
      <c r="AB7356" s="260"/>
      <c r="AC7356" s="260"/>
      <c r="AD7356" s="260"/>
      <c r="AE7356" s="260"/>
      <c r="AF7356" s="260"/>
      <c r="AG7356" s="330"/>
    </row>
    <row r="7357" spans="1:33" ht="22.5">
      <c r="N7357" s="236" t="s">
        <v>63</v>
      </c>
      <c r="O7357" s="237" t="s">
        <v>64</v>
      </c>
      <c r="P7357" s="305"/>
      <c r="Q7357" s="328"/>
      <c r="R7357" s="260"/>
      <c r="S7357" s="260"/>
      <c r="T7357" s="261"/>
      <c r="U7357" s="260"/>
      <c r="V7357" s="260"/>
      <c r="W7357" s="261"/>
      <c r="X7357" s="260"/>
      <c r="Y7357" s="260"/>
      <c r="Z7357" s="261"/>
      <c r="AA7357" s="260"/>
      <c r="AB7357" s="260"/>
      <c r="AC7357" s="261"/>
      <c r="AD7357" s="260"/>
      <c r="AE7357" s="260"/>
      <c r="AF7357" s="261"/>
      <c r="AG7357" s="330"/>
    </row>
    <row r="7358" spans="1:33">
      <c r="N7358" s="234" t="s">
        <v>751</v>
      </c>
      <c r="O7358" s="235" t="s">
        <v>65</v>
      </c>
      <c r="P7358" s="305"/>
      <c r="Q7358" s="328"/>
      <c r="R7358" s="260"/>
      <c r="S7358" s="260"/>
      <c r="T7358" s="257">
        <f>SUM(T7359,T7360,T7361)</f>
        <v>0</v>
      </c>
      <c r="U7358" s="260"/>
      <c r="V7358" s="260"/>
      <c r="W7358" s="257">
        <f>SUM(W7359,W7360,W7361)</f>
        <v>0</v>
      </c>
      <c r="X7358" s="260"/>
      <c r="Y7358" s="260"/>
      <c r="Z7358" s="257">
        <f>SUM(Z7359,Z7360,Z7361)</f>
        <v>0</v>
      </c>
      <c r="AA7358" s="260"/>
      <c r="AB7358" s="260"/>
      <c r="AC7358" s="257">
        <f>SUM(AC7359,AC7360,AC7361)</f>
        <v>0</v>
      </c>
      <c r="AD7358" s="260"/>
      <c r="AE7358" s="260"/>
      <c r="AF7358" s="257">
        <f>SUM(AF7359,AF7360,AF7361)</f>
        <v>0</v>
      </c>
      <c r="AG7358" s="330"/>
    </row>
    <row r="7359" spans="1:33">
      <c r="N7359" s="234" t="s">
        <v>66</v>
      </c>
      <c r="O7359" s="237" t="s">
        <v>67</v>
      </c>
      <c r="P7359" s="305"/>
      <c r="Q7359" s="328"/>
      <c r="R7359" s="260"/>
      <c r="S7359" s="260"/>
      <c r="T7359" s="261"/>
      <c r="U7359" s="260"/>
      <c r="V7359" s="260"/>
      <c r="W7359" s="261"/>
      <c r="X7359" s="260"/>
      <c r="Y7359" s="260"/>
      <c r="Z7359" s="261"/>
      <c r="AA7359" s="260"/>
      <c r="AB7359" s="260"/>
      <c r="AC7359" s="261"/>
      <c r="AD7359" s="260"/>
      <c r="AE7359" s="260"/>
      <c r="AF7359" s="261"/>
      <c r="AG7359" s="330"/>
    </row>
    <row r="7360" spans="1:33">
      <c r="N7360" s="234" t="s">
        <v>69</v>
      </c>
      <c r="O7360" s="237" t="s">
        <v>70</v>
      </c>
      <c r="P7360" s="305"/>
      <c r="Q7360" s="328"/>
      <c r="R7360" s="260"/>
      <c r="S7360" s="260"/>
      <c r="T7360" s="261"/>
      <c r="U7360" s="260"/>
      <c r="V7360" s="260"/>
      <c r="W7360" s="261"/>
      <c r="X7360" s="260"/>
      <c r="Y7360" s="260"/>
      <c r="Z7360" s="261"/>
      <c r="AA7360" s="260"/>
      <c r="AB7360" s="260"/>
      <c r="AC7360" s="261"/>
      <c r="AD7360" s="260"/>
      <c r="AE7360" s="260"/>
      <c r="AF7360" s="261"/>
      <c r="AG7360" s="330"/>
    </row>
    <row r="7361" spans="13:33">
      <c r="N7361" s="234" t="s">
        <v>72</v>
      </c>
      <c r="O7361" s="237" t="s">
        <v>73</v>
      </c>
      <c r="P7361" s="305"/>
      <c r="Q7361" s="328"/>
      <c r="R7361" s="260"/>
      <c r="S7361" s="260"/>
      <c r="T7361" s="261"/>
      <c r="U7361" s="260"/>
      <c r="V7361" s="260"/>
      <c r="W7361" s="261"/>
      <c r="X7361" s="260"/>
      <c r="Y7361" s="260"/>
      <c r="Z7361" s="261"/>
      <c r="AA7361" s="260"/>
      <c r="AB7361" s="260"/>
      <c r="AC7361" s="261"/>
      <c r="AD7361" s="260"/>
      <c r="AE7361" s="260"/>
      <c r="AF7361" s="261"/>
      <c r="AG7361" s="330"/>
    </row>
    <row r="7362" spans="13:33">
      <c r="N7362" s="234" t="s">
        <v>752</v>
      </c>
      <c r="O7362" s="235" t="s">
        <v>74</v>
      </c>
      <c r="P7362" s="305"/>
      <c r="Q7362" s="328"/>
      <c r="R7362" s="260"/>
      <c r="S7362" s="260"/>
      <c r="T7362" s="261"/>
      <c r="U7362" s="260"/>
      <c r="V7362" s="260"/>
      <c r="W7362" s="261"/>
      <c r="X7362" s="260"/>
      <c r="Y7362" s="260"/>
      <c r="Z7362" s="261"/>
      <c r="AA7362" s="260"/>
      <c r="AB7362" s="260"/>
      <c r="AC7362" s="261"/>
      <c r="AD7362" s="260"/>
      <c r="AE7362" s="260"/>
      <c r="AF7362" s="261"/>
      <c r="AG7362" s="330"/>
    </row>
    <row r="7363" spans="13:33">
      <c r="M7363"/>
      <c r="N7363" s="236" t="s">
        <v>760</v>
      </c>
      <c r="O7363" s="237" t="s">
        <v>76</v>
      </c>
      <c r="P7363" s="305"/>
      <c r="Q7363" s="328"/>
      <c r="R7363" s="260"/>
      <c r="S7363" s="260"/>
      <c r="T7363" s="261"/>
      <c r="U7363" s="260"/>
      <c r="V7363" s="260"/>
      <c r="W7363" s="261"/>
      <c r="X7363" s="260"/>
      <c r="Y7363" s="260"/>
      <c r="Z7363" s="261"/>
      <c r="AA7363" s="260"/>
      <c r="AB7363" s="260"/>
      <c r="AC7363" s="261"/>
      <c r="AD7363" s="260"/>
      <c r="AE7363" s="260"/>
      <c r="AF7363" s="261"/>
      <c r="AG7363" s="330"/>
    </row>
    <row r="7364" spans="13:33" ht="22.5">
      <c r="M7364"/>
      <c r="N7364" s="234" t="s">
        <v>753</v>
      </c>
      <c r="O7364" s="233" t="s">
        <v>211</v>
      </c>
      <c r="P7364" s="305"/>
      <c r="Q7364" s="320"/>
      <c r="R7364" s="260"/>
      <c r="S7364" s="260"/>
      <c r="T7364" s="260"/>
      <c r="U7364" s="260"/>
      <c r="V7364" s="260"/>
      <c r="W7364" s="452">
        <f>SUM(W7365:W7366,W7384:W7396)</f>
        <v>0</v>
      </c>
      <c r="X7364" s="260"/>
      <c r="Y7364" s="260"/>
      <c r="Z7364" s="452">
        <f>SUM(Z7365:Z7366,Z7384:Z7396)</f>
        <v>0</v>
      </c>
      <c r="AA7364" s="260"/>
      <c r="AB7364" s="260"/>
      <c r="AC7364" s="452">
        <f>SUM(AC7365:AC7366,AC7384:AC7396)</f>
        <v>0</v>
      </c>
      <c r="AD7364" s="260"/>
      <c r="AE7364" s="260"/>
      <c r="AF7364" s="452">
        <f>SUM(AF7365:AF7366,AF7384:AF7396)</f>
        <v>0</v>
      </c>
      <c r="AG7364" s="321"/>
    </row>
    <row r="7365" spans="13:33">
      <c r="M7365"/>
      <c r="N7365" s="451" t="s">
        <v>766</v>
      </c>
      <c r="O7365" s="453" t="s">
        <v>78</v>
      </c>
      <c r="P7365" s="305"/>
      <c r="Q7365" s="320"/>
      <c r="R7365" s="260"/>
      <c r="S7365" s="260"/>
      <c r="T7365" s="260"/>
      <c r="U7365" s="260"/>
      <c r="V7365" s="260"/>
      <c r="W7365" s="260"/>
      <c r="X7365" s="260"/>
      <c r="Y7365" s="260"/>
      <c r="Z7365" s="261"/>
      <c r="AA7365" s="260"/>
      <c r="AB7365" s="260"/>
      <c r="AC7365" s="260"/>
      <c r="AD7365" s="260"/>
      <c r="AE7365" s="260"/>
      <c r="AF7365" s="261"/>
      <c r="AG7365" s="321"/>
    </row>
    <row r="7366" spans="13:33">
      <c r="M7366"/>
      <c r="N7366" s="451" t="s">
        <v>768</v>
      </c>
      <c r="O7366" s="454" t="s">
        <v>212</v>
      </c>
      <c r="P7366" s="305"/>
      <c r="Q7366" s="320"/>
      <c r="R7366" s="260"/>
      <c r="S7366" s="260"/>
      <c r="T7366" s="260"/>
      <c r="U7366" s="260"/>
      <c r="V7366" s="260"/>
      <c r="W7366" s="260"/>
      <c r="X7366" s="260"/>
      <c r="Y7366" s="260"/>
      <c r="Z7366" s="257">
        <f>SUM(Z7367,Z7375,Z7383)</f>
        <v>0</v>
      </c>
      <c r="AA7366" s="260"/>
      <c r="AB7366" s="260"/>
      <c r="AC7366" s="260"/>
      <c r="AD7366" s="260"/>
      <c r="AE7366" s="260"/>
      <c r="AF7366" s="257">
        <f>SUM(AF7367,AF7375,AF7383)</f>
        <v>0</v>
      </c>
      <c r="AG7366" s="321"/>
    </row>
    <row r="7367" spans="13:33">
      <c r="M7367"/>
      <c r="N7367" s="451" t="s">
        <v>132</v>
      </c>
      <c r="O7367" s="455" t="s">
        <v>79</v>
      </c>
      <c r="P7367" s="305"/>
      <c r="Q7367" s="320"/>
      <c r="R7367" s="260"/>
      <c r="S7367" s="260"/>
      <c r="T7367" s="260"/>
      <c r="U7367" s="260"/>
      <c r="V7367" s="260"/>
      <c r="W7367" s="260"/>
      <c r="X7367" s="260"/>
      <c r="Y7367" s="260"/>
      <c r="Z7367" s="261"/>
      <c r="AA7367" s="260"/>
      <c r="AB7367" s="260"/>
      <c r="AC7367" s="260"/>
      <c r="AD7367" s="260"/>
      <c r="AE7367" s="260"/>
      <c r="AF7367" s="261"/>
      <c r="AG7367" s="321"/>
    </row>
    <row r="7368" spans="13:33" hidden="1">
      <c r="M7368"/>
      <c r="N7368" s="451"/>
      <c r="O7368" s="455"/>
      <c r="P7368" s="287"/>
      <c r="Q7368" s="320"/>
      <c r="R7368" s="260"/>
      <c r="S7368" s="260"/>
      <c r="T7368" s="260"/>
      <c r="U7368" s="260"/>
      <c r="V7368" s="260"/>
      <c r="W7368" s="260"/>
      <c r="X7368" s="260"/>
      <c r="Y7368" s="260"/>
      <c r="Z7368" s="260"/>
      <c r="AA7368" s="260"/>
      <c r="AB7368" s="260"/>
      <c r="AC7368" s="260"/>
      <c r="AD7368" s="260"/>
      <c r="AE7368" s="260"/>
      <c r="AF7368" s="260"/>
      <c r="AG7368" s="321"/>
    </row>
    <row r="7369" spans="13:33" hidden="1">
      <c r="M7369"/>
      <c r="N7369" s="451"/>
      <c r="O7369" s="455"/>
      <c r="P7369" s="287"/>
      <c r="Q7369" s="320"/>
      <c r="R7369" s="260"/>
      <c r="S7369" s="260"/>
      <c r="T7369" s="260"/>
      <c r="U7369" s="260"/>
      <c r="V7369" s="260"/>
      <c r="W7369" s="260"/>
      <c r="X7369" s="260"/>
      <c r="Y7369" s="260"/>
      <c r="Z7369" s="260"/>
      <c r="AA7369" s="260"/>
      <c r="AB7369" s="260"/>
      <c r="AC7369" s="260"/>
      <c r="AD7369" s="260"/>
      <c r="AE7369" s="260"/>
      <c r="AF7369" s="260"/>
      <c r="AG7369" s="321"/>
    </row>
    <row r="7370" spans="13:33" hidden="1">
      <c r="M7370"/>
      <c r="N7370" s="451"/>
      <c r="O7370" s="455"/>
      <c r="P7370" s="287"/>
      <c r="Q7370" s="320"/>
      <c r="R7370" s="260"/>
      <c r="S7370" s="260"/>
      <c r="T7370" s="260"/>
      <c r="U7370" s="260"/>
      <c r="V7370" s="260"/>
      <c r="W7370" s="260"/>
      <c r="X7370" s="260"/>
      <c r="Y7370" s="260"/>
      <c r="Z7370" s="260"/>
      <c r="AA7370" s="260"/>
      <c r="AB7370" s="260"/>
      <c r="AC7370" s="260"/>
      <c r="AD7370" s="260"/>
      <c r="AE7370" s="260"/>
      <c r="AF7370" s="260"/>
      <c r="AG7370" s="321"/>
    </row>
    <row r="7371" spans="13:33" hidden="1">
      <c r="M7371"/>
      <c r="N7371" s="451"/>
      <c r="O7371" s="455"/>
      <c r="P7371" s="287"/>
      <c r="Q7371" s="320"/>
      <c r="R7371" s="260"/>
      <c r="S7371" s="260"/>
      <c r="T7371" s="260"/>
      <c r="U7371" s="260"/>
      <c r="V7371" s="260"/>
      <c r="W7371" s="260"/>
      <c r="X7371" s="260"/>
      <c r="Y7371" s="260"/>
      <c r="Z7371" s="260"/>
      <c r="AA7371" s="260"/>
      <c r="AB7371" s="260"/>
      <c r="AC7371" s="260"/>
      <c r="AD7371" s="260"/>
      <c r="AE7371" s="260"/>
      <c r="AF7371" s="260"/>
      <c r="AG7371" s="321"/>
    </row>
    <row r="7372" spans="13:33" hidden="1">
      <c r="M7372"/>
      <c r="N7372" s="451"/>
      <c r="O7372" s="455"/>
      <c r="P7372" s="287"/>
      <c r="Q7372" s="320"/>
      <c r="R7372" s="260"/>
      <c r="S7372" s="260"/>
      <c r="T7372" s="260"/>
      <c r="U7372" s="260"/>
      <c r="V7372" s="260"/>
      <c r="W7372" s="260"/>
      <c r="X7372" s="260"/>
      <c r="Y7372" s="260"/>
      <c r="Z7372" s="260"/>
      <c r="AA7372" s="260"/>
      <c r="AB7372" s="260"/>
      <c r="AC7372" s="260"/>
      <c r="AD7372" s="260"/>
      <c r="AE7372" s="260"/>
      <c r="AF7372" s="260"/>
      <c r="AG7372" s="321"/>
    </row>
    <row r="7373" spans="13:33" hidden="1">
      <c r="M7373"/>
      <c r="N7373" s="451"/>
      <c r="O7373" s="455"/>
      <c r="P7373" s="287"/>
      <c r="Q7373" s="320"/>
      <c r="R7373" s="260"/>
      <c r="S7373" s="260"/>
      <c r="T7373" s="260"/>
      <c r="U7373" s="260"/>
      <c r="V7373" s="260"/>
      <c r="W7373" s="260"/>
      <c r="X7373" s="260"/>
      <c r="Y7373" s="260"/>
      <c r="Z7373" s="260"/>
      <c r="AA7373" s="260"/>
      <c r="AB7373" s="260"/>
      <c r="AC7373" s="260"/>
      <c r="AD7373" s="260"/>
      <c r="AE7373" s="260"/>
      <c r="AF7373" s="260"/>
      <c r="AG7373" s="321"/>
    </row>
    <row r="7374" spans="13:33" hidden="1">
      <c r="M7374"/>
      <c r="N7374" s="451"/>
      <c r="O7374" s="455"/>
      <c r="P7374" s="287"/>
      <c r="Q7374" s="320"/>
      <c r="R7374" s="260"/>
      <c r="S7374" s="260"/>
      <c r="T7374" s="260"/>
      <c r="U7374" s="260"/>
      <c r="V7374" s="260"/>
      <c r="W7374" s="260"/>
      <c r="X7374" s="260"/>
      <c r="Y7374" s="260"/>
      <c r="Z7374" s="260"/>
      <c r="AA7374" s="260"/>
      <c r="AB7374" s="260"/>
      <c r="AC7374" s="260"/>
      <c r="AD7374" s="260"/>
      <c r="AE7374" s="260"/>
      <c r="AF7374" s="260"/>
      <c r="AG7374" s="321"/>
    </row>
    <row r="7375" spans="13:33">
      <c r="M7375"/>
      <c r="N7375" s="451" t="s">
        <v>80</v>
      </c>
      <c r="O7375" s="455" t="s">
        <v>81</v>
      </c>
      <c r="P7375" s="305"/>
      <c r="Q7375" s="320"/>
      <c r="R7375" s="260"/>
      <c r="S7375" s="260"/>
      <c r="T7375" s="260"/>
      <c r="U7375" s="260"/>
      <c r="V7375" s="260"/>
      <c r="W7375" s="260"/>
      <c r="X7375" s="260"/>
      <c r="Y7375" s="260"/>
      <c r="Z7375" s="261"/>
      <c r="AA7375" s="260"/>
      <c r="AB7375" s="260"/>
      <c r="AC7375" s="260"/>
      <c r="AD7375" s="260"/>
      <c r="AE7375" s="260"/>
      <c r="AF7375" s="261"/>
      <c r="AG7375" s="321"/>
    </row>
    <row r="7376" spans="13:33" hidden="1">
      <c r="M7376"/>
      <c r="N7376" s="451"/>
      <c r="O7376" s="455"/>
      <c r="P7376" s="287"/>
      <c r="Q7376" s="320"/>
      <c r="R7376" s="260"/>
      <c r="S7376" s="260"/>
      <c r="T7376" s="260"/>
      <c r="U7376" s="260"/>
      <c r="V7376" s="260"/>
      <c r="W7376" s="260"/>
      <c r="X7376" s="260"/>
      <c r="Y7376" s="260"/>
      <c r="Z7376" s="260"/>
      <c r="AA7376" s="260"/>
      <c r="AB7376" s="260"/>
      <c r="AC7376" s="260"/>
      <c r="AD7376" s="260"/>
      <c r="AE7376" s="260"/>
      <c r="AF7376" s="260"/>
      <c r="AG7376" s="321"/>
    </row>
    <row r="7377" spans="13:33" hidden="1">
      <c r="M7377"/>
      <c r="N7377" s="451"/>
      <c r="O7377" s="455"/>
      <c r="P7377" s="287"/>
      <c r="Q7377" s="320"/>
      <c r="R7377" s="260"/>
      <c r="S7377" s="260"/>
      <c r="T7377" s="260"/>
      <c r="U7377" s="260"/>
      <c r="V7377" s="260"/>
      <c r="W7377" s="260"/>
      <c r="X7377" s="260"/>
      <c r="Y7377" s="260"/>
      <c r="Z7377" s="260"/>
      <c r="AA7377" s="260"/>
      <c r="AB7377" s="260"/>
      <c r="AC7377" s="260"/>
      <c r="AD7377" s="260"/>
      <c r="AE7377" s="260"/>
      <c r="AF7377" s="260"/>
      <c r="AG7377" s="321"/>
    </row>
    <row r="7378" spans="13:33" hidden="1">
      <c r="M7378"/>
      <c r="N7378" s="451"/>
      <c r="O7378" s="455"/>
      <c r="P7378" s="287"/>
      <c r="Q7378" s="320"/>
      <c r="R7378" s="260"/>
      <c r="S7378" s="260"/>
      <c r="T7378" s="260"/>
      <c r="U7378" s="260"/>
      <c r="V7378" s="260"/>
      <c r="W7378" s="260"/>
      <c r="X7378" s="260"/>
      <c r="Y7378" s="260"/>
      <c r="Z7378" s="260"/>
      <c r="AA7378" s="260"/>
      <c r="AB7378" s="260"/>
      <c r="AC7378" s="260"/>
      <c r="AD7378" s="260"/>
      <c r="AE7378" s="260"/>
      <c r="AF7378" s="260"/>
      <c r="AG7378" s="321"/>
    </row>
    <row r="7379" spans="13:33" hidden="1">
      <c r="M7379"/>
      <c r="N7379" s="451"/>
      <c r="O7379" s="455"/>
      <c r="P7379" s="287"/>
      <c r="Q7379" s="320"/>
      <c r="R7379" s="260"/>
      <c r="S7379" s="260"/>
      <c r="T7379" s="260"/>
      <c r="U7379" s="260"/>
      <c r="V7379" s="260"/>
      <c r="W7379" s="260"/>
      <c r="X7379" s="260"/>
      <c r="Y7379" s="260"/>
      <c r="Z7379" s="260"/>
      <c r="AA7379" s="260"/>
      <c r="AB7379" s="260"/>
      <c r="AC7379" s="260"/>
      <c r="AD7379" s="260"/>
      <c r="AE7379" s="260"/>
      <c r="AF7379" s="260"/>
      <c r="AG7379" s="321"/>
    </row>
    <row r="7380" spans="13:33" hidden="1">
      <c r="M7380"/>
      <c r="N7380" s="451"/>
      <c r="O7380" s="455"/>
      <c r="P7380" s="287"/>
      <c r="Q7380" s="320"/>
      <c r="R7380" s="260"/>
      <c r="S7380" s="260"/>
      <c r="T7380" s="260"/>
      <c r="U7380" s="260"/>
      <c r="V7380" s="260"/>
      <c r="W7380" s="260"/>
      <c r="X7380" s="260"/>
      <c r="Y7380" s="260"/>
      <c r="Z7380" s="260"/>
      <c r="AA7380" s="260"/>
      <c r="AB7380" s="260"/>
      <c r="AC7380" s="260"/>
      <c r="AD7380" s="260"/>
      <c r="AE7380" s="260"/>
      <c r="AF7380" s="260"/>
      <c r="AG7380" s="321"/>
    </row>
    <row r="7381" spans="13:33" hidden="1">
      <c r="M7381"/>
      <c r="N7381" s="451"/>
      <c r="O7381" s="455"/>
      <c r="P7381" s="287"/>
      <c r="Q7381" s="320"/>
      <c r="R7381" s="260"/>
      <c r="S7381" s="260"/>
      <c r="T7381" s="260"/>
      <c r="U7381" s="260"/>
      <c r="V7381" s="260"/>
      <c r="W7381" s="260"/>
      <c r="X7381" s="260"/>
      <c r="Y7381" s="260"/>
      <c r="Z7381" s="260"/>
      <c r="AA7381" s="260"/>
      <c r="AB7381" s="260"/>
      <c r="AC7381" s="260"/>
      <c r="AD7381" s="260"/>
      <c r="AE7381" s="260"/>
      <c r="AF7381" s="260"/>
      <c r="AG7381" s="321"/>
    </row>
    <row r="7382" spans="13:33" hidden="1">
      <c r="M7382"/>
      <c r="N7382" s="451"/>
      <c r="O7382" s="455"/>
      <c r="P7382" s="287"/>
      <c r="Q7382" s="320"/>
      <c r="R7382" s="260"/>
      <c r="S7382" s="260"/>
      <c r="T7382" s="260"/>
      <c r="U7382" s="260"/>
      <c r="V7382" s="260"/>
      <c r="W7382" s="260"/>
      <c r="X7382" s="260"/>
      <c r="Y7382" s="260"/>
      <c r="Z7382" s="260"/>
      <c r="AA7382" s="260"/>
      <c r="AB7382" s="260"/>
      <c r="AC7382" s="260"/>
      <c r="AD7382" s="260"/>
      <c r="AE7382" s="260"/>
      <c r="AF7382" s="260"/>
      <c r="AG7382" s="321"/>
    </row>
    <row r="7383" spans="13:33">
      <c r="M7383"/>
      <c r="N7383" s="451" t="s">
        <v>82</v>
      </c>
      <c r="O7383" s="455" t="s">
        <v>83</v>
      </c>
      <c r="P7383" s="305"/>
      <c r="Q7383" s="320"/>
      <c r="R7383" s="260"/>
      <c r="S7383" s="260"/>
      <c r="T7383" s="260"/>
      <c r="U7383" s="260"/>
      <c r="V7383" s="260"/>
      <c r="W7383" s="260"/>
      <c r="X7383" s="260"/>
      <c r="Y7383" s="260"/>
      <c r="Z7383" s="261"/>
      <c r="AA7383" s="260"/>
      <c r="AB7383" s="260"/>
      <c r="AC7383" s="260"/>
      <c r="AD7383" s="260"/>
      <c r="AE7383" s="260"/>
      <c r="AF7383" s="261"/>
      <c r="AG7383" s="321"/>
    </row>
    <row r="7384" spans="13:33">
      <c r="M7384"/>
      <c r="N7384" s="451" t="s">
        <v>84</v>
      </c>
      <c r="O7384" s="457" t="s">
        <v>85</v>
      </c>
      <c r="P7384" s="305"/>
      <c r="Q7384" s="320"/>
      <c r="R7384" s="260"/>
      <c r="S7384" s="260"/>
      <c r="T7384" s="260"/>
      <c r="U7384" s="260"/>
      <c r="V7384" s="260"/>
      <c r="W7384" s="260"/>
      <c r="X7384" s="260"/>
      <c r="Y7384" s="260"/>
      <c r="Z7384" s="261"/>
      <c r="AA7384" s="260"/>
      <c r="AB7384" s="260"/>
      <c r="AC7384" s="260"/>
      <c r="AD7384" s="260"/>
      <c r="AE7384" s="260"/>
      <c r="AF7384" s="261"/>
      <c r="AG7384" s="321"/>
    </row>
    <row r="7385" spans="13:33">
      <c r="M7385"/>
      <c r="N7385" s="451" t="s">
        <v>86</v>
      </c>
      <c r="O7385" s="457" t="s">
        <v>87</v>
      </c>
      <c r="P7385" s="305"/>
      <c r="Q7385" s="320"/>
      <c r="R7385" s="260"/>
      <c r="S7385" s="260"/>
      <c r="T7385" s="260"/>
      <c r="U7385" s="260"/>
      <c r="V7385" s="260"/>
      <c r="W7385" s="260"/>
      <c r="X7385" s="260"/>
      <c r="Y7385" s="260"/>
      <c r="Z7385" s="261"/>
      <c r="AA7385" s="260"/>
      <c r="AB7385" s="260"/>
      <c r="AC7385" s="260"/>
      <c r="AD7385" s="260"/>
      <c r="AE7385" s="260"/>
      <c r="AF7385" s="261"/>
      <c r="AG7385" s="321"/>
    </row>
    <row r="7386" spans="13:33">
      <c r="M7386"/>
      <c r="N7386" s="451" t="s">
        <v>88</v>
      </c>
      <c r="O7386" s="457" t="s">
        <v>89</v>
      </c>
      <c r="P7386" s="305"/>
      <c r="Q7386" s="320"/>
      <c r="R7386" s="260"/>
      <c r="S7386" s="260"/>
      <c r="T7386" s="260"/>
      <c r="U7386" s="260"/>
      <c r="V7386" s="260"/>
      <c r="W7386" s="260"/>
      <c r="X7386" s="260"/>
      <c r="Y7386" s="260"/>
      <c r="Z7386" s="261"/>
      <c r="AA7386" s="260"/>
      <c r="AB7386" s="260"/>
      <c r="AC7386" s="260"/>
      <c r="AD7386" s="260"/>
      <c r="AE7386" s="260"/>
      <c r="AF7386" s="261"/>
      <c r="AG7386" s="321"/>
    </row>
    <row r="7387" spans="13:33">
      <c r="M7387"/>
      <c r="N7387" s="451" t="s">
        <v>90</v>
      </c>
      <c r="O7387" s="457" t="s">
        <v>91</v>
      </c>
      <c r="P7387" s="305"/>
      <c r="Q7387" s="320"/>
      <c r="R7387" s="260"/>
      <c r="S7387" s="260"/>
      <c r="T7387" s="260"/>
      <c r="U7387" s="260"/>
      <c r="V7387" s="260"/>
      <c r="W7387" s="260"/>
      <c r="X7387" s="260"/>
      <c r="Y7387" s="260"/>
      <c r="Z7387" s="261"/>
      <c r="AA7387" s="260"/>
      <c r="AB7387" s="260"/>
      <c r="AC7387" s="260"/>
      <c r="AD7387" s="260"/>
      <c r="AE7387" s="260"/>
      <c r="AF7387" s="261"/>
      <c r="AG7387" s="321"/>
    </row>
    <row r="7388" spans="13:33">
      <c r="M7388"/>
      <c r="N7388" s="451" t="s">
        <v>92</v>
      </c>
      <c r="O7388" s="457" t="s">
        <v>93</v>
      </c>
      <c r="P7388" s="305"/>
      <c r="Q7388" s="320"/>
      <c r="R7388" s="260"/>
      <c r="S7388" s="260"/>
      <c r="T7388" s="260"/>
      <c r="U7388" s="260"/>
      <c r="V7388" s="260"/>
      <c r="W7388" s="260"/>
      <c r="X7388" s="260"/>
      <c r="Y7388" s="260"/>
      <c r="Z7388" s="261"/>
      <c r="AA7388" s="260"/>
      <c r="AB7388" s="260"/>
      <c r="AC7388" s="260"/>
      <c r="AD7388" s="260"/>
      <c r="AE7388" s="260"/>
      <c r="AF7388" s="261"/>
      <c r="AG7388" s="321"/>
    </row>
    <row r="7389" spans="13:33">
      <c r="M7389"/>
      <c r="N7389" s="451" t="s">
        <v>94</v>
      </c>
      <c r="O7389" s="457" t="s">
        <v>95</v>
      </c>
      <c r="P7389" s="305"/>
      <c r="Q7389" s="320"/>
      <c r="R7389" s="260"/>
      <c r="S7389" s="260"/>
      <c r="T7389" s="260"/>
      <c r="U7389" s="260"/>
      <c r="V7389" s="260"/>
      <c r="W7389" s="260"/>
      <c r="X7389" s="260"/>
      <c r="Y7389" s="260"/>
      <c r="Z7389" s="261"/>
      <c r="AA7389" s="260"/>
      <c r="AB7389" s="260"/>
      <c r="AC7389" s="260"/>
      <c r="AD7389" s="260"/>
      <c r="AE7389" s="260"/>
      <c r="AF7389" s="261"/>
      <c r="AG7389" s="321"/>
    </row>
    <row r="7390" spans="13:33">
      <c r="M7390"/>
      <c r="N7390" s="451" t="s">
        <v>2975</v>
      </c>
      <c r="O7390" s="457" t="s">
        <v>2976</v>
      </c>
      <c r="P7390" s="305"/>
      <c r="Q7390" s="320"/>
      <c r="R7390" s="260"/>
      <c r="S7390" s="260"/>
      <c r="T7390" s="260"/>
      <c r="U7390" s="260"/>
      <c r="V7390" s="260"/>
      <c r="W7390" s="260"/>
      <c r="X7390" s="260"/>
      <c r="Y7390" s="260"/>
      <c r="Z7390" s="261"/>
      <c r="AA7390" s="260"/>
      <c r="AB7390" s="260"/>
      <c r="AC7390" s="260"/>
      <c r="AD7390" s="260"/>
      <c r="AE7390" s="260"/>
      <c r="AF7390" s="261"/>
      <c r="AG7390" s="321"/>
    </row>
    <row r="7391" spans="13:33">
      <c r="M7391"/>
      <c r="N7391" s="451" t="s">
        <v>2977</v>
      </c>
      <c r="O7391" s="457" t="s">
        <v>2978</v>
      </c>
      <c r="P7391" s="305"/>
      <c r="Q7391" s="320"/>
      <c r="R7391" s="260"/>
      <c r="S7391" s="260"/>
      <c r="T7391" s="260"/>
      <c r="U7391" s="260"/>
      <c r="V7391" s="260"/>
      <c r="W7391" s="260"/>
      <c r="X7391" s="260"/>
      <c r="Y7391" s="260"/>
      <c r="Z7391" s="261"/>
      <c r="AA7391" s="260"/>
      <c r="AB7391" s="260"/>
      <c r="AC7391" s="260"/>
      <c r="AD7391" s="260"/>
      <c r="AE7391" s="260"/>
      <c r="AF7391" s="261"/>
      <c r="AG7391" s="321"/>
    </row>
    <row r="7392" spans="13:33">
      <c r="M7392"/>
      <c r="N7392" s="451" t="s">
        <v>2979</v>
      </c>
      <c r="O7392" s="457" t="s">
        <v>2980</v>
      </c>
      <c r="P7392" s="305"/>
      <c r="Q7392" s="320"/>
      <c r="R7392" s="260"/>
      <c r="S7392" s="260"/>
      <c r="T7392" s="260"/>
      <c r="U7392" s="260"/>
      <c r="V7392" s="260"/>
      <c r="W7392" s="260"/>
      <c r="X7392" s="260"/>
      <c r="Y7392" s="260"/>
      <c r="Z7392" s="261"/>
      <c r="AA7392" s="260"/>
      <c r="AB7392" s="260"/>
      <c r="AC7392" s="260"/>
      <c r="AD7392" s="260"/>
      <c r="AE7392" s="260"/>
      <c r="AF7392" s="261"/>
      <c r="AG7392" s="321"/>
    </row>
    <row r="7393" spans="13:33">
      <c r="M7393"/>
      <c r="N7393" s="451" t="s">
        <v>2981</v>
      </c>
      <c r="O7393" s="457" t="s">
        <v>2982</v>
      </c>
      <c r="P7393" s="305"/>
      <c r="Q7393" s="320"/>
      <c r="R7393" s="260"/>
      <c r="S7393" s="260"/>
      <c r="T7393" s="260"/>
      <c r="U7393" s="260"/>
      <c r="V7393" s="260"/>
      <c r="W7393" s="260"/>
      <c r="X7393" s="260"/>
      <c r="Y7393" s="260"/>
      <c r="Z7393" s="261"/>
      <c r="AA7393" s="260"/>
      <c r="AB7393" s="260"/>
      <c r="AC7393" s="260"/>
      <c r="AD7393" s="260"/>
      <c r="AE7393" s="260"/>
      <c r="AF7393" s="261"/>
      <c r="AG7393" s="321"/>
    </row>
    <row r="7394" spans="13:33">
      <c r="M7394"/>
      <c r="N7394" s="451" t="s">
        <v>2983</v>
      </c>
      <c r="O7394" s="224" t="s">
        <v>2984</v>
      </c>
      <c r="P7394" s="305"/>
      <c r="Q7394" s="320"/>
      <c r="R7394" s="260"/>
      <c r="S7394" s="260"/>
      <c r="T7394" s="260"/>
      <c r="U7394" s="260"/>
      <c r="V7394" s="260"/>
      <c r="W7394" s="260"/>
      <c r="X7394" s="260"/>
      <c r="Y7394" s="260"/>
      <c r="Z7394" s="261"/>
      <c r="AA7394" s="260"/>
      <c r="AB7394" s="260"/>
      <c r="AC7394" s="260"/>
      <c r="AD7394" s="260"/>
      <c r="AE7394" s="260"/>
      <c r="AF7394" s="261"/>
      <c r="AG7394" s="321"/>
    </row>
    <row r="7395" spans="13:33">
      <c r="M7395"/>
      <c r="N7395" s="451" t="s">
        <v>2989</v>
      </c>
      <c r="O7395" s="224" t="s">
        <v>2990</v>
      </c>
      <c r="P7395" s="305"/>
      <c r="Q7395" s="320"/>
      <c r="R7395" s="260"/>
      <c r="S7395" s="260"/>
      <c r="T7395" s="260"/>
      <c r="U7395" s="260"/>
      <c r="V7395" s="260"/>
      <c r="W7395" s="260"/>
      <c r="X7395" s="260"/>
      <c r="Y7395" s="260"/>
      <c r="Z7395" s="261"/>
      <c r="AA7395" s="260"/>
      <c r="AB7395" s="260"/>
      <c r="AC7395" s="260"/>
      <c r="AD7395" s="260"/>
      <c r="AE7395" s="260"/>
      <c r="AF7395" s="261"/>
      <c r="AG7395" s="321"/>
    </row>
    <row r="7396" spans="13:33">
      <c r="M7396"/>
      <c r="N7396" s="451" t="s">
        <v>292</v>
      </c>
      <c r="O7396" s="442" t="s">
        <v>291</v>
      </c>
      <c r="P7396" s="305"/>
      <c r="Q7396" s="320"/>
      <c r="R7396" s="260"/>
      <c r="S7396" s="260"/>
      <c r="T7396" s="260"/>
      <c r="U7396" s="260"/>
      <c r="V7396" s="260"/>
      <c r="W7396" s="260"/>
      <c r="X7396" s="260"/>
      <c r="Y7396" s="260"/>
      <c r="Z7396" s="261"/>
      <c r="AA7396" s="260"/>
      <c r="AB7396" s="260"/>
      <c r="AC7396" s="260"/>
      <c r="AD7396" s="260"/>
      <c r="AE7396" s="260"/>
      <c r="AF7396" s="261"/>
      <c r="AG7396" s="321"/>
    </row>
    <row r="7397" spans="13:33">
      <c r="M7397"/>
      <c r="N7397" s="239"/>
      <c r="O7397" s="225"/>
      <c r="P7397" s="287"/>
      <c r="Q7397" s="320"/>
      <c r="R7397" s="260"/>
      <c r="S7397" s="260"/>
      <c r="T7397" s="260"/>
      <c r="U7397" s="260"/>
      <c r="V7397" s="260"/>
      <c r="W7397" s="260"/>
      <c r="X7397" s="260"/>
      <c r="Y7397" s="260"/>
      <c r="Z7397" s="260"/>
      <c r="AA7397" s="260"/>
      <c r="AB7397" s="260"/>
      <c r="AC7397" s="260"/>
      <c r="AD7397" s="260"/>
      <c r="AE7397" s="260"/>
      <c r="AF7397" s="260"/>
      <c r="AG7397" s="321"/>
    </row>
    <row r="7398" spans="13:33" hidden="1">
      <c r="M7398"/>
      <c r="N7398" s="239"/>
      <c r="O7398" s="225"/>
      <c r="P7398" s="287"/>
      <c r="Q7398" s="320"/>
      <c r="R7398" s="260"/>
      <c r="S7398" s="260"/>
      <c r="T7398" s="260"/>
      <c r="U7398" s="260"/>
      <c r="V7398" s="260"/>
      <c r="W7398" s="260"/>
      <c r="X7398" s="260"/>
      <c r="Y7398" s="260"/>
      <c r="Z7398" s="260"/>
      <c r="AA7398" s="260"/>
      <c r="AB7398" s="260"/>
      <c r="AC7398" s="260"/>
      <c r="AD7398" s="260"/>
      <c r="AE7398" s="260"/>
      <c r="AF7398" s="260"/>
      <c r="AG7398" s="321"/>
    </row>
    <row r="7399" spans="13:33" hidden="1">
      <c r="M7399"/>
      <c r="N7399" s="239"/>
      <c r="O7399" s="225"/>
      <c r="P7399" s="287"/>
      <c r="Q7399" s="320"/>
      <c r="R7399" s="260"/>
      <c r="S7399" s="260"/>
      <c r="T7399" s="260"/>
      <c r="U7399" s="260"/>
      <c r="V7399" s="260"/>
      <c r="W7399" s="260"/>
      <c r="X7399" s="260"/>
      <c r="Y7399" s="260"/>
      <c r="Z7399" s="260"/>
      <c r="AA7399" s="260"/>
      <c r="AB7399" s="260"/>
      <c r="AC7399" s="260"/>
      <c r="AD7399" s="260"/>
      <c r="AE7399" s="260"/>
      <c r="AF7399" s="260"/>
      <c r="AG7399" s="321"/>
    </row>
    <row r="7400" spans="13:33" hidden="1">
      <c r="M7400"/>
      <c r="N7400" s="239"/>
      <c r="O7400" s="225"/>
      <c r="P7400" s="287"/>
      <c r="Q7400" s="320"/>
      <c r="R7400" s="260"/>
      <c r="S7400" s="260"/>
      <c r="T7400" s="260"/>
      <c r="U7400" s="260"/>
      <c r="V7400" s="260"/>
      <c r="W7400" s="260"/>
      <c r="X7400" s="260"/>
      <c r="Y7400" s="260"/>
      <c r="Z7400" s="260"/>
      <c r="AA7400" s="260"/>
      <c r="AB7400" s="260"/>
      <c r="AC7400" s="260"/>
      <c r="AD7400" s="260"/>
      <c r="AE7400" s="260"/>
      <c r="AF7400" s="260"/>
      <c r="AG7400" s="321"/>
    </row>
    <row r="7401" spans="13:33" hidden="1">
      <c r="M7401"/>
      <c r="N7401" s="239"/>
      <c r="O7401" s="225"/>
      <c r="P7401" s="287"/>
      <c r="Q7401" s="320"/>
      <c r="R7401" s="260"/>
      <c r="S7401" s="260"/>
      <c r="T7401" s="260"/>
      <c r="U7401" s="260"/>
      <c r="V7401" s="260"/>
      <c r="W7401" s="260"/>
      <c r="X7401" s="260"/>
      <c r="Y7401" s="260"/>
      <c r="Z7401" s="260"/>
      <c r="AA7401" s="260"/>
      <c r="AB7401" s="260"/>
      <c r="AC7401" s="260"/>
      <c r="AD7401" s="260"/>
      <c r="AE7401" s="260"/>
      <c r="AF7401" s="260"/>
      <c r="AG7401" s="321"/>
    </row>
    <row r="7402" spans="13:33" hidden="1">
      <c r="M7402"/>
      <c r="N7402" s="239"/>
      <c r="O7402" s="225"/>
      <c r="P7402" s="287"/>
      <c r="Q7402" s="320"/>
      <c r="R7402" s="260"/>
      <c r="S7402" s="260"/>
      <c r="T7402" s="260"/>
      <c r="U7402" s="260"/>
      <c r="V7402" s="260"/>
      <c r="W7402" s="260"/>
      <c r="X7402" s="260"/>
      <c r="Y7402" s="260"/>
      <c r="Z7402" s="260"/>
      <c r="AA7402" s="260"/>
      <c r="AB7402" s="260"/>
      <c r="AC7402" s="260"/>
      <c r="AD7402" s="260"/>
      <c r="AE7402" s="260"/>
      <c r="AF7402" s="260"/>
      <c r="AG7402" s="321"/>
    </row>
    <row r="7403" spans="13:33" hidden="1">
      <c r="M7403"/>
      <c r="N7403" s="239"/>
      <c r="O7403" s="225"/>
      <c r="P7403" s="287"/>
      <c r="Q7403" s="320"/>
      <c r="R7403" s="260"/>
      <c r="S7403" s="260"/>
      <c r="T7403" s="260"/>
      <c r="U7403" s="260"/>
      <c r="V7403" s="260"/>
      <c r="W7403" s="260"/>
      <c r="X7403" s="260"/>
      <c r="Y7403" s="260"/>
      <c r="Z7403" s="260"/>
      <c r="AA7403" s="260"/>
      <c r="AB7403" s="260"/>
      <c r="AC7403" s="260"/>
      <c r="AD7403" s="260"/>
      <c r="AE7403" s="260"/>
      <c r="AF7403" s="260"/>
      <c r="AG7403" s="321"/>
    </row>
    <row r="7404" spans="13:33" hidden="1">
      <c r="M7404"/>
      <c r="N7404" s="239"/>
      <c r="O7404" s="225"/>
      <c r="P7404" s="287"/>
      <c r="Q7404" s="320"/>
      <c r="R7404" s="260"/>
      <c r="S7404" s="260"/>
      <c r="T7404" s="260"/>
      <c r="U7404" s="260"/>
      <c r="V7404" s="260"/>
      <c r="W7404" s="260"/>
      <c r="X7404" s="260"/>
      <c r="Y7404" s="260"/>
      <c r="Z7404" s="260"/>
      <c r="AA7404" s="260"/>
      <c r="AB7404" s="260"/>
      <c r="AC7404" s="260"/>
      <c r="AD7404" s="260"/>
      <c r="AE7404" s="260"/>
      <c r="AF7404" s="260"/>
      <c r="AG7404" s="321"/>
    </row>
    <row r="7405" spans="13:33" hidden="1">
      <c r="M7405"/>
      <c r="N7405" s="239"/>
      <c r="O7405" s="225"/>
      <c r="P7405" s="287"/>
      <c r="Q7405" s="320"/>
      <c r="R7405" s="260"/>
      <c r="S7405" s="260"/>
      <c r="T7405" s="260"/>
      <c r="U7405" s="260"/>
      <c r="V7405" s="260"/>
      <c r="W7405" s="260"/>
      <c r="X7405" s="260"/>
      <c r="Y7405" s="260"/>
      <c r="Z7405" s="260"/>
      <c r="AA7405" s="260"/>
      <c r="AB7405" s="260"/>
      <c r="AC7405" s="260"/>
      <c r="AD7405" s="260"/>
      <c r="AE7405" s="260"/>
      <c r="AF7405" s="260"/>
      <c r="AG7405" s="321"/>
    </row>
    <row r="7406" spans="13:33" hidden="1">
      <c r="M7406"/>
      <c r="N7406" s="239"/>
      <c r="O7406" s="225"/>
      <c r="P7406" s="287"/>
      <c r="Q7406" s="320"/>
      <c r="R7406" s="260"/>
      <c r="S7406" s="260"/>
      <c r="T7406" s="260"/>
      <c r="U7406" s="260"/>
      <c r="V7406" s="260"/>
      <c r="W7406" s="260"/>
      <c r="X7406" s="260"/>
      <c r="Y7406" s="260"/>
      <c r="Z7406" s="260"/>
      <c r="AA7406" s="260"/>
      <c r="AB7406" s="260"/>
      <c r="AC7406" s="260"/>
      <c r="AD7406" s="260"/>
      <c r="AE7406" s="260"/>
      <c r="AF7406" s="260"/>
      <c r="AG7406" s="321"/>
    </row>
    <row r="7407" spans="13:33" hidden="1">
      <c r="M7407"/>
      <c r="N7407" s="239"/>
      <c r="O7407" s="225"/>
      <c r="P7407" s="287"/>
      <c r="Q7407" s="320"/>
      <c r="R7407" s="260"/>
      <c r="S7407" s="260"/>
      <c r="T7407" s="260"/>
      <c r="U7407" s="260"/>
      <c r="V7407" s="260"/>
      <c r="W7407" s="260"/>
      <c r="X7407" s="260"/>
      <c r="Y7407" s="260"/>
      <c r="Z7407" s="260"/>
      <c r="AA7407" s="260"/>
      <c r="AB7407" s="260"/>
      <c r="AC7407" s="260"/>
      <c r="AD7407" s="260"/>
      <c r="AE7407" s="260"/>
      <c r="AF7407" s="260"/>
      <c r="AG7407" s="321"/>
    </row>
    <row r="7408" spans="13:33" hidden="1">
      <c r="M7408"/>
      <c r="N7408" s="239"/>
      <c r="O7408" s="225"/>
      <c r="P7408" s="287"/>
      <c r="Q7408" s="320"/>
      <c r="R7408" s="260"/>
      <c r="S7408" s="260"/>
      <c r="T7408" s="260"/>
      <c r="U7408" s="260"/>
      <c r="V7408" s="260"/>
      <c r="W7408" s="260"/>
      <c r="X7408" s="260"/>
      <c r="Y7408" s="260"/>
      <c r="Z7408" s="260"/>
      <c r="AA7408" s="260"/>
      <c r="AB7408" s="260"/>
      <c r="AC7408" s="260"/>
      <c r="AD7408" s="260"/>
      <c r="AE7408" s="260"/>
      <c r="AF7408" s="260"/>
      <c r="AG7408" s="321"/>
    </row>
    <row r="7409" spans="13:33" hidden="1">
      <c r="M7409"/>
      <c r="N7409" s="239"/>
      <c r="O7409" s="225"/>
      <c r="P7409" s="287"/>
      <c r="Q7409" s="320"/>
      <c r="R7409" s="260"/>
      <c r="S7409" s="260"/>
      <c r="T7409" s="260"/>
      <c r="U7409" s="260"/>
      <c r="V7409" s="260"/>
      <c r="W7409" s="260"/>
      <c r="X7409" s="260"/>
      <c r="Y7409" s="260"/>
      <c r="Z7409" s="260"/>
      <c r="AA7409" s="260"/>
      <c r="AB7409" s="260"/>
      <c r="AC7409" s="260"/>
      <c r="AD7409" s="260"/>
      <c r="AE7409" s="260"/>
      <c r="AF7409" s="260"/>
      <c r="AG7409" s="321"/>
    </row>
    <row r="7410" spans="13:33" hidden="1">
      <c r="M7410"/>
      <c r="N7410" s="239"/>
      <c r="O7410" s="225"/>
      <c r="P7410" s="287"/>
      <c r="Q7410" s="320"/>
      <c r="R7410" s="260"/>
      <c r="S7410" s="260"/>
      <c r="T7410" s="260"/>
      <c r="U7410" s="260"/>
      <c r="V7410" s="260"/>
      <c r="W7410" s="260"/>
      <c r="X7410" s="260"/>
      <c r="Y7410" s="260"/>
      <c r="Z7410" s="260"/>
      <c r="AA7410" s="260"/>
      <c r="AB7410" s="260"/>
      <c r="AC7410" s="260"/>
      <c r="AD7410" s="260"/>
      <c r="AE7410" s="260"/>
      <c r="AF7410" s="260"/>
      <c r="AG7410" s="321"/>
    </row>
    <row r="7411" spans="13:33" hidden="1">
      <c r="M7411"/>
      <c r="N7411" s="239"/>
      <c r="O7411" s="225"/>
      <c r="P7411" s="287"/>
      <c r="Q7411" s="320"/>
      <c r="R7411" s="260"/>
      <c r="S7411" s="260"/>
      <c r="T7411" s="260"/>
      <c r="U7411" s="260"/>
      <c r="V7411" s="260"/>
      <c r="W7411" s="260"/>
      <c r="X7411" s="260"/>
      <c r="Y7411" s="260"/>
      <c r="Z7411" s="260"/>
      <c r="AA7411" s="260"/>
      <c r="AB7411" s="260"/>
      <c r="AC7411" s="260"/>
      <c r="AD7411" s="260"/>
      <c r="AE7411" s="260"/>
      <c r="AF7411" s="260"/>
      <c r="AG7411" s="321"/>
    </row>
    <row r="7412" spans="13:33" hidden="1">
      <c r="M7412"/>
      <c r="N7412" s="239"/>
      <c r="O7412" s="225"/>
      <c r="P7412" s="287"/>
      <c r="Q7412" s="320"/>
      <c r="R7412" s="260"/>
      <c r="S7412" s="260"/>
      <c r="T7412" s="260"/>
      <c r="U7412" s="260"/>
      <c r="V7412" s="260"/>
      <c r="W7412" s="260"/>
      <c r="X7412" s="260"/>
      <c r="Y7412" s="260"/>
      <c r="Z7412" s="260"/>
      <c r="AA7412" s="260"/>
      <c r="AB7412" s="260"/>
      <c r="AC7412" s="260"/>
      <c r="AD7412" s="260"/>
      <c r="AE7412" s="260"/>
      <c r="AF7412" s="260"/>
      <c r="AG7412" s="321"/>
    </row>
    <row r="7413" spans="13:33" hidden="1">
      <c r="M7413"/>
      <c r="N7413" s="239"/>
      <c r="O7413" s="225"/>
      <c r="P7413" s="287"/>
      <c r="Q7413" s="320"/>
      <c r="R7413" s="260"/>
      <c r="S7413" s="260"/>
      <c r="T7413" s="260"/>
      <c r="U7413" s="260"/>
      <c r="V7413" s="260"/>
      <c r="W7413" s="260"/>
      <c r="X7413" s="260"/>
      <c r="Y7413" s="260"/>
      <c r="Z7413" s="260"/>
      <c r="AA7413" s="260"/>
      <c r="AB7413" s="260"/>
      <c r="AC7413" s="260"/>
      <c r="AD7413" s="260"/>
      <c r="AE7413" s="260"/>
      <c r="AF7413" s="260"/>
      <c r="AG7413" s="321"/>
    </row>
    <row r="7414" spans="13:33" hidden="1">
      <c r="M7414"/>
      <c r="N7414" s="239"/>
      <c r="O7414" s="225"/>
      <c r="P7414" s="287"/>
      <c r="Q7414" s="320"/>
      <c r="R7414" s="260"/>
      <c r="S7414" s="260"/>
      <c r="T7414" s="260"/>
      <c r="U7414" s="260"/>
      <c r="V7414" s="260"/>
      <c r="W7414" s="260"/>
      <c r="X7414" s="260"/>
      <c r="Y7414" s="260"/>
      <c r="Z7414" s="260"/>
      <c r="AA7414" s="260"/>
      <c r="AB7414" s="260"/>
      <c r="AC7414" s="260"/>
      <c r="AD7414" s="260"/>
      <c r="AE7414" s="260"/>
      <c r="AF7414" s="260"/>
      <c r="AG7414" s="321"/>
    </row>
    <row r="7415" spans="13:33" hidden="1">
      <c r="M7415"/>
      <c r="N7415" s="239"/>
      <c r="O7415" s="225"/>
      <c r="P7415" s="287"/>
      <c r="Q7415" s="320"/>
      <c r="R7415" s="260"/>
      <c r="S7415" s="260"/>
      <c r="T7415" s="260"/>
      <c r="U7415" s="260"/>
      <c r="V7415" s="260"/>
      <c r="W7415" s="260"/>
      <c r="X7415" s="260"/>
      <c r="Y7415" s="260"/>
      <c r="Z7415" s="260"/>
      <c r="AA7415" s="260"/>
      <c r="AB7415" s="260"/>
      <c r="AC7415" s="260"/>
      <c r="AD7415" s="260"/>
      <c r="AE7415" s="260"/>
      <c r="AF7415" s="260"/>
      <c r="AG7415" s="321"/>
    </row>
    <row r="7416" spans="13:33" hidden="1">
      <c r="M7416"/>
      <c r="N7416" s="239"/>
      <c r="O7416" s="225"/>
      <c r="P7416" s="287"/>
      <c r="Q7416" s="320"/>
      <c r="R7416" s="260"/>
      <c r="S7416" s="260"/>
      <c r="T7416" s="260"/>
      <c r="U7416" s="260"/>
      <c r="V7416" s="260"/>
      <c r="W7416" s="260"/>
      <c r="X7416" s="260"/>
      <c r="Y7416" s="260"/>
      <c r="Z7416" s="260"/>
      <c r="AA7416" s="260"/>
      <c r="AB7416" s="260"/>
      <c r="AC7416" s="260"/>
      <c r="AD7416" s="260"/>
      <c r="AE7416" s="260"/>
      <c r="AF7416" s="260"/>
      <c r="AG7416" s="321"/>
    </row>
    <row r="7417" spans="13:33" hidden="1">
      <c r="M7417"/>
      <c r="N7417" s="239"/>
      <c r="O7417" s="225"/>
      <c r="P7417" s="287"/>
      <c r="Q7417" s="320"/>
      <c r="R7417" s="260"/>
      <c r="S7417" s="260"/>
      <c r="T7417" s="260"/>
      <c r="U7417" s="260"/>
      <c r="V7417" s="260"/>
      <c r="W7417" s="260"/>
      <c r="X7417" s="260"/>
      <c r="Y7417" s="260"/>
      <c r="Z7417" s="260"/>
      <c r="AA7417" s="260"/>
      <c r="AB7417" s="260"/>
      <c r="AC7417" s="260"/>
      <c r="AD7417" s="260"/>
      <c r="AE7417" s="260"/>
      <c r="AF7417" s="260"/>
      <c r="AG7417" s="321"/>
    </row>
    <row r="7418" spans="13:33" hidden="1">
      <c r="M7418"/>
      <c r="N7418" s="239"/>
      <c r="O7418" s="225"/>
      <c r="P7418" s="287"/>
      <c r="Q7418" s="320"/>
      <c r="R7418" s="260"/>
      <c r="S7418" s="260"/>
      <c r="T7418" s="260"/>
      <c r="U7418" s="260"/>
      <c r="V7418" s="260"/>
      <c r="W7418" s="260"/>
      <c r="X7418" s="260"/>
      <c r="Y7418" s="260"/>
      <c r="Z7418" s="260"/>
      <c r="AA7418" s="260"/>
      <c r="AB7418" s="260"/>
      <c r="AC7418" s="260"/>
      <c r="AD7418" s="260"/>
      <c r="AE7418" s="260"/>
      <c r="AF7418" s="260"/>
      <c r="AG7418" s="321"/>
    </row>
    <row r="7419" spans="13:33" hidden="1">
      <c r="M7419"/>
      <c r="N7419" s="239"/>
      <c r="O7419" s="225"/>
      <c r="P7419" s="287"/>
      <c r="Q7419" s="320"/>
      <c r="R7419" s="260"/>
      <c r="S7419" s="260"/>
      <c r="T7419" s="260"/>
      <c r="U7419" s="260"/>
      <c r="V7419" s="260"/>
      <c r="W7419" s="260"/>
      <c r="X7419" s="260"/>
      <c r="Y7419" s="260"/>
      <c r="Z7419" s="260"/>
      <c r="AA7419" s="260"/>
      <c r="AB7419" s="260"/>
      <c r="AC7419" s="260"/>
      <c r="AD7419" s="260"/>
      <c r="AE7419" s="260"/>
      <c r="AF7419" s="260"/>
      <c r="AG7419" s="321"/>
    </row>
    <row r="7420" spans="13:33" hidden="1">
      <c r="M7420"/>
      <c r="N7420" s="239"/>
      <c r="O7420" s="225"/>
      <c r="P7420" s="287"/>
      <c r="Q7420" s="320"/>
      <c r="R7420" s="260"/>
      <c r="S7420" s="260"/>
      <c r="T7420" s="260"/>
      <c r="U7420" s="260"/>
      <c r="V7420" s="260"/>
      <c r="W7420" s="260"/>
      <c r="X7420" s="260"/>
      <c r="Y7420" s="260"/>
      <c r="Z7420" s="260"/>
      <c r="AA7420" s="260"/>
      <c r="AB7420" s="260"/>
      <c r="AC7420" s="260"/>
      <c r="AD7420" s="260"/>
      <c r="AE7420" s="260"/>
      <c r="AF7420" s="260"/>
      <c r="AG7420" s="321"/>
    </row>
    <row r="7421" spans="13:33" hidden="1">
      <c r="M7421"/>
      <c r="N7421" s="239"/>
      <c r="O7421" s="225"/>
      <c r="P7421" s="287"/>
      <c r="Q7421" s="320"/>
      <c r="R7421" s="260"/>
      <c r="S7421" s="260"/>
      <c r="T7421" s="260"/>
      <c r="U7421" s="260"/>
      <c r="V7421" s="260"/>
      <c r="W7421" s="260"/>
      <c r="X7421" s="260"/>
      <c r="Y7421" s="260"/>
      <c r="Z7421" s="260"/>
      <c r="AA7421" s="260"/>
      <c r="AB7421" s="260"/>
      <c r="AC7421" s="260"/>
      <c r="AD7421" s="260"/>
      <c r="AE7421" s="260"/>
      <c r="AF7421" s="260"/>
      <c r="AG7421" s="321"/>
    </row>
    <row r="7422" spans="13:33" hidden="1">
      <c r="M7422"/>
      <c r="N7422" s="239"/>
      <c r="O7422" s="225"/>
      <c r="P7422" s="287"/>
      <c r="Q7422" s="320"/>
      <c r="R7422" s="260"/>
      <c r="S7422" s="260"/>
      <c r="T7422" s="260"/>
      <c r="U7422" s="260"/>
      <c r="V7422" s="260"/>
      <c r="W7422" s="260"/>
      <c r="X7422" s="260"/>
      <c r="Y7422" s="260"/>
      <c r="Z7422" s="260"/>
      <c r="AA7422" s="260"/>
      <c r="AB7422" s="260"/>
      <c r="AC7422" s="260"/>
      <c r="AD7422" s="260"/>
      <c r="AE7422" s="260"/>
      <c r="AF7422" s="260"/>
      <c r="AG7422" s="321"/>
    </row>
    <row r="7423" spans="13:33" hidden="1">
      <c r="M7423"/>
      <c r="N7423" s="239"/>
      <c r="O7423" s="225"/>
      <c r="P7423" s="287"/>
      <c r="Q7423" s="320"/>
      <c r="R7423" s="260"/>
      <c r="S7423" s="260"/>
      <c r="T7423" s="260"/>
      <c r="U7423" s="260"/>
      <c r="V7423" s="260"/>
      <c r="W7423" s="260"/>
      <c r="X7423" s="260"/>
      <c r="Y7423" s="260"/>
      <c r="Z7423" s="260"/>
      <c r="AA7423" s="260"/>
      <c r="AB7423" s="260"/>
      <c r="AC7423" s="260"/>
      <c r="AD7423" s="260"/>
      <c r="AE7423" s="260"/>
      <c r="AF7423" s="260"/>
      <c r="AG7423" s="321"/>
    </row>
    <row r="7424" spans="13:33" hidden="1">
      <c r="M7424"/>
      <c r="N7424" s="239"/>
      <c r="O7424" s="225"/>
      <c r="P7424" s="287"/>
      <c r="Q7424" s="320"/>
      <c r="R7424" s="260"/>
      <c r="S7424" s="260"/>
      <c r="T7424" s="260"/>
      <c r="U7424" s="260"/>
      <c r="V7424" s="260"/>
      <c r="W7424" s="260"/>
      <c r="X7424" s="260"/>
      <c r="Y7424" s="260"/>
      <c r="Z7424" s="260"/>
      <c r="AA7424" s="260"/>
      <c r="AB7424" s="260"/>
      <c r="AC7424" s="260"/>
      <c r="AD7424" s="260"/>
      <c r="AE7424" s="260"/>
      <c r="AF7424" s="260"/>
      <c r="AG7424" s="321"/>
    </row>
    <row r="7425" spans="13:33" hidden="1">
      <c r="M7425"/>
      <c r="N7425" s="239"/>
      <c r="O7425" s="225"/>
      <c r="P7425" s="287"/>
      <c r="Q7425" s="320"/>
      <c r="R7425" s="260"/>
      <c r="S7425" s="260"/>
      <c r="T7425" s="260"/>
      <c r="U7425" s="260"/>
      <c r="V7425" s="260"/>
      <c r="W7425" s="260"/>
      <c r="X7425" s="260"/>
      <c r="Y7425" s="260"/>
      <c r="Z7425" s="260"/>
      <c r="AA7425" s="260"/>
      <c r="AB7425" s="260"/>
      <c r="AC7425" s="260"/>
      <c r="AD7425" s="260"/>
      <c r="AE7425" s="260"/>
      <c r="AF7425" s="260"/>
      <c r="AG7425" s="321"/>
    </row>
    <row r="7426" spans="13:33" hidden="1">
      <c r="M7426"/>
      <c r="N7426" s="239"/>
      <c r="O7426" s="225"/>
      <c r="P7426" s="287"/>
      <c r="Q7426" s="320"/>
      <c r="R7426" s="260"/>
      <c r="S7426" s="260"/>
      <c r="T7426" s="260"/>
      <c r="U7426" s="260"/>
      <c r="V7426" s="260"/>
      <c r="W7426" s="260"/>
      <c r="X7426" s="260"/>
      <c r="Y7426" s="260"/>
      <c r="Z7426" s="260"/>
      <c r="AA7426" s="260"/>
      <c r="AB7426" s="260"/>
      <c r="AC7426" s="260"/>
      <c r="AD7426" s="260"/>
      <c r="AE7426" s="260"/>
      <c r="AF7426" s="260"/>
      <c r="AG7426" s="321"/>
    </row>
    <row r="7427" spans="13:33" hidden="1">
      <c r="M7427"/>
      <c r="N7427" s="239"/>
      <c r="O7427" s="225"/>
      <c r="P7427" s="287"/>
      <c r="Q7427" s="320"/>
      <c r="R7427" s="260"/>
      <c r="S7427" s="260"/>
      <c r="T7427" s="260"/>
      <c r="U7427" s="260"/>
      <c r="V7427" s="260"/>
      <c r="W7427" s="260"/>
      <c r="X7427" s="260"/>
      <c r="Y7427" s="260"/>
      <c r="Z7427" s="260"/>
      <c r="AA7427" s="260"/>
      <c r="AB7427" s="260"/>
      <c r="AC7427" s="260"/>
      <c r="AD7427" s="260"/>
      <c r="AE7427" s="260"/>
      <c r="AF7427" s="260"/>
      <c r="AG7427" s="321"/>
    </row>
    <row r="7428" spans="13:33" hidden="1">
      <c r="M7428"/>
      <c r="N7428" s="239"/>
      <c r="O7428" s="225"/>
      <c r="P7428" s="287"/>
      <c r="Q7428" s="320"/>
      <c r="R7428" s="260"/>
      <c r="S7428" s="260"/>
      <c r="T7428" s="260"/>
      <c r="U7428" s="260"/>
      <c r="V7428" s="260"/>
      <c r="W7428" s="260"/>
      <c r="X7428" s="260"/>
      <c r="Y7428" s="260"/>
      <c r="Z7428" s="260"/>
      <c r="AA7428" s="260"/>
      <c r="AB7428" s="260"/>
      <c r="AC7428" s="260"/>
      <c r="AD7428" s="260"/>
      <c r="AE7428" s="260"/>
      <c r="AF7428" s="260"/>
      <c r="AG7428" s="321"/>
    </row>
    <row r="7429" spans="13:33" hidden="1">
      <c r="M7429"/>
      <c r="N7429" s="239"/>
      <c r="O7429" s="225"/>
      <c r="P7429" s="287"/>
      <c r="Q7429" s="320"/>
      <c r="R7429" s="260"/>
      <c r="S7429" s="260"/>
      <c r="T7429" s="260"/>
      <c r="U7429" s="260"/>
      <c r="V7429" s="260"/>
      <c r="W7429" s="260"/>
      <c r="X7429" s="260"/>
      <c r="Y7429" s="260"/>
      <c r="Z7429" s="260"/>
      <c r="AA7429" s="260"/>
      <c r="AB7429" s="260"/>
      <c r="AC7429" s="260"/>
      <c r="AD7429" s="260"/>
      <c r="AE7429" s="260"/>
      <c r="AF7429" s="260"/>
      <c r="AG7429" s="321"/>
    </row>
    <row r="7430" spans="13:33" hidden="1">
      <c r="M7430"/>
      <c r="N7430" s="239"/>
      <c r="O7430" s="225"/>
      <c r="P7430" s="287"/>
      <c r="Q7430" s="320"/>
      <c r="R7430" s="260"/>
      <c r="S7430" s="260"/>
      <c r="T7430" s="260"/>
      <c r="U7430" s="260"/>
      <c r="V7430" s="260"/>
      <c r="W7430" s="260"/>
      <c r="X7430" s="260"/>
      <c r="Y7430" s="260"/>
      <c r="Z7430" s="260"/>
      <c r="AA7430" s="260"/>
      <c r="AB7430" s="260"/>
      <c r="AC7430" s="260"/>
      <c r="AD7430" s="260"/>
      <c r="AE7430" s="260"/>
      <c r="AF7430" s="260"/>
      <c r="AG7430" s="321"/>
    </row>
    <row r="7431" spans="13:33" hidden="1">
      <c r="M7431"/>
      <c r="N7431" s="239"/>
      <c r="O7431" s="225"/>
      <c r="P7431" s="287"/>
      <c r="Q7431" s="320"/>
      <c r="R7431" s="260"/>
      <c r="S7431" s="260"/>
      <c r="T7431" s="260"/>
      <c r="U7431" s="260"/>
      <c r="V7431" s="260"/>
      <c r="W7431" s="260"/>
      <c r="X7431" s="260"/>
      <c r="Y7431" s="260"/>
      <c r="Z7431" s="260"/>
      <c r="AA7431" s="260"/>
      <c r="AB7431" s="260"/>
      <c r="AC7431" s="260"/>
      <c r="AD7431" s="260"/>
      <c r="AE7431" s="260"/>
      <c r="AF7431" s="260"/>
      <c r="AG7431" s="321"/>
    </row>
    <row r="7432" spans="13:33" hidden="1">
      <c r="M7432"/>
      <c r="N7432" s="239"/>
      <c r="O7432" s="225"/>
      <c r="P7432" s="287"/>
      <c r="Q7432" s="320"/>
      <c r="R7432" s="260"/>
      <c r="S7432" s="260"/>
      <c r="T7432" s="260"/>
      <c r="U7432" s="260"/>
      <c r="V7432" s="260"/>
      <c r="W7432" s="260"/>
      <c r="X7432" s="260"/>
      <c r="Y7432" s="260"/>
      <c r="Z7432" s="260"/>
      <c r="AA7432" s="260"/>
      <c r="AB7432" s="260"/>
      <c r="AC7432" s="260"/>
      <c r="AD7432" s="260"/>
      <c r="AE7432" s="260"/>
      <c r="AF7432" s="260"/>
      <c r="AG7432" s="321"/>
    </row>
    <row r="7433" spans="13:33" hidden="1">
      <c r="M7433"/>
      <c r="N7433" s="239"/>
      <c r="O7433" s="225"/>
      <c r="P7433" s="287"/>
      <c r="Q7433" s="320"/>
      <c r="R7433" s="260"/>
      <c r="S7433" s="260"/>
      <c r="T7433" s="260"/>
      <c r="U7433" s="260"/>
      <c r="V7433" s="260"/>
      <c r="W7433" s="260"/>
      <c r="X7433" s="260"/>
      <c r="Y7433" s="260"/>
      <c r="Z7433" s="260"/>
      <c r="AA7433" s="260"/>
      <c r="AB7433" s="260"/>
      <c r="AC7433" s="260"/>
      <c r="AD7433" s="260"/>
      <c r="AE7433" s="260"/>
      <c r="AF7433" s="260"/>
      <c r="AG7433" s="321"/>
    </row>
    <row r="7434" spans="13:33" hidden="1">
      <c r="M7434"/>
      <c r="N7434" s="239"/>
      <c r="O7434" s="225"/>
      <c r="P7434" s="287"/>
      <c r="Q7434" s="320"/>
      <c r="R7434" s="260"/>
      <c r="S7434" s="260"/>
      <c r="T7434" s="260"/>
      <c r="U7434" s="260"/>
      <c r="V7434" s="260"/>
      <c r="W7434" s="260"/>
      <c r="X7434" s="260"/>
      <c r="Y7434" s="260"/>
      <c r="Z7434" s="260"/>
      <c r="AA7434" s="260"/>
      <c r="AB7434" s="260"/>
      <c r="AC7434" s="260"/>
      <c r="AD7434" s="260"/>
      <c r="AE7434" s="260"/>
      <c r="AF7434" s="260"/>
      <c r="AG7434" s="321"/>
    </row>
    <row r="7435" spans="13:33" hidden="1">
      <c r="M7435"/>
      <c r="N7435" s="239"/>
      <c r="O7435" s="225"/>
      <c r="P7435" s="287"/>
      <c r="Q7435" s="320"/>
      <c r="R7435" s="260"/>
      <c r="S7435" s="260"/>
      <c r="T7435" s="260"/>
      <c r="U7435" s="260"/>
      <c r="V7435" s="260"/>
      <c r="W7435" s="260"/>
      <c r="X7435" s="260"/>
      <c r="Y7435" s="260"/>
      <c r="Z7435" s="260"/>
      <c r="AA7435" s="260"/>
      <c r="AB7435" s="260"/>
      <c r="AC7435" s="260"/>
      <c r="AD7435" s="260"/>
      <c r="AE7435" s="260"/>
      <c r="AF7435" s="260"/>
      <c r="AG7435" s="321"/>
    </row>
    <row r="7436" spans="13:33" hidden="1">
      <c r="M7436"/>
      <c r="N7436" s="239"/>
      <c r="O7436" s="225"/>
      <c r="P7436" s="287"/>
      <c r="Q7436" s="320"/>
      <c r="R7436" s="260"/>
      <c r="S7436" s="260"/>
      <c r="T7436" s="260"/>
      <c r="U7436" s="260"/>
      <c r="V7436" s="260"/>
      <c r="W7436" s="260"/>
      <c r="X7436" s="260"/>
      <c r="Y7436" s="260"/>
      <c r="Z7436" s="260"/>
      <c r="AA7436" s="260"/>
      <c r="AB7436" s="260"/>
      <c r="AC7436" s="260"/>
      <c r="AD7436" s="260"/>
      <c r="AE7436" s="260"/>
      <c r="AF7436" s="260"/>
      <c r="AG7436" s="321"/>
    </row>
    <row r="7437" spans="13:33" hidden="1">
      <c r="M7437"/>
      <c r="N7437" s="239"/>
      <c r="O7437" s="225"/>
      <c r="P7437" s="287"/>
      <c r="Q7437" s="320"/>
      <c r="R7437" s="260"/>
      <c r="S7437" s="260"/>
      <c r="T7437" s="260"/>
      <c r="U7437" s="260"/>
      <c r="V7437" s="260"/>
      <c r="W7437" s="260"/>
      <c r="X7437" s="260"/>
      <c r="Y7437" s="260"/>
      <c r="Z7437" s="260"/>
      <c r="AA7437" s="260"/>
      <c r="AB7437" s="260"/>
      <c r="AC7437" s="260"/>
      <c r="AD7437" s="260"/>
      <c r="AE7437" s="260"/>
      <c r="AF7437" s="260"/>
      <c r="AG7437" s="321"/>
    </row>
    <row r="7438" spans="13:33" hidden="1">
      <c r="M7438"/>
      <c r="N7438" s="239"/>
      <c r="O7438" s="225"/>
      <c r="P7438" s="287"/>
      <c r="Q7438" s="320"/>
      <c r="R7438" s="260"/>
      <c r="S7438" s="260"/>
      <c r="T7438" s="260"/>
      <c r="U7438" s="260"/>
      <c r="V7438" s="260"/>
      <c r="W7438" s="260"/>
      <c r="X7438" s="260"/>
      <c r="Y7438" s="260"/>
      <c r="Z7438" s="260"/>
      <c r="AA7438" s="260"/>
      <c r="AB7438" s="260"/>
      <c r="AC7438" s="260"/>
      <c r="AD7438" s="260"/>
      <c r="AE7438" s="260"/>
      <c r="AF7438" s="260"/>
      <c r="AG7438" s="321"/>
    </row>
    <row r="7439" spans="13:33" hidden="1">
      <c r="M7439"/>
      <c r="N7439" s="239"/>
      <c r="O7439" s="225"/>
      <c r="P7439" s="287"/>
      <c r="Q7439" s="320"/>
      <c r="R7439" s="260"/>
      <c r="S7439" s="260"/>
      <c r="T7439" s="260"/>
      <c r="U7439" s="260"/>
      <c r="V7439" s="260"/>
      <c r="W7439" s="260"/>
      <c r="X7439" s="260"/>
      <c r="Y7439" s="260"/>
      <c r="Z7439" s="260"/>
      <c r="AA7439" s="260"/>
      <c r="AB7439" s="260"/>
      <c r="AC7439" s="260"/>
      <c r="AD7439" s="260"/>
      <c r="AE7439" s="260"/>
      <c r="AF7439" s="260"/>
      <c r="AG7439" s="321"/>
    </row>
    <row r="7440" spans="13:33" hidden="1">
      <c r="M7440"/>
      <c r="N7440" s="239"/>
      <c r="O7440" s="225"/>
      <c r="P7440" s="287"/>
      <c r="Q7440" s="320"/>
      <c r="R7440" s="260"/>
      <c r="S7440" s="260"/>
      <c r="T7440" s="260"/>
      <c r="U7440" s="260"/>
      <c r="V7440" s="260"/>
      <c r="W7440" s="260"/>
      <c r="X7440" s="260"/>
      <c r="Y7440" s="260"/>
      <c r="Z7440" s="260"/>
      <c r="AA7440" s="260"/>
      <c r="AB7440" s="260"/>
      <c r="AC7440" s="260"/>
      <c r="AD7440" s="260"/>
      <c r="AE7440" s="260"/>
      <c r="AF7440" s="260"/>
      <c r="AG7440" s="321"/>
    </row>
    <row r="7441" spans="13:33" hidden="1">
      <c r="M7441"/>
      <c r="N7441" s="239"/>
      <c r="O7441" s="225"/>
      <c r="P7441" s="287"/>
      <c r="Q7441" s="320"/>
      <c r="R7441" s="260"/>
      <c r="S7441" s="260"/>
      <c r="T7441" s="260"/>
      <c r="U7441" s="260"/>
      <c r="V7441" s="260"/>
      <c r="W7441" s="260"/>
      <c r="X7441" s="260"/>
      <c r="Y7441" s="260"/>
      <c r="Z7441" s="260"/>
      <c r="AA7441" s="260"/>
      <c r="AB7441" s="260"/>
      <c r="AC7441" s="260"/>
      <c r="AD7441" s="260"/>
      <c r="AE7441" s="260"/>
      <c r="AF7441" s="260"/>
      <c r="AG7441" s="321"/>
    </row>
    <row r="7442" spans="13:33" hidden="1">
      <c r="M7442"/>
      <c r="N7442" s="239"/>
      <c r="O7442" s="225"/>
      <c r="P7442" s="287"/>
      <c r="Q7442" s="320"/>
      <c r="R7442" s="260"/>
      <c r="S7442" s="260"/>
      <c r="T7442" s="260"/>
      <c r="U7442" s="260"/>
      <c r="V7442" s="260"/>
      <c r="W7442" s="260"/>
      <c r="X7442" s="260"/>
      <c r="Y7442" s="260"/>
      <c r="Z7442" s="260"/>
      <c r="AA7442" s="260"/>
      <c r="AB7442" s="260"/>
      <c r="AC7442" s="260"/>
      <c r="AD7442" s="260"/>
      <c r="AE7442" s="260"/>
      <c r="AF7442" s="260"/>
      <c r="AG7442" s="321"/>
    </row>
    <row r="7443" spans="13:33" hidden="1">
      <c r="M7443"/>
      <c r="N7443" s="239"/>
      <c r="O7443" s="225"/>
      <c r="P7443" s="287"/>
      <c r="Q7443" s="320"/>
      <c r="R7443" s="260"/>
      <c r="S7443" s="260"/>
      <c r="T7443" s="260"/>
      <c r="U7443" s="260"/>
      <c r="V7443" s="260"/>
      <c r="W7443" s="260"/>
      <c r="X7443" s="260"/>
      <c r="Y7443" s="260"/>
      <c r="Z7443" s="260"/>
      <c r="AA7443" s="260"/>
      <c r="AB7443" s="260"/>
      <c r="AC7443" s="260"/>
      <c r="AD7443" s="260"/>
      <c r="AE7443" s="260"/>
      <c r="AF7443" s="260"/>
      <c r="AG7443" s="321"/>
    </row>
    <row r="7444" spans="13:33" hidden="1">
      <c r="M7444"/>
      <c r="N7444" s="239"/>
      <c r="O7444" s="225"/>
      <c r="P7444" s="287"/>
      <c r="Q7444" s="320"/>
      <c r="R7444" s="260"/>
      <c r="S7444" s="260"/>
      <c r="T7444" s="260"/>
      <c r="U7444" s="260"/>
      <c r="V7444" s="260"/>
      <c r="W7444" s="260"/>
      <c r="X7444" s="260"/>
      <c r="Y7444" s="260"/>
      <c r="Z7444" s="260"/>
      <c r="AA7444" s="260"/>
      <c r="AB7444" s="260"/>
      <c r="AC7444" s="260"/>
      <c r="AD7444" s="260"/>
      <c r="AE7444" s="260"/>
      <c r="AF7444" s="260"/>
      <c r="AG7444" s="321"/>
    </row>
    <row r="7445" spans="13:33" hidden="1">
      <c r="M7445"/>
      <c r="N7445" s="239"/>
      <c r="O7445" s="225"/>
      <c r="P7445" s="287"/>
      <c r="Q7445" s="320"/>
      <c r="R7445" s="260"/>
      <c r="S7445" s="260"/>
      <c r="T7445" s="260"/>
      <c r="U7445" s="260"/>
      <c r="V7445" s="260"/>
      <c r="W7445" s="260"/>
      <c r="X7445" s="260"/>
      <c r="Y7445" s="260"/>
      <c r="Z7445" s="260"/>
      <c r="AA7445" s="260"/>
      <c r="AB7445" s="260"/>
      <c r="AC7445" s="260"/>
      <c r="AD7445" s="260"/>
      <c r="AE7445" s="260"/>
      <c r="AF7445" s="260"/>
      <c r="AG7445" s="321"/>
    </row>
    <row r="7446" spans="13:33" hidden="1">
      <c r="M7446"/>
      <c r="N7446" s="239"/>
      <c r="O7446" s="225"/>
      <c r="P7446" s="287"/>
      <c r="Q7446" s="320"/>
      <c r="R7446" s="260"/>
      <c r="S7446" s="260"/>
      <c r="T7446" s="260"/>
      <c r="U7446" s="260"/>
      <c r="V7446" s="260"/>
      <c r="W7446" s="260"/>
      <c r="X7446" s="260"/>
      <c r="Y7446" s="260"/>
      <c r="Z7446" s="260"/>
      <c r="AA7446" s="260"/>
      <c r="AB7446" s="260"/>
      <c r="AC7446" s="260"/>
      <c r="AD7446" s="260"/>
      <c r="AE7446" s="260"/>
      <c r="AF7446" s="260"/>
      <c r="AG7446" s="321"/>
    </row>
    <row r="7447" spans="13:33" hidden="1">
      <c r="M7447"/>
      <c r="N7447" s="239"/>
      <c r="O7447" s="225"/>
      <c r="P7447" s="287"/>
      <c r="Q7447" s="320"/>
      <c r="R7447" s="260"/>
      <c r="S7447" s="260"/>
      <c r="T7447" s="260"/>
      <c r="U7447" s="260"/>
      <c r="V7447" s="260"/>
      <c r="W7447" s="260"/>
      <c r="X7447" s="260"/>
      <c r="Y7447" s="260"/>
      <c r="Z7447" s="260"/>
      <c r="AA7447" s="260"/>
      <c r="AB7447" s="260"/>
      <c r="AC7447" s="260"/>
      <c r="AD7447" s="260"/>
      <c r="AE7447" s="260"/>
      <c r="AF7447" s="260"/>
      <c r="AG7447" s="321"/>
    </row>
    <row r="7448" spans="13:33" hidden="1">
      <c r="M7448"/>
      <c r="N7448" s="239"/>
      <c r="O7448" s="225"/>
      <c r="P7448" s="287"/>
      <c r="Q7448" s="320"/>
      <c r="R7448" s="260"/>
      <c r="S7448" s="260"/>
      <c r="T7448" s="260"/>
      <c r="U7448" s="260"/>
      <c r="V7448" s="260"/>
      <c r="W7448" s="260"/>
      <c r="X7448" s="260"/>
      <c r="Y7448" s="260"/>
      <c r="Z7448" s="260"/>
      <c r="AA7448" s="260"/>
      <c r="AB7448" s="260"/>
      <c r="AC7448" s="260"/>
      <c r="AD7448" s="260"/>
      <c r="AE7448" s="260"/>
      <c r="AF7448" s="260"/>
      <c r="AG7448" s="321"/>
    </row>
    <row r="7449" spans="13:33" hidden="1">
      <c r="M7449"/>
      <c r="N7449" s="239"/>
      <c r="O7449" s="225"/>
      <c r="P7449" s="287"/>
      <c r="Q7449" s="320"/>
      <c r="R7449" s="260"/>
      <c r="S7449" s="260"/>
      <c r="T7449" s="260"/>
      <c r="U7449" s="260"/>
      <c r="V7449" s="260"/>
      <c r="W7449" s="260"/>
      <c r="X7449" s="260"/>
      <c r="Y7449" s="260"/>
      <c r="Z7449" s="260"/>
      <c r="AA7449" s="260"/>
      <c r="AB7449" s="260"/>
      <c r="AC7449" s="260"/>
      <c r="AD7449" s="260"/>
      <c r="AE7449" s="260"/>
      <c r="AF7449" s="260"/>
      <c r="AG7449" s="321"/>
    </row>
    <row r="7450" spans="13:33" hidden="1">
      <c r="M7450"/>
      <c r="N7450" s="239"/>
      <c r="O7450" s="225"/>
      <c r="P7450" s="287"/>
      <c r="Q7450" s="320"/>
      <c r="R7450" s="260"/>
      <c r="S7450" s="260"/>
      <c r="T7450" s="260"/>
      <c r="U7450" s="260"/>
      <c r="V7450" s="260"/>
      <c r="W7450" s="260"/>
      <c r="X7450" s="260"/>
      <c r="Y7450" s="260"/>
      <c r="Z7450" s="260"/>
      <c r="AA7450" s="260"/>
      <c r="AB7450" s="260"/>
      <c r="AC7450" s="260"/>
      <c r="AD7450" s="260"/>
      <c r="AE7450" s="260"/>
      <c r="AF7450" s="260"/>
      <c r="AG7450" s="321"/>
    </row>
    <row r="7451" spans="13:33" hidden="1">
      <c r="M7451"/>
      <c r="N7451" s="239"/>
      <c r="O7451" s="225"/>
      <c r="P7451" s="287"/>
      <c r="Q7451" s="320"/>
      <c r="R7451" s="260"/>
      <c r="S7451" s="260"/>
      <c r="T7451" s="260"/>
      <c r="U7451" s="260"/>
      <c r="V7451" s="260"/>
      <c r="W7451" s="260"/>
      <c r="X7451" s="260"/>
      <c r="Y7451" s="260"/>
      <c r="Z7451" s="260"/>
      <c r="AA7451" s="260"/>
      <c r="AB7451" s="260"/>
      <c r="AC7451" s="260"/>
      <c r="AD7451" s="260"/>
      <c r="AE7451" s="260"/>
      <c r="AF7451" s="260"/>
      <c r="AG7451" s="321"/>
    </row>
    <row r="7452" spans="13:33" hidden="1">
      <c r="M7452"/>
      <c r="N7452" s="239"/>
      <c r="O7452" s="225"/>
      <c r="P7452" s="287"/>
      <c r="Q7452" s="320"/>
      <c r="R7452" s="260"/>
      <c r="S7452" s="260"/>
      <c r="T7452" s="260"/>
      <c r="U7452" s="260"/>
      <c r="V7452" s="260"/>
      <c r="W7452" s="260"/>
      <c r="X7452" s="260"/>
      <c r="Y7452" s="260"/>
      <c r="Z7452" s="260"/>
      <c r="AA7452" s="260"/>
      <c r="AB7452" s="260"/>
      <c r="AC7452" s="260"/>
      <c r="AD7452" s="260"/>
      <c r="AE7452" s="260"/>
      <c r="AF7452" s="260"/>
      <c r="AG7452" s="321"/>
    </row>
    <row r="7453" spans="13:33" hidden="1">
      <c r="M7453"/>
      <c r="N7453" s="239"/>
      <c r="O7453" s="225"/>
      <c r="P7453" s="287"/>
      <c r="Q7453" s="320"/>
      <c r="R7453" s="260"/>
      <c r="S7453" s="260"/>
      <c r="T7453" s="260"/>
      <c r="U7453" s="260"/>
      <c r="V7453" s="260"/>
      <c r="W7453" s="260"/>
      <c r="X7453" s="260"/>
      <c r="Y7453" s="260"/>
      <c r="Z7453" s="260"/>
      <c r="AA7453" s="260"/>
      <c r="AB7453" s="260"/>
      <c r="AC7453" s="260"/>
      <c r="AD7453" s="260"/>
      <c r="AE7453" s="260"/>
      <c r="AF7453" s="260"/>
      <c r="AG7453" s="321"/>
    </row>
    <row r="7454" spans="13:33" hidden="1">
      <c r="M7454"/>
      <c r="N7454" s="239"/>
      <c r="O7454" s="225"/>
      <c r="P7454" s="287"/>
      <c r="Q7454" s="320"/>
      <c r="R7454" s="260"/>
      <c r="S7454" s="260"/>
      <c r="T7454" s="260"/>
      <c r="U7454" s="260"/>
      <c r="V7454" s="260"/>
      <c r="W7454" s="260"/>
      <c r="X7454" s="260"/>
      <c r="Y7454" s="260"/>
      <c r="Z7454" s="260"/>
      <c r="AA7454" s="260"/>
      <c r="AB7454" s="260"/>
      <c r="AC7454" s="260"/>
      <c r="AD7454" s="260"/>
      <c r="AE7454" s="260"/>
      <c r="AF7454" s="260"/>
      <c r="AG7454" s="321"/>
    </row>
    <row r="7455" spans="13:33" hidden="1">
      <c r="M7455"/>
      <c r="N7455" s="239"/>
      <c r="O7455" s="225"/>
      <c r="P7455" s="287"/>
      <c r="Q7455" s="320"/>
      <c r="R7455" s="260"/>
      <c r="S7455" s="260"/>
      <c r="T7455" s="260"/>
      <c r="U7455" s="260"/>
      <c r="V7455" s="260"/>
      <c r="W7455" s="260"/>
      <c r="X7455" s="260"/>
      <c r="Y7455" s="260"/>
      <c r="Z7455" s="260"/>
      <c r="AA7455" s="260"/>
      <c r="AB7455" s="260"/>
      <c r="AC7455" s="260"/>
      <c r="AD7455" s="260"/>
      <c r="AE7455" s="260"/>
      <c r="AF7455" s="260"/>
      <c r="AG7455" s="321"/>
    </row>
    <row r="7456" spans="13:33" hidden="1">
      <c r="M7456"/>
      <c r="N7456" s="239"/>
      <c r="O7456" s="225"/>
      <c r="P7456" s="287"/>
      <c r="Q7456" s="320"/>
      <c r="R7456" s="260"/>
      <c r="S7456" s="260"/>
      <c r="T7456" s="260"/>
      <c r="U7456" s="260"/>
      <c r="V7456" s="260"/>
      <c r="W7456" s="260"/>
      <c r="X7456" s="260"/>
      <c r="Y7456" s="260"/>
      <c r="Z7456" s="260"/>
      <c r="AA7456" s="260"/>
      <c r="AB7456" s="260"/>
      <c r="AC7456" s="260"/>
      <c r="AD7456" s="260"/>
      <c r="AE7456" s="260"/>
      <c r="AF7456" s="260"/>
      <c r="AG7456" s="321"/>
    </row>
    <row r="7457" spans="13:33" hidden="1">
      <c r="M7457"/>
      <c r="N7457" s="239"/>
      <c r="O7457" s="225"/>
      <c r="P7457" s="287"/>
      <c r="Q7457" s="320"/>
      <c r="R7457" s="260"/>
      <c r="S7457" s="260"/>
      <c r="T7457" s="260"/>
      <c r="U7457" s="260"/>
      <c r="V7457" s="260"/>
      <c r="W7457" s="260"/>
      <c r="X7457" s="260"/>
      <c r="Y7457" s="260"/>
      <c r="Z7457" s="260"/>
      <c r="AA7457" s="260"/>
      <c r="AB7457" s="260"/>
      <c r="AC7457" s="260"/>
      <c r="AD7457" s="260"/>
      <c r="AE7457" s="260"/>
      <c r="AF7457" s="260"/>
      <c r="AG7457" s="321"/>
    </row>
    <row r="7458" spans="13:33" hidden="1">
      <c r="M7458"/>
      <c r="N7458" s="239"/>
      <c r="O7458" s="225"/>
      <c r="P7458" s="287"/>
      <c r="Q7458" s="320"/>
      <c r="R7458" s="260"/>
      <c r="S7458" s="260"/>
      <c r="T7458" s="260"/>
      <c r="U7458" s="260"/>
      <c r="V7458" s="260"/>
      <c r="W7458" s="260"/>
      <c r="X7458" s="260"/>
      <c r="Y7458" s="260"/>
      <c r="Z7458" s="260"/>
      <c r="AA7458" s="260"/>
      <c r="AB7458" s="260"/>
      <c r="AC7458" s="260"/>
      <c r="AD7458" s="260"/>
      <c r="AE7458" s="260"/>
      <c r="AF7458" s="260"/>
      <c r="AG7458" s="321"/>
    </row>
    <row r="7459" spans="13:33" hidden="1">
      <c r="M7459"/>
      <c r="N7459" s="239"/>
      <c r="O7459" s="225"/>
      <c r="P7459" s="287"/>
      <c r="Q7459" s="320"/>
      <c r="R7459" s="260"/>
      <c r="S7459" s="260"/>
      <c r="T7459" s="260"/>
      <c r="U7459" s="260"/>
      <c r="V7459" s="260"/>
      <c r="W7459" s="260"/>
      <c r="X7459" s="260"/>
      <c r="Y7459" s="260"/>
      <c r="Z7459" s="260"/>
      <c r="AA7459" s="260"/>
      <c r="AB7459" s="260"/>
      <c r="AC7459" s="260"/>
      <c r="AD7459" s="260"/>
      <c r="AE7459" s="260"/>
      <c r="AF7459" s="260"/>
      <c r="AG7459" s="321"/>
    </row>
    <row r="7460" spans="13:33" hidden="1">
      <c r="M7460"/>
      <c r="N7460" s="239"/>
      <c r="O7460" s="225"/>
      <c r="P7460" s="287"/>
      <c r="Q7460" s="320"/>
      <c r="R7460" s="260"/>
      <c r="S7460" s="260"/>
      <c r="T7460" s="260"/>
      <c r="U7460" s="260"/>
      <c r="V7460" s="260"/>
      <c r="W7460" s="260"/>
      <c r="X7460" s="260"/>
      <c r="Y7460" s="260"/>
      <c r="Z7460" s="260"/>
      <c r="AA7460" s="260"/>
      <c r="AB7460" s="260"/>
      <c r="AC7460" s="260"/>
      <c r="AD7460" s="260"/>
      <c r="AE7460" s="260"/>
      <c r="AF7460" s="260"/>
      <c r="AG7460" s="321"/>
    </row>
    <row r="7461" spans="13:33" hidden="1">
      <c r="M7461"/>
      <c r="N7461" s="239"/>
      <c r="O7461" s="225"/>
      <c r="P7461" s="287"/>
      <c r="Q7461" s="320"/>
      <c r="R7461" s="260"/>
      <c r="S7461" s="260"/>
      <c r="T7461" s="260"/>
      <c r="U7461" s="260"/>
      <c r="V7461" s="260"/>
      <c r="W7461" s="260"/>
      <c r="X7461" s="260"/>
      <c r="Y7461" s="260"/>
      <c r="Z7461" s="260"/>
      <c r="AA7461" s="260"/>
      <c r="AB7461" s="260"/>
      <c r="AC7461" s="260"/>
      <c r="AD7461" s="260"/>
      <c r="AE7461" s="260"/>
      <c r="AF7461" s="260"/>
      <c r="AG7461" s="321"/>
    </row>
    <row r="7462" spans="13:33" hidden="1">
      <c r="M7462"/>
      <c r="N7462" s="239"/>
      <c r="O7462" s="225"/>
      <c r="P7462" s="287"/>
      <c r="Q7462" s="320"/>
      <c r="R7462" s="260"/>
      <c r="S7462" s="260"/>
      <c r="T7462" s="260"/>
      <c r="U7462" s="260"/>
      <c r="V7462" s="260"/>
      <c r="W7462" s="260"/>
      <c r="X7462" s="260"/>
      <c r="Y7462" s="260"/>
      <c r="Z7462" s="260"/>
      <c r="AA7462" s="260"/>
      <c r="AB7462" s="260"/>
      <c r="AC7462" s="260"/>
      <c r="AD7462" s="260"/>
      <c r="AE7462" s="260"/>
      <c r="AF7462" s="260"/>
      <c r="AG7462" s="321"/>
    </row>
    <row r="7463" spans="13:33" hidden="1">
      <c r="M7463"/>
      <c r="N7463" s="239"/>
      <c r="O7463" s="225"/>
      <c r="P7463" s="287"/>
      <c r="Q7463" s="320"/>
      <c r="R7463" s="260"/>
      <c r="S7463" s="260"/>
      <c r="T7463" s="260"/>
      <c r="U7463" s="260"/>
      <c r="V7463" s="260"/>
      <c r="W7463" s="260"/>
      <c r="X7463" s="260"/>
      <c r="Y7463" s="260"/>
      <c r="Z7463" s="260"/>
      <c r="AA7463" s="260"/>
      <c r="AB7463" s="260"/>
      <c r="AC7463" s="260"/>
      <c r="AD7463" s="260"/>
      <c r="AE7463" s="260"/>
      <c r="AF7463" s="260"/>
      <c r="AG7463" s="321"/>
    </row>
    <row r="7464" spans="13:33" hidden="1">
      <c r="M7464"/>
      <c r="N7464" s="239"/>
      <c r="O7464" s="225"/>
      <c r="P7464" s="287"/>
      <c r="Q7464" s="320"/>
      <c r="R7464" s="260"/>
      <c r="S7464" s="260"/>
      <c r="T7464" s="260"/>
      <c r="U7464" s="260"/>
      <c r="V7464" s="260"/>
      <c r="W7464" s="260"/>
      <c r="X7464" s="260"/>
      <c r="Y7464" s="260"/>
      <c r="Z7464" s="260"/>
      <c r="AA7464" s="260"/>
      <c r="AB7464" s="260"/>
      <c r="AC7464" s="260"/>
      <c r="AD7464" s="260"/>
      <c r="AE7464" s="260"/>
      <c r="AF7464" s="260"/>
      <c r="AG7464" s="321"/>
    </row>
    <row r="7465" spans="13:33" hidden="1">
      <c r="M7465"/>
      <c r="N7465" s="239"/>
      <c r="O7465" s="225"/>
      <c r="P7465" s="287"/>
      <c r="Q7465" s="320"/>
      <c r="R7465" s="260"/>
      <c r="S7465" s="260"/>
      <c r="T7465" s="260"/>
      <c r="U7465" s="260"/>
      <c r="V7465" s="260"/>
      <c r="W7465" s="260"/>
      <c r="X7465" s="260"/>
      <c r="Y7465" s="260"/>
      <c r="Z7465" s="260"/>
      <c r="AA7465" s="260"/>
      <c r="AB7465" s="260"/>
      <c r="AC7465" s="260"/>
      <c r="AD7465" s="260"/>
      <c r="AE7465" s="260"/>
      <c r="AF7465" s="260"/>
      <c r="AG7465" s="321"/>
    </row>
    <row r="7466" spans="13:33" hidden="1">
      <c r="M7466"/>
      <c r="N7466" s="239"/>
      <c r="O7466" s="225"/>
      <c r="P7466" s="287"/>
      <c r="Q7466" s="320"/>
      <c r="R7466" s="260"/>
      <c r="S7466" s="260"/>
      <c r="T7466" s="260"/>
      <c r="U7466" s="260"/>
      <c r="V7466" s="260"/>
      <c r="W7466" s="260"/>
      <c r="X7466" s="260"/>
      <c r="Y7466" s="260"/>
      <c r="Z7466" s="260"/>
      <c r="AA7466" s="260"/>
      <c r="AB7466" s="260"/>
      <c r="AC7466" s="260"/>
      <c r="AD7466" s="260"/>
      <c r="AE7466" s="260"/>
      <c r="AF7466" s="260"/>
      <c r="AG7466" s="321"/>
    </row>
    <row r="7467" spans="13:33" hidden="1">
      <c r="M7467"/>
      <c r="N7467" s="239"/>
      <c r="O7467" s="225"/>
      <c r="P7467" s="287"/>
      <c r="Q7467" s="320"/>
      <c r="R7467" s="260"/>
      <c r="S7467" s="260"/>
      <c r="T7467" s="260"/>
      <c r="U7467" s="260"/>
      <c r="V7467" s="260"/>
      <c r="W7467" s="260"/>
      <c r="X7467" s="260"/>
      <c r="Y7467" s="260"/>
      <c r="Z7467" s="260"/>
      <c r="AA7467" s="260"/>
      <c r="AB7467" s="260"/>
      <c r="AC7467" s="260"/>
      <c r="AD7467" s="260"/>
      <c r="AE7467" s="260"/>
      <c r="AF7467" s="260"/>
      <c r="AG7467" s="321"/>
    </row>
    <row r="7468" spans="13:33" hidden="1">
      <c r="M7468"/>
      <c r="N7468" s="239"/>
      <c r="O7468" s="225"/>
      <c r="P7468" s="287"/>
      <c r="Q7468" s="320"/>
      <c r="R7468" s="260"/>
      <c r="S7468" s="260"/>
      <c r="T7468" s="260"/>
      <c r="U7468" s="260"/>
      <c r="V7468" s="260"/>
      <c r="W7468" s="260"/>
      <c r="X7468" s="260"/>
      <c r="Y7468" s="260"/>
      <c r="Z7468" s="260"/>
      <c r="AA7468" s="260"/>
      <c r="AB7468" s="260"/>
      <c r="AC7468" s="260"/>
      <c r="AD7468" s="260"/>
      <c r="AE7468" s="260"/>
      <c r="AF7468" s="260"/>
      <c r="AG7468" s="321"/>
    </row>
    <row r="7469" spans="13:33" hidden="1">
      <c r="M7469"/>
      <c r="N7469" s="239"/>
      <c r="O7469" s="225"/>
      <c r="P7469" s="287"/>
      <c r="Q7469" s="320"/>
      <c r="R7469" s="260"/>
      <c r="S7469" s="260"/>
      <c r="T7469" s="260"/>
      <c r="U7469" s="260"/>
      <c r="V7469" s="260"/>
      <c r="W7469" s="260"/>
      <c r="X7469" s="260"/>
      <c r="Y7469" s="260"/>
      <c r="Z7469" s="260"/>
      <c r="AA7469" s="260"/>
      <c r="AB7469" s="260"/>
      <c r="AC7469" s="260"/>
      <c r="AD7469" s="260"/>
      <c r="AE7469" s="260"/>
      <c r="AF7469" s="260"/>
      <c r="AG7469" s="321"/>
    </row>
    <row r="7470" spans="13:33" hidden="1">
      <c r="M7470"/>
      <c r="N7470" s="239"/>
      <c r="O7470" s="225"/>
      <c r="P7470" s="287"/>
      <c r="Q7470" s="320"/>
      <c r="R7470" s="260"/>
      <c r="S7470" s="260"/>
      <c r="T7470" s="260"/>
      <c r="U7470" s="260"/>
      <c r="V7470" s="260"/>
      <c r="W7470" s="260"/>
      <c r="X7470" s="260"/>
      <c r="Y7470" s="260"/>
      <c r="Z7470" s="260"/>
      <c r="AA7470" s="260"/>
      <c r="AB7470" s="260"/>
      <c r="AC7470" s="260"/>
      <c r="AD7470" s="260"/>
      <c r="AE7470" s="260"/>
      <c r="AF7470" s="260"/>
      <c r="AG7470" s="321"/>
    </row>
    <row r="7471" spans="13:33" hidden="1">
      <c r="M7471"/>
      <c r="N7471" s="239"/>
      <c r="O7471" s="225"/>
      <c r="P7471" s="287"/>
      <c r="Q7471" s="320"/>
      <c r="R7471" s="260"/>
      <c r="S7471" s="260"/>
      <c r="T7471" s="260"/>
      <c r="U7471" s="260"/>
      <c r="V7471" s="260"/>
      <c r="W7471" s="260"/>
      <c r="X7471" s="260"/>
      <c r="Y7471" s="260"/>
      <c r="Z7471" s="260"/>
      <c r="AA7471" s="260"/>
      <c r="AB7471" s="260"/>
      <c r="AC7471" s="260"/>
      <c r="AD7471" s="260"/>
      <c r="AE7471" s="260"/>
      <c r="AF7471" s="260"/>
      <c r="AG7471" s="321"/>
    </row>
    <row r="7472" spans="13:33" hidden="1">
      <c r="M7472"/>
      <c r="N7472" s="239"/>
      <c r="O7472" s="225"/>
      <c r="P7472" s="287"/>
      <c r="Q7472" s="320"/>
      <c r="R7472" s="260"/>
      <c r="S7472" s="260"/>
      <c r="T7472" s="260"/>
      <c r="U7472" s="260"/>
      <c r="V7472" s="260"/>
      <c r="W7472" s="260"/>
      <c r="X7472" s="260"/>
      <c r="Y7472" s="260"/>
      <c r="Z7472" s="260"/>
      <c r="AA7472" s="260"/>
      <c r="AB7472" s="260"/>
      <c r="AC7472" s="260"/>
      <c r="AD7472" s="260"/>
      <c r="AE7472" s="260"/>
      <c r="AF7472" s="260"/>
      <c r="AG7472" s="321"/>
    </row>
    <row r="7473" spans="13:33" hidden="1">
      <c r="M7473"/>
      <c r="N7473" s="239"/>
      <c r="O7473" s="225"/>
      <c r="P7473" s="287"/>
      <c r="Q7473" s="320"/>
      <c r="R7473" s="260"/>
      <c r="S7473" s="260"/>
      <c r="T7473" s="260"/>
      <c r="U7473" s="260"/>
      <c r="V7473" s="260"/>
      <c r="W7473" s="260"/>
      <c r="X7473" s="260"/>
      <c r="Y7473" s="260"/>
      <c r="Z7473" s="260"/>
      <c r="AA7473" s="260"/>
      <c r="AB7473" s="260"/>
      <c r="AC7473" s="260"/>
      <c r="AD7473" s="260"/>
      <c r="AE7473" s="260"/>
      <c r="AF7473" s="260"/>
      <c r="AG7473" s="321"/>
    </row>
    <row r="7474" spans="13:33" hidden="1">
      <c r="M7474"/>
      <c r="N7474" s="239"/>
      <c r="O7474" s="225"/>
      <c r="P7474" s="287"/>
      <c r="Q7474" s="320"/>
      <c r="R7474" s="260"/>
      <c r="S7474" s="260"/>
      <c r="T7474" s="260"/>
      <c r="U7474" s="260"/>
      <c r="V7474" s="260"/>
      <c r="W7474" s="260"/>
      <c r="X7474" s="260"/>
      <c r="Y7474" s="260"/>
      <c r="Z7474" s="260"/>
      <c r="AA7474" s="260"/>
      <c r="AB7474" s="260"/>
      <c r="AC7474" s="260"/>
      <c r="AD7474" s="260"/>
      <c r="AE7474" s="260"/>
      <c r="AF7474" s="260"/>
      <c r="AG7474" s="321"/>
    </row>
    <row r="7475" spans="13:33" hidden="1">
      <c r="M7475"/>
      <c r="N7475" s="239"/>
      <c r="O7475" s="225"/>
      <c r="P7475" s="287"/>
      <c r="Q7475" s="320"/>
      <c r="R7475" s="260"/>
      <c r="S7475" s="260"/>
      <c r="T7475" s="260"/>
      <c r="U7475" s="260"/>
      <c r="V7475" s="260"/>
      <c r="W7475" s="260"/>
      <c r="X7475" s="260"/>
      <c r="Y7475" s="260"/>
      <c r="Z7475" s="260"/>
      <c r="AA7475" s="260"/>
      <c r="AB7475" s="260"/>
      <c r="AC7475" s="260"/>
      <c r="AD7475" s="260"/>
      <c r="AE7475" s="260"/>
      <c r="AF7475" s="260"/>
      <c r="AG7475" s="321"/>
    </row>
    <row r="7476" spans="13:33" hidden="1">
      <c r="M7476"/>
      <c r="N7476" s="239"/>
      <c r="O7476" s="225"/>
      <c r="P7476" s="287"/>
      <c r="Q7476" s="320"/>
      <c r="R7476" s="260"/>
      <c r="S7476" s="260"/>
      <c r="T7476" s="260"/>
      <c r="U7476" s="260"/>
      <c r="V7476" s="260"/>
      <c r="W7476" s="260"/>
      <c r="X7476" s="260"/>
      <c r="Y7476" s="260"/>
      <c r="Z7476" s="260"/>
      <c r="AA7476" s="260"/>
      <c r="AB7476" s="260"/>
      <c r="AC7476" s="260"/>
      <c r="AD7476" s="260"/>
      <c r="AE7476" s="260"/>
      <c r="AF7476" s="260"/>
      <c r="AG7476" s="321"/>
    </row>
    <row r="7477" spans="13:33" hidden="1">
      <c r="M7477"/>
      <c r="N7477" s="239"/>
      <c r="O7477" s="225"/>
      <c r="P7477" s="287"/>
      <c r="Q7477" s="320"/>
      <c r="R7477" s="260"/>
      <c r="S7477" s="260"/>
      <c r="T7477" s="260"/>
      <c r="U7477" s="260"/>
      <c r="V7477" s="260"/>
      <c r="W7477" s="260"/>
      <c r="X7477" s="260"/>
      <c r="Y7477" s="260"/>
      <c r="Z7477" s="260"/>
      <c r="AA7477" s="260"/>
      <c r="AB7477" s="260"/>
      <c r="AC7477" s="260"/>
      <c r="AD7477" s="260"/>
      <c r="AE7477" s="260"/>
      <c r="AF7477" s="260"/>
      <c r="AG7477" s="321"/>
    </row>
    <row r="7478" spans="13:33" hidden="1">
      <c r="M7478"/>
      <c r="N7478" s="239"/>
      <c r="O7478" s="225"/>
      <c r="P7478" s="287"/>
      <c r="Q7478" s="320"/>
      <c r="R7478" s="260"/>
      <c r="S7478" s="260"/>
      <c r="T7478" s="260"/>
      <c r="U7478" s="260"/>
      <c r="V7478" s="260"/>
      <c r="W7478" s="260"/>
      <c r="X7478" s="260"/>
      <c r="Y7478" s="260"/>
      <c r="Z7478" s="260"/>
      <c r="AA7478" s="260"/>
      <c r="AB7478" s="260"/>
      <c r="AC7478" s="260"/>
      <c r="AD7478" s="260"/>
      <c r="AE7478" s="260"/>
      <c r="AF7478" s="260"/>
      <c r="AG7478" s="321"/>
    </row>
    <row r="7479" spans="13:33" hidden="1">
      <c r="M7479"/>
      <c r="N7479" s="239"/>
      <c r="O7479" s="225"/>
      <c r="P7479" s="287"/>
      <c r="Q7479" s="320"/>
      <c r="R7479" s="260"/>
      <c r="S7479" s="260"/>
      <c r="T7479" s="260"/>
      <c r="U7479" s="260"/>
      <c r="V7479" s="260"/>
      <c r="W7479" s="260"/>
      <c r="X7479" s="260"/>
      <c r="Y7479" s="260"/>
      <c r="Z7479" s="260"/>
      <c r="AA7479" s="260"/>
      <c r="AB7479" s="260"/>
      <c r="AC7479" s="260"/>
      <c r="AD7479" s="260"/>
      <c r="AE7479" s="260"/>
      <c r="AF7479" s="260"/>
      <c r="AG7479" s="321"/>
    </row>
    <row r="7480" spans="13:33" hidden="1">
      <c r="M7480"/>
      <c r="N7480" s="239"/>
      <c r="O7480" s="225"/>
      <c r="P7480" s="287"/>
      <c r="Q7480" s="320"/>
      <c r="R7480" s="260"/>
      <c r="S7480" s="260"/>
      <c r="T7480" s="260"/>
      <c r="U7480" s="260"/>
      <c r="V7480" s="260"/>
      <c r="W7480" s="260"/>
      <c r="X7480" s="260"/>
      <c r="Y7480" s="260"/>
      <c r="Z7480" s="260"/>
      <c r="AA7480" s="260"/>
      <c r="AB7480" s="260"/>
      <c r="AC7480" s="260"/>
      <c r="AD7480" s="260"/>
      <c r="AE7480" s="260"/>
      <c r="AF7480" s="260"/>
      <c r="AG7480" s="321"/>
    </row>
    <row r="7481" spans="13:33" hidden="1">
      <c r="M7481"/>
      <c r="N7481" s="239"/>
      <c r="O7481" s="225"/>
      <c r="P7481" s="287"/>
      <c r="Q7481" s="320"/>
      <c r="R7481" s="260"/>
      <c r="S7481" s="260"/>
      <c r="T7481" s="260"/>
      <c r="U7481" s="260"/>
      <c r="V7481" s="260"/>
      <c r="W7481" s="260"/>
      <c r="X7481" s="260"/>
      <c r="Y7481" s="260"/>
      <c r="Z7481" s="260"/>
      <c r="AA7481" s="260"/>
      <c r="AB7481" s="260"/>
      <c r="AC7481" s="260"/>
      <c r="AD7481" s="260"/>
      <c r="AE7481" s="260"/>
      <c r="AF7481" s="260"/>
      <c r="AG7481" s="321"/>
    </row>
    <row r="7482" spans="13:33" hidden="1">
      <c r="M7482"/>
      <c r="N7482" s="239"/>
      <c r="O7482" s="225"/>
      <c r="P7482" s="287"/>
      <c r="Q7482" s="320"/>
      <c r="R7482" s="260"/>
      <c r="S7482" s="260"/>
      <c r="T7482" s="260"/>
      <c r="U7482" s="260"/>
      <c r="V7482" s="260"/>
      <c r="W7482" s="260"/>
      <c r="X7482" s="260"/>
      <c r="Y7482" s="260"/>
      <c r="Z7482" s="260"/>
      <c r="AA7482" s="260"/>
      <c r="AB7482" s="260"/>
      <c r="AC7482" s="260"/>
      <c r="AD7482" s="260"/>
      <c r="AE7482" s="260"/>
      <c r="AF7482" s="260"/>
      <c r="AG7482" s="321"/>
    </row>
    <row r="7483" spans="13:33" hidden="1">
      <c r="M7483"/>
      <c r="N7483" s="239"/>
      <c r="O7483" s="225"/>
      <c r="P7483" s="287"/>
      <c r="Q7483" s="320"/>
      <c r="R7483" s="260"/>
      <c r="S7483" s="260"/>
      <c r="T7483" s="260"/>
      <c r="U7483" s="260"/>
      <c r="V7483" s="260"/>
      <c r="W7483" s="260"/>
      <c r="X7483" s="260"/>
      <c r="Y7483" s="260"/>
      <c r="Z7483" s="260"/>
      <c r="AA7483" s="260"/>
      <c r="AB7483" s="260"/>
      <c r="AC7483" s="260"/>
      <c r="AD7483" s="260"/>
      <c r="AE7483" s="260"/>
      <c r="AF7483" s="260"/>
      <c r="AG7483" s="321"/>
    </row>
    <row r="7484" spans="13:33" hidden="1">
      <c r="M7484"/>
      <c r="N7484" s="239"/>
      <c r="O7484" s="225"/>
      <c r="P7484" s="287"/>
      <c r="Q7484" s="320"/>
      <c r="R7484" s="260"/>
      <c r="S7484" s="260"/>
      <c r="T7484" s="260"/>
      <c r="U7484" s="260"/>
      <c r="V7484" s="260"/>
      <c r="W7484" s="260"/>
      <c r="X7484" s="260"/>
      <c r="Y7484" s="260"/>
      <c r="Z7484" s="260"/>
      <c r="AA7484" s="260"/>
      <c r="AB7484" s="260"/>
      <c r="AC7484" s="260"/>
      <c r="AD7484" s="260"/>
      <c r="AE7484" s="260"/>
      <c r="AF7484" s="260"/>
      <c r="AG7484" s="321"/>
    </row>
    <row r="7485" spans="13:33" hidden="1">
      <c r="M7485"/>
      <c r="N7485" s="239"/>
      <c r="O7485" s="225"/>
      <c r="P7485" s="287"/>
      <c r="Q7485" s="320"/>
      <c r="R7485" s="260"/>
      <c r="S7485" s="260"/>
      <c r="T7485" s="260"/>
      <c r="U7485" s="260"/>
      <c r="V7485" s="260"/>
      <c r="W7485" s="260"/>
      <c r="X7485" s="260"/>
      <c r="Y7485" s="260"/>
      <c r="Z7485" s="260"/>
      <c r="AA7485" s="260"/>
      <c r="AB7485" s="260"/>
      <c r="AC7485" s="260"/>
      <c r="AD7485" s="260"/>
      <c r="AE7485" s="260"/>
      <c r="AF7485" s="260"/>
      <c r="AG7485" s="321"/>
    </row>
    <row r="7486" spans="13:33" hidden="1">
      <c r="M7486"/>
      <c r="N7486" s="239"/>
      <c r="O7486" s="225"/>
      <c r="P7486" s="287"/>
      <c r="Q7486" s="320"/>
      <c r="R7486" s="260"/>
      <c r="S7486" s="260"/>
      <c r="T7486" s="260"/>
      <c r="U7486" s="260"/>
      <c r="V7486" s="260"/>
      <c r="W7486" s="260"/>
      <c r="X7486" s="260"/>
      <c r="Y7486" s="260"/>
      <c r="Z7486" s="260"/>
      <c r="AA7486" s="260"/>
      <c r="AB7486" s="260"/>
      <c r="AC7486" s="260"/>
      <c r="AD7486" s="260"/>
      <c r="AE7486" s="260"/>
      <c r="AF7486" s="260"/>
      <c r="AG7486" s="321"/>
    </row>
    <row r="7487" spans="13:33" hidden="1">
      <c r="M7487"/>
      <c r="N7487" s="239"/>
      <c r="O7487" s="225"/>
      <c r="P7487" s="287"/>
      <c r="Q7487" s="320"/>
      <c r="R7487" s="260"/>
      <c r="S7487" s="260"/>
      <c r="T7487" s="260"/>
      <c r="U7487" s="260"/>
      <c r="V7487" s="260"/>
      <c r="W7487" s="260"/>
      <c r="X7487" s="260"/>
      <c r="Y7487" s="260"/>
      <c r="Z7487" s="260"/>
      <c r="AA7487" s="260"/>
      <c r="AB7487" s="260"/>
      <c r="AC7487" s="260"/>
      <c r="AD7487" s="260"/>
      <c r="AE7487" s="260"/>
      <c r="AF7487" s="260"/>
      <c r="AG7487" s="321"/>
    </row>
    <row r="7488" spans="13:33" hidden="1">
      <c r="M7488"/>
      <c r="N7488" s="239"/>
      <c r="O7488" s="225"/>
      <c r="P7488" s="287"/>
      <c r="Q7488" s="320"/>
      <c r="R7488" s="260"/>
      <c r="S7488" s="260"/>
      <c r="T7488" s="260"/>
      <c r="U7488" s="260"/>
      <c r="V7488" s="260"/>
      <c r="W7488" s="260"/>
      <c r="X7488" s="260"/>
      <c r="Y7488" s="260"/>
      <c r="Z7488" s="260"/>
      <c r="AA7488" s="260"/>
      <c r="AB7488" s="260"/>
      <c r="AC7488" s="260"/>
      <c r="AD7488" s="260"/>
      <c r="AE7488" s="260"/>
      <c r="AF7488" s="260"/>
      <c r="AG7488" s="321"/>
    </row>
    <row r="7489" spans="13:33" hidden="1">
      <c r="M7489"/>
      <c r="N7489" s="239"/>
      <c r="O7489" s="225"/>
      <c r="P7489" s="287"/>
      <c r="Q7489" s="320"/>
      <c r="R7489" s="260"/>
      <c r="S7489" s="260"/>
      <c r="T7489" s="260"/>
      <c r="U7489" s="260"/>
      <c r="V7489" s="260"/>
      <c r="W7489" s="260"/>
      <c r="X7489" s="260"/>
      <c r="Y7489" s="260"/>
      <c r="Z7489" s="260"/>
      <c r="AA7489" s="260"/>
      <c r="AB7489" s="260"/>
      <c r="AC7489" s="260"/>
      <c r="AD7489" s="260"/>
      <c r="AE7489" s="260"/>
      <c r="AF7489" s="260"/>
      <c r="AG7489" s="321"/>
    </row>
    <row r="7490" spans="13:33" hidden="1">
      <c r="M7490"/>
      <c r="N7490" s="239"/>
      <c r="O7490" s="225"/>
      <c r="P7490" s="287"/>
      <c r="Q7490" s="320"/>
      <c r="R7490" s="260"/>
      <c r="S7490" s="260"/>
      <c r="T7490" s="260"/>
      <c r="U7490" s="260"/>
      <c r="V7490" s="260"/>
      <c r="W7490" s="260"/>
      <c r="X7490" s="260"/>
      <c r="Y7490" s="260"/>
      <c r="Z7490" s="260"/>
      <c r="AA7490" s="260"/>
      <c r="AB7490" s="260"/>
      <c r="AC7490" s="260"/>
      <c r="AD7490" s="260"/>
      <c r="AE7490" s="260"/>
      <c r="AF7490" s="260"/>
      <c r="AG7490" s="321"/>
    </row>
    <row r="7491" spans="13:33" hidden="1">
      <c r="M7491"/>
      <c r="N7491" s="239"/>
      <c r="O7491" s="225"/>
      <c r="P7491" s="287"/>
      <c r="Q7491" s="320"/>
      <c r="R7491" s="260"/>
      <c r="S7491" s="260"/>
      <c r="T7491" s="260"/>
      <c r="U7491" s="260"/>
      <c r="V7491" s="260"/>
      <c r="W7491" s="260"/>
      <c r="X7491" s="260"/>
      <c r="Y7491" s="260"/>
      <c r="Z7491" s="260"/>
      <c r="AA7491" s="260"/>
      <c r="AB7491" s="260"/>
      <c r="AC7491" s="260"/>
      <c r="AD7491" s="260"/>
      <c r="AE7491" s="260"/>
      <c r="AF7491" s="260"/>
      <c r="AG7491" s="321"/>
    </row>
    <row r="7492" spans="13:33" hidden="1">
      <c r="M7492"/>
      <c r="N7492" s="239"/>
      <c r="O7492" s="225"/>
      <c r="P7492" s="287"/>
      <c r="Q7492" s="320"/>
      <c r="R7492" s="260"/>
      <c r="S7492" s="260"/>
      <c r="T7492" s="260"/>
      <c r="U7492" s="260"/>
      <c r="V7492" s="260"/>
      <c r="W7492" s="260"/>
      <c r="X7492" s="260"/>
      <c r="Y7492" s="260"/>
      <c r="Z7492" s="260"/>
      <c r="AA7492" s="260"/>
      <c r="AB7492" s="260"/>
      <c r="AC7492" s="260"/>
      <c r="AD7492" s="260"/>
      <c r="AE7492" s="260"/>
      <c r="AF7492" s="260"/>
      <c r="AG7492" s="321"/>
    </row>
    <row r="7493" spans="13:33" hidden="1">
      <c r="M7493"/>
      <c r="N7493" s="239"/>
      <c r="O7493" s="225"/>
      <c r="P7493" s="287"/>
      <c r="Q7493" s="320"/>
      <c r="R7493" s="260"/>
      <c r="S7493" s="260"/>
      <c r="T7493" s="260"/>
      <c r="U7493" s="260"/>
      <c r="V7493" s="260"/>
      <c r="W7493" s="260"/>
      <c r="X7493" s="260"/>
      <c r="Y7493" s="260"/>
      <c r="Z7493" s="260"/>
      <c r="AA7493" s="260"/>
      <c r="AB7493" s="260"/>
      <c r="AC7493" s="260"/>
      <c r="AD7493" s="260"/>
      <c r="AE7493" s="260"/>
      <c r="AF7493" s="260"/>
      <c r="AG7493" s="321"/>
    </row>
    <row r="7494" spans="13:33" hidden="1">
      <c r="M7494"/>
      <c r="N7494" s="239"/>
      <c r="O7494" s="225"/>
      <c r="P7494" s="287"/>
      <c r="Q7494" s="320"/>
      <c r="R7494" s="260"/>
      <c r="S7494" s="260"/>
      <c r="T7494" s="260"/>
      <c r="U7494" s="260"/>
      <c r="V7494" s="260"/>
      <c r="W7494" s="260"/>
      <c r="X7494" s="260"/>
      <c r="Y7494" s="260"/>
      <c r="Z7494" s="260"/>
      <c r="AA7494" s="260"/>
      <c r="AB7494" s="260"/>
      <c r="AC7494" s="260"/>
      <c r="AD7494" s="260"/>
      <c r="AE7494" s="260"/>
      <c r="AF7494" s="260"/>
      <c r="AG7494" s="321"/>
    </row>
    <row r="7495" spans="13:33" hidden="1">
      <c r="M7495"/>
      <c r="N7495" s="239"/>
      <c r="O7495" s="225"/>
      <c r="P7495" s="287"/>
      <c r="Q7495" s="320"/>
      <c r="R7495" s="260"/>
      <c r="S7495" s="260"/>
      <c r="T7495" s="260"/>
      <c r="U7495" s="260"/>
      <c r="V7495" s="260"/>
      <c r="W7495" s="260"/>
      <c r="X7495" s="260"/>
      <c r="Y7495" s="260"/>
      <c r="Z7495" s="260"/>
      <c r="AA7495" s="260"/>
      <c r="AB7495" s="260"/>
      <c r="AC7495" s="260"/>
      <c r="AD7495" s="260"/>
      <c r="AE7495" s="260"/>
      <c r="AF7495" s="260"/>
      <c r="AG7495" s="321"/>
    </row>
    <row r="7496" spans="13:33" hidden="1">
      <c r="M7496"/>
      <c r="N7496" s="239"/>
      <c r="O7496" s="225"/>
      <c r="P7496" s="287"/>
      <c r="Q7496" s="320"/>
      <c r="R7496" s="260"/>
      <c r="S7496" s="260"/>
      <c r="T7496" s="260"/>
      <c r="U7496" s="260"/>
      <c r="V7496" s="260"/>
      <c r="W7496" s="260"/>
      <c r="X7496" s="260"/>
      <c r="Y7496" s="260"/>
      <c r="Z7496" s="260"/>
      <c r="AA7496" s="260"/>
      <c r="AB7496" s="260"/>
      <c r="AC7496" s="260"/>
      <c r="AD7496" s="260"/>
      <c r="AE7496" s="260"/>
      <c r="AF7496" s="260"/>
      <c r="AG7496" s="321"/>
    </row>
    <row r="7497" spans="13:33" hidden="1">
      <c r="M7497"/>
      <c r="N7497" s="239"/>
      <c r="O7497" s="225"/>
      <c r="P7497" s="287"/>
      <c r="Q7497" s="320"/>
      <c r="R7497" s="260"/>
      <c r="S7497" s="260"/>
      <c r="T7497" s="260"/>
      <c r="U7497" s="260"/>
      <c r="V7497" s="260"/>
      <c r="W7497" s="260"/>
      <c r="X7497" s="260"/>
      <c r="Y7497" s="260"/>
      <c r="Z7497" s="260"/>
      <c r="AA7497" s="260"/>
      <c r="AB7497" s="260"/>
      <c r="AC7497" s="260"/>
      <c r="AD7497" s="260"/>
      <c r="AE7497" s="260"/>
      <c r="AF7497" s="260"/>
      <c r="AG7497" s="321"/>
    </row>
    <row r="7498" spans="13:33" hidden="1">
      <c r="M7498"/>
      <c r="N7498" s="239"/>
      <c r="O7498" s="225"/>
      <c r="P7498" s="287"/>
      <c r="Q7498" s="320"/>
      <c r="R7498" s="260"/>
      <c r="S7498" s="260"/>
      <c r="T7498" s="260"/>
      <c r="U7498" s="260"/>
      <c r="V7498" s="260"/>
      <c r="W7498" s="260"/>
      <c r="X7498" s="260"/>
      <c r="Y7498" s="260"/>
      <c r="Z7498" s="260"/>
      <c r="AA7498" s="260"/>
      <c r="AB7498" s="260"/>
      <c r="AC7498" s="260"/>
      <c r="AD7498" s="260"/>
      <c r="AE7498" s="260"/>
      <c r="AF7498" s="260"/>
      <c r="AG7498" s="321"/>
    </row>
    <row r="7499" spans="13:33" hidden="1">
      <c r="M7499"/>
      <c r="N7499" s="239"/>
      <c r="O7499" s="225"/>
      <c r="P7499" s="287"/>
      <c r="Q7499" s="320"/>
      <c r="R7499" s="260"/>
      <c r="S7499" s="260"/>
      <c r="T7499" s="260"/>
      <c r="U7499" s="260"/>
      <c r="V7499" s="260"/>
      <c r="W7499" s="260"/>
      <c r="X7499" s="260"/>
      <c r="Y7499" s="260"/>
      <c r="Z7499" s="260"/>
      <c r="AA7499" s="260"/>
      <c r="AB7499" s="260"/>
      <c r="AC7499" s="260"/>
      <c r="AD7499" s="260"/>
      <c r="AE7499" s="260"/>
      <c r="AF7499" s="260"/>
      <c r="AG7499" s="321"/>
    </row>
    <row r="7500" spans="13:33" hidden="1">
      <c r="M7500"/>
      <c r="N7500" s="239"/>
      <c r="O7500" s="225"/>
      <c r="P7500" s="287"/>
      <c r="Q7500" s="320"/>
      <c r="R7500" s="260"/>
      <c r="S7500" s="260"/>
      <c r="T7500" s="260"/>
      <c r="U7500" s="260"/>
      <c r="V7500" s="260"/>
      <c r="W7500" s="260"/>
      <c r="X7500" s="260"/>
      <c r="Y7500" s="260"/>
      <c r="Z7500" s="260"/>
      <c r="AA7500" s="260"/>
      <c r="AB7500" s="260"/>
      <c r="AC7500" s="260"/>
      <c r="AD7500" s="260"/>
      <c r="AE7500" s="260"/>
      <c r="AF7500" s="260"/>
      <c r="AG7500" s="321"/>
    </row>
    <row r="7501" spans="13:33" hidden="1">
      <c r="M7501"/>
      <c r="N7501" s="239"/>
      <c r="O7501" s="225"/>
      <c r="P7501" s="287"/>
      <c r="Q7501" s="320"/>
      <c r="R7501" s="260"/>
      <c r="S7501" s="260"/>
      <c r="T7501" s="260"/>
      <c r="U7501" s="260"/>
      <c r="V7501" s="260"/>
      <c r="W7501" s="260"/>
      <c r="X7501" s="260"/>
      <c r="Y7501" s="260"/>
      <c r="Z7501" s="260"/>
      <c r="AA7501" s="260"/>
      <c r="AB7501" s="260"/>
      <c r="AC7501" s="260"/>
      <c r="AD7501" s="260"/>
      <c r="AE7501" s="260"/>
      <c r="AF7501" s="260"/>
      <c r="AG7501" s="321"/>
    </row>
    <row r="7502" spans="13:33" hidden="1">
      <c r="M7502"/>
      <c r="N7502" s="239"/>
      <c r="O7502" s="225"/>
      <c r="P7502" s="287"/>
      <c r="Q7502" s="320"/>
      <c r="R7502" s="260"/>
      <c r="S7502" s="260"/>
      <c r="T7502" s="260"/>
      <c r="U7502" s="260"/>
      <c r="V7502" s="260"/>
      <c r="W7502" s="260"/>
      <c r="X7502" s="260"/>
      <c r="Y7502" s="260"/>
      <c r="Z7502" s="260"/>
      <c r="AA7502" s="260"/>
      <c r="AB7502" s="260"/>
      <c r="AC7502" s="260"/>
      <c r="AD7502" s="260"/>
      <c r="AE7502" s="260"/>
      <c r="AF7502" s="260"/>
      <c r="AG7502" s="321"/>
    </row>
    <row r="7503" spans="13:33" hidden="1">
      <c r="M7503"/>
      <c r="N7503" s="239"/>
      <c r="O7503" s="225"/>
      <c r="P7503" s="287"/>
      <c r="Q7503" s="320"/>
      <c r="R7503" s="260"/>
      <c r="S7503" s="260"/>
      <c r="T7503" s="260"/>
      <c r="U7503" s="260"/>
      <c r="V7503" s="260"/>
      <c r="W7503" s="260"/>
      <c r="X7503" s="260"/>
      <c r="Y7503" s="260"/>
      <c r="Z7503" s="260"/>
      <c r="AA7503" s="260"/>
      <c r="AB7503" s="260"/>
      <c r="AC7503" s="260"/>
      <c r="AD7503" s="260"/>
      <c r="AE7503" s="260"/>
      <c r="AF7503" s="260"/>
      <c r="AG7503" s="321"/>
    </row>
    <row r="7504" spans="13:33" hidden="1">
      <c r="M7504"/>
      <c r="N7504" s="239"/>
      <c r="O7504" s="225"/>
      <c r="P7504" s="287"/>
      <c r="Q7504" s="320"/>
      <c r="R7504" s="260"/>
      <c r="S7504" s="260"/>
      <c r="T7504" s="260"/>
      <c r="U7504" s="260"/>
      <c r="V7504" s="260"/>
      <c r="W7504" s="260"/>
      <c r="X7504" s="260"/>
      <c r="Y7504" s="260"/>
      <c r="Z7504" s="260"/>
      <c r="AA7504" s="260"/>
      <c r="AB7504" s="260"/>
      <c r="AC7504" s="260"/>
      <c r="AD7504" s="260"/>
      <c r="AE7504" s="260"/>
      <c r="AF7504" s="260"/>
      <c r="AG7504" s="321"/>
    </row>
    <row r="7505" spans="13:33" hidden="1">
      <c r="M7505"/>
      <c r="N7505" s="239"/>
      <c r="O7505" s="225"/>
      <c r="P7505" s="287"/>
      <c r="Q7505" s="320"/>
      <c r="R7505" s="260"/>
      <c r="S7505" s="260"/>
      <c r="T7505" s="260"/>
      <c r="U7505" s="260"/>
      <c r="V7505" s="260"/>
      <c r="W7505" s="260"/>
      <c r="X7505" s="260"/>
      <c r="Y7505" s="260"/>
      <c r="Z7505" s="260"/>
      <c r="AA7505" s="260"/>
      <c r="AB7505" s="260"/>
      <c r="AC7505" s="260"/>
      <c r="AD7505" s="260"/>
      <c r="AE7505" s="260"/>
      <c r="AF7505" s="260"/>
      <c r="AG7505" s="321"/>
    </row>
    <row r="7506" spans="13:33" hidden="1">
      <c r="M7506"/>
      <c r="N7506" s="239"/>
      <c r="O7506" s="225"/>
      <c r="P7506" s="287"/>
      <c r="Q7506" s="320"/>
      <c r="R7506" s="260"/>
      <c r="S7506" s="260"/>
      <c r="T7506" s="260"/>
      <c r="U7506" s="260"/>
      <c r="V7506" s="260"/>
      <c r="W7506" s="260"/>
      <c r="X7506" s="260"/>
      <c r="Y7506" s="260"/>
      <c r="Z7506" s="260"/>
      <c r="AA7506" s="260"/>
      <c r="AB7506" s="260"/>
      <c r="AC7506" s="260"/>
      <c r="AD7506" s="260"/>
      <c r="AE7506" s="260"/>
      <c r="AF7506" s="260"/>
      <c r="AG7506" s="321"/>
    </row>
    <row r="7507" spans="13:33" hidden="1">
      <c r="M7507"/>
      <c r="N7507" s="239"/>
      <c r="O7507" s="225"/>
      <c r="P7507" s="287"/>
      <c r="Q7507" s="320"/>
      <c r="R7507" s="260"/>
      <c r="S7507" s="260"/>
      <c r="T7507" s="260"/>
      <c r="U7507" s="260"/>
      <c r="V7507" s="260"/>
      <c r="W7507" s="260"/>
      <c r="X7507" s="260"/>
      <c r="Y7507" s="260"/>
      <c r="Z7507" s="260"/>
      <c r="AA7507" s="260"/>
      <c r="AB7507" s="260"/>
      <c r="AC7507" s="260"/>
      <c r="AD7507" s="260"/>
      <c r="AE7507" s="260"/>
      <c r="AF7507" s="260"/>
      <c r="AG7507" s="321"/>
    </row>
    <row r="7508" spans="13:33" hidden="1">
      <c r="M7508"/>
      <c r="N7508" s="239"/>
      <c r="O7508" s="225"/>
      <c r="P7508" s="287"/>
      <c r="Q7508" s="320"/>
      <c r="R7508" s="260"/>
      <c r="S7508" s="260"/>
      <c r="T7508" s="260"/>
      <c r="U7508" s="260"/>
      <c r="V7508" s="260"/>
      <c r="W7508" s="260"/>
      <c r="X7508" s="260"/>
      <c r="Y7508" s="260"/>
      <c r="Z7508" s="260"/>
      <c r="AA7508" s="260"/>
      <c r="AB7508" s="260"/>
      <c r="AC7508" s="260"/>
      <c r="AD7508" s="260"/>
      <c r="AE7508" s="260"/>
      <c r="AF7508" s="260"/>
      <c r="AG7508" s="321"/>
    </row>
    <row r="7509" spans="13:33" hidden="1">
      <c r="M7509"/>
      <c r="N7509" s="239"/>
      <c r="O7509" s="225"/>
      <c r="P7509" s="287"/>
      <c r="Q7509" s="320"/>
      <c r="R7509" s="260"/>
      <c r="S7509" s="260"/>
      <c r="T7509" s="260"/>
      <c r="U7509" s="260"/>
      <c r="V7509" s="260"/>
      <c r="W7509" s="260"/>
      <c r="X7509" s="260"/>
      <c r="Y7509" s="260"/>
      <c r="Z7509" s="260"/>
      <c r="AA7509" s="260"/>
      <c r="AB7509" s="260"/>
      <c r="AC7509" s="260"/>
      <c r="AD7509" s="260"/>
      <c r="AE7509" s="260"/>
      <c r="AF7509" s="260"/>
      <c r="AG7509" s="321"/>
    </row>
    <row r="7510" spans="13:33" hidden="1">
      <c r="M7510"/>
      <c r="N7510" s="239"/>
      <c r="O7510" s="225"/>
      <c r="P7510" s="287"/>
      <c r="Q7510" s="320"/>
      <c r="R7510" s="260"/>
      <c r="S7510" s="260"/>
      <c r="T7510" s="260"/>
      <c r="U7510" s="260"/>
      <c r="V7510" s="260"/>
      <c r="W7510" s="260"/>
      <c r="X7510" s="260"/>
      <c r="Y7510" s="260"/>
      <c r="Z7510" s="260"/>
      <c r="AA7510" s="260"/>
      <c r="AB7510" s="260"/>
      <c r="AC7510" s="260"/>
      <c r="AD7510" s="260"/>
      <c r="AE7510" s="260"/>
      <c r="AF7510" s="260"/>
      <c r="AG7510" s="321"/>
    </row>
    <row r="7511" spans="13:33" hidden="1">
      <c r="M7511"/>
      <c r="N7511" s="239"/>
      <c r="O7511" s="225"/>
      <c r="P7511" s="287"/>
      <c r="Q7511" s="320"/>
      <c r="R7511" s="260"/>
      <c r="S7511" s="260"/>
      <c r="T7511" s="260"/>
      <c r="U7511" s="260"/>
      <c r="V7511" s="260"/>
      <c r="W7511" s="260"/>
      <c r="X7511" s="260"/>
      <c r="Y7511" s="260"/>
      <c r="Z7511" s="260"/>
      <c r="AA7511" s="260"/>
      <c r="AB7511" s="260"/>
      <c r="AC7511" s="260"/>
      <c r="AD7511" s="260"/>
      <c r="AE7511" s="260"/>
      <c r="AF7511" s="260"/>
      <c r="AG7511" s="321"/>
    </row>
    <row r="7512" spans="13:33" hidden="1">
      <c r="M7512"/>
      <c r="N7512" s="239"/>
      <c r="O7512" s="225"/>
      <c r="P7512" s="287"/>
      <c r="Q7512" s="320"/>
      <c r="R7512" s="260"/>
      <c r="S7512" s="260"/>
      <c r="T7512" s="260"/>
      <c r="U7512" s="260"/>
      <c r="V7512" s="260"/>
      <c r="W7512" s="260"/>
      <c r="X7512" s="260"/>
      <c r="Y7512" s="260"/>
      <c r="Z7512" s="260"/>
      <c r="AA7512" s="260"/>
      <c r="AB7512" s="260"/>
      <c r="AC7512" s="260"/>
      <c r="AD7512" s="260"/>
      <c r="AE7512" s="260"/>
      <c r="AF7512" s="260"/>
      <c r="AG7512" s="321"/>
    </row>
    <row r="7513" spans="13:33" hidden="1">
      <c r="M7513"/>
      <c r="N7513" s="239"/>
      <c r="O7513" s="225"/>
      <c r="P7513" s="287"/>
      <c r="Q7513" s="320"/>
      <c r="R7513" s="260"/>
      <c r="S7513" s="260"/>
      <c r="T7513" s="260"/>
      <c r="U7513" s="260"/>
      <c r="V7513" s="260"/>
      <c r="W7513" s="260"/>
      <c r="X7513" s="260"/>
      <c r="Y7513" s="260"/>
      <c r="Z7513" s="260"/>
      <c r="AA7513" s="260"/>
      <c r="AB7513" s="260"/>
      <c r="AC7513" s="260"/>
      <c r="AD7513" s="260"/>
      <c r="AE7513" s="260"/>
      <c r="AF7513" s="260"/>
      <c r="AG7513" s="321"/>
    </row>
    <row r="7514" spans="13:33" hidden="1">
      <c r="M7514"/>
      <c r="N7514" s="239"/>
      <c r="O7514" s="225"/>
      <c r="P7514" s="287"/>
      <c r="Q7514" s="320"/>
      <c r="R7514" s="260"/>
      <c r="S7514" s="260"/>
      <c r="T7514" s="260"/>
      <c r="U7514" s="260"/>
      <c r="V7514" s="260"/>
      <c r="W7514" s="260"/>
      <c r="X7514" s="260"/>
      <c r="Y7514" s="260"/>
      <c r="Z7514" s="260"/>
      <c r="AA7514" s="260"/>
      <c r="AB7514" s="260"/>
      <c r="AC7514" s="260"/>
      <c r="AD7514" s="260"/>
      <c r="AE7514" s="260"/>
      <c r="AF7514" s="260"/>
      <c r="AG7514" s="321"/>
    </row>
    <row r="7515" spans="13:33" hidden="1">
      <c r="M7515"/>
      <c r="N7515" s="239"/>
      <c r="O7515" s="225"/>
      <c r="P7515" s="287"/>
      <c r="Q7515" s="320"/>
      <c r="R7515" s="260"/>
      <c r="S7515" s="260"/>
      <c r="T7515" s="260"/>
      <c r="U7515" s="260"/>
      <c r="V7515" s="260"/>
      <c r="W7515" s="260"/>
      <c r="X7515" s="260"/>
      <c r="Y7515" s="260"/>
      <c r="Z7515" s="260"/>
      <c r="AA7515" s="260"/>
      <c r="AB7515" s="260"/>
      <c r="AC7515" s="260"/>
      <c r="AD7515" s="260"/>
      <c r="AE7515" s="260"/>
      <c r="AF7515" s="260"/>
      <c r="AG7515" s="321"/>
    </row>
    <row r="7516" spans="13:33" hidden="1">
      <c r="M7516"/>
      <c r="N7516" s="239"/>
      <c r="O7516" s="225"/>
      <c r="P7516" s="287"/>
      <c r="Q7516" s="320"/>
      <c r="R7516" s="260"/>
      <c r="S7516" s="260"/>
      <c r="T7516" s="260"/>
      <c r="U7516" s="260"/>
      <c r="V7516" s="260"/>
      <c r="W7516" s="260"/>
      <c r="X7516" s="260"/>
      <c r="Y7516" s="260"/>
      <c r="Z7516" s="260"/>
      <c r="AA7516" s="260"/>
      <c r="AB7516" s="260"/>
      <c r="AC7516" s="260"/>
      <c r="AD7516" s="260"/>
      <c r="AE7516" s="260"/>
      <c r="AF7516" s="260"/>
      <c r="AG7516" s="321"/>
    </row>
    <row r="7517" spans="13:33" hidden="1">
      <c r="M7517"/>
      <c r="N7517" s="239"/>
      <c r="O7517" s="225"/>
      <c r="P7517" s="287"/>
      <c r="Q7517" s="320"/>
      <c r="R7517" s="260"/>
      <c r="S7517" s="260"/>
      <c r="T7517" s="260"/>
      <c r="U7517" s="260"/>
      <c r="V7517" s="260"/>
      <c r="W7517" s="260"/>
      <c r="X7517" s="260"/>
      <c r="Y7517" s="260"/>
      <c r="Z7517" s="260"/>
      <c r="AA7517" s="260"/>
      <c r="AB7517" s="260"/>
      <c r="AC7517" s="260"/>
      <c r="AD7517" s="260"/>
      <c r="AE7517" s="260"/>
      <c r="AF7517" s="260"/>
      <c r="AG7517" s="321"/>
    </row>
    <row r="7518" spans="13:33" hidden="1">
      <c r="M7518"/>
      <c r="N7518" s="239"/>
      <c r="O7518" s="225"/>
      <c r="P7518" s="287"/>
      <c r="Q7518" s="320"/>
      <c r="R7518" s="260"/>
      <c r="S7518" s="260"/>
      <c r="T7518" s="260"/>
      <c r="U7518" s="260"/>
      <c r="V7518" s="260"/>
      <c r="W7518" s="260"/>
      <c r="X7518" s="260"/>
      <c r="Y7518" s="260"/>
      <c r="Z7518" s="260"/>
      <c r="AA7518" s="260"/>
      <c r="AB7518" s="260"/>
      <c r="AC7518" s="260"/>
      <c r="AD7518" s="260"/>
      <c r="AE7518" s="260"/>
      <c r="AF7518" s="260"/>
      <c r="AG7518" s="321"/>
    </row>
    <row r="7519" spans="13:33" hidden="1">
      <c r="M7519"/>
      <c r="N7519" s="239"/>
      <c r="O7519" s="225"/>
      <c r="P7519" s="287"/>
      <c r="Q7519" s="320"/>
      <c r="R7519" s="260"/>
      <c r="S7519" s="260"/>
      <c r="T7519" s="260"/>
      <c r="U7519" s="260"/>
      <c r="V7519" s="260"/>
      <c r="W7519" s="260"/>
      <c r="X7519" s="260"/>
      <c r="Y7519" s="260"/>
      <c r="Z7519" s="260"/>
      <c r="AA7519" s="260"/>
      <c r="AB7519" s="260"/>
      <c r="AC7519" s="260"/>
      <c r="AD7519" s="260"/>
      <c r="AE7519" s="260"/>
      <c r="AF7519" s="260"/>
      <c r="AG7519" s="321"/>
    </row>
    <row r="7520" spans="13:33" hidden="1">
      <c r="M7520"/>
      <c r="N7520" s="239"/>
      <c r="O7520" s="225"/>
      <c r="P7520" s="287"/>
      <c r="Q7520" s="320"/>
      <c r="R7520" s="260"/>
      <c r="S7520" s="260"/>
      <c r="T7520" s="260"/>
      <c r="U7520" s="260"/>
      <c r="V7520" s="260"/>
      <c r="W7520" s="260"/>
      <c r="X7520" s="260"/>
      <c r="Y7520" s="260"/>
      <c r="Z7520" s="260"/>
      <c r="AA7520" s="260"/>
      <c r="AB7520" s="260"/>
      <c r="AC7520" s="260"/>
      <c r="AD7520" s="260"/>
      <c r="AE7520" s="260"/>
      <c r="AF7520" s="260"/>
      <c r="AG7520" s="321"/>
    </row>
    <row r="7521" spans="13:33" hidden="1">
      <c r="M7521"/>
      <c r="N7521" s="239"/>
      <c r="O7521" s="225"/>
      <c r="P7521" s="287"/>
      <c r="Q7521" s="320"/>
      <c r="R7521" s="260"/>
      <c r="S7521" s="260"/>
      <c r="T7521" s="260"/>
      <c r="U7521" s="260"/>
      <c r="V7521" s="260"/>
      <c r="W7521" s="260"/>
      <c r="X7521" s="260"/>
      <c r="Y7521" s="260"/>
      <c r="Z7521" s="260"/>
      <c r="AA7521" s="260"/>
      <c r="AB7521" s="260"/>
      <c r="AC7521" s="260"/>
      <c r="AD7521" s="260"/>
      <c r="AE7521" s="260"/>
      <c r="AF7521" s="260"/>
      <c r="AG7521" s="321"/>
    </row>
    <row r="7522" spans="13:33" hidden="1">
      <c r="M7522"/>
      <c r="N7522" s="239"/>
      <c r="O7522" s="225"/>
      <c r="P7522" s="287"/>
      <c r="Q7522" s="320"/>
      <c r="R7522" s="260"/>
      <c r="S7522" s="260"/>
      <c r="T7522" s="260"/>
      <c r="U7522" s="260"/>
      <c r="V7522" s="260"/>
      <c r="W7522" s="260"/>
      <c r="X7522" s="260"/>
      <c r="Y7522" s="260"/>
      <c r="Z7522" s="260"/>
      <c r="AA7522" s="260"/>
      <c r="AB7522" s="260"/>
      <c r="AC7522" s="260"/>
      <c r="AD7522" s="260"/>
      <c r="AE7522" s="260"/>
      <c r="AF7522" s="260"/>
      <c r="AG7522" s="321"/>
    </row>
    <row r="7523" spans="13:33" hidden="1">
      <c r="M7523"/>
      <c r="N7523" s="239"/>
      <c r="O7523" s="225"/>
      <c r="P7523" s="287"/>
      <c r="Q7523" s="320"/>
      <c r="R7523" s="260"/>
      <c r="S7523" s="260"/>
      <c r="T7523" s="260"/>
      <c r="U7523" s="260"/>
      <c r="V7523" s="260"/>
      <c r="W7523" s="260"/>
      <c r="X7523" s="260"/>
      <c r="Y7523" s="260"/>
      <c r="Z7523" s="260"/>
      <c r="AA7523" s="260"/>
      <c r="AB7523" s="260"/>
      <c r="AC7523" s="260"/>
      <c r="AD7523" s="260"/>
      <c r="AE7523" s="260"/>
      <c r="AF7523" s="260"/>
      <c r="AG7523" s="321"/>
    </row>
    <row r="7524" spans="13:33" hidden="1">
      <c r="M7524"/>
      <c r="N7524" s="239"/>
      <c r="O7524" s="225"/>
      <c r="P7524" s="287"/>
      <c r="Q7524" s="320"/>
      <c r="R7524" s="260"/>
      <c r="S7524" s="260"/>
      <c r="T7524" s="260"/>
      <c r="U7524" s="260"/>
      <c r="V7524" s="260"/>
      <c r="W7524" s="260"/>
      <c r="X7524" s="260"/>
      <c r="Y7524" s="260"/>
      <c r="Z7524" s="260"/>
      <c r="AA7524" s="260"/>
      <c r="AB7524" s="260"/>
      <c r="AC7524" s="260"/>
      <c r="AD7524" s="260"/>
      <c r="AE7524" s="260"/>
      <c r="AF7524" s="260"/>
      <c r="AG7524" s="321"/>
    </row>
    <row r="7525" spans="13:33" hidden="1">
      <c r="M7525"/>
      <c r="N7525" s="239"/>
      <c r="O7525" s="225"/>
      <c r="P7525" s="287"/>
      <c r="Q7525" s="320"/>
      <c r="R7525" s="260"/>
      <c r="S7525" s="260"/>
      <c r="T7525" s="260"/>
      <c r="U7525" s="260"/>
      <c r="V7525" s="260"/>
      <c r="W7525" s="260"/>
      <c r="X7525" s="260"/>
      <c r="Y7525" s="260"/>
      <c r="Z7525" s="260"/>
      <c r="AA7525" s="260"/>
      <c r="AB7525" s="260"/>
      <c r="AC7525" s="260"/>
      <c r="AD7525" s="260"/>
      <c r="AE7525" s="260"/>
      <c r="AF7525" s="260"/>
      <c r="AG7525" s="321"/>
    </row>
    <row r="7526" spans="13:33" hidden="1">
      <c r="M7526"/>
      <c r="N7526" s="239"/>
      <c r="O7526" s="225"/>
      <c r="P7526" s="287"/>
      <c r="Q7526" s="320"/>
      <c r="R7526" s="260"/>
      <c r="S7526" s="260"/>
      <c r="T7526" s="260"/>
      <c r="U7526" s="260"/>
      <c r="V7526" s="260"/>
      <c r="W7526" s="260"/>
      <c r="X7526" s="260"/>
      <c r="Y7526" s="260"/>
      <c r="Z7526" s="260"/>
      <c r="AA7526" s="260"/>
      <c r="AB7526" s="260"/>
      <c r="AC7526" s="260"/>
      <c r="AD7526" s="260"/>
      <c r="AE7526" s="260"/>
      <c r="AF7526" s="260"/>
      <c r="AG7526" s="321"/>
    </row>
    <row r="7527" spans="13:33" hidden="1">
      <c r="M7527"/>
      <c r="N7527" s="239"/>
      <c r="O7527" s="225"/>
      <c r="P7527" s="287"/>
      <c r="Q7527" s="320"/>
      <c r="R7527" s="260"/>
      <c r="S7527" s="260"/>
      <c r="T7527" s="260"/>
      <c r="U7527" s="260"/>
      <c r="V7527" s="260"/>
      <c r="W7527" s="260"/>
      <c r="X7527" s="260"/>
      <c r="Y7527" s="260"/>
      <c r="Z7527" s="260"/>
      <c r="AA7527" s="260"/>
      <c r="AB7527" s="260"/>
      <c r="AC7527" s="260"/>
      <c r="AD7527" s="260"/>
      <c r="AE7527" s="260"/>
      <c r="AF7527" s="260"/>
      <c r="AG7527" s="321"/>
    </row>
    <row r="7528" spans="13:33" hidden="1">
      <c r="M7528"/>
      <c r="N7528" s="239"/>
      <c r="O7528" s="225"/>
      <c r="P7528" s="287"/>
      <c r="Q7528" s="320"/>
      <c r="R7528" s="260"/>
      <c r="S7528" s="260"/>
      <c r="T7528" s="260"/>
      <c r="U7528" s="260"/>
      <c r="V7528" s="260"/>
      <c r="W7528" s="260"/>
      <c r="X7528" s="260"/>
      <c r="Y7528" s="260"/>
      <c r="Z7528" s="260"/>
      <c r="AA7528" s="260"/>
      <c r="AB7528" s="260"/>
      <c r="AC7528" s="260"/>
      <c r="AD7528" s="260"/>
      <c r="AE7528" s="260"/>
      <c r="AF7528" s="260"/>
      <c r="AG7528" s="321"/>
    </row>
    <row r="7529" spans="13:33" hidden="1">
      <c r="M7529"/>
      <c r="N7529" s="239"/>
      <c r="O7529" s="225"/>
      <c r="P7529" s="287"/>
      <c r="Q7529" s="320"/>
      <c r="R7529" s="260"/>
      <c r="S7529" s="260"/>
      <c r="T7529" s="260"/>
      <c r="U7529" s="260"/>
      <c r="V7529" s="260"/>
      <c r="W7529" s="260"/>
      <c r="X7529" s="260"/>
      <c r="Y7529" s="260"/>
      <c r="Z7529" s="260"/>
      <c r="AA7529" s="260"/>
      <c r="AB7529" s="260"/>
      <c r="AC7529" s="260"/>
      <c r="AD7529" s="260"/>
      <c r="AE7529" s="260"/>
      <c r="AF7529" s="260"/>
      <c r="AG7529" s="321"/>
    </row>
    <row r="7530" spans="13:33" hidden="1">
      <c r="M7530"/>
      <c r="N7530" s="239"/>
      <c r="O7530" s="225"/>
      <c r="P7530" s="287"/>
      <c r="Q7530" s="320"/>
      <c r="R7530" s="260"/>
      <c r="S7530" s="260"/>
      <c r="T7530" s="260"/>
      <c r="U7530" s="260"/>
      <c r="V7530" s="260"/>
      <c r="W7530" s="260"/>
      <c r="X7530" s="260"/>
      <c r="Y7530" s="260"/>
      <c r="Z7530" s="260"/>
      <c r="AA7530" s="260"/>
      <c r="AB7530" s="260"/>
      <c r="AC7530" s="260"/>
      <c r="AD7530" s="260"/>
      <c r="AE7530" s="260"/>
      <c r="AF7530" s="260"/>
      <c r="AG7530" s="321"/>
    </row>
    <row r="7531" spans="13:33" hidden="1">
      <c r="M7531"/>
      <c r="N7531" s="239"/>
      <c r="O7531" s="225"/>
      <c r="P7531" s="287"/>
      <c r="Q7531" s="320"/>
      <c r="R7531" s="260"/>
      <c r="S7531" s="260"/>
      <c r="T7531" s="260"/>
      <c r="U7531" s="260"/>
      <c r="V7531" s="260"/>
      <c r="W7531" s="260"/>
      <c r="X7531" s="260"/>
      <c r="Y7531" s="260"/>
      <c r="Z7531" s="260"/>
      <c r="AA7531" s="260"/>
      <c r="AB7531" s="260"/>
      <c r="AC7531" s="260"/>
      <c r="AD7531" s="260"/>
      <c r="AE7531" s="260"/>
      <c r="AF7531" s="260"/>
      <c r="AG7531" s="321"/>
    </row>
    <row r="7532" spans="13:33" hidden="1">
      <c r="M7532"/>
      <c r="N7532" s="239"/>
      <c r="O7532" s="225"/>
      <c r="P7532" s="287"/>
      <c r="Q7532" s="320"/>
      <c r="R7532" s="260"/>
      <c r="S7532" s="260"/>
      <c r="T7532" s="260"/>
      <c r="U7532" s="260"/>
      <c r="V7532" s="260"/>
      <c r="W7532" s="260"/>
      <c r="X7532" s="260"/>
      <c r="Y7532" s="260"/>
      <c r="Z7532" s="260"/>
      <c r="AA7532" s="260"/>
      <c r="AB7532" s="260"/>
      <c r="AC7532" s="260"/>
      <c r="AD7532" s="260"/>
      <c r="AE7532" s="260"/>
      <c r="AF7532" s="260"/>
      <c r="AG7532" s="321"/>
    </row>
    <row r="7533" spans="13:33" hidden="1">
      <c r="M7533"/>
      <c r="N7533" s="239"/>
      <c r="O7533" s="225"/>
      <c r="P7533" s="287"/>
      <c r="Q7533" s="320"/>
      <c r="R7533" s="260"/>
      <c r="S7533" s="260"/>
      <c r="T7533" s="260"/>
      <c r="U7533" s="260"/>
      <c r="V7533" s="260"/>
      <c r="W7533" s="260"/>
      <c r="X7533" s="260"/>
      <c r="Y7533" s="260"/>
      <c r="Z7533" s="260"/>
      <c r="AA7533" s="260"/>
      <c r="AB7533" s="260"/>
      <c r="AC7533" s="260"/>
      <c r="AD7533" s="260"/>
      <c r="AE7533" s="260"/>
      <c r="AF7533" s="260"/>
      <c r="AG7533" s="321"/>
    </row>
    <row r="7534" spans="13:33" hidden="1">
      <c r="M7534"/>
      <c r="N7534" s="239"/>
      <c r="O7534" s="225"/>
      <c r="P7534" s="287"/>
      <c r="Q7534" s="320"/>
      <c r="R7534" s="260"/>
      <c r="S7534" s="260"/>
      <c r="T7534" s="260"/>
      <c r="U7534" s="260"/>
      <c r="V7534" s="260"/>
      <c r="W7534" s="260"/>
      <c r="X7534" s="260"/>
      <c r="Y7534" s="260"/>
      <c r="Z7534" s="260"/>
      <c r="AA7534" s="260"/>
      <c r="AB7534" s="260"/>
      <c r="AC7534" s="260"/>
      <c r="AD7534" s="260"/>
      <c r="AE7534" s="260"/>
      <c r="AF7534" s="260"/>
      <c r="AG7534" s="321"/>
    </row>
    <row r="7535" spans="13:33" hidden="1">
      <c r="M7535"/>
      <c r="N7535" s="239"/>
      <c r="O7535" s="225"/>
      <c r="P7535" s="287"/>
      <c r="Q7535" s="320"/>
      <c r="R7535" s="260"/>
      <c r="S7535" s="260"/>
      <c r="T7535" s="260"/>
      <c r="U7535" s="260"/>
      <c r="V7535" s="260"/>
      <c r="W7535" s="260"/>
      <c r="X7535" s="260"/>
      <c r="Y7535" s="260"/>
      <c r="Z7535" s="260"/>
      <c r="AA7535" s="260"/>
      <c r="AB7535" s="260"/>
      <c r="AC7535" s="260"/>
      <c r="AD7535" s="260"/>
      <c r="AE7535" s="260"/>
      <c r="AF7535" s="260"/>
      <c r="AG7535" s="321"/>
    </row>
    <row r="7536" spans="13:33" hidden="1">
      <c r="M7536"/>
      <c r="N7536" s="239"/>
      <c r="O7536" s="225"/>
      <c r="P7536" s="287"/>
      <c r="Q7536" s="320"/>
      <c r="R7536" s="260"/>
      <c r="S7536" s="260"/>
      <c r="T7536" s="260"/>
      <c r="U7536" s="260"/>
      <c r="V7536" s="260"/>
      <c r="W7536" s="260"/>
      <c r="X7536" s="260"/>
      <c r="Y7536" s="260"/>
      <c r="Z7536" s="260"/>
      <c r="AA7536" s="260"/>
      <c r="AB7536" s="260"/>
      <c r="AC7536" s="260"/>
      <c r="AD7536" s="260"/>
      <c r="AE7536" s="260"/>
      <c r="AF7536" s="260"/>
      <c r="AG7536" s="321"/>
    </row>
    <row r="7537" spans="13:33" hidden="1">
      <c r="M7537"/>
      <c r="N7537" s="239"/>
      <c r="O7537" s="225"/>
      <c r="P7537" s="287"/>
      <c r="Q7537" s="320"/>
      <c r="R7537" s="260"/>
      <c r="S7537" s="260"/>
      <c r="T7537" s="260"/>
      <c r="U7537" s="260"/>
      <c r="V7537" s="260"/>
      <c r="W7537" s="260"/>
      <c r="X7537" s="260"/>
      <c r="Y7537" s="260"/>
      <c r="Z7537" s="260"/>
      <c r="AA7537" s="260"/>
      <c r="AB7537" s="260"/>
      <c r="AC7537" s="260"/>
      <c r="AD7537" s="260"/>
      <c r="AE7537" s="260"/>
      <c r="AF7537" s="260"/>
      <c r="AG7537" s="321"/>
    </row>
    <row r="7538" spans="13:33" hidden="1">
      <c r="M7538"/>
      <c r="N7538" s="239"/>
      <c r="O7538" s="225"/>
      <c r="P7538" s="287"/>
      <c r="Q7538" s="320"/>
      <c r="R7538" s="260"/>
      <c r="S7538" s="260"/>
      <c r="T7538" s="260"/>
      <c r="U7538" s="260"/>
      <c r="V7538" s="260"/>
      <c r="W7538" s="260"/>
      <c r="X7538" s="260"/>
      <c r="Y7538" s="260"/>
      <c r="Z7538" s="260"/>
      <c r="AA7538" s="260"/>
      <c r="AB7538" s="260"/>
      <c r="AC7538" s="260"/>
      <c r="AD7538" s="260"/>
      <c r="AE7538" s="260"/>
      <c r="AF7538" s="260"/>
      <c r="AG7538" s="321"/>
    </row>
    <row r="7539" spans="13:33" hidden="1">
      <c r="M7539"/>
      <c r="N7539" s="239"/>
      <c r="O7539" s="225"/>
      <c r="P7539" s="287"/>
      <c r="Q7539" s="320"/>
      <c r="R7539" s="260"/>
      <c r="S7539" s="260"/>
      <c r="T7539" s="260"/>
      <c r="U7539" s="260"/>
      <c r="V7539" s="260"/>
      <c r="W7539" s="260"/>
      <c r="X7539" s="260"/>
      <c r="Y7539" s="260"/>
      <c r="Z7539" s="260"/>
      <c r="AA7539" s="260"/>
      <c r="AB7539" s="260"/>
      <c r="AC7539" s="260"/>
      <c r="AD7539" s="260"/>
      <c r="AE7539" s="260"/>
      <c r="AF7539" s="260"/>
      <c r="AG7539" s="321"/>
    </row>
    <row r="7540" spans="13:33" hidden="1">
      <c r="M7540"/>
      <c r="N7540" s="239"/>
      <c r="O7540" s="225"/>
      <c r="P7540" s="287"/>
      <c r="Q7540" s="320"/>
      <c r="R7540" s="260"/>
      <c r="S7540" s="260"/>
      <c r="T7540" s="260"/>
      <c r="U7540" s="260"/>
      <c r="V7540" s="260"/>
      <c r="W7540" s="260"/>
      <c r="X7540" s="260"/>
      <c r="Y7540" s="260"/>
      <c r="Z7540" s="260"/>
      <c r="AA7540" s="260"/>
      <c r="AB7540" s="260"/>
      <c r="AC7540" s="260"/>
      <c r="AD7540" s="260"/>
      <c r="AE7540" s="260"/>
      <c r="AF7540" s="260"/>
      <c r="AG7540" s="321"/>
    </row>
    <row r="7541" spans="13:33" hidden="1">
      <c r="M7541"/>
      <c r="N7541" s="239"/>
      <c r="O7541" s="225"/>
      <c r="P7541" s="287"/>
      <c r="Q7541" s="320"/>
      <c r="R7541" s="260"/>
      <c r="S7541" s="260"/>
      <c r="T7541" s="260"/>
      <c r="U7541" s="260"/>
      <c r="V7541" s="260"/>
      <c r="W7541" s="260"/>
      <c r="X7541" s="260"/>
      <c r="Y7541" s="260"/>
      <c r="Z7541" s="260"/>
      <c r="AA7541" s="260"/>
      <c r="AB7541" s="260"/>
      <c r="AC7541" s="260"/>
      <c r="AD7541" s="260"/>
      <c r="AE7541" s="260"/>
      <c r="AF7541" s="260"/>
      <c r="AG7541" s="321"/>
    </row>
    <row r="7542" spans="13:33" hidden="1">
      <c r="M7542"/>
      <c r="N7542" s="239"/>
      <c r="O7542" s="225"/>
      <c r="P7542" s="287"/>
      <c r="Q7542" s="320"/>
      <c r="R7542" s="260"/>
      <c r="S7542" s="260"/>
      <c r="T7542" s="260"/>
      <c r="U7542" s="260"/>
      <c r="V7542" s="260"/>
      <c r="W7542" s="260"/>
      <c r="X7542" s="260"/>
      <c r="Y7542" s="260"/>
      <c r="Z7542" s="260"/>
      <c r="AA7542" s="260"/>
      <c r="AB7542" s="260"/>
      <c r="AC7542" s="260"/>
      <c r="AD7542" s="260"/>
      <c r="AE7542" s="260"/>
      <c r="AF7542" s="260"/>
      <c r="AG7542" s="321"/>
    </row>
    <row r="7543" spans="13:33" hidden="1">
      <c r="M7543"/>
      <c r="N7543" s="239"/>
      <c r="O7543" s="225"/>
      <c r="P7543" s="287"/>
      <c r="Q7543" s="320"/>
      <c r="R7543" s="260"/>
      <c r="S7543" s="260"/>
      <c r="T7543" s="260"/>
      <c r="U7543" s="260"/>
      <c r="V7543" s="260"/>
      <c r="W7543" s="260"/>
      <c r="X7543" s="260"/>
      <c r="Y7543" s="260"/>
      <c r="Z7543" s="260"/>
      <c r="AA7543" s="260"/>
      <c r="AB7543" s="260"/>
      <c r="AC7543" s="260"/>
      <c r="AD7543" s="260"/>
      <c r="AE7543" s="260"/>
      <c r="AF7543" s="260"/>
      <c r="AG7543" s="321"/>
    </row>
    <row r="7544" spans="13:33" hidden="1">
      <c r="M7544"/>
      <c r="N7544" s="239"/>
      <c r="O7544" s="225"/>
      <c r="P7544" s="287"/>
      <c r="Q7544" s="320"/>
      <c r="R7544" s="260"/>
      <c r="S7544" s="260"/>
      <c r="T7544" s="260"/>
      <c r="U7544" s="260"/>
      <c r="V7544" s="260"/>
      <c r="W7544" s="260"/>
      <c r="X7544" s="260"/>
      <c r="Y7544" s="260"/>
      <c r="Z7544" s="260"/>
      <c r="AA7544" s="260"/>
      <c r="AB7544" s="260"/>
      <c r="AC7544" s="260"/>
      <c r="AD7544" s="260"/>
      <c r="AE7544" s="260"/>
      <c r="AF7544" s="260"/>
      <c r="AG7544" s="321"/>
    </row>
    <row r="7545" spans="13:33" hidden="1">
      <c r="M7545"/>
      <c r="N7545" s="239"/>
      <c r="O7545" s="225"/>
      <c r="P7545" s="287"/>
      <c r="Q7545" s="320"/>
      <c r="R7545" s="260"/>
      <c r="S7545" s="260"/>
      <c r="T7545" s="260"/>
      <c r="U7545" s="260"/>
      <c r="V7545" s="260"/>
      <c r="W7545" s="260"/>
      <c r="X7545" s="260"/>
      <c r="Y7545" s="260"/>
      <c r="Z7545" s="260"/>
      <c r="AA7545" s="260"/>
      <c r="AB7545" s="260"/>
      <c r="AC7545" s="260"/>
      <c r="AD7545" s="260"/>
      <c r="AE7545" s="260"/>
      <c r="AF7545" s="260"/>
      <c r="AG7545" s="321"/>
    </row>
    <row r="7546" spans="13:33" hidden="1">
      <c r="M7546"/>
      <c r="N7546" s="239"/>
      <c r="O7546" s="225"/>
      <c r="P7546" s="287"/>
      <c r="Q7546" s="320"/>
      <c r="R7546" s="260"/>
      <c r="S7546" s="260"/>
      <c r="T7546" s="260"/>
      <c r="U7546" s="260"/>
      <c r="V7546" s="260"/>
      <c r="W7546" s="260"/>
      <c r="X7546" s="260"/>
      <c r="Y7546" s="260"/>
      <c r="Z7546" s="260"/>
      <c r="AA7546" s="260"/>
      <c r="AB7546" s="260"/>
      <c r="AC7546" s="260"/>
      <c r="AD7546" s="260"/>
      <c r="AE7546" s="260"/>
      <c r="AF7546" s="260"/>
      <c r="AG7546" s="321"/>
    </row>
    <row r="7547" spans="13:33" hidden="1">
      <c r="M7547"/>
      <c r="N7547" s="239"/>
      <c r="O7547" s="225"/>
      <c r="P7547" s="287"/>
      <c r="Q7547" s="320"/>
      <c r="R7547" s="260"/>
      <c r="S7547" s="260"/>
      <c r="T7547" s="260"/>
      <c r="U7547" s="260"/>
      <c r="V7547" s="260"/>
      <c r="W7547" s="260"/>
      <c r="X7547" s="260"/>
      <c r="Y7547" s="260"/>
      <c r="Z7547" s="260"/>
      <c r="AA7547" s="260"/>
      <c r="AB7547" s="260"/>
      <c r="AC7547" s="260"/>
      <c r="AD7547" s="260"/>
      <c r="AE7547" s="260"/>
      <c r="AF7547" s="260"/>
      <c r="AG7547" s="321"/>
    </row>
    <row r="7548" spans="13:33" hidden="1">
      <c r="M7548"/>
      <c r="N7548" s="239"/>
      <c r="O7548" s="225"/>
      <c r="P7548" s="287"/>
      <c r="Q7548" s="320"/>
      <c r="R7548" s="260"/>
      <c r="S7548" s="260"/>
      <c r="T7548" s="260"/>
      <c r="U7548" s="260"/>
      <c r="V7548" s="260"/>
      <c r="W7548" s="260"/>
      <c r="X7548" s="260"/>
      <c r="Y7548" s="260"/>
      <c r="Z7548" s="260"/>
      <c r="AA7548" s="260"/>
      <c r="AB7548" s="260"/>
      <c r="AC7548" s="260"/>
      <c r="AD7548" s="260"/>
      <c r="AE7548" s="260"/>
      <c r="AF7548" s="260"/>
      <c r="AG7548" s="321"/>
    </row>
    <row r="7549" spans="13:33" hidden="1">
      <c r="M7549"/>
      <c r="N7549" s="239"/>
      <c r="O7549" s="225"/>
      <c r="P7549" s="287"/>
      <c r="Q7549" s="320"/>
      <c r="R7549" s="260"/>
      <c r="S7549" s="260"/>
      <c r="T7549" s="260"/>
      <c r="U7549" s="260"/>
      <c r="V7549" s="260"/>
      <c r="W7549" s="260"/>
      <c r="X7549" s="260"/>
      <c r="Y7549" s="260"/>
      <c r="Z7549" s="260"/>
      <c r="AA7549" s="260"/>
      <c r="AB7549" s="260"/>
      <c r="AC7549" s="260"/>
      <c r="AD7549" s="260"/>
      <c r="AE7549" s="260"/>
      <c r="AF7549" s="260"/>
      <c r="AG7549" s="321"/>
    </row>
    <row r="7550" spans="13:33" hidden="1">
      <c r="M7550"/>
      <c r="N7550" s="239"/>
      <c r="O7550" s="225"/>
      <c r="P7550" s="287"/>
      <c r="Q7550" s="320"/>
      <c r="R7550" s="260"/>
      <c r="S7550" s="260"/>
      <c r="T7550" s="260"/>
      <c r="U7550" s="260"/>
      <c r="V7550" s="260"/>
      <c r="W7550" s="260"/>
      <c r="X7550" s="260"/>
      <c r="Y7550" s="260"/>
      <c r="Z7550" s="260"/>
      <c r="AA7550" s="260"/>
      <c r="AB7550" s="260"/>
      <c r="AC7550" s="260"/>
      <c r="AD7550" s="260"/>
      <c r="AE7550" s="260"/>
      <c r="AF7550" s="260"/>
      <c r="AG7550" s="321"/>
    </row>
    <row r="7551" spans="13:33" hidden="1">
      <c r="M7551"/>
      <c r="N7551" s="239"/>
      <c r="O7551" s="225"/>
      <c r="P7551" s="287"/>
      <c r="Q7551" s="320"/>
      <c r="R7551" s="260"/>
      <c r="S7551" s="260"/>
      <c r="T7551" s="260"/>
      <c r="U7551" s="260"/>
      <c r="V7551" s="260"/>
      <c r="W7551" s="260"/>
      <c r="X7551" s="260"/>
      <c r="Y7551" s="260"/>
      <c r="Z7551" s="260"/>
      <c r="AA7551" s="260"/>
      <c r="AB7551" s="260"/>
      <c r="AC7551" s="260"/>
      <c r="AD7551" s="260"/>
      <c r="AE7551" s="260"/>
      <c r="AF7551" s="260"/>
      <c r="AG7551" s="321"/>
    </row>
    <row r="7552" spans="13:33" hidden="1">
      <c r="M7552"/>
      <c r="N7552" s="239"/>
      <c r="O7552" s="225"/>
      <c r="P7552" s="287"/>
      <c r="Q7552" s="320"/>
      <c r="R7552" s="260"/>
      <c r="S7552" s="260"/>
      <c r="T7552" s="260"/>
      <c r="U7552" s="260"/>
      <c r="V7552" s="260"/>
      <c r="W7552" s="260"/>
      <c r="X7552" s="260"/>
      <c r="Y7552" s="260"/>
      <c r="Z7552" s="260"/>
      <c r="AA7552" s="260"/>
      <c r="AB7552" s="260"/>
      <c r="AC7552" s="260"/>
      <c r="AD7552" s="260"/>
      <c r="AE7552" s="260"/>
      <c r="AF7552" s="260"/>
      <c r="AG7552" s="321"/>
    </row>
    <row r="7553" spans="13:33" hidden="1">
      <c r="M7553"/>
      <c r="N7553" s="239"/>
      <c r="O7553" s="225"/>
      <c r="P7553" s="287"/>
      <c r="Q7553" s="320"/>
      <c r="R7553" s="260"/>
      <c r="S7553" s="260"/>
      <c r="T7553" s="260"/>
      <c r="U7553" s="260"/>
      <c r="V7553" s="260"/>
      <c r="W7553" s="260"/>
      <c r="X7553" s="260"/>
      <c r="Y7553" s="260"/>
      <c r="Z7553" s="260"/>
      <c r="AA7553" s="260"/>
      <c r="AB7553" s="260"/>
      <c r="AC7553" s="260"/>
      <c r="AD7553" s="260"/>
      <c r="AE7553" s="260"/>
      <c r="AF7553" s="260"/>
      <c r="AG7553" s="321"/>
    </row>
    <row r="7554" spans="13:33" hidden="1">
      <c r="M7554"/>
      <c r="N7554" s="239"/>
      <c r="O7554" s="225"/>
      <c r="P7554" s="287"/>
      <c r="Q7554" s="320"/>
      <c r="R7554" s="260"/>
      <c r="S7554" s="260"/>
      <c r="T7554" s="260"/>
      <c r="U7554" s="260"/>
      <c r="V7554" s="260"/>
      <c r="W7554" s="260"/>
      <c r="X7554" s="260"/>
      <c r="Y7554" s="260"/>
      <c r="Z7554" s="260"/>
      <c r="AA7554" s="260"/>
      <c r="AB7554" s="260"/>
      <c r="AC7554" s="260"/>
      <c r="AD7554" s="260"/>
      <c r="AE7554" s="260"/>
      <c r="AF7554" s="260"/>
      <c r="AG7554" s="321"/>
    </row>
    <row r="7555" spans="13:33" hidden="1">
      <c r="M7555"/>
      <c r="N7555" s="239"/>
      <c r="O7555" s="225"/>
      <c r="P7555" s="287"/>
      <c r="Q7555" s="320"/>
      <c r="R7555" s="260"/>
      <c r="S7555" s="260"/>
      <c r="T7555" s="260"/>
      <c r="U7555" s="260"/>
      <c r="V7555" s="260"/>
      <c r="W7555" s="260"/>
      <c r="X7555" s="260"/>
      <c r="Y7555" s="260"/>
      <c r="Z7555" s="260"/>
      <c r="AA7555" s="260"/>
      <c r="AB7555" s="260"/>
      <c r="AC7555" s="260"/>
      <c r="AD7555" s="260"/>
      <c r="AE7555" s="260"/>
      <c r="AF7555" s="260"/>
      <c r="AG7555" s="321"/>
    </row>
    <row r="7556" spans="13:33" hidden="1">
      <c r="M7556"/>
      <c r="N7556" s="239"/>
      <c r="O7556" s="225"/>
      <c r="P7556" s="287"/>
      <c r="Q7556" s="320"/>
      <c r="R7556" s="260"/>
      <c r="S7556" s="260"/>
      <c r="T7556" s="260"/>
      <c r="U7556" s="260"/>
      <c r="V7556" s="260"/>
      <c r="W7556" s="260"/>
      <c r="X7556" s="260"/>
      <c r="Y7556" s="260"/>
      <c r="Z7556" s="260"/>
      <c r="AA7556" s="260"/>
      <c r="AB7556" s="260"/>
      <c r="AC7556" s="260"/>
      <c r="AD7556" s="260"/>
      <c r="AE7556" s="260"/>
      <c r="AF7556" s="260"/>
      <c r="AG7556" s="321"/>
    </row>
    <row r="7557" spans="13:33" hidden="1">
      <c r="M7557"/>
      <c r="N7557" s="239"/>
      <c r="O7557" s="225"/>
      <c r="P7557" s="287"/>
      <c r="Q7557" s="320"/>
      <c r="R7557" s="260"/>
      <c r="S7557" s="260"/>
      <c r="T7557" s="260"/>
      <c r="U7557" s="260"/>
      <c r="V7557" s="260"/>
      <c r="W7557" s="260"/>
      <c r="X7557" s="260"/>
      <c r="Y7557" s="260"/>
      <c r="Z7557" s="260"/>
      <c r="AA7557" s="260"/>
      <c r="AB7557" s="260"/>
      <c r="AC7557" s="260"/>
      <c r="AD7557" s="260"/>
      <c r="AE7557" s="260"/>
      <c r="AF7557" s="260"/>
      <c r="AG7557" s="321"/>
    </row>
    <row r="7558" spans="13:33" hidden="1">
      <c r="M7558"/>
      <c r="N7558" s="239"/>
      <c r="O7558" s="225"/>
      <c r="P7558" s="287"/>
      <c r="Q7558" s="320"/>
      <c r="R7558" s="260"/>
      <c r="S7558" s="260"/>
      <c r="T7558" s="260"/>
      <c r="U7558" s="260"/>
      <c r="V7558" s="260"/>
      <c r="W7558" s="260"/>
      <c r="X7558" s="260"/>
      <c r="Y7558" s="260"/>
      <c r="Z7558" s="260"/>
      <c r="AA7558" s="260"/>
      <c r="AB7558" s="260"/>
      <c r="AC7558" s="260"/>
      <c r="AD7558" s="260"/>
      <c r="AE7558" s="260"/>
      <c r="AF7558" s="260"/>
      <c r="AG7558" s="321"/>
    </row>
    <row r="7559" spans="13:33" hidden="1">
      <c r="M7559"/>
      <c r="N7559" s="239"/>
      <c r="O7559" s="225"/>
      <c r="P7559" s="287"/>
      <c r="Q7559" s="320"/>
      <c r="R7559" s="260"/>
      <c r="S7559" s="260"/>
      <c r="T7559" s="260"/>
      <c r="U7559" s="260"/>
      <c r="V7559" s="260"/>
      <c r="W7559" s="260"/>
      <c r="X7559" s="260"/>
      <c r="Y7559" s="260"/>
      <c r="Z7559" s="260"/>
      <c r="AA7559" s="260"/>
      <c r="AB7559" s="260"/>
      <c r="AC7559" s="260"/>
      <c r="AD7559" s="260"/>
      <c r="AE7559" s="260"/>
      <c r="AF7559" s="260"/>
      <c r="AG7559" s="321"/>
    </row>
    <row r="7560" spans="13:33" hidden="1">
      <c r="M7560"/>
      <c r="N7560" s="239"/>
      <c r="O7560" s="225"/>
      <c r="P7560" s="287"/>
      <c r="Q7560" s="320"/>
      <c r="R7560" s="260"/>
      <c r="S7560" s="260"/>
      <c r="T7560" s="260"/>
      <c r="U7560" s="260"/>
      <c r="V7560" s="260"/>
      <c r="W7560" s="260"/>
      <c r="X7560" s="260"/>
      <c r="Y7560" s="260"/>
      <c r="Z7560" s="260"/>
      <c r="AA7560" s="260"/>
      <c r="AB7560" s="260"/>
      <c r="AC7560" s="260"/>
      <c r="AD7560" s="260"/>
      <c r="AE7560" s="260"/>
      <c r="AF7560" s="260"/>
      <c r="AG7560" s="321"/>
    </row>
    <row r="7561" spans="13:33" hidden="1">
      <c r="M7561"/>
      <c r="N7561" s="239"/>
      <c r="O7561" s="225"/>
      <c r="P7561" s="287"/>
      <c r="Q7561" s="320"/>
      <c r="R7561" s="260"/>
      <c r="S7561" s="260"/>
      <c r="T7561" s="260"/>
      <c r="U7561" s="260"/>
      <c r="V7561" s="260"/>
      <c r="W7561" s="260"/>
      <c r="X7561" s="260"/>
      <c r="Y7561" s="260"/>
      <c r="Z7561" s="260"/>
      <c r="AA7561" s="260"/>
      <c r="AB7561" s="260"/>
      <c r="AC7561" s="260"/>
      <c r="AD7561" s="260"/>
      <c r="AE7561" s="260"/>
      <c r="AF7561" s="260"/>
      <c r="AG7561" s="321"/>
    </row>
    <row r="7562" spans="13:33" hidden="1">
      <c r="M7562"/>
      <c r="N7562" s="239"/>
      <c r="O7562" s="225"/>
      <c r="P7562" s="287"/>
      <c r="Q7562" s="320"/>
      <c r="R7562" s="260"/>
      <c r="S7562" s="260"/>
      <c r="T7562" s="260"/>
      <c r="U7562" s="260"/>
      <c r="V7562" s="260"/>
      <c r="W7562" s="260"/>
      <c r="X7562" s="260"/>
      <c r="Y7562" s="260"/>
      <c r="Z7562" s="260"/>
      <c r="AA7562" s="260"/>
      <c r="AB7562" s="260"/>
      <c r="AC7562" s="260"/>
      <c r="AD7562" s="260"/>
      <c r="AE7562" s="260"/>
      <c r="AF7562" s="260"/>
      <c r="AG7562" s="321"/>
    </row>
    <row r="7563" spans="13:33" hidden="1">
      <c r="M7563"/>
      <c r="N7563" s="239"/>
      <c r="O7563" s="225"/>
      <c r="P7563" s="287"/>
      <c r="Q7563" s="320"/>
      <c r="R7563" s="260"/>
      <c r="S7563" s="260"/>
      <c r="T7563" s="260"/>
      <c r="U7563" s="260"/>
      <c r="V7563" s="260"/>
      <c r="W7563" s="260"/>
      <c r="X7563" s="260"/>
      <c r="Y7563" s="260"/>
      <c r="Z7563" s="260"/>
      <c r="AA7563" s="260"/>
      <c r="AB7563" s="260"/>
      <c r="AC7563" s="260"/>
      <c r="AD7563" s="260"/>
      <c r="AE7563" s="260"/>
      <c r="AF7563" s="260"/>
      <c r="AG7563" s="321"/>
    </row>
    <row r="7564" spans="13:33" hidden="1">
      <c r="M7564"/>
      <c r="N7564" s="239"/>
      <c r="O7564" s="225"/>
      <c r="P7564" s="260"/>
      <c r="Q7564" s="320"/>
      <c r="R7564" s="260"/>
      <c r="S7564" s="260"/>
      <c r="T7564" s="260"/>
      <c r="U7564" s="260"/>
      <c r="V7564" s="260"/>
      <c r="W7564" s="260"/>
      <c r="X7564" s="260"/>
      <c r="Y7564" s="260"/>
      <c r="Z7564" s="260"/>
      <c r="AA7564" s="260"/>
      <c r="AB7564" s="260"/>
      <c r="AC7564" s="260"/>
      <c r="AD7564" s="260"/>
      <c r="AE7564" s="260"/>
      <c r="AF7564" s="260"/>
      <c r="AG7564" s="321"/>
    </row>
    <row r="7565" spans="13:33" hidden="1">
      <c r="M7565"/>
      <c r="N7565" s="239"/>
      <c r="O7565" s="225"/>
      <c r="P7565" s="260"/>
      <c r="Q7565" s="320"/>
      <c r="R7565" s="260"/>
      <c r="S7565" s="260"/>
      <c r="T7565" s="260"/>
      <c r="U7565" s="260"/>
      <c r="V7565" s="260"/>
      <c r="W7565" s="260"/>
      <c r="X7565" s="260"/>
      <c r="Y7565" s="260"/>
      <c r="Z7565" s="260"/>
      <c r="AA7565" s="260"/>
      <c r="AB7565" s="260"/>
      <c r="AC7565" s="260"/>
      <c r="AD7565" s="260"/>
      <c r="AE7565" s="260"/>
      <c r="AF7565" s="260"/>
      <c r="AG7565" s="321"/>
    </row>
    <row r="7566" spans="13:33" hidden="1">
      <c r="M7566"/>
      <c r="N7566" s="239"/>
      <c r="O7566" s="225"/>
      <c r="P7566" s="260"/>
      <c r="Q7566" s="320"/>
      <c r="R7566" s="260"/>
      <c r="S7566" s="260"/>
      <c r="T7566" s="260"/>
      <c r="U7566" s="260"/>
      <c r="V7566" s="260"/>
      <c r="W7566" s="260"/>
      <c r="X7566" s="260"/>
      <c r="Y7566" s="260"/>
      <c r="Z7566" s="260"/>
      <c r="AA7566" s="260"/>
      <c r="AB7566" s="260"/>
      <c r="AC7566" s="260"/>
      <c r="AD7566" s="260"/>
      <c r="AE7566" s="260"/>
      <c r="AF7566" s="260"/>
      <c r="AG7566" s="321"/>
    </row>
    <row r="7567" spans="13:33" hidden="1">
      <c r="M7567"/>
      <c r="N7567" s="239"/>
      <c r="O7567" s="225"/>
      <c r="P7567" s="260"/>
      <c r="Q7567" s="320"/>
      <c r="R7567" s="260"/>
      <c r="S7567" s="260"/>
      <c r="T7567" s="260"/>
      <c r="U7567" s="260"/>
      <c r="V7567" s="260"/>
      <c r="W7567" s="260"/>
      <c r="X7567" s="260"/>
      <c r="Y7567" s="260"/>
      <c r="Z7567" s="260"/>
      <c r="AA7567" s="260"/>
      <c r="AB7567" s="260"/>
      <c r="AC7567" s="260"/>
      <c r="AD7567" s="260"/>
      <c r="AE7567" s="260"/>
      <c r="AF7567" s="260"/>
      <c r="AG7567" s="321"/>
    </row>
    <row r="7568" spans="13:33" hidden="1">
      <c r="M7568"/>
      <c r="N7568" s="239"/>
      <c r="O7568" s="225"/>
      <c r="P7568" s="260"/>
      <c r="Q7568" s="320"/>
      <c r="R7568" s="260"/>
      <c r="S7568" s="260"/>
      <c r="T7568" s="260"/>
      <c r="U7568" s="260"/>
      <c r="V7568" s="260"/>
      <c r="W7568" s="260"/>
      <c r="X7568" s="260"/>
      <c r="Y7568" s="260"/>
      <c r="Z7568" s="260"/>
      <c r="AA7568" s="260"/>
      <c r="AB7568" s="260"/>
      <c r="AC7568" s="260"/>
      <c r="AD7568" s="260"/>
      <c r="AE7568" s="260"/>
      <c r="AF7568" s="260"/>
      <c r="AG7568" s="321"/>
    </row>
    <row r="7569" spans="13:33" hidden="1">
      <c r="M7569"/>
      <c r="N7569" s="239"/>
      <c r="O7569" s="225"/>
      <c r="P7569" s="260"/>
      <c r="Q7569" s="320"/>
      <c r="R7569" s="260"/>
      <c r="S7569" s="260"/>
      <c r="T7569" s="260"/>
      <c r="U7569" s="260"/>
      <c r="V7569" s="260"/>
      <c r="W7569" s="260"/>
      <c r="X7569" s="260"/>
      <c r="Y7569" s="260"/>
      <c r="Z7569" s="260"/>
      <c r="AA7569" s="260"/>
      <c r="AB7569" s="260"/>
      <c r="AC7569" s="260"/>
      <c r="AD7569" s="260"/>
      <c r="AE7569" s="260"/>
      <c r="AF7569" s="260"/>
      <c r="AG7569" s="321"/>
    </row>
    <row r="7570" spans="13:33" hidden="1">
      <c r="M7570"/>
      <c r="N7570" s="239"/>
      <c r="O7570" s="225"/>
      <c r="P7570" s="260"/>
      <c r="Q7570" s="320"/>
      <c r="R7570" s="260"/>
      <c r="S7570" s="260"/>
      <c r="T7570" s="260"/>
      <c r="U7570" s="260"/>
      <c r="V7570" s="260"/>
      <c r="W7570" s="260"/>
      <c r="X7570" s="260"/>
      <c r="Y7570" s="260"/>
      <c r="Z7570" s="260"/>
      <c r="AA7570" s="260"/>
      <c r="AB7570" s="260"/>
      <c r="AC7570" s="260"/>
      <c r="AD7570" s="260"/>
      <c r="AE7570" s="260"/>
      <c r="AF7570" s="260"/>
      <c r="AG7570" s="321"/>
    </row>
    <row r="7571" spans="13:33" hidden="1">
      <c r="M7571"/>
      <c r="N7571" s="239"/>
      <c r="O7571" s="225"/>
      <c r="P7571" s="260"/>
      <c r="Q7571" s="328"/>
      <c r="R7571" s="260"/>
      <c r="S7571" s="260"/>
      <c r="T7571" s="260"/>
      <c r="U7571" s="260"/>
      <c r="V7571" s="260"/>
      <c r="W7571" s="260"/>
      <c r="X7571" s="260"/>
      <c r="Y7571" s="260"/>
      <c r="Z7571" s="260"/>
      <c r="AA7571" s="260"/>
      <c r="AB7571" s="260"/>
      <c r="AC7571" s="260"/>
      <c r="AD7571" s="260"/>
      <c r="AE7571" s="260"/>
      <c r="AF7571" s="260"/>
      <c r="AG7571" s="330"/>
    </row>
    <row r="7572" spans="13:33" hidden="1">
      <c r="N7572" s="239"/>
      <c r="O7572" s="225"/>
      <c r="P7572" s="260"/>
      <c r="Q7572" s="328"/>
      <c r="R7572" s="260"/>
      <c r="S7572" s="260"/>
      <c r="T7572" s="260"/>
      <c r="U7572" s="260"/>
      <c r="V7572" s="260"/>
      <c r="W7572" s="260"/>
      <c r="X7572" s="260"/>
      <c r="Y7572" s="260"/>
      <c r="Z7572" s="260"/>
      <c r="AA7572" s="260"/>
      <c r="AB7572" s="260"/>
      <c r="AC7572" s="260"/>
      <c r="AD7572" s="260"/>
      <c r="AE7572" s="260"/>
      <c r="AF7572" s="260"/>
      <c r="AG7572" s="330"/>
    </row>
    <row r="7573" spans="13:33" hidden="1">
      <c r="N7573" s="239"/>
      <c r="O7573" s="225"/>
      <c r="P7573" s="260"/>
      <c r="Q7573" s="328"/>
      <c r="R7573" s="260"/>
      <c r="S7573" s="260"/>
      <c r="T7573" s="260"/>
      <c r="U7573" s="260"/>
      <c r="V7573" s="260"/>
      <c r="W7573" s="260"/>
      <c r="X7573" s="260"/>
      <c r="Y7573" s="260"/>
      <c r="Z7573" s="260"/>
      <c r="AA7573" s="260"/>
      <c r="AB7573" s="260"/>
      <c r="AC7573" s="260"/>
      <c r="AD7573" s="260"/>
      <c r="AE7573" s="260"/>
      <c r="AF7573" s="260"/>
      <c r="AG7573" s="330"/>
    </row>
    <row r="7574" spans="13:33" hidden="1">
      <c r="N7574" s="239"/>
      <c r="O7574" s="225"/>
      <c r="P7574" s="260"/>
      <c r="Q7574" s="328"/>
      <c r="R7574" s="260"/>
      <c r="S7574" s="260"/>
      <c r="T7574" s="260"/>
      <c r="U7574" s="260"/>
      <c r="V7574" s="260"/>
      <c r="W7574" s="260"/>
      <c r="X7574" s="260"/>
      <c r="Y7574" s="260"/>
      <c r="Z7574" s="260"/>
      <c r="AA7574" s="260"/>
      <c r="AB7574" s="260"/>
      <c r="AC7574" s="260"/>
      <c r="AD7574" s="260"/>
      <c r="AE7574" s="260"/>
      <c r="AF7574" s="260"/>
      <c r="AG7574" s="330"/>
    </row>
    <row r="7575" spans="13:33" hidden="1">
      <c r="N7575" s="239"/>
      <c r="O7575" s="225"/>
      <c r="P7575" s="260"/>
      <c r="Q7575" s="328"/>
      <c r="R7575" s="260"/>
      <c r="S7575" s="260"/>
      <c r="T7575" s="260"/>
      <c r="U7575" s="260"/>
      <c r="V7575" s="260"/>
      <c r="W7575" s="260"/>
      <c r="X7575" s="260"/>
      <c r="Y7575" s="260"/>
      <c r="Z7575" s="260"/>
      <c r="AA7575" s="260"/>
      <c r="AB7575" s="260"/>
      <c r="AC7575" s="260"/>
      <c r="AD7575" s="260"/>
      <c r="AE7575" s="260"/>
      <c r="AF7575" s="260"/>
      <c r="AG7575" s="330"/>
    </row>
    <row r="7576" spans="13:33" hidden="1">
      <c r="N7576" s="239"/>
      <c r="O7576" s="225"/>
      <c r="P7576" s="260"/>
      <c r="Q7576" s="328"/>
      <c r="R7576" s="260"/>
      <c r="S7576" s="260"/>
      <c r="T7576" s="260"/>
      <c r="U7576" s="260"/>
      <c r="V7576" s="260"/>
      <c r="W7576" s="260"/>
      <c r="X7576" s="260"/>
      <c r="Y7576" s="260"/>
      <c r="Z7576" s="260"/>
      <c r="AA7576" s="260"/>
      <c r="AB7576" s="260"/>
      <c r="AC7576" s="260"/>
      <c r="AD7576" s="260"/>
      <c r="AE7576" s="260"/>
      <c r="AF7576" s="260"/>
      <c r="AG7576" s="330"/>
    </row>
    <row r="7577" spans="13:33" hidden="1">
      <c r="N7577" s="239"/>
      <c r="O7577" s="225"/>
      <c r="P7577" s="260"/>
      <c r="Q7577" s="328"/>
      <c r="R7577" s="260"/>
      <c r="S7577" s="260"/>
      <c r="T7577" s="260"/>
      <c r="U7577" s="260"/>
      <c r="V7577" s="260"/>
      <c r="W7577" s="260"/>
      <c r="X7577" s="260"/>
      <c r="Y7577" s="260"/>
      <c r="Z7577" s="260"/>
      <c r="AA7577" s="260"/>
      <c r="AB7577" s="260"/>
      <c r="AC7577" s="260"/>
      <c r="AD7577" s="260"/>
      <c r="AE7577" s="260"/>
      <c r="AF7577" s="260"/>
      <c r="AG7577" s="330"/>
    </row>
    <row r="7578" spans="13:33" hidden="1">
      <c r="N7578" s="239"/>
      <c r="O7578" s="225"/>
      <c r="P7578" s="260"/>
      <c r="Q7578" s="328"/>
      <c r="R7578" s="260"/>
      <c r="S7578" s="260"/>
      <c r="T7578" s="260"/>
      <c r="U7578" s="260"/>
      <c r="V7578" s="260"/>
      <c r="W7578" s="260"/>
      <c r="X7578" s="260"/>
      <c r="Y7578" s="260"/>
      <c r="Z7578" s="260"/>
      <c r="AA7578" s="260"/>
      <c r="AB7578" s="260"/>
      <c r="AC7578" s="260"/>
      <c r="AD7578" s="260"/>
      <c r="AE7578" s="260"/>
      <c r="AF7578" s="260"/>
      <c r="AG7578" s="330"/>
    </row>
    <row r="7579" spans="13:33" hidden="1">
      <c r="N7579" s="239"/>
      <c r="O7579" s="225"/>
      <c r="P7579" s="260"/>
      <c r="Q7579" s="328"/>
      <c r="R7579" s="260"/>
      <c r="S7579" s="260"/>
      <c r="T7579" s="260"/>
      <c r="U7579" s="260"/>
      <c r="V7579" s="260"/>
      <c r="W7579" s="260"/>
      <c r="X7579" s="260"/>
      <c r="Y7579" s="260"/>
      <c r="Z7579" s="260"/>
      <c r="AA7579" s="260"/>
      <c r="AB7579" s="260"/>
      <c r="AC7579" s="260"/>
      <c r="AD7579" s="260"/>
      <c r="AE7579" s="260"/>
      <c r="AF7579" s="260"/>
      <c r="AG7579" s="330"/>
    </row>
    <row r="7580" spans="13:33" hidden="1">
      <c r="N7580" s="239"/>
      <c r="O7580" s="225"/>
      <c r="P7580" s="260"/>
      <c r="Q7580" s="328"/>
      <c r="R7580" s="260"/>
      <c r="S7580" s="260"/>
      <c r="T7580" s="260"/>
      <c r="U7580" s="260"/>
      <c r="V7580" s="260"/>
      <c r="W7580" s="260"/>
      <c r="X7580" s="260"/>
      <c r="Y7580" s="260"/>
      <c r="Z7580" s="260"/>
      <c r="AA7580" s="260"/>
      <c r="AB7580" s="260"/>
      <c r="AC7580" s="260"/>
      <c r="AD7580" s="260"/>
      <c r="AE7580" s="260"/>
      <c r="AF7580" s="260"/>
      <c r="AG7580" s="330"/>
    </row>
    <row r="7581" spans="13:33" hidden="1">
      <c r="N7581" s="239"/>
      <c r="O7581" s="225"/>
      <c r="P7581" s="260"/>
      <c r="Q7581" s="328"/>
      <c r="R7581" s="260"/>
      <c r="S7581" s="260"/>
      <c r="T7581" s="260"/>
      <c r="U7581" s="260"/>
      <c r="V7581" s="260"/>
      <c r="W7581" s="260"/>
      <c r="X7581" s="260"/>
      <c r="Y7581" s="260"/>
      <c r="Z7581" s="260"/>
      <c r="AA7581" s="260"/>
      <c r="AB7581" s="260"/>
      <c r="AC7581" s="260"/>
      <c r="AD7581" s="260"/>
      <c r="AE7581" s="260"/>
      <c r="AF7581" s="260"/>
      <c r="AG7581" s="330"/>
    </row>
    <row r="7582" spans="13:33" hidden="1">
      <c r="N7582" s="239"/>
      <c r="O7582" s="225"/>
      <c r="P7582" s="260"/>
      <c r="Q7582" s="328"/>
      <c r="R7582" s="260"/>
      <c r="S7582" s="260"/>
      <c r="T7582" s="260"/>
      <c r="U7582" s="260"/>
      <c r="V7582" s="260"/>
      <c r="W7582" s="260"/>
      <c r="X7582" s="260"/>
      <c r="Y7582" s="260"/>
      <c r="Z7582" s="260"/>
      <c r="AA7582" s="260"/>
      <c r="AB7582" s="260"/>
      <c r="AC7582" s="260"/>
      <c r="AD7582" s="260"/>
      <c r="AE7582" s="260"/>
      <c r="AF7582" s="260"/>
      <c r="AG7582" s="330"/>
    </row>
    <row r="7583" spans="13:33" hidden="1">
      <c r="N7583" s="239"/>
      <c r="O7583" s="225"/>
      <c r="P7583" s="260"/>
      <c r="Q7583" s="328"/>
      <c r="R7583" s="260"/>
      <c r="S7583" s="260"/>
      <c r="T7583" s="260"/>
      <c r="U7583" s="260"/>
      <c r="V7583" s="260"/>
      <c r="W7583" s="260"/>
      <c r="X7583" s="260"/>
      <c r="Y7583" s="260"/>
      <c r="Z7583" s="260"/>
      <c r="AA7583" s="260"/>
      <c r="AB7583" s="260"/>
      <c r="AC7583" s="260"/>
      <c r="AD7583" s="260"/>
      <c r="AE7583" s="260"/>
      <c r="AF7583" s="260"/>
      <c r="AG7583" s="330"/>
    </row>
    <row r="7584" spans="13:33" hidden="1">
      <c r="N7584" s="239"/>
      <c r="O7584" s="225"/>
      <c r="P7584" s="260"/>
      <c r="Q7584" s="328"/>
      <c r="R7584" s="260"/>
      <c r="S7584" s="260"/>
      <c r="T7584" s="260"/>
      <c r="U7584" s="260"/>
      <c r="V7584" s="260"/>
      <c r="W7584" s="260"/>
      <c r="X7584" s="260"/>
      <c r="Y7584" s="260"/>
      <c r="Z7584" s="260"/>
      <c r="AA7584" s="260"/>
      <c r="AB7584" s="260"/>
      <c r="AC7584" s="260"/>
      <c r="AD7584" s="260"/>
      <c r="AE7584" s="260"/>
      <c r="AF7584" s="260"/>
      <c r="AG7584" s="330"/>
    </row>
    <row r="7585" spans="14:33" hidden="1">
      <c r="N7585" s="239"/>
      <c r="O7585" s="225"/>
      <c r="P7585" s="260"/>
      <c r="Q7585" s="328"/>
      <c r="R7585" s="260"/>
      <c r="S7585" s="260"/>
      <c r="T7585" s="260"/>
      <c r="U7585" s="260"/>
      <c r="V7585" s="260"/>
      <c r="W7585" s="260"/>
      <c r="X7585" s="260"/>
      <c r="Y7585" s="260"/>
      <c r="Z7585" s="260"/>
      <c r="AA7585" s="260"/>
      <c r="AB7585" s="260"/>
      <c r="AC7585" s="260"/>
      <c r="AD7585" s="260"/>
      <c r="AE7585" s="260"/>
      <c r="AF7585" s="260"/>
      <c r="AG7585" s="330"/>
    </row>
    <row r="7586" spans="14:33" hidden="1">
      <c r="N7586" s="239"/>
      <c r="O7586" s="225"/>
      <c r="P7586" s="260"/>
      <c r="Q7586" s="328"/>
      <c r="R7586" s="260"/>
      <c r="S7586" s="260"/>
      <c r="T7586" s="260"/>
      <c r="U7586" s="260"/>
      <c r="V7586" s="260"/>
      <c r="W7586" s="260"/>
      <c r="X7586" s="260"/>
      <c r="Y7586" s="260"/>
      <c r="Z7586" s="260"/>
      <c r="AA7586" s="260"/>
      <c r="AB7586" s="260"/>
      <c r="AC7586" s="260"/>
      <c r="AD7586" s="260"/>
      <c r="AE7586" s="260"/>
      <c r="AF7586" s="260"/>
      <c r="AG7586" s="330"/>
    </row>
    <row r="7587" spans="14:33" hidden="1">
      <c r="N7587" s="239"/>
      <c r="O7587" s="225"/>
      <c r="P7587" s="260"/>
      <c r="Q7587" s="328"/>
      <c r="R7587" s="260"/>
      <c r="S7587" s="260"/>
      <c r="T7587" s="260"/>
      <c r="U7587" s="260"/>
      <c r="V7587" s="260"/>
      <c r="W7587" s="260"/>
      <c r="X7587" s="260"/>
      <c r="Y7587" s="260"/>
      <c r="Z7587" s="260"/>
      <c r="AA7587" s="260"/>
      <c r="AB7587" s="260"/>
      <c r="AC7587" s="260"/>
      <c r="AD7587" s="260"/>
      <c r="AE7587" s="260"/>
      <c r="AF7587" s="260"/>
      <c r="AG7587" s="330"/>
    </row>
    <row r="7588" spans="14:33" hidden="1">
      <c r="N7588" s="239"/>
      <c r="O7588" s="225"/>
      <c r="P7588" s="260"/>
      <c r="Q7588" s="328"/>
      <c r="R7588" s="260"/>
      <c r="S7588" s="260"/>
      <c r="T7588" s="260"/>
      <c r="U7588" s="260"/>
      <c r="V7588" s="260"/>
      <c r="W7588" s="260"/>
      <c r="X7588" s="260"/>
      <c r="Y7588" s="260"/>
      <c r="Z7588" s="260"/>
      <c r="AA7588" s="260"/>
      <c r="AB7588" s="260"/>
      <c r="AC7588" s="260"/>
      <c r="AD7588" s="260"/>
      <c r="AE7588" s="260"/>
      <c r="AF7588" s="260"/>
      <c r="AG7588" s="330"/>
    </row>
    <row r="7589" spans="14:33" hidden="1">
      <c r="N7589" s="239"/>
      <c r="O7589" s="225"/>
      <c r="P7589" s="260"/>
      <c r="Q7589" s="328"/>
      <c r="R7589" s="260"/>
      <c r="S7589" s="260"/>
      <c r="T7589" s="260"/>
      <c r="U7589" s="260"/>
      <c r="V7589" s="260"/>
      <c r="W7589" s="260"/>
      <c r="X7589" s="260"/>
      <c r="Y7589" s="260"/>
      <c r="Z7589" s="260"/>
      <c r="AA7589" s="260"/>
      <c r="AB7589" s="260"/>
      <c r="AC7589" s="260"/>
      <c r="AD7589" s="260"/>
      <c r="AE7589" s="260"/>
      <c r="AF7589" s="260"/>
      <c r="AG7589" s="330"/>
    </row>
    <row r="7590" spans="14:33" hidden="1">
      <c r="N7590" s="239"/>
      <c r="O7590" s="225"/>
      <c r="P7590" s="260"/>
      <c r="Q7590" s="328"/>
      <c r="R7590" s="260"/>
      <c r="S7590" s="260"/>
      <c r="T7590" s="260"/>
      <c r="U7590" s="260"/>
      <c r="V7590" s="260"/>
      <c r="W7590" s="260"/>
      <c r="X7590" s="260"/>
      <c r="Y7590" s="260"/>
      <c r="Z7590" s="260"/>
      <c r="AA7590" s="260"/>
      <c r="AB7590" s="260"/>
      <c r="AC7590" s="260"/>
      <c r="AD7590" s="260"/>
      <c r="AE7590" s="260"/>
      <c r="AF7590" s="260"/>
      <c r="AG7590" s="330"/>
    </row>
    <row r="7591" spans="14:33" hidden="1">
      <c r="N7591" s="239"/>
      <c r="O7591" s="225"/>
      <c r="P7591" s="260"/>
      <c r="Q7591" s="328"/>
      <c r="R7591" s="260"/>
      <c r="S7591" s="260"/>
      <c r="T7591" s="260"/>
      <c r="U7591" s="260"/>
      <c r="V7591" s="260"/>
      <c r="W7591" s="260"/>
      <c r="X7591" s="260"/>
      <c r="Y7591" s="260"/>
      <c r="Z7591" s="260"/>
      <c r="AA7591" s="260"/>
      <c r="AB7591" s="260"/>
      <c r="AC7591" s="260"/>
      <c r="AD7591" s="260"/>
      <c r="AE7591" s="260"/>
      <c r="AF7591" s="260"/>
      <c r="AG7591" s="330"/>
    </row>
    <row r="7592" spans="14:33" hidden="1">
      <c r="N7592" s="239"/>
      <c r="O7592" s="225"/>
      <c r="P7592" s="260"/>
      <c r="Q7592" s="328"/>
      <c r="R7592" s="260"/>
      <c r="S7592" s="260"/>
      <c r="T7592" s="260"/>
      <c r="U7592" s="260"/>
      <c r="V7592" s="260"/>
      <c r="W7592" s="260"/>
      <c r="X7592" s="260"/>
      <c r="Y7592" s="260"/>
      <c r="Z7592" s="260"/>
      <c r="AA7592" s="260"/>
      <c r="AB7592" s="260"/>
      <c r="AC7592" s="260"/>
      <c r="AD7592" s="260"/>
      <c r="AE7592" s="260"/>
      <c r="AF7592" s="260"/>
      <c r="AG7592" s="330"/>
    </row>
    <row r="7593" spans="14:33" hidden="1">
      <c r="N7593" s="239"/>
      <c r="O7593" s="225"/>
      <c r="P7593" s="260"/>
      <c r="Q7593" s="328"/>
      <c r="R7593" s="260"/>
      <c r="S7593" s="260"/>
      <c r="T7593" s="260"/>
      <c r="U7593" s="260"/>
      <c r="V7593" s="260"/>
      <c r="W7593" s="260"/>
      <c r="X7593" s="260"/>
      <c r="Y7593" s="260"/>
      <c r="Z7593" s="260"/>
      <c r="AA7593" s="260"/>
      <c r="AB7593" s="260"/>
      <c r="AC7593" s="260"/>
      <c r="AD7593" s="260"/>
      <c r="AE7593" s="260"/>
      <c r="AF7593" s="260"/>
      <c r="AG7593" s="330"/>
    </row>
    <row r="7594" spans="14:33" hidden="1">
      <c r="N7594" s="239"/>
      <c r="O7594" s="225"/>
      <c r="P7594" s="260"/>
      <c r="Q7594" s="328"/>
      <c r="R7594" s="260"/>
      <c r="S7594" s="260"/>
      <c r="T7594" s="260"/>
      <c r="U7594" s="260"/>
      <c r="V7594" s="260"/>
      <c r="W7594" s="260"/>
      <c r="X7594" s="260"/>
      <c r="Y7594" s="260"/>
      <c r="Z7594" s="260"/>
      <c r="AA7594" s="260"/>
      <c r="AB7594" s="260"/>
      <c r="AC7594" s="260"/>
      <c r="AD7594" s="260"/>
      <c r="AE7594" s="260"/>
      <c r="AF7594" s="260"/>
      <c r="AG7594" s="330"/>
    </row>
    <row r="7595" spans="14:33" hidden="1">
      <c r="N7595" s="239"/>
      <c r="O7595" s="225"/>
      <c r="P7595" s="260"/>
      <c r="Q7595" s="328"/>
      <c r="R7595" s="260"/>
      <c r="S7595" s="260"/>
      <c r="T7595" s="260"/>
      <c r="U7595" s="260"/>
      <c r="V7595" s="260"/>
      <c r="W7595" s="260"/>
      <c r="X7595" s="260"/>
      <c r="Y7595" s="260"/>
      <c r="Z7595" s="260"/>
      <c r="AA7595" s="260"/>
      <c r="AB7595" s="260"/>
      <c r="AC7595" s="260"/>
      <c r="AD7595" s="260"/>
      <c r="AE7595" s="260"/>
      <c r="AF7595" s="260"/>
      <c r="AG7595" s="330"/>
    </row>
    <row r="7596" spans="14:33" hidden="1">
      <c r="N7596" s="239"/>
      <c r="O7596" s="225"/>
      <c r="P7596" s="260"/>
      <c r="Q7596" s="328"/>
      <c r="R7596" s="260"/>
      <c r="S7596" s="260"/>
      <c r="T7596" s="260"/>
      <c r="U7596" s="260"/>
      <c r="V7596" s="260"/>
      <c r="W7596" s="260"/>
      <c r="X7596" s="260"/>
      <c r="Y7596" s="260"/>
      <c r="Z7596" s="260"/>
      <c r="AA7596" s="260"/>
      <c r="AB7596" s="260"/>
      <c r="AC7596" s="260"/>
      <c r="AD7596" s="260"/>
      <c r="AE7596" s="260"/>
      <c r="AF7596" s="260"/>
      <c r="AG7596" s="330"/>
    </row>
    <row r="7597" spans="14:33" hidden="1">
      <c r="N7597" s="239"/>
      <c r="O7597" s="225"/>
      <c r="P7597" s="260"/>
      <c r="Q7597" s="328"/>
      <c r="R7597" s="260"/>
      <c r="S7597" s="260"/>
      <c r="T7597" s="260"/>
      <c r="U7597" s="260"/>
      <c r="V7597" s="260"/>
      <c r="W7597" s="260"/>
      <c r="X7597" s="260"/>
      <c r="Y7597" s="260"/>
      <c r="Z7597" s="260"/>
      <c r="AA7597" s="260"/>
      <c r="AB7597" s="260"/>
      <c r="AC7597" s="260"/>
      <c r="AD7597" s="260"/>
      <c r="AE7597" s="260"/>
      <c r="AF7597" s="260"/>
      <c r="AG7597" s="330"/>
    </row>
    <row r="7598" spans="14:33" hidden="1">
      <c r="N7598" s="239"/>
      <c r="O7598" s="225"/>
      <c r="P7598" s="260"/>
      <c r="Q7598" s="328"/>
      <c r="R7598" s="260"/>
      <c r="S7598" s="260"/>
      <c r="T7598" s="260"/>
      <c r="U7598" s="260"/>
      <c r="V7598" s="260"/>
      <c r="W7598" s="260"/>
      <c r="X7598" s="260"/>
      <c r="Y7598" s="260"/>
      <c r="Z7598" s="260"/>
      <c r="AA7598" s="260"/>
      <c r="AB7598" s="260"/>
      <c r="AC7598" s="260"/>
      <c r="AD7598" s="260"/>
      <c r="AE7598" s="260"/>
      <c r="AF7598" s="260"/>
      <c r="AG7598" s="330"/>
    </row>
    <row r="7599" spans="14:33" hidden="1">
      <c r="N7599" s="239"/>
      <c r="O7599" s="225"/>
      <c r="P7599" s="260"/>
      <c r="Q7599" s="328"/>
      <c r="R7599" s="260"/>
      <c r="S7599" s="260"/>
      <c r="T7599" s="260"/>
      <c r="U7599" s="260"/>
      <c r="V7599" s="260"/>
      <c r="W7599" s="260"/>
      <c r="X7599" s="260"/>
      <c r="Y7599" s="260"/>
      <c r="Z7599" s="260"/>
      <c r="AA7599" s="260"/>
      <c r="AB7599" s="260"/>
      <c r="AC7599" s="260"/>
      <c r="AD7599" s="260"/>
      <c r="AE7599" s="260"/>
      <c r="AF7599" s="260"/>
      <c r="AG7599" s="330"/>
    </row>
    <row r="7600" spans="14:33" hidden="1">
      <c r="N7600" s="239"/>
      <c r="O7600" s="225"/>
      <c r="P7600" s="260"/>
      <c r="Q7600" s="328"/>
      <c r="R7600" s="260"/>
      <c r="S7600" s="260"/>
      <c r="T7600" s="260"/>
      <c r="U7600" s="260"/>
      <c r="V7600" s="260"/>
      <c r="W7600" s="260"/>
      <c r="X7600" s="260"/>
      <c r="Y7600" s="260"/>
      <c r="Z7600" s="260"/>
      <c r="AA7600" s="260"/>
      <c r="AB7600" s="260"/>
      <c r="AC7600" s="260"/>
      <c r="AD7600" s="260"/>
      <c r="AE7600" s="260"/>
      <c r="AF7600" s="260"/>
      <c r="AG7600" s="330"/>
    </row>
    <row r="7601" spans="14:33" hidden="1">
      <c r="N7601" s="239"/>
      <c r="O7601" s="225"/>
      <c r="P7601" s="260"/>
      <c r="Q7601" s="328"/>
      <c r="R7601" s="260"/>
      <c r="S7601" s="260"/>
      <c r="T7601" s="260"/>
      <c r="U7601" s="260"/>
      <c r="V7601" s="260"/>
      <c r="W7601" s="260"/>
      <c r="X7601" s="260"/>
      <c r="Y7601" s="260"/>
      <c r="Z7601" s="260"/>
      <c r="AA7601" s="260"/>
      <c r="AB7601" s="260"/>
      <c r="AC7601" s="260"/>
      <c r="AD7601" s="260"/>
      <c r="AE7601" s="260"/>
      <c r="AF7601" s="260"/>
      <c r="AG7601" s="330"/>
    </row>
    <row r="7602" spans="14:33" hidden="1">
      <c r="N7602" s="239"/>
      <c r="O7602" s="225"/>
      <c r="P7602" s="260"/>
      <c r="Q7602" s="328"/>
      <c r="R7602" s="260"/>
      <c r="S7602" s="260"/>
      <c r="T7602" s="260"/>
      <c r="U7602" s="260"/>
      <c r="V7602" s="260"/>
      <c r="W7602" s="260"/>
      <c r="X7602" s="260"/>
      <c r="Y7602" s="260"/>
      <c r="Z7602" s="260"/>
      <c r="AA7602" s="260"/>
      <c r="AB7602" s="260"/>
      <c r="AC7602" s="260"/>
      <c r="AD7602" s="260"/>
      <c r="AE7602" s="260"/>
      <c r="AF7602" s="260"/>
      <c r="AG7602" s="330"/>
    </row>
    <row r="7603" spans="14:33" hidden="1">
      <c r="N7603" s="239"/>
      <c r="O7603" s="225"/>
      <c r="P7603" s="260"/>
      <c r="Q7603" s="328"/>
      <c r="R7603" s="260"/>
      <c r="S7603" s="260"/>
      <c r="T7603" s="260"/>
      <c r="U7603" s="260"/>
      <c r="V7603" s="260"/>
      <c r="W7603" s="260"/>
      <c r="X7603" s="260"/>
      <c r="Y7603" s="260"/>
      <c r="Z7603" s="260"/>
      <c r="AA7603" s="260"/>
      <c r="AB7603" s="260"/>
      <c r="AC7603" s="260"/>
      <c r="AD7603" s="260"/>
      <c r="AE7603" s="260"/>
      <c r="AF7603" s="260"/>
      <c r="AG7603" s="330"/>
    </row>
    <row r="7604" spans="14:33" hidden="1">
      <c r="N7604" s="239"/>
      <c r="O7604" s="225"/>
      <c r="P7604" s="260"/>
      <c r="Q7604" s="328"/>
      <c r="R7604" s="260"/>
      <c r="S7604" s="260"/>
      <c r="T7604" s="260"/>
      <c r="U7604" s="260"/>
      <c r="V7604" s="260"/>
      <c r="W7604" s="260"/>
      <c r="X7604" s="260"/>
      <c r="Y7604" s="260"/>
      <c r="Z7604" s="260"/>
      <c r="AA7604" s="260"/>
      <c r="AB7604" s="260"/>
      <c r="AC7604" s="260"/>
      <c r="AD7604" s="260"/>
      <c r="AE7604" s="260"/>
      <c r="AF7604" s="260"/>
      <c r="AG7604" s="330"/>
    </row>
    <row r="7605" spans="14:33" hidden="1">
      <c r="N7605" s="239"/>
      <c r="O7605" s="225"/>
      <c r="P7605" s="260"/>
      <c r="Q7605" s="328"/>
      <c r="R7605" s="260"/>
      <c r="S7605" s="260"/>
      <c r="T7605" s="260"/>
      <c r="U7605" s="260"/>
      <c r="V7605" s="260"/>
      <c r="W7605" s="260"/>
      <c r="X7605" s="260"/>
      <c r="Y7605" s="260"/>
      <c r="Z7605" s="260"/>
      <c r="AA7605" s="260"/>
      <c r="AB7605" s="260"/>
      <c r="AC7605" s="260"/>
      <c r="AD7605" s="260"/>
      <c r="AE7605" s="260"/>
      <c r="AF7605" s="260"/>
      <c r="AG7605" s="330"/>
    </row>
    <row r="7606" spans="14:33" hidden="1">
      <c r="N7606" s="239"/>
      <c r="O7606" s="225"/>
      <c r="P7606" s="260"/>
      <c r="Q7606" s="328"/>
      <c r="R7606" s="260"/>
      <c r="S7606" s="260"/>
      <c r="T7606" s="260"/>
      <c r="U7606" s="260"/>
      <c r="V7606" s="260"/>
      <c r="W7606" s="260"/>
      <c r="X7606" s="260"/>
      <c r="Y7606" s="260"/>
      <c r="Z7606" s="260"/>
      <c r="AA7606" s="260"/>
      <c r="AB7606" s="260"/>
      <c r="AC7606" s="260"/>
      <c r="AD7606" s="260"/>
      <c r="AE7606" s="260"/>
      <c r="AF7606" s="260"/>
      <c r="AG7606" s="330"/>
    </row>
    <row r="7607" spans="14:33" hidden="1">
      <c r="N7607" s="239"/>
      <c r="O7607" s="225"/>
      <c r="P7607" s="260"/>
      <c r="Q7607" s="328"/>
      <c r="R7607" s="260"/>
      <c r="S7607" s="260"/>
      <c r="T7607" s="260"/>
      <c r="U7607" s="260"/>
      <c r="V7607" s="260"/>
      <c r="W7607" s="260"/>
      <c r="X7607" s="260"/>
      <c r="Y7607" s="260"/>
      <c r="Z7607" s="260"/>
      <c r="AA7607" s="260"/>
      <c r="AB7607" s="260"/>
      <c r="AC7607" s="260"/>
      <c r="AD7607" s="260"/>
      <c r="AE7607" s="260"/>
      <c r="AF7607" s="260"/>
      <c r="AG7607" s="330"/>
    </row>
    <row r="7608" spans="14:33" hidden="1">
      <c r="N7608" s="239"/>
      <c r="O7608" s="225"/>
      <c r="P7608" s="260"/>
      <c r="Q7608" s="328"/>
      <c r="R7608" s="260"/>
      <c r="S7608" s="260"/>
      <c r="T7608" s="260"/>
      <c r="U7608" s="260"/>
      <c r="V7608" s="260"/>
      <c r="W7608" s="260"/>
      <c r="X7608" s="260"/>
      <c r="Y7608" s="260"/>
      <c r="Z7608" s="260"/>
      <c r="AA7608" s="260"/>
      <c r="AB7608" s="260"/>
      <c r="AC7608" s="260"/>
      <c r="AD7608" s="260"/>
      <c r="AE7608" s="260"/>
      <c r="AF7608" s="260"/>
      <c r="AG7608" s="330"/>
    </row>
    <row r="7609" spans="14:33" hidden="1">
      <c r="N7609" s="239"/>
      <c r="O7609" s="225"/>
      <c r="P7609" s="260"/>
      <c r="Q7609" s="328"/>
      <c r="R7609" s="260"/>
      <c r="S7609" s="260"/>
      <c r="T7609" s="260"/>
      <c r="U7609" s="260"/>
      <c r="V7609" s="260"/>
      <c r="W7609" s="260"/>
      <c r="X7609" s="260"/>
      <c r="Y7609" s="260"/>
      <c r="Z7609" s="260"/>
      <c r="AA7609" s="260"/>
      <c r="AB7609" s="260"/>
      <c r="AC7609" s="260"/>
      <c r="AD7609" s="260"/>
      <c r="AE7609" s="260"/>
      <c r="AF7609" s="260"/>
      <c r="AG7609" s="330"/>
    </row>
    <row r="7610" spans="14:33" hidden="1">
      <c r="N7610" s="239"/>
      <c r="O7610" s="225"/>
      <c r="P7610" s="260"/>
      <c r="Q7610" s="328"/>
      <c r="R7610" s="260"/>
      <c r="S7610" s="260"/>
      <c r="T7610" s="260"/>
      <c r="U7610" s="260"/>
      <c r="V7610" s="260"/>
      <c r="W7610" s="260"/>
      <c r="X7610" s="260"/>
      <c r="Y7610" s="260"/>
      <c r="Z7610" s="260"/>
      <c r="AA7610" s="260"/>
      <c r="AB7610" s="260"/>
      <c r="AC7610" s="260"/>
      <c r="AD7610" s="260"/>
      <c r="AE7610" s="260"/>
      <c r="AF7610" s="260"/>
      <c r="AG7610" s="330"/>
    </row>
    <row r="7611" spans="14:33" hidden="1">
      <c r="N7611" s="239"/>
      <c r="O7611" s="225"/>
      <c r="P7611" s="260"/>
      <c r="Q7611" s="328"/>
      <c r="R7611" s="260"/>
      <c r="S7611" s="260"/>
      <c r="T7611" s="260"/>
      <c r="U7611" s="260"/>
      <c r="V7611" s="260"/>
      <c r="W7611" s="260"/>
      <c r="X7611" s="260"/>
      <c r="Y7611" s="260"/>
      <c r="Z7611" s="260"/>
      <c r="AA7611" s="260"/>
      <c r="AB7611" s="260"/>
      <c r="AC7611" s="260"/>
      <c r="AD7611" s="260"/>
      <c r="AE7611" s="260"/>
      <c r="AF7611" s="260"/>
      <c r="AG7611" s="330"/>
    </row>
    <row r="7612" spans="14:33" hidden="1">
      <c r="N7612" s="239"/>
      <c r="O7612" s="225"/>
      <c r="P7612" s="260"/>
      <c r="Q7612" s="328"/>
      <c r="R7612" s="260"/>
      <c r="S7612" s="260"/>
      <c r="T7612" s="260"/>
      <c r="U7612" s="260"/>
      <c r="V7612" s="260"/>
      <c r="W7612" s="260"/>
      <c r="X7612" s="260"/>
      <c r="Y7612" s="260"/>
      <c r="Z7612" s="260"/>
      <c r="AA7612" s="260"/>
      <c r="AB7612" s="260"/>
      <c r="AC7612" s="260"/>
      <c r="AD7612" s="260"/>
      <c r="AE7612" s="260"/>
      <c r="AF7612" s="260"/>
      <c r="AG7612" s="330"/>
    </row>
    <row r="7613" spans="14:33" hidden="1">
      <c r="N7613" s="239"/>
      <c r="O7613" s="225"/>
      <c r="P7613" s="260"/>
      <c r="Q7613" s="328"/>
      <c r="R7613" s="260"/>
      <c r="S7613" s="260"/>
      <c r="T7613" s="260"/>
      <c r="U7613" s="260"/>
      <c r="V7613" s="260"/>
      <c r="W7613" s="260"/>
      <c r="X7613" s="260"/>
      <c r="Y7613" s="260"/>
      <c r="Z7613" s="260"/>
      <c r="AA7613" s="260"/>
      <c r="AB7613" s="260"/>
      <c r="AC7613" s="260"/>
      <c r="AD7613" s="260"/>
      <c r="AE7613" s="260"/>
      <c r="AF7613" s="260"/>
      <c r="AG7613" s="330"/>
    </row>
    <row r="7614" spans="14:33" hidden="1">
      <c r="N7614" s="239"/>
      <c r="O7614" s="225"/>
      <c r="P7614" s="260"/>
      <c r="Q7614" s="328"/>
      <c r="R7614" s="260"/>
      <c r="S7614" s="260"/>
      <c r="T7614" s="260"/>
      <c r="U7614" s="260"/>
      <c r="V7614" s="260"/>
      <c r="W7614" s="260"/>
      <c r="X7614" s="260"/>
      <c r="Y7614" s="260"/>
      <c r="Z7614" s="260"/>
      <c r="AA7614" s="260"/>
      <c r="AB7614" s="260"/>
      <c r="AC7614" s="260"/>
      <c r="AD7614" s="260"/>
      <c r="AE7614" s="260"/>
      <c r="AF7614" s="260"/>
      <c r="AG7614" s="330"/>
    </row>
    <row r="7615" spans="14:33" hidden="1">
      <c r="N7615" s="239"/>
      <c r="O7615" s="225"/>
      <c r="P7615" s="260"/>
      <c r="Q7615" s="328"/>
      <c r="R7615" s="260"/>
      <c r="S7615" s="260"/>
      <c r="T7615" s="260"/>
      <c r="U7615" s="260"/>
      <c r="V7615" s="260"/>
      <c r="W7615" s="260"/>
      <c r="X7615" s="260"/>
      <c r="Y7615" s="260"/>
      <c r="Z7615" s="260"/>
      <c r="AA7615" s="260"/>
      <c r="AB7615" s="260"/>
      <c r="AC7615" s="260"/>
      <c r="AD7615" s="260"/>
      <c r="AE7615" s="260"/>
      <c r="AF7615" s="260"/>
      <c r="AG7615" s="330"/>
    </row>
    <row r="7616" spans="14:33" hidden="1">
      <c r="N7616" s="239"/>
      <c r="O7616" s="225"/>
      <c r="P7616" s="260"/>
      <c r="Q7616" s="328"/>
      <c r="R7616" s="260"/>
      <c r="S7616" s="260"/>
      <c r="T7616" s="260"/>
      <c r="U7616" s="260"/>
      <c r="V7616" s="260"/>
      <c r="W7616" s="260"/>
      <c r="X7616" s="260"/>
      <c r="Y7616" s="260"/>
      <c r="Z7616" s="260"/>
      <c r="AA7616" s="260"/>
      <c r="AB7616" s="260"/>
      <c r="AC7616" s="260"/>
      <c r="AD7616" s="260"/>
      <c r="AE7616" s="260"/>
      <c r="AF7616" s="260"/>
      <c r="AG7616" s="330"/>
    </row>
    <row r="7617" spans="14:33" hidden="1">
      <c r="N7617" s="239"/>
      <c r="O7617" s="225"/>
      <c r="P7617" s="260"/>
      <c r="Q7617" s="328"/>
      <c r="R7617" s="260"/>
      <c r="S7617" s="260"/>
      <c r="T7617" s="260"/>
      <c r="U7617" s="260"/>
      <c r="V7617" s="260"/>
      <c r="W7617" s="260"/>
      <c r="X7617" s="260"/>
      <c r="Y7617" s="260"/>
      <c r="Z7617" s="260"/>
      <c r="AA7617" s="260"/>
      <c r="AB7617" s="260"/>
      <c r="AC7617" s="260"/>
      <c r="AD7617" s="260"/>
      <c r="AE7617" s="260"/>
      <c r="AF7617" s="260"/>
      <c r="AG7617" s="330"/>
    </row>
    <row r="7618" spans="14:33" hidden="1">
      <c r="N7618" s="239"/>
      <c r="O7618" s="225"/>
      <c r="P7618" s="260"/>
      <c r="Q7618" s="328"/>
      <c r="R7618" s="260"/>
      <c r="S7618" s="260"/>
      <c r="T7618" s="260"/>
      <c r="U7618" s="260"/>
      <c r="V7618" s="260"/>
      <c r="W7618" s="260"/>
      <c r="X7618" s="260"/>
      <c r="Y7618" s="260"/>
      <c r="Z7618" s="260"/>
      <c r="AA7618" s="260"/>
      <c r="AB7618" s="260"/>
      <c r="AC7618" s="260"/>
      <c r="AD7618" s="260"/>
      <c r="AE7618" s="260"/>
      <c r="AF7618" s="260"/>
      <c r="AG7618" s="330"/>
    </row>
    <row r="7619" spans="14:33" hidden="1">
      <c r="N7619" s="239"/>
      <c r="O7619" s="225"/>
      <c r="P7619" s="260"/>
      <c r="Q7619" s="328"/>
      <c r="R7619" s="260"/>
      <c r="S7619" s="260"/>
      <c r="T7619" s="260"/>
      <c r="U7619" s="260"/>
      <c r="V7619" s="260"/>
      <c r="W7619" s="260"/>
      <c r="X7619" s="260"/>
      <c r="Y7619" s="260"/>
      <c r="Z7619" s="260"/>
      <c r="AA7619" s="260"/>
      <c r="AB7619" s="260"/>
      <c r="AC7619" s="260"/>
      <c r="AD7619" s="260"/>
      <c r="AE7619" s="260"/>
      <c r="AF7619" s="260"/>
      <c r="AG7619" s="330"/>
    </row>
    <row r="7620" spans="14:33" hidden="1">
      <c r="N7620" s="239"/>
      <c r="O7620" s="225"/>
      <c r="P7620" s="260"/>
      <c r="Q7620" s="328"/>
      <c r="R7620" s="260"/>
      <c r="S7620" s="260"/>
      <c r="T7620" s="260"/>
      <c r="U7620" s="260"/>
      <c r="V7620" s="260"/>
      <c r="W7620" s="260"/>
      <c r="X7620" s="260"/>
      <c r="Y7620" s="260"/>
      <c r="Z7620" s="260"/>
      <c r="AA7620" s="260"/>
      <c r="AB7620" s="260"/>
      <c r="AC7620" s="260"/>
      <c r="AD7620" s="260"/>
      <c r="AE7620" s="260"/>
      <c r="AF7620" s="260"/>
      <c r="AG7620" s="330"/>
    </row>
    <row r="7621" spans="14:33" hidden="1">
      <c r="N7621" s="239"/>
      <c r="O7621" s="225"/>
      <c r="P7621" s="260"/>
      <c r="Q7621" s="328"/>
      <c r="R7621" s="260"/>
      <c r="S7621" s="260"/>
      <c r="T7621" s="260"/>
      <c r="U7621" s="260"/>
      <c r="V7621" s="260"/>
      <c r="W7621" s="260"/>
      <c r="X7621" s="260"/>
      <c r="Y7621" s="260"/>
      <c r="Z7621" s="260"/>
      <c r="AA7621" s="260"/>
      <c r="AB7621" s="260"/>
      <c r="AC7621" s="260"/>
      <c r="AD7621" s="260"/>
      <c r="AE7621" s="260"/>
      <c r="AF7621" s="260"/>
      <c r="AG7621" s="330"/>
    </row>
    <row r="7622" spans="14:33" hidden="1">
      <c r="N7622" s="239"/>
      <c r="O7622" s="225"/>
      <c r="P7622" s="260"/>
      <c r="Q7622" s="328"/>
      <c r="R7622" s="260"/>
      <c r="S7622" s="260"/>
      <c r="T7622" s="260"/>
      <c r="U7622" s="260"/>
      <c r="V7622" s="260"/>
      <c r="W7622" s="260"/>
      <c r="X7622" s="260"/>
      <c r="Y7622" s="260"/>
      <c r="Z7622" s="260"/>
      <c r="AA7622" s="260"/>
      <c r="AB7622" s="260"/>
      <c r="AC7622" s="260"/>
      <c r="AD7622" s="260"/>
      <c r="AE7622" s="260"/>
      <c r="AF7622" s="260"/>
      <c r="AG7622" s="330"/>
    </row>
    <row r="7623" spans="14:33" hidden="1">
      <c r="N7623" s="239"/>
      <c r="O7623" s="225"/>
      <c r="P7623" s="260"/>
      <c r="Q7623" s="328"/>
      <c r="R7623" s="260"/>
      <c r="S7623" s="260"/>
      <c r="T7623" s="260"/>
      <c r="U7623" s="260"/>
      <c r="V7623" s="260"/>
      <c r="W7623" s="260"/>
      <c r="X7623" s="260"/>
      <c r="Y7623" s="260"/>
      <c r="Z7623" s="260"/>
      <c r="AA7623" s="260"/>
      <c r="AB7623" s="260"/>
      <c r="AC7623" s="260"/>
      <c r="AD7623" s="260"/>
      <c r="AE7623" s="260"/>
      <c r="AF7623" s="260"/>
      <c r="AG7623" s="330"/>
    </row>
    <row r="7624" spans="14:33" hidden="1">
      <c r="N7624" s="239"/>
      <c r="O7624" s="225"/>
      <c r="P7624" s="260"/>
      <c r="Q7624" s="328"/>
      <c r="R7624" s="260"/>
      <c r="S7624" s="260"/>
      <c r="T7624" s="260"/>
      <c r="U7624" s="260"/>
      <c r="V7624" s="260"/>
      <c r="W7624" s="260"/>
      <c r="X7624" s="260"/>
      <c r="Y7624" s="260"/>
      <c r="Z7624" s="260"/>
      <c r="AA7624" s="260"/>
      <c r="AB7624" s="260"/>
      <c r="AC7624" s="260"/>
      <c r="AD7624" s="260"/>
      <c r="AE7624" s="260"/>
      <c r="AF7624" s="260"/>
      <c r="AG7624" s="330"/>
    </row>
    <row r="7625" spans="14:33" hidden="1">
      <c r="N7625" s="239"/>
      <c r="O7625" s="225"/>
      <c r="P7625" s="260"/>
      <c r="Q7625" s="328"/>
      <c r="R7625" s="260"/>
      <c r="S7625" s="260"/>
      <c r="T7625" s="260"/>
      <c r="U7625" s="260"/>
      <c r="V7625" s="260"/>
      <c r="W7625" s="260"/>
      <c r="X7625" s="260"/>
      <c r="Y7625" s="260"/>
      <c r="Z7625" s="260"/>
      <c r="AA7625" s="260"/>
      <c r="AB7625" s="260"/>
      <c r="AC7625" s="260"/>
      <c r="AD7625" s="260"/>
      <c r="AE7625" s="260"/>
      <c r="AF7625" s="260"/>
      <c r="AG7625" s="330"/>
    </row>
    <row r="7626" spans="14:33" hidden="1">
      <c r="N7626" s="239"/>
      <c r="O7626" s="225"/>
      <c r="P7626" s="260"/>
      <c r="Q7626" s="328"/>
      <c r="R7626" s="260"/>
      <c r="S7626" s="260"/>
      <c r="T7626" s="260"/>
      <c r="U7626" s="260"/>
      <c r="V7626" s="260"/>
      <c r="W7626" s="260"/>
      <c r="X7626" s="260"/>
      <c r="Y7626" s="260"/>
      <c r="Z7626" s="260"/>
      <c r="AA7626" s="260"/>
      <c r="AB7626" s="260"/>
      <c r="AC7626" s="260"/>
      <c r="AD7626" s="260"/>
      <c r="AE7626" s="260"/>
      <c r="AF7626" s="260"/>
      <c r="AG7626" s="330"/>
    </row>
    <row r="7627" spans="14:33" hidden="1">
      <c r="N7627" s="239"/>
      <c r="O7627" s="225"/>
      <c r="P7627" s="260"/>
      <c r="Q7627" s="328"/>
      <c r="R7627" s="260"/>
      <c r="S7627" s="260"/>
      <c r="T7627" s="260"/>
      <c r="U7627" s="260"/>
      <c r="V7627" s="260"/>
      <c r="W7627" s="260"/>
      <c r="X7627" s="260"/>
      <c r="Y7627" s="260"/>
      <c r="Z7627" s="260"/>
      <c r="AA7627" s="260"/>
      <c r="AB7627" s="260"/>
      <c r="AC7627" s="260"/>
      <c r="AD7627" s="260"/>
      <c r="AE7627" s="260"/>
      <c r="AF7627" s="260"/>
      <c r="AG7627" s="330"/>
    </row>
    <row r="7628" spans="14:33" hidden="1">
      <c r="N7628" s="239"/>
      <c r="O7628" s="225"/>
      <c r="P7628" s="260"/>
      <c r="Q7628" s="328"/>
      <c r="R7628" s="260"/>
      <c r="S7628" s="260"/>
      <c r="T7628" s="260"/>
      <c r="U7628" s="260"/>
      <c r="V7628" s="260"/>
      <c r="W7628" s="260"/>
      <c r="X7628" s="260"/>
      <c r="Y7628" s="260"/>
      <c r="Z7628" s="260"/>
      <c r="AA7628" s="260"/>
      <c r="AB7628" s="260"/>
      <c r="AC7628" s="260"/>
      <c r="AD7628" s="260"/>
      <c r="AE7628" s="260"/>
      <c r="AF7628" s="260"/>
      <c r="AG7628" s="330"/>
    </row>
    <row r="7629" spans="14:33" hidden="1">
      <c r="N7629" s="239"/>
      <c r="O7629" s="225"/>
      <c r="P7629" s="260"/>
      <c r="Q7629" s="328"/>
      <c r="R7629" s="260"/>
      <c r="S7629" s="260"/>
      <c r="T7629" s="260"/>
      <c r="U7629" s="260"/>
      <c r="V7629" s="260"/>
      <c r="W7629" s="260"/>
      <c r="X7629" s="260"/>
      <c r="Y7629" s="260"/>
      <c r="Z7629" s="260"/>
      <c r="AA7629" s="260"/>
      <c r="AB7629" s="260"/>
      <c r="AC7629" s="260"/>
      <c r="AD7629" s="260"/>
      <c r="AE7629" s="260"/>
      <c r="AF7629" s="260"/>
      <c r="AG7629" s="330"/>
    </row>
    <row r="7630" spans="14:33" hidden="1">
      <c r="N7630" s="239"/>
      <c r="O7630" s="225"/>
      <c r="P7630" s="260"/>
      <c r="Q7630" s="328"/>
      <c r="R7630" s="260"/>
      <c r="S7630" s="260"/>
      <c r="T7630" s="260"/>
      <c r="U7630" s="260"/>
      <c r="V7630" s="260"/>
      <c r="W7630" s="260"/>
      <c r="X7630" s="260"/>
      <c r="Y7630" s="260"/>
      <c r="Z7630" s="260"/>
      <c r="AA7630" s="260"/>
      <c r="AB7630" s="260"/>
      <c r="AC7630" s="260"/>
      <c r="AD7630" s="260"/>
      <c r="AE7630" s="260"/>
      <c r="AF7630" s="260"/>
      <c r="AG7630" s="330"/>
    </row>
    <row r="7631" spans="14:33" hidden="1">
      <c r="N7631" s="239"/>
      <c r="O7631" s="225"/>
      <c r="P7631" s="260"/>
      <c r="Q7631" s="328"/>
      <c r="R7631" s="260"/>
      <c r="S7631" s="260"/>
      <c r="T7631" s="260"/>
      <c r="U7631" s="260"/>
      <c r="V7631" s="260"/>
      <c r="W7631" s="260"/>
      <c r="X7631" s="260"/>
      <c r="Y7631" s="260"/>
      <c r="Z7631" s="260"/>
      <c r="AA7631" s="260"/>
      <c r="AB7631" s="260"/>
      <c r="AC7631" s="260"/>
      <c r="AD7631" s="260"/>
      <c r="AE7631" s="260"/>
      <c r="AF7631" s="260"/>
      <c r="AG7631" s="330"/>
    </row>
    <row r="7632" spans="14:33" hidden="1">
      <c r="N7632" s="239"/>
      <c r="O7632" s="225"/>
      <c r="P7632" s="260"/>
      <c r="Q7632" s="328"/>
      <c r="R7632" s="260"/>
      <c r="S7632" s="260"/>
      <c r="T7632" s="260"/>
      <c r="U7632" s="260"/>
      <c r="V7632" s="260"/>
      <c r="W7632" s="260"/>
      <c r="X7632" s="260"/>
      <c r="Y7632" s="260"/>
      <c r="Z7632" s="260"/>
      <c r="AA7632" s="260"/>
      <c r="AB7632" s="260"/>
      <c r="AC7632" s="260"/>
      <c r="AD7632" s="260"/>
      <c r="AE7632" s="260"/>
      <c r="AF7632" s="260"/>
      <c r="AG7632" s="330"/>
    </row>
    <row r="7633" spans="14:33" hidden="1">
      <c r="N7633" s="239"/>
      <c r="O7633" s="225"/>
      <c r="P7633" s="260"/>
      <c r="Q7633" s="328"/>
      <c r="R7633" s="260"/>
      <c r="S7633" s="260"/>
      <c r="T7633" s="260"/>
      <c r="U7633" s="260"/>
      <c r="V7633" s="260"/>
      <c r="W7633" s="260"/>
      <c r="X7633" s="260"/>
      <c r="Y7633" s="260"/>
      <c r="Z7633" s="260"/>
      <c r="AA7633" s="260"/>
      <c r="AB7633" s="260"/>
      <c r="AC7633" s="260"/>
      <c r="AD7633" s="260"/>
      <c r="AE7633" s="260"/>
      <c r="AF7633" s="260"/>
      <c r="AG7633" s="330"/>
    </row>
    <row r="7634" spans="14:33" hidden="1">
      <c r="N7634" s="239"/>
      <c r="O7634" s="225"/>
      <c r="P7634" s="260"/>
      <c r="Q7634" s="328"/>
      <c r="R7634" s="260"/>
      <c r="S7634" s="260"/>
      <c r="T7634" s="260"/>
      <c r="U7634" s="260"/>
      <c r="V7634" s="260"/>
      <c r="W7634" s="260"/>
      <c r="X7634" s="260"/>
      <c r="Y7634" s="260"/>
      <c r="Z7634" s="260"/>
      <c r="AA7634" s="260"/>
      <c r="AB7634" s="260"/>
      <c r="AC7634" s="260"/>
      <c r="AD7634" s="260"/>
      <c r="AE7634" s="260"/>
      <c r="AF7634" s="260"/>
      <c r="AG7634" s="330"/>
    </row>
    <row r="7635" spans="14:33" hidden="1">
      <c r="N7635" s="239"/>
      <c r="O7635" s="225"/>
      <c r="P7635" s="260"/>
      <c r="Q7635" s="328"/>
      <c r="R7635" s="260"/>
      <c r="S7635" s="260"/>
      <c r="T7635" s="260"/>
      <c r="U7635" s="260"/>
      <c r="V7635" s="260"/>
      <c r="W7635" s="260"/>
      <c r="X7635" s="260"/>
      <c r="Y7635" s="260"/>
      <c r="Z7635" s="260"/>
      <c r="AA7635" s="260"/>
      <c r="AB7635" s="260"/>
      <c r="AC7635" s="260"/>
      <c r="AD7635" s="260"/>
      <c r="AE7635" s="260"/>
      <c r="AF7635" s="260"/>
      <c r="AG7635" s="330"/>
    </row>
    <row r="7636" spans="14:33" hidden="1">
      <c r="N7636" s="239"/>
      <c r="O7636" s="225"/>
      <c r="P7636" s="260"/>
      <c r="Q7636" s="328"/>
      <c r="R7636" s="260"/>
      <c r="S7636" s="260"/>
      <c r="T7636" s="260"/>
      <c r="U7636" s="260"/>
      <c r="V7636" s="260"/>
      <c r="W7636" s="260"/>
      <c r="X7636" s="260"/>
      <c r="Y7636" s="260"/>
      <c r="Z7636" s="260"/>
      <c r="AA7636" s="260"/>
      <c r="AB7636" s="260"/>
      <c r="AC7636" s="260"/>
      <c r="AD7636" s="260"/>
      <c r="AE7636" s="260"/>
      <c r="AF7636" s="260"/>
      <c r="AG7636" s="330"/>
    </row>
    <row r="7637" spans="14:33" hidden="1">
      <c r="N7637" s="239"/>
      <c r="O7637" s="225"/>
      <c r="P7637" s="260"/>
      <c r="Q7637" s="328"/>
      <c r="R7637" s="260"/>
      <c r="S7637" s="260"/>
      <c r="T7637" s="260"/>
      <c r="U7637" s="260"/>
      <c r="V7637" s="260"/>
      <c r="W7637" s="260"/>
      <c r="X7637" s="260"/>
      <c r="Y7637" s="260"/>
      <c r="Z7637" s="260"/>
      <c r="AA7637" s="260"/>
      <c r="AB7637" s="260"/>
      <c r="AC7637" s="260"/>
      <c r="AD7637" s="260"/>
      <c r="AE7637" s="260"/>
      <c r="AF7637" s="260"/>
      <c r="AG7637" s="330"/>
    </row>
    <row r="7638" spans="14:33" hidden="1">
      <c r="N7638" s="239"/>
      <c r="O7638" s="225"/>
      <c r="P7638" s="260"/>
      <c r="Q7638" s="328"/>
      <c r="R7638" s="260"/>
      <c r="S7638" s="260"/>
      <c r="T7638" s="260"/>
      <c r="U7638" s="260"/>
      <c r="V7638" s="260"/>
      <c r="W7638" s="260"/>
      <c r="X7638" s="260"/>
      <c r="Y7638" s="260"/>
      <c r="Z7638" s="260"/>
      <c r="AA7638" s="260"/>
      <c r="AB7638" s="260"/>
      <c r="AC7638" s="260"/>
      <c r="AD7638" s="260"/>
      <c r="AE7638" s="260"/>
      <c r="AF7638" s="260"/>
      <c r="AG7638" s="330"/>
    </row>
    <row r="7639" spans="14:33" hidden="1">
      <c r="N7639" s="239"/>
      <c r="O7639" s="225"/>
      <c r="P7639" s="260"/>
      <c r="Q7639" s="328"/>
      <c r="R7639" s="260"/>
      <c r="S7639" s="260"/>
      <c r="T7639" s="260"/>
      <c r="U7639" s="260"/>
      <c r="V7639" s="260"/>
      <c r="W7639" s="260"/>
      <c r="X7639" s="260"/>
      <c r="Y7639" s="260"/>
      <c r="Z7639" s="260"/>
      <c r="AA7639" s="260"/>
      <c r="AB7639" s="260"/>
      <c r="AC7639" s="260"/>
      <c r="AD7639" s="260"/>
      <c r="AE7639" s="260"/>
      <c r="AF7639" s="260"/>
      <c r="AG7639" s="330"/>
    </row>
    <row r="7640" spans="14:33" hidden="1">
      <c r="N7640" s="239"/>
      <c r="O7640" s="225"/>
      <c r="P7640" s="260"/>
      <c r="Q7640" s="328"/>
      <c r="R7640" s="260"/>
      <c r="S7640" s="260"/>
      <c r="T7640" s="260"/>
      <c r="U7640" s="260"/>
      <c r="V7640" s="260"/>
      <c r="W7640" s="260"/>
      <c r="X7640" s="260"/>
      <c r="Y7640" s="260"/>
      <c r="Z7640" s="260"/>
      <c r="AA7640" s="260"/>
      <c r="AB7640" s="260"/>
      <c r="AC7640" s="260"/>
      <c r="AD7640" s="260"/>
      <c r="AE7640" s="260"/>
      <c r="AF7640" s="260"/>
      <c r="AG7640" s="330"/>
    </row>
    <row r="7641" spans="14:33" hidden="1">
      <c r="N7641" s="239"/>
      <c r="O7641" s="225"/>
      <c r="P7641" s="260"/>
      <c r="Q7641" s="328"/>
      <c r="R7641" s="260"/>
      <c r="S7641" s="260"/>
      <c r="T7641" s="260"/>
      <c r="U7641" s="260"/>
      <c r="V7641" s="260"/>
      <c r="W7641" s="260"/>
      <c r="X7641" s="260"/>
      <c r="Y7641" s="260"/>
      <c r="Z7641" s="260"/>
      <c r="AA7641" s="260"/>
      <c r="AB7641" s="260"/>
      <c r="AC7641" s="260"/>
      <c r="AD7641" s="260"/>
      <c r="AE7641" s="260"/>
      <c r="AF7641" s="260"/>
      <c r="AG7641" s="330"/>
    </row>
    <row r="7642" spans="14:33" hidden="1">
      <c r="N7642" s="239"/>
      <c r="O7642" s="225"/>
      <c r="P7642" s="260"/>
      <c r="Q7642" s="328"/>
      <c r="R7642" s="260"/>
      <c r="S7642" s="260"/>
      <c r="T7642" s="260"/>
      <c r="U7642" s="260"/>
      <c r="V7642" s="260"/>
      <c r="W7642" s="260"/>
      <c r="X7642" s="260"/>
      <c r="Y7642" s="260"/>
      <c r="Z7642" s="260"/>
      <c r="AA7642" s="260"/>
      <c r="AB7642" s="260"/>
      <c r="AC7642" s="260"/>
      <c r="AD7642" s="260"/>
      <c r="AE7642" s="260"/>
      <c r="AF7642" s="260"/>
      <c r="AG7642" s="330"/>
    </row>
    <row r="7643" spans="14:33" hidden="1">
      <c r="N7643" s="239"/>
      <c r="O7643" s="225"/>
      <c r="P7643" s="260"/>
      <c r="Q7643" s="328"/>
      <c r="R7643" s="260"/>
      <c r="S7643" s="260"/>
      <c r="T7643" s="260"/>
      <c r="U7643" s="260"/>
      <c r="V7643" s="260"/>
      <c r="W7643" s="260"/>
      <c r="X7643" s="260"/>
      <c r="Y7643" s="260"/>
      <c r="Z7643" s="260"/>
      <c r="AA7643" s="260"/>
      <c r="AB7643" s="260"/>
      <c r="AC7643" s="260"/>
      <c r="AD7643" s="260"/>
      <c r="AE7643" s="260"/>
      <c r="AF7643" s="260"/>
      <c r="AG7643" s="330"/>
    </row>
    <row r="7644" spans="14:33" hidden="1">
      <c r="N7644" s="239"/>
      <c r="O7644" s="225"/>
      <c r="P7644" s="260"/>
      <c r="Q7644" s="328"/>
      <c r="R7644" s="260"/>
      <c r="S7644" s="260"/>
      <c r="T7644" s="260"/>
      <c r="U7644" s="260"/>
      <c r="V7644" s="260"/>
      <c r="W7644" s="260"/>
      <c r="X7644" s="260"/>
      <c r="Y7644" s="260"/>
      <c r="Z7644" s="260"/>
      <c r="AA7644" s="260"/>
      <c r="AB7644" s="260"/>
      <c r="AC7644" s="260"/>
      <c r="AD7644" s="260"/>
      <c r="AE7644" s="260"/>
      <c r="AF7644" s="260"/>
      <c r="AG7644" s="330"/>
    </row>
    <row r="7645" spans="14:33" hidden="1">
      <c r="N7645" s="239"/>
      <c r="O7645" s="225"/>
      <c r="P7645" s="260"/>
      <c r="Q7645" s="328"/>
      <c r="R7645" s="260"/>
      <c r="S7645" s="260"/>
      <c r="T7645" s="260"/>
      <c r="U7645" s="260"/>
      <c r="V7645" s="260"/>
      <c r="W7645" s="260"/>
      <c r="X7645" s="260"/>
      <c r="Y7645" s="260"/>
      <c r="Z7645" s="260"/>
      <c r="AA7645" s="260"/>
      <c r="AB7645" s="260"/>
      <c r="AC7645" s="260"/>
      <c r="AD7645" s="260"/>
      <c r="AE7645" s="260"/>
      <c r="AF7645" s="260"/>
      <c r="AG7645" s="330"/>
    </row>
    <row r="7646" spans="14:33" hidden="1">
      <c r="N7646" s="239"/>
      <c r="O7646" s="225"/>
      <c r="P7646" s="260"/>
      <c r="Q7646" s="328"/>
      <c r="R7646" s="260"/>
      <c r="S7646" s="260"/>
      <c r="T7646" s="260"/>
      <c r="U7646" s="260"/>
      <c r="V7646" s="260"/>
      <c r="W7646" s="260"/>
      <c r="X7646" s="260"/>
      <c r="Y7646" s="260"/>
      <c r="Z7646" s="260"/>
      <c r="AA7646" s="260"/>
      <c r="AB7646" s="260"/>
      <c r="AC7646" s="260"/>
      <c r="AD7646" s="260"/>
      <c r="AE7646" s="260"/>
      <c r="AF7646" s="260"/>
      <c r="AG7646" s="330"/>
    </row>
    <row r="7647" spans="14:33" hidden="1">
      <c r="N7647" s="239"/>
      <c r="O7647" s="225"/>
      <c r="P7647" s="260"/>
      <c r="Q7647" s="328"/>
      <c r="R7647" s="260"/>
      <c r="S7647" s="260"/>
      <c r="T7647" s="260"/>
      <c r="U7647" s="260"/>
      <c r="V7647" s="260"/>
      <c r="W7647" s="260"/>
      <c r="X7647" s="260"/>
      <c r="Y7647" s="260"/>
      <c r="Z7647" s="260"/>
      <c r="AA7647" s="260"/>
      <c r="AB7647" s="260"/>
      <c r="AC7647" s="260"/>
      <c r="AD7647" s="260"/>
      <c r="AE7647" s="260"/>
      <c r="AF7647" s="260"/>
      <c r="AG7647" s="330"/>
    </row>
    <row r="7648" spans="14:33" hidden="1">
      <c r="N7648" s="239"/>
      <c r="O7648" s="225"/>
      <c r="P7648" s="260"/>
      <c r="Q7648" s="328"/>
      <c r="R7648" s="260"/>
      <c r="S7648" s="260"/>
      <c r="T7648" s="260"/>
      <c r="U7648" s="260"/>
      <c r="V7648" s="260"/>
      <c r="W7648" s="260"/>
      <c r="X7648" s="260"/>
      <c r="Y7648" s="260"/>
      <c r="Z7648" s="260"/>
      <c r="AA7648" s="260"/>
      <c r="AB7648" s="260"/>
      <c r="AC7648" s="260"/>
      <c r="AD7648" s="260"/>
      <c r="AE7648" s="260"/>
      <c r="AF7648" s="260"/>
      <c r="AG7648" s="330"/>
    </row>
    <row r="7649" spans="14:33" hidden="1">
      <c r="N7649" s="239"/>
      <c r="O7649" s="225"/>
      <c r="P7649" s="260"/>
      <c r="Q7649" s="328"/>
      <c r="R7649" s="260"/>
      <c r="S7649" s="260"/>
      <c r="T7649" s="260"/>
      <c r="U7649" s="260"/>
      <c r="V7649" s="260"/>
      <c r="W7649" s="260"/>
      <c r="X7649" s="260"/>
      <c r="Y7649" s="260"/>
      <c r="Z7649" s="260"/>
      <c r="AA7649" s="260"/>
      <c r="AB7649" s="260"/>
      <c r="AC7649" s="260"/>
      <c r="AD7649" s="260"/>
      <c r="AE7649" s="260"/>
      <c r="AF7649" s="260"/>
      <c r="AG7649" s="330"/>
    </row>
    <row r="7650" spans="14:33" hidden="1">
      <c r="N7650" s="239"/>
      <c r="O7650" s="225"/>
      <c r="P7650" s="260"/>
      <c r="Q7650" s="328"/>
      <c r="R7650" s="260"/>
      <c r="S7650" s="260"/>
      <c r="T7650" s="260"/>
      <c r="U7650" s="260"/>
      <c r="V7650" s="260"/>
      <c r="W7650" s="260"/>
      <c r="X7650" s="260"/>
      <c r="Y7650" s="260"/>
      <c r="Z7650" s="260"/>
      <c r="AA7650" s="260"/>
      <c r="AB7650" s="260"/>
      <c r="AC7650" s="260"/>
      <c r="AD7650" s="260"/>
      <c r="AE7650" s="260"/>
      <c r="AF7650" s="260"/>
      <c r="AG7650" s="330"/>
    </row>
    <row r="7651" spans="14:33" hidden="1">
      <c r="N7651" s="239"/>
      <c r="O7651" s="225"/>
      <c r="P7651" s="260"/>
      <c r="Q7651" s="328"/>
      <c r="R7651" s="260"/>
      <c r="S7651" s="260"/>
      <c r="T7651" s="260"/>
      <c r="U7651" s="260"/>
      <c r="V7651" s="260"/>
      <c r="W7651" s="260"/>
      <c r="X7651" s="260"/>
      <c r="Y7651" s="260"/>
      <c r="Z7651" s="260"/>
      <c r="AA7651" s="260"/>
      <c r="AB7651" s="260"/>
      <c r="AC7651" s="260"/>
      <c r="AD7651" s="260"/>
      <c r="AE7651" s="260"/>
      <c r="AF7651" s="260"/>
      <c r="AG7651" s="330"/>
    </row>
    <row r="7652" spans="14:33" hidden="1">
      <c r="N7652" s="239"/>
      <c r="O7652" s="225"/>
      <c r="P7652" s="260"/>
      <c r="Q7652" s="328"/>
      <c r="R7652" s="260"/>
      <c r="S7652" s="260"/>
      <c r="T7652" s="260"/>
      <c r="U7652" s="260"/>
      <c r="V7652" s="260"/>
      <c r="W7652" s="260"/>
      <c r="X7652" s="260"/>
      <c r="Y7652" s="260"/>
      <c r="Z7652" s="260"/>
      <c r="AA7652" s="260"/>
      <c r="AB7652" s="260"/>
      <c r="AC7652" s="260"/>
      <c r="AD7652" s="260"/>
      <c r="AE7652" s="260"/>
      <c r="AF7652" s="260"/>
      <c r="AG7652" s="330"/>
    </row>
    <row r="7653" spans="14:33" hidden="1">
      <c r="N7653" s="239"/>
      <c r="O7653" s="225"/>
      <c r="P7653" s="260"/>
      <c r="Q7653" s="328"/>
      <c r="R7653" s="260"/>
      <c r="S7653" s="260"/>
      <c r="T7653" s="260"/>
      <c r="U7653" s="260"/>
      <c r="V7653" s="260"/>
      <c r="W7653" s="260"/>
      <c r="X7653" s="260"/>
      <c r="Y7653" s="260"/>
      <c r="Z7653" s="260"/>
      <c r="AA7653" s="260"/>
      <c r="AB7653" s="260"/>
      <c r="AC7653" s="260"/>
      <c r="AD7653" s="260"/>
      <c r="AE7653" s="260"/>
      <c r="AF7653" s="260"/>
      <c r="AG7653" s="330"/>
    </row>
    <row r="7654" spans="14:33" hidden="1">
      <c r="N7654" s="239"/>
      <c r="O7654" s="225"/>
      <c r="P7654" s="260"/>
      <c r="Q7654" s="328"/>
      <c r="R7654" s="260"/>
      <c r="S7654" s="260"/>
      <c r="T7654" s="260"/>
      <c r="U7654" s="260"/>
      <c r="V7654" s="260"/>
      <c r="W7654" s="260"/>
      <c r="X7654" s="260"/>
      <c r="Y7654" s="260"/>
      <c r="Z7654" s="260"/>
      <c r="AA7654" s="260"/>
      <c r="AB7654" s="260"/>
      <c r="AC7654" s="260"/>
      <c r="AD7654" s="260"/>
      <c r="AE7654" s="260"/>
      <c r="AF7654" s="260"/>
      <c r="AG7654" s="330"/>
    </row>
    <row r="7655" spans="14:33" hidden="1">
      <c r="N7655" s="239"/>
      <c r="O7655" s="225"/>
      <c r="P7655" s="260"/>
      <c r="Q7655" s="328"/>
      <c r="R7655" s="260"/>
      <c r="S7655" s="260"/>
      <c r="T7655" s="260"/>
      <c r="U7655" s="260"/>
      <c r="V7655" s="260"/>
      <c r="W7655" s="260"/>
      <c r="X7655" s="260"/>
      <c r="Y7655" s="260"/>
      <c r="Z7655" s="260"/>
      <c r="AA7655" s="260"/>
      <c r="AB7655" s="260"/>
      <c r="AC7655" s="260"/>
      <c r="AD7655" s="260"/>
      <c r="AE7655" s="260"/>
      <c r="AF7655" s="260"/>
      <c r="AG7655" s="330"/>
    </row>
    <row r="7656" spans="14:33" hidden="1">
      <c r="N7656" s="239"/>
      <c r="O7656" s="225"/>
      <c r="P7656" s="260"/>
      <c r="Q7656" s="328"/>
      <c r="R7656" s="260"/>
      <c r="S7656" s="260"/>
      <c r="T7656" s="260"/>
      <c r="U7656" s="260"/>
      <c r="V7656" s="260"/>
      <c r="W7656" s="260"/>
      <c r="X7656" s="260"/>
      <c r="Y7656" s="260"/>
      <c r="Z7656" s="260"/>
      <c r="AA7656" s="260"/>
      <c r="AB7656" s="260"/>
      <c r="AC7656" s="260"/>
      <c r="AD7656" s="260"/>
      <c r="AE7656" s="260"/>
      <c r="AF7656" s="260"/>
      <c r="AG7656" s="330"/>
    </row>
    <row r="7657" spans="14:33" hidden="1">
      <c r="N7657" s="239"/>
      <c r="O7657" s="225"/>
      <c r="P7657" s="260"/>
      <c r="Q7657" s="328"/>
      <c r="R7657" s="260"/>
      <c r="S7657" s="260"/>
      <c r="T7657" s="260"/>
      <c r="U7657" s="260"/>
      <c r="V7657" s="260"/>
      <c r="W7657" s="260"/>
      <c r="X7657" s="260"/>
      <c r="Y7657" s="260"/>
      <c r="Z7657" s="260"/>
      <c r="AA7657" s="260"/>
      <c r="AB7657" s="260"/>
      <c r="AC7657" s="260"/>
      <c r="AD7657" s="260"/>
      <c r="AE7657" s="260"/>
      <c r="AF7657" s="260"/>
      <c r="AG7657" s="330"/>
    </row>
    <row r="7658" spans="14:33" hidden="1">
      <c r="N7658" s="239"/>
      <c r="O7658" s="225"/>
      <c r="P7658" s="260"/>
      <c r="Q7658" s="328"/>
      <c r="R7658" s="260"/>
      <c r="S7658" s="260"/>
      <c r="T7658" s="260"/>
      <c r="U7658" s="260"/>
      <c r="V7658" s="260"/>
      <c r="W7658" s="260"/>
      <c r="X7658" s="260"/>
      <c r="Y7658" s="260"/>
      <c r="Z7658" s="260"/>
      <c r="AA7658" s="260"/>
      <c r="AB7658" s="260"/>
      <c r="AC7658" s="260"/>
      <c r="AD7658" s="260"/>
      <c r="AE7658" s="260"/>
      <c r="AF7658" s="260"/>
      <c r="AG7658" s="330"/>
    </row>
    <row r="7659" spans="14:33" hidden="1">
      <c r="N7659" s="239"/>
      <c r="O7659" s="225"/>
      <c r="P7659" s="260"/>
      <c r="Q7659" s="328"/>
      <c r="R7659" s="260"/>
      <c r="S7659" s="260"/>
      <c r="T7659" s="260"/>
      <c r="U7659" s="260"/>
      <c r="V7659" s="260"/>
      <c r="W7659" s="260"/>
      <c r="X7659" s="260"/>
      <c r="Y7659" s="260"/>
      <c r="Z7659" s="260"/>
      <c r="AA7659" s="260"/>
      <c r="AB7659" s="260"/>
      <c r="AC7659" s="260"/>
      <c r="AD7659" s="260"/>
      <c r="AE7659" s="260"/>
      <c r="AF7659" s="260"/>
      <c r="AG7659" s="330"/>
    </row>
    <row r="7660" spans="14:33" hidden="1">
      <c r="N7660" s="239"/>
      <c r="O7660" s="225"/>
      <c r="P7660" s="260"/>
      <c r="Q7660" s="328"/>
      <c r="R7660" s="260"/>
      <c r="S7660" s="260"/>
      <c r="T7660" s="260"/>
      <c r="U7660" s="260"/>
      <c r="V7660" s="260"/>
      <c r="W7660" s="260"/>
      <c r="X7660" s="260"/>
      <c r="Y7660" s="260"/>
      <c r="Z7660" s="260"/>
      <c r="AA7660" s="260"/>
      <c r="AB7660" s="260"/>
      <c r="AC7660" s="260"/>
      <c r="AD7660" s="260"/>
      <c r="AE7660" s="260"/>
      <c r="AF7660" s="260"/>
      <c r="AG7660" s="330"/>
    </row>
    <row r="7661" spans="14:33" hidden="1">
      <c r="N7661" s="239"/>
      <c r="O7661" s="225"/>
      <c r="P7661" s="260"/>
      <c r="Q7661" s="328"/>
      <c r="R7661" s="260"/>
      <c r="S7661" s="260"/>
      <c r="T7661" s="260"/>
      <c r="U7661" s="260"/>
      <c r="V7661" s="260"/>
      <c r="W7661" s="260"/>
      <c r="X7661" s="260"/>
      <c r="Y7661" s="260"/>
      <c r="Z7661" s="260"/>
      <c r="AA7661" s="260"/>
      <c r="AB7661" s="260"/>
      <c r="AC7661" s="260"/>
      <c r="AD7661" s="260"/>
      <c r="AE7661" s="260"/>
      <c r="AF7661" s="260"/>
      <c r="AG7661" s="330"/>
    </row>
    <row r="7662" spans="14:33" hidden="1">
      <c r="N7662" s="239"/>
      <c r="O7662" s="225"/>
      <c r="P7662" s="260"/>
      <c r="Q7662" s="328"/>
      <c r="R7662" s="260"/>
      <c r="S7662" s="260"/>
      <c r="T7662" s="260"/>
      <c r="U7662" s="260"/>
      <c r="V7662" s="260"/>
      <c r="W7662" s="260"/>
      <c r="X7662" s="260"/>
      <c r="Y7662" s="260"/>
      <c r="Z7662" s="260"/>
      <c r="AA7662" s="260"/>
      <c r="AB7662" s="260"/>
      <c r="AC7662" s="260"/>
      <c r="AD7662" s="260"/>
      <c r="AE7662" s="260"/>
      <c r="AF7662" s="260"/>
      <c r="AG7662" s="330"/>
    </row>
    <row r="7663" spans="14:33" hidden="1">
      <c r="N7663" s="239"/>
      <c r="O7663" s="225"/>
      <c r="P7663" s="260"/>
      <c r="Q7663" s="328"/>
      <c r="R7663" s="260"/>
      <c r="S7663" s="260"/>
      <c r="T7663" s="260"/>
      <c r="U7663" s="260"/>
      <c r="V7663" s="260"/>
      <c r="W7663" s="260"/>
      <c r="X7663" s="260"/>
      <c r="Y7663" s="260"/>
      <c r="Z7663" s="260"/>
      <c r="AA7663" s="260"/>
      <c r="AB7663" s="260"/>
      <c r="AC7663" s="260"/>
      <c r="AD7663" s="260"/>
      <c r="AE7663" s="260"/>
      <c r="AF7663" s="260"/>
      <c r="AG7663" s="330"/>
    </row>
    <row r="7664" spans="14:33" hidden="1">
      <c r="N7664" s="239"/>
      <c r="O7664" s="225"/>
      <c r="P7664" s="260"/>
      <c r="Q7664" s="328"/>
      <c r="R7664" s="260"/>
      <c r="S7664" s="260"/>
      <c r="T7664" s="260"/>
      <c r="U7664" s="260"/>
      <c r="V7664" s="260"/>
      <c r="W7664" s="260"/>
      <c r="X7664" s="260"/>
      <c r="Y7664" s="260"/>
      <c r="Z7664" s="260"/>
      <c r="AA7664" s="260"/>
      <c r="AB7664" s="260"/>
      <c r="AC7664" s="260"/>
      <c r="AD7664" s="260"/>
      <c r="AE7664" s="260"/>
      <c r="AF7664" s="260"/>
      <c r="AG7664" s="330"/>
    </row>
    <row r="7665" spans="14:33" hidden="1">
      <c r="N7665" s="239"/>
      <c r="O7665" s="225"/>
      <c r="P7665" s="260"/>
      <c r="Q7665" s="328"/>
      <c r="R7665" s="260"/>
      <c r="S7665" s="260"/>
      <c r="T7665" s="260"/>
      <c r="U7665" s="260"/>
      <c r="V7665" s="260"/>
      <c r="W7665" s="260"/>
      <c r="X7665" s="260"/>
      <c r="Y7665" s="260"/>
      <c r="Z7665" s="260"/>
      <c r="AA7665" s="260"/>
      <c r="AB7665" s="260"/>
      <c r="AC7665" s="260"/>
      <c r="AD7665" s="260"/>
      <c r="AE7665" s="260"/>
      <c r="AF7665" s="260"/>
      <c r="AG7665" s="330"/>
    </row>
    <row r="7666" spans="14:33" hidden="1">
      <c r="N7666" s="239"/>
      <c r="O7666" s="225"/>
      <c r="P7666" s="260"/>
      <c r="Q7666" s="328"/>
      <c r="R7666" s="260"/>
      <c r="S7666" s="260"/>
      <c r="T7666" s="260"/>
      <c r="U7666" s="260"/>
      <c r="V7666" s="260"/>
      <c r="W7666" s="260"/>
      <c r="X7666" s="260"/>
      <c r="Y7666" s="260"/>
      <c r="Z7666" s="260"/>
      <c r="AA7666" s="260"/>
      <c r="AB7666" s="260"/>
      <c r="AC7666" s="260"/>
      <c r="AD7666" s="260"/>
      <c r="AE7666" s="260"/>
      <c r="AF7666" s="260"/>
      <c r="AG7666" s="330"/>
    </row>
    <row r="7667" spans="14:33" hidden="1">
      <c r="N7667" s="239"/>
      <c r="O7667" s="225"/>
      <c r="P7667" s="260"/>
      <c r="Q7667" s="328"/>
      <c r="R7667" s="260"/>
      <c r="S7667" s="260"/>
      <c r="T7667" s="260"/>
      <c r="U7667" s="260"/>
      <c r="V7667" s="260"/>
      <c r="W7667" s="260"/>
      <c r="X7667" s="260"/>
      <c r="Y7667" s="260"/>
      <c r="Z7667" s="260"/>
      <c r="AA7667" s="260"/>
      <c r="AB7667" s="260"/>
      <c r="AC7667" s="260"/>
      <c r="AD7667" s="260"/>
      <c r="AE7667" s="260"/>
      <c r="AF7667" s="260"/>
      <c r="AG7667" s="330"/>
    </row>
    <row r="7668" spans="14:33" hidden="1">
      <c r="N7668" s="239"/>
      <c r="O7668" s="225"/>
      <c r="P7668" s="260"/>
      <c r="Q7668" s="328"/>
      <c r="R7668" s="260"/>
      <c r="S7668" s="260"/>
      <c r="T7668" s="260"/>
      <c r="U7668" s="260"/>
      <c r="V7668" s="260"/>
      <c r="W7668" s="260"/>
      <c r="X7668" s="260"/>
      <c r="Y7668" s="260"/>
      <c r="Z7668" s="260"/>
      <c r="AA7668" s="260"/>
      <c r="AB7668" s="260"/>
      <c r="AC7668" s="260"/>
      <c r="AD7668" s="260"/>
      <c r="AE7668" s="260"/>
      <c r="AF7668" s="260"/>
      <c r="AG7668" s="330"/>
    </row>
    <row r="7669" spans="14:33" hidden="1">
      <c r="N7669" s="239"/>
      <c r="O7669" s="225"/>
      <c r="P7669" s="260"/>
      <c r="Q7669" s="328"/>
      <c r="R7669" s="260"/>
      <c r="S7669" s="260"/>
      <c r="T7669" s="260"/>
      <c r="U7669" s="260"/>
      <c r="V7669" s="260"/>
      <c r="W7669" s="260"/>
      <c r="X7669" s="260"/>
      <c r="Y7669" s="260"/>
      <c r="Z7669" s="260"/>
      <c r="AA7669" s="260"/>
      <c r="AB7669" s="260"/>
      <c r="AC7669" s="260"/>
      <c r="AD7669" s="260"/>
      <c r="AE7669" s="260"/>
      <c r="AF7669" s="260"/>
      <c r="AG7669" s="330"/>
    </row>
    <row r="7670" spans="14:33" hidden="1">
      <c r="N7670" s="239"/>
      <c r="O7670" s="225"/>
      <c r="P7670" s="260"/>
      <c r="Q7670" s="328"/>
      <c r="R7670" s="260"/>
      <c r="S7670" s="260"/>
      <c r="T7670" s="260"/>
      <c r="U7670" s="260"/>
      <c r="V7670" s="260"/>
      <c r="W7670" s="260"/>
      <c r="X7670" s="260"/>
      <c r="Y7670" s="260"/>
      <c r="Z7670" s="260"/>
      <c r="AA7670" s="260"/>
      <c r="AB7670" s="260"/>
      <c r="AC7670" s="260"/>
      <c r="AD7670" s="260"/>
      <c r="AE7670" s="260"/>
      <c r="AF7670" s="260"/>
      <c r="AG7670" s="330"/>
    </row>
    <row r="7671" spans="14:33" hidden="1">
      <c r="N7671" s="239"/>
      <c r="O7671" s="225"/>
      <c r="P7671" s="260"/>
      <c r="Q7671" s="328"/>
      <c r="R7671" s="260"/>
      <c r="S7671" s="260"/>
      <c r="T7671" s="260"/>
      <c r="U7671" s="260"/>
      <c r="V7671" s="260"/>
      <c r="W7671" s="260"/>
      <c r="X7671" s="260"/>
      <c r="Y7671" s="260"/>
      <c r="Z7671" s="260"/>
      <c r="AA7671" s="260"/>
      <c r="AB7671" s="260"/>
      <c r="AC7671" s="260"/>
      <c r="AD7671" s="260"/>
      <c r="AE7671" s="260"/>
      <c r="AF7671" s="260"/>
      <c r="AG7671" s="330"/>
    </row>
    <row r="7672" spans="14:33" hidden="1">
      <c r="N7672" s="239"/>
      <c r="O7672" s="225"/>
      <c r="P7672" s="260"/>
      <c r="Q7672" s="328"/>
      <c r="R7672" s="260"/>
      <c r="S7672" s="260"/>
      <c r="T7672" s="260"/>
      <c r="U7672" s="260"/>
      <c r="V7672" s="260"/>
      <c r="W7672" s="260"/>
      <c r="X7672" s="260"/>
      <c r="Y7672" s="260"/>
      <c r="Z7672" s="260"/>
      <c r="AA7672" s="260"/>
      <c r="AB7672" s="260"/>
      <c r="AC7672" s="260"/>
      <c r="AD7672" s="260"/>
      <c r="AE7672" s="260"/>
      <c r="AF7672" s="260"/>
      <c r="AG7672" s="330"/>
    </row>
    <row r="7673" spans="14:33" hidden="1">
      <c r="N7673" s="239"/>
      <c r="O7673" s="225"/>
      <c r="P7673" s="260"/>
      <c r="Q7673" s="328"/>
      <c r="R7673" s="260"/>
      <c r="S7673" s="260"/>
      <c r="T7673" s="260"/>
      <c r="U7673" s="260"/>
      <c r="V7673" s="260"/>
      <c r="W7673" s="260"/>
      <c r="X7673" s="260"/>
      <c r="Y7673" s="260"/>
      <c r="Z7673" s="260"/>
      <c r="AA7673" s="260"/>
      <c r="AB7673" s="260"/>
      <c r="AC7673" s="260"/>
      <c r="AD7673" s="260"/>
      <c r="AE7673" s="260"/>
      <c r="AF7673" s="260"/>
      <c r="AG7673" s="330"/>
    </row>
    <row r="7674" spans="14:33" hidden="1">
      <c r="N7674" s="239"/>
      <c r="O7674" s="225"/>
      <c r="P7674" s="260"/>
      <c r="Q7674" s="328"/>
      <c r="R7674" s="260"/>
      <c r="S7674" s="260"/>
      <c r="T7674" s="260"/>
      <c r="U7674" s="260"/>
      <c r="V7674" s="260"/>
      <c r="W7674" s="260"/>
      <c r="X7674" s="260"/>
      <c r="Y7674" s="260"/>
      <c r="Z7674" s="260"/>
      <c r="AA7674" s="260"/>
      <c r="AB7674" s="260"/>
      <c r="AC7674" s="260"/>
      <c r="AD7674" s="260"/>
      <c r="AE7674" s="260"/>
      <c r="AF7674" s="260"/>
      <c r="AG7674" s="330"/>
    </row>
    <row r="7675" spans="14:33" hidden="1">
      <c r="N7675" s="239"/>
      <c r="O7675" s="225"/>
      <c r="P7675" s="260"/>
      <c r="Q7675" s="328"/>
      <c r="R7675" s="260"/>
      <c r="S7675" s="260"/>
      <c r="T7675" s="260"/>
      <c r="U7675" s="260"/>
      <c r="V7675" s="260"/>
      <c r="W7675" s="260"/>
      <c r="X7675" s="260"/>
      <c r="Y7675" s="260"/>
      <c r="Z7675" s="260"/>
      <c r="AA7675" s="260"/>
      <c r="AB7675" s="260"/>
      <c r="AC7675" s="260"/>
      <c r="AD7675" s="260"/>
      <c r="AE7675" s="260"/>
      <c r="AF7675" s="260"/>
      <c r="AG7675" s="330"/>
    </row>
    <row r="7676" spans="14:33" hidden="1">
      <c r="N7676" s="239"/>
      <c r="O7676" s="225"/>
      <c r="P7676" s="260"/>
      <c r="Q7676" s="328"/>
      <c r="R7676" s="260"/>
      <c r="S7676" s="260"/>
      <c r="T7676" s="260"/>
      <c r="U7676" s="260"/>
      <c r="V7676" s="260"/>
      <c r="W7676" s="260"/>
      <c r="X7676" s="260"/>
      <c r="Y7676" s="260"/>
      <c r="Z7676" s="260"/>
      <c r="AA7676" s="260"/>
      <c r="AB7676" s="260"/>
      <c r="AC7676" s="260"/>
      <c r="AD7676" s="260"/>
      <c r="AE7676" s="260"/>
      <c r="AF7676" s="260"/>
      <c r="AG7676" s="330"/>
    </row>
    <row r="7677" spans="14:33" hidden="1">
      <c r="N7677" s="239"/>
      <c r="O7677" s="225"/>
      <c r="P7677" s="260"/>
      <c r="Q7677" s="328"/>
      <c r="R7677" s="260"/>
      <c r="S7677" s="260"/>
      <c r="T7677" s="260"/>
      <c r="U7677" s="260"/>
      <c r="V7677" s="260"/>
      <c r="W7677" s="260"/>
      <c r="X7677" s="260"/>
      <c r="Y7677" s="260"/>
      <c r="Z7677" s="260"/>
      <c r="AA7677" s="260"/>
      <c r="AB7677" s="260"/>
      <c r="AC7677" s="260"/>
      <c r="AD7677" s="260"/>
      <c r="AE7677" s="260"/>
      <c r="AF7677" s="260"/>
      <c r="AG7677" s="330"/>
    </row>
    <row r="7678" spans="14:33" hidden="1">
      <c r="N7678" s="239"/>
      <c r="O7678" s="225"/>
      <c r="P7678" s="260"/>
      <c r="Q7678" s="328"/>
      <c r="R7678" s="260"/>
      <c r="S7678" s="260"/>
      <c r="T7678" s="260"/>
      <c r="U7678" s="260"/>
      <c r="V7678" s="260"/>
      <c r="W7678" s="260"/>
      <c r="X7678" s="260"/>
      <c r="Y7678" s="260"/>
      <c r="Z7678" s="260"/>
      <c r="AA7678" s="260"/>
      <c r="AB7678" s="260"/>
      <c r="AC7678" s="260"/>
      <c r="AD7678" s="260"/>
      <c r="AE7678" s="260"/>
      <c r="AF7678" s="260"/>
      <c r="AG7678" s="330"/>
    </row>
    <row r="7679" spans="14:33" hidden="1">
      <c r="N7679" s="239"/>
      <c r="O7679" s="225"/>
      <c r="P7679" s="260"/>
      <c r="Q7679" s="328"/>
      <c r="R7679" s="260"/>
      <c r="S7679" s="260"/>
      <c r="T7679" s="260"/>
      <c r="U7679" s="260"/>
      <c r="V7679" s="260"/>
      <c r="W7679" s="260"/>
      <c r="X7679" s="260"/>
      <c r="Y7679" s="260"/>
      <c r="Z7679" s="260"/>
      <c r="AA7679" s="260"/>
      <c r="AB7679" s="260"/>
      <c r="AC7679" s="260"/>
      <c r="AD7679" s="260"/>
      <c r="AE7679" s="260"/>
      <c r="AF7679" s="260"/>
      <c r="AG7679" s="330"/>
    </row>
    <row r="7680" spans="14:33" hidden="1">
      <c r="N7680" s="239"/>
      <c r="O7680" s="225"/>
      <c r="P7680" s="260"/>
      <c r="Q7680" s="328"/>
      <c r="R7680" s="260"/>
      <c r="S7680" s="260"/>
      <c r="T7680" s="260"/>
      <c r="U7680" s="260"/>
      <c r="V7680" s="260"/>
      <c r="W7680" s="260"/>
      <c r="X7680" s="260"/>
      <c r="Y7680" s="260"/>
      <c r="Z7680" s="260"/>
      <c r="AA7680" s="260"/>
      <c r="AB7680" s="260"/>
      <c r="AC7680" s="260"/>
      <c r="AD7680" s="260"/>
      <c r="AE7680" s="260"/>
      <c r="AF7680" s="260"/>
      <c r="AG7680" s="330"/>
    </row>
    <row r="7681" spans="14:33" hidden="1">
      <c r="N7681" s="239"/>
      <c r="O7681" s="225"/>
      <c r="P7681" s="260"/>
      <c r="Q7681" s="328"/>
      <c r="R7681" s="260"/>
      <c r="S7681" s="260"/>
      <c r="T7681" s="260"/>
      <c r="U7681" s="260"/>
      <c r="V7681" s="260"/>
      <c r="W7681" s="260"/>
      <c r="X7681" s="260"/>
      <c r="Y7681" s="260"/>
      <c r="Z7681" s="260"/>
      <c r="AA7681" s="260"/>
      <c r="AB7681" s="260"/>
      <c r="AC7681" s="260"/>
      <c r="AD7681" s="260"/>
      <c r="AE7681" s="260"/>
      <c r="AF7681" s="260"/>
      <c r="AG7681" s="330"/>
    </row>
    <row r="7682" spans="14:33" hidden="1">
      <c r="N7682" s="239"/>
      <c r="O7682" s="225"/>
      <c r="P7682" s="260"/>
      <c r="Q7682" s="328"/>
      <c r="R7682" s="260"/>
      <c r="S7682" s="260"/>
      <c r="T7682" s="260"/>
      <c r="U7682" s="260"/>
      <c r="V7682" s="260"/>
      <c r="W7682" s="260"/>
      <c r="X7682" s="260"/>
      <c r="Y7682" s="260"/>
      <c r="Z7682" s="260"/>
      <c r="AA7682" s="260"/>
      <c r="AB7682" s="260"/>
      <c r="AC7682" s="260"/>
      <c r="AD7682" s="260"/>
      <c r="AE7682" s="260"/>
      <c r="AF7682" s="260"/>
      <c r="AG7682" s="330"/>
    </row>
    <row r="7683" spans="14:33" hidden="1">
      <c r="N7683" s="239"/>
      <c r="O7683" s="225"/>
      <c r="P7683" s="260"/>
      <c r="Q7683" s="328"/>
      <c r="R7683" s="260"/>
      <c r="S7683" s="260"/>
      <c r="T7683" s="260"/>
      <c r="U7683" s="260"/>
      <c r="V7683" s="260"/>
      <c r="W7683" s="260"/>
      <c r="X7683" s="260"/>
      <c r="Y7683" s="260"/>
      <c r="Z7683" s="260"/>
      <c r="AA7683" s="260"/>
      <c r="AB7683" s="260"/>
      <c r="AC7683" s="260"/>
      <c r="AD7683" s="260"/>
      <c r="AE7683" s="260"/>
      <c r="AF7683" s="260"/>
      <c r="AG7683" s="330"/>
    </row>
    <row r="7684" spans="14:33" hidden="1">
      <c r="N7684" s="239"/>
      <c r="O7684" s="225"/>
      <c r="P7684" s="260"/>
      <c r="Q7684" s="328"/>
      <c r="R7684" s="260"/>
      <c r="S7684" s="260"/>
      <c r="T7684" s="260"/>
      <c r="U7684" s="260"/>
      <c r="V7684" s="260"/>
      <c r="W7684" s="260"/>
      <c r="X7684" s="260"/>
      <c r="Y7684" s="260"/>
      <c r="Z7684" s="260"/>
      <c r="AA7684" s="260"/>
      <c r="AB7684" s="260"/>
      <c r="AC7684" s="260"/>
      <c r="AD7684" s="260"/>
      <c r="AE7684" s="260"/>
      <c r="AF7684" s="260"/>
      <c r="AG7684" s="330"/>
    </row>
    <row r="7685" spans="14:33" hidden="1">
      <c r="N7685" s="239"/>
      <c r="O7685" s="225"/>
      <c r="P7685" s="260"/>
      <c r="Q7685" s="328"/>
      <c r="R7685" s="260"/>
      <c r="S7685" s="260"/>
      <c r="T7685" s="260"/>
      <c r="U7685" s="260"/>
      <c r="V7685" s="260"/>
      <c r="W7685" s="260"/>
      <c r="X7685" s="260"/>
      <c r="Y7685" s="260"/>
      <c r="Z7685" s="260"/>
      <c r="AA7685" s="260"/>
      <c r="AB7685" s="260"/>
      <c r="AC7685" s="260"/>
      <c r="AD7685" s="260"/>
      <c r="AE7685" s="260"/>
      <c r="AF7685" s="260"/>
      <c r="AG7685" s="330"/>
    </row>
    <row r="7686" spans="14:33" hidden="1">
      <c r="N7686" s="239"/>
      <c r="O7686" s="225"/>
      <c r="P7686" s="260"/>
      <c r="Q7686" s="328"/>
      <c r="R7686" s="260"/>
      <c r="S7686" s="260"/>
      <c r="T7686" s="260"/>
      <c r="U7686" s="260"/>
      <c r="V7686" s="260"/>
      <c r="W7686" s="260"/>
      <c r="X7686" s="260"/>
      <c r="Y7686" s="260"/>
      <c r="Z7686" s="260"/>
      <c r="AA7686" s="260"/>
      <c r="AB7686" s="260"/>
      <c r="AC7686" s="260"/>
      <c r="AD7686" s="260"/>
      <c r="AE7686" s="260"/>
      <c r="AF7686" s="260"/>
      <c r="AG7686" s="330"/>
    </row>
    <row r="7687" spans="14:33" hidden="1">
      <c r="N7687" s="239"/>
      <c r="O7687" s="225"/>
      <c r="P7687" s="260"/>
      <c r="Q7687" s="328"/>
      <c r="R7687" s="260"/>
      <c r="S7687" s="260"/>
      <c r="T7687" s="260"/>
      <c r="U7687" s="260"/>
      <c r="V7687" s="260"/>
      <c r="W7687" s="260"/>
      <c r="X7687" s="260"/>
      <c r="Y7687" s="260"/>
      <c r="Z7687" s="260"/>
      <c r="AA7687" s="260"/>
      <c r="AB7687" s="260"/>
      <c r="AC7687" s="260"/>
      <c r="AD7687" s="260"/>
      <c r="AE7687" s="260"/>
      <c r="AF7687" s="260"/>
      <c r="AG7687" s="330"/>
    </row>
    <row r="7688" spans="14:33" hidden="1">
      <c r="N7688" s="239"/>
      <c r="O7688" s="225"/>
      <c r="P7688" s="260"/>
      <c r="Q7688" s="328"/>
      <c r="R7688" s="260"/>
      <c r="S7688" s="260"/>
      <c r="T7688" s="260"/>
      <c r="U7688" s="260"/>
      <c r="V7688" s="260"/>
      <c r="W7688" s="260"/>
      <c r="X7688" s="260"/>
      <c r="Y7688" s="260"/>
      <c r="Z7688" s="260"/>
      <c r="AA7688" s="260"/>
      <c r="AB7688" s="260"/>
      <c r="AC7688" s="260"/>
      <c r="AD7688" s="260"/>
      <c r="AE7688" s="260"/>
      <c r="AF7688" s="260"/>
      <c r="AG7688" s="330"/>
    </row>
    <row r="7689" spans="14:33" hidden="1">
      <c r="N7689" s="239"/>
      <c r="O7689" s="225"/>
      <c r="P7689" s="260"/>
      <c r="Q7689" s="328"/>
      <c r="R7689" s="260"/>
      <c r="S7689" s="260"/>
      <c r="T7689" s="260"/>
      <c r="U7689" s="260"/>
      <c r="V7689" s="260"/>
      <c r="W7689" s="260"/>
      <c r="X7689" s="260"/>
      <c r="Y7689" s="260"/>
      <c r="Z7689" s="260"/>
      <c r="AA7689" s="260"/>
      <c r="AB7689" s="260"/>
      <c r="AC7689" s="260"/>
      <c r="AD7689" s="260"/>
      <c r="AE7689" s="260"/>
      <c r="AF7689" s="260"/>
      <c r="AG7689" s="330"/>
    </row>
    <row r="7690" spans="14:33" hidden="1">
      <c r="N7690" s="239"/>
      <c r="O7690" s="225"/>
      <c r="P7690" s="260"/>
      <c r="Q7690" s="328"/>
      <c r="R7690" s="260"/>
      <c r="S7690" s="260"/>
      <c r="T7690" s="260"/>
      <c r="U7690" s="260"/>
      <c r="V7690" s="260"/>
      <c r="W7690" s="260"/>
      <c r="X7690" s="260"/>
      <c r="Y7690" s="260"/>
      <c r="Z7690" s="260"/>
      <c r="AA7690" s="260"/>
      <c r="AB7690" s="260"/>
      <c r="AC7690" s="260"/>
      <c r="AD7690" s="260"/>
      <c r="AE7690" s="260"/>
      <c r="AF7690" s="260"/>
      <c r="AG7690" s="330"/>
    </row>
    <row r="7691" spans="14:33" hidden="1">
      <c r="N7691" s="239"/>
      <c r="O7691" s="225"/>
      <c r="P7691" s="260"/>
      <c r="Q7691" s="328"/>
      <c r="R7691" s="260"/>
      <c r="S7691" s="260"/>
      <c r="T7691" s="260"/>
      <c r="U7691" s="260"/>
      <c r="V7691" s="260"/>
      <c r="W7691" s="260"/>
      <c r="X7691" s="260"/>
      <c r="Y7691" s="260"/>
      <c r="Z7691" s="260"/>
      <c r="AA7691" s="260"/>
      <c r="AB7691" s="260"/>
      <c r="AC7691" s="260"/>
      <c r="AD7691" s="260"/>
      <c r="AE7691" s="260"/>
      <c r="AF7691" s="260"/>
      <c r="AG7691" s="330"/>
    </row>
    <row r="7692" spans="14:33" hidden="1">
      <c r="N7692" s="239"/>
      <c r="O7692" s="225"/>
      <c r="P7692" s="260"/>
      <c r="Q7692" s="328"/>
      <c r="R7692" s="260"/>
      <c r="S7692" s="260"/>
      <c r="T7692" s="260"/>
      <c r="U7692" s="260"/>
      <c r="V7692" s="260"/>
      <c r="W7692" s="260"/>
      <c r="X7692" s="260"/>
      <c r="Y7692" s="260"/>
      <c r="Z7692" s="260"/>
      <c r="AA7692" s="260"/>
      <c r="AB7692" s="260"/>
      <c r="AC7692" s="260"/>
      <c r="AD7692" s="260"/>
      <c r="AE7692" s="260"/>
      <c r="AF7692" s="260"/>
      <c r="AG7692" s="330"/>
    </row>
    <row r="7693" spans="14:33" hidden="1">
      <c r="N7693" s="239"/>
      <c r="O7693" s="225"/>
      <c r="P7693" s="260"/>
      <c r="Q7693" s="328"/>
      <c r="R7693" s="260"/>
      <c r="S7693" s="260"/>
      <c r="T7693" s="260"/>
      <c r="U7693" s="260"/>
      <c r="V7693" s="260"/>
      <c r="W7693" s="260"/>
      <c r="X7693" s="260"/>
      <c r="Y7693" s="260"/>
      <c r="Z7693" s="260"/>
      <c r="AA7693" s="260"/>
      <c r="AB7693" s="260"/>
      <c r="AC7693" s="260"/>
      <c r="AD7693" s="260"/>
      <c r="AE7693" s="260"/>
      <c r="AF7693" s="260"/>
      <c r="AG7693" s="330"/>
    </row>
    <row r="7694" spans="14:33" hidden="1">
      <c r="N7694" s="239"/>
      <c r="O7694" s="225"/>
      <c r="P7694" s="260"/>
      <c r="Q7694" s="328"/>
      <c r="R7694" s="260"/>
      <c r="S7694" s="260"/>
      <c r="T7694" s="260"/>
      <c r="U7694" s="260"/>
      <c r="V7694" s="260"/>
      <c r="W7694" s="260"/>
      <c r="X7694" s="260"/>
      <c r="Y7694" s="260"/>
      <c r="Z7694" s="260"/>
      <c r="AA7694" s="260"/>
      <c r="AB7694" s="260"/>
      <c r="AC7694" s="260"/>
      <c r="AD7694" s="260"/>
      <c r="AE7694" s="260"/>
      <c r="AF7694" s="260"/>
      <c r="AG7694" s="330"/>
    </row>
    <row r="7695" spans="14:33" hidden="1">
      <c r="N7695" s="239"/>
      <c r="O7695" s="225"/>
      <c r="P7695" s="260"/>
      <c r="Q7695" s="328"/>
      <c r="R7695" s="260"/>
      <c r="S7695" s="260"/>
      <c r="T7695" s="260"/>
      <c r="U7695" s="260"/>
      <c r="V7695" s="260"/>
      <c r="W7695" s="260"/>
      <c r="X7695" s="260"/>
      <c r="Y7695" s="260"/>
      <c r="Z7695" s="260"/>
      <c r="AA7695" s="260"/>
      <c r="AB7695" s="260"/>
      <c r="AC7695" s="260"/>
      <c r="AD7695" s="260"/>
      <c r="AE7695" s="260"/>
      <c r="AF7695" s="260"/>
      <c r="AG7695" s="330"/>
    </row>
    <row r="7696" spans="14:33" hidden="1">
      <c r="N7696" s="239"/>
      <c r="O7696" s="225"/>
      <c r="P7696" s="260"/>
      <c r="Q7696" s="328"/>
      <c r="R7696" s="260"/>
      <c r="S7696" s="260"/>
      <c r="T7696" s="260"/>
      <c r="U7696" s="260"/>
      <c r="V7696" s="260"/>
      <c r="W7696" s="260"/>
      <c r="X7696" s="260"/>
      <c r="Y7696" s="260"/>
      <c r="Z7696" s="260"/>
      <c r="AA7696" s="260"/>
      <c r="AB7696" s="260"/>
      <c r="AC7696" s="260"/>
      <c r="AD7696" s="260"/>
      <c r="AE7696" s="260"/>
      <c r="AF7696" s="260"/>
      <c r="AG7696" s="330"/>
    </row>
    <row r="7697" spans="14:33" hidden="1">
      <c r="N7697" s="239"/>
      <c r="O7697" s="225"/>
      <c r="P7697" s="260"/>
      <c r="Q7697" s="328"/>
      <c r="R7697" s="260"/>
      <c r="S7697" s="260"/>
      <c r="T7697" s="260"/>
      <c r="U7697" s="260"/>
      <c r="V7697" s="260"/>
      <c r="W7697" s="260"/>
      <c r="X7697" s="260"/>
      <c r="Y7697" s="260"/>
      <c r="Z7697" s="260"/>
      <c r="AA7697" s="260"/>
      <c r="AB7697" s="260"/>
      <c r="AC7697" s="260"/>
      <c r="AD7697" s="260"/>
      <c r="AE7697" s="260"/>
      <c r="AF7697" s="260"/>
      <c r="AG7697" s="330"/>
    </row>
    <row r="7698" spans="14:33" hidden="1">
      <c r="N7698" s="239"/>
      <c r="O7698" s="225"/>
      <c r="P7698" s="260"/>
      <c r="Q7698" s="328"/>
      <c r="R7698" s="260"/>
      <c r="S7698" s="260"/>
      <c r="T7698" s="260"/>
      <c r="U7698" s="260"/>
      <c r="V7698" s="260"/>
      <c r="W7698" s="260"/>
      <c r="X7698" s="260"/>
      <c r="Y7698" s="260"/>
      <c r="Z7698" s="260"/>
      <c r="AA7698" s="260"/>
      <c r="AB7698" s="260"/>
      <c r="AC7698" s="260"/>
      <c r="AD7698" s="260"/>
      <c r="AE7698" s="260"/>
      <c r="AF7698" s="260"/>
      <c r="AG7698" s="330"/>
    </row>
    <row r="7699" spans="14:33" hidden="1">
      <c r="N7699" s="239"/>
      <c r="O7699" s="225"/>
      <c r="P7699" s="260"/>
      <c r="Q7699" s="328"/>
      <c r="R7699" s="260"/>
      <c r="S7699" s="260"/>
      <c r="T7699" s="260"/>
      <c r="U7699" s="260"/>
      <c r="V7699" s="260"/>
      <c r="W7699" s="260"/>
      <c r="X7699" s="260"/>
      <c r="Y7699" s="260"/>
      <c r="Z7699" s="260"/>
      <c r="AA7699" s="260"/>
      <c r="AB7699" s="260"/>
      <c r="AC7699" s="260"/>
      <c r="AD7699" s="260"/>
      <c r="AE7699" s="260"/>
      <c r="AF7699" s="260"/>
      <c r="AG7699" s="330"/>
    </row>
    <row r="7700" spans="14:33" hidden="1">
      <c r="N7700" s="239"/>
      <c r="O7700" s="225"/>
      <c r="P7700" s="260"/>
      <c r="Q7700" s="328"/>
      <c r="R7700" s="260"/>
      <c r="S7700" s="260"/>
      <c r="T7700" s="260"/>
      <c r="U7700" s="260"/>
      <c r="V7700" s="260"/>
      <c r="W7700" s="260"/>
      <c r="X7700" s="260"/>
      <c r="Y7700" s="260"/>
      <c r="Z7700" s="260"/>
      <c r="AA7700" s="260"/>
      <c r="AB7700" s="260"/>
      <c r="AC7700" s="260"/>
      <c r="AD7700" s="260"/>
      <c r="AE7700" s="260"/>
      <c r="AF7700" s="260"/>
      <c r="AG7700" s="330"/>
    </row>
    <row r="7701" spans="14:33" hidden="1">
      <c r="N7701" s="239"/>
      <c r="O7701" s="225"/>
      <c r="P7701" s="260"/>
      <c r="Q7701" s="328"/>
      <c r="R7701" s="260"/>
      <c r="S7701" s="260"/>
      <c r="T7701" s="260"/>
      <c r="U7701" s="260"/>
      <c r="V7701" s="260"/>
      <c r="W7701" s="260"/>
      <c r="X7701" s="260"/>
      <c r="Y7701" s="260"/>
      <c r="Z7701" s="260"/>
      <c r="AA7701" s="260"/>
      <c r="AB7701" s="260"/>
      <c r="AC7701" s="260"/>
      <c r="AD7701" s="260"/>
      <c r="AE7701" s="260"/>
      <c r="AF7701" s="260"/>
      <c r="AG7701" s="330"/>
    </row>
    <row r="7702" spans="14:33" hidden="1">
      <c r="N7702" s="239"/>
      <c r="O7702" s="225"/>
      <c r="P7702" s="260"/>
      <c r="Q7702" s="328"/>
      <c r="R7702" s="260"/>
      <c r="S7702" s="260"/>
      <c r="T7702" s="260"/>
      <c r="U7702" s="260"/>
      <c r="V7702" s="260"/>
      <c r="W7702" s="260"/>
      <c r="X7702" s="260"/>
      <c r="Y7702" s="260"/>
      <c r="Z7702" s="260"/>
      <c r="AA7702" s="260"/>
      <c r="AB7702" s="260"/>
      <c r="AC7702" s="260"/>
      <c r="AD7702" s="260"/>
      <c r="AE7702" s="260"/>
      <c r="AF7702" s="260"/>
      <c r="AG7702" s="330"/>
    </row>
    <row r="7703" spans="14:33" hidden="1">
      <c r="N7703" s="239"/>
      <c r="O7703" s="225"/>
      <c r="P7703" s="260"/>
      <c r="Q7703" s="328"/>
      <c r="R7703" s="260"/>
      <c r="S7703" s="260"/>
      <c r="T7703" s="260"/>
      <c r="U7703" s="260"/>
      <c r="V7703" s="260"/>
      <c r="W7703" s="260"/>
      <c r="X7703" s="260"/>
      <c r="Y7703" s="260"/>
      <c r="Z7703" s="260"/>
      <c r="AA7703" s="260"/>
      <c r="AB7703" s="260"/>
      <c r="AC7703" s="260"/>
      <c r="AD7703" s="260"/>
      <c r="AE7703" s="260"/>
      <c r="AF7703" s="260"/>
      <c r="AG7703" s="330"/>
    </row>
    <row r="7704" spans="14:33" hidden="1">
      <c r="N7704" s="239"/>
      <c r="O7704" s="225"/>
      <c r="P7704" s="260"/>
      <c r="Q7704" s="328"/>
      <c r="R7704" s="260"/>
      <c r="S7704" s="260"/>
      <c r="T7704" s="260"/>
      <c r="U7704" s="260"/>
      <c r="V7704" s="260"/>
      <c r="W7704" s="260"/>
      <c r="X7704" s="260"/>
      <c r="Y7704" s="260"/>
      <c r="Z7704" s="260"/>
      <c r="AA7704" s="260"/>
      <c r="AB7704" s="260"/>
      <c r="AC7704" s="260"/>
      <c r="AD7704" s="260"/>
      <c r="AE7704" s="260"/>
      <c r="AF7704" s="260"/>
      <c r="AG7704" s="330"/>
    </row>
    <row r="7705" spans="14:33" hidden="1">
      <c r="N7705" s="239"/>
      <c r="O7705" s="225"/>
      <c r="P7705" s="260"/>
      <c r="Q7705" s="328"/>
      <c r="R7705" s="260"/>
      <c r="S7705" s="260"/>
      <c r="T7705" s="260"/>
      <c r="U7705" s="260"/>
      <c r="V7705" s="260"/>
      <c r="W7705" s="260"/>
      <c r="X7705" s="260"/>
      <c r="Y7705" s="260"/>
      <c r="Z7705" s="260"/>
      <c r="AA7705" s="260"/>
      <c r="AB7705" s="260"/>
      <c r="AC7705" s="260"/>
      <c r="AD7705" s="260"/>
      <c r="AE7705" s="260"/>
      <c r="AF7705" s="260"/>
      <c r="AG7705" s="330"/>
    </row>
    <row r="7706" spans="14:33" hidden="1">
      <c r="N7706" s="239"/>
      <c r="O7706" s="225"/>
      <c r="P7706" s="260"/>
      <c r="Q7706" s="328"/>
      <c r="R7706" s="260"/>
      <c r="S7706" s="260"/>
      <c r="T7706" s="260"/>
      <c r="U7706" s="260"/>
      <c r="V7706" s="260"/>
      <c r="W7706" s="260"/>
      <c r="X7706" s="260"/>
      <c r="Y7706" s="260"/>
      <c r="Z7706" s="260"/>
      <c r="AA7706" s="260"/>
      <c r="AB7706" s="260"/>
      <c r="AC7706" s="260"/>
      <c r="AD7706" s="260"/>
      <c r="AE7706" s="260"/>
      <c r="AF7706" s="260"/>
      <c r="AG7706" s="330"/>
    </row>
    <row r="7707" spans="14:33" hidden="1">
      <c r="N7707" s="239"/>
      <c r="O7707" s="225"/>
      <c r="P7707" s="260"/>
      <c r="Q7707" s="328"/>
      <c r="R7707" s="260"/>
      <c r="S7707" s="260"/>
      <c r="T7707" s="260"/>
      <c r="U7707" s="260"/>
      <c r="V7707" s="260"/>
      <c r="W7707" s="260"/>
      <c r="X7707" s="260"/>
      <c r="Y7707" s="260"/>
      <c r="Z7707" s="260"/>
      <c r="AA7707" s="260"/>
      <c r="AB7707" s="260"/>
      <c r="AC7707" s="260"/>
      <c r="AD7707" s="260"/>
      <c r="AE7707" s="260"/>
      <c r="AF7707" s="260"/>
      <c r="AG7707" s="330"/>
    </row>
    <row r="7708" spans="14:33" hidden="1">
      <c r="N7708" s="239"/>
      <c r="O7708" s="225"/>
      <c r="P7708" s="260"/>
      <c r="Q7708" s="328"/>
      <c r="R7708" s="260"/>
      <c r="S7708" s="260"/>
      <c r="T7708" s="260"/>
      <c r="U7708" s="260"/>
      <c r="V7708" s="260"/>
      <c r="W7708" s="260"/>
      <c r="X7708" s="260"/>
      <c r="Y7708" s="260"/>
      <c r="Z7708" s="260"/>
      <c r="AA7708" s="260"/>
      <c r="AB7708" s="260"/>
      <c r="AC7708" s="260"/>
      <c r="AD7708" s="260"/>
      <c r="AE7708" s="260"/>
      <c r="AF7708" s="260"/>
      <c r="AG7708" s="330"/>
    </row>
    <row r="7709" spans="14:33" hidden="1">
      <c r="N7709" s="239"/>
      <c r="O7709" s="225"/>
      <c r="P7709" s="260"/>
      <c r="Q7709" s="328"/>
      <c r="R7709" s="260"/>
      <c r="S7709" s="260"/>
      <c r="T7709" s="260"/>
      <c r="U7709" s="260"/>
      <c r="V7709" s="260"/>
      <c r="W7709" s="260"/>
      <c r="X7709" s="260"/>
      <c r="Y7709" s="260"/>
      <c r="Z7709" s="260"/>
      <c r="AA7709" s="260"/>
      <c r="AB7709" s="260"/>
      <c r="AC7709" s="260"/>
      <c r="AD7709" s="260"/>
      <c r="AE7709" s="260"/>
      <c r="AF7709" s="260"/>
      <c r="AG7709" s="330"/>
    </row>
    <row r="7710" spans="14:33" hidden="1">
      <c r="N7710" s="239"/>
      <c r="O7710" s="225"/>
      <c r="P7710" s="260"/>
      <c r="Q7710" s="328"/>
      <c r="R7710" s="260"/>
      <c r="S7710" s="260"/>
      <c r="T7710" s="260"/>
      <c r="U7710" s="260"/>
      <c r="V7710" s="260"/>
      <c r="W7710" s="260"/>
      <c r="X7710" s="260"/>
      <c r="Y7710" s="260"/>
      <c r="Z7710" s="260"/>
      <c r="AA7710" s="260"/>
      <c r="AB7710" s="260"/>
      <c r="AC7710" s="260"/>
      <c r="AD7710" s="260"/>
      <c r="AE7710" s="260"/>
      <c r="AF7710" s="260"/>
      <c r="AG7710" s="330"/>
    </row>
    <row r="7711" spans="14:33" hidden="1">
      <c r="N7711" s="239"/>
      <c r="O7711" s="225"/>
      <c r="P7711" s="260"/>
      <c r="Q7711" s="328"/>
      <c r="R7711" s="260"/>
      <c r="S7711" s="260"/>
      <c r="T7711" s="260"/>
      <c r="U7711" s="260"/>
      <c r="V7711" s="260"/>
      <c r="W7711" s="260"/>
      <c r="X7711" s="260"/>
      <c r="Y7711" s="260"/>
      <c r="Z7711" s="260"/>
      <c r="AA7711" s="260"/>
      <c r="AB7711" s="260"/>
      <c r="AC7711" s="260"/>
      <c r="AD7711" s="260"/>
      <c r="AE7711" s="260"/>
      <c r="AF7711" s="260"/>
      <c r="AG7711" s="330"/>
    </row>
    <row r="7712" spans="14:33" hidden="1">
      <c r="N7712" s="239"/>
      <c r="O7712" s="225"/>
      <c r="P7712" s="260"/>
      <c r="Q7712" s="328"/>
      <c r="R7712" s="260"/>
      <c r="S7712" s="260"/>
      <c r="T7712" s="260"/>
      <c r="U7712" s="260"/>
      <c r="V7712" s="260"/>
      <c r="W7712" s="260"/>
      <c r="X7712" s="260"/>
      <c r="Y7712" s="260"/>
      <c r="Z7712" s="260"/>
      <c r="AA7712" s="260"/>
      <c r="AB7712" s="260"/>
      <c r="AC7712" s="260"/>
      <c r="AD7712" s="260"/>
      <c r="AE7712" s="260"/>
      <c r="AF7712" s="260"/>
      <c r="AG7712" s="330"/>
    </row>
    <row r="7713" spans="14:33" hidden="1">
      <c r="N7713" s="239"/>
      <c r="O7713" s="225"/>
      <c r="P7713" s="260"/>
      <c r="Q7713" s="328"/>
      <c r="R7713" s="260"/>
      <c r="S7713" s="260"/>
      <c r="T7713" s="260"/>
      <c r="U7713" s="260"/>
      <c r="V7713" s="260"/>
      <c r="W7713" s="260"/>
      <c r="X7713" s="260"/>
      <c r="Y7713" s="260"/>
      <c r="Z7713" s="260"/>
      <c r="AA7713" s="260"/>
      <c r="AB7713" s="260"/>
      <c r="AC7713" s="260"/>
      <c r="AD7713" s="260"/>
      <c r="AE7713" s="260"/>
      <c r="AF7713" s="260"/>
      <c r="AG7713" s="330"/>
    </row>
    <row r="7714" spans="14:33" hidden="1">
      <c r="N7714" s="239"/>
      <c r="O7714" s="225"/>
      <c r="P7714" s="260"/>
      <c r="Q7714" s="328"/>
      <c r="R7714" s="260"/>
      <c r="S7714" s="260"/>
      <c r="T7714" s="260"/>
      <c r="U7714" s="260"/>
      <c r="V7714" s="260"/>
      <c r="W7714" s="260"/>
      <c r="X7714" s="260"/>
      <c r="Y7714" s="260"/>
      <c r="Z7714" s="260"/>
      <c r="AA7714" s="260"/>
      <c r="AB7714" s="260"/>
      <c r="AC7714" s="260"/>
      <c r="AD7714" s="260"/>
      <c r="AE7714" s="260"/>
      <c r="AF7714" s="260"/>
      <c r="AG7714" s="330"/>
    </row>
    <row r="7715" spans="14:33" hidden="1">
      <c r="N7715" s="239"/>
      <c r="O7715" s="225"/>
      <c r="P7715" s="260"/>
      <c r="Q7715" s="328"/>
      <c r="R7715" s="260"/>
      <c r="S7715" s="260"/>
      <c r="T7715" s="260"/>
      <c r="U7715" s="260"/>
      <c r="V7715" s="260"/>
      <c r="W7715" s="260"/>
      <c r="X7715" s="260"/>
      <c r="Y7715" s="260"/>
      <c r="Z7715" s="260"/>
      <c r="AA7715" s="260"/>
      <c r="AB7715" s="260"/>
      <c r="AC7715" s="260"/>
      <c r="AD7715" s="260"/>
      <c r="AE7715" s="260"/>
      <c r="AF7715" s="260"/>
      <c r="AG7715" s="330"/>
    </row>
    <row r="7716" spans="14:33" hidden="1">
      <c r="N7716" s="239"/>
      <c r="O7716" s="225"/>
      <c r="P7716" s="260"/>
      <c r="Q7716" s="328"/>
      <c r="R7716" s="260"/>
      <c r="S7716" s="260"/>
      <c r="T7716" s="260"/>
      <c r="U7716" s="260"/>
      <c r="V7716" s="260"/>
      <c r="W7716" s="260"/>
      <c r="X7716" s="260"/>
      <c r="Y7716" s="260"/>
      <c r="Z7716" s="260"/>
      <c r="AA7716" s="260"/>
      <c r="AB7716" s="260"/>
      <c r="AC7716" s="260"/>
      <c r="AD7716" s="260"/>
      <c r="AE7716" s="260"/>
      <c r="AF7716" s="260"/>
      <c r="AG7716" s="330"/>
    </row>
    <row r="7717" spans="14:33" hidden="1">
      <c r="N7717" s="239"/>
      <c r="O7717" s="225"/>
      <c r="P7717" s="260"/>
      <c r="Q7717" s="328"/>
      <c r="R7717" s="260"/>
      <c r="S7717" s="260"/>
      <c r="T7717" s="260"/>
      <c r="U7717" s="260"/>
      <c r="V7717" s="260"/>
      <c r="W7717" s="260"/>
      <c r="X7717" s="260"/>
      <c r="Y7717" s="260"/>
      <c r="Z7717" s="260"/>
      <c r="AA7717" s="260"/>
      <c r="AB7717" s="260"/>
      <c r="AC7717" s="260"/>
      <c r="AD7717" s="260"/>
      <c r="AE7717" s="260"/>
      <c r="AF7717" s="260"/>
      <c r="AG7717" s="330"/>
    </row>
    <row r="7718" spans="14:33" hidden="1">
      <c r="N7718" s="239"/>
      <c r="O7718" s="225"/>
      <c r="P7718" s="260"/>
      <c r="Q7718" s="328"/>
      <c r="R7718" s="260"/>
      <c r="S7718" s="260"/>
      <c r="T7718" s="260"/>
      <c r="U7718" s="260"/>
      <c r="V7718" s="260"/>
      <c r="W7718" s="260"/>
      <c r="X7718" s="260"/>
      <c r="Y7718" s="260"/>
      <c r="Z7718" s="260"/>
      <c r="AA7718" s="260"/>
      <c r="AB7718" s="260"/>
      <c r="AC7718" s="260"/>
      <c r="AD7718" s="260"/>
      <c r="AE7718" s="260"/>
      <c r="AF7718" s="260"/>
      <c r="AG7718" s="330"/>
    </row>
    <row r="7719" spans="14:33" hidden="1">
      <c r="N7719" s="239"/>
      <c r="O7719" s="225"/>
      <c r="P7719" s="260"/>
      <c r="Q7719" s="328"/>
      <c r="R7719" s="260"/>
      <c r="S7719" s="260"/>
      <c r="T7719" s="260"/>
      <c r="U7719" s="260"/>
      <c r="V7719" s="260"/>
      <c r="W7719" s="260"/>
      <c r="X7719" s="260"/>
      <c r="Y7719" s="260"/>
      <c r="Z7719" s="260"/>
      <c r="AA7719" s="260"/>
      <c r="AB7719" s="260"/>
      <c r="AC7719" s="260"/>
      <c r="AD7719" s="260"/>
      <c r="AE7719" s="260"/>
      <c r="AF7719" s="260"/>
      <c r="AG7719" s="330"/>
    </row>
    <row r="7720" spans="14:33" hidden="1">
      <c r="N7720" s="239"/>
      <c r="O7720" s="225"/>
      <c r="P7720" s="260"/>
      <c r="Q7720" s="328"/>
      <c r="R7720" s="260"/>
      <c r="S7720" s="260"/>
      <c r="T7720" s="260"/>
      <c r="U7720" s="260"/>
      <c r="V7720" s="260"/>
      <c r="W7720" s="260"/>
      <c r="X7720" s="260"/>
      <c r="Y7720" s="260"/>
      <c r="Z7720" s="260"/>
      <c r="AA7720" s="260"/>
      <c r="AB7720" s="260"/>
      <c r="AC7720" s="260"/>
      <c r="AD7720" s="260"/>
      <c r="AE7720" s="260"/>
      <c r="AF7720" s="260"/>
      <c r="AG7720" s="330"/>
    </row>
    <row r="7721" spans="14:33" hidden="1">
      <c r="N7721" s="239"/>
      <c r="O7721" s="225"/>
      <c r="P7721" s="260"/>
      <c r="Q7721" s="328"/>
      <c r="R7721" s="260"/>
      <c r="S7721" s="260"/>
      <c r="T7721" s="260"/>
      <c r="U7721" s="260"/>
      <c r="V7721" s="260"/>
      <c r="W7721" s="260"/>
      <c r="X7721" s="260"/>
      <c r="Y7721" s="260"/>
      <c r="Z7721" s="260"/>
      <c r="AA7721" s="260"/>
      <c r="AB7721" s="260"/>
      <c r="AC7721" s="260"/>
      <c r="AD7721" s="260"/>
      <c r="AE7721" s="260"/>
      <c r="AF7721" s="260"/>
      <c r="AG7721" s="330"/>
    </row>
    <row r="7722" spans="14:33" hidden="1">
      <c r="N7722" s="239"/>
      <c r="O7722" s="225"/>
      <c r="P7722" s="260"/>
      <c r="Q7722" s="328"/>
      <c r="R7722" s="260"/>
      <c r="S7722" s="260"/>
      <c r="T7722" s="260"/>
      <c r="U7722" s="260"/>
      <c r="V7722" s="260"/>
      <c r="W7722" s="260"/>
      <c r="X7722" s="260"/>
      <c r="Y7722" s="260"/>
      <c r="Z7722" s="260"/>
      <c r="AA7722" s="260"/>
      <c r="AB7722" s="260"/>
      <c r="AC7722" s="260"/>
      <c r="AD7722" s="260"/>
      <c r="AE7722" s="260"/>
      <c r="AF7722" s="260"/>
      <c r="AG7722" s="330"/>
    </row>
    <row r="7723" spans="14:33" hidden="1">
      <c r="N7723" s="239"/>
      <c r="O7723" s="225"/>
      <c r="P7723" s="260"/>
      <c r="Q7723" s="328"/>
      <c r="R7723" s="260"/>
      <c r="S7723" s="260"/>
      <c r="T7723" s="260"/>
      <c r="U7723" s="260"/>
      <c r="V7723" s="260"/>
      <c r="W7723" s="260"/>
      <c r="X7723" s="260"/>
      <c r="Y7723" s="260"/>
      <c r="Z7723" s="260"/>
      <c r="AA7723" s="260"/>
      <c r="AB7723" s="260"/>
      <c r="AC7723" s="260"/>
      <c r="AD7723" s="260"/>
      <c r="AE7723" s="260"/>
      <c r="AF7723" s="260"/>
      <c r="AG7723" s="330"/>
    </row>
    <row r="7724" spans="14:33" hidden="1">
      <c r="N7724" s="239"/>
      <c r="O7724" s="225"/>
      <c r="P7724" s="260"/>
      <c r="Q7724" s="328"/>
      <c r="R7724" s="260"/>
      <c r="S7724" s="260"/>
      <c r="T7724" s="260"/>
      <c r="U7724" s="260"/>
      <c r="V7724" s="260"/>
      <c r="W7724" s="260"/>
      <c r="X7724" s="260"/>
      <c r="Y7724" s="260"/>
      <c r="Z7724" s="260"/>
      <c r="AA7724" s="260"/>
      <c r="AB7724" s="260"/>
      <c r="AC7724" s="260"/>
      <c r="AD7724" s="260"/>
      <c r="AE7724" s="260"/>
      <c r="AF7724" s="260"/>
      <c r="AG7724" s="330"/>
    </row>
    <row r="7725" spans="14:33" hidden="1">
      <c r="N7725" s="239"/>
      <c r="O7725" s="225"/>
      <c r="P7725" s="260"/>
      <c r="Q7725" s="328"/>
      <c r="R7725" s="260"/>
      <c r="S7725" s="260"/>
      <c r="T7725" s="260"/>
      <c r="U7725" s="260"/>
      <c r="V7725" s="260"/>
      <c r="W7725" s="260"/>
      <c r="X7725" s="260"/>
      <c r="Y7725" s="260"/>
      <c r="Z7725" s="260"/>
      <c r="AA7725" s="260"/>
      <c r="AB7725" s="260"/>
      <c r="AC7725" s="260"/>
      <c r="AD7725" s="260"/>
      <c r="AE7725" s="260"/>
      <c r="AF7725" s="260"/>
      <c r="AG7725" s="330"/>
    </row>
    <row r="7726" spans="14:33" hidden="1">
      <c r="N7726" s="239"/>
      <c r="O7726" s="225"/>
      <c r="P7726" s="260"/>
      <c r="Q7726" s="328"/>
      <c r="R7726" s="260"/>
      <c r="S7726" s="260"/>
      <c r="T7726" s="260"/>
      <c r="U7726" s="260"/>
      <c r="V7726" s="260"/>
      <c r="W7726" s="260"/>
      <c r="X7726" s="260"/>
      <c r="Y7726" s="260"/>
      <c r="Z7726" s="260"/>
      <c r="AA7726" s="260"/>
      <c r="AB7726" s="260"/>
      <c r="AC7726" s="260"/>
      <c r="AD7726" s="260"/>
      <c r="AE7726" s="260"/>
      <c r="AF7726" s="260"/>
      <c r="AG7726" s="330"/>
    </row>
    <row r="7727" spans="14:33" hidden="1">
      <c r="N7727" s="239"/>
      <c r="O7727" s="225"/>
      <c r="P7727" s="260"/>
      <c r="Q7727" s="328"/>
      <c r="R7727" s="260"/>
      <c r="S7727" s="260"/>
      <c r="T7727" s="260"/>
      <c r="U7727" s="260"/>
      <c r="V7727" s="260"/>
      <c r="W7727" s="260"/>
      <c r="X7727" s="260"/>
      <c r="Y7727" s="260"/>
      <c r="Z7727" s="260"/>
      <c r="AA7727" s="260"/>
      <c r="AB7727" s="260"/>
      <c r="AC7727" s="260"/>
      <c r="AD7727" s="260"/>
      <c r="AE7727" s="260"/>
      <c r="AF7727" s="260"/>
      <c r="AG7727" s="330"/>
    </row>
    <row r="7728" spans="14:33" hidden="1">
      <c r="N7728" s="239"/>
      <c r="O7728" s="225"/>
      <c r="P7728" s="260"/>
      <c r="Q7728" s="328"/>
      <c r="R7728" s="260"/>
      <c r="S7728" s="260"/>
      <c r="T7728" s="260"/>
      <c r="U7728" s="260"/>
      <c r="V7728" s="260"/>
      <c r="W7728" s="260"/>
      <c r="X7728" s="260"/>
      <c r="Y7728" s="260"/>
      <c r="Z7728" s="260"/>
      <c r="AA7728" s="260"/>
      <c r="AB7728" s="260"/>
      <c r="AC7728" s="260"/>
      <c r="AD7728" s="260"/>
      <c r="AE7728" s="260"/>
      <c r="AF7728" s="260"/>
      <c r="AG7728" s="330"/>
    </row>
    <row r="7729" spans="14:33" hidden="1">
      <c r="N7729" s="239"/>
      <c r="O7729" s="225"/>
      <c r="P7729" s="260"/>
      <c r="Q7729" s="328"/>
      <c r="R7729" s="260"/>
      <c r="S7729" s="260"/>
      <c r="T7729" s="260"/>
      <c r="U7729" s="260"/>
      <c r="V7729" s="260"/>
      <c r="W7729" s="260"/>
      <c r="X7729" s="260"/>
      <c r="Y7729" s="260"/>
      <c r="Z7729" s="260"/>
      <c r="AA7729" s="260"/>
      <c r="AB7729" s="260"/>
      <c r="AC7729" s="260"/>
      <c r="AD7729" s="260"/>
      <c r="AE7729" s="260"/>
      <c r="AF7729" s="260"/>
      <c r="AG7729" s="330"/>
    </row>
    <row r="7730" spans="14:33" hidden="1">
      <c r="N7730" s="239"/>
      <c r="O7730" s="225"/>
      <c r="P7730" s="260"/>
      <c r="Q7730" s="328"/>
      <c r="R7730" s="260"/>
      <c r="S7730" s="260"/>
      <c r="T7730" s="260"/>
      <c r="U7730" s="260"/>
      <c r="V7730" s="260"/>
      <c r="W7730" s="260"/>
      <c r="X7730" s="260"/>
      <c r="Y7730" s="260"/>
      <c r="Z7730" s="260"/>
      <c r="AA7730" s="260"/>
      <c r="AB7730" s="260"/>
      <c r="AC7730" s="260"/>
      <c r="AD7730" s="260"/>
      <c r="AE7730" s="260"/>
      <c r="AF7730" s="260"/>
      <c r="AG7730" s="330"/>
    </row>
    <row r="7731" spans="14:33" hidden="1">
      <c r="N7731" s="239"/>
      <c r="O7731" s="225"/>
      <c r="P7731" s="260"/>
      <c r="Q7731" s="328"/>
      <c r="R7731" s="260"/>
      <c r="S7731" s="260"/>
      <c r="T7731" s="260"/>
      <c r="U7731" s="260"/>
      <c r="V7731" s="260"/>
      <c r="W7731" s="260"/>
      <c r="X7731" s="260"/>
      <c r="Y7731" s="260"/>
      <c r="Z7731" s="260"/>
      <c r="AA7731" s="260"/>
      <c r="AB7731" s="260"/>
      <c r="AC7731" s="260"/>
      <c r="AD7731" s="260"/>
      <c r="AE7731" s="260"/>
      <c r="AF7731" s="260"/>
      <c r="AG7731" s="330"/>
    </row>
    <row r="7732" spans="14:33" hidden="1">
      <c r="N7732" s="239"/>
      <c r="O7732" s="225"/>
      <c r="P7732" s="260"/>
      <c r="Q7732" s="328"/>
      <c r="R7732" s="260"/>
      <c r="S7732" s="260"/>
      <c r="T7732" s="260"/>
      <c r="U7732" s="260"/>
      <c r="V7732" s="260"/>
      <c r="W7732" s="260"/>
      <c r="X7732" s="260"/>
      <c r="Y7732" s="260"/>
      <c r="Z7732" s="260"/>
      <c r="AA7732" s="260"/>
      <c r="AB7732" s="260"/>
      <c r="AC7732" s="260"/>
      <c r="AD7732" s="260"/>
      <c r="AE7732" s="260"/>
      <c r="AF7732" s="260"/>
      <c r="AG7732" s="330"/>
    </row>
    <row r="7733" spans="14:33" hidden="1">
      <c r="N7733" s="239"/>
      <c r="O7733" s="225"/>
      <c r="P7733" s="260"/>
      <c r="Q7733" s="328"/>
      <c r="R7733" s="260"/>
      <c r="S7733" s="260"/>
      <c r="T7733" s="260"/>
      <c r="U7733" s="260"/>
      <c r="V7733" s="260"/>
      <c r="W7733" s="260"/>
      <c r="X7733" s="260"/>
      <c r="Y7733" s="260"/>
      <c r="Z7733" s="260"/>
      <c r="AA7733" s="260"/>
      <c r="AB7733" s="260"/>
      <c r="AC7733" s="260"/>
      <c r="AD7733" s="260"/>
      <c r="AE7733" s="260"/>
      <c r="AF7733" s="260"/>
      <c r="AG7733" s="330"/>
    </row>
    <row r="7734" spans="14:33" hidden="1">
      <c r="N7734" s="239"/>
      <c r="O7734" s="225"/>
      <c r="P7734" s="260"/>
      <c r="Q7734" s="328"/>
      <c r="R7734" s="260"/>
      <c r="S7734" s="260"/>
      <c r="T7734" s="260"/>
      <c r="U7734" s="260"/>
      <c r="V7734" s="260"/>
      <c r="W7734" s="260"/>
      <c r="X7734" s="260"/>
      <c r="Y7734" s="260"/>
      <c r="Z7734" s="260"/>
      <c r="AA7734" s="260"/>
      <c r="AB7734" s="260"/>
      <c r="AC7734" s="260"/>
      <c r="AD7734" s="260"/>
      <c r="AE7734" s="260"/>
      <c r="AF7734" s="260"/>
      <c r="AG7734" s="330"/>
    </row>
    <row r="7735" spans="14:33" hidden="1">
      <c r="N7735" s="239"/>
      <c r="O7735" s="225"/>
      <c r="P7735" s="260"/>
      <c r="Q7735" s="328"/>
      <c r="R7735" s="260"/>
      <c r="S7735" s="260"/>
      <c r="T7735" s="260"/>
      <c r="U7735" s="260"/>
      <c r="V7735" s="260"/>
      <c r="W7735" s="260"/>
      <c r="X7735" s="260"/>
      <c r="Y7735" s="260"/>
      <c r="Z7735" s="260"/>
      <c r="AA7735" s="260"/>
      <c r="AB7735" s="260"/>
      <c r="AC7735" s="260"/>
      <c r="AD7735" s="260"/>
      <c r="AE7735" s="260"/>
      <c r="AF7735" s="260"/>
      <c r="AG7735" s="330"/>
    </row>
    <row r="7736" spans="14:33" hidden="1">
      <c r="N7736" s="239"/>
      <c r="O7736" s="225"/>
      <c r="P7736" s="260"/>
      <c r="Q7736" s="328"/>
      <c r="R7736" s="260"/>
      <c r="S7736" s="260"/>
      <c r="T7736" s="260"/>
      <c r="U7736" s="260"/>
      <c r="V7736" s="260"/>
      <c r="W7736" s="260"/>
      <c r="X7736" s="260"/>
      <c r="Y7736" s="260"/>
      <c r="Z7736" s="260"/>
      <c r="AA7736" s="260"/>
      <c r="AB7736" s="260"/>
      <c r="AC7736" s="260"/>
      <c r="AD7736" s="260"/>
      <c r="AE7736" s="260"/>
      <c r="AF7736" s="260"/>
      <c r="AG7736" s="330"/>
    </row>
    <row r="7737" spans="14:33" hidden="1">
      <c r="N7737" s="239"/>
      <c r="O7737" s="225"/>
      <c r="P7737" s="260"/>
      <c r="Q7737" s="328"/>
      <c r="R7737" s="260"/>
      <c r="S7737" s="260"/>
      <c r="T7737" s="260"/>
      <c r="U7737" s="260"/>
      <c r="V7737" s="260"/>
      <c r="W7737" s="260"/>
      <c r="X7737" s="260"/>
      <c r="Y7737" s="260"/>
      <c r="Z7737" s="260"/>
      <c r="AA7737" s="260"/>
      <c r="AB7737" s="260"/>
      <c r="AC7737" s="260"/>
      <c r="AD7737" s="260"/>
      <c r="AE7737" s="260"/>
      <c r="AF7737" s="260"/>
      <c r="AG7737" s="330"/>
    </row>
    <row r="7738" spans="14:33" hidden="1">
      <c r="N7738" s="239"/>
      <c r="O7738" s="225"/>
      <c r="P7738" s="260"/>
      <c r="Q7738" s="328"/>
      <c r="R7738" s="260"/>
      <c r="S7738" s="260"/>
      <c r="T7738" s="260"/>
      <c r="U7738" s="260"/>
      <c r="V7738" s="260"/>
      <c r="W7738" s="260"/>
      <c r="X7738" s="260"/>
      <c r="Y7738" s="260"/>
      <c r="Z7738" s="260"/>
      <c r="AA7738" s="260"/>
      <c r="AB7738" s="260"/>
      <c r="AC7738" s="260"/>
      <c r="AD7738" s="260"/>
      <c r="AE7738" s="260"/>
      <c r="AF7738" s="260"/>
      <c r="AG7738" s="330"/>
    </row>
    <row r="7739" spans="14:33" hidden="1">
      <c r="N7739" s="239"/>
      <c r="O7739" s="225"/>
      <c r="P7739" s="260"/>
      <c r="Q7739" s="328"/>
      <c r="R7739" s="260"/>
      <c r="S7739" s="260"/>
      <c r="T7739" s="260"/>
      <c r="U7739" s="260"/>
      <c r="V7739" s="260"/>
      <c r="W7739" s="260"/>
      <c r="X7739" s="260"/>
      <c r="Y7739" s="260"/>
      <c r="Z7739" s="260"/>
      <c r="AA7739" s="260"/>
      <c r="AB7739" s="260"/>
      <c r="AC7739" s="260"/>
      <c r="AD7739" s="260"/>
      <c r="AE7739" s="260"/>
      <c r="AF7739" s="260"/>
      <c r="AG7739" s="330"/>
    </row>
    <row r="7740" spans="14:33" hidden="1">
      <c r="N7740" s="239"/>
      <c r="O7740" s="225"/>
      <c r="P7740" s="260"/>
      <c r="Q7740" s="328"/>
      <c r="R7740" s="260"/>
      <c r="S7740" s="260"/>
      <c r="T7740" s="260"/>
      <c r="U7740" s="260"/>
      <c r="V7740" s="260"/>
      <c r="W7740" s="260"/>
      <c r="X7740" s="260"/>
      <c r="Y7740" s="260"/>
      <c r="Z7740" s="260"/>
      <c r="AA7740" s="260"/>
      <c r="AB7740" s="260"/>
      <c r="AC7740" s="260"/>
      <c r="AD7740" s="260"/>
      <c r="AE7740" s="260"/>
      <c r="AF7740" s="260"/>
      <c r="AG7740" s="330"/>
    </row>
    <row r="7741" spans="14:33" hidden="1">
      <c r="N7741" s="239"/>
      <c r="O7741" s="225"/>
      <c r="P7741" s="260"/>
      <c r="Q7741" s="328"/>
      <c r="R7741" s="260"/>
      <c r="S7741" s="260"/>
      <c r="T7741" s="260"/>
      <c r="U7741" s="260"/>
      <c r="V7741" s="260"/>
      <c r="W7741" s="260"/>
      <c r="X7741" s="260"/>
      <c r="Y7741" s="260"/>
      <c r="Z7741" s="260"/>
      <c r="AA7741" s="260"/>
      <c r="AB7741" s="260"/>
      <c r="AC7741" s="260"/>
      <c r="AD7741" s="260"/>
      <c r="AE7741" s="260"/>
      <c r="AF7741" s="260"/>
      <c r="AG7741" s="330"/>
    </row>
    <row r="7742" spans="14:33" hidden="1">
      <c r="N7742" s="239"/>
      <c r="O7742" s="225"/>
      <c r="P7742" s="260"/>
      <c r="Q7742" s="328"/>
      <c r="R7742" s="260"/>
      <c r="S7742" s="260"/>
      <c r="T7742" s="260"/>
      <c r="U7742" s="260"/>
      <c r="V7742" s="260"/>
      <c r="W7742" s="260"/>
      <c r="X7742" s="260"/>
      <c r="Y7742" s="260"/>
      <c r="Z7742" s="260"/>
      <c r="AA7742" s="260"/>
      <c r="AB7742" s="260"/>
      <c r="AC7742" s="260"/>
      <c r="AD7742" s="260"/>
      <c r="AE7742" s="260"/>
      <c r="AF7742" s="260"/>
      <c r="AG7742" s="330"/>
    </row>
    <row r="7743" spans="14:33" hidden="1">
      <c r="N7743" s="239"/>
      <c r="O7743" s="225"/>
      <c r="P7743" s="260"/>
      <c r="Q7743" s="328"/>
      <c r="R7743" s="260"/>
      <c r="S7743" s="260"/>
      <c r="T7743" s="260"/>
      <c r="U7743" s="260"/>
      <c r="V7743" s="260"/>
      <c r="W7743" s="260"/>
      <c r="X7743" s="260"/>
      <c r="Y7743" s="260"/>
      <c r="Z7743" s="260"/>
      <c r="AA7743" s="260"/>
      <c r="AB7743" s="260"/>
      <c r="AC7743" s="260"/>
      <c r="AD7743" s="260"/>
      <c r="AE7743" s="260"/>
      <c r="AF7743" s="260"/>
      <c r="AG7743" s="330"/>
    </row>
    <row r="7744" spans="14:33" hidden="1">
      <c r="N7744" s="239"/>
      <c r="O7744" s="225"/>
      <c r="P7744" s="260"/>
      <c r="Q7744" s="328"/>
      <c r="R7744" s="260"/>
      <c r="S7744" s="260"/>
      <c r="T7744" s="260"/>
      <c r="U7744" s="260"/>
      <c r="V7744" s="260"/>
      <c r="W7744" s="260"/>
      <c r="X7744" s="260"/>
      <c r="Y7744" s="260"/>
      <c r="Z7744" s="260"/>
      <c r="AA7744" s="260"/>
      <c r="AB7744" s="260"/>
      <c r="AC7744" s="260"/>
      <c r="AD7744" s="260"/>
      <c r="AE7744" s="260"/>
      <c r="AF7744" s="260"/>
      <c r="AG7744" s="330"/>
    </row>
    <row r="7745" spans="14:33" hidden="1">
      <c r="N7745" s="239"/>
      <c r="O7745" s="225"/>
      <c r="P7745" s="260"/>
      <c r="Q7745" s="328"/>
      <c r="R7745" s="260"/>
      <c r="S7745" s="260"/>
      <c r="T7745" s="260"/>
      <c r="U7745" s="260"/>
      <c r="V7745" s="260"/>
      <c r="W7745" s="260"/>
      <c r="X7745" s="260"/>
      <c r="Y7745" s="260"/>
      <c r="Z7745" s="260"/>
      <c r="AA7745" s="260"/>
      <c r="AB7745" s="260"/>
      <c r="AC7745" s="260"/>
      <c r="AD7745" s="260"/>
      <c r="AE7745" s="260"/>
      <c r="AF7745" s="260"/>
      <c r="AG7745" s="330"/>
    </row>
    <row r="7746" spans="14:33" hidden="1">
      <c r="N7746" s="239"/>
      <c r="O7746" s="225"/>
      <c r="P7746" s="260"/>
      <c r="Q7746" s="328"/>
      <c r="R7746" s="260"/>
      <c r="S7746" s="260"/>
      <c r="T7746" s="260"/>
      <c r="U7746" s="260"/>
      <c r="V7746" s="260"/>
      <c r="W7746" s="260"/>
      <c r="X7746" s="260"/>
      <c r="Y7746" s="260"/>
      <c r="Z7746" s="260"/>
      <c r="AA7746" s="260"/>
      <c r="AB7746" s="260"/>
      <c r="AC7746" s="260"/>
      <c r="AD7746" s="260"/>
      <c r="AE7746" s="260"/>
      <c r="AF7746" s="260"/>
      <c r="AG7746" s="330"/>
    </row>
    <row r="7747" spans="14:33" hidden="1">
      <c r="N7747" s="239"/>
      <c r="O7747" s="225"/>
      <c r="P7747" s="260"/>
      <c r="Q7747" s="328"/>
      <c r="R7747" s="260"/>
      <c r="S7747" s="260"/>
      <c r="T7747" s="260"/>
      <c r="U7747" s="260"/>
      <c r="V7747" s="260"/>
      <c r="W7747" s="260"/>
      <c r="X7747" s="260"/>
      <c r="Y7747" s="260"/>
      <c r="Z7747" s="260"/>
      <c r="AA7747" s="260"/>
      <c r="AB7747" s="260"/>
      <c r="AC7747" s="260"/>
      <c r="AD7747" s="260"/>
      <c r="AE7747" s="260"/>
      <c r="AF7747" s="260"/>
      <c r="AG7747" s="330"/>
    </row>
    <row r="7748" spans="14:33" hidden="1">
      <c r="N7748" s="239"/>
      <c r="O7748" s="225"/>
      <c r="P7748" s="260"/>
      <c r="Q7748" s="328"/>
      <c r="R7748" s="260"/>
      <c r="S7748" s="260"/>
      <c r="T7748" s="260"/>
      <c r="U7748" s="260"/>
      <c r="V7748" s="260"/>
      <c r="W7748" s="260"/>
      <c r="X7748" s="260"/>
      <c r="Y7748" s="260"/>
      <c r="Z7748" s="260"/>
      <c r="AA7748" s="260"/>
      <c r="AB7748" s="260"/>
      <c r="AC7748" s="260"/>
      <c r="AD7748" s="260"/>
      <c r="AE7748" s="260"/>
      <c r="AF7748" s="260"/>
      <c r="AG7748" s="330"/>
    </row>
    <row r="7749" spans="14:33" hidden="1">
      <c r="N7749" s="239"/>
      <c r="O7749" s="225"/>
      <c r="P7749" s="260"/>
      <c r="Q7749" s="328"/>
      <c r="R7749" s="260"/>
      <c r="S7749" s="260"/>
      <c r="T7749" s="260"/>
      <c r="U7749" s="260"/>
      <c r="V7749" s="260"/>
      <c r="W7749" s="260"/>
      <c r="X7749" s="260"/>
      <c r="Y7749" s="260"/>
      <c r="Z7749" s="260"/>
      <c r="AA7749" s="260"/>
      <c r="AB7749" s="260"/>
      <c r="AC7749" s="260"/>
      <c r="AD7749" s="260"/>
      <c r="AE7749" s="260"/>
      <c r="AF7749" s="260"/>
      <c r="AG7749" s="330"/>
    </row>
    <row r="7750" spans="14:33" hidden="1">
      <c r="N7750" s="239"/>
      <c r="O7750" s="225"/>
      <c r="P7750" s="260"/>
      <c r="Q7750" s="328"/>
      <c r="R7750" s="260"/>
      <c r="S7750" s="260"/>
      <c r="T7750" s="260"/>
      <c r="U7750" s="260"/>
      <c r="V7750" s="260"/>
      <c r="W7750" s="260"/>
      <c r="X7750" s="260"/>
      <c r="Y7750" s="260"/>
      <c r="Z7750" s="260"/>
      <c r="AA7750" s="260"/>
      <c r="AB7750" s="260"/>
      <c r="AC7750" s="260"/>
      <c r="AD7750" s="260"/>
      <c r="AE7750" s="260"/>
      <c r="AF7750" s="260"/>
      <c r="AG7750" s="330"/>
    </row>
    <row r="7751" spans="14:33" hidden="1">
      <c r="N7751" s="239"/>
      <c r="O7751" s="225"/>
      <c r="P7751" s="260"/>
      <c r="Q7751" s="328"/>
      <c r="R7751" s="260"/>
      <c r="S7751" s="260"/>
      <c r="T7751" s="260"/>
      <c r="U7751" s="260"/>
      <c r="V7751" s="260"/>
      <c r="W7751" s="260"/>
      <c r="X7751" s="260"/>
      <c r="Y7751" s="260"/>
      <c r="Z7751" s="260"/>
      <c r="AA7751" s="260"/>
      <c r="AB7751" s="260"/>
      <c r="AC7751" s="260"/>
      <c r="AD7751" s="260"/>
      <c r="AE7751" s="260"/>
      <c r="AF7751" s="260"/>
      <c r="AG7751" s="330"/>
    </row>
    <row r="7752" spans="14:33" hidden="1">
      <c r="N7752" s="239"/>
      <c r="O7752" s="225"/>
      <c r="P7752" s="260"/>
      <c r="Q7752" s="328"/>
      <c r="R7752" s="260"/>
      <c r="S7752" s="260"/>
      <c r="T7752" s="260"/>
      <c r="U7752" s="260"/>
      <c r="V7752" s="260"/>
      <c r="W7752" s="260"/>
      <c r="X7752" s="260"/>
      <c r="Y7752" s="260"/>
      <c r="Z7752" s="260"/>
      <c r="AA7752" s="260"/>
      <c r="AB7752" s="260"/>
      <c r="AC7752" s="260"/>
      <c r="AD7752" s="260"/>
      <c r="AE7752" s="260"/>
      <c r="AF7752" s="260"/>
      <c r="AG7752" s="330"/>
    </row>
    <row r="7753" spans="14:33" hidden="1">
      <c r="N7753" s="239"/>
      <c r="O7753" s="225"/>
      <c r="P7753" s="260"/>
      <c r="Q7753" s="328"/>
      <c r="R7753" s="260"/>
      <c r="S7753" s="260"/>
      <c r="T7753" s="260"/>
      <c r="U7753" s="260"/>
      <c r="V7753" s="260"/>
      <c r="W7753" s="260"/>
      <c r="X7753" s="260"/>
      <c r="Y7753" s="260"/>
      <c r="Z7753" s="260"/>
      <c r="AA7753" s="260"/>
      <c r="AB7753" s="260"/>
      <c r="AC7753" s="260"/>
      <c r="AD7753" s="260"/>
      <c r="AE7753" s="260"/>
      <c r="AF7753" s="260"/>
      <c r="AG7753" s="330"/>
    </row>
    <row r="7754" spans="14:33" hidden="1">
      <c r="N7754" s="239"/>
      <c r="O7754" s="225"/>
      <c r="P7754" s="260"/>
      <c r="Q7754" s="328"/>
      <c r="R7754" s="260"/>
      <c r="S7754" s="260"/>
      <c r="T7754" s="260"/>
      <c r="U7754" s="260"/>
      <c r="V7754" s="260"/>
      <c r="W7754" s="260"/>
      <c r="X7754" s="260"/>
      <c r="Y7754" s="260"/>
      <c r="Z7754" s="260"/>
      <c r="AA7754" s="260"/>
      <c r="AB7754" s="260"/>
      <c r="AC7754" s="260"/>
      <c r="AD7754" s="260"/>
      <c r="AE7754" s="260"/>
      <c r="AF7754" s="260"/>
      <c r="AG7754" s="330"/>
    </row>
    <row r="7755" spans="14:33" hidden="1">
      <c r="N7755" s="239"/>
      <c r="O7755" s="225"/>
      <c r="P7755" s="260"/>
      <c r="Q7755" s="328"/>
      <c r="R7755" s="260"/>
      <c r="S7755" s="260"/>
      <c r="T7755" s="260"/>
      <c r="U7755" s="260"/>
      <c r="V7755" s="260"/>
      <c r="W7755" s="260"/>
      <c r="X7755" s="260"/>
      <c r="Y7755" s="260"/>
      <c r="Z7755" s="260"/>
      <c r="AA7755" s="260"/>
      <c r="AB7755" s="260"/>
      <c r="AC7755" s="260"/>
      <c r="AD7755" s="260"/>
      <c r="AE7755" s="260"/>
      <c r="AF7755" s="260"/>
      <c r="AG7755" s="330"/>
    </row>
    <row r="7756" spans="14:33" hidden="1">
      <c r="N7756" s="239"/>
      <c r="O7756" s="225"/>
      <c r="P7756" s="260"/>
      <c r="Q7756" s="328"/>
      <c r="R7756" s="260"/>
      <c r="S7756" s="260"/>
      <c r="T7756" s="260"/>
      <c r="U7756" s="260"/>
      <c r="V7756" s="260"/>
      <c r="W7756" s="260"/>
      <c r="X7756" s="260"/>
      <c r="Y7756" s="260"/>
      <c r="Z7756" s="260"/>
      <c r="AA7756" s="260"/>
      <c r="AB7756" s="260"/>
      <c r="AC7756" s="260"/>
      <c r="AD7756" s="260"/>
      <c r="AE7756" s="260"/>
      <c r="AF7756" s="260"/>
      <c r="AG7756" s="330"/>
    </row>
    <row r="7757" spans="14:33" hidden="1">
      <c r="N7757" s="239"/>
      <c r="O7757" s="225"/>
      <c r="P7757" s="260"/>
      <c r="Q7757" s="328"/>
      <c r="R7757" s="260"/>
      <c r="S7757" s="260"/>
      <c r="T7757" s="260"/>
      <c r="U7757" s="260"/>
      <c r="V7757" s="260"/>
      <c r="W7757" s="260"/>
      <c r="X7757" s="260"/>
      <c r="Y7757" s="260"/>
      <c r="Z7757" s="260"/>
      <c r="AA7757" s="260"/>
      <c r="AB7757" s="260"/>
      <c r="AC7757" s="260"/>
      <c r="AD7757" s="260"/>
      <c r="AE7757" s="260"/>
      <c r="AF7757" s="260"/>
      <c r="AG7757" s="330"/>
    </row>
    <row r="7758" spans="14:33" hidden="1">
      <c r="N7758" s="239"/>
      <c r="O7758" s="225"/>
      <c r="P7758" s="260"/>
      <c r="Q7758" s="328"/>
      <c r="R7758" s="260"/>
      <c r="S7758" s="260"/>
      <c r="T7758" s="260"/>
      <c r="U7758" s="260"/>
      <c r="V7758" s="260"/>
      <c r="W7758" s="260"/>
      <c r="X7758" s="260"/>
      <c r="Y7758" s="260"/>
      <c r="Z7758" s="260"/>
      <c r="AA7758" s="260"/>
      <c r="AB7758" s="260"/>
      <c r="AC7758" s="260"/>
      <c r="AD7758" s="260"/>
      <c r="AE7758" s="260"/>
      <c r="AF7758" s="260"/>
      <c r="AG7758" s="330"/>
    </row>
    <row r="7759" spans="14:33" hidden="1">
      <c r="N7759" s="239"/>
      <c r="O7759" s="225"/>
      <c r="P7759" s="260"/>
      <c r="Q7759" s="328"/>
      <c r="R7759" s="260"/>
      <c r="S7759" s="260"/>
      <c r="T7759" s="260"/>
      <c r="U7759" s="260"/>
      <c r="V7759" s="260"/>
      <c r="W7759" s="260"/>
      <c r="X7759" s="260"/>
      <c r="Y7759" s="260"/>
      <c r="Z7759" s="260"/>
      <c r="AA7759" s="260"/>
      <c r="AB7759" s="260"/>
      <c r="AC7759" s="260"/>
      <c r="AD7759" s="260"/>
      <c r="AE7759" s="260"/>
      <c r="AF7759" s="260"/>
      <c r="AG7759" s="330"/>
    </row>
    <row r="7760" spans="14:33" hidden="1">
      <c r="N7760" s="239"/>
      <c r="O7760" s="225"/>
      <c r="P7760" s="260"/>
      <c r="Q7760" s="328"/>
      <c r="R7760" s="260"/>
      <c r="S7760" s="260"/>
      <c r="T7760" s="260"/>
      <c r="U7760" s="260"/>
      <c r="V7760" s="260"/>
      <c r="W7760" s="260"/>
      <c r="X7760" s="260"/>
      <c r="Y7760" s="260"/>
      <c r="Z7760" s="260"/>
      <c r="AA7760" s="260"/>
      <c r="AB7760" s="260"/>
      <c r="AC7760" s="260"/>
      <c r="AD7760" s="260"/>
      <c r="AE7760" s="260"/>
      <c r="AF7760" s="260"/>
      <c r="AG7760" s="330"/>
    </row>
    <row r="7761" spans="14:33" hidden="1">
      <c r="N7761" s="239"/>
      <c r="O7761" s="225"/>
      <c r="P7761" s="260"/>
      <c r="Q7761" s="328"/>
      <c r="R7761" s="260"/>
      <c r="S7761" s="260"/>
      <c r="T7761" s="260"/>
      <c r="U7761" s="260"/>
      <c r="V7761" s="260"/>
      <c r="W7761" s="260"/>
      <c r="X7761" s="260"/>
      <c r="Y7761" s="260"/>
      <c r="Z7761" s="260"/>
      <c r="AA7761" s="260"/>
      <c r="AB7761" s="260"/>
      <c r="AC7761" s="260"/>
      <c r="AD7761" s="260"/>
      <c r="AE7761" s="260"/>
      <c r="AF7761" s="260"/>
      <c r="AG7761" s="330"/>
    </row>
    <row r="7762" spans="14:33" hidden="1">
      <c r="N7762" s="239"/>
      <c r="O7762" s="225"/>
      <c r="P7762" s="260"/>
      <c r="Q7762" s="328"/>
      <c r="R7762" s="260"/>
      <c r="S7762" s="260"/>
      <c r="T7762" s="260"/>
      <c r="U7762" s="260"/>
      <c r="V7762" s="260"/>
      <c r="W7762" s="260"/>
      <c r="X7762" s="260"/>
      <c r="Y7762" s="260"/>
      <c r="Z7762" s="260"/>
      <c r="AA7762" s="260"/>
      <c r="AB7762" s="260"/>
      <c r="AC7762" s="260"/>
      <c r="AD7762" s="260"/>
      <c r="AE7762" s="260"/>
      <c r="AF7762" s="260"/>
      <c r="AG7762" s="330"/>
    </row>
    <row r="7763" spans="14:33" hidden="1">
      <c r="N7763" s="239"/>
      <c r="O7763" s="225"/>
      <c r="P7763" s="260"/>
      <c r="Q7763" s="328"/>
      <c r="R7763" s="260"/>
      <c r="S7763" s="260"/>
      <c r="T7763" s="260"/>
      <c r="U7763" s="260"/>
      <c r="V7763" s="260"/>
      <c r="W7763" s="260"/>
      <c r="X7763" s="260"/>
      <c r="Y7763" s="260"/>
      <c r="Z7763" s="260"/>
      <c r="AA7763" s="260"/>
      <c r="AB7763" s="260"/>
      <c r="AC7763" s="260"/>
      <c r="AD7763" s="260"/>
      <c r="AE7763" s="260"/>
      <c r="AF7763" s="260"/>
      <c r="AG7763" s="330"/>
    </row>
    <row r="7764" spans="14:33" hidden="1">
      <c r="N7764" s="239"/>
      <c r="O7764" s="225"/>
      <c r="P7764" s="260"/>
      <c r="Q7764" s="328"/>
      <c r="R7764" s="260"/>
      <c r="S7764" s="260"/>
      <c r="T7764" s="260"/>
      <c r="U7764" s="260"/>
      <c r="V7764" s="260"/>
      <c r="W7764" s="260"/>
      <c r="X7764" s="260"/>
      <c r="Y7764" s="260"/>
      <c r="Z7764" s="260"/>
      <c r="AA7764" s="260"/>
      <c r="AB7764" s="260"/>
      <c r="AC7764" s="260"/>
      <c r="AD7764" s="260"/>
      <c r="AE7764" s="260"/>
      <c r="AF7764" s="260"/>
      <c r="AG7764" s="330"/>
    </row>
    <row r="7765" spans="14:33" hidden="1">
      <c r="N7765" s="239"/>
      <c r="O7765" s="225"/>
      <c r="P7765" s="260"/>
      <c r="Q7765" s="328"/>
      <c r="R7765" s="260"/>
      <c r="S7765" s="260"/>
      <c r="T7765" s="260"/>
      <c r="U7765" s="260"/>
      <c r="V7765" s="260"/>
      <c r="W7765" s="260"/>
      <c r="X7765" s="260"/>
      <c r="Y7765" s="260"/>
      <c r="Z7765" s="260"/>
      <c r="AA7765" s="260"/>
      <c r="AB7765" s="260"/>
      <c r="AC7765" s="260"/>
      <c r="AD7765" s="260"/>
      <c r="AE7765" s="260"/>
      <c r="AF7765" s="260"/>
      <c r="AG7765" s="330"/>
    </row>
    <row r="7766" spans="14:33" hidden="1">
      <c r="N7766" s="239"/>
      <c r="O7766" s="225"/>
      <c r="P7766" s="260"/>
      <c r="Q7766" s="328"/>
      <c r="R7766" s="260"/>
      <c r="S7766" s="260"/>
      <c r="T7766" s="260"/>
      <c r="U7766" s="260"/>
      <c r="V7766" s="260"/>
      <c r="W7766" s="260"/>
      <c r="X7766" s="260"/>
      <c r="Y7766" s="260"/>
      <c r="Z7766" s="260"/>
      <c r="AA7766" s="260"/>
      <c r="AB7766" s="260"/>
      <c r="AC7766" s="260"/>
      <c r="AD7766" s="260"/>
      <c r="AE7766" s="260"/>
      <c r="AF7766" s="260"/>
      <c r="AG7766" s="330"/>
    </row>
    <row r="7767" spans="14:33" hidden="1">
      <c r="N7767" s="239"/>
      <c r="O7767" s="225"/>
      <c r="P7767" s="260"/>
      <c r="Q7767" s="328"/>
      <c r="R7767" s="260"/>
      <c r="S7767" s="260"/>
      <c r="T7767" s="260"/>
      <c r="U7767" s="260"/>
      <c r="V7767" s="260"/>
      <c r="W7767" s="260"/>
      <c r="X7767" s="260"/>
      <c r="Y7767" s="260"/>
      <c r="Z7767" s="260"/>
      <c r="AA7767" s="260"/>
      <c r="AB7767" s="260"/>
      <c r="AC7767" s="260"/>
      <c r="AD7767" s="260"/>
      <c r="AE7767" s="260"/>
      <c r="AF7767" s="260"/>
      <c r="AG7767" s="330"/>
    </row>
    <row r="7768" spans="14:33" hidden="1">
      <c r="N7768" s="239"/>
      <c r="O7768" s="225"/>
      <c r="P7768" s="260"/>
      <c r="Q7768" s="328"/>
      <c r="R7768" s="260"/>
      <c r="S7768" s="260"/>
      <c r="T7768" s="260"/>
      <c r="U7768" s="260"/>
      <c r="V7768" s="260"/>
      <c r="W7768" s="260"/>
      <c r="X7768" s="260"/>
      <c r="Y7768" s="260"/>
      <c r="Z7768" s="260"/>
      <c r="AA7768" s="260"/>
      <c r="AB7768" s="260"/>
      <c r="AC7768" s="260"/>
      <c r="AD7768" s="260"/>
      <c r="AE7768" s="260"/>
      <c r="AF7768" s="260"/>
      <c r="AG7768" s="330"/>
    </row>
    <row r="7769" spans="14:33" hidden="1">
      <c r="N7769" s="239"/>
      <c r="O7769" s="225"/>
      <c r="P7769" s="260"/>
      <c r="Q7769" s="328"/>
      <c r="R7769" s="260"/>
      <c r="S7769" s="260"/>
      <c r="T7769" s="260"/>
      <c r="U7769" s="260"/>
      <c r="V7769" s="260"/>
      <c r="W7769" s="260"/>
      <c r="X7769" s="260"/>
      <c r="Y7769" s="260"/>
      <c r="Z7769" s="260"/>
      <c r="AA7769" s="260"/>
      <c r="AB7769" s="260"/>
      <c r="AC7769" s="260"/>
      <c r="AD7769" s="260"/>
      <c r="AE7769" s="260"/>
      <c r="AF7769" s="260"/>
      <c r="AG7769" s="330"/>
    </row>
    <row r="7770" spans="14:33" hidden="1">
      <c r="N7770" s="239"/>
      <c r="O7770" s="225"/>
      <c r="P7770" s="260"/>
      <c r="Q7770" s="328"/>
      <c r="R7770" s="260"/>
      <c r="S7770" s="260"/>
      <c r="T7770" s="260"/>
      <c r="U7770" s="260"/>
      <c r="V7770" s="260"/>
      <c r="W7770" s="260"/>
      <c r="X7770" s="260"/>
      <c r="Y7770" s="260"/>
      <c r="Z7770" s="260"/>
      <c r="AA7770" s="260"/>
      <c r="AB7770" s="260"/>
      <c r="AC7770" s="260"/>
      <c r="AD7770" s="260"/>
      <c r="AE7770" s="260"/>
      <c r="AF7770" s="260"/>
      <c r="AG7770" s="330"/>
    </row>
    <row r="7771" spans="14:33" hidden="1">
      <c r="N7771" s="239"/>
      <c r="O7771" s="225"/>
      <c r="P7771" s="260"/>
      <c r="Q7771" s="328"/>
      <c r="R7771" s="260"/>
      <c r="S7771" s="260"/>
      <c r="T7771" s="260"/>
      <c r="U7771" s="260"/>
      <c r="V7771" s="260"/>
      <c r="W7771" s="260"/>
      <c r="X7771" s="260"/>
      <c r="Y7771" s="260"/>
      <c r="Z7771" s="260"/>
      <c r="AA7771" s="260"/>
      <c r="AB7771" s="260"/>
      <c r="AC7771" s="260"/>
      <c r="AD7771" s="260"/>
      <c r="AE7771" s="260"/>
      <c r="AF7771" s="260"/>
      <c r="AG7771" s="330"/>
    </row>
    <row r="7772" spans="14:33" hidden="1">
      <c r="N7772" s="239"/>
      <c r="O7772" s="225"/>
      <c r="P7772" s="260"/>
      <c r="Q7772" s="328"/>
      <c r="R7772" s="260"/>
      <c r="S7772" s="260"/>
      <c r="T7772" s="260"/>
      <c r="U7772" s="260"/>
      <c r="V7772" s="260"/>
      <c r="W7772" s="260"/>
      <c r="X7772" s="260"/>
      <c r="Y7772" s="260"/>
      <c r="Z7772" s="260"/>
      <c r="AA7772" s="260"/>
      <c r="AB7772" s="260"/>
      <c r="AC7772" s="260"/>
      <c r="AD7772" s="260"/>
      <c r="AE7772" s="260"/>
      <c r="AF7772" s="260"/>
      <c r="AG7772" s="330"/>
    </row>
    <row r="7773" spans="14:33" hidden="1">
      <c r="N7773" s="239"/>
      <c r="O7773" s="225"/>
      <c r="P7773" s="260"/>
      <c r="Q7773" s="328"/>
      <c r="R7773" s="260"/>
      <c r="S7773" s="260"/>
      <c r="T7773" s="260"/>
      <c r="U7773" s="260"/>
      <c r="V7773" s="260"/>
      <c r="W7773" s="260"/>
      <c r="X7773" s="260"/>
      <c r="Y7773" s="260"/>
      <c r="Z7773" s="260"/>
      <c r="AA7773" s="260"/>
      <c r="AB7773" s="260"/>
      <c r="AC7773" s="260"/>
      <c r="AD7773" s="260"/>
      <c r="AE7773" s="260"/>
      <c r="AF7773" s="260"/>
      <c r="AG7773" s="330"/>
    </row>
    <row r="7774" spans="14:33" hidden="1">
      <c r="N7774" s="239"/>
      <c r="O7774" s="225"/>
      <c r="P7774" s="260"/>
      <c r="Q7774" s="328"/>
      <c r="R7774" s="260"/>
      <c r="S7774" s="260"/>
      <c r="T7774" s="260"/>
      <c r="U7774" s="260"/>
      <c r="V7774" s="260"/>
      <c r="W7774" s="260"/>
      <c r="X7774" s="260"/>
      <c r="Y7774" s="260"/>
      <c r="Z7774" s="260"/>
      <c r="AA7774" s="260"/>
      <c r="AB7774" s="260"/>
      <c r="AC7774" s="260"/>
      <c r="AD7774" s="260"/>
      <c r="AE7774" s="260"/>
      <c r="AF7774" s="260"/>
      <c r="AG7774" s="330"/>
    </row>
    <row r="7775" spans="14:33" hidden="1">
      <c r="N7775" s="239"/>
      <c r="O7775" s="225"/>
      <c r="P7775" s="260"/>
      <c r="Q7775" s="328"/>
      <c r="R7775" s="260"/>
      <c r="S7775" s="260"/>
      <c r="T7775" s="260"/>
      <c r="U7775" s="260"/>
      <c r="V7775" s="260"/>
      <c r="W7775" s="260"/>
      <c r="X7775" s="260"/>
      <c r="Y7775" s="260"/>
      <c r="Z7775" s="260"/>
      <c r="AA7775" s="260"/>
      <c r="AB7775" s="260"/>
      <c r="AC7775" s="260"/>
      <c r="AD7775" s="260"/>
      <c r="AE7775" s="260"/>
      <c r="AF7775" s="260"/>
      <c r="AG7775" s="330"/>
    </row>
    <row r="7776" spans="14:33" hidden="1">
      <c r="N7776" s="239"/>
      <c r="O7776" s="225"/>
      <c r="P7776" s="260"/>
      <c r="Q7776" s="328"/>
      <c r="R7776" s="260"/>
      <c r="S7776" s="260"/>
      <c r="T7776" s="260"/>
      <c r="U7776" s="260"/>
      <c r="V7776" s="260"/>
      <c r="W7776" s="260"/>
      <c r="X7776" s="260"/>
      <c r="Y7776" s="260"/>
      <c r="Z7776" s="260"/>
      <c r="AA7776" s="260"/>
      <c r="AB7776" s="260"/>
      <c r="AC7776" s="260"/>
      <c r="AD7776" s="260"/>
      <c r="AE7776" s="260"/>
      <c r="AF7776" s="260"/>
      <c r="AG7776" s="330"/>
    </row>
    <row r="7777" spans="14:33" hidden="1">
      <c r="N7777" s="239"/>
      <c r="O7777" s="225"/>
      <c r="P7777" s="260"/>
      <c r="Q7777" s="328"/>
      <c r="R7777" s="260"/>
      <c r="S7777" s="260"/>
      <c r="T7777" s="260"/>
      <c r="U7777" s="260"/>
      <c r="V7777" s="260"/>
      <c r="W7777" s="260"/>
      <c r="X7777" s="260"/>
      <c r="Y7777" s="260"/>
      <c r="Z7777" s="260"/>
      <c r="AA7777" s="260"/>
      <c r="AB7777" s="260"/>
      <c r="AC7777" s="260"/>
      <c r="AD7777" s="260"/>
      <c r="AE7777" s="260"/>
      <c r="AF7777" s="260"/>
      <c r="AG7777" s="330"/>
    </row>
    <row r="7778" spans="14:33" hidden="1">
      <c r="N7778" s="239"/>
      <c r="O7778" s="225"/>
      <c r="P7778" s="260"/>
      <c r="Q7778" s="328"/>
      <c r="R7778" s="260"/>
      <c r="S7778" s="260"/>
      <c r="T7778" s="260"/>
      <c r="U7778" s="260"/>
      <c r="V7778" s="260"/>
      <c r="W7778" s="260"/>
      <c r="X7778" s="260"/>
      <c r="Y7778" s="260"/>
      <c r="Z7778" s="260"/>
      <c r="AA7778" s="260"/>
      <c r="AB7778" s="260"/>
      <c r="AC7778" s="260"/>
      <c r="AD7778" s="260"/>
      <c r="AE7778" s="260"/>
      <c r="AF7778" s="260"/>
      <c r="AG7778" s="330"/>
    </row>
    <row r="7779" spans="14:33" hidden="1">
      <c r="N7779" s="239"/>
      <c r="O7779" s="225"/>
      <c r="P7779" s="260"/>
      <c r="Q7779" s="328"/>
      <c r="R7779" s="260"/>
      <c r="S7779" s="260"/>
      <c r="T7779" s="260"/>
      <c r="U7779" s="260"/>
      <c r="V7779" s="260"/>
      <c r="W7779" s="260"/>
      <c r="X7779" s="260"/>
      <c r="Y7779" s="260"/>
      <c r="Z7779" s="260"/>
      <c r="AA7779" s="260"/>
      <c r="AB7779" s="260"/>
      <c r="AC7779" s="260"/>
      <c r="AD7779" s="260"/>
      <c r="AE7779" s="260"/>
      <c r="AF7779" s="260"/>
      <c r="AG7779" s="330"/>
    </row>
    <row r="7780" spans="14:33" hidden="1">
      <c r="N7780" s="239"/>
      <c r="O7780" s="225"/>
      <c r="P7780" s="260"/>
      <c r="Q7780" s="328"/>
      <c r="R7780" s="260"/>
      <c r="S7780" s="260"/>
      <c r="T7780" s="260"/>
      <c r="U7780" s="260"/>
      <c r="V7780" s="260"/>
      <c r="W7780" s="260"/>
      <c r="X7780" s="260"/>
      <c r="Y7780" s="260"/>
      <c r="Z7780" s="260"/>
      <c r="AA7780" s="260"/>
      <c r="AB7780" s="260"/>
      <c r="AC7780" s="260"/>
      <c r="AD7780" s="260"/>
      <c r="AE7780" s="260"/>
      <c r="AF7780" s="260"/>
      <c r="AG7780" s="330"/>
    </row>
    <row r="7781" spans="14:33" hidden="1">
      <c r="N7781" s="239"/>
      <c r="O7781" s="225"/>
      <c r="P7781" s="260"/>
      <c r="Q7781" s="328"/>
      <c r="R7781" s="260"/>
      <c r="S7781" s="260"/>
      <c r="T7781" s="260"/>
      <c r="U7781" s="260"/>
      <c r="V7781" s="260"/>
      <c r="W7781" s="260"/>
      <c r="X7781" s="260"/>
      <c r="Y7781" s="260"/>
      <c r="Z7781" s="260"/>
      <c r="AA7781" s="260"/>
      <c r="AB7781" s="260"/>
      <c r="AC7781" s="260"/>
      <c r="AD7781" s="260"/>
      <c r="AE7781" s="260"/>
      <c r="AF7781" s="260"/>
      <c r="AG7781" s="330"/>
    </row>
    <row r="7782" spans="14:33" hidden="1">
      <c r="N7782" s="239"/>
      <c r="O7782" s="225"/>
      <c r="P7782" s="260"/>
      <c r="Q7782" s="328"/>
      <c r="R7782" s="260"/>
      <c r="S7782" s="260"/>
      <c r="T7782" s="260"/>
      <c r="U7782" s="260"/>
      <c r="V7782" s="260"/>
      <c r="W7782" s="260"/>
      <c r="X7782" s="260"/>
      <c r="Y7782" s="260"/>
      <c r="Z7782" s="260"/>
      <c r="AA7782" s="260"/>
      <c r="AB7782" s="260"/>
      <c r="AC7782" s="260"/>
      <c r="AD7782" s="260"/>
      <c r="AE7782" s="260"/>
      <c r="AF7782" s="260"/>
      <c r="AG7782" s="330"/>
    </row>
    <row r="7783" spans="14:33" hidden="1">
      <c r="N7783" s="239"/>
      <c r="O7783" s="225"/>
      <c r="P7783" s="260"/>
      <c r="Q7783" s="328"/>
      <c r="R7783" s="260"/>
      <c r="S7783" s="260"/>
      <c r="T7783" s="260"/>
      <c r="U7783" s="260"/>
      <c r="V7783" s="260"/>
      <c r="W7783" s="260"/>
      <c r="X7783" s="260"/>
      <c r="Y7783" s="260"/>
      <c r="Z7783" s="260"/>
      <c r="AA7783" s="260"/>
      <c r="AB7783" s="260"/>
      <c r="AC7783" s="260"/>
      <c r="AD7783" s="260"/>
      <c r="AE7783" s="260"/>
      <c r="AF7783" s="260"/>
      <c r="AG7783" s="330"/>
    </row>
    <row r="7784" spans="14:33" hidden="1">
      <c r="N7784" s="239"/>
      <c r="O7784" s="225"/>
      <c r="P7784" s="260"/>
      <c r="Q7784" s="328"/>
      <c r="R7784" s="260"/>
      <c r="S7784" s="260"/>
      <c r="T7784" s="260"/>
      <c r="U7784" s="260"/>
      <c r="V7784" s="260"/>
      <c r="W7784" s="260"/>
      <c r="X7784" s="260"/>
      <c r="Y7784" s="260"/>
      <c r="Z7784" s="260"/>
      <c r="AA7784" s="260"/>
      <c r="AB7784" s="260"/>
      <c r="AC7784" s="260"/>
      <c r="AD7784" s="260"/>
      <c r="AE7784" s="260"/>
      <c r="AF7784" s="260"/>
      <c r="AG7784" s="330"/>
    </row>
    <row r="7785" spans="14:33" hidden="1">
      <c r="N7785" s="239"/>
      <c r="O7785" s="225"/>
      <c r="P7785" s="260"/>
      <c r="Q7785" s="328"/>
      <c r="R7785" s="260"/>
      <c r="S7785" s="260"/>
      <c r="T7785" s="260"/>
      <c r="U7785" s="260"/>
      <c r="V7785" s="260"/>
      <c r="W7785" s="260"/>
      <c r="X7785" s="260"/>
      <c r="Y7785" s="260"/>
      <c r="Z7785" s="260"/>
      <c r="AA7785" s="260"/>
      <c r="AB7785" s="260"/>
      <c r="AC7785" s="260"/>
      <c r="AD7785" s="260"/>
      <c r="AE7785" s="260"/>
      <c r="AF7785" s="260"/>
      <c r="AG7785" s="330"/>
    </row>
    <row r="7786" spans="14:33" hidden="1">
      <c r="N7786" s="239"/>
      <c r="O7786" s="225"/>
      <c r="P7786" s="260"/>
      <c r="Q7786" s="328"/>
      <c r="R7786" s="260"/>
      <c r="S7786" s="260"/>
      <c r="T7786" s="260"/>
      <c r="U7786" s="260"/>
      <c r="V7786" s="260"/>
      <c r="W7786" s="260"/>
      <c r="X7786" s="260"/>
      <c r="Y7786" s="260"/>
      <c r="Z7786" s="260"/>
      <c r="AA7786" s="260"/>
      <c r="AB7786" s="260"/>
      <c r="AC7786" s="260"/>
      <c r="AD7786" s="260"/>
      <c r="AE7786" s="260"/>
      <c r="AF7786" s="260"/>
      <c r="AG7786" s="330"/>
    </row>
    <row r="7787" spans="14:33" hidden="1">
      <c r="N7787" s="239"/>
      <c r="O7787" s="225"/>
      <c r="P7787" s="260"/>
      <c r="Q7787" s="328"/>
      <c r="R7787" s="260"/>
      <c r="S7787" s="260"/>
      <c r="T7787" s="260"/>
      <c r="U7787" s="260"/>
      <c r="V7787" s="260"/>
      <c r="W7787" s="260"/>
      <c r="X7787" s="260"/>
      <c r="Y7787" s="260"/>
      <c r="Z7787" s="260"/>
      <c r="AA7787" s="260"/>
      <c r="AB7787" s="260"/>
      <c r="AC7787" s="260"/>
      <c r="AD7787" s="260"/>
      <c r="AE7787" s="260"/>
      <c r="AF7787" s="260"/>
      <c r="AG7787" s="330"/>
    </row>
    <row r="7788" spans="14:33" hidden="1">
      <c r="N7788" s="239"/>
      <c r="O7788" s="225"/>
      <c r="P7788" s="260"/>
      <c r="Q7788" s="328"/>
      <c r="R7788" s="260"/>
      <c r="S7788" s="260"/>
      <c r="T7788" s="260"/>
      <c r="U7788" s="260"/>
      <c r="V7788" s="260"/>
      <c r="W7788" s="260"/>
      <c r="X7788" s="260"/>
      <c r="Y7788" s="260"/>
      <c r="Z7788" s="260"/>
      <c r="AA7788" s="260"/>
      <c r="AB7788" s="260"/>
      <c r="AC7788" s="260"/>
      <c r="AD7788" s="260"/>
      <c r="AE7788" s="260"/>
      <c r="AF7788" s="260"/>
      <c r="AG7788" s="330"/>
    </row>
    <row r="7789" spans="14:33" hidden="1">
      <c r="N7789" s="239"/>
      <c r="O7789" s="225"/>
      <c r="P7789" s="260"/>
      <c r="Q7789" s="328"/>
      <c r="R7789" s="260"/>
      <c r="S7789" s="260"/>
      <c r="T7789" s="260"/>
      <c r="U7789" s="260"/>
      <c r="V7789" s="260"/>
      <c r="W7789" s="260"/>
      <c r="X7789" s="260"/>
      <c r="Y7789" s="260"/>
      <c r="Z7789" s="260"/>
      <c r="AA7789" s="260"/>
      <c r="AB7789" s="260"/>
      <c r="AC7789" s="260"/>
      <c r="AD7789" s="260"/>
      <c r="AE7789" s="260"/>
      <c r="AF7789" s="260"/>
      <c r="AG7789" s="330"/>
    </row>
    <row r="7790" spans="14:33" hidden="1">
      <c r="N7790" s="239"/>
      <c r="O7790" s="225"/>
      <c r="P7790" s="260"/>
      <c r="Q7790" s="328"/>
      <c r="R7790" s="260"/>
      <c r="S7790" s="260"/>
      <c r="T7790" s="260"/>
      <c r="U7790" s="260"/>
      <c r="V7790" s="260"/>
      <c r="W7790" s="260"/>
      <c r="X7790" s="260"/>
      <c r="Y7790" s="260"/>
      <c r="Z7790" s="260"/>
      <c r="AA7790" s="260"/>
      <c r="AB7790" s="260"/>
      <c r="AC7790" s="260"/>
      <c r="AD7790" s="260"/>
      <c r="AE7790" s="260"/>
      <c r="AF7790" s="260"/>
      <c r="AG7790" s="330"/>
    </row>
    <row r="7791" spans="14:33" hidden="1">
      <c r="N7791" s="239"/>
      <c r="O7791" s="225"/>
      <c r="P7791" s="260"/>
      <c r="Q7791" s="328"/>
      <c r="R7791" s="260"/>
      <c r="S7791" s="260"/>
      <c r="T7791" s="260"/>
      <c r="U7791" s="260"/>
      <c r="V7791" s="260"/>
      <c r="W7791" s="260"/>
      <c r="X7791" s="260"/>
      <c r="Y7791" s="260"/>
      <c r="Z7791" s="260"/>
      <c r="AA7791" s="260"/>
      <c r="AB7791" s="260"/>
      <c r="AC7791" s="260"/>
      <c r="AD7791" s="260"/>
      <c r="AE7791" s="260"/>
      <c r="AF7791" s="260"/>
      <c r="AG7791" s="330"/>
    </row>
    <row r="7792" spans="14:33" hidden="1">
      <c r="N7792" s="239"/>
      <c r="O7792" s="225"/>
      <c r="P7792" s="260"/>
      <c r="Q7792" s="328"/>
      <c r="R7792" s="260"/>
      <c r="S7792" s="260"/>
      <c r="T7792" s="260"/>
      <c r="U7792" s="260"/>
      <c r="V7792" s="260"/>
      <c r="W7792" s="260"/>
      <c r="X7792" s="260"/>
      <c r="Y7792" s="260"/>
      <c r="Z7792" s="260"/>
      <c r="AA7792" s="260"/>
      <c r="AB7792" s="260"/>
      <c r="AC7792" s="260"/>
      <c r="AD7792" s="260"/>
      <c r="AE7792" s="260"/>
      <c r="AF7792" s="260"/>
      <c r="AG7792" s="330"/>
    </row>
    <row r="7793" spans="14:33" hidden="1">
      <c r="N7793" s="239"/>
      <c r="O7793" s="225"/>
      <c r="P7793" s="260"/>
      <c r="Q7793" s="328"/>
      <c r="R7793" s="260"/>
      <c r="S7793" s="260"/>
      <c r="T7793" s="260"/>
      <c r="U7793" s="260"/>
      <c r="V7793" s="260"/>
      <c r="W7793" s="260"/>
      <c r="X7793" s="260"/>
      <c r="Y7793" s="260"/>
      <c r="Z7793" s="260"/>
      <c r="AA7793" s="260"/>
      <c r="AB7793" s="260"/>
      <c r="AC7793" s="260"/>
      <c r="AD7793" s="260"/>
      <c r="AE7793" s="260"/>
      <c r="AF7793" s="260"/>
      <c r="AG7793" s="330"/>
    </row>
    <row r="7794" spans="14:33" hidden="1">
      <c r="N7794" s="239"/>
      <c r="O7794" s="225"/>
      <c r="P7794" s="260"/>
      <c r="Q7794" s="328"/>
      <c r="R7794" s="260"/>
      <c r="S7794" s="260"/>
      <c r="T7794" s="260"/>
      <c r="U7794" s="260"/>
      <c r="V7794" s="260"/>
      <c r="W7794" s="260"/>
      <c r="X7794" s="260"/>
      <c r="Y7794" s="260"/>
      <c r="Z7794" s="260"/>
      <c r="AA7794" s="260"/>
      <c r="AB7794" s="260"/>
      <c r="AC7794" s="260"/>
      <c r="AD7794" s="260"/>
      <c r="AE7794" s="260"/>
      <c r="AF7794" s="260"/>
      <c r="AG7794" s="330"/>
    </row>
    <row r="7795" spans="14:33" hidden="1">
      <c r="N7795" s="239"/>
      <c r="O7795" s="225"/>
      <c r="P7795" s="260"/>
      <c r="Q7795" s="328"/>
      <c r="R7795" s="260"/>
      <c r="S7795" s="260"/>
      <c r="T7795" s="260"/>
      <c r="U7795" s="260"/>
      <c r="V7795" s="260"/>
      <c r="W7795" s="260"/>
      <c r="X7795" s="260"/>
      <c r="Y7795" s="260"/>
      <c r="Z7795" s="260"/>
      <c r="AA7795" s="260"/>
      <c r="AB7795" s="260"/>
      <c r="AC7795" s="260"/>
      <c r="AD7795" s="260"/>
      <c r="AE7795" s="260"/>
      <c r="AF7795" s="260"/>
      <c r="AG7795" s="330"/>
    </row>
    <row r="7796" spans="14:33" hidden="1">
      <c r="N7796" s="239"/>
      <c r="O7796" s="225"/>
      <c r="P7796" s="260"/>
      <c r="Q7796" s="328"/>
      <c r="R7796" s="260"/>
      <c r="S7796" s="260"/>
      <c r="T7796" s="260"/>
      <c r="U7796" s="260"/>
      <c r="V7796" s="260"/>
      <c r="W7796" s="260"/>
      <c r="X7796" s="260"/>
      <c r="Y7796" s="260"/>
      <c r="Z7796" s="260"/>
      <c r="AA7796" s="260"/>
      <c r="AB7796" s="260"/>
      <c r="AC7796" s="260"/>
      <c r="AD7796" s="260"/>
      <c r="AE7796" s="260"/>
      <c r="AF7796" s="260"/>
      <c r="AG7796" s="330"/>
    </row>
    <row r="7797" spans="14:33" hidden="1">
      <c r="N7797" s="239"/>
      <c r="O7797" s="225"/>
      <c r="P7797" s="260"/>
      <c r="Q7797" s="328"/>
      <c r="R7797" s="260"/>
      <c r="S7797" s="260"/>
      <c r="T7797" s="260"/>
      <c r="U7797" s="260"/>
      <c r="V7797" s="260"/>
      <c r="W7797" s="260"/>
      <c r="X7797" s="260"/>
      <c r="Y7797" s="260"/>
      <c r="Z7797" s="260"/>
      <c r="AA7797" s="260"/>
      <c r="AB7797" s="260"/>
      <c r="AC7797" s="260"/>
      <c r="AD7797" s="260"/>
      <c r="AE7797" s="260"/>
      <c r="AF7797" s="260"/>
      <c r="AG7797" s="330"/>
    </row>
    <row r="7798" spans="14:33" hidden="1">
      <c r="N7798" s="239"/>
      <c r="O7798" s="225"/>
      <c r="P7798" s="260"/>
      <c r="Q7798" s="328"/>
      <c r="R7798" s="260"/>
      <c r="S7798" s="260"/>
      <c r="T7798" s="260"/>
      <c r="U7798" s="260"/>
      <c r="V7798" s="260"/>
      <c r="W7798" s="260"/>
      <c r="X7798" s="260"/>
      <c r="Y7798" s="260"/>
      <c r="Z7798" s="260"/>
      <c r="AA7798" s="260"/>
      <c r="AB7798" s="260"/>
      <c r="AC7798" s="260"/>
      <c r="AD7798" s="260"/>
      <c r="AE7798" s="260"/>
      <c r="AF7798" s="260"/>
      <c r="AG7798" s="330"/>
    </row>
    <row r="7799" spans="14:33" hidden="1">
      <c r="N7799" s="239"/>
      <c r="O7799" s="225"/>
      <c r="P7799" s="260"/>
      <c r="Q7799" s="328"/>
      <c r="R7799" s="260"/>
      <c r="S7799" s="260"/>
      <c r="T7799" s="260"/>
      <c r="U7799" s="260"/>
      <c r="V7799" s="260"/>
      <c r="W7799" s="260"/>
      <c r="X7799" s="260"/>
      <c r="Y7799" s="260"/>
      <c r="Z7799" s="260"/>
      <c r="AA7799" s="260"/>
      <c r="AB7799" s="260"/>
      <c r="AC7799" s="260"/>
      <c r="AD7799" s="260"/>
      <c r="AE7799" s="260"/>
      <c r="AF7799" s="260"/>
      <c r="AG7799" s="330"/>
    </row>
    <row r="7800" spans="14:33" hidden="1">
      <c r="N7800" s="239"/>
      <c r="O7800" s="225"/>
      <c r="P7800" s="260"/>
      <c r="Q7800" s="328"/>
      <c r="R7800" s="260"/>
      <c r="S7800" s="260"/>
      <c r="T7800" s="260"/>
      <c r="U7800" s="260"/>
      <c r="V7800" s="260"/>
      <c r="W7800" s="260"/>
      <c r="X7800" s="260"/>
      <c r="Y7800" s="260"/>
      <c r="Z7800" s="260"/>
      <c r="AA7800" s="260"/>
      <c r="AB7800" s="260"/>
      <c r="AC7800" s="260"/>
      <c r="AD7800" s="260"/>
      <c r="AE7800" s="260"/>
      <c r="AF7800" s="260"/>
      <c r="AG7800" s="330"/>
    </row>
    <row r="7801" spans="14:33" hidden="1">
      <c r="N7801" s="239"/>
      <c r="O7801" s="225"/>
      <c r="P7801" s="260"/>
      <c r="Q7801" s="328"/>
      <c r="R7801" s="260"/>
      <c r="S7801" s="260"/>
      <c r="T7801" s="260"/>
      <c r="U7801" s="260"/>
      <c r="V7801" s="260"/>
      <c r="W7801" s="260"/>
      <c r="X7801" s="260"/>
      <c r="Y7801" s="260"/>
      <c r="Z7801" s="260"/>
      <c r="AA7801" s="260"/>
      <c r="AB7801" s="260"/>
      <c r="AC7801" s="260"/>
      <c r="AD7801" s="260"/>
      <c r="AE7801" s="260"/>
      <c r="AF7801" s="260"/>
      <c r="AG7801" s="330"/>
    </row>
    <row r="7802" spans="14:33" hidden="1">
      <c r="N7802" s="239"/>
      <c r="O7802" s="225"/>
      <c r="P7802" s="260"/>
      <c r="Q7802" s="328"/>
      <c r="R7802" s="260"/>
      <c r="S7802" s="260"/>
      <c r="T7802" s="260"/>
      <c r="U7802" s="260"/>
      <c r="V7802" s="260"/>
      <c r="W7802" s="260"/>
      <c r="X7802" s="260"/>
      <c r="Y7802" s="260"/>
      <c r="Z7802" s="260"/>
      <c r="AA7802" s="260"/>
      <c r="AB7802" s="260"/>
      <c r="AC7802" s="260"/>
      <c r="AD7802" s="260"/>
      <c r="AE7802" s="260"/>
      <c r="AF7802" s="260"/>
      <c r="AG7802" s="330"/>
    </row>
    <row r="7803" spans="14:33" hidden="1">
      <c r="N7803" s="239"/>
      <c r="O7803" s="225"/>
      <c r="P7803" s="260"/>
      <c r="Q7803" s="328"/>
      <c r="R7803" s="260"/>
      <c r="S7803" s="260"/>
      <c r="T7803" s="260"/>
      <c r="U7803" s="260"/>
      <c r="V7803" s="260"/>
      <c r="W7803" s="260"/>
      <c r="X7803" s="260"/>
      <c r="Y7803" s="260"/>
      <c r="Z7803" s="260"/>
      <c r="AA7803" s="260"/>
      <c r="AB7803" s="260"/>
      <c r="AC7803" s="260"/>
      <c r="AD7803" s="260"/>
      <c r="AE7803" s="260"/>
      <c r="AF7803" s="260"/>
      <c r="AG7803" s="330"/>
    </row>
    <row r="7804" spans="14:33" hidden="1">
      <c r="N7804" s="239"/>
      <c r="O7804" s="225"/>
      <c r="P7804" s="260"/>
      <c r="Q7804" s="328"/>
      <c r="R7804" s="260"/>
      <c r="S7804" s="260"/>
      <c r="T7804" s="260"/>
      <c r="U7804" s="260"/>
      <c r="V7804" s="260"/>
      <c r="W7804" s="260"/>
      <c r="X7804" s="260"/>
      <c r="Y7804" s="260"/>
      <c r="Z7804" s="260"/>
      <c r="AA7804" s="260"/>
      <c r="AB7804" s="260"/>
      <c r="AC7804" s="260"/>
      <c r="AD7804" s="260"/>
      <c r="AE7804" s="260"/>
      <c r="AF7804" s="260"/>
      <c r="AG7804" s="330"/>
    </row>
    <row r="7805" spans="14:33" hidden="1">
      <c r="N7805" s="239"/>
      <c r="O7805" s="225"/>
      <c r="P7805" s="260"/>
      <c r="Q7805" s="328"/>
      <c r="R7805" s="260"/>
      <c r="S7805" s="260"/>
      <c r="T7805" s="260"/>
      <c r="U7805" s="260"/>
      <c r="V7805" s="260"/>
      <c r="W7805" s="260"/>
      <c r="X7805" s="260"/>
      <c r="Y7805" s="260"/>
      <c r="Z7805" s="260"/>
      <c r="AA7805" s="260"/>
      <c r="AB7805" s="260"/>
      <c r="AC7805" s="260"/>
      <c r="AD7805" s="260"/>
      <c r="AE7805" s="260"/>
      <c r="AF7805" s="260"/>
      <c r="AG7805" s="330"/>
    </row>
    <row r="7806" spans="14:33" hidden="1">
      <c r="N7806" s="239"/>
      <c r="O7806" s="225"/>
      <c r="P7806" s="260"/>
      <c r="Q7806" s="328"/>
      <c r="R7806" s="260"/>
      <c r="S7806" s="260"/>
      <c r="T7806" s="260"/>
      <c r="U7806" s="260"/>
      <c r="V7806" s="260"/>
      <c r="W7806" s="260"/>
      <c r="X7806" s="260"/>
      <c r="Y7806" s="260"/>
      <c r="Z7806" s="260"/>
      <c r="AA7806" s="260"/>
      <c r="AB7806" s="260"/>
      <c r="AC7806" s="260"/>
      <c r="AD7806" s="260"/>
      <c r="AE7806" s="260"/>
      <c r="AF7806" s="260"/>
      <c r="AG7806" s="330"/>
    </row>
    <row r="7807" spans="14:33" hidden="1">
      <c r="N7807" s="239"/>
      <c r="O7807" s="225"/>
      <c r="P7807" s="260"/>
      <c r="Q7807" s="328"/>
      <c r="R7807" s="260"/>
      <c r="S7807" s="260"/>
      <c r="T7807" s="260"/>
      <c r="U7807" s="260"/>
      <c r="V7807" s="260"/>
      <c r="W7807" s="260"/>
      <c r="X7807" s="260"/>
      <c r="Y7807" s="260"/>
      <c r="Z7807" s="260"/>
      <c r="AA7807" s="260"/>
      <c r="AB7807" s="260"/>
      <c r="AC7807" s="260"/>
      <c r="AD7807" s="260"/>
      <c r="AE7807" s="260"/>
      <c r="AF7807" s="260"/>
      <c r="AG7807" s="330"/>
    </row>
    <row r="7808" spans="14:33" hidden="1">
      <c r="N7808" s="239"/>
      <c r="O7808" s="225"/>
      <c r="P7808" s="260"/>
      <c r="Q7808" s="328"/>
      <c r="R7808" s="260"/>
      <c r="S7808" s="260"/>
      <c r="T7808" s="260"/>
      <c r="U7808" s="260"/>
      <c r="V7808" s="260"/>
      <c r="W7808" s="260"/>
      <c r="X7808" s="260"/>
      <c r="Y7808" s="260"/>
      <c r="Z7808" s="260"/>
      <c r="AA7808" s="260"/>
      <c r="AB7808" s="260"/>
      <c r="AC7808" s="260"/>
      <c r="AD7808" s="260"/>
      <c r="AE7808" s="260"/>
      <c r="AF7808" s="260"/>
      <c r="AG7808" s="330"/>
    </row>
    <row r="7809" spans="14:33" hidden="1">
      <c r="N7809" s="239"/>
      <c r="O7809" s="225"/>
      <c r="P7809" s="260"/>
      <c r="Q7809" s="328"/>
      <c r="R7809" s="260"/>
      <c r="S7809" s="260"/>
      <c r="T7809" s="260"/>
      <c r="U7809" s="260"/>
      <c r="V7809" s="260"/>
      <c r="W7809" s="260"/>
      <c r="X7809" s="260"/>
      <c r="Y7809" s="260"/>
      <c r="Z7809" s="260"/>
      <c r="AA7809" s="260"/>
      <c r="AB7809" s="260"/>
      <c r="AC7809" s="260"/>
      <c r="AD7809" s="260"/>
      <c r="AE7809" s="260"/>
      <c r="AF7809" s="260"/>
      <c r="AG7809" s="330"/>
    </row>
    <row r="7810" spans="14:33" hidden="1">
      <c r="N7810" s="239"/>
      <c r="O7810" s="225"/>
      <c r="P7810" s="260"/>
      <c r="Q7810" s="328"/>
      <c r="R7810" s="260"/>
      <c r="S7810" s="260"/>
      <c r="T7810" s="260"/>
      <c r="U7810" s="260"/>
      <c r="V7810" s="260"/>
      <c r="W7810" s="260"/>
      <c r="X7810" s="260"/>
      <c r="Y7810" s="260"/>
      <c r="Z7810" s="260"/>
      <c r="AA7810" s="260"/>
      <c r="AB7810" s="260"/>
      <c r="AC7810" s="260"/>
      <c r="AD7810" s="260"/>
      <c r="AE7810" s="260"/>
      <c r="AF7810" s="260"/>
      <c r="AG7810" s="330"/>
    </row>
    <row r="7811" spans="14:33" hidden="1">
      <c r="N7811" s="239"/>
      <c r="O7811" s="225"/>
      <c r="P7811" s="260"/>
      <c r="Q7811" s="328"/>
      <c r="R7811" s="260"/>
      <c r="S7811" s="260"/>
      <c r="T7811" s="260"/>
      <c r="U7811" s="260"/>
      <c r="V7811" s="260"/>
      <c r="W7811" s="260"/>
      <c r="X7811" s="260"/>
      <c r="Y7811" s="260"/>
      <c r="Z7811" s="260"/>
      <c r="AA7811" s="260"/>
      <c r="AB7811" s="260"/>
      <c r="AC7811" s="260"/>
      <c r="AD7811" s="260"/>
      <c r="AE7811" s="260"/>
      <c r="AF7811" s="260"/>
      <c r="AG7811" s="330"/>
    </row>
    <row r="7812" spans="14:33" hidden="1">
      <c r="N7812" s="239"/>
      <c r="O7812" s="225"/>
      <c r="P7812" s="260"/>
      <c r="Q7812" s="328"/>
      <c r="R7812" s="260"/>
      <c r="S7812" s="260"/>
      <c r="T7812" s="260"/>
      <c r="U7812" s="260"/>
      <c r="V7812" s="260"/>
      <c r="W7812" s="260"/>
      <c r="X7812" s="260"/>
      <c r="Y7812" s="260"/>
      <c r="Z7812" s="260"/>
      <c r="AA7812" s="260"/>
      <c r="AB7812" s="260"/>
      <c r="AC7812" s="260"/>
      <c r="AD7812" s="260"/>
      <c r="AE7812" s="260"/>
      <c r="AF7812" s="260"/>
      <c r="AG7812" s="330"/>
    </row>
    <row r="7813" spans="14:33" hidden="1">
      <c r="N7813" s="239"/>
      <c r="O7813" s="225"/>
      <c r="P7813" s="260"/>
      <c r="Q7813" s="328"/>
      <c r="R7813" s="260"/>
      <c r="S7813" s="260"/>
      <c r="T7813" s="260"/>
      <c r="U7813" s="260"/>
      <c r="V7813" s="260"/>
      <c r="W7813" s="260"/>
      <c r="X7813" s="260"/>
      <c r="Y7813" s="260"/>
      <c r="Z7813" s="260"/>
      <c r="AA7813" s="260"/>
      <c r="AB7813" s="260"/>
      <c r="AC7813" s="260"/>
      <c r="AD7813" s="260"/>
      <c r="AE7813" s="260"/>
      <c r="AF7813" s="260"/>
      <c r="AG7813" s="330"/>
    </row>
    <row r="7814" spans="14:33" hidden="1">
      <c r="N7814" s="239"/>
      <c r="O7814" s="225"/>
      <c r="P7814" s="260"/>
      <c r="Q7814" s="328"/>
      <c r="R7814" s="260"/>
      <c r="S7814" s="260"/>
      <c r="T7814" s="260"/>
      <c r="U7814" s="260"/>
      <c r="V7814" s="260"/>
      <c r="W7814" s="260"/>
      <c r="X7814" s="260"/>
      <c r="Y7814" s="260"/>
      <c r="Z7814" s="260"/>
      <c r="AA7814" s="260"/>
      <c r="AB7814" s="260"/>
      <c r="AC7814" s="260"/>
      <c r="AD7814" s="260"/>
      <c r="AE7814" s="260"/>
      <c r="AF7814" s="260"/>
      <c r="AG7814" s="330"/>
    </row>
    <row r="7815" spans="14:33" hidden="1">
      <c r="N7815" s="239"/>
      <c r="O7815" s="225"/>
      <c r="P7815" s="260"/>
      <c r="Q7815" s="328"/>
      <c r="R7815" s="260"/>
      <c r="S7815" s="260"/>
      <c r="T7815" s="260"/>
      <c r="U7815" s="260"/>
      <c r="V7815" s="260"/>
      <c r="W7815" s="260"/>
      <c r="X7815" s="260"/>
      <c r="Y7815" s="260"/>
      <c r="Z7815" s="260"/>
      <c r="AA7815" s="260"/>
      <c r="AB7815" s="260"/>
      <c r="AC7815" s="260"/>
      <c r="AD7815" s="260"/>
      <c r="AE7815" s="260"/>
      <c r="AF7815" s="260"/>
      <c r="AG7815" s="330"/>
    </row>
    <row r="7816" spans="14:33" hidden="1">
      <c r="N7816" s="239"/>
      <c r="O7816" s="225"/>
      <c r="P7816" s="260"/>
      <c r="Q7816" s="328"/>
      <c r="R7816" s="260"/>
      <c r="S7816" s="260"/>
      <c r="T7816" s="260"/>
      <c r="U7816" s="260"/>
      <c r="V7816" s="260"/>
      <c r="W7816" s="260"/>
      <c r="X7816" s="260"/>
      <c r="Y7816" s="260"/>
      <c r="Z7816" s="260"/>
      <c r="AA7816" s="260"/>
      <c r="AB7816" s="260"/>
      <c r="AC7816" s="260"/>
      <c r="AD7816" s="260"/>
      <c r="AE7816" s="260"/>
      <c r="AF7816" s="260"/>
      <c r="AG7816" s="330"/>
    </row>
    <row r="7817" spans="14:33" hidden="1">
      <c r="N7817" s="239"/>
      <c r="O7817" s="225"/>
      <c r="P7817" s="260"/>
      <c r="Q7817" s="328"/>
      <c r="R7817" s="260"/>
      <c r="S7817" s="260"/>
      <c r="T7817" s="260"/>
      <c r="U7817" s="260"/>
      <c r="V7817" s="260"/>
      <c r="W7817" s="260"/>
      <c r="X7817" s="260"/>
      <c r="Y7817" s="260"/>
      <c r="Z7817" s="260"/>
      <c r="AA7817" s="260"/>
      <c r="AB7817" s="260"/>
      <c r="AC7817" s="260"/>
      <c r="AD7817" s="260"/>
      <c r="AE7817" s="260"/>
      <c r="AF7817" s="260"/>
      <c r="AG7817" s="330"/>
    </row>
    <row r="7818" spans="14:33" hidden="1">
      <c r="N7818" s="239"/>
      <c r="O7818" s="225"/>
      <c r="P7818" s="260"/>
      <c r="Q7818" s="328"/>
      <c r="R7818" s="260"/>
      <c r="S7818" s="260"/>
      <c r="T7818" s="260"/>
      <c r="U7818" s="260"/>
      <c r="V7818" s="260"/>
      <c r="W7818" s="260"/>
      <c r="X7818" s="260"/>
      <c r="Y7818" s="260"/>
      <c r="Z7818" s="260"/>
      <c r="AA7818" s="260"/>
      <c r="AB7818" s="260"/>
      <c r="AC7818" s="260"/>
      <c r="AD7818" s="260"/>
      <c r="AE7818" s="260"/>
      <c r="AF7818" s="260"/>
      <c r="AG7818" s="330"/>
    </row>
    <row r="7819" spans="14:33" hidden="1">
      <c r="N7819" s="239"/>
      <c r="O7819" s="225"/>
      <c r="P7819" s="260"/>
      <c r="Q7819" s="328"/>
      <c r="R7819" s="260"/>
      <c r="S7819" s="260"/>
      <c r="T7819" s="260"/>
      <c r="U7819" s="260"/>
      <c r="V7819" s="260"/>
      <c r="W7819" s="260"/>
      <c r="X7819" s="260"/>
      <c r="Y7819" s="260"/>
      <c r="Z7819" s="260"/>
      <c r="AA7819" s="260"/>
      <c r="AB7819" s="260"/>
      <c r="AC7819" s="260"/>
      <c r="AD7819" s="260"/>
      <c r="AE7819" s="260"/>
      <c r="AF7819" s="260"/>
      <c r="AG7819" s="330"/>
    </row>
    <row r="7820" spans="14:33" hidden="1">
      <c r="N7820" s="239"/>
      <c r="O7820" s="225"/>
      <c r="P7820" s="260"/>
      <c r="Q7820" s="328"/>
      <c r="R7820" s="260"/>
      <c r="S7820" s="260"/>
      <c r="T7820" s="260"/>
      <c r="U7820" s="260"/>
      <c r="V7820" s="260"/>
      <c r="W7820" s="260"/>
      <c r="X7820" s="260"/>
      <c r="Y7820" s="260"/>
      <c r="Z7820" s="260"/>
      <c r="AA7820" s="260"/>
      <c r="AB7820" s="260"/>
      <c r="AC7820" s="260"/>
      <c r="AD7820" s="260"/>
      <c r="AE7820" s="260"/>
      <c r="AF7820" s="260"/>
      <c r="AG7820" s="330"/>
    </row>
    <row r="7821" spans="14:33" hidden="1">
      <c r="N7821" s="239"/>
      <c r="O7821" s="225"/>
      <c r="P7821" s="260"/>
      <c r="Q7821" s="328"/>
      <c r="R7821" s="260"/>
      <c r="S7821" s="260"/>
      <c r="T7821" s="260"/>
      <c r="U7821" s="260"/>
      <c r="V7821" s="260"/>
      <c r="W7821" s="260"/>
      <c r="X7821" s="260"/>
      <c r="Y7821" s="260"/>
      <c r="Z7821" s="260"/>
      <c r="AA7821" s="260"/>
      <c r="AB7821" s="260"/>
      <c r="AC7821" s="260"/>
      <c r="AD7821" s="260"/>
      <c r="AE7821" s="260"/>
      <c r="AF7821" s="260"/>
      <c r="AG7821" s="330"/>
    </row>
    <row r="7822" spans="14:33" hidden="1">
      <c r="N7822" s="239"/>
      <c r="O7822" s="225"/>
      <c r="P7822" s="260"/>
      <c r="Q7822" s="328"/>
      <c r="R7822" s="260"/>
      <c r="S7822" s="260"/>
      <c r="T7822" s="260"/>
      <c r="U7822" s="260"/>
      <c r="V7822" s="260"/>
      <c r="W7822" s="260"/>
      <c r="X7822" s="260"/>
      <c r="Y7822" s="260"/>
      <c r="Z7822" s="260"/>
      <c r="AA7822" s="260"/>
      <c r="AB7822" s="260"/>
      <c r="AC7822" s="260"/>
      <c r="AD7822" s="260"/>
      <c r="AE7822" s="260"/>
      <c r="AF7822" s="260"/>
      <c r="AG7822" s="330"/>
    </row>
    <row r="7823" spans="14:33" hidden="1">
      <c r="N7823" s="239"/>
      <c r="O7823" s="225"/>
      <c r="P7823" s="260"/>
      <c r="Q7823" s="328"/>
      <c r="R7823" s="260"/>
      <c r="S7823" s="260"/>
      <c r="T7823" s="260"/>
      <c r="U7823" s="260"/>
      <c r="V7823" s="260"/>
      <c r="W7823" s="260"/>
      <c r="X7823" s="260"/>
      <c r="Y7823" s="260"/>
      <c r="Z7823" s="260"/>
      <c r="AA7823" s="260"/>
      <c r="AB7823" s="260"/>
      <c r="AC7823" s="260"/>
      <c r="AD7823" s="260"/>
      <c r="AE7823" s="260"/>
      <c r="AF7823" s="260"/>
      <c r="AG7823" s="330"/>
    </row>
    <row r="7824" spans="14:33" hidden="1">
      <c r="N7824" s="239"/>
      <c r="O7824" s="225"/>
      <c r="P7824" s="260"/>
      <c r="Q7824" s="328"/>
      <c r="R7824" s="260"/>
      <c r="S7824" s="260"/>
      <c r="T7824" s="260"/>
      <c r="U7824" s="260"/>
      <c r="V7824" s="260"/>
      <c r="W7824" s="260"/>
      <c r="X7824" s="260"/>
      <c r="Y7824" s="260"/>
      <c r="Z7824" s="260"/>
      <c r="AA7824" s="260"/>
      <c r="AB7824" s="260"/>
      <c r="AC7824" s="260"/>
      <c r="AD7824" s="260"/>
      <c r="AE7824" s="260"/>
      <c r="AF7824" s="260"/>
      <c r="AG7824" s="330"/>
    </row>
    <row r="7825" spans="14:33" hidden="1">
      <c r="N7825" s="239"/>
      <c r="O7825" s="225"/>
      <c r="P7825" s="260"/>
      <c r="Q7825" s="328"/>
      <c r="R7825" s="260"/>
      <c r="S7825" s="260"/>
      <c r="T7825" s="260"/>
      <c r="U7825" s="260"/>
      <c r="V7825" s="260"/>
      <c r="W7825" s="260"/>
      <c r="X7825" s="260"/>
      <c r="Y7825" s="260"/>
      <c r="Z7825" s="260"/>
      <c r="AA7825" s="260"/>
      <c r="AB7825" s="260"/>
      <c r="AC7825" s="260"/>
      <c r="AD7825" s="260"/>
      <c r="AE7825" s="260"/>
      <c r="AF7825" s="260"/>
      <c r="AG7825" s="330"/>
    </row>
    <row r="7826" spans="14:33" hidden="1">
      <c r="N7826" s="239"/>
      <c r="O7826" s="225"/>
      <c r="P7826" s="260"/>
      <c r="Q7826" s="328"/>
      <c r="R7826" s="260"/>
      <c r="S7826" s="260"/>
      <c r="T7826" s="260"/>
      <c r="U7826" s="260"/>
      <c r="V7826" s="260"/>
      <c r="W7826" s="260"/>
      <c r="X7826" s="260"/>
      <c r="Y7826" s="260"/>
      <c r="Z7826" s="260"/>
      <c r="AA7826" s="260"/>
      <c r="AB7826" s="260"/>
      <c r="AC7826" s="260"/>
      <c r="AD7826" s="260"/>
      <c r="AE7826" s="260"/>
      <c r="AF7826" s="260"/>
      <c r="AG7826" s="330"/>
    </row>
    <row r="7827" spans="14:33" hidden="1">
      <c r="N7827" s="239"/>
      <c r="O7827" s="225"/>
      <c r="P7827" s="260"/>
      <c r="Q7827" s="328"/>
      <c r="R7827" s="260"/>
      <c r="S7827" s="260"/>
      <c r="T7827" s="260"/>
      <c r="U7827" s="260"/>
      <c r="V7827" s="260"/>
      <c r="W7827" s="260"/>
      <c r="X7827" s="260"/>
      <c r="Y7827" s="260"/>
      <c r="Z7827" s="260"/>
      <c r="AA7827" s="260"/>
      <c r="AB7827" s="260"/>
      <c r="AC7827" s="260"/>
      <c r="AD7827" s="260"/>
      <c r="AE7827" s="260"/>
      <c r="AF7827" s="260"/>
      <c r="AG7827" s="330"/>
    </row>
    <row r="7828" spans="14:33" hidden="1">
      <c r="N7828" s="239"/>
      <c r="O7828" s="225"/>
      <c r="P7828" s="260"/>
      <c r="Q7828" s="328"/>
      <c r="R7828" s="260"/>
      <c r="S7828" s="260"/>
      <c r="T7828" s="260"/>
      <c r="U7828" s="260"/>
      <c r="V7828" s="260"/>
      <c r="W7828" s="260"/>
      <c r="X7828" s="260"/>
      <c r="Y7828" s="260"/>
      <c r="Z7828" s="260"/>
      <c r="AA7828" s="260"/>
      <c r="AB7828" s="260"/>
      <c r="AC7828" s="260"/>
      <c r="AD7828" s="260"/>
      <c r="AE7828" s="260"/>
      <c r="AF7828" s="260"/>
      <c r="AG7828" s="330"/>
    </row>
    <row r="7829" spans="14:33" hidden="1">
      <c r="N7829" s="239"/>
      <c r="O7829" s="225"/>
      <c r="P7829" s="260"/>
      <c r="Q7829" s="328"/>
      <c r="R7829" s="260"/>
      <c r="S7829" s="260"/>
      <c r="T7829" s="260"/>
      <c r="U7829" s="260"/>
      <c r="V7829" s="260"/>
      <c r="W7829" s="260"/>
      <c r="X7829" s="260"/>
      <c r="Y7829" s="260"/>
      <c r="Z7829" s="260"/>
      <c r="AA7829" s="260"/>
      <c r="AB7829" s="260"/>
      <c r="AC7829" s="260"/>
      <c r="AD7829" s="260"/>
      <c r="AE7829" s="260"/>
      <c r="AF7829" s="260"/>
      <c r="AG7829" s="330"/>
    </row>
    <row r="7830" spans="14:33" hidden="1">
      <c r="N7830" s="239"/>
      <c r="O7830" s="225"/>
      <c r="P7830" s="260"/>
      <c r="Q7830" s="328"/>
      <c r="R7830" s="260"/>
      <c r="S7830" s="260"/>
      <c r="T7830" s="260"/>
      <c r="U7830" s="260"/>
      <c r="V7830" s="260"/>
      <c r="W7830" s="260"/>
      <c r="X7830" s="260"/>
      <c r="Y7830" s="260"/>
      <c r="Z7830" s="260"/>
      <c r="AA7830" s="260"/>
      <c r="AB7830" s="260"/>
      <c r="AC7830" s="260"/>
      <c r="AD7830" s="260"/>
      <c r="AE7830" s="260"/>
      <c r="AF7830" s="260"/>
      <c r="AG7830" s="330"/>
    </row>
    <row r="7831" spans="14:33" hidden="1">
      <c r="N7831" s="239"/>
      <c r="O7831" s="225"/>
      <c r="P7831" s="260"/>
      <c r="Q7831" s="328"/>
      <c r="R7831" s="260"/>
      <c r="S7831" s="260"/>
      <c r="T7831" s="260"/>
      <c r="U7831" s="260"/>
      <c r="V7831" s="260"/>
      <c r="W7831" s="260"/>
      <c r="X7831" s="260"/>
      <c r="Y7831" s="260"/>
      <c r="Z7831" s="260"/>
      <c r="AA7831" s="260"/>
      <c r="AB7831" s="260"/>
      <c r="AC7831" s="260"/>
      <c r="AD7831" s="260"/>
      <c r="AE7831" s="260"/>
      <c r="AF7831" s="260"/>
      <c r="AG7831" s="330"/>
    </row>
    <row r="7832" spans="14:33" hidden="1">
      <c r="N7832" s="239"/>
      <c r="O7832" s="225"/>
      <c r="P7832" s="260"/>
      <c r="Q7832" s="328"/>
      <c r="R7832" s="260"/>
      <c r="S7832" s="260"/>
      <c r="T7832" s="260"/>
      <c r="U7832" s="260"/>
      <c r="V7832" s="260"/>
      <c r="W7832" s="260"/>
      <c r="X7832" s="260"/>
      <c r="Y7832" s="260"/>
      <c r="Z7832" s="260"/>
      <c r="AA7832" s="260"/>
      <c r="AB7832" s="260"/>
      <c r="AC7832" s="260"/>
      <c r="AD7832" s="260"/>
      <c r="AE7832" s="260"/>
      <c r="AF7832" s="260"/>
      <c r="AG7832" s="330"/>
    </row>
    <row r="7833" spans="14:33" hidden="1">
      <c r="N7833" s="239"/>
      <c r="O7833" s="225"/>
      <c r="P7833" s="260"/>
      <c r="Q7833" s="328"/>
      <c r="R7833" s="260"/>
      <c r="S7833" s="260"/>
      <c r="T7833" s="260"/>
      <c r="U7833" s="260"/>
      <c r="V7833" s="260"/>
      <c r="W7833" s="260"/>
      <c r="X7833" s="260"/>
      <c r="Y7833" s="260"/>
      <c r="Z7833" s="260"/>
      <c r="AA7833" s="260"/>
      <c r="AB7833" s="260"/>
      <c r="AC7833" s="260"/>
      <c r="AD7833" s="260"/>
      <c r="AE7833" s="260"/>
      <c r="AF7833" s="260"/>
      <c r="AG7833" s="330"/>
    </row>
    <row r="7834" spans="14:33" hidden="1">
      <c r="N7834" s="239"/>
      <c r="O7834" s="225"/>
      <c r="P7834" s="260"/>
      <c r="Q7834" s="328"/>
      <c r="R7834" s="260"/>
      <c r="S7834" s="260"/>
      <c r="T7834" s="260"/>
      <c r="U7834" s="260"/>
      <c r="V7834" s="260"/>
      <c r="W7834" s="260"/>
      <c r="X7834" s="260"/>
      <c r="Y7834" s="260"/>
      <c r="Z7834" s="260"/>
      <c r="AA7834" s="260"/>
      <c r="AB7834" s="260"/>
      <c r="AC7834" s="260"/>
      <c r="AD7834" s="260"/>
      <c r="AE7834" s="260"/>
      <c r="AF7834" s="260"/>
      <c r="AG7834" s="330"/>
    </row>
    <row r="7835" spans="14:33" hidden="1">
      <c r="N7835" s="239"/>
      <c r="O7835" s="225"/>
      <c r="P7835" s="260"/>
      <c r="Q7835" s="328"/>
      <c r="R7835" s="260"/>
      <c r="S7835" s="260"/>
      <c r="T7835" s="260"/>
      <c r="U7835" s="260"/>
      <c r="V7835" s="260"/>
      <c r="W7835" s="260"/>
      <c r="X7835" s="260"/>
      <c r="Y7835" s="260"/>
      <c r="Z7835" s="260"/>
      <c r="AA7835" s="260"/>
      <c r="AB7835" s="260"/>
      <c r="AC7835" s="260"/>
      <c r="AD7835" s="260"/>
      <c r="AE7835" s="260"/>
      <c r="AF7835" s="260"/>
      <c r="AG7835" s="330"/>
    </row>
    <row r="7836" spans="14:33" hidden="1">
      <c r="N7836" s="239"/>
      <c r="O7836" s="225"/>
      <c r="P7836" s="260"/>
      <c r="Q7836" s="328"/>
      <c r="R7836" s="260"/>
      <c r="S7836" s="260"/>
      <c r="T7836" s="260"/>
      <c r="U7836" s="260"/>
      <c r="V7836" s="260"/>
      <c r="W7836" s="260"/>
      <c r="X7836" s="260"/>
      <c r="Y7836" s="260"/>
      <c r="Z7836" s="260"/>
      <c r="AA7836" s="260"/>
      <c r="AB7836" s="260"/>
      <c r="AC7836" s="260"/>
      <c r="AD7836" s="260"/>
      <c r="AE7836" s="260"/>
      <c r="AF7836" s="260"/>
      <c r="AG7836" s="330"/>
    </row>
    <row r="7837" spans="14:33" hidden="1">
      <c r="N7837" s="239"/>
      <c r="O7837" s="225"/>
      <c r="P7837" s="260"/>
      <c r="Q7837" s="328"/>
      <c r="R7837" s="260"/>
      <c r="S7837" s="260"/>
      <c r="T7837" s="260"/>
      <c r="U7837" s="260"/>
      <c r="V7837" s="260"/>
      <c r="W7837" s="260"/>
      <c r="X7837" s="260"/>
      <c r="Y7837" s="260"/>
      <c r="Z7837" s="260"/>
      <c r="AA7837" s="260"/>
      <c r="AB7837" s="260"/>
      <c r="AC7837" s="260"/>
      <c r="AD7837" s="260"/>
      <c r="AE7837" s="260"/>
      <c r="AF7837" s="260"/>
      <c r="AG7837" s="330"/>
    </row>
    <row r="7838" spans="14:33" hidden="1">
      <c r="N7838" s="239"/>
      <c r="O7838" s="225"/>
      <c r="P7838" s="260"/>
      <c r="Q7838" s="328"/>
      <c r="R7838" s="260"/>
      <c r="S7838" s="260"/>
      <c r="T7838" s="260"/>
      <c r="U7838" s="260"/>
      <c r="V7838" s="260"/>
      <c r="W7838" s="260"/>
      <c r="X7838" s="260"/>
      <c r="Y7838" s="260"/>
      <c r="Z7838" s="260"/>
      <c r="AA7838" s="260"/>
      <c r="AB7838" s="260"/>
      <c r="AC7838" s="260"/>
      <c r="AD7838" s="260"/>
      <c r="AE7838" s="260"/>
      <c r="AF7838" s="260"/>
      <c r="AG7838" s="330"/>
    </row>
    <row r="7839" spans="14:33" hidden="1">
      <c r="N7839" s="239"/>
      <c r="O7839" s="225"/>
      <c r="P7839" s="260"/>
      <c r="Q7839" s="328"/>
      <c r="R7839" s="260"/>
      <c r="S7839" s="260"/>
      <c r="T7839" s="260"/>
      <c r="U7839" s="260"/>
      <c r="V7839" s="260"/>
      <c r="W7839" s="260"/>
      <c r="X7839" s="260"/>
      <c r="Y7839" s="260"/>
      <c r="Z7839" s="260"/>
      <c r="AA7839" s="260"/>
      <c r="AB7839" s="260"/>
      <c r="AC7839" s="260"/>
      <c r="AD7839" s="260"/>
      <c r="AE7839" s="260"/>
      <c r="AF7839" s="260"/>
      <c r="AG7839" s="330"/>
    </row>
    <row r="7840" spans="14:33" hidden="1">
      <c r="N7840" s="239"/>
      <c r="O7840" s="225"/>
      <c r="P7840" s="260"/>
      <c r="Q7840" s="328"/>
      <c r="R7840" s="260"/>
      <c r="S7840" s="260"/>
      <c r="T7840" s="260"/>
      <c r="U7840" s="260"/>
      <c r="V7840" s="260"/>
      <c r="W7840" s="260"/>
      <c r="X7840" s="260"/>
      <c r="Y7840" s="260"/>
      <c r="Z7840" s="260"/>
      <c r="AA7840" s="260"/>
      <c r="AB7840" s="260"/>
      <c r="AC7840" s="260"/>
      <c r="AD7840" s="260"/>
      <c r="AE7840" s="260"/>
      <c r="AF7840" s="260"/>
      <c r="AG7840" s="330"/>
    </row>
    <row r="7841" spans="14:33" hidden="1">
      <c r="N7841" s="239"/>
      <c r="O7841" s="225"/>
      <c r="P7841" s="260"/>
      <c r="Q7841" s="328"/>
      <c r="R7841" s="260"/>
      <c r="S7841" s="260"/>
      <c r="T7841" s="260"/>
      <c r="U7841" s="260"/>
      <c r="V7841" s="260"/>
      <c r="W7841" s="260"/>
      <c r="X7841" s="260"/>
      <c r="Y7841" s="260"/>
      <c r="Z7841" s="260"/>
      <c r="AA7841" s="260"/>
      <c r="AB7841" s="260"/>
      <c r="AC7841" s="260"/>
      <c r="AD7841" s="260"/>
      <c r="AE7841" s="260"/>
      <c r="AF7841" s="260"/>
      <c r="AG7841" s="330"/>
    </row>
    <row r="7842" spans="14:33" hidden="1">
      <c r="N7842" s="239"/>
      <c r="O7842" s="225"/>
      <c r="P7842" s="260"/>
      <c r="Q7842" s="328"/>
      <c r="R7842" s="260"/>
      <c r="S7842" s="260"/>
      <c r="T7842" s="260"/>
      <c r="U7842" s="260"/>
      <c r="V7842" s="260"/>
      <c r="W7842" s="260"/>
      <c r="X7842" s="260"/>
      <c r="Y7842" s="260"/>
      <c r="Z7842" s="260"/>
      <c r="AA7842" s="260"/>
      <c r="AB7842" s="260"/>
      <c r="AC7842" s="260"/>
      <c r="AD7842" s="260"/>
      <c r="AE7842" s="260"/>
      <c r="AF7842" s="260"/>
      <c r="AG7842" s="330"/>
    </row>
    <row r="7843" spans="14:33" hidden="1">
      <c r="N7843" s="239"/>
      <c r="O7843" s="225"/>
      <c r="P7843" s="260"/>
      <c r="Q7843" s="328"/>
      <c r="R7843" s="260"/>
      <c r="S7843" s="260"/>
      <c r="T7843" s="260"/>
      <c r="U7843" s="260"/>
      <c r="V7843" s="260"/>
      <c r="W7843" s="260"/>
      <c r="X7843" s="260"/>
      <c r="Y7843" s="260"/>
      <c r="Z7843" s="260"/>
      <c r="AA7843" s="260"/>
      <c r="AB7843" s="260"/>
      <c r="AC7843" s="260"/>
      <c r="AD7843" s="260"/>
      <c r="AE7843" s="260"/>
      <c r="AF7843" s="260"/>
      <c r="AG7843" s="330"/>
    </row>
    <row r="7844" spans="14:33" hidden="1">
      <c r="N7844" s="239"/>
      <c r="O7844" s="225"/>
      <c r="P7844" s="260"/>
      <c r="Q7844" s="328"/>
      <c r="R7844" s="260"/>
      <c r="S7844" s="260"/>
      <c r="T7844" s="260"/>
      <c r="U7844" s="260"/>
      <c r="V7844" s="260"/>
      <c r="W7844" s="260"/>
      <c r="X7844" s="260"/>
      <c r="Y7844" s="260"/>
      <c r="Z7844" s="260"/>
      <c r="AA7844" s="260"/>
      <c r="AB7844" s="260"/>
      <c r="AC7844" s="260"/>
      <c r="AD7844" s="260"/>
      <c r="AE7844" s="260"/>
      <c r="AF7844" s="260"/>
      <c r="AG7844" s="330"/>
    </row>
    <row r="7845" spans="14:33" hidden="1">
      <c r="N7845" s="239"/>
      <c r="O7845" s="225"/>
      <c r="P7845" s="260"/>
      <c r="Q7845" s="328"/>
      <c r="R7845" s="260"/>
      <c r="S7845" s="260"/>
      <c r="T7845" s="260"/>
      <c r="U7845" s="260"/>
      <c r="V7845" s="260"/>
      <c r="W7845" s="260"/>
      <c r="X7845" s="260"/>
      <c r="Y7845" s="260"/>
      <c r="Z7845" s="260"/>
      <c r="AA7845" s="260"/>
      <c r="AB7845" s="260"/>
      <c r="AC7845" s="260"/>
      <c r="AD7845" s="260"/>
      <c r="AE7845" s="260"/>
      <c r="AF7845" s="260"/>
      <c r="AG7845" s="330"/>
    </row>
    <row r="7846" spans="14:33" hidden="1">
      <c r="N7846" s="239"/>
      <c r="O7846" s="225"/>
      <c r="P7846" s="260"/>
      <c r="Q7846" s="328"/>
      <c r="R7846" s="260"/>
      <c r="S7846" s="260"/>
      <c r="T7846" s="260"/>
      <c r="U7846" s="260"/>
      <c r="V7846" s="260"/>
      <c r="W7846" s="260"/>
      <c r="X7846" s="260"/>
      <c r="Y7846" s="260"/>
      <c r="Z7846" s="260"/>
      <c r="AA7846" s="260"/>
      <c r="AB7846" s="260"/>
      <c r="AC7846" s="260"/>
      <c r="AD7846" s="260"/>
      <c r="AE7846" s="260"/>
      <c r="AF7846" s="260"/>
      <c r="AG7846" s="330"/>
    </row>
    <row r="7847" spans="14:33" hidden="1">
      <c r="N7847" s="239"/>
      <c r="O7847" s="225"/>
      <c r="P7847" s="260"/>
      <c r="Q7847" s="328"/>
      <c r="R7847" s="260"/>
      <c r="S7847" s="260"/>
      <c r="T7847" s="260"/>
      <c r="U7847" s="260"/>
      <c r="V7847" s="260"/>
      <c r="W7847" s="260"/>
      <c r="X7847" s="260"/>
      <c r="Y7847" s="260"/>
      <c r="Z7847" s="260"/>
      <c r="AA7847" s="260"/>
      <c r="AB7847" s="260"/>
      <c r="AC7847" s="260"/>
      <c r="AD7847" s="260"/>
      <c r="AE7847" s="260"/>
      <c r="AF7847" s="260"/>
      <c r="AG7847" s="330"/>
    </row>
    <row r="7848" spans="14:33" hidden="1">
      <c r="N7848" s="239"/>
      <c r="O7848" s="225"/>
      <c r="P7848" s="260"/>
      <c r="Q7848" s="328"/>
      <c r="R7848" s="260"/>
      <c r="S7848" s="260"/>
      <c r="T7848" s="260"/>
      <c r="U7848" s="260"/>
      <c r="V7848" s="260"/>
      <c r="W7848" s="260"/>
      <c r="X7848" s="260"/>
      <c r="Y7848" s="260"/>
      <c r="Z7848" s="260"/>
      <c r="AA7848" s="260"/>
      <c r="AB7848" s="260"/>
      <c r="AC7848" s="260"/>
      <c r="AD7848" s="260"/>
      <c r="AE7848" s="260"/>
      <c r="AF7848" s="260"/>
      <c r="AG7848" s="330"/>
    </row>
    <row r="7849" spans="14:33" hidden="1">
      <c r="N7849" s="239"/>
      <c r="O7849" s="225"/>
      <c r="P7849" s="260"/>
      <c r="Q7849" s="328"/>
      <c r="R7849" s="260"/>
      <c r="S7849" s="260"/>
      <c r="T7849" s="260"/>
      <c r="U7849" s="260"/>
      <c r="V7849" s="260"/>
      <c r="W7849" s="260"/>
      <c r="X7849" s="260"/>
      <c r="Y7849" s="260"/>
      <c r="Z7849" s="260"/>
      <c r="AA7849" s="260"/>
      <c r="AB7849" s="260"/>
      <c r="AC7849" s="260"/>
      <c r="AD7849" s="260"/>
      <c r="AE7849" s="260"/>
      <c r="AF7849" s="260"/>
      <c r="AG7849" s="330"/>
    </row>
    <row r="7850" spans="14:33" hidden="1">
      <c r="N7850" s="239"/>
      <c r="O7850" s="225"/>
      <c r="P7850" s="260"/>
      <c r="Q7850" s="328"/>
      <c r="R7850" s="260"/>
      <c r="S7850" s="260"/>
      <c r="T7850" s="260"/>
      <c r="U7850" s="260"/>
      <c r="V7850" s="260"/>
      <c r="W7850" s="260"/>
      <c r="X7850" s="260"/>
      <c r="Y7850" s="260"/>
      <c r="Z7850" s="260"/>
      <c r="AA7850" s="260"/>
      <c r="AB7850" s="260"/>
      <c r="AC7850" s="260"/>
      <c r="AD7850" s="260"/>
      <c r="AE7850" s="260"/>
      <c r="AF7850" s="260"/>
      <c r="AG7850" s="330"/>
    </row>
    <row r="7851" spans="14:33" hidden="1">
      <c r="N7851" s="239"/>
      <c r="O7851" s="225"/>
      <c r="P7851" s="260"/>
      <c r="Q7851" s="328"/>
      <c r="R7851" s="260"/>
      <c r="S7851" s="260"/>
      <c r="T7851" s="260"/>
      <c r="U7851" s="260"/>
      <c r="V7851" s="260"/>
      <c r="W7851" s="260"/>
      <c r="X7851" s="260"/>
      <c r="Y7851" s="260"/>
      <c r="Z7851" s="260"/>
      <c r="AA7851" s="260"/>
      <c r="AB7851" s="260"/>
      <c r="AC7851" s="260"/>
      <c r="AD7851" s="260"/>
      <c r="AE7851" s="260"/>
      <c r="AF7851" s="260"/>
      <c r="AG7851" s="330"/>
    </row>
    <row r="7852" spans="14:33" hidden="1">
      <c r="N7852" s="239"/>
      <c r="O7852" s="225"/>
      <c r="P7852" s="260"/>
      <c r="Q7852" s="328"/>
      <c r="R7852" s="260"/>
      <c r="S7852" s="260"/>
      <c r="T7852" s="260"/>
      <c r="U7852" s="260"/>
      <c r="V7852" s="260"/>
      <c r="W7852" s="260"/>
      <c r="X7852" s="260"/>
      <c r="Y7852" s="260"/>
      <c r="Z7852" s="260"/>
      <c r="AA7852" s="260"/>
      <c r="AB7852" s="260"/>
      <c r="AC7852" s="260"/>
      <c r="AD7852" s="260"/>
      <c r="AE7852" s="260"/>
      <c r="AF7852" s="260"/>
      <c r="AG7852" s="330"/>
    </row>
    <row r="7853" spans="14:33" hidden="1">
      <c r="N7853" s="239"/>
      <c r="O7853" s="225"/>
      <c r="P7853" s="260"/>
      <c r="Q7853" s="328"/>
      <c r="R7853" s="260"/>
      <c r="S7853" s="260"/>
      <c r="T7853" s="260"/>
      <c r="U7853" s="260"/>
      <c r="V7853" s="260"/>
      <c r="W7853" s="260"/>
      <c r="X7853" s="260"/>
      <c r="Y7853" s="260"/>
      <c r="Z7853" s="260"/>
      <c r="AA7853" s="260"/>
      <c r="AB7853" s="260"/>
      <c r="AC7853" s="260"/>
      <c r="AD7853" s="260"/>
      <c r="AE7853" s="260"/>
      <c r="AF7853" s="260"/>
      <c r="AG7853" s="330"/>
    </row>
    <row r="7854" spans="14:33" hidden="1">
      <c r="N7854" s="239"/>
      <c r="O7854" s="225"/>
      <c r="P7854" s="260"/>
      <c r="Q7854" s="328"/>
      <c r="R7854" s="260"/>
      <c r="S7854" s="260"/>
      <c r="T7854" s="260"/>
      <c r="U7854" s="260"/>
      <c r="V7854" s="260"/>
      <c r="W7854" s="260"/>
      <c r="X7854" s="260"/>
      <c r="Y7854" s="260"/>
      <c r="Z7854" s="260"/>
      <c r="AA7854" s="260"/>
      <c r="AB7854" s="260"/>
      <c r="AC7854" s="260"/>
      <c r="AD7854" s="260"/>
      <c r="AE7854" s="260"/>
      <c r="AF7854" s="260"/>
      <c r="AG7854" s="330"/>
    </row>
    <row r="7855" spans="14:33" hidden="1">
      <c r="N7855" s="239"/>
      <c r="O7855" s="225"/>
      <c r="P7855" s="260"/>
      <c r="Q7855" s="328"/>
      <c r="R7855" s="260"/>
      <c r="S7855" s="260"/>
      <c r="T7855" s="260"/>
      <c r="U7855" s="260"/>
      <c r="V7855" s="260"/>
      <c r="W7855" s="260"/>
      <c r="X7855" s="260"/>
      <c r="Y7855" s="260"/>
      <c r="Z7855" s="260"/>
      <c r="AA7855" s="260"/>
      <c r="AB7855" s="260"/>
      <c r="AC7855" s="260"/>
      <c r="AD7855" s="260"/>
      <c r="AE7855" s="260"/>
      <c r="AF7855" s="260"/>
      <c r="AG7855" s="330"/>
    </row>
    <row r="7856" spans="14:33" hidden="1">
      <c r="N7856" s="239"/>
      <c r="O7856" s="225"/>
      <c r="P7856" s="260"/>
      <c r="Q7856" s="328"/>
      <c r="R7856" s="260"/>
      <c r="S7856" s="260"/>
      <c r="T7856" s="260"/>
      <c r="U7856" s="260"/>
      <c r="V7856" s="260"/>
      <c r="W7856" s="260"/>
      <c r="X7856" s="260"/>
      <c r="Y7856" s="260"/>
      <c r="Z7856" s="260"/>
      <c r="AA7856" s="260"/>
      <c r="AB7856" s="260"/>
      <c r="AC7856" s="260"/>
      <c r="AD7856" s="260"/>
      <c r="AE7856" s="260"/>
      <c r="AF7856" s="260"/>
      <c r="AG7856" s="330"/>
    </row>
    <row r="7857" spans="14:33" hidden="1">
      <c r="N7857" s="239"/>
      <c r="O7857" s="225"/>
      <c r="P7857" s="260"/>
      <c r="Q7857" s="328"/>
      <c r="R7857" s="260"/>
      <c r="S7857" s="260"/>
      <c r="T7857" s="260"/>
      <c r="U7857" s="260"/>
      <c r="V7857" s="260"/>
      <c r="W7857" s="260"/>
      <c r="X7857" s="260"/>
      <c r="Y7857" s="260"/>
      <c r="Z7857" s="260"/>
      <c r="AA7857" s="260"/>
      <c r="AB7857" s="260"/>
      <c r="AC7857" s="260"/>
      <c r="AD7857" s="260"/>
      <c r="AE7857" s="260"/>
      <c r="AF7857" s="260"/>
      <c r="AG7857" s="330"/>
    </row>
    <row r="7858" spans="14:33" hidden="1">
      <c r="N7858" s="239"/>
      <c r="O7858" s="225"/>
      <c r="P7858" s="260"/>
      <c r="Q7858" s="328"/>
      <c r="R7858" s="260"/>
      <c r="S7858" s="260"/>
      <c r="T7858" s="260"/>
      <c r="U7858" s="260"/>
      <c r="V7858" s="260"/>
      <c r="W7858" s="260"/>
      <c r="X7858" s="260"/>
      <c r="Y7858" s="260"/>
      <c r="Z7858" s="260"/>
      <c r="AA7858" s="260"/>
      <c r="AB7858" s="260"/>
      <c r="AC7858" s="260"/>
      <c r="AD7858" s="260"/>
      <c r="AE7858" s="260"/>
      <c r="AF7858" s="260"/>
      <c r="AG7858" s="330"/>
    </row>
    <row r="7859" spans="14:33" hidden="1">
      <c r="N7859" s="239"/>
      <c r="O7859" s="225"/>
      <c r="P7859" s="260"/>
      <c r="Q7859" s="328"/>
      <c r="R7859" s="260"/>
      <c r="S7859" s="260"/>
      <c r="T7859" s="260"/>
      <c r="U7859" s="260"/>
      <c r="V7859" s="260"/>
      <c r="W7859" s="260"/>
      <c r="X7859" s="260"/>
      <c r="Y7859" s="260"/>
      <c r="Z7859" s="260"/>
      <c r="AA7859" s="260"/>
      <c r="AB7859" s="260"/>
      <c r="AC7859" s="260"/>
      <c r="AD7859" s="260"/>
      <c r="AE7859" s="260"/>
      <c r="AF7859" s="260"/>
      <c r="AG7859" s="330"/>
    </row>
    <row r="7860" spans="14:33" hidden="1">
      <c r="N7860" s="239"/>
      <c r="O7860" s="225"/>
      <c r="P7860" s="260"/>
      <c r="Q7860" s="328"/>
      <c r="R7860" s="260"/>
      <c r="S7860" s="260"/>
      <c r="T7860" s="260"/>
      <c r="U7860" s="260"/>
      <c r="V7860" s="260"/>
      <c r="W7860" s="260"/>
      <c r="X7860" s="260"/>
      <c r="Y7860" s="260"/>
      <c r="Z7860" s="260"/>
      <c r="AA7860" s="260"/>
      <c r="AB7860" s="260"/>
      <c r="AC7860" s="260"/>
      <c r="AD7860" s="260"/>
      <c r="AE7860" s="260"/>
      <c r="AF7860" s="260"/>
      <c r="AG7860" s="330"/>
    </row>
    <row r="7861" spans="14:33" hidden="1">
      <c r="N7861" s="239"/>
      <c r="O7861" s="225"/>
      <c r="P7861" s="260"/>
      <c r="Q7861" s="328"/>
      <c r="R7861" s="260"/>
      <c r="S7861" s="260"/>
      <c r="T7861" s="260"/>
      <c r="U7861" s="260"/>
      <c r="V7861" s="260"/>
      <c r="W7861" s="260"/>
      <c r="X7861" s="260"/>
      <c r="Y7861" s="260"/>
      <c r="Z7861" s="260"/>
      <c r="AA7861" s="260"/>
      <c r="AB7861" s="260"/>
      <c r="AC7861" s="260"/>
      <c r="AD7861" s="260"/>
      <c r="AE7861" s="260"/>
      <c r="AF7861" s="260"/>
      <c r="AG7861" s="330"/>
    </row>
    <row r="7862" spans="14:33" hidden="1">
      <c r="N7862" s="239"/>
      <c r="O7862" s="225"/>
      <c r="P7862" s="260"/>
      <c r="Q7862" s="328"/>
      <c r="R7862" s="260"/>
      <c r="S7862" s="260"/>
      <c r="T7862" s="260"/>
      <c r="U7862" s="260"/>
      <c r="V7862" s="260"/>
      <c r="W7862" s="260"/>
      <c r="X7862" s="260"/>
      <c r="Y7862" s="260"/>
      <c r="Z7862" s="260"/>
      <c r="AA7862" s="260"/>
      <c r="AB7862" s="260"/>
      <c r="AC7862" s="260"/>
      <c r="AD7862" s="260"/>
      <c r="AE7862" s="260"/>
      <c r="AF7862" s="260"/>
      <c r="AG7862" s="330"/>
    </row>
    <row r="7863" spans="14:33" hidden="1">
      <c r="N7863" s="239"/>
      <c r="O7863" s="225"/>
      <c r="P7863" s="260"/>
      <c r="Q7863" s="328"/>
      <c r="R7863" s="260"/>
      <c r="S7863" s="260"/>
      <c r="T7863" s="260"/>
      <c r="U7863" s="260"/>
      <c r="V7863" s="260"/>
      <c r="W7863" s="260"/>
      <c r="X7863" s="260"/>
      <c r="Y7863" s="260"/>
      <c r="Z7863" s="260"/>
      <c r="AA7863" s="260"/>
      <c r="AB7863" s="260"/>
      <c r="AC7863" s="260"/>
      <c r="AD7863" s="260"/>
      <c r="AE7863" s="260"/>
      <c r="AF7863" s="260"/>
      <c r="AG7863" s="330"/>
    </row>
    <row r="7864" spans="14:33" hidden="1">
      <c r="N7864" s="239"/>
      <c r="O7864" s="225"/>
      <c r="P7864" s="260"/>
      <c r="Q7864" s="328"/>
      <c r="R7864" s="260"/>
      <c r="S7864" s="260"/>
      <c r="T7864" s="260"/>
      <c r="U7864" s="260"/>
      <c r="V7864" s="260"/>
      <c r="W7864" s="260"/>
      <c r="X7864" s="260"/>
      <c r="Y7864" s="260"/>
      <c r="Z7864" s="260"/>
      <c r="AA7864" s="260"/>
      <c r="AB7864" s="260"/>
      <c r="AC7864" s="260"/>
      <c r="AD7864" s="260"/>
      <c r="AE7864" s="260"/>
      <c r="AF7864" s="260"/>
      <c r="AG7864" s="330"/>
    </row>
    <row r="7865" spans="14:33" hidden="1">
      <c r="N7865" s="239"/>
      <c r="O7865" s="225"/>
      <c r="P7865" s="260"/>
      <c r="Q7865" s="328"/>
      <c r="R7865" s="260"/>
      <c r="S7865" s="260"/>
      <c r="T7865" s="260"/>
      <c r="U7865" s="260"/>
      <c r="V7865" s="260"/>
      <c r="W7865" s="260"/>
      <c r="X7865" s="260"/>
      <c r="Y7865" s="260"/>
      <c r="Z7865" s="260"/>
      <c r="AA7865" s="260"/>
      <c r="AB7865" s="260"/>
      <c r="AC7865" s="260"/>
      <c r="AD7865" s="260"/>
      <c r="AE7865" s="260"/>
      <c r="AF7865" s="260"/>
      <c r="AG7865" s="330"/>
    </row>
    <row r="7866" spans="14:33" hidden="1">
      <c r="N7866" s="239"/>
      <c r="O7866" s="225"/>
      <c r="P7866" s="260"/>
      <c r="Q7866" s="328"/>
      <c r="R7866" s="260"/>
      <c r="S7866" s="260"/>
      <c r="T7866" s="260"/>
      <c r="U7866" s="260"/>
      <c r="V7866" s="260"/>
      <c r="W7866" s="260"/>
      <c r="X7866" s="260"/>
      <c r="Y7866" s="260"/>
      <c r="Z7866" s="260"/>
      <c r="AA7866" s="260"/>
      <c r="AB7866" s="260"/>
      <c r="AC7866" s="260"/>
      <c r="AD7866" s="260"/>
      <c r="AE7866" s="260"/>
      <c r="AF7866" s="260"/>
      <c r="AG7866" s="330"/>
    </row>
    <row r="7867" spans="14:33" hidden="1">
      <c r="N7867" s="239"/>
      <c r="O7867" s="225"/>
      <c r="P7867" s="260"/>
      <c r="Q7867" s="328"/>
      <c r="R7867" s="260"/>
      <c r="S7867" s="260"/>
      <c r="T7867" s="260"/>
      <c r="U7867" s="260"/>
      <c r="V7867" s="260"/>
      <c r="W7867" s="260"/>
      <c r="X7867" s="260"/>
      <c r="Y7867" s="260"/>
      <c r="Z7867" s="260"/>
      <c r="AA7867" s="260"/>
      <c r="AB7867" s="260"/>
      <c r="AC7867" s="260"/>
      <c r="AD7867" s="260"/>
      <c r="AE7867" s="260"/>
      <c r="AF7867" s="260"/>
      <c r="AG7867" s="330"/>
    </row>
    <row r="7868" spans="14:33" hidden="1">
      <c r="N7868" s="239"/>
      <c r="O7868" s="225"/>
      <c r="P7868" s="260"/>
      <c r="Q7868" s="328"/>
      <c r="R7868" s="260"/>
      <c r="S7868" s="260"/>
      <c r="T7868" s="260"/>
      <c r="U7868" s="260"/>
      <c r="V7868" s="260"/>
      <c r="W7868" s="260"/>
      <c r="X7868" s="260"/>
      <c r="Y7868" s="260"/>
      <c r="Z7868" s="260"/>
      <c r="AA7868" s="260"/>
      <c r="AB7868" s="260"/>
      <c r="AC7868" s="260"/>
      <c r="AD7868" s="260"/>
      <c r="AE7868" s="260"/>
      <c r="AF7868" s="260"/>
      <c r="AG7868" s="330"/>
    </row>
    <row r="7869" spans="14:33" hidden="1">
      <c r="N7869" s="239"/>
      <c r="O7869" s="225"/>
      <c r="P7869" s="260"/>
      <c r="Q7869" s="328"/>
      <c r="R7869" s="260"/>
      <c r="S7869" s="260"/>
      <c r="T7869" s="260"/>
      <c r="U7869" s="260"/>
      <c r="V7869" s="260"/>
      <c r="W7869" s="260"/>
      <c r="X7869" s="260"/>
      <c r="Y7869" s="260"/>
      <c r="Z7869" s="260"/>
      <c r="AA7869" s="260"/>
      <c r="AB7869" s="260"/>
      <c r="AC7869" s="260"/>
      <c r="AD7869" s="260"/>
      <c r="AE7869" s="260"/>
      <c r="AF7869" s="260"/>
      <c r="AG7869" s="330"/>
    </row>
    <row r="7870" spans="14:33" hidden="1">
      <c r="N7870" s="239"/>
      <c r="O7870" s="225"/>
      <c r="P7870" s="260"/>
      <c r="Q7870" s="328"/>
      <c r="R7870" s="260"/>
      <c r="S7870" s="260"/>
      <c r="T7870" s="260"/>
      <c r="U7870" s="260"/>
      <c r="V7870" s="260"/>
      <c r="W7870" s="260"/>
      <c r="X7870" s="260"/>
      <c r="Y7870" s="260"/>
      <c r="Z7870" s="260"/>
      <c r="AA7870" s="260"/>
      <c r="AB7870" s="260"/>
      <c r="AC7870" s="260"/>
      <c r="AD7870" s="260"/>
      <c r="AE7870" s="260"/>
      <c r="AF7870" s="260"/>
      <c r="AG7870" s="330"/>
    </row>
    <row r="7871" spans="14:33" hidden="1">
      <c r="N7871" s="239"/>
      <c r="O7871" s="225"/>
      <c r="P7871" s="260"/>
      <c r="Q7871" s="328"/>
      <c r="R7871" s="260"/>
      <c r="S7871" s="260"/>
      <c r="T7871" s="260"/>
      <c r="U7871" s="260"/>
      <c r="V7871" s="260"/>
      <c r="W7871" s="260"/>
      <c r="X7871" s="260"/>
      <c r="Y7871" s="260"/>
      <c r="Z7871" s="260"/>
      <c r="AA7871" s="260"/>
      <c r="AB7871" s="260"/>
      <c r="AC7871" s="260"/>
      <c r="AD7871" s="260"/>
      <c r="AE7871" s="260"/>
      <c r="AF7871" s="260"/>
      <c r="AG7871" s="330"/>
    </row>
    <row r="7872" spans="14:33" hidden="1">
      <c r="N7872" s="239"/>
      <c r="O7872" s="225"/>
      <c r="P7872" s="260"/>
      <c r="Q7872" s="328"/>
      <c r="R7872" s="260"/>
      <c r="S7872" s="260"/>
      <c r="T7872" s="260"/>
      <c r="U7872" s="260"/>
      <c r="V7872" s="260"/>
      <c r="W7872" s="260"/>
      <c r="X7872" s="260"/>
      <c r="Y7872" s="260"/>
      <c r="Z7872" s="260"/>
      <c r="AA7872" s="260"/>
      <c r="AB7872" s="260"/>
      <c r="AC7872" s="260"/>
      <c r="AD7872" s="260"/>
      <c r="AE7872" s="260"/>
      <c r="AF7872" s="260"/>
      <c r="AG7872" s="330"/>
    </row>
    <row r="7873" spans="14:33" hidden="1">
      <c r="N7873" s="239"/>
      <c r="O7873" s="225"/>
      <c r="P7873" s="260"/>
      <c r="Q7873" s="328"/>
      <c r="R7873" s="260"/>
      <c r="S7873" s="260"/>
      <c r="T7873" s="260"/>
      <c r="U7873" s="260"/>
      <c r="V7873" s="260"/>
      <c r="W7873" s="260"/>
      <c r="X7873" s="260"/>
      <c r="Y7873" s="260"/>
      <c r="Z7873" s="260"/>
      <c r="AA7873" s="260"/>
      <c r="AB7873" s="260"/>
      <c r="AC7873" s="260"/>
      <c r="AD7873" s="260"/>
      <c r="AE7873" s="260"/>
      <c r="AF7873" s="260"/>
      <c r="AG7873" s="330"/>
    </row>
    <row r="7874" spans="14:33" hidden="1">
      <c r="N7874" s="239"/>
      <c r="O7874" s="225"/>
      <c r="P7874" s="260"/>
      <c r="Q7874" s="328"/>
      <c r="R7874" s="260"/>
      <c r="S7874" s="260"/>
      <c r="T7874" s="260"/>
      <c r="U7874" s="260"/>
      <c r="V7874" s="260"/>
      <c r="W7874" s="260"/>
      <c r="X7874" s="260"/>
      <c r="Y7874" s="260"/>
      <c r="Z7874" s="260"/>
      <c r="AA7874" s="260"/>
      <c r="AB7874" s="260"/>
      <c r="AC7874" s="260"/>
      <c r="AD7874" s="260"/>
      <c r="AE7874" s="260"/>
      <c r="AF7874" s="260"/>
      <c r="AG7874" s="330"/>
    </row>
    <row r="7875" spans="14:33" hidden="1">
      <c r="N7875" s="239"/>
      <c r="O7875" s="225"/>
      <c r="P7875" s="260"/>
      <c r="Q7875" s="328"/>
      <c r="R7875" s="260"/>
      <c r="S7875" s="260"/>
      <c r="T7875" s="260"/>
      <c r="U7875" s="260"/>
      <c r="V7875" s="260"/>
      <c r="W7875" s="260"/>
      <c r="X7875" s="260"/>
      <c r="Y7875" s="260"/>
      <c r="Z7875" s="260"/>
      <c r="AA7875" s="260"/>
      <c r="AB7875" s="260"/>
      <c r="AC7875" s="260"/>
      <c r="AD7875" s="260"/>
      <c r="AE7875" s="260"/>
      <c r="AF7875" s="260"/>
      <c r="AG7875" s="330"/>
    </row>
    <row r="7876" spans="14:33" hidden="1">
      <c r="N7876" s="239"/>
      <c r="O7876" s="225"/>
      <c r="P7876" s="260"/>
      <c r="Q7876" s="328"/>
      <c r="R7876" s="260"/>
      <c r="S7876" s="260"/>
      <c r="T7876" s="260"/>
      <c r="U7876" s="260"/>
      <c r="V7876" s="260"/>
      <c r="W7876" s="260"/>
      <c r="X7876" s="260"/>
      <c r="Y7876" s="260"/>
      <c r="Z7876" s="260"/>
      <c r="AA7876" s="260"/>
      <c r="AB7876" s="260"/>
      <c r="AC7876" s="260"/>
      <c r="AD7876" s="260"/>
      <c r="AE7876" s="260"/>
      <c r="AF7876" s="260"/>
      <c r="AG7876" s="330"/>
    </row>
    <row r="7877" spans="14:33" hidden="1">
      <c r="N7877" s="239"/>
      <c r="O7877" s="225"/>
      <c r="P7877" s="260"/>
      <c r="Q7877" s="328"/>
      <c r="R7877" s="260"/>
      <c r="S7877" s="260"/>
      <c r="T7877" s="260"/>
      <c r="U7877" s="260"/>
      <c r="V7877" s="260"/>
      <c r="W7877" s="260"/>
      <c r="X7877" s="260"/>
      <c r="Y7877" s="260"/>
      <c r="Z7877" s="260"/>
      <c r="AA7877" s="260"/>
      <c r="AB7877" s="260"/>
      <c r="AC7877" s="260"/>
      <c r="AD7877" s="260"/>
      <c r="AE7877" s="260"/>
      <c r="AF7877" s="260"/>
      <c r="AG7877" s="330"/>
    </row>
    <row r="7878" spans="14:33" hidden="1">
      <c r="N7878" s="239"/>
      <c r="O7878" s="225"/>
      <c r="P7878" s="260"/>
      <c r="Q7878" s="328"/>
      <c r="R7878" s="260"/>
      <c r="S7878" s="260"/>
      <c r="T7878" s="260"/>
      <c r="U7878" s="260"/>
      <c r="V7878" s="260"/>
      <c r="W7878" s="260"/>
      <c r="X7878" s="260"/>
      <c r="Y7878" s="260"/>
      <c r="Z7878" s="260"/>
      <c r="AA7878" s="260"/>
      <c r="AB7878" s="260"/>
      <c r="AC7878" s="260"/>
      <c r="AD7878" s="260"/>
      <c r="AE7878" s="260"/>
      <c r="AF7878" s="260"/>
      <c r="AG7878" s="330"/>
    </row>
    <row r="7879" spans="14:33" hidden="1">
      <c r="N7879" s="239"/>
      <c r="O7879" s="225"/>
      <c r="P7879" s="260"/>
      <c r="Q7879" s="328"/>
      <c r="R7879" s="260"/>
      <c r="S7879" s="260"/>
      <c r="T7879" s="260"/>
      <c r="U7879" s="260"/>
      <c r="V7879" s="260"/>
      <c r="W7879" s="260"/>
      <c r="X7879" s="260"/>
      <c r="Y7879" s="260"/>
      <c r="Z7879" s="260"/>
      <c r="AA7879" s="260"/>
      <c r="AB7879" s="260"/>
      <c r="AC7879" s="260"/>
      <c r="AD7879" s="260"/>
      <c r="AE7879" s="260"/>
      <c r="AF7879" s="260"/>
      <c r="AG7879" s="330"/>
    </row>
    <row r="7880" spans="14:33" hidden="1">
      <c r="N7880" s="239"/>
      <c r="O7880" s="225"/>
      <c r="P7880" s="260"/>
      <c r="Q7880" s="328"/>
      <c r="R7880" s="260"/>
      <c r="S7880" s="260"/>
      <c r="T7880" s="260"/>
      <c r="U7880" s="260"/>
      <c r="V7880" s="260"/>
      <c r="W7880" s="260"/>
      <c r="X7880" s="260"/>
      <c r="Y7880" s="260"/>
      <c r="Z7880" s="260"/>
      <c r="AA7880" s="260"/>
      <c r="AB7880" s="260"/>
      <c r="AC7880" s="260"/>
      <c r="AD7880" s="260"/>
      <c r="AE7880" s="260"/>
      <c r="AF7880" s="260"/>
      <c r="AG7880" s="330"/>
    </row>
    <row r="7881" spans="14:33" hidden="1">
      <c r="N7881" s="239"/>
      <c r="O7881" s="225"/>
      <c r="P7881" s="260"/>
      <c r="Q7881" s="328"/>
      <c r="R7881" s="260"/>
      <c r="S7881" s="260"/>
      <c r="T7881" s="260"/>
      <c r="U7881" s="260"/>
      <c r="V7881" s="260"/>
      <c r="W7881" s="260"/>
      <c r="X7881" s="260"/>
      <c r="Y7881" s="260"/>
      <c r="Z7881" s="260"/>
      <c r="AA7881" s="260"/>
      <c r="AB7881" s="260"/>
      <c r="AC7881" s="260"/>
      <c r="AD7881" s="260"/>
      <c r="AE7881" s="260"/>
      <c r="AF7881" s="260"/>
      <c r="AG7881" s="330"/>
    </row>
    <row r="7882" spans="14:33" hidden="1">
      <c r="N7882" s="239"/>
      <c r="O7882" s="225"/>
      <c r="P7882" s="260"/>
      <c r="Q7882" s="328"/>
      <c r="R7882" s="260"/>
      <c r="S7882" s="260"/>
      <c r="T7882" s="260"/>
      <c r="U7882" s="260"/>
      <c r="V7882" s="260"/>
      <c r="W7882" s="260"/>
      <c r="X7882" s="260"/>
      <c r="Y7882" s="260"/>
      <c r="Z7882" s="260"/>
      <c r="AA7882" s="260"/>
      <c r="AB7882" s="260"/>
      <c r="AC7882" s="260"/>
      <c r="AD7882" s="260"/>
      <c r="AE7882" s="260"/>
      <c r="AF7882" s="260"/>
      <c r="AG7882" s="330"/>
    </row>
    <row r="7883" spans="14:33" hidden="1">
      <c r="N7883" s="239"/>
      <c r="O7883" s="225"/>
      <c r="P7883" s="260"/>
      <c r="Q7883" s="328"/>
      <c r="R7883" s="260"/>
      <c r="S7883" s="260"/>
      <c r="T7883" s="260"/>
      <c r="U7883" s="260"/>
      <c r="V7883" s="260"/>
      <c r="W7883" s="260"/>
      <c r="X7883" s="260"/>
      <c r="Y7883" s="260"/>
      <c r="Z7883" s="260"/>
      <c r="AA7883" s="260"/>
      <c r="AB7883" s="260"/>
      <c r="AC7883" s="260"/>
      <c r="AD7883" s="260"/>
      <c r="AE7883" s="260"/>
      <c r="AF7883" s="260"/>
      <c r="AG7883" s="330"/>
    </row>
    <row r="7884" spans="14:33" hidden="1">
      <c r="N7884" s="239"/>
      <c r="O7884" s="225"/>
      <c r="P7884" s="260"/>
      <c r="Q7884" s="328"/>
      <c r="R7884" s="260"/>
      <c r="S7884" s="260"/>
      <c r="T7884" s="260"/>
      <c r="U7884" s="260"/>
      <c r="V7884" s="260"/>
      <c r="W7884" s="260"/>
      <c r="X7884" s="260"/>
      <c r="Y7884" s="260"/>
      <c r="Z7884" s="260"/>
      <c r="AA7884" s="260"/>
      <c r="AB7884" s="260"/>
      <c r="AC7884" s="260"/>
      <c r="AD7884" s="260"/>
      <c r="AE7884" s="260"/>
      <c r="AF7884" s="260"/>
      <c r="AG7884" s="330"/>
    </row>
    <row r="7885" spans="14:33" hidden="1">
      <c r="N7885" s="239"/>
      <c r="O7885" s="225"/>
      <c r="P7885" s="260"/>
      <c r="Q7885" s="328"/>
      <c r="R7885" s="260"/>
      <c r="S7885" s="260"/>
      <c r="T7885" s="260"/>
      <c r="U7885" s="260"/>
      <c r="V7885" s="260"/>
      <c r="W7885" s="260"/>
      <c r="X7885" s="260"/>
      <c r="Y7885" s="260"/>
      <c r="Z7885" s="260"/>
      <c r="AA7885" s="260"/>
      <c r="AB7885" s="260"/>
      <c r="AC7885" s="260"/>
      <c r="AD7885" s="260"/>
      <c r="AE7885" s="260"/>
      <c r="AF7885" s="260"/>
      <c r="AG7885" s="330"/>
    </row>
    <row r="7886" spans="14:33" hidden="1">
      <c r="N7886" s="239"/>
      <c r="O7886" s="225"/>
      <c r="P7886" s="260"/>
      <c r="Q7886" s="328"/>
      <c r="R7886" s="260"/>
      <c r="S7886" s="260"/>
      <c r="T7886" s="260"/>
      <c r="U7886" s="260"/>
      <c r="V7886" s="260"/>
      <c r="W7886" s="260"/>
      <c r="X7886" s="260"/>
      <c r="Y7886" s="260"/>
      <c r="Z7886" s="260"/>
      <c r="AA7886" s="260"/>
      <c r="AB7886" s="260"/>
      <c r="AC7886" s="260"/>
      <c r="AD7886" s="260"/>
      <c r="AE7886" s="260"/>
      <c r="AF7886" s="260"/>
      <c r="AG7886" s="330"/>
    </row>
    <row r="7887" spans="14:33" hidden="1">
      <c r="N7887" s="239"/>
      <c r="O7887" s="225"/>
      <c r="P7887" s="260"/>
      <c r="Q7887" s="328"/>
      <c r="R7887" s="260"/>
      <c r="S7887" s="260"/>
      <c r="T7887" s="260"/>
      <c r="U7887" s="260"/>
      <c r="V7887" s="260"/>
      <c r="W7887" s="260"/>
      <c r="X7887" s="260"/>
      <c r="Y7887" s="260"/>
      <c r="Z7887" s="260"/>
      <c r="AA7887" s="260"/>
      <c r="AB7887" s="260"/>
      <c r="AC7887" s="260"/>
      <c r="AD7887" s="260"/>
      <c r="AE7887" s="260"/>
      <c r="AF7887" s="260"/>
      <c r="AG7887" s="330"/>
    </row>
    <row r="7888" spans="14:33" hidden="1">
      <c r="N7888" s="239"/>
      <c r="O7888" s="225"/>
      <c r="P7888" s="260"/>
      <c r="Q7888" s="328"/>
      <c r="R7888" s="260"/>
      <c r="S7888" s="260"/>
      <c r="T7888" s="260"/>
      <c r="U7888" s="260"/>
      <c r="V7888" s="260"/>
      <c r="W7888" s="260"/>
      <c r="X7888" s="260"/>
      <c r="Y7888" s="260"/>
      <c r="Z7888" s="260"/>
      <c r="AA7888" s="260"/>
      <c r="AB7888" s="260"/>
      <c r="AC7888" s="260"/>
      <c r="AD7888" s="260"/>
      <c r="AE7888" s="260"/>
      <c r="AF7888" s="260"/>
      <c r="AG7888" s="330"/>
    </row>
    <row r="7889" spans="14:33" hidden="1">
      <c r="N7889" s="239"/>
      <c r="O7889" s="225"/>
      <c r="P7889" s="260"/>
      <c r="Q7889" s="328"/>
      <c r="R7889" s="260"/>
      <c r="S7889" s="260"/>
      <c r="T7889" s="260"/>
      <c r="U7889" s="260"/>
      <c r="V7889" s="260"/>
      <c r="W7889" s="260"/>
      <c r="X7889" s="260"/>
      <c r="Y7889" s="260"/>
      <c r="Z7889" s="260"/>
      <c r="AA7889" s="260"/>
      <c r="AB7889" s="260"/>
      <c r="AC7889" s="260"/>
      <c r="AD7889" s="260"/>
      <c r="AE7889" s="260"/>
      <c r="AF7889" s="260"/>
      <c r="AG7889" s="330"/>
    </row>
    <row r="7890" spans="14:33" hidden="1">
      <c r="N7890" s="239"/>
      <c r="O7890" s="225"/>
      <c r="P7890" s="260"/>
      <c r="Q7890" s="328"/>
      <c r="R7890" s="260"/>
      <c r="S7890" s="260"/>
      <c r="T7890" s="260"/>
      <c r="U7890" s="260"/>
      <c r="V7890" s="260"/>
      <c r="W7890" s="260"/>
      <c r="X7890" s="260"/>
      <c r="Y7890" s="260"/>
      <c r="Z7890" s="260"/>
      <c r="AA7890" s="260"/>
      <c r="AB7890" s="260"/>
      <c r="AC7890" s="260"/>
      <c r="AD7890" s="260"/>
      <c r="AE7890" s="260"/>
      <c r="AF7890" s="260"/>
      <c r="AG7890" s="330"/>
    </row>
    <row r="7891" spans="14:33" hidden="1">
      <c r="N7891" s="239"/>
      <c r="O7891" s="225"/>
      <c r="P7891" s="260"/>
      <c r="Q7891" s="328"/>
      <c r="R7891" s="260"/>
      <c r="S7891" s="260"/>
      <c r="T7891" s="260"/>
      <c r="U7891" s="260"/>
      <c r="V7891" s="260"/>
      <c r="W7891" s="260"/>
      <c r="X7891" s="260"/>
      <c r="Y7891" s="260"/>
      <c r="Z7891" s="260"/>
      <c r="AA7891" s="260"/>
      <c r="AB7891" s="260"/>
      <c r="AC7891" s="260"/>
      <c r="AD7891" s="260"/>
      <c r="AE7891" s="260"/>
      <c r="AF7891" s="260"/>
      <c r="AG7891" s="330"/>
    </row>
    <row r="7892" spans="14:33" hidden="1">
      <c r="N7892" s="239"/>
      <c r="O7892" s="225"/>
      <c r="P7892" s="260"/>
      <c r="Q7892" s="328"/>
      <c r="R7892" s="260"/>
      <c r="S7892" s="260"/>
      <c r="T7892" s="260"/>
      <c r="U7892" s="260"/>
      <c r="V7892" s="260"/>
      <c r="W7892" s="260"/>
      <c r="X7892" s="260"/>
      <c r="Y7892" s="260"/>
      <c r="Z7892" s="260"/>
      <c r="AA7892" s="260"/>
      <c r="AB7892" s="260"/>
      <c r="AC7892" s="260"/>
      <c r="AD7892" s="260"/>
      <c r="AE7892" s="260"/>
      <c r="AF7892" s="260"/>
      <c r="AG7892" s="330"/>
    </row>
    <row r="7893" spans="14:33" hidden="1">
      <c r="N7893" s="239"/>
      <c r="O7893" s="225"/>
      <c r="P7893" s="260"/>
      <c r="Q7893" s="328"/>
      <c r="R7893" s="260"/>
      <c r="S7893" s="260"/>
      <c r="T7893" s="260"/>
      <c r="U7893" s="260"/>
      <c r="V7893" s="260"/>
      <c r="W7893" s="260"/>
      <c r="X7893" s="260"/>
      <c r="Y7893" s="260"/>
      <c r="Z7893" s="260"/>
      <c r="AA7893" s="260"/>
      <c r="AB7893" s="260"/>
      <c r="AC7893" s="260"/>
      <c r="AD7893" s="260"/>
      <c r="AE7893" s="260"/>
      <c r="AF7893" s="260"/>
      <c r="AG7893" s="330"/>
    </row>
    <row r="7894" spans="14:33" hidden="1">
      <c r="N7894" s="239"/>
      <c r="O7894" s="225"/>
      <c r="P7894" s="260"/>
      <c r="Q7894" s="328"/>
      <c r="R7894" s="260"/>
      <c r="S7894" s="260"/>
      <c r="T7894" s="260"/>
      <c r="U7894" s="260"/>
      <c r="V7894" s="260"/>
      <c r="W7894" s="260"/>
      <c r="X7894" s="260"/>
      <c r="Y7894" s="260"/>
      <c r="Z7894" s="260"/>
      <c r="AA7894" s="260"/>
      <c r="AB7894" s="260"/>
      <c r="AC7894" s="260"/>
      <c r="AD7894" s="260"/>
      <c r="AE7894" s="260"/>
      <c r="AF7894" s="260"/>
      <c r="AG7894" s="330"/>
    </row>
    <row r="7895" spans="14:33" hidden="1">
      <c r="N7895" s="239"/>
      <c r="O7895" s="225"/>
      <c r="P7895" s="260"/>
      <c r="Q7895" s="328"/>
      <c r="R7895" s="260"/>
      <c r="S7895" s="260"/>
      <c r="T7895" s="260"/>
      <c r="U7895" s="260"/>
      <c r="V7895" s="260"/>
      <c r="W7895" s="260"/>
      <c r="X7895" s="260"/>
      <c r="Y7895" s="260"/>
      <c r="Z7895" s="260"/>
      <c r="AA7895" s="260"/>
      <c r="AB7895" s="260"/>
      <c r="AC7895" s="260"/>
      <c r="AD7895" s="260"/>
      <c r="AE7895" s="260"/>
      <c r="AF7895" s="260"/>
      <c r="AG7895" s="330"/>
    </row>
    <row r="7896" spans="14:33" hidden="1">
      <c r="N7896" s="239"/>
      <c r="O7896" s="225"/>
      <c r="P7896" s="260"/>
      <c r="Q7896" s="328"/>
      <c r="R7896" s="260"/>
      <c r="S7896" s="260"/>
      <c r="T7896" s="260"/>
      <c r="U7896" s="260"/>
      <c r="V7896" s="260"/>
      <c r="W7896" s="260"/>
      <c r="X7896" s="260"/>
      <c r="Y7896" s="260"/>
      <c r="Z7896" s="260"/>
      <c r="AA7896" s="260"/>
      <c r="AB7896" s="260"/>
      <c r="AC7896" s="260"/>
      <c r="AD7896" s="260"/>
      <c r="AE7896" s="260"/>
      <c r="AF7896" s="260"/>
      <c r="AG7896" s="330"/>
    </row>
    <row r="7897" spans="14:33" hidden="1">
      <c r="N7897" s="239"/>
      <c r="O7897" s="225"/>
      <c r="P7897" s="260"/>
      <c r="Q7897" s="328"/>
      <c r="R7897" s="260"/>
      <c r="S7897" s="260"/>
      <c r="T7897" s="260"/>
      <c r="U7897" s="260"/>
      <c r="V7897" s="260"/>
      <c r="W7897" s="260"/>
      <c r="X7897" s="260"/>
      <c r="Y7897" s="260"/>
      <c r="Z7897" s="260"/>
      <c r="AA7897" s="260"/>
      <c r="AB7897" s="260"/>
      <c r="AC7897" s="260"/>
      <c r="AD7897" s="260"/>
      <c r="AE7897" s="260"/>
      <c r="AF7897" s="260"/>
      <c r="AG7897" s="330"/>
    </row>
    <row r="7898" spans="14:33" hidden="1">
      <c r="N7898" s="239"/>
      <c r="O7898" s="225"/>
      <c r="P7898" s="260"/>
      <c r="Q7898" s="328"/>
      <c r="R7898" s="260"/>
      <c r="S7898" s="260"/>
      <c r="T7898" s="260"/>
      <c r="U7898" s="260"/>
      <c r="V7898" s="260"/>
      <c r="W7898" s="260"/>
      <c r="X7898" s="260"/>
      <c r="Y7898" s="260"/>
      <c r="Z7898" s="260"/>
      <c r="AA7898" s="260"/>
      <c r="AB7898" s="260"/>
      <c r="AC7898" s="260"/>
      <c r="AD7898" s="260"/>
      <c r="AE7898" s="260"/>
      <c r="AF7898" s="260"/>
      <c r="AG7898" s="330"/>
    </row>
    <row r="7899" spans="14:33" hidden="1">
      <c r="N7899" s="239"/>
      <c r="O7899" s="225"/>
      <c r="P7899" s="260"/>
      <c r="Q7899" s="328"/>
      <c r="R7899" s="260"/>
      <c r="S7899" s="260"/>
      <c r="T7899" s="260"/>
      <c r="U7899" s="260"/>
      <c r="V7899" s="260"/>
      <c r="W7899" s="260"/>
      <c r="X7899" s="260"/>
      <c r="Y7899" s="260"/>
      <c r="Z7899" s="260"/>
      <c r="AA7899" s="260"/>
      <c r="AB7899" s="260"/>
      <c r="AC7899" s="260"/>
      <c r="AD7899" s="260"/>
      <c r="AE7899" s="260"/>
      <c r="AF7899" s="260"/>
      <c r="AG7899" s="330"/>
    </row>
    <row r="7900" spans="14:33" hidden="1">
      <c r="N7900" s="239"/>
      <c r="O7900" s="225"/>
      <c r="P7900" s="260"/>
      <c r="Q7900" s="328"/>
      <c r="R7900" s="260"/>
      <c r="S7900" s="260"/>
      <c r="T7900" s="260"/>
      <c r="U7900" s="260"/>
      <c r="V7900" s="260"/>
      <c r="W7900" s="260"/>
      <c r="X7900" s="260"/>
      <c r="Y7900" s="260"/>
      <c r="Z7900" s="260"/>
      <c r="AA7900" s="260"/>
      <c r="AB7900" s="260"/>
      <c r="AC7900" s="260"/>
      <c r="AD7900" s="260"/>
      <c r="AE7900" s="260"/>
      <c r="AF7900" s="260"/>
      <c r="AG7900" s="330"/>
    </row>
    <row r="7901" spans="14:33" hidden="1">
      <c r="N7901" s="239"/>
      <c r="O7901" s="225"/>
      <c r="P7901" s="260"/>
      <c r="Q7901" s="328"/>
      <c r="R7901" s="260"/>
      <c r="S7901" s="260"/>
      <c r="T7901" s="260"/>
      <c r="U7901" s="260"/>
      <c r="V7901" s="260"/>
      <c r="W7901" s="260"/>
      <c r="X7901" s="260"/>
      <c r="Y7901" s="260"/>
      <c r="Z7901" s="260"/>
      <c r="AA7901" s="260"/>
      <c r="AB7901" s="260"/>
      <c r="AC7901" s="260"/>
      <c r="AD7901" s="260"/>
      <c r="AE7901" s="260"/>
      <c r="AF7901" s="260"/>
      <c r="AG7901" s="330"/>
    </row>
    <row r="7902" spans="14:33" hidden="1">
      <c r="N7902" s="239"/>
      <c r="O7902" s="225"/>
      <c r="P7902" s="260"/>
      <c r="Q7902" s="328"/>
      <c r="R7902" s="260"/>
      <c r="S7902" s="260"/>
      <c r="T7902" s="260"/>
      <c r="U7902" s="260"/>
      <c r="V7902" s="260"/>
      <c r="W7902" s="260"/>
      <c r="X7902" s="260"/>
      <c r="Y7902" s="260"/>
      <c r="Z7902" s="260"/>
      <c r="AA7902" s="260"/>
      <c r="AB7902" s="260"/>
      <c r="AC7902" s="260"/>
      <c r="AD7902" s="260"/>
      <c r="AE7902" s="260"/>
      <c r="AF7902" s="260"/>
      <c r="AG7902" s="330"/>
    </row>
    <row r="7903" spans="14:33" hidden="1">
      <c r="N7903" s="239"/>
      <c r="O7903" s="225"/>
      <c r="P7903" s="260"/>
      <c r="Q7903" s="328"/>
      <c r="R7903" s="260"/>
      <c r="S7903" s="260"/>
      <c r="T7903" s="260"/>
      <c r="U7903" s="260"/>
      <c r="V7903" s="260"/>
      <c r="W7903" s="260"/>
      <c r="X7903" s="260"/>
      <c r="Y7903" s="260"/>
      <c r="Z7903" s="260"/>
      <c r="AA7903" s="260"/>
      <c r="AB7903" s="260"/>
      <c r="AC7903" s="260"/>
      <c r="AD7903" s="260"/>
      <c r="AE7903" s="260"/>
      <c r="AF7903" s="260"/>
      <c r="AG7903" s="330"/>
    </row>
    <row r="7904" spans="14:33" hidden="1">
      <c r="N7904" s="239"/>
      <c r="O7904" s="225"/>
      <c r="P7904" s="260"/>
      <c r="Q7904" s="328"/>
      <c r="R7904" s="260"/>
      <c r="S7904" s="260"/>
      <c r="T7904" s="260"/>
      <c r="U7904" s="260"/>
      <c r="V7904" s="260"/>
      <c r="W7904" s="260"/>
      <c r="X7904" s="260"/>
      <c r="Y7904" s="260"/>
      <c r="Z7904" s="260"/>
      <c r="AA7904" s="260"/>
      <c r="AB7904" s="260"/>
      <c r="AC7904" s="260"/>
      <c r="AD7904" s="260"/>
      <c r="AE7904" s="260"/>
      <c r="AF7904" s="260"/>
      <c r="AG7904" s="330"/>
    </row>
    <row r="7905" spans="14:33" hidden="1">
      <c r="N7905" s="239"/>
      <c r="O7905" s="225"/>
      <c r="P7905" s="260"/>
      <c r="Q7905" s="328"/>
      <c r="R7905" s="260"/>
      <c r="S7905" s="260"/>
      <c r="T7905" s="260"/>
      <c r="U7905" s="260"/>
      <c r="V7905" s="260"/>
      <c r="W7905" s="260"/>
      <c r="X7905" s="260"/>
      <c r="Y7905" s="260"/>
      <c r="Z7905" s="260"/>
      <c r="AA7905" s="260"/>
      <c r="AB7905" s="260"/>
      <c r="AC7905" s="260"/>
      <c r="AD7905" s="260"/>
      <c r="AE7905" s="260"/>
      <c r="AF7905" s="260"/>
      <c r="AG7905" s="330"/>
    </row>
    <row r="7906" spans="14:33" hidden="1">
      <c r="N7906" s="239"/>
      <c r="O7906" s="225"/>
      <c r="P7906" s="260"/>
      <c r="Q7906" s="328"/>
      <c r="R7906" s="260"/>
      <c r="S7906" s="260"/>
      <c r="T7906" s="260"/>
      <c r="U7906" s="260"/>
      <c r="V7906" s="260"/>
      <c r="W7906" s="260"/>
      <c r="X7906" s="260"/>
      <c r="Y7906" s="260"/>
      <c r="Z7906" s="260"/>
      <c r="AA7906" s="260"/>
      <c r="AB7906" s="260"/>
      <c r="AC7906" s="260"/>
      <c r="AD7906" s="260"/>
      <c r="AE7906" s="260"/>
      <c r="AF7906" s="260"/>
      <c r="AG7906" s="330"/>
    </row>
    <row r="7907" spans="14:33" hidden="1">
      <c r="N7907" s="239"/>
      <c r="O7907" s="225"/>
      <c r="P7907" s="260"/>
      <c r="Q7907" s="328"/>
      <c r="R7907" s="260"/>
      <c r="S7907" s="260"/>
      <c r="T7907" s="260"/>
      <c r="U7907" s="260"/>
      <c r="V7907" s="260"/>
      <c r="W7907" s="260"/>
      <c r="X7907" s="260"/>
      <c r="Y7907" s="260"/>
      <c r="Z7907" s="260"/>
      <c r="AA7907" s="260"/>
      <c r="AB7907" s="260"/>
      <c r="AC7907" s="260"/>
      <c r="AD7907" s="260"/>
      <c r="AE7907" s="260"/>
      <c r="AF7907" s="260"/>
      <c r="AG7907" s="330"/>
    </row>
    <row r="7908" spans="14:33" hidden="1">
      <c r="N7908" s="239"/>
      <c r="O7908" s="225"/>
      <c r="P7908" s="260"/>
      <c r="Q7908" s="328"/>
      <c r="R7908" s="260"/>
      <c r="S7908" s="260"/>
      <c r="T7908" s="260"/>
      <c r="U7908" s="260"/>
      <c r="V7908" s="260"/>
      <c r="W7908" s="260"/>
      <c r="X7908" s="260"/>
      <c r="Y7908" s="260"/>
      <c r="Z7908" s="260"/>
      <c r="AA7908" s="260"/>
      <c r="AB7908" s="260"/>
      <c r="AC7908" s="260"/>
      <c r="AD7908" s="260"/>
      <c r="AE7908" s="260"/>
      <c r="AF7908" s="260"/>
      <c r="AG7908" s="330"/>
    </row>
    <row r="7909" spans="14:33" hidden="1">
      <c r="N7909" s="239"/>
      <c r="O7909" s="225"/>
      <c r="P7909" s="260"/>
      <c r="Q7909" s="328"/>
      <c r="R7909" s="260"/>
      <c r="S7909" s="260"/>
      <c r="T7909" s="260"/>
      <c r="U7909" s="260"/>
      <c r="V7909" s="260"/>
      <c r="W7909" s="260"/>
      <c r="X7909" s="260"/>
      <c r="Y7909" s="260"/>
      <c r="Z7909" s="260"/>
      <c r="AA7909" s="260"/>
      <c r="AB7909" s="260"/>
      <c r="AC7909" s="260"/>
      <c r="AD7909" s="260"/>
      <c r="AE7909" s="260"/>
      <c r="AF7909" s="260"/>
      <c r="AG7909" s="330"/>
    </row>
    <row r="7910" spans="14:33" hidden="1">
      <c r="N7910" s="239"/>
      <c r="O7910" s="225"/>
      <c r="P7910" s="260"/>
      <c r="Q7910" s="328"/>
      <c r="R7910" s="260"/>
      <c r="S7910" s="260"/>
      <c r="T7910" s="260"/>
      <c r="U7910" s="260"/>
      <c r="V7910" s="260"/>
      <c r="W7910" s="260"/>
      <c r="X7910" s="260"/>
      <c r="Y7910" s="260"/>
      <c r="Z7910" s="260"/>
      <c r="AA7910" s="260"/>
      <c r="AB7910" s="260"/>
      <c r="AC7910" s="260"/>
      <c r="AD7910" s="260"/>
      <c r="AE7910" s="260"/>
      <c r="AF7910" s="260"/>
      <c r="AG7910" s="330"/>
    </row>
    <row r="7911" spans="14:33" hidden="1">
      <c r="N7911" s="239"/>
      <c r="O7911" s="225"/>
      <c r="P7911" s="260"/>
      <c r="Q7911" s="328"/>
      <c r="R7911" s="260"/>
      <c r="S7911" s="260"/>
      <c r="T7911" s="260"/>
      <c r="U7911" s="260"/>
      <c r="V7911" s="260"/>
      <c r="W7911" s="260"/>
      <c r="X7911" s="260"/>
      <c r="Y7911" s="260"/>
      <c r="Z7911" s="260"/>
      <c r="AA7911" s="260"/>
      <c r="AB7911" s="260"/>
      <c r="AC7911" s="260"/>
      <c r="AD7911" s="260"/>
      <c r="AE7911" s="260"/>
      <c r="AF7911" s="260"/>
      <c r="AG7911" s="330"/>
    </row>
    <row r="7912" spans="14:33" hidden="1">
      <c r="N7912" s="239"/>
      <c r="O7912" s="225"/>
      <c r="P7912" s="260"/>
      <c r="Q7912" s="328"/>
      <c r="R7912" s="260"/>
      <c r="S7912" s="260"/>
      <c r="T7912" s="260"/>
      <c r="U7912" s="260"/>
      <c r="V7912" s="260"/>
      <c r="W7912" s="260"/>
      <c r="X7912" s="260"/>
      <c r="Y7912" s="260"/>
      <c r="Z7912" s="260"/>
      <c r="AA7912" s="260"/>
      <c r="AB7912" s="260"/>
      <c r="AC7912" s="260"/>
      <c r="AD7912" s="260"/>
      <c r="AE7912" s="260"/>
      <c r="AF7912" s="260"/>
      <c r="AG7912" s="330"/>
    </row>
    <row r="7913" spans="14:33" hidden="1">
      <c r="N7913" s="239"/>
      <c r="O7913" s="225"/>
      <c r="P7913" s="260"/>
      <c r="Q7913" s="328"/>
      <c r="R7913" s="260"/>
      <c r="S7913" s="260"/>
      <c r="T7913" s="260"/>
      <c r="U7913" s="260"/>
      <c r="V7913" s="260"/>
      <c r="W7913" s="260"/>
      <c r="X7913" s="260"/>
      <c r="Y7913" s="260"/>
      <c r="Z7913" s="260"/>
      <c r="AA7913" s="260"/>
      <c r="AB7913" s="260"/>
      <c r="AC7913" s="260"/>
      <c r="AD7913" s="260"/>
      <c r="AE7913" s="260"/>
      <c r="AF7913" s="260"/>
      <c r="AG7913" s="330"/>
    </row>
    <row r="7914" spans="14:33" hidden="1">
      <c r="N7914" s="239"/>
      <c r="O7914" s="225"/>
      <c r="P7914" s="260"/>
      <c r="Q7914" s="328"/>
      <c r="R7914" s="260"/>
      <c r="S7914" s="260"/>
      <c r="T7914" s="260"/>
      <c r="U7914" s="260"/>
      <c r="V7914" s="260"/>
      <c r="W7914" s="260"/>
      <c r="X7914" s="260"/>
      <c r="Y7914" s="260"/>
      <c r="Z7914" s="260"/>
      <c r="AA7914" s="260"/>
      <c r="AB7914" s="260"/>
      <c r="AC7914" s="260"/>
      <c r="AD7914" s="260"/>
      <c r="AE7914" s="260"/>
      <c r="AF7914" s="260"/>
      <c r="AG7914" s="330"/>
    </row>
    <row r="7915" spans="14:33" hidden="1">
      <c r="N7915" s="239"/>
      <c r="O7915" s="225"/>
      <c r="P7915" s="260"/>
      <c r="Q7915" s="328"/>
      <c r="R7915" s="260"/>
      <c r="S7915" s="260"/>
      <c r="T7915" s="260"/>
      <c r="U7915" s="260"/>
      <c r="V7915" s="260"/>
      <c r="W7915" s="260"/>
      <c r="X7915" s="260"/>
      <c r="Y7915" s="260"/>
      <c r="Z7915" s="260"/>
      <c r="AA7915" s="260"/>
      <c r="AB7915" s="260"/>
      <c r="AC7915" s="260"/>
      <c r="AD7915" s="260"/>
      <c r="AE7915" s="260"/>
      <c r="AF7915" s="260"/>
      <c r="AG7915" s="330"/>
    </row>
    <row r="7916" spans="14:33" hidden="1">
      <c r="N7916" s="239"/>
      <c r="O7916" s="225"/>
      <c r="P7916" s="260"/>
      <c r="Q7916" s="328"/>
      <c r="R7916" s="260"/>
      <c r="S7916" s="260"/>
      <c r="T7916" s="260"/>
      <c r="U7916" s="260"/>
      <c r="V7916" s="260"/>
      <c r="W7916" s="260"/>
      <c r="X7916" s="260"/>
      <c r="Y7916" s="260"/>
      <c r="Z7916" s="260"/>
      <c r="AA7916" s="260"/>
      <c r="AB7916" s="260"/>
      <c r="AC7916" s="260"/>
      <c r="AD7916" s="260"/>
      <c r="AE7916" s="260"/>
      <c r="AF7916" s="260"/>
      <c r="AG7916" s="330"/>
    </row>
    <row r="7917" spans="14:33" hidden="1">
      <c r="N7917" s="239"/>
      <c r="O7917" s="225"/>
      <c r="P7917" s="260"/>
      <c r="Q7917" s="328"/>
      <c r="R7917" s="260"/>
      <c r="S7917" s="260"/>
      <c r="T7917" s="260"/>
      <c r="U7917" s="260"/>
      <c r="V7917" s="260"/>
      <c r="W7917" s="260"/>
      <c r="X7917" s="260"/>
      <c r="Y7917" s="260"/>
      <c r="Z7917" s="260"/>
      <c r="AA7917" s="260"/>
      <c r="AB7917" s="260"/>
      <c r="AC7917" s="260"/>
      <c r="AD7917" s="260"/>
      <c r="AE7917" s="260"/>
      <c r="AF7917" s="260"/>
      <c r="AG7917" s="330"/>
    </row>
    <row r="7918" spans="14:33" hidden="1">
      <c r="N7918" s="239"/>
      <c r="O7918" s="225"/>
      <c r="P7918" s="260"/>
      <c r="Q7918" s="328"/>
      <c r="R7918" s="260"/>
      <c r="S7918" s="260"/>
      <c r="T7918" s="260"/>
      <c r="U7918" s="260"/>
      <c r="V7918" s="260"/>
      <c r="W7918" s="260"/>
      <c r="X7918" s="260"/>
      <c r="Y7918" s="260"/>
      <c r="Z7918" s="260"/>
      <c r="AA7918" s="260"/>
      <c r="AB7918" s="260"/>
      <c r="AC7918" s="260"/>
      <c r="AD7918" s="260"/>
      <c r="AE7918" s="260"/>
      <c r="AF7918" s="260"/>
      <c r="AG7918" s="330"/>
    </row>
    <row r="7919" spans="14:33" hidden="1">
      <c r="N7919" s="239"/>
      <c r="O7919" s="225"/>
      <c r="P7919" s="260"/>
      <c r="Q7919" s="328"/>
      <c r="R7919" s="260"/>
      <c r="S7919" s="260"/>
      <c r="T7919" s="260"/>
      <c r="U7919" s="260"/>
      <c r="V7919" s="260"/>
      <c r="W7919" s="260"/>
      <c r="X7919" s="260"/>
      <c r="Y7919" s="260"/>
      <c r="Z7919" s="260"/>
      <c r="AA7919" s="260"/>
      <c r="AB7919" s="260"/>
      <c r="AC7919" s="260"/>
      <c r="AD7919" s="260"/>
      <c r="AE7919" s="260"/>
      <c r="AF7919" s="260"/>
      <c r="AG7919" s="330"/>
    </row>
    <row r="7920" spans="14:33" hidden="1">
      <c r="N7920" s="239"/>
      <c r="O7920" s="225"/>
      <c r="P7920" s="260"/>
      <c r="Q7920" s="328"/>
      <c r="R7920" s="260"/>
      <c r="S7920" s="260"/>
      <c r="T7920" s="260"/>
      <c r="U7920" s="260"/>
      <c r="V7920" s="260"/>
      <c r="W7920" s="260"/>
      <c r="X7920" s="260"/>
      <c r="Y7920" s="260"/>
      <c r="Z7920" s="260"/>
      <c r="AA7920" s="260"/>
      <c r="AB7920" s="260"/>
      <c r="AC7920" s="260"/>
      <c r="AD7920" s="260"/>
      <c r="AE7920" s="260"/>
      <c r="AF7920" s="260"/>
      <c r="AG7920" s="330"/>
    </row>
    <row r="7921" spans="14:33" hidden="1">
      <c r="N7921" s="239"/>
      <c r="O7921" s="225"/>
      <c r="P7921" s="260"/>
      <c r="Q7921" s="328"/>
      <c r="R7921" s="260"/>
      <c r="S7921" s="260"/>
      <c r="T7921" s="260"/>
      <c r="U7921" s="260"/>
      <c r="V7921" s="260"/>
      <c r="W7921" s="260"/>
      <c r="X7921" s="260"/>
      <c r="Y7921" s="260"/>
      <c r="Z7921" s="260"/>
      <c r="AA7921" s="260"/>
      <c r="AB7921" s="260"/>
      <c r="AC7921" s="260"/>
      <c r="AD7921" s="260"/>
      <c r="AE7921" s="260"/>
      <c r="AF7921" s="260"/>
      <c r="AG7921" s="330"/>
    </row>
    <row r="7922" spans="14:33" hidden="1">
      <c r="N7922" s="239"/>
      <c r="O7922" s="225"/>
      <c r="P7922" s="260"/>
      <c r="Q7922" s="328"/>
      <c r="R7922" s="260"/>
      <c r="S7922" s="260"/>
      <c r="T7922" s="260"/>
      <c r="U7922" s="260"/>
      <c r="V7922" s="260"/>
      <c r="W7922" s="260"/>
      <c r="X7922" s="260"/>
      <c r="Y7922" s="260"/>
      <c r="Z7922" s="260"/>
      <c r="AA7922" s="260"/>
      <c r="AB7922" s="260"/>
      <c r="AC7922" s="260"/>
      <c r="AD7922" s="260"/>
      <c r="AE7922" s="260"/>
      <c r="AF7922" s="260"/>
      <c r="AG7922" s="330"/>
    </row>
    <row r="7923" spans="14:33" hidden="1">
      <c r="N7923" s="239"/>
      <c r="O7923" s="225"/>
      <c r="P7923" s="260"/>
      <c r="Q7923" s="328"/>
      <c r="R7923" s="260"/>
      <c r="S7923" s="260"/>
      <c r="T7923" s="260"/>
      <c r="U7923" s="260"/>
      <c r="V7923" s="260"/>
      <c r="W7923" s="260"/>
      <c r="X7923" s="260"/>
      <c r="Y7923" s="260"/>
      <c r="Z7923" s="260"/>
      <c r="AA7923" s="260"/>
      <c r="AB7923" s="260"/>
      <c r="AC7923" s="260"/>
      <c r="AD7923" s="260"/>
      <c r="AE7923" s="260"/>
      <c r="AF7923" s="260"/>
      <c r="AG7923" s="330"/>
    </row>
    <row r="7924" spans="14:33" hidden="1">
      <c r="N7924" s="239"/>
      <c r="O7924" s="225"/>
      <c r="P7924" s="260"/>
      <c r="Q7924" s="328"/>
      <c r="R7924" s="260"/>
      <c r="S7924" s="260"/>
      <c r="T7924" s="260"/>
      <c r="U7924" s="260"/>
      <c r="V7924" s="260"/>
      <c r="W7924" s="260"/>
      <c r="X7924" s="260"/>
      <c r="Y7924" s="260"/>
      <c r="Z7924" s="260"/>
      <c r="AA7924" s="260"/>
      <c r="AB7924" s="260"/>
      <c r="AC7924" s="260"/>
      <c r="AD7924" s="260"/>
      <c r="AE7924" s="260"/>
      <c r="AF7924" s="260"/>
      <c r="AG7924" s="330"/>
    </row>
    <row r="7925" spans="14:33" hidden="1">
      <c r="N7925" s="239"/>
      <c r="O7925" s="225"/>
      <c r="P7925" s="260"/>
      <c r="Q7925" s="328"/>
      <c r="R7925" s="260"/>
      <c r="S7925" s="260"/>
      <c r="T7925" s="260"/>
      <c r="U7925" s="260"/>
      <c r="V7925" s="260"/>
      <c r="W7925" s="260"/>
      <c r="X7925" s="260"/>
      <c r="Y7925" s="260"/>
      <c r="Z7925" s="260"/>
      <c r="AA7925" s="260"/>
      <c r="AB7925" s="260"/>
      <c r="AC7925" s="260"/>
      <c r="AD7925" s="260"/>
      <c r="AE7925" s="260"/>
      <c r="AF7925" s="260"/>
      <c r="AG7925" s="330"/>
    </row>
    <row r="7926" spans="14:33" hidden="1">
      <c r="N7926" s="239"/>
      <c r="O7926" s="225"/>
      <c r="P7926" s="260"/>
      <c r="Q7926" s="328"/>
      <c r="R7926" s="260"/>
      <c r="S7926" s="260"/>
      <c r="T7926" s="260"/>
      <c r="U7926" s="260"/>
      <c r="V7926" s="260"/>
      <c r="W7926" s="260"/>
      <c r="X7926" s="260"/>
      <c r="Y7926" s="260"/>
      <c r="Z7926" s="260"/>
      <c r="AA7926" s="260"/>
      <c r="AB7926" s="260"/>
      <c r="AC7926" s="260"/>
      <c r="AD7926" s="260"/>
      <c r="AE7926" s="260"/>
      <c r="AF7926" s="260"/>
      <c r="AG7926" s="330"/>
    </row>
    <row r="7927" spans="14:33" hidden="1">
      <c r="N7927" s="239"/>
      <c r="O7927" s="225"/>
      <c r="P7927" s="260"/>
      <c r="Q7927" s="328"/>
      <c r="R7927" s="260"/>
      <c r="S7927" s="260"/>
      <c r="T7927" s="260"/>
      <c r="U7927" s="260"/>
      <c r="V7927" s="260"/>
      <c r="W7927" s="260"/>
      <c r="X7927" s="260"/>
      <c r="Y7927" s="260"/>
      <c r="Z7927" s="260"/>
      <c r="AA7927" s="260"/>
      <c r="AB7927" s="260"/>
      <c r="AC7927" s="260"/>
      <c r="AD7927" s="260"/>
      <c r="AE7927" s="260"/>
      <c r="AF7927" s="260"/>
      <c r="AG7927" s="330"/>
    </row>
    <row r="7928" spans="14:33" hidden="1">
      <c r="N7928" s="239"/>
      <c r="O7928" s="225"/>
      <c r="P7928" s="260"/>
      <c r="Q7928" s="328"/>
      <c r="R7928" s="260"/>
      <c r="S7928" s="260"/>
      <c r="T7928" s="260"/>
      <c r="U7928" s="260"/>
      <c r="V7928" s="260"/>
      <c r="W7928" s="260"/>
      <c r="X7928" s="260"/>
      <c r="Y7928" s="260"/>
      <c r="Z7928" s="260"/>
      <c r="AA7928" s="260"/>
      <c r="AB7928" s="260"/>
      <c r="AC7928" s="260"/>
      <c r="AD7928" s="260"/>
      <c r="AE7928" s="260"/>
      <c r="AF7928" s="260"/>
      <c r="AG7928" s="330"/>
    </row>
    <row r="7929" spans="14:33" hidden="1">
      <c r="N7929" s="239"/>
      <c r="O7929" s="225"/>
      <c r="P7929" s="260"/>
      <c r="Q7929" s="328"/>
      <c r="R7929" s="260"/>
      <c r="S7929" s="260"/>
      <c r="T7929" s="260"/>
      <c r="U7929" s="260"/>
      <c r="V7929" s="260"/>
      <c r="W7929" s="260"/>
      <c r="X7929" s="260"/>
      <c r="Y7929" s="260"/>
      <c r="Z7929" s="260"/>
      <c r="AA7929" s="260"/>
      <c r="AB7929" s="260"/>
      <c r="AC7929" s="260"/>
      <c r="AD7929" s="260"/>
      <c r="AE7929" s="260"/>
      <c r="AF7929" s="260"/>
      <c r="AG7929" s="330"/>
    </row>
    <row r="7930" spans="14:33" hidden="1">
      <c r="N7930" s="239"/>
      <c r="O7930" s="225"/>
      <c r="P7930" s="260"/>
      <c r="Q7930" s="328"/>
      <c r="R7930" s="260"/>
      <c r="S7930" s="260"/>
      <c r="T7930" s="260"/>
      <c r="U7930" s="260"/>
      <c r="V7930" s="260"/>
      <c r="W7930" s="260"/>
      <c r="X7930" s="260"/>
      <c r="Y7930" s="260"/>
      <c r="Z7930" s="260"/>
      <c r="AA7930" s="260"/>
      <c r="AB7930" s="260"/>
      <c r="AC7930" s="260"/>
      <c r="AD7930" s="260"/>
      <c r="AE7930" s="260"/>
      <c r="AF7930" s="260"/>
      <c r="AG7930" s="330"/>
    </row>
    <row r="7931" spans="14:33" hidden="1">
      <c r="N7931" s="239"/>
      <c r="O7931" s="225"/>
      <c r="P7931" s="260"/>
      <c r="Q7931" s="328"/>
      <c r="R7931" s="260"/>
      <c r="S7931" s="260"/>
      <c r="T7931" s="260"/>
      <c r="U7931" s="260"/>
      <c r="V7931" s="260"/>
      <c r="W7931" s="260"/>
      <c r="X7931" s="260"/>
      <c r="Y7931" s="260"/>
      <c r="Z7931" s="260"/>
      <c r="AA7931" s="260"/>
      <c r="AB7931" s="260"/>
      <c r="AC7931" s="260"/>
      <c r="AD7931" s="260"/>
      <c r="AE7931" s="260"/>
      <c r="AF7931" s="260"/>
      <c r="AG7931" s="330"/>
    </row>
    <row r="7932" spans="14:33" hidden="1">
      <c r="N7932" s="239"/>
      <c r="O7932" s="225"/>
      <c r="P7932" s="260"/>
      <c r="Q7932" s="328"/>
      <c r="R7932" s="260"/>
      <c r="S7932" s="260"/>
      <c r="T7932" s="260"/>
      <c r="U7932" s="260"/>
      <c r="V7932" s="260"/>
      <c r="W7932" s="260"/>
      <c r="X7932" s="260"/>
      <c r="Y7932" s="260"/>
      <c r="Z7932" s="260"/>
      <c r="AA7932" s="260"/>
      <c r="AB7932" s="260"/>
      <c r="AC7932" s="260"/>
      <c r="AD7932" s="260"/>
      <c r="AE7932" s="260"/>
      <c r="AF7932" s="260"/>
      <c r="AG7932" s="330"/>
    </row>
    <row r="7933" spans="14:33" hidden="1">
      <c r="N7933" s="239"/>
      <c r="O7933" s="225"/>
      <c r="P7933" s="260"/>
      <c r="Q7933" s="328"/>
      <c r="R7933" s="260"/>
      <c r="S7933" s="260"/>
      <c r="T7933" s="260"/>
      <c r="U7933" s="260"/>
      <c r="V7933" s="260"/>
      <c r="W7933" s="260"/>
      <c r="X7933" s="260"/>
      <c r="Y7933" s="260"/>
      <c r="Z7933" s="260"/>
      <c r="AA7933" s="260"/>
      <c r="AB7933" s="260"/>
      <c r="AC7933" s="260"/>
      <c r="AD7933" s="260"/>
      <c r="AE7933" s="260"/>
      <c r="AF7933" s="260"/>
      <c r="AG7933" s="330"/>
    </row>
    <row r="7934" spans="14:33" hidden="1">
      <c r="N7934" s="239"/>
      <c r="O7934" s="225"/>
      <c r="P7934" s="260"/>
      <c r="Q7934" s="328"/>
      <c r="R7934" s="260"/>
      <c r="S7934" s="260"/>
      <c r="T7934" s="260"/>
      <c r="U7934" s="260"/>
      <c r="V7934" s="260"/>
      <c r="W7934" s="260"/>
      <c r="X7934" s="260"/>
      <c r="Y7934" s="260"/>
      <c r="Z7934" s="260"/>
      <c r="AA7934" s="260"/>
      <c r="AB7934" s="260"/>
      <c r="AC7934" s="260"/>
      <c r="AD7934" s="260"/>
      <c r="AE7934" s="260"/>
      <c r="AF7934" s="260"/>
      <c r="AG7934" s="330"/>
    </row>
    <row r="7935" spans="14:33" hidden="1">
      <c r="N7935" s="239"/>
      <c r="O7935" s="225"/>
      <c r="P7935" s="260"/>
      <c r="Q7935" s="328"/>
      <c r="R7935" s="260"/>
      <c r="S7935" s="260"/>
      <c r="T7935" s="260"/>
      <c r="U7935" s="260"/>
      <c r="V7935" s="260"/>
      <c r="W7935" s="260"/>
      <c r="X7935" s="260"/>
      <c r="Y7935" s="260"/>
      <c r="Z7935" s="260"/>
      <c r="AA7935" s="260"/>
      <c r="AB7935" s="260"/>
      <c r="AC7935" s="260"/>
      <c r="AD7935" s="260"/>
      <c r="AE7935" s="260"/>
      <c r="AF7935" s="260"/>
      <c r="AG7935" s="330"/>
    </row>
    <row r="7936" spans="14:33" hidden="1">
      <c r="N7936" s="239"/>
      <c r="O7936" s="225"/>
      <c r="P7936" s="260"/>
      <c r="Q7936" s="328"/>
      <c r="R7936" s="260"/>
      <c r="S7936" s="260"/>
      <c r="T7936" s="260"/>
      <c r="U7936" s="260"/>
      <c r="V7936" s="260"/>
      <c r="W7936" s="260"/>
      <c r="X7936" s="260"/>
      <c r="Y7936" s="260"/>
      <c r="Z7936" s="260"/>
      <c r="AA7936" s="260"/>
      <c r="AB7936" s="260"/>
      <c r="AC7936" s="260"/>
      <c r="AD7936" s="260"/>
      <c r="AE7936" s="260"/>
      <c r="AF7936" s="260"/>
      <c r="AG7936" s="330"/>
    </row>
    <row r="7937" spans="14:33" hidden="1">
      <c r="N7937" s="239"/>
      <c r="O7937" s="225"/>
      <c r="P7937" s="260"/>
      <c r="Q7937" s="328"/>
      <c r="R7937" s="260"/>
      <c r="S7937" s="260"/>
      <c r="T7937" s="260"/>
      <c r="U7937" s="260"/>
      <c r="V7937" s="260"/>
      <c r="W7937" s="260"/>
      <c r="X7937" s="260"/>
      <c r="Y7937" s="260"/>
      <c r="Z7937" s="260"/>
      <c r="AA7937" s="260"/>
      <c r="AB7937" s="260"/>
      <c r="AC7937" s="260"/>
      <c r="AD7937" s="260"/>
      <c r="AE7937" s="260"/>
      <c r="AF7937" s="260"/>
      <c r="AG7937" s="330"/>
    </row>
    <row r="7938" spans="14:33" hidden="1">
      <c r="N7938" s="239"/>
      <c r="O7938" s="225"/>
      <c r="P7938" s="260"/>
      <c r="Q7938" s="328"/>
      <c r="R7938" s="260"/>
      <c r="S7938" s="260"/>
      <c r="T7938" s="260"/>
      <c r="U7938" s="260"/>
      <c r="V7938" s="260"/>
      <c r="W7938" s="260"/>
      <c r="X7938" s="260"/>
      <c r="Y7938" s="260"/>
      <c r="Z7938" s="260"/>
      <c r="AA7938" s="260"/>
      <c r="AB7938" s="260"/>
      <c r="AC7938" s="260"/>
      <c r="AD7938" s="260"/>
      <c r="AE7938" s="260"/>
      <c r="AF7938" s="260"/>
      <c r="AG7938" s="330"/>
    </row>
    <row r="7939" spans="14:33" hidden="1">
      <c r="N7939" s="239"/>
      <c r="O7939" s="225"/>
      <c r="P7939" s="260"/>
      <c r="Q7939" s="328"/>
      <c r="R7939" s="260"/>
      <c r="S7939" s="260"/>
      <c r="T7939" s="260"/>
      <c r="U7939" s="260"/>
      <c r="V7939" s="260"/>
      <c r="W7939" s="260"/>
      <c r="X7939" s="260"/>
      <c r="Y7939" s="260"/>
      <c r="Z7939" s="260"/>
      <c r="AA7939" s="260"/>
      <c r="AB7939" s="260"/>
      <c r="AC7939" s="260"/>
      <c r="AD7939" s="260"/>
      <c r="AE7939" s="260"/>
      <c r="AF7939" s="260"/>
      <c r="AG7939" s="330"/>
    </row>
    <row r="7940" spans="14:33" hidden="1">
      <c r="N7940" s="239"/>
      <c r="O7940" s="225"/>
      <c r="P7940" s="260"/>
      <c r="Q7940" s="328"/>
      <c r="R7940" s="260"/>
      <c r="S7940" s="260"/>
      <c r="T7940" s="260"/>
      <c r="U7940" s="260"/>
      <c r="V7940" s="260"/>
      <c r="W7940" s="260"/>
      <c r="X7940" s="260"/>
      <c r="Y7940" s="260"/>
      <c r="Z7940" s="260"/>
      <c r="AA7940" s="260"/>
      <c r="AB7940" s="260"/>
      <c r="AC7940" s="260"/>
      <c r="AD7940" s="260"/>
      <c r="AE7940" s="260"/>
      <c r="AF7940" s="260"/>
      <c r="AG7940" s="330"/>
    </row>
    <row r="7941" spans="14:33" hidden="1">
      <c r="N7941" s="239"/>
      <c r="O7941" s="225"/>
      <c r="P7941" s="260"/>
      <c r="Q7941" s="328"/>
      <c r="R7941" s="260"/>
      <c r="S7941" s="260"/>
      <c r="T7941" s="260"/>
      <c r="U7941" s="260"/>
      <c r="V7941" s="260"/>
      <c r="W7941" s="260"/>
      <c r="X7941" s="260"/>
      <c r="Y7941" s="260"/>
      <c r="Z7941" s="260"/>
      <c r="AA7941" s="260"/>
      <c r="AB7941" s="260"/>
      <c r="AC7941" s="260"/>
      <c r="AD7941" s="260"/>
      <c r="AE7941" s="260"/>
      <c r="AF7941" s="260"/>
      <c r="AG7941" s="330"/>
    </row>
    <row r="7942" spans="14:33" hidden="1">
      <c r="N7942" s="239"/>
      <c r="O7942" s="225"/>
      <c r="P7942" s="260"/>
      <c r="Q7942" s="328"/>
      <c r="R7942" s="260"/>
      <c r="S7942" s="260"/>
      <c r="T7942" s="260"/>
      <c r="U7942" s="260"/>
      <c r="V7942" s="260"/>
      <c r="W7942" s="260"/>
      <c r="X7942" s="260"/>
      <c r="Y7942" s="260"/>
      <c r="Z7942" s="260"/>
      <c r="AA7942" s="260"/>
      <c r="AB7942" s="260"/>
      <c r="AC7942" s="260"/>
      <c r="AD7942" s="260"/>
      <c r="AE7942" s="260"/>
      <c r="AF7942" s="260"/>
      <c r="AG7942" s="330"/>
    </row>
    <row r="7943" spans="14:33" hidden="1">
      <c r="N7943" s="239"/>
      <c r="O7943" s="225"/>
      <c r="P7943" s="260"/>
      <c r="Q7943" s="328"/>
      <c r="R7943" s="260"/>
      <c r="S7943" s="260"/>
      <c r="T7943" s="260"/>
      <c r="U7943" s="260"/>
      <c r="V7943" s="260"/>
      <c r="W7943" s="260"/>
      <c r="X7943" s="260"/>
      <c r="Y7943" s="260"/>
      <c r="Z7943" s="260"/>
      <c r="AA7943" s="260"/>
      <c r="AB7943" s="260"/>
      <c r="AC7943" s="260"/>
      <c r="AD7943" s="260"/>
      <c r="AE7943" s="260"/>
      <c r="AF7943" s="260"/>
      <c r="AG7943" s="330"/>
    </row>
    <row r="7944" spans="14:33" hidden="1">
      <c r="N7944" s="239"/>
      <c r="O7944" s="225"/>
      <c r="P7944" s="260"/>
      <c r="Q7944" s="328"/>
      <c r="R7944" s="260"/>
      <c r="S7944" s="260"/>
      <c r="T7944" s="260"/>
      <c r="U7944" s="260"/>
      <c r="V7944" s="260"/>
      <c r="W7944" s="260"/>
      <c r="X7944" s="260"/>
      <c r="Y7944" s="260"/>
      <c r="Z7944" s="260"/>
      <c r="AA7944" s="260"/>
      <c r="AB7944" s="260"/>
      <c r="AC7944" s="260"/>
      <c r="AD7944" s="260"/>
      <c r="AE7944" s="260"/>
      <c r="AF7944" s="260"/>
      <c r="AG7944" s="330"/>
    </row>
    <row r="7945" spans="14:33" hidden="1">
      <c r="N7945" s="239"/>
      <c r="O7945" s="225"/>
      <c r="P7945" s="260"/>
      <c r="Q7945" s="328"/>
      <c r="R7945" s="260"/>
      <c r="S7945" s="260"/>
      <c r="T7945" s="260"/>
      <c r="U7945" s="260"/>
      <c r="V7945" s="260"/>
      <c r="W7945" s="260"/>
      <c r="X7945" s="260"/>
      <c r="Y7945" s="260"/>
      <c r="Z7945" s="260"/>
      <c r="AA7945" s="260"/>
      <c r="AB7945" s="260"/>
      <c r="AC7945" s="260"/>
      <c r="AD7945" s="260"/>
      <c r="AE7945" s="260"/>
      <c r="AF7945" s="260"/>
      <c r="AG7945" s="330"/>
    </row>
    <row r="7946" spans="14:33" hidden="1">
      <c r="N7946" s="239"/>
      <c r="O7946" s="225"/>
      <c r="P7946" s="260"/>
      <c r="Q7946" s="328"/>
      <c r="R7946" s="260"/>
      <c r="S7946" s="260"/>
      <c r="T7946" s="260"/>
      <c r="U7946" s="260"/>
      <c r="V7946" s="260"/>
      <c r="W7946" s="260"/>
      <c r="X7946" s="260"/>
      <c r="Y7946" s="260"/>
      <c r="Z7946" s="260"/>
      <c r="AA7946" s="260"/>
      <c r="AB7946" s="260"/>
      <c r="AC7946" s="260"/>
      <c r="AD7946" s="260"/>
      <c r="AE7946" s="260"/>
      <c r="AF7946" s="260"/>
      <c r="AG7946" s="330"/>
    </row>
    <row r="7947" spans="14:33" hidden="1">
      <c r="N7947" s="239"/>
      <c r="O7947" s="225"/>
      <c r="P7947" s="260"/>
      <c r="Q7947" s="328"/>
      <c r="R7947" s="260"/>
      <c r="S7947" s="260"/>
      <c r="T7947" s="260"/>
      <c r="U7947" s="260"/>
      <c r="V7947" s="260"/>
      <c r="W7947" s="260"/>
      <c r="X7947" s="260"/>
      <c r="Y7947" s="260"/>
      <c r="Z7947" s="260"/>
      <c r="AA7947" s="260"/>
      <c r="AB7947" s="260"/>
      <c r="AC7947" s="260"/>
      <c r="AD7947" s="260"/>
      <c r="AE7947" s="260"/>
      <c r="AF7947" s="260"/>
      <c r="AG7947" s="330"/>
    </row>
    <row r="7948" spans="14:33" hidden="1">
      <c r="N7948" s="239"/>
      <c r="O7948" s="225"/>
      <c r="P7948" s="260"/>
      <c r="Q7948" s="328"/>
      <c r="R7948" s="260"/>
      <c r="S7948" s="260"/>
      <c r="T7948" s="260"/>
      <c r="U7948" s="260"/>
      <c r="V7948" s="260"/>
      <c r="W7948" s="260"/>
      <c r="X7948" s="260"/>
      <c r="Y7948" s="260"/>
      <c r="Z7948" s="260"/>
      <c r="AA7948" s="260"/>
      <c r="AB7948" s="260"/>
      <c r="AC7948" s="260"/>
      <c r="AD7948" s="260"/>
      <c r="AE7948" s="260"/>
      <c r="AF7948" s="260"/>
      <c r="AG7948" s="330"/>
    </row>
    <row r="7949" spans="14:33" hidden="1">
      <c r="N7949" s="239"/>
      <c r="O7949" s="225"/>
      <c r="P7949" s="260"/>
      <c r="Q7949" s="328"/>
      <c r="R7949" s="260"/>
      <c r="S7949" s="260"/>
      <c r="T7949" s="260"/>
      <c r="U7949" s="260"/>
      <c r="V7949" s="260"/>
      <c r="W7949" s="260"/>
      <c r="X7949" s="260"/>
      <c r="Y7949" s="260"/>
      <c r="Z7949" s="260"/>
      <c r="AA7949" s="260"/>
      <c r="AB7949" s="260"/>
      <c r="AC7949" s="260"/>
      <c r="AD7949" s="260"/>
      <c r="AE7949" s="260"/>
      <c r="AF7949" s="260"/>
      <c r="AG7949" s="330"/>
    </row>
    <row r="7950" spans="14:33" hidden="1">
      <c r="N7950" s="239"/>
      <c r="O7950" s="225"/>
      <c r="P7950" s="260"/>
      <c r="Q7950" s="328"/>
      <c r="R7950" s="260"/>
      <c r="S7950" s="260"/>
      <c r="T7950" s="260"/>
      <c r="U7950" s="260"/>
      <c r="V7950" s="260"/>
      <c r="W7950" s="260"/>
      <c r="X7950" s="260"/>
      <c r="Y7950" s="260"/>
      <c r="Z7950" s="260"/>
      <c r="AA7950" s="260"/>
      <c r="AB7950" s="260"/>
      <c r="AC7950" s="260"/>
      <c r="AD7950" s="260"/>
      <c r="AE7950" s="260"/>
      <c r="AF7950" s="260"/>
      <c r="AG7950" s="330"/>
    </row>
    <row r="7951" spans="14:33" hidden="1">
      <c r="N7951" s="239"/>
      <c r="O7951" s="225"/>
      <c r="P7951" s="260"/>
      <c r="Q7951" s="328"/>
      <c r="R7951" s="260"/>
      <c r="S7951" s="260"/>
      <c r="T7951" s="260"/>
      <c r="U7951" s="260"/>
      <c r="V7951" s="260"/>
      <c r="W7951" s="260"/>
      <c r="X7951" s="260"/>
      <c r="Y7951" s="260"/>
      <c r="Z7951" s="260"/>
      <c r="AA7951" s="260"/>
      <c r="AB7951" s="260"/>
      <c r="AC7951" s="260"/>
      <c r="AD7951" s="260"/>
      <c r="AE7951" s="260"/>
      <c r="AF7951" s="260"/>
      <c r="AG7951" s="330"/>
    </row>
    <row r="7952" spans="14:33" hidden="1">
      <c r="N7952" s="239"/>
      <c r="O7952" s="225"/>
      <c r="P7952" s="260"/>
      <c r="Q7952" s="328"/>
      <c r="R7952" s="260"/>
      <c r="S7952" s="260"/>
      <c r="T7952" s="260"/>
      <c r="U7952" s="260"/>
      <c r="V7952" s="260"/>
      <c r="W7952" s="260"/>
      <c r="X7952" s="260"/>
      <c r="Y7952" s="260"/>
      <c r="Z7952" s="260"/>
      <c r="AA7952" s="260"/>
      <c r="AB7952" s="260"/>
      <c r="AC7952" s="260"/>
      <c r="AD7952" s="260"/>
      <c r="AE7952" s="260"/>
      <c r="AF7952" s="260"/>
      <c r="AG7952" s="330"/>
    </row>
    <row r="7953" spans="14:33" hidden="1">
      <c r="N7953" s="239"/>
      <c r="O7953" s="225"/>
      <c r="P7953" s="260"/>
      <c r="Q7953" s="328"/>
      <c r="R7953" s="260"/>
      <c r="S7953" s="260"/>
      <c r="T7953" s="260"/>
      <c r="U7953" s="260"/>
      <c r="V7953" s="260"/>
      <c r="W7953" s="260"/>
      <c r="X7953" s="260"/>
      <c r="Y7953" s="260"/>
      <c r="Z7953" s="260"/>
      <c r="AA7953" s="260"/>
      <c r="AB7953" s="260"/>
      <c r="AC7953" s="260"/>
      <c r="AD7953" s="260"/>
      <c r="AE7953" s="260"/>
      <c r="AF7953" s="260"/>
      <c r="AG7953" s="330"/>
    </row>
    <row r="7954" spans="14:33" hidden="1">
      <c r="N7954" s="239"/>
      <c r="O7954" s="225"/>
      <c r="P7954" s="260"/>
      <c r="Q7954" s="328"/>
      <c r="R7954" s="260"/>
      <c r="S7954" s="260"/>
      <c r="T7954" s="260"/>
      <c r="U7954" s="260"/>
      <c r="V7954" s="260"/>
      <c r="W7954" s="260"/>
      <c r="X7954" s="260"/>
      <c r="Y7954" s="260"/>
      <c r="Z7954" s="260"/>
      <c r="AA7954" s="260"/>
      <c r="AB7954" s="260"/>
      <c r="AC7954" s="260"/>
      <c r="AD7954" s="260"/>
      <c r="AE7954" s="260"/>
      <c r="AF7954" s="260"/>
      <c r="AG7954" s="330"/>
    </row>
    <row r="7955" spans="14:33" hidden="1">
      <c r="N7955" s="239"/>
      <c r="O7955" s="225"/>
      <c r="P7955" s="260"/>
      <c r="Q7955" s="328"/>
      <c r="R7955" s="260"/>
      <c r="S7955" s="260"/>
      <c r="T7955" s="260"/>
      <c r="U7955" s="260"/>
      <c r="V7955" s="260"/>
      <c r="W7955" s="260"/>
      <c r="X7955" s="260"/>
      <c r="Y7955" s="260"/>
      <c r="Z7955" s="260"/>
      <c r="AA7955" s="260"/>
      <c r="AB7955" s="260"/>
      <c r="AC7955" s="260"/>
      <c r="AD7955" s="260"/>
      <c r="AE7955" s="260"/>
      <c r="AF7955" s="260"/>
      <c r="AG7955" s="330"/>
    </row>
    <row r="7956" spans="14:33" hidden="1">
      <c r="N7956" s="239"/>
      <c r="O7956" s="225"/>
      <c r="P7956" s="260"/>
      <c r="Q7956" s="328"/>
      <c r="R7956" s="260"/>
      <c r="S7956" s="260"/>
      <c r="T7956" s="260"/>
      <c r="U7956" s="260"/>
      <c r="V7956" s="260"/>
      <c r="W7956" s="260"/>
      <c r="X7956" s="260"/>
      <c r="Y7956" s="260"/>
      <c r="Z7956" s="260"/>
      <c r="AA7956" s="260"/>
      <c r="AB7956" s="260"/>
      <c r="AC7956" s="260"/>
      <c r="AD7956" s="260"/>
      <c r="AE7956" s="260"/>
      <c r="AF7956" s="260"/>
      <c r="AG7956" s="330"/>
    </row>
    <row r="7957" spans="14:33" hidden="1">
      <c r="N7957" s="239"/>
      <c r="O7957" s="225"/>
      <c r="P7957" s="260"/>
      <c r="Q7957" s="328"/>
      <c r="R7957" s="260"/>
      <c r="S7957" s="260"/>
      <c r="T7957" s="260"/>
      <c r="U7957" s="260"/>
      <c r="V7957" s="260"/>
      <c r="W7957" s="260"/>
      <c r="X7957" s="260"/>
      <c r="Y7957" s="260"/>
      <c r="Z7957" s="260"/>
      <c r="AA7957" s="260"/>
      <c r="AB7957" s="260"/>
      <c r="AC7957" s="260"/>
      <c r="AD7957" s="260"/>
      <c r="AE7957" s="260"/>
      <c r="AF7957" s="260"/>
      <c r="AG7957" s="330"/>
    </row>
    <row r="7958" spans="14:33" hidden="1">
      <c r="N7958" s="239"/>
      <c r="O7958" s="225"/>
      <c r="P7958" s="260"/>
      <c r="Q7958" s="328"/>
      <c r="R7958" s="260"/>
      <c r="S7958" s="260"/>
      <c r="T7958" s="260"/>
      <c r="U7958" s="260"/>
      <c r="V7958" s="260"/>
      <c r="W7958" s="260"/>
      <c r="X7958" s="260"/>
      <c r="Y7958" s="260"/>
      <c r="Z7958" s="260"/>
      <c r="AA7958" s="260"/>
      <c r="AB7958" s="260"/>
      <c r="AC7958" s="260"/>
      <c r="AD7958" s="260"/>
      <c r="AE7958" s="260"/>
      <c r="AF7958" s="260"/>
      <c r="AG7958" s="330"/>
    </row>
    <row r="7959" spans="14:33" hidden="1">
      <c r="N7959" s="239"/>
      <c r="O7959" s="225"/>
      <c r="P7959" s="260"/>
      <c r="Q7959" s="328"/>
      <c r="R7959" s="260"/>
      <c r="S7959" s="260"/>
      <c r="T7959" s="260"/>
      <c r="U7959" s="260"/>
      <c r="V7959" s="260"/>
      <c r="W7959" s="260"/>
      <c r="X7959" s="260"/>
      <c r="Y7959" s="260"/>
      <c r="Z7959" s="260"/>
      <c r="AA7959" s="260"/>
      <c r="AB7959" s="260"/>
      <c r="AC7959" s="260"/>
      <c r="AD7959" s="260"/>
      <c r="AE7959" s="260"/>
      <c r="AF7959" s="260"/>
      <c r="AG7959" s="330"/>
    </row>
    <row r="7960" spans="14:33" hidden="1">
      <c r="N7960" s="239"/>
      <c r="O7960" s="225"/>
      <c r="P7960" s="260"/>
      <c r="Q7960" s="328"/>
      <c r="R7960" s="260"/>
      <c r="S7960" s="260"/>
      <c r="T7960" s="260"/>
      <c r="U7960" s="260"/>
      <c r="V7960" s="260"/>
      <c r="W7960" s="260"/>
      <c r="X7960" s="260"/>
      <c r="Y7960" s="260"/>
      <c r="Z7960" s="260"/>
      <c r="AA7960" s="260"/>
      <c r="AB7960" s="260"/>
      <c r="AC7960" s="260"/>
      <c r="AD7960" s="260"/>
      <c r="AE7960" s="260"/>
      <c r="AF7960" s="260"/>
      <c r="AG7960" s="330"/>
    </row>
    <row r="7961" spans="14:33" hidden="1">
      <c r="N7961" s="239"/>
      <c r="O7961" s="225"/>
      <c r="P7961" s="260"/>
      <c r="Q7961" s="328"/>
      <c r="R7961" s="260"/>
      <c r="S7961" s="260"/>
      <c r="T7961" s="260"/>
      <c r="U7961" s="260"/>
      <c r="V7961" s="260"/>
      <c r="W7961" s="260"/>
      <c r="X7961" s="260"/>
      <c r="Y7961" s="260"/>
      <c r="Z7961" s="260"/>
      <c r="AA7961" s="260"/>
      <c r="AB7961" s="260"/>
      <c r="AC7961" s="260"/>
      <c r="AD7961" s="260"/>
      <c r="AE7961" s="260"/>
      <c r="AF7961" s="260"/>
      <c r="AG7961" s="330"/>
    </row>
    <row r="7962" spans="14:33" hidden="1">
      <c r="N7962" s="239"/>
      <c r="O7962" s="225"/>
      <c r="P7962" s="260"/>
      <c r="Q7962" s="328"/>
      <c r="R7962" s="260"/>
      <c r="S7962" s="260"/>
      <c r="T7962" s="260"/>
      <c r="U7962" s="260"/>
      <c r="V7962" s="260"/>
      <c r="W7962" s="260"/>
      <c r="X7962" s="260"/>
      <c r="Y7962" s="260"/>
      <c r="Z7962" s="260"/>
      <c r="AA7962" s="260"/>
      <c r="AB7962" s="260"/>
      <c r="AC7962" s="260"/>
      <c r="AD7962" s="260"/>
      <c r="AE7962" s="260"/>
      <c r="AF7962" s="260"/>
      <c r="AG7962" s="330"/>
    </row>
    <row r="7963" spans="14:33" hidden="1">
      <c r="N7963" s="239"/>
      <c r="O7963" s="225"/>
      <c r="P7963" s="260"/>
      <c r="Q7963" s="328"/>
      <c r="R7963" s="260"/>
      <c r="S7963" s="260"/>
      <c r="T7963" s="260"/>
      <c r="U7963" s="260"/>
      <c r="V7963" s="260"/>
      <c r="W7963" s="260"/>
      <c r="X7963" s="260"/>
      <c r="Y7963" s="260"/>
      <c r="Z7963" s="260"/>
      <c r="AA7963" s="260"/>
      <c r="AB7963" s="260"/>
      <c r="AC7963" s="260"/>
      <c r="AD7963" s="260"/>
      <c r="AE7963" s="260"/>
      <c r="AF7963" s="260"/>
      <c r="AG7963" s="330"/>
    </row>
    <row r="7964" spans="14:33" hidden="1">
      <c r="N7964" s="239"/>
      <c r="O7964" s="225"/>
      <c r="P7964" s="260"/>
      <c r="Q7964" s="328"/>
      <c r="R7964" s="260"/>
      <c r="S7964" s="260"/>
      <c r="T7964" s="260"/>
      <c r="U7964" s="260"/>
      <c r="V7964" s="260"/>
      <c r="W7964" s="260"/>
      <c r="X7964" s="260"/>
      <c r="Y7964" s="260"/>
      <c r="Z7964" s="260"/>
      <c r="AA7964" s="260"/>
      <c r="AB7964" s="260"/>
      <c r="AC7964" s="260"/>
      <c r="AD7964" s="260"/>
      <c r="AE7964" s="260"/>
      <c r="AF7964" s="260"/>
      <c r="AG7964" s="330"/>
    </row>
    <row r="7965" spans="14:33" hidden="1">
      <c r="N7965" s="239"/>
      <c r="O7965" s="225"/>
      <c r="P7965" s="260"/>
      <c r="Q7965" s="328"/>
      <c r="R7965" s="260"/>
      <c r="S7965" s="260"/>
      <c r="T7965" s="260"/>
      <c r="U7965" s="260"/>
      <c r="V7965" s="260"/>
      <c r="W7965" s="260"/>
      <c r="X7965" s="260"/>
      <c r="Y7965" s="260"/>
      <c r="Z7965" s="260"/>
      <c r="AA7965" s="260"/>
      <c r="AB7965" s="260"/>
      <c r="AC7965" s="260"/>
      <c r="AD7965" s="260"/>
      <c r="AE7965" s="260"/>
      <c r="AF7965" s="260"/>
      <c r="AG7965" s="330"/>
    </row>
    <row r="7966" spans="14:33" hidden="1">
      <c r="N7966" s="239"/>
      <c r="O7966" s="225"/>
      <c r="P7966" s="260"/>
      <c r="Q7966" s="328"/>
      <c r="R7966" s="260"/>
      <c r="S7966" s="260"/>
      <c r="T7966" s="260"/>
      <c r="U7966" s="260"/>
      <c r="V7966" s="260"/>
      <c r="W7966" s="260"/>
      <c r="X7966" s="260"/>
      <c r="Y7966" s="260"/>
      <c r="Z7966" s="260"/>
      <c r="AA7966" s="260"/>
      <c r="AB7966" s="260"/>
      <c r="AC7966" s="260"/>
      <c r="AD7966" s="260"/>
      <c r="AE7966" s="260"/>
      <c r="AF7966" s="260"/>
      <c r="AG7966" s="330"/>
    </row>
    <row r="7967" spans="14:33" hidden="1">
      <c r="N7967" s="239"/>
      <c r="O7967" s="225"/>
      <c r="P7967" s="260"/>
      <c r="Q7967" s="328"/>
      <c r="R7967" s="260"/>
      <c r="S7967" s="260"/>
      <c r="T7967" s="260"/>
      <c r="U7967" s="260"/>
      <c r="V7967" s="260"/>
      <c r="W7967" s="260"/>
      <c r="X7967" s="260"/>
      <c r="Y7967" s="260"/>
      <c r="Z7967" s="260"/>
      <c r="AA7967" s="260"/>
      <c r="AB7967" s="260"/>
      <c r="AC7967" s="260"/>
      <c r="AD7967" s="260"/>
      <c r="AE7967" s="260"/>
      <c r="AF7967" s="260"/>
      <c r="AG7967" s="330"/>
    </row>
    <row r="7968" spans="14:33" hidden="1">
      <c r="N7968" s="239"/>
      <c r="O7968" s="225"/>
      <c r="P7968" s="260"/>
      <c r="Q7968" s="328"/>
      <c r="R7968" s="260"/>
      <c r="S7968" s="260"/>
      <c r="T7968" s="260"/>
      <c r="U7968" s="260"/>
      <c r="V7968" s="260"/>
      <c r="W7968" s="260"/>
      <c r="X7968" s="260"/>
      <c r="Y7968" s="260"/>
      <c r="Z7968" s="260"/>
      <c r="AA7968" s="260"/>
      <c r="AB7968" s="260"/>
      <c r="AC7968" s="260"/>
      <c r="AD7968" s="260"/>
      <c r="AE7968" s="260"/>
      <c r="AF7968" s="260"/>
      <c r="AG7968" s="330"/>
    </row>
    <row r="7969" spans="14:33" hidden="1">
      <c r="N7969" s="239"/>
      <c r="O7969" s="225"/>
      <c r="P7969" s="260"/>
      <c r="Q7969" s="328"/>
      <c r="R7969" s="260"/>
      <c r="S7969" s="260"/>
      <c r="T7969" s="260"/>
      <c r="U7969" s="260"/>
      <c r="V7969" s="260"/>
      <c r="W7969" s="260"/>
      <c r="X7969" s="260"/>
      <c r="Y7969" s="260"/>
      <c r="Z7969" s="260"/>
      <c r="AA7969" s="260"/>
      <c r="AB7969" s="260"/>
      <c r="AC7969" s="260"/>
      <c r="AD7969" s="260"/>
      <c r="AE7969" s="260"/>
      <c r="AF7969" s="260"/>
      <c r="AG7969" s="330"/>
    </row>
    <row r="7970" spans="14:33" hidden="1">
      <c r="N7970" s="239"/>
      <c r="O7970" s="225"/>
      <c r="P7970" s="260"/>
      <c r="Q7970" s="328"/>
      <c r="R7970" s="260"/>
      <c r="S7970" s="260"/>
      <c r="T7970" s="260"/>
      <c r="U7970" s="260"/>
      <c r="V7970" s="260"/>
      <c r="W7970" s="260"/>
      <c r="X7970" s="260"/>
      <c r="Y7970" s="260"/>
      <c r="Z7970" s="260"/>
      <c r="AA7970" s="260"/>
      <c r="AB7970" s="260"/>
      <c r="AC7970" s="260"/>
      <c r="AD7970" s="260"/>
      <c r="AE7970" s="260"/>
      <c r="AF7970" s="260"/>
      <c r="AG7970" s="330"/>
    </row>
    <row r="7971" spans="14:33" hidden="1">
      <c r="N7971" s="239"/>
      <c r="O7971" s="225"/>
      <c r="P7971" s="260"/>
      <c r="Q7971" s="328"/>
      <c r="R7971" s="260"/>
      <c r="S7971" s="260"/>
      <c r="T7971" s="260"/>
      <c r="U7971" s="260"/>
      <c r="V7971" s="260"/>
      <c r="W7971" s="260"/>
      <c r="X7971" s="260"/>
      <c r="Y7971" s="260"/>
      <c r="Z7971" s="260"/>
      <c r="AA7971" s="260"/>
      <c r="AB7971" s="260"/>
      <c r="AC7971" s="260"/>
      <c r="AD7971" s="260"/>
      <c r="AE7971" s="260"/>
      <c r="AF7971" s="260"/>
      <c r="AG7971" s="330"/>
    </row>
    <row r="7972" spans="14:33" hidden="1">
      <c r="N7972" s="239"/>
      <c r="O7972" s="225"/>
      <c r="P7972" s="260"/>
      <c r="Q7972" s="328"/>
      <c r="R7972" s="260"/>
      <c r="S7972" s="260"/>
      <c r="T7972" s="260"/>
      <c r="U7972" s="260"/>
      <c r="V7972" s="260"/>
      <c r="W7972" s="260"/>
      <c r="X7972" s="260"/>
      <c r="Y7972" s="260"/>
      <c r="Z7972" s="260"/>
      <c r="AA7972" s="260"/>
      <c r="AB7972" s="260"/>
      <c r="AC7972" s="260"/>
      <c r="AD7972" s="260"/>
      <c r="AE7972" s="260"/>
      <c r="AF7972" s="260"/>
      <c r="AG7972" s="330"/>
    </row>
    <row r="7973" spans="14:33" hidden="1">
      <c r="N7973" s="239"/>
      <c r="O7973" s="225"/>
      <c r="P7973" s="260"/>
      <c r="Q7973" s="328"/>
      <c r="R7973" s="260"/>
      <c r="S7973" s="260"/>
      <c r="T7973" s="260"/>
      <c r="U7973" s="260"/>
      <c r="V7973" s="260"/>
      <c r="W7973" s="260"/>
      <c r="X7973" s="260"/>
      <c r="Y7973" s="260"/>
      <c r="Z7973" s="260"/>
      <c r="AA7973" s="260"/>
      <c r="AB7973" s="260"/>
      <c r="AC7973" s="260"/>
      <c r="AD7973" s="260"/>
      <c r="AE7973" s="260"/>
      <c r="AF7973" s="260"/>
      <c r="AG7973" s="330"/>
    </row>
    <row r="7974" spans="14:33" hidden="1">
      <c r="N7974" s="239"/>
      <c r="O7974" s="225"/>
      <c r="P7974" s="260"/>
      <c r="Q7974" s="328"/>
      <c r="R7974" s="260"/>
      <c r="S7974" s="260"/>
      <c r="T7974" s="260"/>
      <c r="U7974" s="260"/>
      <c r="V7974" s="260"/>
      <c r="W7974" s="260"/>
      <c r="X7974" s="260"/>
      <c r="Y7974" s="260"/>
      <c r="Z7974" s="260"/>
      <c r="AA7974" s="260"/>
      <c r="AB7974" s="260"/>
      <c r="AC7974" s="260"/>
      <c r="AD7974" s="260"/>
      <c r="AE7974" s="260"/>
      <c r="AF7974" s="260"/>
      <c r="AG7974" s="330"/>
    </row>
    <row r="7975" spans="14:33" hidden="1">
      <c r="N7975" s="239"/>
      <c r="O7975" s="225"/>
      <c r="P7975" s="260"/>
      <c r="Q7975" s="328"/>
      <c r="R7975" s="260"/>
      <c r="S7975" s="260"/>
      <c r="T7975" s="260"/>
      <c r="U7975" s="260"/>
      <c r="V7975" s="260"/>
      <c r="W7975" s="260"/>
      <c r="X7975" s="260"/>
      <c r="Y7975" s="260"/>
      <c r="Z7975" s="260"/>
      <c r="AA7975" s="260"/>
      <c r="AB7975" s="260"/>
      <c r="AC7975" s="260"/>
      <c r="AD7975" s="260"/>
      <c r="AE7975" s="260"/>
      <c r="AF7975" s="260"/>
      <c r="AG7975" s="330"/>
    </row>
    <row r="7976" spans="14:33" hidden="1">
      <c r="N7976" s="239"/>
      <c r="O7976" s="225"/>
      <c r="P7976" s="260"/>
      <c r="Q7976" s="328"/>
      <c r="R7976" s="260"/>
      <c r="S7976" s="260"/>
      <c r="T7976" s="260"/>
      <c r="U7976" s="260"/>
      <c r="V7976" s="260"/>
      <c r="W7976" s="260"/>
      <c r="X7976" s="260"/>
      <c r="Y7976" s="260"/>
      <c r="Z7976" s="260"/>
      <c r="AA7976" s="260"/>
      <c r="AB7976" s="260"/>
      <c r="AC7976" s="260"/>
      <c r="AD7976" s="260"/>
      <c r="AE7976" s="260"/>
      <c r="AF7976" s="260"/>
      <c r="AG7976" s="330"/>
    </row>
    <row r="7977" spans="14:33" hidden="1">
      <c r="N7977" s="239"/>
      <c r="O7977" s="225"/>
      <c r="P7977" s="260"/>
      <c r="Q7977" s="328"/>
      <c r="R7977" s="260"/>
      <c r="S7977" s="260"/>
      <c r="T7977" s="260"/>
      <c r="U7977" s="260"/>
      <c r="V7977" s="260"/>
      <c r="W7977" s="260"/>
      <c r="X7977" s="260"/>
      <c r="Y7977" s="260"/>
      <c r="Z7977" s="260"/>
      <c r="AA7977" s="260"/>
      <c r="AB7977" s="260"/>
      <c r="AC7977" s="260"/>
      <c r="AD7977" s="260"/>
      <c r="AE7977" s="260"/>
      <c r="AF7977" s="260"/>
      <c r="AG7977" s="330"/>
    </row>
    <row r="7978" spans="14:33" hidden="1">
      <c r="N7978" s="239"/>
      <c r="O7978" s="225"/>
      <c r="P7978" s="260"/>
      <c r="Q7978" s="328"/>
      <c r="R7978" s="260"/>
      <c r="S7978" s="260"/>
      <c r="T7978" s="260"/>
      <c r="U7978" s="260"/>
      <c r="V7978" s="260"/>
      <c r="W7978" s="260"/>
      <c r="X7978" s="260"/>
      <c r="Y7978" s="260"/>
      <c r="Z7978" s="260"/>
      <c r="AA7978" s="260"/>
      <c r="AB7978" s="260"/>
      <c r="AC7978" s="260"/>
      <c r="AD7978" s="260"/>
      <c r="AE7978" s="260"/>
      <c r="AF7978" s="260"/>
      <c r="AG7978" s="330"/>
    </row>
    <row r="7979" spans="14:33" hidden="1">
      <c r="N7979" s="239"/>
      <c r="O7979" s="225"/>
      <c r="P7979" s="260"/>
      <c r="Q7979" s="328"/>
      <c r="R7979" s="260"/>
      <c r="S7979" s="260"/>
      <c r="T7979" s="260"/>
      <c r="U7979" s="260"/>
      <c r="V7979" s="260"/>
      <c r="W7979" s="260"/>
      <c r="X7979" s="260"/>
      <c r="Y7979" s="260"/>
      <c r="Z7979" s="260"/>
      <c r="AA7979" s="260"/>
      <c r="AB7979" s="260"/>
      <c r="AC7979" s="260"/>
      <c r="AD7979" s="260"/>
      <c r="AE7979" s="260"/>
      <c r="AF7979" s="260"/>
      <c r="AG7979" s="330"/>
    </row>
    <row r="7980" spans="14:33" hidden="1">
      <c r="N7980" s="239"/>
      <c r="O7980" s="225"/>
      <c r="P7980" s="260"/>
      <c r="Q7980" s="328"/>
      <c r="R7980" s="260"/>
      <c r="S7980" s="260"/>
      <c r="T7980" s="260"/>
      <c r="U7980" s="260"/>
      <c r="V7980" s="260"/>
      <c r="W7980" s="260"/>
      <c r="X7980" s="260"/>
      <c r="Y7980" s="260"/>
      <c r="Z7980" s="260"/>
      <c r="AA7980" s="260"/>
      <c r="AB7980" s="260"/>
      <c r="AC7980" s="260"/>
      <c r="AD7980" s="260"/>
      <c r="AE7980" s="260"/>
      <c r="AF7980" s="260"/>
      <c r="AG7980" s="330"/>
    </row>
    <row r="7981" spans="14:33" hidden="1">
      <c r="N7981" s="239"/>
      <c r="O7981" s="225"/>
      <c r="P7981" s="260"/>
      <c r="Q7981" s="328"/>
      <c r="R7981" s="260"/>
      <c r="S7981" s="260"/>
      <c r="T7981" s="260"/>
      <c r="U7981" s="260"/>
      <c r="V7981" s="260"/>
      <c r="W7981" s="260"/>
      <c r="X7981" s="260"/>
      <c r="Y7981" s="260"/>
      <c r="Z7981" s="260"/>
      <c r="AA7981" s="260"/>
      <c r="AB7981" s="260"/>
      <c r="AC7981" s="260"/>
      <c r="AD7981" s="260"/>
      <c r="AE7981" s="260"/>
      <c r="AF7981" s="260"/>
      <c r="AG7981" s="330"/>
    </row>
    <row r="7982" spans="14:33" hidden="1">
      <c r="N7982" s="239"/>
      <c r="O7982" s="225"/>
      <c r="P7982" s="260"/>
      <c r="Q7982" s="328"/>
      <c r="R7982" s="260"/>
      <c r="S7982" s="260"/>
      <c r="T7982" s="260"/>
      <c r="U7982" s="260"/>
      <c r="V7982" s="260"/>
      <c r="W7982" s="260"/>
      <c r="X7982" s="260"/>
      <c r="Y7982" s="260"/>
      <c r="Z7982" s="260"/>
      <c r="AA7982" s="260"/>
      <c r="AB7982" s="260"/>
      <c r="AC7982" s="260"/>
      <c r="AD7982" s="260"/>
      <c r="AE7982" s="260"/>
      <c r="AF7982" s="260"/>
      <c r="AG7982" s="330"/>
    </row>
    <row r="7983" spans="14:33" hidden="1">
      <c r="N7983" s="239"/>
      <c r="O7983" s="225"/>
      <c r="P7983" s="260"/>
      <c r="Q7983" s="328"/>
      <c r="R7983" s="260"/>
      <c r="S7983" s="260"/>
      <c r="T7983" s="260"/>
      <c r="U7983" s="260"/>
      <c r="V7983" s="260"/>
      <c r="W7983" s="260"/>
      <c r="X7983" s="260"/>
      <c r="Y7983" s="260"/>
      <c r="Z7983" s="260"/>
      <c r="AA7983" s="260"/>
      <c r="AB7983" s="260"/>
      <c r="AC7983" s="260"/>
      <c r="AD7983" s="260"/>
      <c r="AE7983" s="260"/>
      <c r="AF7983" s="260"/>
      <c r="AG7983" s="330"/>
    </row>
    <row r="7984" spans="14:33" hidden="1">
      <c r="N7984" s="239"/>
      <c r="O7984" s="225"/>
      <c r="P7984" s="260"/>
      <c r="Q7984" s="328"/>
      <c r="R7984" s="260"/>
      <c r="S7984" s="260"/>
      <c r="T7984" s="260"/>
      <c r="U7984" s="260"/>
      <c r="V7984" s="260"/>
      <c r="W7984" s="260"/>
      <c r="X7984" s="260"/>
      <c r="Y7984" s="260"/>
      <c r="Z7984" s="260"/>
      <c r="AA7984" s="260"/>
      <c r="AB7984" s="260"/>
      <c r="AC7984" s="260"/>
      <c r="AD7984" s="260"/>
      <c r="AE7984" s="260"/>
      <c r="AF7984" s="260"/>
      <c r="AG7984" s="330"/>
    </row>
    <row r="7985" spans="14:33" hidden="1">
      <c r="N7985" s="239"/>
      <c r="O7985" s="225"/>
      <c r="P7985" s="260"/>
      <c r="Q7985" s="328"/>
      <c r="R7985" s="260"/>
      <c r="S7985" s="260"/>
      <c r="T7985" s="260"/>
      <c r="U7985" s="260"/>
      <c r="V7985" s="260"/>
      <c r="W7985" s="260"/>
      <c r="X7985" s="260"/>
      <c r="Y7985" s="260"/>
      <c r="Z7985" s="260"/>
      <c r="AA7985" s="260"/>
      <c r="AB7985" s="260"/>
      <c r="AC7985" s="260"/>
      <c r="AD7985" s="260"/>
      <c r="AE7985" s="260"/>
      <c r="AF7985" s="260"/>
      <c r="AG7985" s="330"/>
    </row>
    <row r="7986" spans="14:33" hidden="1">
      <c r="N7986" s="239"/>
      <c r="O7986" s="225"/>
      <c r="P7986" s="260"/>
      <c r="Q7986" s="328"/>
      <c r="R7986" s="260"/>
      <c r="S7986" s="260"/>
      <c r="T7986" s="260"/>
      <c r="U7986" s="260"/>
      <c r="V7986" s="260"/>
      <c r="W7986" s="260"/>
      <c r="X7986" s="260"/>
      <c r="Y7986" s="260"/>
      <c r="Z7986" s="260"/>
      <c r="AA7986" s="260"/>
      <c r="AB7986" s="260"/>
      <c r="AC7986" s="260"/>
      <c r="AD7986" s="260"/>
      <c r="AE7986" s="260"/>
      <c r="AF7986" s="260"/>
      <c r="AG7986" s="330"/>
    </row>
    <row r="7987" spans="14:33" hidden="1">
      <c r="N7987" s="239"/>
      <c r="O7987" s="225"/>
      <c r="P7987" s="260"/>
      <c r="Q7987" s="328"/>
      <c r="R7987" s="260"/>
      <c r="S7987" s="260"/>
      <c r="T7987" s="260"/>
      <c r="U7987" s="260"/>
      <c r="V7987" s="260"/>
      <c r="W7987" s="260"/>
      <c r="X7987" s="260"/>
      <c r="Y7987" s="260"/>
      <c r="Z7987" s="260"/>
      <c r="AA7987" s="260"/>
      <c r="AB7987" s="260"/>
      <c r="AC7987" s="260"/>
      <c r="AD7987" s="260"/>
      <c r="AE7987" s="260"/>
      <c r="AF7987" s="260"/>
      <c r="AG7987" s="330"/>
    </row>
    <row r="7988" spans="14:33" hidden="1">
      <c r="N7988" s="239"/>
      <c r="O7988" s="225"/>
      <c r="P7988" s="260"/>
      <c r="Q7988" s="328"/>
      <c r="R7988" s="260"/>
      <c r="S7988" s="260"/>
      <c r="T7988" s="260"/>
      <c r="U7988" s="260"/>
      <c r="V7988" s="260"/>
      <c r="W7988" s="260"/>
      <c r="X7988" s="260"/>
      <c r="Y7988" s="260"/>
      <c r="Z7988" s="260"/>
      <c r="AA7988" s="260"/>
      <c r="AB7988" s="260"/>
      <c r="AC7988" s="260"/>
      <c r="AD7988" s="260"/>
      <c r="AE7988" s="260"/>
      <c r="AF7988" s="260"/>
      <c r="AG7988" s="330"/>
    </row>
    <row r="7989" spans="14:33" hidden="1">
      <c r="N7989" s="239"/>
      <c r="O7989" s="225"/>
      <c r="P7989" s="260"/>
      <c r="Q7989" s="328"/>
      <c r="R7989" s="260"/>
      <c r="S7989" s="260"/>
      <c r="T7989" s="260"/>
      <c r="U7989" s="260"/>
      <c r="V7989" s="260"/>
      <c r="W7989" s="260"/>
      <c r="X7989" s="260"/>
      <c r="Y7989" s="260"/>
      <c r="Z7989" s="260"/>
      <c r="AA7989" s="260"/>
      <c r="AB7989" s="260"/>
      <c r="AC7989" s="260"/>
      <c r="AD7989" s="260"/>
      <c r="AE7989" s="260"/>
      <c r="AF7989" s="260"/>
      <c r="AG7989" s="330"/>
    </row>
    <row r="7990" spans="14:33" hidden="1">
      <c r="N7990" s="239"/>
      <c r="O7990" s="225"/>
      <c r="P7990" s="260"/>
      <c r="Q7990" s="328"/>
      <c r="R7990" s="260"/>
      <c r="S7990" s="260"/>
      <c r="T7990" s="260"/>
      <c r="U7990" s="260"/>
      <c r="V7990" s="260"/>
      <c r="W7990" s="260"/>
      <c r="X7990" s="260"/>
      <c r="Y7990" s="260"/>
      <c r="Z7990" s="260"/>
      <c r="AA7990" s="260"/>
      <c r="AB7990" s="260"/>
      <c r="AC7990" s="260"/>
      <c r="AD7990" s="260"/>
      <c r="AE7990" s="260"/>
      <c r="AF7990" s="260"/>
      <c r="AG7990" s="330"/>
    </row>
    <row r="7991" spans="14:33" hidden="1">
      <c r="N7991" s="239"/>
      <c r="O7991" s="225"/>
      <c r="P7991" s="260"/>
      <c r="Q7991" s="328"/>
      <c r="R7991" s="260"/>
      <c r="S7991" s="260"/>
      <c r="T7991" s="260"/>
      <c r="U7991" s="260"/>
      <c r="V7991" s="260"/>
      <c r="W7991" s="260"/>
      <c r="X7991" s="260"/>
      <c r="Y7991" s="260"/>
      <c r="Z7991" s="260"/>
      <c r="AA7991" s="260"/>
      <c r="AB7991" s="260"/>
      <c r="AC7991" s="260"/>
      <c r="AD7991" s="260"/>
      <c r="AE7991" s="260"/>
      <c r="AF7991" s="260"/>
      <c r="AG7991" s="330"/>
    </row>
    <row r="7992" spans="14:33" hidden="1">
      <c r="N7992" s="239"/>
      <c r="O7992" s="225"/>
      <c r="P7992" s="260"/>
      <c r="Q7992" s="328"/>
      <c r="R7992" s="260"/>
      <c r="S7992" s="260"/>
      <c r="T7992" s="260"/>
      <c r="U7992" s="260"/>
      <c r="V7992" s="260"/>
      <c r="W7992" s="260"/>
      <c r="X7992" s="260"/>
      <c r="Y7992" s="260"/>
      <c r="Z7992" s="260"/>
      <c r="AA7992" s="260"/>
      <c r="AB7992" s="260"/>
      <c r="AC7992" s="260"/>
      <c r="AD7992" s="260"/>
      <c r="AE7992" s="260"/>
      <c r="AF7992" s="260"/>
      <c r="AG7992" s="330"/>
    </row>
    <row r="7993" spans="14:33" hidden="1">
      <c r="N7993" s="239"/>
      <c r="O7993" s="225"/>
      <c r="P7993" s="260"/>
      <c r="Q7993" s="328"/>
      <c r="R7993" s="260"/>
      <c r="S7993" s="260"/>
      <c r="T7993" s="260"/>
      <c r="U7993" s="260"/>
      <c r="V7993" s="260"/>
      <c r="W7993" s="260"/>
      <c r="X7993" s="260"/>
      <c r="Y7993" s="260"/>
      <c r="Z7993" s="260"/>
      <c r="AA7993" s="260"/>
      <c r="AB7993" s="260"/>
      <c r="AC7993" s="260"/>
      <c r="AD7993" s="260"/>
      <c r="AE7993" s="260"/>
      <c r="AF7993" s="260"/>
      <c r="AG7993" s="330"/>
    </row>
    <row r="7994" spans="14:33" hidden="1">
      <c r="N7994" s="239"/>
      <c r="O7994" s="225"/>
      <c r="P7994" s="260"/>
      <c r="Q7994" s="328"/>
      <c r="R7994" s="260"/>
      <c r="S7994" s="260"/>
      <c r="T7994" s="260"/>
      <c r="U7994" s="260"/>
      <c r="V7994" s="260"/>
      <c r="W7994" s="260"/>
      <c r="X7994" s="260"/>
      <c r="Y7994" s="260"/>
      <c r="Z7994" s="260"/>
      <c r="AA7994" s="260"/>
      <c r="AB7994" s="260"/>
      <c r="AC7994" s="260"/>
      <c r="AD7994" s="260"/>
      <c r="AE7994" s="260"/>
      <c r="AF7994" s="260"/>
      <c r="AG7994" s="330"/>
    </row>
    <row r="7995" spans="14:33" hidden="1">
      <c r="N7995" s="239"/>
      <c r="O7995" s="225"/>
      <c r="P7995" s="260"/>
      <c r="Q7995" s="328"/>
      <c r="R7995" s="260"/>
      <c r="S7995" s="260"/>
      <c r="T7995" s="260"/>
      <c r="U7995" s="260"/>
      <c r="V7995" s="260"/>
      <c r="W7995" s="260"/>
      <c r="X7995" s="260"/>
      <c r="Y7995" s="260"/>
      <c r="Z7995" s="260"/>
      <c r="AA7995" s="260"/>
      <c r="AB7995" s="260"/>
      <c r="AC7995" s="260"/>
      <c r="AD7995" s="260"/>
      <c r="AE7995" s="260"/>
      <c r="AF7995" s="260"/>
      <c r="AG7995" s="330"/>
    </row>
    <row r="7996" spans="14:33" hidden="1">
      <c r="N7996" s="239"/>
      <c r="O7996" s="225"/>
      <c r="P7996" s="260"/>
      <c r="Q7996" s="328"/>
      <c r="R7996" s="260"/>
      <c r="S7996" s="260"/>
      <c r="T7996" s="260"/>
      <c r="U7996" s="260"/>
      <c r="V7996" s="260"/>
      <c r="W7996" s="260"/>
      <c r="X7996" s="260"/>
      <c r="Y7996" s="260"/>
      <c r="Z7996" s="260"/>
      <c r="AA7996" s="260"/>
      <c r="AB7996" s="260"/>
      <c r="AC7996" s="260"/>
      <c r="AD7996" s="260"/>
      <c r="AE7996" s="260"/>
      <c r="AF7996" s="260"/>
      <c r="AG7996" s="330"/>
    </row>
    <row r="7997" spans="14:33" hidden="1">
      <c r="N7997" s="239"/>
      <c r="O7997" s="225"/>
      <c r="P7997" s="260"/>
      <c r="Q7997" s="328"/>
      <c r="R7997" s="260"/>
      <c r="S7997" s="260"/>
      <c r="T7997" s="260"/>
      <c r="U7997" s="260"/>
      <c r="V7997" s="260"/>
      <c r="W7997" s="260"/>
      <c r="X7997" s="260"/>
      <c r="Y7997" s="260"/>
      <c r="Z7997" s="260"/>
      <c r="AA7997" s="260"/>
      <c r="AB7997" s="260"/>
      <c r="AC7997" s="260"/>
      <c r="AD7997" s="260"/>
      <c r="AE7997" s="260"/>
      <c r="AF7997" s="260"/>
      <c r="AG7997" s="330"/>
    </row>
    <row r="7998" spans="14:33" hidden="1">
      <c r="N7998" s="239"/>
      <c r="O7998" s="225"/>
      <c r="P7998" s="260"/>
      <c r="Q7998" s="328"/>
      <c r="R7998" s="260"/>
      <c r="S7998" s="260"/>
      <c r="T7998" s="260"/>
      <c r="U7998" s="260"/>
      <c r="V7998" s="260"/>
      <c r="W7998" s="260"/>
      <c r="X7998" s="260"/>
      <c r="Y7998" s="260"/>
      <c r="Z7998" s="260"/>
      <c r="AA7998" s="260"/>
      <c r="AB7998" s="260"/>
      <c r="AC7998" s="260"/>
      <c r="AD7998" s="260"/>
      <c r="AE7998" s="260"/>
      <c r="AF7998" s="260"/>
      <c r="AG7998" s="330"/>
    </row>
    <row r="7999" spans="14:33" hidden="1">
      <c r="N7999" s="239"/>
      <c r="O7999" s="225"/>
      <c r="P7999" s="260"/>
      <c r="Q7999" s="328"/>
      <c r="R7999" s="260"/>
      <c r="S7999" s="260"/>
      <c r="T7999" s="260"/>
      <c r="U7999" s="260"/>
      <c r="V7999" s="260"/>
      <c r="W7999" s="260"/>
      <c r="X7999" s="260"/>
      <c r="Y7999" s="260"/>
      <c r="Z7999" s="260"/>
      <c r="AA7999" s="260"/>
      <c r="AB7999" s="260"/>
      <c r="AC7999" s="260"/>
      <c r="AD7999" s="260"/>
      <c r="AE7999" s="260"/>
      <c r="AF7999" s="260"/>
      <c r="AG7999" s="330"/>
    </row>
    <row r="8000" spans="14:33" hidden="1">
      <c r="N8000" s="239"/>
      <c r="O8000" s="225"/>
      <c r="P8000" s="260"/>
      <c r="Q8000" s="328"/>
      <c r="R8000" s="260"/>
      <c r="S8000" s="260"/>
      <c r="T8000" s="260"/>
      <c r="U8000" s="260"/>
      <c r="V8000" s="260"/>
      <c r="W8000" s="260"/>
      <c r="X8000" s="260"/>
      <c r="Y8000" s="260"/>
      <c r="Z8000" s="260"/>
      <c r="AA8000" s="260"/>
      <c r="AB8000" s="260"/>
      <c r="AC8000" s="260"/>
      <c r="AD8000" s="260"/>
      <c r="AE8000" s="260"/>
      <c r="AF8000" s="260"/>
      <c r="AG8000" s="330"/>
    </row>
    <row r="8001" spans="14:33" hidden="1">
      <c r="N8001" s="239"/>
      <c r="O8001" s="225"/>
      <c r="P8001" s="260"/>
      <c r="Q8001" s="328"/>
      <c r="R8001" s="260"/>
      <c r="S8001" s="260"/>
      <c r="T8001" s="260"/>
      <c r="U8001" s="260"/>
      <c r="V8001" s="260"/>
      <c r="W8001" s="260"/>
      <c r="X8001" s="260"/>
      <c r="Y8001" s="260"/>
      <c r="Z8001" s="260"/>
      <c r="AA8001" s="260"/>
      <c r="AB8001" s="260"/>
      <c r="AC8001" s="260"/>
      <c r="AD8001" s="260"/>
      <c r="AE8001" s="260"/>
      <c r="AF8001" s="260"/>
      <c r="AG8001" s="330"/>
    </row>
    <row r="8002" spans="14:33" hidden="1">
      <c r="N8002" s="239"/>
      <c r="O8002" s="225"/>
      <c r="P8002" s="260"/>
      <c r="Q8002" s="328"/>
      <c r="R8002" s="260"/>
      <c r="S8002" s="260"/>
      <c r="T8002" s="260"/>
      <c r="U8002" s="260"/>
      <c r="V8002" s="260"/>
      <c r="W8002" s="260"/>
      <c r="X8002" s="260"/>
      <c r="Y8002" s="260"/>
      <c r="Z8002" s="260"/>
      <c r="AA8002" s="260"/>
      <c r="AB8002" s="260"/>
      <c r="AC8002" s="260"/>
      <c r="AD8002" s="260"/>
      <c r="AE8002" s="260"/>
      <c r="AF8002" s="260"/>
      <c r="AG8002" s="330"/>
    </row>
    <row r="8003" spans="14:33" hidden="1">
      <c r="N8003" s="239"/>
      <c r="O8003" s="225"/>
      <c r="P8003" s="260"/>
      <c r="Q8003" s="328"/>
      <c r="R8003" s="260"/>
      <c r="S8003" s="260"/>
      <c r="T8003" s="260"/>
      <c r="U8003" s="260"/>
      <c r="V8003" s="260"/>
      <c r="W8003" s="260"/>
      <c r="X8003" s="260"/>
      <c r="Y8003" s="260"/>
      <c r="Z8003" s="260"/>
      <c r="AA8003" s="260"/>
      <c r="AB8003" s="260"/>
      <c r="AC8003" s="260"/>
      <c r="AD8003" s="260"/>
      <c r="AE8003" s="260"/>
      <c r="AF8003" s="260"/>
      <c r="AG8003" s="330"/>
    </row>
    <row r="8004" spans="14:33" hidden="1">
      <c r="N8004" s="239"/>
      <c r="O8004" s="225"/>
      <c r="P8004" s="260"/>
      <c r="Q8004" s="328"/>
      <c r="R8004" s="260"/>
      <c r="S8004" s="260"/>
      <c r="T8004" s="260"/>
      <c r="U8004" s="260"/>
      <c r="V8004" s="260"/>
      <c r="W8004" s="260"/>
      <c r="X8004" s="260"/>
      <c r="Y8004" s="260"/>
      <c r="Z8004" s="260"/>
      <c r="AA8004" s="260"/>
      <c r="AB8004" s="260"/>
      <c r="AC8004" s="260"/>
      <c r="AD8004" s="260"/>
      <c r="AE8004" s="260"/>
      <c r="AF8004" s="260"/>
      <c r="AG8004" s="330"/>
    </row>
    <row r="8005" spans="14:33" hidden="1">
      <c r="N8005" s="239"/>
      <c r="O8005" s="225"/>
      <c r="P8005" s="260"/>
      <c r="Q8005" s="328"/>
      <c r="R8005" s="260"/>
      <c r="S8005" s="260"/>
      <c r="T8005" s="260"/>
      <c r="U8005" s="260"/>
      <c r="V8005" s="260"/>
      <c r="W8005" s="260"/>
      <c r="X8005" s="260"/>
      <c r="Y8005" s="260"/>
      <c r="Z8005" s="260"/>
      <c r="AA8005" s="260"/>
      <c r="AB8005" s="260"/>
      <c r="AC8005" s="260"/>
      <c r="AD8005" s="260"/>
      <c r="AE8005" s="260"/>
      <c r="AF8005" s="260"/>
      <c r="AG8005" s="330"/>
    </row>
    <row r="8006" spans="14:33" hidden="1">
      <c r="N8006" s="239"/>
      <c r="O8006" s="225"/>
      <c r="P8006" s="260"/>
      <c r="Q8006" s="328"/>
      <c r="R8006" s="260"/>
      <c r="S8006" s="260"/>
      <c r="T8006" s="260"/>
      <c r="U8006" s="260"/>
      <c r="V8006" s="260"/>
      <c r="W8006" s="260"/>
      <c r="X8006" s="260"/>
      <c r="Y8006" s="260"/>
      <c r="Z8006" s="260"/>
      <c r="AA8006" s="260"/>
      <c r="AB8006" s="260"/>
      <c r="AC8006" s="260"/>
      <c r="AD8006" s="260"/>
      <c r="AE8006" s="260"/>
      <c r="AF8006" s="260"/>
      <c r="AG8006" s="330"/>
    </row>
    <row r="8007" spans="14:33" hidden="1">
      <c r="N8007" s="239"/>
      <c r="O8007" s="225"/>
      <c r="P8007" s="260"/>
      <c r="Q8007" s="328"/>
      <c r="R8007" s="260"/>
      <c r="S8007" s="260"/>
      <c r="T8007" s="260"/>
      <c r="U8007" s="260"/>
      <c r="V8007" s="260"/>
      <c r="W8007" s="260"/>
      <c r="X8007" s="260"/>
      <c r="Y8007" s="260"/>
      <c r="Z8007" s="260"/>
      <c r="AA8007" s="260"/>
      <c r="AB8007" s="260"/>
      <c r="AC8007" s="260"/>
      <c r="AD8007" s="260"/>
      <c r="AE8007" s="260"/>
      <c r="AF8007" s="260"/>
      <c r="AG8007" s="330"/>
    </row>
    <row r="8008" spans="14:33" hidden="1">
      <c r="N8008" s="239"/>
      <c r="O8008" s="225"/>
      <c r="P8008" s="260"/>
      <c r="Q8008" s="328"/>
      <c r="R8008" s="260"/>
      <c r="S8008" s="260"/>
      <c r="T8008" s="260"/>
      <c r="U8008" s="260"/>
      <c r="V8008" s="260"/>
      <c r="W8008" s="260"/>
      <c r="X8008" s="260"/>
      <c r="Y8008" s="260"/>
      <c r="Z8008" s="260"/>
      <c r="AA8008" s="260"/>
      <c r="AB8008" s="260"/>
      <c r="AC8008" s="260"/>
      <c r="AD8008" s="260"/>
      <c r="AE8008" s="260"/>
      <c r="AF8008" s="260"/>
      <c r="AG8008" s="330"/>
    </row>
    <row r="8009" spans="14:33" hidden="1">
      <c r="N8009" s="239"/>
      <c r="O8009" s="225"/>
      <c r="P8009" s="260"/>
      <c r="Q8009" s="328"/>
      <c r="R8009" s="260"/>
      <c r="S8009" s="260"/>
      <c r="T8009" s="260"/>
      <c r="U8009" s="260"/>
      <c r="V8009" s="260"/>
      <c r="W8009" s="260"/>
      <c r="X8009" s="260"/>
      <c r="Y8009" s="260"/>
      <c r="Z8009" s="260"/>
      <c r="AA8009" s="260"/>
      <c r="AB8009" s="260"/>
      <c r="AC8009" s="260"/>
      <c r="AD8009" s="260"/>
      <c r="AE8009" s="260"/>
      <c r="AF8009" s="260"/>
      <c r="AG8009" s="330"/>
    </row>
    <row r="8010" spans="14:33" hidden="1">
      <c r="N8010" s="239"/>
      <c r="O8010" s="225"/>
      <c r="P8010" s="260"/>
      <c r="Q8010" s="328"/>
      <c r="R8010" s="260"/>
      <c r="S8010" s="260"/>
      <c r="T8010" s="260"/>
      <c r="U8010" s="260"/>
      <c r="V8010" s="260"/>
      <c r="W8010" s="260"/>
      <c r="X8010" s="260"/>
      <c r="Y8010" s="260"/>
      <c r="Z8010" s="260"/>
      <c r="AA8010" s="260"/>
      <c r="AB8010" s="260"/>
      <c r="AC8010" s="260"/>
      <c r="AD8010" s="260"/>
      <c r="AE8010" s="260"/>
      <c r="AF8010" s="260"/>
      <c r="AG8010" s="330"/>
    </row>
    <row r="8011" spans="14:33" hidden="1">
      <c r="N8011" s="239"/>
      <c r="O8011" s="225"/>
      <c r="P8011" s="260"/>
      <c r="Q8011" s="328"/>
      <c r="R8011" s="260"/>
      <c r="S8011" s="260"/>
      <c r="T8011" s="260"/>
      <c r="U8011" s="260"/>
      <c r="V8011" s="260"/>
      <c r="W8011" s="260"/>
      <c r="X8011" s="260"/>
      <c r="Y8011" s="260"/>
      <c r="Z8011" s="260"/>
      <c r="AA8011" s="260"/>
      <c r="AB8011" s="260"/>
      <c r="AC8011" s="260"/>
      <c r="AD8011" s="260"/>
      <c r="AE8011" s="260"/>
      <c r="AF8011" s="260"/>
      <c r="AG8011" s="330"/>
    </row>
    <row r="8012" spans="14:33" hidden="1">
      <c r="N8012" s="239"/>
      <c r="O8012" s="225"/>
      <c r="P8012" s="260"/>
      <c r="Q8012" s="328"/>
      <c r="R8012" s="260"/>
      <c r="S8012" s="260"/>
      <c r="T8012" s="260"/>
      <c r="U8012" s="260"/>
      <c r="V8012" s="260"/>
      <c r="W8012" s="260"/>
      <c r="X8012" s="260"/>
      <c r="Y8012" s="260"/>
      <c r="Z8012" s="260"/>
      <c r="AA8012" s="260"/>
      <c r="AB8012" s="260"/>
      <c r="AC8012" s="260"/>
      <c r="AD8012" s="260"/>
      <c r="AE8012" s="260"/>
      <c r="AF8012" s="260"/>
      <c r="AG8012" s="330"/>
    </row>
    <row r="8013" spans="14:33" hidden="1">
      <c r="N8013" s="239"/>
      <c r="O8013" s="225"/>
      <c r="P8013" s="260"/>
      <c r="Q8013" s="328"/>
      <c r="R8013" s="260"/>
      <c r="S8013" s="260"/>
      <c r="T8013" s="260"/>
      <c r="U8013" s="260"/>
      <c r="V8013" s="260"/>
      <c r="W8013" s="260"/>
      <c r="X8013" s="260"/>
      <c r="Y8013" s="260"/>
      <c r="Z8013" s="260"/>
      <c r="AA8013" s="260"/>
      <c r="AB8013" s="260"/>
      <c r="AC8013" s="260"/>
      <c r="AD8013" s="260"/>
      <c r="AE8013" s="260"/>
      <c r="AF8013" s="260"/>
      <c r="AG8013" s="330"/>
    </row>
    <row r="8014" spans="14:33" hidden="1">
      <c r="N8014" s="239"/>
      <c r="O8014" s="225"/>
      <c r="P8014" s="260"/>
      <c r="Q8014" s="328"/>
      <c r="R8014" s="260"/>
      <c r="S8014" s="260"/>
      <c r="T8014" s="260"/>
      <c r="U8014" s="260"/>
      <c r="V8014" s="260"/>
      <c r="W8014" s="260"/>
      <c r="X8014" s="260"/>
      <c r="Y8014" s="260"/>
      <c r="Z8014" s="260"/>
      <c r="AA8014" s="260"/>
      <c r="AB8014" s="260"/>
      <c r="AC8014" s="260"/>
      <c r="AD8014" s="260"/>
      <c r="AE8014" s="260"/>
      <c r="AF8014" s="260"/>
      <c r="AG8014" s="330"/>
    </row>
    <row r="8015" spans="14:33" hidden="1">
      <c r="N8015" s="239"/>
      <c r="O8015" s="225"/>
      <c r="P8015" s="260"/>
      <c r="Q8015" s="328"/>
      <c r="R8015" s="260"/>
      <c r="S8015" s="260"/>
      <c r="T8015" s="260"/>
      <c r="U8015" s="260"/>
      <c r="V8015" s="260"/>
      <c r="W8015" s="260"/>
      <c r="X8015" s="260"/>
      <c r="Y8015" s="260"/>
      <c r="Z8015" s="260"/>
      <c r="AA8015" s="260"/>
      <c r="AB8015" s="260"/>
      <c r="AC8015" s="260"/>
      <c r="AD8015" s="260"/>
      <c r="AE8015" s="260"/>
      <c r="AF8015" s="260"/>
      <c r="AG8015" s="330"/>
    </row>
    <row r="8016" spans="14:33" hidden="1">
      <c r="N8016" s="239"/>
      <c r="O8016" s="225"/>
      <c r="P8016" s="260"/>
      <c r="Q8016" s="328"/>
      <c r="R8016" s="260"/>
      <c r="S8016" s="260"/>
      <c r="T8016" s="260"/>
      <c r="U8016" s="260"/>
      <c r="V8016" s="260"/>
      <c r="W8016" s="260"/>
      <c r="X8016" s="260"/>
      <c r="Y8016" s="260"/>
      <c r="Z8016" s="260"/>
      <c r="AA8016" s="260"/>
      <c r="AB8016" s="260"/>
      <c r="AC8016" s="260"/>
      <c r="AD8016" s="260"/>
      <c r="AE8016" s="260"/>
      <c r="AF8016" s="260"/>
      <c r="AG8016" s="330"/>
    </row>
    <row r="8017" spans="14:33" hidden="1">
      <c r="N8017" s="239"/>
      <c r="O8017" s="225"/>
      <c r="P8017" s="260"/>
      <c r="Q8017" s="328"/>
      <c r="R8017" s="260"/>
      <c r="S8017" s="260"/>
      <c r="T8017" s="260"/>
      <c r="U8017" s="260"/>
      <c r="V8017" s="260"/>
      <c r="W8017" s="260"/>
      <c r="X8017" s="260"/>
      <c r="Y8017" s="260"/>
      <c r="Z8017" s="260"/>
      <c r="AA8017" s="260"/>
      <c r="AB8017" s="260"/>
      <c r="AC8017" s="260"/>
      <c r="AD8017" s="260"/>
      <c r="AE8017" s="260"/>
      <c r="AF8017" s="260"/>
      <c r="AG8017" s="330"/>
    </row>
    <row r="8018" spans="14:33" hidden="1">
      <c r="N8018" s="239"/>
      <c r="O8018" s="225"/>
      <c r="P8018" s="260"/>
      <c r="Q8018" s="328"/>
      <c r="R8018" s="260"/>
      <c r="S8018" s="260"/>
      <c r="T8018" s="260"/>
      <c r="U8018" s="260"/>
      <c r="V8018" s="260"/>
      <c r="W8018" s="260"/>
      <c r="X8018" s="260"/>
      <c r="Y8018" s="260"/>
      <c r="Z8018" s="260"/>
      <c r="AA8018" s="260"/>
      <c r="AB8018" s="260"/>
      <c r="AC8018" s="260"/>
      <c r="AD8018" s="260"/>
      <c r="AE8018" s="260"/>
      <c r="AF8018" s="260"/>
      <c r="AG8018" s="330"/>
    </row>
    <row r="8019" spans="14:33" hidden="1">
      <c r="N8019" s="239"/>
      <c r="O8019" s="225"/>
      <c r="P8019" s="260"/>
      <c r="Q8019" s="328"/>
      <c r="R8019" s="260"/>
      <c r="S8019" s="260"/>
      <c r="T8019" s="260"/>
      <c r="U8019" s="260"/>
      <c r="V8019" s="260"/>
      <c r="W8019" s="260"/>
      <c r="X8019" s="260"/>
      <c r="Y8019" s="260"/>
      <c r="Z8019" s="260"/>
      <c r="AA8019" s="260"/>
      <c r="AB8019" s="260"/>
      <c r="AC8019" s="260"/>
      <c r="AD8019" s="260"/>
      <c r="AE8019" s="260"/>
      <c r="AF8019" s="260"/>
      <c r="AG8019" s="330"/>
    </row>
    <row r="8020" spans="14:33" hidden="1">
      <c r="N8020" s="239"/>
      <c r="O8020" s="225"/>
      <c r="P8020" s="260"/>
      <c r="Q8020" s="328"/>
      <c r="R8020" s="260"/>
      <c r="S8020" s="260"/>
      <c r="T8020" s="260"/>
      <c r="U8020" s="260"/>
      <c r="V8020" s="260"/>
      <c r="W8020" s="260"/>
      <c r="X8020" s="260"/>
      <c r="Y8020" s="260"/>
      <c r="Z8020" s="260"/>
      <c r="AA8020" s="260"/>
      <c r="AB8020" s="260"/>
      <c r="AC8020" s="260"/>
      <c r="AD8020" s="260"/>
      <c r="AE8020" s="260"/>
      <c r="AF8020" s="260"/>
      <c r="AG8020" s="330"/>
    </row>
    <row r="8021" spans="14:33" hidden="1">
      <c r="N8021" s="239"/>
      <c r="O8021" s="225"/>
      <c r="P8021" s="260"/>
      <c r="Q8021" s="328"/>
      <c r="R8021" s="260"/>
      <c r="S8021" s="260"/>
      <c r="T8021" s="260"/>
      <c r="U8021" s="260"/>
      <c r="V8021" s="260"/>
      <c r="W8021" s="260"/>
      <c r="X8021" s="260"/>
      <c r="Y8021" s="260"/>
      <c r="Z8021" s="260"/>
      <c r="AA8021" s="260"/>
      <c r="AB8021" s="260"/>
      <c r="AC8021" s="260"/>
      <c r="AD8021" s="260"/>
      <c r="AE8021" s="260"/>
      <c r="AF8021" s="260"/>
      <c r="AG8021" s="330"/>
    </row>
    <row r="8022" spans="14:33" hidden="1">
      <c r="N8022" s="239"/>
      <c r="O8022" s="225"/>
      <c r="P8022" s="260"/>
      <c r="Q8022" s="328"/>
      <c r="R8022" s="260"/>
      <c r="S8022" s="260"/>
      <c r="T8022" s="260"/>
      <c r="U8022" s="260"/>
      <c r="V8022" s="260"/>
      <c r="W8022" s="260"/>
      <c r="X8022" s="260"/>
      <c r="Y8022" s="260"/>
      <c r="Z8022" s="260"/>
      <c r="AA8022" s="260"/>
      <c r="AB8022" s="260"/>
      <c r="AC8022" s="260"/>
      <c r="AD8022" s="260"/>
      <c r="AE8022" s="260"/>
      <c r="AF8022" s="260"/>
      <c r="AG8022" s="330"/>
    </row>
    <row r="8023" spans="14:33" hidden="1">
      <c r="N8023" s="239"/>
      <c r="O8023" s="225"/>
      <c r="P8023" s="260"/>
      <c r="Q8023" s="328"/>
      <c r="R8023" s="260"/>
      <c r="S8023" s="260"/>
      <c r="T8023" s="260"/>
      <c r="U8023" s="260"/>
      <c r="V8023" s="260"/>
      <c r="W8023" s="260"/>
      <c r="X8023" s="260"/>
      <c r="Y8023" s="260"/>
      <c r="Z8023" s="260"/>
      <c r="AA8023" s="260"/>
      <c r="AB8023" s="260"/>
      <c r="AC8023" s="260"/>
      <c r="AD8023" s="260"/>
      <c r="AE8023" s="260"/>
      <c r="AF8023" s="260"/>
      <c r="AG8023" s="330"/>
    </row>
    <row r="8024" spans="14:33" hidden="1">
      <c r="N8024" s="239"/>
      <c r="O8024" s="225"/>
      <c r="P8024" s="260"/>
      <c r="Q8024" s="328"/>
      <c r="R8024" s="260"/>
      <c r="S8024" s="260"/>
      <c r="T8024" s="260"/>
      <c r="U8024" s="260"/>
      <c r="V8024" s="260"/>
      <c r="W8024" s="260"/>
      <c r="X8024" s="260"/>
      <c r="Y8024" s="260"/>
      <c r="Z8024" s="260"/>
      <c r="AA8024" s="260"/>
      <c r="AB8024" s="260"/>
      <c r="AC8024" s="260"/>
      <c r="AD8024" s="260"/>
      <c r="AE8024" s="260"/>
      <c r="AF8024" s="260"/>
      <c r="AG8024" s="330"/>
    </row>
    <row r="8025" spans="14:33" hidden="1">
      <c r="N8025" s="239"/>
      <c r="O8025" s="225"/>
      <c r="P8025" s="260"/>
      <c r="Q8025" s="328"/>
      <c r="R8025" s="260"/>
      <c r="S8025" s="260"/>
      <c r="T8025" s="260"/>
      <c r="U8025" s="260"/>
      <c r="V8025" s="260"/>
      <c r="W8025" s="260"/>
      <c r="X8025" s="260"/>
      <c r="Y8025" s="260"/>
      <c r="Z8025" s="260"/>
      <c r="AA8025" s="260"/>
      <c r="AB8025" s="260"/>
      <c r="AC8025" s="260"/>
      <c r="AD8025" s="260"/>
      <c r="AE8025" s="260"/>
      <c r="AF8025" s="260"/>
      <c r="AG8025" s="330"/>
    </row>
    <row r="8026" spans="14:33" hidden="1">
      <c r="N8026" s="239"/>
      <c r="O8026" s="225"/>
      <c r="P8026" s="260"/>
      <c r="Q8026" s="328"/>
      <c r="R8026" s="260"/>
      <c r="S8026" s="260"/>
      <c r="T8026" s="260"/>
      <c r="U8026" s="260"/>
      <c r="V8026" s="260"/>
      <c r="W8026" s="260"/>
      <c r="X8026" s="260"/>
      <c r="Y8026" s="260"/>
      <c r="Z8026" s="260"/>
      <c r="AA8026" s="260"/>
      <c r="AB8026" s="260"/>
      <c r="AC8026" s="260"/>
      <c r="AD8026" s="260"/>
      <c r="AE8026" s="260"/>
      <c r="AF8026" s="260"/>
      <c r="AG8026" s="330"/>
    </row>
    <row r="8027" spans="14:33" hidden="1">
      <c r="N8027" s="239"/>
      <c r="O8027" s="225"/>
      <c r="P8027" s="260"/>
      <c r="Q8027" s="328"/>
      <c r="R8027" s="260"/>
      <c r="S8027" s="260"/>
      <c r="T8027" s="260"/>
      <c r="U8027" s="260"/>
      <c r="V8027" s="260"/>
      <c r="W8027" s="260"/>
      <c r="X8027" s="260"/>
      <c r="Y8027" s="260"/>
      <c r="Z8027" s="260"/>
      <c r="AA8027" s="260"/>
      <c r="AB8027" s="260"/>
      <c r="AC8027" s="260"/>
      <c r="AD8027" s="260"/>
      <c r="AE8027" s="260"/>
      <c r="AF8027" s="260"/>
      <c r="AG8027" s="330"/>
    </row>
    <row r="8028" spans="14:33" hidden="1">
      <c r="N8028" s="239"/>
      <c r="O8028" s="225"/>
      <c r="P8028" s="260"/>
      <c r="Q8028" s="328"/>
      <c r="R8028" s="260"/>
      <c r="S8028" s="260"/>
      <c r="T8028" s="260"/>
      <c r="U8028" s="260"/>
      <c r="V8028" s="260"/>
      <c r="W8028" s="260"/>
      <c r="X8028" s="260"/>
      <c r="Y8028" s="260"/>
      <c r="Z8028" s="260"/>
      <c r="AA8028" s="260"/>
      <c r="AB8028" s="260"/>
      <c r="AC8028" s="260"/>
      <c r="AD8028" s="260"/>
      <c r="AE8028" s="260"/>
      <c r="AF8028" s="260"/>
      <c r="AG8028" s="330"/>
    </row>
    <row r="8029" spans="14:33" hidden="1">
      <c r="N8029" s="239"/>
      <c r="O8029" s="225"/>
      <c r="P8029" s="260"/>
      <c r="Q8029" s="328"/>
      <c r="R8029" s="260"/>
      <c r="S8029" s="260"/>
      <c r="T8029" s="260"/>
      <c r="U8029" s="260"/>
      <c r="V8029" s="260"/>
      <c r="W8029" s="260"/>
      <c r="X8029" s="260"/>
      <c r="Y8029" s="260"/>
      <c r="Z8029" s="260"/>
      <c r="AA8029" s="260"/>
      <c r="AB8029" s="260"/>
      <c r="AC8029" s="260"/>
      <c r="AD8029" s="260"/>
      <c r="AE8029" s="260"/>
      <c r="AF8029" s="260"/>
      <c r="AG8029" s="330"/>
    </row>
    <row r="8030" spans="14:33" hidden="1">
      <c r="N8030" s="239"/>
      <c r="O8030" s="225"/>
      <c r="P8030" s="260"/>
      <c r="Q8030" s="328"/>
      <c r="R8030" s="260"/>
      <c r="S8030" s="260"/>
      <c r="T8030" s="260"/>
      <c r="U8030" s="260"/>
      <c r="V8030" s="260"/>
      <c r="W8030" s="260"/>
      <c r="X8030" s="260"/>
      <c r="Y8030" s="260"/>
      <c r="Z8030" s="260"/>
      <c r="AA8030" s="260"/>
      <c r="AB8030" s="260"/>
      <c r="AC8030" s="260"/>
      <c r="AD8030" s="260"/>
      <c r="AE8030" s="260"/>
      <c r="AF8030" s="260"/>
      <c r="AG8030" s="330"/>
    </row>
    <row r="8031" spans="14:33" hidden="1">
      <c r="N8031" s="239"/>
      <c r="O8031" s="225"/>
      <c r="P8031" s="260"/>
      <c r="Q8031" s="328"/>
      <c r="R8031" s="260"/>
      <c r="S8031" s="260"/>
      <c r="T8031" s="260"/>
      <c r="U8031" s="260"/>
      <c r="V8031" s="260"/>
      <c r="W8031" s="260"/>
      <c r="X8031" s="260"/>
      <c r="Y8031" s="260"/>
      <c r="Z8031" s="260"/>
      <c r="AA8031" s="260"/>
      <c r="AB8031" s="260"/>
      <c r="AC8031" s="260"/>
      <c r="AD8031" s="260"/>
      <c r="AE8031" s="260"/>
      <c r="AF8031" s="260"/>
      <c r="AG8031" s="330"/>
    </row>
    <row r="8032" spans="14:33" hidden="1">
      <c r="N8032" s="239"/>
      <c r="O8032" s="225"/>
      <c r="P8032" s="260"/>
      <c r="Q8032" s="328"/>
      <c r="R8032" s="260"/>
      <c r="S8032" s="260"/>
      <c r="T8032" s="260"/>
      <c r="U8032" s="260"/>
      <c r="V8032" s="260"/>
      <c r="W8032" s="260"/>
      <c r="X8032" s="260"/>
      <c r="Y8032" s="260"/>
      <c r="Z8032" s="260"/>
      <c r="AA8032" s="260"/>
      <c r="AB8032" s="260"/>
      <c r="AC8032" s="260"/>
      <c r="AD8032" s="260"/>
      <c r="AE8032" s="260"/>
      <c r="AF8032" s="260"/>
      <c r="AG8032" s="330"/>
    </row>
    <row r="8033" spans="14:33" hidden="1">
      <c r="N8033" s="239"/>
      <c r="O8033" s="225"/>
      <c r="P8033" s="260"/>
      <c r="Q8033" s="328"/>
      <c r="R8033" s="260"/>
      <c r="S8033" s="260"/>
      <c r="T8033" s="260"/>
      <c r="U8033" s="260"/>
      <c r="V8033" s="260"/>
      <c r="W8033" s="260"/>
      <c r="X8033" s="260"/>
      <c r="Y8033" s="260"/>
      <c r="Z8033" s="260"/>
      <c r="AA8033" s="260"/>
      <c r="AB8033" s="260"/>
      <c r="AC8033" s="260"/>
      <c r="AD8033" s="260"/>
      <c r="AE8033" s="260"/>
      <c r="AF8033" s="260"/>
      <c r="AG8033" s="330"/>
    </row>
    <row r="8034" spans="14:33" hidden="1">
      <c r="N8034" s="239"/>
      <c r="O8034" s="225"/>
      <c r="P8034" s="260"/>
      <c r="Q8034" s="328"/>
      <c r="R8034" s="260"/>
      <c r="S8034" s="260"/>
      <c r="T8034" s="260"/>
      <c r="U8034" s="260"/>
      <c r="V8034" s="260"/>
      <c r="W8034" s="260"/>
      <c r="X8034" s="260"/>
      <c r="Y8034" s="260"/>
      <c r="Z8034" s="260"/>
      <c r="AA8034" s="260"/>
      <c r="AB8034" s="260"/>
      <c r="AC8034" s="260"/>
      <c r="AD8034" s="260"/>
      <c r="AE8034" s="260"/>
      <c r="AF8034" s="260"/>
      <c r="AG8034" s="330"/>
    </row>
    <row r="8035" spans="14:33" hidden="1">
      <c r="N8035" s="239"/>
      <c r="O8035" s="225"/>
      <c r="P8035" s="260"/>
      <c r="Q8035" s="328"/>
      <c r="R8035" s="260"/>
      <c r="S8035" s="260"/>
      <c r="T8035" s="260"/>
      <c r="U8035" s="260"/>
      <c r="V8035" s="260"/>
      <c r="W8035" s="260"/>
      <c r="X8035" s="260"/>
      <c r="Y8035" s="260"/>
      <c r="Z8035" s="260"/>
      <c r="AA8035" s="260"/>
      <c r="AB8035" s="260"/>
      <c r="AC8035" s="260"/>
      <c r="AD8035" s="260"/>
      <c r="AE8035" s="260"/>
      <c r="AF8035" s="260"/>
      <c r="AG8035" s="330"/>
    </row>
    <row r="8036" spans="14:33">
      <c r="N8036" s="239"/>
      <c r="O8036" s="225"/>
      <c r="P8036" s="260"/>
      <c r="Q8036" s="328"/>
      <c r="R8036" s="260"/>
      <c r="S8036" s="260"/>
      <c r="T8036" s="260"/>
      <c r="U8036" s="260"/>
      <c r="V8036" s="260"/>
      <c r="W8036" s="260"/>
      <c r="X8036" s="260"/>
      <c r="Y8036" s="260"/>
      <c r="Z8036" s="260"/>
      <c r="AA8036" s="260"/>
      <c r="AB8036" s="260"/>
      <c r="AC8036" s="260"/>
      <c r="AD8036" s="260"/>
      <c r="AE8036" s="260"/>
      <c r="AF8036" s="260"/>
      <c r="AG8036" s="330"/>
    </row>
    <row r="8037" spans="14:33">
      <c r="N8037" s="236" t="s">
        <v>2985</v>
      </c>
      <c r="O8037" s="225" t="s">
        <v>2972</v>
      </c>
      <c r="P8037" s="257"/>
      <c r="Q8037" s="328"/>
      <c r="R8037" s="260"/>
      <c r="S8037" s="260"/>
      <c r="T8037" s="260"/>
      <c r="U8037" s="260"/>
      <c r="V8037" s="260"/>
      <c r="W8037" s="260"/>
      <c r="X8037" s="260"/>
      <c r="Y8037" s="260"/>
      <c r="Z8037" s="261"/>
      <c r="AA8037" s="260"/>
      <c r="AB8037" s="260"/>
      <c r="AC8037" s="260"/>
      <c r="AD8037" s="260"/>
      <c r="AE8037" s="260"/>
      <c r="AF8037" s="261"/>
      <c r="AG8037" s="321"/>
    </row>
    <row r="8038" spans="14:33">
      <c r="N8038" s="236" t="s">
        <v>2987</v>
      </c>
      <c r="O8038" s="225" t="s">
        <v>2988</v>
      </c>
      <c r="P8038" s="257"/>
      <c r="Q8038" s="328"/>
      <c r="R8038" s="260"/>
      <c r="S8038" s="260"/>
      <c r="T8038" s="260"/>
      <c r="U8038" s="260"/>
      <c r="V8038" s="260"/>
      <c r="W8038" s="260"/>
      <c r="X8038" s="260"/>
      <c r="Y8038" s="260"/>
      <c r="Z8038" s="261"/>
      <c r="AA8038" s="260"/>
      <c r="AB8038" s="260"/>
      <c r="AC8038" s="260"/>
      <c r="AD8038" s="260"/>
      <c r="AE8038" s="260"/>
      <c r="AF8038" s="261"/>
      <c r="AG8038" s="321"/>
    </row>
    <row r="8039" spans="14:33">
      <c r="N8039" s="239"/>
      <c r="O8039" s="226"/>
      <c r="P8039" s="260"/>
      <c r="Q8039" s="328"/>
      <c r="R8039" s="260"/>
      <c r="S8039" s="260"/>
      <c r="T8039" s="260"/>
      <c r="U8039" s="260"/>
      <c r="V8039" s="260"/>
      <c r="W8039" s="260"/>
      <c r="X8039" s="260"/>
      <c r="Y8039" s="260"/>
      <c r="Z8039" s="260"/>
      <c r="AA8039" s="260"/>
      <c r="AB8039" s="260"/>
      <c r="AC8039" s="260"/>
      <c r="AD8039" s="260"/>
      <c r="AE8039" s="260"/>
      <c r="AF8039" s="260"/>
      <c r="AG8039" s="330"/>
    </row>
    <row r="8040" spans="14:33" hidden="1">
      <c r="N8040" s="239"/>
      <c r="O8040" s="227"/>
      <c r="P8040" s="260"/>
      <c r="Q8040" s="328"/>
      <c r="R8040" s="260"/>
      <c r="S8040" s="260"/>
      <c r="T8040" s="260"/>
      <c r="U8040" s="260"/>
      <c r="V8040" s="260"/>
      <c r="W8040" s="260"/>
      <c r="X8040" s="260"/>
      <c r="Y8040" s="260"/>
      <c r="Z8040" s="260"/>
      <c r="AA8040" s="260"/>
      <c r="AB8040" s="260"/>
      <c r="AC8040" s="260"/>
      <c r="AD8040" s="260"/>
      <c r="AE8040" s="260"/>
      <c r="AF8040" s="260"/>
      <c r="AG8040" s="330"/>
    </row>
    <row r="8041" spans="14:33" hidden="1">
      <c r="N8041" s="239"/>
      <c r="O8041" s="227"/>
      <c r="P8041" s="260"/>
      <c r="Q8041" s="328"/>
      <c r="R8041" s="260"/>
      <c r="S8041" s="260"/>
      <c r="T8041" s="260"/>
      <c r="U8041" s="260"/>
      <c r="V8041" s="260"/>
      <c r="W8041" s="260"/>
      <c r="X8041" s="260"/>
      <c r="Y8041" s="260"/>
      <c r="Z8041" s="260"/>
      <c r="AA8041" s="260"/>
      <c r="AB8041" s="260"/>
      <c r="AC8041" s="260"/>
      <c r="AD8041" s="260"/>
      <c r="AE8041" s="260"/>
      <c r="AF8041" s="260"/>
      <c r="AG8041" s="330"/>
    </row>
    <row r="8042" spans="14:33" hidden="1">
      <c r="N8042" s="239"/>
      <c r="O8042" s="226"/>
      <c r="P8042" s="260"/>
      <c r="Q8042" s="328"/>
      <c r="R8042" s="260"/>
      <c r="S8042" s="260"/>
      <c r="T8042" s="260"/>
      <c r="U8042" s="260"/>
      <c r="V8042" s="260"/>
      <c r="W8042" s="260"/>
      <c r="X8042" s="260"/>
      <c r="Y8042" s="260"/>
      <c r="Z8042" s="260"/>
      <c r="AA8042" s="260"/>
      <c r="AB8042" s="260"/>
      <c r="AC8042" s="260"/>
      <c r="AD8042" s="260"/>
      <c r="AE8042" s="260"/>
      <c r="AF8042" s="260"/>
      <c r="AG8042" s="330"/>
    </row>
    <row r="8043" spans="14:33" hidden="1">
      <c r="N8043" s="239"/>
      <c r="O8043" s="227"/>
      <c r="P8043" s="260"/>
      <c r="Q8043" s="328"/>
      <c r="R8043" s="260"/>
      <c r="S8043" s="260"/>
      <c r="T8043" s="260"/>
      <c r="U8043" s="260"/>
      <c r="V8043" s="260"/>
      <c r="W8043" s="260"/>
      <c r="X8043" s="260"/>
      <c r="Y8043" s="260"/>
      <c r="Z8043" s="260"/>
      <c r="AA8043" s="260"/>
      <c r="AB8043" s="260"/>
      <c r="AC8043" s="260"/>
      <c r="AD8043" s="260"/>
      <c r="AE8043" s="260"/>
      <c r="AF8043" s="260"/>
      <c r="AG8043" s="330"/>
    </row>
    <row r="8044" spans="14:33" hidden="1">
      <c r="N8044" s="239"/>
      <c r="O8044" s="227"/>
      <c r="P8044" s="260"/>
      <c r="Q8044" s="328"/>
      <c r="R8044" s="260"/>
      <c r="S8044" s="260"/>
      <c r="T8044" s="260"/>
      <c r="U8044" s="260"/>
      <c r="V8044" s="260"/>
      <c r="W8044" s="260"/>
      <c r="X8044" s="260"/>
      <c r="Y8044" s="260"/>
      <c r="Z8044" s="260"/>
      <c r="AA8044" s="260"/>
      <c r="AB8044" s="260"/>
      <c r="AC8044" s="260"/>
      <c r="AD8044" s="260"/>
      <c r="AE8044" s="260"/>
      <c r="AF8044" s="260"/>
      <c r="AG8044" s="330"/>
    </row>
    <row r="8045" spans="14:33" hidden="1">
      <c r="N8045" s="239"/>
      <c r="O8045" s="226"/>
      <c r="P8045" s="260"/>
      <c r="Q8045" s="328"/>
      <c r="R8045" s="260"/>
      <c r="S8045" s="260"/>
      <c r="T8045" s="260"/>
      <c r="U8045" s="260"/>
      <c r="V8045" s="260"/>
      <c r="W8045" s="260"/>
      <c r="X8045" s="260"/>
      <c r="Y8045" s="260"/>
      <c r="Z8045" s="260"/>
      <c r="AA8045" s="260"/>
      <c r="AB8045" s="260"/>
      <c r="AC8045" s="260"/>
      <c r="AD8045" s="260"/>
      <c r="AE8045" s="260"/>
      <c r="AF8045" s="260"/>
      <c r="AG8045" s="330"/>
    </row>
    <row r="8046" spans="14:33" hidden="1">
      <c r="N8046" s="239"/>
      <c r="O8046" s="225"/>
      <c r="P8046" s="260"/>
      <c r="Q8046" s="328"/>
      <c r="R8046" s="260"/>
      <c r="S8046" s="260"/>
      <c r="T8046" s="260"/>
      <c r="U8046" s="260"/>
      <c r="V8046" s="260"/>
      <c r="W8046" s="260"/>
      <c r="X8046" s="260"/>
      <c r="Y8046" s="260"/>
      <c r="Z8046" s="260"/>
      <c r="AA8046" s="260"/>
      <c r="AB8046" s="260"/>
      <c r="AC8046" s="260"/>
      <c r="AD8046" s="260"/>
      <c r="AE8046" s="260"/>
      <c r="AF8046" s="260"/>
      <c r="AG8046" s="330"/>
    </row>
    <row r="8047" spans="14:33" hidden="1">
      <c r="N8047" s="239"/>
      <c r="O8047" s="225"/>
      <c r="P8047" s="260"/>
      <c r="Q8047" s="328"/>
      <c r="R8047" s="260"/>
      <c r="S8047" s="260"/>
      <c r="T8047" s="260"/>
      <c r="U8047" s="260"/>
      <c r="V8047" s="260"/>
      <c r="W8047" s="260"/>
      <c r="X8047" s="260"/>
      <c r="Y8047" s="260"/>
      <c r="Z8047" s="260"/>
      <c r="AA8047" s="260"/>
      <c r="AB8047" s="260"/>
      <c r="AC8047" s="260"/>
      <c r="AD8047" s="260"/>
      <c r="AE8047" s="260"/>
      <c r="AF8047" s="260"/>
      <c r="AG8047" s="330"/>
    </row>
    <row r="8048" spans="14:33" customFormat="1" hidden="1">
      <c r="N8048" s="239"/>
      <c r="O8048" s="225"/>
      <c r="P8048" s="260"/>
      <c r="Q8048" s="328"/>
      <c r="R8048" s="260"/>
      <c r="S8048" s="260"/>
      <c r="T8048" s="260"/>
      <c r="U8048" s="260"/>
      <c r="V8048" s="260"/>
      <c r="W8048" s="260"/>
      <c r="X8048" s="260"/>
      <c r="Y8048" s="260"/>
      <c r="Z8048" s="260"/>
      <c r="AA8048" s="260"/>
      <c r="AB8048" s="260"/>
      <c r="AC8048" s="260"/>
      <c r="AD8048" s="260"/>
      <c r="AE8048" s="260"/>
      <c r="AF8048" s="260"/>
      <c r="AG8048" s="330"/>
    </row>
    <row r="8049" spans="14:33" customFormat="1" hidden="1">
      <c r="N8049" s="239"/>
      <c r="O8049" s="225"/>
      <c r="P8049" s="260"/>
      <c r="Q8049" s="328"/>
      <c r="R8049" s="260"/>
      <c r="S8049" s="260"/>
      <c r="T8049" s="260"/>
      <c r="U8049" s="260"/>
      <c r="V8049" s="260"/>
      <c r="W8049" s="260"/>
      <c r="X8049" s="260"/>
      <c r="Y8049" s="260"/>
      <c r="Z8049" s="260"/>
      <c r="AA8049" s="260"/>
      <c r="AB8049" s="260"/>
      <c r="AC8049" s="260"/>
      <c r="AD8049" s="260"/>
      <c r="AE8049" s="260"/>
      <c r="AF8049" s="260"/>
      <c r="AG8049" s="330"/>
    </row>
    <row r="8050" spans="14:33" hidden="1">
      <c r="N8050" s="239"/>
      <c r="O8050" s="225"/>
      <c r="P8050" s="260"/>
      <c r="Q8050" s="328"/>
      <c r="R8050" s="260"/>
      <c r="S8050" s="260"/>
      <c r="T8050" s="260"/>
      <c r="U8050" s="260"/>
      <c r="V8050" s="260"/>
      <c r="W8050" s="260"/>
      <c r="X8050" s="260"/>
      <c r="Y8050" s="260"/>
      <c r="Z8050" s="260"/>
      <c r="AA8050" s="260"/>
      <c r="AB8050" s="260"/>
      <c r="AC8050" s="260"/>
      <c r="AD8050" s="260"/>
      <c r="AE8050" s="260"/>
      <c r="AF8050" s="260"/>
      <c r="AG8050" s="330"/>
    </row>
    <row r="8051" spans="14:33" hidden="1">
      <c r="N8051" s="239"/>
      <c r="O8051" s="225"/>
      <c r="P8051" s="260"/>
      <c r="Q8051" s="328"/>
      <c r="R8051" s="260"/>
      <c r="S8051" s="260"/>
      <c r="T8051" s="260"/>
      <c r="U8051" s="260"/>
      <c r="V8051" s="260"/>
      <c r="W8051" s="260"/>
      <c r="X8051" s="260"/>
      <c r="Y8051" s="260"/>
      <c r="Z8051" s="260"/>
      <c r="AA8051" s="260"/>
      <c r="AB8051" s="260"/>
      <c r="AC8051" s="260"/>
      <c r="AD8051" s="260"/>
      <c r="AE8051" s="260"/>
      <c r="AF8051" s="260"/>
      <c r="AG8051" s="330"/>
    </row>
    <row r="8052" spans="14:33" hidden="1">
      <c r="N8052" s="239"/>
      <c r="O8052" s="225"/>
      <c r="P8052" s="260"/>
      <c r="Q8052" s="328"/>
      <c r="R8052" s="260"/>
      <c r="S8052" s="260"/>
      <c r="T8052" s="260"/>
      <c r="U8052" s="260"/>
      <c r="V8052" s="260"/>
      <c r="W8052" s="260"/>
      <c r="X8052" s="260"/>
      <c r="Y8052" s="260"/>
      <c r="Z8052" s="260"/>
      <c r="AA8052" s="260"/>
      <c r="AB8052" s="260"/>
      <c r="AC8052" s="260"/>
      <c r="AD8052" s="260"/>
      <c r="AE8052" s="260"/>
      <c r="AF8052" s="260"/>
      <c r="AG8052" s="330"/>
    </row>
    <row r="8053" spans="14:33" hidden="1">
      <c r="N8053" s="239"/>
      <c r="O8053" s="225"/>
      <c r="P8053" s="260"/>
      <c r="Q8053" s="328"/>
      <c r="R8053" s="260"/>
      <c r="S8053" s="260"/>
      <c r="T8053" s="260"/>
      <c r="U8053" s="260"/>
      <c r="V8053" s="260"/>
      <c r="W8053" s="260"/>
      <c r="X8053" s="260"/>
      <c r="Y8053" s="260"/>
      <c r="Z8053" s="260"/>
      <c r="AA8053" s="260"/>
      <c r="AB8053" s="260"/>
      <c r="AC8053" s="260"/>
      <c r="AD8053" s="260"/>
      <c r="AE8053" s="260"/>
      <c r="AF8053" s="260"/>
      <c r="AG8053" s="330"/>
    </row>
    <row r="8054" spans="14:33" hidden="1">
      <c r="N8054" s="239"/>
      <c r="O8054" s="225"/>
      <c r="P8054" s="260"/>
      <c r="Q8054" s="328"/>
      <c r="R8054" s="260"/>
      <c r="S8054" s="260"/>
      <c r="T8054" s="260"/>
      <c r="U8054" s="260"/>
      <c r="V8054" s="260"/>
      <c r="W8054" s="260"/>
      <c r="X8054" s="260"/>
      <c r="Y8054" s="260"/>
      <c r="Z8054" s="260"/>
      <c r="AA8054" s="260"/>
      <c r="AB8054" s="260"/>
      <c r="AC8054" s="260"/>
      <c r="AD8054" s="260"/>
      <c r="AE8054" s="260"/>
      <c r="AF8054" s="260"/>
      <c r="AG8054" s="330"/>
    </row>
    <row r="8055" spans="14:33" hidden="1">
      <c r="N8055" s="239"/>
      <c r="O8055" s="225"/>
      <c r="P8055" s="260"/>
      <c r="Q8055" s="328"/>
      <c r="R8055" s="260"/>
      <c r="S8055" s="260"/>
      <c r="T8055" s="260"/>
      <c r="U8055" s="260"/>
      <c r="V8055" s="260"/>
      <c r="W8055" s="260"/>
      <c r="X8055" s="260"/>
      <c r="Y8055" s="260"/>
      <c r="Z8055" s="260"/>
      <c r="AA8055" s="260"/>
      <c r="AB8055" s="260"/>
      <c r="AC8055" s="260"/>
      <c r="AD8055" s="260"/>
      <c r="AE8055" s="260"/>
      <c r="AF8055" s="260"/>
      <c r="AG8055" s="330"/>
    </row>
    <row r="8056" spans="14:33" hidden="1">
      <c r="N8056" s="239"/>
      <c r="O8056" s="225"/>
      <c r="P8056" s="260"/>
      <c r="Q8056" s="328"/>
      <c r="R8056" s="260"/>
      <c r="S8056" s="260"/>
      <c r="T8056" s="260"/>
      <c r="U8056" s="260"/>
      <c r="V8056" s="260"/>
      <c r="W8056" s="260"/>
      <c r="X8056" s="260"/>
      <c r="Y8056" s="260"/>
      <c r="Z8056" s="260"/>
      <c r="AA8056" s="260"/>
      <c r="AB8056" s="260"/>
      <c r="AC8056" s="260"/>
      <c r="AD8056" s="260"/>
      <c r="AE8056" s="260"/>
      <c r="AF8056" s="260"/>
      <c r="AG8056" s="330"/>
    </row>
    <row r="8057" spans="14:33" hidden="1">
      <c r="N8057" s="239"/>
      <c r="O8057" s="225"/>
      <c r="P8057" s="260"/>
      <c r="Q8057" s="328"/>
      <c r="R8057" s="260"/>
      <c r="S8057" s="260"/>
      <c r="T8057" s="260"/>
      <c r="U8057" s="260"/>
      <c r="V8057" s="260"/>
      <c r="W8057" s="260"/>
      <c r="X8057" s="260"/>
      <c r="Y8057" s="260"/>
      <c r="Z8057" s="260"/>
      <c r="AA8057" s="260"/>
      <c r="AB8057" s="260"/>
      <c r="AC8057" s="260"/>
      <c r="AD8057" s="260"/>
      <c r="AE8057" s="260"/>
      <c r="AF8057" s="260"/>
      <c r="AG8057" s="330"/>
    </row>
    <row r="8058" spans="14:33" hidden="1">
      <c r="N8058" s="239"/>
      <c r="O8058" s="225"/>
      <c r="P8058" s="260"/>
      <c r="Q8058" s="328"/>
      <c r="R8058" s="260"/>
      <c r="S8058" s="260"/>
      <c r="T8058" s="260"/>
      <c r="U8058" s="260"/>
      <c r="V8058" s="260"/>
      <c r="W8058" s="260"/>
      <c r="X8058" s="260"/>
      <c r="Y8058" s="260"/>
      <c r="Z8058" s="260"/>
      <c r="AA8058" s="260"/>
      <c r="AB8058" s="260"/>
      <c r="AC8058" s="260"/>
      <c r="AD8058" s="260"/>
      <c r="AE8058" s="260"/>
      <c r="AF8058" s="260"/>
      <c r="AG8058" s="330"/>
    </row>
    <row r="8059" spans="14:33" hidden="1">
      <c r="N8059" s="239"/>
      <c r="O8059" s="225"/>
      <c r="P8059" s="260"/>
      <c r="Q8059" s="328"/>
      <c r="R8059" s="260"/>
      <c r="S8059" s="260"/>
      <c r="T8059" s="260"/>
      <c r="U8059" s="260"/>
      <c r="V8059" s="260"/>
      <c r="W8059" s="260"/>
      <c r="X8059" s="260"/>
      <c r="Y8059" s="260"/>
      <c r="Z8059" s="260"/>
      <c r="AA8059" s="260"/>
      <c r="AB8059" s="260"/>
      <c r="AC8059" s="260"/>
      <c r="AD8059" s="260"/>
      <c r="AE8059" s="260"/>
      <c r="AF8059" s="260"/>
      <c r="AG8059" s="330"/>
    </row>
    <row r="8060" spans="14:33" hidden="1">
      <c r="N8060" s="239"/>
      <c r="O8060" s="225"/>
      <c r="P8060" s="260"/>
      <c r="Q8060" s="328"/>
      <c r="R8060" s="260"/>
      <c r="S8060" s="260"/>
      <c r="T8060" s="260"/>
      <c r="U8060" s="260"/>
      <c r="V8060" s="260"/>
      <c r="W8060" s="260"/>
      <c r="X8060" s="260"/>
      <c r="Y8060" s="260"/>
      <c r="Z8060" s="260"/>
      <c r="AA8060" s="260"/>
      <c r="AB8060" s="260"/>
      <c r="AC8060" s="260"/>
      <c r="AD8060" s="260"/>
      <c r="AE8060" s="260"/>
      <c r="AF8060" s="260"/>
      <c r="AG8060" s="330"/>
    </row>
    <row r="8061" spans="14:33" hidden="1">
      <c r="N8061" s="239"/>
      <c r="O8061" s="225"/>
      <c r="P8061" s="260"/>
      <c r="Q8061" s="328"/>
      <c r="R8061" s="260"/>
      <c r="S8061" s="260"/>
      <c r="T8061" s="260"/>
      <c r="U8061" s="260"/>
      <c r="V8061" s="260"/>
      <c r="W8061" s="260"/>
      <c r="X8061" s="260"/>
      <c r="Y8061" s="260"/>
      <c r="Z8061" s="260"/>
      <c r="AA8061" s="260"/>
      <c r="AB8061" s="260"/>
      <c r="AC8061" s="260"/>
      <c r="AD8061" s="260"/>
      <c r="AE8061" s="260"/>
      <c r="AF8061" s="260"/>
      <c r="AG8061" s="330"/>
    </row>
    <row r="8062" spans="14:33" hidden="1">
      <c r="N8062" s="239"/>
      <c r="O8062" s="225"/>
      <c r="P8062" s="260"/>
      <c r="Q8062" s="328"/>
      <c r="R8062" s="260"/>
      <c r="S8062" s="260"/>
      <c r="T8062" s="260"/>
      <c r="U8062" s="260"/>
      <c r="V8062" s="260"/>
      <c r="W8062" s="260"/>
      <c r="X8062" s="260"/>
      <c r="Y8062" s="260"/>
      <c r="Z8062" s="260"/>
      <c r="AA8062" s="260"/>
      <c r="AB8062" s="260"/>
      <c r="AC8062" s="260"/>
      <c r="AD8062" s="260"/>
      <c r="AE8062" s="260"/>
      <c r="AF8062" s="260"/>
      <c r="AG8062" s="330"/>
    </row>
    <row r="8063" spans="14:33">
      <c r="N8063" s="239"/>
      <c r="O8063" s="225"/>
      <c r="P8063" s="260"/>
      <c r="Q8063" s="328"/>
      <c r="R8063" s="260"/>
      <c r="S8063" s="260"/>
      <c r="T8063" s="260"/>
      <c r="U8063" s="260"/>
      <c r="V8063" s="260"/>
      <c r="W8063" s="260"/>
      <c r="X8063" s="260"/>
      <c r="Y8063" s="260"/>
      <c r="Z8063" s="260"/>
      <c r="AA8063" s="260"/>
      <c r="AB8063" s="260"/>
      <c r="AC8063" s="260"/>
      <c r="AD8063" s="260"/>
      <c r="AE8063" s="260"/>
      <c r="AF8063" s="260"/>
      <c r="AG8063" s="330"/>
    </row>
    <row r="8064" spans="14:33">
      <c r="N8064" s="234" t="s">
        <v>769</v>
      </c>
      <c r="O8064" s="235" t="s">
        <v>2991</v>
      </c>
      <c r="P8064" s="257"/>
      <c r="Q8064" s="328"/>
      <c r="R8064" s="260"/>
      <c r="S8064" s="260"/>
      <c r="T8064" s="257">
        <f>SUM(T8065,T8111)</f>
        <v>0</v>
      </c>
      <c r="U8064" s="260"/>
      <c r="V8064" s="260"/>
      <c r="W8064" s="257">
        <f>SUM(W8065,W8111)</f>
        <v>0</v>
      </c>
      <c r="X8064" s="260"/>
      <c r="Y8064" s="260"/>
      <c r="Z8064" s="257">
        <f>SUM(Z8065,Z8111)</f>
        <v>0</v>
      </c>
      <c r="AA8064" s="260"/>
      <c r="AB8064" s="260"/>
      <c r="AC8064" s="257">
        <f>SUM(AC8065,AC8111)</f>
        <v>0</v>
      </c>
      <c r="AD8064" s="260"/>
      <c r="AE8064" s="260"/>
      <c r="AF8064" s="257">
        <f>SUM(AF8065,AF8111)</f>
        <v>0</v>
      </c>
      <c r="AG8064" s="321"/>
    </row>
    <row r="8065" spans="14:33">
      <c r="N8065" s="234" t="s">
        <v>770</v>
      </c>
      <c r="O8065" s="442" t="s">
        <v>2992</v>
      </c>
      <c r="P8065" s="257"/>
      <c r="Q8065" s="328"/>
      <c r="R8065" s="260"/>
      <c r="S8065" s="260"/>
      <c r="T8065" s="257">
        <f>SUM(T8066,T8083,T8084)</f>
        <v>0</v>
      </c>
      <c r="U8065" s="260"/>
      <c r="V8065" s="260"/>
      <c r="W8065" s="257">
        <f>SUM(W8066,W8083,W8084)</f>
        <v>0</v>
      </c>
      <c r="X8065" s="260"/>
      <c r="Y8065" s="260"/>
      <c r="Z8065" s="257">
        <f>SUM(Z8066,Z8083,Z8084)</f>
        <v>0</v>
      </c>
      <c r="AA8065" s="260"/>
      <c r="AB8065" s="260"/>
      <c r="AC8065" s="257">
        <f>SUM(AC8066,AC8083,AC8084)</f>
        <v>0</v>
      </c>
      <c r="AD8065" s="260"/>
      <c r="AE8065" s="260"/>
      <c r="AF8065" s="257">
        <f>SUM(AF8066,AF8083,AF8084)</f>
        <v>0</v>
      </c>
      <c r="AG8065" s="321"/>
    </row>
    <row r="8066" spans="14:33">
      <c r="N8066" s="236" t="s">
        <v>2993</v>
      </c>
      <c r="O8066" s="225" t="s">
        <v>2994</v>
      </c>
      <c r="P8066" s="257"/>
      <c r="Q8066" s="328"/>
      <c r="R8066" s="260"/>
      <c r="S8066" s="260"/>
      <c r="T8066" s="257">
        <f>SUM(T8067,T8071,T8075,T8079)</f>
        <v>0</v>
      </c>
      <c r="U8066" s="260"/>
      <c r="V8066" s="260"/>
      <c r="W8066" s="257">
        <f>SUM(W8067,W8071,W8075,W8079)</f>
        <v>0</v>
      </c>
      <c r="X8066" s="260"/>
      <c r="Y8066" s="260"/>
      <c r="Z8066" s="257">
        <f>SUM(Z8067,Z8071,Z8075,Z8079)</f>
        <v>0</v>
      </c>
      <c r="AA8066" s="260"/>
      <c r="AB8066" s="260"/>
      <c r="AC8066" s="257">
        <f>SUM(AC8067,AC8071,AC8075,AC8079)</f>
        <v>0</v>
      </c>
      <c r="AD8066" s="260"/>
      <c r="AE8066" s="260"/>
      <c r="AF8066" s="257">
        <f>SUM(AF8067,AF8071,AF8075,AF8079)</f>
        <v>0</v>
      </c>
      <c r="AG8066" s="321"/>
    </row>
    <row r="8067" spans="14:33">
      <c r="N8067" s="236" t="s">
        <v>2995</v>
      </c>
      <c r="O8067" s="482" t="s">
        <v>2791</v>
      </c>
      <c r="P8067" s="257"/>
      <c r="Q8067" s="328"/>
      <c r="R8067" s="260"/>
      <c r="S8067" s="260"/>
      <c r="T8067" s="257">
        <f>SUM(T8068:T8070)</f>
        <v>0</v>
      </c>
      <c r="U8067" s="260"/>
      <c r="V8067" s="260"/>
      <c r="W8067" s="257">
        <f>SUM(W8068:W8070)</f>
        <v>0</v>
      </c>
      <c r="X8067" s="260"/>
      <c r="Y8067" s="260"/>
      <c r="Z8067" s="257">
        <f>SUM(Z8068:Z8070)</f>
        <v>0</v>
      </c>
      <c r="AA8067" s="260"/>
      <c r="AB8067" s="260"/>
      <c r="AC8067" s="257">
        <f>SUM(AC8068:AC8070)</f>
        <v>0</v>
      </c>
      <c r="AD8067" s="260"/>
      <c r="AE8067" s="260"/>
      <c r="AF8067" s="257">
        <f>SUM(AF8068:AF8070)</f>
        <v>0</v>
      </c>
      <c r="AG8067" s="321"/>
    </row>
    <row r="8068" spans="14:33">
      <c r="N8068" s="594" t="str">
        <f>IF(TEMPLATE_CLAIM="P","5.1.1.1.1","")</f>
        <v/>
      </c>
      <c r="O8068" s="593" t="str">
        <f>IF(TEMPLATE_CLAIM="P","от станций с мощностью производства &gt;= 25 МВт","")</f>
        <v/>
      </c>
      <c r="P8068" s="257"/>
      <c r="Q8068" s="328"/>
      <c r="R8068" s="260"/>
      <c r="S8068" s="260"/>
      <c r="T8068" s="261"/>
      <c r="U8068" s="260"/>
      <c r="V8068" s="260"/>
      <c r="W8068" s="261"/>
      <c r="X8068" s="260"/>
      <c r="Y8068" s="260"/>
      <c r="Z8068" s="261"/>
      <c r="AA8068" s="260"/>
      <c r="AB8068" s="260"/>
      <c r="AC8068" s="261"/>
      <c r="AD8068" s="260"/>
      <c r="AE8068" s="260"/>
      <c r="AF8068" s="261"/>
      <c r="AG8068" s="321"/>
    </row>
    <row r="8069" spans="14:33">
      <c r="N8069" s="594" t="str">
        <f>IF(TEMPLATE_CLAIM="P","5.1.1.1.2","")</f>
        <v/>
      </c>
      <c r="O8069" s="593" t="str">
        <f>IF(TEMPLATE_CLAIM="P","от станций с мощностью производства &lt; 25 МВт","")</f>
        <v/>
      </c>
      <c r="P8069" s="257"/>
      <c r="Q8069" s="328"/>
      <c r="R8069" s="260"/>
      <c r="S8069" s="260"/>
      <c r="T8069" s="261"/>
      <c r="U8069" s="260"/>
      <c r="V8069" s="260"/>
      <c r="W8069" s="261"/>
      <c r="X8069" s="260"/>
      <c r="Y8069" s="260"/>
      <c r="Z8069" s="261"/>
      <c r="AA8069" s="260"/>
      <c r="AB8069" s="260"/>
      <c r="AC8069" s="261"/>
      <c r="AD8069" s="260"/>
      <c r="AE8069" s="260"/>
      <c r="AF8069" s="261"/>
      <c r="AG8069" s="321"/>
    </row>
    <row r="8070" spans="14:33">
      <c r="N8070" s="236"/>
      <c r="O8070" s="243"/>
      <c r="P8070" s="260"/>
      <c r="Q8070" s="328"/>
      <c r="R8070" s="260"/>
      <c r="S8070" s="260"/>
      <c r="T8070" s="260"/>
      <c r="U8070" s="260"/>
      <c r="V8070" s="260"/>
      <c r="W8070" s="260"/>
      <c r="X8070" s="260"/>
      <c r="Y8070" s="260"/>
      <c r="Z8070" s="260"/>
      <c r="AA8070" s="260"/>
      <c r="AB8070" s="260"/>
      <c r="AC8070" s="260"/>
      <c r="AD8070" s="260"/>
      <c r="AE8070" s="260"/>
      <c r="AF8070" s="260"/>
      <c r="AG8070" s="330"/>
    </row>
    <row r="8071" spans="14:33">
      <c r="N8071" s="236" t="s">
        <v>2998</v>
      </c>
      <c r="O8071" s="482" t="s">
        <v>755</v>
      </c>
      <c r="P8071" s="257"/>
      <c r="Q8071" s="328"/>
      <c r="R8071" s="260"/>
      <c r="S8071" s="260"/>
      <c r="T8071" s="257">
        <f>SUM(T8072:T8074)</f>
        <v>0</v>
      </c>
      <c r="U8071" s="260"/>
      <c r="V8071" s="260"/>
      <c r="W8071" s="257">
        <f>SUM(W8072:W8074)</f>
        <v>0</v>
      </c>
      <c r="X8071" s="260"/>
      <c r="Y8071" s="260"/>
      <c r="Z8071" s="257">
        <f>SUM(Z8072:Z8074)</f>
        <v>0</v>
      </c>
      <c r="AA8071" s="260"/>
      <c r="AB8071" s="260"/>
      <c r="AC8071" s="257">
        <f>SUM(AC8072:AC8074)</f>
        <v>0</v>
      </c>
      <c r="AD8071" s="260"/>
      <c r="AE8071" s="260"/>
      <c r="AF8071" s="257">
        <f>SUM(AF8072:AF8074)</f>
        <v>0</v>
      </c>
      <c r="AG8071" s="321"/>
    </row>
    <row r="8072" spans="14:33">
      <c r="N8072" s="594" t="str">
        <f>IF(TEMPLATE_CLAIM="P","5.1.1.2.1","")</f>
        <v/>
      </c>
      <c r="O8072" s="593" t="str">
        <f>IF(TEMPLATE_CLAIM="P","от станций с мощностью производства &gt;= 25 МВт","")</f>
        <v/>
      </c>
      <c r="P8072" s="257"/>
      <c r="Q8072" s="328"/>
      <c r="R8072" s="260"/>
      <c r="S8072" s="260"/>
      <c r="T8072" s="261"/>
      <c r="U8072" s="260"/>
      <c r="V8072" s="260"/>
      <c r="W8072" s="261"/>
      <c r="X8072" s="260"/>
      <c r="Y8072" s="260"/>
      <c r="Z8072" s="261"/>
      <c r="AA8072" s="260"/>
      <c r="AB8072" s="260"/>
      <c r="AC8072" s="261"/>
      <c r="AD8072" s="260"/>
      <c r="AE8072" s="260"/>
      <c r="AF8072" s="261"/>
      <c r="AG8072" s="321"/>
    </row>
    <row r="8073" spans="14:33">
      <c r="N8073" s="594" t="str">
        <f>IF(TEMPLATE_CLAIM="P","5.1.1.2.2","")</f>
        <v/>
      </c>
      <c r="O8073" s="593" t="str">
        <f>IF(TEMPLATE_CLAIM="P","от станций с мощностью производства &lt; 25 МВт","")</f>
        <v/>
      </c>
      <c r="P8073" s="257"/>
      <c r="Q8073" s="328"/>
      <c r="R8073" s="260"/>
      <c r="S8073" s="260"/>
      <c r="T8073" s="261"/>
      <c r="U8073" s="260"/>
      <c r="V8073" s="260"/>
      <c r="W8073" s="261"/>
      <c r="X8073" s="260"/>
      <c r="Y8073" s="260"/>
      <c r="Z8073" s="261"/>
      <c r="AA8073" s="260"/>
      <c r="AB8073" s="260"/>
      <c r="AC8073" s="261"/>
      <c r="AD8073" s="260"/>
      <c r="AE8073" s="260"/>
      <c r="AF8073" s="261"/>
      <c r="AG8073" s="321"/>
    </row>
    <row r="8074" spans="14:33">
      <c r="N8074" s="436"/>
      <c r="O8074" s="243"/>
      <c r="P8074" s="260"/>
      <c r="Q8074" s="328"/>
      <c r="R8074" s="260"/>
      <c r="S8074" s="260"/>
      <c r="T8074" s="260"/>
      <c r="U8074" s="260"/>
      <c r="V8074" s="260"/>
      <c r="W8074" s="260"/>
      <c r="X8074" s="260"/>
      <c r="Y8074" s="260"/>
      <c r="Z8074" s="260"/>
      <c r="AA8074" s="260"/>
      <c r="AB8074" s="260"/>
      <c r="AC8074" s="260"/>
      <c r="AD8074" s="260"/>
      <c r="AE8074" s="260"/>
      <c r="AF8074" s="260"/>
      <c r="AG8074" s="330"/>
    </row>
    <row r="8075" spans="14:33">
      <c r="N8075" s="236" t="s">
        <v>2999</v>
      </c>
      <c r="O8075" s="482" t="s">
        <v>2792</v>
      </c>
      <c r="P8075" s="257"/>
      <c r="Q8075" s="328"/>
      <c r="R8075" s="260"/>
      <c r="S8075" s="260"/>
      <c r="T8075" s="257">
        <f>SUM(T8076:T8078)</f>
        <v>0</v>
      </c>
      <c r="U8075" s="260"/>
      <c r="V8075" s="260"/>
      <c r="W8075" s="257">
        <f>SUM(W8076:W8078)</f>
        <v>0</v>
      </c>
      <c r="X8075" s="260"/>
      <c r="Y8075" s="260"/>
      <c r="Z8075" s="257">
        <f>SUM(Z8076:Z8078)</f>
        <v>0</v>
      </c>
      <c r="AA8075" s="260"/>
      <c r="AB8075" s="260"/>
      <c r="AC8075" s="257">
        <f>SUM(AC8076:AC8078)</f>
        <v>0</v>
      </c>
      <c r="AD8075" s="260"/>
      <c r="AE8075" s="260"/>
      <c r="AF8075" s="257">
        <f>SUM(AF8076:AF8078)</f>
        <v>0</v>
      </c>
      <c r="AG8075" s="321"/>
    </row>
    <row r="8076" spans="14:33">
      <c r="N8076" s="594" t="str">
        <f>IF(TEMPLATE_CLAIM="P","5.1.1.3.1","")</f>
        <v/>
      </c>
      <c r="O8076" s="593" t="str">
        <f>IF(TEMPLATE_CLAIM="P","от станций с мощностью производства &gt;= 25 МВт","")</f>
        <v/>
      </c>
      <c r="P8076" s="257"/>
      <c r="Q8076" s="328"/>
      <c r="R8076" s="260"/>
      <c r="S8076" s="260"/>
      <c r="T8076" s="261"/>
      <c r="U8076" s="260"/>
      <c r="V8076" s="260"/>
      <c r="W8076" s="261"/>
      <c r="X8076" s="260"/>
      <c r="Y8076" s="260"/>
      <c r="Z8076" s="261"/>
      <c r="AA8076" s="260"/>
      <c r="AB8076" s="260"/>
      <c r="AC8076" s="261"/>
      <c r="AD8076" s="260"/>
      <c r="AE8076" s="260"/>
      <c r="AF8076" s="261"/>
      <c r="AG8076" s="321"/>
    </row>
    <row r="8077" spans="14:33">
      <c r="N8077" s="594" t="str">
        <f>IF(TEMPLATE_CLAIM="P","5.1.1.3.2","")</f>
        <v/>
      </c>
      <c r="O8077" s="593" t="str">
        <f>IF(TEMPLATE_CLAIM="P","от станций с мощностью производства &lt; 25 МВт","")</f>
        <v/>
      </c>
      <c r="P8077" s="257"/>
      <c r="Q8077" s="328"/>
      <c r="R8077" s="260"/>
      <c r="S8077" s="260"/>
      <c r="T8077" s="261"/>
      <c r="U8077" s="260"/>
      <c r="V8077" s="260"/>
      <c r="W8077" s="261"/>
      <c r="X8077" s="260"/>
      <c r="Y8077" s="260"/>
      <c r="Z8077" s="261"/>
      <c r="AA8077" s="260"/>
      <c r="AB8077" s="260"/>
      <c r="AC8077" s="261"/>
      <c r="AD8077" s="260"/>
      <c r="AE8077" s="260"/>
      <c r="AF8077" s="261"/>
      <c r="AG8077" s="321"/>
    </row>
    <row r="8078" spans="14:33">
      <c r="N8078" s="594" t="str">
        <f>IF(TEMPLATE_CLAIM="P","5.1.1.3.3","")</f>
        <v/>
      </c>
      <c r="O8078" s="593" t="str">
        <f>IF(TEMPLATE_CLAIM="P","от котельных (некомбинированная выработка)","")</f>
        <v/>
      </c>
      <c r="P8078" s="257"/>
      <c r="Q8078" s="328"/>
      <c r="R8078" s="260"/>
      <c r="S8078" s="260"/>
      <c r="T8078" s="261"/>
      <c r="U8078" s="260"/>
      <c r="V8078" s="260"/>
      <c r="W8078" s="261"/>
      <c r="X8078" s="260"/>
      <c r="Y8078" s="260"/>
      <c r="Z8078" s="261"/>
      <c r="AA8078" s="260"/>
      <c r="AB8078" s="260"/>
      <c r="AC8078" s="261"/>
      <c r="AD8078" s="260"/>
      <c r="AE8078" s="260"/>
      <c r="AF8078" s="261"/>
      <c r="AG8078" s="321"/>
    </row>
    <row r="8079" spans="14:33">
      <c r="N8079" s="236" t="s">
        <v>3002</v>
      </c>
      <c r="O8079" s="482" t="s">
        <v>756</v>
      </c>
      <c r="P8079" s="257"/>
      <c r="Q8079" s="328"/>
      <c r="R8079" s="260"/>
      <c r="S8079" s="260"/>
      <c r="T8079" s="257">
        <f>SUM(T8080:T8082)</f>
        <v>0</v>
      </c>
      <c r="U8079" s="260"/>
      <c r="V8079" s="260"/>
      <c r="W8079" s="257">
        <f>SUM(W8080:W8082)</f>
        <v>0</v>
      </c>
      <c r="X8079" s="260"/>
      <c r="Y8079" s="260"/>
      <c r="Z8079" s="257">
        <f>SUM(Z8080:Z8082)</f>
        <v>0</v>
      </c>
      <c r="AA8079" s="260"/>
      <c r="AB8079" s="260"/>
      <c r="AC8079" s="257">
        <f>SUM(AC8080:AC8082)</f>
        <v>0</v>
      </c>
      <c r="AD8079" s="260"/>
      <c r="AE8079" s="260"/>
      <c r="AF8079" s="257">
        <f>SUM(AF8080:AF8082)</f>
        <v>0</v>
      </c>
      <c r="AG8079" s="321"/>
    </row>
    <row r="8080" spans="14:33">
      <c r="N8080" s="594" t="str">
        <f>IF(TEMPLATE_CLAIM="P","5.1.1.4.1","")</f>
        <v/>
      </c>
      <c r="O8080" s="593" t="str">
        <f>IF(TEMPLATE_CLAIM="P","от станций с мощностью производства &gt;= 25 МВт","")</f>
        <v/>
      </c>
      <c r="P8080" s="257"/>
      <c r="Q8080" s="328"/>
      <c r="R8080" s="260"/>
      <c r="S8080" s="260"/>
      <c r="T8080" s="261"/>
      <c r="U8080" s="260"/>
      <c r="V8080" s="260"/>
      <c r="W8080" s="261"/>
      <c r="X8080" s="260"/>
      <c r="Y8080" s="260"/>
      <c r="Z8080" s="261"/>
      <c r="AA8080" s="260"/>
      <c r="AB8080" s="260"/>
      <c r="AC8080" s="261"/>
      <c r="AD8080" s="260"/>
      <c r="AE8080" s="260"/>
      <c r="AF8080" s="261"/>
      <c r="AG8080" s="321"/>
    </row>
    <row r="8081" spans="14:33">
      <c r="N8081" s="594" t="str">
        <f>IF(TEMPLATE_CLAIM="P","5.1.1.4.2","")</f>
        <v/>
      </c>
      <c r="O8081" s="593" t="str">
        <f>IF(TEMPLATE_CLAIM="P","от станций с мощностью производства &lt; 25 МВт","")</f>
        <v/>
      </c>
      <c r="P8081" s="257"/>
      <c r="Q8081" s="328"/>
      <c r="R8081" s="260"/>
      <c r="S8081" s="260"/>
      <c r="T8081" s="261"/>
      <c r="U8081" s="260"/>
      <c r="V8081" s="260"/>
      <c r="W8081" s="261"/>
      <c r="X8081" s="260"/>
      <c r="Y8081" s="260"/>
      <c r="Z8081" s="261"/>
      <c r="AA8081" s="260"/>
      <c r="AB8081" s="260"/>
      <c r="AC8081" s="261"/>
      <c r="AD8081" s="260"/>
      <c r="AE8081" s="260"/>
      <c r="AF8081" s="261"/>
      <c r="AG8081" s="321"/>
    </row>
    <row r="8082" spans="14:33">
      <c r="N8082" s="594" t="str">
        <f>IF(TEMPLATE_CLAIM="P","5.1.1.4.3","")</f>
        <v/>
      </c>
      <c r="O8082" s="593" t="str">
        <f>IF(TEMPLATE_CLAIM="P","от котельных (некомбинированная выработка)","")</f>
        <v/>
      </c>
      <c r="P8082" s="257"/>
      <c r="Q8082" s="328"/>
      <c r="R8082" s="260"/>
      <c r="S8082" s="260"/>
      <c r="T8082" s="261"/>
      <c r="U8082" s="260"/>
      <c r="V8082" s="260"/>
      <c r="W8082" s="261"/>
      <c r="X8082" s="260"/>
      <c r="Y8082" s="260"/>
      <c r="Z8082" s="261"/>
      <c r="AA8082" s="260"/>
      <c r="AB8082" s="260"/>
      <c r="AC8082" s="261"/>
      <c r="AD8082" s="260"/>
      <c r="AE8082" s="260"/>
      <c r="AF8082" s="261"/>
      <c r="AG8082" s="321"/>
    </row>
    <row r="8083" spans="14:33">
      <c r="N8083" s="234" t="s">
        <v>3003</v>
      </c>
      <c r="O8083" s="225" t="s">
        <v>3004</v>
      </c>
      <c r="P8083" s="257"/>
      <c r="Q8083" s="328"/>
      <c r="R8083" s="260"/>
      <c r="S8083" s="260"/>
      <c r="T8083" s="261"/>
      <c r="U8083" s="260"/>
      <c r="V8083" s="260"/>
      <c r="W8083" s="261"/>
      <c r="X8083" s="260"/>
      <c r="Y8083" s="260"/>
      <c r="Z8083" s="261"/>
      <c r="AA8083" s="260"/>
      <c r="AB8083" s="260"/>
      <c r="AC8083" s="261"/>
      <c r="AD8083" s="260"/>
      <c r="AE8083" s="260"/>
      <c r="AF8083" s="261"/>
      <c r="AG8083" s="321"/>
    </row>
    <row r="8084" spans="14:33" ht="22.5">
      <c r="N8084" s="234" t="s">
        <v>3006</v>
      </c>
      <c r="O8084" s="225" t="s">
        <v>3007</v>
      </c>
      <c r="P8084" s="257"/>
      <c r="Q8084" s="328"/>
      <c r="R8084" s="260"/>
      <c r="S8084" s="260"/>
      <c r="T8084" s="261"/>
      <c r="U8084" s="260"/>
      <c r="V8084" s="260"/>
      <c r="W8084" s="261"/>
      <c r="X8084" s="260"/>
      <c r="Y8084" s="260"/>
      <c r="Z8084" s="261"/>
      <c r="AA8084" s="260"/>
      <c r="AB8084" s="260"/>
      <c r="AC8084" s="261"/>
      <c r="AD8084" s="260"/>
      <c r="AE8084" s="260"/>
      <c r="AF8084" s="261"/>
      <c r="AG8084" s="321"/>
    </row>
    <row r="8085" spans="14:33">
      <c r="N8085" s="236" t="s">
        <v>3008</v>
      </c>
      <c r="O8085" s="242" t="s">
        <v>2972</v>
      </c>
      <c r="P8085" s="257"/>
      <c r="Q8085" s="328"/>
      <c r="R8085" s="260"/>
      <c r="S8085" s="260"/>
      <c r="T8085" s="261"/>
      <c r="U8085" s="260"/>
      <c r="V8085" s="260"/>
      <c r="W8085" s="261"/>
      <c r="X8085" s="260"/>
      <c r="Y8085" s="260"/>
      <c r="Z8085" s="261"/>
      <c r="AA8085" s="260"/>
      <c r="AB8085" s="260"/>
      <c r="AC8085" s="261"/>
      <c r="AD8085" s="260"/>
      <c r="AE8085" s="260"/>
      <c r="AF8085" s="261"/>
      <c r="AG8085" s="321"/>
    </row>
    <row r="8086" spans="14:33">
      <c r="N8086" s="236" t="s">
        <v>3009</v>
      </c>
      <c r="O8086" s="242" t="s">
        <v>2988</v>
      </c>
      <c r="P8086" s="257"/>
      <c r="Q8086" s="328"/>
      <c r="R8086" s="260"/>
      <c r="S8086" s="260"/>
      <c r="T8086" s="261"/>
      <c r="U8086" s="260"/>
      <c r="V8086" s="260"/>
      <c r="W8086" s="261"/>
      <c r="X8086" s="260"/>
      <c r="Y8086" s="260"/>
      <c r="Z8086" s="261"/>
      <c r="AA8086" s="260"/>
      <c r="AB8086" s="260"/>
      <c r="AC8086" s="261"/>
      <c r="AD8086" s="260"/>
      <c r="AE8086" s="260"/>
      <c r="AF8086" s="261"/>
      <c r="AG8086" s="321"/>
    </row>
    <row r="8087" spans="14:33">
      <c r="N8087" s="236"/>
      <c r="O8087" s="242"/>
      <c r="P8087" s="260"/>
      <c r="Q8087" s="328"/>
      <c r="R8087" s="260"/>
      <c r="S8087" s="260"/>
      <c r="T8087" s="260"/>
      <c r="U8087" s="260"/>
      <c r="V8087" s="260"/>
      <c r="W8087" s="260"/>
      <c r="X8087" s="260"/>
      <c r="Y8087" s="260"/>
      <c r="Z8087" s="260"/>
      <c r="AA8087" s="260"/>
      <c r="AB8087" s="260"/>
      <c r="AC8087" s="260"/>
      <c r="AD8087" s="260"/>
      <c r="AE8087" s="260"/>
      <c r="AF8087" s="260"/>
      <c r="AG8087" s="330"/>
    </row>
    <row r="8088" spans="14:33" hidden="1">
      <c r="N8088" s="236"/>
      <c r="O8088" s="244"/>
      <c r="P8088" s="260"/>
      <c r="Q8088" s="328"/>
      <c r="R8088" s="260"/>
      <c r="S8088" s="260"/>
      <c r="T8088" s="260"/>
      <c r="U8088" s="260"/>
      <c r="V8088" s="260"/>
      <c r="W8088" s="260"/>
      <c r="X8088" s="260"/>
      <c r="Y8088" s="260"/>
      <c r="Z8088" s="260"/>
      <c r="AA8088" s="260"/>
      <c r="AB8088" s="260"/>
      <c r="AC8088" s="260"/>
      <c r="AD8088" s="260"/>
      <c r="AE8088" s="260"/>
      <c r="AF8088" s="260"/>
      <c r="AG8088" s="330"/>
    </row>
    <row r="8089" spans="14:33" hidden="1">
      <c r="N8089" s="236"/>
      <c r="O8089" s="244"/>
      <c r="P8089" s="260"/>
      <c r="Q8089" s="328"/>
      <c r="R8089" s="260"/>
      <c r="S8089" s="260"/>
      <c r="T8089" s="260"/>
      <c r="U8089" s="260"/>
      <c r="V8089" s="260"/>
      <c r="W8089" s="260"/>
      <c r="X8089" s="260"/>
      <c r="Y8089" s="260"/>
      <c r="Z8089" s="260"/>
      <c r="AA8089" s="260"/>
      <c r="AB8089" s="260"/>
      <c r="AC8089" s="260"/>
      <c r="AD8089" s="260"/>
      <c r="AE8089" s="260"/>
      <c r="AF8089" s="260"/>
      <c r="AG8089" s="330"/>
    </row>
    <row r="8090" spans="14:33" hidden="1">
      <c r="N8090" s="236"/>
      <c r="O8090" s="245"/>
      <c r="P8090" s="260"/>
      <c r="Q8090" s="328"/>
      <c r="R8090" s="260"/>
      <c r="S8090" s="260"/>
      <c r="T8090" s="260"/>
      <c r="U8090" s="260"/>
      <c r="V8090" s="260"/>
      <c r="W8090" s="260"/>
      <c r="X8090" s="260"/>
      <c r="Y8090" s="260"/>
      <c r="Z8090" s="260"/>
      <c r="AA8090" s="260"/>
      <c r="AB8090" s="260"/>
      <c r="AC8090" s="260"/>
      <c r="AD8090" s="260"/>
      <c r="AE8090" s="260"/>
      <c r="AF8090" s="260"/>
      <c r="AG8090" s="330"/>
    </row>
    <row r="8091" spans="14:33" hidden="1">
      <c r="N8091" s="236"/>
      <c r="O8091" s="244"/>
      <c r="P8091" s="260"/>
      <c r="Q8091" s="328"/>
      <c r="R8091" s="260"/>
      <c r="S8091" s="260"/>
      <c r="T8091" s="260"/>
      <c r="U8091" s="260"/>
      <c r="V8091" s="260"/>
      <c r="W8091" s="260"/>
      <c r="X8091" s="260"/>
      <c r="Y8091" s="260"/>
      <c r="Z8091" s="260"/>
      <c r="AA8091" s="260"/>
      <c r="AB8091" s="260"/>
      <c r="AC8091" s="260"/>
      <c r="AD8091" s="260"/>
      <c r="AE8091" s="260"/>
      <c r="AF8091" s="260"/>
      <c r="AG8091" s="330"/>
    </row>
    <row r="8092" spans="14:33" hidden="1">
      <c r="N8092" s="236"/>
      <c r="O8092" s="244"/>
      <c r="P8092" s="260"/>
      <c r="Q8092" s="328"/>
      <c r="R8092" s="260"/>
      <c r="S8092" s="260"/>
      <c r="T8092" s="260"/>
      <c r="U8092" s="260"/>
      <c r="V8092" s="260"/>
      <c r="W8092" s="260"/>
      <c r="X8092" s="260"/>
      <c r="Y8092" s="260"/>
      <c r="Z8092" s="260"/>
      <c r="AA8092" s="260"/>
      <c r="AB8092" s="260"/>
      <c r="AC8092" s="260"/>
      <c r="AD8092" s="260"/>
      <c r="AE8092" s="260"/>
      <c r="AF8092" s="260"/>
      <c r="AG8092" s="330"/>
    </row>
    <row r="8093" spans="14:33" hidden="1">
      <c r="N8093" s="236"/>
      <c r="O8093" s="242"/>
      <c r="P8093" s="260"/>
      <c r="Q8093" s="328"/>
      <c r="R8093" s="260"/>
      <c r="S8093" s="260"/>
      <c r="T8093" s="260"/>
      <c r="U8093" s="260"/>
      <c r="V8093" s="260"/>
      <c r="W8093" s="260"/>
      <c r="X8093" s="260"/>
      <c r="Y8093" s="260"/>
      <c r="Z8093" s="260"/>
      <c r="AA8093" s="260"/>
      <c r="AB8093" s="260"/>
      <c r="AC8093" s="260"/>
      <c r="AD8093" s="260"/>
      <c r="AE8093" s="260"/>
      <c r="AF8093" s="260"/>
      <c r="AG8093" s="330"/>
    </row>
    <row r="8094" spans="14:33" hidden="1">
      <c r="N8094" s="236"/>
      <c r="O8094" s="244"/>
      <c r="P8094" s="260"/>
      <c r="Q8094" s="328"/>
      <c r="R8094" s="260"/>
      <c r="S8094" s="260"/>
      <c r="T8094" s="260"/>
      <c r="U8094" s="260"/>
      <c r="V8094" s="260"/>
      <c r="W8094" s="260"/>
      <c r="X8094" s="260"/>
      <c r="Y8094" s="260"/>
      <c r="Z8094" s="260"/>
      <c r="AA8094" s="260"/>
      <c r="AB8094" s="260"/>
      <c r="AC8094" s="260"/>
      <c r="AD8094" s="260"/>
      <c r="AE8094" s="260"/>
      <c r="AF8094" s="260"/>
      <c r="AG8094" s="330"/>
    </row>
    <row r="8095" spans="14:33" hidden="1">
      <c r="N8095" s="236"/>
      <c r="O8095" s="244"/>
      <c r="P8095" s="260"/>
      <c r="Q8095" s="328"/>
      <c r="R8095" s="260"/>
      <c r="S8095" s="260"/>
      <c r="T8095" s="260"/>
      <c r="U8095" s="260"/>
      <c r="V8095" s="260"/>
      <c r="W8095" s="260"/>
      <c r="X8095" s="260"/>
      <c r="Y8095" s="260"/>
      <c r="Z8095" s="260"/>
      <c r="AA8095" s="260"/>
      <c r="AB8095" s="260"/>
      <c r="AC8095" s="260"/>
      <c r="AD8095" s="260"/>
      <c r="AE8095" s="260"/>
      <c r="AF8095" s="260"/>
      <c r="AG8095" s="330"/>
    </row>
    <row r="8096" spans="14:33" hidden="1">
      <c r="N8096" s="236"/>
      <c r="O8096" s="245"/>
      <c r="P8096" s="260"/>
      <c r="Q8096" s="328"/>
      <c r="R8096" s="260"/>
      <c r="S8096" s="260"/>
      <c r="T8096" s="260"/>
      <c r="U8096" s="260"/>
      <c r="V8096" s="260"/>
      <c r="W8096" s="260"/>
      <c r="X8096" s="260"/>
      <c r="Y8096" s="260"/>
      <c r="Z8096" s="260"/>
      <c r="AA8096" s="260"/>
      <c r="AB8096" s="260"/>
      <c r="AC8096" s="260"/>
      <c r="AD8096" s="260"/>
      <c r="AE8096" s="260"/>
      <c r="AF8096" s="260"/>
      <c r="AG8096" s="330"/>
    </row>
    <row r="8097" spans="13:33" hidden="1">
      <c r="N8097" s="236"/>
      <c r="O8097" s="244"/>
      <c r="P8097" s="260"/>
      <c r="Q8097" s="328"/>
      <c r="R8097" s="260"/>
      <c r="S8097" s="260"/>
      <c r="T8097" s="260"/>
      <c r="U8097" s="260"/>
      <c r="V8097" s="260"/>
      <c r="W8097" s="260"/>
      <c r="X8097" s="260"/>
      <c r="Y8097" s="260"/>
      <c r="Z8097" s="260"/>
      <c r="AA8097" s="260"/>
      <c r="AB8097" s="260"/>
      <c r="AC8097" s="260"/>
      <c r="AD8097" s="260"/>
      <c r="AE8097" s="260"/>
      <c r="AF8097" s="260"/>
      <c r="AG8097" s="330"/>
    </row>
    <row r="8098" spans="13:33" hidden="1">
      <c r="N8098" s="236"/>
      <c r="O8098" s="244"/>
      <c r="P8098" s="260"/>
      <c r="Q8098" s="328"/>
      <c r="R8098" s="260"/>
      <c r="S8098" s="260"/>
      <c r="T8098" s="260"/>
      <c r="U8098" s="260"/>
      <c r="V8098" s="260"/>
      <c r="W8098" s="260"/>
      <c r="X8098" s="260"/>
      <c r="Y8098" s="260"/>
      <c r="Z8098" s="260"/>
      <c r="AA8098" s="260"/>
      <c r="AB8098" s="260"/>
      <c r="AC8098" s="260"/>
      <c r="AD8098" s="260"/>
      <c r="AE8098" s="260"/>
      <c r="AF8098" s="260"/>
      <c r="AG8098" s="330"/>
    </row>
    <row r="8099" spans="13:33" hidden="1">
      <c r="N8099" s="236"/>
      <c r="O8099" s="242"/>
      <c r="P8099" s="260"/>
      <c r="Q8099" s="328"/>
      <c r="R8099" s="260"/>
      <c r="S8099" s="260"/>
      <c r="T8099" s="260"/>
      <c r="U8099" s="260"/>
      <c r="V8099" s="260"/>
      <c r="W8099" s="260"/>
      <c r="X8099" s="260"/>
      <c r="Y8099" s="260"/>
      <c r="Z8099" s="260"/>
      <c r="AA8099" s="260"/>
      <c r="AB8099" s="260"/>
      <c r="AC8099" s="260"/>
      <c r="AD8099" s="260"/>
      <c r="AE8099" s="260"/>
      <c r="AF8099" s="260"/>
      <c r="AG8099" s="330"/>
    </row>
    <row r="8100" spans="13:33" hidden="1">
      <c r="N8100" s="236"/>
      <c r="O8100" s="244"/>
      <c r="P8100" s="260"/>
      <c r="Q8100" s="328"/>
      <c r="R8100" s="260"/>
      <c r="S8100" s="260"/>
      <c r="T8100" s="260"/>
      <c r="U8100" s="260"/>
      <c r="V8100" s="260"/>
      <c r="W8100" s="260"/>
      <c r="X8100" s="260"/>
      <c r="Y8100" s="260"/>
      <c r="Z8100" s="260"/>
      <c r="AA8100" s="260"/>
      <c r="AB8100" s="260"/>
      <c r="AC8100" s="260"/>
      <c r="AD8100" s="260"/>
      <c r="AE8100" s="260"/>
      <c r="AF8100" s="260"/>
      <c r="AG8100" s="330"/>
    </row>
    <row r="8101" spans="13:33" hidden="1">
      <c r="M8101"/>
      <c r="N8101" s="236"/>
      <c r="O8101" s="244"/>
      <c r="P8101" s="260"/>
      <c r="Q8101" s="328"/>
      <c r="R8101" s="260"/>
      <c r="S8101" s="260"/>
      <c r="T8101" s="260"/>
      <c r="U8101" s="260"/>
      <c r="V8101" s="260"/>
      <c r="W8101" s="260"/>
      <c r="X8101" s="260"/>
      <c r="Y8101" s="260"/>
      <c r="Z8101" s="260"/>
      <c r="AA8101" s="260"/>
      <c r="AB8101" s="260"/>
      <c r="AC8101" s="260"/>
      <c r="AD8101" s="260"/>
      <c r="AE8101" s="260"/>
      <c r="AF8101" s="260"/>
      <c r="AG8101" s="330"/>
    </row>
    <row r="8102" spans="13:33" hidden="1">
      <c r="M8102"/>
      <c r="N8102" s="236"/>
      <c r="O8102" s="245"/>
      <c r="P8102" s="260"/>
      <c r="Q8102" s="328"/>
      <c r="R8102" s="260"/>
      <c r="S8102" s="260"/>
      <c r="T8102" s="260"/>
      <c r="U8102" s="260"/>
      <c r="V8102" s="260"/>
      <c r="W8102" s="260"/>
      <c r="X8102" s="260"/>
      <c r="Y8102" s="260"/>
      <c r="Z8102" s="260"/>
      <c r="AA8102" s="260"/>
      <c r="AB8102" s="260"/>
      <c r="AC8102" s="260"/>
      <c r="AD8102" s="260"/>
      <c r="AE8102" s="260"/>
      <c r="AF8102" s="260"/>
      <c r="AG8102" s="330"/>
    </row>
    <row r="8103" spans="13:33" hidden="1">
      <c r="M8103"/>
      <c r="N8103" s="236"/>
      <c r="O8103" s="244"/>
      <c r="P8103" s="260"/>
      <c r="Q8103" s="328"/>
      <c r="R8103" s="260"/>
      <c r="S8103" s="260"/>
      <c r="T8103" s="260"/>
      <c r="U8103" s="260"/>
      <c r="V8103" s="260"/>
      <c r="W8103" s="260"/>
      <c r="X8103" s="260"/>
      <c r="Y8103" s="260"/>
      <c r="Z8103" s="260"/>
      <c r="AA8103" s="260"/>
      <c r="AB8103" s="260"/>
      <c r="AC8103" s="260"/>
      <c r="AD8103" s="260"/>
      <c r="AE8103" s="260"/>
      <c r="AF8103" s="260"/>
      <c r="AG8103" s="330"/>
    </row>
    <row r="8104" spans="13:33" hidden="1">
      <c r="M8104"/>
      <c r="N8104" s="236"/>
      <c r="O8104" s="244"/>
      <c r="P8104" s="260"/>
      <c r="Q8104" s="328"/>
      <c r="R8104" s="260"/>
      <c r="S8104" s="260"/>
      <c r="T8104" s="260"/>
      <c r="U8104" s="260"/>
      <c r="V8104" s="260"/>
      <c r="W8104" s="260"/>
      <c r="X8104" s="260"/>
      <c r="Y8104" s="260"/>
      <c r="Z8104" s="260"/>
      <c r="AA8104" s="260"/>
      <c r="AB8104" s="260"/>
      <c r="AC8104" s="260"/>
      <c r="AD8104" s="260"/>
      <c r="AE8104" s="260"/>
      <c r="AF8104" s="260"/>
      <c r="AG8104" s="330"/>
    </row>
    <row r="8105" spans="13:33" hidden="1">
      <c r="M8105"/>
      <c r="N8105" s="236"/>
      <c r="O8105" s="242"/>
      <c r="P8105" s="260"/>
      <c r="Q8105" s="328"/>
      <c r="R8105" s="260"/>
      <c r="S8105" s="260"/>
      <c r="T8105" s="260"/>
      <c r="U8105" s="260"/>
      <c r="V8105" s="260"/>
      <c r="W8105" s="260"/>
      <c r="X8105" s="260"/>
      <c r="Y8105" s="260"/>
      <c r="Z8105" s="260"/>
      <c r="AA8105" s="260"/>
      <c r="AB8105" s="260"/>
      <c r="AC8105" s="260"/>
      <c r="AD8105" s="260"/>
      <c r="AE8105" s="260"/>
      <c r="AF8105" s="260"/>
      <c r="AG8105" s="330"/>
    </row>
    <row r="8106" spans="13:33" hidden="1">
      <c r="M8106"/>
      <c r="N8106" s="236"/>
      <c r="O8106" s="244"/>
      <c r="P8106" s="260"/>
      <c r="Q8106" s="328"/>
      <c r="R8106" s="260"/>
      <c r="S8106" s="260"/>
      <c r="T8106" s="260"/>
      <c r="U8106" s="260"/>
      <c r="V8106" s="260"/>
      <c r="W8106" s="260"/>
      <c r="X8106" s="260"/>
      <c r="Y8106" s="260"/>
      <c r="Z8106" s="260"/>
      <c r="AA8106" s="260"/>
      <c r="AB8106" s="260"/>
      <c r="AC8106" s="260"/>
      <c r="AD8106" s="260"/>
      <c r="AE8106" s="260"/>
      <c r="AF8106" s="260"/>
      <c r="AG8106" s="330"/>
    </row>
    <row r="8107" spans="13:33" hidden="1">
      <c r="M8107"/>
      <c r="N8107" s="236"/>
      <c r="O8107" s="244"/>
      <c r="P8107" s="260"/>
      <c r="Q8107" s="328"/>
      <c r="R8107" s="260"/>
      <c r="S8107" s="260"/>
      <c r="T8107" s="260"/>
      <c r="U8107" s="260"/>
      <c r="V8107" s="260"/>
      <c r="W8107" s="260"/>
      <c r="X8107" s="260"/>
      <c r="Y8107" s="260"/>
      <c r="Z8107" s="260"/>
      <c r="AA8107" s="260"/>
      <c r="AB8107" s="260"/>
      <c r="AC8107" s="260"/>
      <c r="AD8107" s="260"/>
      <c r="AE8107" s="260"/>
      <c r="AF8107" s="260"/>
      <c r="AG8107" s="330"/>
    </row>
    <row r="8108" spans="13:33" hidden="1">
      <c r="M8108"/>
      <c r="N8108" s="236"/>
      <c r="O8108" s="245"/>
      <c r="P8108" s="260"/>
      <c r="Q8108" s="328"/>
      <c r="R8108" s="260"/>
      <c r="S8108" s="260"/>
      <c r="T8108" s="260"/>
      <c r="U8108" s="260"/>
      <c r="V8108" s="260"/>
      <c r="W8108" s="260"/>
      <c r="X8108" s="260"/>
      <c r="Y8108" s="260"/>
      <c r="Z8108" s="260"/>
      <c r="AA8108" s="260"/>
      <c r="AB8108" s="260"/>
      <c r="AC8108" s="260"/>
      <c r="AD8108" s="260"/>
      <c r="AE8108" s="260"/>
      <c r="AF8108" s="260"/>
      <c r="AG8108" s="330"/>
    </row>
    <row r="8109" spans="13:33" hidden="1">
      <c r="M8109"/>
      <c r="N8109" s="236"/>
      <c r="O8109" s="244"/>
      <c r="P8109" s="260"/>
      <c r="Q8109" s="328"/>
      <c r="R8109" s="260"/>
      <c r="S8109" s="260"/>
      <c r="T8109" s="260"/>
      <c r="U8109" s="260"/>
      <c r="V8109" s="260"/>
      <c r="W8109" s="260"/>
      <c r="X8109" s="260"/>
      <c r="Y8109" s="260"/>
      <c r="Z8109" s="260"/>
      <c r="AA8109" s="260"/>
      <c r="AB8109" s="260"/>
      <c r="AC8109" s="260"/>
      <c r="AD8109" s="260"/>
      <c r="AE8109" s="260"/>
      <c r="AF8109" s="260"/>
      <c r="AG8109" s="330"/>
    </row>
    <row r="8110" spans="13:33">
      <c r="M8110"/>
      <c r="N8110" s="236"/>
      <c r="O8110" s="244"/>
      <c r="P8110" s="260"/>
      <c r="Q8110" s="328"/>
      <c r="R8110" s="260"/>
      <c r="S8110" s="260"/>
      <c r="T8110" s="260"/>
      <c r="U8110" s="260"/>
      <c r="V8110" s="260"/>
      <c r="W8110" s="260"/>
      <c r="X8110" s="260"/>
      <c r="Y8110" s="260"/>
      <c r="Z8110" s="260"/>
      <c r="AA8110" s="260"/>
      <c r="AB8110" s="260"/>
      <c r="AC8110" s="260"/>
      <c r="AD8110" s="260"/>
      <c r="AE8110" s="260"/>
      <c r="AF8110" s="260"/>
      <c r="AG8110" s="330"/>
    </row>
    <row r="8111" spans="13:33">
      <c r="M8111"/>
      <c r="N8111" s="436" t="s">
        <v>771</v>
      </c>
      <c r="O8111" s="591" t="s">
        <v>3043</v>
      </c>
      <c r="P8111" s="257"/>
      <c r="Q8111" s="328"/>
      <c r="R8111" s="260"/>
      <c r="S8111" s="260"/>
      <c r="T8111" s="257">
        <f>SUM(T8112:T8113)</f>
        <v>0</v>
      </c>
      <c r="U8111" s="260"/>
      <c r="V8111" s="260"/>
      <c r="W8111" s="257">
        <f>SUM(W8112:W8113)</f>
        <v>0</v>
      </c>
      <c r="X8111" s="260"/>
      <c r="Y8111" s="260"/>
      <c r="Z8111" s="257">
        <f>SUM(Z8112:Z8113)</f>
        <v>0</v>
      </c>
      <c r="AA8111" s="260"/>
      <c r="AB8111" s="260"/>
      <c r="AC8111" s="257">
        <f>SUM(AC8112:AC8113)</f>
        <v>0</v>
      </c>
      <c r="AD8111" s="260"/>
      <c r="AE8111" s="260"/>
      <c r="AF8111" s="257">
        <f>SUM(AF8112:AF8113)</f>
        <v>0</v>
      </c>
      <c r="AG8111" s="321"/>
    </row>
    <row r="8112" spans="13:33">
      <c r="M8112"/>
      <c r="N8112" s="436" t="s">
        <v>772</v>
      </c>
      <c r="O8112" s="592" t="s">
        <v>3044</v>
      </c>
      <c r="P8112" s="257"/>
      <c r="Q8112" s="328"/>
      <c r="R8112" s="260"/>
      <c r="S8112" s="260"/>
      <c r="T8112" s="261"/>
      <c r="U8112" s="260"/>
      <c r="V8112" s="260"/>
      <c r="W8112" s="261"/>
      <c r="X8112" s="260"/>
      <c r="Y8112" s="260"/>
      <c r="Z8112" s="261"/>
      <c r="AA8112" s="260"/>
      <c r="AB8112" s="260"/>
      <c r="AC8112" s="261"/>
      <c r="AD8112" s="260"/>
      <c r="AE8112" s="260"/>
      <c r="AF8112" s="261"/>
      <c r="AG8112" s="321"/>
    </row>
    <row r="8113" spans="13:33">
      <c r="M8113"/>
      <c r="N8113" s="236" t="s">
        <v>773</v>
      </c>
      <c r="O8113" s="248" t="s">
        <v>3045</v>
      </c>
      <c r="P8113" s="257"/>
      <c r="Q8113" s="328"/>
      <c r="R8113" s="260"/>
      <c r="S8113" s="260"/>
      <c r="T8113" s="261"/>
      <c r="U8113" s="260"/>
      <c r="V8113" s="260"/>
      <c r="W8113" s="261"/>
      <c r="X8113" s="260"/>
      <c r="Y8113" s="260"/>
      <c r="Z8113" s="261"/>
      <c r="AA8113" s="260"/>
      <c r="AB8113" s="260"/>
      <c r="AC8113" s="261"/>
      <c r="AD8113" s="260"/>
      <c r="AE8113" s="260"/>
      <c r="AF8113" s="261"/>
      <c r="AG8113" s="321"/>
    </row>
    <row r="8114" spans="13:33">
      <c r="M8114"/>
      <c r="N8114" s="236" t="s">
        <v>3046</v>
      </c>
      <c r="O8114" s="242" t="s">
        <v>2972</v>
      </c>
      <c r="P8114" s="257"/>
      <c r="Q8114" s="328"/>
      <c r="R8114" s="260"/>
      <c r="S8114" s="260"/>
      <c r="T8114" s="261"/>
      <c r="U8114" s="260"/>
      <c r="V8114" s="260"/>
      <c r="W8114" s="261"/>
      <c r="X8114" s="260"/>
      <c r="Y8114" s="260"/>
      <c r="Z8114" s="261"/>
      <c r="AA8114" s="260"/>
      <c r="AB8114" s="260"/>
      <c r="AC8114" s="261"/>
      <c r="AD8114" s="260"/>
      <c r="AE8114" s="260"/>
      <c r="AF8114" s="261"/>
      <c r="AG8114" s="321"/>
    </row>
    <row r="8115" spans="13:33" ht="11.25" customHeight="1">
      <c r="M8115"/>
      <c r="N8115" s="236" t="s">
        <v>3047</v>
      </c>
      <c r="O8115" s="242" t="s">
        <v>2988</v>
      </c>
      <c r="P8115" s="257"/>
      <c r="Q8115" s="328"/>
      <c r="R8115" s="260"/>
      <c r="S8115" s="260"/>
      <c r="T8115" s="261"/>
      <c r="U8115" s="260"/>
      <c r="V8115" s="260"/>
      <c r="W8115" s="261"/>
      <c r="X8115" s="260"/>
      <c r="Y8115" s="260"/>
      <c r="Z8115" s="261"/>
      <c r="AA8115" s="260"/>
      <c r="AB8115" s="260"/>
      <c r="AC8115" s="261"/>
      <c r="AD8115" s="260"/>
      <c r="AE8115" s="260"/>
      <c r="AF8115" s="261"/>
      <c r="AG8115" s="321"/>
    </row>
    <row r="8116" spans="13:33" ht="11.25" customHeight="1">
      <c r="M8116"/>
      <c r="N8116" s="236"/>
      <c r="O8116" s="242"/>
      <c r="P8116" s="260"/>
      <c r="Q8116" s="328"/>
      <c r="R8116" s="260"/>
      <c r="S8116" s="260"/>
      <c r="T8116" s="260"/>
      <c r="U8116" s="260"/>
      <c r="V8116" s="260"/>
      <c r="W8116" s="260"/>
      <c r="X8116" s="260"/>
      <c r="Y8116" s="260"/>
      <c r="Z8116" s="260"/>
      <c r="AA8116" s="260"/>
      <c r="AB8116" s="260"/>
      <c r="AC8116" s="260"/>
      <c r="AD8116" s="260"/>
      <c r="AE8116" s="260"/>
      <c r="AF8116" s="260"/>
      <c r="AG8116" s="330"/>
    </row>
    <row r="8117" spans="13:33" ht="11.25" hidden="1" customHeight="1">
      <c r="M8117"/>
      <c r="N8117" s="236"/>
      <c r="O8117" s="244"/>
      <c r="P8117" s="260"/>
      <c r="Q8117" s="328"/>
      <c r="R8117" s="260"/>
      <c r="S8117" s="260"/>
      <c r="T8117" s="260"/>
      <c r="U8117" s="260"/>
      <c r="V8117" s="260"/>
      <c r="W8117" s="260"/>
      <c r="X8117" s="260"/>
      <c r="Y8117" s="260"/>
      <c r="Z8117" s="260"/>
      <c r="AA8117" s="260"/>
      <c r="AB8117" s="260"/>
      <c r="AC8117" s="260"/>
      <c r="AD8117" s="260"/>
      <c r="AE8117" s="260"/>
      <c r="AF8117" s="260"/>
      <c r="AG8117" s="330"/>
    </row>
    <row r="8118" spans="13:33" ht="11.25" hidden="1" customHeight="1">
      <c r="M8118"/>
      <c r="N8118" s="236"/>
      <c r="O8118" s="244"/>
      <c r="P8118" s="260"/>
      <c r="Q8118" s="328"/>
      <c r="R8118" s="260"/>
      <c r="S8118" s="260"/>
      <c r="T8118" s="260"/>
      <c r="U8118" s="260"/>
      <c r="V8118" s="260"/>
      <c r="W8118" s="260"/>
      <c r="X8118" s="260"/>
      <c r="Y8118" s="260"/>
      <c r="Z8118" s="260"/>
      <c r="AA8118" s="260"/>
      <c r="AB8118" s="260"/>
      <c r="AC8118" s="260"/>
      <c r="AD8118" s="260"/>
      <c r="AE8118" s="260"/>
      <c r="AF8118" s="260"/>
      <c r="AG8118" s="330"/>
    </row>
    <row r="8119" spans="13:33" ht="11.25" hidden="1" customHeight="1">
      <c r="M8119"/>
      <c r="N8119" s="236"/>
      <c r="O8119" s="245"/>
      <c r="P8119" s="260"/>
      <c r="Q8119" s="328"/>
      <c r="R8119" s="260"/>
      <c r="S8119" s="260"/>
      <c r="T8119" s="260"/>
      <c r="U8119" s="260"/>
      <c r="V8119" s="260"/>
      <c r="W8119" s="260"/>
      <c r="X8119" s="260"/>
      <c r="Y8119" s="260"/>
      <c r="Z8119" s="260"/>
      <c r="AA8119" s="260"/>
      <c r="AB8119" s="260"/>
      <c r="AC8119" s="260"/>
      <c r="AD8119" s="260"/>
      <c r="AE8119" s="260"/>
      <c r="AF8119" s="260"/>
      <c r="AG8119" s="330"/>
    </row>
    <row r="8120" spans="13:33" ht="11.25" hidden="1" customHeight="1">
      <c r="M8120"/>
      <c r="N8120" s="236"/>
      <c r="O8120" s="244"/>
      <c r="P8120" s="260"/>
      <c r="Q8120" s="328"/>
      <c r="R8120" s="260"/>
      <c r="S8120" s="260"/>
      <c r="T8120" s="260"/>
      <c r="U8120" s="260"/>
      <c r="V8120" s="260"/>
      <c r="W8120" s="260"/>
      <c r="X8120" s="260"/>
      <c r="Y8120" s="260"/>
      <c r="Z8120" s="260"/>
      <c r="AA8120" s="260"/>
      <c r="AB8120" s="260"/>
      <c r="AC8120" s="260"/>
      <c r="AD8120" s="260"/>
      <c r="AE8120" s="260"/>
      <c r="AF8120" s="260"/>
      <c r="AG8120" s="330"/>
    </row>
    <row r="8121" spans="13:33" ht="11.25" hidden="1" customHeight="1">
      <c r="M8121"/>
      <c r="N8121" s="236"/>
      <c r="O8121" s="244"/>
      <c r="P8121" s="260"/>
      <c r="Q8121" s="328"/>
      <c r="R8121" s="260"/>
      <c r="S8121" s="260"/>
      <c r="T8121" s="260"/>
      <c r="U8121" s="260"/>
      <c r="V8121" s="260"/>
      <c r="W8121" s="260"/>
      <c r="X8121" s="260"/>
      <c r="Y8121" s="260"/>
      <c r="Z8121" s="260"/>
      <c r="AA8121" s="260"/>
      <c r="AB8121" s="260"/>
      <c r="AC8121" s="260"/>
      <c r="AD8121" s="260"/>
      <c r="AE8121" s="260"/>
      <c r="AF8121" s="260"/>
      <c r="AG8121" s="330"/>
    </row>
    <row r="8122" spans="13:33" ht="11.25" hidden="1" customHeight="1">
      <c r="M8122"/>
      <c r="N8122" s="236"/>
      <c r="O8122" s="242"/>
      <c r="P8122" s="260"/>
      <c r="Q8122" s="328"/>
      <c r="R8122" s="260"/>
      <c r="S8122" s="260"/>
      <c r="T8122" s="260"/>
      <c r="U8122" s="260"/>
      <c r="V8122" s="260"/>
      <c r="W8122" s="260"/>
      <c r="X8122" s="260"/>
      <c r="Y8122" s="260"/>
      <c r="Z8122" s="260"/>
      <c r="AA8122" s="260"/>
      <c r="AB8122" s="260"/>
      <c r="AC8122" s="260"/>
      <c r="AD8122" s="260"/>
      <c r="AE8122" s="260"/>
      <c r="AF8122" s="260"/>
      <c r="AG8122" s="330"/>
    </row>
    <row r="8123" spans="13:33" ht="11.25" hidden="1" customHeight="1">
      <c r="M8123"/>
      <c r="N8123" s="236"/>
      <c r="O8123" s="244"/>
      <c r="P8123" s="260"/>
      <c r="Q8123" s="328"/>
      <c r="R8123" s="260"/>
      <c r="S8123" s="260"/>
      <c r="T8123" s="260"/>
      <c r="U8123" s="260"/>
      <c r="V8123" s="260"/>
      <c r="W8123" s="260"/>
      <c r="X8123" s="260"/>
      <c r="Y8123" s="260"/>
      <c r="Z8123" s="260"/>
      <c r="AA8123" s="260"/>
      <c r="AB8123" s="260"/>
      <c r="AC8123" s="260"/>
      <c r="AD8123" s="260"/>
      <c r="AE8123" s="260"/>
      <c r="AF8123" s="260"/>
      <c r="AG8123" s="330"/>
    </row>
    <row r="8124" spans="13:33" ht="11.25" hidden="1" customHeight="1">
      <c r="M8124"/>
      <c r="N8124" s="236"/>
      <c r="O8124" s="244"/>
      <c r="P8124" s="260"/>
      <c r="Q8124" s="328"/>
      <c r="R8124" s="260"/>
      <c r="S8124" s="260"/>
      <c r="T8124" s="260"/>
      <c r="U8124" s="260"/>
      <c r="V8124" s="260"/>
      <c r="W8124" s="260"/>
      <c r="X8124" s="260"/>
      <c r="Y8124" s="260"/>
      <c r="Z8124" s="260"/>
      <c r="AA8124" s="260"/>
      <c r="AB8124" s="260"/>
      <c r="AC8124" s="260"/>
      <c r="AD8124" s="260"/>
      <c r="AE8124" s="260"/>
      <c r="AF8124" s="260"/>
      <c r="AG8124" s="330"/>
    </row>
    <row r="8125" spans="13:33" ht="11.25" hidden="1" customHeight="1">
      <c r="M8125"/>
      <c r="N8125" s="236"/>
      <c r="O8125" s="245"/>
      <c r="P8125" s="260"/>
      <c r="Q8125" s="328"/>
      <c r="R8125" s="260"/>
      <c r="S8125" s="260"/>
      <c r="T8125" s="260"/>
      <c r="U8125" s="260"/>
      <c r="V8125" s="260"/>
      <c r="W8125" s="260"/>
      <c r="X8125" s="260"/>
      <c r="Y8125" s="260"/>
      <c r="Z8125" s="260"/>
      <c r="AA8125" s="260"/>
      <c r="AB8125" s="260"/>
      <c r="AC8125" s="260"/>
      <c r="AD8125" s="260"/>
      <c r="AE8125" s="260"/>
      <c r="AF8125" s="260"/>
      <c r="AG8125" s="330"/>
    </row>
    <row r="8126" spans="13:33" ht="11.25" hidden="1" customHeight="1">
      <c r="M8126"/>
      <c r="N8126" s="236"/>
      <c r="O8126" s="244"/>
      <c r="P8126" s="260"/>
      <c r="Q8126" s="328"/>
      <c r="R8126" s="260"/>
      <c r="S8126" s="260"/>
      <c r="T8126" s="260"/>
      <c r="U8126" s="260"/>
      <c r="V8126" s="260"/>
      <c r="W8126" s="260"/>
      <c r="X8126" s="260"/>
      <c r="Y8126" s="260"/>
      <c r="Z8126" s="260"/>
      <c r="AA8126" s="260"/>
      <c r="AB8126" s="260"/>
      <c r="AC8126" s="260"/>
      <c r="AD8126" s="260"/>
      <c r="AE8126" s="260"/>
      <c r="AF8126" s="260"/>
      <c r="AG8126" s="330"/>
    </row>
    <row r="8127" spans="13:33" ht="11.25" hidden="1" customHeight="1">
      <c r="M8127"/>
      <c r="N8127" s="236"/>
      <c r="O8127" s="244"/>
      <c r="P8127" s="260"/>
      <c r="Q8127" s="328"/>
      <c r="R8127" s="260"/>
      <c r="S8127" s="260"/>
      <c r="T8127" s="260"/>
      <c r="U8127" s="260"/>
      <c r="V8127" s="260"/>
      <c r="W8127" s="260"/>
      <c r="X8127" s="260"/>
      <c r="Y8127" s="260"/>
      <c r="Z8127" s="260"/>
      <c r="AA8127" s="260"/>
      <c r="AB8127" s="260"/>
      <c r="AC8127" s="260"/>
      <c r="AD8127" s="260"/>
      <c r="AE8127" s="260"/>
      <c r="AF8127" s="260"/>
      <c r="AG8127" s="330"/>
    </row>
    <row r="8128" spans="13:33" hidden="1">
      <c r="M8128"/>
      <c r="N8128" s="236"/>
      <c r="O8128" s="242"/>
      <c r="P8128" s="260"/>
      <c r="Q8128" s="328"/>
      <c r="R8128" s="260"/>
      <c r="S8128" s="260"/>
      <c r="T8128" s="260"/>
      <c r="U8128" s="260"/>
      <c r="V8128" s="260"/>
      <c r="W8128" s="260"/>
      <c r="X8128" s="260"/>
      <c r="Y8128" s="260"/>
      <c r="Z8128" s="260"/>
      <c r="AA8128" s="260"/>
      <c r="AB8128" s="260"/>
      <c r="AC8128" s="260"/>
      <c r="AD8128" s="260"/>
      <c r="AE8128" s="260"/>
      <c r="AF8128" s="260"/>
      <c r="AG8128" s="330"/>
    </row>
    <row r="8129" spans="13:34" hidden="1">
      <c r="M8129"/>
      <c r="N8129" s="236"/>
      <c r="O8129" s="244"/>
      <c r="P8129" s="260"/>
      <c r="Q8129" s="328"/>
      <c r="R8129" s="260"/>
      <c r="S8129" s="260"/>
      <c r="T8129" s="260"/>
      <c r="U8129" s="260"/>
      <c r="V8129" s="260"/>
      <c r="W8129" s="260"/>
      <c r="X8129" s="260"/>
      <c r="Y8129" s="260"/>
      <c r="Z8129" s="260"/>
      <c r="AA8129" s="260"/>
      <c r="AB8129" s="260"/>
      <c r="AC8129" s="260"/>
      <c r="AD8129" s="260"/>
      <c r="AE8129" s="260"/>
      <c r="AF8129" s="260"/>
      <c r="AG8129" s="330"/>
    </row>
    <row r="8130" spans="13:34" hidden="1">
      <c r="M8130"/>
      <c r="N8130" s="236"/>
      <c r="O8130" s="244"/>
      <c r="P8130" s="260"/>
      <c r="Q8130" s="328"/>
      <c r="R8130" s="260"/>
      <c r="S8130" s="260"/>
      <c r="T8130" s="260"/>
      <c r="U8130" s="260"/>
      <c r="V8130" s="260"/>
      <c r="W8130" s="260"/>
      <c r="X8130" s="260"/>
      <c r="Y8130" s="260"/>
      <c r="Z8130" s="260"/>
      <c r="AA8130" s="260"/>
      <c r="AB8130" s="260"/>
      <c r="AC8130" s="260"/>
      <c r="AD8130" s="260"/>
      <c r="AE8130" s="260"/>
      <c r="AF8130" s="260"/>
      <c r="AG8130" s="330"/>
    </row>
    <row r="8131" spans="13:34" hidden="1">
      <c r="M8131"/>
      <c r="N8131" s="236"/>
      <c r="O8131" s="245"/>
      <c r="P8131" s="260"/>
      <c r="Q8131" s="328"/>
      <c r="R8131" s="260"/>
      <c r="S8131" s="260"/>
      <c r="T8131" s="260"/>
      <c r="U8131" s="260"/>
      <c r="V8131" s="260"/>
      <c r="W8131" s="260"/>
      <c r="X8131" s="260"/>
      <c r="Y8131" s="260"/>
      <c r="Z8131" s="260"/>
      <c r="AA8131" s="260"/>
      <c r="AB8131" s="260"/>
      <c r="AC8131" s="260"/>
      <c r="AD8131" s="260"/>
      <c r="AE8131" s="260"/>
      <c r="AF8131" s="260"/>
      <c r="AG8131" s="330"/>
    </row>
    <row r="8132" spans="13:34" hidden="1">
      <c r="M8132"/>
      <c r="N8132" s="236"/>
      <c r="O8132" s="244"/>
      <c r="P8132" s="260"/>
      <c r="Q8132" s="328"/>
      <c r="R8132" s="260"/>
      <c r="S8132" s="260"/>
      <c r="T8132" s="260"/>
      <c r="U8132" s="260"/>
      <c r="V8132" s="260"/>
      <c r="W8132" s="260"/>
      <c r="X8132" s="260"/>
      <c r="Y8132" s="260"/>
      <c r="Z8132" s="260"/>
      <c r="AA8132" s="260"/>
      <c r="AB8132" s="260"/>
      <c r="AC8132" s="260"/>
      <c r="AD8132" s="260"/>
      <c r="AE8132" s="260"/>
      <c r="AF8132" s="260"/>
      <c r="AG8132" s="330"/>
    </row>
    <row r="8133" spans="13:34" hidden="1">
      <c r="N8133" s="236"/>
      <c r="O8133" s="244"/>
      <c r="P8133" s="260"/>
      <c r="Q8133" s="328"/>
      <c r="R8133" s="260"/>
      <c r="S8133" s="260"/>
      <c r="T8133" s="260"/>
      <c r="U8133" s="260"/>
      <c r="V8133" s="260"/>
      <c r="W8133" s="260"/>
      <c r="X8133" s="260"/>
      <c r="Y8133" s="260"/>
      <c r="Z8133" s="260"/>
      <c r="AA8133" s="260"/>
      <c r="AB8133" s="260"/>
      <c r="AC8133" s="260"/>
      <c r="AD8133" s="260"/>
      <c r="AE8133" s="260"/>
      <c r="AF8133" s="260"/>
      <c r="AG8133" s="330"/>
    </row>
    <row r="8134" spans="13:34" hidden="1">
      <c r="N8134" s="236"/>
      <c r="O8134" s="242"/>
      <c r="P8134" s="260"/>
      <c r="Q8134" s="328"/>
      <c r="R8134" s="260"/>
      <c r="S8134" s="260"/>
      <c r="T8134" s="260"/>
      <c r="U8134" s="260"/>
      <c r="V8134" s="260"/>
      <c r="W8134" s="260"/>
      <c r="X8134" s="260"/>
      <c r="Y8134" s="260"/>
      <c r="Z8134" s="260"/>
      <c r="AA8134" s="260"/>
      <c r="AB8134" s="260"/>
      <c r="AC8134" s="260"/>
      <c r="AD8134" s="260"/>
      <c r="AE8134" s="260"/>
      <c r="AF8134" s="260"/>
      <c r="AG8134" s="330"/>
    </row>
    <row r="8135" spans="13:34" hidden="1">
      <c r="N8135" s="236"/>
      <c r="O8135" s="244"/>
      <c r="P8135" s="260"/>
      <c r="Q8135" s="328"/>
      <c r="R8135" s="260"/>
      <c r="S8135" s="260"/>
      <c r="T8135" s="260"/>
      <c r="U8135" s="260"/>
      <c r="V8135" s="260"/>
      <c r="W8135" s="260"/>
      <c r="X8135" s="260"/>
      <c r="Y8135" s="260"/>
      <c r="Z8135" s="260"/>
      <c r="AA8135" s="260"/>
      <c r="AB8135" s="260"/>
      <c r="AC8135" s="260"/>
      <c r="AD8135" s="260"/>
      <c r="AE8135" s="260"/>
      <c r="AF8135" s="260"/>
      <c r="AG8135" s="330"/>
    </row>
    <row r="8136" spans="13:34" hidden="1">
      <c r="N8136" s="236"/>
      <c r="O8136" s="244"/>
      <c r="P8136" s="260"/>
      <c r="Q8136" s="328"/>
      <c r="R8136" s="260"/>
      <c r="S8136" s="260"/>
      <c r="T8136" s="260"/>
      <c r="U8136" s="260"/>
      <c r="V8136" s="260"/>
      <c r="W8136" s="260"/>
      <c r="X8136" s="260"/>
      <c r="Y8136" s="260"/>
      <c r="Z8136" s="260"/>
      <c r="AA8136" s="260"/>
      <c r="AB8136" s="260"/>
      <c r="AC8136" s="260"/>
      <c r="AD8136" s="260"/>
      <c r="AE8136" s="260"/>
      <c r="AF8136" s="260"/>
      <c r="AG8136" s="330"/>
    </row>
    <row r="8137" spans="13:34" customFormat="1" hidden="1">
      <c r="N8137" s="236"/>
      <c r="O8137" s="245"/>
      <c r="P8137" s="260"/>
      <c r="Q8137" s="328"/>
      <c r="R8137" s="260"/>
      <c r="S8137" s="260"/>
      <c r="T8137" s="260"/>
      <c r="U8137" s="260"/>
      <c r="V8137" s="260"/>
      <c r="W8137" s="260"/>
      <c r="X8137" s="260"/>
      <c r="Y8137" s="260"/>
      <c r="Z8137" s="260"/>
      <c r="AA8137" s="260"/>
      <c r="AB8137" s="260"/>
      <c r="AC8137" s="260"/>
      <c r="AD8137" s="260"/>
      <c r="AE8137" s="260"/>
      <c r="AF8137" s="260"/>
      <c r="AG8137" s="330"/>
    </row>
    <row r="8138" spans="13:34" customFormat="1" hidden="1">
      <c r="N8138" s="236"/>
      <c r="O8138" s="244"/>
      <c r="P8138" s="260"/>
      <c r="Q8138" s="328"/>
      <c r="R8138" s="260"/>
      <c r="S8138" s="260"/>
      <c r="T8138" s="260"/>
      <c r="U8138" s="260"/>
      <c r="V8138" s="260"/>
      <c r="W8138" s="260"/>
      <c r="X8138" s="260"/>
      <c r="Y8138" s="260"/>
      <c r="Z8138" s="260"/>
      <c r="AA8138" s="260"/>
      <c r="AB8138" s="260"/>
      <c r="AC8138" s="260"/>
      <c r="AD8138" s="260"/>
      <c r="AE8138" s="260"/>
      <c r="AF8138" s="260"/>
      <c r="AG8138" s="330"/>
    </row>
    <row r="8139" spans="13:34" customFormat="1">
      <c r="N8139" s="236"/>
      <c r="O8139" s="244"/>
      <c r="P8139" s="260"/>
      <c r="Q8139" s="328"/>
      <c r="R8139" s="260"/>
      <c r="S8139" s="260"/>
      <c r="T8139" s="260"/>
      <c r="U8139" s="260"/>
      <c r="V8139" s="260"/>
      <c r="W8139" s="260"/>
      <c r="X8139" s="260"/>
      <c r="Y8139" s="260"/>
      <c r="Z8139" s="260"/>
      <c r="AA8139" s="260"/>
      <c r="AB8139" s="260"/>
      <c r="AC8139" s="260"/>
      <c r="AD8139" s="260"/>
      <c r="AE8139" s="260"/>
      <c r="AF8139" s="260"/>
      <c r="AG8139" s="330"/>
    </row>
    <row r="8140" spans="13:34" customFormat="1">
      <c r="N8140" s="234" t="s">
        <v>3072</v>
      </c>
      <c r="O8140" s="235" t="s">
        <v>799</v>
      </c>
      <c r="P8140" s="257"/>
      <c r="Q8140" s="328"/>
      <c r="R8140" s="260"/>
      <c r="S8140" s="260"/>
      <c r="T8140" s="257">
        <f>SUM(T8144,T8150,T8156,T8159,T8162)</f>
        <v>0</v>
      </c>
      <c r="U8140" s="260"/>
      <c r="V8140" s="260"/>
      <c r="W8140" s="257">
        <f>SUM(W8144,W8150,W8156,W8159,W8162)</f>
        <v>0</v>
      </c>
      <c r="X8140" s="260"/>
      <c r="Y8140" s="260"/>
      <c r="Z8140" s="257">
        <f>SUM(Z8144,Z8150,Z8156,Z8159,Z8162)</f>
        <v>0</v>
      </c>
      <c r="AA8140" s="260"/>
      <c r="AB8140" s="260"/>
      <c r="AC8140" s="257">
        <f>SUM(AC8144,AC8150,AC8156,AC8159,AC8162)</f>
        <v>0</v>
      </c>
      <c r="AD8140" s="260"/>
      <c r="AE8140" s="260"/>
      <c r="AF8140" s="257">
        <f>SUM(AF8144,AF8150,AF8156,AF8159,AF8162)</f>
        <v>0</v>
      </c>
      <c r="AG8140" s="321"/>
      <c r="AH8140" s="1"/>
    </row>
    <row r="8141" spans="13:34" customFormat="1">
      <c r="N8141" s="234"/>
      <c r="O8141" s="235"/>
      <c r="P8141" s="260"/>
      <c r="Q8141" s="328"/>
      <c r="R8141" s="260"/>
      <c r="S8141" s="260"/>
      <c r="T8141" s="260"/>
      <c r="U8141" s="260"/>
      <c r="V8141" s="260"/>
      <c r="W8141" s="260"/>
      <c r="X8141" s="260"/>
      <c r="Y8141" s="260"/>
      <c r="Z8141" s="260"/>
      <c r="AA8141" s="260"/>
      <c r="AB8141" s="260"/>
      <c r="AC8141" s="260"/>
      <c r="AD8141" s="260"/>
      <c r="AE8141" s="260"/>
      <c r="AF8141" s="260"/>
      <c r="AG8141" s="330"/>
    </row>
    <row r="8142" spans="13:34" customFormat="1">
      <c r="N8142" s="234"/>
      <c r="O8142" s="235"/>
      <c r="P8142" s="260"/>
      <c r="Q8142" s="328"/>
      <c r="R8142" s="260"/>
      <c r="S8142" s="260"/>
      <c r="T8142" s="260"/>
      <c r="U8142" s="260"/>
      <c r="V8142" s="260"/>
      <c r="W8142" s="260"/>
      <c r="X8142" s="260"/>
      <c r="Y8142" s="260"/>
      <c r="Z8142" s="260"/>
      <c r="AA8142" s="260"/>
      <c r="AB8142" s="260"/>
      <c r="AC8142" s="260"/>
      <c r="AD8142" s="260"/>
      <c r="AE8142" s="260"/>
      <c r="AF8142" s="260"/>
      <c r="AG8142" s="330"/>
    </row>
    <row r="8143" spans="13:34" customFormat="1">
      <c r="N8143" s="234"/>
      <c r="O8143" s="235"/>
      <c r="P8143" s="260"/>
      <c r="Q8143" s="328"/>
      <c r="R8143" s="260"/>
      <c r="S8143" s="260"/>
      <c r="T8143" s="260"/>
      <c r="U8143" s="260"/>
      <c r="V8143" s="260"/>
      <c r="W8143" s="260"/>
      <c r="X8143" s="260"/>
      <c r="Y8143" s="260"/>
      <c r="Z8143" s="260"/>
      <c r="AA8143" s="260"/>
      <c r="AB8143" s="260"/>
      <c r="AC8143" s="260"/>
      <c r="AD8143" s="260"/>
      <c r="AE8143" s="260"/>
      <c r="AF8143" s="260"/>
      <c r="AG8143" s="330"/>
    </row>
    <row r="8144" spans="13:34" customFormat="1">
      <c r="N8144" s="236" t="s">
        <v>75</v>
      </c>
      <c r="O8144" s="224" t="s">
        <v>1832</v>
      </c>
      <c r="P8144" s="257"/>
      <c r="Q8144" s="328"/>
      <c r="R8144" s="260"/>
      <c r="S8144" s="260"/>
      <c r="T8144" s="261"/>
      <c r="U8144" s="260"/>
      <c r="V8144" s="260"/>
      <c r="W8144" s="261"/>
      <c r="X8144" s="260"/>
      <c r="Y8144" s="260"/>
      <c r="Z8144" s="261"/>
      <c r="AA8144" s="260"/>
      <c r="AB8144" s="260"/>
      <c r="AC8144" s="261"/>
      <c r="AD8144" s="260"/>
      <c r="AE8144" s="260"/>
      <c r="AF8144" s="261"/>
      <c r="AG8144" s="321"/>
      <c r="AH8144" s="1"/>
    </row>
    <row r="8145" spans="14:34" customFormat="1">
      <c r="N8145" s="236"/>
      <c r="O8145" s="225"/>
      <c r="P8145" s="255"/>
      <c r="Q8145" s="328"/>
      <c r="R8145" s="260"/>
      <c r="S8145" s="260"/>
      <c r="T8145" s="260"/>
      <c r="U8145" s="260"/>
      <c r="V8145" s="260"/>
      <c r="W8145" s="260"/>
      <c r="X8145" s="260"/>
      <c r="Y8145" s="260"/>
      <c r="Z8145" s="260"/>
      <c r="AA8145" s="260"/>
      <c r="AB8145" s="260"/>
      <c r="AC8145" s="260"/>
      <c r="AD8145" s="260"/>
      <c r="AE8145" s="260"/>
      <c r="AF8145" s="260"/>
      <c r="AG8145" s="330"/>
    </row>
    <row r="8146" spans="14:34" customFormat="1">
      <c r="N8146" s="236"/>
      <c r="O8146" s="225"/>
      <c r="P8146" s="260"/>
      <c r="Q8146" s="328"/>
      <c r="R8146" s="260"/>
      <c r="S8146" s="260"/>
      <c r="T8146" s="260"/>
      <c r="U8146" s="260"/>
      <c r="V8146" s="260"/>
      <c r="W8146" s="260"/>
      <c r="X8146" s="260"/>
      <c r="Y8146" s="260"/>
      <c r="Z8146" s="260"/>
      <c r="AA8146" s="260"/>
      <c r="AB8146" s="260"/>
      <c r="AC8146" s="260"/>
      <c r="AD8146" s="260"/>
      <c r="AE8146" s="260"/>
      <c r="AF8146" s="260"/>
      <c r="AG8146" s="330"/>
    </row>
    <row r="8147" spans="14:34" customFormat="1">
      <c r="N8147" s="236"/>
      <c r="O8147" s="225"/>
      <c r="P8147" s="260"/>
      <c r="Q8147" s="328"/>
      <c r="R8147" s="260"/>
      <c r="S8147" s="260"/>
      <c r="T8147" s="260"/>
      <c r="U8147" s="260"/>
      <c r="V8147" s="260"/>
      <c r="W8147" s="260"/>
      <c r="X8147" s="260"/>
      <c r="Y8147" s="260"/>
      <c r="Z8147" s="260"/>
      <c r="AA8147" s="260"/>
      <c r="AB8147" s="260"/>
      <c r="AC8147" s="260"/>
      <c r="AD8147" s="260"/>
      <c r="AE8147" s="260"/>
      <c r="AF8147" s="260"/>
      <c r="AG8147" s="330"/>
    </row>
    <row r="8148" spans="14:34" customFormat="1">
      <c r="N8148" s="236"/>
      <c r="O8148" s="225"/>
      <c r="P8148" s="260"/>
      <c r="Q8148" s="328"/>
      <c r="R8148" s="260"/>
      <c r="S8148" s="260"/>
      <c r="T8148" s="260"/>
      <c r="U8148" s="260"/>
      <c r="V8148" s="260"/>
      <c r="W8148" s="260"/>
      <c r="X8148" s="260"/>
      <c r="Y8148" s="260"/>
      <c r="Z8148" s="260"/>
      <c r="AA8148" s="260"/>
      <c r="AB8148" s="260"/>
      <c r="AC8148" s="260"/>
      <c r="AD8148" s="260"/>
      <c r="AE8148" s="260"/>
      <c r="AF8148" s="260"/>
      <c r="AG8148" s="330"/>
    </row>
    <row r="8149" spans="14:34" customFormat="1">
      <c r="N8149" s="236"/>
      <c r="O8149" s="225"/>
      <c r="P8149" s="260"/>
      <c r="Q8149" s="328"/>
      <c r="R8149" s="260"/>
      <c r="S8149" s="260"/>
      <c r="T8149" s="260"/>
      <c r="U8149" s="260"/>
      <c r="V8149" s="260"/>
      <c r="W8149" s="260"/>
      <c r="X8149" s="260"/>
      <c r="Y8149" s="260"/>
      <c r="Z8149" s="260"/>
      <c r="AA8149" s="260"/>
      <c r="AB8149" s="260"/>
      <c r="AC8149" s="260"/>
      <c r="AD8149" s="260"/>
      <c r="AE8149" s="260"/>
      <c r="AF8149" s="260"/>
      <c r="AG8149" s="330"/>
    </row>
    <row r="8150" spans="14:34" customFormat="1">
      <c r="N8150" s="236" t="s">
        <v>62</v>
      </c>
      <c r="O8150" s="224" t="s">
        <v>1838</v>
      </c>
      <c r="P8150" s="257"/>
      <c r="Q8150" s="328"/>
      <c r="R8150" s="260"/>
      <c r="S8150" s="260"/>
      <c r="T8150" s="261"/>
      <c r="U8150" s="260"/>
      <c r="V8150" s="260"/>
      <c r="W8150" s="261"/>
      <c r="X8150" s="260"/>
      <c r="Y8150" s="260"/>
      <c r="Z8150" s="261"/>
      <c r="AA8150" s="260"/>
      <c r="AB8150" s="260"/>
      <c r="AC8150" s="261"/>
      <c r="AD8150" s="260"/>
      <c r="AE8150" s="260"/>
      <c r="AF8150" s="261"/>
      <c r="AG8150" s="321"/>
      <c r="AH8150" s="1"/>
    </row>
    <row r="8151" spans="14:34" customFormat="1">
      <c r="N8151" s="236"/>
      <c r="O8151" s="228"/>
      <c r="P8151" s="255"/>
      <c r="Q8151" s="328"/>
      <c r="R8151" s="260"/>
      <c r="S8151" s="260"/>
      <c r="T8151" s="260"/>
      <c r="U8151" s="260"/>
      <c r="V8151" s="260"/>
      <c r="W8151" s="260"/>
      <c r="X8151" s="260"/>
      <c r="Y8151" s="260"/>
      <c r="Z8151" s="260"/>
      <c r="AA8151" s="260"/>
      <c r="AB8151" s="260"/>
      <c r="AC8151" s="260"/>
      <c r="AD8151" s="260"/>
      <c r="AE8151" s="260"/>
      <c r="AF8151" s="260"/>
      <c r="AG8151" s="330"/>
    </row>
    <row r="8152" spans="14:34" customFormat="1">
      <c r="N8152" s="236"/>
      <c r="O8152" s="228"/>
      <c r="P8152" s="260"/>
      <c r="Q8152" s="328"/>
      <c r="R8152" s="260"/>
      <c r="S8152" s="260"/>
      <c r="T8152" s="260"/>
      <c r="U8152" s="260"/>
      <c r="V8152" s="260"/>
      <c r="W8152" s="260"/>
      <c r="X8152" s="260"/>
      <c r="Y8152" s="260"/>
      <c r="Z8152" s="260"/>
      <c r="AA8152" s="260"/>
      <c r="AB8152" s="260"/>
      <c r="AC8152" s="260"/>
      <c r="AD8152" s="260"/>
      <c r="AE8152" s="260"/>
      <c r="AF8152" s="260"/>
      <c r="AG8152" s="330"/>
    </row>
    <row r="8153" spans="14:34" customFormat="1">
      <c r="N8153" s="236"/>
      <c r="O8153" s="228"/>
      <c r="P8153" s="260"/>
      <c r="Q8153" s="328"/>
      <c r="R8153" s="260"/>
      <c r="S8153" s="260"/>
      <c r="T8153" s="260"/>
      <c r="U8153" s="260"/>
      <c r="V8153" s="260"/>
      <c r="W8153" s="260"/>
      <c r="X8153" s="260"/>
      <c r="Y8153" s="260"/>
      <c r="Z8153" s="260"/>
      <c r="AA8153" s="260"/>
      <c r="AB8153" s="260"/>
      <c r="AC8153" s="260"/>
      <c r="AD8153" s="260"/>
      <c r="AE8153" s="260"/>
      <c r="AF8153" s="260"/>
      <c r="AG8153" s="330"/>
    </row>
    <row r="8154" spans="14:34" customFormat="1">
      <c r="N8154" s="236"/>
      <c r="O8154" s="228"/>
      <c r="P8154" s="260"/>
      <c r="Q8154" s="328"/>
      <c r="R8154" s="260"/>
      <c r="S8154" s="260"/>
      <c r="T8154" s="260"/>
      <c r="U8154" s="260"/>
      <c r="V8154" s="260"/>
      <c r="W8154" s="260"/>
      <c r="X8154" s="260"/>
      <c r="Y8154" s="260"/>
      <c r="Z8154" s="260"/>
      <c r="AA8154" s="260"/>
      <c r="AB8154" s="260"/>
      <c r="AC8154" s="260"/>
      <c r="AD8154" s="260"/>
      <c r="AE8154" s="260"/>
      <c r="AF8154" s="260"/>
      <c r="AG8154" s="330"/>
    </row>
    <row r="8155" spans="14:34" customFormat="1">
      <c r="N8155" s="236"/>
      <c r="O8155" s="228"/>
      <c r="P8155" s="260"/>
      <c r="Q8155" s="328"/>
      <c r="R8155" s="260"/>
      <c r="S8155" s="260"/>
      <c r="T8155" s="260"/>
      <c r="U8155" s="260"/>
      <c r="V8155" s="260"/>
      <c r="W8155" s="260"/>
      <c r="X8155" s="260"/>
      <c r="Y8155" s="260"/>
      <c r="Z8155" s="260"/>
      <c r="AA8155" s="260"/>
      <c r="AB8155" s="260"/>
      <c r="AC8155" s="260"/>
      <c r="AD8155" s="260"/>
      <c r="AE8155" s="260"/>
      <c r="AF8155" s="260"/>
      <c r="AG8155" s="330"/>
    </row>
    <row r="8156" spans="14:34" customFormat="1">
      <c r="N8156" s="236" t="s">
        <v>68</v>
      </c>
      <c r="O8156" s="224" t="s">
        <v>1843</v>
      </c>
      <c r="P8156" s="257"/>
      <c r="Q8156" s="328"/>
      <c r="R8156" s="260"/>
      <c r="S8156" s="260"/>
      <c r="T8156" s="261"/>
      <c r="U8156" s="260"/>
      <c r="V8156" s="260"/>
      <c r="W8156" s="261"/>
      <c r="X8156" s="260"/>
      <c r="Y8156" s="260"/>
      <c r="Z8156" s="261"/>
      <c r="AA8156" s="260"/>
      <c r="AB8156" s="260"/>
      <c r="AC8156" s="261"/>
      <c r="AD8156" s="260"/>
      <c r="AE8156" s="260"/>
      <c r="AF8156" s="261"/>
      <c r="AG8156" s="321"/>
      <c r="AH8156" s="1"/>
    </row>
    <row r="8157" spans="14:34" customFormat="1">
      <c r="N8157" s="236"/>
      <c r="O8157" s="228"/>
      <c r="P8157" s="255"/>
      <c r="Q8157" s="328"/>
      <c r="R8157" s="260"/>
      <c r="S8157" s="260"/>
      <c r="T8157" s="260"/>
      <c r="U8157" s="260"/>
      <c r="V8157" s="260"/>
      <c r="W8157" s="260"/>
      <c r="X8157" s="260"/>
      <c r="Y8157" s="260"/>
      <c r="Z8157" s="260"/>
      <c r="AA8157" s="260"/>
      <c r="AB8157" s="260"/>
      <c r="AC8157" s="260"/>
      <c r="AD8157" s="260"/>
      <c r="AE8157" s="260"/>
      <c r="AF8157" s="260"/>
      <c r="AG8157" s="330"/>
    </row>
    <row r="8158" spans="14:34" customFormat="1">
      <c r="N8158" s="236"/>
      <c r="O8158" s="228"/>
      <c r="P8158" s="260"/>
      <c r="Q8158" s="328"/>
      <c r="R8158" s="260"/>
      <c r="S8158" s="260"/>
      <c r="T8158" s="260"/>
      <c r="U8158" s="260"/>
      <c r="V8158" s="260"/>
      <c r="W8158" s="260"/>
      <c r="X8158" s="260"/>
      <c r="Y8158" s="260"/>
      <c r="Z8158" s="260"/>
      <c r="AA8158" s="260"/>
      <c r="AB8158" s="260"/>
      <c r="AC8158" s="260"/>
      <c r="AD8158" s="260"/>
      <c r="AE8158" s="260"/>
      <c r="AF8158" s="260"/>
      <c r="AG8158" s="330"/>
    </row>
    <row r="8159" spans="14:34" customFormat="1">
      <c r="N8159" s="236" t="s">
        <v>1848</v>
      </c>
      <c r="O8159" s="224" t="s">
        <v>1849</v>
      </c>
      <c r="P8159" s="257"/>
      <c r="Q8159" s="328"/>
      <c r="R8159" s="260"/>
      <c r="S8159" s="260"/>
      <c r="T8159" s="261"/>
      <c r="U8159" s="260"/>
      <c r="V8159" s="260"/>
      <c r="W8159" s="261"/>
      <c r="X8159" s="260"/>
      <c r="Y8159" s="260"/>
      <c r="Z8159" s="261"/>
      <c r="AA8159" s="260"/>
      <c r="AB8159" s="260"/>
      <c r="AC8159" s="261"/>
      <c r="AD8159" s="260"/>
      <c r="AE8159" s="260"/>
      <c r="AF8159" s="261"/>
      <c r="AG8159" s="321"/>
      <c r="AH8159" s="1"/>
    </row>
    <row r="8160" spans="14:34" customFormat="1">
      <c r="N8160" s="236"/>
      <c r="O8160" s="228"/>
      <c r="P8160" s="255"/>
      <c r="Q8160" s="328"/>
      <c r="R8160" s="260"/>
      <c r="S8160" s="260"/>
      <c r="T8160" s="260"/>
      <c r="U8160" s="260"/>
      <c r="V8160" s="260"/>
      <c r="W8160" s="260"/>
      <c r="X8160" s="260"/>
      <c r="Y8160" s="260"/>
      <c r="Z8160" s="260"/>
      <c r="AA8160" s="260"/>
      <c r="AB8160" s="260"/>
      <c r="AC8160" s="260"/>
      <c r="AD8160" s="260"/>
      <c r="AE8160" s="260"/>
      <c r="AF8160" s="260"/>
      <c r="AG8160" s="330"/>
    </row>
    <row r="8161" spans="14:34" customFormat="1">
      <c r="N8161" s="236"/>
      <c r="O8161" s="225"/>
      <c r="P8161" s="260"/>
      <c r="Q8161" s="328"/>
      <c r="R8161" s="260"/>
      <c r="S8161" s="260"/>
      <c r="T8161" s="260"/>
      <c r="U8161" s="260"/>
      <c r="V8161" s="260"/>
      <c r="W8161" s="260"/>
      <c r="X8161" s="260"/>
      <c r="Y8161" s="260"/>
      <c r="Z8161" s="260"/>
      <c r="AA8161" s="260"/>
      <c r="AB8161" s="260"/>
      <c r="AC8161" s="260"/>
      <c r="AD8161" s="260"/>
      <c r="AE8161" s="260"/>
      <c r="AF8161" s="260"/>
      <c r="AG8161" s="330"/>
    </row>
    <row r="8162" spans="14:34" customFormat="1" ht="22.5">
      <c r="N8162" s="236" t="s">
        <v>1855</v>
      </c>
      <c r="O8162" s="224" t="s">
        <v>1856</v>
      </c>
      <c r="P8162" s="257"/>
      <c r="Q8162" s="328"/>
      <c r="R8162" s="260"/>
      <c r="S8162" s="260"/>
      <c r="T8162" s="261"/>
      <c r="U8162" s="260"/>
      <c r="V8162" s="260"/>
      <c r="W8162" s="261"/>
      <c r="X8162" s="260"/>
      <c r="Y8162" s="260"/>
      <c r="Z8162" s="261"/>
      <c r="AA8162" s="260"/>
      <c r="AB8162" s="260"/>
      <c r="AC8162" s="261"/>
      <c r="AD8162" s="260"/>
      <c r="AE8162" s="260"/>
      <c r="AF8162" s="261"/>
      <c r="AG8162" s="321"/>
      <c r="AH8162" s="1"/>
    </row>
    <row r="8163" spans="14:34" customFormat="1">
      <c r="N8163" s="236"/>
      <c r="O8163" s="228"/>
      <c r="P8163" s="255"/>
      <c r="Q8163" s="328"/>
      <c r="R8163" s="260"/>
      <c r="S8163" s="260"/>
      <c r="T8163" s="260"/>
      <c r="U8163" s="260"/>
      <c r="V8163" s="260"/>
      <c r="W8163" s="260"/>
      <c r="X8163" s="260"/>
      <c r="Y8163" s="260"/>
      <c r="Z8163" s="260"/>
      <c r="AA8163" s="260"/>
      <c r="AB8163" s="260"/>
      <c r="AC8163" s="260"/>
      <c r="AD8163" s="260"/>
      <c r="AE8163" s="260"/>
      <c r="AF8163" s="260"/>
      <c r="AG8163" s="330"/>
    </row>
    <row r="8164" spans="14:34" customFormat="1">
      <c r="N8164" s="236"/>
      <c r="O8164" s="225"/>
      <c r="P8164" s="260"/>
      <c r="Q8164" s="328"/>
      <c r="R8164" s="260"/>
      <c r="S8164" s="260"/>
      <c r="T8164" s="260"/>
      <c r="U8164" s="260"/>
      <c r="V8164" s="260"/>
      <c r="W8164" s="260"/>
      <c r="X8164" s="260"/>
      <c r="Y8164" s="260"/>
      <c r="Z8164" s="260"/>
      <c r="AA8164" s="260"/>
      <c r="AB8164" s="260"/>
      <c r="AC8164" s="260"/>
      <c r="AD8164" s="260"/>
      <c r="AE8164" s="260"/>
      <c r="AF8164" s="260"/>
      <c r="AG8164" s="330"/>
    </row>
    <row r="8165" spans="14:34" customFormat="1">
      <c r="N8165" s="234" t="s">
        <v>2412</v>
      </c>
      <c r="O8165" s="235" t="s">
        <v>2413</v>
      </c>
      <c r="P8165" s="257"/>
      <c r="Q8165" s="328"/>
      <c r="R8165" s="260"/>
      <c r="S8165" s="260"/>
      <c r="T8165" s="257">
        <f>SUM(T8166:T8170)</f>
        <v>0</v>
      </c>
      <c r="U8165" s="260"/>
      <c r="V8165" s="260"/>
      <c r="W8165" s="257">
        <f>SUM(W8166:W8170)</f>
        <v>0</v>
      </c>
      <c r="X8165" s="260"/>
      <c r="Y8165" s="260"/>
      <c r="Z8165" s="257">
        <f>SUM(Z8166:Z8170)</f>
        <v>0</v>
      </c>
      <c r="AA8165" s="260"/>
      <c r="AB8165" s="260"/>
      <c r="AC8165" s="257">
        <f>SUM(AC8166:AC8170)</f>
        <v>0</v>
      </c>
      <c r="AD8165" s="260"/>
      <c r="AE8165" s="260"/>
      <c r="AF8165" s="257">
        <f>SUM(AF8166:AF8170)</f>
        <v>0</v>
      </c>
      <c r="AG8165" s="321"/>
      <c r="AH8165" s="1"/>
    </row>
    <row r="8166" spans="14:34" customFormat="1" ht="22.5">
      <c r="N8166" s="236" t="s">
        <v>2414</v>
      </c>
      <c r="O8166" s="224" t="s">
        <v>2415</v>
      </c>
      <c r="P8166" s="257"/>
      <c r="Q8166" s="328"/>
      <c r="R8166" s="260"/>
      <c r="S8166" s="260"/>
      <c r="T8166" s="261"/>
      <c r="U8166" s="260"/>
      <c r="V8166" s="260"/>
      <c r="W8166" s="261"/>
      <c r="X8166" s="260"/>
      <c r="Y8166" s="260"/>
      <c r="Z8166" s="261"/>
      <c r="AA8166" s="260"/>
      <c r="AB8166" s="260"/>
      <c r="AC8166" s="261"/>
      <c r="AD8166" s="260"/>
      <c r="AE8166" s="260"/>
      <c r="AF8166" s="261"/>
      <c r="AG8166" s="321"/>
      <c r="AH8166" s="1"/>
    </row>
    <row r="8167" spans="14:34" customFormat="1">
      <c r="N8167" s="236" t="s">
        <v>2416</v>
      </c>
      <c r="O8167" s="224" t="s">
        <v>2417</v>
      </c>
      <c r="P8167" s="257"/>
      <c r="Q8167" s="328"/>
      <c r="R8167" s="260"/>
      <c r="S8167" s="260"/>
      <c r="T8167" s="261"/>
      <c r="U8167" s="260"/>
      <c r="V8167" s="260"/>
      <c r="W8167" s="261"/>
      <c r="X8167" s="260"/>
      <c r="Y8167" s="260"/>
      <c r="Z8167" s="261"/>
      <c r="AA8167" s="260"/>
      <c r="AB8167" s="260"/>
      <c r="AC8167" s="261"/>
      <c r="AD8167" s="260"/>
      <c r="AE8167" s="260"/>
      <c r="AF8167" s="261"/>
      <c r="AG8167" s="321"/>
      <c r="AH8167" s="1"/>
    </row>
    <row r="8168" spans="14:34" customFormat="1">
      <c r="N8168" s="236" t="s">
        <v>2419</v>
      </c>
      <c r="O8168" s="224" t="s">
        <v>2420</v>
      </c>
      <c r="P8168" s="257"/>
      <c r="Q8168" s="328"/>
      <c r="R8168" s="260"/>
      <c r="S8168" s="260"/>
      <c r="T8168" s="261"/>
      <c r="U8168" s="260"/>
      <c r="V8168" s="260"/>
      <c r="W8168" s="261"/>
      <c r="X8168" s="260"/>
      <c r="Y8168" s="260"/>
      <c r="Z8168" s="261"/>
      <c r="AA8168" s="260"/>
      <c r="AB8168" s="260"/>
      <c r="AC8168" s="261"/>
      <c r="AD8168" s="260"/>
      <c r="AE8168" s="260"/>
      <c r="AF8168" s="261"/>
      <c r="AG8168" s="321"/>
      <c r="AH8168" s="1"/>
    </row>
    <row r="8169" spans="14:34" customFormat="1">
      <c r="N8169" s="236" t="s">
        <v>2422</v>
      </c>
      <c r="O8169" s="224" t="s">
        <v>2423</v>
      </c>
      <c r="P8169" s="257"/>
      <c r="Q8169" s="328"/>
      <c r="R8169" s="260"/>
      <c r="S8169" s="260"/>
      <c r="T8169" s="261"/>
      <c r="U8169" s="260"/>
      <c r="V8169" s="260"/>
      <c r="W8169" s="261"/>
      <c r="X8169" s="260"/>
      <c r="Y8169" s="260"/>
      <c r="Z8169" s="261"/>
      <c r="AA8169" s="260"/>
      <c r="AB8169" s="260"/>
      <c r="AC8169" s="261"/>
      <c r="AD8169" s="260"/>
      <c r="AE8169" s="260"/>
      <c r="AF8169" s="261"/>
      <c r="AG8169" s="321"/>
      <c r="AH8169" s="1"/>
    </row>
    <row r="8170" spans="14:34" customFormat="1">
      <c r="N8170" s="236" t="s">
        <v>2425</v>
      </c>
      <c r="O8170" s="224" t="s">
        <v>2426</v>
      </c>
      <c r="P8170" s="257"/>
      <c r="Q8170" s="328"/>
      <c r="R8170" s="260"/>
      <c r="S8170" s="260"/>
      <c r="T8170" s="261"/>
      <c r="U8170" s="260"/>
      <c r="V8170" s="260"/>
      <c r="W8170" s="261"/>
      <c r="X8170" s="260"/>
      <c r="Y8170" s="260"/>
      <c r="Z8170" s="261"/>
      <c r="AA8170" s="260"/>
      <c r="AB8170" s="260"/>
      <c r="AC8170" s="261"/>
      <c r="AD8170" s="260"/>
      <c r="AE8170" s="260"/>
      <c r="AF8170" s="261"/>
      <c r="AG8170" s="321"/>
      <c r="AH8170" s="1"/>
    </row>
    <row r="8171" spans="14:34" customFormat="1">
      <c r="N8171" s="236" t="s">
        <v>2427</v>
      </c>
      <c r="O8171" s="235" t="s">
        <v>2428</v>
      </c>
      <c r="P8171" s="257"/>
      <c r="Q8171" s="328"/>
      <c r="R8171" s="260"/>
      <c r="S8171" s="260"/>
      <c r="T8171" s="261"/>
      <c r="U8171" s="260"/>
      <c r="V8171" s="260"/>
      <c r="W8171" s="261"/>
      <c r="X8171" s="260"/>
      <c r="Y8171" s="260"/>
      <c r="Z8171" s="261"/>
      <c r="AA8171" s="260"/>
      <c r="AB8171" s="260"/>
      <c r="AC8171" s="261"/>
      <c r="AD8171" s="260"/>
      <c r="AE8171" s="260"/>
      <c r="AF8171" s="261"/>
      <c r="AG8171" s="321"/>
      <c r="AH8171" s="1"/>
    </row>
    <row r="8172" spans="14:34" customFormat="1" ht="33.75">
      <c r="N8172" s="234" t="s">
        <v>2429</v>
      </c>
      <c r="O8172" s="224" t="s">
        <v>2430</v>
      </c>
      <c r="P8172" s="257"/>
      <c r="Q8172" s="328"/>
      <c r="R8172" s="260"/>
      <c r="S8172" s="260"/>
      <c r="T8172" s="261"/>
      <c r="U8172" s="260"/>
      <c r="V8172" s="260"/>
      <c r="W8172" s="261"/>
      <c r="X8172" s="260"/>
      <c r="Y8172" s="260"/>
      <c r="Z8172" s="261"/>
      <c r="AA8172" s="260"/>
      <c r="AB8172" s="260"/>
      <c r="AC8172" s="261"/>
      <c r="AD8172" s="260"/>
      <c r="AE8172" s="260"/>
      <c r="AF8172" s="261"/>
      <c r="AG8172" s="321"/>
      <c r="AH8172" s="1"/>
    </row>
    <row r="8173" spans="14:34" customFormat="1">
      <c r="N8173" s="234" t="s">
        <v>2431</v>
      </c>
      <c r="O8173" s="235" t="s">
        <v>2432</v>
      </c>
      <c r="P8173" s="257"/>
      <c r="Q8173" s="328"/>
      <c r="R8173" s="260"/>
      <c r="S8173" s="260"/>
      <c r="T8173" s="257">
        <f>SUM(T8174:T8181)</f>
        <v>0</v>
      </c>
      <c r="U8173" s="260"/>
      <c r="V8173" s="260"/>
      <c r="W8173" s="257">
        <f>SUM(W8174:W8181)</f>
        <v>0</v>
      </c>
      <c r="X8173" s="260"/>
      <c r="Y8173" s="260"/>
      <c r="Z8173" s="257">
        <f>SUM(Z8174:Z8181)</f>
        <v>0</v>
      </c>
      <c r="AA8173" s="260"/>
      <c r="AB8173" s="260"/>
      <c r="AC8173" s="257">
        <f>SUM(AC8174:AC8181)</f>
        <v>0</v>
      </c>
      <c r="AD8173" s="260"/>
      <c r="AE8173" s="260"/>
      <c r="AF8173" s="257">
        <f>SUM(AF8174:AF8181)</f>
        <v>0</v>
      </c>
      <c r="AG8173" s="321"/>
      <c r="AH8173" s="1"/>
    </row>
    <row r="8174" spans="14:34" customFormat="1" ht="22.5">
      <c r="N8174" s="236" t="s">
        <v>1842</v>
      </c>
      <c r="O8174" s="224" t="s">
        <v>2433</v>
      </c>
      <c r="P8174" s="257"/>
      <c r="Q8174" s="328"/>
      <c r="R8174" s="260"/>
      <c r="S8174" s="260"/>
      <c r="T8174" s="261"/>
      <c r="U8174" s="260"/>
      <c r="V8174" s="260"/>
      <c r="W8174" s="261"/>
      <c r="X8174" s="260"/>
      <c r="Y8174" s="260"/>
      <c r="Z8174" s="261"/>
      <c r="AA8174" s="260"/>
      <c r="AB8174" s="260"/>
      <c r="AC8174" s="261"/>
      <c r="AD8174" s="260"/>
      <c r="AE8174" s="260"/>
      <c r="AF8174" s="261"/>
      <c r="AG8174" s="321"/>
      <c r="AH8174" s="1"/>
    </row>
    <row r="8175" spans="14:34" customFormat="1">
      <c r="N8175" s="236" t="s">
        <v>2418</v>
      </c>
      <c r="O8175" s="224" t="s">
        <v>2434</v>
      </c>
      <c r="P8175" s="257"/>
      <c r="Q8175" s="328"/>
      <c r="R8175" s="260"/>
      <c r="S8175" s="260"/>
      <c r="T8175" s="261"/>
      <c r="U8175" s="260"/>
      <c r="V8175" s="260"/>
      <c r="W8175" s="261"/>
      <c r="X8175" s="260"/>
      <c r="Y8175" s="260"/>
      <c r="Z8175" s="261"/>
      <c r="AA8175" s="260"/>
      <c r="AB8175" s="260"/>
      <c r="AC8175" s="261"/>
      <c r="AD8175" s="260"/>
      <c r="AE8175" s="260"/>
      <c r="AF8175" s="261"/>
      <c r="AG8175" s="321"/>
      <c r="AH8175" s="1"/>
    </row>
    <row r="8176" spans="14:34" customFormat="1">
      <c r="N8176" s="236" t="s">
        <v>2435</v>
      </c>
      <c r="O8176" s="224" t="s">
        <v>2436</v>
      </c>
      <c r="P8176" s="257"/>
      <c r="Q8176" s="328"/>
      <c r="R8176" s="260"/>
      <c r="S8176" s="260"/>
      <c r="T8176" s="261"/>
      <c r="U8176" s="260"/>
      <c r="V8176" s="260"/>
      <c r="W8176" s="261"/>
      <c r="X8176" s="260"/>
      <c r="Y8176" s="260"/>
      <c r="Z8176" s="261"/>
      <c r="AA8176" s="260"/>
      <c r="AB8176" s="260"/>
      <c r="AC8176" s="261"/>
      <c r="AD8176" s="260"/>
      <c r="AE8176" s="260"/>
      <c r="AF8176" s="261"/>
      <c r="AG8176" s="321"/>
      <c r="AH8176" s="1"/>
    </row>
    <row r="8177" spans="14:34" customFormat="1" ht="22.5">
      <c r="N8177" s="236" t="s">
        <v>2437</v>
      </c>
      <c r="O8177" s="224" t="s">
        <v>2438</v>
      </c>
      <c r="P8177" s="257"/>
      <c r="Q8177" s="328"/>
      <c r="R8177" s="260"/>
      <c r="S8177" s="260"/>
      <c r="T8177" s="261"/>
      <c r="U8177" s="260"/>
      <c r="V8177" s="260"/>
      <c r="W8177" s="261"/>
      <c r="X8177" s="260"/>
      <c r="Y8177" s="260"/>
      <c r="Z8177" s="261"/>
      <c r="AA8177" s="260"/>
      <c r="AB8177" s="260"/>
      <c r="AC8177" s="261"/>
      <c r="AD8177" s="260"/>
      <c r="AE8177" s="260"/>
      <c r="AF8177" s="261"/>
      <c r="AG8177" s="321"/>
      <c r="AH8177" s="1"/>
    </row>
    <row r="8178" spans="14:34" customFormat="1">
      <c r="N8178" s="236" t="s">
        <v>2439</v>
      </c>
      <c r="O8178" s="224" t="s">
        <v>2440</v>
      </c>
      <c r="P8178" s="257"/>
      <c r="Q8178" s="328"/>
      <c r="R8178" s="260"/>
      <c r="S8178" s="260"/>
      <c r="T8178" s="261"/>
      <c r="U8178" s="260"/>
      <c r="V8178" s="260"/>
      <c r="W8178" s="261"/>
      <c r="X8178" s="260"/>
      <c r="Y8178" s="260"/>
      <c r="Z8178" s="261"/>
      <c r="AA8178" s="260"/>
      <c r="AB8178" s="260"/>
      <c r="AC8178" s="261"/>
      <c r="AD8178" s="260"/>
      <c r="AE8178" s="260"/>
      <c r="AF8178" s="261"/>
      <c r="AG8178" s="321"/>
      <c r="AH8178" s="1"/>
    </row>
    <row r="8179" spans="14:34" customFormat="1">
      <c r="N8179" s="236" t="s">
        <v>2441</v>
      </c>
      <c r="O8179" s="224" t="s">
        <v>2442</v>
      </c>
      <c r="P8179" s="257"/>
      <c r="Q8179" s="328"/>
      <c r="R8179" s="260"/>
      <c r="S8179" s="260"/>
      <c r="T8179" s="261"/>
      <c r="U8179" s="260"/>
      <c r="V8179" s="260"/>
      <c r="W8179" s="261"/>
      <c r="X8179" s="260"/>
      <c r="Y8179" s="260"/>
      <c r="Z8179" s="261"/>
      <c r="AA8179" s="260"/>
      <c r="AB8179" s="260"/>
      <c r="AC8179" s="261"/>
      <c r="AD8179" s="260"/>
      <c r="AE8179" s="260"/>
      <c r="AF8179" s="261"/>
      <c r="AG8179" s="321"/>
      <c r="AH8179" s="1"/>
    </row>
    <row r="8180" spans="14:34" customFormat="1">
      <c r="N8180" s="236" t="s">
        <v>2443</v>
      </c>
      <c r="O8180" s="224" t="s">
        <v>2444</v>
      </c>
      <c r="P8180" s="257"/>
      <c r="Q8180" s="328"/>
      <c r="R8180" s="260"/>
      <c r="S8180" s="260"/>
      <c r="T8180" s="261"/>
      <c r="U8180" s="260"/>
      <c r="V8180" s="260"/>
      <c r="W8180" s="261"/>
      <c r="X8180" s="260"/>
      <c r="Y8180" s="260"/>
      <c r="Z8180" s="261"/>
      <c r="AA8180" s="260"/>
      <c r="AB8180" s="260"/>
      <c r="AC8180" s="261"/>
      <c r="AD8180" s="260"/>
      <c r="AE8180" s="260"/>
      <c r="AF8180" s="261"/>
      <c r="AG8180" s="321"/>
      <c r="AH8180" s="1"/>
    </row>
    <row r="8181" spans="14:34" customFormat="1">
      <c r="N8181" s="236" t="s">
        <v>842</v>
      </c>
      <c r="O8181" s="224" t="s">
        <v>843</v>
      </c>
      <c r="P8181" s="257"/>
      <c r="Q8181" s="328"/>
      <c r="R8181" s="260"/>
      <c r="S8181" s="260"/>
      <c r="T8181" s="261"/>
      <c r="U8181" s="260"/>
      <c r="V8181" s="260"/>
      <c r="W8181" s="261"/>
      <c r="X8181" s="260"/>
      <c r="Y8181" s="260"/>
      <c r="Z8181" s="261"/>
      <c r="AA8181" s="260"/>
      <c r="AB8181" s="260"/>
      <c r="AC8181" s="261"/>
      <c r="AD8181" s="260"/>
      <c r="AE8181" s="260"/>
      <c r="AF8181" s="261"/>
      <c r="AG8181" s="321"/>
      <c r="AH8181" s="1"/>
    </row>
    <row r="8182" spans="14:34" customFormat="1">
      <c r="N8182" s="236" t="s">
        <v>845</v>
      </c>
      <c r="O8182" s="235" t="s">
        <v>846</v>
      </c>
      <c r="P8182" s="257"/>
      <c r="Q8182" s="328"/>
      <c r="R8182" s="260"/>
      <c r="S8182" s="260"/>
      <c r="T8182" s="257">
        <f>SUM(T8183:T8186)</f>
        <v>0</v>
      </c>
      <c r="U8182" s="260"/>
      <c r="V8182" s="260"/>
      <c r="W8182" s="257">
        <f>SUM(W8183:W8186)</f>
        <v>0</v>
      </c>
      <c r="X8182" s="260"/>
      <c r="Y8182" s="260"/>
      <c r="Z8182" s="257">
        <f>SUM(Z8183:Z8186)</f>
        <v>0</v>
      </c>
      <c r="AA8182" s="260"/>
      <c r="AB8182" s="260"/>
      <c r="AC8182" s="257">
        <f>SUM(AC8183:AC8186)</f>
        <v>0</v>
      </c>
      <c r="AD8182" s="260"/>
      <c r="AE8182" s="260"/>
      <c r="AF8182" s="257">
        <f>SUM(AF8183:AF8186)</f>
        <v>0</v>
      </c>
      <c r="AG8182" s="321"/>
      <c r="AH8182" s="1"/>
    </row>
    <row r="8183" spans="14:34" customFormat="1">
      <c r="N8183" s="475" t="s">
        <v>287</v>
      </c>
      <c r="O8183" s="476" t="s">
        <v>288</v>
      </c>
      <c r="P8183" s="257"/>
      <c r="Q8183" s="328"/>
      <c r="R8183" s="260"/>
      <c r="S8183" s="260"/>
      <c r="T8183" s="261"/>
      <c r="U8183" s="260"/>
      <c r="V8183" s="260"/>
      <c r="W8183" s="261"/>
      <c r="X8183" s="260"/>
      <c r="Y8183" s="260"/>
      <c r="Z8183" s="261"/>
      <c r="AA8183" s="260"/>
      <c r="AB8183" s="260"/>
      <c r="AC8183" s="261"/>
      <c r="AD8183" s="260"/>
      <c r="AE8183" s="260"/>
      <c r="AF8183" s="261"/>
      <c r="AG8183" s="321"/>
      <c r="AH8183" s="1"/>
    </row>
    <row r="8184" spans="14:34" customFormat="1">
      <c r="N8184" s="234" t="s">
        <v>1847</v>
      </c>
      <c r="O8184" s="224" t="s">
        <v>847</v>
      </c>
      <c r="P8184" s="257"/>
      <c r="Q8184" s="328"/>
      <c r="R8184" s="260"/>
      <c r="S8184" s="260"/>
      <c r="T8184" s="261"/>
      <c r="U8184" s="260"/>
      <c r="V8184" s="260"/>
      <c r="W8184" s="261"/>
      <c r="X8184" s="260"/>
      <c r="Y8184" s="260"/>
      <c r="Z8184" s="261"/>
      <c r="AA8184" s="260"/>
      <c r="AB8184" s="260"/>
      <c r="AC8184" s="261"/>
      <c r="AD8184" s="260"/>
      <c r="AE8184" s="260"/>
      <c r="AF8184" s="261"/>
      <c r="AG8184" s="321"/>
      <c r="AH8184" s="1"/>
    </row>
    <row r="8185" spans="14:34" customFormat="1" ht="22.5">
      <c r="N8185" s="234" t="s">
        <v>1854</v>
      </c>
      <c r="O8185" s="683" t="s">
        <v>848</v>
      </c>
      <c r="P8185" s="257"/>
      <c r="Q8185" s="328"/>
      <c r="R8185" s="260"/>
      <c r="S8185" s="260"/>
      <c r="T8185" s="257">
        <f>T8233</f>
        <v>0</v>
      </c>
      <c r="U8185" s="260"/>
      <c r="V8185" s="260"/>
      <c r="W8185" s="257">
        <f>W8233</f>
        <v>0</v>
      </c>
      <c r="X8185" s="260"/>
      <c r="Y8185" s="260"/>
      <c r="Z8185" s="257">
        <f>Z8233</f>
        <v>0</v>
      </c>
      <c r="AA8185" s="260"/>
      <c r="AB8185" s="260"/>
      <c r="AC8185" s="257">
        <f>AC8233</f>
        <v>0</v>
      </c>
      <c r="AD8185" s="260"/>
      <c r="AE8185" s="260"/>
      <c r="AF8185" s="257">
        <f>AF8233</f>
        <v>0</v>
      </c>
      <c r="AG8185" s="321"/>
      <c r="AH8185" s="1"/>
    </row>
    <row r="8186" spans="14:34" customFormat="1" ht="22.5">
      <c r="N8186" s="234" t="s">
        <v>2421</v>
      </c>
      <c r="O8186" s="224" t="s">
        <v>849</v>
      </c>
      <c r="P8186" s="257"/>
      <c r="Q8186" s="328"/>
      <c r="R8186" s="260"/>
      <c r="S8186" s="260"/>
      <c r="T8186" s="261"/>
      <c r="U8186" s="260"/>
      <c r="V8186" s="260"/>
      <c r="W8186" s="261"/>
      <c r="X8186" s="260"/>
      <c r="Y8186" s="260"/>
      <c r="Z8186" s="261"/>
      <c r="AA8186" s="260"/>
      <c r="AB8186" s="260"/>
      <c r="AC8186" s="261"/>
      <c r="AD8186" s="260"/>
      <c r="AE8186" s="260"/>
      <c r="AF8186" s="261"/>
      <c r="AG8186" s="321"/>
      <c r="AH8186" s="1"/>
    </row>
    <row r="8187" spans="14:34" customFormat="1">
      <c r="N8187" s="236" t="s">
        <v>3005</v>
      </c>
      <c r="O8187" s="235" t="s">
        <v>851</v>
      </c>
      <c r="P8187" s="257"/>
      <c r="Q8187" s="328"/>
      <c r="R8187" s="260"/>
      <c r="S8187" s="260"/>
      <c r="T8187" s="261"/>
      <c r="U8187" s="260"/>
      <c r="V8187" s="260"/>
      <c r="W8187" s="261"/>
      <c r="X8187" s="260"/>
      <c r="Y8187" s="260"/>
      <c r="Z8187" s="261"/>
      <c r="AA8187" s="260"/>
      <c r="AB8187" s="260"/>
      <c r="AC8187" s="261"/>
      <c r="AD8187" s="260"/>
      <c r="AE8187" s="260"/>
      <c r="AF8187" s="261"/>
      <c r="AG8187" s="321"/>
      <c r="AH8187" s="1"/>
    </row>
    <row r="8188" spans="14:34" customFormat="1">
      <c r="N8188" s="236"/>
      <c r="O8188" s="224"/>
      <c r="P8188" s="224"/>
      <c r="Q8188" s="328"/>
      <c r="R8188" s="260"/>
      <c r="S8188" s="260"/>
      <c r="T8188" s="260"/>
      <c r="U8188" s="260"/>
      <c r="V8188" s="260"/>
      <c r="W8188" s="260"/>
      <c r="X8188" s="260"/>
      <c r="Y8188" s="260"/>
      <c r="Z8188" s="260"/>
      <c r="AA8188" s="260"/>
      <c r="AB8188" s="260"/>
      <c r="AC8188" s="260"/>
      <c r="AD8188" s="260"/>
      <c r="AE8188" s="260"/>
      <c r="AF8188" s="260"/>
      <c r="AG8188" s="330"/>
    </row>
    <row r="8189" spans="14:34" customFormat="1">
      <c r="N8189" s="236"/>
      <c r="O8189" s="224"/>
      <c r="P8189" s="224"/>
      <c r="Q8189" s="328"/>
      <c r="R8189" s="260"/>
      <c r="S8189" s="260"/>
      <c r="T8189" s="260"/>
      <c r="U8189" s="260"/>
      <c r="V8189" s="260"/>
      <c r="W8189" s="260"/>
      <c r="X8189" s="260"/>
      <c r="Y8189" s="260"/>
      <c r="Z8189" s="260"/>
      <c r="AA8189" s="260"/>
      <c r="AB8189" s="260"/>
      <c r="AC8189" s="260"/>
      <c r="AD8189" s="260"/>
      <c r="AE8189" s="260"/>
      <c r="AF8189" s="260"/>
      <c r="AG8189" s="330"/>
    </row>
    <row r="8190" spans="14:34" customFormat="1">
      <c r="N8190" s="236" t="s">
        <v>844</v>
      </c>
      <c r="O8190" s="235" t="s">
        <v>853</v>
      </c>
      <c r="P8190" s="257"/>
      <c r="Q8190" s="328"/>
      <c r="R8190" s="260"/>
      <c r="S8190" s="260"/>
      <c r="T8190" s="257">
        <f>SUM(T7352,T7358,T7362,T7364,T8064,T8140,T8165,T8171,T8173,T8182)-T8187</f>
        <v>0</v>
      </c>
      <c r="U8190" s="260"/>
      <c r="V8190" s="260"/>
      <c r="W8190" s="257">
        <f>SUM(W7352,W7358,W7362,W7364,W8064,W8140,W8165,W8171,W8173,W8182)-W8187</f>
        <v>0</v>
      </c>
      <c r="X8190" s="260"/>
      <c r="Y8190" s="260"/>
      <c r="Z8190" s="257">
        <f>SUM(Z7352,Z7358,Z7362,Z7364,Z8064,Z8140,Z8165,Z8171,Z8173,Z8182)-Z8187</f>
        <v>0</v>
      </c>
      <c r="AA8190" s="260"/>
      <c r="AB8190" s="260"/>
      <c r="AC8190" s="257">
        <f>SUM(AC7352,AC7358,AC7362,AC7364,AC8064,AC8140,AC8165,AC8171,AC8173,AC8182)-AC8187</f>
        <v>0</v>
      </c>
      <c r="AD8190" s="260"/>
      <c r="AE8190" s="260"/>
      <c r="AF8190" s="257">
        <f>SUM(AF7352,AF7358,AF7362,AF7364,AF8064,AF8140,AF8165,AF8171,AF8173,AF8182)-AF8187</f>
        <v>0</v>
      </c>
      <c r="AG8190" s="321"/>
      <c r="AH8190" s="1"/>
    </row>
    <row r="8191" spans="14:34" customFormat="1">
      <c r="N8191" s="234" t="s">
        <v>854</v>
      </c>
      <c r="O8191" s="205" t="s">
        <v>76</v>
      </c>
      <c r="P8191" s="257"/>
      <c r="Q8191" s="328"/>
      <c r="R8191" s="260"/>
      <c r="S8191" s="260"/>
      <c r="T8191" s="257">
        <f>SUM(T7353,T7359,T7363,T8150,T8167)</f>
        <v>0</v>
      </c>
      <c r="U8191" s="260"/>
      <c r="V8191" s="260"/>
      <c r="W8191" s="257">
        <f>SUM(W7353,W7359,W7363,W8150,W8167)</f>
        <v>0</v>
      </c>
      <c r="X8191" s="260"/>
      <c r="Y8191" s="260"/>
      <c r="Z8191" s="257">
        <f>SUM(Z7353,Z7359,Z7363,Z8150,Z8167)</f>
        <v>0</v>
      </c>
      <c r="AA8191" s="260"/>
      <c r="AB8191" s="260"/>
      <c r="AC8191" s="257">
        <f>SUM(AC7353,AC7359,AC7363,AC8150,AC8167)</f>
        <v>0</v>
      </c>
      <c r="AD8191" s="260"/>
      <c r="AE8191" s="260"/>
      <c r="AF8191" s="257">
        <f>SUM(AF7353,AF7359,AF7363,AF8150,AF8167)</f>
        <v>0</v>
      </c>
      <c r="AG8191" s="321"/>
      <c r="AH8191" s="1"/>
    </row>
    <row r="8192" spans="14:34" customFormat="1">
      <c r="N8192" s="236" t="s">
        <v>850</v>
      </c>
      <c r="O8192" s="235" t="s">
        <v>856</v>
      </c>
      <c r="P8192" s="257"/>
      <c r="Q8192" s="328"/>
      <c r="R8192" s="260"/>
      <c r="S8192" s="260"/>
      <c r="T8192" s="257">
        <f>SUM(T8193:T8197)</f>
        <v>0</v>
      </c>
      <c r="U8192" s="260"/>
      <c r="V8192" s="260"/>
      <c r="W8192" s="257">
        <f>SUM(W8193:W8197)</f>
        <v>0</v>
      </c>
      <c r="X8192" s="260"/>
      <c r="Y8192" s="260"/>
      <c r="Z8192" s="257">
        <f>SUM(Z8193:Z8197)</f>
        <v>0</v>
      </c>
      <c r="AA8192" s="260"/>
      <c r="AB8192" s="260"/>
      <c r="AC8192" s="257">
        <f>SUM(AC8193:AC8197)</f>
        <v>0</v>
      </c>
      <c r="AD8192" s="260"/>
      <c r="AE8192" s="260"/>
      <c r="AF8192" s="257">
        <f>SUM(AF8193:AF8197)</f>
        <v>0</v>
      </c>
      <c r="AG8192" s="321"/>
      <c r="AH8192" s="1"/>
    </row>
    <row r="8193" spans="14:41" customFormat="1">
      <c r="N8193" s="236" t="s">
        <v>858</v>
      </c>
      <c r="O8193" s="205" t="s">
        <v>859</v>
      </c>
      <c r="P8193" s="257"/>
      <c r="Q8193" s="328"/>
      <c r="R8193" s="260"/>
      <c r="S8193" s="260"/>
      <c r="T8193" s="261"/>
      <c r="U8193" s="260"/>
      <c r="V8193" s="260"/>
      <c r="W8193" s="261"/>
      <c r="X8193" s="260"/>
      <c r="Y8193" s="260"/>
      <c r="Z8193" s="261"/>
      <c r="AA8193" s="260"/>
      <c r="AB8193" s="260"/>
      <c r="AC8193" s="261"/>
      <c r="AD8193" s="260"/>
      <c r="AE8193" s="260"/>
      <c r="AF8193" s="261"/>
      <c r="AG8193" s="321"/>
      <c r="AH8193" s="1"/>
    </row>
    <row r="8194" spans="14:41" customFormat="1">
      <c r="N8194" s="236" t="s">
        <v>861</v>
      </c>
      <c r="O8194" s="205" t="s">
        <v>862</v>
      </c>
      <c r="P8194" s="257"/>
      <c r="Q8194" s="328"/>
      <c r="R8194" s="260"/>
      <c r="S8194" s="260"/>
      <c r="T8194" s="261"/>
      <c r="U8194" s="260"/>
      <c r="V8194" s="260"/>
      <c r="W8194" s="261"/>
      <c r="X8194" s="260"/>
      <c r="Y8194" s="260"/>
      <c r="Z8194" s="261"/>
      <c r="AA8194" s="260"/>
      <c r="AB8194" s="260"/>
      <c r="AC8194" s="261"/>
      <c r="AD8194" s="260"/>
      <c r="AE8194" s="260"/>
      <c r="AF8194" s="261"/>
      <c r="AG8194" s="321"/>
      <c r="AH8194" s="1"/>
    </row>
    <row r="8195" spans="14:41" customFormat="1">
      <c r="N8195" s="236" t="s">
        <v>863</v>
      </c>
      <c r="O8195" s="205" t="s">
        <v>864</v>
      </c>
      <c r="P8195" s="257"/>
      <c r="Q8195" s="328"/>
      <c r="R8195" s="260"/>
      <c r="S8195" s="260"/>
      <c r="T8195" s="261"/>
      <c r="U8195" s="260"/>
      <c r="V8195" s="260"/>
      <c r="W8195" s="261"/>
      <c r="X8195" s="260"/>
      <c r="Y8195" s="260"/>
      <c r="Z8195" s="261"/>
      <c r="AA8195" s="260"/>
      <c r="AB8195" s="260"/>
      <c r="AC8195" s="261"/>
      <c r="AD8195" s="260"/>
      <c r="AE8195" s="260"/>
      <c r="AF8195" s="261"/>
      <c r="AG8195" s="321"/>
      <c r="AH8195" s="1"/>
    </row>
    <row r="8196" spans="14:41" customFormat="1">
      <c r="N8196" s="236" t="s">
        <v>865</v>
      </c>
      <c r="O8196" s="205" t="s">
        <v>866</v>
      </c>
      <c r="P8196" s="257"/>
      <c r="Q8196" s="328"/>
      <c r="R8196" s="260"/>
      <c r="S8196" s="260"/>
      <c r="T8196" s="261"/>
      <c r="U8196" s="260"/>
      <c r="V8196" s="260"/>
      <c r="W8196" s="261"/>
      <c r="X8196" s="260"/>
      <c r="Y8196" s="260"/>
      <c r="Z8196" s="261"/>
      <c r="AA8196" s="260"/>
      <c r="AB8196" s="260"/>
      <c r="AC8196" s="261"/>
      <c r="AD8196" s="260"/>
      <c r="AE8196" s="260"/>
      <c r="AF8196" s="261"/>
      <c r="AG8196" s="321"/>
      <c r="AH8196" s="1"/>
    </row>
    <row r="8197" spans="14:41" customFormat="1">
      <c r="N8197" s="236" t="s">
        <v>867</v>
      </c>
      <c r="O8197" s="205" t="s">
        <v>868</v>
      </c>
      <c r="P8197" s="257"/>
      <c r="Q8197" s="328"/>
      <c r="R8197" s="260"/>
      <c r="S8197" s="260"/>
      <c r="T8197" s="257">
        <f>SUM(T8198:T8200)</f>
        <v>0</v>
      </c>
      <c r="U8197" s="260"/>
      <c r="V8197" s="260"/>
      <c r="W8197" s="257">
        <f>SUM(W8198:W8200)</f>
        <v>0</v>
      </c>
      <c r="X8197" s="260"/>
      <c r="Y8197" s="260"/>
      <c r="Z8197" s="257">
        <f>SUM(Z8198:Z8200)</f>
        <v>0</v>
      </c>
      <c r="AA8197" s="260"/>
      <c r="AB8197" s="260"/>
      <c r="AC8197" s="257">
        <f>SUM(AC8198:AC8200)</f>
        <v>0</v>
      </c>
      <c r="AD8197" s="260"/>
      <c r="AE8197" s="260"/>
      <c r="AF8197" s="257">
        <f>SUM(AF8198:AF8200)</f>
        <v>0</v>
      </c>
      <c r="AG8197" s="321"/>
      <c r="AH8197" s="1"/>
    </row>
    <row r="8198" spans="14:41" customFormat="1">
      <c r="N8198" s="236" t="s">
        <v>869</v>
      </c>
      <c r="O8198" s="229" t="s">
        <v>870</v>
      </c>
      <c r="P8198" s="257"/>
      <c r="Q8198" s="328"/>
      <c r="R8198" s="260"/>
      <c r="S8198" s="260"/>
      <c r="T8198" s="261"/>
      <c r="U8198" s="260"/>
      <c r="V8198" s="260"/>
      <c r="W8198" s="261"/>
      <c r="X8198" s="260"/>
      <c r="Y8198" s="260"/>
      <c r="Z8198" s="261"/>
      <c r="AA8198" s="260"/>
      <c r="AB8198" s="260"/>
      <c r="AC8198" s="261"/>
      <c r="AD8198" s="260"/>
      <c r="AE8198" s="260"/>
      <c r="AF8198" s="261"/>
      <c r="AG8198" s="321"/>
      <c r="AH8198" s="1"/>
    </row>
    <row r="8199" spans="14:41" customFormat="1">
      <c r="N8199" s="236" t="s">
        <v>871</v>
      </c>
      <c r="O8199" s="229" t="s">
        <v>872</v>
      </c>
      <c r="P8199" s="257"/>
      <c r="Q8199" s="328"/>
      <c r="R8199" s="259"/>
      <c r="S8199" s="259"/>
      <c r="T8199" s="261"/>
      <c r="U8199" s="260"/>
      <c r="V8199" s="260"/>
      <c r="W8199" s="261"/>
      <c r="X8199" s="260"/>
      <c r="Y8199" s="260"/>
      <c r="Z8199" s="261"/>
      <c r="AA8199" s="260"/>
      <c r="AB8199" s="260"/>
      <c r="AC8199" s="261"/>
      <c r="AD8199" s="260"/>
      <c r="AE8199" s="260"/>
      <c r="AF8199" s="261"/>
      <c r="AG8199" s="321"/>
      <c r="AH8199" s="1"/>
    </row>
    <row r="8200" spans="14:41" customFormat="1">
      <c r="N8200" s="236" t="s">
        <v>873</v>
      </c>
      <c r="O8200" s="229" t="s">
        <v>874</v>
      </c>
      <c r="P8200" s="257"/>
      <c r="Q8200" s="328"/>
      <c r="R8200" s="259"/>
      <c r="S8200" s="259"/>
      <c r="T8200" s="322"/>
      <c r="U8200" s="689"/>
      <c r="V8200" s="281"/>
      <c r="W8200" s="322"/>
      <c r="X8200" s="281"/>
      <c r="Y8200" s="281"/>
      <c r="Z8200" s="322"/>
      <c r="AA8200" s="281"/>
      <c r="AB8200" s="281"/>
      <c r="AC8200" s="322"/>
      <c r="AD8200" s="281"/>
      <c r="AE8200" s="281"/>
      <c r="AF8200" s="322"/>
      <c r="AG8200" s="321"/>
      <c r="AH8200" s="1"/>
    </row>
    <row r="8201" spans="14:41" customFormat="1">
      <c r="N8201" s="234" t="s">
        <v>852</v>
      </c>
      <c r="O8201" s="249" t="s">
        <v>875</v>
      </c>
      <c r="P8201" s="257"/>
      <c r="Q8201" s="328"/>
      <c r="R8201" s="259"/>
      <c r="S8201" s="259"/>
      <c r="T8201" s="285"/>
      <c r="U8201" s="287"/>
      <c r="V8201" s="260"/>
      <c r="W8201" s="257">
        <f>SUM(W8202:W8203)</f>
        <v>0</v>
      </c>
      <c r="X8201" s="260"/>
      <c r="Y8201" s="260"/>
      <c r="Z8201" s="257">
        <f>SUM(Z8202:Z8203)</f>
        <v>0</v>
      </c>
      <c r="AA8201" s="260"/>
      <c r="AB8201" s="260"/>
      <c r="AC8201" s="257">
        <f>SUM(AC8202:AC8203)</f>
        <v>0</v>
      </c>
      <c r="AD8201" s="260"/>
      <c r="AE8201" s="260"/>
      <c r="AF8201" s="257">
        <f>SUM(AF8202:AF8203)</f>
        <v>0</v>
      </c>
      <c r="AG8201" s="321"/>
      <c r="AH8201" s="1"/>
      <c r="AI8201" s="1"/>
      <c r="AJ8201" s="259"/>
      <c r="AK8201" s="259"/>
      <c r="AL8201" s="257">
        <f>SUM(AL8202:AL8203)</f>
        <v>0</v>
      </c>
      <c r="AM8201" s="1"/>
      <c r="AN8201" s="1"/>
      <c r="AO8201" s="1"/>
    </row>
    <row r="8202" spans="14:41" customFormat="1" ht="22.5">
      <c r="N8202" s="236" t="s">
        <v>877</v>
      </c>
      <c r="O8202" s="205" t="s">
        <v>878</v>
      </c>
      <c r="P8202" s="257"/>
      <c r="Q8202" s="328"/>
      <c r="R8202" s="259"/>
      <c r="S8202" s="259"/>
      <c r="T8202" s="285"/>
      <c r="U8202" s="260"/>
      <c r="V8202" s="260"/>
      <c r="W8202" s="263"/>
      <c r="X8202" s="260"/>
      <c r="Y8202" s="260"/>
      <c r="Z8202" s="263"/>
      <c r="AA8202" s="260"/>
      <c r="AB8202" s="260"/>
      <c r="AC8202" s="263"/>
      <c r="AD8202" s="260"/>
      <c r="AE8202" s="260"/>
      <c r="AF8202" s="261"/>
      <c r="AG8202" s="321"/>
      <c r="AH8202" s="1"/>
      <c r="AI8202" s="1"/>
      <c r="AJ8202" s="259"/>
      <c r="AK8202" s="259"/>
      <c r="AL8202" s="263"/>
      <c r="AM8202" s="1"/>
      <c r="AN8202" s="1"/>
      <c r="AO8202" s="1"/>
    </row>
    <row r="8203" spans="14:41" customFormat="1">
      <c r="N8203" s="236" t="s">
        <v>879</v>
      </c>
      <c r="O8203" s="205" t="s">
        <v>880</v>
      </c>
      <c r="P8203" s="257"/>
      <c r="Q8203" s="328"/>
      <c r="R8203" s="259"/>
      <c r="S8203" s="259"/>
      <c r="T8203" s="285"/>
      <c r="U8203" s="260"/>
      <c r="V8203" s="260"/>
      <c r="W8203" s="261"/>
      <c r="X8203" s="260"/>
      <c r="Y8203" s="260"/>
      <c r="Z8203" s="261"/>
      <c r="AA8203" s="260"/>
      <c r="AB8203" s="260"/>
      <c r="AC8203" s="261"/>
      <c r="AD8203" s="260"/>
      <c r="AE8203" s="260"/>
      <c r="AF8203" s="261"/>
      <c r="AG8203" s="321"/>
      <c r="AH8203" s="1"/>
      <c r="AI8203" s="1"/>
      <c r="AJ8203" s="259"/>
      <c r="AK8203" s="259"/>
      <c r="AL8203" s="261"/>
      <c r="AM8203" s="1"/>
      <c r="AN8203" s="1"/>
      <c r="AO8203" s="1"/>
    </row>
    <row r="8204" spans="14:41" customFormat="1">
      <c r="N8204" s="236" t="s">
        <v>855</v>
      </c>
      <c r="O8204" s="604" t="s">
        <v>1691</v>
      </c>
      <c r="P8204" s="257"/>
      <c r="Q8204" s="328"/>
      <c r="R8204" s="259"/>
      <c r="S8204" s="259"/>
      <c r="T8204" s="285"/>
      <c r="U8204" s="260"/>
      <c r="V8204" s="260"/>
      <c r="W8204" s="257">
        <f>W8190+W8192-W8201</f>
        <v>0</v>
      </c>
      <c r="X8204" s="260"/>
      <c r="Y8204" s="260"/>
      <c r="Z8204" s="257">
        <f>Z8190+Z8192-Z8201</f>
        <v>0</v>
      </c>
      <c r="AA8204" s="260"/>
      <c r="AB8204" s="260"/>
      <c r="AC8204" s="257">
        <f>AC8190+AC8192-AC8201</f>
        <v>0</v>
      </c>
      <c r="AD8204" s="260"/>
      <c r="AE8204" s="260"/>
      <c r="AF8204" s="257">
        <f>AF8190+AF8192-AF8201</f>
        <v>0</v>
      </c>
      <c r="AG8204" s="321"/>
      <c r="AH8204" s="1"/>
      <c r="AI8204" s="1"/>
      <c r="AJ8204" s="259"/>
      <c r="AK8204" s="259"/>
      <c r="AL8204" s="257">
        <f>AL8190+AL8192-AL8201</f>
        <v>0</v>
      </c>
      <c r="AM8204" s="1"/>
      <c r="AN8204" s="1"/>
      <c r="AO8204" s="1"/>
    </row>
    <row r="8205" spans="14:41" customFormat="1">
      <c r="N8205" s="236" t="s">
        <v>876</v>
      </c>
      <c r="O8205" s="604" t="s">
        <v>1692</v>
      </c>
      <c r="P8205" s="257"/>
      <c r="Q8205" s="328"/>
      <c r="R8205" s="259"/>
      <c r="S8205" s="259"/>
      <c r="T8205" s="285"/>
      <c r="U8205" s="260"/>
      <c r="V8205" s="260"/>
      <c r="W8205" s="257">
        <f>IF(U7350="да",W8204*1.18,W8204)</f>
        <v>0</v>
      </c>
      <c r="X8205" s="260"/>
      <c r="Y8205" s="260"/>
      <c r="Z8205" s="257">
        <f>IF(X7350="да",Z8204*1.18,Z8204)</f>
        <v>0</v>
      </c>
      <c r="AA8205" s="260"/>
      <c r="AB8205" s="260"/>
      <c r="AC8205" s="257">
        <f>IF(AA7350="да",AC8204*1.18,AC8204)</f>
        <v>0</v>
      </c>
      <c r="AD8205" s="260"/>
      <c r="AE8205" s="260"/>
      <c r="AF8205" s="257">
        <f>IF(AD7350="да",AF8204*1.18,AF8204)</f>
        <v>0</v>
      </c>
      <c r="AG8205" s="321"/>
      <c r="AH8205" s="1"/>
      <c r="AI8205" s="1"/>
      <c r="AJ8205" s="259"/>
      <c r="AK8205" s="259"/>
      <c r="AL8205" s="257">
        <f>IF(AJ7350="да",AL8204*1.18,AL8204)</f>
        <v>0</v>
      </c>
      <c r="AM8205" s="1"/>
      <c r="AN8205" s="1"/>
      <c r="AO8205" s="1"/>
    </row>
    <row r="8206" spans="14:41" customFormat="1">
      <c r="N8206" s="236"/>
      <c r="O8206" s="674"/>
      <c r="P8206" s="264"/>
      <c r="Q8206" s="328"/>
      <c r="R8206" s="259"/>
      <c r="S8206" s="259"/>
      <c r="T8206" s="285"/>
      <c r="U8206" s="259"/>
      <c r="V8206" s="259"/>
      <c r="W8206" s="285"/>
      <c r="X8206" s="285"/>
      <c r="Y8206" s="285"/>
      <c r="Z8206" s="285"/>
      <c r="AA8206" s="285"/>
      <c r="AB8206" s="285"/>
      <c r="AC8206" s="285"/>
      <c r="AD8206" s="285"/>
      <c r="AE8206" s="285"/>
      <c r="AF8206" s="285"/>
      <c r="AG8206" s="321"/>
      <c r="AH8206" s="1"/>
      <c r="AI8206" s="1"/>
      <c r="AJ8206" s="259"/>
      <c r="AK8206" s="259"/>
      <c r="AL8206" s="285"/>
      <c r="AM8206" s="1"/>
      <c r="AN8206" s="1"/>
      <c r="AO8206" s="1"/>
    </row>
    <row r="8207" spans="14:41" customFormat="1" hidden="1">
      <c r="N8207" s="236"/>
      <c r="O8207" s="205"/>
      <c r="P8207" s="264"/>
      <c r="Q8207" s="328"/>
      <c r="R8207" s="259"/>
      <c r="S8207" s="259"/>
      <c r="T8207" s="285"/>
      <c r="U8207" s="259"/>
      <c r="V8207" s="259"/>
      <c r="W8207" s="285"/>
      <c r="X8207" s="285"/>
      <c r="Y8207" s="285"/>
      <c r="Z8207" s="285"/>
      <c r="AA8207" s="285"/>
      <c r="AB8207" s="285"/>
      <c r="AC8207" s="285"/>
      <c r="AD8207" s="285"/>
      <c r="AE8207" s="285"/>
      <c r="AF8207" s="285"/>
      <c r="AG8207" s="330"/>
      <c r="AI8207" s="1"/>
      <c r="AJ8207" s="259"/>
      <c r="AK8207" s="259"/>
      <c r="AL8207" s="285"/>
      <c r="AM8207" s="1"/>
      <c r="AN8207" s="1"/>
      <c r="AO8207" s="1"/>
    </row>
    <row r="8208" spans="14:41" customFormat="1" hidden="1">
      <c r="N8208" s="236"/>
      <c r="O8208" s="674"/>
      <c r="P8208" s="264"/>
      <c r="Q8208" s="328"/>
      <c r="R8208" s="259"/>
      <c r="S8208" s="259"/>
      <c r="T8208" s="285"/>
      <c r="U8208" s="259"/>
      <c r="V8208" s="259"/>
      <c r="W8208" s="285"/>
      <c r="X8208" s="285"/>
      <c r="Y8208" s="285"/>
      <c r="Z8208" s="285"/>
      <c r="AA8208" s="285"/>
      <c r="AB8208" s="285"/>
      <c r="AC8208" s="285"/>
      <c r="AD8208" s="285"/>
      <c r="AE8208" s="285"/>
      <c r="AF8208" s="285"/>
      <c r="AG8208" s="321"/>
      <c r="AH8208" s="1"/>
      <c r="AI8208" s="1"/>
      <c r="AJ8208" s="259"/>
      <c r="AK8208" s="259"/>
      <c r="AL8208" s="285"/>
      <c r="AM8208" s="1"/>
      <c r="AN8208" s="1"/>
      <c r="AO8208" s="1"/>
    </row>
    <row r="8209" spans="14:41" customFormat="1" hidden="1">
      <c r="N8209" s="236"/>
      <c r="O8209" s="325"/>
      <c r="P8209" s="264"/>
      <c r="Q8209" s="328"/>
      <c r="R8209" s="323"/>
      <c r="S8209" s="323"/>
      <c r="T8209" s="285"/>
      <c r="U8209" s="260"/>
      <c r="V8209" s="260"/>
      <c r="W8209" s="285"/>
      <c r="X8209" s="285"/>
      <c r="Y8209" s="285"/>
      <c r="Z8209" s="285"/>
      <c r="AA8209" s="285"/>
      <c r="AB8209" s="285"/>
      <c r="AC8209" s="285"/>
      <c r="AD8209" s="285"/>
      <c r="AE8209" s="285"/>
      <c r="AF8209" s="285"/>
      <c r="AG8209" s="330"/>
      <c r="AI8209" s="1"/>
      <c r="AJ8209" s="259"/>
      <c r="AK8209" s="259"/>
      <c r="AL8209" s="285"/>
      <c r="AM8209" s="1"/>
      <c r="AN8209" s="1"/>
      <c r="AO8209" s="1"/>
    </row>
    <row r="8210" spans="14:41" customFormat="1" hidden="1">
      <c r="N8210" s="236"/>
      <c r="O8210" s="483"/>
      <c r="P8210" s="264"/>
      <c r="Q8210" s="328"/>
      <c r="R8210" s="323"/>
      <c r="S8210" s="323"/>
      <c r="T8210" s="285"/>
      <c r="U8210" s="260"/>
      <c r="V8210" s="260"/>
      <c r="W8210" s="285"/>
      <c r="X8210" s="285"/>
      <c r="Y8210" s="285"/>
      <c r="Z8210" s="285"/>
      <c r="AA8210" s="285"/>
      <c r="AB8210" s="285"/>
      <c r="AC8210" s="285"/>
      <c r="AD8210" s="285"/>
      <c r="AE8210" s="285"/>
      <c r="AF8210" s="285"/>
      <c r="AG8210" s="330"/>
      <c r="AI8210" s="1"/>
      <c r="AJ8210" s="259"/>
      <c r="AK8210" s="259"/>
      <c r="AL8210" s="285"/>
      <c r="AM8210" s="1"/>
      <c r="AN8210" s="1"/>
      <c r="AO8210" s="1"/>
    </row>
    <row r="8211" spans="14:41" customFormat="1" hidden="1">
      <c r="N8211" s="236"/>
      <c r="O8211" s="235"/>
      <c r="P8211" s="264"/>
      <c r="Q8211" s="328"/>
      <c r="R8211" s="323"/>
      <c r="S8211" s="323"/>
      <c r="T8211" s="285"/>
      <c r="U8211" s="260"/>
      <c r="V8211" s="260"/>
      <c r="W8211" s="285"/>
      <c r="X8211" s="285"/>
      <c r="Y8211" s="285"/>
      <c r="Z8211" s="285"/>
      <c r="AA8211" s="285"/>
      <c r="AB8211" s="285"/>
      <c r="AC8211" s="285"/>
      <c r="AD8211" s="285"/>
      <c r="AE8211" s="285"/>
      <c r="AF8211" s="285"/>
      <c r="AG8211" s="330"/>
      <c r="AI8211" s="1"/>
      <c r="AJ8211" s="259"/>
      <c r="AK8211" s="259"/>
      <c r="AL8211" s="285"/>
      <c r="AM8211" s="1"/>
      <c r="AN8211" s="1"/>
      <c r="AO8211" s="1"/>
    </row>
    <row r="8212" spans="14:41" customFormat="1" hidden="1">
      <c r="N8212" s="436"/>
      <c r="O8212" s="485"/>
      <c r="P8212" s="264"/>
      <c r="Q8212" s="328"/>
      <c r="R8212" s="323"/>
      <c r="S8212" s="323"/>
      <c r="T8212" s="285"/>
      <c r="U8212" s="260"/>
      <c r="V8212" s="260"/>
      <c r="W8212" s="285"/>
      <c r="X8212" s="285"/>
      <c r="Y8212" s="285"/>
      <c r="Z8212" s="285"/>
      <c r="AA8212" s="285"/>
      <c r="AB8212" s="285"/>
      <c r="AC8212" s="285"/>
      <c r="AD8212" s="285"/>
      <c r="AE8212" s="285"/>
      <c r="AF8212" s="285"/>
      <c r="AG8212" s="330"/>
      <c r="AI8212" s="1"/>
      <c r="AJ8212" s="259"/>
      <c r="AK8212" s="259"/>
      <c r="AL8212" s="285"/>
      <c r="AM8212" s="1"/>
      <c r="AN8212" s="1"/>
      <c r="AO8212" s="1"/>
    </row>
    <row r="8213" spans="14:41" customFormat="1" hidden="1">
      <c r="N8213" s="236"/>
      <c r="O8213" s="235"/>
      <c r="P8213" s="264"/>
      <c r="Q8213" s="328"/>
      <c r="R8213" s="259"/>
      <c r="S8213" s="259"/>
      <c r="T8213" s="285"/>
      <c r="U8213" s="259"/>
      <c r="V8213" s="259"/>
      <c r="W8213" s="285"/>
      <c r="X8213" s="285"/>
      <c r="Y8213" s="285"/>
      <c r="Z8213" s="285"/>
      <c r="AA8213" s="285"/>
      <c r="AB8213" s="285"/>
      <c r="AC8213" s="285"/>
      <c r="AD8213" s="285"/>
      <c r="AE8213" s="285"/>
      <c r="AF8213" s="285"/>
      <c r="AG8213" s="330"/>
      <c r="AI8213" s="1"/>
      <c r="AJ8213" s="259"/>
      <c r="AK8213" s="259"/>
      <c r="AL8213" s="285"/>
      <c r="AM8213" s="1"/>
      <c r="AN8213" s="1"/>
      <c r="AO8213" s="1"/>
    </row>
    <row r="8214" spans="14:41" customFormat="1" hidden="1">
      <c r="N8214" s="236"/>
      <c r="O8214" s="205"/>
      <c r="P8214" s="264"/>
      <c r="Q8214" s="328"/>
      <c r="R8214" s="260"/>
      <c r="S8214" s="260"/>
      <c r="T8214" s="285"/>
      <c r="U8214" s="259"/>
      <c r="V8214" s="259"/>
      <c r="W8214" s="285"/>
      <c r="X8214" s="285"/>
      <c r="Y8214" s="285"/>
      <c r="Z8214" s="285"/>
      <c r="AA8214" s="285"/>
      <c r="AB8214" s="285"/>
      <c r="AC8214" s="285"/>
      <c r="AD8214" s="285"/>
      <c r="AE8214" s="285"/>
      <c r="AF8214" s="285"/>
      <c r="AG8214" s="330"/>
      <c r="AI8214" s="1"/>
      <c r="AJ8214" s="259"/>
      <c r="AK8214" s="259"/>
      <c r="AL8214" s="285"/>
      <c r="AM8214" s="1"/>
      <c r="AN8214" s="1"/>
      <c r="AO8214" s="1"/>
    </row>
    <row r="8215" spans="14:41" customFormat="1" hidden="1">
      <c r="N8215" s="236"/>
      <c r="O8215" s="205"/>
      <c r="P8215" s="264"/>
      <c r="Q8215" s="328"/>
      <c r="R8215" s="260"/>
      <c r="S8215" s="260"/>
      <c r="T8215" s="285"/>
      <c r="U8215" s="259"/>
      <c r="V8215" s="259"/>
      <c r="W8215" s="285"/>
      <c r="X8215" s="285"/>
      <c r="Y8215" s="285"/>
      <c r="Z8215" s="285"/>
      <c r="AA8215" s="285"/>
      <c r="AB8215" s="285"/>
      <c r="AC8215" s="285"/>
      <c r="AD8215" s="285"/>
      <c r="AE8215" s="285"/>
      <c r="AF8215" s="285"/>
      <c r="AG8215" s="330"/>
      <c r="AI8215" s="1"/>
      <c r="AJ8215" s="259"/>
      <c r="AK8215" s="259"/>
      <c r="AL8215" s="285"/>
      <c r="AM8215" s="1"/>
      <c r="AN8215" s="1"/>
      <c r="AO8215" s="1"/>
    </row>
    <row r="8216" spans="14:41" customFormat="1">
      <c r="N8216" s="236"/>
      <c r="O8216" s="205"/>
      <c r="P8216" s="264"/>
      <c r="Q8216" s="328"/>
      <c r="R8216" s="260"/>
      <c r="S8216" s="260"/>
      <c r="T8216" s="285"/>
      <c r="U8216" s="259"/>
      <c r="V8216" s="259"/>
      <c r="W8216" s="285"/>
      <c r="X8216" s="285"/>
      <c r="Y8216" s="285"/>
      <c r="Z8216" s="285"/>
      <c r="AA8216" s="285"/>
      <c r="AB8216" s="285"/>
      <c r="AC8216" s="285"/>
      <c r="AD8216" s="285"/>
      <c r="AE8216" s="285"/>
      <c r="AF8216" s="285"/>
      <c r="AG8216" s="330"/>
      <c r="AI8216" s="1"/>
      <c r="AJ8216" s="259"/>
      <c r="AK8216" s="259"/>
      <c r="AL8216" s="285"/>
      <c r="AM8216" s="1"/>
      <c r="AN8216" s="1"/>
      <c r="AO8216" s="1"/>
    </row>
    <row r="8217" spans="14:41" customFormat="1">
      <c r="N8217" s="436" t="s">
        <v>490</v>
      </c>
      <c r="O8217" s="249" t="s">
        <v>2450</v>
      </c>
      <c r="P8217" s="257"/>
      <c r="Q8217" s="328"/>
      <c r="R8217" s="260"/>
      <c r="S8217" s="260"/>
      <c r="T8217" s="285"/>
      <c r="U8217" s="285"/>
      <c r="V8217" s="285"/>
      <c r="W8217" s="257">
        <f>SUM(W8218:W8220)</f>
        <v>0</v>
      </c>
      <c r="X8217" s="285"/>
      <c r="Y8217" s="285"/>
      <c r="Z8217" s="257">
        <f>SUM(Z8218:Z8220)</f>
        <v>0</v>
      </c>
      <c r="AA8217" s="285"/>
      <c r="AB8217" s="285"/>
      <c r="AC8217" s="263"/>
      <c r="AD8217" s="285"/>
      <c r="AE8217" s="285"/>
      <c r="AF8217" s="257">
        <f>SUM(AF8218:AF8220)</f>
        <v>0</v>
      </c>
      <c r="AG8217" s="330"/>
      <c r="AI8217" s="1"/>
      <c r="AJ8217" s="259"/>
      <c r="AK8217" s="259"/>
      <c r="AL8217" s="263"/>
      <c r="AM8217" s="1"/>
      <c r="AN8217" s="1"/>
      <c r="AO8217" s="1"/>
    </row>
    <row r="8218" spans="14:41" customFormat="1">
      <c r="N8218" s="436" t="s">
        <v>491</v>
      </c>
      <c r="O8218" s="205" t="s">
        <v>2452</v>
      </c>
      <c r="P8218" s="257"/>
      <c r="Q8218" s="328"/>
      <c r="R8218" s="260"/>
      <c r="S8218" s="260"/>
      <c r="T8218" s="285"/>
      <c r="U8218" s="285"/>
      <c r="V8218" s="285"/>
      <c r="W8218" s="322"/>
      <c r="X8218" s="285"/>
      <c r="Y8218" s="285"/>
      <c r="Z8218" s="322"/>
      <c r="AA8218" s="285"/>
      <c r="AB8218" s="285"/>
      <c r="AC8218" s="263"/>
      <c r="AD8218" s="285"/>
      <c r="AE8218" s="285"/>
      <c r="AF8218" s="322"/>
      <c r="AG8218" s="330"/>
      <c r="AI8218" s="1"/>
      <c r="AJ8218" s="259"/>
      <c r="AK8218" s="259"/>
      <c r="AL8218" s="263"/>
      <c r="AM8218" s="1"/>
      <c r="AN8218" s="1"/>
      <c r="AO8218" s="1"/>
    </row>
    <row r="8219" spans="14:41" customFormat="1">
      <c r="N8219" s="436" t="s">
        <v>492</v>
      </c>
      <c r="O8219" s="205" t="s">
        <v>2453</v>
      </c>
      <c r="P8219" s="257"/>
      <c r="Q8219" s="328"/>
      <c r="R8219" s="260"/>
      <c r="S8219" s="260"/>
      <c r="T8219" s="285"/>
      <c r="U8219" s="285"/>
      <c r="V8219" s="285"/>
      <c r="W8219" s="322"/>
      <c r="X8219" s="285"/>
      <c r="Y8219" s="285"/>
      <c r="Z8219" s="322"/>
      <c r="AA8219" s="285"/>
      <c r="AB8219" s="285"/>
      <c r="AC8219" s="263"/>
      <c r="AD8219" s="285"/>
      <c r="AE8219" s="285"/>
      <c r="AF8219" s="322"/>
      <c r="AG8219" s="330"/>
      <c r="AI8219" s="1"/>
      <c r="AJ8219" s="259"/>
      <c r="AK8219" s="259"/>
      <c r="AL8219" s="263"/>
      <c r="AM8219" s="1"/>
      <c r="AN8219" s="1"/>
      <c r="AO8219" s="1"/>
    </row>
    <row r="8220" spans="14:41" customFormat="1">
      <c r="N8220" s="436" t="s">
        <v>493</v>
      </c>
      <c r="O8220" s="678" t="s">
        <v>519</v>
      </c>
      <c r="P8220" s="257"/>
      <c r="Q8220" s="328"/>
      <c r="R8220" s="260"/>
      <c r="S8220" s="260"/>
      <c r="T8220" s="285"/>
      <c r="U8220" s="285"/>
      <c r="V8220" s="285"/>
      <c r="W8220" s="257">
        <f>SUM(W8221:W8223)</f>
        <v>0</v>
      </c>
      <c r="X8220" s="285"/>
      <c r="Y8220" s="285"/>
      <c r="Z8220" s="257">
        <f>SUM(Z8221:Z8223)</f>
        <v>0</v>
      </c>
      <c r="AA8220" s="285"/>
      <c r="AB8220" s="285"/>
      <c r="AC8220" s="263"/>
      <c r="AD8220" s="285"/>
      <c r="AE8220" s="285"/>
      <c r="AF8220" s="257">
        <f>SUM(AF8221:AF8223)</f>
        <v>0</v>
      </c>
      <c r="AG8220" s="330"/>
      <c r="AI8220" s="1"/>
      <c r="AJ8220" s="259"/>
      <c r="AK8220" s="259"/>
      <c r="AL8220" s="263"/>
      <c r="AM8220" s="1"/>
      <c r="AN8220" s="1"/>
      <c r="AO8220" s="1"/>
    </row>
    <row r="8221" spans="14:41" customFormat="1">
      <c r="N8221" s="436" t="s">
        <v>494</v>
      </c>
      <c r="O8221" s="229" t="s">
        <v>747</v>
      </c>
      <c r="P8221" s="257"/>
      <c r="Q8221" s="328"/>
      <c r="R8221" s="260"/>
      <c r="S8221" s="260"/>
      <c r="T8221" s="285"/>
      <c r="U8221" s="285"/>
      <c r="V8221" s="285"/>
      <c r="W8221" s="322"/>
      <c r="X8221" s="285"/>
      <c r="Y8221" s="285"/>
      <c r="Z8221" s="322"/>
      <c r="AA8221" s="285"/>
      <c r="AB8221" s="285"/>
      <c r="AC8221" s="263"/>
      <c r="AD8221" s="285"/>
      <c r="AE8221" s="285"/>
      <c r="AF8221" s="322"/>
      <c r="AG8221" s="330"/>
      <c r="AI8221" s="1"/>
      <c r="AJ8221" s="259"/>
      <c r="AK8221" s="259"/>
      <c r="AL8221" s="263"/>
      <c r="AM8221" s="1"/>
      <c r="AN8221" s="1"/>
      <c r="AO8221" s="1"/>
    </row>
    <row r="8222" spans="14:41" customFormat="1">
      <c r="N8222" s="436" t="s">
        <v>495</v>
      </c>
      <c r="O8222" s="229" t="s">
        <v>748</v>
      </c>
      <c r="P8222" s="257"/>
      <c r="Q8222" s="328"/>
      <c r="R8222" s="260"/>
      <c r="S8222" s="260"/>
      <c r="T8222" s="285"/>
      <c r="U8222" s="285"/>
      <c r="V8222" s="285"/>
      <c r="W8222" s="322"/>
      <c r="X8222" s="285"/>
      <c r="Y8222" s="285"/>
      <c r="Z8222" s="322"/>
      <c r="AA8222" s="285"/>
      <c r="AB8222" s="285"/>
      <c r="AC8222" s="263"/>
      <c r="AD8222" s="285"/>
      <c r="AE8222" s="285"/>
      <c r="AF8222" s="322"/>
      <c r="AG8222" s="330"/>
      <c r="AI8222" s="1"/>
      <c r="AJ8222" s="259"/>
      <c r="AK8222" s="259"/>
      <c r="AL8222" s="263"/>
      <c r="AM8222" s="1"/>
      <c r="AN8222" s="1"/>
      <c r="AO8222" s="1"/>
    </row>
    <row r="8223" spans="14:41" customFormat="1">
      <c r="N8223" s="436" t="s">
        <v>496</v>
      </c>
      <c r="O8223" s="229" t="s">
        <v>749</v>
      </c>
      <c r="P8223" s="257"/>
      <c r="Q8223" s="328"/>
      <c r="R8223" s="260"/>
      <c r="S8223" s="260"/>
      <c r="T8223" s="285"/>
      <c r="U8223" s="285"/>
      <c r="V8223" s="285"/>
      <c r="W8223" s="322"/>
      <c r="X8223" s="285"/>
      <c r="Y8223" s="285"/>
      <c r="Z8223" s="322"/>
      <c r="AA8223" s="285"/>
      <c r="AB8223" s="285"/>
      <c r="AC8223" s="263"/>
      <c r="AD8223" s="285"/>
      <c r="AE8223" s="285"/>
      <c r="AF8223" s="322"/>
      <c r="AG8223" s="330"/>
      <c r="AI8223" s="1"/>
      <c r="AJ8223" s="259"/>
      <c r="AK8223" s="259"/>
      <c r="AL8223" s="263"/>
      <c r="AM8223" s="1"/>
      <c r="AN8223" s="1"/>
      <c r="AO8223" s="1"/>
    </row>
    <row r="8224" spans="14:41" customFormat="1">
      <c r="N8224" s="436" t="s">
        <v>497</v>
      </c>
      <c r="O8224" s="249" t="s">
        <v>2454</v>
      </c>
      <c r="P8224" s="257"/>
      <c r="Q8224" s="328"/>
      <c r="R8224" s="260"/>
      <c r="S8224" s="260"/>
      <c r="T8224" s="285"/>
      <c r="U8224" s="285"/>
      <c r="V8224" s="285"/>
      <c r="W8224" s="257">
        <f>SUM(W8225:W8230)</f>
        <v>0</v>
      </c>
      <c r="X8224" s="285"/>
      <c r="Y8224" s="285"/>
      <c r="Z8224" s="257">
        <f>SUM(Z8225:Z8230)</f>
        <v>0</v>
      </c>
      <c r="AA8224" s="285"/>
      <c r="AB8224" s="285"/>
      <c r="AC8224" s="263"/>
      <c r="AD8224" s="285"/>
      <c r="AE8224" s="285"/>
      <c r="AF8224" s="257">
        <f>SUM(AF8225:AF8230)</f>
        <v>0</v>
      </c>
      <c r="AG8224" s="330"/>
      <c r="AI8224" s="1"/>
      <c r="AJ8224" s="259"/>
      <c r="AK8224" s="259"/>
      <c r="AL8224" s="263"/>
      <c r="AM8224" s="1"/>
      <c r="AN8224" s="1"/>
      <c r="AO8224" s="1"/>
    </row>
    <row r="8225" spans="14:41" customFormat="1">
      <c r="N8225" s="436" t="s">
        <v>498</v>
      </c>
      <c r="O8225" s="205" t="s">
        <v>746</v>
      </c>
      <c r="P8225" s="257"/>
      <c r="Q8225" s="328"/>
      <c r="R8225" s="260"/>
      <c r="S8225" s="260"/>
      <c r="T8225" s="285"/>
      <c r="U8225" s="285"/>
      <c r="V8225" s="285"/>
      <c r="W8225" s="322"/>
      <c r="X8225" s="285"/>
      <c r="Y8225" s="285"/>
      <c r="Z8225" s="322"/>
      <c r="AA8225" s="285"/>
      <c r="AB8225" s="285"/>
      <c r="AC8225" s="263"/>
      <c r="AD8225" s="285"/>
      <c r="AE8225" s="285"/>
      <c r="AF8225" s="322"/>
      <c r="AG8225" s="330"/>
      <c r="AI8225" s="1"/>
      <c r="AJ8225" s="259"/>
      <c r="AK8225" s="259"/>
      <c r="AL8225" s="263"/>
      <c r="AM8225" s="1"/>
      <c r="AN8225" s="1"/>
      <c r="AO8225" s="1"/>
    </row>
    <row r="8226" spans="14:41" customFormat="1">
      <c r="N8226" s="436" t="s">
        <v>499</v>
      </c>
      <c r="O8226" s="205" t="s">
        <v>747</v>
      </c>
      <c r="P8226" s="257"/>
      <c r="Q8226" s="328"/>
      <c r="R8226" s="260"/>
      <c r="S8226" s="260"/>
      <c r="T8226" s="285"/>
      <c r="U8226" s="285"/>
      <c r="V8226" s="285"/>
      <c r="W8226" s="322"/>
      <c r="X8226" s="285"/>
      <c r="Y8226" s="285"/>
      <c r="Z8226" s="322"/>
      <c r="AA8226" s="285"/>
      <c r="AB8226" s="285"/>
      <c r="AC8226" s="263"/>
      <c r="AD8226" s="285"/>
      <c r="AE8226" s="285"/>
      <c r="AF8226" s="322"/>
      <c r="AG8226" s="330"/>
      <c r="AI8226" s="1"/>
      <c r="AJ8226" s="259"/>
      <c r="AK8226" s="259"/>
      <c r="AL8226" s="263"/>
      <c r="AM8226" s="1"/>
      <c r="AN8226" s="1"/>
      <c r="AO8226" s="1"/>
    </row>
    <row r="8227" spans="14:41" customFormat="1">
      <c r="N8227" s="436" t="s">
        <v>500</v>
      </c>
      <c r="O8227" s="205" t="s">
        <v>748</v>
      </c>
      <c r="P8227" s="257"/>
      <c r="Q8227" s="328"/>
      <c r="R8227" s="260"/>
      <c r="S8227" s="260"/>
      <c r="T8227" s="285"/>
      <c r="U8227" s="285"/>
      <c r="V8227" s="285"/>
      <c r="W8227" s="322"/>
      <c r="X8227" s="285"/>
      <c r="Y8227" s="285"/>
      <c r="Z8227" s="322"/>
      <c r="AA8227" s="285"/>
      <c r="AB8227" s="285"/>
      <c r="AC8227" s="263"/>
      <c r="AD8227" s="285"/>
      <c r="AE8227" s="285"/>
      <c r="AF8227" s="322"/>
      <c r="AG8227" s="330"/>
      <c r="AI8227" s="1"/>
      <c r="AJ8227" s="259"/>
      <c r="AK8227" s="259"/>
      <c r="AL8227" s="263"/>
      <c r="AM8227" s="1"/>
      <c r="AN8227" s="1"/>
      <c r="AO8227" s="1"/>
    </row>
    <row r="8228" spans="14:41" customFormat="1">
      <c r="N8228" s="436" t="s">
        <v>501</v>
      </c>
      <c r="O8228" s="205" t="s">
        <v>749</v>
      </c>
      <c r="P8228" s="257"/>
      <c r="Q8228" s="328"/>
      <c r="R8228" s="260"/>
      <c r="S8228" s="260"/>
      <c r="T8228" s="285"/>
      <c r="U8228" s="285"/>
      <c r="V8228" s="285"/>
      <c r="W8228" s="322"/>
      <c r="X8228" s="285"/>
      <c r="Y8228" s="285"/>
      <c r="Z8228" s="322"/>
      <c r="AA8228" s="285"/>
      <c r="AB8228" s="285"/>
      <c r="AC8228" s="263"/>
      <c r="AD8228" s="285"/>
      <c r="AE8228" s="285"/>
      <c r="AF8228" s="322"/>
      <c r="AG8228" s="330"/>
      <c r="AI8228" s="1"/>
      <c r="AJ8228" s="259"/>
      <c r="AK8228" s="259"/>
      <c r="AL8228" s="263"/>
      <c r="AM8228" s="1"/>
      <c r="AN8228" s="1"/>
      <c r="AO8228" s="1"/>
    </row>
    <row r="8229" spans="14:41" customFormat="1">
      <c r="N8229" s="436" t="s">
        <v>502</v>
      </c>
      <c r="O8229" s="224" t="s">
        <v>2459</v>
      </c>
      <c r="P8229" s="257"/>
      <c r="Q8229" s="328"/>
      <c r="R8229" s="260"/>
      <c r="S8229" s="260"/>
      <c r="T8229" s="285"/>
      <c r="U8229" s="285"/>
      <c r="V8229" s="285"/>
      <c r="W8229" s="322"/>
      <c r="X8229" s="285"/>
      <c r="Y8229" s="285"/>
      <c r="Z8229" s="322"/>
      <c r="AA8229" s="285"/>
      <c r="AB8229" s="285"/>
      <c r="AC8229" s="263"/>
      <c r="AD8229" s="285"/>
      <c r="AE8229" s="285"/>
      <c r="AF8229" s="322"/>
      <c r="AG8229" s="330"/>
      <c r="AI8229" s="1"/>
      <c r="AJ8229" s="259"/>
      <c r="AK8229" s="259"/>
      <c r="AL8229" s="263"/>
      <c r="AM8229" s="1"/>
      <c r="AN8229" s="1"/>
      <c r="AO8229" s="1"/>
    </row>
    <row r="8230" spans="14:41" customFormat="1">
      <c r="N8230" s="436" t="s">
        <v>503</v>
      </c>
      <c r="O8230" s="677" t="s">
        <v>754</v>
      </c>
      <c r="P8230" s="257"/>
      <c r="Q8230" s="328"/>
      <c r="R8230" s="260"/>
      <c r="S8230" s="260"/>
      <c r="T8230" s="285"/>
      <c r="U8230" s="285"/>
      <c r="V8230" s="285"/>
      <c r="W8230" s="322"/>
      <c r="X8230" s="285"/>
      <c r="Y8230" s="285"/>
      <c r="Z8230" s="322"/>
      <c r="AA8230" s="285"/>
      <c r="AB8230" s="285"/>
      <c r="AC8230" s="263"/>
      <c r="AD8230" s="285"/>
      <c r="AE8230" s="285"/>
      <c r="AF8230" s="322"/>
      <c r="AG8230" s="330"/>
      <c r="AI8230" s="1"/>
      <c r="AJ8230" s="259"/>
      <c r="AK8230" s="259"/>
      <c r="AL8230" s="263"/>
      <c r="AM8230" s="1"/>
      <c r="AN8230" s="1"/>
      <c r="AO8230" s="1"/>
    </row>
    <row r="8231" spans="14:41" customFormat="1">
      <c r="N8231" s="675">
        <v>32</v>
      </c>
      <c r="O8231" s="483" t="s">
        <v>518</v>
      </c>
      <c r="P8231" s="257"/>
      <c r="Q8231" s="328"/>
      <c r="R8231" s="260"/>
      <c r="S8231" s="260"/>
      <c r="T8231" s="285"/>
      <c r="U8231" s="285"/>
      <c r="V8231" s="285"/>
      <c r="W8231" s="263"/>
      <c r="X8231" s="285"/>
      <c r="Y8231" s="285"/>
      <c r="Z8231" s="263"/>
      <c r="AA8231" s="285"/>
      <c r="AB8231" s="285"/>
      <c r="AC8231" s="322"/>
      <c r="AD8231" s="285"/>
      <c r="AE8231" s="285"/>
      <c r="AF8231" s="263"/>
      <c r="AG8231" s="330"/>
      <c r="AI8231" s="1"/>
      <c r="AJ8231" s="259"/>
      <c r="AK8231" s="259"/>
      <c r="AL8231" s="322"/>
      <c r="AM8231" s="1"/>
      <c r="AN8231" s="1"/>
      <c r="AO8231" s="1"/>
    </row>
    <row r="8232" spans="14:41" customFormat="1">
      <c r="N8232" s="236"/>
      <c r="O8232" s="301"/>
      <c r="P8232" s="282"/>
      <c r="Q8232" s="328"/>
      <c r="R8232" s="259"/>
      <c r="S8232" s="259"/>
      <c r="T8232" s="285"/>
      <c r="U8232" s="259"/>
      <c r="V8232" s="259"/>
      <c r="W8232" s="285"/>
      <c r="X8232" s="259"/>
      <c r="Y8232" s="259"/>
      <c r="Z8232" s="285"/>
      <c r="AA8232" s="259"/>
      <c r="AB8232" s="259"/>
      <c r="AC8232" s="285"/>
      <c r="AD8232" s="259"/>
      <c r="AE8232" s="259"/>
      <c r="AF8232" s="285"/>
      <c r="AG8232" s="330"/>
      <c r="AI8232" s="1"/>
      <c r="AJ8232" s="259"/>
      <c r="AK8232" s="259"/>
      <c r="AL8232" s="285"/>
      <c r="AM8232" s="1"/>
      <c r="AN8232" s="1"/>
      <c r="AO8232" s="1"/>
    </row>
    <row r="8233" spans="14:41" customFormat="1" ht="22.5">
      <c r="N8233" s="436" t="s">
        <v>1854</v>
      </c>
      <c r="O8233" s="687" t="s">
        <v>523</v>
      </c>
      <c r="P8233" s="257"/>
      <c r="Q8233" s="328"/>
      <c r="R8233" s="259"/>
      <c r="S8233" s="259"/>
      <c r="T8233" s="257">
        <f>SUM(T8234,T8253:T8260)</f>
        <v>0</v>
      </c>
      <c r="U8233" s="259"/>
      <c r="V8233" s="259"/>
      <c r="W8233" s="257">
        <f>SUM(W8234,W8253:W8260)</f>
        <v>0</v>
      </c>
      <c r="X8233" s="259"/>
      <c r="Y8233" s="259"/>
      <c r="Z8233" s="257">
        <f>SUM(Z8234,Z8253:Z8260)</f>
        <v>0</v>
      </c>
      <c r="AA8233" s="259"/>
      <c r="AB8233" s="259"/>
      <c r="AC8233" s="257">
        <f>SUM(AC8234,AC8253:AC8260)</f>
        <v>0</v>
      </c>
      <c r="AD8233" s="259"/>
      <c r="AE8233" s="259"/>
      <c r="AF8233" s="257">
        <f>SUM(AF8234,AF8253:AF8260)</f>
        <v>0</v>
      </c>
      <c r="AG8233" s="330"/>
      <c r="AI8233" s="1"/>
      <c r="AJ8233" s="259"/>
      <c r="AK8233" s="259"/>
      <c r="AL8233" s="257">
        <f>SUM(AL8234,AL8253:AL8260)</f>
        <v>0</v>
      </c>
      <c r="AM8233" s="1"/>
      <c r="AN8233" s="1"/>
      <c r="AO8233" s="1"/>
    </row>
    <row r="8234" spans="14:41" customFormat="1">
      <c r="N8234" s="236" t="s">
        <v>1858</v>
      </c>
      <c r="O8234" s="228" t="s">
        <v>2461</v>
      </c>
      <c r="P8234" s="257"/>
      <c r="Q8234" s="328"/>
      <c r="R8234" s="259"/>
      <c r="S8234" s="259"/>
      <c r="T8234" s="285"/>
      <c r="U8234" s="259"/>
      <c r="V8234" s="259"/>
      <c r="W8234" s="285"/>
      <c r="X8234" s="259"/>
      <c r="Y8234" s="259"/>
      <c r="Z8234" s="257">
        <f>SUM(Z8235,Z8236,Z8240:Z8252)</f>
        <v>0</v>
      </c>
      <c r="AA8234" s="259"/>
      <c r="AB8234" s="259"/>
      <c r="AC8234" s="285"/>
      <c r="AD8234" s="259"/>
      <c r="AE8234" s="259"/>
      <c r="AF8234" s="257">
        <f>SUM(AF8235,AF8236,AF8240:AF8252)</f>
        <v>0</v>
      </c>
      <c r="AG8234" s="330"/>
      <c r="AI8234" s="1"/>
      <c r="AJ8234" s="259"/>
      <c r="AK8234" s="259"/>
      <c r="AL8234" s="285"/>
      <c r="AM8234" s="1"/>
      <c r="AN8234" s="1"/>
      <c r="AO8234" s="1"/>
    </row>
    <row r="8235" spans="14:41" customFormat="1" hidden="1">
      <c r="N8235" s="236" t="s">
        <v>2462</v>
      </c>
      <c r="O8235" s="679" t="s">
        <v>78</v>
      </c>
      <c r="P8235" s="257"/>
      <c r="Q8235" s="328"/>
      <c r="R8235" s="259"/>
      <c r="S8235" s="259"/>
      <c r="T8235" s="285"/>
      <c r="U8235" s="259"/>
      <c r="V8235" s="259"/>
      <c r="W8235" s="285"/>
      <c r="X8235" s="259"/>
      <c r="Y8235" s="259"/>
      <c r="Z8235" s="261"/>
      <c r="AA8235" s="259"/>
      <c r="AB8235" s="259"/>
      <c r="AC8235" s="285"/>
      <c r="AD8235" s="259"/>
      <c r="AE8235" s="259"/>
      <c r="AF8235" s="261"/>
      <c r="AG8235" s="330"/>
      <c r="AI8235" s="1"/>
      <c r="AJ8235" s="259"/>
      <c r="AK8235" s="259"/>
      <c r="AL8235" s="285"/>
      <c r="AM8235" s="1"/>
      <c r="AN8235" s="1"/>
      <c r="AO8235" s="1"/>
    </row>
    <row r="8236" spans="14:41" customFormat="1" hidden="1">
      <c r="N8236" s="236" t="s">
        <v>2463</v>
      </c>
      <c r="O8236" s="676" t="s">
        <v>212</v>
      </c>
      <c r="P8236" s="257"/>
      <c r="Q8236" s="328"/>
      <c r="R8236" s="259"/>
      <c r="S8236" s="259"/>
      <c r="T8236" s="285"/>
      <c r="U8236" s="259"/>
      <c r="V8236" s="259"/>
      <c r="W8236" s="285"/>
      <c r="X8236" s="259"/>
      <c r="Y8236" s="259"/>
      <c r="Z8236" s="257">
        <f>SUM(Z8237:Z8239)</f>
        <v>0</v>
      </c>
      <c r="AA8236" s="259"/>
      <c r="AB8236" s="259"/>
      <c r="AC8236" s="285"/>
      <c r="AD8236" s="259"/>
      <c r="AE8236" s="259"/>
      <c r="AF8236" s="257">
        <f>SUM(AF8237:AF8239)</f>
        <v>0</v>
      </c>
      <c r="AG8236" s="330"/>
      <c r="AI8236" s="1"/>
      <c r="AJ8236" s="259"/>
      <c r="AK8236" s="259"/>
      <c r="AL8236" s="285"/>
      <c r="AM8236" s="1"/>
      <c r="AN8236" s="1"/>
      <c r="AO8236" s="1"/>
    </row>
    <row r="8237" spans="14:41" customFormat="1" hidden="1">
      <c r="N8237" s="436" t="s">
        <v>515</v>
      </c>
      <c r="O8237" s="680" t="s">
        <v>79</v>
      </c>
      <c r="P8237" s="257"/>
      <c r="Q8237" s="328"/>
      <c r="R8237" s="259"/>
      <c r="S8237" s="259"/>
      <c r="T8237" s="285"/>
      <c r="U8237" s="259"/>
      <c r="V8237" s="259"/>
      <c r="W8237" s="285"/>
      <c r="X8237" s="259"/>
      <c r="Y8237" s="259"/>
      <c r="Z8237" s="261"/>
      <c r="AA8237" s="259"/>
      <c r="AB8237" s="259"/>
      <c r="AC8237" s="285"/>
      <c r="AD8237" s="259"/>
      <c r="AE8237" s="259"/>
      <c r="AF8237" s="261"/>
      <c r="AG8237" s="330"/>
      <c r="AI8237" s="1"/>
      <c r="AJ8237" s="259"/>
      <c r="AK8237" s="259"/>
      <c r="AL8237" s="285"/>
      <c r="AM8237" s="1"/>
      <c r="AN8237" s="1"/>
      <c r="AO8237" s="1"/>
    </row>
    <row r="8238" spans="14:41" customFormat="1" hidden="1">
      <c r="N8238" s="436" t="s">
        <v>516</v>
      </c>
      <c r="O8238" s="680" t="s">
        <v>81</v>
      </c>
      <c r="P8238" s="257"/>
      <c r="Q8238" s="328"/>
      <c r="R8238" s="259"/>
      <c r="S8238" s="259"/>
      <c r="T8238" s="285"/>
      <c r="U8238" s="259"/>
      <c r="V8238" s="259"/>
      <c r="W8238" s="285"/>
      <c r="X8238" s="259"/>
      <c r="Y8238" s="259"/>
      <c r="Z8238" s="261"/>
      <c r="AA8238" s="259"/>
      <c r="AB8238" s="259"/>
      <c r="AC8238" s="285"/>
      <c r="AD8238" s="259"/>
      <c r="AE8238" s="259"/>
      <c r="AF8238" s="261"/>
      <c r="AG8238" s="330"/>
      <c r="AI8238" s="1"/>
      <c r="AJ8238" s="259"/>
      <c r="AK8238" s="259"/>
      <c r="AL8238" s="285"/>
      <c r="AM8238" s="1"/>
      <c r="AN8238" s="1"/>
      <c r="AO8238" s="1"/>
    </row>
    <row r="8239" spans="14:41" customFormat="1" hidden="1">
      <c r="N8239" s="436" t="s">
        <v>517</v>
      </c>
      <c r="O8239" s="680" t="s">
        <v>83</v>
      </c>
      <c r="P8239" s="257"/>
      <c r="Q8239" s="328"/>
      <c r="R8239" s="259"/>
      <c r="S8239" s="259"/>
      <c r="T8239" s="285"/>
      <c r="U8239" s="259"/>
      <c r="V8239" s="259"/>
      <c r="W8239" s="285"/>
      <c r="X8239" s="259"/>
      <c r="Y8239" s="259"/>
      <c r="Z8239" s="261"/>
      <c r="AA8239" s="259"/>
      <c r="AB8239" s="259"/>
      <c r="AC8239" s="285"/>
      <c r="AD8239" s="259"/>
      <c r="AE8239" s="259"/>
      <c r="AF8239" s="261"/>
      <c r="AG8239" s="330"/>
      <c r="AI8239" s="1"/>
      <c r="AJ8239" s="259"/>
      <c r="AK8239" s="259"/>
      <c r="AL8239" s="285"/>
      <c r="AM8239" s="1"/>
      <c r="AN8239" s="1"/>
      <c r="AO8239" s="1"/>
    </row>
    <row r="8240" spans="14:41" customFormat="1" hidden="1">
      <c r="N8240" s="236" t="s">
        <v>2464</v>
      </c>
      <c r="O8240" s="681" t="s">
        <v>85</v>
      </c>
      <c r="P8240" s="257"/>
      <c r="Q8240" s="328"/>
      <c r="R8240" s="259"/>
      <c r="S8240" s="259"/>
      <c r="T8240" s="285"/>
      <c r="U8240" s="259"/>
      <c r="V8240" s="259"/>
      <c r="W8240" s="285"/>
      <c r="X8240" s="259"/>
      <c r="Y8240" s="259"/>
      <c r="Z8240" s="261"/>
      <c r="AA8240" s="259"/>
      <c r="AB8240" s="259"/>
      <c r="AC8240" s="285"/>
      <c r="AD8240" s="259"/>
      <c r="AE8240" s="259"/>
      <c r="AF8240" s="261"/>
      <c r="AG8240" s="330"/>
      <c r="AI8240" s="1"/>
      <c r="AJ8240" s="259"/>
      <c r="AK8240" s="259"/>
      <c r="AL8240" s="285"/>
      <c r="AM8240" s="1"/>
      <c r="AN8240" s="1"/>
      <c r="AO8240" s="1"/>
    </row>
    <row r="8241" spans="14:41" customFormat="1" hidden="1">
      <c r="N8241" s="236" t="s">
        <v>2465</v>
      </c>
      <c r="O8241" s="681" t="s">
        <v>87</v>
      </c>
      <c r="P8241" s="257"/>
      <c r="Q8241" s="328"/>
      <c r="R8241" s="259"/>
      <c r="S8241" s="259"/>
      <c r="T8241" s="285"/>
      <c r="U8241" s="259"/>
      <c r="V8241" s="259"/>
      <c r="W8241" s="285"/>
      <c r="X8241" s="259"/>
      <c r="Y8241" s="259"/>
      <c r="Z8241" s="261"/>
      <c r="AA8241" s="259"/>
      <c r="AB8241" s="259"/>
      <c r="AC8241" s="285"/>
      <c r="AD8241" s="259"/>
      <c r="AE8241" s="259"/>
      <c r="AF8241" s="261"/>
      <c r="AG8241" s="330"/>
      <c r="AI8241" s="1"/>
      <c r="AJ8241" s="259"/>
      <c r="AK8241" s="259"/>
      <c r="AL8241" s="285"/>
      <c r="AM8241" s="1"/>
      <c r="AN8241" s="1"/>
      <c r="AO8241" s="1"/>
    </row>
    <row r="8242" spans="14:41" customFormat="1" hidden="1">
      <c r="N8242" s="236" t="s">
        <v>504</v>
      </c>
      <c r="O8242" s="681" t="s">
        <v>89</v>
      </c>
      <c r="P8242" s="257"/>
      <c r="Q8242" s="328"/>
      <c r="R8242" s="259"/>
      <c r="S8242" s="259"/>
      <c r="T8242" s="285"/>
      <c r="U8242" s="259"/>
      <c r="V8242" s="259"/>
      <c r="W8242" s="285"/>
      <c r="X8242" s="259"/>
      <c r="Y8242" s="259"/>
      <c r="Z8242" s="261"/>
      <c r="AA8242" s="259"/>
      <c r="AB8242" s="259"/>
      <c r="AC8242" s="285"/>
      <c r="AD8242" s="259"/>
      <c r="AE8242" s="259"/>
      <c r="AF8242" s="261"/>
      <c r="AG8242" s="330"/>
      <c r="AI8242" s="1"/>
      <c r="AJ8242" s="259"/>
      <c r="AK8242" s="259"/>
      <c r="AL8242" s="285"/>
      <c r="AM8242" s="1"/>
      <c r="AN8242" s="1"/>
      <c r="AO8242" s="1"/>
    </row>
    <row r="8243" spans="14:41" customFormat="1" hidden="1">
      <c r="N8243" s="236" t="s">
        <v>505</v>
      </c>
      <c r="O8243" s="681" t="s">
        <v>91</v>
      </c>
      <c r="P8243" s="257"/>
      <c r="Q8243" s="328"/>
      <c r="R8243" s="259"/>
      <c r="S8243" s="259"/>
      <c r="T8243" s="285"/>
      <c r="U8243" s="259"/>
      <c r="V8243" s="259"/>
      <c r="W8243" s="285"/>
      <c r="X8243" s="259"/>
      <c r="Y8243" s="259"/>
      <c r="Z8243" s="261"/>
      <c r="AA8243" s="259"/>
      <c r="AB8243" s="259"/>
      <c r="AC8243" s="285"/>
      <c r="AD8243" s="259"/>
      <c r="AE8243" s="259"/>
      <c r="AF8243" s="261"/>
      <c r="AG8243" s="330"/>
      <c r="AI8243" s="1"/>
      <c r="AJ8243" s="259"/>
      <c r="AK8243" s="259"/>
      <c r="AL8243" s="285"/>
      <c r="AM8243" s="1"/>
      <c r="AN8243" s="1"/>
      <c r="AO8243" s="1"/>
    </row>
    <row r="8244" spans="14:41" customFormat="1" hidden="1">
      <c r="N8244" s="236" t="s">
        <v>506</v>
      </c>
      <c r="O8244" s="681" t="s">
        <v>93</v>
      </c>
      <c r="P8244" s="257"/>
      <c r="Q8244" s="328"/>
      <c r="R8244" s="259"/>
      <c r="S8244" s="259"/>
      <c r="T8244" s="285"/>
      <c r="U8244" s="259"/>
      <c r="V8244" s="259"/>
      <c r="W8244" s="285"/>
      <c r="X8244" s="259"/>
      <c r="Y8244" s="259"/>
      <c r="Z8244" s="261"/>
      <c r="AA8244" s="259"/>
      <c r="AB8244" s="259"/>
      <c r="AC8244" s="285"/>
      <c r="AD8244" s="259"/>
      <c r="AE8244" s="259"/>
      <c r="AF8244" s="261"/>
      <c r="AG8244" s="330"/>
      <c r="AI8244" s="1"/>
      <c r="AJ8244" s="259"/>
      <c r="AK8244" s="259"/>
      <c r="AL8244" s="285"/>
      <c r="AM8244" s="1"/>
      <c r="AN8244" s="1"/>
      <c r="AO8244" s="1"/>
    </row>
    <row r="8245" spans="14:41" customFormat="1" hidden="1">
      <c r="N8245" s="236" t="s">
        <v>507</v>
      </c>
      <c r="O8245" s="681" t="s">
        <v>95</v>
      </c>
      <c r="P8245" s="257"/>
      <c r="Q8245" s="328"/>
      <c r="R8245" s="259"/>
      <c r="S8245" s="259"/>
      <c r="T8245" s="285"/>
      <c r="U8245" s="259"/>
      <c r="V8245" s="259"/>
      <c r="W8245" s="285"/>
      <c r="X8245" s="259"/>
      <c r="Y8245" s="259"/>
      <c r="Z8245" s="261"/>
      <c r="AA8245" s="259"/>
      <c r="AB8245" s="259"/>
      <c r="AC8245" s="285"/>
      <c r="AD8245" s="259"/>
      <c r="AE8245" s="259"/>
      <c r="AF8245" s="261"/>
      <c r="AG8245" s="330"/>
      <c r="AI8245" s="1"/>
      <c r="AJ8245" s="259"/>
      <c r="AK8245" s="259"/>
      <c r="AL8245" s="285"/>
      <c r="AM8245" s="1"/>
      <c r="AN8245" s="1"/>
      <c r="AO8245" s="1"/>
    </row>
    <row r="8246" spans="14:41" customFormat="1" hidden="1">
      <c r="N8246" s="236" t="s">
        <v>508</v>
      </c>
      <c r="O8246" s="681" t="s">
        <v>2976</v>
      </c>
      <c r="P8246" s="257"/>
      <c r="Q8246" s="328"/>
      <c r="R8246" s="259"/>
      <c r="S8246" s="259"/>
      <c r="T8246" s="285"/>
      <c r="U8246" s="259"/>
      <c r="V8246" s="259"/>
      <c r="W8246" s="285"/>
      <c r="X8246" s="259"/>
      <c r="Y8246" s="259"/>
      <c r="Z8246" s="261"/>
      <c r="AA8246" s="259"/>
      <c r="AB8246" s="259"/>
      <c r="AC8246" s="285"/>
      <c r="AD8246" s="259"/>
      <c r="AE8246" s="259"/>
      <c r="AF8246" s="261"/>
      <c r="AG8246" s="330"/>
      <c r="AI8246" s="1"/>
      <c r="AJ8246" s="259"/>
      <c r="AK8246" s="259"/>
      <c r="AL8246" s="285"/>
      <c r="AM8246" s="1"/>
      <c r="AN8246" s="1"/>
      <c r="AO8246" s="1"/>
    </row>
    <row r="8247" spans="14:41" customFormat="1" hidden="1">
      <c r="N8247" s="236" t="s">
        <v>509</v>
      </c>
      <c r="O8247" s="681" t="s">
        <v>2978</v>
      </c>
      <c r="P8247" s="257"/>
      <c r="Q8247" s="328"/>
      <c r="R8247" s="259"/>
      <c r="S8247" s="259"/>
      <c r="T8247" s="285"/>
      <c r="U8247" s="259"/>
      <c r="V8247" s="259"/>
      <c r="W8247" s="285"/>
      <c r="X8247" s="259"/>
      <c r="Y8247" s="259"/>
      <c r="Z8247" s="261"/>
      <c r="AA8247" s="259"/>
      <c r="AB8247" s="259"/>
      <c r="AC8247" s="285"/>
      <c r="AD8247" s="259"/>
      <c r="AE8247" s="259"/>
      <c r="AF8247" s="261"/>
      <c r="AG8247" s="330"/>
      <c r="AI8247" s="1"/>
      <c r="AJ8247" s="259"/>
      <c r="AK8247" s="259"/>
      <c r="AL8247" s="285"/>
      <c r="AM8247" s="1"/>
      <c r="AN8247" s="1"/>
      <c r="AO8247" s="1"/>
    </row>
    <row r="8248" spans="14:41" customFormat="1" hidden="1">
      <c r="N8248" s="236" t="s">
        <v>510</v>
      </c>
      <c r="O8248" s="681" t="s">
        <v>2980</v>
      </c>
      <c r="P8248" s="257"/>
      <c r="Q8248" s="328"/>
      <c r="R8248" s="259"/>
      <c r="S8248" s="259"/>
      <c r="T8248" s="285"/>
      <c r="U8248" s="259"/>
      <c r="V8248" s="259"/>
      <c r="W8248" s="285"/>
      <c r="X8248" s="259"/>
      <c r="Y8248" s="259"/>
      <c r="Z8248" s="261"/>
      <c r="AA8248" s="259"/>
      <c r="AB8248" s="259"/>
      <c r="AC8248" s="285"/>
      <c r="AD8248" s="259"/>
      <c r="AE8248" s="259"/>
      <c r="AF8248" s="261"/>
      <c r="AG8248" s="330"/>
      <c r="AI8248" s="1"/>
      <c r="AJ8248" s="259"/>
      <c r="AK8248" s="259"/>
      <c r="AL8248" s="285"/>
      <c r="AM8248" s="1"/>
      <c r="AN8248" s="1"/>
      <c r="AO8248" s="1"/>
    </row>
    <row r="8249" spans="14:41" customFormat="1" hidden="1">
      <c r="N8249" s="236" t="s">
        <v>511</v>
      </c>
      <c r="O8249" s="681" t="s">
        <v>2982</v>
      </c>
      <c r="P8249" s="257"/>
      <c r="Q8249" s="328"/>
      <c r="R8249" s="259"/>
      <c r="S8249" s="259"/>
      <c r="T8249" s="285"/>
      <c r="U8249" s="259"/>
      <c r="V8249" s="259"/>
      <c r="W8249" s="285"/>
      <c r="X8249" s="259"/>
      <c r="Y8249" s="259"/>
      <c r="Z8249" s="261"/>
      <c r="AA8249" s="259"/>
      <c r="AB8249" s="259"/>
      <c r="AC8249" s="285"/>
      <c r="AD8249" s="259"/>
      <c r="AE8249" s="259"/>
      <c r="AF8249" s="261"/>
      <c r="AG8249" s="330"/>
      <c r="AI8249" s="1"/>
      <c r="AJ8249" s="259"/>
      <c r="AK8249" s="259"/>
      <c r="AL8249" s="285"/>
      <c r="AM8249" s="1"/>
      <c r="AN8249" s="1"/>
      <c r="AO8249" s="1"/>
    </row>
    <row r="8250" spans="14:41" customFormat="1" hidden="1">
      <c r="N8250" s="236" t="s">
        <v>512</v>
      </c>
      <c r="O8250" s="242" t="s">
        <v>2984</v>
      </c>
      <c r="P8250" s="257"/>
      <c r="Q8250" s="328"/>
      <c r="R8250" s="259"/>
      <c r="S8250" s="259"/>
      <c r="T8250" s="285"/>
      <c r="U8250" s="259"/>
      <c r="V8250" s="259"/>
      <c r="W8250" s="285"/>
      <c r="X8250" s="259"/>
      <c r="Y8250" s="259"/>
      <c r="Z8250" s="261"/>
      <c r="AA8250" s="259"/>
      <c r="AB8250" s="259"/>
      <c r="AC8250" s="285"/>
      <c r="AD8250" s="259"/>
      <c r="AE8250" s="259"/>
      <c r="AF8250" s="261"/>
      <c r="AG8250" s="330"/>
      <c r="AI8250" s="1"/>
      <c r="AJ8250" s="259"/>
      <c r="AK8250" s="259"/>
      <c r="AL8250" s="285"/>
      <c r="AM8250" s="1"/>
      <c r="AN8250" s="1"/>
      <c r="AO8250" s="1"/>
    </row>
    <row r="8251" spans="14:41" customFormat="1" hidden="1">
      <c r="N8251" s="236" t="s">
        <v>513</v>
      </c>
      <c r="O8251" s="242" t="s">
        <v>2990</v>
      </c>
      <c r="P8251" s="257"/>
      <c r="Q8251" s="328"/>
      <c r="R8251" s="259"/>
      <c r="S8251" s="259"/>
      <c r="T8251" s="285"/>
      <c r="U8251" s="259"/>
      <c r="V8251" s="259"/>
      <c r="W8251" s="285"/>
      <c r="X8251" s="259"/>
      <c r="Y8251" s="259"/>
      <c r="Z8251" s="261"/>
      <c r="AA8251" s="259"/>
      <c r="AB8251" s="259"/>
      <c r="AC8251" s="285"/>
      <c r="AD8251" s="259"/>
      <c r="AE8251" s="259"/>
      <c r="AF8251" s="261"/>
      <c r="AG8251" s="330"/>
      <c r="AI8251" s="1"/>
      <c r="AJ8251" s="259"/>
      <c r="AK8251" s="259"/>
      <c r="AL8251" s="285"/>
      <c r="AM8251" s="1"/>
      <c r="AN8251" s="1"/>
      <c r="AO8251" s="1"/>
    </row>
    <row r="8252" spans="14:41" customFormat="1" hidden="1">
      <c r="N8252" s="236" t="s">
        <v>514</v>
      </c>
      <c r="O8252" s="635" t="s">
        <v>291</v>
      </c>
      <c r="P8252" s="257"/>
      <c r="Q8252" s="328"/>
      <c r="R8252" s="259"/>
      <c r="S8252" s="259"/>
      <c r="T8252" s="285"/>
      <c r="U8252" s="259"/>
      <c r="V8252" s="259"/>
      <c r="W8252" s="285"/>
      <c r="X8252" s="259"/>
      <c r="Y8252" s="259"/>
      <c r="Z8252" s="261"/>
      <c r="AA8252" s="259"/>
      <c r="AB8252" s="259"/>
      <c r="AC8252" s="285"/>
      <c r="AD8252" s="259"/>
      <c r="AE8252" s="259"/>
      <c r="AF8252" s="261"/>
      <c r="AG8252" s="330"/>
      <c r="AI8252" s="1"/>
      <c r="AJ8252" s="259"/>
      <c r="AK8252" s="259"/>
      <c r="AL8252" s="285"/>
      <c r="AM8252" s="1"/>
      <c r="AN8252" s="1"/>
      <c r="AO8252" s="1"/>
    </row>
    <row r="8253" spans="14:41" customFormat="1" hidden="1">
      <c r="N8253" s="236" t="s">
        <v>2466</v>
      </c>
      <c r="O8253" s="228" t="s">
        <v>2984</v>
      </c>
      <c r="P8253" s="257"/>
      <c r="Q8253" s="328"/>
      <c r="R8253" s="259"/>
      <c r="S8253" s="259"/>
      <c r="T8253" s="261"/>
      <c r="U8253" s="259"/>
      <c r="V8253" s="259"/>
      <c r="W8253" s="261"/>
      <c r="X8253" s="259"/>
      <c r="Y8253" s="259"/>
      <c r="Z8253" s="261"/>
      <c r="AA8253" s="259"/>
      <c r="AB8253" s="259"/>
      <c r="AC8253" s="261"/>
      <c r="AD8253" s="259"/>
      <c r="AE8253" s="259"/>
      <c r="AF8253" s="261"/>
      <c r="AG8253" s="330"/>
      <c r="AI8253" s="1"/>
      <c r="AJ8253" s="259"/>
      <c r="AK8253" s="259"/>
      <c r="AL8253" s="261"/>
      <c r="AM8253" s="1"/>
      <c r="AN8253" s="1"/>
      <c r="AO8253" s="1"/>
    </row>
    <row r="8254" spans="14:41" customFormat="1" hidden="1">
      <c r="N8254" s="236" t="s">
        <v>2467</v>
      </c>
      <c r="O8254" s="228" t="s">
        <v>2469</v>
      </c>
      <c r="P8254" s="257"/>
      <c r="Q8254" s="328"/>
      <c r="R8254" s="259"/>
      <c r="S8254" s="259"/>
      <c r="T8254" s="261"/>
      <c r="U8254" s="259"/>
      <c r="V8254" s="259"/>
      <c r="W8254" s="261"/>
      <c r="X8254" s="259"/>
      <c r="Y8254" s="259"/>
      <c r="Z8254" s="261"/>
      <c r="AA8254" s="259"/>
      <c r="AB8254" s="259"/>
      <c r="AC8254" s="261"/>
      <c r="AD8254" s="259"/>
      <c r="AE8254" s="259"/>
      <c r="AF8254" s="261"/>
      <c r="AG8254" s="330"/>
      <c r="AI8254" s="1"/>
      <c r="AJ8254" s="259"/>
      <c r="AK8254" s="259"/>
      <c r="AL8254" s="261"/>
      <c r="AM8254" s="1"/>
      <c r="AN8254" s="1"/>
      <c r="AO8254" s="1"/>
    </row>
    <row r="8255" spans="14:41" customFormat="1" hidden="1">
      <c r="N8255" s="236" t="s">
        <v>2468</v>
      </c>
      <c r="O8255" s="228" t="s">
        <v>2471</v>
      </c>
      <c r="P8255" s="257"/>
      <c r="Q8255" s="328"/>
      <c r="R8255" s="259"/>
      <c r="S8255" s="259"/>
      <c r="T8255" s="261"/>
      <c r="U8255" s="259"/>
      <c r="V8255" s="259"/>
      <c r="W8255" s="261"/>
      <c r="X8255" s="259"/>
      <c r="Y8255" s="259"/>
      <c r="Z8255" s="261"/>
      <c r="AA8255" s="259"/>
      <c r="AB8255" s="259"/>
      <c r="AC8255" s="261"/>
      <c r="AD8255" s="259"/>
      <c r="AE8255" s="259"/>
      <c r="AF8255" s="261"/>
      <c r="AG8255" s="330"/>
      <c r="AI8255" s="1"/>
      <c r="AJ8255" s="259"/>
      <c r="AK8255" s="259"/>
      <c r="AL8255" s="261"/>
      <c r="AM8255" s="1"/>
      <c r="AN8255" s="1"/>
      <c r="AO8255" s="1"/>
    </row>
    <row r="8256" spans="14:41" customFormat="1" hidden="1">
      <c r="N8256" s="236" t="s">
        <v>2470</v>
      </c>
      <c r="O8256" s="228" t="s">
        <v>2473</v>
      </c>
      <c r="P8256" s="257"/>
      <c r="Q8256" s="328"/>
      <c r="R8256" s="259"/>
      <c r="S8256" s="259"/>
      <c r="T8256" s="261"/>
      <c r="U8256" s="259"/>
      <c r="V8256" s="259"/>
      <c r="W8256" s="261"/>
      <c r="X8256" s="259"/>
      <c r="Y8256" s="259"/>
      <c r="Z8256" s="261"/>
      <c r="AA8256" s="259"/>
      <c r="AB8256" s="259"/>
      <c r="AC8256" s="261"/>
      <c r="AD8256" s="259"/>
      <c r="AE8256" s="259"/>
      <c r="AF8256" s="261"/>
      <c r="AG8256" s="330"/>
      <c r="AI8256" s="1"/>
      <c r="AJ8256" s="259"/>
      <c r="AK8256" s="259"/>
      <c r="AL8256" s="261"/>
      <c r="AM8256" s="1"/>
      <c r="AN8256" s="1"/>
      <c r="AO8256" s="1"/>
    </row>
    <row r="8257" spans="14:41" customFormat="1" hidden="1">
      <c r="N8257" s="236" t="s">
        <v>2472</v>
      </c>
      <c r="O8257" s="228" t="s">
        <v>2475</v>
      </c>
      <c r="P8257" s="257"/>
      <c r="Q8257" s="328"/>
      <c r="R8257" s="259"/>
      <c r="S8257" s="259"/>
      <c r="T8257" s="261"/>
      <c r="U8257" s="259"/>
      <c r="V8257" s="259"/>
      <c r="W8257" s="261"/>
      <c r="X8257" s="259"/>
      <c r="Y8257" s="259"/>
      <c r="Z8257" s="261"/>
      <c r="AA8257" s="259"/>
      <c r="AB8257" s="259"/>
      <c r="AC8257" s="261"/>
      <c r="AD8257" s="259"/>
      <c r="AE8257" s="259"/>
      <c r="AF8257" s="261"/>
      <c r="AG8257" s="330"/>
      <c r="AI8257" s="1"/>
      <c r="AJ8257" s="259"/>
      <c r="AK8257" s="259"/>
      <c r="AL8257" s="261"/>
      <c r="AM8257" s="1"/>
      <c r="AN8257" s="1"/>
      <c r="AO8257" s="1"/>
    </row>
    <row r="8258" spans="14:41" customFormat="1">
      <c r="N8258" s="236" t="s">
        <v>2474</v>
      </c>
      <c r="O8258" s="228" t="s">
        <v>2477</v>
      </c>
      <c r="P8258" s="257"/>
      <c r="Q8258" s="328"/>
      <c r="R8258" s="259"/>
      <c r="S8258" s="259"/>
      <c r="T8258" s="261"/>
      <c r="U8258" s="259"/>
      <c r="V8258" s="259"/>
      <c r="W8258" s="261"/>
      <c r="X8258" s="259"/>
      <c r="Y8258" s="259"/>
      <c r="Z8258" s="261"/>
      <c r="AA8258" s="259"/>
      <c r="AB8258" s="259"/>
      <c r="AC8258" s="261"/>
      <c r="AD8258" s="259"/>
      <c r="AE8258" s="259"/>
      <c r="AF8258" s="261"/>
      <c r="AG8258" s="330"/>
      <c r="AI8258" s="1"/>
      <c r="AJ8258" s="259"/>
      <c r="AK8258" s="259"/>
      <c r="AL8258" s="261"/>
      <c r="AM8258" s="1"/>
      <c r="AN8258" s="1"/>
      <c r="AO8258" s="1"/>
    </row>
    <row r="8259" spans="14:41" customFormat="1">
      <c r="N8259" s="236" t="s">
        <v>2476</v>
      </c>
      <c r="O8259" s="228" t="s">
        <v>866</v>
      </c>
      <c r="P8259" s="257"/>
      <c r="Q8259" s="328"/>
      <c r="R8259" s="259"/>
      <c r="S8259" s="259"/>
      <c r="T8259" s="261"/>
      <c r="U8259" s="259"/>
      <c r="V8259" s="259"/>
      <c r="W8259" s="261"/>
      <c r="X8259" s="259"/>
      <c r="Y8259" s="259"/>
      <c r="Z8259" s="261"/>
      <c r="AA8259" s="259"/>
      <c r="AB8259" s="259"/>
      <c r="AC8259" s="261"/>
      <c r="AD8259" s="259"/>
      <c r="AE8259" s="259"/>
      <c r="AF8259" s="261"/>
      <c r="AG8259" s="330"/>
      <c r="AI8259" s="1"/>
      <c r="AJ8259" s="259"/>
      <c r="AK8259" s="259"/>
      <c r="AL8259" s="261"/>
      <c r="AM8259" s="1"/>
      <c r="AN8259" s="1"/>
      <c r="AO8259" s="1"/>
    </row>
    <row r="8260" spans="14:41" customFormat="1">
      <c r="N8260" s="236" t="s">
        <v>2478</v>
      </c>
      <c r="O8260" s="682" t="s">
        <v>2479</v>
      </c>
      <c r="P8260" s="257"/>
      <c r="Q8260" s="328"/>
      <c r="R8260" s="259"/>
      <c r="S8260" s="259"/>
      <c r="T8260" s="261"/>
      <c r="U8260" s="259"/>
      <c r="V8260" s="259"/>
      <c r="W8260" s="261"/>
      <c r="X8260" s="259"/>
      <c r="Y8260" s="259"/>
      <c r="Z8260" s="261"/>
      <c r="AA8260" s="259"/>
      <c r="AB8260" s="259"/>
      <c r="AC8260" s="261"/>
      <c r="AD8260" s="259"/>
      <c r="AE8260" s="259"/>
      <c r="AF8260" s="261"/>
      <c r="AG8260" s="330"/>
      <c r="AI8260" s="1"/>
      <c r="AJ8260" s="259"/>
      <c r="AK8260" s="259"/>
      <c r="AL8260" s="261"/>
      <c r="AM8260" s="1"/>
      <c r="AN8260" s="1"/>
      <c r="AO8260" s="1"/>
    </row>
    <row r="8261" spans="14:41" customFormat="1">
      <c r="N8261" s="236"/>
      <c r="O8261" s="682"/>
      <c r="P8261" s="285"/>
      <c r="Q8261" s="328"/>
      <c r="R8261" s="259"/>
      <c r="S8261" s="259"/>
      <c r="T8261" s="285"/>
      <c r="U8261" s="259"/>
      <c r="V8261" s="259"/>
      <c r="W8261" s="285"/>
      <c r="X8261" s="259"/>
      <c r="Y8261" s="259"/>
      <c r="Z8261" s="285"/>
      <c r="AA8261" s="259"/>
      <c r="AB8261" s="259"/>
      <c r="AC8261" s="285"/>
      <c r="AD8261" s="259"/>
      <c r="AE8261" s="259"/>
      <c r="AF8261" s="285"/>
      <c r="AG8261" s="330"/>
      <c r="AI8261" s="1"/>
      <c r="AJ8261" s="259"/>
      <c r="AK8261" s="259"/>
      <c r="AL8261" s="285"/>
      <c r="AM8261" s="1"/>
      <c r="AN8261" s="1"/>
      <c r="AO8261" s="1"/>
    </row>
    <row r="8262" spans="14:41" customFormat="1" hidden="1">
      <c r="N8262" s="236"/>
      <c r="O8262" s="301"/>
      <c r="P8262" s="285"/>
      <c r="Q8262" s="328"/>
      <c r="R8262" s="259"/>
      <c r="S8262" s="259"/>
      <c r="T8262" s="285"/>
      <c r="U8262" s="259"/>
      <c r="V8262" s="259"/>
      <c r="W8262" s="285"/>
      <c r="X8262" s="259"/>
      <c r="Y8262" s="259"/>
      <c r="Z8262" s="285"/>
      <c r="AA8262" s="259"/>
      <c r="AB8262" s="259"/>
      <c r="AC8262" s="285"/>
      <c r="AD8262" s="259"/>
      <c r="AE8262" s="259"/>
      <c r="AF8262" s="285"/>
      <c r="AG8262" s="330"/>
      <c r="AI8262" s="1"/>
      <c r="AJ8262" s="259"/>
      <c r="AK8262" s="259"/>
      <c r="AL8262" s="285"/>
      <c r="AM8262" s="1"/>
      <c r="AN8262" s="1"/>
      <c r="AO8262" s="1"/>
    </row>
    <row r="8263" spans="14:41" customFormat="1" hidden="1">
      <c r="N8263" s="236"/>
      <c r="O8263" s="301"/>
      <c r="P8263" s="285"/>
      <c r="Q8263" s="328"/>
      <c r="R8263" s="259"/>
      <c r="S8263" s="259"/>
      <c r="T8263" s="285"/>
      <c r="U8263" s="259"/>
      <c r="V8263" s="259"/>
      <c r="W8263" s="285"/>
      <c r="X8263" s="259"/>
      <c r="Y8263" s="259"/>
      <c r="Z8263" s="285"/>
      <c r="AA8263" s="259"/>
      <c r="AB8263" s="259"/>
      <c r="AC8263" s="285"/>
      <c r="AD8263" s="259"/>
      <c r="AE8263" s="259"/>
      <c r="AF8263" s="285"/>
      <c r="AG8263" s="330"/>
      <c r="AI8263" s="1"/>
      <c r="AJ8263" s="259"/>
      <c r="AK8263" s="259"/>
      <c r="AL8263" s="285"/>
      <c r="AM8263" s="1"/>
      <c r="AN8263" s="1"/>
      <c r="AO8263" s="1"/>
    </row>
    <row r="8264" spans="14:41" customFormat="1" hidden="1">
      <c r="N8264" s="236"/>
      <c r="O8264" s="301"/>
      <c r="P8264" s="285"/>
      <c r="Q8264" s="328"/>
      <c r="R8264" s="259"/>
      <c r="S8264" s="259"/>
      <c r="T8264" s="285"/>
      <c r="U8264" s="259"/>
      <c r="V8264" s="259"/>
      <c r="W8264" s="285"/>
      <c r="X8264" s="259"/>
      <c r="Y8264" s="259"/>
      <c r="Z8264" s="285"/>
      <c r="AA8264" s="259"/>
      <c r="AB8264" s="259"/>
      <c r="AC8264" s="285"/>
      <c r="AD8264" s="259"/>
      <c r="AE8264" s="259"/>
      <c r="AF8264" s="285"/>
      <c r="AG8264" s="330"/>
      <c r="AI8264" s="1"/>
      <c r="AJ8264" s="259"/>
      <c r="AK8264" s="259"/>
      <c r="AL8264" s="285"/>
      <c r="AM8264" s="1"/>
      <c r="AN8264" s="1"/>
      <c r="AO8264" s="1"/>
    </row>
    <row r="8265" spans="14:41" customFormat="1" hidden="1">
      <c r="N8265" s="236"/>
      <c r="O8265" s="301"/>
      <c r="P8265" s="285"/>
      <c r="Q8265" s="328"/>
      <c r="R8265" s="259"/>
      <c r="S8265" s="259"/>
      <c r="T8265" s="285"/>
      <c r="U8265" s="259"/>
      <c r="V8265" s="259"/>
      <c r="W8265" s="285"/>
      <c r="X8265" s="259"/>
      <c r="Y8265" s="259"/>
      <c r="Z8265" s="285"/>
      <c r="AA8265" s="259"/>
      <c r="AB8265" s="259"/>
      <c r="AC8265" s="285"/>
      <c r="AD8265" s="259"/>
      <c r="AE8265" s="259"/>
      <c r="AF8265" s="285"/>
      <c r="AG8265" s="330"/>
      <c r="AI8265" s="1"/>
      <c r="AJ8265" s="259"/>
      <c r="AK8265" s="259"/>
      <c r="AL8265" s="285"/>
      <c r="AM8265" s="1"/>
      <c r="AN8265" s="1"/>
      <c r="AO8265" s="1"/>
    </row>
    <row r="8266" spans="14:41" customFormat="1" hidden="1">
      <c r="N8266" s="302"/>
      <c r="O8266" s="303"/>
      <c r="P8266" s="285"/>
      <c r="Q8266" s="328"/>
      <c r="R8266" s="259"/>
      <c r="S8266" s="259"/>
      <c r="T8266" s="285"/>
      <c r="U8266" s="259"/>
      <c r="V8266" s="259"/>
      <c r="W8266" s="285"/>
      <c r="X8266" s="259"/>
      <c r="Y8266" s="259"/>
      <c r="Z8266" s="285"/>
      <c r="AA8266" s="259"/>
      <c r="AB8266" s="259"/>
      <c r="AC8266" s="285"/>
      <c r="AD8266" s="259"/>
      <c r="AE8266" s="259"/>
      <c r="AF8266" s="285"/>
      <c r="AG8266" s="330"/>
      <c r="AI8266" s="1"/>
      <c r="AJ8266" s="259"/>
      <c r="AK8266" s="259"/>
      <c r="AL8266" s="285"/>
      <c r="AM8266" s="1"/>
      <c r="AN8266" s="1"/>
      <c r="AO8266" s="1"/>
    </row>
    <row r="8267" spans="14:41" customFormat="1" hidden="1">
      <c r="N8267" s="302"/>
      <c r="O8267" s="303"/>
      <c r="P8267" s="285"/>
      <c r="Q8267" s="328"/>
      <c r="R8267" s="259"/>
      <c r="S8267" s="259"/>
      <c r="T8267" s="285"/>
      <c r="U8267" s="259"/>
      <c r="V8267" s="259"/>
      <c r="W8267" s="285"/>
      <c r="X8267" s="259"/>
      <c r="Y8267" s="259"/>
      <c r="Z8267" s="285"/>
      <c r="AA8267" s="259"/>
      <c r="AB8267" s="259"/>
      <c r="AC8267" s="285"/>
      <c r="AD8267" s="259"/>
      <c r="AE8267" s="259"/>
      <c r="AF8267" s="285"/>
      <c r="AG8267" s="330"/>
      <c r="AI8267" s="1"/>
      <c r="AJ8267" s="259"/>
      <c r="AK8267" s="259"/>
      <c r="AL8267" s="285"/>
      <c r="AM8267" s="1"/>
      <c r="AN8267" s="1"/>
      <c r="AO8267" s="1"/>
    </row>
    <row r="8268" spans="14:41" customFormat="1" hidden="1">
      <c r="N8268" s="302"/>
      <c r="O8268" s="303"/>
      <c r="P8268" s="285"/>
      <c r="Q8268" s="328"/>
      <c r="R8268" s="259"/>
      <c r="S8268" s="259"/>
      <c r="T8268" s="285"/>
      <c r="U8268" s="259"/>
      <c r="V8268" s="259"/>
      <c r="W8268" s="285"/>
      <c r="X8268" s="259"/>
      <c r="Y8268" s="259"/>
      <c r="Z8268" s="285"/>
      <c r="AA8268" s="259"/>
      <c r="AB8268" s="259"/>
      <c r="AC8268" s="285"/>
      <c r="AD8268" s="259"/>
      <c r="AE8268" s="259"/>
      <c r="AF8268" s="285"/>
      <c r="AG8268" s="330"/>
      <c r="AI8268" s="1"/>
      <c r="AJ8268" s="259"/>
      <c r="AK8268" s="259"/>
      <c r="AL8268" s="285"/>
      <c r="AM8268" s="1"/>
      <c r="AN8268" s="1"/>
      <c r="AO8268" s="1"/>
    </row>
    <row r="8269" spans="14:41" customFormat="1" hidden="1">
      <c r="N8269" s="302"/>
      <c r="O8269" s="303"/>
      <c r="P8269" s="285"/>
      <c r="Q8269" s="328"/>
      <c r="R8269" s="259"/>
      <c r="S8269" s="259"/>
      <c r="T8269" s="285"/>
      <c r="U8269" s="259"/>
      <c r="V8269" s="259"/>
      <c r="W8269" s="285"/>
      <c r="X8269" s="259"/>
      <c r="Y8269" s="259"/>
      <c r="Z8269" s="285"/>
      <c r="AA8269" s="259"/>
      <c r="AB8269" s="259"/>
      <c r="AC8269" s="285"/>
      <c r="AD8269" s="259"/>
      <c r="AE8269" s="259"/>
      <c r="AF8269" s="285"/>
      <c r="AG8269" s="330"/>
      <c r="AI8269" s="1"/>
      <c r="AJ8269" s="259"/>
      <c r="AK8269" s="259"/>
      <c r="AL8269" s="285"/>
      <c r="AM8269" s="1"/>
      <c r="AN8269" s="1"/>
      <c r="AO8269" s="1"/>
    </row>
    <row r="8270" spans="14:41" customFormat="1" hidden="1">
      <c r="N8270" s="302"/>
      <c r="O8270" s="303"/>
      <c r="P8270" s="285"/>
      <c r="Q8270" s="328"/>
      <c r="R8270" s="259"/>
      <c r="S8270" s="259"/>
      <c r="T8270" s="285"/>
      <c r="U8270" s="259"/>
      <c r="V8270" s="259"/>
      <c r="W8270" s="285"/>
      <c r="X8270" s="259"/>
      <c r="Y8270" s="259"/>
      <c r="Z8270" s="285"/>
      <c r="AA8270" s="259"/>
      <c r="AB8270" s="259"/>
      <c r="AC8270" s="285"/>
      <c r="AD8270" s="259"/>
      <c r="AE8270" s="259"/>
      <c r="AF8270" s="285"/>
      <c r="AG8270" s="330"/>
      <c r="AI8270" s="1"/>
      <c r="AJ8270" s="259"/>
      <c r="AK8270" s="259"/>
      <c r="AL8270" s="285"/>
      <c r="AM8270" s="1"/>
      <c r="AN8270" s="1"/>
      <c r="AO8270" s="1"/>
    </row>
    <row r="8271" spans="14:41" customFormat="1" hidden="1">
      <c r="N8271" s="302"/>
      <c r="O8271" s="303"/>
      <c r="P8271" s="285"/>
      <c r="Q8271" s="328"/>
      <c r="R8271" s="259"/>
      <c r="S8271" s="259"/>
      <c r="T8271" s="285"/>
      <c r="U8271" s="259"/>
      <c r="V8271" s="259"/>
      <c r="W8271" s="285"/>
      <c r="X8271" s="259"/>
      <c r="Y8271" s="259"/>
      <c r="Z8271" s="285"/>
      <c r="AA8271" s="259"/>
      <c r="AB8271" s="259"/>
      <c r="AC8271" s="285"/>
      <c r="AD8271" s="259"/>
      <c r="AE8271" s="259"/>
      <c r="AF8271" s="285"/>
      <c r="AG8271" s="330"/>
      <c r="AI8271" s="1"/>
      <c r="AJ8271" s="259"/>
      <c r="AK8271" s="259"/>
      <c r="AL8271" s="285"/>
      <c r="AM8271" s="1"/>
      <c r="AN8271" s="1"/>
      <c r="AO8271" s="1"/>
    </row>
    <row r="8272" spans="14:41" customFormat="1" hidden="1">
      <c r="N8272" s="302"/>
      <c r="O8272" s="303"/>
      <c r="P8272" s="285"/>
      <c r="Q8272" s="328"/>
      <c r="R8272" s="259"/>
      <c r="S8272" s="259"/>
      <c r="T8272" s="285"/>
      <c r="U8272" s="259"/>
      <c r="V8272" s="259"/>
      <c r="W8272" s="285"/>
      <c r="X8272" s="259"/>
      <c r="Y8272" s="259"/>
      <c r="Z8272" s="285"/>
      <c r="AA8272" s="259"/>
      <c r="AB8272" s="259"/>
      <c r="AC8272" s="285"/>
      <c r="AD8272" s="259"/>
      <c r="AE8272" s="259"/>
      <c r="AF8272" s="285"/>
      <c r="AG8272" s="330"/>
      <c r="AI8272" s="1"/>
      <c r="AJ8272" s="259"/>
      <c r="AK8272" s="259"/>
      <c r="AL8272" s="285"/>
      <c r="AM8272" s="1"/>
      <c r="AN8272" s="1"/>
      <c r="AO8272" s="1"/>
    </row>
    <row r="8273" spans="14:41" customFormat="1" hidden="1">
      <c r="N8273" s="302"/>
      <c r="O8273" s="303"/>
      <c r="P8273" s="285"/>
      <c r="Q8273" s="328"/>
      <c r="R8273" s="259"/>
      <c r="S8273" s="259"/>
      <c r="T8273" s="285"/>
      <c r="U8273" s="259"/>
      <c r="V8273" s="259"/>
      <c r="W8273" s="285"/>
      <c r="X8273" s="259"/>
      <c r="Y8273" s="259"/>
      <c r="Z8273" s="285"/>
      <c r="AA8273" s="259"/>
      <c r="AB8273" s="259"/>
      <c r="AC8273" s="285"/>
      <c r="AD8273" s="259"/>
      <c r="AE8273" s="259"/>
      <c r="AF8273" s="285"/>
      <c r="AG8273" s="330"/>
      <c r="AI8273" s="1"/>
      <c r="AJ8273" s="259"/>
      <c r="AK8273" s="259"/>
      <c r="AL8273" s="285"/>
      <c r="AM8273" s="1"/>
      <c r="AN8273" s="1"/>
      <c r="AO8273" s="1"/>
    </row>
    <row r="8274" spans="14:41" customFormat="1" hidden="1">
      <c r="N8274" s="302"/>
      <c r="O8274" s="303"/>
      <c r="P8274" s="285"/>
      <c r="Q8274" s="328"/>
      <c r="R8274" s="259"/>
      <c r="S8274" s="259"/>
      <c r="T8274" s="285"/>
      <c r="U8274" s="259"/>
      <c r="V8274" s="259"/>
      <c r="W8274" s="285"/>
      <c r="X8274" s="259"/>
      <c r="Y8274" s="259"/>
      <c r="Z8274" s="285"/>
      <c r="AA8274" s="259"/>
      <c r="AB8274" s="259"/>
      <c r="AC8274" s="285"/>
      <c r="AD8274" s="259"/>
      <c r="AE8274" s="259"/>
      <c r="AF8274" s="285"/>
      <c r="AG8274" s="330"/>
      <c r="AI8274" s="1"/>
      <c r="AJ8274" s="259"/>
      <c r="AK8274" s="259"/>
      <c r="AL8274" s="285"/>
      <c r="AM8274" s="1"/>
      <c r="AN8274" s="1"/>
      <c r="AO8274" s="1"/>
    </row>
    <row r="8275" spans="14:41" customFormat="1" hidden="1">
      <c r="N8275" s="302"/>
      <c r="O8275" s="303"/>
      <c r="P8275" s="285"/>
      <c r="Q8275" s="328"/>
      <c r="R8275" s="259"/>
      <c r="S8275" s="259"/>
      <c r="T8275" s="285"/>
      <c r="U8275" s="259"/>
      <c r="V8275" s="259"/>
      <c r="W8275" s="285"/>
      <c r="X8275" s="259"/>
      <c r="Y8275" s="259"/>
      <c r="Z8275" s="285"/>
      <c r="AA8275" s="259"/>
      <c r="AB8275" s="259"/>
      <c r="AC8275" s="285"/>
      <c r="AD8275" s="259"/>
      <c r="AE8275" s="259"/>
      <c r="AF8275" s="285"/>
      <c r="AG8275" s="330"/>
      <c r="AI8275" s="1"/>
      <c r="AJ8275" s="259"/>
      <c r="AK8275" s="259"/>
      <c r="AL8275" s="285"/>
      <c r="AM8275" s="1"/>
      <c r="AN8275" s="1"/>
      <c r="AO8275" s="1"/>
    </row>
    <row r="8276" spans="14:41" customFormat="1" hidden="1">
      <c r="N8276" s="302"/>
      <c r="O8276" s="303"/>
      <c r="P8276" s="285"/>
      <c r="Q8276" s="328"/>
      <c r="R8276" s="259"/>
      <c r="S8276" s="259"/>
      <c r="T8276" s="285"/>
      <c r="U8276" s="259"/>
      <c r="V8276" s="259"/>
      <c r="W8276" s="285"/>
      <c r="X8276" s="259"/>
      <c r="Y8276" s="259"/>
      <c r="Z8276" s="285"/>
      <c r="AA8276" s="259"/>
      <c r="AB8276" s="259"/>
      <c r="AC8276" s="285"/>
      <c r="AD8276" s="259"/>
      <c r="AE8276" s="259"/>
      <c r="AF8276" s="285"/>
      <c r="AG8276" s="330"/>
      <c r="AI8276" s="1"/>
      <c r="AJ8276" s="259"/>
      <c r="AK8276" s="259"/>
      <c r="AL8276" s="285"/>
      <c r="AM8276" s="1"/>
      <c r="AN8276" s="1"/>
      <c r="AO8276" s="1"/>
    </row>
    <row r="8277" spans="14:41" customFormat="1" hidden="1">
      <c r="N8277" s="302"/>
      <c r="O8277" s="303"/>
      <c r="P8277" s="285"/>
      <c r="Q8277" s="328"/>
      <c r="R8277" s="259"/>
      <c r="S8277" s="259"/>
      <c r="T8277" s="285"/>
      <c r="U8277" s="259"/>
      <c r="V8277" s="259"/>
      <c r="W8277" s="285"/>
      <c r="X8277" s="259"/>
      <c r="Y8277" s="259"/>
      <c r="Z8277" s="285"/>
      <c r="AA8277" s="259"/>
      <c r="AB8277" s="259"/>
      <c r="AC8277" s="285"/>
      <c r="AD8277" s="259"/>
      <c r="AE8277" s="259"/>
      <c r="AF8277" s="285"/>
      <c r="AG8277" s="330"/>
      <c r="AI8277" s="1"/>
      <c r="AJ8277" s="259"/>
      <c r="AK8277" s="259"/>
      <c r="AL8277" s="285"/>
      <c r="AM8277" s="1"/>
      <c r="AN8277" s="1"/>
      <c r="AO8277" s="1"/>
    </row>
    <row r="8278" spans="14:41" customFormat="1" hidden="1">
      <c r="N8278" s="302"/>
      <c r="O8278" s="303"/>
      <c r="P8278" s="285"/>
      <c r="Q8278" s="328"/>
      <c r="R8278" s="259"/>
      <c r="S8278" s="259"/>
      <c r="T8278" s="285"/>
      <c r="U8278" s="259"/>
      <c r="V8278" s="259"/>
      <c r="W8278" s="285"/>
      <c r="X8278" s="259"/>
      <c r="Y8278" s="259"/>
      <c r="Z8278" s="285"/>
      <c r="AA8278" s="259"/>
      <c r="AB8278" s="259"/>
      <c r="AC8278" s="285"/>
      <c r="AD8278" s="259"/>
      <c r="AE8278" s="259"/>
      <c r="AF8278" s="285"/>
      <c r="AG8278" s="330"/>
      <c r="AI8278" s="1"/>
      <c r="AJ8278" s="259"/>
      <c r="AK8278" s="259"/>
      <c r="AL8278" s="285"/>
      <c r="AM8278" s="1"/>
      <c r="AN8278" s="1"/>
      <c r="AO8278" s="1"/>
    </row>
    <row r="8279" spans="14:41" customFormat="1" hidden="1">
      <c r="N8279" s="302"/>
      <c r="O8279" s="303"/>
      <c r="P8279" s="285"/>
      <c r="Q8279" s="328"/>
      <c r="R8279" s="259"/>
      <c r="S8279" s="259"/>
      <c r="T8279" s="285"/>
      <c r="U8279" s="259"/>
      <c r="V8279" s="259"/>
      <c r="W8279" s="285"/>
      <c r="X8279" s="259"/>
      <c r="Y8279" s="259"/>
      <c r="Z8279" s="285"/>
      <c r="AA8279" s="259"/>
      <c r="AB8279" s="259"/>
      <c r="AC8279" s="285"/>
      <c r="AD8279" s="259"/>
      <c r="AE8279" s="259"/>
      <c r="AF8279" s="285"/>
      <c r="AG8279" s="330"/>
      <c r="AI8279" s="1"/>
      <c r="AJ8279" s="259"/>
      <c r="AK8279" s="259"/>
      <c r="AL8279" s="285"/>
      <c r="AM8279" s="1"/>
      <c r="AN8279" s="1"/>
      <c r="AO8279" s="1"/>
    </row>
    <row r="8280" spans="14:41" customFormat="1" hidden="1">
      <c r="N8280" s="302"/>
      <c r="O8280" s="303"/>
      <c r="P8280" s="285"/>
      <c r="Q8280" s="328"/>
      <c r="R8280" s="259"/>
      <c r="S8280" s="259"/>
      <c r="T8280" s="285"/>
      <c r="U8280" s="259"/>
      <c r="V8280" s="259"/>
      <c r="W8280" s="285"/>
      <c r="X8280" s="259"/>
      <c r="Y8280" s="259"/>
      <c r="Z8280" s="285"/>
      <c r="AA8280" s="259"/>
      <c r="AB8280" s="259"/>
      <c r="AC8280" s="285"/>
      <c r="AD8280" s="259"/>
      <c r="AE8280" s="259"/>
      <c r="AF8280" s="285"/>
      <c r="AG8280" s="330"/>
      <c r="AI8280" s="1"/>
      <c r="AJ8280" s="259"/>
      <c r="AK8280" s="259"/>
      <c r="AL8280" s="285"/>
      <c r="AM8280" s="1"/>
      <c r="AN8280" s="1"/>
      <c r="AO8280" s="1"/>
    </row>
    <row r="8281" spans="14:41" customFormat="1" hidden="1">
      <c r="N8281" s="302"/>
      <c r="O8281" s="303"/>
      <c r="P8281" s="285"/>
      <c r="Q8281" s="328"/>
      <c r="R8281" s="259"/>
      <c r="S8281" s="259"/>
      <c r="T8281" s="285"/>
      <c r="U8281" s="259"/>
      <c r="V8281" s="259"/>
      <c r="W8281" s="285"/>
      <c r="X8281" s="259"/>
      <c r="Y8281" s="259"/>
      <c r="Z8281" s="285"/>
      <c r="AA8281" s="259"/>
      <c r="AB8281" s="259"/>
      <c r="AC8281" s="285"/>
      <c r="AD8281" s="259"/>
      <c r="AE8281" s="259"/>
      <c r="AF8281" s="285"/>
      <c r="AG8281" s="330"/>
      <c r="AI8281" s="1"/>
      <c r="AJ8281" s="259"/>
      <c r="AK8281" s="259"/>
      <c r="AL8281" s="285"/>
      <c r="AM8281" s="1"/>
      <c r="AN8281" s="1"/>
      <c r="AO8281" s="1"/>
    </row>
    <row r="8282" spans="14:41" hidden="1">
      <c r="N8282" s="302"/>
      <c r="O8282" s="303"/>
      <c r="P8282" s="285"/>
      <c r="Q8282" s="328"/>
      <c r="R8282" s="259"/>
      <c r="S8282" s="259"/>
      <c r="T8282" s="333"/>
      <c r="U8282" s="259"/>
      <c r="V8282" s="259"/>
      <c r="W8282" s="332"/>
      <c r="X8282" s="259"/>
      <c r="Y8282" s="259"/>
      <c r="Z8282" s="332"/>
      <c r="AA8282" s="259"/>
      <c r="AB8282" s="259"/>
      <c r="AC8282" s="332"/>
      <c r="AD8282" s="259"/>
      <c r="AE8282" s="259"/>
      <c r="AF8282" s="332"/>
      <c r="AG8282" s="330"/>
      <c r="AJ8282" s="259"/>
      <c r="AK8282" s="259"/>
      <c r="AL8282" s="332"/>
    </row>
    <row r="8283" spans="14:41" hidden="1">
      <c r="N8283" s="302"/>
      <c r="O8283" s="303"/>
      <c r="P8283" s="285"/>
      <c r="Q8283" s="328"/>
      <c r="R8283" s="259"/>
      <c r="S8283" s="259"/>
      <c r="T8283" s="332"/>
      <c r="U8283" s="259"/>
      <c r="V8283" s="259"/>
      <c r="W8283" s="332"/>
      <c r="X8283" s="259"/>
      <c r="Y8283" s="259"/>
      <c r="Z8283" s="332"/>
      <c r="AA8283" s="259"/>
      <c r="AB8283" s="259"/>
      <c r="AC8283" s="332"/>
      <c r="AD8283" s="259"/>
      <c r="AE8283" s="259"/>
      <c r="AF8283" s="332"/>
      <c r="AG8283" s="330"/>
      <c r="AJ8283" s="259"/>
      <c r="AK8283" s="259"/>
      <c r="AL8283" s="332"/>
    </row>
    <row r="8284" spans="14:41" hidden="1">
      <c r="N8284" s="302"/>
      <c r="O8284" s="303"/>
      <c r="P8284" s="285"/>
      <c r="Q8284" s="328"/>
      <c r="R8284" s="259"/>
      <c r="S8284" s="259"/>
      <c r="T8284" s="332"/>
      <c r="U8284" s="259"/>
      <c r="V8284" s="259"/>
      <c r="W8284" s="332"/>
      <c r="X8284" s="259"/>
      <c r="Y8284" s="259"/>
      <c r="Z8284" s="332"/>
      <c r="AA8284" s="259"/>
      <c r="AB8284" s="259"/>
      <c r="AC8284" s="332"/>
      <c r="AD8284" s="259"/>
      <c r="AE8284" s="259"/>
      <c r="AF8284" s="332"/>
      <c r="AG8284" s="330"/>
      <c r="AJ8284" s="259"/>
      <c r="AK8284" s="259"/>
      <c r="AL8284" s="332"/>
    </row>
    <row r="8285" spans="14:41" hidden="1">
      <c r="N8285" s="302"/>
      <c r="O8285" s="303"/>
      <c r="P8285" s="285"/>
      <c r="Q8285" s="328"/>
      <c r="R8285" s="259"/>
      <c r="S8285" s="259"/>
      <c r="T8285" s="332"/>
      <c r="U8285" s="259"/>
      <c r="V8285" s="259"/>
      <c r="W8285" s="332"/>
      <c r="X8285" s="259"/>
      <c r="Y8285" s="259"/>
      <c r="Z8285" s="332"/>
      <c r="AA8285" s="259"/>
      <c r="AB8285" s="259"/>
      <c r="AC8285" s="332"/>
      <c r="AD8285" s="259"/>
      <c r="AE8285" s="259"/>
      <c r="AF8285" s="332"/>
      <c r="AG8285" s="330"/>
      <c r="AJ8285" s="259"/>
      <c r="AK8285" s="259"/>
      <c r="AL8285" s="332"/>
    </row>
    <row r="8286" spans="14:41" hidden="1">
      <c r="N8286" s="302"/>
      <c r="O8286" s="303"/>
      <c r="P8286" s="285"/>
      <c r="Q8286" s="328"/>
      <c r="R8286" s="259"/>
      <c r="S8286" s="259"/>
      <c r="T8286" s="332"/>
      <c r="U8286" s="259"/>
      <c r="V8286" s="259"/>
      <c r="W8286" s="332"/>
      <c r="X8286" s="259"/>
      <c r="Y8286" s="259"/>
      <c r="Z8286" s="332"/>
      <c r="AA8286" s="259"/>
      <c r="AB8286" s="259"/>
      <c r="AC8286" s="332"/>
      <c r="AD8286" s="259"/>
      <c r="AE8286" s="259"/>
      <c r="AF8286" s="332"/>
      <c r="AG8286" s="330"/>
      <c r="AJ8286" s="259"/>
      <c r="AK8286" s="259"/>
      <c r="AL8286" s="332"/>
    </row>
    <row r="8287" spans="14:41" hidden="1">
      <c r="N8287" s="302"/>
      <c r="O8287" s="303"/>
      <c r="P8287" s="285"/>
      <c r="Q8287" s="328"/>
      <c r="R8287" s="259"/>
      <c r="S8287" s="259"/>
      <c r="T8287" s="332"/>
      <c r="U8287" s="259"/>
      <c r="V8287" s="259"/>
      <c r="W8287" s="332"/>
      <c r="X8287" s="259"/>
      <c r="Y8287" s="259"/>
      <c r="Z8287" s="332"/>
      <c r="AA8287" s="259"/>
      <c r="AB8287" s="259"/>
      <c r="AC8287" s="332"/>
      <c r="AD8287" s="259"/>
      <c r="AE8287" s="259"/>
      <c r="AF8287" s="332"/>
      <c r="AG8287" s="330"/>
      <c r="AJ8287" s="259"/>
      <c r="AK8287" s="259"/>
      <c r="AL8287" s="332"/>
    </row>
    <row r="8288" spans="14:41" hidden="1">
      <c r="N8288" s="302"/>
      <c r="O8288" s="303"/>
      <c r="P8288" s="285"/>
      <c r="Q8288" s="328"/>
      <c r="R8288" s="259"/>
      <c r="S8288" s="259"/>
      <c r="T8288" s="332"/>
      <c r="U8288" s="259"/>
      <c r="V8288" s="259"/>
      <c r="W8288" s="332"/>
      <c r="X8288" s="259"/>
      <c r="Y8288" s="259"/>
      <c r="Z8288" s="332"/>
      <c r="AA8288" s="259"/>
      <c r="AB8288" s="259"/>
      <c r="AC8288" s="332"/>
      <c r="AD8288" s="259"/>
      <c r="AE8288" s="259"/>
      <c r="AF8288" s="332"/>
      <c r="AG8288" s="330"/>
      <c r="AJ8288" s="259"/>
      <c r="AK8288" s="259"/>
      <c r="AL8288" s="332"/>
    </row>
    <row r="8289" spans="14:38" hidden="1">
      <c r="N8289" s="302"/>
      <c r="O8289" s="303"/>
      <c r="P8289" s="285"/>
      <c r="Q8289" s="328"/>
      <c r="R8289" s="259"/>
      <c r="S8289" s="259"/>
      <c r="T8289" s="332"/>
      <c r="U8289" s="259"/>
      <c r="V8289" s="259"/>
      <c r="W8289" s="332"/>
      <c r="X8289" s="259"/>
      <c r="Y8289" s="259"/>
      <c r="Z8289" s="332"/>
      <c r="AA8289" s="259"/>
      <c r="AB8289" s="259"/>
      <c r="AC8289" s="332"/>
      <c r="AD8289" s="259"/>
      <c r="AE8289" s="259"/>
      <c r="AF8289" s="332"/>
      <c r="AG8289" s="330"/>
      <c r="AJ8289" s="259"/>
      <c r="AK8289" s="259"/>
      <c r="AL8289" s="332"/>
    </row>
    <row r="8290" spans="14:38" hidden="1">
      <c r="N8290" s="302"/>
      <c r="O8290" s="303"/>
      <c r="P8290" s="285"/>
      <c r="Q8290" s="328"/>
      <c r="R8290" s="259"/>
      <c r="S8290" s="259"/>
      <c r="T8290" s="332"/>
      <c r="U8290" s="259"/>
      <c r="V8290" s="259"/>
      <c r="W8290" s="332"/>
      <c r="X8290" s="259"/>
      <c r="Y8290" s="259"/>
      <c r="Z8290" s="332"/>
      <c r="AA8290" s="259"/>
      <c r="AB8290" s="259"/>
      <c r="AC8290" s="332"/>
      <c r="AD8290" s="259"/>
      <c r="AE8290" s="259"/>
      <c r="AF8290" s="332"/>
      <c r="AG8290" s="330"/>
      <c r="AJ8290" s="259"/>
      <c r="AK8290" s="259"/>
      <c r="AL8290" s="332"/>
    </row>
    <row r="8291" spans="14:38" hidden="1">
      <c r="N8291" s="302"/>
      <c r="O8291" s="303"/>
      <c r="P8291" s="285"/>
      <c r="Q8291" s="328"/>
      <c r="R8291" s="259"/>
      <c r="S8291" s="259"/>
      <c r="T8291" s="332"/>
      <c r="U8291" s="259"/>
      <c r="V8291" s="259"/>
      <c r="W8291" s="332"/>
      <c r="X8291" s="259"/>
      <c r="Y8291" s="259"/>
      <c r="Z8291" s="332"/>
      <c r="AA8291" s="259"/>
      <c r="AB8291" s="259"/>
      <c r="AC8291" s="332"/>
      <c r="AD8291" s="259"/>
      <c r="AE8291" s="259"/>
      <c r="AF8291" s="332"/>
      <c r="AG8291" s="330"/>
      <c r="AJ8291" s="259"/>
      <c r="AK8291" s="259"/>
      <c r="AL8291" s="332"/>
    </row>
    <row r="8292" spans="14:38" hidden="1">
      <c r="N8292" s="302"/>
      <c r="O8292" s="303"/>
      <c r="P8292" s="285"/>
      <c r="Q8292" s="328"/>
      <c r="R8292" s="259"/>
      <c r="S8292" s="259"/>
      <c r="T8292" s="332"/>
      <c r="U8292" s="259"/>
      <c r="V8292" s="259"/>
      <c r="W8292" s="332"/>
      <c r="X8292" s="259"/>
      <c r="Y8292" s="259"/>
      <c r="Z8292" s="332"/>
      <c r="AA8292" s="259"/>
      <c r="AB8292" s="259"/>
      <c r="AC8292" s="332"/>
      <c r="AD8292" s="259"/>
      <c r="AE8292" s="259"/>
      <c r="AF8292" s="332"/>
      <c r="AG8292" s="330"/>
      <c r="AJ8292" s="259"/>
      <c r="AK8292" s="259"/>
      <c r="AL8292" s="332"/>
    </row>
    <row r="8293" spans="14:38" hidden="1">
      <c r="N8293" s="302"/>
      <c r="O8293" s="303"/>
      <c r="P8293" s="285"/>
      <c r="Q8293" s="328"/>
      <c r="R8293" s="259"/>
      <c r="S8293" s="259"/>
      <c r="T8293" s="332"/>
      <c r="U8293" s="259"/>
      <c r="V8293" s="259"/>
      <c r="W8293" s="332"/>
      <c r="X8293" s="259"/>
      <c r="Y8293" s="259"/>
      <c r="Z8293" s="332"/>
      <c r="AA8293" s="259"/>
      <c r="AB8293" s="259"/>
      <c r="AC8293" s="332"/>
      <c r="AD8293" s="259"/>
      <c r="AE8293" s="259"/>
      <c r="AF8293" s="332"/>
      <c r="AG8293" s="330"/>
      <c r="AJ8293" s="259"/>
      <c r="AK8293" s="259"/>
      <c r="AL8293" s="332"/>
    </row>
    <row r="8294" spans="14:38" hidden="1">
      <c r="N8294" s="302"/>
      <c r="O8294" s="303"/>
      <c r="P8294" s="285"/>
      <c r="Q8294" s="328"/>
      <c r="R8294" s="259"/>
      <c r="S8294" s="259"/>
      <c r="T8294" s="332"/>
      <c r="U8294" s="259"/>
      <c r="V8294" s="259"/>
      <c r="W8294" s="332"/>
      <c r="X8294" s="259"/>
      <c r="Y8294" s="259"/>
      <c r="Z8294" s="332"/>
      <c r="AA8294" s="259"/>
      <c r="AB8294" s="259"/>
      <c r="AC8294" s="332"/>
      <c r="AD8294" s="259"/>
      <c r="AE8294" s="259"/>
      <c r="AF8294" s="332"/>
      <c r="AG8294" s="330"/>
      <c r="AJ8294" s="259"/>
      <c r="AK8294" s="259"/>
      <c r="AL8294" s="332"/>
    </row>
    <row r="8295" spans="14:38" hidden="1">
      <c r="N8295" s="302"/>
      <c r="O8295" s="303"/>
      <c r="P8295" s="285"/>
      <c r="Q8295" s="328"/>
      <c r="R8295" s="259"/>
      <c r="S8295" s="259"/>
      <c r="T8295" s="332"/>
      <c r="U8295" s="259"/>
      <c r="V8295" s="259"/>
      <c r="W8295" s="332"/>
      <c r="X8295" s="259"/>
      <c r="Y8295" s="259"/>
      <c r="Z8295" s="332"/>
      <c r="AA8295" s="259"/>
      <c r="AB8295" s="259"/>
      <c r="AC8295" s="332"/>
      <c r="AD8295" s="259"/>
      <c r="AE8295" s="259"/>
      <c r="AF8295" s="332"/>
      <c r="AG8295" s="330"/>
      <c r="AJ8295" s="259"/>
      <c r="AK8295" s="259"/>
      <c r="AL8295" s="332"/>
    </row>
    <row r="8296" spans="14:38" hidden="1">
      <c r="N8296" s="302"/>
      <c r="O8296" s="303"/>
      <c r="P8296" s="285"/>
      <c r="Q8296" s="328"/>
      <c r="R8296" s="259"/>
      <c r="S8296" s="259"/>
      <c r="T8296" s="332"/>
      <c r="U8296" s="259"/>
      <c r="V8296" s="259"/>
      <c r="W8296" s="332"/>
      <c r="X8296" s="259"/>
      <c r="Y8296" s="259"/>
      <c r="Z8296" s="332"/>
      <c r="AA8296" s="259"/>
      <c r="AB8296" s="259"/>
      <c r="AC8296" s="332"/>
      <c r="AD8296" s="259"/>
      <c r="AE8296" s="259"/>
      <c r="AF8296" s="332"/>
      <c r="AG8296" s="330"/>
      <c r="AJ8296" s="259"/>
      <c r="AK8296" s="259"/>
      <c r="AL8296" s="332"/>
    </row>
    <row r="8297" spans="14:38" hidden="1">
      <c r="N8297" s="302"/>
      <c r="O8297" s="303"/>
      <c r="P8297" s="285"/>
      <c r="Q8297" s="328"/>
      <c r="R8297" s="259"/>
      <c r="S8297" s="259"/>
      <c r="T8297" s="332"/>
      <c r="U8297" s="259"/>
      <c r="V8297" s="259"/>
      <c r="W8297" s="332"/>
      <c r="X8297" s="259"/>
      <c r="Y8297" s="259"/>
      <c r="Z8297" s="332"/>
      <c r="AA8297" s="259"/>
      <c r="AB8297" s="259"/>
      <c r="AC8297" s="332"/>
      <c r="AD8297" s="259"/>
      <c r="AE8297" s="259"/>
      <c r="AF8297" s="332"/>
      <c r="AG8297" s="330"/>
      <c r="AJ8297" s="259"/>
      <c r="AK8297" s="259"/>
      <c r="AL8297" s="332"/>
    </row>
    <row r="8298" spans="14:38" hidden="1">
      <c r="N8298" s="302"/>
      <c r="O8298" s="303"/>
      <c r="P8298" s="285"/>
      <c r="Q8298" s="328"/>
      <c r="R8298" s="259"/>
      <c r="S8298" s="259"/>
      <c r="T8298" s="332"/>
      <c r="U8298" s="259"/>
      <c r="V8298" s="259"/>
      <c r="W8298" s="332"/>
      <c r="X8298" s="259"/>
      <c r="Y8298" s="259"/>
      <c r="Z8298" s="332"/>
      <c r="AA8298" s="259"/>
      <c r="AB8298" s="259"/>
      <c r="AC8298" s="332"/>
      <c r="AD8298" s="259"/>
      <c r="AE8298" s="259"/>
      <c r="AF8298" s="332"/>
      <c r="AG8298" s="330"/>
      <c r="AJ8298" s="259"/>
      <c r="AK8298" s="259"/>
      <c r="AL8298" s="332"/>
    </row>
    <row r="8299" spans="14:38" hidden="1">
      <c r="N8299" s="302"/>
      <c r="O8299" s="303"/>
      <c r="P8299" s="285"/>
      <c r="Q8299" s="328"/>
      <c r="R8299" s="259"/>
      <c r="S8299" s="259"/>
      <c r="T8299" s="332"/>
      <c r="U8299" s="259"/>
      <c r="V8299" s="259"/>
      <c r="W8299" s="332"/>
      <c r="X8299" s="259"/>
      <c r="Y8299" s="259"/>
      <c r="Z8299" s="332"/>
      <c r="AA8299" s="259"/>
      <c r="AB8299" s="259"/>
      <c r="AC8299" s="332"/>
      <c r="AD8299" s="259"/>
      <c r="AE8299" s="259"/>
      <c r="AF8299" s="332"/>
      <c r="AG8299" s="330"/>
      <c r="AJ8299" s="259"/>
      <c r="AK8299" s="259"/>
      <c r="AL8299" s="332"/>
    </row>
    <row r="8300" spans="14:38" hidden="1">
      <c r="N8300" s="302"/>
      <c r="O8300" s="303"/>
      <c r="P8300" s="285"/>
      <c r="Q8300" s="328"/>
      <c r="R8300" s="259"/>
      <c r="S8300" s="259"/>
      <c r="T8300" s="332"/>
      <c r="U8300" s="259"/>
      <c r="V8300" s="259"/>
      <c r="W8300" s="332"/>
      <c r="X8300" s="259"/>
      <c r="Y8300" s="259"/>
      <c r="Z8300" s="332"/>
      <c r="AA8300" s="259"/>
      <c r="AB8300" s="259"/>
      <c r="AC8300" s="332"/>
      <c r="AD8300" s="259"/>
      <c r="AE8300" s="259"/>
      <c r="AF8300" s="332"/>
      <c r="AG8300" s="330"/>
      <c r="AJ8300" s="259"/>
      <c r="AK8300" s="259"/>
      <c r="AL8300" s="332"/>
    </row>
    <row r="8301" spans="14:38" hidden="1">
      <c r="N8301" s="302"/>
      <c r="O8301" s="303"/>
      <c r="P8301" s="285"/>
      <c r="Q8301" s="328"/>
      <c r="R8301" s="259"/>
      <c r="S8301" s="259"/>
      <c r="T8301" s="332"/>
      <c r="U8301" s="259"/>
      <c r="V8301" s="259"/>
      <c r="W8301" s="332"/>
      <c r="X8301" s="259"/>
      <c r="Y8301" s="259"/>
      <c r="Z8301" s="332"/>
      <c r="AA8301" s="259"/>
      <c r="AB8301" s="259"/>
      <c r="AC8301" s="332"/>
      <c r="AD8301" s="259"/>
      <c r="AE8301" s="259"/>
      <c r="AF8301" s="332"/>
      <c r="AG8301" s="330"/>
      <c r="AJ8301" s="259"/>
      <c r="AK8301" s="259"/>
      <c r="AL8301" s="332"/>
    </row>
    <row r="8302" spans="14:38" hidden="1">
      <c r="N8302" s="302"/>
      <c r="O8302" s="303"/>
      <c r="P8302" s="285"/>
      <c r="Q8302" s="328"/>
      <c r="R8302" s="259"/>
      <c r="S8302" s="259"/>
      <c r="T8302" s="332"/>
      <c r="U8302" s="259"/>
      <c r="V8302" s="259"/>
      <c r="W8302" s="332"/>
      <c r="X8302" s="259"/>
      <c r="Y8302" s="259"/>
      <c r="Z8302" s="332"/>
      <c r="AA8302" s="259"/>
      <c r="AB8302" s="259"/>
      <c r="AC8302" s="332"/>
      <c r="AD8302" s="259"/>
      <c r="AE8302" s="259"/>
      <c r="AF8302" s="332"/>
      <c r="AG8302" s="330"/>
      <c r="AJ8302" s="259"/>
      <c r="AK8302" s="259"/>
      <c r="AL8302" s="332"/>
    </row>
    <row r="8303" spans="14:38" hidden="1">
      <c r="N8303" s="302"/>
      <c r="O8303" s="303"/>
      <c r="P8303" s="285"/>
      <c r="Q8303" s="328"/>
      <c r="R8303" s="259"/>
      <c r="S8303" s="259"/>
      <c r="T8303" s="332"/>
      <c r="U8303" s="259"/>
      <c r="V8303" s="259"/>
      <c r="W8303" s="332"/>
      <c r="X8303" s="259"/>
      <c r="Y8303" s="259"/>
      <c r="Z8303" s="332"/>
      <c r="AA8303" s="259"/>
      <c r="AB8303" s="259"/>
      <c r="AC8303" s="332"/>
      <c r="AD8303" s="259"/>
      <c r="AE8303" s="259"/>
      <c r="AF8303" s="332"/>
      <c r="AG8303" s="330"/>
      <c r="AJ8303" s="259"/>
      <c r="AK8303" s="259"/>
      <c r="AL8303" s="332"/>
    </row>
    <row r="8304" spans="14:38" hidden="1">
      <c r="N8304" s="302"/>
      <c r="O8304" s="303"/>
      <c r="P8304" s="285"/>
      <c r="Q8304" s="328"/>
      <c r="R8304" s="259"/>
      <c r="S8304" s="259"/>
      <c r="T8304" s="332"/>
      <c r="U8304" s="259"/>
      <c r="V8304" s="259"/>
      <c r="W8304" s="332"/>
      <c r="X8304" s="259"/>
      <c r="Y8304" s="259"/>
      <c r="Z8304" s="332"/>
      <c r="AA8304" s="259"/>
      <c r="AB8304" s="259"/>
      <c r="AC8304" s="332"/>
      <c r="AD8304" s="259"/>
      <c r="AE8304" s="259"/>
      <c r="AF8304" s="332"/>
      <c r="AG8304" s="330"/>
      <c r="AJ8304" s="259"/>
      <c r="AK8304" s="259"/>
      <c r="AL8304" s="332"/>
    </row>
    <row r="8305" spans="14:38" hidden="1">
      <c r="N8305" s="302"/>
      <c r="O8305" s="303"/>
      <c r="P8305" s="285"/>
      <c r="Q8305" s="328"/>
      <c r="R8305" s="259"/>
      <c r="S8305" s="259"/>
      <c r="T8305" s="332"/>
      <c r="U8305" s="259"/>
      <c r="V8305" s="259"/>
      <c r="W8305" s="332"/>
      <c r="X8305" s="259"/>
      <c r="Y8305" s="259"/>
      <c r="Z8305" s="332"/>
      <c r="AA8305" s="259"/>
      <c r="AB8305" s="259"/>
      <c r="AC8305" s="332"/>
      <c r="AD8305" s="259"/>
      <c r="AE8305" s="259"/>
      <c r="AF8305" s="332"/>
      <c r="AG8305" s="330"/>
      <c r="AJ8305" s="259"/>
      <c r="AK8305" s="259"/>
      <c r="AL8305" s="332"/>
    </row>
    <row r="8306" spans="14:38" hidden="1">
      <c r="N8306" s="302"/>
      <c r="O8306" s="303"/>
      <c r="P8306" s="285"/>
      <c r="Q8306" s="328"/>
      <c r="R8306" s="259"/>
      <c r="S8306" s="259"/>
      <c r="T8306" s="332"/>
      <c r="U8306" s="259"/>
      <c r="V8306" s="259"/>
      <c r="W8306" s="332"/>
      <c r="X8306" s="259"/>
      <c r="Y8306" s="259"/>
      <c r="Z8306" s="332"/>
      <c r="AA8306" s="259"/>
      <c r="AB8306" s="259"/>
      <c r="AC8306" s="332"/>
      <c r="AD8306" s="259"/>
      <c r="AE8306" s="259"/>
      <c r="AF8306" s="332"/>
      <c r="AG8306" s="330"/>
      <c r="AJ8306" s="259"/>
      <c r="AK8306" s="259"/>
      <c r="AL8306" s="332"/>
    </row>
    <row r="8307" spans="14:38" hidden="1">
      <c r="N8307" s="302"/>
      <c r="O8307" s="303"/>
      <c r="P8307" s="285"/>
      <c r="Q8307" s="328"/>
      <c r="R8307" s="259"/>
      <c r="S8307" s="259"/>
      <c r="T8307" s="332"/>
      <c r="U8307" s="259"/>
      <c r="V8307" s="259"/>
      <c r="W8307" s="332"/>
      <c r="X8307" s="259"/>
      <c r="Y8307" s="259"/>
      <c r="Z8307" s="332"/>
      <c r="AA8307" s="259"/>
      <c r="AB8307" s="259"/>
      <c r="AC8307" s="332"/>
      <c r="AD8307" s="259"/>
      <c r="AE8307" s="259"/>
      <c r="AF8307" s="332"/>
      <c r="AG8307" s="330"/>
      <c r="AJ8307" s="259"/>
      <c r="AK8307" s="259"/>
      <c r="AL8307" s="332"/>
    </row>
    <row r="8308" spans="14:38" hidden="1">
      <c r="N8308" s="302"/>
      <c r="O8308" s="303"/>
      <c r="P8308" s="285"/>
      <c r="Q8308" s="328"/>
      <c r="R8308" s="259"/>
      <c r="S8308" s="259"/>
      <c r="T8308" s="332"/>
      <c r="U8308" s="259"/>
      <c r="V8308" s="259"/>
      <c r="W8308" s="332"/>
      <c r="X8308" s="259"/>
      <c r="Y8308" s="259"/>
      <c r="Z8308" s="332"/>
      <c r="AA8308" s="259"/>
      <c r="AB8308" s="259"/>
      <c r="AC8308" s="332"/>
      <c r="AD8308" s="259"/>
      <c r="AE8308" s="259"/>
      <c r="AF8308" s="332"/>
      <c r="AG8308" s="330"/>
      <c r="AJ8308" s="259"/>
      <c r="AK8308" s="259"/>
      <c r="AL8308" s="332"/>
    </row>
    <row r="8309" spans="14:38" hidden="1">
      <c r="N8309" s="302"/>
      <c r="O8309" s="303"/>
      <c r="P8309" s="285"/>
      <c r="Q8309" s="328"/>
      <c r="R8309" s="259"/>
      <c r="S8309" s="259"/>
      <c r="T8309" s="332"/>
      <c r="U8309" s="259"/>
      <c r="V8309" s="259"/>
      <c r="W8309" s="332"/>
      <c r="X8309" s="259"/>
      <c r="Y8309" s="259"/>
      <c r="Z8309" s="332"/>
      <c r="AA8309" s="259"/>
      <c r="AB8309" s="259"/>
      <c r="AC8309" s="332"/>
      <c r="AD8309" s="259"/>
      <c r="AE8309" s="259"/>
      <c r="AF8309" s="332"/>
      <c r="AG8309" s="330"/>
      <c r="AJ8309" s="259"/>
      <c r="AK8309" s="259"/>
      <c r="AL8309" s="332"/>
    </row>
    <row r="8310" spans="14:38" hidden="1">
      <c r="N8310" s="302"/>
      <c r="O8310" s="303"/>
      <c r="P8310" s="285"/>
      <c r="Q8310" s="328"/>
      <c r="R8310" s="259"/>
      <c r="S8310" s="259"/>
      <c r="T8310" s="332"/>
      <c r="U8310" s="259"/>
      <c r="V8310" s="259"/>
      <c r="W8310" s="332"/>
      <c r="X8310" s="259"/>
      <c r="Y8310" s="259"/>
      <c r="Z8310" s="332"/>
      <c r="AA8310" s="259"/>
      <c r="AB8310" s="259"/>
      <c r="AC8310" s="332"/>
      <c r="AD8310" s="259"/>
      <c r="AE8310" s="259"/>
      <c r="AF8310" s="332"/>
      <c r="AG8310" s="330"/>
      <c r="AJ8310" s="259"/>
      <c r="AK8310" s="259"/>
      <c r="AL8310" s="332"/>
    </row>
    <row r="8311" spans="14:38" hidden="1">
      <c r="N8311" s="302"/>
      <c r="O8311" s="303"/>
      <c r="P8311" s="285"/>
      <c r="Q8311" s="328"/>
      <c r="R8311" s="259"/>
      <c r="S8311" s="259"/>
      <c r="T8311" s="332"/>
      <c r="U8311" s="259"/>
      <c r="V8311" s="259"/>
      <c r="W8311" s="332"/>
      <c r="X8311" s="259"/>
      <c r="Y8311" s="259"/>
      <c r="Z8311" s="332"/>
      <c r="AA8311" s="259"/>
      <c r="AB8311" s="259"/>
      <c r="AC8311" s="332"/>
      <c r="AD8311" s="259"/>
      <c r="AE8311" s="259"/>
      <c r="AF8311" s="332"/>
      <c r="AG8311" s="330"/>
      <c r="AJ8311" s="259"/>
      <c r="AK8311" s="259"/>
      <c r="AL8311" s="332"/>
    </row>
    <row r="8312" spans="14:38" hidden="1">
      <c r="N8312" s="302"/>
      <c r="O8312" s="303"/>
      <c r="P8312" s="285"/>
      <c r="Q8312" s="328"/>
      <c r="R8312" s="259"/>
      <c r="S8312" s="259"/>
      <c r="T8312" s="332"/>
      <c r="U8312" s="259"/>
      <c r="V8312" s="259"/>
      <c r="W8312" s="332"/>
      <c r="X8312" s="259"/>
      <c r="Y8312" s="259"/>
      <c r="Z8312" s="332"/>
      <c r="AA8312" s="259"/>
      <c r="AB8312" s="259"/>
      <c r="AC8312" s="332"/>
      <c r="AD8312" s="259"/>
      <c r="AE8312" s="259"/>
      <c r="AF8312" s="332"/>
      <c r="AG8312" s="330"/>
      <c r="AJ8312" s="259"/>
      <c r="AK8312" s="259"/>
      <c r="AL8312" s="332"/>
    </row>
    <row r="8313" spans="14:38" hidden="1">
      <c r="N8313" s="302"/>
      <c r="O8313" s="303"/>
      <c r="P8313" s="285"/>
      <c r="Q8313" s="328"/>
      <c r="R8313" s="259"/>
      <c r="S8313" s="259"/>
      <c r="T8313" s="332"/>
      <c r="U8313" s="259"/>
      <c r="V8313" s="259"/>
      <c r="W8313" s="332"/>
      <c r="X8313" s="259"/>
      <c r="Y8313" s="259"/>
      <c r="Z8313" s="332"/>
      <c r="AA8313" s="259"/>
      <c r="AB8313" s="259"/>
      <c r="AC8313" s="332"/>
      <c r="AD8313" s="259"/>
      <c r="AE8313" s="259"/>
      <c r="AF8313" s="332"/>
      <c r="AG8313" s="330"/>
      <c r="AJ8313" s="259"/>
      <c r="AK8313" s="259"/>
      <c r="AL8313" s="332"/>
    </row>
    <row r="8314" spans="14:38" hidden="1">
      <c r="N8314" s="302"/>
      <c r="O8314" s="303"/>
      <c r="P8314" s="285"/>
      <c r="Q8314" s="328"/>
      <c r="R8314" s="259"/>
      <c r="S8314" s="259"/>
      <c r="T8314" s="332"/>
      <c r="U8314" s="259"/>
      <c r="V8314" s="259"/>
      <c r="W8314" s="332"/>
      <c r="X8314" s="259"/>
      <c r="Y8314" s="259"/>
      <c r="Z8314" s="332"/>
      <c r="AA8314" s="259"/>
      <c r="AB8314" s="259"/>
      <c r="AC8314" s="332"/>
      <c r="AD8314" s="259"/>
      <c r="AE8314" s="259"/>
      <c r="AF8314" s="332"/>
      <c r="AG8314" s="330"/>
      <c r="AJ8314" s="259"/>
      <c r="AK8314" s="259"/>
      <c r="AL8314" s="332"/>
    </row>
    <row r="8315" spans="14:38" hidden="1">
      <c r="N8315" s="302"/>
      <c r="O8315" s="303"/>
      <c r="P8315" s="285"/>
      <c r="Q8315" s="328"/>
      <c r="R8315" s="259"/>
      <c r="S8315" s="259"/>
      <c r="T8315" s="332"/>
      <c r="U8315" s="259"/>
      <c r="V8315" s="259"/>
      <c r="W8315" s="332"/>
      <c r="X8315" s="259"/>
      <c r="Y8315" s="259"/>
      <c r="Z8315" s="332"/>
      <c r="AA8315" s="259"/>
      <c r="AB8315" s="259"/>
      <c r="AC8315" s="332"/>
      <c r="AD8315" s="259"/>
      <c r="AE8315" s="259"/>
      <c r="AF8315" s="332"/>
      <c r="AG8315" s="330"/>
      <c r="AJ8315" s="259"/>
      <c r="AK8315" s="259"/>
      <c r="AL8315" s="332"/>
    </row>
    <row r="8316" spans="14:38" hidden="1">
      <c r="N8316" s="302"/>
      <c r="O8316" s="303"/>
      <c r="P8316" s="285"/>
      <c r="Q8316" s="328"/>
      <c r="R8316" s="259"/>
      <c r="S8316" s="259"/>
      <c r="T8316" s="332"/>
      <c r="U8316" s="259"/>
      <c r="V8316" s="259"/>
      <c r="W8316" s="332"/>
      <c r="X8316" s="259"/>
      <c r="Y8316" s="259"/>
      <c r="Z8316" s="332"/>
      <c r="AA8316" s="259"/>
      <c r="AB8316" s="259"/>
      <c r="AC8316" s="332"/>
      <c r="AD8316" s="259"/>
      <c r="AE8316" s="259"/>
      <c r="AF8316" s="332"/>
      <c r="AG8316" s="330"/>
      <c r="AJ8316" s="259"/>
      <c r="AK8316" s="259"/>
      <c r="AL8316" s="332"/>
    </row>
    <row r="8317" spans="14:38" hidden="1">
      <c r="N8317" s="302"/>
      <c r="O8317" s="303"/>
      <c r="P8317" s="285"/>
      <c r="Q8317" s="328"/>
      <c r="R8317" s="259"/>
      <c r="S8317" s="259"/>
      <c r="T8317" s="332"/>
      <c r="U8317" s="259"/>
      <c r="V8317" s="259"/>
      <c r="W8317" s="332"/>
      <c r="X8317" s="259"/>
      <c r="Y8317" s="259"/>
      <c r="Z8317" s="332"/>
      <c r="AA8317" s="259"/>
      <c r="AB8317" s="259"/>
      <c r="AC8317" s="332"/>
      <c r="AD8317" s="259"/>
      <c r="AE8317" s="259"/>
      <c r="AF8317" s="332"/>
      <c r="AG8317" s="330"/>
      <c r="AJ8317" s="259"/>
      <c r="AK8317" s="259"/>
      <c r="AL8317" s="332"/>
    </row>
    <row r="8318" spans="14:38" hidden="1">
      <c r="N8318" s="302"/>
      <c r="O8318" s="303"/>
      <c r="P8318" s="285"/>
      <c r="Q8318" s="328"/>
      <c r="R8318" s="259"/>
      <c r="S8318" s="259"/>
      <c r="T8318" s="332"/>
      <c r="U8318" s="259"/>
      <c r="V8318" s="259"/>
      <c r="W8318" s="332"/>
      <c r="X8318" s="259"/>
      <c r="Y8318" s="259"/>
      <c r="Z8318" s="332"/>
      <c r="AA8318" s="259"/>
      <c r="AB8318" s="259"/>
      <c r="AC8318" s="332"/>
      <c r="AD8318" s="259"/>
      <c r="AE8318" s="259"/>
      <c r="AF8318" s="332"/>
      <c r="AG8318" s="330"/>
      <c r="AJ8318" s="259"/>
      <c r="AK8318" s="259"/>
      <c r="AL8318" s="332"/>
    </row>
    <row r="8319" spans="14:38" hidden="1">
      <c r="N8319" s="302"/>
      <c r="O8319" s="303"/>
      <c r="P8319" s="285"/>
      <c r="Q8319" s="328"/>
      <c r="R8319" s="259"/>
      <c r="S8319" s="259"/>
      <c r="T8319" s="332"/>
      <c r="U8319" s="259"/>
      <c r="V8319" s="259"/>
      <c r="W8319" s="332"/>
      <c r="X8319" s="259"/>
      <c r="Y8319" s="259"/>
      <c r="Z8319" s="332"/>
      <c r="AA8319" s="259"/>
      <c r="AB8319" s="259"/>
      <c r="AC8319" s="332"/>
      <c r="AD8319" s="259"/>
      <c r="AE8319" s="259"/>
      <c r="AF8319" s="332"/>
      <c r="AG8319" s="330"/>
      <c r="AJ8319" s="259"/>
      <c r="AK8319" s="259"/>
      <c r="AL8319" s="332"/>
    </row>
    <row r="8320" spans="14:38" hidden="1">
      <c r="N8320" s="302"/>
      <c r="O8320" s="303"/>
      <c r="P8320" s="285"/>
      <c r="Q8320" s="328"/>
      <c r="R8320" s="259"/>
      <c r="S8320" s="259"/>
      <c r="T8320" s="332"/>
      <c r="U8320" s="259"/>
      <c r="V8320" s="259"/>
      <c r="W8320" s="332"/>
      <c r="X8320" s="259"/>
      <c r="Y8320" s="259"/>
      <c r="Z8320" s="332"/>
      <c r="AA8320" s="259"/>
      <c r="AB8320" s="259"/>
      <c r="AC8320" s="332"/>
      <c r="AD8320" s="259"/>
      <c r="AE8320" s="259"/>
      <c r="AF8320" s="332"/>
      <c r="AG8320" s="330"/>
      <c r="AJ8320" s="259"/>
      <c r="AK8320" s="259"/>
      <c r="AL8320" s="332"/>
    </row>
    <row r="8321" spans="14:38" hidden="1">
      <c r="N8321" s="302"/>
      <c r="O8321" s="303"/>
      <c r="P8321" s="285"/>
      <c r="Q8321" s="328"/>
      <c r="R8321" s="259"/>
      <c r="S8321" s="259"/>
      <c r="T8321" s="332"/>
      <c r="U8321" s="259"/>
      <c r="V8321" s="259"/>
      <c r="W8321" s="332"/>
      <c r="X8321" s="259"/>
      <c r="Y8321" s="259"/>
      <c r="Z8321" s="332"/>
      <c r="AA8321" s="259"/>
      <c r="AB8321" s="259"/>
      <c r="AC8321" s="332"/>
      <c r="AD8321" s="259"/>
      <c r="AE8321" s="259"/>
      <c r="AF8321" s="332"/>
      <c r="AG8321" s="330"/>
      <c r="AJ8321" s="259"/>
      <c r="AK8321" s="259"/>
      <c r="AL8321" s="332"/>
    </row>
    <row r="8322" spans="14:38" hidden="1">
      <c r="N8322" s="302"/>
      <c r="O8322" s="303"/>
      <c r="P8322" s="285"/>
      <c r="Q8322" s="328"/>
      <c r="R8322" s="259"/>
      <c r="S8322" s="259"/>
      <c r="T8322" s="332"/>
      <c r="U8322" s="259"/>
      <c r="V8322" s="259"/>
      <c r="W8322" s="332"/>
      <c r="X8322" s="259"/>
      <c r="Y8322" s="259"/>
      <c r="Z8322" s="332"/>
      <c r="AA8322" s="259"/>
      <c r="AB8322" s="259"/>
      <c r="AC8322" s="332"/>
      <c r="AD8322" s="259"/>
      <c r="AE8322" s="259"/>
      <c r="AF8322" s="332"/>
      <c r="AG8322" s="330"/>
      <c r="AJ8322" s="259"/>
      <c r="AK8322" s="259"/>
      <c r="AL8322" s="332"/>
    </row>
    <row r="8323" spans="14:38" hidden="1">
      <c r="N8323" s="302"/>
      <c r="O8323" s="303"/>
      <c r="P8323" s="285"/>
      <c r="Q8323" s="328"/>
      <c r="R8323" s="259"/>
      <c r="S8323" s="259"/>
      <c r="T8323" s="332"/>
      <c r="U8323" s="259"/>
      <c r="V8323" s="259"/>
      <c r="W8323" s="332"/>
      <c r="X8323" s="259"/>
      <c r="Y8323" s="259"/>
      <c r="Z8323" s="332"/>
      <c r="AA8323" s="259"/>
      <c r="AB8323" s="259"/>
      <c r="AC8323" s="332"/>
      <c r="AD8323" s="259"/>
      <c r="AE8323" s="259"/>
      <c r="AF8323" s="332"/>
      <c r="AG8323" s="330"/>
      <c r="AJ8323" s="259"/>
      <c r="AK8323" s="259"/>
      <c r="AL8323" s="332"/>
    </row>
    <row r="8324" spans="14:38" hidden="1">
      <c r="N8324" s="302"/>
      <c r="O8324" s="303"/>
      <c r="P8324" s="285"/>
      <c r="Q8324" s="328"/>
      <c r="R8324" s="259"/>
      <c r="S8324" s="259"/>
      <c r="T8324" s="332"/>
      <c r="U8324" s="259"/>
      <c r="V8324" s="259"/>
      <c r="W8324" s="332"/>
      <c r="X8324" s="259"/>
      <c r="Y8324" s="259"/>
      <c r="Z8324" s="332"/>
      <c r="AA8324" s="259"/>
      <c r="AB8324" s="259"/>
      <c r="AC8324" s="332"/>
      <c r="AD8324" s="259"/>
      <c r="AE8324" s="259"/>
      <c r="AF8324" s="332"/>
      <c r="AG8324" s="330"/>
      <c r="AJ8324" s="259"/>
      <c r="AK8324" s="259"/>
      <c r="AL8324" s="332"/>
    </row>
    <row r="8325" spans="14:38" hidden="1">
      <c r="N8325" s="302"/>
      <c r="O8325" s="303"/>
      <c r="P8325" s="285"/>
      <c r="Q8325" s="328"/>
      <c r="R8325" s="259"/>
      <c r="S8325" s="259"/>
      <c r="T8325" s="332"/>
      <c r="U8325" s="259"/>
      <c r="V8325" s="259"/>
      <c r="W8325" s="332"/>
      <c r="X8325" s="259"/>
      <c r="Y8325" s="259"/>
      <c r="Z8325" s="332"/>
      <c r="AA8325" s="259"/>
      <c r="AB8325" s="259"/>
      <c r="AC8325" s="332"/>
      <c r="AD8325" s="259"/>
      <c r="AE8325" s="259"/>
      <c r="AF8325" s="332"/>
      <c r="AG8325" s="330"/>
      <c r="AJ8325" s="259"/>
      <c r="AK8325" s="259"/>
      <c r="AL8325" s="332"/>
    </row>
    <row r="8326" spans="14:38" hidden="1">
      <c r="N8326" s="302"/>
      <c r="O8326" s="303"/>
      <c r="P8326" s="285"/>
      <c r="Q8326" s="328"/>
      <c r="R8326" s="259"/>
      <c r="S8326" s="259"/>
      <c r="T8326" s="332"/>
      <c r="U8326" s="259"/>
      <c r="V8326" s="259"/>
      <c r="W8326" s="332"/>
      <c r="X8326" s="259"/>
      <c r="Y8326" s="259"/>
      <c r="Z8326" s="332"/>
      <c r="AA8326" s="259"/>
      <c r="AB8326" s="259"/>
      <c r="AC8326" s="332"/>
      <c r="AD8326" s="259"/>
      <c r="AE8326" s="259"/>
      <c r="AF8326" s="332"/>
      <c r="AG8326" s="330"/>
      <c r="AJ8326" s="259"/>
      <c r="AK8326" s="259"/>
      <c r="AL8326" s="332"/>
    </row>
    <row r="8327" spans="14:38" hidden="1">
      <c r="N8327" s="302"/>
      <c r="O8327" s="303"/>
      <c r="P8327" s="285"/>
      <c r="Q8327" s="328"/>
      <c r="R8327" s="259"/>
      <c r="S8327" s="259"/>
      <c r="T8327" s="332"/>
      <c r="U8327" s="259"/>
      <c r="V8327" s="259"/>
      <c r="W8327" s="332"/>
      <c r="X8327" s="259"/>
      <c r="Y8327" s="259"/>
      <c r="Z8327" s="332"/>
      <c r="AA8327" s="259"/>
      <c r="AB8327" s="259"/>
      <c r="AC8327" s="332"/>
      <c r="AD8327" s="259"/>
      <c r="AE8327" s="259"/>
      <c r="AF8327" s="332"/>
      <c r="AG8327" s="330"/>
      <c r="AJ8327" s="259"/>
      <c r="AK8327" s="259"/>
      <c r="AL8327" s="332"/>
    </row>
    <row r="8328" spans="14:38" hidden="1">
      <c r="N8328" s="302"/>
      <c r="O8328" s="303"/>
      <c r="P8328" s="285"/>
      <c r="Q8328" s="328"/>
      <c r="R8328" s="259"/>
      <c r="S8328" s="259"/>
      <c r="T8328" s="332"/>
      <c r="U8328" s="259"/>
      <c r="V8328" s="259"/>
      <c r="W8328" s="332"/>
      <c r="X8328" s="259"/>
      <c r="Y8328" s="259"/>
      <c r="Z8328" s="332"/>
      <c r="AA8328" s="259"/>
      <c r="AB8328" s="259"/>
      <c r="AC8328" s="332"/>
      <c r="AD8328" s="259"/>
      <c r="AE8328" s="259"/>
      <c r="AF8328" s="332"/>
      <c r="AG8328" s="330"/>
      <c r="AJ8328" s="259"/>
      <c r="AK8328" s="259"/>
      <c r="AL8328" s="332"/>
    </row>
    <row r="8329" spans="14:38" hidden="1">
      <c r="N8329" s="302"/>
      <c r="O8329" s="303"/>
      <c r="P8329" s="285"/>
      <c r="Q8329" s="328"/>
      <c r="R8329" s="259"/>
      <c r="S8329" s="259"/>
      <c r="T8329" s="332"/>
      <c r="U8329" s="259"/>
      <c r="V8329" s="259"/>
      <c r="W8329" s="332"/>
      <c r="X8329" s="259"/>
      <c r="Y8329" s="259"/>
      <c r="Z8329" s="332"/>
      <c r="AA8329" s="259"/>
      <c r="AB8329" s="259"/>
      <c r="AC8329" s="332"/>
      <c r="AD8329" s="259"/>
      <c r="AE8329" s="259"/>
      <c r="AF8329" s="332"/>
      <c r="AG8329" s="330"/>
      <c r="AJ8329" s="259"/>
      <c r="AK8329" s="259"/>
      <c r="AL8329" s="332"/>
    </row>
    <row r="8330" spans="14:38" hidden="1">
      <c r="N8330" s="302"/>
      <c r="O8330" s="303"/>
      <c r="P8330" s="285"/>
      <c r="Q8330" s="328"/>
      <c r="R8330" s="259"/>
      <c r="S8330" s="259"/>
      <c r="T8330" s="332"/>
      <c r="U8330" s="259"/>
      <c r="V8330" s="259"/>
      <c r="W8330" s="332"/>
      <c r="X8330" s="259"/>
      <c r="Y8330" s="259"/>
      <c r="Z8330" s="332"/>
      <c r="AA8330" s="259"/>
      <c r="AB8330" s="259"/>
      <c r="AC8330" s="332"/>
      <c r="AD8330" s="259"/>
      <c r="AE8330" s="259"/>
      <c r="AF8330" s="332"/>
      <c r="AG8330" s="330"/>
      <c r="AJ8330" s="259"/>
      <c r="AK8330" s="259"/>
      <c r="AL8330" s="332"/>
    </row>
    <row r="8331" spans="14:38" hidden="1">
      <c r="N8331" s="302"/>
      <c r="O8331" s="303"/>
      <c r="P8331" s="285"/>
      <c r="Q8331" s="328"/>
      <c r="R8331" s="259"/>
      <c r="S8331" s="259"/>
      <c r="T8331" s="332"/>
      <c r="U8331" s="259"/>
      <c r="V8331" s="259"/>
      <c r="W8331" s="332"/>
      <c r="X8331" s="259"/>
      <c r="Y8331" s="259"/>
      <c r="Z8331" s="332"/>
      <c r="AA8331" s="259"/>
      <c r="AB8331" s="259"/>
      <c r="AC8331" s="332"/>
      <c r="AD8331" s="259"/>
      <c r="AE8331" s="259"/>
      <c r="AF8331" s="332"/>
      <c r="AG8331" s="330"/>
      <c r="AJ8331" s="259"/>
      <c r="AK8331" s="259"/>
      <c r="AL8331" s="332"/>
    </row>
    <row r="8332" spans="14:38" hidden="1">
      <c r="N8332" s="302"/>
      <c r="O8332" s="303"/>
      <c r="P8332" s="285"/>
      <c r="Q8332" s="328"/>
      <c r="R8332" s="259"/>
      <c r="S8332" s="259"/>
      <c r="T8332" s="332"/>
      <c r="U8332" s="259"/>
      <c r="V8332" s="259"/>
      <c r="W8332" s="332"/>
      <c r="X8332" s="259"/>
      <c r="Y8332" s="259"/>
      <c r="Z8332" s="332"/>
      <c r="AA8332" s="259"/>
      <c r="AB8332" s="259"/>
      <c r="AC8332" s="332"/>
      <c r="AD8332" s="259"/>
      <c r="AE8332" s="259"/>
      <c r="AF8332" s="332"/>
      <c r="AG8332" s="330"/>
      <c r="AJ8332" s="259"/>
      <c r="AK8332" s="259"/>
      <c r="AL8332" s="332"/>
    </row>
    <row r="8333" spans="14:38" hidden="1">
      <c r="N8333" s="302"/>
      <c r="O8333" s="303"/>
      <c r="P8333" s="285"/>
      <c r="Q8333" s="328"/>
      <c r="R8333" s="259"/>
      <c r="S8333" s="259"/>
      <c r="T8333" s="332"/>
      <c r="U8333" s="259"/>
      <c r="V8333" s="259"/>
      <c r="W8333" s="332"/>
      <c r="X8333" s="259"/>
      <c r="Y8333" s="259"/>
      <c r="Z8333" s="332"/>
      <c r="AA8333" s="259"/>
      <c r="AB8333" s="259"/>
      <c r="AC8333" s="332"/>
      <c r="AD8333" s="259"/>
      <c r="AE8333" s="259"/>
      <c r="AF8333" s="332"/>
      <c r="AG8333" s="330"/>
      <c r="AJ8333" s="259"/>
      <c r="AK8333" s="259"/>
      <c r="AL8333" s="332"/>
    </row>
    <row r="8334" spans="14:38" hidden="1">
      <c r="N8334" s="302"/>
      <c r="O8334" s="303"/>
      <c r="P8334" s="285"/>
      <c r="Q8334" s="328"/>
      <c r="R8334" s="259"/>
      <c r="S8334" s="259"/>
      <c r="T8334" s="332"/>
      <c r="U8334" s="259"/>
      <c r="V8334" s="259"/>
      <c r="W8334" s="332"/>
      <c r="X8334" s="259"/>
      <c r="Y8334" s="259"/>
      <c r="Z8334" s="332"/>
      <c r="AA8334" s="259"/>
      <c r="AB8334" s="259"/>
      <c r="AC8334" s="332"/>
      <c r="AD8334" s="259"/>
      <c r="AE8334" s="259"/>
      <c r="AF8334" s="332"/>
      <c r="AG8334" s="330"/>
      <c r="AJ8334" s="259"/>
      <c r="AK8334" s="259"/>
      <c r="AL8334" s="332"/>
    </row>
    <row r="8335" spans="14:38" hidden="1">
      <c r="N8335" s="302"/>
      <c r="O8335" s="303"/>
      <c r="P8335" s="285"/>
      <c r="Q8335" s="328"/>
      <c r="R8335" s="259"/>
      <c r="S8335" s="259"/>
      <c r="T8335" s="332"/>
      <c r="U8335" s="259"/>
      <c r="V8335" s="259"/>
      <c r="W8335" s="332"/>
      <c r="X8335" s="259"/>
      <c r="Y8335" s="259"/>
      <c r="Z8335" s="332"/>
      <c r="AA8335" s="259"/>
      <c r="AB8335" s="259"/>
      <c r="AC8335" s="332"/>
      <c r="AD8335" s="259"/>
      <c r="AE8335" s="259"/>
      <c r="AF8335" s="332"/>
      <c r="AG8335" s="330"/>
      <c r="AJ8335" s="259"/>
      <c r="AK8335" s="259"/>
      <c r="AL8335" s="332"/>
    </row>
    <row r="8336" spans="14:38">
      <c r="N8336" s="302"/>
      <c r="O8336" s="303"/>
      <c r="P8336" s="285"/>
      <c r="Q8336" s="328"/>
      <c r="R8336" s="259"/>
      <c r="S8336" s="259"/>
      <c r="T8336" s="332"/>
      <c r="U8336" s="259"/>
      <c r="V8336" s="259"/>
      <c r="W8336" s="332"/>
      <c r="X8336" s="259"/>
      <c r="Y8336" s="259"/>
      <c r="Z8336" s="332"/>
      <c r="AA8336" s="259"/>
      <c r="AB8336" s="259"/>
      <c r="AC8336" s="332"/>
      <c r="AD8336" s="259"/>
      <c r="AE8336" s="259"/>
      <c r="AF8336" s="332"/>
      <c r="AG8336" s="330"/>
      <c r="AJ8336" s="259"/>
      <c r="AK8336" s="259"/>
      <c r="AL8336" s="332"/>
    </row>
    <row r="8337" spans="14:40" ht="12" customHeight="1">
      <c r="N8337" s="283"/>
      <c r="O8337" s="215"/>
      <c r="P8337" s="286"/>
      <c r="Q8337" s="329"/>
      <c r="R8337" s="259"/>
      <c r="S8337" s="259"/>
      <c r="T8337" s="332"/>
      <c r="U8337" s="259"/>
      <c r="V8337" s="259"/>
      <c r="W8337" s="332"/>
      <c r="X8337" s="259"/>
      <c r="Y8337" s="259"/>
      <c r="Z8337" s="332"/>
      <c r="AA8337" s="259"/>
      <c r="AB8337" s="259"/>
      <c r="AC8337" s="332"/>
      <c r="AD8337" s="259"/>
      <c r="AE8337" s="259"/>
      <c r="AF8337" s="332"/>
      <c r="AG8337" s="331"/>
      <c r="AJ8337" s="259"/>
      <c r="AK8337" s="259"/>
      <c r="AL8337" s="332"/>
    </row>
    <row r="8338" spans="14:40">
      <c r="N8338" s="199"/>
      <c r="O8338" s="48"/>
      <c r="P8338" s="121"/>
      <c r="Q8338" s="54"/>
      <c r="R8338" s="54"/>
      <c r="S8338" s="54"/>
      <c r="U8338" s="54"/>
      <c r="V8338" s="54"/>
      <c r="X8338" s="54"/>
      <c r="Y8338" s="54"/>
      <c r="AA8338" s="54"/>
      <c r="AB8338" s="54"/>
      <c r="AD8338" s="54"/>
      <c r="AE8338" s="54"/>
      <c r="AG8338" s="54"/>
      <c r="AJ8338" s="54"/>
      <c r="AK8338" s="54"/>
    </row>
    <row r="8339" spans="14:40" ht="26.25" customHeight="1">
      <c r="R8339"/>
      <c r="S8339"/>
      <c r="T8339"/>
      <c r="U8339" s="815" t="s">
        <v>530</v>
      </c>
      <c r="V8339" s="815"/>
      <c r="W8339" s="815"/>
      <c r="X8339" s="815" t="s">
        <v>531</v>
      </c>
      <c r="Y8339" s="815"/>
      <c r="Z8339" s="815"/>
      <c r="AA8339" s="815" t="s">
        <v>532</v>
      </c>
      <c r="AB8339" s="815"/>
      <c r="AC8339" s="815"/>
      <c r="AD8339" s="815" t="s">
        <v>533</v>
      </c>
      <c r="AE8339" s="815"/>
      <c r="AF8339" s="815"/>
      <c r="AJ8339" s="815" t="s">
        <v>534</v>
      </c>
      <c r="AK8339" s="815"/>
      <c r="AL8339" s="815"/>
    </row>
    <row r="8350" spans="14:40">
      <c r="R8350" s="795" t="s">
        <v>535</v>
      </c>
      <c r="S8350" s="795"/>
      <c r="T8350" s="795"/>
      <c r="U8350"/>
      <c r="V8350"/>
      <c r="W8350"/>
      <c r="X8350"/>
      <c r="Y8350"/>
      <c r="Z8350"/>
      <c r="AA8350"/>
      <c r="AB8350"/>
      <c r="AC8350"/>
      <c r="AD8350"/>
      <c r="AE8350"/>
      <c r="AF8350"/>
      <c r="AG8350"/>
      <c r="AH8350"/>
      <c r="AI8350"/>
      <c r="AJ8350"/>
      <c r="AK8350"/>
      <c r="AL8350"/>
      <c r="AM8350"/>
      <c r="AN8350"/>
    </row>
    <row r="8351" spans="14:40">
      <c r="Q8351" s="316"/>
      <c r="R8351" s="795" t="s">
        <v>536</v>
      </c>
      <c r="S8351" s="795"/>
      <c r="T8351" s="795"/>
      <c r="U8351" s="795" t="s">
        <v>537</v>
      </c>
      <c r="V8351" s="795"/>
      <c r="W8351" s="795"/>
      <c r="X8351" s="795" t="s">
        <v>538</v>
      </c>
      <c r="Y8351" s="795"/>
      <c r="Z8351" s="795"/>
      <c r="AA8351" s="795" t="s">
        <v>539</v>
      </c>
      <c r="AB8351" s="795"/>
      <c r="AC8351" s="795"/>
      <c r="AD8351"/>
      <c r="AE8351"/>
      <c r="AF8351"/>
      <c r="AG8351"/>
      <c r="AH8351"/>
      <c r="AI8351"/>
      <c r="AJ8351"/>
      <c r="AK8351"/>
      <c r="AL8351"/>
      <c r="AM8351"/>
      <c r="AN8351"/>
    </row>
    <row r="8352" spans="14:40" ht="11.25" customHeight="1">
      <c r="N8352" s="430"/>
      <c r="O8352" s="315"/>
      <c r="P8352" s="309"/>
      <c r="Q8352" s="311"/>
      <c r="R8352" s="624"/>
      <c r="S8352" s="624"/>
      <c r="T8352" s="624"/>
      <c r="U8352" s="624"/>
      <c r="V8352" s="624"/>
      <c r="W8352" s="624"/>
      <c r="X8352" s="624"/>
      <c r="Y8352" s="624"/>
      <c r="Z8352" s="624"/>
      <c r="AA8352" s="624"/>
      <c r="AB8352" s="624"/>
      <c r="AC8352" s="624"/>
      <c r="AD8352"/>
      <c r="AE8352"/>
      <c r="AF8352"/>
      <c r="AG8352"/>
      <c r="AH8352"/>
      <c r="AI8352"/>
      <c r="AJ8352"/>
      <c r="AK8352"/>
      <c r="AL8352"/>
      <c r="AM8352"/>
      <c r="AN8352"/>
    </row>
    <row r="8353" spans="1:40" ht="11.25" customHeight="1">
      <c r="N8353" s="811"/>
      <c r="O8353" s="812"/>
      <c r="P8353" s="813"/>
      <c r="Q8353" s="317"/>
      <c r="R8353" s="625" t="str">
        <f>R8355 &amp; ".1"</f>
        <v>.1</v>
      </c>
      <c r="S8353" s="625" t="str">
        <f>R8355 &amp; ".2"</f>
        <v>.2</v>
      </c>
      <c r="T8353" s="625" t="str">
        <f>R8355 &amp; ".0"</f>
        <v>.0</v>
      </c>
      <c r="U8353" s="625" t="str">
        <f>U8355 &amp; ".1"</f>
        <v>.1</v>
      </c>
      <c r="V8353" s="625" t="str">
        <f>U8355 &amp; ".2"</f>
        <v>.2</v>
      </c>
      <c r="W8353" s="625" t="str">
        <f>U8355 &amp; ".0"</f>
        <v>.0</v>
      </c>
      <c r="X8353" s="625" t="str">
        <f>X8355 &amp; ".1"</f>
        <v>.1</v>
      </c>
      <c r="Y8353" s="625" t="str">
        <f>X8355 &amp; ".2"</f>
        <v>.2</v>
      </c>
      <c r="Z8353" s="625" t="str">
        <f>X8355 &amp; ".0"</f>
        <v>.0</v>
      </c>
      <c r="AA8353" s="625" t="str">
        <f>AA8355 &amp; ".1"</f>
        <v>.1</v>
      </c>
      <c r="AB8353" s="625" t="str">
        <f>AA8355 &amp; ".2"</f>
        <v>.2</v>
      </c>
      <c r="AC8353" s="625" t="str">
        <f>AA8355 &amp; ".0"</f>
        <v>.0</v>
      </c>
      <c r="AD8353"/>
      <c r="AE8353"/>
      <c r="AF8353"/>
      <c r="AG8353"/>
      <c r="AH8353"/>
      <c r="AI8353"/>
      <c r="AN8353"/>
    </row>
    <row r="8354" spans="1:40" ht="11.25" customHeight="1">
      <c r="N8354" s="430"/>
      <c r="O8354" s="221"/>
      <c r="P8354" s="122" t="s">
        <v>786</v>
      </c>
      <c r="Q8354" s="201"/>
      <c r="R8354" s="814" t="s">
        <v>719</v>
      </c>
      <c r="S8354" s="814"/>
      <c r="T8354" s="814"/>
      <c r="U8354" s="814" t="s">
        <v>719</v>
      </c>
      <c r="V8354" s="814"/>
      <c r="W8354" s="814"/>
      <c r="X8354" s="814" t="s">
        <v>719</v>
      </c>
      <c r="Y8354" s="814"/>
      <c r="Z8354" s="814"/>
      <c r="AA8354" s="814" t="s">
        <v>719</v>
      </c>
      <c r="AB8354" s="814"/>
      <c r="AC8354" s="814"/>
      <c r="AD8354"/>
      <c r="AE8354"/>
      <c r="AF8354"/>
      <c r="AG8354"/>
      <c r="AH8354"/>
      <c r="AI8354"/>
      <c r="AN8354"/>
    </row>
    <row r="8355" spans="1:40" ht="11.25" customHeight="1">
      <c r="N8355" s="802" t="s">
        <v>641</v>
      </c>
      <c r="O8355" s="804" t="s">
        <v>787</v>
      </c>
      <c r="P8355" s="806" t="s">
        <v>778</v>
      </c>
      <c r="Q8355" s="206">
        <v>0</v>
      </c>
      <c r="R8355" s="808"/>
      <c r="S8355" s="809"/>
      <c r="T8355" s="810"/>
      <c r="U8355" s="808"/>
      <c r="V8355" s="809"/>
      <c r="W8355" s="810"/>
      <c r="X8355" s="808"/>
      <c r="Y8355" s="809"/>
      <c r="Z8355" s="810"/>
      <c r="AA8355" s="808"/>
      <c r="AB8355" s="809"/>
      <c r="AC8355" s="810"/>
      <c r="AD8355"/>
      <c r="AE8355"/>
      <c r="AF8355"/>
      <c r="AG8355"/>
      <c r="AH8355"/>
      <c r="AI8355"/>
      <c r="AJ8355"/>
      <c r="AK8355"/>
      <c r="AL8355"/>
      <c r="AM8355"/>
      <c r="AN8355"/>
    </row>
    <row r="8356" spans="1:40" ht="12" customHeight="1">
      <c r="N8356" s="803"/>
      <c r="O8356" s="805"/>
      <c r="P8356" s="807"/>
      <c r="Q8356" s="207"/>
      <c r="R8356" s="796"/>
      <c r="S8356" s="797"/>
      <c r="T8356" s="798"/>
      <c r="U8356" s="796"/>
      <c r="V8356" s="797"/>
      <c r="W8356" s="798"/>
      <c r="X8356" s="796"/>
      <c r="Y8356" s="797"/>
      <c r="Z8356" s="798"/>
      <c r="AA8356" s="796"/>
      <c r="AB8356" s="797"/>
      <c r="AC8356" s="798"/>
      <c r="AD8356"/>
      <c r="AE8356"/>
      <c r="AF8356"/>
      <c r="AG8356"/>
      <c r="AH8356"/>
      <c r="AI8356"/>
      <c r="AJ8356"/>
      <c r="AK8356"/>
      <c r="AL8356"/>
      <c r="AM8356"/>
      <c r="AN8356"/>
    </row>
    <row r="8357" spans="1:40" ht="12" customHeight="1">
      <c r="N8357" s="222"/>
      <c r="O8357" s="501" t="s">
        <v>788</v>
      </c>
      <c r="P8357" s="542"/>
      <c r="Q8357" s="207"/>
      <c r="R8357" s="799"/>
      <c r="S8357" s="800"/>
      <c r="T8357" s="801"/>
      <c r="U8357" s="799"/>
      <c r="V8357" s="800"/>
      <c r="W8357" s="801"/>
      <c r="X8357" s="799"/>
      <c r="Y8357" s="800"/>
      <c r="Z8357" s="801"/>
      <c r="AA8357" s="799"/>
      <c r="AB8357" s="800"/>
      <c r="AC8357" s="801"/>
      <c r="AD8357"/>
      <c r="AE8357"/>
      <c r="AF8357"/>
      <c r="AG8357"/>
      <c r="AH8357"/>
      <c r="AI8357"/>
      <c r="AJ8357"/>
      <c r="AK8357"/>
      <c r="AL8357"/>
      <c r="AM8357"/>
      <c r="AN8357"/>
    </row>
    <row r="8358" spans="1:40" ht="12" customHeight="1">
      <c r="N8358" s="222"/>
      <c r="O8358" s="556" t="str">
        <f>IF(CALC_IDENTIFIER="","",CALC_IDENTIFIER)</f>
        <v/>
      </c>
      <c r="P8358" s="557" t="s">
        <v>745</v>
      </c>
      <c r="Q8358" s="328"/>
      <c r="R8358" s="568"/>
      <c r="S8358" s="568"/>
      <c r="T8358" s="568"/>
      <c r="U8358" s="568"/>
      <c r="V8358" s="568" t="s">
        <v>349</v>
      </c>
      <c r="W8358" s="568" t="s">
        <v>745</v>
      </c>
      <c r="X8358" s="569" t="s">
        <v>350</v>
      </c>
      <c r="Y8358" s="568"/>
      <c r="Z8358" s="568" t="s">
        <v>745</v>
      </c>
      <c r="AA8358" s="569" t="s">
        <v>350</v>
      </c>
      <c r="AB8358" s="568" t="s">
        <v>349</v>
      </c>
      <c r="AC8358" s="568" t="s">
        <v>745</v>
      </c>
      <c r="AD8358"/>
      <c r="AE8358"/>
      <c r="AF8358"/>
      <c r="AG8358"/>
      <c r="AH8358"/>
      <c r="AI8358"/>
      <c r="AJ8358"/>
      <c r="AK8358"/>
      <c r="AL8358"/>
      <c r="AM8358"/>
      <c r="AN8358"/>
    </row>
    <row r="8359" spans="1:40" s="47" customFormat="1">
      <c r="A8359" s="121"/>
      <c r="B8359" s="121"/>
      <c r="C8359" s="121"/>
      <c r="D8359" s="121"/>
      <c r="E8359" s="121"/>
      <c r="F8359" s="121"/>
      <c r="G8359" s="121"/>
      <c r="H8359" s="121"/>
      <c r="I8359" s="121"/>
      <c r="J8359" s="121"/>
      <c r="K8359" s="121"/>
      <c r="L8359" s="121"/>
      <c r="M8359" s="121"/>
      <c r="N8359" s="504"/>
      <c r="O8359" s="566"/>
      <c r="P8359" s="255"/>
      <c r="Q8359" s="321"/>
      <c r="R8359" s="567"/>
      <c r="S8359" s="567"/>
      <c r="T8359" s="567"/>
      <c r="U8359" s="567"/>
      <c r="V8359" s="567"/>
      <c r="W8359" s="567"/>
      <c r="X8359" s="567"/>
      <c r="Y8359" s="567"/>
      <c r="Z8359" s="567"/>
      <c r="AA8359" s="567"/>
      <c r="AB8359" s="567"/>
      <c r="AC8359" s="567"/>
      <c r="AD8359"/>
      <c r="AE8359"/>
      <c r="AF8359"/>
      <c r="AG8359"/>
      <c r="AH8359"/>
      <c r="AI8359"/>
      <c r="AJ8359"/>
      <c r="AK8359"/>
      <c r="AL8359"/>
      <c r="AM8359"/>
      <c r="AN8359"/>
    </row>
    <row r="8360" spans="1:40" s="47" customFormat="1">
      <c r="A8360" s="121"/>
      <c r="B8360" s="121"/>
      <c r="C8360" s="121"/>
      <c r="D8360" s="121"/>
      <c r="E8360" s="121"/>
      <c r="F8360" s="121"/>
      <c r="G8360" s="121"/>
      <c r="H8360" s="121"/>
      <c r="I8360" s="121"/>
      <c r="J8360" s="121"/>
      <c r="K8360" s="121"/>
      <c r="L8360" s="121"/>
      <c r="M8360" s="121"/>
      <c r="N8360" s="504"/>
      <c r="O8360" s="527"/>
      <c r="P8360" s="255"/>
      <c r="Q8360" s="321"/>
      <c r="R8360" s="553"/>
      <c r="S8360" s="553"/>
      <c r="T8360" s="553"/>
      <c r="U8360" s="553"/>
      <c r="V8360" s="553"/>
      <c r="W8360" s="553"/>
      <c r="X8360" s="553"/>
      <c r="Y8360" s="553"/>
      <c r="Z8360" s="553"/>
      <c r="AA8360" s="553"/>
      <c r="AB8360" s="553"/>
      <c r="AC8360" s="553"/>
      <c r="AD8360"/>
      <c r="AE8360"/>
      <c r="AF8360"/>
      <c r="AG8360"/>
      <c r="AH8360"/>
      <c r="AI8360"/>
      <c r="AJ8360"/>
      <c r="AK8360"/>
      <c r="AL8360"/>
      <c r="AM8360"/>
      <c r="AN8360"/>
    </row>
    <row r="8361" spans="1:40" s="47" customFormat="1">
      <c r="A8361" s="121"/>
      <c r="B8361" s="121"/>
      <c r="C8361" s="121"/>
      <c r="D8361" s="121"/>
      <c r="E8361" s="121"/>
      <c r="F8361" s="121"/>
      <c r="G8361" s="121"/>
      <c r="H8361" s="121"/>
      <c r="I8361" s="121"/>
      <c r="J8361" s="121"/>
      <c r="K8361" s="121"/>
      <c r="L8361" s="121"/>
      <c r="M8361" s="121"/>
      <c r="N8361" s="504" t="s">
        <v>751</v>
      </c>
      <c r="O8361" s="526" t="s">
        <v>2814</v>
      </c>
      <c r="P8361" s="257"/>
      <c r="Q8361" s="321"/>
      <c r="R8361" s="260"/>
      <c r="S8361" s="260"/>
      <c r="T8361" s="260"/>
      <c r="U8361" s="260"/>
      <c r="V8361" s="257">
        <f>V8362+V8391+V8392+V8393+V8397+V8398+V8399+V8424+V8430+V8434+V8435+V8436+V8437+V8440+V8441+V8442+V8443+V8453</f>
        <v>0</v>
      </c>
      <c r="W8361" s="548">
        <f>U8361+V8361</f>
        <v>0</v>
      </c>
      <c r="X8361" s="257">
        <f>X8362+X8391+X8392+X8393+X8397+X8398+X8399+X8424+X8430+X8434+X8435+X8436+X8437+X8440+X8441+X8442+X8443+X8453</f>
        <v>0</v>
      </c>
      <c r="Y8361" s="260"/>
      <c r="Z8361" s="548">
        <f>X8361+Y8361</f>
        <v>0</v>
      </c>
      <c r="AA8361" s="257">
        <f>AA8362+AA8391+AA8392+AA8393+AA8397+AA8398+AA8399+AA8424+AA8430+AA8434+AA8435+AA8436+AA8437+AA8440+AA8441+AA8442+AA8443+AA8453</f>
        <v>0</v>
      </c>
      <c r="AB8361" s="257">
        <f>AB8362+AB8391+AB8392+AB8393+AB8397+AB8398+AB8399+AB8424+AB8430+AB8434+AB8435+AB8436+AB8437+AB8440+AB8441+AB8442+AB8443+AB8453</f>
        <v>0</v>
      </c>
      <c r="AC8361" s="548">
        <f>AA8361+AB8361</f>
        <v>0</v>
      </c>
      <c r="AD8361"/>
      <c r="AE8361"/>
      <c r="AF8361"/>
      <c r="AG8361"/>
      <c r="AH8361"/>
      <c r="AI8361"/>
      <c r="AJ8361"/>
      <c r="AK8361"/>
      <c r="AL8361"/>
      <c r="AM8361"/>
      <c r="AN8361"/>
    </row>
    <row r="8362" spans="1:40" s="47" customFormat="1">
      <c r="A8362" s="121"/>
      <c r="B8362" s="121"/>
      <c r="C8362" s="121"/>
      <c r="D8362" s="121"/>
      <c r="E8362" s="121"/>
      <c r="F8362" s="121"/>
      <c r="G8362" s="121"/>
      <c r="H8362" s="121"/>
      <c r="I8362" s="121"/>
      <c r="J8362" s="121"/>
      <c r="K8362" s="121"/>
      <c r="L8362" s="121"/>
      <c r="M8362" s="121"/>
      <c r="N8362" s="504" t="s">
        <v>66</v>
      </c>
      <c r="O8362" s="527" t="s">
        <v>2815</v>
      </c>
      <c r="P8362" s="257"/>
      <c r="Q8362" s="321"/>
      <c r="R8362" s="260"/>
      <c r="S8362" s="260"/>
      <c r="T8362" s="260"/>
      <c r="U8362" s="260"/>
      <c r="V8362" s="257">
        <f>V8363+V8390</f>
        <v>0</v>
      </c>
      <c r="W8362" s="548">
        <f>U8362+V8362</f>
        <v>0</v>
      </c>
      <c r="X8362" s="257">
        <f>X8363+X8390</f>
        <v>0</v>
      </c>
      <c r="Y8362" s="260"/>
      <c r="Z8362" s="548">
        <f>X8362+Y8362</f>
        <v>0</v>
      </c>
      <c r="AA8362" s="257">
        <f>AA8363+AA8390</f>
        <v>0</v>
      </c>
      <c r="AB8362" s="257">
        <f>AB8363+AB8390</f>
        <v>0</v>
      </c>
      <c r="AC8362" s="548">
        <f>AA8362+AB8362</f>
        <v>0</v>
      </c>
      <c r="AD8362"/>
      <c r="AE8362"/>
      <c r="AF8362"/>
      <c r="AG8362"/>
      <c r="AH8362"/>
      <c r="AI8362"/>
      <c r="AJ8362"/>
      <c r="AK8362"/>
      <c r="AL8362"/>
      <c r="AM8362"/>
      <c r="AN8362"/>
    </row>
    <row r="8363" spans="1:40" s="47" customFormat="1">
      <c r="A8363" s="121"/>
      <c r="B8363" s="121"/>
      <c r="C8363" s="121"/>
      <c r="D8363" s="121"/>
      <c r="E8363" s="121"/>
      <c r="F8363" s="121"/>
      <c r="G8363" s="121"/>
      <c r="H8363" s="121"/>
      <c r="I8363" s="121"/>
      <c r="J8363" s="121"/>
      <c r="K8363" s="121"/>
      <c r="L8363" s="121"/>
      <c r="M8363" s="121"/>
      <c r="N8363" s="504" t="s">
        <v>632</v>
      </c>
      <c r="O8363" s="528" t="s">
        <v>2816</v>
      </c>
      <c r="P8363" s="257"/>
      <c r="Q8363" s="321"/>
      <c r="R8363" s="260"/>
      <c r="S8363" s="260"/>
      <c r="T8363" s="260"/>
      <c r="U8363" s="260"/>
      <c r="V8363" s="261"/>
      <c r="W8363" s="548">
        <f>U8363+V8363</f>
        <v>0</v>
      </c>
      <c r="X8363" s="261"/>
      <c r="Y8363" s="260"/>
      <c r="Z8363" s="548">
        <f>X8363+Y8363</f>
        <v>0</v>
      </c>
      <c r="AA8363" s="261"/>
      <c r="AB8363" s="261"/>
      <c r="AC8363" s="548">
        <f>AA8363+AB8363</f>
        <v>0</v>
      </c>
      <c r="AD8363"/>
      <c r="AE8363"/>
      <c r="AF8363"/>
      <c r="AG8363"/>
      <c r="AH8363"/>
      <c r="AI8363"/>
      <c r="AJ8363"/>
      <c r="AK8363"/>
      <c r="AL8363"/>
      <c r="AM8363"/>
      <c r="AN8363"/>
    </row>
    <row r="8364" spans="1:40" s="47" customFormat="1">
      <c r="A8364" s="121"/>
      <c r="B8364" s="121"/>
      <c r="C8364" s="121"/>
      <c r="D8364" s="121"/>
      <c r="E8364" s="121"/>
      <c r="F8364" s="121"/>
      <c r="G8364" s="121"/>
      <c r="H8364" s="121"/>
      <c r="I8364" s="121"/>
      <c r="J8364" s="121"/>
      <c r="K8364" s="121"/>
      <c r="L8364" s="121"/>
      <c r="M8364" s="121"/>
      <c r="N8364" s="223" t="s">
        <v>2817</v>
      </c>
      <c r="O8364" s="529" t="s">
        <v>2972</v>
      </c>
      <c r="P8364" s="257"/>
      <c r="Q8364" s="321"/>
      <c r="R8364" s="260"/>
      <c r="S8364" s="260"/>
      <c r="T8364" s="260"/>
      <c r="U8364" s="260"/>
      <c r="V8364" s="261"/>
      <c r="W8364" s="548">
        <f>U8364+V8364</f>
        <v>0</v>
      </c>
      <c r="X8364" s="261"/>
      <c r="Y8364" s="260"/>
      <c r="Z8364" s="548">
        <f>X8364+Y8364</f>
        <v>0</v>
      </c>
      <c r="AA8364" s="261"/>
      <c r="AB8364" s="261"/>
      <c r="AC8364" s="548">
        <f>AA8364+AB8364</f>
        <v>0</v>
      </c>
      <c r="AD8364" s="57"/>
      <c r="AE8364" s="57"/>
      <c r="AF8364" s="57"/>
      <c r="AG8364" s="57"/>
      <c r="AH8364" s="57"/>
      <c r="AI8364" s="57"/>
      <c r="AJ8364" s="57"/>
      <c r="AK8364" s="57"/>
      <c r="AL8364" s="57"/>
      <c r="AM8364" s="385"/>
      <c r="AN8364"/>
    </row>
    <row r="8365" spans="1:40" s="47" customFormat="1">
      <c r="A8365" s="121"/>
      <c r="B8365" s="121"/>
      <c r="C8365" s="121"/>
      <c r="D8365" s="121"/>
      <c r="E8365" s="121"/>
      <c r="F8365" s="121"/>
      <c r="G8365" s="121"/>
      <c r="H8365" s="121"/>
      <c r="I8365" s="121"/>
      <c r="J8365" s="121"/>
      <c r="K8365" s="121"/>
      <c r="L8365" s="121"/>
      <c r="M8365" s="121"/>
      <c r="N8365" s="223" t="s">
        <v>2818</v>
      </c>
      <c r="O8365" s="529" t="s">
        <v>2988</v>
      </c>
      <c r="P8365" s="257"/>
      <c r="Q8365" s="321"/>
      <c r="R8365" s="260"/>
      <c r="S8365" s="260"/>
      <c r="T8365" s="260"/>
      <c r="U8365" s="260"/>
      <c r="V8365" s="261"/>
      <c r="W8365" s="548">
        <f>U8365+V8365</f>
        <v>0</v>
      </c>
      <c r="X8365" s="261"/>
      <c r="Y8365" s="260"/>
      <c r="Z8365" s="548">
        <f>X8365+Y8365</f>
        <v>0</v>
      </c>
      <c r="AA8365" s="261"/>
      <c r="AB8365" s="261"/>
      <c r="AC8365" s="548">
        <f>AA8365+AB8365</f>
        <v>0</v>
      </c>
      <c r="AD8365" s="57"/>
      <c r="AE8365" s="57"/>
      <c r="AF8365" s="57"/>
      <c r="AG8365" s="57"/>
      <c r="AH8365" s="57"/>
      <c r="AI8365" s="57"/>
      <c r="AJ8365" s="57"/>
      <c r="AK8365" s="57"/>
      <c r="AL8365" s="57"/>
      <c r="AM8365" s="385"/>
      <c r="AN8365"/>
    </row>
    <row r="8366" spans="1:40" s="47" customFormat="1">
      <c r="A8366" s="121"/>
      <c r="B8366" s="121"/>
      <c r="C8366" s="121"/>
      <c r="D8366" s="121"/>
      <c r="E8366" s="121"/>
      <c r="F8366" s="121"/>
      <c r="G8366" s="121"/>
      <c r="H8366" s="121"/>
      <c r="I8366" s="121"/>
      <c r="J8366" s="121"/>
      <c r="K8366" s="121"/>
      <c r="L8366" s="121"/>
      <c r="M8366" s="121"/>
      <c r="N8366" s="223"/>
      <c r="O8366" s="529"/>
      <c r="P8366" s="260"/>
      <c r="Q8366" s="321"/>
      <c r="R8366" s="260"/>
      <c r="S8366" s="260"/>
      <c r="T8366" s="260"/>
      <c r="U8366" s="260"/>
      <c r="V8366" s="260"/>
      <c r="W8366" s="260"/>
      <c r="X8366" s="260"/>
      <c r="Y8366" s="260"/>
      <c r="Z8366" s="260"/>
      <c r="AA8366" s="260"/>
      <c r="AB8366" s="260"/>
      <c r="AC8366" s="260"/>
      <c r="AD8366" s="57"/>
      <c r="AE8366" s="57"/>
      <c r="AF8366" s="57"/>
      <c r="AG8366" s="57"/>
      <c r="AH8366" s="57"/>
      <c r="AI8366" s="57"/>
      <c r="AJ8366" s="57"/>
      <c r="AK8366" s="57"/>
      <c r="AL8366" s="57"/>
      <c r="AM8366" s="385"/>
      <c r="AN8366"/>
    </row>
    <row r="8367" spans="1:40" s="47" customFormat="1" hidden="1">
      <c r="A8367" s="121"/>
      <c r="B8367" s="121"/>
      <c r="C8367" s="121"/>
      <c r="D8367" s="121"/>
      <c r="E8367" s="121"/>
      <c r="F8367" s="121"/>
      <c r="G8367" s="121"/>
      <c r="H8367" s="121"/>
      <c r="I8367" s="121"/>
      <c r="J8367" s="121"/>
      <c r="K8367" s="121"/>
      <c r="L8367" s="121"/>
      <c r="M8367" s="121"/>
      <c r="N8367" s="524"/>
      <c r="O8367" s="530"/>
      <c r="P8367" s="255"/>
      <c r="Q8367" s="321"/>
      <c r="R8367" s="260"/>
      <c r="S8367" s="260"/>
      <c r="T8367" s="260"/>
      <c r="U8367" s="260"/>
      <c r="V8367" s="260"/>
      <c r="W8367" s="260"/>
      <c r="X8367" s="260"/>
      <c r="Y8367" s="260"/>
      <c r="Z8367" s="260"/>
      <c r="AA8367" s="260"/>
      <c r="AB8367" s="260"/>
      <c r="AC8367" s="260"/>
      <c r="AD8367" s="57"/>
      <c r="AE8367" s="57"/>
      <c r="AF8367" s="57"/>
      <c r="AG8367" s="57"/>
      <c r="AH8367" s="57"/>
      <c r="AI8367" s="57"/>
      <c r="AJ8367" s="57"/>
      <c r="AK8367" s="57"/>
      <c r="AL8367" s="57"/>
      <c r="AM8367" s="385"/>
      <c r="AN8367"/>
    </row>
    <row r="8368" spans="1:40" s="47" customFormat="1" hidden="1">
      <c r="A8368" s="121"/>
      <c r="B8368" s="121"/>
      <c r="C8368" s="121"/>
      <c r="D8368" s="121"/>
      <c r="E8368" s="121"/>
      <c r="F8368" s="121"/>
      <c r="G8368" s="121"/>
      <c r="H8368" s="121"/>
      <c r="I8368" s="121"/>
      <c r="J8368" s="121"/>
      <c r="K8368" s="121"/>
      <c r="L8368" s="121"/>
      <c r="M8368" s="121"/>
      <c r="N8368" s="524"/>
      <c r="O8368" s="530"/>
      <c r="P8368" s="260"/>
      <c r="Q8368" s="321"/>
      <c r="R8368" s="260"/>
      <c r="S8368" s="260"/>
      <c r="T8368" s="260"/>
      <c r="U8368" s="260"/>
      <c r="V8368" s="260"/>
      <c r="W8368" s="260"/>
      <c r="X8368" s="260"/>
      <c r="Y8368" s="260"/>
      <c r="Z8368" s="260"/>
      <c r="AA8368" s="260"/>
      <c r="AB8368" s="260"/>
      <c r="AC8368" s="260"/>
      <c r="AD8368" s="57"/>
      <c r="AE8368" s="57"/>
      <c r="AF8368" s="57"/>
      <c r="AG8368" s="57"/>
      <c r="AH8368" s="57"/>
      <c r="AI8368" s="57"/>
      <c r="AJ8368" s="57"/>
      <c r="AK8368" s="57"/>
      <c r="AL8368" s="57"/>
      <c r="AM8368" s="385"/>
      <c r="AN8368"/>
    </row>
    <row r="8369" spans="1:40" s="47" customFormat="1" hidden="1">
      <c r="A8369" s="121"/>
      <c r="B8369" s="121"/>
      <c r="C8369" s="121"/>
      <c r="D8369" s="121"/>
      <c r="E8369" s="121"/>
      <c r="F8369" s="121"/>
      <c r="G8369" s="121"/>
      <c r="H8369" s="121"/>
      <c r="I8369" s="121"/>
      <c r="J8369" s="121"/>
      <c r="K8369" s="121"/>
      <c r="L8369" s="121"/>
      <c r="M8369" s="121"/>
      <c r="N8369" s="223"/>
      <c r="O8369" s="531"/>
      <c r="P8369" s="260"/>
      <c r="Q8369" s="321"/>
      <c r="R8369" s="260"/>
      <c r="S8369" s="260"/>
      <c r="T8369" s="260"/>
      <c r="U8369" s="260"/>
      <c r="V8369" s="260"/>
      <c r="W8369" s="260"/>
      <c r="X8369" s="260"/>
      <c r="Y8369" s="260"/>
      <c r="Z8369" s="260"/>
      <c r="AA8369" s="260"/>
      <c r="AB8369" s="260"/>
      <c r="AC8369" s="260"/>
      <c r="AD8369" s="57"/>
      <c r="AE8369" s="57"/>
      <c r="AF8369" s="57"/>
      <c r="AG8369" s="57"/>
      <c r="AH8369" s="57"/>
      <c r="AI8369" s="57"/>
      <c r="AJ8369" s="57"/>
      <c r="AK8369" s="57"/>
      <c r="AL8369" s="57"/>
      <c r="AM8369" s="385"/>
      <c r="AN8369"/>
    </row>
    <row r="8370" spans="1:40" s="47" customFormat="1" hidden="1">
      <c r="A8370" s="121"/>
      <c r="B8370" s="121"/>
      <c r="C8370" s="121"/>
      <c r="D8370" s="121"/>
      <c r="E8370" s="121"/>
      <c r="F8370" s="121"/>
      <c r="G8370" s="121"/>
      <c r="H8370" s="121"/>
      <c r="I8370" s="121"/>
      <c r="J8370" s="121"/>
      <c r="K8370" s="121"/>
      <c r="L8370" s="121"/>
      <c r="M8370" s="121"/>
      <c r="N8370" s="524"/>
      <c r="O8370" s="530"/>
      <c r="P8370" s="255"/>
      <c r="Q8370" s="321"/>
      <c r="R8370" s="260"/>
      <c r="S8370" s="260"/>
      <c r="T8370" s="260"/>
      <c r="U8370" s="260"/>
      <c r="V8370" s="260"/>
      <c r="W8370" s="260"/>
      <c r="X8370" s="260"/>
      <c r="Y8370" s="260"/>
      <c r="Z8370" s="260"/>
      <c r="AA8370" s="260"/>
      <c r="AB8370" s="260"/>
      <c r="AC8370" s="260"/>
      <c r="AD8370" s="57"/>
      <c r="AE8370" s="57"/>
      <c r="AF8370" s="57"/>
      <c r="AG8370" s="57"/>
      <c r="AH8370" s="57"/>
      <c r="AI8370" s="57"/>
      <c r="AJ8370" s="57"/>
      <c r="AK8370" s="57"/>
      <c r="AL8370" s="57"/>
      <c r="AM8370" s="385"/>
      <c r="AN8370"/>
    </row>
    <row r="8371" spans="1:40" s="47" customFormat="1" hidden="1">
      <c r="A8371" s="121"/>
      <c r="B8371" s="121"/>
      <c r="C8371" s="121"/>
      <c r="D8371" s="121"/>
      <c r="E8371" s="121"/>
      <c r="F8371" s="121"/>
      <c r="G8371" s="121"/>
      <c r="H8371" s="121"/>
      <c r="I8371" s="121"/>
      <c r="J8371" s="121"/>
      <c r="K8371" s="121"/>
      <c r="L8371" s="121"/>
      <c r="M8371" s="121"/>
      <c r="N8371" s="524"/>
      <c r="O8371" s="530"/>
      <c r="P8371" s="260"/>
      <c r="Q8371" s="321"/>
      <c r="R8371" s="260"/>
      <c r="S8371" s="260"/>
      <c r="T8371" s="260"/>
      <c r="U8371" s="260"/>
      <c r="V8371" s="260"/>
      <c r="W8371" s="260"/>
      <c r="X8371" s="260"/>
      <c r="Y8371" s="260"/>
      <c r="Z8371" s="260"/>
      <c r="AA8371" s="260"/>
      <c r="AB8371" s="260"/>
      <c r="AC8371" s="260"/>
      <c r="AD8371" s="57"/>
      <c r="AE8371" s="57"/>
      <c r="AF8371" s="57"/>
      <c r="AG8371" s="57"/>
      <c r="AH8371" s="57"/>
      <c r="AI8371" s="57"/>
      <c r="AJ8371" s="57"/>
      <c r="AK8371" s="57"/>
      <c r="AL8371" s="57"/>
      <c r="AM8371" s="385"/>
      <c r="AN8371"/>
    </row>
    <row r="8372" spans="1:40" s="47" customFormat="1" hidden="1">
      <c r="A8372" s="121"/>
      <c r="B8372" s="121"/>
      <c r="C8372" s="121"/>
      <c r="D8372" s="121"/>
      <c r="E8372" s="121"/>
      <c r="F8372" s="121"/>
      <c r="G8372" s="121"/>
      <c r="H8372" s="121"/>
      <c r="I8372" s="121"/>
      <c r="J8372" s="121"/>
      <c r="K8372" s="121"/>
      <c r="L8372" s="121"/>
      <c r="M8372" s="121"/>
      <c r="N8372" s="223"/>
      <c r="O8372" s="529"/>
      <c r="P8372" s="260"/>
      <c r="Q8372" s="321"/>
      <c r="R8372" s="260"/>
      <c r="S8372" s="260"/>
      <c r="T8372" s="260"/>
      <c r="U8372" s="260"/>
      <c r="V8372" s="260"/>
      <c r="W8372" s="260"/>
      <c r="X8372" s="260"/>
      <c r="Y8372" s="260"/>
      <c r="Z8372" s="260"/>
      <c r="AA8372" s="260"/>
      <c r="AB8372" s="260"/>
      <c r="AC8372" s="260"/>
      <c r="AD8372" s="57"/>
      <c r="AE8372" s="57"/>
      <c r="AF8372" s="57"/>
      <c r="AG8372" s="57"/>
      <c r="AH8372" s="57"/>
      <c r="AI8372" s="57"/>
      <c r="AJ8372" s="57"/>
      <c r="AK8372" s="57"/>
      <c r="AL8372" s="57"/>
      <c r="AM8372" s="385"/>
      <c r="AN8372"/>
    </row>
    <row r="8373" spans="1:40" s="47" customFormat="1" hidden="1">
      <c r="A8373" s="121"/>
      <c r="B8373" s="121"/>
      <c r="C8373" s="121"/>
      <c r="D8373" s="121"/>
      <c r="E8373" s="121"/>
      <c r="F8373" s="121"/>
      <c r="G8373" s="121"/>
      <c r="H8373" s="121"/>
      <c r="I8373" s="121"/>
      <c r="J8373" s="121"/>
      <c r="K8373" s="121"/>
      <c r="L8373" s="121"/>
      <c r="M8373" s="121"/>
      <c r="N8373" s="524"/>
      <c r="O8373" s="530"/>
      <c r="P8373" s="255"/>
      <c r="Q8373" s="321"/>
      <c r="R8373" s="260"/>
      <c r="S8373" s="260"/>
      <c r="T8373" s="260"/>
      <c r="U8373" s="260"/>
      <c r="V8373" s="260"/>
      <c r="W8373" s="260"/>
      <c r="X8373" s="260"/>
      <c r="Y8373" s="260"/>
      <c r="Z8373" s="260"/>
      <c r="AA8373" s="260"/>
      <c r="AB8373" s="260"/>
      <c r="AC8373" s="260"/>
      <c r="AD8373" s="57"/>
      <c r="AE8373" s="57"/>
      <c r="AF8373" s="57"/>
      <c r="AG8373" s="57"/>
      <c r="AH8373" s="57"/>
      <c r="AI8373" s="57"/>
      <c r="AJ8373" s="57"/>
      <c r="AK8373" s="57"/>
      <c r="AL8373" s="57"/>
      <c r="AM8373" s="385"/>
      <c r="AN8373"/>
    </row>
    <row r="8374" spans="1:40" s="47" customFormat="1" hidden="1">
      <c r="A8374" s="121"/>
      <c r="B8374" s="121"/>
      <c r="C8374" s="121"/>
      <c r="D8374" s="121"/>
      <c r="E8374" s="121"/>
      <c r="F8374" s="121"/>
      <c r="G8374" s="121"/>
      <c r="H8374" s="121"/>
      <c r="I8374" s="121"/>
      <c r="J8374" s="121"/>
      <c r="K8374" s="121"/>
      <c r="L8374" s="121"/>
      <c r="M8374" s="121"/>
      <c r="N8374" s="524"/>
      <c r="O8374" s="530"/>
      <c r="P8374" s="260"/>
      <c r="Q8374" s="321"/>
      <c r="R8374" s="260"/>
      <c r="S8374" s="260"/>
      <c r="T8374" s="260"/>
      <c r="U8374" s="260"/>
      <c r="V8374" s="260"/>
      <c r="W8374" s="260"/>
      <c r="X8374" s="260"/>
      <c r="Y8374" s="260"/>
      <c r="Z8374" s="260"/>
      <c r="AA8374" s="260"/>
      <c r="AB8374" s="260"/>
      <c r="AC8374" s="260"/>
      <c r="AD8374" s="57"/>
      <c r="AE8374" s="57"/>
      <c r="AF8374" s="57"/>
      <c r="AG8374" s="57"/>
      <c r="AH8374" s="57"/>
      <c r="AI8374" s="57"/>
      <c r="AJ8374" s="57"/>
      <c r="AK8374" s="57"/>
      <c r="AL8374" s="57"/>
      <c r="AM8374" s="385"/>
      <c r="AN8374"/>
    </row>
    <row r="8375" spans="1:40" s="47" customFormat="1" hidden="1">
      <c r="A8375" s="121"/>
      <c r="B8375" s="121"/>
      <c r="C8375" s="121"/>
      <c r="D8375" s="121"/>
      <c r="E8375" s="121"/>
      <c r="F8375" s="121"/>
      <c r="G8375" s="121"/>
      <c r="H8375" s="121"/>
      <c r="I8375" s="121"/>
      <c r="J8375" s="121"/>
      <c r="K8375" s="121"/>
      <c r="L8375" s="121"/>
      <c r="M8375" s="121"/>
      <c r="N8375" s="223"/>
      <c r="O8375" s="531"/>
      <c r="P8375" s="260"/>
      <c r="Q8375" s="321"/>
      <c r="R8375" s="260"/>
      <c r="S8375" s="260"/>
      <c r="T8375" s="260"/>
      <c r="U8375" s="260"/>
      <c r="V8375" s="260"/>
      <c r="W8375" s="260"/>
      <c r="X8375" s="260"/>
      <c r="Y8375" s="260"/>
      <c r="Z8375" s="260"/>
      <c r="AA8375" s="260"/>
      <c r="AB8375" s="260"/>
      <c r="AC8375" s="260"/>
      <c r="AD8375" s="57"/>
      <c r="AE8375" s="57"/>
      <c r="AF8375" s="57"/>
      <c r="AG8375" s="57"/>
      <c r="AH8375" s="57"/>
      <c r="AI8375" s="57"/>
      <c r="AJ8375" s="57"/>
      <c r="AK8375" s="57"/>
      <c r="AL8375" s="57"/>
      <c r="AM8375" s="385"/>
      <c r="AN8375"/>
    </row>
    <row r="8376" spans="1:40" s="47" customFormat="1" hidden="1">
      <c r="A8376" s="121"/>
      <c r="B8376" s="121"/>
      <c r="C8376" s="121"/>
      <c r="D8376" s="121"/>
      <c r="E8376" s="121"/>
      <c r="F8376" s="121"/>
      <c r="G8376" s="121"/>
      <c r="H8376" s="121"/>
      <c r="I8376" s="121"/>
      <c r="J8376" s="121"/>
      <c r="K8376" s="121"/>
      <c r="L8376" s="121"/>
      <c r="M8376" s="121"/>
      <c r="N8376" s="524"/>
      <c r="O8376" s="530"/>
      <c r="P8376" s="255"/>
      <c r="Q8376" s="321"/>
      <c r="R8376" s="260"/>
      <c r="S8376" s="260"/>
      <c r="T8376" s="260"/>
      <c r="U8376" s="260"/>
      <c r="V8376" s="260"/>
      <c r="W8376" s="260"/>
      <c r="X8376" s="260"/>
      <c r="Y8376" s="260"/>
      <c r="Z8376" s="260"/>
      <c r="AA8376" s="260"/>
      <c r="AB8376" s="260"/>
      <c r="AC8376" s="260"/>
      <c r="AD8376" s="57"/>
      <c r="AE8376" s="57"/>
      <c r="AF8376" s="57"/>
      <c r="AG8376" s="57"/>
      <c r="AH8376" s="57"/>
      <c r="AI8376" s="57"/>
      <c r="AJ8376" s="57"/>
      <c r="AK8376" s="57"/>
      <c r="AL8376" s="57"/>
      <c r="AM8376" s="385"/>
      <c r="AN8376"/>
    </row>
    <row r="8377" spans="1:40" s="47" customFormat="1" hidden="1">
      <c r="A8377" s="121"/>
      <c r="B8377" s="121"/>
      <c r="C8377" s="121"/>
      <c r="D8377" s="121"/>
      <c r="E8377" s="121"/>
      <c r="F8377" s="121"/>
      <c r="G8377" s="121"/>
      <c r="H8377" s="121"/>
      <c r="I8377" s="121"/>
      <c r="J8377" s="121"/>
      <c r="K8377" s="121"/>
      <c r="L8377" s="121"/>
      <c r="M8377" s="121"/>
      <c r="N8377" s="524"/>
      <c r="O8377" s="530"/>
      <c r="P8377" s="260"/>
      <c r="Q8377" s="321"/>
      <c r="R8377" s="260"/>
      <c r="S8377" s="260"/>
      <c r="T8377" s="260"/>
      <c r="U8377" s="260"/>
      <c r="V8377" s="260"/>
      <c r="W8377" s="260"/>
      <c r="X8377" s="260"/>
      <c r="Y8377" s="260"/>
      <c r="Z8377" s="260"/>
      <c r="AA8377" s="260"/>
      <c r="AB8377" s="260"/>
      <c r="AC8377" s="260"/>
      <c r="AD8377" s="57"/>
      <c r="AE8377" s="57"/>
      <c r="AF8377" s="57"/>
      <c r="AG8377" s="57"/>
      <c r="AH8377" s="57"/>
      <c r="AI8377" s="57"/>
      <c r="AJ8377" s="57"/>
      <c r="AK8377" s="57"/>
      <c r="AL8377" s="57"/>
      <c r="AM8377" s="385"/>
      <c r="AN8377"/>
    </row>
    <row r="8378" spans="1:40" s="47" customFormat="1" hidden="1">
      <c r="A8378" s="121"/>
      <c r="B8378" s="121"/>
      <c r="C8378" s="121"/>
      <c r="D8378" s="121"/>
      <c r="E8378" s="121"/>
      <c r="F8378" s="121"/>
      <c r="G8378" s="121"/>
      <c r="H8378" s="121"/>
      <c r="I8378" s="121"/>
      <c r="J8378" s="121"/>
      <c r="K8378" s="121"/>
      <c r="L8378" s="121"/>
      <c r="M8378" s="121"/>
      <c r="N8378" s="223"/>
      <c r="O8378" s="529"/>
      <c r="P8378" s="260"/>
      <c r="Q8378" s="321"/>
      <c r="R8378" s="260"/>
      <c r="S8378" s="260"/>
      <c r="T8378" s="260"/>
      <c r="U8378" s="260"/>
      <c r="V8378" s="260"/>
      <c r="W8378" s="260"/>
      <c r="X8378" s="260"/>
      <c r="Y8378" s="260"/>
      <c r="Z8378" s="260"/>
      <c r="AA8378" s="260"/>
      <c r="AB8378" s="260"/>
      <c r="AC8378" s="260"/>
      <c r="AD8378" s="57"/>
      <c r="AE8378" s="57"/>
      <c r="AF8378" s="57"/>
      <c r="AG8378" s="57"/>
      <c r="AH8378" s="57"/>
      <c r="AI8378" s="57"/>
      <c r="AJ8378" s="57"/>
      <c r="AK8378" s="57"/>
      <c r="AL8378" s="57"/>
      <c r="AM8378" s="385"/>
      <c r="AN8378"/>
    </row>
    <row r="8379" spans="1:40" s="47" customFormat="1" hidden="1">
      <c r="A8379" s="121"/>
      <c r="B8379" s="121"/>
      <c r="C8379" s="121"/>
      <c r="D8379" s="121"/>
      <c r="E8379" s="121"/>
      <c r="F8379" s="121"/>
      <c r="G8379" s="121"/>
      <c r="H8379" s="121"/>
      <c r="I8379" s="121"/>
      <c r="J8379" s="121"/>
      <c r="K8379" s="121"/>
      <c r="L8379" s="121"/>
      <c r="M8379" s="121"/>
      <c r="N8379" s="524"/>
      <c r="O8379" s="530"/>
      <c r="P8379" s="255"/>
      <c r="Q8379" s="321"/>
      <c r="R8379" s="260"/>
      <c r="S8379" s="260"/>
      <c r="T8379" s="260"/>
      <c r="U8379" s="260"/>
      <c r="V8379" s="260"/>
      <c r="W8379" s="260"/>
      <c r="X8379" s="260"/>
      <c r="Y8379" s="260"/>
      <c r="Z8379" s="260"/>
      <c r="AA8379" s="260"/>
      <c r="AB8379" s="260"/>
      <c r="AC8379" s="260"/>
      <c r="AD8379" s="57"/>
      <c r="AE8379" s="57"/>
      <c r="AF8379" s="57"/>
      <c r="AG8379" s="57"/>
      <c r="AH8379" s="57"/>
      <c r="AI8379" s="57"/>
      <c r="AJ8379" s="57"/>
      <c r="AK8379" s="57"/>
      <c r="AL8379" s="57"/>
      <c r="AM8379" s="385"/>
      <c r="AN8379"/>
    </row>
    <row r="8380" spans="1:40" s="47" customFormat="1" hidden="1">
      <c r="A8380" s="121"/>
      <c r="B8380" s="121"/>
      <c r="C8380" s="121"/>
      <c r="D8380" s="121"/>
      <c r="E8380" s="121"/>
      <c r="F8380" s="121"/>
      <c r="G8380" s="121"/>
      <c r="H8380" s="121"/>
      <c r="I8380" s="121"/>
      <c r="J8380" s="121"/>
      <c r="K8380" s="121"/>
      <c r="L8380" s="121"/>
      <c r="M8380" s="121"/>
      <c r="N8380" s="524"/>
      <c r="O8380" s="530"/>
      <c r="P8380" s="260"/>
      <c r="Q8380" s="321"/>
      <c r="R8380" s="260"/>
      <c r="S8380" s="260"/>
      <c r="T8380" s="260"/>
      <c r="U8380" s="260"/>
      <c r="V8380" s="260"/>
      <c r="W8380" s="260"/>
      <c r="X8380" s="260"/>
      <c r="Y8380" s="260"/>
      <c r="Z8380" s="260"/>
      <c r="AA8380" s="260"/>
      <c r="AB8380" s="260"/>
      <c r="AC8380" s="260"/>
      <c r="AD8380" s="57"/>
      <c r="AE8380" s="57"/>
      <c r="AF8380" s="57"/>
      <c r="AG8380" s="57"/>
      <c r="AH8380" s="57"/>
      <c r="AI8380" s="57"/>
      <c r="AJ8380" s="57"/>
      <c r="AK8380" s="57"/>
      <c r="AL8380" s="57"/>
      <c r="AM8380" s="385"/>
      <c r="AN8380"/>
    </row>
    <row r="8381" spans="1:40" s="47" customFormat="1" hidden="1">
      <c r="A8381" s="121"/>
      <c r="B8381" s="121"/>
      <c r="C8381" s="121"/>
      <c r="D8381" s="121"/>
      <c r="E8381" s="121"/>
      <c r="F8381" s="121"/>
      <c r="G8381" s="121"/>
      <c r="H8381" s="121"/>
      <c r="I8381" s="121"/>
      <c r="J8381" s="121"/>
      <c r="K8381" s="121"/>
      <c r="L8381" s="121"/>
      <c r="M8381" s="121"/>
      <c r="N8381" s="223"/>
      <c r="O8381" s="531"/>
      <c r="P8381" s="260"/>
      <c r="Q8381" s="321"/>
      <c r="R8381" s="260"/>
      <c r="S8381" s="260"/>
      <c r="T8381" s="260"/>
      <c r="U8381" s="260"/>
      <c r="V8381" s="260"/>
      <c r="W8381" s="260"/>
      <c r="X8381" s="260"/>
      <c r="Y8381" s="260"/>
      <c r="Z8381" s="260"/>
      <c r="AA8381" s="260"/>
      <c r="AB8381" s="260"/>
      <c r="AC8381" s="260"/>
      <c r="AD8381" s="57"/>
      <c r="AE8381" s="57"/>
      <c r="AF8381" s="57"/>
      <c r="AG8381" s="57"/>
      <c r="AH8381" s="57"/>
      <c r="AI8381" s="57"/>
      <c r="AJ8381" s="57"/>
      <c r="AK8381" s="57"/>
      <c r="AL8381" s="57"/>
      <c r="AM8381" s="385"/>
      <c r="AN8381"/>
    </row>
    <row r="8382" spans="1:40" s="47" customFormat="1" hidden="1">
      <c r="A8382" s="121"/>
      <c r="B8382" s="121"/>
      <c r="C8382" s="121"/>
      <c r="D8382" s="121"/>
      <c r="E8382" s="121"/>
      <c r="F8382" s="121"/>
      <c r="G8382" s="121"/>
      <c r="H8382" s="121"/>
      <c r="I8382" s="121"/>
      <c r="J8382" s="121"/>
      <c r="K8382" s="121"/>
      <c r="L8382" s="121"/>
      <c r="M8382" s="121"/>
      <c r="N8382" s="524"/>
      <c r="O8382" s="530"/>
      <c r="P8382" s="255"/>
      <c r="Q8382" s="321"/>
      <c r="R8382" s="260"/>
      <c r="S8382" s="260"/>
      <c r="T8382" s="260"/>
      <c r="U8382" s="260"/>
      <c r="V8382" s="260"/>
      <c r="W8382" s="260"/>
      <c r="X8382" s="260"/>
      <c r="Y8382" s="260"/>
      <c r="Z8382" s="260"/>
      <c r="AA8382" s="260"/>
      <c r="AB8382" s="260"/>
      <c r="AC8382" s="260"/>
      <c r="AD8382" s="57"/>
      <c r="AE8382" s="57"/>
      <c r="AF8382" s="57"/>
      <c r="AG8382" s="57"/>
      <c r="AH8382" s="57"/>
      <c r="AI8382" s="57"/>
      <c r="AJ8382" s="57"/>
      <c r="AK8382" s="57"/>
      <c r="AL8382" s="57"/>
      <c r="AM8382" s="385"/>
      <c r="AN8382"/>
    </row>
    <row r="8383" spans="1:40" s="47" customFormat="1" hidden="1">
      <c r="A8383" s="121"/>
      <c r="B8383" s="121"/>
      <c r="C8383" s="121"/>
      <c r="D8383" s="121"/>
      <c r="E8383" s="121"/>
      <c r="F8383" s="121"/>
      <c r="G8383" s="121"/>
      <c r="H8383" s="121"/>
      <c r="I8383" s="121"/>
      <c r="J8383" s="121"/>
      <c r="K8383" s="121"/>
      <c r="L8383" s="121"/>
      <c r="M8383" s="121"/>
      <c r="N8383" s="524"/>
      <c r="O8383" s="530"/>
      <c r="P8383" s="260"/>
      <c r="Q8383" s="321"/>
      <c r="R8383" s="260"/>
      <c r="S8383" s="260"/>
      <c r="T8383" s="260"/>
      <c r="U8383" s="260"/>
      <c r="V8383" s="260"/>
      <c r="W8383" s="260"/>
      <c r="X8383" s="260"/>
      <c r="Y8383" s="260"/>
      <c r="Z8383" s="260"/>
      <c r="AA8383" s="260"/>
      <c r="AB8383" s="260"/>
      <c r="AC8383" s="260"/>
      <c r="AD8383" s="57"/>
      <c r="AE8383" s="57"/>
      <c r="AF8383" s="57"/>
      <c r="AG8383" s="57"/>
      <c r="AH8383" s="57"/>
      <c r="AI8383" s="57"/>
      <c r="AJ8383" s="57"/>
      <c r="AK8383" s="57"/>
      <c r="AL8383" s="57"/>
      <c r="AM8383" s="385"/>
      <c r="AN8383"/>
    </row>
    <row r="8384" spans="1:40" s="47" customFormat="1" hidden="1">
      <c r="A8384" s="121"/>
      <c r="B8384" s="121"/>
      <c r="C8384" s="121"/>
      <c r="D8384" s="121"/>
      <c r="E8384" s="121"/>
      <c r="F8384" s="121"/>
      <c r="G8384" s="121"/>
      <c r="H8384" s="121"/>
      <c r="I8384" s="121"/>
      <c r="J8384" s="121"/>
      <c r="K8384" s="121"/>
      <c r="L8384" s="121"/>
      <c r="M8384" s="121"/>
      <c r="N8384" s="223"/>
      <c r="O8384" s="529"/>
      <c r="P8384" s="260"/>
      <c r="Q8384" s="321"/>
      <c r="R8384" s="260"/>
      <c r="S8384" s="260"/>
      <c r="T8384" s="260"/>
      <c r="U8384" s="260"/>
      <c r="V8384" s="260"/>
      <c r="W8384" s="260"/>
      <c r="X8384" s="260"/>
      <c r="Y8384" s="260"/>
      <c r="Z8384" s="260"/>
      <c r="AA8384" s="260"/>
      <c r="AB8384" s="260"/>
      <c r="AC8384" s="260"/>
      <c r="AD8384" s="57"/>
      <c r="AE8384" s="57"/>
      <c r="AF8384" s="57"/>
      <c r="AG8384" s="57"/>
      <c r="AH8384" s="57"/>
      <c r="AI8384" s="57"/>
      <c r="AJ8384" s="57"/>
      <c r="AK8384" s="57"/>
      <c r="AL8384" s="57"/>
      <c r="AM8384" s="385"/>
      <c r="AN8384"/>
    </row>
    <row r="8385" spans="1:40" s="47" customFormat="1" hidden="1">
      <c r="A8385" s="121"/>
      <c r="B8385" s="121"/>
      <c r="C8385" s="121"/>
      <c r="D8385" s="121"/>
      <c r="E8385" s="121"/>
      <c r="F8385" s="121"/>
      <c r="G8385" s="121"/>
      <c r="H8385" s="121"/>
      <c r="I8385" s="121"/>
      <c r="J8385" s="121"/>
      <c r="K8385" s="121"/>
      <c r="L8385" s="121"/>
      <c r="M8385" s="121"/>
      <c r="N8385" s="524"/>
      <c r="O8385" s="530"/>
      <c r="P8385" s="255"/>
      <c r="Q8385" s="321"/>
      <c r="R8385" s="260"/>
      <c r="S8385" s="260"/>
      <c r="T8385" s="260"/>
      <c r="U8385" s="260"/>
      <c r="V8385" s="260"/>
      <c r="W8385" s="260"/>
      <c r="X8385" s="260"/>
      <c r="Y8385" s="260"/>
      <c r="Z8385" s="260"/>
      <c r="AA8385" s="260"/>
      <c r="AB8385" s="260"/>
      <c r="AC8385" s="260"/>
      <c r="AD8385" s="57"/>
      <c r="AE8385" s="57"/>
      <c r="AF8385" s="57"/>
      <c r="AG8385" s="57"/>
      <c r="AH8385" s="57"/>
      <c r="AI8385" s="57"/>
      <c r="AJ8385" s="57"/>
      <c r="AK8385" s="57"/>
      <c r="AL8385" s="57"/>
      <c r="AM8385" s="385"/>
      <c r="AN8385"/>
    </row>
    <row r="8386" spans="1:40" s="47" customFormat="1" hidden="1">
      <c r="A8386" s="121"/>
      <c r="B8386" s="121"/>
      <c r="C8386" s="121"/>
      <c r="D8386" s="121"/>
      <c r="E8386" s="121"/>
      <c r="F8386" s="121"/>
      <c r="G8386" s="121"/>
      <c r="H8386" s="121"/>
      <c r="I8386" s="121"/>
      <c r="J8386" s="121"/>
      <c r="K8386" s="121"/>
      <c r="L8386" s="121"/>
      <c r="M8386" s="121"/>
      <c r="N8386" s="524"/>
      <c r="O8386" s="530"/>
      <c r="P8386" s="260"/>
      <c r="Q8386" s="321"/>
      <c r="R8386" s="260"/>
      <c r="S8386" s="260"/>
      <c r="T8386" s="260"/>
      <c r="U8386" s="260"/>
      <c r="V8386" s="260"/>
      <c r="W8386" s="260"/>
      <c r="X8386" s="260"/>
      <c r="Y8386" s="260"/>
      <c r="Z8386" s="260"/>
      <c r="AA8386" s="260"/>
      <c r="AB8386" s="260"/>
      <c r="AC8386" s="260"/>
      <c r="AD8386" s="57"/>
      <c r="AE8386" s="57"/>
      <c r="AF8386" s="57"/>
      <c r="AG8386" s="57"/>
      <c r="AH8386" s="57"/>
      <c r="AI8386" s="57"/>
      <c r="AJ8386" s="57"/>
      <c r="AK8386" s="57"/>
      <c r="AL8386" s="57"/>
      <c r="AM8386" s="385"/>
      <c r="AN8386"/>
    </row>
    <row r="8387" spans="1:40" s="47" customFormat="1" hidden="1">
      <c r="A8387" s="121"/>
      <c r="B8387" s="121"/>
      <c r="C8387" s="121"/>
      <c r="D8387" s="121"/>
      <c r="E8387" s="121"/>
      <c r="F8387" s="121"/>
      <c r="G8387" s="121"/>
      <c r="H8387" s="121"/>
      <c r="I8387" s="121"/>
      <c r="J8387" s="121"/>
      <c r="K8387" s="121"/>
      <c r="L8387" s="121"/>
      <c r="M8387" s="121"/>
      <c r="N8387" s="223"/>
      <c r="O8387" s="531"/>
      <c r="P8387" s="260"/>
      <c r="Q8387" s="321"/>
      <c r="R8387" s="260"/>
      <c r="S8387" s="260"/>
      <c r="T8387" s="260"/>
      <c r="U8387" s="260"/>
      <c r="V8387" s="260"/>
      <c r="W8387" s="260"/>
      <c r="X8387" s="260"/>
      <c r="Y8387" s="260"/>
      <c r="Z8387" s="260"/>
      <c r="AA8387" s="260"/>
      <c r="AB8387" s="260"/>
      <c r="AC8387" s="260"/>
      <c r="AD8387" s="57"/>
      <c r="AE8387" s="57"/>
      <c r="AF8387" s="57"/>
      <c r="AG8387" s="57"/>
      <c r="AH8387" s="57"/>
      <c r="AI8387" s="57"/>
      <c r="AJ8387" s="57"/>
      <c r="AK8387" s="57"/>
      <c r="AL8387" s="57"/>
      <c r="AM8387" s="385"/>
      <c r="AN8387"/>
    </row>
    <row r="8388" spans="1:40" s="47" customFormat="1" hidden="1">
      <c r="A8388" s="121"/>
      <c r="B8388" s="121"/>
      <c r="C8388" s="121"/>
      <c r="D8388" s="121"/>
      <c r="E8388" s="121"/>
      <c r="F8388" s="121"/>
      <c r="G8388" s="121"/>
      <c r="H8388" s="121"/>
      <c r="I8388" s="121"/>
      <c r="J8388" s="121"/>
      <c r="K8388" s="121"/>
      <c r="L8388" s="121"/>
      <c r="M8388" s="121"/>
      <c r="N8388" s="524"/>
      <c r="O8388" s="530"/>
      <c r="P8388" s="255"/>
      <c r="Q8388" s="321"/>
      <c r="R8388" s="260"/>
      <c r="S8388" s="260"/>
      <c r="T8388" s="260"/>
      <c r="U8388" s="260"/>
      <c r="V8388" s="260"/>
      <c r="W8388" s="260"/>
      <c r="X8388" s="260"/>
      <c r="Y8388" s="260"/>
      <c r="Z8388" s="260"/>
      <c r="AA8388" s="260"/>
      <c r="AB8388" s="260"/>
      <c r="AC8388" s="260"/>
      <c r="AD8388" s="57"/>
      <c r="AE8388" s="57"/>
      <c r="AF8388" s="57"/>
      <c r="AG8388" s="57"/>
      <c r="AH8388" s="57"/>
      <c r="AI8388" s="57"/>
      <c r="AJ8388" s="57"/>
      <c r="AK8388" s="57"/>
      <c r="AL8388" s="57"/>
      <c r="AM8388" s="385"/>
      <c r="AN8388"/>
    </row>
    <row r="8389" spans="1:40" s="47" customFormat="1">
      <c r="A8389" s="121"/>
      <c r="B8389" s="121"/>
      <c r="C8389" s="121"/>
      <c r="D8389" s="121"/>
      <c r="E8389" s="121"/>
      <c r="F8389" s="121"/>
      <c r="G8389" s="121"/>
      <c r="H8389" s="121"/>
      <c r="I8389" s="121"/>
      <c r="J8389" s="121"/>
      <c r="K8389" s="121"/>
      <c r="L8389" s="121"/>
      <c r="M8389" s="121"/>
      <c r="N8389" s="524"/>
      <c r="O8389" s="530"/>
      <c r="P8389" s="260"/>
      <c r="Q8389" s="321"/>
      <c r="R8389" s="260"/>
      <c r="S8389" s="260"/>
      <c r="T8389" s="260"/>
      <c r="U8389" s="260"/>
      <c r="V8389" s="260"/>
      <c r="W8389" s="260"/>
      <c r="X8389" s="260"/>
      <c r="Y8389" s="260"/>
      <c r="Z8389" s="260"/>
      <c r="AA8389" s="260"/>
      <c r="AB8389" s="260"/>
      <c r="AC8389" s="260"/>
      <c r="AD8389" s="57"/>
      <c r="AE8389" s="57"/>
      <c r="AF8389" s="57"/>
      <c r="AG8389" s="57"/>
      <c r="AH8389" s="57"/>
      <c r="AI8389" s="57"/>
      <c r="AJ8389" s="57"/>
      <c r="AK8389" s="57"/>
      <c r="AL8389" s="57"/>
      <c r="AM8389" s="385"/>
      <c r="AN8389"/>
    </row>
    <row r="8390" spans="1:40" s="47" customFormat="1">
      <c r="A8390" s="121"/>
      <c r="B8390" s="121"/>
      <c r="C8390" s="121"/>
      <c r="D8390" s="121"/>
      <c r="E8390" s="121"/>
      <c r="F8390" s="121"/>
      <c r="G8390" s="121"/>
      <c r="H8390" s="121"/>
      <c r="I8390" s="121"/>
      <c r="J8390" s="121"/>
      <c r="K8390" s="121"/>
      <c r="L8390" s="121"/>
      <c r="M8390" s="121"/>
      <c r="N8390" s="504" t="s">
        <v>633</v>
      </c>
      <c r="O8390" s="532" t="s">
        <v>2819</v>
      </c>
      <c r="P8390" s="257"/>
      <c r="Q8390" s="321"/>
      <c r="R8390" s="260"/>
      <c r="S8390" s="260"/>
      <c r="T8390" s="260"/>
      <c r="U8390" s="260"/>
      <c r="V8390" s="261"/>
      <c r="W8390" s="548">
        <f t="shared" ref="W8390:W8399" si="37">U8390+V8390</f>
        <v>0</v>
      </c>
      <c r="X8390" s="261"/>
      <c r="Y8390" s="260"/>
      <c r="Z8390" s="548">
        <f t="shared" ref="Z8390:Z8399" si="38">X8390+Y8390</f>
        <v>0</v>
      </c>
      <c r="AA8390" s="261"/>
      <c r="AB8390" s="261"/>
      <c r="AC8390" s="548">
        <f t="shared" ref="AC8390:AC8399" si="39">AA8390+AB8390</f>
        <v>0</v>
      </c>
      <c r="AD8390" s="57"/>
      <c r="AE8390" s="57"/>
      <c r="AF8390" s="57"/>
      <c r="AG8390" s="57"/>
      <c r="AH8390" s="57"/>
      <c r="AI8390" s="57"/>
      <c r="AJ8390" s="57"/>
      <c r="AK8390" s="57"/>
      <c r="AL8390" s="57"/>
      <c r="AM8390" s="385"/>
      <c r="AN8390"/>
    </row>
    <row r="8391" spans="1:40" s="47" customFormat="1">
      <c r="A8391" s="121"/>
      <c r="B8391" s="121"/>
      <c r="C8391" s="121"/>
      <c r="D8391" s="121"/>
      <c r="E8391" s="121"/>
      <c r="F8391" s="121"/>
      <c r="G8391" s="121"/>
      <c r="H8391" s="121"/>
      <c r="I8391" s="121"/>
      <c r="J8391" s="121"/>
      <c r="K8391" s="121"/>
      <c r="L8391" s="121"/>
      <c r="M8391" s="121"/>
      <c r="N8391" s="504" t="s">
        <v>69</v>
      </c>
      <c r="O8391" s="527" t="s">
        <v>2820</v>
      </c>
      <c r="P8391" s="257"/>
      <c r="Q8391" s="321"/>
      <c r="R8391" s="260"/>
      <c r="S8391" s="260"/>
      <c r="T8391" s="260"/>
      <c r="U8391" s="260"/>
      <c r="V8391" s="261"/>
      <c r="W8391" s="548">
        <f t="shared" si="37"/>
        <v>0</v>
      </c>
      <c r="X8391" s="261"/>
      <c r="Y8391" s="260"/>
      <c r="Z8391" s="548">
        <f t="shared" si="38"/>
        <v>0</v>
      </c>
      <c r="AA8391" s="261"/>
      <c r="AB8391" s="261"/>
      <c r="AC8391" s="548">
        <f t="shared" si="39"/>
        <v>0</v>
      </c>
      <c r="AD8391" s="57"/>
      <c r="AE8391" s="57"/>
      <c r="AF8391" s="57"/>
      <c r="AG8391" s="57"/>
      <c r="AH8391" s="57"/>
      <c r="AI8391" s="57"/>
      <c r="AJ8391" s="57"/>
      <c r="AK8391" s="57"/>
      <c r="AL8391" s="57"/>
      <c r="AM8391" s="385"/>
      <c r="AN8391"/>
    </row>
    <row r="8392" spans="1:40" s="47" customFormat="1">
      <c r="A8392" s="121"/>
      <c r="B8392" s="121"/>
      <c r="C8392" s="121"/>
      <c r="D8392" s="121"/>
      <c r="E8392" s="121"/>
      <c r="F8392" s="121"/>
      <c r="G8392" s="121"/>
      <c r="H8392" s="121"/>
      <c r="I8392" s="121"/>
      <c r="J8392" s="121"/>
      <c r="K8392" s="121"/>
      <c r="L8392" s="121"/>
      <c r="M8392" s="121"/>
      <c r="N8392" s="504" t="s">
        <v>72</v>
      </c>
      <c r="O8392" s="527" t="s">
        <v>2471</v>
      </c>
      <c r="P8392" s="257"/>
      <c r="Q8392" s="321"/>
      <c r="R8392" s="260"/>
      <c r="S8392" s="260"/>
      <c r="T8392" s="260"/>
      <c r="U8392" s="260"/>
      <c r="V8392" s="261"/>
      <c r="W8392" s="548">
        <f t="shared" si="37"/>
        <v>0</v>
      </c>
      <c r="X8392" s="261"/>
      <c r="Y8392" s="260"/>
      <c r="Z8392" s="548">
        <f t="shared" si="38"/>
        <v>0</v>
      </c>
      <c r="AA8392" s="261"/>
      <c r="AB8392" s="261"/>
      <c r="AC8392" s="548">
        <f t="shared" si="39"/>
        <v>0</v>
      </c>
      <c r="AD8392" s="57"/>
      <c r="AE8392" s="57"/>
      <c r="AF8392" s="57"/>
      <c r="AG8392" s="57"/>
      <c r="AH8392" s="57"/>
      <c r="AI8392" s="57"/>
      <c r="AJ8392" s="57"/>
      <c r="AK8392" s="57"/>
      <c r="AL8392" s="57"/>
      <c r="AM8392" s="385"/>
      <c r="AN8392"/>
    </row>
    <row r="8393" spans="1:40" s="47" customFormat="1">
      <c r="A8393" s="121"/>
      <c r="B8393" s="121"/>
      <c r="C8393" s="121"/>
      <c r="D8393" s="121"/>
      <c r="E8393" s="121"/>
      <c r="F8393" s="121"/>
      <c r="G8393" s="121"/>
      <c r="H8393" s="121"/>
      <c r="I8393" s="121"/>
      <c r="J8393" s="121"/>
      <c r="K8393" s="121"/>
      <c r="L8393" s="121"/>
      <c r="M8393" s="121"/>
      <c r="N8393" s="504" t="s">
        <v>2821</v>
      </c>
      <c r="O8393" s="527" t="s">
        <v>2822</v>
      </c>
      <c r="P8393" s="257"/>
      <c r="Q8393" s="321"/>
      <c r="R8393" s="260"/>
      <c r="S8393" s="260"/>
      <c r="T8393" s="260"/>
      <c r="U8393" s="260"/>
      <c r="V8393" s="257">
        <f>SUM(V8394:V8396)</f>
        <v>0</v>
      </c>
      <c r="W8393" s="548">
        <f t="shared" si="37"/>
        <v>0</v>
      </c>
      <c r="X8393" s="257">
        <f>SUM(X8394:X8396)</f>
        <v>0</v>
      </c>
      <c r="Y8393" s="260"/>
      <c r="Z8393" s="548">
        <f t="shared" si="38"/>
        <v>0</v>
      </c>
      <c r="AA8393" s="257">
        <f>SUM(AA8394:AA8396)</f>
        <v>0</v>
      </c>
      <c r="AB8393" s="257">
        <f>SUM(AB8394:AB8396)</f>
        <v>0</v>
      </c>
      <c r="AC8393" s="548">
        <f t="shared" si="39"/>
        <v>0</v>
      </c>
      <c r="AD8393" s="57"/>
      <c r="AE8393" s="57"/>
      <c r="AF8393" s="57"/>
      <c r="AG8393" s="57"/>
      <c r="AH8393" s="57"/>
      <c r="AI8393" s="57"/>
      <c r="AJ8393" s="57"/>
      <c r="AK8393" s="57"/>
      <c r="AL8393" s="57"/>
      <c r="AM8393" s="385"/>
      <c r="AN8393"/>
    </row>
    <row r="8394" spans="1:40" s="47" customFormat="1">
      <c r="A8394" s="121"/>
      <c r="B8394" s="121"/>
      <c r="C8394" s="121"/>
      <c r="D8394" s="121"/>
      <c r="E8394" s="121"/>
      <c r="F8394" s="121"/>
      <c r="G8394" s="121"/>
      <c r="H8394" s="121"/>
      <c r="I8394" s="121"/>
      <c r="J8394" s="121"/>
      <c r="K8394" s="121"/>
      <c r="L8394" s="121"/>
      <c r="M8394" s="121"/>
      <c r="N8394" s="504" t="s">
        <v>888</v>
      </c>
      <c r="O8394" s="528" t="s">
        <v>2823</v>
      </c>
      <c r="P8394" s="257"/>
      <c r="Q8394" s="321"/>
      <c r="R8394" s="260"/>
      <c r="S8394" s="260"/>
      <c r="T8394" s="260"/>
      <c r="U8394" s="260"/>
      <c r="V8394" s="261"/>
      <c r="W8394" s="548">
        <f t="shared" si="37"/>
        <v>0</v>
      </c>
      <c r="X8394" s="261"/>
      <c r="Y8394" s="260"/>
      <c r="Z8394" s="548">
        <f t="shared" si="38"/>
        <v>0</v>
      </c>
      <c r="AA8394" s="261"/>
      <c r="AB8394" s="261"/>
      <c r="AC8394" s="548">
        <f t="shared" si="39"/>
        <v>0</v>
      </c>
      <c r="AD8394" s="57"/>
      <c r="AE8394" s="57"/>
      <c r="AF8394" s="57"/>
      <c r="AG8394" s="57"/>
      <c r="AH8394" s="57"/>
      <c r="AI8394" s="57"/>
      <c r="AJ8394" s="57"/>
      <c r="AK8394" s="57"/>
      <c r="AL8394" s="57"/>
      <c r="AM8394" s="385"/>
      <c r="AN8394"/>
    </row>
    <row r="8395" spans="1:40" s="47" customFormat="1">
      <c r="A8395" s="121"/>
      <c r="B8395" s="121"/>
      <c r="C8395" s="121"/>
      <c r="D8395" s="121"/>
      <c r="E8395" s="121"/>
      <c r="F8395" s="121"/>
      <c r="G8395" s="121"/>
      <c r="H8395" s="121"/>
      <c r="I8395" s="121"/>
      <c r="J8395" s="121"/>
      <c r="K8395" s="121"/>
      <c r="L8395" s="121"/>
      <c r="M8395" s="121"/>
      <c r="N8395" s="504" t="s">
        <v>889</v>
      </c>
      <c r="O8395" s="528" t="s">
        <v>2824</v>
      </c>
      <c r="P8395" s="257"/>
      <c r="Q8395" s="321"/>
      <c r="R8395" s="260"/>
      <c r="S8395" s="260"/>
      <c r="T8395" s="260"/>
      <c r="U8395" s="260"/>
      <c r="V8395" s="261"/>
      <c r="W8395" s="548">
        <f t="shared" si="37"/>
        <v>0</v>
      </c>
      <c r="X8395" s="261"/>
      <c r="Y8395" s="260"/>
      <c r="Z8395" s="548">
        <f t="shared" si="38"/>
        <v>0</v>
      </c>
      <c r="AA8395" s="261"/>
      <c r="AB8395" s="261"/>
      <c r="AC8395" s="548">
        <f t="shared" si="39"/>
        <v>0</v>
      </c>
      <c r="AD8395" s="57"/>
      <c r="AE8395" s="57"/>
      <c r="AF8395" s="57"/>
      <c r="AG8395" s="57"/>
      <c r="AH8395" s="57"/>
      <c r="AI8395" s="57"/>
      <c r="AJ8395" s="57"/>
      <c r="AK8395" s="57"/>
      <c r="AL8395" s="57"/>
      <c r="AM8395" s="385"/>
      <c r="AN8395"/>
    </row>
    <row r="8396" spans="1:40" s="47" customFormat="1">
      <c r="A8396" s="121"/>
      <c r="B8396" s="121"/>
      <c r="C8396" s="121"/>
      <c r="D8396" s="121"/>
      <c r="E8396" s="121"/>
      <c r="F8396" s="121"/>
      <c r="G8396" s="121"/>
      <c r="H8396" s="121"/>
      <c r="I8396" s="121"/>
      <c r="J8396" s="121"/>
      <c r="K8396" s="121"/>
      <c r="L8396" s="121"/>
      <c r="M8396" s="121"/>
      <c r="N8396" s="504" t="s">
        <v>890</v>
      </c>
      <c r="O8396" s="528" t="s">
        <v>2825</v>
      </c>
      <c r="P8396" s="257"/>
      <c r="Q8396" s="321"/>
      <c r="R8396" s="260"/>
      <c r="S8396" s="260"/>
      <c r="T8396" s="260"/>
      <c r="U8396" s="260"/>
      <c r="V8396" s="261"/>
      <c r="W8396" s="548">
        <f t="shared" si="37"/>
        <v>0</v>
      </c>
      <c r="X8396" s="261"/>
      <c r="Y8396" s="260"/>
      <c r="Z8396" s="548">
        <f t="shared" si="38"/>
        <v>0</v>
      </c>
      <c r="AA8396" s="261"/>
      <c r="AB8396" s="261"/>
      <c r="AC8396" s="548">
        <f t="shared" si="39"/>
        <v>0</v>
      </c>
      <c r="AD8396" s="57"/>
      <c r="AE8396" s="57"/>
      <c r="AF8396" s="57"/>
      <c r="AG8396" s="57"/>
      <c r="AH8396" s="57"/>
      <c r="AI8396" s="57"/>
      <c r="AJ8396" s="57"/>
      <c r="AK8396" s="57"/>
      <c r="AL8396" s="57"/>
      <c r="AM8396" s="385"/>
      <c r="AN8396"/>
    </row>
    <row r="8397" spans="1:40" s="47" customFormat="1">
      <c r="A8397" s="121"/>
      <c r="B8397" s="121"/>
      <c r="C8397" s="121"/>
      <c r="D8397" s="121"/>
      <c r="E8397" s="121"/>
      <c r="F8397" s="121"/>
      <c r="G8397" s="121"/>
      <c r="H8397" s="121"/>
      <c r="I8397" s="121"/>
      <c r="J8397" s="121"/>
      <c r="K8397" s="121"/>
      <c r="L8397" s="121"/>
      <c r="M8397" s="121"/>
      <c r="N8397" s="504" t="s">
        <v>2826</v>
      </c>
      <c r="O8397" s="527" t="s">
        <v>2827</v>
      </c>
      <c r="P8397" s="257"/>
      <c r="Q8397" s="321"/>
      <c r="R8397" s="260"/>
      <c r="S8397" s="260"/>
      <c r="T8397" s="260"/>
      <c r="U8397" s="260"/>
      <c r="V8397" s="261"/>
      <c r="W8397" s="548">
        <f t="shared" si="37"/>
        <v>0</v>
      </c>
      <c r="X8397" s="261"/>
      <c r="Y8397" s="260"/>
      <c r="Z8397" s="548">
        <f t="shared" si="38"/>
        <v>0</v>
      </c>
      <c r="AA8397" s="261"/>
      <c r="AB8397" s="261"/>
      <c r="AC8397" s="548">
        <f t="shared" si="39"/>
        <v>0</v>
      </c>
      <c r="AD8397" s="57"/>
      <c r="AE8397" s="57"/>
      <c r="AF8397" s="57"/>
      <c r="AG8397" s="57"/>
      <c r="AH8397" s="57"/>
      <c r="AI8397" s="57"/>
      <c r="AJ8397" s="57"/>
      <c r="AK8397" s="57"/>
      <c r="AL8397" s="57"/>
      <c r="AM8397" s="385"/>
      <c r="AN8397"/>
    </row>
    <row r="8398" spans="1:40" s="47" customFormat="1">
      <c r="A8398" s="121"/>
      <c r="B8398" s="121"/>
      <c r="C8398" s="121"/>
      <c r="D8398" s="121"/>
      <c r="E8398" s="121"/>
      <c r="F8398" s="121"/>
      <c r="G8398" s="121"/>
      <c r="H8398" s="121"/>
      <c r="I8398" s="121"/>
      <c r="J8398" s="121"/>
      <c r="K8398" s="121"/>
      <c r="L8398" s="121"/>
      <c r="M8398" s="121"/>
      <c r="N8398" s="504" t="s">
        <v>2828</v>
      </c>
      <c r="O8398" s="527" t="s">
        <v>2829</v>
      </c>
      <c r="P8398" s="257"/>
      <c r="Q8398" s="321"/>
      <c r="R8398" s="260"/>
      <c r="S8398" s="260"/>
      <c r="T8398" s="260"/>
      <c r="U8398" s="260"/>
      <c r="V8398" s="261"/>
      <c r="W8398" s="548">
        <f t="shared" si="37"/>
        <v>0</v>
      </c>
      <c r="X8398" s="261"/>
      <c r="Y8398" s="260"/>
      <c r="Z8398" s="548">
        <f t="shared" si="38"/>
        <v>0</v>
      </c>
      <c r="AA8398" s="261"/>
      <c r="AB8398" s="261"/>
      <c r="AC8398" s="548">
        <f t="shared" si="39"/>
        <v>0</v>
      </c>
      <c r="AD8398" s="57"/>
      <c r="AE8398" s="57"/>
      <c r="AF8398" s="57"/>
      <c r="AG8398" s="57"/>
      <c r="AH8398" s="57"/>
      <c r="AI8398" s="57"/>
      <c r="AJ8398" s="57"/>
      <c r="AK8398" s="57"/>
      <c r="AL8398" s="57"/>
      <c r="AM8398" s="385"/>
      <c r="AN8398"/>
    </row>
    <row r="8399" spans="1:40" s="47" customFormat="1">
      <c r="A8399" s="121"/>
      <c r="B8399" s="121"/>
      <c r="C8399" s="121"/>
      <c r="D8399" s="121"/>
      <c r="E8399" s="121"/>
      <c r="F8399" s="121"/>
      <c r="G8399" s="121"/>
      <c r="H8399" s="121"/>
      <c r="I8399" s="121"/>
      <c r="J8399" s="121"/>
      <c r="K8399" s="121"/>
      <c r="L8399" s="121"/>
      <c r="M8399" s="121"/>
      <c r="N8399" s="504" t="s">
        <v>2830</v>
      </c>
      <c r="O8399" s="527" t="s">
        <v>2831</v>
      </c>
      <c r="P8399" s="257"/>
      <c r="Q8399" s="321"/>
      <c r="R8399" s="260"/>
      <c r="S8399" s="260"/>
      <c r="T8399" s="260"/>
      <c r="U8399" s="260"/>
      <c r="V8399" s="257">
        <f>SUM(V8403,V8409,V8415,V8418,V8421)</f>
        <v>0</v>
      </c>
      <c r="W8399" s="548">
        <f t="shared" si="37"/>
        <v>0</v>
      </c>
      <c r="X8399" s="257">
        <f>SUM(X8403,X8409,X8415,X8418,X8421)</f>
        <v>0</v>
      </c>
      <c r="Y8399" s="260"/>
      <c r="Z8399" s="548">
        <f t="shared" si="38"/>
        <v>0</v>
      </c>
      <c r="AA8399" s="257">
        <f>SUM(AA8403,AA8409,AA8415,AA8418,AA8421)</f>
        <v>0</v>
      </c>
      <c r="AB8399" s="257">
        <f>SUM(AB8403,AB8409,AB8415,AB8418,AB8421)</f>
        <v>0</v>
      </c>
      <c r="AC8399" s="548">
        <f t="shared" si="39"/>
        <v>0</v>
      </c>
      <c r="AD8399" s="57"/>
      <c r="AE8399" s="57"/>
      <c r="AF8399" s="57"/>
      <c r="AG8399" s="57"/>
      <c r="AH8399" s="57"/>
      <c r="AI8399" s="57"/>
      <c r="AJ8399" s="57"/>
      <c r="AK8399" s="57"/>
      <c r="AL8399" s="57"/>
      <c r="AM8399" s="385"/>
      <c r="AN8399"/>
    </row>
    <row r="8400" spans="1:40" s="47" customFormat="1">
      <c r="A8400" s="121"/>
      <c r="B8400" s="121"/>
      <c r="C8400" s="121"/>
      <c r="D8400" s="121"/>
      <c r="E8400" s="121"/>
      <c r="F8400" s="121"/>
      <c r="G8400" s="121"/>
      <c r="H8400" s="121"/>
      <c r="I8400" s="121"/>
      <c r="J8400" s="121"/>
      <c r="K8400" s="121"/>
      <c r="L8400" s="121"/>
      <c r="M8400" s="121"/>
      <c r="N8400" s="222"/>
      <c r="O8400" s="529"/>
      <c r="P8400" s="255"/>
      <c r="Q8400" s="321"/>
      <c r="R8400" s="260"/>
      <c r="S8400" s="260"/>
      <c r="T8400" s="260"/>
      <c r="U8400" s="260"/>
      <c r="V8400" s="260"/>
      <c r="W8400" s="260"/>
      <c r="X8400" s="260"/>
      <c r="Y8400" s="260"/>
      <c r="Z8400" s="260"/>
      <c r="AA8400" s="260"/>
      <c r="AB8400" s="260"/>
      <c r="AC8400" s="260"/>
      <c r="AD8400" s="57"/>
      <c r="AE8400" s="57"/>
      <c r="AF8400" s="57"/>
      <c r="AG8400" s="57"/>
      <c r="AH8400" s="57"/>
      <c r="AI8400" s="57"/>
      <c r="AJ8400" s="57"/>
      <c r="AK8400" s="57"/>
      <c r="AL8400" s="57"/>
      <c r="AM8400" s="385"/>
      <c r="AN8400"/>
    </row>
    <row r="8401" spans="1:40" s="47" customFormat="1">
      <c r="A8401" s="121"/>
      <c r="B8401" s="121"/>
      <c r="C8401" s="121"/>
      <c r="D8401" s="121"/>
      <c r="E8401" s="121"/>
      <c r="F8401" s="121"/>
      <c r="G8401" s="121"/>
      <c r="H8401" s="121"/>
      <c r="I8401" s="121"/>
      <c r="J8401" s="121"/>
      <c r="K8401" s="121"/>
      <c r="L8401" s="121"/>
      <c r="M8401" s="121"/>
      <c r="N8401" s="222"/>
      <c r="O8401" s="529"/>
      <c r="P8401" s="255"/>
      <c r="Q8401" s="321"/>
      <c r="R8401" s="260"/>
      <c r="S8401" s="260"/>
      <c r="T8401" s="260"/>
      <c r="U8401" s="260"/>
      <c r="V8401" s="260"/>
      <c r="W8401" s="260"/>
      <c r="X8401" s="260"/>
      <c r="Y8401" s="260"/>
      <c r="Z8401" s="260"/>
      <c r="AA8401" s="260"/>
      <c r="AB8401" s="260"/>
      <c r="AC8401" s="260"/>
      <c r="AD8401" s="57"/>
      <c r="AE8401" s="57"/>
      <c r="AF8401" s="57"/>
      <c r="AG8401" s="57"/>
      <c r="AH8401" s="57"/>
      <c r="AI8401" s="57"/>
      <c r="AJ8401" s="57"/>
      <c r="AK8401" s="57"/>
      <c r="AL8401" s="57"/>
      <c r="AM8401" s="385"/>
      <c r="AN8401"/>
    </row>
    <row r="8402" spans="1:40" s="47" customFormat="1">
      <c r="A8402" s="121"/>
      <c r="B8402" s="121"/>
      <c r="C8402" s="121"/>
      <c r="D8402" s="121"/>
      <c r="E8402" s="121"/>
      <c r="F8402" s="121"/>
      <c r="G8402" s="121"/>
      <c r="H8402" s="121"/>
      <c r="I8402" s="121"/>
      <c r="J8402" s="121"/>
      <c r="K8402" s="121"/>
      <c r="L8402" s="121"/>
      <c r="M8402" s="121"/>
      <c r="N8402" s="222"/>
      <c r="O8402" s="529"/>
      <c r="P8402" s="255"/>
      <c r="Q8402" s="321"/>
      <c r="R8402" s="260"/>
      <c r="S8402" s="260"/>
      <c r="T8402" s="260"/>
      <c r="U8402" s="260"/>
      <c r="V8402" s="260"/>
      <c r="W8402" s="260"/>
      <c r="X8402" s="260"/>
      <c r="Y8402" s="260"/>
      <c r="Z8402" s="260"/>
      <c r="AA8402" s="260"/>
      <c r="AB8402" s="260"/>
      <c r="AC8402" s="260"/>
      <c r="AD8402" s="57"/>
      <c r="AE8402" s="57"/>
      <c r="AF8402" s="57"/>
      <c r="AG8402" s="57"/>
      <c r="AH8402" s="57"/>
      <c r="AI8402" s="57"/>
      <c r="AJ8402" s="57"/>
      <c r="AK8402" s="57"/>
      <c r="AL8402" s="57"/>
      <c r="AM8402" s="385"/>
      <c r="AN8402"/>
    </row>
    <row r="8403" spans="1:40" s="47" customFormat="1">
      <c r="A8403" s="121"/>
      <c r="B8403" s="121"/>
      <c r="C8403" s="121"/>
      <c r="D8403" s="121"/>
      <c r="E8403" s="121"/>
      <c r="F8403" s="121"/>
      <c r="G8403" s="121"/>
      <c r="H8403" s="121"/>
      <c r="I8403" s="121"/>
      <c r="J8403" s="121"/>
      <c r="K8403" s="121"/>
      <c r="L8403" s="121"/>
      <c r="M8403" s="121"/>
      <c r="N8403" s="222" t="s">
        <v>2832</v>
      </c>
      <c r="O8403" s="533" t="s">
        <v>1832</v>
      </c>
      <c r="P8403" s="257"/>
      <c r="Q8403" s="321"/>
      <c r="R8403" s="260"/>
      <c r="S8403" s="260"/>
      <c r="T8403" s="260"/>
      <c r="U8403" s="260"/>
      <c r="V8403" s="261"/>
      <c r="W8403" s="548">
        <f>U8403+V8403</f>
        <v>0</v>
      </c>
      <c r="X8403" s="261"/>
      <c r="Y8403" s="260"/>
      <c r="Z8403" s="548">
        <f>X8403+Y8403</f>
        <v>0</v>
      </c>
      <c r="AA8403" s="261"/>
      <c r="AB8403" s="261"/>
      <c r="AC8403" s="548">
        <f>AA8403+AB8403</f>
        <v>0</v>
      </c>
      <c r="AD8403" s="57"/>
      <c r="AE8403" s="57"/>
      <c r="AF8403" s="57"/>
      <c r="AG8403" s="57"/>
      <c r="AH8403" s="57"/>
      <c r="AI8403" s="57"/>
      <c r="AJ8403" s="57"/>
      <c r="AK8403" s="57"/>
      <c r="AL8403" s="57"/>
      <c r="AM8403" s="385"/>
      <c r="AN8403"/>
    </row>
    <row r="8404" spans="1:40" s="47" customFormat="1">
      <c r="A8404" s="121"/>
      <c r="B8404" s="121"/>
      <c r="C8404" s="121"/>
      <c r="D8404" s="121"/>
      <c r="E8404" s="121"/>
      <c r="F8404" s="121"/>
      <c r="G8404" s="121"/>
      <c r="H8404" s="121"/>
      <c r="I8404" s="121"/>
      <c r="J8404" s="121"/>
      <c r="K8404" s="121"/>
      <c r="L8404" s="121"/>
      <c r="M8404" s="121"/>
      <c r="N8404" s="222"/>
      <c r="O8404" s="529"/>
      <c r="P8404" s="255"/>
      <c r="Q8404" s="321"/>
      <c r="R8404" s="260"/>
      <c r="S8404" s="260"/>
      <c r="T8404" s="260"/>
      <c r="U8404" s="260"/>
      <c r="V8404" s="260"/>
      <c r="W8404" s="260"/>
      <c r="X8404" s="260"/>
      <c r="Y8404" s="260"/>
      <c r="Z8404" s="260"/>
      <c r="AA8404" s="260"/>
      <c r="AB8404" s="260"/>
      <c r="AC8404" s="260"/>
      <c r="AD8404" s="57"/>
      <c r="AE8404" s="57"/>
      <c r="AF8404" s="57"/>
      <c r="AG8404" s="57"/>
      <c r="AH8404" s="57"/>
      <c r="AI8404" s="57"/>
      <c r="AJ8404" s="57"/>
      <c r="AK8404" s="57"/>
      <c r="AL8404" s="57"/>
      <c r="AM8404" s="385"/>
      <c r="AN8404"/>
    </row>
    <row r="8405" spans="1:40" s="47" customFormat="1">
      <c r="A8405" s="121"/>
      <c r="B8405" s="121"/>
      <c r="C8405" s="121"/>
      <c r="D8405" s="121"/>
      <c r="E8405" s="121"/>
      <c r="F8405" s="121"/>
      <c r="G8405" s="121"/>
      <c r="H8405" s="121"/>
      <c r="I8405" s="121"/>
      <c r="J8405" s="121"/>
      <c r="K8405" s="121"/>
      <c r="L8405" s="121"/>
      <c r="M8405" s="121"/>
      <c r="N8405" s="222"/>
      <c r="O8405" s="529"/>
      <c r="P8405" s="260"/>
      <c r="Q8405" s="321"/>
      <c r="R8405" s="260"/>
      <c r="S8405" s="260"/>
      <c r="T8405" s="260"/>
      <c r="U8405" s="260"/>
      <c r="V8405" s="260"/>
      <c r="W8405" s="260"/>
      <c r="X8405" s="260"/>
      <c r="Y8405" s="260"/>
      <c r="Z8405" s="260"/>
      <c r="AA8405" s="260"/>
      <c r="AB8405" s="260"/>
      <c r="AC8405" s="260"/>
      <c r="AD8405" s="57"/>
      <c r="AE8405" s="57"/>
      <c r="AF8405" s="57"/>
      <c r="AG8405" s="57"/>
      <c r="AH8405" s="57"/>
      <c r="AI8405" s="57"/>
      <c r="AJ8405" s="57"/>
      <c r="AK8405" s="57"/>
      <c r="AL8405" s="57"/>
      <c r="AM8405" s="385"/>
      <c r="AN8405"/>
    </row>
    <row r="8406" spans="1:40" s="47" customFormat="1">
      <c r="A8406" s="121"/>
      <c r="B8406" s="121"/>
      <c r="C8406" s="121"/>
      <c r="D8406" s="121"/>
      <c r="E8406" s="121"/>
      <c r="F8406" s="121"/>
      <c r="G8406" s="121"/>
      <c r="H8406" s="121"/>
      <c r="I8406" s="121"/>
      <c r="J8406" s="121"/>
      <c r="K8406" s="121"/>
      <c r="L8406" s="121"/>
      <c r="M8406" s="121"/>
      <c r="N8406" s="222"/>
      <c r="O8406" s="563"/>
      <c r="P8406" s="260"/>
      <c r="Q8406" s="321"/>
      <c r="R8406" s="260"/>
      <c r="S8406" s="260"/>
      <c r="T8406" s="260"/>
      <c r="U8406" s="260"/>
      <c r="V8406" s="260"/>
      <c r="W8406" s="260"/>
      <c r="X8406" s="260"/>
      <c r="Y8406" s="260"/>
      <c r="Z8406" s="260"/>
      <c r="AA8406" s="260"/>
      <c r="AB8406" s="260"/>
      <c r="AC8406" s="260"/>
      <c r="AD8406" s="57"/>
      <c r="AE8406" s="57"/>
      <c r="AF8406" s="57"/>
      <c r="AG8406" s="57"/>
      <c r="AH8406" s="57"/>
      <c r="AI8406" s="57"/>
      <c r="AJ8406" s="57"/>
      <c r="AK8406" s="57"/>
      <c r="AL8406" s="57"/>
      <c r="AM8406" s="385"/>
      <c r="AN8406"/>
    </row>
    <row r="8407" spans="1:40" s="47" customFormat="1">
      <c r="A8407" s="121"/>
      <c r="B8407" s="121"/>
      <c r="C8407" s="121"/>
      <c r="D8407" s="121"/>
      <c r="E8407" s="121"/>
      <c r="F8407" s="121"/>
      <c r="G8407" s="121"/>
      <c r="H8407" s="121"/>
      <c r="I8407" s="121"/>
      <c r="J8407" s="121"/>
      <c r="K8407" s="121"/>
      <c r="L8407" s="121"/>
      <c r="M8407" s="121"/>
      <c r="N8407" s="222"/>
      <c r="O8407" s="563"/>
      <c r="P8407" s="260"/>
      <c r="Q8407" s="321"/>
      <c r="R8407" s="260"/>
      <c r="S8407" s="260"/>
      <c r="T8407" s="260"/>
      <c r="U8407" s="260"/>
      <c r="V8407" s="260"/>
      <c r="W8407" s="260"/>
      <c r="X8407" s="260"/>
      <c r="Y8407" s="260"/>
      <c r="Z8407" s="260"/>
      <c r="AA8407" s="260"/>
      <c r="AB8407" s="260"/>
      <c r="AC8407" s="260"/>
      <c r="AD8407" s="57"/>
      <c r="AE8407" s="57"/>
      <c r="AF8407" s="57"/>
      <c r="AG8407" s="57"/>
      <c r="AH8407" s="57"/>
      <c r="AI8407" s="57"/>
      <c r="AJ8407" s="57"/>
      <c r="AK8407" s="57"/>
      <c r="AL8407" s="57"/>
      <c r="AM8407" s="385"/>
      <c r="AN8407"/>
    </row>
    <row r="8408" spans="1:40" s="47" customFormat="1">
      <c r="A8408" s="121"/>
      <c r="B8408" s="121"/>
      <c r="C8408" s="121"/>
      <c r="D8408" s="121"/>
      <c r="E8408" s="121"/>
      <c r="F8408" s="121"/>
      <c r="G8408" s="121"/>
      <c r="H8408" s="121"/>
      <c r="I8408" s="121"/>
      <c r="J8408" s="121"/>
      <c r="K8408" s="121"/>
      <c r="L8408" s="121"/>
      <c r="M8408" s="121"/>
      <c r="N8408" s="222"/>
      <c r="O8408" s="563"/>
      <c r="P8408" s="260"/>
      <c r="Q8408" s="321"/>
      <c r="R8408" s="260"/>
      <c r="S8408" s="260"/>
      <c r="T8408" s="260"/>
      <c r="U8408" s="260"/>
      <c r="V8408" s="260"/>
      <c r="W8408" s="260"/>
      <c r="X8408" s="260"/>
      <c r="Y8408" s="260"/>
      <c r="Z8408" s="260"/>
      <c r="AA8408" s="260"/>
      <c r="AB8408" s="260"/>
      <c r="AC8408" s="260"/>
      <c r="AD8408" s="57"/>
      <c r="AE8408" s="57"/>
      <c r="AF8408" s="57"/>
      <c r="AG8408" s="57"/>
      <c r="AH8408" s="57"/>
      <c r="AI8408" s="57"/>
      <c r="AJ8408" s="57"/>
      <c r="AK8408" s="57"/>
      <c r="AL8408" s="57"/>
      <c r="AM8408" s="385"/>
      <c r="AN8408"/>
    </row>
    <row r="8409" spans="1:40" s="47" customFormat="1">
      <c r="A8409" s="121"/>
      <c r="B8409" s="121"/>
      <c r="C8409" s="121"/>
      <c r="D8409" s="121"/>
      <c r="E8409" s="121"/>
      <c r="F8409" s="121"/>
      <c r="G8409" s="121"/>
      <c r="H8409" s="121"/>
      <c r="I8409" s="121"/>
      <c r="J8409" s="121"/>
      <c r="K8409" s="121"/>
      <c r="L8409" s="121"/>
      <c r="M8409" s="121"/>
      <c r="N8409" s="222" t="s">
        <v>2835</v>
      </c>
      <c r="O8409" s="533" t="s">
        <v>1838</v>
      </c>
      <c r="P8409" s="257"/>
      <c r="Q8409" s="321"/>
      <c r="R8409" s="260"/>
      <c r="S8409" s="260"/>
      <c r="T8409" s="260"/>
      <c r="U8409" s="260"/>
      <c r="V8409" s="261"/>
      <c r="W8409" s="548">
        <f>U8409+V8409</f>
        <v>0</v>
      </c>
      <c r="X8409" s="261"/>
      <c r="Y8409" s="260"/>
      <c r="Z8409" s="548">
        <f>X8409+Y8409</f>
        <v>0</v>
      </c>
      <c r="AA8409" s="261"/>
      <c r="AB8409" s="261"/>
      <c r="AC8409" s="548">
        <f>AA8409+AB8409</f>
        <v>0</v>
      </c>
      <c r="AD8409" s="57"/>
      <c r="AE8409" s="57"/>
      <c r="AF8409" s="57"/>
      <c r="AG8409" s="57"/>
      <c r="AH8409" s="57"/>
      <c r="AI8409" s="57"/>
      <c r="AJ8409" s="57"/>
      <c r="AK8409" s="57"/>
      <c r="AL8409" s="57"/>
      <c r="AM8409" s="385"/>
      <c r="AN8409"/>
    </row>
    <row r="8410" spans="1:40" s="47" customFormat="1">
      <c r="A8410" s="121"/>
      <c r="B8410" s="121"/>
      <c r="C8410" s="121"/>
      <c r="D8410" s="121"/>
      <c r="E8410" s="121"/>
      <c r="F8410" s="121"/>
      <c r="G8410" s="121"/>
      <c r="H8410" s="121"/>
      <c r="I8410" s="121"/>
      <c r="J8410" s="121"/>
      <c r="K8410" s="121"/>
      <c r="L8410" s="121"/>
      <c r="M8410" s="121"/>
      <c r="N8410" s="222"/>
      <c r="O8410" s="529"/>
      <c r="P8410" s="255"/>
      <c r="Q8410" s="321"/>
      <c r="R8410" s="260"/>
      <c r="S8410" s="260"/>
      <c r="T8410" s="260"/>
      <c r="U8410" s="260"/>
      <c r="V8410" s="260"/>
      <c r="W8410" s="260"/>
      <c r="X8410" s="260"/>
      <c r="Y8410" s="260"/>
      <c r="Z8410" s="260"/>
      <c r="AA8410" s="260"/>
      <c r="AB8410" s="260"/>
      <c r="AC8410" s="260"/>
      <c r="AD8410" s="57"/>
      <c r="AE8410" s="57"/>
      <c r="AF8410" s="57"/>
      <c r="AG8410" s="57"/>
      <c r="AH8410" s="57"/>
      <c r="AI8410" s="57"/>
      <c r="AJ8410" s="57"/>
      <c r="AK8410" s="57"/>
      <c r="AL8410" s="57"/>
      <c r="AM8410" s="385"/>
      <c r="AN8410"/>
    </row>
    <row r="8411" spans="1:40" s="47" customFormat="1">
      <c r="A8411" s="121"/>
      <c r="B8411" s="121"/>
      <c r="C8411" s="121"/>
      <c r="D8411" s="121"/>
      <c r="E8411" s="121"/>
      <c r="F8411" s="121"/>
      <c r="G8411" s="121"/>
      <c r="H8411" s="121"/>
      <c r="I8411" s="121"/>
      <c r="J8411" s="121"/>
      <c r="K8411" s="121"/>
      <c r="L8411" s="121"/>
      <c r="M8411" s="121"/>
      <c r="N8411" s="222"/>
      <c r="O8411" s="529"/>
      <c r="P8411" s="255"/>
      <c r="Q8411" s="321"/>
      <c r="R8411" s="260"/>
      <c r="S8411" s="260"/>
      <c r="T8411" s="260"/>
      <c r="U8411" s="260"/>
      <c r="V8411" s="260"/>
      <c r="W8411" s="260"/>
      <c r="X8411" s="260"/>
      <c r="Y8411" s="260"/>
      <c r="Z8411" s="260"/>
      <c r="AA8411" s="260"/>
      <c r="AB8411" s="260"/>
      <c r="AC8411" s="260"/>
      <c r="AD8411" s="57"/>
      <c r="AE8411" s="57"/>
      <c r="AF8411" s="57"/>
      <c r="AG8411" s="57"/>
      <c r="AH8411" s="57"/>
      <c r="AI8411" s="57"/>
      <c r="AJ8411" s="57"/>
      <c r="AK8411" s="57"/>
      <c r="AL8411" s="57"/>
      <c r="AM8411" s="385"/>
      <c r="AN8411"/>
    </row>
    <row r="8412" spans="1:40" s="47" customFormat="1">
      <c r="A8412" s="121"/>
      <c r="B8412" s="121"/>
      <c r="C8412" s="121"/>
      <c r="D8412" s="121"/>
      <c r="E8412" s="121"/>
      <c r="F8412" s="121"/>
      <c r="G8412" s="121"/>
      <c r="H8412" s="121"/>
      <c r="I8412" s="121"/>
      <c r="J8412" s="121"/>
      <c r="K8412" s="121"/>
      <c r="L8412" s="121"/>
      <c r="M8412" s="121"/>
      <c r="N8412" s="222"/>
      <c r="O8412" s="529"/>
      <c r="P8412" s="255"/>
      <c r="Q8412" s="321"/>
      <c r="R8412" s="260"/>
      <c r="S8412" s="260"/>
      <c r="T8412" s="260"/>
      <c r="U8412" s="260"/>
      <c r="V8412" s="260"/>
      <c r="W8412" s="260"/>
      <c r="X8412" s="260"/>
      <c r="Y8412" s="260"/>
      <c r="Z8412" s="260"/>
      <c r="AA8412" s="260"/>
      <c r="AB8412" s="260"/>
      <c r="AC8412" s="260"/>
      <c r="AD8412" s="57"/>
      <c r="AE8412" s="57"/>
      <c r="AF8412" s="57"/>
      <c r="AG8412" s="57"/>
      <c r="AH8412" s="57"/>
      <c r="AI8412" s="57"/>
      <c r="AJ8412" s="57"/>
      <c r="AK8412" s="57"/>
      <c r="AL8412" s="57"/>
      <c r="AM8412" s="385"/>
      <c r="AN8412"/>
    </row>
    <row r="8413" spans="1:40" s="47" customFormat="1">
      <c r="A8413" s="121"/>
      <c r="B8413" s="121"/>
      <c r="C8413" s="121"/>
      <c r="D8413" s="121"/>
      <c r="E8413" s="121"/>
      <c r="F8413" s="121"/>
      <c r="G8413" s="121"/>
      <c r="H8413" s="121"/>
      <c r="I8413" s="121"/>
      <c r="J8413" s="121"/>
      <c r="K8413" s="121"/>
      <c r="L8413" s="121"/>
      <c r="M8413" s="121"/>
      <c r="N8413" s="222"/>
      <c r="O8413" s="529"/>
      <c r="P8413" s="255"/>
      <c r="Q8413" s="321"/>
      <c r="R8413" s="260"/>
      <c r="S8413" s="260"/>
      <c r="T8413" s="260"/>
      <c r="U8413" s="260"/>
      <c r="V8413" s="260"/>
      <c r="W8413" s="260"/>
      <c r="X8413" s="260"/>
      <c r="Y8413" s="260"/>
      <c r="Z8413" s="260"/>
      <c r="AA8413" s="260"/>
      <c r="AB8413" s="260"/>
      <c r="AC8413" s="260"/>
      <c r="AD8413" s="57"/>
      <c r="AE8413" s="57"/>
      <c r="AF8413" s="57"/>
      <c r="AG8413" s="57"/>
      <c r="AH8413" s="57"/>
      <c r="AI8413" s="57"/>
      <c r="AJ8413" s="57"/>
      <c r="AK8413" s="57"/>
      <c r="AL8413" s="57"/>
      <c r="AM8413" s="385"/>
      <c r="AN8413"/>
    </row>
    <row r="8414" spans="1:40" s="47" customFormat="1">
      <c r="A8414" s="121"/>
      <c r="B8414" s="121"/>
      <c r="C8414" s="121"/>
      <c r="D8414" s="121"/>
      <c r="E8414" s="121"/>
      <c r="F8414" s="121"/>
      <c r="G8414" s="121"/>
      <c r="H8414" s="121"/>
      <c r="I8414" s="121"/>
      <c r="J8414" s="121"/>
      <c r="K8414" s="121"/>
      <c r="L8414" s="121"/>
      <c r="M8414" s="121"/>
      <c r="N8414" s="222"/>
      <c r="O8414" s="529"/>
      <c r="P8414" s="255"/>
      <c r="Q8414" s="321"/>
      <c r="R8414" s="260"/>
      <c r="S8414" s="260"/>
      <c r="T8414" s="260"/>
      <c r="U8414" s="260"/>
      <c r="V8414" s="260"/>
      <c r="W8414" s="260"/>
      <c r="X8414" s="260"/>
      <c r="Y8414" s="260"/>
      <c r="Z8414" s="260"/>
      <c r="AA8414" s="260"/>
      <c r="AB8414" s="260"/>
      <c r="AC8414" s="260"/>
      <c r="AD8414" s="57"/>
      <c r="AE8414" s="57"/>
      <c r="AF8414" s="57"/>
      <c r="AG8414" s="57"/>
      <c r="AH8414" s="57"/>
      <c r="AI8414" s="57"/>
      <c r="AJ8414" s="57"/>
      <c r="AK8414" s="57"/>
      <c r="AL8414" s="57"/>
      <c r="AM8414" s="385"/>
      <c r="AN8414"/>
    </row>
    <row r="8415" spans="1:40" s="47" customFormat="1">
      <c r="A8415" s="121"/>
      <c r="B8415" s="121"/>
      <c r="C8415" s="121"/>
      <c r="D8415" s="121"/>
      <c r="E8415" s="121"/>
      <c r="F8415" s="121"/>
      <c r="G8415" s="121"/>
      <c r="H8415" s="121"/>
      <c r="I8415" s="121"/>
      <c r="J8415" s="121"/>
      <c r="K8415" s="121"/>
      <c r="L8415" s="121"/>
      <c r="M8415" s="121"/>
      <c r="N8415" s="222" t="s">
        <v>2838</v>
      </c>
      <c r="O8415" s="533" t="s">
        <v>1843</v>
      </c>
      <c r="P8415" s="257"/>
      <c r="Q8415" s="321"/>
      <c r="R8415" s="260"/>
      <c r="S8415" s="260"/>
      <c r="T8415" s="260"/>
      <c r="U8415" s="260"/>
      <c r="V8415" s="261"/>
      <c r="W8415" s="548">
        <f>U8415+V8415</f>
        <v>0</v>
      </c>
      <c r="X8415" s="261"/>
      <c r="Y8415" s="260"/>
      <c r="Z8415" s="548">
        <f>X8415+Y8415</f>
        <v>0</v>
      </c>
      <c r="AA8415" s="261"/>
      <c r="AB8415" s="261"/>
      <c r="AC8415" s="548">
        <f>AA8415+AB8415</f>
        <v>0</v>
      </c>
      <c r="AD8415" s="57"/>
      <c r="AE8415" s="57"/>
      <c r="AF8415" s="57"/>
      <c r="AG8415" s="57"/>
      <c r="AH8415" s="57"/>
      <c r="AI8415" s="57"/>
      <c r="AJ8415" s="57"/>
      <c r="AK8415" s="57"/>
      <c r="AL8415" s="57"/>
      <c r="AM8415" s="385"/>
      <c r="AN8415"/>
    </row>
    <row r="8416" spans="1:40" s="47" customFormat="1">
      <c r="A8416" s="121"/>
      <c r="B8416" s="121"/>
      <c r="C8416" s="121"/>
      <c r="D8416" s="121"/>
      <c r="E8416" s="121"/>
      <c r="F8416" s="121"/>
      <c r="G8416" s="121"/>
      <c r="H8416" s="121"/>
      <c r="I8416" s="121"/>
      <c r="J8416" s="121"/>
      <c r="K8416" s="121"/>
      <c r="L8416" s="121"/>
      <c r="M8416" s="121"/>
      <c r="N8416" s="222"/>
      <c r="O8416" s="529"/>
      <c r="P8416" s="255"/>
      <c r="Q8416" s="321"/>
      <c r="R8416" s="260"/>
      <c r="S8416" s="260"/>
      <c r="T8416" s="260"/>
      <c r="U8416" s="260"/>
      <c r="V8416" s="260"/>
      <c r="W8416" s="260"/>
      <c r="X8416" s="260"/>
      <c r="Y8416" s="260"/>
      <c r="Z8416" s="260"/>
      <c r="AA8416" s="260"/>
      <c r="AB8416" s="260"/>
      <c r="AC8416" s="260"/>
      <c r="AD8416" s="57"/>
      <c r="AE8416" s="57"/>
      <c r="AF8416" s="57"/>
      <c r="AG8416" s="57"/>
      <c r="AH8416" s="57"/>
      <c r="AI8416" s="57"/>
      <c r="AJ8416" s="57"/>
      <c r="AK8416" s="57"/>
      <c r="AL8416" s="57"/>
      <c r="AM8416" s="385"/>
      <c r="AN8416"/>
    </row>
    <row r="8417" spans="1:40" s="47" customFormat="1">
      <c r="A8417" s="121"/>
      <c r="B8417" s="121"/>
      <c r="C8417" s="121"/>
      <c r="D8417" s="121"/>
      <c r="E8417" s="121"/>
      <c r="F8417" s="121"/>
      <c r="G8417" s="121"/>
      <c r="H8417" s="121"/>
      <c r="I8417" s="121"/>
      <c r="J8417" s="121"/>
      <c r="K8417" s="121"/>
      <c r="L8417" s="121"/>
      <c r="M8417" s="121"/>
      <c r="N8417" s="222"/>
      <c r="O8417" s="529"/>
      <c r="P8417" s="255"/>
      <c r="Q8417" s="321"/>
      <c r="R8417" s="260"/>
      <c r="S8417" s="260"/>
      <c r="T8417" s="260"/>
      <c r="U8417" s="260"/>
      <c r="V8417" s="260"/>
      <c r="W8417" s="260"/>
      <c r="X8417" s="260"/>
      <c r="Y8417" s="260"/>
      <c r="Z8417" s="260"/>
      <c r="AA8417" s="260"/>
      <c r="AB8417" s="260"/>
      <c r="AC8417" s="260"/>
      <c r="AD8417" s="57"/>
      <c r="AE8417" s="57"/>
      <c r="AF8417" s="57"/>
      <c r="AG8417" s="57"/>
      <c r="AH8417" s="57"/>
      <c r="AI8417" s="57"/>
      <c r="AJ8417" s="57"/>
      <c r="AK8417" s="57"/>
      <c r="AL8417" s="57"/>
      <c r="AM8417" s="385"/>
      <c r="AN8417"/>
    </row>
    <row r="8418" spans="1:40" s="47" customFormat="1">
      <c r="A8418" s="121"/>
      <c r="B8418" s="121"/>
      <c r="C8418" s="121"/>
      <c r="D8418" s="121"/>
      <c r="E8418" s="121"/>
      <c r="F8418" s="121"/>
      <c r="G8418" s="121"/>
      <c r="H8418" s="121"/>
      <c r="I8418" s="121"/>
      <c r="J8418" s="121"/>
      <c r="K8418" s="121"/>
      <c r="L8418" s="121"/>
      <c r="M8418" s="121"/>
      <c r="N8418" s="222" t="s">
        <v>2841</v>
      </c>
      <c r="O8418" s="533" t="s">
        <v>1849</v>
      </c>
      <c r="P8418" s="257"/>
      <c r="Q8418" s="321"/>
      <c r="R8418" s="260"/>
      <c r="S8418" s="260"/>
      <c r="T8418" s="260"/>
      <c r="U8418" s="260"/>
      <c r="V8418" s="261"/>
      <c r="W8418" s="548">
        <f>U8418+V8418</f>
        <v>0</v>
      </c>
      <c r="X8418" s="261"/>
      <c r="Y8418" s="260"/>
      <c r="Z8418" s="548">
        <f>X8418+Y8418</f>
        <v>0</v>
      </c>
      <c r="AA8418" s="261"/>
      <c r="AB8418" s="261"/>
      <c r="AC8418" s="548">
        <f>AA8418+AB8418</f>
        <v>0</v>
      </c>
      <c r="AD8418" s="57"/>
      <c r="AE8418" s="57"/>
      <c r="AF8418" s="57"/>
      <c r="AG8418" s="57"/>
      <c r="AH8418" s="57"/>
      <c r="AI8418" s="57"/>
      <c r="AJ8418" s="57"/>
      <c r="AK8418" s="57"/>
      <c r="AL8418" s="57"/>
      <c r="AM8418" s="385"/>
      <c r="AN8418"/>
    </row>
    <row r="8419" spans="1:40" s="47" customFormat="1">
      <c r="A8419" s="121"/>
      <c r="B8419" s="121"/>
      <c r="C8419" s="121"/>
      <c r="D8419" s="121"/>
      <c r="E8419" s="121"/>
      <c r="F8419" s="121"/>
      <c r="G8419" s="121"/>
      <c r="H8419" s="121"/>
      <c r="I8419" s="121"/>
      <c r="J8419" s="121"/>
      <c r="K8419" s="121"/>
      <c r="L8419" s="121"/>
      <c r="M8419" s="121"/>
      <c r="N8419" s="222"/>
      <c r="O8419" s="529"/>
      <c r="P8419" s="255"/>
      <c r="Q8419" s="321"/>
      <c r="R8419" s="260"/>
      <c r="S8419" s="260"/>
      <c r="T8419" s="260"/>
      <c r="U8419" s="260"/>
      <c r="V8419" s="260"/>
      <c r="W8419" s="260"/>
      <c r="X8419" s="260"/>
      <c r="Y8419" s="260"/>
      <c r="Z8419" s="260"/>
      <c r="AA8419" s="260"/>
      <c r="AB8419" s="260"/>
      <c r="AC8419" s="260"/>
      <c r="AD8419" s="57"/>
      <c r="AE8419" s="57"/>
      <c r="AF8419" s="57"/>
      <c r="AG8419" s="57"/>
      <c r="AH8419" s="57"/>
      <c r="AI8419" s="57"/>
      <c r="AJ8419" s="57"/>
      <c r="AK8419" s="57"/>
      <c r="AL8419" s="57"/>
      <c r="AM8419" s="385"/>
      <c r="AN8419"/>
    </row>
    <row r="8420" spans="1:40" s="47" customFormat="1">
      <c r="A8420" s="121"/>
      <c r="B8420" s="121"/>
      <c r="C8420" s="121"/>
      <c r="D8420" s="121"/>
      <c r="E8420" s="121"/>
      <c r="F8420" s="121"/>
      <c r="G8420" s="121"/>
      <c r="H8420" s="121"/>
      <c r="I8420" s="121"/>
      <c r="J8420" s="121"/>
      <c r="K8420" s="121"/>
      <c r="L8420" s="121"/>
      <c r="M8420" s="121"/>
      <c r="N8420" s="222"/>
      <c r="O8420" s="529"/>
      <c r="P8420" s="255"/>
      <c r="Q8420" s="321"/>
      <c r="R8420" s="260"/>
      <c r="S8420" s="260"/>
      <c r="T8420" s="260"/>
      <c r="U8420" s="260"/>
      <c r="V8420" s="260"/>
      <c r="W8420" s="260"/>
      <c r="X8420" s="260"/>
      <c r="Y8420" s="260"/>
      <c r="Z8420" s="260"/>
      <c r="AA8420" s="260"/>
      <c r="AB8420" s="260"/>
      <c r="AC8420" s="260"/>
      <c r="AD8420" s="57"/>
      <c r="AE8420" s="57"/>
      <c r="AF8420" s="57"/>
      <c r="AG8420" s="57"/>
      <c r="AH8420" s="57"/>
      <c r="AI8420" s="57"/>
      <c r="AJ8420" s="57"/>
      <c r="AK8420" s="57"/>
      <c r="AL8420" s="57"/>
      <c r="AM8420" s="385"/>
      <c r="AN8420"/>
    </row>
    <row r="8421" spans="1:40" s="47" customFormat="1" ht="22.5">
      <c r="A8421" s="121"/>
      <c r="B8421" s="121"/>
      <c r="C8421" s="121"/>
      <c r="D8421" s="121"/>
      <c r="E8421" s="121"/>
      <c r="F8421" s="121"/>
      <c r="G8421" s="121"/>
      <c r="H8421" s="121"/>
      <c r="I8421" s="121"/>
      <c r="J8421" s="121"/>
      <c r="K8421" s="121"/>
      <c r="L8421" s="121"/>
      <c r="M8421" s="121"/>
      <c r="N8421" s="222" t="s">
        <v>2844</v>
      </c>
      <c r="O8421" s="533" t="s">
        <v>1856</v>
      </c>
      <c r="P8421" s="257"/>
      <c r="Q8421" s="321"/>
      <c r="R8421" s="260"/>
      <c r="S8421" s="260"/>
      <c r="T8421" s="260"/>
      <c r="U8421" s="260"/>
      <c r="V8421" s="261"/>
      <c r="W8421" s="548">
        <f>U8421+V8421</f>
        <v>0</v>
      </c>
      <c r="X8421" s="261"/>
      <c r="Y8421" s="260"/>
      <c r="Z8421" s="548">
        <f>X8421+Y8421</f>
        <v>0</v>
      </c>
      <c r="AA8421" s="261"/>
      <c r="AB8421" s="261"/>
      <c r="AC8421" s="548">
        <f>AA8421+AB8421</f>
        <v>0</v>
      </c>
      <c r="AD8421" s="57"/>
      <c r="AE8421" s="57"/>
      <c r="AF8421" s="57"/>
      <c r="AG8421" s="57"/>
      <c r="AH8421" s="57"/>
      <c r="AI8421" s="57"/>
      <c r="AJ8421" s="57"/>
      <c r="AK8421" s="57"/>
      <c r="AL8421" s="57"/>
      <c r="AM8421" s="385"/>
      <c r="AN8421"/>
    </row>
    <row r="8422" spans="1:40" s="47" customFormat="1">
      <c r="A8422" s="121"/>
      <c r="B8422" s="121"/>
      <c r="C8422" s="121"/>
      <c r="D8422" s="121"/>
      <c r="E8422" s="121"/>
      <c r="F8422" s="121"/>
      <c r="G8422" s="121"/>
      <c r="H8422" s="121"/>
      <c r="I8422" s="121"/>
      <c r="J8422" s="121"/>
      <c r="K8422" s="121"/>
      <c r="L8422" s="121"/>
      <c r="M8422" s="121"/>
      <c r="N8422" s="222"/>
      <c r="O8422" s="529"/>
      <c r="P8422" s="255"/>
      <c r="Q8422" s="321"/>
      <c r="R8422" s="260"/>
      <c r="S8422" s="260"/>
      <c r="T8422" s="260"/>
      <c r="U8422" s="260"/>
      <c r="V8422" s="260"/>
      <c r="W8422" s="260"/>
      <c r="X8422" s="260"/>
      <c r="Y8422" s="260"/>
      <c r="Z8422" s="260"/>
      <c r="AA8422" s="260"/>
      <c r="AB8422" s="260"/>
      <c r="AC8422" s="260"/>
      <c r="AD8422" s="57"/>
      <c r="AE8422" s="57"/>
      <c r="AF8422" s="57"/>
      <c r="AG8422" s="57"/>
      <c r="AH8422" s="57"/>
      <c r="AI8422" s="57"/>
      <c r="AJ8422" s="57"/>
      <c r="AK8422" s="57"/>
      <c r="AL8422" s="57"/>
      <c r="AM8422" s="385"/>
      <c r="AN8422"/>
    </row>
    <row r="8423" spans="1:40" s="47" customFormat="1">
      <c r="A8423" s="121"/>
      <c r="B8423" s="121"/>
      <c r="C8423" s="121"/>
      <c r="D8423" s="121"/>
      <c r="E8423" s="121"/>
      <c r="F8423" s="121"/>
      <c r="G8423" s="121"/>
      <c r="H8423" s="121"/>
      <c r="I8423" s="121"/>
      <c r="J8423" s="121"/>
      <c r="K8423" s="121"/>
      <c r="L8423" s="121"/>
      <c r="M8423" s="121"/>
      <c r="N8423" s="222"/>
      <c r="O8423" s="529"/>
      <c r="P8423" s="255"/>
      <c r="Q8423" s="321"/>
      <c r="R8423" s="260"/>
      <c r="S8423" s="260"/>
      <c r="T8423" s="260"/>
      <c r="U8423" s="260"/>
      <c r="V8423" s="260"/>
      <c r="W8423" s="260"/>
      <c r="X8423" s="260"/>
      <c r="Y8423" s="260"/>
      <c r="Z8423" s="260"/>
      <c r="AA8423" s="260"/>
      <c r="AB8423" s="260"/>
      <c r="AC8423" s="260"/>
      <c r="AD8423" s="57"/>
      <c r="AE8423" s="57"/>
      <c r="AF8423" s="57"/>
      <c r="AG8423" s="57"/>
      <c r="AH8423" s="57"/>
      <c r="AI8423" s="57"/>
      <c r="AJ8423" s="57"/>
      <c r="AK8423" s="57"/>
      <c r="AL8423" s="57"/>
      <c r="AM8423" s="385"/>
      <c r="AN8423"/>
    </row>
    <row r="8424" spans="1:40" s="47" customFormat="1">
      <c r="A8424" s="121"/>
      <c r="B8424" s="121"/>
      <c r="C8424" s="121"/>
      <c r="D8424" s="121"/>
      <c r="E8424" s="121"/>
      <c r="F8424" s="121"/>
      <c r="G8424" s="121"/>
      <c r="H8424" s="121"/>
      <c r="I8424" s="121"/>
      <c r="J8424" s="121"/>
      <c r="K8424" s="121"/>
      <c r="L8424" s="121"/>
      <c r="M8424" s="121"/>
      <c r="N8424" s="504" t="s">
        <v>2847</v>
      </c>
      <c r="O8424" s="535" t="s">
        <v>2848</v>
      </c>
      <c r="P8424" s="257"/>
      <c r="Q8424" s="321"/>
      <c r="R8424" s="260"/>
      <c r="S8424" s="260"/>
      <c r="T8424" s="260"/>
      <c r="U8424" s="260"/>
      <c r="V8424" s="257">
        <f>SUM(V8425:V8429)</f>
        <v>0</v>
      </c>
      <c r="W8424" s="548">
        <f t="shared" ref="W8424:W8474" si="40">U8424+V8424</f>
        <v>0</v>
      </c>
      <c r="X8424" s="257">
        <f>SUM(X8425:X8429)</f>
        <v>0</v>
      </c>
      <c r="Y8424" s="260"/>
      <c r="Z8424" s="548">
        <f t="shared" ref="Z8424:Z8460" si="41">X8424+Y8424</f>
        <v>0</v>
      </c>
      <c r="AA8424" s="257">
        <f>SUM(AA8425:AA8429)</f>
        <v>0</v>
      </c>
      <c r="AB8424" s="257">
        <f>SUM(AB8425:AB8429)</f>
        <v>0</v>
      </c>
      <c r="AC8424" s="548">
        <f t="shared" ref="AC8424:AC8460" si="42">AA8424+AB8424</f>
        <v>0</v>
      </c>
      <c r="AD8424" s="57"/>
      <c r="AE8424" s="57"/>
      <c r="AF8424" s="57"/>
      <c r="AG8424" s="57"/>
      <c r="AH8424" s="57"/>
      <c r="AI8424" s="57"/>
      <c r="AJ8424" s="57"/>
      <c r="AK8424" s="57"/>
      <c r="AL8424" s="57"/>
      <c r="AM8424" s="385"/>
      <c r="AN8424"/>
    </row>
    <row r="8425" spans="1:40" s="47" customFormat="1" ht="22.5">
      <c r="A8425" s="121"/>
      <c r="B8425" s="121"/>
      <c r="C8425" s="121"/>
      <c r="D8425" s="121"/>
      <c r="E8425" s="121"/>
      <c r="F8425" s="121"/>
      <c r="G8425" s="121"/>
      <c r="H8425" s="121"/>
      <c r="I8425" s="121"/>
      <c r="J8425" s="121"/>
      <c r="K8425" s="121"/>
      <c r="L8425" s="121"/>
      <c r="M8425" s="121"/>
      <c r="N8425" s="504" t="s">
        <v>2849</v>
      </c>
      <c r="O8425" s="533" t="s">
        <v>2415</v>
      </c>
      <c r="P8425" s="257"/>
      <c r="Q8425" s="321"/>
      <c r="R8425" s="260"/>
      <c r="S8425" s="260"/>
      <c r="T8425" s="260"/>
      <c r="U8425" s="260"/>
      <c r="V8425" s="261"/>
      <c r="W8425" s="548">
        <f t="shared" si="40"/>
        <v>0</v>
      </c>
      <c r="X8425" s="261"/>
      <c r="Y8425" s="260"/>
      <c r="Z8425" s="548">
        <f t="shared" si="41"/>
        <v>0</v>
      </c>
      <c r="AA8425" s="261"/>
      <c r="AB8425" s="261"/>
      <c r="AC8425" s="548">
        <f t="shared" si="42"/>
        <v>0</v>
      </c>
      <c r="AD8425" s="57"/>
      <c r="AE8425" s="57"/>
      <c r="AF8425" s="57"/>
      <c r="AG8425" s="57"/>
      <c r="AH8425" s="57"/>
      <c r="AI8425" s="57"/>
      <c r="AJ8425" s="57"/>
      <c r="AK8425" s="57"/>
      <c r="AL8425" s="57"/>
      <c r="AM8425" s="385"/>
      <c r="AN8425"/>
    </row>
    <row r="8426" spans="1:40" s="47" customFormat="1" ht="22.5">
      <c r="A8426" s="121"/>
      <c r="B8426" s="121"/>
      <c r="C8426" s="121"/>
      <c r="D8426" s="121"/>
      <c r="E8426" s="121"/>
      <c r="F8426" s="121"/>
      <c r="G8426" s="121"/>
      <c r="H8426" s="121"/>
      <c r="I8426" s="121"/>
      <c r="J8426" s="121"/>
      <c r="K8426" s="121"/>
      <c r="L8426" s="121"/>
      <c r="M8426" s="121"/>
      <c r="N8426" s="504" t="s">
        <v>2850</v>
      </c>
      <c r="O8426" s="533" t="s">
        <v>2417</v>
      </c>
      <c r="P8426" s="257"/>
      <c r="Q8426" s="321"/>
      <c r="R8426" s="260"/>
      <c r="S8426" s="260"/>
      <c r="T8426" s="260"/>
      <c r="U8426" s="260"/>
      <c r="V8426" s="261"/>
      <c r="W8426" s="548">
        <f t="shared" si="40"/>
        <v>0</v>
      </c>
      <c r="X8426" s="261"/>
      <c r="Y8426" s="260"/>
      <c r="Z8426" s="548">
        <f t="shared" si="41"/>
        <v>0</v>
      </c>
      <c r="AA8426" s="261"/>
      <c r="AB8426" s="261"/>
      <c r="AC8426" s="548">
        <f t="shared" si="42"/>
        <v>0</v>
      </c>
      <c r="AD8426" s="57"/>
      <c r="AE8426" s="57"/>
      <c r="AF8426" s="57"/>
      <c r="AG8426" s="57"/>
      <c r="AH8426" s="57"/>
      <c r="AI8426" s="57"/>
      <c r="AJ8426" s="57"/>
      <c r="AK8426" s="57"/>
      <c r="AL8426" s="57"/>
      <c r="AM8426" s="385"/>
      <c r="AN8426"/>
    </row>
    <row r="8427" spans="1:40" s="47" customFormat="1">
      <c r="A8427" s="121"/>
      <c r="B8427" s="121"/>
      <c r="C8427" s="121"/>
      <c r="D8427" s="121"/>
      <c r="E8427" s="121"/>
      <c r="F8427" s="121"/>
      <c r="G8427" s="121"/>
      <c r="H8427" s="121"/>
      <c r="I8427" s="121"/>
      <c r="J8427" s="121"/>
      <c r="K8427" s="121"/>
      <c r="L8427" s="121"/>
      <c r="M8427" s="121"/>
      <c r="N8427" s="504" t="s">
        <v>2316</v>
      </c>
      <c r="O8427" s="533" t="s">
        <v>2420</v>
      </c>
      <c r="P8427" s="257"/>
      <c r="Q8427" s="321"/>
      <c r="R8427" s="260"/>
      <c r="S8427" s="260"/>
      <c r="T8427" s="260"/>
      <c r="U8427" s="260"/>
      <c r="V8427" s="261"/>
      <c r="W8427" s="548">
        <f t="shared" si="40"/>
        <v>0</v>
      </c>
      <c r="X8427" s="261"/>
      <c r="Y8427" s="260"/>
      <c r="Z8427" s="548">
        <f t="shared" si="41"/>
        <v>0</v>
      </c>
      <c r="AA8427" s="261"/>
      <c r="AB8427" s="261"/>
      <c r="AC8427" s="548">
        <f t="shared" si="42"/>
        <v>0</v>
      </c>
      <c r="AD8427" s="57"/>
      <c r="AE8427" s="57"/>
      <c r="AF8427" s="57"/>
      <c r="AG8427" s="57"/>
      <c r="AH8427" s="57"/>
      <c r="AI8427" s="57"/>
      <c r="AJ8427" s="57"/>
      <c r="AK8427" s="57"/>
      <c r="AL8427" s="57"/>
      <c r="AM8427" s="385"/>
      <c r="AN8427"/>
    </row>
    <row r="8428" spans="1:40" s="47" customFormat="1">
      <c r="A8428" s="121"/>
      <c r="B8428" s="121"/>
      <c r="C8428" s="121"/>
      <c r="D8428" s="121"/>
      <c r="E8428" s="121"/>
      <c r="F8428" s="121"/>
      <c r="G8428" s="121"/>
      <c r="H8428" s="121"/>
      <c r="I8428" s="121"/>
      <c r="J8428" s="121"/>
      <c r="K8428" s="121"/>
      <c r="L8428" s="121"/>
      <c r="M8428" s="121"/>
      <c r="N8428" s="504" t="s">
        <v>2317</v>
      </c>
      <c r="O8428" s="533" t="s">
        <v>2423</v>
      </c>
      <c r="P8428" s="257"/>
      <c r="Q8428" s="321"/>
      <c r="R8428" s="260"/>
      <c r="S8428" s="260"/>
      <c r="T8428" s="260"/>
      <c r="U8428" s="260"/>
      <c r="V8428" s="261"/>
      <c r="W8428" s="548">
        <f t="shared" si="40"/>
        <v>0</v>
      </c>
      <c r="X8428" s="261"/>
      <c r="Y8428" s="260"/>
      <c r="Z8428" s="548">
        <f t="shared" si="41"/>
        <v>0</v>
      </c>
      <c r="AA8428" s="261"/>
      <c r="AB8428" s="261"/>
      <c r="AC8428" s="548">
        <f t="shared" si="42"/>
        <v>0</v>
      </c>
      <c r="AD8428" s="57"/>
      <c r="AE8428" s="57"/>
      <c r="AF8428" s="57"/>
      <c r="AG8428" s="57"/>
      <c r="AH8428" s="57"/>
      <c r="AI8428" s="57"/>
      <c r="AJ8428" s="57"/>
      <c r="AK8428" s="57"/>
      <c r="AL8428" s="57"/>
      <c r="AM8428" s="385"/>
      <c r="AN8428"/>
    </row>
    <row r="8429" spans="1:40" s="47" customFormat="1">
      <c r="A8429" s="121"/>
      <c r="B8429" s="121"/>
      <c r="C8429" s="121"/>
      <c r="D8429" s="121"/>
      <c r="E8429" s="121"/>
      <c r="F8429" s="121"/>
      <c r="G8429" s="121"/>
      <c r="H8429" s="121"/>
      <c r="I8429" s="121"/>
      <c r="J8429" s="121"/>
      <c r="K8429" s="121"/>
      <c r="L8429" s="121"/>
      <c r="M8429" s="121"/>
      <c r="N8429" s="504" t="s">
        <v>2318</v>
      </c>
      <c r="O8429" s="533" t="s">
        <v>2426</v>
      </c>
      <c r="P8429" s="257"/>
      <c r="Q8429" s="321"/>
      <c r="R8429" s="260"/>
      <c r="S8429" s="260"/>
      <c r="T8429" s="260"/>
      <c r="U8429" s="260"/>
      <c r="V8429" s="261"/>
      <c r="W8429" s="548">
        <f t="shared" si="40"/>
        <v>0</v>
      </c>
      <c r="X8429" s="261"/>
      <c r="Y8429" s="260"/>
      <c r="Z8429" s="548">
        <f t="shared" si="41"/>
        <v>0</v>
      </c>
      <c r="AA8429" s="261"/>
      <c r="AB8429" s="261"/>
      <c r="AC8429" s="548">
        <f t="shared" si="42"/>
        <v>0</v>
      </c>
      <c r="AD8429" s="57"/>
      <c r="AE8429" s="57"/>
      <c r="AF8429" s="57"/>
      <c r="AG8429" s="57"/>
      <c r="AH8429" s="57"/>
      <c r="AI8429" s="57"/>
      <c r="AJ8429" s="57"/>
      <c r="AK8429" s="57"/>
      <c r="AL8429" s="57"/>
      <c r="AM8429" s="385"/>
      <c r="AN8429"/>
    </row>
    <row r="8430" spans="1:40" s="47" customFormat="1">
      <c r="A8430" s="121"/>
      <c r="B8430" s="121"/>
      <c r="C8430" s="121"/>
      <c r="D8430" s="121"/>
      <c r="E8430" s="121"/>
      <c r="F8430" s="121"/>
      <c r="G8430" s="121"/>
      <c r="H8430" s="121"/>
      <c r="I8430" s="121"/>
      <c r="J8430" s="121"/>
      <c r="K8430" s="121"/>
      <c r="L8430" s="121"/>
      <c r="M8430" s="121"/>
      <c r="N8430" s="560" t="str">
        <f>IF(TEMPLATE_SPHERE="водоснабжения","2.9","")</f>
        <v/>
      </c>
      <c r="O8430" s="561" t="str">
        <f>IF(TEMPLATE_SPHERE="водоснабжения","Покупная вода","")</f>
        <v/>
      </c>
      <c r="P8430" s="257"/>
      <c r="Q8430" s="321"/>
      <c r="R8430" s="260"/>
      <c r="S8430" s="260"/>
      <c r="T8430" s="260"/>
      <c r="U8430" s="260"/>
      <c r="V8430" s="261"/>
      <c r="W8430" s="548">
        <f t="shared" si="40"/>
        <v>0</v>
      </c>
      <c r="X8430" s="261"/>
      <c r="Y8430" s="260"/>
      <c r="Z8430" s="548">
        <f t="shared" si="41"/>
        <v>0</v>
      </c>
      <c r="AA8430" s="261"/>
      <c r="AB8430" s="261"/>
      <c r="AC8430" s="548">
        <f t="shared" si="42"/>
        <v>0</v>
      </c>
      <c r="AD8430" s="57"/>
      <c r="AE8430" s="57"/>
      <c r="AF8430" s="57"/>
      <c r="AG8430" s="57"/>
      <c r="AH8430" s="57"/>
      <c r="AI8430" s="57"/>
      <c r="AJ8430" s="57"/>
      <c r="AK8430" s="57"/>
      <c r="AL8430" s="57"/>
      <c r="AM8430" s="385"/>
      <c r="AN8430"/>
    </row>
    <row r="8431" spans="1:40" s="47" customFormat="1">
      <c r="A8431" s="121"/>
      <c r="B8431" s="121"/>
      <c r="C8431" s="121"/>
      <c r="D8431" s="121"/>
      <c r="E8431" s="121"/>
      <c r="F8431" s="121"/>
      <c r="G8431" s="121"/>
      <c r="H8431" s="121"/>
      <c r="I8431" s="121"/>
      <c r="J8431" s="121"/>
      <c r="K8431" s="121"/>
      <c r="L8431" s="121"/>
      <c r="M8431" s="121"/>
      <c r="N8431" s="222"/>
      <c r="O8431" s="529"/>
      <c r="P8431" s="255"/>
      <c r="Q8431" s="321"/>
      <c r="R8431" s="260"/>
      <c r="S8431" s="260"/>
      <c r="T8431" s="260"/>
      <c r="U8431" s="260"/>
      <c r="V8431" s="260"/>
      <c r="W8431" s="260"/>
      <c r="X8431" s="260"/>
      <c r="Y8431" s="260"/>
      <c r="Z8431" s="260"/>
      <c r="AA8431" s="260"/>
      <c r="AB8431" s="260"/>
      <c r="AC8431" s="260"/>
      <c r="AD8431" s="57"/>
      <c r="AE8431" s="57"/>
      <c r="AF8431" s="57"/>
      <c r="AG8431" s="57"/>
      <c r="AH8431" s="57"/>
      <c r="AI8431" s="57"/>
      <c r="AJ8431" s="57"/>
      <c r="AK8431" s="57"/>
      <c r="AL8431" s="57"/>
      <c r="AM8431" s="385"/>
      <c r="AN8431"/>
    </row>
    <row r="8432" spans="1:40" s="47" customFormat="1">
      <c r="A8432" s="121"/>
      <c r="B8432" s="121"/>
      <c r="C8432" s="121"/>
      <c r="D8432" s="121"/>
      <c r="E8432" s="121"/>
      <c r="F8432" s="121"/>
      <c r="G8432" s="121"/>
      <c r="H8432" s="121"/>
      <c r="I8432" s="121"/>
      <c r="J8432" s="121"/>
      <c r="K8432" s="121"/>
      <c r="L8432" s="121"/>
      <c r="M8432" s="121"/>
      <c r="N8432" s="222"/>
      <c r="O8432" s="529"/>
      <c r="P8432" s="255"/>
      <c r="Q8432" s="321"/>
      <c r="R8432" s="260"/>
      <c r="S8432" s="260"/>
      <c r="T8432" s="260"/>
      <c r="U8432" s="260"/>
      <c r="V8432" s="260"/>
      <c r="W8432" s="260"/>
      <c r="X8432" s="260"/>
      <c r="Y8432" s="260"/>
      <c r="Z8432" s="260"/>
      <c r="AA8432" s="260"/>
      <c r="AB8432" s="260"/>
      <c r="AC8432" s="260"/>
      <c r="AD8432" s="57"/>
      <c r="AE8432" s="57"/>
      <c r="AF8432" s="57"/>
      <c r="AG8432" s="57"/>
      <c r="AH8432" s="57"/>
      <c r="AI8432" s="57"/>
      <c r="AJ8432" s="57"/>
      <c r="AK8432" s="57"/>
      <c r="AL8432" s="57"/>
      <c r="AM8432" s="385"/>
      <c r="AN8432"/>
    </row>
    <row r="8433" spans="1:40" s="47" customFormat="1">
      <c r="A8433" s="121"/>
      <c r="B8433" s="121"/>
      <c r="C8433" s="121"/>
      <c r="D8433" s="121"/>
      <c r="E8433" s="121"/>
      <c r="F8433" s="121"/>
      <c r="G8433" s="121"/>
      <c r="H8433" s="121"/>
      <c r="I8433" s="121"/>
      <c r="J8433" s="121"/>
      <c r="K8433" s="121"/>
      <c r="L8433" s="121"/>
      <c r="M8433" s="121"/>
      <c r="N8433" s="222"/>
      <c r="O8433" s="529"/>
      <c r="P8433" s="255"/>
      <c r="Q8433" s="321"/>
      <c r="R8433" s="260"/>
      <c r="S8433" s="260"/>
      <c r="T8433" s="260"/>
      <c r="U8433" s="260"/>
      <c r="V8433" s="260"/>
      <c r="W8433" s="260"/>
      <c r="X8433" s="260"/>
      <c r="Y8433" s="260"/>
      <c r="Z8433" s="260"/>
      <c r="AA8433" s="260"/>
      <c r="AB8433" s="260"/>
      <c r="AC8433" s="260"/>
      <c r="AD8433" s="57"/>
      <c r="AE8433" s="57"/>
      <c r="AF8433" s="57"/>
      <c r="AG8433" s="57"/>
      <c r="AH8433" s="57"/>
      <c r="AI8433" s="57"/>
      <c r="AJ8433" s="57"/>
      <c r="AK8433" s="57"/>
      <c r="AL8433" s="57"/>
      <c r="AM8433" s="385"/>
      <c r="AN8433"/>
    </row>
    <row r="8434" spans="1:40" s="47" customFormat="1" ht="22.5">
      <c r="A8434" s="121"/>
      <c r="B8434" s="121"/>
      <c r="C8434" s="121"/>
      <c r="D8434" s="121"/>
      <c r="E8434" s="121"/>
      <c r="F8434" s="121"/>
      <c r="G8434" s="121"/>
      <c r="H8434" s="121"/>
      <c r="I8434" s="121"/>
      <c r="J8434" s="121"/>
      <c r="K8434" s="121"/>
      <c r="L8434" s="121"/>
      <c r="M8434" s="121"/>
      <c r="N8434" s="504" t="s">
        <v>2323</v>
      </c>
      <c r="O8434"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P8434" s="257"/>
      <c r="Q8434" s="321"/>
      <c r="R8434" s="260"/>
      <c r="S8434" s="260"/>
      <c r="T8434" s="260"/>
      <c r="U8434" s="260"/>
      <c r="V8434" s="261"/>
      <c r="W8434" s="548">
        <f t="shared" si="40"/>
        <v>0</v>
      </c>
      <c r="X8434" s="261"/>
      <c r="Y8434" s="260"/>
      <c r="Z8434" s="548">
        <f t="shared" si="41"/>
        <v>0</v>
      </c>
      <c r="AA8434" s="261"/>
      <c r="AB8434" s="261"/>
      <c r="AC8434" s="548">
        <f t="shared" si="42"/>
        <v>0</v>
      </c>
      <c r="AD8434" s="57"/>
      <c r="AE8434" s="57"/>
      <c r="AF8434" s="57"/>
      <c r="AG8434" s="57"/>
      <c r="AH8434" s="57"/>
      <c r="AI8434" s="57"/>
      <c r="AJ8434" s="57"/>
      <c r="AK8434" s="57"/>
      <c r="AL8434" s="57"/>
      <c r="AM8434" s="385"/>
      <c r="AN8434"/>
    </row>
    <row r="8435" spans="1:40" s="47" customFormat="1" ht="22.5">
      <c r="A8435" s="121"/>
      <c r="B8435" s="121"/>
      <c r="C8435" s="121"/>
      <c r="D8435" s="121"/>
      <c r="E8435" s="121"/>
      <c r="F8435" s="121"/>
      <c r="G8435" s="121"/>
      <c r="H8435" s="121"/>
      <c r="I8435" s="121"/>
      <c r="J8435" s="121"/>
      <c r="K8435" s="121"/>
      <c r="L8435" s="121"/>
      <c r="M8435" s="121"/>
      <c r="N8435" s="504" t="s">
        <v>2324</v>
      </c>
      <c r="O8435"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P8435" s="257"/>
      <c r="Q8435" s="321"/>
      <c r="R8435" s="260"/>
      <c r="S8435" s="260"/>
      <c r="T8435" s="260"/>
      <c r="U8435" s="260"/>
      <c r="V8435" s="261"/>
      <c r="W8435" s="548">
        <f t="shared" si="40"/>
        <v>0</v>
      </c>
      <c r="X8435" s="261"/>
      <c r="Y8435" s="260"/>
      <c r="Z8435" s="548">
        <f t="shared" si="41"/>
        <v>0</v>
      </c>
      <c r="AA8435" s="261"/>
      <c r="AB8435" s="261"/>
      <c r="AC8435" s="548">
        <f t="shared" si="42"/>
        <v>0</v>
      </c>
      <c r="AD8435" s="57"/>
      <c r="AE8435" s="57"/>
      <c r="AF8435" s="57"/>
      <c r="AG8435" s="57"/>
      <c r="AH8435" s="57"/>
      <c r="AI8435" s="57"/>
      <c r="AJ8435" s="57"/>
      <c r="AK8435" s="57"/>
      <c r="AL8435" s="57"/>
      <c r="AM8435" s="385"/>
      <c r="AN8435"/>
    </row>
    <row r="8436" spans="1:40" s="47" customFormat="1">
      <c r="A8436" s="121"/>
      <c r="B8436" s="121"/>
      <c r="C8436" s="121"/>
      <c r="D8436" s="121"/>
      <c r="E8436" s="121"/>
      <c r="F8436" s="121"/>
      <c r="G8436" s="121"/>
      <c r="H8436" s="121"/>
      <c r="I8436" s="121"/>
      <c r="J8436" s="121"/>
      <c r="K8436" s="121"/>
      <c r="L8436" s="121"/>
      <c r="M8436" s="121"/>
      <c r="N8436" s="504" t="s">
        <v>2325</v>
      </c>
      <c r="O8436"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P8436" s="257"/>
      <c r="Q8436" s="321"/>
      <c r="R8436" s="260"/>
      <c r="S8436" s="260"/>
      <c r="T8436" s="260"/>
      <c r="U8436" s="260"/>
      <c r="V8436" s="261"/>
      <c r="W8436" s="548">
        <f t="shared" si="40"/>
        <v>0</v>
      </c>
      <c r="X8436" s="261"/>
      <c r="Y8436" s="260"/>
      <c r="Z8436" s="548">
        <f t="shared" si="41"/>
        <v>0</v>
      </c>
      <c r="AA8436" s="261"/>
      <c r="AB8436" s="261"/>
      <c r="AC8436" s="548">
        <f t="shared" si="42"/>
        <v>0</v>
      </c>
      <c r="AD8436" s="57"/>
      <c r="AE8436" s="57"/>
      <c r="AF8436" s="57"/>
      <c r="AG8436" s="57"/>
      <c r="AH8436" s="57"/>
      <c r="AI8436" s="57"/>
      <c r="AJ8436" s="57"/>
      <c r="AK8436" s="57"/>
      <c r="AL8436" s="57"/>
      <c r="AM8436" s="385"/>
      <c r="AN8436"/>
    </row>
    <row r="8437" spans="1:40" s="47" customFormat="1">
      <c r="A8437" s="121"/>
      <c r="B8437" s="121"/>
      <c r="C8437" s="121"/>
      <c r="D8437" s="121"/>
      <c r="E8437" s="121"/>
      <c r="F8437" s="121"/>
      <c r="G8437" s="121"/>
      <c r="H8437" s="121"/>
      <c r="I8437" s="121"/>
      <c r="J8437" s="121"/>
      <c r="K8437" s="121"/>
      <c r="L8437" s="121"/>
      <c r="M8437" s="121"/>
      <c r="N8437" s="504" t="s">
        <v>2326</v>
      </c>
      <c r="O8437" s="527" t="s">
        <v>2327</v>
      </c>
      <c r="P8437" s="257"/>
      <c r="Q8437" s="321"/>
      <c r="R8437" s="260"/>
      <c r="S8437" s="260"/>
      <c r="T8437" s="260"/>
      <c r="U8437" s="260"/>
      <c r="V8437" s="257">
        <f>SUM(V8438:V8439)</f>
        <v>0</v>
      </c>
      <c r="W8437" s="548">
        <f t="shared" si="40"/>
        <v>0</v>
      </c>
      <c r="X8437" s="257">
        <f>SUM(X8438:X8439)</f>
        <v>0</v>
      </c>
      <c r="Y8437" s="260"/>
      <c r="Z8437" s="548">
        <f t="shared" si="41"/>
        <v>0</v>
      </c>
      <c r="AA8437" s="257">
        <f>SUM(AA8438:AA8439)</f>
        <v>0</v>
      </c>
      <c r="AB8437" s="257">
        <f>SUM(AB8438:AB8439)</f>
        <v>0</v>
      </c>
      <c r="AC8437" s="548">
        <f t="shared" si="42"/>
        <v>0</v>
      </c>
      <c r="AD8437" s="57"/>
      <c r="AE8437" s="57"/>
      <c r="AF8437" s="57"/>
      <c r="AG8437" s="57"/>
      <c r="AH8437" s="57"/>
      <c r="AI8437" s="57"/>
      <c r="AJ8437" s="57"/>
      <c r="AK8437" s="57"/>
      <c r="AL8437" s="57"/>
      <c r="AM8437" s="385"/>
      <c r="AN8437"/>
    </row>
    <row r="8438" spans="1:40" s="47" customFormat="1">
      <c r="A8438" s="121"/>
      <c r="B8438" s="121"/>
      <c r="C8438" s="121"/>
      <c r="D8438" s="121"/>
      <c r="E8438" s="121"/>
      <c r="F8438" s="121"/>
      <c r="G8438" s="121"/>
      <c r="H8438" s="121"/>
      <c r="I8438" s="121"/>
      <c r="J8438" s="121"/>
      <c r="K8438" s="121"/>
      <c r="L8438" s="121"/>
      <c r="M8438" s="121"/>
      <c r="N8438" s="504" t="s">
        <v>2328</v>
      </c>
      <c r="O8438" s="528" t="s">
        <v>2329</v>
      </c>
      <c r="P8438" s="257"/>
      <c r="Q8438" s="321"/>
      <c r="R8438" s="260"/>
      <c r="S8438" s="260"/>
      <c r="T8438" s="260"/>
      <c r="U8438" s="260"/>
      <c r="V8438" s="261"/>
      <c r="W8438" s="548">
        <f t="shared" si="40"/>
        <v>0</v>
      </c>
      <c r="X8438" s="261"/>
      <c r="Y8438" s="260"/>
      <c r="Z8438" s="548">
        <f t="shared" si="41"/>
        <v>0</v>
      </c>
      <c r="AA8438" s="261"/>
      <c r="AB8438" s="261"/>
      <c r="AC8438" s="548">
        <f t="shared" si="42"/>
        <v>0</v>
      </c>
      <c r="AD8438" s="57"/>
      <c r="AE8438" s="57"/>
      <c r="AF8438" s="57"/>
      <c r="AG8438" s="57"/>
      <c r="AH8438" s="57"/>
      <c r="AI8438" s="57"/>
      <c r="AJ8438" s="57"/>
      <c r="AK8438" s="57"/>
      <c r="AL8438" s="57"/>
      <c r="AM8438" s="385"/>
      <c r="AN8438"/>
    </row>
    <row r="8439" spans="1:40" s="47" customFormat="1">
      <c r="A8439" s="121"/>
      <c r="B8439" s="121"/>
      <c r="C8439" s="121"/>
      <c r="D8439" s="121"/>
      <c r="E8439" s="121"/>
      <c r="F8439" s="121"/>
      <c r="G8439" s="121"/>
      <c r="H8439" s="121"/>
      <c r="I8439" s="121"/>
      <c r="J8439" s="121"/>
      <c r="K8439" s="121"/>
      <c r="L8439" s="121"/>
      <c r="M8439" s="121"/>
      <c r="N8439" s="504" t="s">
        <v>2330</v>
      </c>
      <c r="O8439" s="528" t="s">
        <v>2331</v>
      </c>
      <c r="P8439" s="257"/>
      <c r="Q8439" s="321"/>
      <c r="R8439" s="260"/>
      <c r="S8439" s="260"/>
      <c r="T8439" s="260"/>
      <c r="U8439" s="260"/>
      <c r="V8439" s="261"/>
      <c r="W8439" s="548">
        <f t="shared" si="40"/>
        <v>0</v>
      </c>
      <c r="X8439" s="261"/>
      <c r="Y8439" s="260"/>
      <c r="Z8439" s="548">
        <f t="shared" si="41"/>
        <v>0</v>
      </c>
      <c r="AA8439" s="261"/>
      <c r="AB8439" s="261"/>
      <c r="AC8439" s="548">
        <f t="shared" si="42"/>
        <v>0</v>
      </c>
      <c r="AD8439" s="57"/>
      <c r="AE8439" s="57"/>
      <c r="AF8439" s="57"/>
      <c r="AG8439" s="57"/>
      <c r="AH8439" s="57"/>
      <c r="AI8439" s="57"/>
      <c r="AJ8439" s="57"/>
      <c r="AK8439" s="57"/>
      <c r="AL8439" s="57"/>
      <c r="AM8439" s="385"/>
      <c r="AN8439"/>
    </row>
    <row r="8440" spans="1:40" s="47" customFormat="1">
      <c r="A8440" s="121"/>
      <c r="B8440" s="121"/>
      <c r="C8440" s="121"/>
      <c r="D8440" s="121"/>
      <c r="E8440" s="121"/>
      <c r="F8440" s="121"/>
      <c r="G8440" s="121"/>
      <c r="H8440" s="121"/>
      <c r="I8440" s="121"/>
      <c r="J8440" s="121"/>
      <c r="K8440" s="121"/>
      <c r="L8440" s="121"/>
      <c r="M8440" s="121"/>
      <c r="N8440" s="504" t="s">
        <v>2332</v>
      </c>
      <c r="O8440" s="527" t="s">
        <v>2333</v>
      </c>
      <c r="P8440" s="257"/>
      <c r="Q8440" s="321"/>
      <c r="R8440" s="260"/>
      <c r="S8440" s="260"/>
      <c r="T8440" s="260"/>
      <c r="U8440" s="260"/>
      <c r="V8440" s="261"/>
      <c r="W8440" s="548">
        <f t="shared" si="40"/>
        <v>0</v>
      </c>
      <c r="X8440" s="261"/>
      <c r="Y8440" s="260"/>
      <c r="Z8440" s="548">
        <f t="shared" si="41"/>
        <v>0</v>
      </c>
      <c r="AA8440" s="261"/>
      <c r="AB8440" s="261"/>
      <c r="AC8440" s="548">
        <f t="shared" si="42"/>
        <v>0</v>
      </c>
      <c r="AD8440" s="57"/>
      <c r="AE8440" s="57"/>
      <c r="AF8440" s="57"/>
      <c r="AG8440" s="57"/>
      <c r="AH8440" s="57"/>
      <c r="AI8440" s="57"/>
      <c r="AJ8440" s="57"/>
      <c r="AK8440" s="57"/>
      <c r="AL8440" s="57"/>
      <c r="AM8440" s="385"/>
      <c r="AN8440"/>
    </row>
    <row r="8441" spans="1:40" s="47" customFormat="1">
      <c r="A8441" s="121"/>
      <c r="B8441" s="121"/>
      <c r="C8441" s="121"/>
      <c r="D8441" s="121"/>
      <c r="E8441" s="121"/>
      <c r="F8441" s="121"/>
      <c r="G8441" s="121"/>
      <c r="H8441" s="121"/>
      <c r="I8441" s="121"/>
      <c r="J8441" s="121"/>
      <c r="K8441" s="121"/>
      <c r="L8441" s="121"/>
      <c r="M8441" s="121"/>
      <c r="N8441" s="504" t="s">
        <v>2334</v>
      </c>
      <c r="O8441" s="527" t="s">
        <v>2335</v>
      </c>
      <c r="P8441" s="257"/>
      <c r="Q8441" s="321"/>
      <c r="R8441" s="260"/>
      <c r="S8441" s="260"/>
      <c r="T8441" s="260"/>
      <c r="U8441" s="260"/>
      <c r="V8441" s="261"/>
      <c r="W8441" s="548">
        <f t="shared" si="40"/>
        <v>0</v>
      </c>
      <c r="X8441" s="261"/>
      <c r="Y8441" s="260"/>
      <c r="Z8441" s="548">
        <f t="shared" si="41"/>
        <v>0</v>
      </c>
      <c r="AA8441" s="261"/>
      <c r="AB8441" s="261"/>
      <c r="AC8441" s="548">
        <f t="shared" si="42"/>
        <v>0</v>
      </c>
      <c r="AD8441" s="57"/>
      <c r="AE8441" s="57"/>
      <c r="AF8441" s="57"/>
      <c r="AG8441" s="57"/>
      <c r="AH8441" s="57"/>
      <c r="AI8441" s="57"/>
      <c r="AJ8441" s="57"/>
      <c r="AK8441" s="57"/>
      <c r="AL8441" s="57"/>
      <c r="AM8441" s="385"/>
      <c r="AN8441"/>
    </row>
    <row r="8442" spans="1:40" s="47" customFormat="1" ht="22.5">
      <c r="A8442" s="121"/>
      <c r="B8442" s="121"/>
      <c r="C8442" s="121"/>
      <c r="D8442" s="121"/>
      <c r="E8442" s="121"/>
      <c r="F8442" s="121"/>
      <c r="G8442" s="121"/>
      <c r="H8442" s="121"/>
      <c r="I8442" s="121"/>
      <c r="J8442" s="121"/>
      <c r="K8442" s="121"/>
      <c r="L8442" s="121"/>
      <c r="M8442" s="121"/>
      <c r="N8442" s="504" t="s">
        <v>2336</v>
      </c>
      <c r="O8442" s="527" t="s">
        <v>2337</v>
      </c>
      <c r="P8442" s="257"/>
      <c r="Q8442" s="321"/>
      <c r="R8442" s="260"/>
      <c r="S8442" s="260"/>
      <c r="T8442" s="260"/>
      <c r="U8442" s="260"/>
      <c r="V8442" s="261"/>
      <c r="W8442" s="548">
        <f t="shared" si="40"/>
        <v>0</v>
      </c>
      <c r="X8442" s="261"/>
      <c r="Y8442" s="260"/>
      <c r="Z8442" s="548">
        <f t="shared" si="41"/>
        <v>0</v>
      </c>
      <c r="AA8442" s="261"/>
      <c r="AB8442" s="261"/>
      <c r="AC8442" s="548">
        <f t="shared" si="42"/>
        <v>0</v>
      </c>
      <c r="AD8442" s="57"/>
      <c r="AE8442" s="57"/>
      <c r="AF8442" s="57"/>
      <c r="AG8442" s="57"/>
      <c r="AH8442" s="57"/>
      <c r="AI8442" s="57"/>
      <c r="AJ8442" s="57"/>
      <c r="AK8442" s="57"/>
      <c r="AL8442" s="57"/>
      <c r="AM8442" s="385"/>
      <c r="AN8442"/>
    </row>
    <row r="8443" spans="1:40" s="47" customFormat="1">
      <c r="A8443" s="121"/>
      <c r="B8443" s="121"/>
      <c r="C8443" s="121"/>
      <c r="D8443" s="121"/>
      <c r="E8443" s="121"/>
      <c r="F8443" s="121"/>
      <c r="G8443" s="121"/>
      <c r="H8443" s="121"/>
      <c r="I8443" s="121"/>
      <c r="J8443" s="121"/>
      <c r="K8443" s="121"/>
      <c r="L8443" s="121"/>
      <c r="M8443" s="121"/>
      <c r="N8443" s="504" t="s">
        <v>2338</v>
      </c>
      <c r="O8443" s="527" t="s">
        <v>2339</v>
      </c>
      <c r="P8443" s="257"/>
      <c r="Q8443" s="321"/>
      <c r="R8443" s="260"/>
      <c r="S8443" s="260"/>
      <c r="T8443" s="260"/>
      <c r="U8443" s="260"/>
      <c r="V8443" s="257">
        <f>SUM(V8444:V8452)</f>
        <v>0</v>
      </c>
      <c r="W8443" s="548">
        <f t="shared" si="40"/>
        <v>0</v>
      </c>
      <c r="X8443" s="257">
        <f>SUM(X8444:X8452)</f>
        <v>0</v>
      </c>
      <c r="Y8443" s="260"/>
      <c r="Z8443" s="548">
        <f t="shared" si="41"/>
        <v>0</v>
      </c>
      <c r="AA8443" s="257">
        <f>SUM(AA8444:AA8452)</f>
        <v>0</v>
      </c>
      <c r="AB8443" s="257">
        <f>SUM(AB8444:AB8452)</f>
        <v>0</v>
      </c>
      <c r="AC8443" s="548">
        <f t="shared" si="42"/>
        <v>0</v>
      </c>
      <c r="AD8443" s="57"/>
      <c r="AE8443" s="57"/>
      <c r="AF8443" s="57"/>
      <c r="AG8443" s="57"/>
      <c r="AH8443" s="57"/>
      <c r="AI8443" s="57"/>
      <c r="AJ8443" s="57"/>
      <c r="AK8443" s="57"/>
      <c r="AL8443" s="57"/>
      <c r="AM8443" s="385"/>
      <c r="AN8443"/>
    </row>
    <row r="8444" spans="1:40" s="47" customFormat="1">
      <c r="A8444" s="121"/>
      <c r="B8444" s="121"/>
      <c r="C8444" s="121"/>
      <c r="D8444" s="121"/>
      <c r="E8444" s="121"/>
      <c r="F8444" s="121"/>
      <c r="G8444" s="121"/>
      <c r="H8444" s="121"/>
      <c r="I8444" s="121"/>
      <c r="J8444" s="121"/>
      <c r="K8444" s="121"/>
      <c r="L8444" s="121"/>
      <c r="M8444" s="121"/>
      <c r="N8444" s="504" t="s">
        <v>2340</v>
      </c>
      <c r="O8444" s="528" t="s">
        <v>2341</v>
      </c>
      <c r="P8444" s="257"/>
      <c r="Q8444" s="321"/>
      <c r="R8444" s="260"/>
      <c r="S8444" s="260"/>
      <c r="T8444" s="260"/>
      <c r="U8444" s="260"/>
      <c r="V8444" s="261"/>
      <c r="W8444" s="548">
        <f t="shared" si="40"/>
        <v>0</v>
      </c>
      <c r="X8444" s="261"/>
      <c r="Y8444" s="260"/>
      <c r="Z8444" s="548">
        <f t="shared" si="41"/>
        <v>0</v>
      </c>
      <c r="AA8444" s="261"/>
      <c r="AB8444" s="261"/>
      <c r="AC8444" s="548">
        <f t="shared" si="42"/>
        <v>0</v>
      </c>
      <c r="AD8444" s="57"/>
      <c r="AE8444" s="57"/>
      <c r="AF8444" s="57"/>
      <c r="AG8444" s="57"/>
      <c r="AH8444" s="57"/>
      <c r="AI8444" s="57"/>
      <c r="AJ8444" s="57"/>
      <c r="AK8444" s="57"/>
      <c r="AL8444" s="57"/>
      <c r="AM8444" s="385"/>
      <c r="AN8444"/>
    </row>
    <row r="8445" spans="1:40" s="47" customFormat="1">
      <c r="A8445" s="121"/>
      <c r="B8445" s="121"/>
      <c r="C8445" s="121"/>
      <c r="D8445" s="121"/>
      <c r="E8445" s="121"/>
      <c r="F8445" s="121"/>
      <c r="G8445" s="121"/>
      <c r="H8445" s="121"/>
      <c r="I8445" s="121"/>
      <c r="J8445" s="121"/>
      <c r="K8445" s="121"/>
      <c r="L8445" s="121"/>
      <c r="M8445" s="121"/>
      <c r="N8445" s="504" t="s">
        <v>2342</v>
      </c>
      <c r="O8445" s="528" t="s">
        <v>2343</v>
      </c>
      <c r="P8445" s="257"/>
      <c r="Q8445" s="321"/>
      <c r="R8445" s="260"/>
      <c r="S8445" s="260"/>
      <c r="T8445" s="260"/>
      <c r="U8445" s="260"/>
      <c r="V8445" s="261"/>
      <c r="W8445" s="548">
        <f t="shared" si="40"/>
        <v>0</v>
      </c>
      <c r="X8445" s="261"/>
      <c r="Y8445" s="260"/>
      <c r="Z8445" s="548">
        <f t="shared" si="41"/>
        <v>0</v>
      </c>
      <c r="AA8445" s="261"/>
      <c r="AB8445" s="261"/>
      <c r="AC8445" s="548">
        <f t="shared" si="42"/>
        <v>0</v>
      </c>
      <c r="AD8445" s="57"/>
      <c r="AE8445" s="57"/>
      <c r="AF8445" s="57"/>
      <c r="AG8445" s="57"/>
      <c r="AH8445" s="57"/>
      <c r="AI8445" s="57"/>
      <c r="AJ8445" s="57"/>
      <c r="AK8445" s="57"/>
      <c r="AL8445" s="57"/>
      <c r="AM8445" s="385"/>
      <c r="AN8445"/>
    </row>
    <row r="8446" spans="1:40" s="47" customFormat="1">
      <c r="A8446" s="121"/>
      <c r="B8446" s="121"/>
      <c r="C8446" s="121"/>
      <c r="D8446" s="121"/>
      <c r="E8446" s="121"/>
      <c r="F8446" s="121"/>
      <c r="G8446" s="121"/>
      <c r="H8446" s="121"/>
      <c r="I8446" s="121"/>
      <c r="J8446" s="121"/>
      <c r="K8446" s="121"/>
      <c r="L8446" s="121"/>
      <c r="M8446" s="121"/>
      <c r="N8446" s="504" t="s">
        <v>2344</v>
      </c>
      <c r="O8446" s="528" t="s">
        <v>2345</v>
      </c>
      <c r="P8446" s="257"/>
      <c r="Q8446" s="321"/>
      <c r="R8446" s="260"/>
      <c r="S8446" s="260"/>
      <c r="T8446" s="260"/>
      <c r="U8446" s="260"/>
      <c r="V8446" s="261"/>
      <c r="W8446" s="548">
        <f t="shared" si="40"/>
        <v>0</v>
      </c>
      <c r="X8446" s="261"/>
      <c r="Y8446" s="260"/>
      <c r="Z8446" s="548">
        <f t="shared" si="41"/>
        <v>0</v>
      </c>
      <c r="AA8446" s="261"/>
      <c r="AB8446" s="261"/>
      <c r="AC8446" s="548">
        <f t="shared" si="42"/>
        <v>0</v>
      </c>
      <c r="AD8446" s="57"/>
      <c r="AE8446" s="57"/>
      <c r="AF8446" s="57"/>
      <c r="AG8446" s="57"/>
      <c r="AH8446" s="57"/>
      <c r="AI8446" s="57"/>
      <c r="AJ8446" s="57"/>
      <c r="AK8446" s="57"/>
      <c r="AL8446" s="57"/>
      <c r="AM8446" s="385"/>
      <c r="AN8446"/>
    </row>
    <row r="8447" spans="1:40" s="47" customFormat="1">
      <c r="A8447" s="121"/>
      <c r="B8447" s="121"/>
      <c r="C8447" s="121"/>
      <c r="D8447" s="121"/>
      <c r="E8447" s="121"/>
      <c r="F8447" s="121"/>
      <c r="G8447" s="121"/>
      <c r="H8447" s="121"/>
      <c r="I8447" s="121"/>
      <c r="J8447" s="121"/>
      <c r="K8447" s="121"/>
      <c r="L8447" s="121"/>
      <c r="M8447" s="121"/>
      <c r="N8447" s="504" t="s">
        <v>2346</v>
      </c>
      <c r="O8447" s="528" t="s">
        <v>2347</v>
      </c>
      <c r="P8447" s="257"/>
      <c r="Q8447" s="321"/>
      <c r="R8447" s="260"/>
      <c r="S8447" s="260"/>
      <c r="T8447" s="260"/>
      <c r="U8447" s="260"/>
      <c r="V8447" s="261"/>
      <c r="W8447" s="548">
        <f t="shared" si="40"/>
        <v>0</v>
      </c>
      <c r="X8447" s="261"/>
      <c r="Y8447" s="260"/>
      <c r="Z8447" s="548">
        <f t="shared" si="41"/>
        <v>0</v>
      </c>
      <c r="AA8447" s="261"/>
      <c r="AB8447" s="261"/>
      <c r="AC8447" s="548">
        <f t="shared" si="42"/>
        <v>0</v>
      </c>
      <c r="AD8447" s="57"/>
      <c r="AE8447" s="57"/>
      <c r="AF8447" s="57"/>
      <c r="AG8447" s="57"/>
      <c r="AH8447" s="57"/>
      <c r="AI8447" s="57"/>
      <c r="AJ8447" s="57"/>
      <c r="AK8447" s="57"/>
      <c r="AL8447" s="57"/>
      <c r="AM8447" s="385"/>
      <c r="AN8447"/>
    </row>
    <row r="8448" spans="1:40" s="47" customFormat="1">
      <c r="A8448" s="121"/>
      <c r="B8448" s="121"/>
      <c r="C8448" s="121"/>
      <c r="D8448" s="121"/>
      <c r="E8448" s="121"/>
      <c r="F8448" s="121"/>
      <c r="G8448" s="121"/>
      <c r="H8448" s="121"/>
      <c r="I8448" s="121"/>
      <c r="J8448" s="121"/>
      <c r="K8448" s="121"/>
      <c r="L8448" s="121"/>
      <c r="M8448" s="121"/>
      <c r="N8448" s="504" t="s">
        <v>2348</v>
      </c>
      <c r="O8448" s="528" t="s">
        <v>2349</v>
      </c>
      <c r="P8448" s="257"/>
      <c r="Q8448" s="321"/>
      <c r="R8448" s="260"/>
      <c r="S8448" s="260"/>
      <c r="T8448" s="260"/>
      <c r="U8448" s="260"/>
      <c r="V8448" s="261"/>
      <c r="W8448" s="548">
        <f t="shared" si="40"/>
        <v>0</v>
      </c>
      <c r="X8448" s="261"/>
      <c r="Y8448" s="260"/>
      <c r="Z8448" s="548">
        <f t="shared" si="41"/>
        <v>0</v>
      </c>
      <c r="AA8448" s="261"/>
      <c r="AB8448" s="261"/>
      <c r="AC8448" s="548">
        <f t="shared" si="42"/>
        <v>0</v>
      </c>
      <c r="AD8448" s="57"/>
      <c r="AE8448" s="57"/>
      <c r="AF8448" s="57"/>
      <c r="AG8448" s="57"/>
      <c r="AH8448" s="57"/>
      <c r="AI8448" s="57"/>
      <c r="AJ8448" s="57"/>
      <c r="AK8448" s="57"/>
      <c r="AL8448" s="57"/>
      <c r="AM8448" s="385"/>
      <c r="AN8448"/>
    </row>
    <row r="8449" spans="1:40" s="47" customFormat="1">
      <c r="A8449" s="121"/>
      <c r="B8449" s="121"/>
      <c r="C8449" s="121"/>
      <c r="D8449" s="121"/>
      <c r="E8449" s="121"/>
      <c r="F8449" s="121"/>
      <c r="G8449" s="121"/>
      <c r="H8449" s="121"/>
      <c r="I8449" s="121"/>
      <c r="J8449" s="121"/>
      <c r="K8449" s="121"/>
      <c r="L8449" s="121"/>
      <c r="M8449" s="121"/>
      <c r="N8449" s="504" t="s">
        <v>2350</v>
      </c>
      <c r="O8449" s="528" t="s">
        <v>2351</v>
      </c>
      <c r="P8449" s="257"/>
      <c r="Q8449" s="321"/>
      <c r="R8449" s="260"/>
      <c r="S8449" s="260"/>
      <c r="T8449" s="260"/>
      <c r="U8449" s="260"/>
      <c r="V8449" s="261"/>
      <c r="W8449" s="548">
        <f t="shared" si="40"/>
        <v>0</v>
      </c>
      <c r="X8449" s="261"/>
      <c r="Y8449" s="260"/>
      <c r="Z8449" s="548">
        <f t="shared" si="41"/>
        <v>0</v>
      </c>
      <c r="AA8449" s="261"/>
      <c r="AB8449" s="261"/>
      <c r="AC8449" s="548">
        <f t="shared" si="42"/>
        <v>0</v>
      </c>
      <c r="AD8449" s="57"/>
      <c r="AE8449" s="57"/>
      <c r="AF8449" s="57"/>
      <c r="AG8449" s="57"/>
      <c r="AH8449" s="57"/>
      <c r="AI8449" s="57"/>
      <c r="AJ8449" s="57"/>
      <c r="AK8449" s="57"/>
      <c r="AL8449" s="57"/>
      <c r="AM8449" s="385"/>
      <c r="AN8449"/>
    </row>
    <row r="8450" spans="1:40" s="47" customFormat="1">
      <c r="A8450" s="121"/>
      <c r="B8450" s="121"/>
      <c r="C8450" s="121"/>
      <c r="D8450" s="121"/>
      <c r="E8450" s="121"/>
      <c r="F8450" s="121"/>
      <c r="G8450" s="121"/>
      <c r="H8450" s="121"/>
      <c r="I8450" s="121"/>
      <c r="J8450" s="121"/>
      <c r="K8450" s="121"/>
      <c r="L8450" s="121"/>
      <c r="M8450" s="121"/>
      <c r="N8450" s="504" t="s">
        <v>2352</v>
      </c>
      <c r="O8450" s="528" t="s">
        <v>2353</v>
      </c>
      <c r="P8450" s="257"/>
      <c r="Q8450" s="321"/>
      <c r="R8450" s="260"/>
      <c r="S8450" s="260"/>
      <c r="T8450" s="260"/>
      <c r="U8450" s="260"/>
      <c r="V8450" s="261"/>
      <c r="W8450" s="548">
        <f t="shared" si="40"/>
        <v>0</v>
      </c>
      <c r="X8450" s="261"/>
      <c r="Y8450" s="260"/>
      <c r="Z8450" s="548">
        <f t="shared" si="41"/>
        <v>0</v>
      </c>
      <c r="AA8450" s="261"/>
      <c r="AB8450" s="261"/>
      <c r="AC8450" s="548">
        <f t="shared" si="42"/>
        <v>0</v>
      </c>
      <c r="AD8450" s="57"/>
      <c r="AE8450" s="57"/>
      <c r="AF8450" s="57"/>
      <c r="AG8450" s="57"/>
      <c r="AH8450" s="57"/>
      <c r="AI8450" s="57"/>
      <c r="AJ8450" s="57"/>
      <c r="AK8450" s="57"/>
      <c r="AL8450" s="57"/>
      <c r="AM8450" s="385"/>
      <c r="AN8450"/>
    </row>
    <row r="8451" spans="1:40" s="47" customFormat="1">
      <c r="A8451" s="121"/>
      <c r="B8451" s="121"/>
      <c r="C8451" s="121"/>
      <c r="D8451" s="121"/>
      <c r="E8451" s="121"/>
      <c r="F8451" s="121"/>
      <c r="G8451" s="121"/>
      <c r="H8451" s="121"/>
      <c r="I8451" s="121"/>
      <c r="J8451" s="121"/>
      <c r="K8451" s="121"/>
      <c r="L8451" s="121"/>
      <c r="M8451" s="121"/>
      <c r="N8451" s="504" t="s">
        <v>2354</v>
      </c>
      <c r="O8451" s="528" t="s">
        <v>2355</v>
      </c>
      <c r="P8451" s="257"/>
      <c r="Q8451" s="321"/>
      <c r="R8451" s="260"/>
      <c r="S8451" s="260"/>
      <c r="T8451" s="260"/>
      <c r="U8451" s="260"/>
      <c r="V8451" s="261"/>
      <c r="W8451" s="548">
        <f t="shared" si="40"/>
        <v>0</v>
      </c>
      <c r="X8451" s="261"/>
      <c r="Y8451" s="260"/>
      <c r="Z8451" s="548">
        <f t="shared" si="41"/>
        <v>0</v>
      </c>
      <c r="AA8451" s="261"/>
      <c r="AB8451" s="261"/>
      <c r="AC8451" s="548">
        <f t="shared" si="42"/>
        <v>0</v>
      </c>
      <c r="AD8451" s="57"/>
      <c r="AE8451" s="57"/>
      <c r="AF8451" s="57"/>
      <c r="AG8451" s="57"/>
      <c r="AH8451" s="57"/>
      <c r="AI8451" s="57"/>
      <c r="AJ8451" s="57"/>
      <c r="AK8451" s="57"/>
      <c r="AL8451" s="57"/>
      <c r="AM8451" s="385"/>
      <c r="AN8451"/>
    </row>
    <row r="8452" spans="1:40" s="47" customFormat="1">
      <c r="A8452" s="121"/>
      <c r="B8452" s="121"/>
      <c r="C8452" s="121"/>
      <c r="D8452" s="121"/>
      <c r="E8452" s="121"/>
      <c r="F8452" s="121"/>
      <c r="G8452" s="121"/>
      <c r="H8452" s="121"/>
      <c r="I8452" s="121"/>
      <c r="J8452" s="121"/>
      <c r="K8452" s="121"/>
      <c r="L8452" s="121"/>
      <c r="M8452" s="121"/>
      <c r="N8452" s="504" t="s">
        <v>2356</v>
      </c>
      <c r="O8452" s="528" t="s">
        <v>2357</v>
      </c>
      <c r="P8452" s="257"/>
      <c r="Q8452" s="321"/>
      <c r="R8452" s="260"/>
      <c r="S8452" s="260"/>
      <c r="T8452" s="260"/>
      <c r="U8452" s="260"/>
      <c r="V8452" s="261"/>
      <c r="W8452" s="548">
        <f t="shared" si="40"/>
        <v>0</v>
      </c>
      <c r="X8452" s="261"/>
      <c r="Y8452" s="260"/>
      <c r="Z8452" s="548">
        <f t="shared" si="41"/>
        <v>0</v>
      </c>
      <c r="AA8452" s="261"/>
      <c r="AB8452" s="261"/>
      <c r="AC8452" s="548">
        <f t="shared" si="42"/>
        <v>0</v>
      </c>
      <c r="AD8452" s="57"/>
      <c r="AE8452" s="57"/>
      <c r="AF8452" s="57"/>
      <c r="AG8452" s="57"/>
      <c r="AH8452" s="57"/>
      <c r="AI8452" s="57"/>
      <c r="AJ8452" s="57"/>
      <c r="AK8452" s="57"/>
      <c r="AL8452" s="57"/>
      <c r="AM8452" s="385"/>
      <c r="AN8452"/>
    </row>
    <row r="8453" spans="1:40" s="47" customFormat="1">
      <c r="A8453" s="121"/>
      <c r="B8453" s="121"/>
      <c r="C8453" s="121"/>
      <c r="D8453" s="121"/>
      <c r="E8453" s="121"/>
      <c r="F8453" s="121"/>
      <c r="G8453" s="121"/>
      <c r="H8453" s="121"/>
      <c r="I8453" s="121"/>
      <c r="J8453" s="121"/>
      <c r="K8453" s="121"/>
      <c r="L8453" s="121"/>
      <c r="M8453" s="121"/>
      <c r="N8453" s="504" t="s">
        <v>2358</v>
      </c>
      <c r="O8453" s="536" t="s">
        <v>2359</v>
      </c>
      <c r="P8453" s="257"/>
      <c r="Q8453" s="321"/>
      <c r="R8453" s="260"/>
      <c r="S8453" s="260"/>
      <c r="T8453" s="260"/>
      <c r="U8453" s="260"/>
      <c r="V8453" s="257">
        <f>SUM(V8454:V8458)</f>
        <v>0</v>
      </c>
      <c r="W8453" s="548">
        <f t="shared" si="40"/>
        <v>0</v>
      </c>
      <c r="X8453" s="257">
        <f>SUM(X8454:X8458)</f>
        <v>0</v>
      </c>
      <c r="Y8453" s="260"/>
      <c r="Z8453" s="548">
        <f t="shared" si="41"/>
        <v>0</v>
      </c>
      <c r="AA8453" s="257">
        <f>SUM(AA8454:AA8458)</f>
        <v>0</v>
      </c>
      <c r="AB8453" s="257">
        <f>SUM(AB8454:AB8458)</f>
        <v>0</v>
      </c>
      <c r="AC8453" s="548">
        <f t="shared" si="42"/>
        <v>0</v>
      </c>
      <c r="AD8453" s="57"/>
      <c r="AE8453" s="57"/>
      <c r="AF8453" s="57"/>
      <c r="AG8453" s="57"/>
      <c r="AH8453" s="57"/>
      <c r="AI8453" s="57"/>
      <c r="AJ8453" s="57"/>
      <c r="AK8453" s="57"/>
      <c r="AL8453" s="57"/>
      <c r="AM8453" s="385"/>
      <c r="AN8453"/>
    </row>
    <row r="8454" spans="1:40" s="47" customFormat="1">
      <c r="A8454" s="121"/>
      <c r="B8454" s="121"/>
      <c r="C8454" s="121"/>
      <c r="D8454" s="121"/>
      <c r="E8454" s="121"/>
      <c r="F8454" s="121"/>
      <c r="G8454" s="121"/>
      <c r="H8454" s="121"/>
      <c r="I8454" s="121"/>
      <c r="J8454" s="121"/>
      <c r="K8454" s="121"/>
      <c r="L8454" s="121"/>
      <c r="M8454" s="121"/>
      <c r="N8454" s="504" t="s">
        <v>2360</v>
      </c>
      <c r="O8454" s="537" t="s">
        <v>2444</v>
      </c>
      <c r="P8454" s="257"/>
      <c r="Q8454" s="321"/>
      <c r="R8454" s="260"/>
      <c r="S8454" s="260"/>
      <c r="T8454" s="260"/>
      <c r="U8454" s="260"/>
      <c r="V8454" s="261"/>
      <c r="W8454" s="548">
        <f t="shared" si="40"/>
        <v>0</v>
      </c>
      <c r="X8454" s="261"/>
      <c r="Y8454" s="260"/>
      <c r="Z8454" s="548">
        <f t="shared" si="41"/>
        <v>0</v>
      </c>
      <c r="AA8454" s="261"/>
      <c r="AB8454" s="261"/>
      <c r="AC8454" s="548">
        <f t="shared" si="42"/>
        <v>0</v>
      </c>
      <c r="AD8454" s="57"/>
      <c r="AE8454" s="57"/>
      <c r="AF8454" s="57"/>
      <c r="AG8454" s="57"/>
      <c r="AH8454" s="57"/>
      <c r="AI8454" s="57"/>
      <c r="AJ8454" s="57"/>
      <c r="AK8454" s="57"/>
      <c r="AL8454" s="57"/>
      <c r="AM8454" s="385"/>
      <c r="AN8454"/>
    </row>
    <row r="8455" spans="1:40" s="47" customFormat="1">
      <c r="A8455" s="121"/>
      <c r="B8455" s="121"/>
      <c r="C8455" s="121"/>
      <c r="D8455" s="121"/>
      <c r="E8455" s="121"/>
      <c r="F8455" s="121"/>
      <c r="G8455" s="121"/>
      <c r="H8455" s="121"/>
      <c r="I8455" s="121"/>
      <c r="J8455" s="121"/>
      <c r="K8455" s="121"/>
      <c r="L8455" s="121"/>
      <c r="M8455" s="121"/>
      <c r="N8455" s="504" t="s">
        <v>2361</v>
      </c>
      <c r="O8455" s="537" t="s">
        <v>2362</v>
      </c>
      <c r="P8455" s="257"/>
      <c r="Q8455" s="321"/>
      <c r="R8455" s="260"/>
      <c r="S8455" s="260"/>
      <c r="T8455" s="260"/>
      <c r="U8455" s="260"/>
      <c r="V8455" s="261"/>
      <c r="W8455" s="548">
        <f t="shared" si="40"/>
        <v>0</v>
      </c>
      <c r="X8455" s="261"/>
      <c r="Y8455" s="260"/>
      <c r="Z8455" s="548">
        <f t="shared" si="41"/>
        <v>0</v>
      </c>
      <c r="AA8455" s="261"/>
      <c r="AB8455" s="261"/>
      <c r="AC8455" s="548">
        <f t="shared" si="42"/>
        <v>0</v>
      </c>
      <c r="AD8455" s="57"/>
      <c r="AE8455" s="57"/>
      <c r="AF8455" s="57"/>
      <c r="AG8455" s="57"/>
      <c r="AH8455" s="57"/>
      <c r="AI8455" s="57"/>
      <c r="AJ8455" s="57"/>
      <c r="AK8455" s="57"/>
      <c r="AL8455" s="57"/>
      <c r="AM8455" s="385"/>
      <c r="AN8455"/>
    </row>
    <row r="8456" spans="1:40" s="47" customFormat="1">
      <c r="A8456" s="121"/>
      <c r="B8456" s="121"/>
      <c r="C8456" s="121"/>
      <c r="D8456" s="121"/>
      <c r="E8456" s="121"/>
      <c r="F8456" s="121"/>
      <c r="G8456" s="121"/>
      <c r="H8456" s="121"/>
      <c r="I8456" s="121"/>
      <c r="J8456" s="121"/>
      <c r="K8456" s="121"/>
      <c r="L8456" s="121"/>
      <c r="M8456" s="121"/>
      <c r="N8456" s="504" t="s">
        <v>2363</v>
      </c>
      <c r="O8456" s="528" t="s">
        <v>872</v>
      </c>
      <c r="P8456" s="257"/>
      <c r="Q8456" s="321"/>
      <c r="R8456" s="260"/>
      <c r="S8456" s="260"/>
      <c r="T8456" s="260"/>
      <c r="U8456" s="260"/>
      <c r="V8456" s="261"/>
      <c r="W8456" s="548">
        <f t="shared" si="40"/>
        <v>0</v>
      </c>
      <c r="X8456" s="261"/>
      <c r="Y8456" s="260"/>
      <c r="Z8456" s="548">
        <f t="shared" si="41"/>
        <v>0</v>
      </c>
      <c r="AA8456" s="261"/>
      <c r="AB8456" s="261"/>
      <c r="AC8456" s="548">
        <f t="shared" si="42"/>
        <v>0</v>
      </c>
      <c r="AD8456" s="57"/>
      <c r="AE8456" s="57"/>
      <c r="AF8456" s="57"/>
      <c r="AG8456" s="57"/>
      <c r="AH8456" s="57"/>
      <c r="AI8456" s="57"/>
      <c r="AJ8456" s="57"/>
      <c r="AK8456" s="57"/>
      <c r="AL8456" s="57"/>
      <c r="AM8456" s="385"/>
      <c r="AN8456"/>
    </row>
    <row r="8457" spans="1:40" s="47" customFormat="1" ht="22.5">
      <c r="A8457" s="121"/>
      <c r="B8457" s="121"/>
      <c r="C8457" s="121"/>
      <c r="D8457" s="121"/>
      <c r="E8457" s="121"/>
      <c r="F8457" s="121"/>
      <c r="G8457" s="121"/>
      <c r="H8457" s="121"/>
      <c r="I8457" s="121"/>
      <c r="J8457" s="121"/>
      <c r="K8457" s="121"/>
      <c r="L8457" s="121"/>
      <c r="M8457" s="121"/>
      <c r="N8457" s="504" t="s">
        <v>2364</v>
      </c>
      <c r="O8457" s="528" t="s">
        <v>2365</v>
      </c>
      <c r="P8457" s="257"/>
      <c r="Q8457" s="321"/>
      <c r="R8457" s="260"/>
      <c r="S8457" s="260"/>
      <c r="T8457" s="260"/>
      <c r="U8457" s="260"/>
      <c r="V8457" s="261"/>
      <c r="W8457" s="548">
        <f t="shared" si="40"/>
        <v>0</v>
      </c>
      <c r="X8457" s="261"/>
      <c r="Y8457" s="260"/>
      <c r="Z8457" s="548">
        <f t="shared" si="41"/>
        <v>0</v>
      </c>
      <c r="AA8457" s="261"/>
      <c r="AB8457" s="261"/>
      <c r="AC8457" s="548">
        <f t="shared" si="42"/>
        <v>0</v>
      </c>
      <c r="AD8457" s="57"/>
      <c r="AE8457" s="57"/>
      <c r="AF8457" s="57"/>
      <c r="AG8457" s="57"/>
      <c r="AH8457" s="57"/>
      <c r="AI8457" s="57"/>
      <c r="AJ8457" s="57"/>
      <c r="AK8457" s="57"/>
      <c r="AL8457" s="57"/>
      <c r="AM8457" s="385"/>
      <c r="AN8457"/>
    </row>
    <row r="8458" spans="1:40" s="47" customFormat="1">
      <c r="A8458" s="121"/>
      <c r="B8458" s="121"/>
      <c r="C8458" s="121"/>
      <c r="D8458" s="121"/>
      <c r="E8458" s="121"/>
      <c r="F8458" s="121"/>
      <c r="G8458" s="121"/>
      <c r="H8458" s="121"/>
      <c r="I8458" s="121"/>
      <c r="J8458" s="121"/>
      <c r="K8458" s="121"/>
      <c r="L8458" s="121"/>
      <c r="M8458" s="121"/>
      <c r="N8458" s="504" t="s">
        <v>2366</v>
      </c>
      <c r="O8458" s="528" t="s">
        <v>2367</v>
      </c>
      <c r="P8458" s="257"/>
      <c r="Q8458" s="321"/>
      <c r="R8458" s="260"/>
      <c r="S8458" s="260"/>
      <c r="T8458" s="260"/>
      <c r="U8458" s="260"/>
      <c r="V8458" s="261"/>
      <c r="W8458" s="548">
        <f t="shared" si="40"/>
        <v>0</v>
      </c>
      <c r="X8458" s="261"/>
      <c r="Y8458" s="260"/>
      <c r="Z8458" s="548">
        <f t="shared" si="41"/>
        <v>0</v>
      </c>
      <c r="AA8458" s="261"/>
      <c r="AB8458" s="261"/>
      <c r="AC8458" s="548">
        <f t="shared" si="42"/>
        <v>0</v>
      </c>
      <c r="AD8458" s="57"/>
      <c r="AE8458" s="57"/>
      <c r="AF8458" s="57"/>
      <c r="AG8458" s="57"/>
      <c r="AH8458" s="57"/>
      <c r="AI8458" s="57"/>
      <c r="AJ8458" s="57"/>
      <c r="AK8458" s="57"/>
      <c r="AL8458" s="57"/>
      <c r="AM8458" s="385"/>
      <c r="AN8458"/>
    </row>
    <row r="8459" spans="1:40" s="47" customFormat="1">
      <c r="A8459" s="121"/>
      <c r="B8459" s="121"/>
      <c r="C8459" s="121"/>
      <c r="D8459" s="121"/>
      <c r="E8459" s="121"/>
      <c r="F8459" s="121"/>
      <c r="G8459" s="121"/>
      <c r="H8459" s="121"/>
      <c r="I8459" s="121"/>
      <c r="J8459" s="121"/>
      <c r="K8459" s="121"/>
      <c r="L8459" s="121"/>
      <c r="M8459" s="121"/>
      <c r="N8459" s="504" t="s">
        <v>752</v>
      </c>
      <c r="O8459" s="526" t="s">
        <v>856</v>
      </c>
      <c r="P8459" s="257"/>
      <c r="Q8459" s="321"/>
      <c r="R8459" s="260"/>
      <c r="S8459" s="260"/>
      <c r="T8459" s="260"/>
      <c r="U8459" s="260"/>
      <c r="V8459" s="257">
        <f>SUM(V8460,V8462:V8465)</f>
        <v>0</v>
      </c>
      <c r="W8459" s="548">
        <f t="shared" si="40"/>
        <v>0</v>
      </c>
      <c r="X8459" s="257">
        <f>SUM(X8460,X8462:X8465)</f>
        <v>0</v>
      </c>
      <c r="Y8459" s="260"/>
      <c r="Z8459" s="548">
        <f t="shared" si="41"/>
        <v>0</v>
      </c>
      <c r="AA8459" s="257">
        <f>SUM(AA8460,AA8462:AA8465)</f>
        <v>0</v>
      </c>
      <c r="AB8459" s="257">
        <f>SUM(AB8460,AB8462:AB8465)</f>
        <v>0</v>
      </c>
      <c r="AC8459" s="548">
        <f t="shared" si="42"/>
        <v>0</v>
      </c>
      <c r="AD8459" s="57"/>
      <c r="AE8459" s="57"/>
      <c r="AF8459" s="57"/>
      <c r="AG8459" s="57"/>
      <c r="AH8459" s="57"/>
      <c r="AI8459" s="57"/>
      <c r="AJ8459" s="57"/>
      <c r="AK8459" s="57"/>
      <c r="AL8459" s="57"/>
      <c r="AM8459" s="385"/>
      <c r="AN8459"/>
    </row>
    <row r="8460" spans="1:40" s="47" customFormat="1">
      <c r="A8460" s="121"/>
      <c r="B8460" s="121"/>
      <c r="C8460" s="121"/>
      <c r="D8460" s="121"/>
      <c r="E8460" s="121"/>
      <c r="F8460" s="121"/>
      <c r="G8460" s="121"/>
      <c r="H8460" s="121"/>
      <c r="I8460" s="121"/>
      <c r="J8460" s="121"/>
      <c r="K8460" s="121"/>
      <c r="L8460" s="121"/>
      <c r="M8460" s="121"/>
      <c r="N8460" s="504" t="s">
        <v>760</v>
      </c>
      <c r="O8460" s="527" t="s">
        <v>2368</v>
      </c>
      <c r="P8460" s="257"/>
      <c r="Q8460" s="321"/>
      <c r="R8460" s="260"/>
      <c r="S8460" s="260"/>
      <c r="T8460" s="260"/>
      <c r="U8460" s="260"/>
      <c r="V8460" s="261"/>
      <c r="W8460" s="548">
        <f t="shared" si="40"/>
        <v>0</v>
      </c>
      <c r="X8460" s="261"/>
      <c r="Y8460" s="260"/>
      <c r="Z8460" s="548">
        <f t="shared" si="41"/>
        <v>0</v>
      </c>
      <c r="AA8460" s="261"/>
      <c r="AB8460" s="261"/>
      <c r="AC8460" s="548">
        <f t="shared" si="42"/>
        <v>0</v>
      </c>
      <c r="AD8460" s="57"/>
      <c r="AE8460" s="57"/>
      <c r="AF8460" s="57"/>
      <c r="AG8460" s="57"/>
      <c r="AH8460" s="57"/>
      <c r="AI8460" s="57"/>
      <c r="AJ8460" s="57"/>
      <c r="AK8460" s="57"/>
      <c r="AL8460" s="57"/>
      <c r="AM8460" s="385"/>
      <c r="AN8460"/>
    </row>
    <row r="8461" spans="1:40" s="47" customFormat="1">
      <c r="A8461" s="121"/>
      <c r="B8461" s="121"/>
      <c r="C8461" s="121"/>
      <c r="D8461" s="121"/>
      <c r="E8461" s="121"/>
      <c r="F8461" s="121"/>
      <c r="G8461" s="121"/>
      <c r="H8461" s="121"/>
      <c r="I8461" s="121"/>
      <c r="J8461" s="121"/>
      <c r="K8461" s="121"/>
      <c r="L8461" s="121"/>
      <c r="M8461" s="121"/>
      <c r="N8461" s="504" t="s">
        <v>917</v>
      </c>
      <c r="O8461" s="528" t="s">
        <v>2369</v>
      </c>
      <c r="P8461" s="257"/>
      <c r="Q8461" s="321"/>
      <c r="R8461" s="260"/>
      <c r="S8461" s="260"/>
      <c r="T8461" s="260"/>
      <c r="U8461" s="260"/>
      <c r="V8461" s="261"/>
      <c r="W8461" s="548">
        <f t="shared" si="40"/>
        <v>0</v>
      </c>
      <c r="X8461" s="261"/>
      <c r="Y8461" s="260"/>
      <c r="Z8461" s="548">
        <f t="shared" ref="Z8461:Z8476" si="43">X8461+Y8461</f>
        <v>0</v>
      </c>
      <c r="AA8461" s="261"/>
      <c r="AB8461" s="261"/>
      <c r="AC8461" s="548">
        <f t="shared" ref="AC8461:AC8476" si="44">AA8461+AB8461</f>
        <v>0</v>
      </c>
      <c r="AD8461" s="57"/>
      <c r="AE8461" s="57"/>
      <c r="AF8461" s="57"/>
      <c r="AG8461" s="57"/>
      <c r="AH8461" s="57"/>
      <c r="AI8461" s="57"/>
      <c r="AJ8461" s="57"/>
      <c r="AK8461" s="57"/>
      <c r="AL8461" s="57"/>
      <c r="AM8461" s="385"/>
      <c r="AN8461"/>
    </row>
    <row r="8462" spans="1:40" s="47" customFormat="1">
      <c r="A8462" s="121"/>
      <c r="B8462" s="121"/>
      <c r="C8462" s="121"/>
      <c r="D8462" s="121"/>
      <c r="E8462" s="121"/>
      <c r="F8462" s="121"/>
      <c r="G8462" s="121"/>
      <c r="H8462" s="121"/>
      <c r="I8462" s="121"/>
      <c r="J8462" s="121"/>
      <c r="K8462" s="121"/>
      <c r="L8462" s="121"/>
      <c r="M8462" s="121"/>
      <c r="N8462" s="504" t="s">
        <v>761</v>
      </c>
      <c r="O8462" s="527" t="s">
        <v>862</v>
      </c>
      <c r="P8462" s="257"/>
      <c r="Q8462" s="321"/>
      <c r="R8462" s="260"/>
      <c r="S8462" s="260"/>
      <c r="T8462" s="260"/>
      <c r="U8462" s="260"/>
      <c r="V8462" s="261"/>
      <c r="W8462" s="548">
        <f t="shared" si="40"/>
        <v>0</v>
      </c>
      <c r="X8462" s="261"/>
      <c r="Y8462" s="260"/>
      <c r="Z8462" s="548">
        <f t="shared" si="43"/>
        <v>0</v>
      </c>
      <c r="AA8462" s="261"/>
      <c r="AB8462" s="261"/>
      <c r="AC8462" s="548">
        <f t="shared" si="44"/>
        <v>0</v>
      </c>
      <c r="AD8462" s="57"/>
      <c r="AE8462" s="57"/>
      <c r="AF8462" s="57"/>
      <c r="AG8462" s="57"/>
      <c r="AH8462" s="57"/>
      <c r="AI8462" s="57"/>
      <c r="AJ8462" s="57"/>
      <c r="AK8462" s="57"/>
      <c r="AL8462" s="57"/>
      <c r="AM8462" s="385"/>
      <c r="AN8462"/>
    </row>
    <row r="8463" spans="1:40" s="47" customFormat="1">
      <c r="A8463" s="121"/>
      <c r="B8463" s="121"/>
      <c r="C8463" s="121"/>
      <c r="D8463" s="121"/>
      <c r="E8463" s="121"/>
      <c r="F8463" s="121"/>
      <c r="G8463" s="121"/>
      <c r="H8463" s="121"/>
      <c r="I8463" s="121"/>
      <c r="J8463" s="121"/>
      <c r="K8463" s="121"/>
      <c r="L8463" s="121"/>
      <c r="M8463" s="121"/>
      <c r="N8463" s="504" t="s">
        <v>762</v>
      </c>
      <c r="O8463" s="527" t="s">
        <v>864</v>
      </c>
      <c r="P8463" s="257"/>
      <c r="Q8463" s="321"/>
      <c r="R8463" s="260"/>
      <c r="S8463" s="260"/>
      <c r="T8463" s="260"/>
      <c r="U8463" s="260"/>
      <c r="V8463" s="261"/>
      <c r="W8463" s="548">
        <f t="shared" si="40"/>
        <v>0</v>
      </c>
      <c r="X8463" s="261"/>
      <c r="Y8463" s="260"/>
      <c r="Z8463" s="548">
        <f t="shared" si="43"/>
        <v>0</v>
      </c>
      <c r="AA8463" s="261"/>
      <c r="AB8463" s="261"/>
      <c r="AC8463" s="548">
        <f t="shared" si="44"/>
        <v>0</v>
      </c>
      <c r="AD8463" s="57"/>
      <c r="AE8463" s="57"/>
      <c r="AF8463" s="57"/>
      <c r="AG8463" s="57"/>
      <c r="AH8463" s="57"/>
      <c r="AI8463" s="57"/>
      <c r="AJ8463" s="57"/>
      <c r="AK8463" s="57"/>
      <c r="AL8463" s="57"/>
      <c r="AM8463" s="57"/>
      <c r="AN8463"/>
    </row>
    <row r="8464" spans="1:40" s="47" customFormat="1">
      <c r="A8464" s="121"/>
      <c r="B8464" s="121"/>
      <c r="C8464" s="121"/>
      <c r="D8464" s="121"/>
      <c r="E8464" s="121"/>
      <c r="F8464" s="121"/>
      <c r="G8464" s="121"/>
      <c r="H8464" s="121"/>
      <c r="I8464" s="121"/>
      <c r="J8464" s="121"/>
      <c r="K8464" s="121"/>
      <c r="L8464" s="121"/>
      <c r="M8464" s="121"/>
      <c r="N8464" s="504" t="s">
        <v>763</v>
      </c>
      <c r="O8464" s="527" t="s">
        <v>866</v>
      </c>
      <c r="P8464" s="257"/>
      <c r="Q8464" s="321"/>
      <c r="R8464" s="260"/>
      <c r="S8464" s="260"/>
      <c r="T8464" s="260"/>
      <c r="U8464" s="260"/>
      <c r="V8464" s="261"/>
      <c r="W8464" s="548">
        <f t="shared" si="40"/>
        <v>0</v>
      </c>
      <c r="X8464" s="261"/>
      <c r="Y8464" s="260"/>
      <c r="Z8464" s="548">
        <f t="shared" si="43"/>
        <v>0</v>
      </c>
      <c r="AA8464" s="261"/>
      <c r="AB8464" s="261"/>
      <c r="AC8464" s="548">
        <f t="shared" si="44"/>
        <v>0</v>
      </c>
      <c r="AD8464" s="385"/>
      <c r="AE8464" s="385"/>
      <c r="AF8464" s="385"/>
      <c r="AG8464" s="385"/>
      <c r="AH8464" s="385"/>
      <c r="AI8464" s="385"/>
      <c r="AJ8464" s="385"/>
      <c r="AK8464" s="385"/>
      <c r="AL8464" s="385"/>
      <c r="AM8464" s="385"/>
      <c r="AN8464"/>
    </row>
    <row r="8465" spans="1:40" s="47" customFormat="1">
      <c r="A8465" s="121"/>
      <c r="B8465" s="121"/>
      <c r="C8465" s="121"/>
      <c r="D8465" s="121"/>
      <c r="E8465" s="121"/>
      <c r="F8465" s="121"/>
      <c r="G8465" s="121"/>
      <c r="H8465" s="121"/>
      <c r="I8465" s="121"/>
      <c r="J8465" s="121"/>
      <c r="K8465" s="121"/>
      <c r="L8465" s="121"/>
      <c r="M8465" s="121"/>
      <c r="N8465" s="504" t="s">
        <v>764</v>
      </c>
      <c r="O8465" s="527" t="s">
        <v>2370</v>
      </c>
      <c r="P8465" s="257"/>
      <c r="Q8465" s="321"/>
      <c r="R8465" s="260"/>
      <c r="S8465" s="260"/>
      <c r="T8465" s="260"/>
      <c r="U8465" s="260"/>
      <c r="V8465" s="257">
        <f>SUM(V8466,V8468)</f>
        <v>0</v>
      </c>
      <c r="W8465" s="548">
        <f t="shared" si="40"/>
        <v>0</v>
      </c>
      <c r="X8465" s="257">
        <f>SUM(X8466,X8468)</f>
        <v>0</v>
      </c>
      <c r="Y8465" s="260"/>
      <c r="Z8465" s="548">
        <f t="shared" si="43"/>
        <v>0</v>
      </c>
      <c r="AA8465" s="257">
        <f>SUM(AA8466,AA8468)</f>
        <v>0</v>
      </c>
      <c r="AB8465" s="257">
        <f>SUM(AB8466,AB8468)</f>
        <v>0</v>
      </c>
      <c r="AC8465" s="548">
        <f t="shared" si="44"/>
        <v>0</v>
      </c>
      <c r="AD8465" s="385"/>
      <c r="AE8465" s="385"/>
      <c r="AF8465" s="385"/>
      <c r="AG8465" s="385"/>
      <c r="AH8465" s="385"/>
      <c r="AI8465" s="385"/>
      <c r="AJ8465" s="385"/>
      <c r="AK8465" s="385"/>
      <c r="AL8465" s="385"/>
      <c r="AM8465" s="385"/>
      <c r="AN8465"/>
    </row>
    <row r="8466" spans="1:40" s="47" customFormat="1">
      <c r="A8466" s="121"/>
      <c r="B8466" s="121"/>
      <c r="C8466" s="121"/>
      <c r="D8466" s="121"/>
      <c r="E8466" s="121"/>
      <c r="F8466" s="121"/>
      <c r="G8466" s="121"/>
      <c r="H8466" s="121"/>
      <c r="I8466" s="121"/>
      <c r="J8466" s="121"/>
      <c r="K8466" s="121"/>
      <c r="L8466" s="121"/>
      <c r="M8466" s="121"/>
      <c r="N8466" s="504" t="s">
        <v>2371</v>
      </c>
      <c r="O8466" s="528" t="s">
        <v>2372</v>
      </c>
      <c r="P8466" s="257"/>
      <c r="Q8466" s="321"/>
      <c r="R8466" s="260"/>
      <c r="S8466" s="260"/>
      <c r="T8466" s="260"/>
      <c r="U8466" s="260"/>
      <c r="V8466" s="261"/>
      <c r="W8466" s="548">
        <f t="shared" si="40"/>
        <v>0</v>
      </c>
      <c r="X8466" s="261"/>
      <c r="Y8466" s="260"/>
      <c r="Z8466" s="548">
        <f t="shared" si="43"/>
        <v>0</v>
      </c>
      <c r="AA8466" s="261"/>
      <c r="AB8466" s="261"/>
      <c r="AC8466" s="548">
        <f t="shared" si="44"/>
        <v>0</v>
      </c>
      <c r="AD8466" s="385"/>
      <c r="AE8466" s="385"/>
      <c r="AF8466" s="385"/>
      <c r="AG8466" s="385"/>
      <c r="AH8466" s="385"/>
      <c r="AI8466" s="385"/>
      <c r="AJ8466" s="385"/>
      <c r="AK8466" s="385"/>
      <c r="AL8466" s="385"/>
      <c r="AM8466" s="385"/>
      <c r="AN8466"/>
    </row>
    <row r="8467" spans="1:40" s="47" customFormat="1">
      <c r="A8467" s="121"/>
      <c r="B8467" s="121"/>
      <c r="C8467" s="121"/>
      <c r="D8467" s="121"/>
      <c r="E8467" s="121"/>
      <c r="F8467" s="121"/>
      <c r="G8467" s="121"/>
      <c r="H8467" s="121"/>
      <c r="I8467" s="121"/>
      <c r="J8467" s="121"/>
      <c r="K8467" s="121"/>
      <c r="L8467" s="121"/>
      <c r="M8467" s="121"/>
      <c r="N8467" s="504" t="s">
        <v>2373</v>
      </c>
      <c r="O8467" s="538" t="s">
        <v>2374</v>
      </c>
      <c r="P8467" s="257"/>
      <c r="Q8467" s="321"/>
      <c r="R8467" s="260"/>
      <c r="S8467" s="260"/>
      <c r="T8467" s="260"/>
      <c r="U8467" s="260"/>
      <c r="V8467" s="261"/>
      <c r="W8467" s="548">
        <f t="shared" si="40"/>
        <v>0</v>
      </c>
      <c r="X8467" s="261"/>
      <c r="Y8467" s="260"/>
      <c r="Z8467" s="548">
        <f t="shared" si="43"/>
        <v>0</v>
      </c>
      <c r="AA8467" s="261"/>
      <c r="AB8467" s="261"/>
      <c r="AC8467" s="548">
        <f t="shared" si="44"/>
        <v>0</v>
      </c>
      <c r="AD8467" s="385"/>
      <c r="AE8467" s="385"/>
      <c r="AF8467" s="385"/>
      <c r="AG8467" s="385"/>
      <c r="AH8467" s="385"/>
      <c r="AI8467" s="385"/>
      <c r="AJ8467" s="385"/>
      <c r="AK8467" s="385"/>
      <c r="AL8467" s="385"/>
      <c r="AM8467" s="385"/>
      <c r="AN8467"/>
    </row>
    <row r="8468" spans="1:40" s="47" customFormat="1">
      <c r="A8468" s="121"/>
      <c r="B8468" s="121"/>
      <c r="C8468" s="121"/>
      <c r="D8468" s="121"/>
      <c r="E8468" s="121"/>
      <c r="F8468" s="121"/>
      <c r="G8468" s="121"/>
      <c r="H8468" s="121"/>
      <c r="I8468" s="121"/>
      <c r="J8468" s="121"/>
      <c r="K8468" s="121"/>
      <c r="L8468" s="121"/>
      <c r="M8468" s="121"/>
      <c r="N8468" s="504" t="s">
        <v>2375</v>
      </c>
      <c r="O8468" s="528" t="s">
        <v>2376</v>
      </c>
      <c r="P8468" s="257"/>
      <c r="Q8468" s="321"/>
      <c r="R8468" s="260"/>
      <c r="S8468" s="260"/>
      <c r="T8468" s="260"/>
      <c r="U8468" s="260"/>
      <c r="V8468" s="261"/>
      <c r="W8468" s="548">
        <f t="shared" si="40"/>
        <v>0</v>
      </c>
      <c r="X8468" s="261"/>
      <c r="Y8468" s="260"/>
      <c r="Z8468" s="548">
        <f t="shared" si="43"/>
        <v>0</v>
      </c>
      <c r="AA8468" s="261"/>
      <c r="AB8468" s="261"/>
      <c r="AC8468" s="548">
        <f t="shared" si="44"/>
        <v>0</v>
      </c>
      <c r="AD8468" s="385"/>
      <c r="AE8468" s="385"/>
      <c r="AF8468" s="385"/>
      <c r="AG8468" s="385"/>
      <c r="AH8468" s="385"/>
      <c r="AI8468" s="385"/>
      <c r="AJ8468" s="385"/>
      <c r="AK8468" s="385"/>
      <c r="AL8468" s="385"/>
      <c r="AM8468" s="385"/>
      <c r="AN8468"/>
    </row>
    <row r="8469" spans="1:40" s="47" customFormat="1">
      <c r="A8469" s="121"/>
      <c r="B8469" s="121"/>
      <c r="C8469" s="121"/>
      <c r="D8469" s="121"/>
      <c r="E8469" s="121"/>
      <c r="F8469" s="121"/>
      <c r="G8469" s="121"/>
      <c r="H8469" s="121"/>
      <c r="I8469" s="121"/>
      <c r="J8469" s="121"/>
      <c r="K8469" s="121"/>
      <c r="L8469" s="121"/>
      <c r="M8469" s="121"/>
      <c r="N8469" s="504" t="s">
        <v>753</v>
      </c>
      <c r="O8469" s="527" t="s">
        <v>2377</v>
      </c>
      <c r="P8469" s="257"/>
      <c r="Q8469" s="321"/>
      <c r="R8469" s="260"/>
      <c r="S8469" s="260"/>
      <c r="T8469" s="260"/>
      <c r="U8469" s="260"/>
      <c r="V8469" s="257">
        <f>SUM(V8471:V8473)</f>
        <v>0</v>
      </c>
      <c r="W8469" s="548">
        <f t="shared" si="40"/>
        <v>0</v>
      </c>
      <c r="X8469" s="257">
        <f>SUM(X8471:X8473)</f>
        <v>0</v>
      </c>
      <c r="Y8469" s="260"/>
      <c r="Z8469" s="548">
        <f t="shared" si="43"/>
        <v>0</v>
      </c>
      <c r="AA8469" s="257">
        <f>SUM(AA8471:AA8473)</f>
        <v>0</v>
      </c>
      <c r="AB8469" s="257">
        <f>SUM(AB8471:AB8473)</f>
        <v>0</v>
      </c>
      <c r="AC8469" s="548">
        <f t="shared" si="44"/>
        <v>0</v>
      </c>
      <c r="AD8469" s="385"/>
      <c r="AE8469" s="385"/>
      <c r="AF8469" s="385"/>
      <c r="AG8469" s="385"/>
      <c r="AH8469" s="385"/>
      <c r="AI8469" s="385"/>
      <c r="AJ8469" s="385"/>
      <c r="AK8469" s="385"/>
      <c r="AL8469" s="385"/>
      <c r="AM8469" s="385"/>
      <c r="AN8469"/>
    </row>
    <row r="8470" spans="1:40" s="47" customFormat="1">
      <c r="A8470" s="121"/>
      <c r="B8470" s="121"/>
      <c r="C8470" s="121"/>
      <c r="D8470" s="121"/>
      <c r="E8470" s="121"/>
      <c r="F8470" s="121"/>
      <c r="G8470" s="121"/>
      <c r="H8470" s="121"/>
      <c r="I8470" s="121"/>
      <c r="J8470" s="121"/>
      <c r="K8470" s="121"/>
      <c r="L8470" s="121"/>
      <c r="M8470" s="121"/>
      <c r="N8470" s="240" t="s">
        <v>352</v>
      </c>
      <c r="O8470" s="563" t="s">
        <v>288</v>
      </c>
      <c r="P8470" s="257"/>
      <c r="Q8470" s="321"/>
      <c r="R8470" s="260"/>
      <c r="S8470" s="260"/>
      <c r="T8470" s="260"/>
      <c r="U8470" s="260"/>
      <c r="V8470" s="261"/>
      <c r="W8470" s="548">
        <f t="shared" si="40"/>
        <v>0</v>
      </c>
      <c r="X8470" s="261"/>
      <c r="Y8470" s="260"/>
      <c r="Z8470" s="548">
        <f t="shared" si="43"/>
        <v>0</v>
      </c>
      <c r="AA8470" s="261"/>
      <c r="AB8470" s="261"/>
      <c r="AC8470" s="548">
        <f t="shared" si="44"/>
        <v>0</v>
      </c>
      <c r="AD8470" s="385"/>
      <c r="AE8470" s="385"/>
      <c r="AF8470" s="385"/>
      <c r="AG8470" s="385"/>
      <c r="AH8470" s="385"/>
      <c r="AI8470" s="385"/>
      <c r="AJ8470" s="385"/>
      <c r="AK8470" s="385"/>
      <c r="AL8470" s="385"/>
      <c r="AM8470" s="385"/>
      <c r="AN8470"/>
    </row>
    <row r="8471" spans="1:40" s="47" customFormat="1">
      <c r="A8471" s="121"/>
      <c r="B8471" s="121"/>
      <c r="C8471" s="121"/>
      <c r="D8471" s="121"/>
      <c r="E8471" s="121"/>
      <c r="F8471" s="121"/>
      <c r="G8471" s="121"/>
      <c r="H8471" s="121"/>
      <c r="I8471" s="121"/>
      <c r="J8471" s="121"/>
      <c r="K8471" s="121"/>
      <c r="L8471" s="121"/>
      <c r="M8471" s="121"/>
      <c r="N8471" s="504" t="s">
        <v>766</v>
      </c>
      <c r="O8471" s="537" t="s">
        <v>847</v>
      </c>
      <c r="P8471" s="257"/>
      <c r="Q8471" s="321"/>
      <c r="R8471" s="260"/>
      <c r="S8471" s="260"/>
      <c r="T8471" s="260"/>
      <c r="U8471" s="260"/>
      <c r="V8471" s="261"/>
      <c r="W8471" s="548">
        <f t="shared" si="40"/>
        <v>0</v>
      </c>
      <c r="X8471" s="261"/>
      <c r="Y8471" s="260"/>
      <c r="Z8471" s="548">
        <f t="shared" si="43"/>
        <v>0</v>
      </c>
      <c r="AA8471" s="261"/>
      <c r="AB8471" s="261"/>
      <c r="AC8471" s="548">
        <f t="shared" si="44"/>
        <v>0</v>
      </c>
      <c r="AD8471" s="385"/>
      <c r="AE8471" s="385"/>
      <c r="AF8471" s="385"/>
      <c r="AG8471" s="385"/>
      <c r="AH8471" s="385"/>
      <c r="AI8471" s="385"/>
      <c r="AJ8471" s="385"/>
      <c r="AK8471" s="385"/>
      <c r="AL8471" s="385"/>
      <c r="AM8471" s="385"/>
      <c r="AN8471"/>
    </row>
    <row r="8472" spans="1:40" s="47" customFormat="1" ht="22.5">
      <c r="A8472" s="121"/>
      <c r="B8472" s="121"/>
      <c r="C8472" s="121"/>
      <c r="D8472" s="121"/>
      <c r="E8472" s="121"/>
      <c r="F8472" s="121"/>
      <c r="G8472" s="121"/>
      <c r="H8472" s="121"/>
      <c r="I8472" s="121"/>
      <c r="J8472" s="121"/>
      <c r="K8472" s="121"/>
      <c r="L8472" s="121"/>
      <c r="M8472" s="121"/>
      <c r="N8472" s="504" t="s">
        <v>768</v>
      </c>
      <c r="O8472" s="688" t="s">
        <v>1688</v>
      </c>
      <c r="P8472" s="257"/>
      <c r="Q8472" s="321"/>
      <c r="R8472" s="260"/>
      <c r="S8472" s="260"/>
      <c r="T8472" s="260"/>
      <c r="U8472" s="260"/>
      <c r="V8472" s="257">
        <f>V8492</f>
        <v>0</v>
      </c>
      <c r="W8472" s="548">
        <f t="shared" si="40"/>
        <v>0</v>
      </c>
      <c r="X8472" s="257">
        <f>X8492</f>
        <v>0</v>
      </c>
      <c r="Y8472" s="260"/>
      <c r="Z8472" s="548">
        <f t="shared" si="43"/>
        <v>0</v>
      </c>
      <c r="AA8472" s="257">
        <f>AA8492</f>
        <v>0</v>
      </c>
      <c r="AB8472" s="257">
        <f>AB8492</f>
        <v>0</v>
      </c>
      <c r="AC8472" s="548">
        <f t="shared" si="44"/>
        <v>0</v>
      </c>
      <c r="AD8472" s="60"/>
      <c r="AE8472" s="60"/>
      <c r="AF8472" s="60"/>
      <c r="AG8472" s="60"/>
      <c r="AH8472" s="60"/>
      <c r="AI8472" s="60"/>
      <c r="AJ8472" s="60"/>
      <c r="AK8472" s="60"/>
      <c r="AL8472" s="60"/>
      <c r="AM8472" s="60"/>
      <c r="AN8472"/>
    </row>
    <row r="8473" spans="1:40" s="47" customFormat="1" ht="22.5">
      <c r="A8473" s="121"/>
      <c r="B8473" s="121"/>
      <c r="C8473" s="121"/>
      <c r="D8473" s="121"/>
      <c r="E8473" s="121"/>
      <c r="F8473" s="121"/>
      <c r="G8473" s="121"/>
      <c r="H8473" s="121"/>
      <c r="I8473" s="121"/>
      <c r="J8473" s="121"/>
      <c r="K8473" s="121"/>
      <c r="L8473" s="121"/>
      <c r="M8473" s="121"/>
      <c r="N8473" s="504" t="s">
        <v>84</v>
      </c>
      <c r="O8473" s="537" t="s">
        <v>1689</v>
      </c>
      <c r="P8473" s="257"/>
      <c r="Q8473" s="321"/>
      <c r="R8473" s="260"/>
      <c r="S8473" s="260"/>
      <c r="T8473" s="260"/>
      <c r="U8473" s="260"/>
      <c r="V8473" s="261"/>
      <c r="W8473" s="548">
        <f t="shared" si="40"/>
        <v>0</v>
      </c>
      <c r="X8473" s="261"/>
      <c r="Y8473" s="260"/>
      <c r="Z8473" s="548">
        <f t="shared" si="43"/>
        <v>0</v>
      </c>
      <c r="AA8473" s="261"/>
      <c r="AB8473" s="261"/>
      <c r="AC8473" s="548">
        <f t="shared" si="44"/>
        <v>0</v>
      </c>
      <c r="AD8473" s="60"/>
      <c r="AE8473" s="60"/>
      <c r="AF8473" s="60"/>
      <c r="AG8473" s="60"/>
      <c r="AH8473" s="60"/>
      <c r="AI8473" s="60"/>
      <c r="AJ8473" s="60"/>
      <c r="AK8473" s="60"/>
      <c r="AL8473" s="60"/>
      <c r="AM8473" s="60"/>
      <c r="AN8473"/>
    </row>
    <row r="8474" spans="1:40" s="47" customFormat="1">
      <c r="A8474" s="121"/>
      <c r="B8474" s="121"/>
      <c r="C8474" s="121"/>
      <c r="D8474" s="121"/>
      <c r="E8474" s="121"/>
      <c r="F8474" s="121"/>
      <c r="G8474" s="121"/>
      <c r="H8474" s="121"/>
      <c r="I8474" s="121"/>
      <c r="J8474" s="121"/>
      <c r="K8474" s="121"/>
      <c r="L8474" s="121"/>
      <c r="M8474" s="121"/>
      <c r="N8474" s="504" t="s">
        <v>769</v>
      </c>
      <c r="O8474" s="539" t="s">
        <v>851</v>
      </c>
      <c r="P8474" s="257"/>
      <c r="Q8474" s="321"/>
      <c r="R8474" s="260"/>
      <c r="S8474" s="260"/>
      <c r="T8474" s="260"/>
      <c r="U8474" s="260"/>
      <c r="V8474" s="261"/>
      <c r="W8474" s="548">
        <f t="shared" si="40"/>
        <v>0</v>
      </c>
      <c r="X8474" s="261"/>
      <c r="Y8474" s="260"/>
      <c r="Z8474" s="548">
        <f t="shared" si="43"/>
        <v>0</v>
      </c>
      <c r="AA8474" s="261"/>
      <c r="AB8474" s="261"/>
      <c r="AC8474" s="548">
        <f t="shared" si="44"/>
        <v>0</v>
      </c>
      <c r="AD8474" s="60"/>
      <c r="AE8474" s="60"/>
      <c r="AF8474" s="60"/>
      <c r="AG8474" s="60"/>
      <c r="AH8474" s="60"/>
      <c r="AI8474" s="60"/>
      <c r="AJ8474" s="60"/>
      <c r="AK8474" s="60"/>
      <c r="AL8474" s="60"/>
      <c r="AM8474" s="60"/>
      <c r="AN8474"/>
    </row>
    <row r="8475" spans="1:40" s="47" customFormat="1">
      <c r="A8475" s="121"/>
      <c r="B8475" s="121"/>
      <c r="C8475" s="121"/>
      <c r="D8475" s="121"/>
      <c r="E8475" s="121"/>
      <c r="F8475" s="121"/>
      <c r="G8475" s="121"/>
      <c r="H8475" s="121"/>
      <c r="I8475" s="121"/>
      <c r="J8475" s="121"/>
      <c r="K8475" s="121"/>
      <c r="L8475" s="121"/>
      <c r="M8475" s="121"/>
      <c r="N8475" s="504" t="s">
        <v>3072</v>
      </c>
      <c r="O8475" s="526" t="s">
        <v>1690</v>
      </c>
      <c r="P8475" s="257"/>
      <c r="Q8475" s="321"/>
      <c r="R8475" s="260"/>
      <c r="S8475" s="260"/>
      <c r="T8475" s="260"/>
      <c r="U8475" s="260"/>
      <c r="V8475" s="261"/>
      <c r="W8475" s="548">
        <f t="shared" ref="W8475:W8480" si="45">U8475+V8475</f>
        <v>0</v>
      </c>
      <c r="X8475" s="261"/>
      <c r="Y8475" s="260"/>
      <c r="Z8475" s="548">
        <f t="shared" si="43"/>
        <v>0</v>
      </c>
      <c r="AA8475" s="261"/>
      <c r="AB8475" s="261"/>
      <c r="AC8475" s="548">
        <f t="shared" si="44"/>
        <v>0</v>
      </c>
      <c r="AD8475" s="60"/>
      <c r="AE8475" s="60"/>
      <c r="AF8475" s="60"/>
      <c r="AG8475" s="60"/>
      <c r="AH8475" s="60"/>
      <c r="AI8475" s="60"/>
      <c r="AJ8475" s="60"/>
      <c r="AK8475" s="60"/>
      <c r="AL8475" s="60"/>
      <c r="AM8475" s="60"/>
      <c r="AN8475"/>
    </row>
    <row r="8476" spans="1:40" s="47" customFormat="1">
      <c r="A8476" s="121"/>
      <c r="B8476" s="121"/>
      <c r="C8476" s="121"/>
      <c r="D8476" s="121"/>
      <c r="E8476" s="121"/>
      <c r="F8476" s="121"/>
      <c r="G8476" s="121"/>
      <c r="H8476" s="121"/>
      <c r="I8476" s="121"/>
      <c r="J8476" s="121"/>
      <c r="K8476" s="121"/>
      <c r="L8476" s="121"/>
      <c r="M8476" s="121"/>
      <c r="N8476" s="504" t="s">
        <v>2412</v>
      </c>
      <c r="O8476" s="604" t="s">
        <v>1691</v>
      </c>
      <c r="P8476" s="257"/>
      <c r="Q8476" s="321"/>
      <c r="R8476" s="260"/>
      <c r="S8476" s="260"/>
      <c r="T8476" s="260"/>
      <c r="U8476" s="260"/>
      <c r="V8476" s="257">
        <f>V8361+V8459+V8469-V8474-V8475</f>
        <v>0</v>
      </c>
      <c r="W8476" s="548">
        <f t="shared" si="45"/>
        <v>0</v>
      </c>
      <c r="X8476" s="257">
        <f>X8361+X8459+X8469-X8474-X8475</f>
        <v>0</v>
      </c>
      <c r="Y8476" s="260"/>
      <c r="Z8476" s="548">
        <f t="shared" si="43"/>
        <v>0</v>
      </c>
      <c r="AA8476" s="257">
        <f>AA8361+AA8459+AA8469-AA8474-AA8475</f>
        <v>0</v>
      </c>
      <c r="AB8476" s="257">
        <f>AB8361+AB8459+AB8469-AB8474-AB8475</f>
        <v>0</v>
      </c>
      <c r="AC8476" s="548">
        <f t="shared" si="44"/>
        <v>0</v>
      </c>
      <c r="AD8476" s="60"/>
      <c r="AE8476" s="60"/>
      <c r="AF8476" s="60"/>
      <c r="AG8476" s="60"/>
      <c r="AH8476" s="60"/>
      <c r="AI8476" s="60"/>
      <c r="AJ8476" s="60"/>
      <c r="AK8476" s="60"/>
      <c r="AL8476" s="60"/>
      <c r="AM8476" s="60"/>
      <c r="AN8476"/>
    </row>
    <row r="8477" spans="1:40" s="47" customFormat="1">
      <c r="A8477" s="121"/>
      <c r="B8477" s="121"/>
      <c r="C8477" s="121"/>
      <c r="D8477" s="121"/>
      <c r="E8477" s="121"/>
      <c r="F8477" s="121"/>
      <c r="G8477" s="121"/>
      <c r="H8477" s="121"/>
      <c r="I8477" s="121"/>
      <c r="J8477" s="121"/>
      <c r="K8477" s="121"/>
      <c r="L8477" s="121"/>
      <c r="M8477" s="121"/>
      <c r="N8477" s="504" t="s">
        <v>2427</v>
      </c>
      <c r="O8477" s="604" t="s">
        <v>1692</v>
      </c>
      <c r="P8477" s="257"/>
      <c r="Q8477" s="321"/>
      <c r="R8477" s="260"/>
      <c r="S8477" s="260"/>
      <c r="T8477" s="260"/>
      <c r="U8477" s="260"/>
      <c r="V8477" s="257">
        <f>IF(U$13="да",V8476*1.18,V8476)</f>
        <v>0</v>
      </c>
      <c r="W8477" s="548">
        <f t="shared" si="45"/>
        <v>0</v>
      </c>
      <c r="X8477" s="257">
        <f>IF(X$13="да",X8476*1.18,X8476)</f>
        <v>0</v>
      </c>
      <c r="Y8477" s="260"/>
      <c r="Z8477" s="548">
        <f>X8477+Y8477</f>
        <v>0</v>
      </c>
      <c r="AA8477" s="257">
        <f>IF(AA$13="да",AA8476*1.18,AA8476)</f>
        <v>0</v>
      </c>
      <c r="AB8477" s="257">
        <f>IF(AA$13="да",AB8476*1.18,AB8476)</f>
        <v>0</v>
      </c>
      <c r="AC8477" s="548">
        <f>AA8477+AB8477</f>
        <v>0</v>
      </c>
      <c r="AD8477" s="60"/>
      <c r="AE8477" s="60"/>
      <c r="AF8477" s="60"/>
      <c r="AG8477" s="60"/>
      <c r="AH8477" s="60"/>
      <c r="AI8477" s="60"/>
      <c r="AJ8477" s="60"/>
      <c r="AK8477" s="60"/>
      <c r="AL8477" s="60"/>
      <c r="AM8477" s="60"/>
      <c r="AN8477"/>
    </row>
    <row r="8478" spans="1:40" s="47" customFormat="1">
      <c r="A8478" s="121"/>
      <c r="B8478" s="121"/>
      <c r="C8478" s="121"/>
      <c r="D8478" s="121"/>
      <c r="E8478" s="121"/>
      <c r="F8478" s="121"/>
      <c r="G8478" s="121"/>
      <c r="H8478" s="121"/>
      <c r="I8478" s="121"/>
      <c r="J8478" s="121"/>
      <c r="K8478" s="121"/>
      <c r="L8478" s="121"/>
      <c r="M8478" s="121"/>
      <c r="N8478" s="504" t="s">
        <v>2431</v>
      </c>
      <c r="O8478" s="526" t="s">
        <v>1693</v>
      </c>
      <c r="P8478" s="257"/>
      <c r="Q8478" s="321"/>
      <c r="R8478" s="260"/>
      <c r="S8478" s="260"/>
      <c r="T8478" s="260"/>
      <c r="U8478" s="260"/>
      <c r="V8478" s="261"/>
      <c r="W8478" s="548">
        <f t="shared" si="45"/>
        <v>0</v>
      </c>
      <c r="X8478" s="261"/>
      <c r="Y8478" s="260"/>
      <c r="Z8478" s="548">
        <f>X8478+Y8478</f>
        <v>0</v>
      </c>
      <c r="AA8478" s="261"/>
      <c r="AB8478" s="261"/>
      <c r="AC8478" s="548">
        <f>AA8478+AB8478</f>
        <v>0</v>
      </c>
      <c r="AD8478" s="60"/>
      <c r="AE8478" s="60"/>
      <c r="AF8478" s="60"/>
      <c r="AG8478" s="60"/>
      <c r="AH8478" s="60"/>
      <c r="AI8478" s="60"/>
      <c r="AJ8478" s="60"/>
      <c r="AK8478" s="60"/>
      <c r="AL8478" s="60"/>
      <c r="AM8478" s="57"/>
      <c r="AN8478"/>
    </row>
    <row r="8479" spans="1:40" s="47" customFormat="1">
      <c r="A8479" s="121"/>
      <c r="B8479" s="121"/>
      <c r="C8479" s="121"/>
      <c r="D8479" s="121"/>
      <c r="E8479" s="121"/>
      <c r="F8479" s="121"/>
      <c r="G8479" s="121"/>
      <c r="H8479" s="121"/>
      <c r="I8479" s="121"/>
      <c r="J8479" s="121"/>
      <c r="K8479" s="121"/>
      <c r="L8479" s="121"/>
      <c r="M8479" s="121"/>
      <c r="N8479" s="504" t="s">
        <v>845</v>
      </c>
      <c r="O8479" s="526" t="s">
        <v>1694</v>
      </c>
      <c r="P8479" s="257"/>
      <c r="Q8479" s="321"/>
      <c r="R8479" s="260"/>
      <c r="S8479" s="260"/>
      <c r="T8479" s="260"/>
      <c r="U8479" s="260"/>
      <c r="V8479" s="257">
        <f>IF(U$13="да",V8478*1.18,V8478)</f>
        <v>0</v>
      </c>
      <c r="W8479" s="548">
        <f t="shared" si="45"/>
        <v>0</v>
      </c>
      <c r="X8479" s="257">
        <f>IF(X$13="да",X8478*1.18,X8478)</f>
        <v>0</v>
      </c>
      <c r="Y8479" s="260"/>
      <c r="Z8479" s="548">
        <f>X8479+Y8479</f>
        <v>0</v>
      </c>
      <c r="AA8479" s="257">
        <f>IF(AA$13="да",AA8478*1.18,AA8478)</f>
        <v>0</v>
      </c>
      <c r="AB8479" s="257">
        <f>IF(AA$13="да",AB8478*1.18,AB8478)</f>
        <v>0</v>
      </c>
      <c r="AC8479" s="548">
        <f>AA8479+AB8479</f>
        <v>0</v>
      </c>
      <c r="AD8479" s="60"/>
      <c r="AE8479" s="60"/>
      <c r="AF8479" s="60"/>
      <c r="AG8479" s="60"/>
      <c r="AH8479" s="60"/>
      <c r="AI8479" s="60"/>
      <c r="AJ8479" s="60"/>
      <c r="AK8479" s="60"/>
      <c r="AL8479" s="60"/>
      <c r="AM8479" s="57"/>
      <c r="AN8479"/>
    </row>
    <row r="8480" spans="1:40" s="47" customFormat="1">
      <c r="A8480" s="121"/>
      <c r="B8480" s="121"/>
      <c r="C8480" s="121"/>
      <c r="D8480" s="121"/>
      <c r="E8480" s="121"/>
      <c r="F8480" s="121"/>
      <c r="G8480" s="121"/>
      <c r="H8480" s="121"/>
      <c r="I8480" s="121"/>
      <c r="J8480" s="121"/>
      <c r="K8480" s="121"/>
      <c r="L8480" s="121"/>
      <c r="M8480" s="121"/>
      <c r="N8480" s="504" t="s">
        <v>3005</v>
      </c>
      <c r="O8480" s="604" t="s">
        <v>1695</v>
      </c>
      <c r="P8480" s="257"/>
      <c r="Q8480" s="321"/>
      <c r="R8480" s="260"/>
      <c r="S8480" s="260"/>
      <c r="T8480" s="260"/>
      <c r="U8480" s="260"/>
      <c r="V8480" s="554">
        <f>V8477+V8479</f>
        <v>0</v>
      </c>
      <c r="W8480" s="548">
        <f t="shared" si="45"/>
        <v>0</v>
      </c>
      <c r="X8480" s="554">
        <f>X8477+X8479</f>
        <v>0</v>
      </c>
      <c r="Y8480" s="260"/>
      <c r="Z8480" s="548">
        <f>X8480+Y8480</f>
        <v>0</v>
      </c>
      <c r="AA8480" s="554">
        <f>AA8477+AA8479</f>
        <v>0</v>
      </c>
      <c r="AB8480" s="554">
        <f>AB8477+AB8479</f>
        <v>0</v>
      </c>
      <c r="AC8480" s="548">
        <f>AA8480+AB8480</f>
        <v>0</v>
      </c>
      <c r="AD8480" s="57"/>
      <c r="AE8480" s="57"/>
      <c r="AF8480" s="57"/>
      <c r="AG8480" s="57"/>
      <c r="AH8480" s="57"/>
      <c r="AI8480" s="57"/>
      <c r="AJ8480" s="57"/>
      <c r="AK8480" s="57"/>
      <c r="AL8480" s="57"/>
      <c r="AM8480" s="57"/>
      <c r="AN8480"/>
    </row>
    <row r="8481" spans="1:40" s="47" customFormat="1">
      <c r="A8481" s="121"/>
      <c r="B8481" s="121"/>
      <c r="C8481" s="121"/>
      <c r="D8481" s="121"/>
      <c r="E8481" s="121"/>
      <c r="F8481" s="121"/>
      <c r="G8481" s="121"/>
      <c r="H8481" s="121"/>
      <c r="I8481" s="121"/>
      <c r="J8481" s="121"/>
      <c r="K8481" s="121"/>
      <c r="L8481" s="121"/>
      <c r="M8481" s="121"/>
      <c r="N8481" s="504"/>
      <c r="O8481" s="526"/>
      <c r="P8481" s="285"/>
      <c r="Q8481" s="321"/>
      <c r="R8481" s="260"/>
      <c r="S8481" s="260"/>
      <c r="T8481" s="260"/>
      <c r="U8481" s="260"/>
      <c r="V8481" s="260"/>
      <c r="W8481" s="260"/>
      <c r="X8481" s="260"/>
      <c r="Y8481" s="260"/>
      <c r="Z8481" s="260"/>
      <c r="AA8481" s="260"/>
      <c r="AB8481" s="260"/>
      <c r="AC8481" s="260"/>
      <c r="AD8481" s="57"/>
      <c r="AE8481" s="57"/>
      <c r="AF8481" s="57"/>
      <c r="AG8481" s="57"/>
      <c r="AH8481" s="57"/>
      <c r="AI8481" s="57"/>
      <c r="AJ8481" s="57"/>
      <c r="AK8481" s="57"/>
      <c r="AL8481" s="57"/>
      <c r="AM8481" s="57"/>
      <c r="AN8481"/>
    </row>
    <row r="8482" spans="1:40" s="47" customFormat="1" hidden="1">
      <c r="A8482" s="121"/>
      <c r="B8482" s="121"/>
      <c r="C8482" s="121"/>
      <c r="D8482" s="121"/>
      <c r="E8482" s="121"/>
      <c r="F8482" s="121"/>
      <c r="G8482" s="121"/>
      <c r="H8482" s="121"/>
      <c r="I8482" s="121"/>
      <c r="J8482" s="121"/>
      <c r="K8482" s="121"/>
      <c r="L8482" s="121"/>
      <c r="M8482" s="121"/>
      <c r="N8482" s="504"/>
      <c r="O8482" s="540"/>
      <c r="P8482" s="285"/>
      <c r="Q8482" s="321"/>
      <c r="R8482" s="260"/>
      <c r="S8482" s="260"/>
      <c r="T8482" s="260"/>
      <c r="U8482" s="260"/>
      <c r="V8482" s="260"/>
      <c r="W8482" s="260"/>
      <c r="X8482" s="260"/>
      <c r="Y8482" s="260"/>
      <c r="Z8482" s="260"/>
      <c r="AA8482" s="260"/>
      <c r="AB8482" s="260"/>
      <c r="AC8482" s="260"/>
      <c r="AD8482" s="57"/>
      <c r="AE8482" s="57"/>
      <c r="AF8482" s="57"/>
      <c r="AG8482" s="57"/>
      <c r="AH8482" s="57"/>
      <c r="AI8482" s="57"/>
      <c r="AJ8482" s="57"/>
      <c r="AK8482" s="57"/>
      <c r="AL8482" s="57"/>
      <c r="AM8482" s="57"/>
      <c r="AN8482"/>
    </row>
    <row r="8483" spans="1:40" s="47" customFormat="1" hidden="1">
      <c r="A8483" s="121"/>
      <c r="B8483" s="121"/>
      <c r="C8483" s="121"/>
      <c r="D8483" s="121"/>
      <c r="E8483" s="121"/>
      <c r="F8483" s="121"/>
      <c r="G8483" s="121"/>
      <c r="H8483" s="121"/>
      <c r="I8483" s="121"/>
      <c r="J8483" s="121"/>
      <c r="K8483" s="121"/>
      <c r="L8483" s="121"/>
      <c r="M8483" s="121"/>
      <c r="N8483" s="504"/>
      <c r="O8483" s="526"/>
      <c r="P8483" s="285"/>
      <c r="Q8483" s="321"/>
      <c r="R8483" s="260"/>
      <c r="S8483" s="260"/>
      <c r="T8483" s="260"/>
      <c r="U8483" s="260"/>
      <c r="V8483" s="260"/>
      <c r="W8483" s="260"/>
      <c r="X8483" s="260"/>
      <c r="Y8483" s="260"/>
      <c r="Z8483" s="260"/>
      <c r="AA8483" s="260"/>
      <c r="AB8483" s="260"/>
      <c r="AC8483" s="260"/>
      <c r="AD8483" s="57"/>
      <c r="AE8483" s="57"/>
      <c r="AF8483" s="57"/>
      <c r="AG8483" s="57"/>
      <c r="AH8483" s="57"/>
      <c r="AI8483" s="57"/>
      <c r="AJ8483" s="57"/>
      <c r="AK8483" s="57"/>
      <c r="AL8483" s="57"/>
      <c r="AM8483" s="57"/>
      <c r="AN8483"/>
    </row>
    <row r="8484" spans="1:40" s="47" customFormat="1">
      <c r="A8484" s="121"/>
      <c r="B8484" s="121"/>
      <c r="C8484" s="121"/>
      <c r="D8484" s="121"/>
      <c r="E8484" s="121"/>
      <c r="F8484" s="121"/>
      <c r="G8484" s="121"/>
      <c r="H8484" s="121"/>
      <c r="I8484" s="121"/>
      <c r="J8484" s="121"/>
      <c r="K8484" s="121"/>
      <c r="L8484" s="121"/>
      <c r="M8484" s="121"/>
      <c r="N8484" s="223"/>
      <c r="O8484" s="684"/>
      <c r="P8484" s="285"/>
      <c r="Q8484" s="321"/>
      <c r="R8484" s="260"/>
      <c r="S8484" s="260"/>
      <c r="T8484" s="260"/>
      <c r="U8484" s="260"/>
      <c r="V8484" s="260"/>
      <c r="W8484" s="260"/>
      <c r="X8484" s="260"/>
      <c r="Y8484" s="260"/>
      <c r="Z8484" s="260"/>
      <c r="AA8484" s="260"/>
      <c r="AB8484" s="260"/>
      <c r="AC8484" s="260"/>
      <c r="AD8484" s="57"/>
      <c r="AE8484" s="57"/>
      <c r="AF8484" s="57"/>
      <c r="AG8484" s="57"/>
      <c r="AH8484" s="57"/>
      <c r="AI8484" s="57"/>
      <c r="AJ8484" s="57"/>
      <c r="AK8484" s="57"/>
      <c r="AL8484" s="57"/>
      <c r="AM8484" s="57"/>
      <c r="AN8484"/>
    </row>
    <row r="8485" spans="1:40" s="47" customFormat="1">
      <c r="A8485" s="121"/>
      <c r="B8485" s="121"/>
      <c r="C8485" s="121"/>
      <c r="D8485" s="121"/>
      <c r="E8485" s="121"/>
      <c r="F8485" s="121"/>
      <c r="G8485" s="121"/>
      <c r="H8485" s="121"/>
      <c r="I8485" s="121"/>
      <c r="J8485" s="121"/>
      <c r="K8485" s="121"/>
      <c r="L8485" s="121"/>
      <c r="M8485" s="121"/>
      <c r="N8485" s="223" t="s">
        <v>790</v>
      </c>
      <c r="O8485" s="685" t="str">
        <f>IF(TEMPLATE_SPHERE="водоснабжения","Изменение объёмов отпуска воды (тыс. куб.м)",IF(TEMPLATE_SPHERE="водоотведения","Изменение объёмов сточных вод, всего (тыс. куб.м)"))</f>
        <v>Изменение объёмов сточных вод, всего (тыс. куб.м)</v>
      </c>
      <c r="P8485" s="257"/>
      <c r="Q8485" s="321"/>
      <c r="R8485" s="323"/>
      <c r="S8485" s="323"/>
      <c r="T8485" s="323"/>
      <c r="U8485" s="323"/>
      <c r="V8485" s="545">
        <f>SUM(V8486:V8490)</f>
        <v>0</v>
      </c>
      <c r="W8485" s="548">
        <f t="shared" ref="W8485:W8490" si="46">U8485+V8485</f>
        <v>0</v>
      </c>
      <c r="X8485" s="545">
        <f>SUM(X8486:X8490)</f>
        <v>0</v>
      </c>
      <c r="Y8485" s="260"/>
      <c r="Z8485" s="548">
        <f t="shared" ref="Z8485:Z8490" si="47">X8485+Y8485</f>
        <v>0</v>
      </c>
      <c r="AA8485" s="545">
        <f>SUM(AA8486:AA8490)</f>
        <v>0</v>
      </c>
      <c r="AB8485" s="545">
        <f>SUM(AB8486:AB8490)</f>
        <v>0</v>
      </c>
      <c r="AC8485" s="548">
        <f t="shared" ref="AC8485:AC8490" si="48">AA8485+AB8485</f>
        <v>0</v>
      </c>
      <c r="AD8485" s="260"/>
      <c r="AE8485" s="254"/>
      <c r="AF8485" s="254"/>
      <c r="AG8485" s="254"/>
      <c r="AH8485" s="260"/>
      <c r="AI8485" s="254"/>
      <c r="AJ8485" s="254"/>
      <c r="AK8485" s="254"/>
      <c r="AL8485" s="254"/>
      <c r="AM8485" s="816" t="s">
        <v>351</v>
      </c>
      <c r="AN8485"/>
    </row>
    <row r="8486" spans="1:40" s="47" customFormat="1" ht="22.5">
      <c r="A8486" s="121"/>
      <c r="B8486" s="121"/>
      <c r="C8486" s="121"/>
      <c r="D8486" s="121"/>
      <c r="E8486" s="121"/>
      <c r="F8486" s="121"/>
      <c r="G8486" s="121"/>
      <c r="H8486" s="121"/>
      <c r="I8486" s="121"/>
      <c r="J8486" s="121"/>
      <c r="K8486" s="121"/>
      <c r="L8486" s="121"/>
      <c r="M8486" s="121"/>
      <c r="N8486" s="223" t="s">
        <v>2501</v>
      </c>
      <c r="O8486" s="686" t="str">
        <f>IF(TEMPLATE_SPHERE="водоснабжения","Изменение объёма отпуска воды на нужды предприятия (тыс. куб.м)",IF(TEMPLATE_SPHERE="водоотведения","Изменение объёма пропускаемых стоков на хозяйственные нужды (тыс. куб.м)"))</f>
        <v>Изменение объёма пропускаемых стоков на хозяйственные нужды (тыс. куб.м)</v>
      </c>
      <c r="P8486" s="257"/>
      <c r="Q8486" s="321"/>
      <c r="R8486" s="260"/>
      <c r="S8486" s="260"/>
      <c r="T8486" s="260"/>
      <c r="U8486" s="260"/>
      <c r="V8486" s="261"/>
      <c r="W8486" s="548">
        <f t="shared" si="46"/>
        <v>0</v>
      </c>
      <c r="X8486" s="261"/>
      <c r="Y8486" s="260"/>
      <c r="Z8486" s="548">
        <f t="shared" si="47"/>
        <v>0</v>
      </c>
      <c r="AA8486" s="261"/>
      <c r="AB8486" s="261"/>
      <c r="AC8486" s="548">
        <f t="shared" si="48"/>
        <v>0</v>
      </c>
      <c r="AD8486" s="260"/>
      <c r="AE8486" s="254"/>
      <c r="AF8486" s="254"/>
      <c r="AG8486" s="254"/>
      <c r="AH8486" s="260"/>
      <c r="AI8486" s="254"/>
      <c r="AJ8486" s="254"/>
      <c r="AK8486" s="254"/>
      <c r="AL8486" s="254"/>
      <c r="AM8486" s="816"/>
      <c r="AN8486"/>
    </row>
    <row r="8487" spans="1:40" s="47" customFormat="1">
      <c r="A8487" s="121"/>
      <c r="B8487" s="121"/>
      <c r="C8487" s="121"/>
      <c r="D8487" s="121"/>
      <c r="E8487" s="121"/>
      <c r="F8487" s="121"/>
      <c r="G8487" s="121"/>
      <c r="H8487" s="121"/>
      <c r="I8487" s="121"/>
      <c r="J8487" s="121"/>
      <c r="K8487" s="121"/>
      <c r="L8487" s="121"/>
      <c r="M8487" s="121"/>
      <c r="N8487" s="223" t="s">
        <v>2502</v>
      </c>
      <c r="O8487" s="686" t="str">
        <f>IF(TEMPLATE_SPHERE="водоснабжения","Изменение объёма отпуска воды другим водопроводам (тыс. куб.м)",IF(TEMPLATE_SPHERE="водоотведения","Изменение объёма передачи стоков другим канализациям (тыс. куб.м)"))</f>
        <v>Изменение объёма передачи стоков другим канализациям (тыс. куб.м)</v>
      </c>
      <c r="P8487" s="257"/>
      <c r="Q8487" s="321"/>
      <c r="R8487" s="260"/>
      <c r="S8487" s="260"/>
      <c r="T8487" s="260"/>
      <c r="U8487" s="260"/>
      <c r="V8487" s="261"/>
      <c r="W8487" s="548">
        <f t="shared" si="46"/>
        <v>0</v>
      </c>
      <c r="X8487" s="261"/>
      <c r="Y8487" s="260"/>
      <c r="Z8487" s="548">
        <f t="shared" si="47"/>
        <v>0</v>
      </c>
      <c r="AA8487" s="261"/>
      <c r="AB8487" s="261"/>
      <c r="AC8487" s="548">
        <f t="shared" si="48"/>
        <v>0</v>
      </c>
      <c r="AD8487" s="260"/>
      <c r="AE8487" s="254"/>
      <c r="AF8487" s="254"/>
      <c r="AG8487" s="254"/>
      <c r="AH8487" s="260"/>
      <c r="AI8487" s="254"/>
      <c r="AJ8487" s="254"/>
      <c r="AK8487" s="254"/>
      <c r="AL8487" s="254"/>
      <c r="AM8487" s="816"/>
      <c r="AN8487"/>
    </row>
    <row r="8488" spans="1:40" s="47" customFormat="1">
      <c r="A8488" s="121"/>
      <c r="B8488" s="121"/>
      <c r="C8488" s="121"/>
      <c r="D8488" s="121"/>
      <c r="E8488" s="121"/>
      <c r="F8488" s="121"/>
      <c r="G8488" s="121"/>
      <c r="H8488" s="121"/>
      <c r="I8488" s="121"/>
      <c r="J8488" s="121"/>
      <c r="K8488" s="121"/>
      <c r="L8488" s="121"/>
      <c r="M8488" s="121"/>
      <c r="N8488" s="223" t="s">
        <v>2503</v>
      </c>
      <c r="O8488" s="686" t="s">
        <v>520</v>
      </c>
      <c r="P8488" s="257"/>
      <c r="Q8488" s="321"/>
      <c r="R8488" s="260"/>
      <c r="S8488" s="260"/>
      <c r="T8488" s="260"/>
      <c r="U8488" s="260"/>
      <c r="V8488" s="261"/>
      <c r="W8488" s="548">
        <f t="shared" si="46"/>
        <v>0</v>
      </c>
      <c r="X8488" s="261"/>
      <c r="Y8488" s="260"/>
      <c r="Z8488" s="548">
        <f t="shared" si="47"/>
        <v>0</v>
      </c>
      <c r="AA8488" s="261"/>
      <c r="AB8488" s="261"/>
      <c r="AC8488" s="548">
        <f t="shared" si="48"/>
        <v>0</v>
      </c>
      <c r="AD8488" s="260"/>
      <c r="AE8488" s="254"/>
      <c r="AF8488" s="254"/>
      <c r="AG8488" s="254"/>
      <c r="AH8488" s="260"/>
      <c r="AI8488" s="254"/>
      <c r="AJ8488" s="254"/>
      <c r="AK8488" s="254"/>
      <c r="AL8488" s="254"/>
      <c r="AM8488" s="816"/>
      <c r="AN8488"/>
    </row>
    <row r="8489" spans="1:40" s="121" customFormat="1">
      <c r="N8489" s="223" t="s">
        <v>6</v>
      </c>
      <c r="O8489" s="686" t="s">
        <v>521</v>
      </c>
      <c r="P8489" s="257"/>
      <c r="Q8489" s="321"/>
      <c r="R8489" s="260"/>
      <c r="S8489" s="260"/>
      <c r="T8489" s="260"/>
      <c r="U8489" s="260"/>
      <c r="V8489" s="261"/>
      <c r="W8489" s="548">
        <f t="shared" si="46"/>
        <v>0</v>
      </c>
      <c r="X8489" s="261"/>
      <c r="Y8489" s="260"/>
      <c r="Z8489" s="548">
        <f t="shared" si="47"/>
        <v>0</v>
      </c>
      <c r="AA8489" s="261"/>
      <c r="AB8489" s="261"/>
      <c r="AC8489" s="548">
        <f t="shared" si="48"/>
        <v>0</v>
      </c>
      <c r="AD8489" s="260"/>
      <c r="AE8489" s="254"/>
      <c r="AF8489" s="254"/>
      <c r="AG8489" s="254"/>
      <c r="AH8489" s="260"/>
      <c r="AI8489" s="254"/>
      <c r="AJ8489" s="254"/>
      <c r="AK8489" s="254"/>
      <c r="AL8489" s="254"/>
      <c r="AM8489" s="816"/>
      <c r="AN8489"/>
    </row>
    <row r="8490" spans="1:40" s="121" customFormat="1">
      <c r="N8490" s="223" t="s">
        <v>7</v>
      </c>
      <c r="O8490" s="686" t="s">
        <v>522</v>
      </c>
      <c r="P8490" s="257"/>
      <c r="Q8490" s="321"/>
      <c r="R8490" s="260"/>
      <c r="S8490" s="260"/>
      <c r="T8490" s="260"/>
      <c r="U8490" s="260"/>
      <c r="V8490" s="261"/>
      <c r="W8490" s="548">
        <f t="shared" si="46"/>
        <v>0</v>
      </c>
      <c r="X8490" s="261"/>
      <c r="Y8490" s="260"/>
      <c r="Z8490" s="548">
        <f t="shared" si="47"/>
        <v>0</v>
      </c>
      <c r="AA8490" s="261"/>
      <c r="AB8490" s="261"/>
      <c r="AC8490" s="548">
        <f t="shared" si="48"/>
        <v>0</v>
      </c>
      <c r="AD8490" s="260"/>
      <c r="AE8490" s="254"/>
      <c r="AF8490" s="254"/>
      <c r="AG8490" s="254"/>
      <c r="AH8490" s="260"/>
      <c r="AI8490" s="254"/>
      <c r="AJ8490" s="254"/>
      <c r="AK8490" s="254"/>
      <c r="AL8490" s="254"/>
      <c r="AM8490" s="816"/>
      <c r="AN8490"/>
    </row>
    <row r="8491" spans="1:40" s="121" customFormat="1" ht="11.25" customHeight="1">
      <c r="N8491" s="223" t="s">
        <v>792</v>
      </c>
      <c r="O8491" s="685" t="str">
        <f>IF(TEMPLATE_SPHERE="водоснабжения","Изменение объёма транспортировки воды (тыс. куб.м)",IF(TEMPLATE_SPHERE="водоотведения","Изменение объёма транспортировки стоков (тыс. куб.м)"))</f>
        <v>Изменение объёма транспортировки стоков (тыс. куб.м)</v>
      </c>
      <c r="P8491" s="257"/>
      <c r="Q8491" s="321"/>
      <c r="R8491" s="260"/>
      <c r="S8491" s="260"/>
      <c r="T8491" s="260"/>
      <c r="U8491" s="260"/>
      <c r="V8491" s="254"/>
      <c r="W8491" s="254"/>
      <c r="X8491" s="254"/>
      <c r="Y8491" s="260"/>
      <c r="Z8491" s="254"/>
      <c r="AA8491" s="254"/>
      <c r="AB8491" s="254"/>
      <c r="AC8491" s="254"/>
      <c r="AD8491" s="260"/>
      <c r="AE8491" s="261"/>
      <c r="AF8491" s="548">
        <f>AD8491+AE8491</f>
        <v>0</v>
      </c>
      <c r="AG8491" s="261"/>
      <c r="AH8491" s="260"/>
      <c r="AI8491" s="548">
        <f>AG8491+AH8491</f>
        <v>0</v>
      </c>
      <c r="AJ8491" s="261"/>
      <c r="AK8491" s="261"/>
      <c r="AL8491" s="548">
        <f>AJ8491+AK8491</f>
        <v>0</v>
      </c>
      <c r="AM8491" s="816"/>
      <c r="AN8491"/>
    </row>
    <row r="8492" spans="1:40" s="121" customFormat="1" ht="22.5">
      <c r="N8492" s="436" t="s">
        <v>1854</v>
      </c>
      <c r="O8492" s="687" t="s">
        <v>523</v>
      </c>
      <c r="P8492" s="257"/>
      <c r="Q8492" s="321"/>
      <c r="R8492" s="260"/>
      <c r="S8492" s="260"/>
      <c r="T8492" s="260"/>
      <c r="U8492" s="260"/>
      <c r="V8492" s="545">
        <f>SUM(V8493:V8500)</f>
        <v>0</v>
      </c>
      <c r="W8492" s="549">
        <f>U8492+V8492</f>
        <v>0</v>
      </c>
      <c r="X8492" s="545">
        <f>SUM(X8493:X8500)</f>
        <v>0</v>
      </c>
      <c r="Y8492" s="546"/>
      <c r="Z8492" s="549">
        <f>X8492+Y8492</f>
        <v>0</v>
      </c>
      <c r="AA8492" s="545">
        <f>SUM(AA8493:AA8500)</f>
        <v>0</v>
      </c>
      <c r="AB8492" s="545">
        <f>SUM(AB8493:AB8500)</f>
        <v>0</v>
      </c>
      <c r="AC8492" s="549">
        <f>AA8492+AB8492</f>
        <v>0</v>
      </c>
      <c r="AD8492" s="260"/>
      <c r="AE8492" s="545">
        <f>SUM(AE8493:AE8500)</f>
        <v>0</v>
      </c>
      <c r="AF8492" s="549">
        <f>AD8492+AE8492</f>
        <v>0</v>
      </c>
      <c r="AG8492" s="545">
        <f>SUM(AG8493:AG8500)</f>
        <v>0</v>
      </c>
      <c r="AH8492" s="546"/>
      <c r="AI8492" s="549">
        <f>AG8492+AH8492</f>
        <v>0</v>
      </c>
      <c r="AJ8492" s="545">
        <f>SUM(AJ8493:AJ8500)</f>
        <v>0</v>
      </c>
      <c r="AK8492" s="545">
        <f>SUM(AK8493:AK8500)</f>
        <v>0</v>
      </c>
      <c r="AL8492" s="549">
        <f>AJ8492+AK8492</f>
        <v>0</v>
      </c>
      <c r="AM8492" s="816"/>
      <c r="AN8492"/>
    </row>
    <row r="8493" spans="1:40" s="47" customFormat="1">
      <c r="A8493" s="121"/>
      <c r="B8493" s="121"/>
      <c r="C8493" s="121"/>
      <c r="D8493" s="121"/>
      <c r="E8493" s="121"/>
      <c r="F8493" s="121"/>
      <c r="G8493" s="121"/>
      <c r="H8493" s="121"/>
      <c r="I8493" s="121"/>
      <c r="J8493" s="121"/>
      <c r="K8493" s="121"/>
      <c r="L8493" s="121"/>
      <c r="M8493" s="121"/>
      <c r="N8493" s="236" t="s">
        <v>2466</v>
      </c>
      <c r="O8493" s="228" t="s">
        <v>2984</v>
      </c>
      <c r="P8493" s="257"/>
      <c r="Q8493" s="321"/>
      <c r="R8493" s="260"/>
      <c r="S8493" s="260"/>
      <c r="T8493" s="260"/>
      <c r="U8493" s="260"/>
      <c r="V8493" s="261"/>
      <c r="W8493" s="549">
        <f t="shared" ref="W8493:W8500" si="49">U8493+V8493</f>
        <v>0</v>
      </c>
      <c r="X8493" s="261"/>
      <c r="Y8493" s="546"/>
      <c r="Z8493" s="549">
        <f t="shared" ref="Z8493:Z8500" si="50">X8493+Y8493</f>
        <v>0</v>
      </c>
      <c r="AA8493" s="261"/>
      <c r="AB8493" s="261"/>
      <c r="AC8493" s="549">
        <f t="shared" ref="AC8493:AC8500" si="51">AA8493+AB8493</f>
        <v>0</v>
      </c>
      <c r="AD8493" s="260"/>
      <c r="AE8493" s="261"/>
      <c r="AF8493" s="549">
        <f t="shared" ref="AF8493:AF8500" si="52">AD8493+AE8493</f>
        <v>0</v>
      </c>
      <c r="AG8493" s="261"/>
      <c r="AH8493" s="546"/>
      <c r="AI8493" s="549">
        <f t="shared" ref="AI8493:AI8500" si="53">AG8493+AH8493</f>
        <v>0</v>
      </c>
      <c r="AJ8493" s="261"/>
      <c r="AK8493" s="261"/>
      <c r="AL8493" s="549">
        <f t="shared" ref="AL8493:AL8500" si="54">AJ8493+AK8493</f>
        <v>0</v>
      </c>
      <c r="AM8493" s="816"/>
      <c r="AN8493"/>
    </row>
    <row r="8494" spans="1:40" s="47" customFormat="1">
      <c r="A8494" s="121"/>
      <c r="B8494" s="121"/>
      <c r="C8494" s="121"/>
      <c r="D8494" s="121"/>
      <c r="E8494" s="121"/>
      <c r="F8494" s="121"/>
      <c r="G8494" s="121"/>
      <c r="H8494" s="121"/>
      <c r="I8494" s="121"/>
      <c r="J8494" s="121"/>
      <c r="K8494" s="121"/>
      <c r="L8494" s="121"/>
      <c r="M8494" s="121"/>
      <c r="N8494" s="236" t="s">
        <v>2467</v>
      </c>
      <c r="O8494" s="228" t="s">
        <v>2469</v>
      </c>
      <c r="P8494" s="257"/>
      <c r="Q8494" s="321"/>
      <c r="R8494" s="260"/>
      <c r="S8494" s="260"/>
      <c r="T8494" s="260"/>
      <c r="U8494" s="260"/>
      <c r="V8494" s="261"/>
      <c r="W8494" s="549">
        <f t="shared" si="49"/>
        <v>0</v>
      </c>
      <c r="X8494" s="261"/>
      <c r="Y8494" s="260"/>
      <c r="Z8494" s="549">
        <f t="shared" si="50"/>
        <v>0</v>
      </c>
      <c r="AA8494" s="261"/>
      <c r="AB8494" s="261"/>
      <c r="AC8494" s="549">
        <f t="shared" si="51"/>
        <v>0</v>
      </c>
      <c r="AD8494" s="260"/>
      <c r="AE8494" s="261"/>
      <c r="AF8494" s="549">
        <f t="shared" si="52"/>
        <v>0</v>
      </c>
      <c r="AG8494" s="261"/>
      <c r="AH8494" s="260"/>
      <c r="AI8494" s="549">
        <f t="shared" si="53"/>
        <v>0</v>
      </c>
      <c r="AJ8494" s="261"/>
      <c r="AK8494" s="261"/>
      <c r="AL8494" s="549">
        <f t="shared" si="54"/>
        <v>0</v>
      </c>
      <c r="AM8494" s="816"/>
      <c r="AN8494"/>
    </row>
    <row r="8495" spans="1:40" s="121" customFormat="1">
      <c r="N8495" s="236" t="s">
        <v>2468</v>
      </c>
      <c r="O8495" s="228" t="s">
        <v>2471</v>
      </c>
      <c r="P8495" s="257"/>
      <c r="Q8495" s="321"/>
      <c r="R8495" s="260"/>
      <c r="S8495" s="260"/>
      <c r="T8495" s="260"/>
      <c r="U8495" s="260"/>
      <c r="V8495" s="261"/>
      <c r="W8495" s="549">
        <f t="shared" si="49"/>
        <v>0</v>
      </c>
      <c r="X8495" s="261"/>
      <c r="Y8495" s="546"/>
      <c r="Z8495" s="549">
        <f t="shared" si="50"/>
        <v>0</v>
      </c>
      <c r="AA8495" s="261"/>
      <c r="AB8495" s="261"/>
      <c r="AC8495" s="549">
        <f t="shared" si="51"/>
        <v>0</v>
      </c>
      <c r="AD8495" s="260"/>
      <c r="AE8495" s="261"/>
      <c r="AF8495" s="549">
        <f t="shared" si="52"/>
        <v>0</v>
      </c>
      <c r="AG8495" s="261"/>
      <c r="AH8495" s="546"/>
      <c r="AI8495" s="549">
        <f t="shared" si="53"/>
        <v>0</v>
      </c>
      <c r="AJ8495" s="261"/>
      <c r="AK8495" s="261"/>
      <c r="AL8495" s="549">
        <f t="shared" si="54"/>
        <v>0</v>
      </c>
      <c r="AM8495" s="816"/>
      <c r="AN8495"/>
    </row>
    <row r="8496" spans="1:40" s="121" customFormat="1">
      <c r="N8496" s="236" t="s">
        <v>2470</v>
      </c>
      <c r="O8496" s="228" t="s">
        <v>2473</v>
      </c>
      <c r="P8496" s="257"/>
      <c r="Q8496" s="321"/>
      <c r="R8496" s="260"/>
      <c r="S8496" s="260"/>
      <c r="T8496" s="260"/>
      <c r="U8496" s="260"/>
      <c r="V8496" s="261"/>
      <c r="W8496" s="549">
        <f t="shared" si="49"/>
        <v>0</v>
      </c>
      <c r="X8496" s="261"/>
      <c r="Y8496" s="546"/>
      <c r="Z8496" s="549">
        <f t="shared" si="50"/>
        <v>0</v>
      </c>
      <c r="AA8496" s="261"/>
      <c r="AB8496" s="261"/>
      <c r="AC8496" s="549">
        <f t="shared" si="51"/>
        <v>0</v>
      </c>
      <c r="AD8496" s="260"/>
      <c r="AE8496" s="261"/>
      <c r="AF8496" s="549">
        <f t="shared" si="52"/>
        <v>0</v>
      </c>
      <c r="AG8496" s="261"/>
      <c r="AH8496" s="546"/>
      <c r="AI8496" s="549">
        <f t="shared" si="53"/>
        <v>0</v>
      </c>
      <c r="AJ8496" s="261"/>
      <c r="AK8496" s="261"/>
      <c r="AL8496" s="549">
        <f t="shared" si="54"/>
        <v>0</v>
      </c>
      <c r="AM8496" s="816"/>
      <c r="AN8496"/>
    </row>
    <row r="8497" spans="1:40" s="121" customFormat="1">
      <c r="N8497" s="236" t="s">
        <v>2472</v>
      </c>
      <c r="O8497" s="228" t="s">
        <v>2475</v>
      </c>
      <c r="P8497" s="257"/>
      <c r="Q8497" s="321"/>
      <c r="R8497" s="260"/>
      <c r="S8497" s="260"/>
      <c r="T8497" s="260"/>
      <c r="U8497" s="260"/>
      <c r="V8497" s="261"/>
      <c r="W8497" s="549">
        <f t="shared" si="49"/>
        <v>0</v>
      </c>
      <c r="X8497" s="261"/>
      <c r="Y8497" s="260"/>
      <c r="Z8497" s="549">
        <f t="shared" si="50"/>
        <v>0</v>
      </c>
      <c r="AA8497" s="261"/>
      <c r="AB8497" s="261"/>
      <c r="AC8497" s="549">
        <f t="shared" si="51"/>
        <v>0</v>
      </c>
      <c r="AD8497" s="260"/>
      <c r="AE8497" s="261"/>
      <c r="AF8497" s="549">
        <f t="shared" si="52"/>
        <v>0</v>
      </c>
      <c r="AG8497" s="261"/>
      <c r="AH8497" s="260"/>
      <c r="AI8497" s="549">
        <f t="shared" si="53"/>
        <v>0</v>
      </c>
      <c r="AJ8497" s="261"/>
      <c r="AK8497" s="261"/>
      <c r="AL8497" s="549">
        <f t="shared" si="54"/>
        <v>0</v>
      </c>
      <c r="AM8497" s="816"/>
      <c r="AN8497"/>
    </row>
    <row r="8498" spans="1:40" s="121" customFormat="1">
      <c r="N8498" s="236" t="s">
        <v>2474</v>
      </c>
      <c r="O8498" s="228" t="s">
        <v>2477</v>
      </c>
      <c r="P8498" s="257"/>
      <c r="Q8498" s="321"/>
      <c r="R8498" s="260"/>
      <c r="S8498" s="260"/>
      <c r="T8498" s="260"/>
      <c r="U8498" s="260"/>
      <c r="V8498" s="261"/>
      <c r="W8498" s="549">
        <f t="shared" si="49"/>
        <v>0</v>
      </c>
      <c r="X8498" s="261"/>
      <c r="Y8498" s="546"/>
      <c r="Z8498" s="549">
        <f t="shared" si="50"/>
        <v>0</v>
      </c>
      <c r="AA8498" s="261"/>
      <c r="AB8498" s="261"/>
      <c r="AC8498" s="549">
        <f t="shared" si="51"/>
        <v>0</v>
      </c>
      <c r="AD8498" s="260"/>
      <c r="AE8498" s="261"/>
      <c r="AF8498" s="549">
        <f t="shared" si="52"/>
        <v>0</v>
      </c>
      <c r="AG8498" s="261"/>
      <c r="AH8498" s="546"/>
      <c r="AI8498" s="549">
        <f t="shared" si="53"/>
        <v>0</v>
      </c>
      <c r="AJ8498" s="261"/>
      <c r="AK8498" s="261"/>
      <c r="AL8498" s="549">
        <f t="shared" si="54"/>
        <v>0</v>
      </c>
      <c r="AM8498" s="816"/>
      <c r="AN8498"/>
    </row>
    <row r="8499" spans="1:40" s="121" customFormat="1">
      <c r="N8499" s="236" t="s">
        <v>2476</v>
      </c>
      <c r="O8499" s="228" t="s">
        <v>866</v>
      </c>
      <c r="P8499" s="257"/>
      <c r="Q8499" s="321"/>
      <c r="R8499" s="260"/>
      <c r="S8499" s="260"/>
      <c r="T8499" s="260"/>
      <c r="U8499" s="260"/>
      <c r="V8499" s="261"/>
      <c r="W8499" s="549">
        <f t="shared" si="49"/>
        <v>0</v>
      </c>
      <c r="X8499" s="261"/>
      <c r="Y8499" s="546"/>
      <c r="Z8499" s="549">
        <f t="shared" si="50"/>
        <v>0</v>
      </c>
      <c r="AA8499" s="261"/>
      <c r="AB8499" s="261"/>
      <c r="AC8499" s="549">
        <f t="shared" si="51"/>
        <v>0</v>
      </c>
      <c r="AD8499" s="260"/>
      <c r="AE8499" s="261"/>
      <c r="AF8499" s="549">
        <f t="shared" si="52"/>
        <v>0</v>
      </c>
      <c r="AG8499" s="261"/>
      <c r="AH8499" s="546"/>
      <c r="AI8499" s="549">
        <f t="shared" si="53"/>
        <v>0</v>
      </c>
      <c r="AJ8499" s="261"/>
      <c r="AK8499" s="261"/>
      <c r="AL8499" s="549">
        <f t="shared" si="54"/>
        <v>0</v>
      </c>
      <c r="AM8499" s="816"/>
      <c r="AN8499"/>
    </row>
    <row r="8500" spans="1:40" s="121" customFormat="1">
      <c r="N8500" s="236" t="s">
        <v>2478</v>
      </c>
      <c r="O8500" s="682" t="s">
        <v>2479</v>
      </c>
      <c r="P8500" s="257"/>
      <c r="Q8500" s="321"/>
      <c r="R8500" s="260"/>
      <c r="S8500" s="260"/>
      <c r="T8500" s="260"/>
      <c r="U8500" s="260"/>
      <c r="V8500" s="261"/>
      <c r="W8500" s="549">
        <f t="shared" si="49"/>
        <v>0</v>
      </c>
      <c r="X8500" s="261"/>
      <c r="Y8500" s="260"/>
      <c r="Z8500" s="549">
        <f t="shared" si="50"/>
        <v>0</v>
      </c>
      <c r="AA8500" s="261"/>
      <c r="AB8500" s="261"/>
      <c r="AC8500" s="549">
        <f t="shared" si="51"/>
        <v>0</v>
      </c>
      <c r="AD8500" s="260"/>
      <c r="AE8500" s="261"/>
      <c r="AF8500" s="549">
        <f t="shared" si="52"/>
        <v>0</v>
      </c>
      <c r="AG8500" s="261"/>
      <c r="AH8500" s="260"/>
      <c r="AI8500" s="549">
        <f t="shared" si="53"/>
        <v>0</v>
      </c>
      <c r="AJ8500" s="261"/>
      <c r="AK8500" s="261"/>
      <c r="AL8500" s="549">
        <f t="shared" si="54"/>
        <v>0</v>
      </c>
      <c r="AM8500" s="816"/>
      <c r="AN8500"/>
    </row>
    <row r="8501" spans="1:40" s="47" customFormat="1">
      <c r="A8501" s="121"/>
      <c r="B8501" s="121"/>
      <c r="C8501" s="121"/>
      <c r="D8501" s="121"/>
      <c r="E8501" s="121"/>
      <c r="F8501" s="121"/>
      <c r="G8501" s="121"/>
      <c r="H8501" s="121"/>
      <c r="I8501" s="121"/>
      <c r="J8501" s="121"/>
      <c r="K8501" s="121"/>
      <c r="L8501" s="121"/>
      <c r="M8501" s="121"/>
      <c r="N8501" s="222"/>
      <c r="O8501" s="540"/>
      <c r="P8501" s="285"/>
      <c r="Q8501" s="321"/>
      <c r="R8501" s="260"/>
      <c r="S8501" s="260"/>
      <c r="T8501" s="260"/>
      <c r="U8501" s="260"/>
      <c r="V8501" s="260"/>
      <c r="W8501" s="260"/>
      <c r="X8501" s="260"/>
      <c r="Y8501" s="260"/>
      <c r="Z8501" s="260"/>
      <c r="AA8501" s="260"/>
      <c r="AB8501" s="260"/>
      <c r="AC8501" s="260"/>
      <c r="AD8501" s="260"/>
      <c r="AE8501" s="260"/>
      <c r="AF8501" s="260"/>
      <c r="AG8501" s="260"/>
      <c r="AH8501" s="260"/>
      <c r="AI8501" s="260"/>
      <c r="AJ8501" s="260"/>
      <c r="AK8501" s="260"/>
      <c r="AL8501" s="260"/>
      <c r="AM8501" s="816"/>
      <c r="AN8501"/>
    </row>
    <row r="8502" spans="1:40" s="121" customFormat="1" hidden="1">
      <c r="N8502" s="222"/>
      <c r="O8502" s="502"/>
      <c r="P8502" s="285"/>
      <c r="Q8502" s="321"/>
      <c r="R8502" s="260"/>
      <c r="S8502" s="260"/>
      <c r="T8502" s="260"/>
      <c r="U8502" s="260"/>
      <c r="V8502" s="260"/>
      <c r="W8502" s="260"/>
      <c r="X8502" s="260"/>
      <c r="Y8502" s="260"/>
      <c r="Z8502" s="260"/>
      <c r="AA8502" s="260"/>
      <c r="AB8502" s="260"/>
      <c r="AC8502" s="260"/>
      <c r="AD8502" s="260"/>
      <c r="AE8502" s="260"/>
      <c r="AF8502" s="260"/>
      <c r="AG8502" s="260"/>
      <c r="AH8502" s="260"/>
      <c r="AI8502" s="260"/>
      <c r="AJ8502" s="260"/>
      <c r="AK8502" s="260"/>
      <c r="AL8502" s="260"/>
      <c r="AM8502" s="816"/>
      <c r="AN8502"/>
    </row>
    <row r="8503" spans="1:40" s="121" customFormat="1" hidden="1">
      <c r="N8503" s="222"/>
      <c r="O8503" s="502"/>
      <c r="P8503" s="285"/>
      <c r="Q8503" s="321"/>
      <c r="R8503" s="260"/>
      <c r="S8503" s="260"/>
      <c r="T8503" s="260"/>
      <c r="U8503" s="260"/>
      <c r="V8503" s="260"/>
      <c r="W8503" s="260"/>
      <c r="X8503" s="260"/>
      <c r="Y8503" s="260"/>
      <c r="Z8503" s="260"/>
      <c r="AA8503" s="260"/>
      <c r="AB8503" s="260"/>
      <c r="AC8503" s="260"/>
      <c r="AD8503" s="260"/>
      <c r="AE8503" s="260"/>
      <c r="AF8503" s="260"/>
      <c r="AG8503" s="260"/>
      <c r="AH8503" s="260"/>
      <c r="AI8503" s="260"/>
      <c r="AJ8503" s="260"/>
      <c r="AK8503" s="260"/>
      <c r="AL8503" s="260"/>
      <c r="AM8503" s="816"/>
      <c r="AN8503"/>
    </row>
    <row r="8504" spans="1:40" s="121" customFormat="1" hidden="1">
      <c r="N8504" s="222"/>
      <c r="O8504" s="502"/>
      <c r="P8504" s="285"/>
      <c r="Q8504" s="321"/>
      <c r="R8504" s="260"/>
      <c r="S8504" s="260"/>
      <c r="T8504" s="260"/>
      <c r="U8504" s="260"/>
      <c r="V8504" s="260"/>
      <c r="W8504" s="260"/>
      <c r="X8504" s="260"/>
      <c r="Y8504" s="260"/>
      <c r="Z8504" s="260"/>
      <c r="AA8504" s="260"/>
      <c r="AB8504" s="260"/>
      <c r="AC8504" s="260"/>
      <c r="AD8504" s="260"/>
      <c r="AE8504" s="260"/>
      <c r="AF8504" s="260"/>
      <c r="AG8504" s="260"/>
      <c r="AH8504" s="260"/>
      <c r="AI8504" s="260"/>
      <c r="AJ8504" s="260"/>
      <c r="AK8504" s="260"/>
      <c r="AL8504" s="260"/>
      <c r="AM8504" s="816"/>
      <c r="AN8504"/>
    </row>
    <row r="8505" spans="1:40" s="121" customFormat="1" hidden="1">
      <c r="N8505" s="436"/>
      <c r="O8505" s="235"/>
      <c r="P8505" s="285"/>
      <c r="Q8505" s="321"/>
      <c r="R8505" s="260"/>
      <c r="S8505" s="260"/>
      <c r="T8505" s="260"/>
      <c r="U8505" s="260"/>
      <c r="V8505" s="260"/>
      <c r="W8505" s="260"/>
      <c r="X8505" s="260"/>
      <c r="Y8505" s="260"/>
      <c r="Z8505" s="260"/>
      <c r="AA8505" s="260"/>
      <c r="AB8505" s="260"/>
      <c r="AC8505" s="260"/>
      <c r="AD8505" s="260"/>
      <c r="AE8505" s="260"/>
      <c r="AF8505" s="260"/>
      <c r="AG8505" s="260"/>
      <c r="AH8505" s="260"/>
      <c r="AI8505" s="260"/>
      <c r="AJ8505" s="260"/>
      <c r="AK8505" s="260"/>
      <c r="AL8505" s="260"/>
      <c r="AM8505" s="816"/>
      <c r="AN8505"/>
    </row>
    <row r="8506" spans="1:40" s="121" customFormat="1" hidden="1">
      <c r="N8506" s="436"/>
      <c r="O8506" s="571"/>
      <c r="P8506" s="285"/>
      <c r="Q8506" s="321"/>
      <c r="R8506" s="260"/>
      <c r="S8506" s="260"/>
      <c r="T8506" s="260"/>
      <c r="U8506" s="260"/>
      <c r="V8506" s="260"/>
      <c r="W8506" s="260"/>
      <c r="X8506" s="260"/>
      <c r="Y8506" s="260"/>
      <c r="Z8506" s="260"/>
      <c r="AA8506" s="260"/>
      <c r="AB8506" s="260"/>
      <c r="AC8506" s="260"/>
      <c r="AD8506" s="260"/>
      <c r="AE8506" s="260"/>
      <c r="AF8506" s="260"/>
      <c r="AG8506" s="260"/>
      <c r="AH8506" s="260"/>
      <c r="AI8506" s="260"/>
      <c r="AJ8506" s="260"/>
      <c r="AK8506" s="260"/>
      <c r="AL8506" s="260"/>
      <c r="AM8506" s="816"/>
      <c r="AN8506"/>
    </row>
    <row r="8507" spans="1:40" s="47" customFormat="1" hidden="1">
      <c r="A8507" s="121"/>
      <c r="B8507" s="121"/>
      <c r="C8507" s="121"/>
      <c r="D8507" s="121"/>
      <c r="E8507" s="121"/>
      <c r="F8507" s="121"/>
      <c r="G8507" s="121"/>
      <c r="H8507" s="121"/>
      <c r="I8507" s="121"/>
      <c r="J8507" s="121"/>
      <c r="K8507" s="121"/>
      <c r="L8507" s="121"/>
      <c r="M8507" s="121"/>
      <c r="N8507" s="496"/>
      <c r="O8507" s="571"/>
      <c r="P8507" s="285"/>
      <c r="Q8507" s="321"/>
      <c r="R8507" s="260"/>
      <c r="S8507" s="260"/>
      <c r="T8507" s="260"/>
      <c r="U8507" s="260"/>
      <c r="V8507" s="260"/>
      <c r="W8507" s="260"/>
      <c r="X8507" s="260"/>
      <c r="Y8507" s="260"/>
      <c r="Z8507" s="260"/>
      <c r="AA8507" s="260"/>
      <c r="AB8507" s="260"/>
      <c r="AC8507" s="260"/>
      <c r="AD8507" s="260"/>
      <c r="AE8507" s="260"/>
      <c r="AF8507" s="260"/>
      <c r="AG8507" s="260"/>
      <c r="AH8507" s="260"/>
      <c r="AI8507" s="260"/>
      <c r="AJ8507" s="260"/>
      <c r="AK8507" s="260"/>
      <c r="AL8507" s="260"/>
      <c r="AM8507" s="816"/>
      <c r="AN8507"/>
    </row>
    <row r="8508" spans="1:40" s="54" customFormat="1">
      <c r="A8508" s="121"/>
      <c r="B8508" s="121"/>
      <c r="C8508" s="121"/>
      <c r="D8508" s="121"/>
      <c r="E8508" s="121"/>
      <c r="F8508" s="121"/>
      <c r="G8508" s="121"/>
      <c r="H8508" s="121"/>
      <c r="I8508" s="121"/>
      <c r="J8508" s="121"/>
      <c r="K8508" s="121"/>
      <c r="L8508" s="121"/>
      <c r="M8508" s="121"/>
      <c r="N8508" s="223"/>
      <c r="O8508" s="216"/>
      <c r="P8508" s="216"/>
      <c r="Q8508" s="523"/>
      <c r="R8508" s="547"/>
      <c r="S8508" s="547"/>
      <c r="T8508" s="547"/>
      <c r="U8508" s="547"/>
      <c r="V8508" s="547"/>
      <c r="W8508" s="547"/>
      <c r="X8508" s="547"/>
      <c r="Y8508" s="547"/>
      <c r="Z8508" s="547"/>
      <c r="AA8508" s="547"/>
      <c r="AB8508" s="547"/>
      <c r="AC8508" s="547"/>
      <c r="AD8508" s="547"/>
      <c r="AE8508" s="547"/>
      <c r="AF8508" s="547"/>
      <c r="AG8508" s="547"/>
      <c r="AH8508" s="547"/>
      <c r="AI8508" s="547"/>
      <c r="AJ8508" s="547"/>
      <c r="AK8508" s="547"/>
      <c r="AL8508" s="547"/>
      <c r="AM8508" s="816"/>
      <c r="AN8508"/>
    </row>
    <row r="8509" spans="1:40" s="54" customFormat="1">
      <c r="A8509" s="121"/>
      <c r="B8509" s="121"/>
      <c r="C8509" s="121"/>
      <c r="D8509" s="121"/>
      <c r="E8509" s="121"/>
      <c r="F8509" s="121"/>
      <c r="G8509" s="121"/>
      <c r="H8509" s="121"/>
      <c r="I8509" s="121"/>
      <c r="J8509" s="121"/>
      <c r="K8509" s="121"/>
      <c r="L8509" s="121"/>
      <c r="M8509" s="121"/>
      <c r="N8509" s="56"/>
      <c r="P8509" s="121"/>
      <c r="Q8509" s="121"/>
      <c r="R8509" s="121"/>
      <c r="S8509" s="121"/>
      <c r="T8509" s="121"/>
      <c r="U8509" s="121"/>
      <c r="V8509" s="121"/>
      <c r="W8509" s="121"/>
      <c r="X8509" s="121"/>
      <c r="Y8509" s="121"/>
      <c r="Z8509" s="121"/>
      <c r="AA8509" s="121"/>
      <c r="AB8509" s="121"/>
      <c r="AC8509" s="121"/>
      <c r="AD8509" s="121"/>
      <c r="AE8509" s="121"/>
      <c r="AF8509" s="121"/>
      <c r="AG8509" s="121"/>
      <c r="AH8509" s="121"/>
      <c r="AI8509" s="121"/>
      <c r="AJ8509" s="121"/>
      <c r="AK8509" s="121"/>
      <c r="AL8509" s="121"/>
      <c r="AM8509" s="60"/>
      <c r="AN8509"/>
    </row>
    <row r="8510" spans="1:40" s="47" customFormat="1">
      <c r="A8510" s="121"/>
      <c r="B8510" s="121"/>
      <c r="C8510" s="121"/>
      <c r="D8510" s="121"/>
      <c r="E8510" s="121"/>
      <c r="F8510" s="121"/>
      <c r="G8510" s="121"/>
      <c r="H8510" s="121"/>
      <c r="I8510" s="121"/>
      <c r="J8510" s="121"/>
      <c r="K8510" s="121"/>
      <c r="L8510" s="121"/>
      <c r="M8510" s="121"/>
      <c r="N8510" s="49"/>
      <c r="R8510" s="60"/>
      <c r="S8510" s="60"/>
      <c r="T8510" s="60"/>
      <c r="U8510" s="795" t="s">
        <v>540</v>
      </c>
      <c r="V8510" s="795"/>
      <c r="W8510" s="795"/>
      <c r="X8510" s="795" t="s">
        <v>541</v>
      </c>
      <c r="Y8510" s="795"/>
      <c r="Z8510" s="795"/>
      <c r="AA8510" s="795" t="s">
        <v>542</v>
      </c>
      <c r="AB8510" s="795"/>
      <c r="AC8510" s="795"/>
      <c r="AD8510" s="795" t="s">
        <v>543</v>
      </c>
      <c r="AE8510" s="795"/>
      <c r="AF8510" s="795"/>
      <c r="AG8510" s="795" t="s">
        <v>544</v>
      </c>
      <c r="AH8510" s="795"/>
      <c r="AI8510" s="795"/>
      <c r="AJ8510" s="795" t="s">
        <v>545</v>
      </c>
      <c r="AK8510" s="795"/>
      <c r="AL8510" s="795"/>
      <c r="AN8510"/>
    </row>
    <row r="8520" spans="14:40">
      <c r="R8520" s="795" t="s">
        <v>546</v>
      </c>
      <c r="S8520" s="795"/>
      <c r="T8520" s="795"/>
      <c r="U8520"/>
      <c r="V8520"/>
      <c r="W8520"/>
      <c r="X8520"/>
      <c r="Y8520"/>
      <c r="Z8520"/>
      <c r="AA8520"/>
      <c r="AB8520"/>
      <c r="AC8520"/>
      <c r="AD8520"/>
      <c r="AE8520"/>
      <c r="AF8520"/>
      <c r="AG8520"/>
      <c r="AH8520"/>
      <c r="AI8520"/>
      <c r="AJ8520"/>
      <c r="AK8520"/>
      <c r="AL8520"/>
      <c r="AM8520"/>
      <c r="AN8520"/>
    </row>
    <row r="8521" spans="14:40">
      <c r="Q8521" s="316"/>
      <c r="R8521" s="795" t="s">
        <v>547</v>
      </c>
      <c r="S8521" s="795"/>
      <c r="T8521" s="795"/>
      <c r="U8521" s="795" t="s">
        <v>548</v>
      </c>
      <c r="V8521" s="795"/>
      <c r="W8521" s="795"/>
      <c r="X8521" s="795" t="s">
        <v>549</v>
      </c>
      <c r="Y8521" s="795"/>
      <c r="Z8521" s="795"/>
      <c r="AA8521"/>
      <c r="AB8521"/>
      <c r="AC8521"/>
      <c r="AD8521"/>
      <c r="AE8521"/>
      <c r="AF8521"/>
      <c r="AG8521"/>
      <c r="AH8521"/>
      <c r="AI8521"/>
      <c r="AJ8521"/>
      <c r="AK8521"/>
      <c r="AL8521"/>
      <c r="AM8521"/>
      <c r="AN8521"/>
    </row>
    <row r="8522" spans="14:40" ht="11.25" customHeight="1">
      <c r="N8522" s="430" t="s">
        <v>1742</v>
      </c>
      <c r="O8522" s="315"/>
      <c r="P8522" s="309"/>
      <c r="Q8522" s="311"/>
      <c r="R8522" s="624"/>
      <c r="S8522" s="624"/>
      <c r="T8522" s="624"/>
      <c r="U8522" s="624"/>
      <c r="V8522" s="624"/>
      <c r="W8522" s="624"/>
      <c r="X8522" s="624"/>
      <c r="Y8522" s="624"/>
      <c r="Z8522" s="624"/>
      <c r="AA8522"/>
      <c r="AB8522"/>
      <c r="AC8522"/>
      <c r="AD8522"/>
      <c r="AE8522"/>
      <c r="AF8522"/>
      <c r="AG8522"/>
      <c r="AH8522"/>
      <c r="AI8522"/>
      <c r="AJ8522"/>
      <c r="AK8522"/>
      <c r="AL8522"/>
      <c r="AM8522"/>
      <c r="AN8522"/>
    </row>
    <row r="8523" spans="14:40" ht="11.25" customHeight="1">
      <c r="N8523" s="811"/>
      <c r="O8523" s="812"/>
      <c r="P8523" s="813"/>
      <c r="Q8523" s="317"/>
      <c r="R8523" s="625" t="str">
        <f>R8525 &amp; ".1"</f>
        <v>.1</v>
      </c>
      <c r="S8523" s="625" t="str">
        <f>R8525 &amp; ".2"</f>
        <v>.2</v>
      </c>
      <c r="T8523" s="625" t="str">
        <f>R8525 &amp; ".0"</f>
        <v>.0</v>
      </c>
      <c r="U8523" s="625" t="str">
        <f>U8525 &amp; ".1"</f>
        <v>.1</v>
      </c>
      <c r="V8523" s="625" t="str">
        <f>U8525 &amp; ".2"</f>
        <v>.2</v>
      </c>
      <c r="W8523" s="625" t="str">
        <f>U8525 &amp; ".0"</f>
        <v>.0</v>
      </c>
      <c r="X8523" s="625" t="str">
        <f>X8525 &amp; ".1"</f>
        <v>.1</v>
      </c>
      <c r="Y8523" s="625" t="str">
        <f>X8525 &amp; ".2"</f>
        <v>.2</v>
      </c>
      <c r="Z8523" s="625" t="str">
        <f>X8525 &amp; ".0"</f>
        <v>.0</v>
      </c>
      <c r="AA8523"/>
      <c r="AB8523"/>
      <c r="AC8523"/>
      <c r="AD8523"/>
      <c r="AE8523"/>
      <c r="AF8523"/>
      <c r="AG8523"/>
      <c r="AH8523"/>
      <c r="AI8523"/>
      <c r="AJ8523"/>
      <c r="AK8523"/>
      <c r="AL8523"/>
      <c r="AM8523"/>
      <c r="AN8523"/>
    </row>
    <row r="8524" spans="14:40" ht="11.25" customHeight="1">
      <c r="N8524" s="430" t="s">
        <v>1742</v>
      </c>
      <c r="O8524" s="221"/>
      <c r="P8524" s="122" t="s">
        <v>786</v>
      </c>
      <c r="Q8524" s="201"/>
      <c r="R8524" s="814" t="s">
        <v>719</v>
      </c>
      <c r="S8524" s="814"/>
      <c r="T8524" s="814"/>
      <c r="U8524" s="814" t="s">
        <v>719</v>
      </c>
      <c r="V8524" s="814"/>
      <c r="W8524" s="814"/>
      <c r="X8524" s="814" t="s">
        <v>719</v>
      </c>
      <c r="Y8524" s="814"/>
      <c r="Z8524" s="814"/>
      <c r="AA8524"/>
      <c r="AB8524"/>
      <c r="AC8524"/>
      <c r="AD8524"/>
      <c r="AE8524"/>
      <c r="AF8524"/>
      <c r="AG8524"/>
      <c r="AH8524"/>
      <c r="AI8524"/>
      <c r="AJ8524"/>
      <c r="AK8524"/>
      <c r="AL8524"/>
      <c r="AM8524"/>
      <c r="AN8524"/>
    </row>
    <row r="8525" spans="14:40" ht="11.25" customHeight="1">
      <c r="N8525" s="802" t="s">
        <v>641</v>
      </c>
      <c r="O8525" s="804" t="s">
        <v>787</v>
      </c>
      <c r="P8525" s="806" t="s">
        <v>778</v>
      </c>
      <c r="Q8525" s="206">
        <v>0</v>
      </c>
      <c r="R8525" s="808"/>
      <c r="S8525" s="809"/>
      <c r="T8525" s="810"/>
      <c r="U8525" s="808"/>
      <c r="V8525" s="809"/>
      <c r="W8525" s="810"/>
      <c r="X8525" s="808"/>
      <c r="Y8525" s="809"/>
      <c r="Z8525" s="810"/>
      <c r="AA8525"/>
      <c r="AB8525"/>
      <c r="AC8525"/>
      <c r="AD8525"/>
      <c r="AE8525"/>
      <c r="AF8525"/>
      <c r="AG8525"/>
      <c r="AH8525"/>
      <c r="AI8525"/>
      <c r="AJ8525"/>
      <c r="AK8525"/>
      <c r="AL8525"/>
      <c r="AM8525"/>
      <c r="AN8525"/>
    </row>
    <row r="8526" spans="14:40" ht="12" customHeight="1">
      <c r="N8526" s="803"/>
      <c r="O8526" s="805"/>
      <c r="P8526" s="807"/>
      <c r="Q8526" s="207"/>
      <c r="R8526" s="796"/>
      <c r="S8526" s="797"/>
      <c r="T8526" s="798"/>
      <c r="U8526" s="796"/>
      <c r="V8526" s="797"/>
      <c r="W8526" s="798"/>
      <c r="X8526" s="796"/>
      <c r="Y8526" s="797"/>
      <c r="Z8526" s="798"/>
      <c r="AA8526"/>
      <c r="AB8526"/>
      <c r="AC8526"/>
      <c r="AD8526"/>
      <c r="AE8526"/>
      <c r="AF8526"/>
      <c r="AG8526"/>
      <c r="AH8526"/>
      <c r="AI8526"/>
      <c r="AJ8526"/>
      <c r="AK8526"/>
      <c r="AL8526"/>
      <c r="AM8526"/>
      <c r="AN8526"/>
    </row>
    <row r="8527" spans="14:40" ht="12" customHeight="1">
      <c r="N8527" s="222"/>
      <c r="O8527" s="501" t="s">
        <v>788</v>
      </c>
      <c r="P8527" s="542"/>
      <c r="Q8527" s="207"/>
      <c r="R8527" s="799"/>
      <c r="S8527" s="800"/>
      <c r="T8527" s="801"/>
      <c r="U8527" s="799"/>
      <c r="V8527" s="800"/>
      <c r="W8527" s="801"/>
      <c r="X8527" s="799"/>
      <c r="Y8527" s="800"/>
      <c r="Z8527" s="801"/>
      <c r="AA8527"/>
      <c r="AB8527"/>
      <c r="AC8527"/>
      <c r="AD8527"/>
      <c r="AE8527"/>
      <c r="AF8527"/>
      <c r="AG8527"/>
      <c r="AH8527"/>
      <c r="AI8527"/>
      <c r="AJ8527"/>
      <c r="AK8527"/>
      <c r="AL8527"/>
      <c r="AM8527"/>
      <c r="AN8527"/>
    </row>
    <row r="8528" spans="14:40" ht="12" customHeight="1">
      <c r="N8528" s="222"/>
      <c r="O8528" s="556" t="str">
        <f>IF(CALC_IDENTIFIER="","",CALC_IDENTIFIER)</f>
        <v/>
      </c>
      <c r="P8528" s="557" t="s">
        <v>745</v>
      </c>
      <c r="Q8528" s="328"/>
      <c r="R8528" s="568"/>
      <c r="S8528" s="568"/>
      <c r="T8528" s="568"/>
      <c r="U8528" s="568"/>
      <c r="V8528" s="568"/>
      <c r="W8528" s="568" t="s">
        <v>745</v>
      </c>
      <c r="X8528" s="568"/>
      <c r="Y8528" s="568"/>
      <c r="Z8528" s="568" t="s">
        <v>745</v>
      </c>
      <c r="AA8528"/>
      <c r="AB8528"/>
      <c r="AC8528"/>
      <c r="AD8528"/>
      <c r="AE8528"/>
      <c r="AF8528"/>
      <c r="AG8528"/>
      <c r="AH8528"/>
      <c r="AI8528"/>
      <c r="AJ8528"/>
      <c r="AK8528"/>
      <c r="AL8528"/>
      <c r="AM8528"/>
      <c r="AN8528"/>
    </row>
    <row r="8529" spans="1:40" s="47" customFormat="1">
      <c r="A8529" s="121"/>
      <c r="B8529" s="121"/>
      <c r="C8529" s="121"/>
      <c r="D8529" s="121"/>
      <c r="E8529" s="121"/>
      <c r="F8529" s="121"/>
      <c r="G8529" s="121"/>
      <c r="H8529" s="121"/>
      <c r="I8529" s="121"/>
      <c r="J8529" s="121"/>
      <c r="K8529" s="121"/>
      <c r="L8529" s="121"/>
      <c r="M8529" s="121"/>
      <c r="N8529" s="504"/>
      <c r="O8529" s="566"/>
      <c r="P8529" s="551"/>
      <c r="Q8529" s="321"/>
      <c r="R8529" s="567"/>
      <c r="S8529" s="567"/>
      <c r="T8529" s="567"/>
      <c r="U8529" s="567"/>
      <c r="V8529" s="567"/>
      <c r="W8529" s="632">
        <f>IF(TARIFF_SETUP_METHOD_CODE="BY_MONTHS",SUMIF(БТр!$BF$129:$BF$158,W$9&amp;"-"&amp;$AP$8,БТр!$L$129:$L$158),IF(TARIFF_SETUP_METHOD_CODE="BY_PSEUDO_YEARS",SUMIF(БТр!$F$129:$F$158,W$9,БТр!$L$129:$L$158),0))/1000</f>
        <v>0</v>
      </c>
      <c r="X8529" s="567"/>
      <c r="Y8529" s="323"/>
      <c r="Z8529" s="632">
        <f>IF(TARIFF_SETUP_METHOD_CODE="BY_MONTHS",SUMIF(БПр!$BF$129:$BF$158,Z$9&amp;"-"&amp;$AP$8,БПр!$J$129:$J$158),IF(TARIFF_SETUP_METHOD_CODE="BY_PSEUDO_YEARS",SUMIF(БПр!$F$129:$F$158,Z$9,БПр!$J$129:$J$158),0))/1000</f>
        <v>0</v>
      </c>
      <c r="AA8529"/>
      <c r="AB8529"/>
      <c r="AC8529"/>
      <c r="AD8529"/>
      <c r="AE8529"/>
      <c r="AF8529"/>
      <c r="AG8529"/>
      <c r="AH8529"/>
      <c r="AI8529"/>
      <c r="AJ8529"/>
      <c r="AK8529"/>
      <c r="AL8529"/>
      <c r="AM8529"/>
      <c r="AN8529"/>
    </row>
    <row r="8530" spans="1:40" s="47" customFormat="1">
      <c r="A8530" s="121"/>
      <c r="B8530" s="121"/>
      <c r="C8530" s="121"/>
      <c r="D8530" s="121"/>
      <c r="E8530" s="121"/>
      <c r="F8530" s="121"/>
      <c r="G8530" s="121"/>
      <c r="H8530" s="121"/>
      <c r="I8530" s="121"/>
      <c r="J8530" s="121"/>
      <c r="K8530" s="121"/>
      <c r="L8530" s="121"/>
      <c r="M8530" s="121"/>
      <c r="N8530" s="504"/>
      <c r="O8530" s="527"/>
      <c r="P8530" s="257"/>
      <c r="Q8530" s="321"/>
      <c r="R8530" s="553"/>
      <c r="S8530" s="553"/>
      <c r="T8530" s="553"/>
      <c r="U8530" s="553"/>
      <c r="V8530" s="553"/>
      <c r="W8530" s="629">
        <f>IF($AP$8="I",SUMIF('ТМ1 01.01 - 30.06'!$C$21:$C$25,W$9,'ТМ1 01.01 - 30.06'!$AJ$21:$AJ$25),IF($AP$8="II",SUMIF('ТМ1 01.07 - 31.08'!$C$21:$C$25,W$9,'ТМ1 01.07 - 31.08'!$AJ$21:$AJ$25),IF($AP$8="III",SUMIF('ТМ1 01.09 - 31.12'!$C$21:$C$25,W$9,'ТМ1 01.09 - 31.12'!$AJ$21:$AJ$25),0)))/1000</f>
        <v>0</v>
      </c>
      <c r="X8530" s="553"/>
      <c r="Y8530" s="553"/>
      <c r="Z8530" s="629">
        <f>IF($AP$8="I",SUMIF('ТМ2 01.01 - 30.06'!$C$21:$C$25,Z$9,'ТМ2 01.01 - 30.06'!$AL$21:$AL$25),IF($AP$8="II",SUMIF('ТМ2 01.07 - 31.08'!$C$21:$C$25,Z$9,'ТМ2 01.07 - 31.08'!$AL$21:$AL$25),IF($AP$8="III",SUMIF('ТМ2 01.09 - 31.12'!$C$21:$C$25,Z$9,'ТМ2 01.09 - 31.12'!$AL$21:$AL$25),0)))/1000</f>
        <v>0</v>
      </c>
      <c r="AA8530"/>
      <c r="AB8530"/>
      <c r="AC8530"/>
      <c r="AD8530"/>
      <c r="AE8530"/>
      <c r="AF8530"/>
      <c r="AG8530"/>
      <c r="AH8530"/>
      <c r="AI8530"/>
      <c r="AJ8530"/>
      <c r="AK8530"/>
      <c r="AL8530"/>
      <c r="AM8530"/>
      <c r="AN8530"/>
    </row>
    <row r="8531" spans="1:40" s="47" customFormat="1">
      <c r="A8531" s="121"/>
      <c r="B8531" s="121"/>
      <c r="C8531" s="121"/>
      <c r="D8531" s="121"/>
      <c r="E8531" s="121"/>
      <c r="F8531" s="121"/>
      <c r="G8531" s="121"/>
      <c r="H8531" s="121"/>
      <c r="I8531" s="121"/>
      <c r="J8531" s="121"/>
      <c r="K8531" s="121"/>
      <c r="L8531" s="121"/>
      <c r="M8531" s="121"/>
      <c r="N8531" s="504" t="s">
        <v>751</v>
      </c>
      <c r="O8531" s="526" t="s">
        <v>2814</v>
      </c>
      <c r="P8531" s="257"/>
      <c r="Q8531" s="321"/>
      <c r="R8531" s="260"/>
      <c r="S8531" s="260"/>
      <c r="T8531" s="260"/>
      <c r="U8531" s="260"/>
      <c r="V8531" s="260"/>
      <c r="W8531" s="257">
        <f>W8532+W8561+W8562+W8563+W8567+W8568+W8569+W8594+W8600+W8604+W8605+W8606+W8607+W8610+W8611+W8612+W8613+W8623</f>
        <v>0</v>
      </c>
      <c r="X8531" s="260"/>
      <c r="Y8531" s="260"/>
      <c r="Z8531" s="257">
        <f>Z8532+Z8561+Z8562+Z8563+Z8567+Z8568+Z8569+Z8594+Z8600+Z8604+Z8605+Z8606+Z8607+Z8610+Z8611+Z8612+Z8613+Z8623</f>
        <v>0</v>
      </c>
      <c r="AA8531"/>
      <c r="AB8531"/>
      <c r="AC8531"/>
      <c r="AD8531"/>
      <c r="AE8531"/>
      <c r="AF8531"/>
      <c r="AG8531"/>
      <c r="AH8531"/>
      <c r="AI8531"/>
      <c r="AJ8531"/>
      <c r="AK8531"/>
      <c r="AL8531"/>
      <c r="AM8531"/>
      <c r="AN8531"/>
    </row>
    <row r="8532" spans="1:40" s="47" customFormat="1">
      <c r="A8532" s="121"/>
      <c r="B8532" s="121"/>
      <c r="C8532" s="121"/>
      <c r="D8532" s="121"/>
      <c r="E8532" s="121"/>
      <c r="F8532" s="121"/>
      <c r="G8532" s="121"/>
      <c r="H8532" s="121"/>
      <c r="I8532" s="121"/>
      <c r="J8532" s="121"/>
      <c r="K8532" s="121"/>
      <c r="L8532" s="121"/>
      <c r="M8532" s="121"/>
      <c r="N8532" s="504" t="s">
        <v>66</v>
      </c>
      <c r="O8532" s="527" t="s">
        <v>2815</v>
      </c>
      <c r="P8532" s="257"/>
      <c r="Q8532" s="321"/>
      <c r="R8532" s="260"/>
      <c r="S8532" s="260"/>
      <c r="T8532" s="260"/>
      <c r="U8532" s="260"/>
      <c r="V8532" s="260"/>
      <c r="W8532" s="257">
        <f>W8533+W8560</f>
        <v>0</v>
      </c>
      <c r="X8532" s="260"/>
      <c r="Y8532" s="260"/>
      <c r="Z8532" s="257">
        <f>Z8533+Z8560</f>
        <v>0</v>
      </c>
      <c r="AA8532"/>
      <c r="AB8532"/>
      <c r="AC8532"/>
      <c r="AD8532"/>
      <c r="AE8532"/>
      <c r="AF8532"/>
      <c r="AG8532"/>
      <c r="AH8532"/>
      <c r="AI8532"/>
      <c r="AJ8532"/>
      <c r="AK8532"/>
      <c r="AL8532"/>
      <c r="AM8532"/>
      <c r="AN8532"/>
    </row>
    <row r="8533" spans="1:40" s="47" customFormat="1">
      <c r="A8533" s="121"/>
      <c r="B8533" s="121"/>
      <c r="C8533" s="121"/>
      <c r="D8533" s="121"/>
      <c r="E8533" s="121"/>
      <c r="F8533" s="121"/>
      <c r="G8533" s="121"/>
      <c r="H8533" s="121"/>
      <c r="I8533" s="121"/>
      <c r="J8533" s="121"/>
      <c r="K8533" s="121"/>
      <c r="L8533" s="121"/>
      <c r="M8533" s="121"/>
      <c r="N8533" s="504" t="s">
        <v>632</v>
      </c>
      <c r="O8533" s="528" t="s">
        <v>2816</v>
      </c>
      <c r="P8533" s="257"/>
      <c r="Q8533" s="321"/>
      <c r="R8533" s="260"/>
      <c r="S8533" s="260"/>
      <c r="T8533" s="260"/>
      <c r="U8533" s="260"/>
      <c r="V8533" s="260"/>
      <c r="W8533" s="261"/>
      <c r="X8533" s="260"/>
      <c r="Y8533" s="260"/>
      <c r="Z8533" s="261"/>
      <c r="AA8533"/>
      <c r="AB8533"/>
      <c r="AC8533"/>
      <c r="AD8533"/>
      <c r="AE8533"/>
      <c r="AF8533"/>
      <c r="AG8533"/>
      <c r="AH8533"/>
      <c r="AI8533"/>
      <c r="AJ8533"/>
      <c r="AK8533"/>
      <c r="AL8533"/>
      <c r="AM8533"/>
      <c r="AN8533"/>
    </row>
    <row r="8534" spans="1:40" s="47" customFormat="1">
      <c r="A8534" s="121"/>
      <c r="B8534" s="121"/>
      <c r="C8534" s="121"/>
      <c r="D8534" s="121"/>
      <c r="E8534" s="121"/>
      <c r="F8534" s="121"/>
      <c r="G8534" s="121"/>
      <c r="H8534" s="121"/>
      <c r="I8534" s="121"/>
      <c r="J8534" s="121"/>
      <c r="K8534" s="121"/>
      <c r="L8534" s="121"/>
      <c r="M8534" s="121"/>
      <c r="N8534" s="223" t="s">
        <v>2817</v>
      </c>
      <c r="O8534" s="529" t="s">
        <v>2972</v>
      </c>
      <c r="P8534" s="257"/>
      <c r="Q8534" s="321"/>
      <c r="R8534" s="260"/>
      <c r="S8534" s="260"/>
      <c r="T8534" s="260"/>
      <c r="U8534" s="260"/>
      <c r="V8534" s="260"/>
      <c r="W8534" s="261"/>
      <c r="X8534" s="260"/>
      <c r="Y8534" s="260"/>
      <c r="Z8534" s="261"/>
      <c r="AA8534"/>
      <c r="AB8534"/>
      <c r="AC8534"/>
      <c r="AD8534"/>
      <c r="AE8534"/>
      <c r="AF8534"/>
      <c r="AG8534"/>
      <c r="AH8534"/>
      <c r="AI8534"/>
      <c r="AJ8534"/>
      <c r="AK8534"/>
      <c r="AL8534"/>
      <c r="AM8534"/>
      <c r="AN8534"/>
    </row>
    <row r="8535" spans="1:40" s="47" customFormat="1">
      <c r="A8535" s="121"/>
      <c r="B8535" s="121"/>
      <c r="C8535" s="121"/>
      <c r="D8535" s="121"/>
      <c r="E8535" s="121"/>
      <c r="F8535" s="121"/>
      <c r="G8535" s="121"/>
      <c r="H8535" s="121"/>
      <c r="I8535" s="121"/>
      <c r="J8535" s="121"/>
      <c r="K8535" s="121"/>
      <c r="L8535" s="121"/>
      <c r="M8535" s="121"/>
      <c r="N8535" s="223" t="s">
        <v>2818</v>
      </c>
      <c r="O8535" s="529" t="s">
        <v>2988</v>
      </c>
      <c r="P8535" s="257"/>
      <c r="Q8535" s="321"/>
      <c r="R8535" s="260"/>
      <c r="S8535" s="260"/>
      <c r="T8535" s="260"/>
      <c r="U8535" s="260"/>
      <c r="V8535" s="260"/>
      <c r="W8535" s="261"/>
      <c r="X8535" s="260"/>
      <c r="Y8535" s="260"/>
      <c r="Z8535" s="261"/>
      <c r="AA8535"/>
      <c r="AB8535"/>
      <c r="AC8535"/>
      <c r="AD8535"/>
      <c r="AE8535"/>
      <c r="AF8535"/>
      <c r="AG8535"/>
      <c r="AH8535"/>
      <c r="AI8535"/>
      <c r="AJ8535"/>
      <c r="AK8535"/>
      <c r="AL8535"/>
      <c r="AM8535"/>
      <c r="AN8535"/>
    </row>
    <row r="8536" spans="1:40" s="47" customFormat="1">
      <c r="A8536" s="121"/>
      <c r="B8536" s="121"/>
      <c r="C8536" s="121"/>
      <c r="D8536" s="121"/>
      <c r="E8536" s="121"/>
      <c r="F8536" s="121"/>
      <c r="G8536" s="121"/>
      <c r="H8536" s="121"/>
      <c r="I8536" s="121"/>
      <c r="J8536" s="121"/>
      <c r="K8536" s="121"/>
      <c r="L8536" s="121"/>
      <c r="M8536" s="121"/>
      <c r="N8536" s="223"/>
      <c r="O8536" s="529"/>
      <c r="P8536" s="260"/>
      <c r="Q8536" s="321"/>
      <c r="R8536" s="260"/>
      <c r="S8536" s="260"/>
      <c r="T8536" s="260"/>
      <c r="U8536" s="260"/>
      <c r="V8536" s="260"/>
      <c r="W8536" s="260"/>
      <c r="X8536" s="260"/>
      <c r="Y8536" s="260"/>
      <c r="Z8536" s="260"/>
      <c r="AA8536"/>
      <c r="AB8536"/>
      <c r="AC8536"/>
      <c r="AD8536"/>
      <c r="AE8536"/>
      <c r="AF8536"/>
      <c r="AG8536"/>
      <c r="AH8536"/>
      <c r="AI8536"/>
      <c r="AJ8536"/>
      <c r="AK8536"/>
      <c r="AL8536"/>
      <c r="AM8536"/>
      <c r="AN8536"/>
    </row>
    <row r="8537" spans="1:40" s="47" customFormat="1" ht="11.25" hidden="1" customHeight="1">
      <c r="A8537" s="121"/>
      <c r="B8537" s="121"/>
      <c r="C8537" s="121"/>
      <c r="D8537" s="121"/>
      <c r="E8537" s="121"/>
      <c r="F8537" s="121"/>
      <c r="G8537" s="121"/>
      <c r="H8537" s="121"/>
      <c r="I8537" s="121"/>
      <c r="J8537" s="121"/>
      <c r="K8537" s="121"/>
      <c r="L8537" s="121"/>
      <c r="M8537" s="121"/>
      <c r="N8537" s="524"/>
      <c r="O8537" s="530"/>
      <c r="P8537" s="255"/>
      <c r="Q8537" s="321"/>
      <c r="R8537" s="260"/>
      <c r="S8537" s="260"/>
      <c r="T8537" s="260"/>
      <c r="U8537" s="260"/>
      <c r="V8537" s="260"/>
      <c r="W8537" s="260"/>
      <c r="X8537" s="260"/>
      <c r="Y8537" s="260"/>
      <c r="Z8537" s="260"/>
      <c r="AA8537"/>
      <c r="AB8537"/>
      <c r="AC8537"/>
      <c r="AD8537"/>
      <c r="AE8537"/>
      <c r="AF8537"/>
      <c r="AG8537"/>
      <c r="AH8537"/>
      <c r="AI8537"/>
      <c r="AJ8537"/>
      <c r="AK8537"/>
      <c r="AL8537"/>
      <c r="AM8537"/>
      <c r="AN8537"/>
    </row>
    <row r="8538" spans="1:40" s="47" customFormat="1" ht="11.25" hidden="1" customHeight="1">
      <c r="A8538" s="121"/>
      <c r="B8538" s="121"/>
      <c r="C8538" s="121"/>
      <c r="D8538" s="121"/>
      <c r="E8538" s="121"/>
      <c r="F8538" s="121"/>
      <c r="G8538" s="121"/>
      <c r="H8538" s="121"/>
      <c r="I8538" s="121"/>
      <c r="J8538" s="121"/>
      <c r="K8538" s="121"/>
      <c r="L8538" s="121"/>
      <c r="M8538" s="121"/>
      <c r="N8538" s="524"/>
      <c r="O8538" s="530"/>
      <c r="P8538" s="260"/>
      <c r="Q8538" s="321"/>
      <c r="R8538" s="260"/>
      <c r="S8538" s="260"/>
      <c r="T8538" s="260"/>
      <c r="U8538" s="260"/>
      <c r="V8538" s="260"/>
      <c r="W8538" s="260"/>
      <c r="X8538" s="260"/>
      <c r="Y8538" s="260"/>
      <c r="Z8538" s="260"/>
      <c r="AA8538"/>
      <c r="AB8538"/>
      <c r="AC8538"/>
      <c r="AD8538"/>
      <c r="AE8538"/>
      <c r="AF8538"/>
      <c r="AG8538"/>
      <c r="AH8538"/>
      <c r="AI8538"/>
      <c r="AJ8538"/>
      <c r="AK8538"/>
      <c r="AL8538"/>
      <c r="AM8538"/>
      <c r="AN8538"/>
    </row>
    <row r="8539" spans="1:40" s="47" customFormat="1" ht="11.25" hidden="1" customHeight="1">
      <c r="A8539" s="121"/>
      <c r="B8539" s="121"/>
      <c r="C8539" s="121"/>
      <c r="D8539" s="121"/>
      <c r="E8539" s="121"/>
      <c r="F8539" s="121"/>
      <c r="G8539" s="121"/>
      <c r="H8539" s="121"/>
      <c r="I8539" s="121"/>
      <c r="J8539" s="121"/>
      <c r="K8539" s="121"/>
      <c r="L8539" s="121"/>
      <c r="M8539" s="121"/>
      <c r="N8539" s="223"/>
      <c r="O8539" s="531"/>
      <c r="P8539" s="260"/>
      <c r="Q8539" s="321"/>
      <c r="R8539" s="260"/>
      <c r="S8539" s="260"/>
      <c r="T8539" s="260"/>
      <c r="U8539" s="260"/>
      <c r="V8539" s="260"/>
      <c r="W8539" s="260"/>
      <c r="X8539" s="260"/>
      <c r="Y8539" s="260"/>
      <c r="Z8539" s="260"/>
      <c r="AA8539"/>
      <c r="AB8539"/>
      <c r="AC8539"/>
      <c r="AD8539"/>
      <c r="AE8539"/>
      <c r="AF8539"/>
      <c r="AG8539"/>
      <c r="AH8539"/>
      <c r="AI8539"/>
      <c r="AJ8539"/>
      <c r="AK8539"/>
      <c r="AL8539"/>
      <c r="AM8539"/>
      <c r="AN8539"/>
    </row>
    <row r="8540" spans="1:40" s="47" customFormat="1" ht="11.25" hidden="1" customHeight="1">
      <c r="A8540" s="121"/>
      <c r="B8540" s="121"/>
      <c r="C8540" s="121"/>
      <c r="D8540" s="121"/>
      <c r="E8540" s="121"/>
      <c r="F8540" s="121"/>
      <c r="G8540" s="121"/>
      <c r="H8540" s="121"/>
      <c r="I8540" s="121"/>
      <c r="J8540" s="121"/>
      <c r="K8540" s="121"/>
      <c r="L8540" s="121"/>
      <c r="M8540" s="121"/>
      <c r="N8540" s="524"/>
      <c r="O8540" s="530"/>
      <c r="P8540" s="255"/>
      <c r="Q8540" s="321"/>
      <c r="R8540" s="260"/>
      <c r="S8540" s="260"/>
      <c r="T8540" s="260"/>
      <c r="U8540" s="260"/>
      <c r="V8540" s="260"/>
      <c r="W8540" s="260"/>
      <c r="X8540" s="260"/>
      <c r="Y8540" s="260"/>
      <c r="Z8540" s="260"/>
      <c r="AA8540"/>
      <c r="AB8540"/>
      <c r="AC8540"/>
      <c r="AD8540"/>
      <c r="AE8540"/>
      <c r="AF8540"/>
      <c r="AG8540"/>
      <c r="AH8540"/>
      <c r="AI8540"/>
      <c r="AJ8540"/>
      <c r="AK8540"/>
      <c r="AL8540"/>
      <c r="AM8540"/>
      <c r="AN8540"/>
    </row>
    <row r="8541" spans="1:40" s="47" customFormat="1" ht="11.25" hidden="1" customHeight="1">
      <c r="A8541" s="121"/>
      <c r="B8541" s="121"/>
      <c r="C8541" s="121"/>
      <c r="D8541" s="121"/>
      <c r="E8541" s="121"/>
      <c r="F8541" s="121"/>
      <c r="G8541" s="121"/>
      <c r="H8541" s="121"/>
      <c r="I8541" s="121"/>
      <c r="J8541" s="121"/>
      <c r="K8541" s="121"/>
      <c r="L8541" s="121"/>
      <c r="M8541" s="121"/>
      <c r="N8541" s="524"/>
      <c r="O8541" s="530"/>
      <c r="P8541" s="260"/>
      <c r="Q8541" s="321"/>
      <c r="R8541" s="260"/>
      <c r="S8541" s="260"/>
      <c r="T8541" s="260"/>
      <c r="U8541" s="260"/>
      <c r="V8541" s="260"/>
      <c r="W8541" s="260"/>
      <c r="X8541" s="260"/>
      <c r="Y8541" s="260"/>
      <c r="Z8541" s="260"/>
      <c r="AA8541"/>
      <c r="AB8541"/>
      <c r="AC8541"/>
      <c r="AD8541"/>
      <c r="AE8541"/>
      <c r="AF8541"/>
      <c r="AG8541"/>
      <c r="AH8541"/>
      <c r="AI8541"/>
      <c r="AJ8541"/>
      <c r="AK8541"/>
      <c r="AL8541"/>
      <c r="AM8541"/>
      <c r="AN8541"/>
    </row>
    <row r="8542" spans="1:40" s="47" customFormat="1" ht="11.25" hidden="1" customHeight="1">
      <c r="A8542" s="121"/>
      <c r="B8542" s="121"/>
      <c r="C8542" s="121"/>
      <c r="D8542" s="121"/>
      <c r="E8542" s="121"/>
      <c r="F8542" s="121"/>
      <c r="G8542" s="121"/>
      <c r="H8542" s="121"/>
      <c r="I8542" s="121"/>
      <c r="J8542" s="121"/>
      <c r="K8542" s="121"/>
      <c r="L8542" s="121"/>
      <c r="M8542" s="121"/>
      <c r="N8542" s="223"/>
      <c r="O8542" s="529"/>
      <c r="P8542" s="260"/>
      <c r="Q8542" s="321"/>
      <c r="R8542" s="260"/>
      <c r="S8542" s="260"/>
      <c r="T8542" s="260"/>
      <c r="U8542" s="260"/>
      <c r="V8542" s="260"/>
      <c r="W8542" s="260"/>
      <c r="X8542" s="260"/>
      <c r="Y8542" s="260"/>
      <c r="Z8542" s="260"/>
      <c r="AA8542"/>
      <c r="AB8542"/>
      <c r="AC8542"/>
      <c r="AD8542"/>
      <c r="AE8542"/>
      <c r="AF8542"/>
      <c r="AG8542"/>
      <c r="AH8542"/>
      <c r="AI8542"/>
      <c r="AJ8542"/>
      <c r="AK8542"/>
      <c r="AL8542"/>
      <c r="AM8542"/>
      <c r="AN8542"/>
    </row>
    <row r="8543" spans="1:40" s="47" customFormat="1" ht="11.25" hidden="1" customHeight="1">
      <c r="A8543" s="121"/>
      <c r="B8543" s="121"/>
      <c r="C8543" s="121"/>
      <c r="D8543" s="121"/>
      <c r="E8543" s="121"/>
      <c r="F8543" s="121"/>
      <c r="G8543" s="121"/>
      <c r="H8543" s="121"/>
      <c r="I8543" s="121"/>
      <c r="J8543" s="121"/>
      <c r="K8543" s="121"/>
      <c r="L8543" s="121"/>
      <c r="M8543" s="121"/>
      <c r="N8543" s="524"/>
      <c r="O8543" s="530"/>
      <c r="P8543" s="255"/>
      <c r="Q8543" s="321"/>
      <c r="R8543" s="260"/>
      <c r="S8543" s="260"/>
      <c r="T8543" s="260"/>
      <c r="U8543" s="260"/>
      <c r="V8543" s="260"/>
      <c r="W8543" s="260"/>
      <c r="X8543" s="260"/>
      <c r="Y8543" s="260"/>
      <c r="Z8543" s="260"/>
      <c r="AA8543"/>
      <c r="AB8543"/>
      <c r="AC8543"/>
      <c r="AD8543"/>
      <c r="AE8543"/>
      <c r="AF8543"/>
      <c r="AG8543"/>
      <c r="AH8543"/>
      <c r="AI8543"/>
      <c r="AJ8543"/>
      <c r="AK8543"/>
      <c r="AL8543"/>
      <c r="AM8543"/>
      <c r="AN8543"/>
    </row>
    <row r="8544" spans="1:40" s="47" customFormat="1" ht="11.25" hidden="1" customHeight="1">
      <c r="A8544" s="121"/>
      <c r="B8544" s="121"/>
      <c r="C8544" s="121"/>
      <c r="D8544" s="121"/>
      <c r="E8544" s="121"/>
      <c r="F8544" s="121"/>
      <c r="G8544" s="121"/>
      <c r="H8544" s="121"/>
      <c r="I8544" s="121"/>
      <c r="J8544" s="121"/>
      <c r="K8544" s="121"/>
      <c r="L8544" s="121"/>
      <c r="M8544" s="121"/>
      <c r="N8544" s="524"/>
      <c r="O8544" s="530"/>
      <c r="P8544" s="260"/>
      <c r="Q8544" s="321"/>
      <c r="R8544" s="260"/>
      <c r="S8544" s="260"/>
      <c r="T8544" s="260"/>
      <c r="U8544" s="260"/>
      <c r="V8544" s="260"/>
      <c r="W8544" s="260"/>
      <c r="X8544" s="260"/>
      <c r="Y8544" s="260"/>
      <c r="Z8544" s="260"/>
      <c r="AA8544"/>
      <c r="AB8544"/>
      <c r="AC8544"/>
      <c r="AD8544"/>
      <c r="AE8544"/>
      <c r="AF8544"/>
      <c r="AG8544"/>
      <c r="AH8544"/>
      <c r="AI8544"/>
      <c r="AJ8544"/>
      <c r="AK8544"/>
      <c r="AL8544"/>
      <c r="AM8544"/>
      <c r="AN8544"/>
    </row>
    <row r="8545" spans="1:40" s="47" customFormat="1" ht="11.25" hidden="1" customHeight="1">
      <c r="A8545" s="121"/>
      <c r="B8545" s="121"/>
      <c r="C8545" s="121"/>
      <c r="D8545" s="121"/>
      <c r="E8545" s="121"/>
      <c r="F8545" s="121"/>
      <c r="G8545" s="121"/>
      <c r="H8545" s="121"/>
      <c r="I8545" s="121"/>
      <c r="J8545" s="121"/>
      <c r="K8545" s="121"/>
      <c r="L8545" s="121"/>
      <c r="M8545" s="121"/>
      <c r="N8545" s="223"/>
      <c r="O8545" s="531"/>
      <c r="P8545" s="260"/>
      <c r="Q8545" s="321"/>
      <c r="R8545" s="260"/>
      <c r="S8545" s="260"/>
      <c r="T8545" s="260"/>
      <c r="U8545" s="260"/>
      <c r="V8545" s="260"/>
      <c r="W8545" s="260"/>
      <c r="X8545" s="260"/>
      <c r="Y8545" s="260"/>
      <c r="Z8545" s="260"/>
      <c r="AA8545"/>
      <c r="AB8545"/>
      <c r="AC8545"/>
      <c r="AD8545"/>
      <c r="AE8545"/>
      <c r="AF8545"/>
      <c r="AG8545"/>
      <c r="AH8545"/>
      <c r="AI8545"/>
      <c r="AJ8545"/>
      <c r="AK8545"/>
      <c r="AL8545"/>
      <c r="AM8545"/>
      <c r="AN8545"/>
    </row>
    <row r="8546" spans="1:40" s="47" customFormat="1" ht="11.25" hidden="1" customHeight="1">
      <c r="A8546" s="121"/>
      <c r="B8546" s="121"/>
      <c r="C8546" s="121"/>
      <c r="D8546" s="121"/>
      <c r="E8546" s="121"/>
      <c r="F8546" s="121"/>
      <c r="G8546" s="121"/>
      <c r="H8546" s="121"/>
      <c r="I8546" s="121"/>
      <c r="J8546" s="121"/>
      <c r="K8546" s="121"/>
      <c r="L8546" s="121"/>
      <c r="M8546" s="121"/>
      <c r="N8546" s="524"/>
      <c r="O8546" s="530"/>
      <c r="P8546" s="255"/>
      <c r="Q8546" s="321"/>
      <c r="R8546" s="260"/>
      <c r="S8546" s="260"/>
      <c r="T8546" s="260"/>
      <c r="U8546" s="260"/>
      <c r="V8546" s="260"/>
      <c r="W8546" s="260"/>
      <c r="X8546" s="260"/>
      <c r="Y8546" s="260"/>
      <c r="Z8546" s="260"/>
      <c r="AA8546"/>
      <c r="AB8546"/>
      <c r="AC8546"/>
      <c r="AD8546"/>
      <c r="AE8546"/>
      <c r="AF8546"/>
      <c r="AG8546"/>
      <c r="AH8546"/>
      <c r="AI8546"/>
      <c r="AJ8546"/>
      <c r="AK8546"/>
      <c r="AL8546"/>
      <c r="AM8546"/>
      <c r="AN8546"/>
    </row>
    <row r="8547" spans="1:40" s="47" customFormat="1" ht="11.25" hidden="1" customHeight="1">
      <c r="A8547" s="121"/>
      <c r="B8547" s="121"/>
      <c r="C8547" s="121"/>
      <c r="D8547" s="121"/>
      <c r="E8547" s="121"/>
      <c r="F8547" s="121"/>
      <c r="G8547" s="121"/>
      <c r="H8547" s="121"/>
      <c r="I8547" s="121"/>
      <c r="J8547" s="121"/>
      <c r="K8547" s="121"/>
      <c r="L8547" s="121"/>
      <c r="M8547" s="121"/>
      <c r="N8547" s="524"/>
      <c r="O8547" s="530"/>
      <c r="P8547" s="260"/>
      <c r="Q8547" s="321"/>
      <c r="R8547" s="260"/>
      <c r="S8547" s="260"/>
      <c r="T8547" s="260"/>
      <c r="U8547" s="260"/>
      <c r="V8547" s="260"/>
      <c r="W8547" s="260"/>
      <c r="X8547" s="260"/>
      <c r="Y8547" s="260"/>
      <c r="Z8547" s="260"/>
      <c r="AA8547"/>
      <c r="AB8547"/>
      <c r="AC8547"/>
      <c r="AD8547"/>
      <c r="AE8547"/>
      <c r="AF8547"/>
      <c r="AG8547"/>
      <c r="AH8547"/>
      <c r="AI8547"/>
      <c r="AJ8547"/>
      <c r="AK8547"/>
      <c r="AL8547"/>
      <c r="AM8547"/>
      <c r="AN8547"/>
    </row>
    <row r="8548" spans="1:40" s="47" customFormat="1" ht="11.25" hidden="1" customHeight="1">
      <c r="A8548" s="121"/>
      <c r="B8548" s="121"/>
      <c r="C8548" s="121"/>
      <c r="D8548" s="121"/>
      <c r="E8548" s="121"/>
      <c r="F8548" s="121"/>
      <c r="G8548" s="121"/>
      <c r="H8548" s="121"/>
      <c r="I8548" s="121"/>
      <c r="J8548" s="121"/>
      <c r="K8548" s="121"/>
      <c r="L8548" s="121"/>
      <c r="M8548" s="121"/>
      <c r="N8548" s="223"/>
      <c r="O8548" s="529"/>
      <c r="P8548" s="260"/>
      <c r="Q8548" s="321"/>
      <c r="R8548" s="260"/>
      <c r="S8548" s="260"/>
      <c r="T8548" s="260"/>
      <c r="U8548" s="260"/>
      <c r="V8548" s="260"/>
      <c r="W8548" s="260"/>
      <c r="X8548" s="260"/>
      <c r="Y8548" s="260"/>
      <c r="Z8548" s="260"/>
      <c r="AA8548"/>
      <c r="AB8548"/>
      <c r="AC8548"/>
      <c r="AD8548"/>
      <c r="AE8548"/>
      <c r="AF8548"/>
      <c r="AG8548"/>
      <c r="AH8548"/>
      <c r="AI8548"/>
      <c r="AJ8548"/>
      <c r="AK8548"/>
      <c r="AL8548"/>
      <c r="AM8548"/>
      <c r="AN8548"/>
    </row>
    <row r="8549" spans="1:40" s="47" customFormat="1" ht="11.25" hidden="1" customHeight="1">
      <c r="A8549" s="121"/>
      <c r="B8549" s="121"/>
      <c r="C8549" s="121"/>
      <c r="D8549" s="121"/>
      <c r="E8549" s="121"/>
      <c r="F8549" s="121"/>
      <c r="G8549" s="121"/>
      <c r="H8549" s="121"/>
      <c r="I8549" s="121"/>
      <c r="J8549" s="121"/>
      <c r="K8549" s="121"/>
      <c r="L8549" s="121"/>
      <c r="M8549" s="121"/>
      <c r="N8549" s="524"/>
      <c r="O8549" s="530"/>
      <c r="P8549" s="255"/>
      <c r="Q8549" s="321"/>
      <c r="R8549" s="260"/>
      <c r="S8549" s="260"/>
      <c r="T8549" s="260"/>
      <c r="U8549" s="260"/>
      <c r="V8549" s="260"/>
      <c r="W8549" s="260"/>
      <c r="X8549" s="260"/>
      <c r="Y8549" s="260"/>
      <c r="Z8549" s="260"/>
      <c r="AA8549"/>
      <c r="AB8549"/>
      <c r="AC8549"/>
      <c r="AD8549"/>
      <c r="AE8549"/>
      <c r="AF8549"/>
      <c r="AG8549"/>
      <c r="AH8549"/>
      <c r="AI8549"/>
      <c r="AJ8549"/>
      <c r="AK8549"/>
      <c r="AL8549"/>
      <c r="AM8549"/>
      <c r="AN8549"/>
    </row>
    <row r="8550" spans="1:40" s="47" customFormat="1" ht="11.25" hidden="1" customHeight="1">
      <c r="A8550" s="121"/>
      <c r="B8550" s="121"/>
      <c r="C8550" s="121"/>
      <c r="D8550" s="121"/>
      <c r="E8550" s="121"/>
      <c r="F8550" s="121"/>
      <c r="G8550" s="121"/>
      <c r="H8550" s="121"/>
      <c r="I8550" s="121"/>
      <c r="J8550" s="121"/>
      <c r="K8550" s="121"/>
      <c r="L8550" s="121"/>
      <c r="M8550" s="121"/>
      <c r="N8550" s="524"/>
      <c r="O8550" s="530"/>
      <c r="P8550" s="260"/>
      <c r="Q8550" s="321"/>
      <c r="R8550" s="260"/>
      <c r="S8550" s="260"/>
      <c r="T8550" s="260"/>
      <c r="U8550" s="260"/>
      <c r="V8550" s="260"/>
      <c r="W8550" s="260"/>
      <c r="X8550" s="260"/>
      <c r="Y8550" s="260"/>
      <c r="Z8550" s="260"/>
      <c r="AA8550"/>
      <c r="AB8550"/>
      <c r="AC8550"/>
      <c r="AD8550"/>
      <c r="AE8550"/>
      <c r="AF8550"/>
      <c r="AG8550"/>
      <c r="AH8550"/>
      <c r="AI8550"/>
      <c r="AJ8550"/>
      <c r="AK8550"/>
      <c r="AL8550"/>
      <c r="AM8550"/>
      <c r="AN8550"/>
    </row>
    <row r="8551" spans="1:40" s="47" customFormat="1" ht="11.25" hidden="1" customHeight="1">
      <c r="A8551" s="121"/>
      <c r="B8551" s="121"/>
      <c r="C8551" s="121"/>
      <c r="D8551" s="121"/>
      <c r="E8551" s="121"/>
      <c r="F8551" s="121"/>
      <c r="G8551" s="121"/>
      <c r="H8551" s="121"/>
      <c r="I8551" s="121"/>
      <c r="J8551" s="121"/>
      <c r="K8551" s="121"/>
      <c r="L8551" s="121"/>
      <c r="M8551" s="121"/>
      <c r="N8551" s="223"/>
      <c r="O8551" s="531"/>
      <c r="P8551" s="260"/>
      <c r="Q8551" s="321"/>
      <c r="R8551" s="260"/>
      <c r="S8551" s="260"/>
      <c r="T8551" s="260"/>
      <c r="U8551" s="260"/>
      <c r="V8551" s="260"/>
      <c r="W8551" s="260"/>
      <c r="X8551" s="260"/>
      <c r="Y8551" s="260"/>
      <c r="Z8551" s="260"/>
      <c r="AA8551"/>
      <c r="AB8551"/>
      <c r="AC8551"/>
      <c r="AD8551"/>
      <c r="AE8551"/>
      <c r="AF8551"/>
      <c r="AG8551"/>
      <c r="AH8551"/>
      <c r="AI8551"/>
      <c r="AJ8551"/>
      <c r="AK8551"/>
      <c r="AL8551"/>
      <c r="AM8551"/>
      <c r="AN8551"/>
    </row>
    <row r="8552" spans="1:40" s="47" customFormat="1" ht="11.25" hidden="1" customHeight="1">
      <c r="A8552" s="121"/>
      <c r="B8552" s="121"/>
      <c r="C8552" s="121"/>
      <c r="D8552" s="121"/>
      <c r="E8552" s="121"/>
      <c r="F8552" s="121"/>
      <c r="G8552" s="121"/>
      <c r="H8552" s="121"/>
      <c r="I8552" s="121"/>
      <c r="J8552" s="121"/>
      <c r="K8552" s="121"/>
      <c r="L8552" s="121"/>
      <c r="M8552" s="121"/>
      <c r="N8552" s="524"/>
      <c r="O8552" s="530"/>
      <c r="P8552" s="255"/>
      <c r="Q8552" s="321"/>
      <c r="R8552" s="260"/>
      <c r="S8552" s="260"/>
      <c r="T8552" s="260"/>
      <c r="U8552" s="260"/>
      <c r="V8552" s="260"/>
      <c r="W8552" s="260"/>
      <c r="X8552" s="260"/>
      <c r="Y8552" s="260"/>
      <c r="Z8552" s="260"/>
      <c r="AA8552"/>
      <c r="AB8552"/>
      <c r="AC8552"/>
      <c r="AD8552"/>
      <c r="AE8552"/>
      <c r="AF8552"/>
      <c r="AG8552"/>
      <c r="AH8552"/>
      <c r="AI8552"/>
      <c r="AJ8552"/>
      <c r="AK8552"/>
      <c r="AL8552"/>
      <c r="AM8552"/>
      <c r="AN8552"/>
    </row>
    <row r="8553" spans="1:40" s="47" customFormat="1" ht="11.25" hidden="1" customHeight="1">
      <c r="A8553" s="121"/>
      <c r="B8553" s="121"/>
      <c r="C8553" s="121"/>
      <c r="D8553" s="121"/>
      <c r="E8553" s="121"/>
      <c r="F8553" s="121"/>
      <c r="G8553" s="121"/>
      <c r="H8553" s="121"/>
      <c r="I8553" s="121"/>
      <c r="J8553" s="121"/>
      <c r="K8553" s="121"/>
      <c r="L8553" s="121"/>
      <c r="M8553" s="121"/>
      <c r="N8553" s="524"/>
      <c r="O8553" s="530"/>
      <c r="P8553" s="260"/>
      <c r="Q8553" s="321"/>
      <c r="R8553" s="260"/>
      <c r="S8553" s="260"/>
      <c r="T8553" s="260"/>
      <c r="U8553" s="260"/>
      <c r="V8553" s="260"/>
      <c r="W8553" s="260"/>
      <c r="X8553" s="260"/>
      <c r="Y8553" s="260"/>
      <c r="Z8553" s="260"/>
      <c r="AA8553"/>
      <c r="AB8553"/>
      <c r="AC8553"/>
      <c r="AD8553"/>
      <c r="AE8553"/>
      <c r="AF8553"/>
      <c r="AG8553"/>
      <c r="AH8553"/>
      <c r="AI8553"/>
      <c r="AJ8553"/>
      <c r="AK8553"/>
      <c r="AL8553"/>
      <c r="AM8553"/>
      <c r="AN8553"/>
    </row>
    <row r="8554" spans="1:40" s="47" customFormat="1" ht="11.25" hidden="1" customHeight="1">
      <c r="A8554" s="121"/>
      <c r="B8554" s="121"/>
      <c r="C8554" s="121"/>
      <c r="D8554" s="121"/>
      <c r="E8554" s="121"/>
      <c r="F8554" s="121"/>
      <c r="G8554" s="121"/>
      <c r="H8554" s="121"/>
      <c r="I8554" s="121"/>
      <c r="J8554" s="121"/>
      <c r="K8554" s="121"/>
      <c r="L8554" s="121"/>
      <c r="M8554" s="121"/>
      <c r="N8554" s="223"/>
      <c r="O8554" s="529"/>
      <c r="P8554" s="260"/>
      <c r="Q8554" s="321"/>
      <c r="R8554" s="260"/>
      <c r="S8554" s="260"/>
      <c r="T8554" s="260"/>
      <c r="U8554" s="260"/>
      <c r="V8554" s="260"/>
      <c r="W8554" s="260"/>
      <c r="X8554" s="260"/>
      <c r="Y8554" s="260"/>
      <c r="Z8554" s="260"/>
      <c r="AA8554"/>
      <c r="AB8554"/>
      <c r="AC8554"/>
      <c r="AD8554"/>
      <c r="AE8554"/>
      <c r="AF8554"/>
      <c r="AG8554"/>
      <c r="AH8554"/>
      <c r="AI8554"/>
      <c r="AJ8554"/>
      <c r="AK8554"/>
      <c r="AL8554"/>
      <c r="AM8554"/>
      <c r="AN8554"/>
    </row>
    <row r="8555" spans="1:40" s="47" customFormat="1" ht="11.25" hidden="1" customHeight="1">
      <c r="A8555" s="121"/>
      <c r="B8555" s="121"/>
      <c r="C8555" s="121"/>
      <c r="D8555" s="121"/>
      <c r="E8555" s="121"/>
      <c r="F8555" s="121"/>
      <c r="G8555" s="121"/>
      <c r="H8555" s="121"/>
      <c r="I8555" s="121"/>
      <c r="J8555" s="121"/>
      <c r="K8555" s="121"/>
      <c r="L8555" s="121"/>
      <c r="M8555" s="121"/>
      <c r="N8555" s="524"/>
      <c r="O8555" s="530"/>
      <c r="P8555" s="255"/>
      <c r="Q8555" s="321"/>
      <c r="R8555" s="260"/>
      <c r="S8555" s="260"/>
      <c r="T8555" s="260"/>
      <c r="U8555" s="260"/>
      <c r="V8555" s="260"/>
      <c r="W8555" s="260"/>
      <c r="X8555" s="260"/>
      <c r="Y8555" s="260"/>
      <c r="Z8555" s="260"/>
      <c r="AA8555"/>
      <c r="AB8555"/>
      <c r="AC8555"/>
      <c r="AD8555"/>
      <c r="AE8555"/>
      <c r="AF8555"/>
      <c r="AG8555"/>
      <c r="AH8555"/>
      <c r="AI8555"/>
      <c r="AJ8555"/>
      <c r="AK8555"/>
      <c r="AL8555"/>
      <c r="AM8555"/>
      <c r="AN8555"/>
    </row>
    <row r="8556" spans="1:40" s="47" customFormat="1" ht="11.25" hidden="1" customHeight="1">
      <c r="A8556" s="121"/>
      <c r="B8556" s="121"/>
      <c r="C8556" s="121"/>
      <c r="D8556" s="121"/>
      <c r="E8556" s="121"/>
      <c r="F8556" s="121"/>
      <c r="G8556" s="121"/>
      <c r="H8556" s="121"/>
      <c r="I8556" s="121"/>
      <c r="J8556" s="121"/>
      <c r="K8556" s="121"/>
      <c r="L8556" s="121"/>
      <c r="M8556" s="121"/>
      <c r="N8556" s="524"/>
      <c r="O8556" s="530"/>
      <c r="P8556" s="260"/>
      <c r="Q8556" s="321"/>
      <c r="R8556" s="260"/>
      <c r="S8556" s="260"/>
      <c r="T8556" s="260"/>
      <c r="U8556" s="260"/>
      <c r="V8556" s="260"/>
      <c r="W8556" s="260"/>
      <c r="X8556" s="260"/>
      <c r="Y8556" s="260"/>
      <c r="Z8556" s="260"/>
      <c r="AA8556"/>
      <c r="AB8556"/>
      <c r="AC8556"/>
      <c r="AD8556"/>
      <c r="AE8556"/>
      <c r="AF8556"/>
      <c r="AG8556"/>
      <c r="AH8556"/>
      <c r="AI8556"/>
      <c r="AJ8556"/>
      <c r="AK8556"/>
      <c r="AL8556"/>
      <c r="AM8556"/>
      <c r="AN8556"/>
    </row>
    <row r="8557" spans="1:40" s="47" customFormat="1" ht="11.25" hidden="1" customHeight="1">
      <c r="A8557" s="121"/>
      <c r="B8557" s="121"/>
      <c r="C8557" s="121"/>
      <c r="D8557" s="121"/>
      <c r="E8557" s="121"/>
      <c r="F8557" s="121"/>
      <c r="G8557" s="121"/>
      <c r="H8557" s="121"/>
      <c r="I8557" s="121"/>
      <c r="J8557" s="121"/>
      <c r="K8557" s="121"/>
      <c r="L8557" s="121"/>
      <c r="M8557" s="121"/>
      <c r="N8557" s="223"/>
      <c r="O8557" s="531"/>
      <c r="P8557" s="260"/>
      <c r="Q8557" s="321"/>
      <c r="R8557" s="260"/>
      <c r="S8557" s="260"/>
      <c r="T8557" s="260"/>
      <c r="U8557" s="260"/>
      <c r="V8557" s="260"/>
      <c r="W8557" s="260"/>
      <c r="X8557" s="260"/>
      <c r="Y8557" s="260"/>
      <c r="Z8557" s="260"/>
      <c r="AA8557"/>
      <c r="AB8557"/>
      <c r="AC8557"/>
      <c r="AD8557"/>
      <c r="AE8557"/>
      <c r="AF8557"/>
      <c r="AG8557"/>
      <c r="AH8557"/>
      <c r="AI8557"/>
      <c r="AJ8557"/>
      <c r="AK8557"/>
      <c r="AL8557"/>
      <c r="AM8557"/>
      <c r="AN8557"/>
    </row>
    <row r="8558" spans="1:40" s="47" customFormat="1" ht="11.25" hidden="1" customHeight="1">
      <c r="A8558" s="121"/>
      <c r="B8558" s="121"/>
      <c r="C8558" s="121"/>
      <c r="D8558" s="121"/>
      <c r="E8558" s="121"/>
      <c r="F8558" s="121"/>
      <c r="G8558" s="121"/>
      <c r="H8558" s="121"/>
      <c r="I8558" s="121"/>
      <c r="J8558" s="121"/>
      <c r="K8558" s="121"/>
      <c r="L8558" s="121"/>
      <c r="M8558" s="121"/>
      <c r="N8558" s="524"/>
      <c r="O8558" s="530"/>
      <c r="P8558" s="255"/>
      <c r="Q8558" s="321"/>
      <c r="R8558" s="260"/>
      <c r="S8558" s="260"/>
      <c r="T8558" s="260"/>
      <c r="U8558" s="260"/>
      <c r="V8558" s="260"/>
      <c r="W8558" s="260"/>
      <c r="X8558" s="260"/>
      <c r="Y8558" s="260"/>
      <c r="Z8558" s="260"/>
      <c r="AA8558"/>
      <c r="AB8558"/>
      <c r="AC8558"/>
      <c r="AD8558"/>
      <c r="AE8558"/>
      <c r="AF8558"/>
      <c r="AG8558"/>
      <c r="AH8558"/>
      <c r="AI8558"/>
      <c r="AJ8558"/>
      <c r="AK8558"/>
      <c r="AL8558"/>
      <c r="AM8558"/>
      <c r="AN8558"/>
    </row>
    <row r="8559" spans="1:40" s="47" customFormat="1">
      <c r="A8559" s="121"/>
      <c r="B8559" s="121"/>
      <c r="C8559" s="121"/>
      <c r="D8559" s="121"/>
      <c r="E8559" s="121"/>
      <c r="F8559" s="121"/>
      <c r="G8559" s="121"/>
      <c r="H8559" s="121"/>
      <c r="I8559" s="121"/>
      <c r="J8559" s="121"/>
      <c r="K8559" s="121"/>
      <c r="L8559" s="121"/>
      <c r="M8559" s="121"/>
      <c r="N8559" s="524"/>
      <c r="O8559" s="530"/>
      <c r="P8559" s="260"/>
      <c r="Q8559" s="321"/>
      <c r="R8559" s="260"/>
      <c r="S8559" s="260"/>
      <c r="T8559" s="260"/>
      <c r="U8559" s="260"/>
      <c r="V8559" s="260"/>
      <c r="W8559" s="260"/>
      <c r="X8559" s="260"/>
      <c r="Y8559" s="260"/>
      <c r="Z8559" s="260"/>
      <c r="AA8559"/>
      <c r="AB8559"/>
      <c r="AC8559"/>
      <c r="AD8559"/>
      <c r="AE8559"/>
      <c r="AF8559"/>
      <c r="AG8559"/>
      <c r="AH8559"/>
      <c r="AI8559"/>
      <c r="AJ8559"/>
      <c r="AK8559"/>
      <c r="AL8559"/>
      <c r="AM8559"/>
      <c r="AN8559"/>
    </row>
    <row r="8560" spans="1:40" s="47" customFormat="1">
      <c r="A8560" s="121"/>
      <c r="B8560" s="121"/>
      <c r="C8560" s="121"/>
      <c r="D8560" s="121"/>
      <c r="E8560" s="121"/>
      <c r="F8560" s="121"/>
      <c r="G8560" s="121"/>
      <c r="H8560" s="121"/>
      <c r="I8560" s="121"/>
      <c r="J8560" s="121"/>
      <c r="K8560" s="121"/>
      <c r="L8560" s="121"/>
      <c r="M8560" s="121"/>
      <c r="N8560" s="504" t="s">
        <v>633</v>
      </c>
      <c r="O8560" s="532" t="s">
        <v>2819</v>
      </c>
      <c r="P8560" s="257"/>
      <c r="Q8560" s="321"/>
      <c r="R8560" s="260"/>
      <c r="S8560" s="260"/>
      <c r="T8560" s="260"/>
      <c r="U8560" s="260"/>
      <c r="V8560" s="260"/>
      <c r="W8560" s="261"/>
      <c r="X8560" s="260"/>
      <c r="Y8560" s="260"/>
      <c r="Z8560" s="261"/>
      <c r="AA8560"/>
      <c r="AB8560"/>
      <c r="AC8560"/>
      <c r="AD8560"/>
      <c r="AE8560"/>
      <c r="AF8560"/>
      <c r="AG8560"/>
      <c r="AH8560"/>
      <c r="AI8560"/>
      <c r="AJ8560"/>
      <c r="AK8560"/>
      <c r="AL8560"/>
      <c r="AM8560"/>
      <c r="AN8560"/>
    </row>
    <row r="8561" spans="1:40" s="47" customFormat="1">
      <c r="A8561" s="121"/>
      <c r="B8561" s="121"/>
      <c r="C8561" s="121"/>
      <c r="D8561" s="121"/>
      <c r="E8561" s="121"/>
      <c r="F8561" s="121"/>
      <c r="G8561" s="121"/>
      <c r="H8561" s="121"/>
      <c r="I8561" s="121"/>
      <c r="J8561" s="121"/>
      <c r="K8561" s="121"/>
      <c r="L8561" s="121"/>
      <c r="M8561" s="121"/>
      <c r="N8561" s="504" t="s">
        <v>69</v>
      </c>
      <c r="O8561" s="527" t="s">
        <v>2820</v>
      </c>
      <c r="P8561" s="257"/>
      <c r="Q8561" s="321"/>
      <c r="R8561" s="260"/>
      <c r="S8561" s="260"/>
      <c r="T8561" s="260"/>
      <c r="U8561" s="260"/>
      <c r="V8561" s="260"/>
      <c r="W8561" s="261"/>
      <c r="X8561" s="260"/>
      <c r="Y8561" s="260"/>
      <c r="Z8561" s="261"/>
      <c r="AA8561"/>
      <c r="AB8561"/>
      <c r="AC8561"/>
      <c r="AD8561"/>
      <c r="AE8561"/>
      <c r="AF8561"/>
      <c r="AG8561"/>
      <c r="AH8561"/>
      <c r="AI8561"/>
      <c r="AJ8561"/>
      <c r="AK8561"/>
      <c r="AL8561"/>
      <c r="AM8561"/>
      <c r="AN8561"/>
    </row>
    <row r="8562" spans="1:40" s="47" customFormat="1">
      <c r="A8562" s="121"/>
      <c r="B8562" s="121"/>
      <c r="C8562" s="121"/>
      <c r="D8562" s="121"/>
      <c r="E8562" s="121"/>
      <c r="F8562" s="121"/>
      <c r="G8562" s="121"/>
      <c r="H8562" s="121"/>
      <c r="I8562" s="121"/>
      <c r="J8562" s="121"/>
      <c r="K8562" s="121"/>
      <c r="L8562" s="121"/>
      <c r="M8562" s="121"/>
      <c r="N8562" s="504" t="s">
        <v>72</v>
      </c>
      <c r="O8562" s="527" t="s">
        <v>2471</v>
      </c>
      <c r="P8562" s="257"/>
      <c r="Q8562" s="321"/>
      <c r="R8562" s="260"/>
      <c r="S8562" s="260"/>
      <c r="T8562" s="260"/>
      <c r="U8562" s="260"/>
      <c r="V8562" s="260"/>
      <c r="W8562" s="261"/>
      <c r="X8562" s="260"/>
      <c r="Y8562" s="260"/>
      <c r="Z8562" s="261"/>
      <c r="AA8562"/>
      <c r="AB8562"/>
      <c r="AC8562"/>
      <c r="AD8562"/>
      <c r="AE8562"/>
      <c r="AF8562"/>
      <c r="AG8562"/>
      <c r="AH8562"/>
      <c r="AI8562"/>
      <c r="AJ8562"/>
      <c r="AK8562"/>
      <c r="AL8562"/>
      <c r="AM8562"/>
      <c r="AN8562"/>
    </row>
    <row r="8563" spans="1:40" s="47" customFormat="1">
      <c r="A8563" s="121"/>
      <c r="B8563" s="121"/>
      <c r="C8563" s="121"/>
      <c r="D8563" s="121"/>
      <c r="E8563" s="121"/>
      <c r="F8563" s="121"/>
      <c r="G8563" s="121"/>
      <c r="H8563" s="121"/>
      <c r="I8563" s="121"/>
      <c r="J8563" s="121"/>
      <c r="K8563" s="121"/>
      <c r="L8563" s="121"/>
      <c r="M8563" s="121"/>
      <c r="N8563" s="504" t="s">
        <v>2821</v>
      </c>
      <c r="O8563" s="527" t="s">
        <v>2822</v>
      </c>
      <c r="P8563" s="257"/>
      <c r="Q8563" s="321"/>
      <c r="R8563" s="260"/>
      <c r="S8563" s="260"/>
      <c r="T8563" s="260"/>
      <c r="U8563" s="260"/>
      <c r="V8563" s="260"/>
      <c r="W8563" s="257">
        <f>SUM(W8564:W8566)</f>
        <v>0</v>
      </c>
      <c r="X8563" s="260"/>
      <c r="Y8563" s="260"/>
      <c r="Z8563" s="257">
        <f>SUM(Z8564:Z8566)</f>
        <v>0</v>
      </c>
      <c r="AA8563"/>
      <c r="AB8563"/>
      <c r="AC8563"/>
      <c r="AD8563"/>
      <c r="AE8563"/>
      <c r="AF8563"/>
      <c r="AG8563"/>
      <c r="AH8563"/>
      <c r="AI8563"/>
      <c r="AJ8563"/>
      <c r="AK8563"/>
      <c r="AL8563"/>
      <c r="AM8563"/>
      <c r="AN8563"/>
    </row>
    <row r="8564" spans="1:40" s="47" customFormat="1">
      <c r="A8564" s="121"/>
      <c r="B8564" s="121"/>
      <c r="C8564" s="121"/>
      <c r="D8564" s="121"/>
      <c r="E8564" s="121"/>
      <c r="F8564" s="121"/>
      <c r="G8564" s="121"/>
      <c r="H8564" s="121"/>
      <c r="I8564" s="121"/>
      <c r="J8564" s="121"/>
      <c r="K8564" s="121"/>
      <c r="L8564" s="121"/>
      <c r="M8564" s="121"/>
      <c r="N8564" s="504" t="s">
        <v>888</v>
      </c>
      <c r="O8564" s="528" t="s">
        <v>2823</v>
      </c>
      <c r="P8564" s="257"/>
      <c r="Q8564" s="321"/>
      <c r="R8564" s="260"/>
      <c r="S8564" s="260"/>
      <c r="T8564" s="260"/>
      <c r="U8564" s="260"/>
      <c r="V8564" s="260"/>
      <c r="W8564" s="261"/>
      <c r="X8564" s="260"/>
      <c r="Y8564" s="260"/>
      <c r="Z8564" s="261"/>
      <c r="AA8564"/>
      <c r="AB8564"/>
      <c r="AC8564"/>
      <c r="AD8564"/>
      <c r="AE8564"/>
      <c r="AF8564"/>
      <c r="AG8564"/>
      <c r="AH8564"/>
      <c r="AI8564"/>
      <c r="AJ8564"/>
      <c r="AK8564"/>
      <c r="AL8564"/>
      <c r="AM8564"/>
      <c r="AN8564"/>
    </row>
    <row r="8565" spans="1:40" s="47" customFormat="1">
      <c r="A8565" s="121"/>
      <c r="B8565" s="121"/>
      <c r="C8565" s="121"/>
      <c r="D8565" s="121"/>
      <c r="E8565" s="121"/>
      <c r="F8565" s="121"/>
      <c r="G8565" s="121"/>
      <c r="H8565" s="121"/>
      <c r="I8565" s="121"/>
      <c r="J8565" s="121"/>
      <c r="K8565" s="121"/>
      <c r="L8565" s="121"/>
      <c r="M8565" s="121"/>
      <c r="N8565" s="504" t="s">
        <v>889</v>
      </c>
      <c r="O8565" s="528" t="s">
        <v>2824</v>
      </c>
      <c r="P8565" s="257"/>
      <c r="Q8565" s="321"/>
      <c r="R8565" s="260"/>
      <c r="S8565" s="260"/>
      <c r="T8565" s="260"/>
      <c r="U8565" s="260"/>
      <c r="V8565" s="260"/>
      <c r="W8565" s="261"/>
      <c r="X8565" s="260"/>
      <c r="Y8565" s="260"/>
      <c r="Z8565" s="261"/>
      <c r="AA8565"/>
      <c r="AB8565"/>
      <c r="AC8565"/>
      <c r="AD8565"/>
      <c r="AE8565"/>
      <c r="AF8565"/>
      <c r="AG8565"/>
      <c r="AH8565"/>
      <c r="AI8565"/>
      <c r="AJ8565"/>
      <c r="AK8565"/>
      <c r="AL8565"/>
      <c r="AM8565"/>
      <c r="AN8565"/>
    </row>
    <row r="8566" spans="1:40" s="47" customFormat="1">
      <c r="A8566" s="121"/>
      <c r="B8566" s="121"/>
      <c r="C8566" s="121"/>
      <c r="D8566" s="121"/>
      <c r="E8566" s="121"/>
      <c r="F8566" s="121"/>
      <c r="G8566" s="121"/>
      <c r="H8566" s="121"/>
      <c r="I8566" s="121"/>
      <c r="J8566" s="121"/>
      <c r="K8566" s="121"/>
      <c r="L8566" s="121"/>
      <c r="M8566" s="121"/>
      <c r="N8566" s="504" t="s">
        <v>890</v>
      </c>
      <c r="O8566" s="528" t="s">
        <v>2825</v>
      </c>
      <c r="P8566" s="257"/>
      <c r="Q8566" s="321"/>
      <c r="R8566" s="260"/>
      <c r="S8566" s="260"/>
      <c r="T8566" s="260"/>
      <c r="U8566" s="260"/>
      <c r="V8566" s="260"/>
      <c r="W8566" s="261"/>
      <c r="X8566" s="260"/>
      <c r="Y8566" s="260"/>
      <c r="Z8566" s="261"/>
      <c r="AA8566"/>
      <c r="AB8566"/>
      <c r="AC8566"/>
      <c r="AD8566"/>
      <c r="AE8566"/>
      <c r="AF8566"/>
      <c r="AG8566"/>
      <c r="AH8566"/>
      <c r="AI8566"/>
      <c r="AJ8566"/>
      <c r="AK8566"/>
      <c r="AL8566"/>
      <c r="AM8566"/>
      <c r="AN8566"/>
    </row>
    <row r="8567" spans="1:40" s="47" customFormat="1">
      <c r="A8567" s="121"/>
      <c r="B8567" s="121"/>
      <c r="C8567" s="121"/>
      <c r="D8567" s="121"/>
      <c r="E8567" s="121"/>
      <c r="F8567" s="121"/>
      <c r="G8567" s="121"/>
      <c r="H8567" s="121"/>
      <c r="I8567" s="121"/>
      <c r="J8567" s="121"/>
      <c r="K8567" s="121"/>
      <c r="L8567" s="121"/>
      <c r="M8567" s="121"/>
      <c r="N8567" s="504" t="s">
        <v>2826</v>
      </c>
      <c r="O8567" s="527" t="s">
        <v>2827</v>
      </c>
      <c r="P8567" s="257"/>
      <c r="Q8567" s="321"/>
      <c r="R8567" s="260"/>
      <c r="S8567" s="260"/>
      <c r="T8567" s="260"/>
      <c r="U8567" s="260"/>
      <c r="V8567" s="260"/>
      <c r="W8567" s="261"/>
      <c r="X8567" s="260"/>
      <c r="Y8567" s="260"/>
      <c r="Z8567" s="261"/>
      <c r="AA8567"/>
      <c r="AB8567"/>
      <c r="AC8567"/>
      <c r="AD8567"/>
      <c r="AE8567"/>
      <c r="AF8567"/>
      <c r="AG8567"/>
      <c r="AH8567"/>
      <c r="AI8567"/>
      <c r="AJ8567"/>
      <c r="AK8567"/>
      <c r="AL8567"/>
      <c r="AM8567"/>
      <c r="AN8567"/>
    </row>
    <row r="8568" spans="1:40" s="47" customFormat="1">
      <c r="A8568" s="121"/>
      <c r="B8568" s="121"/>
      <c r="C8568" s="121"/>
      <c r="D8568" s="121"/>
      <c r="E8568" s="121"/>
      <c r="F8568" s="121"/>
      <c r="G8568" s="121"/>
      <c r="H8568" s="121"/>
      <c r="I8568" s="121"/>
      <c r="J8568" s="121"/>
      <c r="K8568" s="121"/>
      <c r="L8568" s="121"/>
      <c r="M8568" s="121"/>
      <c r="N8568" s="504" t="s">
        <v>2828</v>
      </c>
      <c r="O8568" s="527" t="s">
        <v>2829</v>
      </c>
      <c r="P8568" s="257"/>
      <c r="Q8568" s="321"/>
      <c r="R8568" s="260"/>
      <c r="S8568" s="260"/>
      <c r="T8568" s="260"/>
      <c r="U8568" s="260"/>
      <c r="V8568" s="260"/>
      <c r="W8568" s="261"/>
      <c r="X8568" s="260"/>
      <c r="Y8568" s="260"/>
      <c r="Z8568" s="261"/>
      <c r="AA8568"/>
      <c r="AB8568"/>
      <c r="AC8568"/>
      <c r="AD8568"/>
      <c r="AE8568"/>
      <c r="AF8568"/>
      <c r="AG8568"/>
      <c r="AH8568"/>
      <c r="AI8568"/>
      <c r="AJ8568"/>
      <c r="AK8568"/>
      <c r="AL8568"/>
      <c r="AM8568"/>
      <c r="AN8568"/>
    </row>
    <row r="8569" spans="1:40" s="47" customFormat="1">
      <c r="A8569" s="121"/>
      <c r="B8569" s="121"/>
      <c r="C8569" s="121"/>
      <c r="D8569" s="121"/>
      <c r="E8569" s="121"/>
      <c r="F8569" s="121"/>
      <c r="G8569" s="121"/>
      <c r="H8569" s="121"/>
      <c r="I8569" s="121"/>
      <c r="J8569" s="121"/>
      <c r="K8569" s="121"/>
      <c r="L8569" s="121"/>
      <c r="M8569" s="121"/>
      <c r="N8569" s="504" t="s">
        <v>2830</v>
      </c>
      <c r="O8569" s="527" t="s">
        <v>2831</v>
      </c>
      <c r="P8569" s="257"/>
      <c r="Q8569" s="321"/>
      <c r="R8569" s="260"/>
      <c r="S8569" s="260"/>
      <c r="T8569" s="260"/>
      <c r="U8569" s="260"/>
      <c r="V8569" s="260"/>
      <c r="W8569" s="257">
        <f>SUM(W8573,W8579,W8585,W8588,W8591)</f>
        <v>0</v>
      </c>
      <c r="X8569" s="260"/>
      <c r="Y8569" s="260"/>
      <c r="Z8569" s="257">
        <f>SUM(Z8573,Z8579,Z8585,Z8588,Z8591)</f>
        <v>0</v>
      </c>
      <c r="AA8569"/>
      <c r="AB8569"/>
      <c r="AC8569"/>
      <c r="AD8569"/>
      <c r="AE8569"/>
      <c r="AF8569"/>
      <c r="AG8569"/>
      <c r="AH8569"/>
      <c r="AI8569"/>
      <c r="AJ8569"/>
      <c r="AK8569"/>
      <c r="AL8569"/>
      <c r="AM8569"/>
      <c r="AN8569"/>
    </row>
    <row r="8570" spans="1:40" s="47" customFormat="1">
      <c r="A8570" s="121"/>
      <c r="B8570" s="121"/>
      <c r="C8570" s="121"/>
      <c r="D8570" s="121"/>
      <c r="E8570" s="121"/>
      <c r="F8570" s="121"/>
      <c r="G8570" s="121"/>
      <c r="H8570" s="121"/>
      <c r="I8570" s="121"/>
      <c r="J8570" s="121"/>
      <c r="K8570" s="121"/>
      <c r="L8570" s="121"/>
      <c r="M8570" s="121"/>
      <c r="N8570" s="222"/>
      <c r="O8570" s="529"/>
      <c r="P8570" s="255"/>
      <c r="Q8570" s="321"/>
      <c r="R8570" s="260"/>
      <c r="S8570" s="260"/>
      <c r="T8570" s="260"/>
      <c r="U8570" s="260"/>
      <c r="V8570" s="260"/>
      <c r="W8570" s="260"/>
      <c r="X8570" s="260"/>
      <c r="Y8570" s="260"/>
      <c r="Z8570" s="260"/>
      <c r="AA8570"/>
      <c r="AB8570"/>
      <c r="AC8570"/>
      <c r="AD8570"/>
      <c r="AE8570"/>
      <c r="AF8570"/>
      <c r="AG8570"/>
      <c r="AH8570"/>
      <c r="AI8570"/>
      <c r="AJ8570"/>
      <c r="AK8570"/>
      <c r="AL8570"/>
      <c r="AM8570"/>
      <c r="AN8570"/>
    </row>
    <row r="8571" spans="1:40" s="47" customFormat="1">
      <c r="A8571" s="121"/>
      <c r="B8571" s="121"/>
      <c r="C8571" s="121"/>
      <c r="D8571" s="121"/>
      <c r="E8571" s="121"/>
      <c r="F8571" s="121"/>
      <c r="G8571" s="121"/>
      <c r="H8571" s="121"/>
      <c r="I8571" s="121"/>
      <c r="J8571" s="121"/>
      <c r="K8571" s="121"/>
      <c r="L8571" s="121"/>
      <c r="M8571" s="121"/>
      <c r="N8571" s="222"/>
      <c r="O8571" s="529"/>
      <c r="P8571" s="255"/>
      <c r="Q8571" s="321"/>
      <c r="R8571" s="260"/>
      <c r="S8571" s="260"/>
      <c r="T8571" s="260"/>
      <c r="U8571" s="260"/>
      <c r="V8571" s="260"/>
      <c r="W8571" s="260"/>
      <c r="X8571" s="260"/>
      <c r="Y8571" s="260"/>
      <c r="Z8571" s="260"/>
      <c r="AA8571"/>
      <c r="AB8571"/>
      <c r="AC8571"/>
      <c r="AD8571"/>
      <c r="AE8571"/>
      <c r="AF8571"/>
      <c r="AG8571"/>
      <c r="AH8571"/>
      <c r="AI8571"/>
      <c r="AJ8571"/>
      <c r="AK8571"/>
      <c r="AL8571"/>
      <c r="AM8571"/>
      <c r="AN8571"/>
    </row>
    <row r="8572" spans="1:40" s="47" customFormat="1">
      <c r="A8572" s="121"/>
      <c r="B8572" s="121"/>
      <c r="C8572" s="121"/>
      <c r="D8572" s="121"/>
      <c r="E8572" s="121"/>
      <c r="F8572" s="121"/>
      <c r="G8572" s="121"/>
      <c r="H8572" s="121"/>
      <c r="I8572" s="121"/>
      <c r="J8572" s="121"/>
      <c r="K8572" s="121"/>
      <c r="L8572" s="121"/>
      <c r="M8572" s="121"/>
      <c r="N8572" s="222"/>
      <c r="O8572" s="529"/>
      <c r="P8572" s="255"/>
      <c r="Q8572" s="321"/>
      <c r="R8572" s="260"/>
      <c r="S8572" s="260"/>
      <c r="T8572" s="260"/>
      <c r="U8572" s="260"/>
      <c r="V8572" s="260"/>
      <c r="W8572" s="260"/>
      <c r="X8572" s="260"/>
      <c r="Y8572" s="260"/>
      <c r="Z8572" s="260"/>
      <c r="AA8572"/>
      <c r="AB8572"/>
      <c r="AC8572"/>
      <c r="AD8572"/>
      <c r="AE8572"/>
      <c r="AF8572"/>
      <c r="AG8572"/>
      <c r="AH8572"/>
      <c r="AI8572"/>
      <c r="AJ8572"/>
      <c r="AK8572"/>
      <c r="AL8572"/>
      <c r="AM8572"/>
      <c r="AN8572"/>
    </row>
    <row r="8573" spans="1:40" s="47" customFormat="1">
      <c r="A8573" s="121"/>
      <c r="B8573" s="121"/>
      <c r="C8573" s="121"/>
      <c r="D8573" s="121"/>
      <c r="E8573" s="121"/>
      <c r="F8573" s="121"/>
      <c r="G8573" s="121"/>
      <c r="H8573" s="121"/>
      <c r="I8573" s="121"/>
      <c r="J8573" s="121"/>
      <c r="K8573" s="121"/>
      <c r="L8573" s="121"/>
      <c r="M8573" s="121"/>
      <c r="N8573" s="222" t="s">
        <v>2832</v>
      </c>
      <c r="O8573" s="533" t="s">
        <v>1832</v>
      </c>
      <c r="P8573" s="257"/>
      <c r="Q8573" s="321"/>
      <c r="R8573" s="260"/>
      <c r="S8573" s="260"/>
      <c r="T8573" s="260"/>
      <c r="U8573" s="260"/>
      <c r="V8573" s="260"/>
      <c r="W8573" s="261"/>
      <c r="X8573" s="260"/>
      <c r="Y8573" s="260"/>
      <c r="Z8573" s="261"/>
      <c r="AA8573"/>
      <c r="AB8573"/>
      <c r="AC8573"/>
      <c r="AD8573"/>
      <c r="AE8573"/>
      <c r="AF8573"/>
      <c r="AG8573"/>
      <c r="AH8573"/>
      <c r="AI8573"/>
      <c r="AJ8573"/>
      <c r="AK8573"/>
      <c r="AL8573"/>
      <c r="AM8573"/>
      <c r="AN8573"/>
    </row>
    <row r="8574" spans="1:40" s="47" customFormat="1">
      <c r="A8574" s="121"/>
      <c r="B8574" s="121"/>
      <c r="C8574" s="121"/>
      <c r="D8574" s="121"/>
      <c r="E8574" s="121"/>
      <c r="F8574" s="121"/>
      <c r="G8574" s="121"/>
      <c r="H8574" s="121"/>
      <c r="I8574" s="121"/>
      <c r="J8574" s="121"/>
      <c r="K8574" s="121"/>
      <c r="L8574" s="121"/>
      <c r="M8574" s="121"/>
      <c r="N8574" s="222"/>
      <c r="O8574" s="529"/>
      <c r="P8574" s="255"/>
      <c r="Q8574" s="321"/>
      <c r="R8574" s="260"/>
      <c r="S8574" s="260"/>
      <c r="T8574" s="260"/>
      <c r="U8574" s="260"/>
      <c r="V8574" s="260"/>
      <c r="W8574" s="260"/>
      <c r="X8574" s="260"/>
      <c r="Y8574" s="260"/>
      <c r="Z8574" s="260"/>
      <c r="AA8574"/>
      <c r="AB8574"/>
      <c r="AC8574"/>
      <c r="AD8574"/>
      <c r="AE8574"/>
      <c r="AF8574"/>
      <c r="AG8574"/>
      <c r="AH8574"/>
      <c r="AI8574"/>
      <c r="AJ8574"/>
      <c r="AK8574"/>
      <c r="AL8574"/>
      <c r="AM8574"/>
      <c r="AN8574"/>
    </row>
    <row r="8575" spans="1:40" s="47" customFormat="1">
      <c r="A8575" s="121"/>
      <c r="B8575" s="121"/>
      <c r="C8575" s="121"/>
      <c r="D8575" s="121"/>
      <c r="E8575" s="121"/>
      <c r="F8575" s="121"/>
      <c r="G8575" s="121"/>
      <c r="H8575" s="121"/>
      <c r="I8575" s="121"/>
      <c r="J8575" s="121"/>
      <c r="K8575" s="121"/>
      <c r="L8575" s="121"/>
      <c r="M8575" s="121"/>
      <c r="N8575" s="222"/>
      <c r="O8575" s="529"/>
      <c r="P8575" s="260"/>
      <c r="Q8575" s="321"/>
      <c r="R8575" s="260"/>
      <c r="S8575" s="260"/>
      <c r="T8575" s="260"/>
      <c r="U8575" s="260"/>
      <c r="V8575" s="260"/>
      <c r="W8575" s="260"/>
      <c r="X8575" s="260"/>
      <c r="Y8575" s="260"/>
      <c r="Z8575" s="260"/>
      <c r="AA8575"/>
      <c r="AB8575"/>
      <c r="AC8575"/>
      <c r="AD8575"/>
      <c r="AE8575"/>
      <c r="AF8575"/>
      <c r="AG8575"/>
      <c r="AH8575"/>
      <c r="AI8575"/>
      <c r="AJ8575"/>
      <c r="AK8575"/>
      <c r="AL8575"/>
      <c r="AM8575"/>
      <c r="AN8575"/>
    </row>
    <row r="8576" spans="1:40" s="47" customFormat="1">
      <c r="A8576" s="121"/>
      <c r="B8576" s="121"/>
      <c r="C8576" s="121"/>
      <c r="D8576" s="121"/>
      <c r="E8576" s="121"/>
      <c r="F8576" s="121"/>
      <c r="G8576" s="121"/>
      <c r="H8576" s="121"/>
      <c r="I8576" s="121"/>
      <c r="J8576" s="121"/>
      <c r="K8576" s="121"/>
      <c r="L8576" s="121"/>
      <c r="M8576" s="121"/>
      <c r="N8576" s="222"/>
      <c r="O8576" s="563"/>
      <c r="P8576" s="260"/>
      <c r="Q8576" s="321"/>
      <c r="R8576" s="260"/>
      <c r="S8576" s="260"/>
      <c r="T8576" s="260"/>
      <c r="U8576" s="260"/>
      <c r="V8576" s="260"/>
      <c r="W8576" s="260"/>
      <c r="X8576" s="260"/>
      <c r="Y8576" s="260"/>
      <c r="Z8576" s="260"/>
      <c r="AA8576"/>
      <c r="AB8576"/>
      <c r="AC8576"/>
      <c r="AD8576"/>
      <c r="AE8576"/>
      <c r="AF8576"/>
      <c r="AG8576"/>
      <c r="AH8576"/>
      <c r="AI8576"/>
      <c r="AJ8576"/>
      <c r="AK8576"/>
      <c r="AL8576"/>
      <c r="AM8576"/>
      <c r="AN8576"/>
    </row>
    <row r="8577" spans="1:40" s="47" customFormat="1">
      <c r="A8577" s="121"/>
      <c r="B8577" s="121"/>
      <c r="C8577" s="121"/>
      <c r="D8577" s="121"/>
      <c r="E8577" s="121"/>
      <c r="F8577" s="121"/>
      <c r="G8577" s="121"/>
      <c r="H8577" s="121"/>
      <c r="I8577" s="121"/>
      <c r="J8577" s="121"/>
      <c r="K8577" s="121"/>
      <c r="L8577" s="121"/>
      <c r="M8577" s="121"/>
      <c r="N8577" s="222"/>
      <c r="O8577" s="563"/>
      <c r="P8577" s="260"/>
      <c r="Q8577" s="321"/>
      <c r="R8577" s="260"/>
      <c r="S8577" s="260"/>
      <c r="T8577" s="260"/>
      <c r="U8577" s="260"/>
      <c r="V8577" s="260"/>
      <c r="W8577" s="260"/>
      <c r="X8577" s="260"/>
      <c r="Y8577" s="260"/>
      <c r="Z8577" s="260"/>
      <c r="AA8577"/>
      <c r="AB8577"/>
      <c r="AC8577"/>
      <c r="AD8577"/>
      <c r="AE8577"/>
      <c r="AF8577"/>
      <c r="AG8577"/>
      <c r="AH8577"/>
      <c r="AI8577"/>
      <c r="AJ8577"/>
      <c r="AK8577"/>
      <c r="AL8577"/>
      <c r="AM8577"/>
      <c r="AN8577"/>
    </row>
    <row r="8578" spans="1:40" s="47" customFormat="1">
      <c r="A8578" s="121"/>
      <c r="B8578" s="121"/>
      <c r="C8578" s="121"/>
      <c r="D8578" s="121"/>
      <c r="E8578" s="121"/>
      <c r="F8578" s="121"/>
      <c r="G8578" s="121"/>
      <c r="H8578" s="121"/>
      <c r="I8578" s="121"/>
      <c r="J8578" s="121"/>
      <c r="K8578" s="121"/>
      <c r="L8578" s="121"/>
      <c r="M8578" s="121"/>
      <c r="N8578" s="222"/>
      <c r="O8578" s="563"/>
      <c r="P8578" s="260"/>
      <c r="Q8578" s="321"/>
      <c r="R8578" s="260"/>
      <c r="S8578" s="260"/>
      <c r="T8578" s="260"/>
      <c r="U8578" s="260"/>
      <c r="V8578" s="260"/>
      <c r="W8578" s="260"/>
      <c r="X8578" s="260"/>
      <c r="Y8578" s="260"/>
      <c r="Z8578" s="260"/>
      <c r="AA8578"/>
      <c r="AB8578"/>
      <c r="AC8578"/>
      <c r="AD8578"/>
      <c r="AE8578"/>
      <c r="AF8578"/>
      <c r="AG8578"/>
      <c r="AH8578"/>
      <c r="AI8578"/>
      <c r="AJ8578"/>
      <c r="AK8578"/>
      <c r="AL8578"/>
      <c r="AM8578"/>
      <c r="AN8578"/>
    </row>
    <row r="8579" spans="1:40" s="47" customFormat="1">
      <c r="A8579" s="121"/>
      <c r="B8579" s="121"/>
      <c r="C8579" s="121"/>
      <c r="D8579" s="121"/>
      <c r="E8579" s="121"/>
      <c r="F8579" s="121"/>
      <c r="G8579" s="121"/>
      <c r="H8579" s="121"/>
      <c r="I8579" s="121"/>
      <c r="J8579" s="121"/>
      <c r="K8579" s="121"/>
      <c r="L8579" s="121"/>
      <c r="M8579" s="121"/>
      <c r="N8579" s="222" t="s">
        <v>2835</v>
      </c>
      <c r="O8579" s="533" t="s">
        <v>1838</v>
      </c>
      <c r="P8579" s="257"/>
      <c r="Q8579" s="321"/>
      <c r="R8579" s="260"/>
      <c r="S8579" s="260"/>
      <c r="T8579" s="260"/>
      <c r="U8579" s="260"/>
      <c r="V8579" s="260"/>
      <c r="W8579" s="261"/>
      <c r="X8579" s="260"/>
      <c r="Y8579" s="260"/>
      <c r="Z8579" s="261"/>
      <c r="AA8579"/>
      <c r="AB8579"/>
      <c r="AC8579"/>
      <c r="AD8579"/>
      <c r="AE8579"/>
      <c r="AF8579"/>
      <c r="AG8579"/>
      <c r="AH8579"/>
      <c r="AI8579"/>
      <c r="AJ8579"/>
      <c r="AK8579"/>
      <c r="AL8579"/>
      <c r="AM8579"/>
      <c r="AN8579"/>
    </row>
    <row r="8580" spans="1:40" s="47" customFormat="1">
      <c r="A8580" s="121"/>
      <c r="B8580" s="121"/>
      <c r="C8580" s="121"/>
      <c r="D8580" s="121"/>
      <c r="E8580" s="121"/>
      <c r="F8580" s="121"/>
      <c r="G8580" s="121"/>
      <c r="H8580" s="121"/>
      <c r="I8580" s="121"/>
      <c r="J8580" s="121"/>
      <c r="K8580" s="121"/>
      <c r="L8580" s="121"/>
      <c r="M8580" s="121"/>
      <c r="N8580" s="222"/>
      <c r="O8580" s="529"/>
      <c r="P8580" s="255"/>
      <c r="Q8580" s="321"/>
      <c r="R8580" s="260"/>
      <c r="S8580" s="260"/>
      <c r="T8580" s="260"/>
      <c r="U8580" s="260"/>
      <c r="V8580" s="260"/>
      <c r="W8580" s="260"/>
      <c r="X8580" s="260"/>
      <c r="Y8580" s="260"/>
      <c r="Z8580" s="260"/>
      <c r="AA8580"/>
      <c r="AB8580"/>
      <c r="AC8580"/>
      <c r="AD8580"/>
      <c r="AE8580"/>
      <c r="AF8580"/>
      <c r="AG8580"/>
      <c r="AH8580"/>
      <c r="AI8580"/>
      <c r="AJ8580"/>
      <c r="AK8580"/>
      <c r="AL8580"/>
      <c r="AM8580"/>
      <c r="AN8580"/>
    </row>
    <row r="8581" spans="1:40" s="47" customFormat="1">
      <c r="A8581" s="121"/>
      <c r="B8581" s="121"/>
      <c r="C8581" s="121"/>
      <c r="D8581" s="121"/>
      <c r="E8581" s="121"/>
      <c r="F8581" s="121"/>
      <c r="G8581" s="121"/>
      <c r="H8581" s="121"/>
      <c r="I8581" s="121"/>
      <c r="J8581" s="121"/>
      <c r="K8581" s="121"/>
      <c r="L8581" s="121"/>
      <c r="M8581" s="121"/>
      <c r="N8581" s="222"/>
      <c r="O8581" s="529"/>
      <c r="P8581" s="255"/>
      <c r="Q8581" s="321"/>
      <c r="R8581" s="260"/>
      <c r="S8581" s="260"/>
      <c r="T8581" s="260"/>
      <c r="U8581" s="260"/>
      <c r="V8581" s="260"/>
      <c r="W8581" s="260"/>
      <c r="X8581" s="260"/>
      <c r="Y8581" s="260"/>
      <c r="Z8581" s="260"/>
      <c r="AA8581"/>
      <c r="AB8581"/>
      <c r="AC8581"/>
      <c r="AD8581"/>
      <c r="AE8581"/>
      <c r="AF8581"/>
      <c r="AG8581"/>
      <c r="AH8581"/>
      <c r="AI8581"/>
      <c r="AJ8581"/>
      <c r="AK8581"/>
      <c r="AL8581"/>
      <c r="AM8581"/>
      <c r="AN8581"/>
    </row>
    <row r="8582" spans="1:40" s="47" customFormat="1">
      <c r="A8582" s="121"/>
      <c r="B8582" s="121"/>
      <c r="C8582" s="121"/>
      <c r="D8582" s="121"/>
      <c r="E8582" s="121"/>
      <c r="F8582" s="121"/>
      <c r="G8582" s="121"/>
      <c r="H8582" s="121"/>
      <c r="I8582" s="121"/>
      <c r="J8582" s="121"/>
      <c r="K8582" s="121"/>
      <c r="L8582" s="121"/>
      <c r="M8582" s="121"/>
      <c r="N8582" s="222"/>
      <c r="O8582" s="529"/>
      <c r="P8582" s="255"/>
      <c r="Q8582" s="321"/>
      <c r="R8582" s="260"/>
      <c r="S8582" s="260"/>
      <c r="T8582" s="260"/>
      <c r="U8582" s="260"/>
      <c r="V8582" s="260"/>
      <c r="W8582" s="260"/>
      <c r="X8582" s="260"/>
      <c r="Y8582" s="260"/>
      <c r="Z8582" s="260"/>
      <c r="AA8582"/>
      <c r="AB8582"/>
      <c r="AC8582"/>
      <c r="AD8582"/>
      <c r="AE8582"/>
      <c r="AF8582"/>
      <c r="AG8582"/>
      <c r="AH8582"/>
      <c r="AI8582"/>
      <c r="AJ8582"/>
      <c r="AK8582"/>
      <c r="AL8582"/>
      <c r="AM8582"/>
      <c r="AN8582"/>
    </row>
    <row r="8583" spans="1:40" s="47" customFormat="1">
      <c r="A8583" s="121"/>
      <c r="B8583" s="121"/>
      <c r="C8583" s="121"/>
      <c r="D8583" s="121"/>
      <c r="E8583" s="121"/>
      <c r="F8583" s="121"/>
      <c r="G8583" s="121"/>
      <c r="H8583" s="121"/>
      <c r="I8583" s="121"/>
      <c r="J8583" s="121"/>
      <c r="K8583" s="121"/>
      <c r="L8583" s="121"/>
      <c r="M8583" s="121"/>
      <c r="N8583" s="222"/>
      <c r="O8583" s="529"/>
      <c r="P8583" s="255"/>
      <c r="Q8583" s="321"/>
      <c r="R8583" s="260"/>
      <c r="S8583" s="260"/>
      <c r="T8583" s="260"/>
      <c r="U8583" s="260"/>
      <c r="V8583" s="260"/>
      <c r="W8583" s="260"/>
      <c r="X8583" s="260"/>
      <c r="Y8583" s="260"/>
      <c r="Z8583" s="260"/>
      <c r="AA8583"/>
      <c r="AB8583"/>
      <c r="AC8583"/>
      <c r="AD8583"/>
      <c r="AE8583"/>
      <c r="AF8583"/>
      <c r="AG8583"/>
      <c r="AH8583"/>
      <c r="AI8583"/>
      <c r="AJ8583"/>
      <c r="AK8583"/>
      <c r="AL8583"/>
      <c r="AM8583"/>
      <c r="AN8583"/>
    </row>
    <row r="8584" spans="1:40" s="47" customFormat="1">
      <c r="A8584" s="121"/>
      <c r="B8584" s="121"/>
      <c r="C8584" s="121"/>
      <c r="D8584" s="121"/>
      <c r="E8584" s="121"/>
      <c r="F8584" s="121"/>
      <c r="G8584" s="121"/>
      <c r="H8584" s="121"/>
      <c r="I8584" s="121"/>
      <c r="J8584" s="121"/>
      <c r="K8584" s="121"/>
      <c r="L8584" s="121"/>
      <c r="M8584" s="121"/>
      <c r="N8584" s="222"/>
      <c r="O8584" s="529"/>
      <c r="P8584" s="255"/>
      <c r="Q8584" s="321"/>
      <c r="R8584" s="260"/>
      <c r="S8584" s="260"/>
      <c r="T8584" s="260"/>
      <c r="U8584" s="260"/>
      <c r="V8584" s="260"/>
      <c r="W8584" s="260"/>
      <c r="X8584" s="260"/>
      <c r="Y8584" s="260"/>
      <c r="Z8584" s="260"/>
      <c r="AA8584"/>
      <c r="AB8584"/>
      <c r="AC8584"/>
      <c r="AD8584"/>
      <c r="AE8584"/>
      <c r="AF8584"/>
      <c r="AG8584"/>
      <c r="AH8584"/>
      <c r="AI8584"/>
      <c r="AJ8584"/>
      <c r="AK8584"/>
      <c r="AL8584"/>
      <c r="AM8584"/>
      <c r="AN8584"/>
    </row>
    <row r="8585" spans="1:40" s="47" customFormat="1">
      <c r="A8585" s="121"/>
      <c r="B8585" s="121"/>
      <c r="C8585" s="121"/>
      <c r="D8585" s="121"/>
      <c r="E8585" s="121"/>
      <c r="F8585" s="121"/>
      <c r="G8585" s="121"/>
      <c r="H8585" s="121"/>
      <c r="I8585" s="121"/>
      <c r="J8585" s="121"/>
      <c r="K8585" s="121"/>
      <c r="L8585" s="121"/>
      <c r="M8585" s="121"/>
      <c r="N8585" s="222" t="s">
        <v>2838</v>
      </c>
      <c r="O8585" s="533" t="s">
        <v>1843</v>
      </c>
      <c r="P8585" s="257"/>
      <c r="Q8585" s="321"/>
      <c r="R8585" s="260"/>
      <c r="S8585" s="260"/>
      <c r="T8585" s="260"/>
      <c r="U8585" s="260"/>
      <c r="V8585" s="260"/>
      <c r="W8585" s="261"/>
      <c r="X8585" s="260"/>
      <c r="Y8585" s="260"/>
      <c r="Z8585" s="261"/>
      <c r="AA8585"/>
      <c r="AB8585"/>
      <c r="AC8585"/>
      <c r="AD8585"/>
      <c r="AE8585"/>
      <c r="AF8585"/>
      <c r="AG8585"/>
      <c r="AH8585"/>
      <c r="AI8585"/>
      <c r="AJ8585"/>
      <c r="AK8585"/>
      <c r="AL8585"/>
      <c r="AM8585"/>
      <c r="AN8585"/>
    </row>
    <row r="8586" spans="1:40" s="47" customFormat="1">
      <c r="A8586" s="121"/>
      <c r="B8586" s="121"/>
      <c r="C8586" s="121"/>
      <c r="D8586" s="121"/>
      <c r="E8586" s="121"/>
      <c r="F8586" s="121"/>
      <c r="G8586" s="121"/>
      <c r="H8586" s="121"/>
      <c r="I8586" s="121"/>
      <c r="J8586" s="121"/>
      <c r="K8586" s="121"/>
      <c r="L8586" s="121"/>
      <c r="M8586" s="121"/>
      <c r="N8586" s="222"/>
      <c r="O8586" s="529"/>
      <c r="P8586" s="255"/>
      <c r="Q8586" s="321"/>
      <c r="R8586" s="260"/>
      <c r="S8586" s="260"/>
      <c r="T8586" s="260"/>
      <c r="U8586" s="260"/>
      <c r="V8586" s="260"/>
      <c r="W8586" s="260"/>
      <c r="X8586" s="260"/>
      <c r="Y8586" s="260"/>
      <c r="Z8586" s="260"/>
      <c r="AA8586"/>
      <c r="AB8586"/>
      <c r="AC8586"/>
      <c r="AD8586"/>
      <c r="AE8586"/>
      <c r="AF8586"/>
      <c r="AG8586"/>
      <c r="AH8586"/>
      <c r="AI8586"/>
      <c r="AJ8586"/>
      <c r="AK8586"/>
      <c r="AL8586"/>
      <c r="AM8586"/>
      <c r="AN8586"/>
    </row>
    <row r="8587" spans="1:40" s="47" customFormat="1">
      <c r="A8587" s="121"/>
      <c r="B8587" s="121"/>
      <c r="C8587" s="121"/>
      <c r="D8587" s="121"/>
      <c r="E8587" s="121"/>
      <c r="F8587" s="121"/>
      <c r="G8587" s="121"/>
      <c r="H8587" s="121"/>
      <c r="I8587" s="121"/>
      <c r="J8587" s="121"/>
      <c r="K8587" s="121"/>
      <c r="L8587" s="121"/>
      <c r="M8587" s="121"/>
      <c r="N8587" s="222"/>
      <c r="O8587" s="529"/>
      <c r="P8587" s="255"/>
      <c r="Q8587" s="321"/>
      <c r="R8587" s="260"/>
      <c r="S8587" s="260"/>
      <c r="T8587" s="260"/>
      <c r="U8587" s="260"/>
      <c r="V8587" s="260"/>
      <c r="W8587" s="260"/>
      <c r="X8587" s="260"/>
      <c r="Y8587" s="260"/>
      <c r="Z8587" s="260"/>
      <c r="AA8587"/>
      <c r="AB8587"/>
      <c r="AC8587"/>
      <c r="AD8587"/>
      <c r="AE8587"/>
      <c r="AF8587"/>
      <c r="AG8587"/>
      <c r="AH8587"/>
      <c r="AI8587"/>
      <c r="AJ8587"/>
      <c r="AK8587"/>
      <c r="AL8587"/>
      <c r="AM8587"/>
      <c r="AN8587"/>
    </row>
    <row r="8588" spans="1:40" s="47" customFormat="1">
      <c r="A8588" s="121"/>
      <c r="B8588" s="121"/>
      <c r="C8588" s="121"/>
      <c r="D8588" s="121"/>
      <c r="E8588" s="121"/>
      <c r="F8588" s="121"/>
      <c r="G8588" s="121"/>
      <c r="H8588" s="121"/>
      <c r="I8588" s="121"/>
      <c r="J8588" s="121"/>
      <c r="K8588" s="121"/>
      <c r="L8588" s="121"/>
      <c r="M8588" s="121"/>
      <c r="N8588" s="222" t="s">
        <v>2841</v>
      </c>
      <c r="O8588" s="533" t="s">
        <v>1849</v>
      </c>
      <c r="P8588" s="257"/>
      <c r="Q8588" s="321"/>
      <c r="R8588" s="260"/>
      <c r="S8588" s="260"/>
      <c r="T8588" s="260"/>
      <c r="U8588" s="260"/>
      <c r="V8588" s="260"/>
      <c r="W8588" s="261"/>
      <c r="X8588" s="260"/>
      <c r="Y8588" s="260"/>
      <c r="Z8588" s="261"/>
      <c r="AA8588"/>
      <c r="AB8588"/>
      <c r="AC8588"/>
      <c r="AD8588"/>
      <c r="AE8588"/>
      <c r="AF8588"/>
      <c r="AG8588"/>
      <c r="AH8588"/>
      <c r="AI8588"/>
      <c r="AJ8588"/>
      <c r="AK8588"/>
      <c r="AL8588"/>
      <c r="AM8588"/>
      <c r="AN8588"/>
    </row>
    <row r="8589" spans="1:40" s="47" customFormat="1">
      <c r="A8589" s="121"/>
      <c r="B8589" s="121"/>
      <c r="C8589" s="121"/>
      <c r="D8589" s="121"/>
      <c r="E8589" s="121"/>
      <c r="F8589" s="121"/>
      <c r="G8589" s="121"/>
      <c r="H8589" s="121"/>
      <c r="I8589" s="121"/>
      <c r="J8589" s="121"/>
      <c r="K8589" s="121"/>
      <c r="L8589" s="121"/>
      <c r="M8589" s="121"/>
      <c r="N8589" s="222"/>
      <c r="O8589" s="529"/>
      <c r="P8589" s="255"/>
      <c r="Q8589" s="321"/>
      <c r="R8589" s="260"/>
      <c r="S8589" s="260"/>
      <c r="T8589" s="260"/>
      <c r="U8589" s="260"/>
      <c r="V8589" s="260"/>
      <c r="W8589" s="260"/>
      <c r="X8589" s="260"/>
      <c r="Y8589" s="260"/>
      <c r="Z8589" s="260"/>
      <c r="AA8589"/>
      <c r="AB8589"/>
      <c r="AC8589"/>
      <c r="AD8589"/>
      <c r="AE8589"/>
      <c r="AF8589"/>
      <c r="AG8589"/>
      <c r="AH8589"/>
      <c r="AI8589"/>
      <c r="AJ8589"/>
      <c r="AK8589"/>
      <c r="AL8589"/>
      <c r="AM8589"/>
      <c r="AN8589"/>
    </row>
    <row r="8590" spans="1:40" s="47" customFormat="1">
      <c r="A8590" s="121"/>
      <c r="B8590" s="121"/>
      <c r="C8590" s="121"/>
      <c r="D8590" s="121"/>
      <c r="E8590" s="121"/>
      <c r="F8590" s="121"/>
      <c r="G8590" s="121"/>
      <c r="H8590" s="121"/>
      <c r="I8590" s="121"/>
      <c r="J8590" s="121"/>
      <c r="K8590" s="121"/>
      <c r="L8590" s="121"/>
      <c r="M8590" s="121"/>
      <c r="N8590" s="222"/>
      <c r="O8590" s="529"/>
      <c r="P8590" s="255"/>
      <c r="Q8590" s="321"/>
      <c r="R8590" s="260"/>
      <c r="S8590" s="260"/>
      <c r="T8590" s="260"/>
      <c r="U8590" s="260"/>
      <c r="V8590" s="260"/>
      <c r="W8590" s="260"/>
      <c r="X8590" s="260"/>
      <c r="Y8590" s="260"/>
      <c r="Z8590" s="260"/>
      <c r="AA8590"/>
      <c r="AB8590"/>
      <c r="AC8590"/>
      <c r="AD8590"/>
      <c r="AE8590"/>
      <c r="AF8590"/>
      <c r="AG8590"/>
      <c r="AH8590"/>
      <c r="AI8590"/>
      <c r="AJ8590"/>
      <c r="AK8590"/>
      <c r="AL8590"/>
      <c r="AM8590"/>
      <c r="AN8590"/>
    </row>
    <row r="8591" spans="1:40" s="47" customFormat="1" ht="22.5">
      <c r="A8591" s="121"/>
      <c r="B8591" s="121"/>
      <c r="C8591" s="121"/>
      <c r="D8591" s="121"/>
      <c r="E8591" s="121"/>
      <c r="F8591" s="121"/>
      <c r="G8591" s="121"/>
      <c r="H8591" s="121"/>
      <c r="I8591" s="121"/>
      <c r="J8591" s="121"/>
      <c r="K8591" s="121"/>
      <c r="L8591" s="121"/>
      <c r="M8591" s="121"/>
      <c r="N8591" s="222" t="s">
        <v>2844</v>
      </c>
      <c r="O8591" s="533" t="s">
        <v>1856</v>
      </c>
      <c r="P8591" s="257"/>
      <c r="Q8591" s="321"/>
      <c r="R8591" s="260"/>
      <c r="S8591" s="260"/>
      <c r="T8591" s="260"/>
      <c r="U8591" s="260"/>
      <c r="V8591" s="260"/>
      <c r="W8591" s="261"/>
      <c r="X8591" s="260"/>
      <c r="Y8591" s="260"/>
      <c r="Z8591" s="261"/>
      <c r="AA8591"/>
      <c r="AB8591"/>
      <c r="AC8591"/>
      <c r="AD8591"/>
      <c r="AE8591"/>
      <c r="AF8591"/>
      <c r="AG8591"/>
      <c r="AH8591"/>
      <c r="AI8591"/>
      <c r="AJ8591"/>
      <c r="AK8591"/>
      <c r="AL8591"/>
      <c r="AM8591"/>
      <c r="AN8591"/>
    </row>
    <row r="8592" spans="1:40" s="47" customFormat="1">
      <c r="A8592" s="121"/>
      <c r="B8592" s="121"/>
      <c r="C8592" s="121"/>
      <c r="D8592" s="121"/>
      <c r="E8592" s="121"/>
      <c r="F8592" s="121"/>
      <c r="G8592" s="121"/>
      <c r="H8592" s="121"/>
      <c r="I8592" s="121"/>
      <c r="J8592" s="121"/>
      <c r="K8592" s="121"/>
      <c r="L8592" s="121"/>
      <c r="M8592" s="121"/>
      <c r="N8592" s="222"/>
      <c r="O8592" s="529"/>
      <c r="P8592" s="255"/>
      <c r="Q8592" s="321"/>
      <c r="R8592" s="260"/>
      <c r="S8592" s="260"/>
      <c r="T8592" s="260"/>
      <c r="U8592" s="260"/>
      <c r="V8592" s="260"/>
      <c r="W8592" s="260"/>
      <c r="X8592" s="260"/>
      <c r="Y8592" s="260"/>
      <c r="Z8592" s="260"/>
      <c r="AA8592"/>
      <c r="AB8592"/>
      <c r="AC8592"/>
      <c r="AD8592"/>
      <c r="AE8592"/>
      <c r="AF8592"/>
      <c r="AG8592"/>
      <c r="AH8592"/>
      <c r="AI8592"/>
      <c r="AJ8592"/>
      <c r="AK8592"/>
      <c r="AL8592"/>
      <c r="AM8592"/>
      <c r="AN8592"/>
    </row>
    <row r="8593" spans="1:40" s="47" customFormat="1">
      <c r="A8593" s="121"/>
      <c r="B8593" s="121"/>
      <c r="C8593" s="121"/>
      <c r="D8593" s="121"/>
      <c r="E8593" s="121"/>
      <c r="F8593" s="121"/>
      <c r="G8593" s="121"/>
      <c r="H8593" s="121"/>
      <c r="I8593" s="121"/>
      <c r="J8593" s="121"/>
      <c r="K8593" s="121"/>
      <c r="L8593" s="121"/>
      <c r="M8593" s="121"/>
      <c r="N8593" s="222"/>
      <c r="O8593" s="529"/>
      <c r="P8593" s="255"/>
      <c r="Q8593" s="321"/>
      <c r="R8593" s="260"/>
      <c r="S8593" s="260"/>
      <c r="T8593" s="260"/>
      <c r="U8593" s="260"/>
      <c r="V8593" s="260"/>
      <c r="W8593" s="260"/>
      <c r="X8593" s="260"/>
      <c r="Y8593" s="260"/>
      <c r="Z8593" s="260"/>
      <c r="AA8593"/>
      <c r="AB8593"/>
      <c r="AC8593"/>
      <c r="AD8593"/>
      <c r="AE8593"/>
      <c r="AF8593"/>
      <c r="AG8593"/>
      <c r="AH8593"/>
      <c r="AI8593"/>
      <c r="AJ8593"/>
      <c r="AK8593"/>
      <c r="AL8593"/>
      <c r="AM8593"/>
      <c r="AN8593"/>
    </row>
    <row r="8594" spans="1:40" s="47" customFormat="1">
      <c r="A8594" s="121"/>
      <c r="B8594" s="121"/>
      <c r="C8594" s="121"/>
      <c r="D8594" s="121"/>
      <c r="E8594" s="121"/>
      <c r="F8594" s="121"/>
      <c r="G8594" s="121"/>
      <c r="H8594" s="121"/>
      <c r="I8594" s="121"/>
      <c r="J8594" s="121"/>
      <c r="K8594" s="121"/>
      <c r="L8594" s="121"/>
      <c r="M8594" s="121"/>
      <c r="N8594" s="504" t="s">
        <v>2847</v>
      </c>
      <c r="O8594" s="535" t="s">
        <v>2848</v>
      </c>
      <c r="P8594" s="257"/>
      <c r="Q8594" s="321"/>
      <c r="R8594" s="260"/>
      <c r="S8594" s="260"/>
      <c r="T8594" s="260"/>
      <c r="U8594" s="260"/>
      <c r="V8594" s="260"/>
      <c r="W8594" s="257">
        <f>SUM(W8595:W8599)</f>
        <v>0</v>
      </c>
      <c r="X8594" s="260"/>
      <c r="Y8594" s="260"/>
      <c r="Z8594" s="257">
        <f>SUM(Z8595:Z8599)</f>
        <v>0</v>
      </c>
      <c r="AA8594"/>
      <c r="AB8594"/>
      <c r="AC8594"/>
      <c r="AD8594"/>
      <c r="AE8594"/>
      <c r="AF8594"/>
      <c r="AG8594"/>
      <c r="AH8594"/>
      <c r="AI8594"/>
      <c r="AJ8594"/>
      <c r="AK8594"/>
      <c r="AL8594"/>
      <c r="AM8594"/>
      <c r="AN8594"/>
    </row>
    <row r="8595" spans="1:40" s="47" customFormat="1" ht="22.5">
      <c r="A8595" s="121"/>
      <c r="B8595" s="121"/>
      <c r="C8595" s="121"/>
      <c r="D8595" s="121"/>
      <c r="E8595" s="121"/>
      <c r="F8595" s="121"/>
      <c r="G8595" s="121"/>
      <c r="H8595" s="121"/>
      <c r="I8595" s="121"/>
      <c r="J8595" s="121"/>
      <c r="K8595" s="121"/>
      <c r="L8595" s="121"/>
      <c r="M8595" s="121"/>
      <c r="N8595" s="504" t="s">
        <v>2849</v>
      </c>
      <c r="O8595" s="533" t="s">
        <v>2415</v>
      </c>
      <c r="P8595" s="257"/>
      <c r="Q8595" s="321"/>
      <c r="R8595" s="260"/>
      <c r="S8595" s="260"/>
      <c r="T8595" s="260"/>
      <c r="U8595" s="260"/>
      <c r="V8595" s="260"/>
      <c r="W8595" s="261"/>
      <c r="X8595" s="260"/>
      <c r="Y8595" s="260"/>
      <c r="Z8595" s="261"/>
      <c r="AA8595"/>
      <c r="AB8595"/>
      <c r="AC8595"/>
      <c r="AD8595"/>
      <c r="AE8595"/>
      <c r="AF8595"/>
      <c r="AG8595"/>
      <c r="AH8595"/>
      <c r="AI8595"/>
      <c r="AJ8595"/>
      <c r="AK8595"/>
      <c r="AL8595"/>
      <c r="AM8595"/>
      <c r="AN8595"/>
    </row>
    <row r="8596" spans="1:40" s="47" customFormat="1" ht="22.5">
      <c r="A8596" s="121"/>
      <c r="B8596" s="121"/>
      <c r="C8596" s="121"/>
      <c r="D8596" s="121"/>
      <c r="E8596" s="121"/>
      <c r="F8596" s="121"/>
      <c r="G8596" s="121"/>
      <c r="H8596" s="121"/>
      <c r="I8596" s="121"/>
      <c r="J8596" s="121"/>
      <c r="K8596" s="121"/>
      <c r="L8596" s="121"/>
      <c r="M8596" s="121"/>
      <c r="N8596" s="504" t="s">
        <v>2850</v>
      </c>
      <c r="O8596" s="533" t="s">
        <v>2417</v>
      </c>
      <c r="P8596" s="257"/>
      <c r="Q8596" s="321"/>
      <c r="R8596" s="260"/>
      <c r="S8596" s="260"/>
      <c r="T8596" s="260"/>
      <c r="U8596" s="260"/>
      <c r="V8596" s="260"/>
      <c r="W8596" s="261"/>
      <c r="X8596" s="260"/>
      <c r="Y8596" s="260"/>
      <c r="Z8596" s="261"/>
      <c r="AA8596"/>
      <c r="AB8596"/>
      <c r="AC8596"/>
      <c r="AD8596"/>
      <c r="AE8596"/>
      <c r="AF8596"/>
      <c r="AG8596"/>
      <c r="AH8596"/>
      <c r="AI8596"/>
      <c r="AJ8596"/>
      <c r="AK8596"/>
      <c r="AL8596"/>
      <c r="AM8596"/>
      <c r="AN8596"/>
    </row>
    <row r="8597" spans="1:40" s="47" customFormat="1">
      <c r="A8597" s="121"/>
      <c r="B8597" s="121"/>
      <c r="C8597" s="121"/>
      <c r="D8597" s="121"/>
      <c r="E8597" s="121"/>
      <c r="F8597" s="121"/>
      <c r="G8597" s="121"/>
      <c r="H8597" s="121"/>
      <c r="I8597" s="121"/>
      <c r="J8597" s="121"/>
      <c r="K8597" s="121"/>
      <c r="L8597" s="121"/>
      <c r="M8597" s="121"/>
      <c r="N8597" s="504" t="s">
        <v>2316</v>
      </c>
      <c r="O8597" s="533" t="s">
        <v>2420</v>
      </c>
      <c r="P8597" s="257"/>
      <c r="Q8597" s="321"/>
      <c r="R8597" s="260"/>
      <c r="S8597" s="260"/>
      <c r="T8597" s="260"/>
      <c r="U8597" s="260"/>
      <c r="V8597" s="260"/>
      <c r="W8597" s="261"/>
      <c r="X8597" s="260"/>
      <c r="Y8597" s="260"/>
      <c r="Z8597" s="261"/>
      <c r="AA8597"/>
      <c r="AB8597"/>
      <c r="AC8597"/>
      <c r="AD8597"/>
      <c r="AE8597"/>
      <c r="AF8597"/>
      <c r="AG8597"/>
      <c r="AH8597"/>
      <c r="AI8597"/>
      <c r="AJ8597"/>
      <c r="AK8597"/>
      <c r="AL8597"/>
      <c r="AM8597"/>
      <c r="AN8597"/>
    </row>
    <row r="8598" spans="1:40" s="47" customFormat="1">
      <c r="A8598" s="121"/>
      <c r="B8598" s="121"/>
      <c r="C8598" s="121"/>
      <c r="D8598" s="121"/>
      <c r="E8598" s="121"/>
      <c r="F8598" s="121"/>
      <c r="G8598" s="121"/>
      <c r="H8598" s="121"/>
      <c r="I8598" s="121"/>
      <c r="J8598" s="121"/>
      <c r="K8598" s="121"/>
      <c r="L8598" s="121"/>
      <c r="M8598" s="121"/>
      <c r="N8598" s="504" t="s">
        <v>2317</v>
      </c>
      <c r="O8598" s="533" t="s">
        <v>2423</v>
      </c>
      <c r="P8598" s="257"/>
      <c r="Q8598" s="321"/>
      <c r="R8598" s="260"/>
      <c r="S8598" s="260"/>
      <c r="T8598" s="260"/>
      <c r="U8598" s="260"/>
      <c r="V8598" s="260"/>
      <c r="W8598" s="261"/>
      <c r="X8598" s="260"/>
      <c r="Y8598" s="260"/>
      <c r="Z8598" s="261"/>
      <c r="AA8598"/>
      <c r="AB8598"/>
      <c r="AC8598"/>
      <c r="AD8598"/>
      <c r="AE8598"/>
      <c r="AF8598"/>
      <c r="AG8598"/>
      <c r="AH8598"/>
      <c r="AI8598"/>
      <c r="AJ8598"/>
      <c r="AK8598"/>
      <c r="AL8598"/>
      <c r="AM8598"/>
      <c r="AN8598"/>
    </row>
    <row r="8599" spans="1:40" s="47" customFormat="1">
      <c r="A8599" s="121"/>
      <c r="B8599" s="121"/>
      <c r="C8599" s="121"/>
      <c r="D8599" s="121"/>
      <c r="E8599" s="121"/>
      <c r="F8599" s="121"/>
      <c r="G8599" s="121"/>
      <c r="H8599" s="121"/>
      <c r="I8599" s="121"/>
      <c r="J8599" s="121"/>
      <c r="K8599" s="121"/>
      <c r="L8599" s="121"/>
      <c r="M8599" s="121"/>
      <c r="N8599" s="504" t="s">
        <v>2318</v>
      </c>
      <c r="O8599" s="533" t="s">
        <v>2426</v>
      </c>
      <c r="P8599" s="257"/>
      <c r="Q8599" s="321"/>
      <c r="R8599" s="260"/>
      <c r="S8599" s="260"/>
      <c r="T8599" s="260"/>
      <c r="U8599" s="260"/>
      <c r="V8599" s="260"/>
      <c r="W8599" s="261"/>
      <c r="X8599" s="260"/>
      <c r="Y8599" s="260"/>
      <c r="Z8599" s="261"/>
      <c r="AA8599"/>
      <c r="AB8599"/>
      <c r="AC8599"/>
      <c r="AD8599"/>
      <c r="AE8599"/>
      <c r="AF8599"/>
      <c r="AG8599"/>
      <c r="AH8599"/>
      <c r="AI8599"/>
      <c r="AJ8599"/>
      <c r="AK8599"/>
      <c r="AL8599"/>
      <c r="AM8599"/>
      <c r="AN8599"/>
    </row>
    <row r="8600" spans="1:40" s="47" customFormat="1">
      <c r="A8600" s="121"/>
      <c r="B8600" s="121"/>
      <c r="C8600" s="121"/>
      <c r="D8600" s="121"/>
      <c r="E8600" s="121"/>
      <c r="F8600" s="121"/>
      <c r="G8600" s="121"/>
      <c r="H8600" s="121"/>
      <c r="I8600" s="121"/>
      <c r="J8600" s="121"/>
      <c r="K8600" s="121"/>
      <c r="L8600" s="121"/>
      <c r="M8600" s="121"/>
      <c r="N8600" s="560" t="str">
        <f>IF(TEMPLATE_SPHERE="водоснабжения","2.9","")</f>
        <v/>
      </c>
      <c r="O8600" s="561" t="str">
        <f>IF(TEMPLATE_SPHERE="водоснабжения","Покупная вода","")</f>
        <v/>
      </c>
      <c r="P8600" s="255"/>
      <c r="Q8600" s="321"/>
      <c r="R8600" s="260"/>
      <c r="S8600" s="260"/>
      <c r="T8600" s="260"/>
      <c r="U8600" s="260"/>
      <c r="V8600" s="260"/>
      <c r="W8600" s="260"/>
      <c r="X8600" s="260"/>
      <c r="Y8600" s="260"/>
      <c r="Z8600" s="260"/>
      <c r="AA8600"/>
      <c r="AB8600"/>
      <c r="AC8600"/>
      <c r="AD8600"/>
      <c r="AE8600"/>
      <c r="AF8600"/>
      <c r="AG8600"/>
      <c r="AH8600"/>
      <c r="AI8600"/>
      <c r="AJ8600"/>
      <c r="AK8600"/>
      <c r="AL8600"/>
      <c r="AM8600"/>
      <c r="AN8600"/>
    </row>
    <row r="8601" spans="1:40" s="47" customFormat="1">
      <c r="A8601" s="121"/>
      <c r="B8601" s="121"/>
      <c r="C8601" s="121"/>
      <c r="D8601" s="121"/>
      <c r="E8601" s="121"/>
      <c r="F8601" s="121"/>
      <c r="G8601" s="121"/>
      <c r="H8601" s="121"/>
      <c r="I8601" s="121"/>
      <c r="J8601" s="121"/>
      <c r="K8601" s="121"/>
      <c r="L8601" s="121"/>
      <c r="M8601" s="121"/>
      <c r="N8601" s="222"/>
      <c r="O8601" s="529"/>
      <c r="P8601" s="255"/>
      <c r="Q8601" s="321"/>
      <c r="R8601" s="260"/>
      <c r="S8601" s="260"/>
      <c r="T8601" s="260"/>
      <c r="U8601" s="260"/>
      <c r="V8601" s="260"/>
      <c r="W8601" s="260"/>
      <c r="X8601" s="260"/>
      <c r="Y8601" s="260"/>
      <c r="Z8601" s="260"/>
      <c r="AA8601"/>
      <c r="AB8601"/>
      <c r="AC8601"/>
      <c r="AD8601"/>
      <c r="AE8601"/>
      <c r="AF8601"/>
      <c r="AG8601"/>
      <c r="AH8601"/>
      <c r="AI8601"/>
      <c r="AJ8601"/>
      <c r="AK8601"/>
      <c r="AL8601"/>
      <c r="AM8601"/>
      <c r="AN8601"/>
    </row>
    <row r="8602" spans="1:40" s="47" customFormat="1">
      <c r="A8602" s="121"/>
      <c r="B8602" s="121"/>
      <c r="C8602" s="121"/>
      <c r="D8602" s="121"/>
      <c r="E8602" s="121"/>
      <c r="F8602" s="121"/>
      <c r="G8602" s="121"/>
      <c r="H8602" s="121"/>
      <c r="I8602" s="121"/>
      <c r="J8602" s="121"/>
      <c r="K8602" s="121"/>
      <c r="L8602" s="121"/>
      <c r="M8602" s="121"/>
      <c r="N8602" s="222"/>
      <c r="O8602" s="529"/>
      <c r="P8602" s="255"/>
      <c r="Q8602" s="321"/>
      <c r="R8602" s="260"/>
      <c r="S8602" s="260"/>
      <c r="T8602" s="260"/>
      <c r="U8602" s="260"/>
      <c r="V8602" s="260"/>
      <c r="W8602" s="260"/>
      <c r="X8602" s="260"/>
      <c r="Y8602" s="260"/>
      <c r="Z8602" s="260"/>
      <c r="AA8602"/>
      <c r="AB8602"/>
      <c r="AC8602"/>
      <c r="AD8602"/>
      <c r="AE8602"/>
      <c r="AF8602"/>
      <c r="AG8602"/>
      <c r="AH8602"/>
      <c r="AI8602"/>
      <c r="AJ8602"/>
      <c r="AK8602"/>
      <c r="AL8602"/>
      <c r="AM8602"/>
      <c r="AN8602"/>
    </row>
    <row r="8603" spans="1:40" s="47" customFormat="1">
      <c r="A8603" s="121"/>
      <c r="B8603" s="121"/>
      <c r="C8603" s="121"/>
      <c r="D8603" s="121"/>
      <c r="E8603" s="121"/>
      <c r="F8603" s="121"/>
      <c r="G8603" s="121"/>
      <c r="H8603" s="121"/>
      <c r="I8603" s="121"/>
      <c r="J8603" s="121"/>
      <c r="K8603" s="121"/>
      <c r="L8603" s="121"/>
      <c r="M8603" s="121"/>
      <c r="N8603" s="222"/>
      <c r="O8603" s="529"/>
      <c r="P8603" s="255"/>
      <c r="Q8603" s="321"/>
      <c r="R8603" s="260"/>
      <c r="S8603" s="260"/>
      <c r="T8603" s="260"/>
      <c r="U8603" s="260"/>
      <c r="V8603" s="260"/>
      <c r="W8603" s="260"/>
      <c r="X8603" s="260"/>
      <c r="Y8603" s="260"/>
      <c r="Z8603" s="260"/>
      <c r="AA8603"/>
      <c r="AB8603"/>
      <c r="AC8603"/>
      <c r="AD8603"/>
      <c r="AE8603"/>
      <c r="AF8603"/>
      <c r="AG8603"/>
      <c r="AH8603"/>
      <c r="AI8603"/>
      <c r="AJ8603"/>
      <c r="AK8603"/>
      <c r="AL8603"/>
      <c r="AM8603"/>
      <c r="AN8603"/>
    </row>
    <row r="8604" spans="1:40" s="47" customFormat="1" ht="22.5">
      <c r="A8604" s="121"/>
      <c r="B8604" s="121"/>
      <c r="C8604" s="121"/>
      <c r="D8604" s="121"/>
      <c r="E8604" s="121"/>
      <c r="F8604" s="121"/>
      <c r="G8604" s="121"/>
      <c r="H8604" s="121"/>
      <c r="I8604" s="121"/>
      <c r="J8604" s="121"/>
      <c r="K8604" s="121"/>
      <c r="L8604" s="121"/>
      <c r="M8604" s="121"/>
      <c r="N8604" s="504" t="s">
        <v>2323</v>
      </c>
      <c r="O8604"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P8604" s="257"/>
      <c r="Q8604" s="321"/>
      <c r="R8604" s="260"/>
      <c r="S8604" s="260"/>
      <c r="T8604" s="260"/>
      <c r="U8604" s="260"/>
      <c r="V8604" s="260"/>
      <c r="W8604" s="261"/>
      <c r="X8604" s="260"/>
      <c r="Y8604" s="260"/>
      <c r="Z8604" s="261"/>
      <c r="AA8604"/>
      <c r="AB8604"/>
      <c r="AC8604"/>
      <c r="AD8604"/>
      <c r="AE8604"/>
      <c r="AF8604"/>
      <c r="AG8604"/>
      <c r="AH8604"/>
      <c r="AI8604"/>
      <c r="AJ8604"/>
      <c r="AK8604"/>
      <c r="AL8604"/>
      <c r="AM8604"/>
      <c r="AN8604"/>
    </row>
    <row r="8605" spans="1:40" s="47" customFormat="1" ht="22.5">
      <c r="A8605" s="121"/>
      <c r="B8605" s="121"/>
      <c r="C8605" s="121"/>
      <c r="D8605" s="121"/>
      <c r="E8605" s="121"/>
      <c r="F8605" s="121"/>
      <c r="G8605" s="121"/>
      <c r="H8605" s="121"/>
      <c r="I8605" s="121"/>
      <c r="J8605" s="121"/>
      <c r="K8605" s="121"/>
      <c r="L8605" s="121"/>
      <c r="M8605" s="121"/>
      <c r="N8605" s="504" t="s">
        <v>2324</v>
      </c>
      <c r="O8605"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P8605" s="257"/>
      <c r="Q8605" s="321"/>
      <c r="R8605" s="260"/>
      <c r="S8605" s="260"/>
      <c r="T8605" s="260"/>
      <c r="U8605" s="260"/>
      <c r="V8605" s="260"/>
      <c r="W8605" s="261"/>
      <c r="X8605" s="260"/>
      <c r="Y8605" s="260"/>
      <c r="Z8605" s="261"/>
      <c r="AA8605"/>
      <c r="AB8605"/>
      <c r="AC8605"/>
      <c r="AD8605"/>
      <c r="AE8605"/>
      <c r="AF8605"/>
      <c r="AG8605"/>
      <c r="AH8605"/>
      <c r="AI8605"/>
      <c r="AJ8605"/>
      <c r="AK8605"/>
      <c r="AL8605"/>
      <c r="AM8605"/>
      <c r="AN8605"/>
    </row>
    <row r="8606" spans="1:40" s="47" customFormat="1" ht="22.5" customHeight="1">
      <c r="A8606" s="121"/>
      <c r="B8606" s="121"/>
      <c r="C8606" s="121"/>
      <c r="D8606" s="121"/>
      <c r="E8606" s="121"/>
      <c r="F8606" s="121"/>
      <c r="G8606" s="121"/>
      <c r="H8606" s="121"/>
      <c r="I8606" s="121"/>
      <c r="J8606" s="121"/>
      <c r="K8606" s="121"/>
      <c r="L8606" s="121"/>
      <c r="M8606" s="121"/>
      <c r="N8606" s="504" t="s">
        <v>2325</v>
      </c>
      <c r="O8606"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P8606" s="257"/>
      <c r="Q8606" s="321"/>
      <c r="R8606" s="260"/>
      <c r="S8606" s="260"/>
      <c r="T8606" s="260"/>
      <c r="U8606" s="260"/>
      <c r="V8606" s="260"/>
      <c r="W8606" s="261"/>
      <c r="X8606" s="260"/>
      <c r="Y8606" s="260"/>
      <c r="Z8606" s="261"/>
      <c r="AA8606"/>
      <c r="AB8606"/>
      <c r="AC8606"/>
      <c r="AD8606"/>
      <c r="AE8606"/>
      <c r="AF8606"/>
      <c r="AG8606"/>
      <c r="AH8606"/>
      <c r="AI8606"/>
      <c r="AJ8606"/>
      <c r="AK8606"/>
      <c r="AL8606"/>
      <c r="AM8606"/>
      <c r="AN8606"/>
    </row>
    <row r="8607" spans="1:40" s="47" customFormat="1">
      <c r="A8607" s="121"/>
      <c r="B8607" s="121"/>
      <c r="C8607" s="121"/>
      <c r="D8607" s="121"/>
      <c r="E8607" s="121"/>
      <c r="F8607" s="121"/>
      <c r="G8607" s="121"/>
      <c r="H8607" s="121"/>
      <c r="I8607" s="121"/>
      <c r="J8607" s="121"/>
      <c r="K8607" s="121"/>
      <c r="L8607" s="121"/>
      <c r="M8607" s="121"/>
      <c r="N8607" s="504" t="s">
        <v>2326</v>
      </c>
      <c r="O8607" s="527" t="s">
        <v>2327</v>
      </c>
      <c r="P8607" s="257"/>
      <c r="Q8607" s="321"/>
      <c r="R8607" s="260"/>
      <c r="S8607" s="260"/>
      <c r="T8607" s="260"/>
      <c r="U8607" s="260"/>
      <c r="V8607" s="260"/>
      <c r="W8607" s="257">
        <f>SUM(W8608:W8609)</f>
        <v>0</v>
      </c>
      <c r="X8607" s="260"/>
      <c r="Y8607" s="260"/>
      <c r="Z8607" s="257">
        <f>SUM(Z8608:Z8609)</f>
        <v>0</v>
      </c>
      <c r="AA8607"/>
      <c r="AB8607"/>
      <c r="AC8607"/>
      <c r="AD8607"/>
      <c r="AE8607"/>
      <c r="AF8607"/>
      <c r="AG8607"/>
      <c r="AH8607"/>
      <c r="AI8607"/>
      <c r="AJ8607"/>
      <c r="AK8607"/>
      <c r="AL8607"/>
      <c r="AM8607"/>
      <c r="AN8607"/>
    </row>
    <row r="8608" spans="1:40" s="47" customFormat="1">
      <c r="A8608" s="121"/>
      <c r="B8608" s="121"/>
      <c r="C8608" s="121"/>
      <c r="D8608" s="121"/>
      <c r="E8608" s="121"/>
      <c r="F8608" s="121"/>
      <c r="G8608" s="121"/>
      <c r="H8608" s="121"/>
      <c r="I8608" s="121"/>
      <c r="J8608" s="121"/>
      <c r="K8608" s="121"/>
      <c r="L8608" s="121"/>
      <c r="M8608" s="121"/>
      <c r="N8608" s="504" t="s">
        <v>2328</v>
      </c>
      <c r="O8608" s="528" t="s">
        <v>2329</v>
      </c>
      <c r="P8608" s="257"/>
      <c r="Q8608" s="321"/>
      <c r="R8608" s="260"/>
      <c r="S8608" s="260"/>
      <c r="T8608" s="260"/>
      <c r="U8608" s="260"/>
      <c r="V8608" s="260"/>
      <c r="W8608" s="261"/>
      <c r="X8608" s="260"/>
      <c r="Y8608" s="260"/>
      <c r="Z8608" s="261"/>
      <c r="AA8608"/>
      <c r="AB8608"/>
      <c r="AC8608"/>
      <c r="AD8608"/>
      <c r="AE8608"/>
      <c r="AF8608"/>
      <c r="AG8608"/>
      <c r="AH8608"/>
      <c r="AI8608"/>
      <c r="AJ8608"/>
      <c r="AK8608"/>
      <c r="AL8608"/>
      <c r="AM8608"/>
      <c r="AN8608"/>
    </row>
    <row r="8609" spans="1:40" s="47" customFormat="1">
      <c r="A8609" s="121"/>
      <c r="B8609" s="121"/>
      <c r="C8609" s="121"/>
      <c r="D8609" s="121"/>
      <c r="E8609" s="121"/>
      <c r="F8609" s="121"/>
      <c r="G8609" s="121"/>
      <c r="H8609" s="121"/>
      <c r="I8609" s="121"/>
      <c r="J8609" s="121"/>
      <c r="K8609" s="121"/>
      <c r="L8609" s="121"/>
      <c r="M8609" s="121"/>
      <c r="N8609" s="504" t="s">
        <v>2330</v>
      </c>
      <c r="O8609" s="528" t="s">
        <v>2331</v>
      </c>
      <c r="P8609" s="257"/>
      <c r="Q8609" s="321"/>
      <c r="R8609" s="260"/>
      <c r="S8609" s="260"/>
      <c r="T8609" s="260"/>
      <c r="U8609" s="260"/>
      <c r="V8609" s="260"/>
      <c r="W8609" s="261"/>
      <c r="X8609" s="260"/>
      <c r="Y8609" s="260"/>
      <c r="Z8609" s="261"/>
      <c r="AA8609"/>
      <c r="AB8609"/>
      <c r="AC8609"/>
      <c r="AD8609"/>
      <c r="AE8609"/>
      <c r="AF8609"/>
      <c r="AG8609"/>
      <c r="AH8609"/>
      <c r="AI8609"/>
      <c r="AJ8609"/>
      <c r="AK8609"/>
      <c r="AL8609"/>
      <c r="AM8609"/>
      <c r="AN8609"/>
    </row>
    <row r="8610" spans="1:40" s="47" customFormat="1">
      <c r="A8610" s="121"/>
      <c r="B8610" s="121"/>
      <c r="C8610" s="121"/>
      <c r="D8610" s="121"/>
      <c r="E8610" s="121"/>
      <c r="F8610" s="121"/>
      <c r="G8610" s="121"/>
      <c r="H8610" s="121"/>
      <c r="I8610" s="121"/>
      <c r="J8610" s="121"/>
      <c r="K8610" s="121"/>
      <c r="L8610" s="121"/>
      <c r="M8610" s="121"/>
      <c r="N8610" s="504" t="s">
        <v>2332</v>
      </c>
      <c r="O8610" s="527" t="s">
        <v>2333</v>
      </c>
      <c r="P8610" s="257"/>
      <c r="Q8610" s="321"/>
      <c r="R8610" s="260"/>
      <c r="S8610" s="260"/>
      <c r="T8610" s="260"/>
      <c r="U8610" s="260"/>
      <c r="V8610" s="260"/>
      <c r="W8610" s="261"/>
      <c r="X8610" s="260"/>
      <c r="Y8610" s="260"/>
      <c r="Z8610" s="261"/>
      <c r="AA8610"/>
      <c r="AB8610"/>
      <c r="AC8610"/>
      <c r="AD8610"/>
      <c r="AE8610"/>
      <c r="AF8610"/>
      <c r="AG8610"/>
      <c r="AH8610"/>
      <c r="AI8610"/>
      <c r="AJ8610"/>
      <c r="AK8610"/>
      <c r="AL8610"/>
      <c r="AM8610"/>
      <c r="AN8610"/>
    </row>
    <row r="8611" spans="1:40" s="47" customFormat="1">
      <c r="A8611" s="121"/>
      <c r="B8611" s="121"/>
      <c r="C8611" s="121"/>
      <c r="D8611" s="121"/>
      <c r="E8611" s="121"/>
      <c r="F8611" s="121"/>
      <c r="G8611" s="121"/>
      <c r="H8611" s="121"/>
      <c r="I8611" s="121"/>
      <c r="J8611" s="121"/>
      <c r="K8611" s="121"/>
      <c r="L8611" s="121"/>
      <c r="M8611" s="121"/>
      <c r="N8611" s="504" t="s">
        <v>2334</v>
      </c>
      <c r="O8611" s="527" t="s">
        <v>2335</v>
      </c>
      <c r="P8611" s="257"/>
      <c r="Q8611" s="321"/>
      <c r="R8611" s="260"/>
      <c r="S8611" s="260"/>
      <c r="T8611" s="260"/>
      <c r="U8611" s="260"/>
      <c r="V8611" s="260"/>
      <c r="W8611" s="261"/>
      <c r="X8611" s="260"/>
      <c r="Y8611" s="260"/>
      <c r="Z8611" s="261"/>
      <c r="AA8611"/>
      <c r="AB8611"/>
      <c r="AC8611"/>
      <c r="AD8611"/>
      <c r="AE8611"/>
      <c r="AF8611"/>
      <c r="AG8611"/>
      <c r="AH8611"/>
      <c r="AI8611"/>
      <c r="AJ8611"/>
      <c r="AK8611"/>
      <c r="AL8611"/>
      <c r="AM8611"/>
      <c r="AN8611"/>
    </row>
    <row r="8612" spans="1:40" s="47" customFormat="1" ht="22.5">
      <c r="A8612" s="121"/>
      <c r="B8612" s="121"/>
      <c r="C8612" s="121"/>
      <c r="D8612" s="121"/>
      <c r="E8612" s="121"/>
      <c r="F8612" s="121"/>
      <c r="G8612" s="121"/>
      <c r="H8612" s="121"/>
      <c r="I8612" s="121"/>
      <c r="J8612" s="121"/>
      <c r="K8612" s="121"/>
      <c r="L8612" s="121"/>
      <c r="M8612" s="121"/>
      <c r="N8612" s="504" t="s">
        <v>2336</v>
      </c>
      <c r="O8612" s="527" t="s">
        <v>2337</v>
      </c>
      <c r="P8612" s="257"/>
      <c r="Q8612" s="321"/>
      <c r="R8612" s="260"/>
      <c r="S8612" s="260"/>
      <c r="T8612" s="260"/>
      <c r="U8612" s="260"/>
      <c r="V8612" s="260"/>
      <c r="W8612" s="261"/>
      <c r="X8612" s="260"/>
      <c r="Y8612" s="260"/>
      <c r="Z8612" s="261"/>
      <c r="AA8612"/>
      <c r="AB8612"/>
      <c r="AC8612"/>
      <c r="AD8612"/>
      <c r="AE8612"/>
      <c r="AF8612"/>
      <c r="AG8612"/>
      <c r="AH8612"/>
      <c r="AI8612"/>
      <c r="AJ8612"/>
      <c r="AK8612"/>
      <c r="AL8612"/>
      <c r="AM8612"/>
      <c r="AN8612"/>
    </row>
    <row r="8613" spans="1:40" s="47" customFormat="1">
      <c r="A8613" s="121"/>
      <c r="B8613" s="121"/>
      <c r="C8613" s="121"/>
      <c r="D8613" s="121"/>
      <c r="E8613" s="121"/>
      <c r="F8613" s="121"/>
      <c r="G8613" s="121"/>
      <c r="H8613" s="121"/>
      <c r="I8613" s="121"/>
      <c r="J8613" s="121"/>
      <c r="K8613" s="121"/>
      <c r="L8613" s="121"/>
      <c r="M8613" s="121"/>
      <c r="N8613" s="504" t="s">
        <v>2338</v>
      </c>
      <c r="O8613" s="527" t="s">
        <v>2339</v>
      </c>
      <c r="P8613" s="257"/>
      <c r="Q8613" s="321"/>
      <c r="R8613" s="260"/>
      <c r="S8613" s="260"/>
      <c r="T8613" s="260"/>
      <c r="U8613" s="260"/>
      <c r="V8613" s="260"/>
      <c r="W8613" s="257">
        <f>SUM(W8614:W8622)</f>
        <v>0</v>
      </c>
      <c r="X8613" s="260"/>
      <c r="Y8613" s="260"/>
      <c r="Z8613" s="257">
        <f>SUM(Z8614:Z8622)</f>
        <v>0</v>
      </c>
      <c r="AA8613"/>
      <c r="AB8613"/>
      <c r="AC8613"/>
      <c r="AD8613"/>
      <c r="AE8613"/>
      <c r="AF8613"/>
      <c r="AG8613"/>
      <c r="AH8613"/>
      <c r="AI8613"/>
      <c r="AJ8613"/>
      <c r="AK8613"/>
      <c r="AL8613"/>
      <c r="AM8613"/>
      <c r="AN8613"/>
    </row>
    <row r="8614" spans="1:40" s="47" customFormat="1">
      <c r="A8614" s="121"/>
      <c r="B8614" s="121"/>
      <c r="C8614" s="121"/>
      <c r="D8614" s="121"/>
      <c r="E8614" s="121"/>
      <c r="F8614" s="121"/>
      <c r="G8614" s="121"/>
      <c r="H8614" s="121"/>
      <c r="I8614" s="121"/>
      <c r="J8614" s="121"/>
      <c r="K8614" s="121"/>
      <c r="L8614" s="121"/>
      <c r="M8614" s="121"/>
      <c r="N8614" s="504" t="s">
        <v>2340</v>
      </c>
      <c r="O8614" s="528" t="s">
        <v>2341</v>
      </c>
      <c r="P8614" s="257"/>
      <c r="Q8614" s="321"/>
      <c r="R8614" s="260"/>
      <c r="S8614" s="260"/>
      <c r="T8614" s="260"/>
      <c r="U8614" s="260"/>
      <c r="V8614" s="260"/>
      <c r="W8614" s="261"/>
      <c r="X8614" s="260"/>
      <c r="Y8614" s="260"/>
      <c r="Z8614" s="261"/>
      <c r="AA8614"/>
      <c r="AB8614"/>
      <c r="AC8614"/>
      <c r="AD8614"/>
      <c r="AE8614"/>
      <c r="AF8614"/>
      <c r="AG8614"/>
      <c r="AH8614"/>
      <c r="AI8614"/>
      <c r="AJ8614"/>
      <c r="AK8614"/>
      <c r="AL8614"/>
      <c r="AM8614"/>
      <c r="AN8614"/>
    </row>
    <row r="8615" spans="1:40" s="47" customFormat="1">
      <c r="A8615" s="121"/>
      <c r="B8615" s="121"/>
      <c r="C8615" s="121"/>
      <c r="D8615" s="121"/>
      <c r="E8615" s="121"/>
      <c r="F8615" s="121"/>
      <c r="G8615" s="121"/>
      <c r="H8615" s="121"/>
      <c r="I8615" s="121"/>
      <c r="J8615" s="121"/>
      <c r="K8615" s="121"/>
      <c r="L8615" s="121"/>
      <c r="M8615" s="121"/>
      <c r="N8615" s="504" t="s">
        <v>2342</v>
      </c>
      <c r="O8615" s="528" t="s">
        <v>2343</v>
      </c>
      <c r="P8615" s="257"/>
      <c r="Q8615" s="321"/>
      <c r="R8615" s="260"/>
      <c r="S8615" s="260"/>
      <c r="T8615" s="260"/>
      <c r="U8615" s="260"/>
      <c r="V8615" s="260"/>
      <c r="W8615" s="261"/>
      <c r="X8615" s="260"/>
      <c r="Y8615" s="260"/>
      <c r="Z8615" s="261"/>
      <c r="AA8615"/>
      <c r="AB8615"/>
      <c r="AC8615"/>
      <c r="AD8615"/>
      <c r="AE8615"/>
      <c r="AF8615"/>
      <c r="AG8615"/>
      <c r="AH8615"/>
      <c r="AI8615"/>
      <c r="AJ8615"/>
      <c r="AK8615"/>
      <c r="AL8615"/>
      <c r="AM8615"/>
      <c r="AN8615"/>
    </row>
    <row r="8616" spans="1:40" s="47" customFormat="1">
      <c r="A8616" s="121"/>
      <c r="B8616" s="121"/>
      <c r="C8616" s="121"/>
      <c r="D8616" s="121"/>
      <c r="E8616" s="121"/>
      <c r="F8616" s="121"/>
      <c r="G8616" s="121"/>
      <c r="H8616" s="121"/>
      <c r="I8616" s="121"/>
      <c r="J8616" s="121"/>
      <c r="K8616" s="121"/>
      <c r="L8616" s="121"/>
      <c r="M8616" s="121"/>
      <c r="N8616" s="504" t="s">
        <v>2344</v>
      </c>
      <c r="O8616" s="528" t="s">
        <v>2345</v>
      </c>
      <c r="P8616" s="257"/>
      <c r="Q8616" s="321"/>
      <c r="R8616" s="260"/>
      <c r="S8616" s="260"/>
      <c r="T8616" s="260"/>
      <c r="U8616" s="260"/>
      <c r="V8616" s="260"/>
      <c r="W8616" s="261"/>
      <c r="X8616" s="260"/>
      <c r="Y8616" s="260"/>
      <c r="Z8616" s="261"/>
      <c r="AA8616"/>
      <c r="AB8616"/>
      <c r="AC8616"/>
      <c r="AD8616"/>
      <c r="AE8616"/>
      <c r="AF8616"/>
      <c r="AG8616"/>
      <c r="AH8616"/>
      <c r="AI8616"/>
      <c r="AJ8616"/>
      <c r="AK8616"/>
      <c r="AL8616"/>
      <c r="AM8616"/>
      <c r="AN8616"/>
    </row>
    <row r="8617" spans="1:40" s="47" customFormat="1">
      <c r="A8617" s="121"/>
      <c r="B8617" s="121"/>
      <c r="C8617" s="121"/>
      <c r="D8617" s="121"/>
      <c r="E8617" s="121"/>
      <c r="F8617" s="121"/>
      <c r="G8617" s="121"/>
      <c r="H8617" s="121"/>
      <c r="I8617" s="121"/>
      <c r="J8617" s="121"/>
      <c r="K8617" s="121"/>
      <c r="L8617" s="121"/>
      <c r="M8617" s="121"/>
      <c r="N8617" s="504" t="s">
        <v>2346</v>
      </c>
      <c r="O8617" s="528" t="s">
        <v>2347</v>
      </c>
      <c r="P8617" s="257"/>
      <c r="Q8617" s="321"/>
      <c r="R8617" s="260"/>
      <c r="S8617" s="260"/>
      <c r="T8617" s="260"/>
      <c r="U8617" s="260"/>
      <c r="V8617" s="260"/>
      <c r="W8617" s="261"/>
      <c r="X8617" s="260"/>
      <c r="Y8617" s="260"/>
      <c r="Z8617" s="261"/>
      <c r="AA8617"/>
      <c r="AB8617"/>
      <c r="AC8617"/>
      <c r="AD8617"/>
      <c r="AE8617"/>
      <c r="AF8617"/>
      <c r="AG8617"/>
      <c r="AH8617"/>
      <c r="AI8617"/>
      <c r="AJ8617"/>
      <c r="AK8617"/>
      <c r="AL8617"/>
      <c r="AM8617"/>
      <c r="AN8617"/>
    </row>
    <row r="8618" spans="1:40" s="47" customFormat="1">
      <c r="A8618" s="121"/>
      <c r="B8618" s="121"/>
      <c r="C8618" s="121"/>
      <c r="D8618" s="121"/>
      <c r="E8618" s="121"/>
      <c r="F8618" s="121"/>
      <c r="G8618" s="121"/>
      <c r="H8618" s="121"/>
      <c r="I8618" s="121"/>
      <c r="J8618" s="121"/>
      <c r="K8618" s="121"/>
      <c r="L8618" s="121"/>
      <c r="M8618" s="121"/>
      <c r="N8618" s="504" t="s">
        <v>2348</v>
      </c>
      <c r="O8618" s="528" t="s">
        <v>2349</v>
      </c>
      <c r="P8618" s="257"/>
      <c r="Q8618" s="321"/>
      <c r="R8618" s="260"/>
      <c r="S8618" s="260"/>
      <c r="T8618" s="260"/>
      <c r="U8618" s="260"/>
      <c r="V8618" s="260"/>
      <c r="W8618" s="261"/>
      <c r="X8618" s="260"/>
      <c r="Y8618" s="260"/>
      <c r="Z8618" s="261"/>
      <c r="AA8618"/>
      <c r="AB8618"/>
      <c r="AC8618"/>
      <c r="AD8618"/>
      <c r="AE8618"/>
      <c r="AF8618"/>
      <c r="AG8618"/>
      <c r="AH8618"/>
      <c r="AI8618"/>
      <c r="AJ8618"/>
      <c r="AK8618"/>
      <c r="AL8618"/>
      <c r="AM8618"/>
      <c r="AN8618"/>
    </row>
    <row r="8619" spans="1:40" s="47" customFormat="1">
      <c r="A8619" s="121"/>
      <c r="B8619" s="121"/>
      <c r="C8619" s="121"/>
      <c r="D8619" s="121"/>
      <c r="E8619" s="121"/>
      <c r="F8619" s="121"/>
      <c r="G8619" s="121"/>
      <c r="H8619" s="121"/>
      <c r="I8619" s="121"/>
      <c r="J8619" s="121"/>
      <c r="K8619" s="121"/>
      <c r="L8619" s="121"/>
      <c r="M8619" s="121"/>
      <c r="N8619" s="504" t="s">
        <v>2350</v>
      </c>
      <c r="O8619" s="528" t="s">
        <v>2351</v>
      </c>
      <c r="P8619" s="257"/>
      <c r="Q8619" s="321"/>
      <c r="R8619" s="260"/>
      <c r="S8619" s="260"/>
      <c r="T8619" s="260"/>
      <c r="U8619" s="260"/>
      <c r="V8619" s="260"/>
      <c r="W8619" s="261"/>
      <c r="X8619" s="260"/>
      <c r="Y8619" s="260"/>
      <c r="Z8619" s="261"/>
      <c r="AA8619"/>
      <c r="AB8619"/>
      <c r="AC8619"/>
      <c r="AD8619"/>
      <c r="AE8619"/>
      <c r="AF8619"/>
      <c r="AG8619"/>
      <c r="AH8619"/>
      <c r="AI8619"/>
      <c r="AJ8619"/>
      <c r="AK8619"/>
      <c r="AL8619"/>
      <c r="AM8619"/>
      <c r="AN8619"/>
    </row>
    <row r="8620" spans="1:40" s="47" customFormat="1">
      <c r="A8620" s="121"/>
      <c r="B8620" s="121"/>
      <c r="C8620" s="121"/>
      <c r="D8620" s="121"/>
      <c r="E8620" s="121"/>
      <c r="F8620" s="121"/>
      <c r="G8620" s="121"/>
      <c r="H8620" s="121"/>
      <c r="I8620" s="121"/>
      <c r="J8620" s="121"/>
      <c r="K8620" s="121"/>
      <c r="L8620" s="121"/>
      <c r="M8620" s="121"/>
      <c r="N8620" s="504" t="s">
        <v>2352</v>
      </c>
      <c r="O8620" s="528" t="s">
        <v>2353</v>
      </c>
      <c r="P8620" s="257"/>
      <c r="Q8620" s="321"/>
      <c r="R8620" s="260"/>
      <c r="S8620" s="260"/>
      <c r="T8620" s="260"/>
      <c r="U8620" s="260"/>
      <c r="V8620" s="260"/>
      <c r="W8620" s="261"/>
      <c r="X8620" s="260"/>
      <c r="Y8620" s="260"/>
      <c r="Z8620" s="261"/>
      <c r="AA8620"/>
      <c r="AB8620"/>
      <c r="AC8620"/>
      <c r="AD8620"/>
      <c r="AE8620"/>
      <c r="AF8620"/>
      <c r="AG8620"/>
      <c r="AH8620"/>
      <c r="AI8620"/>
      <c r="AJ8620"/>
      <c r="AK8620"/>
      <c r="AL8620"/>
      <c r="AM8620"/>
      <c r="AN8620"/>
    </row>
    <row r="8621" spans="1:40" s="47" customFormat="1">
      <c r="A8621" s="121"/>
      <c r="B8621" s="121"/>
      <c r="C8621" s="121"/>
      <c r="D8621" s="121"/>
      <c r="E8621" s="121"/>
      <c r="F8621" s="121"/>
      <c r="G8621" s="121"/>
      <c r="H8621" s="121"/>
      <c r="I8621" s="121"/>
      <c r="J8621" s="121"/>
      <c r="K8621" s="121"/>
      <c r="L8621" s="121"/>
      <c r="M8621" s="121"/>
      <c r="N8621" s="504" t="s">
        <v>2354</v>
      </c>
      <c r="O8621" s="528" t="s">
        <v>2355</v>
      </c>
      <c r="P8621" s="257"/>
      <c r="Q8621" s="321"/>
      <c r="R8621" s="260"/>
      <c r="S8621" s="260"/>
      <c r="T8621" s="260"/>
      <c r="U8621" s="260"/>
      <c r="V8621" s="260"/>
      <c r="W8621" s="261"/>
      <c r="X8621" s="260"/>
      <c r="Y8621" s="260"/>
      <c r="Z8621" s="261"/>
      <c r="AA8621"/>
      <c r="AB8621"/>
      <c r="AC8621"/>
      <c r="AD8621"/>
      <c r="AE8621"/>
      <c r="AF8621"/>
      <c r="AG8621"/>
      <c r="AH8621"/>
      <c r="AI8621"/>
      <c r="AJ8621"/>
      <c r="AK8621"/>
      <c r="AL8621"/>
      <c r="AM8621"/>
      <c r="AN8621"/>
    </row>
    <row r="8622" spans="1:40" s="47" customFormat="1">
      <c r="A8622" s="121"/>
      <c r="B8622" s="121"/>
      <c r="C8622" s="121"/>
      <c r="D8622" s="121"/>
      <c r="E8622" s="121"/>
      <c r="F8622" s="121"/>
      <c r="G8622" s="121"/>
      <c r="H8622" s="121"/>
      <c r="I8622" s="121"/>
      <c r="J8622" s="121"/>
      <c r="K8622" s="121"/>
      <c r="L8622" s="121"/>
      <c r="M8622" s="121"/>
      <c r="N8622" s="504" t="s">
        <v>2356</v>
      </c>
      <c r="O8622" s="528" t="s">
        <v>2357</v>
      </c>
      <c r="P8622" s="257"/>
      <c r="Q8622" s="321"/>
      <c r="R8622" s="260"/>
      <c r="S8622" s="260"/>
      <c r="T8622" s="260"/>
      <c r="U8622" s="260"/>
      <c r="V8622" s="260"/>
      <c r="W8622" s="261"/>
      <c r="X8622" s="260"/>
      <c r="Y8622" s="260"/>
      <c r="Z8622" s="261"/>
      <c r="AA8622"/>
      <c r="AB8622"/>
      <c r="AC8622"/>
      <c r="AD8622"/>
      <c r="AE8622"/>
      <c r="AF8622"/>
      <c r="AG8622"/>
      <c r="AH8622"/>
      <c r="AI8622"/>
      <c r="AJ8622"/>
      <c r="AK8622"/>
      <c r="AL8622"/>
      <c r="AM8622"/>
      <c r="AN8622"/>
    </row>
    <row r="8623" spans="1:40" s="47" customFormat="1">
      <c r="A8623" s="121"/>
      <c r="B8623" s="121"/>
      <c r="C8623" s="121"/>
      <c r="D8623" s="121"/>
      <c r="E8623" s="121"/>
      <c r="F8623" s="121"/>
      <c r="G8623" s="121"/>
      <c r="H8623" s="121"/>
      <c r="I8623" s="121"/>
      <c r="J8623" s="121"/>
      <c r="K8623" s="121"/>
      <c r="L8623" s="121"/>
      <c r="M8623" s="121"/>
      <c r="N8623" s="504" t="s">
        <v>2358</v>
      </c>
      <c r="O8623" s="536" t="s">
        <v>2359</v>
      </c>
      <c r="P8623" s="257"/>
      <c r="Q8623" s="321"/>
      <c r="R8623" s="260"/>
      <c r="S8623" s="260"/>
      <c r="T8623" s="260"/>
      <c r="U8623" s="260"/>
      <c r="V8623" s="260"/>
      <c r="W8623" s="257">
        <f>SUM(W8624:W8628)</f>
        <v>0</v>
      </c>
      <c r="X8623" s="260"/>
      <c r="Y8623" s="260"/>
      <c r="Z8623" s="257">
        <f>SUM(Z8624:Z8628)</f>
        <v>0</v>
      </c>
      <c r="AA8623"/>
      <c r="AB8623"/>
      <c r="AC8623"/>
      <c r="AD8623"/>
      <c r="AE8623"/>
      <c r="AF8623"/>
      <c r="AG8623"/>
      <c r="AH8623"/>
      <c r="AI8623"/>
      <c r="AJ8623"/>
      <c r="AK8623"/>
      <c r="AL8623"/>
      <c r="AM8623"/>
      <c r="AN8623"/>
    </row>
    <row r="8624" spans="1:40" s="47" customFormat="1">
      <c r="A8624" s="121"/>
      <c r="B8624" s="121"/>
      <c r="C8624" s="121"/>
      <c r="D8624" s="121"/>
      <c r="E8624" s="121"/>
      <c r="F8624" s="121"/>
      <c r="G8624" s="121"/>
      <c r="H8624" s="121"/>
      <c r="I8624" s="121"/>
      <c r="J8624" s="121"/>
      <c r="K8624" s="121"/>
      <c r="L8624" s="121"/>
      <c r="M8624" s="121"/>
      <c r="N8624" s="504" t="s">
        <v>2360</v>
      </c>
      <c r="O8624" s="537" t="s">
        <v>2444</v>
      </c>
      <c r="P8624" s="257"/>
      <c r="Q8624" s="321"/>
      <c r="R8624" s="260"/>
      <c r="S8624" s="260"/>
      <c r="T8624" s="260"/>
      <c r="U8624" s="260"/>
      <c r="V8624" s="260"/>
      <c r="W8624" s="261"/>
      <c r="X8624" s="260"/>
      <c r="Y8624" s="260"/>
      <c r="Z8624" s="261"/>
      <c r="AA8624"/>
      <c r="AB8624"/>
      <c r="AC8624"/>
      <c r="AD8624"/>
      <c r="AE8624"/>
      <c r="AF8624"/>
      <c r="AG8624"/>
      <c r="AH8624"/>
      <c r="AI8624"/>
      <c r="AJ8624"/>
      <c r="AK8624"/>
      <c r="AL8624"/>
      <c r="AM8624"/>
      <c r="AN8624"/>
    </row>
    <row r="8625" spans="1:40" s="47" customFormat="1">
      <c r="A8625" s="121"/>
      <c r="B8625" s="121"/>
      <c r="C8625" s="121"/>
      <c r="D8625" s="121"/>
      <c r="E8625" s="121"/>
      <c r="F8625" s="121"/>
      <c r="G8625" s="121"/>
      <c r="H8625" s="121"/>
      <c r="I8625" s="121"/>
      <c r="J8625" s="121"/>
      <c r="K8625" s="121"/>
      <c r="L8625" s="121"/>
      <c r="M8625" s="121"/>
      <c r="N8625" s="504" t="s">
        <v>2361</v>
      </c>
      <c r="O8625" s="537" t="s">
        <v>2362</v>
      </c>
      <c r="P8625" s="257"/>
      <c r="Q8625" s="321"/>
      <c r="R8625" s="260"/>
      <c r="S8625" s="260"/>
      <c r="T8625" s="260"/>
      <c r="U8625" s="260"/>
      <c r="V8625" s="260"/>
      <c r="W8625" s="261"/>
      <c r="X8625" s="260"/>
      <c r="Y8625" s="260"/>
      <c r="Z8625" s="261"/>
      <c r="AA8625"/>
      <c r="AB8625"/>
      <c r="AC8625"/>
      <c r="AD8625"/>
      <c r="AE8625"/>
      <c r="AF8625"/>
      <c r="AG8625"/>
      <c r="AH8625"/>
      <c r="AI8625"/>
      <c r="AJ8625"/>
      <c r="AK8625"/>
      <c r="AL8625"/>
      <c r="AM8625"/>
      <c r="AN8625"/>
    </row>
    <row r="8626" spans="1:40" s="47" customFormat="1">
      <c r="A8626" s="121"/>
      <c r="B8626" s="121"/>
      <c r="C8626" s="121"/>
      <c r="D8626" s="121"/>
      <c r="E8626" s="121"/>
      <c r="F8626" s="121"/>
      <c r="G8626" s="121"/>
      <c r="H8626" s="121"/>
      <c r="I8626" s="121"/>
      <c r="J8626" s="121"/>
      <c r="K8626" s="121"/>
      <c r="L8626" s="121"/>
      <c r="M8626" s="121"/>
      <c r="N8626" s="504" t="s">
        <v>2363</v>
      </c>
      <c r="O8626" s="528" t="s">
        <v>872</v>
      </c>
      <c r="P8626" s="257"/>
      <c r="Q8626" s="321"/>
      <c r="R8626" s="260"/>
      <c r="S8626" s="260"/>
      <c r="T8626" s="260"/>
      <c r="U8626" s="260"/>
      <c r="V8626" s="260"/>
      <c r="W8626" s="261"/>
      <c r="X8626" s="260"/>
      <c r="Y8626" s="260"/>
      <c r="Z8626" s="261"/>
      <c r="AA8626"/>
      <c r="AB8626"/>
      <c r="AC8626"/>
      <c r="AD8626"/>
      <c r="AE8626"/>
      <c r="AF8626"/>
      <c r="AG8626"/>
      <c r="AH8626"/>
      <c r="AI8626"/>
      <c r="AJ8626"/>
      <c r="AK8626"/>
      <c r="AL8626"/>
      <c r="AM8626"/>
      <c r="AN8626"/>
    </row>
    <row r="8627" spans="1:40" s="47" customFormat="1" ht="22.5">
      <c r="A8627" s="121"/>
      <c r="B8627" s="121"/>
      <c r="C8627" s="121"/>
      <c r="D8627" s="121"/>
      <c r="E8627" s="121"/>
      <c r="F8627" s="121"/>
      <c r="G8627" s="121"/>
      <c r="H8627" s="121"/>
      <c r="I8627" s="121"/>
      <c r="J8627" s="121"/>
      <c r="K8627" s="121"/>
      <c r="L8627" s="121"/>
      <c r="M8627" s="121"/>
      <c r="N8627" s="504" t="s">
        <v>2364</v>
      </c>
      <c r="O8627" s="528" t="s">
        <v>2365</v>
      </c>
      <c r="P8627" s="257"/>
      <c r="Q8627" s="321"/>
      <c r="R8627" s="260"/>
      <c r="S8627" s="260"/>
      <c r="T8627" s="260"/>
      <c r="U8627" s="260"/>
      <c r="V8627" s="260"/>
      <c r="W8627" s="261"/>
      <c r="X8627" s="260"/>
      <c r="Y8627" s="260"/>
      <c r="Z8627" s="261"/>
      <c r="AA8627"/>
      <c r="AB8627"/>
      <c r="AC8627"/>
      <c r="AD8627"/>
      <c r="AE8627"/>
      <c r="AF8627"/>
      <c r="AG8627"/>
      <c r="AH8627"/>
      <c r="AI8627"/>
      <c r="AJ8627"/>
      <c r="AK8627"/>
      <c r="AL8627"/>
      <c r="AM8627"/>
      <c r="AN8627"/>
    </row>
    <row r="8628" spans="1:40" s="47" customFormat="1">
      <c r="A8628" s="121"/>
      <c r="B8628" s="121"/>
      <c r="C8628" s="121"/>
      <c r="D8628" s="121"/>
      <c r="E8628" s="121"/>
      <c r="F8628" s="121"/>
      <c r="G8628" s="121"/>
      <c r="H8628" s="121"/>
      <c r="I8628" s="121"/>
      <c r="J8628" s="121"/>
      <c r="K8628" s="121"/>
      <c r="L8628" s="121"/>
      <c r="M8628" s="121"/>
      <c r="N8628" s="504" t="s">
        <v>2366</v>
      </c>
      <c r="O8628" s="528" t="s">
        <v>2367</v>
      </c>
      <c r="P8628" s="257"/>
      <c r="Q8628" s="321"/>
      <c r="R8628" s="260"/>
      <c r="S8628" s="260"/>
      <c r="T8628" s="260"/>
      <c r="U8628" s="260"/>
      <c r="V8628" s="260"/>
      <c r="W8628" s="261"/>
      <c r="X8628" s="260"/>
      <c r="Y8628" s="260"/>
      <c r="Z8628" s="261"/>
      <c r="AA8628"/>
      <c r="AB8628"/>
      <c r="AC8628"/>
      <c r="AD8628"/>
      <c r="AE8628"/>
      <c r="AF8628"/>
      <c r="AG8628"/>
      <c r="AH8628"/>
      <c r="AI8628"/>
      <c r="AJ8628"/>
      <c r="AK8628"/>
      <c r="AL8628"/>
      <c r="AM8628"/>
      <c r="AN8628"/>
    </row>
    <row r="8629" spans="1:40" s="47" customFormat="1">
      <c r="A8629" s="121"/>
      <c r="B8629" s="121"/>
      <c r="C8629" s="121"/>
      <c r="D8629" s="121"/>
      <c r="E8629" s="121"/>
      <c r="F8629" s="121"/>
      <c r="G8629" s="121"/>
      <c r="H8629" s="121"/>
      <c r="I8629" s="121"/>
      <c r="J8629" s="121"/>
      <c r="K8629" s="121"/>
      <c r="L8629" s="121"/>
      <c r="M8629" s="121"/>
      <c r="N8629" s="504" t="s">
        <v>752</v>
      </c>
      <c r="O8629" s="526" t="s">
        <v>856</v>
      </c>
      <c r="P8629" s="257"/>
      <c r="Q8629" s="321"/>
      <c r="R8629" s="260"/>
      <c r="S8629" s="260"/>
      <c r="T8629" s="260"/>
      <c r="U8629" s="260"/>
      <c r="V8629" s="260"/>
      <c r="W8629" s="257">
        <f>SUM(W8630,W8632:W8635)</f>
        <v>0</v>
      </c>
      <c r="X8629" s="260"/>
      <c r="Y8629" s="260"/>
      <c r="Z8629" s="257">
        <f>SUM(Z8630,Z8632:Z8635)</f>
        <v>0</v>
      </c>
      <c r="AA8629"/>
      <c r="AB8629"/>
      <c r="AC8629"/>
      <c r="AD8629"/>
      <c r="AE8629"/>
      <c r="AF8629"/>
      <c r="AG8629"/>
      <c r="AH8629"/>
      <c r="AI8629"/>
      <c r="AJ8629"/>
      <c r="AK8629"/>
      <c r="AL8629"/>
      <c r="AM8629"/>
      <c r="AN8629"/>
    </row>
    <row r="8630" spans="1:40" s="47" customFormat="1">
      <c r="A8630" s="121"/>
      <c r="B8630" s="121"/>
      <c r="C8630" s="121"/>
      <c r="D8630" s="121"/>
      <c r="E8630" s="121"/>
      <c r="F8630" s="121"/>
      <c r="G8630" s="121"/>
      <c r="H8630" s="121"/>
      <c r="I8630" s="121"/>
      <c r="J8630" s="121"/>
      <c r="K8630" s="121"/>
      <c r="L8630" s="121"/>
      <c r="M8630" s="121"/>
      <c r="N8630" s="504" t="s">
        <v>760</v>
      </c>
      <c r="O8630" s="527" t="s">
        <v>2368</v>
      </c>
      <c r="P8630" s="257"/>
      <c r="Q8630" s="321"/>
      <c r="R8630" s="260"/>
      <c r="S8630" s="260"/>
      <c r="T8630" s="260"/>
      <c r="U8630" s="260"/>
      <c r="V8630" s="260"/>
      <c r="W8630" s="261"/>
      <c r="X8630" s="260"/>
      <c r="Y8630" s="260"/>
      <c r="Z8630" s="261"/>
      <c r="AA8630"/>
      <c r="AB8630"/>
      <c r="AC8630"/>
      <c r="AD8630"/>
      <c r="AE8630"/>
      <c r="AF8630"/>
      <c r="AG8630"/>
      <c r="AH8630"/>
      <c r="AI8630"/>
      <c r="AJ8630"/>
      <c r="AK8630"/>
      <c r="AL8630"/>
      <c r="AM8630"/>
      <c r="AN8630"/>
    </row>
    <row r="8631" spans="1:40" s="47" customFormat="1">
      <c r="A8631" s="121"/>
      <c r="B8631" s="121"/>
      <c r="C8631" s="121"/>
      <c r="D8631" s="121"/>
      <c r="E8631" s="121"/>
      <c r="F8631" s="121"/>
      <c r="G8631" s="121"/>
      <c r="H8631" s="121"/>
      <c r="I8631" s="121"/>
      <c r="J8631" s="121"/>
      <c r="K8631" s="121"/>
      <c r="L8631" s="121"/>
      <c r="M8631" s="121"/>
      <c r="N8631" s="504" t="s">
        <v>917</v>
      </c>
      <c r="O8631" s="528" t="s">
        <v>2369</v>
      </c>
      <c r="P8631" s="257"/>
      <c r="Q8631" s="321"/>
      <c r="R8631" s="260"/>
      <c r="S8631" s="260"/>
      <c r="T8631" s="260"/>
      <c r="U8631" s="260"/>
      <c r="V8631" s="260"/>
      <c r="W8631" s="261"/>
      <c r="X8631" s="260"/>
      <c r="Y8631" s="260"/>
      <c r="Z8631" s="261"/>
      <c r="AA8631"/>
      <c r="AB8631"/>
      <c r="AC8631"/>
      <c r="AD8631"/>
      <c r="AE8631"/>
      <c r="AF8631"/>
      <c r="AG8631"/>
      <c r="AH8631"/>
      <c r="AI8631"/>
      <c r="AJ8631"/>
      <c r="AK8631"/>
      <c r="AL8631"/>
      <c r="AM8631"/>
      <c r="AN8631"/>
    </row>
    <row r="8632" spans="1:40" s="47" customFormat="1">
      <c r="A8632" s="121"/>
      <c r="B8632" s="121"/>
      <c r="C8632" s="121"/>
      <c r="D8632" s="121"/>
      <c r="E8632" s="121"/>
      <c r="F8632" s="121"/>
      <c r="G8632" s="121"/>
      <c r="H8632" s="121"/>
      <c r="I8632" s="121"/>
      <c r="J8632" s="121"/>
      <c r="K8632" s="121"/>
      <c r="L8632" s="121"/>
      <c r="M8632" s="121"/>
      <c r="N8632" s="504" t="s">
        <v>761</v>
      </c>
      <c r="O8632" s="527" t="s">
        <v>862</v>
      </c>
      <c r="P8632" s="257"/>
      <c r="Q8632" s="321"/>
      <c r="R8632" s="260"/>
      <c r="S8632" s="260"/>
      <c r="T8632" s="260"/>
      <c r="U8632" s="260"/>
      <c r="V8632" s="260"/>
      <c r="W8632" s="261"/>
      <c r="X8632" s="260"/>
      <c r="Y8632" s="260"/>
      <c r="Z8632" s="261"/>
      <c r="AA8632"/>
      <c r="AB8632"/>
      <c r="AC8632"/>
      <c r="AD8632"/>
      <c r="AE8632"/>
      <c r="AF8632"/>
      <c r="AG8632"/>
      <c r="AH8632"/>
      <c r="AI8632"/>
      <c r="AJ8632"/>
      <c r="AK8632"/>
      <c r="AL8632"/>
      <c r="AM8632"/>
      <c r="AN8632"/>
    </row>
    <row r="8633" spans="1:40" s="47" customFormat="1">
      <c r="A8633" s="121"/>
      <c r="B8633" s="121"/>
      <c r="C8633" s="121"/>
      <c r="D8633" s="121"/>
      <c r="E8633" s="121"/>
      <c r="F8633" s="121"/>
      <c r="G8633" s="121"/>
      <c r="H8633" s="121"/>
      <c r="I8633" s="121"/>
      <c r="J8633" s="121"/>
      <c r="K8633" s="121"/>
      <c r="L8633" s="121"/>
      <c r="M8633" s="121"/>
      <c r="N8633" s="504" t="s">
        <v>762</v>
      </c>
      <c r="O8633" s="527" t="s">
        <v>864</v>
      </c>
      <c r="P8633" s="257"/>
      <c r="Q8633" s="321"/>
      <c r="R8633" s="260"/>
      <c r="S8633" s="260"/>
      <c r="T8633" s="260"/>
      <c r="U8633" s="260"/>
      <c r="V8633" s="260"/>
      <c r="W8633" s="261"/>
      <c r="X8633" s="260"/>
      <c r="Y8633" s="260"/>
      <c r="Z8633" s="261"/>
      <c r="AA8633"/>
      <c r="AB8633"/>
      <c r="AC8633"/>
      <c r="AD8633"/>
      <c r="AE8633"/>
      <c r="AF8633"/>
      <c r="AG8633"/>
      <c r="AH8633"/>
      <c r="AI8633"/>
      <c r="AJ8633"/>
      <c r="AK8633"/>
      <c r="AL8633"/>
      <c r="AM8633"/>
      <c r="AN8633"/>
    </row>
    <row r="8634" spans="1:40" s="47" customFormat="1">
      <c r="A8634" s="121"/>
      <c r="B8634" s="121"/>
      <c r="C8634" s="121"/>
      <c r="D8634" s="121"/>
      <c r="E8634" s="121"/>
      <c r="F8634" s="121"/>
      <c r="G8634" s="121"/>
      <c r="H8634" s="121"/>
      <c r="I8634" s="121"/>
      <c r="J8634" s="121"/>
      <c r="K8634" s="121"/>
      <c r="L8634" s="121"/>
      <c r="M8634" s="121"/>
      <c r="N8634" s="504" t="s">
        <v>763</v>
      </c>
      <c r="O8634" s="527" t="s">
        <v>866</v>
      </c>
      <c r="P8634" s="257"/>
      <c r="Q8634" s="321"/>
      <c r="R8634" s="260"/>
      <c r="S8634" s="260"/>
      <c r="T8634" s="260"/>
      <c r="U8634" s="260"/>
      <c r="V8634" s="260"/>
      <c r="W8634" s="261"/>
      <c r="X8634" s="260"/>
      <c r="Y8634" s="260"/>
      <c r="Z8634" s="261"/>
      <c r="AA8634"/>
      <c r="AB8634"/>
      <c r="AC8634"/>
      <c r="AD8634"/>
      <c r="AE8634"/>
      <c r="AF8634"/>
      <c r="AG8634"/>
      <c r="AH8634"/>
      <c r="AI8634"/>
      <c r="AJ8634"/>
      <c r="AK8634"/>
      <c r="AL8634"/>
      <c r="AM8634"/>
      <c r="AN8634"/>
    </row>
    <row r="8635" spans="1:40" s="47" customFormat="1">
      <c r="A8635" s="121"/>
      <c r="B8635" s="121"/>
      <c r="C8635" s="121"/>
      <c r="D8635" s="121"/>
      <c r="E8635" s="121"/>
      <c r="F8635" s="121"/>
      <c r="G8635" s="121"/>
      <c r="H8635" s="121"/>
      <c r="I8635" s="121"/>
      <c r="J8635" s="121"/>
      <c r="K8635" s="121"/>
      <c r="L8635" s="121"/>
      <c r="M8635" s="121"/>
      <c r="N8635" s="504" t="s">
        <v>764</v>
      </c>
      <c r="O8635" s="527" t="s">
        <v>2370</v>
      </c>
      <c r="P8635" s="257"/>
      <c r="Q8635" s="321"/>
      <c r="R8635" s="260"/>
      <c r="S8635" s="260"/>
      <c r="T8635" s="260"/>
      <c r="U8635" s="260"/>
      <c r="V8635" s="260"/>
      <c r="W8635" s="257">
        <f>SUM(W8636,W8638)</f>
        <v>0</v>
      </c>
      <c r="X8635" s="260"/>
      <c r="Y8635" s="260"/>
      <c r="Z8635" s="257">
        <f>SUM(Z8636,Z8638)</f>
        <v>0</v>
      </c>
      <c r="AA8635"/>
      <c r="AB8635"/>
      <c r="AC8635"/>
      <c r="AD8635"/>
      <c r="AE8635"/>
      <c r="AF8635"/>
      <c r="AG8635"/>
      <c r="AH8635"/>
      <c r="AI8635"/>
      <c r="AJ8635"/>
      <c r="AK8635"/>
      <c r="AL8635"/>
      <c r="AM8635"/>
      <c r="AN8635"/>
    </row>
    <row r="8636" spans="1:40" s="47" customFormat="1">
      <c r="A8636" s="121"/>
      <c r="B8636" s="121"/>
      <c r="C8636" s="121"/>
      <c r="D8636" s="121"/>
      <c r="E8636" s="121"/>
      <c r="F8636" s="121"/>
      <c r="G8636" s="121"/>
      <c r="H8636" s="121"/>
      <c r="I8636" s="121"/>
      <c r="J8636" s="121"/>
      <c r="K8636" s="121"/>
      <c r="L8636" s="121"/>
      <c r="M8636" s="121"/>
      <c r="N8636" s="504" t="s">
        <v>2371</v>
      </c>
      <c r="O8636" s="528" t="s">
        <v>2372</v>
      </c>
      <c r="P8636" s="257"/>
      <c r="Q8636" s="321"/>
      <c r="R8636" s="260"/>
      <c r="S8636" s="260"/>
      <c r="T8636" s="260"/>
      <c r="U8636" s="260"/>
      <c r="V8636" s="260"/>
      <c r="W8636" s="261"/>
      <c r="X8636" s="260"/>
      <c r="Y8636" s="260"/>
      <c r="Z8636" s="261"/>
      <c r="AA8636"/>
      <c r="AB8636"/>
      <c r="AC8636"/>
      <c r="AD8636"/>
      <c r="AE8636"/>
      <c r="AF8636"/>
      <c r="AG8636"/>
      <c r="AH8636"/>
      <c r="AI8636"/>
      <c r="AJ8636"/>
      <c r="AK8636"/>
      <c r="AL8636"/>
      <c r="AM8636"/>
      <c r="AN8636"/>
    </row>
    <row r="8637" spans="1:40" s="47" customFormat="1">
      <c r="A8637" s="121"/>
      <c r="B8637" s="121"/>
      <c r="C8637" s="121"/>
      <c r="D8637" s="121"/>
      <c r="E8637" s="121"/>
      <c r="F8637" s="121"/>
      <c r="G8637" s="121"/>
      <c r="H8637" s="121"/>
      <c r="I8637" s="121"/>
      <c r="J8637" s="121"/>
      <c r="K8637" s="121"/>
      <c r="L8637" s="121"/>
      <c r="M8637" s="121"/>
      <c r="N8637" s="504" t="s">
        <v>2373</v>
      </c>
      <c r="O8637" s="538" t="s">
        <v>2374</v>
      </c>
      <c r="P8637" s="257"/>
      <c r="Q8637" s="321"/>
      <c r="R8637" s="260"/>
      <c r="S8637" s="260"/>
      <c r="T8637" s="260"/>
      <c r="U8637" s="260"/>
      <c r="V8637" s="260"/>
      <c r="W8637" s="261"/>
      <c r="X8637" s="260"/>
      <c r="Y8637" s="260"/>
      <c r="Z8637" s="261"/>
      <c r="AA8637"/>
      <c r="AB8637"/>
      <c r="AC8637"/>
      <c r="AD8637"/>
      <c r="AE8637"/>
      <c r="AF8637"/>
      <c r="AG8637"/>
      <c r="AH8637"/>
      <c r="AI8637"/>
      <c r="AJ8637"/>
      <c r="AK8637"/>
      <c r="AL8637"/>
      <c r="AM8637"/>
      <c r="AN8637"/>
    </row>
    <row r="8638" spans="1:40" s="47" customFormat="1">
      <c r="A8638" s="121"/>
      <c r="B8638" s="121"/>
      <c r="C8638" s="121"/>
      <c r="D8638" s="121"/>
      <c r="E8638" s="121"/>
      <c r="F8638" s="121"/>
      <c r="G8638" s="121"/>
      <c r="H8638" s="121"/>
      <c r="I8638" s="121"/>
      <c r="J8638" s="121"/>
      <c r="K8638" s="121"/>
      <c r="L8638" s="121"/>
      <c r="M8638" s="121"/>
      <c r="N8638" s="504" t="s">
        <v>2375</v>
      </c>
      <c r="O8638" s="528" t="s">
        <v>2376</v>
      </c>
      <c r="P8638" s="257"/>
      <c r="Q8638" s="321"/>
      <c r="R8638" s="260"/>
      <c r="S8638" s="260"/>
      <c r="T8638" s="260"/>
      <c r="U8638" s="260"/>
      <c r="V8638" s="260"/>
      <c r="W8638" s="261"/>
      <c r="X8638" s="260"/>
      <c r="Y8638" s="260"/>
      <c r="Z8638" s="261"/>
      <c r="AA8638"/>
      <c r="AB8638"/>
      <c r="AC8638"/>
      <c r="AD8638"/>
      <c r="AE8638"/>
      <c r="AF8638"/>
      <c r="AG8638"/>
      <c r="AH8638"/>
      <c r="AI8638"/>
      <c r="AJ8638"/>
      <c r="AK8638"/>
      <c r="AL8638"/>
      <c r="AM8638"/>
      <c r="AN8638"/>
    </row>
    <row r="8639" spans="1:40" s="47" customFormat="1">
      <c r="A8639" s="121"/>
      <c r="B8639" s="121"/>
      <c r="C8639" s="121"/>
      <c r="D8639" s="121"/>
      <c r="E8639" s="121"/>
      <c r="F8639" s="121"/>
      <c r="G8639" s="121"/>
      <c r="H8639" s="121"/>
      <c r="I8639" s="121"/>
      <c r="J8639" s="121"/>
      <c r="K8639" s="121"/>
      <c r="L8639" s="121"/>
      <c r="M8639" s="121"/>
      <c r="N8639" s="504" t="s">
        <v>753</v>
      </c>
      <c r="O8639" s="527" t="s">
        <v>2377</v>
      </c>
      <c r="P8639" s="257"/>
      <c r="Q8639" s="321"/>
      <c r="R8639" s="260"/>
      <c r="S8639" s="260"/>
      <c r="T8639" s="260"/>
      <c r="U8639" s="260"/>
      <c r="V8639" s="260"/>
      <c r="W8639" s="257">
        <f>SUM(W8641:W8643)</f>
        <v>0</v>
      </c>
      <c r="X8639" s="260"/>
      <c r="Y8639" s="260"/>
      <c r="Z8639" s="257">
        <f>SUM(Z8641:Z8643)</f>
        <v>0</v>
      </c>
      <c r="AA8639"/>
      <c r="AB8639"/>
      <c r="AC8639"/>
      <c r="AD8639"/>
      <c r="AE8639"/>
      <c r="AF8639"/>
      <c r="AG8639"/>
      <c r="AH8639"/>
      <c r="AI8639"/>
      <c r="AJ8639"/>
      <c r="AK8639"/>
      <c r="AL8639"/>
      <c r="AM8639"/>
      <c r="AN8639"/>
    </row>
    <row r="8640" spans="1:40" s="47" customFormat="1">
      <c r="A8640" s="121"/>
      <c r="B8640" s="121"/>
      <c r="C8640" s="121"/>
      <c r="D8640" s="121"/>
      <c r="E8640" s="121"/>
      <c r="F8640" s="121"/>
      <c r="G8640" s="121"/>
      <c r="H8640" s="121"/>
      <c r="I8640" s="121"/>
      <c r="J8640" s="121"/>
      <c r="K8640" s="121"/>
      <c r="L8640" s="121"/>
      <c r="M8640" s="121"/>
      <c r="N8640" s="240" t="s">
        <v>352</v>
      </c>
      <c r="O8640" s="563" t="s">
        <v>288</v>
      </c>
      <c r="P8640" s="257"/>
      <c r="Q8640" s="321"/>
      <c r="R8640" s="260"/>
      <c r="S8640" s="260"/>
      <c r="T8640" s="260"/>
      <c r="U8640" s="260"/>
      <c r="V8640" s="260"/>
      <c r="W8640" s="261"/>
      <c r="X8640" s="260"/>
      <c r="Y8640" s="260"/>
      <c r="Z8640" s="261"/>
      <c r="AA8640"/>
      <c r="AB8640"/>
      <c r="AC8640"/>
      <c r="AD8640"/>
      <c r="AE8640"/>
      <c r="AF8640"/>
      <c r="AG8640"/>
      <c r="AH8640"/>
      <c r="AI8640"/>
      <c r="AJ8640"/>
      <c r="AK8640"/>
      <c r="AL8640"/>
      <c r="AM8640"/>
      <c r="AN8640"/>
    </row>
    <row r="8641" spans="1:40" s="47" customFormat="1">
      <c r="A8641" s="121"/>
      <c r="B8641" s="121"/>
      <c r="C8641" s="121"/>
      <c r="D8641" s="121"/>
      <c r="E8641" s="121"/>
      <c r="F8641" s="121"/>
      <c r="G8641" s="121"/>
      <c r="H8641" s="121"/>
      <c r="I8641" s="121"/>
      <c r="J8641" s="121"/>
      <c r="K8641" s="121"/>
      <c r="L8641" s="121"/>
      <c r="M8641" s="121"/>
      <c r="N8641" s="504" t="s">
        <v>766</v>
      </c>
      <c r="O8641" s="537" t="s">
        <v>847</v>
      </c>
      <c r="P8641" s="257"/>
      <c r="Q8641" s="321"/>
      <c r="R8641" s="260"/>
      <c r="S8641" s="260"/>
      <c r="T8641" s="260"/>
      <c r="U8641" s="260"/>
      <c r="V8641" s="260"/>
      <c r="W8641" s="261"/>
      <c r="X8641" s="260"/>
      <c r="Y8641" s="260"/>
      <c r="Z8641" s="261"/>
      <c r="AA8641"/>
      <c r="AB8641"/>
      <c r="AC8641"/>
      <c r="AD8641"/>
      <c r="AE8641"/>
      <c r="AF8641"/>
      <c r="AG8641"/>
      <c r="AH8641"/>
      <c r="AI8641"/>
      <c r="AJ8641"/>
      <c r="AK8641"/>
      <c r="AL8641"/>
      <c r="AM8641"/>
      <c r="AN8641"/>
    </row>
    <row r="8642" spans="1:40" s="47" customFormat="1" ht="22.5">
      <c r="A8642" s="121"/>
      <c r="B8642" s="121"/>
      <c r="C8642" s="121"/>
      <c r="D8642" s="121"/>
      <c r="E8642" s="121"/>
      <c r="F8642" s="121"/>
      <c r="G8642" s="121"/>
      <c r="H8642" s="121"/>
      <c r="I8642" s="121"/>
      <c r="J8642" s="121"/>
      <c r="K8642" s="121"/>
      <c r="L8642" s="121"/>
      <c r="M8642" s="121"/>
      <c r="N8642" s="504" t="s">
        <v>768</v>
      </c>
      <c r="O8642" s="688" t="s">
        <v>1688</v>
      </c>
      <c r="P8642" s="257"/>
      <c r="Q8642" s="321"/>
      <c r="R8642" s="260"/>
      <c r="S8642" s="260"/>
      <c r="T8642" s="260"/>
      <c r="U8642" s="260"/>
      <c r="V8642" s="260"/>
      <c r="W8642" s="257">
        <f>W8662</f>
        <v>0</v>
      </c>
      <c r="X8642" s="260"/>
      <c r="Y8642" s="260"/>
      <c r="Z8642" s="257">
        <f>Z8662</f>
        <v>0</v>
      </c>
      <c r="AA8642"/>
      <c r="AB8642"/>
      <c r="AC8642"/>
      <c r="AD8642"/>
      <c r="AE8642"/>
      <c r="AF8642"/>
      <c r="AG8642"/>
      <c r="AH8642"/>
      <c r="AI8642"/>
      <c r="AJ8642"/>
      <c r="AK8642"/>
      <c r="AL8642"/>
      <c r="AM8642"/>
      <c r="AN8642"/>
    </row>
    <row r="8643" spans="1:40" s="47" customFormat="1" ht="22.5">
      <c r="A8643" s="121"/>
      <c r="B8643" s="121"/>
      <c r="C8643" s="121"/>
      <c r="D8643" s="121"/>
      <c r="E8643" s="121"/>
      <c r="F8643" s="121"/>
      <c r="G8643" s="121"/>
      <c r="H8643" s="121"/>
      <c r="I8643" s="121"/>
      <c r="J8643" s="121"/>
      <c r="K8643" s="121"/>
      <c r="L8643" s="121"/>
      <c r="M8643" s="121"/>
      <c r="N8643" s="504" t="s">
        <v>84</v>
      </c>
      <c r="O8643" s="537" t="s">
        <v>1689</v>
      </c>
      <c r="P8643" s="257"/>
      <c r="Q8643" s="321"/>
      <c r="R8643" s="260"/>
      <c r="S8643" s="260"/>
      <c r="T8643" s="260"/>
      <c r="U8643" s="260"/>
      <c r="V8643" s="260"/>
      <c r="W8643" s="261"/>
      <c r="X8643" s="260"/>
      <c r="Y8643" s="260"/>
      <c r="Z8643" s="261"/>
      <c r="AA8643"/>
      <c r="AB8643"/>
      <c r="AC8643"/>
      <c r="AD8643"/>
      <c r="AE8643"/>
      <c r="AF8643"/>
      <c r="AG8643"/>
      <c r="AH8643"/>
      <c r="AI8643"/>
      <c r="AJ8643"/>
      <c r="AK8643"/>
      <c r="AL8643"/>
      <c r="AM8643"/>
      <c r="AN8643"/>
    </row>
    <row r="8644" spans="1:40" s="47" customFormat="1">
      <c r="A8644" s="121"/>
      <c r="B8644" s="121"/>
      <c r="C8644" s="121"/>
      <c r="D8644" s="121"/>
      <c r="E8644" s="121"/>
      <c r="F8644" s="121"/>
      <c r="G8644" s="121"/>
      <c r="H8644" s="121"/>
      <c r="I8644" s="121"/>
      <c r="J8644" s="121"/>
      <c r="K8644" s="121"/>
      <c r="L8644" s="121"/>
      <c r="M8644" s="121"/>
      <c r="N8644" s="504" t="s">
        <v>769</v>
      </c>
      <c r="O8644" s="539" t="s">
        <v>851</v>
      </c>
      <c r="P8644" s="257"/>
      <c r="Q8644" s="321"/>
      <c r="R8644" s="260"/>
      <c r="S8644" s="260"/>
      <c r="T8644" s="260"/>
      <c r="U8644" s="260"/>
      <c r="V8644" s="260"/>
      <c r="W8644" s="261"/>
      <c r="X8644" s="260"/>
      <c r="Y8644" s="260"/>
      <c r="Z8644" s="261"/>
      <c r="AA8644"/>
      <c r="AB8644"/>
      <c r="AC8644"/>
      <c r="AD8644"/>
      <c r="AE8644"/>
      <c r="AF8644"/>
      <c r="AG8644"/>
      <c r="AH8644"/>
      <c r="AI8644"/>
      <c r="AJ8644"/>
      <c r="AK8644"/>
      <c r="AL8644"/>
      <c r="AM8644"/>
      <c r="AN8644"/>
    </row>
    <row r="8645" spans="1:40" s="47" customFormat="1">
      <c r="A8645" s="121"/>
      <c r="B8645" s="121"/>
      <c r="C8645" s="121"/>
      <c r="D8645" s="121"/>
      <c r="E8645" s="121"/>
      <c r="F8645" s="121"/>
      <c r="G8645" s="121"/>
      <c r="H8645" s="121"/>
      <c r="I8645" s="121"/>
      <c r="J8645" s="121"/>
      <c r="K8645" s="121"/>
      <c r="L8645" s="121"/>
      <c r="M8645" s="121"/>
      <c r="N8645" s="504" t="s">
        <v>3072</v>
      </c>
      <c r="O8645" s="526" t="s">
        <v>1690</v>
      </c>
      <c r="P8645" s="257"/>
      <c r="Q8645" s="321"/>
      <c r="R8645" s="260"/>
      <c r="S8645" s="260"/>
      <c r="T8645" s="260"/>
      <c r="U8645" s="260"/>
      <c r="V8645" s="260"/>
      <c r="W8645" s="261"/>
      <c r="X8645" s="260"/>
      <c r="Y8645" s="260"/>
      <c r="Z8645" s="261"/>
      <c r="AA8645"/>
      <c r="AB8645"/>
      <c r="AC8645"/>
      <c r="AD8645"/>
      <c r="AE8645"/>
      <c r="AF8645"/>
      <c r="AG8645"/>
      <c r="AH8645"/>
      <c r="AI8645"/>
      <c r="AJ8645"/>
      <c r="AK8645"/>
      <c r="AL8645"/>
      <c r="AM8645"/>
      <c r="AN8645"/>
    </row>
    <row r="8646" spans="1:40" s="47" customFormat="1">
      <c r="A8646" s="121"/>
      <c r="B8646" s="121"/>
      <c r="C8646" s="121"/>
      <c r="D8646" s="121"/>
      <c r="E8646" s="121"/>
      <c r="F8646" s="121"/>
      <c r="G8646" s="121"/>
      <c r="H8646" s="121"/>
      <c r="I8646" s="121"/>
      <c r="J8646" s="121"/>
      <c r="K8646" s="121"/>
      <c r="L8646" s="121"/>
      <c r="M8646" s="121"/>
      <c r="N8646" s="504" t="s">
        <v>2412</v>
      </c>
      <c r="O8646" s="604" t="s">
        <v>1691</v>
      </c>
      <c r="P8646" s="257"/>
      <c r="Q8646" s="321"/>
      <c r="R8646" s="260"/>
      <c r="S8646" s="260"/>
      <c r="T8646" s="260"/>
      <c r="U8646" s="260"/>
      <c r="V8646" s="260"/>
      <c r="W8646" s="257">
        <f>W8531+W8629+W8639-W8644-W8645</f>
        <v>0</v>
      </c>
      <c r="X8646" s="260"/>
      <c r="Y8646" s="260"/>
      <c r="Z8646" s="257">
        <f>Z8531+Z8629+Z8639-Z8644-Z8645</f>
        <v>0</v>
      </c>
      <c r="AA8646"/>
      <c r="AB8646"/>
      <c r="AC8646"/>
      <c r="AD8646"/>
      <c r="AE8646"/>
      <c r="AF8646"/>
      <c r="AG8646"/>
      <c r="AH8646"/>
      <c r="AI8646"/>
      <c r="AJ8646"/>
      <c r="AK8646"/>
      <c r="AL8646"/>
      <c r="AM8646"/>
      <c r="AN8646"/>
    </row>
    <row r="8647" spans="1:40" s="47" customFormat="1">
      <c r="A8647" s="121"/>
      <c r="B8647" s="121"/>
      <c r="C8647" s="121"/>
      <c r="D8647" s="121"/>
      <c r="E8647" s="121"/>
      <c r="F8647" s="121"/>
      <c r="G8647" s="121"/>
      <c r="H8647" s="121"/>
      <c r="I8647" s="121"/>
      <c r="J8647" s="121"/>
      <c r="K8647" s="121"/>
      <c r="L8647" s="121"/>
      <c r="M8647" s="121"/>
      <c r="N8647" s="504" t="s">
        <v>2427</v>
      </c>
      <c r="O8647" s="604" t="s">
        <v>1692</v>
      </c>
      <c r="P8647" s="257"/>
      <c r="Q8647" s="321"/>
      <c r="R8647" s="260"/>
      <c r="S8647" s="260"/>
      <c r="T8647" s="260"/>
      <c r="U8647" s="260"/>
      <c r="V8647" s="260"/>
      <c r="W8647" s="257">
        <f>IF(U$13="да",W8646*1.18,W8646)</f>
        <v>0</v>
      </c>
      <c r="X8647" s="260"/>
      <c r="Y8647" s="260"/>
      <c r="Z8647" s="257">
        <f>IF(X$13="да",Z8646*1.18,Z8646)</f>
        <v>0</v>
      </c>
      <c r="AA8647"/>
      <c r="AB8647"/>
      <c r="AC8647"/>
      <c r="AD8647"/>
      <c r="AE8647"/>
      <c r="AF8647"/>
      <c r="AG8647"/>
      <c r="AH8647"/>
      <c r="AI8647"/>
      <c r="AJ8647"/>
      <c r="AK8647"/>
      <c r="AL8647"/>
      <c r="AM8647"/>
      <c r="AN8647"/>
    </row>
    <row r="8648" spans="1:40" s="47" customFormat="1">
      <c r="A8648" s="121"/>
      <c r="B8648" s="121"/>
      <c r="C8648" s="121"/>
      <c r="D8648" s="121"/>
      <c r="E8648" s="121"/>
      <c r="F8648" s="121"/>
      <c r="G8648" s="121"/>
      <c r="H8648" s="121"/>
      <c r="I8648" s="121"/>
      <c r="J8648" s="121"/>
      <c r="K8648" s="121"/>
      <c r="L8648" s="121"/>
      <c r="M8648" s="121"/>
      <c r="N8648" s="504" t="s">
        <v>2431</v>
      </c>
      <c r="O8648" s="526" t="s">
        <v>1693</v>
      </c>
      <c r="P8648" s="257"/>
      <c r="Q8648" s="321"/>
      <c r="R8648" s="260"/>
      <c r="S8648" s="260"/>
      <c r="T8648" s="260"/>
      <c r="U8648" s="260"/>
      <c r="V8648" s="260"/>
      <c r="W8648" s="261"/>
      <c r="X8648" s="260"/>
      <c r="Y8648" s="260"/>
      <c r="Z8648" s="261"/>
      <c r="AA8648"/>
      <c r="AB8648"/>
      <c r="AC8648"/>
      <c r="AD8648"/>
      <c r="AE8648"/>
      <c r="AF8648"/>
      <c r="AG8648"/>
      <c r="AH8648"/>
      <c r="AI8648"/>
      <c r="AJ8648"/>
      <c r="AK8648"/>
      <c r="AL8648"/>
      <c r="AM8648"/>
      <c r="AN8648"/>
    </row>
    <row r="8649" spans="1:40" s="47" customFormat="1">
      <c r="A8649" s="121"/>
      <c r="B8649" s="121"/>
      <c r="C8649" s="121"/>
      <c r="D8649" s="121"/>
      <c r="E8649" s="121"/>
      <c r="F8649" s="121"/>
      <c r="G8649" s="121"/>
      <c r="H8649" s="121"/>
      <c r="I8649" s="121"/>
      <c r="J8649" s="121"/>
      <c r="K8649" s="121"/>
      <c r="L8649" s="121"/>
      <c r="M8649" s="121"/>
      <c r="N8649" s="504" t="s">
        <v>845</v>
      </c>
      <c r="O8649" s="526" t="s">
        <v>1694</v>
      </c>
      <c r="P8649" s="257"/>
      <c r="Q8649" s="321"/>
      <c r="R8649" s="260"/>
      <c r="S8649" s="260"/>
      <c r="T8649" s="260"/>
      <c r="U8649" s="260"/>
      <c r="V8649" s="260"/>
      <c r="W8649" s="257">
        <f>IF(U$13="да",W8648*1.18,W8648)</f>
        <v>0</v>
      </c>
      <c r="X8649" s="260"/>
      <c r="Y8649" s="260"/>
      <c r="Z8649" s="257">
        <f>IF(X$13="да",Z8648*1.18,Z8648)</f>
        <v>0</v>
      </c>
      <c r="AA8649"/>
      <c r="AB8649"/>
      <c r="AC8649"/>
      <c r="AD8649"/>
      <c r="AE8649"/>
      <c r="AF8649"/>
      <c r="AG8649"/>
      <c r="AH8649"/>
      <c r="AI8649"/>
      <c r="AJ8649"/>
      <c r="AK8649"/>
      <c r="AL8649"/>
      <c r="AM8649"/>
      <c r="AN8649"/>
    </row>
    <row r="8650" spans="1:40" s="47" customFormat="1">
      <c r="A8650" s="121"/>
      <c r="B8650" s="121"/>
      <c r="C8650" s="121"/>
      <c r="D8650" s="121"/>
      <c r="E8650" s="121"/>
      <c r="F8650" s="121"/>
      <c r="G8650" s="121"/>
      <c r="H8650" s="121"/>
      <c r="I8650" s="121"/>
      <c r="J8650" s="121"/>
      <c r="K8650" s="121"/>
      <c r="L8650" s="121"/>
      <c r="M8650" s="121"/>
      <c r="N8650" s="504" t="s">
        <v>3005</v>
      </c>
      <c r="O8650" s="604" t="s">
        <v>1695</v>
      </c>
      <c r="P8650" s="257"/>
      <c r="Q8650" s="321"/>
      <c r="R8650" s="260"/>
      <c r="S8650" s="260"/>
      <c r="T8650" s="260"/>
      <c r="U8650" s="260"/>
      <c r="V8650" s="260"/>
      <c r="W8650" s="554">
        <f>W8647+W8649</f>
        <v>0</v>
      </c>
      <c r="X8650" s="260"/>
      <c r="Y8650" s="260"/>
      <c r="Z8650" s="554">
        <f>Z8647+Z8649</f>
        <v>0</v>
      </c>
      <c r="AA8650"/>
      <c r="AB8650"/>
      <c r="AC8650"/>
      <c r="AD8650"/>
      <c r="AE8650"/>
      <c r="AF8650"/>
      <c r="AG8650"/>
      <c r="AH8650"/>
      <c r="AI8650"/>
      <c r="AJ8650"/>
      <c r="AK8650"/>
      <c r="AL8650"/>
      <c r="AM8650"/>
      <c r="AN8650"/>
    </row>
    <row r="8651" spans="1:40" s="47" customFormat="1">
      <c r="A8651" s="121"/>
      <c r="B8651" s="121"/>
      <c r="C8651" s="121"/>
      <c r="D8651" s="121"/>
      <c r="E8651" s="121"/>
      <c r="F8651" s="121"/>
      <c r="G8651" s="121"/>
      <c r="H8651" s="121"/>
      <c r="I8651" s="121"/>
      <c r="J8651" s="121"/>
      <c r="K8651" s="121"/>
      <c r="L8651" s="121"/>
      <c r="M8651" s="121"/>
      <c r="N8651" s="504"/>
      <c r="O8651" s="526"/>
      <c r="P8651" s="285"/>
      <c r="Q8651" s="321"/>
      <c r="R8651" s="260"/>
      <c r="S8651" s="260"/>
      <c r="T8651" s="260"/>
      <c r="U8651" s="260"/>
      <c r="V8651" s="260"/>
      <c r="W8651" s="260"/>
      <c r="X8651" s="260"/>
      <c r="Y8651" s="260"/>
      <c r="Z8651" s="260"/>
      <c r="AA8651"/>
      <c r="AB8651"/>
      <c r="AC8651"/>
      <c r="AD8651"/>
      <c r="AE8651"/>
      <c r="AF8651"/>
      <c r="AG8651"/>
      <c r="AH8651"/>
      <c r="AI8651"/>
      <c r="AJ8651"/>
      <c r="AK8651"/>
      <c r="AL8651"/>
      <c r="AM8651"/>
      <c r="AN8651"/>
    </row>
    <row r="8652" spans="1:40" s="47" customFormat="1" hidden="1">
      <c r="A8652" s="121"/>
      <c r="B8652" s="121"/>
      <c r="C8652" s="121"/>
      <c r="D8652" s="121"/>
      <c r="E8652" s="121"/>
      <c r="F8652" s="121"/>
      <c r="G8652" s="121"/>
      <c r="H8652" s="121"/>
      <c r="I8652" s="121"/>
      <c r="J8652" s="121"/>
      <c r="K8652" s="121"/>
      <c r="L8652" s="121"/>
      <c r="M8652" s="121"/>
      <c r="N8652" s="504"/>
      <c r="O8652" s="540"/>
      <c r="P8652" s="285"/>
      <c r="Q8652" s="321"/>
      <c r="R8652" s="260"/>
      <c r="S8652" s="260"/>
      <c r="T8652" s="260"/>
      <c r="U8652" s="260"/>
      <c r="V8652" s="260"/>
      <c r="W8652" s="260"/>
      <c r="X8652" s="260"/>
      <c r="Y8652" s="260"/>
      <c r="Z8652" s="260"/>
      <c r="AA8652"/>
      <c r="AB8652"/>
      <c r="AC8652"/>
      <c r="AD8652"/>
      <c r="AE8652"/>
      <c r="AF8652"/>
      <c r="AG8652"/>
      <c r="AH8652"/>
      <c r="AI8652"/>
      <c r="AJ8652"/>
      <c r="AK8652"/>
      <c r="AL8652"/>
      <c r="AM8652"/>
      <c r="AN8652"/>
    </row>
    <row r="8653" spans="1:40" s="47" customFormat="1" hidden="1">
      <c r="A8653" s="121"/>
      <c r="B8653" s="121"/>
      <c r="C8653" s="121"/>
      <c r="D8653" s="121"/>
      <c r="E8653" s="121"/>
      <c r="F8653" s="121"/>
      <c r="G8653" s="121"/>
      <c r="H8653" s="121"/>
      <c r="I8653" s="121"/>
      <c r="J8653" s="121"/>
      <c r="K8653" s="121"/>
      <c r="L8653" s="121"/>
      <c r="M8653" s="121"/>
      <c r="N8653" s="504"/>
      <c r="O8653" s="526"/>
      <c r="P8653" s="285"/>
      <c r="Q8653" s="321"/>
      <c r="R8653" s="260"/>
      <c r="S8653" s="260"/>
      <c r="T8653" s="260"/>
      <c r="U8653" s="260"/>
      <c r="V8653" s="260"/>
      <c r="W8653" s="260"/>
      <c r="X8653" s="260"/>
      <c r="Y8653" s="260"/>
      <c r="Z8653" s="260"/>
      <c r="AA8653"/>
      <c r="AB8653"/>
      <c r="AC8653"/>
      <c r="AD8653"/>
      <c r="AE8653"/>
      <c r="AF8653"/>
      <c r="AG8653"/>
      <c r="AH8653"/>
      <c r="AI8653"/>
      <c r="AJ8653"/>
      <c r="AK8653"/>
      <c r="AL8653"/>
      <c r="AM8653"/>
      <c r="AN8653"/>
    </row>
    <row r="8654" spans="1:40" s="47" customFormat="1">
      <c r="A8654" s="121"/>
      <c r="B8654" s="121"/>
      <c r="C8654" s="121"/>
      <c r="D8654" s="121"/>
      <c r="E8654" s="121"/>
      <c r="F8654" s="121"/>
      <c r="G8654" s="121"/>
      <c r="H8654" s="121"/>
      <c r="I8654" s="121"/>
      <c r="J8654" s="121"/>
      <c r="K8654" s="121"/>
      <c r="L8654" s="121"/>
      <c r="M8654" s="121"/>
      <c r="N8654" s="223"/>
      <c r="O8654" s="503"/>
      <c r="P8654" s="285"/>
      <c r="Q8654" s="321"/>
      <c r="R8654" s="260"/>
      <c r="S8654" s="260"/>
      <c r="T8654" s="260"/>
      <c r="U8654" s="260"/>
      <c r="V8654" s="260"/>
      <c r="W8654" s="260"/>
      <c r="X8654" s="260"/>
      <c r="Y8654" s="260"/>
      <c r="Z8654" s="260"/>
      <c r="AA8654"/>
      <c r="AB8654"/>
      <c r="AC8654"/>
      <c r="AD8654"/>
      <c r="AE8654"/>
      <c r="AF8654"/>
      <c r="AG8654"/>
      <c r="AH8654"/>
      <c r="AI8654"/>
      <c r="AJ8654"/>
      <c r="AK8654"/>
      <c r="AL8654"/>
      <c r="AM8654"/>
      <c r="AN8654"/>
    </row>
    <row r="8655" spans="1:40" s="47" customFormat="1">
      <c r="A8655" s="121"/>
      <c r="B8655" s="121"/>
      <c r="C8655" s="121"/>
      <c r="D8655" s="121"/>
      <c r="E8655" s="121"/>
      <c r="F8655" s="121"/>
      <c r="G8655" s="121"/>
      <c r="H8655" s="121"/>
      <c r="I8655" s="121"/>
      <c r="J8655" s="121"/>
      <c r="K8655" s="121"/>
      <c r="L8655" s="121"/>
      <c r="M8655" s="121"/>
      <c r="N8655" s="223" t="s">
        <v>790</v>
      </c>
      <c r="O8655" s="685" t="str">
        <f>IF(TEMPLATE_SPHERE="водоснабжения","Изменение объёмов отпуска воды (тыс. куб.м)",IF(TEMPLATE_SPHERE="водоотведения","Изменение объёмов сточных вод, всего (тыс. куб.м)"))</f>
        <v>Изменение объёмов сточных вод, всего (тыс. куб.м)</v>
      </c>
      <c r="P8655" s="285"/>
      <c r="Q8655" s="321"/>
      <c r="R8655" s="260"/>
      <c r="S8655" s="260"/>
      <c r="T8655" s="260"/>
      <c r="U8655" s="260"/>
      <c r="V8655" s="260"/>
      <c r="W8655" s="254"/>
      <c r="X8655" s="260"/>
      <c r="Y8655" s="260"/>
      <c r="Z8655" s="545">
        <f>SUM(Z8656:Z8660)</f>
        <v>0</v>
      </c>
      <c r="AA8655"/>
      <c r="AB8655"/>
      <c r="AC8655"/>
      <c r="AD8655"/>
      <c r="AE8655"/>
      <c r="AF8655"/>
      <c r="AG8655"/>
      <c r="AH8655"/>
      <c r="AI8655"/>
      <c r="AJ8655"/>
      <c r="AK8655"/>
      <c r="AL8655"/>
      <c r="AM8655"/>
      <c r="AN8655"/>
    </row>
    <row r="8656" spans="1:40" s="47" customFormat="1" ht="22.5">
      <c r="A8656" s="121"/>
      <c r="B8656" s="121"/>
      <c r="C8656" s="121"/>
      <c r="D8656" s="121"/>
      <c r="E8656" s="121"/>
      <c r="F8656" s="121"/>
      <c r="G8656" s="121"/>
      <c r="H8656" s="121"/>
      <c r="I8656" s="121"/>
      <c r="J8656" s="121"/>
      <c r="K8656" s="121"/>
      <c r="L8656" s="121"/>
      <c r="M8656" s="121"/>
      <c r="N8656" s="223" t="s">
        <v>2501</v>
      </c>
      <c r="O8656" s="686" t="str">
        <f>IF(TEMPLATE_SPHERE="водоснабжения","Изменение объёма отпуска воды на нужды предприятия (тыс. куб.м)",IF(TEMPLATE_SPHERE="водоотведения","Изменение объёма пропускаемых стоков на хозяйственные нужды (тыс. куб.м)"))</f>
        <v>Изменение объёма пропускаемых стоков на хозяйственные нужды (тыс. куб.м)</v>
      </c>
      <c r="P8656" s="285"/>
      <c r="Q8656" s="321"/>
      <c r="R8656" s="260"/>
      <c r="S8656" s="260"/>
      <c r="T8656" s="260"/>
      <c r="U8656" s="260"/>
      <c r="V8656" s="260"/>
      <c r="W8656" s="254"/>
      <c r="X8656" s="260"/>
      <c r="Y8656" s="260"/>
      <c r="Z8656" s="261"/>
      <c r="AA8656"/>
      <c r="AB8656"/>
      <c r="AC8656"/>
      <c r="AD8656"/>
      <c r="AE8656"/>
      <c r="AF8656"/>
      <c r="AG8656"/>
      <c r="AH8656"/>
      <c r="AI8656"/>
      <c r="AJ8656"/>
      <c r="AK8656"/>
      <c r="AL8656"/>
      <c r="AM8656"/>
      <c r="AN8656"/>
    </row>
    <row r="8657" spans="1:40" s="47" customFormat="1">
      <c r="A8657" s="121"/>
      <c r="B8657" s="121"/>
      <c r="C8657" s="121"/>
      <c r="D8657" s="121"/>
      <c r="E8657" s="121"/>
      <c r="F8657" s="121"/>
      <c r="G8657" s="121"/>
      <c r="H8657" s="121"/>
      <c r="I8657" s="121"/>
      <c r="J8657" s="121"/>
      <c r="K8657" s="121"/>
      <c r="L8657" s="121"/>
      <c r="M8657" s="121"/>
      <c r="N8657" s="223" t="s">
        <v>2502</v>
      </c>
      <c r="O8657" s="686" t="str">
        <f>IF(TEMPLATE_SPHERE="водоснабжения","Изменение объёма отпуска воды другим водопроводам (тыс. куб.м)",IF(TEMPLATE_SPHERE="водоотведения","Изменение объёма передачи стоков другим канализациям (тыс. куб.м)"))</f>
        <v>Изменение объёма передачи стоков другим канализациям (тыс. куб.м)</v>
      </c>
      <c r="P8657" s="285"/>
      <c r="Q8657" s="321"/>
      <c r="R8657" s="260"/>
      <c r="S8657" s="260"/>
      <c r="T8657" s="260"/>
      <c r="U8657" s="260"/>
      <c r="V8657" s="260"/>
      <c r="W8657" s="254"/>
      <c r="X8657" s="260"/>
      <c r="Y8657" s="260"/>
      <c r="Z8657" s="261"/>
      <c r="AA8657"/>
      <c r="AB8657"/>
      <c r="AC8657"/>
      <c r="AD8657"/>
      <c r="AE8657"/>
      <c r="AF8657"/>
      <c r="AG8657"/>
      <c r="AH8657"/>
      <c r="AI8657"/>
      <c r="AJ8657"/>
      <c r="AK8657"/>
      <c r="AL8657"/>
      <c r="AM8657"/>
      <c r="AN8657"/>
    </row>
    <row r="8658" spans="1:40" s="47" customFormat="1">
      <c r="A8658" s="121"/>
      <c r="B8658" s="121"/>
      <c r="C8658" s="121"/>
      <c r="D8658" s="121"/>
      <c r="E8658" s="121"/>
      <c r="F8658" s="121"/>
      <c r="G8658" s="121"/>
      <c r="H8658" s="121"/>
      <c r="I8658" s="121"/>
      <c r="J8658" s="121"/>
      <c r="K8658" s="121"/>
      <c r="L8658" s="121"/>
      <c r="M8658" s="121"/>
      <c r="N8658" s="223" t="s">
        <v>2503</v>
      </c>
      <c r="O8658" s="686" t="s">
        <v>520</v>
      </c>
      <c r="P8658" s="285"/>
      <c r="Q8658" s="321"/>
      <c r="R8658" s="260"/>
      <c r="S8658" s="260"/>
      <c r="T8658" s="260"/>
      <c r="U8658" s="260"/>
      <c r="V8658" s="260"/>
      <c r="W8658" s="254"/>
      <c r="X8658" s="260"/>
      <c r="Y8658" s="260"/>
      <c r="Z8658" s="261"/>
      <c r="AA8658"/>
      <c r="AB8658"/>
      <c r="AC8658"/>
      <c r="AD8658"/>
      <c r="AE8658"/>
      <c r="AF8658"/>
      <c r="AG8658"/>
      <c r="AH8658"/>
      <c r="AI8658"/>
      <c r="AJ8658"/>
      <c r="AK8658"/>
      <c r="AL8658"/>
      <c r="AM8658"/>
      <c r="AN8658"/>
    </row>
    <row r="8659" spans="1:40" s="121" customFormat="1">
      <c r="N8659" s="223" t="s">
        <v>6</v>
      </c>
      <c r="O8659" s="686" t="s">
        <v>521</v>
      </c>
      <c r="P8659" s="285"/>
      <c r="Q8659" s="321"/>
      <c r="R8659" s="260"/>
      <c r="S8659" s="260"/>
      <c r="T8659" s="260"/>
      <c r="U8659" s="260"/>
      <c r="V8659" s="260"/>
      <c r="W8659" s="254"/>
      <c r="X8659" s="260"/>
      <c r="Y8659" s="260"/>
      <c r="Z8659" s="261"/>
      <c r="AA8659"/>
      <c r="AB8659"/>
      <c r="AC8659"/>
      <c r="AD8659"/>
      <c r="AE8659"/>
      <c r="AF8659"/>
      <c r="AG8659"/>
      <c r="AH8659"/>
      <c r="AI8659"/>
      <c r="AJ8659"/>
      <c r="AK8659"/>
      <c r="AL8659"/>
      <c r="AM8659"/>
      <c r="AN8659"/>
    </row>
    <row r="8660" spans="1:40" s="121" customFormat="1">
      <c r="N8660" s="223" t="s">
        <v>7</v>
      </c>
      <c r="O8660" s="686" t="s">
        <v>522</v>
      </c>
      <c r="P8660" s="285"/>
      <c r="Q8660" s="321"/>
      <c r="R8660" s="260"/>
      <c r="S8660" s="260"/>
      <c r="T8660" s="260"/>
      <c r="U8660" s="260"/>
      <c r="V8660" s="260"/>
      <c r="W8660" s="254"/>
      <c r="X8660" s="260"/>
      <c r="Y8660" s="260"/>
      <c r="Z8660" s="261"/>
      <c r="AA8660"/>
      <c r="AB8660"/>
      <c r="AC8660"/>
      <c r="AD8660"/>
      <c r="AE8660"/>
      <c r="AF8660"/>
      <c r="AG8660"/>
      <c r="AH8660"/>
      <c r="AI8660"/>
      <c r="AJ8660"/>
      <c r="AK8660"/>
      <c r="AL8660"/>
      <c r="AM8660"/>
      <c r="AN8660"/>
    </row>
    <row r="8661" spans="1:40" s="121" customFormat="1">
      <c r="N8661" s="223" t="s">
        <v>792</v>
      </c>
      <c r="O8661" s="685" t="str">
        <f>IF(TEMPLATE_SPHERE="водоснабжения","Изменение объёма транспортировки воды (тыс. куб.м)",IF(TEMPLATE_SPHERE="водоотведения","Изменение объёма транспортировки стоков (тыс. куб.м)"))</f>
        <v>Изменение объёма транспортировки стоков (тыс. куб.м)</v>
      </c>
      <c r="P8661" s="285"/>
      <c r="Q8661" s="321"/>
      <c r="R8661" s="260"/>
      <c r="S8661" s="260"/>
      <c r="T8661" s="260"/>
      <c r="U8661" s="260"/>
      <c r="V8661" s="260"/>
      <c r="W8661" s="261"/>
      <c r="X8661" s="260"/>
      <c r="Y8661" s="260"/>
      <c r="Z8661" s="254"/>
      <c r="AA8661"/>
      <c r="AB8661"/>
      <c r="AC8661"/>
      <c r="AD8661"/>
      <c r="AE8661"/>
      <c r="AF8661"/>
      <c r="AG8661"/>
      <c r="AH8661"/>
      <c r="AI8661"/>
      <c r="AJ8661"/>
      <c r="AK8661"/>
      <c r="AL8661"/>
      <c r="AM8661"/>
      <c r="AN8661"/>
    </row>
    <row r="8662" spans="1:40" s="121" customFormat="1" ht="22.5">
      <c r="N8662" s="436" t="s">
        <v>1854</v>
      </c>
      <c r="O8662" s="687" t="s">
        <v>523</v>
      </c>
      <c r="P8662" s="285"/>
      <c r="Q8662" s="321"/>
      <c r="R8662" s="260"/>
      <c r="S8662" s="260"/>
      <c r="T8662" s="260"/>
      <c r="U8662" s="260"/>
      <c r="V8662" s="260"/>
      <c r="W8662" s="545">
        <f>SUM(W8663:W8670)</f>
        <v>0</v>
      </c>
      <c r="X8662" s="260"/>
      <c r="Y8662" s="260"/>
      <c r="Z8662" s="545">
        <f>SUM(Z8663:Z8670)</f>
        <v>0</v>
      </c>
      <c r="AA8662"/>
      <c r="AB8662"/>
      <c r="AC8662"/>
      <c r="AD8662"/>
      <c r="AE8662"/>
      <c r="AF8662"/>
      <c r="AG8662"/>
      <c r="AH8662"/>
      <c r="AI8662"/>
      <c r="AJ8662"/>
      <c r="AK8662"/>
      <c r="AL8662"/>
      <c r="AM8662"/>
      <c r="AN8662"/>
    </row>
    <row r="8663" spans="1:40" s="47" customFormat="1">
      <c r="A8663" s="121"/>
      <c r="B8663" s="121"/>
      <c r="C8663" s="121"/>
      <c r="D8663" s="121"/>
      <c r="E8663" s="121"/>
      <c r="F8663" s="121"/>
      <c r="G8663" s="121"/>
      <c r="H8663" s="121"/>
      <c r="I8663" s="121"/>
      <c r="J8663" s="121"/>
      <c r="K8663" s="121"/>
      <c r="L8663" s="121"/>
      <c r="M8663" s="121"/>
      <c r="N8663" s="236" t="s">
        <v>2466</v>
      </c>
      <c r="O8663" s="228" t="s">
        <v>2984</v>
      </c>
      <c r="P8663" s="285"/>
      <c r="Q8663" s="321"/>
      <c r="R8663" s="260"/>
      <c r="S8663" s="260"/>
      <c r="T8663" s="260"/>
      <c r="U8663" s="260"/>
      <c r="V8663" s="260"/>
      <c r="W8663" s="261"/>
      <c r="X8663" s="260"/>
      <c r="Y8663" s="260"/>
      <c r="Z8663" s="261"/>
      <c r="AA8663"/>
      <c r="AB8663"/>
      <c r="AC8663"/>
      <c r="AD8663"/>
      <c r="AE8663"/>
      <c r="AF8663"/>
      <c r="AG8663"/>
      <c r="AH8663"/>
      <c r="AI8663"/>
      <c r="AJ8663"/>
      <c r="AK8663"/>
      <c r="AL8663"/>
      <c r="AM8663"/>
      <c r="AN8663"/>
    </row>
    <row r="8664" spans="1:40" s="47" customFormat="1">
      <c r="A8664" s="121"/>
      <c r="B8664" s="121"/>
      <c r="C8664" s="121"/>
      <c r="D8664" s="121"/>
      <c r="E8664" s="121"/>
      <c r="F8664" s="121"/>
      <c r="G8664" s="121"/>
      <c r="H8664" s="121"/>
      <c r="I8664" s="121"/>
      <c r="J8664" s="121"/>
      <c r="K8664" s="121"/>
      <c r="L8664" s="121"/>
      <c r="M8664" s="121"/>
      <c r="N8664" s="236" t="s">
        <v>2467</v>
      </c>
      <c r="O8664" s="228" t="s">
        <v>2469</v>
      </c>
      <c r="P8664" s="285"/>
      <c r="Q8664" s="321"/>
      <c r="R8664" s="260"/>
      <c r="S8664" s="260"/>
      <c r="T8664" s="260"/>
      <c r="U8664" s="260"/>
      <c r="V8664" s="260"/>
      <c r="W8664" s="261"/>
      <c r="X8664" s="260"/>
      <c r="Y8664" s="260"/>
      <c r="Z8664" s="261"/>
      <c r="AA8664"/>
      <c r="AB8664"/>
      <c r="AC8664"/>
      <c r="AD8664"/>
      <c r="AE8664"/>
      <c r="AF8664"/>
      <c r="AG8664"/>
      <c r="AH8664"/>
      <c r="AI8664"/>
      <c r="AJ8664"/>
      <c r="AK8664"/>
      <c r="AL8664"/>
      <c r="AM8664"/>
      <c r="AN8664"/>
    </row>
    <row r="8665" spans="1:40" s="121" customFormat="1">
      <c r="N8665" s="236" t="s">
        <v>2468</v>
      </c>
      <c r="O8665" s="228" t="s">
        <v>2471</v>
      </c>
      <c r="P8665" s="285"/>
      <c r="Q8665" s="321"/>
      <c r="R8665" s="260"/>
      <c r="S8665" s="260"/>
      <c r="T8665" s="260"/>
      <c r="U8665" s="260"/>
      <c r="V8665" s="260"/>
      <c r="W8665" s="261"/>
      <c r="X8665" s="260"/>
      <c r="Y8665" s="260"/>
      <c r="Z8665" s="261"/>
      <c r="AA8665"/>
      <c r="AB8665"/>
      <c r="AC8665"/>
      <c r="AD8665"/>
      <c r="AE8665"/>
      <c r="AF8665"/>
      <c r="AG8665"/>
      <c r="AH8665"/>
      <c r="AI8665"/>
      <c r="AJ8665"/>
      <c r="AK8665"/>
      <c r="AL8665"/>
      <c r="AM8665"/>
      <c r="AN8665"/>
    </row>
    <row r="8666" spans="1:40" s="121" customFormat="1">
      <c r="N8666" s="236" t="s">
        <v>2470</v>
      </c>
      <c r="O8666" s="228" t="s">
        <v>2473</v>
      </c>
      <c r="P8666" s="285"/>
      <c r="Q8666" s="321"/>
      <c r="R8666" s="260"/>
      <c r="S8666" s="260"/>
      <c r="T8666" s="260"/>
      <c r="U8666" s="260"/>
      <c r="V8666" s="260"/>
      <c r="W8666" s="261"/>
      <c r="X8666" s="260"/>
      <c r="Y8666" s="260"/>
      <c r="Z8666" s="261"/>
      <c r="AA8666"/>
      <c r="AB8666"/>
      <c r="AC8666"/>
      <c r="AD8666"/>
      <c r="AE8666"/>
      <c r="AF8666"/>
      <c r="AG8666"/>
      <c r="AH8666"/>
      <c r="AI8666"/>
      <c r="AJ8666"/>
      <c r="AK8666"/>
      <c r="AL8666"/>
      <c r="AM8666"/>
      <c r="AN8666"/>
    </row>
    <row r="8667" spans="1:40" s="121" customFormat="1">
      <c r="N8667" s="236" t="s">
        <v>2472</v>
      </c>
      <c r="O8667" s="228" t="s">
        <v>2475</v>
      </c>
      <c r="P8667" s="285"/>
      <c r="Q8667" s="321"/>
      <c r="R8667" s="260"/>
      <c r="S8667" s="260"/>
      <c r="T8667" s="260"/>
      <c r="U8667" s="260"/>
      <c r="V8667" s="260"/>
      <c r="W8667" s="261"/>
      <c r="X8667" s="260"/>
      <c r="Y8667" s="260"/>
      <c r="Z8667" s="261"/>
      <c r="AA8667"/>
      <c r="AB8667"/>
      <c r="AC8667"/>
      <c r="AD8667"/>
      <c r="AE8667"/>
      <c r="AF8667"/>
      <c r="AG8667"/>
      <c r="AH8667"/>
      <c r="AI8667"/>
      <c r="AJ8667"/>
      <c r="AK8667"/>
      <c r="AL8667"/>
      <c r="AM8667"/>
      <c r="AN8667"/>
    </row>
    <row r="8668" spans="1:40" s="121" customFormat="1">
      <c r="N8668" s="236" t="s">
        <v>2474</v>
      </c>
      <c r="O8668" s="228" t="s">
        <v>2477</v>
      </c>
      <c r="P8668" s="285"/>
      <c r="Q8668" s="321"/>
      <c r="R8668" s="260"/>
      <c r="S8668" s="260"/>
      <c r="T8668" s="260"/>
      <c r="U8668" s="260"/>
      <c r="V8668" s="260"/>
      <c r="W8668" s="261"/>
      <c r="X8668" s="260"/>
      <c r="Y8668" s="260"/>
      <c r="Z8668" s="261"/>
      <c r="AA8668"/>
      <c r="AB8668"/>
      <c r="AC8668"/>
      <c r="AD8668"/>
      <c r="AE8668"/>
      <c r="AF8668"/>
      <c r="AG8668"/>
      <c r="AH8668"/>
      <c r="AI8668"/>
      <c r="AJ8668"/>
      <c r="AK8668"/>
      <c r="AL8668"/>
      <c r="AM8668"/>
      <c r="AN8668"/>
    </row>
    <row r="8669" spans="1:40" s="121" customFormat="1">
      <c r="N8669" s="236" t="s">
        <v>2476</v>
      </c>
      <c r="O8669" s="228" t="s">
        <v>866</v>
      </c>
      <c r="P8669" s="285"/>
      <c r="Q8669" s="321"/>
      <c r="R8669" s="260"/>
      <c r="S8669" s="260"/>
      <c r="T8669" s="260"/>
      <c r="U8669" s="260"/>
      <c r="V8669" s="260"/>
      <c r="W8669" s="261"/>
      <c r="X8669" s="260"/>
      <c r="Y8669" s="260"/>
      <c r="Z8669" s="261"/>
      <c r="AA8669"/>
      <c r="AB8669"/>
      <c r="AC8669"/>
      <c r="AD8669"/>
      <c r="AE8669"/>
      <c r="AF8669"/>
      <c r="AG8669"/>
      <c r="AH8669"/>
      <c r="AI8669"/>
      <c r="AJ8669"/>
      <c r="AK8669"/>
      <c r="AL8669"/>
      <c r="AM8669"/>
      <c r="AN8669"/>
    </row>
    <row r="8670" spans="1:40" s="121" customFormat="1">
      <c r="N8670" s="236" t="s">
        <v>2478</v>
      </c>
      <c r="O8670" s="682" t="s">
        <v>2479</v>
      </c>
      <c r="P8670" s="285"/>
      <c r="Q8670" s="321"/>
      <c r="R8670" s="260"/>
      <c r="S8670" s="260"/>
      <c r="T8670" s="260"/>
      <c r="U8670" s="260"/>
      <c r="V8670" s="260"/>
      <c r="W8670" s="261"/>
      <c r="X8670" s="260"/>
      <c r="Y8670" s="260"/>
      <c r="Z8670" s="261"/>
      <c r="AA8670"/>
      <c r="AB8670"/>
      <c r="AC8670"/>
      <c r="AD8670"/>
      <c r="AE8670"/>
      <c r="AF8670"/>
      <c r="AG8670"/>
      <c r="AH8670"/>
      <c r="AI8670"/>
      <c r="AJ8670"/>
      <c r="AK8670"/>
      <c r="AL8670"/>
      <c r="AM8670"/>
      <c r="AN8670"/>
    </row>
    <row r="8671" spans="1:40" s="47" customFormat="1">
      <c r="A8671" s="121"/>
      <c r="B8671" s="121"/>
      <c r="C8671" s="121"/>
      <c r="D8671" s="121"/>
      <c r="E8671" s="121"/>
      <c r="F8671" s="121"/>
      <c r="G8671" s="121"/>
      <c r="H8671" s="121"/>
      <c r="I8671" s="121"/>
      <c r="J8671" s="121"/>
      <c r="K8671" s="121"/>
      <c r="L8671" s="121"/>
      <c r="M8671" s="121"/>
      <c r="N8671" s="222"/>
      <c r="O8671" s="540"/>
      <c r="P8671" s="285"/>
      <c r="Q8671" s="321"/>
      <c r="R8671" s="260"/>
      <c r="S8671" s="260"/>
      <c r="T8671" s="260"/>
      <c r="U8671" s="260"/>
      <c r="V8671" s="260"/>
      <c r="W8671" s="260"/>
      <c r="X8671" s="260"/>
      <c r="Y8671" s="260"/>
      <c r="Z8671" s="260"/>
      <c r="AA8671"/>
      <c r="AB8671"/>
      <c r="AC8671"/>
      <c r="AD8671"/>
      <c r="AE8671"/>
      <c r="AF8671"/>
      <c r="AG8671"/>
      <c r="AH8671"/>
      <c r="AI8671"/>
      <c r="AJ8671"/>
      <c r="AK8671"/>
      <c r="AL8671"/>
      <c r="AM8671"/>
      <c r="AN8671"/>
    </row>
    <row r="8672" spans="1:40" s="121" customFormat="1" hidden="1">
      <c r="N8672" s="222"/>
      <c r="O8672" s="502"/>
      <c r="P8672" s="285"/>
      <c r="Q8672" s="321"/>
      <c r="R8672" s="260"/>
      <c r="S8672" s="260"/>
      <c r="T8672" s="260"/>
      <c r="U8672" s="260"/>
      <c r="V8672" s="260"/>
      <c r="W8672" s="260"/>
      <c r="X8672" s="260"/>
      <c r="Y8672" s="260"/>
      <c r="Z8672" s="260"/>
      <c r="AA8672"/>
      <c r="AB8672"/>
      <c r="AC8672"/>
      <c r="AD8672"/>
      <c r="AE8672"/>
      <c r="AF8672"/>
      <c r="AG8672"/>
      <c r="AH8672"/>
      <c r="AI8672"/>
      <c r="AJ8672"/>
      <c r="AK8672"/>
      <c r="AL8672"/>
      <c r="AM8672"/>
      <c r="AN8672"/>
    </row>
    <row r="8673" spans="1:40" s="121" customFormat="1" hidden="1">
      <c r="N8673" s="222"/>
      <c r="O8673" s="502"/>
      <c r="P8673" s="285"/>
      <c r="Q8673" s="321"/>
      <c r="R8673" s="260"/>
      <c r="S8673" s="260"/>
      <c r="T8673" s="260"/>
      <c r="U8673" s="260"/>
      <c r="V8673" s="260"/>
      <c r="W8673" s="260"/>
      <c r="X8673" s="260"/>
      <c r="Y8673" s="260"/>
      <c r="Z8673" s="260"/>
      <c r="AA8673"/>
      <c r="AB8673"/>
      <c r="AC8673"/>
      <c r="AD8673"/>
      <c r="AE8673"/>
      <c r="AF8673"/>
      <c r="AG8673"/>
      <c r="AH8673"/>
      <c r="AI8673"/>
      <c r="AJ8673"/>
      <c r="AK8673"/>
      <c r="AL8673"/>
      <c r="AM8673"/>
      <c r="AN8673"/>
    </row>
    <row r="8674" spans="1:40" s="121" customFormat="1" hidden="1">
      <c r="N8674" s="222"/>
      <c r="O8674" s="502"/>
      <c r="P8674" s="285"/>
      <c r="Q8674" s="321"/>
      <c r="R8674" s="260"/>
      <c r="S8674" s="260"/>
      <c r="T8674" s="260"/>
      <c r="U8674" s="260"/>
      <c r="V8674" s="260"/>
      <c r="W8674" s="260"/>
      <c r="X8674" s="260"/>
      <c r="Y8674" s="260"/>
      <c r="Z8674" s="260"/>
      <c r="AA8674"/>
      <c r="AB8674"/>
      <c r="AC8674"/>
      <c r="AD8674"/>
      <c r="AE8674"/>
      <c r="AF8674"/>
      <c r="AG8674"/>
      <c r="AH8674"/>
      <c r="AI8674"/>
      <c r="AJ8674"/>
      <c r="AK8674"/>
      <c r="AL8674"/>
      <c r="AM8674"/>
      <c r="AN8674"/>
    </row>
    <row r="8675" spans="1:40" s="121" customFormat="1" hidden="1">
      <c r="N8675" s="436"/>
      <c r="O8675" s="235"/>
      <c r="P8675" s="285"/>
      <c r="Q8675" s="321"/>
      <c r="R8675" s="260"/>
      <c r="S8675" s="260"/>
      <c r="T8675" s="260"/>
      <c r="U8675" s="260"/>
      <c r="V8675" s="260"/>
      <c r="W8675" s="260"/>
      <c r="X8675" s="260"/>
      <c r="Y8675" s="260"/>
      <c r="Z8675" s="260"/>
      <c r="AA8675"/>
      <c r="AB8675"/>
      <c r="AC8675"/>
      <c r="AD8675"/>
      <c r="AE8675"/>
      <c r="AF8675"/>
      <c r="AG8675"/>
      <c r="AH8675"/>
      <c r="AI8675"/>
      <c r="AJ8675"/>
      <c r="AK8675"/>
      <c r="AL8675"/>
      <c r="AM8675"/>
      <c r="AN8675"/>
    </row>
    <row r="8676" spans="1:40" s="121" customFormat="1" hidden="1">
      <c r="N8676" s="436"/>
      <c r="O8676" s="571"/>
      <c r="P8676" s="285"/>
      <c r="Q8676" s="321"/>
      <c r="R8676" s="260"/>
      <c r="S8676" s="260"/>
      <c r="T8676" s="260"/>
      <c r="U8676" s="260"/>
      <c r="V8676" s="260"/>
      <c r="W8676" s="260"/>
      <c r="X8676" s="260"/>
      <c r="Y8676" s="260"/>
      <c r="Z8676" s="260"/>
      <c r="AA8676"/>
      <c r="AB8676"/>
      <c r="AC8676"/>
      <c r="AD8676"/>
      <c r="AE8676"/>
      <c r="AF8676"/>
      <c r="AG8676"/>
      <c r="AH8676"/>
      <c r="AI8676"/>
      <c r="AJ8676"/>
      <c r="AK8676"/>
      <c r="AL8676"/>
      <c r="AM8676"/>
      <c r="AN8676"/>
    </row>
    <row r="8677" spans="1:40" s="47" customFormat="1" hidden="1">
      <c r="A8677" s="121"/>
      <c r="B8677" s="121"/>
      <c r="C8677" s="121"/>
      <c r="D8677" s="121"/>
      <c r="E8677" s="121"/>
      <c r="F8677" s="121"/>
      <c r="G8677" s="121"/>
      <c r="H8677" s="121"/>
      <c r="I8677" s="121"/>
      <c r="J8677" s="121"/>
      <c r="K8677" s="121"/>
      <c r="L8677" s="121"/>
      <c r="M8677" s="121"/>
      <c r="N8677" s="496"/>
      <c r="O8677" s="571"/>
      <c r="P8677" s="285"/>
      <c r="Q8677" s="321"/>
      <c r="R8677" s="260"/>
      <c r="S8677" s="260"/>
      <c r="T8677" s="260"/>
      <c r="U8677" s="260"/>
      <c r="V8677" s="260"/>
      <c r="W8677" s="260"/>
      <c r="X8677" s="260"/>
      <c r="Y8677" s="260"/>
      <c r="Z8677" s="260"/>
      <c r="AA8677"/>
      <c r="AB8677"/>
      <c r="AC8677"/>
      <c r="AD8677"/>
      <c r="AE8677"/>
      <c r="AF8677"/>
      <c r="AG8677"/>
      <c r="AH8677"/>
      <c r="AI8677"/>
      <c r="AJ8677"/>
      <c r="AK8677"/>
      <c r="AL8677"/>
      <c r="AM8677"/>
      <c r="AN8677"/>
    </row>
    <row r="8678" spans="1:40" s="54" customFormat="1">
      <c r="A8678" s="121"/>
      <c r="B8678" s="121"/>
      <c r="C8678" s="121"/>
      <c r="D8678" s="121"/>
      <c r="E8678" s="121"/>
      <c r="F8678" s="121"/>
      <c r="G8678" s="121"/>
      <c r="H8678" s="121"/>
      <c r="I8678" s="121"/>
      <c r="J8678" s="121"/>
      <c r="K8678" s="121"/>
      <c r="L8678" s="121"/>
      <c r="M8678" s="121"/>
      <c r="N8678" s="223"/>
      <c r="O8678" s="216"/>
      <c r="P8678" s="216"/>
      <c r="Q8678" s="523"/>
      <c r="R8678" s="547"/>
      <c r="S8678" s="547"/>
      <c r="T8678" s="547"/>
      <c r="U8678" s="547"/>
      <c r="V8678" s="547"/>
      <c r="W8678" s="547"/>
      <c r="X8678" s="547"/>
      <c r="Y8678" s="547"/>
      <c r="Z8678" s="547"/>
      <c r="AA8678"/>
      <c r="AB8678"/>
      <c r="AC8678"/>
      <c r="AD8678"/>
      <c r="AE8678"/>
      <c r="AF8678"/>
      <c r="AG8678"/>
      <c r="AH8678"/>
      <c r="AI8678"/>
      <c r="AJ8678"/>
      <c r="AK8678"/>
      <c r="AL8678"/>
      <c r="AM8678"/>
      <c r="AN8678"/>
    </row>
    <row r="8679" spans="1:40" s="54" customFormat="1">
      <c r="A8679" s="121"/>
      <c r="B8679" s="121"/>
      <c r="C8679" s="121"/>
      <c r="D8679" s="121"/>
      <c r="E8679" s="121"/>
      <c r="F8679" s="121"/>
      <c r="G8679" s="121"/>
      <c r="H8679" s="121"/>
      <c r="I8679" s="121"/>
      <c r="J8679" s="121"/>
      <c r="K8679" s="121"/>
      <c r="L8679" s="121"/>
      <c r="M8679" s="121"/>
      <c r="N8679" s="56"/>
      <c r="P8679" s="121"/>
      <c r="Q8679" s="121"/>
      <c r="R8679" s="121"/>
      <c r="S8679" s="121"/>
      <c r="T8679" s="121"/>
      <c r="U8679" s="121"/>
      <c r="V8679" s="121"/>
      <c r="W8679" s="121"/>
      <c r="X8679" s="121"/>
      <c r="Y8679" s="121"/>
      <c r="Z8679" s="121"/>
      <c r="AA8679"/>
      <c r="AB8679"/>
      <c r="AC8679"/>
      <c r="AD8679"/>
      <c r="AE8679"/>
      <c r="AF8679"/>
      <c r="AG8679"/>
      <c r="AH8679"/>
      <c r="AI8679"/>
      <c r="AJ8679"/>
      <c r="AK8679"/>
      <c r="AL8679"/>
      <c r="AM8679"/>
      <c r="AN8679"/>
    </row>
    <row r="8680" spans="1:40" s="47" customFormat="1">
      <c r="A8680" s="121"/>
      <c r="B8680" s="121"/>
      <c r="C8680" s="121"/>
      <c r="D8680" s="121"/>
      <c r="E8680" s="121"/>
      <c r="F8680" s="121"/>
      <c r="G8680" s="121"/>
      <c r="H8680" s="121"/>
      <c r="I8680" s="121"/>
      <c r="J8680" s="121"/>
      <c r="K8680" s="121"/>
      <c r="L8680" s="121"/>
      <c r="M8680" s="121"/>
      <c r="N8680" s="49"/>
      <c r="R8680" s="60"/>
      <c r="S8680" s="60"/>
      <c r="T8680" s="60"/>
      <c r="U8680" s="795" t="s">
        <v>550</v>
      </c>
      <c r="V8680" s="795"/>
      <c r="W8680" s="795"/>
      <c r="X8680" s="795" t="s">
        <v>551</v>
      </c>
      <c r="Y8680" s="795"/>
      <c r="Z8680" s="795"/>
      <c r="AA8680"/>
      <c r="AB8680"/>
      <c r="AC8680"/>
      <c r="AD8680"/>
      <c r="AE8680"/>
      <c r="AF8680"/>
      <c r="AG8680"/>
      <c r="AH8680"/>
      <c r="AI8680"/>
      <c r="AJ8680"/>
      <c r="AK8680"/>
      <c r="AL8680"/>
      <c r="AM8680"/>
      <c r="AN8680"/>
    </row>
    <row r="8694" spans="14:33">
      <c r="R8694" s="815" t="s">
        <v>2587</v>
      </c>
      <c r="S8694" s="815"/>
      <c r="T8694" s="815"/>
      <c r="U8694" s="60"/>
      <c r="V8694" s="61"/>
    </row>
    <row r="8695" spans="14:33" customFormat="1" ht="26.25" customHeight="1">
      <c r="R8695" s="815" t="s">
        <v>2599</v>
      </c>
      <c r="S8695" s="815"/>
      <c r="T8695" s="815"/>
      <c r="U8695" s="815" t="s">
        <v>2600</v>
      </c>
      <c r="V8695" s="815"/>
      <c r="W8695" s="815"/>
      <c r="X8695" s="815" t="s">
        <v>2601</v>
      </c>
      <c r="Y8695" s="815"/>
      <c r="Z8695" s="815"/>
      <c r="AA8695" s="815" t="s">
        <v>2602</v>
      </c>
      <c r="AB8695" s="815"/>
      <c r="AC8695" s="815"/>
      <c r="AD8695" s="815" t="s">
        <v>2603</v>
      </c>
      <c r="AE8695" s="815"/>
      <c r="AF8695" s="815"/>
    </row>
    <row r="8696" spans="14:33">
      <c r="R8696" s="622"/>
      <c r="S8696" s="622"/>
      <c r="T8696" s="622"/>
      <c r="U8696" s="622"/>
      <c r="V8696" s="622"/>
      <c r="W8696" s="622"/>
      <c r="X8696" s="622"/>
      <c r="Y8696" s="622"/>
      <c r="Z8696" s="622"/>
      <c r="AA8696" s="622"/>
      <c r="AB8696" s="622"/>
      <c r="AC8696" s="622"/>
      <c r="AD8696" s="622"/>
      <c r="AE8696" s="622"/>
      <c r="AF8696" s="622"/>
    </row>
    <row r="8697" spans="14:33">
      <c r="Q8697" s="316"/>
      <c r="R8697" s="623"/>
      <c r="S8697" s="623"/>
      <c r="T8697" s="623"/>
      <c r="U8697" s="623"/>
      <c r="V8697" s="623"/>
      <c r="W8697" s="623"/>
      <c r="X8697" s="623"/>
      <c r="Y8697" s="623"/>
      <c r="Z8697" s="623"/>
      <c r="AA8697" s="623"/>
      <c r="AB8697" s="623"/>
      <c r="AC8697" s="623"/>
      <c r="AD8697" s="623"/>
      <c r="AE8697" s="623"/>
      <c r="AF8697" s="623"/>
      <c r="AG8697" s="316"/>
    </row>
    <row r="8698" spans="14:33" ht="11.25" customHeight="1">
      <c r="N8698" s="430" t="s">
        <v>1742</v>
      </c>
      <c r="O8698" s="315"/>
      <c r="P8698" s="309"/>
      <c r="Q8698" s="311"/>
      <c r="R8698" s="624"/>
      <c r="S8698" s="624"/>
      <c r="T8698" s="624"/>
      <c r="U8698" s="624"/>
      <c r="V8698" s="624"/>
      <c r="W8698" s="624"/>
      <c r="X8698" s="624"/>
      <c r="Y8698" s="624"/>
      <c r="Z8698" s="624"/>
      <c r="AA8698" s="624"/>
      <c r="AB8698" s="624"/>
      <c r="AC8698" s="624"/>
      <c r="AD8698" s="624"/>
      <c r="AE8698" s="624"/>
      <c r="AF8698" s="624"/>
      <c r="AG8698" s="311"/>
    </row>
    <row r="8699" spans="14:33" ht="11.25" customHeight="1">
      <c r="N8699" s="811"/>
      <c r="O8699" s="812"/>
      <c r="P8699" s="813"/>
      <c r="Q8699" s="317"/>
      <c r="R8699" s="625" t="str">
        <f>R8701 &amp; ".1"</f>
        <v>.1</v>
      </c>
      <c r="S8699" s="625" t="str">
        <f>R8701 &amp; ".2"</f>
        <v>.2</v>
      </c>
      <c r="T8699" s="625" t="str">
        <f>R8701 &amp; ".0"</f>
        <v>.0</v>
      </c>
      <c r="U8699" s="625" t="str">
        <f>U8701 &amp; ".1"</f>
        <v>.1</v>
      </c>
      <c r="V8699" s="625" t="str">
        <f>U8701 &amp; ".2"</f>
        <v>.2</v>
      </c>
      <c r="W8699" s="625" t="str">
        <f>U8701 &amp; ".0"</f>
        <v>.0</v>
      </c>
      <c r="X8699" s="625" t="str">
        <f>X8701 &amp; ".1"</f>
        <v>.1</v>
      </c>
      <c r="Y8699" s="625" t="str">
        <f>X8701 &amp; ".2"</f>
        <v>.2</v>
      </c>
      <c r="Z8699" s="625" t="str">
        <f>X8701 &amp; ".0"</f>
        <v>.0</v>
      </c>
      <c r="AA8699" s="625" t="str">
        <f>AA8701 &amp; ".1"</f>
        <v>.1</v>
      </c>
      <c r="AB8699" s="625" t="str">
        <f>AA8701 &amp; ".2"</f>
        <v>.2</v>
      </c>
      <c r="AC8699" s="625" t="str">
        <f>AA8701 &amp; ".0"</f>
        <v>.0</v>
      </c>
      <c r="AD8699" s="625" t="str">
        <f>AD8701 &amp; ".1"</f>
        <v>.1</v>
      </c>
      <c r="AE8699" s="625" t="str">
        <f>AD8701 &amp; ".2"</f>
        <v>.2</v>
      </c>
      <c r="AF8699" s="625" t="str">
        <f>AD8701 &amp; ".0"</f>
        <v>.0</v>
      </c>
      <c r="AG8699" s="214"/>
    </row>
    <row r="8700" spans="14:33" ht="11.25" customHeight="1">
      <c r="N8700" s="430" t="s">
        <v>1742</v>
      </c>
      <c r="O8700" s="221"/>
      <c r="P8700" s="122" t="s">
        <v>786</v>
      </c>
      <c r="Q8700" s="201"/>
      <c r="R8700" s="814" t="s">
        <v>719</v>
      </c>
      <c r="S8700" s="814"/>
      <c r="T8700" s="814"/>
      <c r="U8700" s="814" t="s">
        <v>719</v>
      </c>
      <c r="V8700" s="814"/>
      <c r="W8700" s="814"/>
      <c r="X8700" s="814" t="s">
        <v>719</v>
      </c>
      <c r="Y8700" s="814"/>
      <c r="Z8700" s="814"/>
      <c r="AA8700" s="814" t="s">
        <v>719</v>
      </c>
      <c r="AB8700" s="814"/>
      <c r="AC8700" s="814"/>
      <c r="AD8700" s="814" t="s">
        <v>719</v>
      </c>
      <c r="AE8700" s="814"/>
      <c r="AF8700" s="814"/>
      <c r="AG8700" s="168" t="s">
        <v>720</v>
      </c>
    </row>
    <row r="8701" spans="14:33" ht="11.25" customHeight="1">
      <c r="N8701" s="802" t="s">
        <v>641</v>
      </c>
      <c r="O8701" s="804" t="s">
        <v>787</v>
      </c>
      <c r="P8701" s="806" t="s">
        <v>778</v>
      </c>
      <c r="Q8701" s="206">
        <v>0</v>
      </c>
      <c r="R8701" s="808"/>
      <c r="S8701" s="809"/>
      <c r="T8701" s="810"/>
      <c r="U8701" s="808"/>
      <c r="V8701" s="809"/>
      <c r="W8701" s="810"/>
      <c r="X8701" s="808"/>
      <c r="Y8701" s="809"/>
      <c r="Z8701" s="810"/>
      <c r="AA8701" s="808"/>
      <c r="AB8701" s="809"/>
      <c r="AC8701" s="810"/>
      <c r="AD8701" s="808"/>
      <c r="AE8701" s="809"/>
      <c r="AF8701" s="810"/>
      <c r="AG8701" s="206"/>
    </row>
    <row r="8702" spans="14:33" ht="12" customHeight="1">
      <c r="N8702" s="802"/>
      <c r="O8702" s="804"/>
      <c r="P8702" s="806"/>
      <c r="Q8702" s="207"/>
      <c r="R8702" s="796"/>
      <c r="S8702" s="797"/>
      <c r="T8702" s="798"/>
      <c r="U8702" s="796"/>
      <c r="V8702" s="797"/>
      <c r="W8702" s="798"/>
      <c r="X8702" s="796"/>
      <c r="Y8702" s="797"/>
      <c r="Z8702" s="798"/>
      <c r="AA8702" s="796"/>
      <c r="AB8702" s="797"/>
      <c r="AC8702" s="798"/>
      <c r="AD8702" s="796"/>
      <c r="AE8702" s="797"/>
      <c r="AF8702" s="798"/>
      <c r="AG8702" s="207"/>
    </row>
    <row r="8703" spans="14:33" ht="12" customHeight="1">
      <c r="N8703" s="232"/>
      <c r="O8703" s="233" t="s">
        <v>788</v>
      </c>
      <c r="P8703" s="251"/>
      <c r="Q8703" s="207"/>
      <c r="R8703" s="796"/>
      <c r="S8703" s="797"/>
      <c r="T8703" s="798"/>
      <c r="U8703" s="796"/>
      <c r="V8703" s="797"/>
      <c r="W8703" s="798"/>
      <c r="X8703" s="796"/>
      <c r="Y8703" s="797"/>
      <c r="Z8703" s="798"/>
      <c r="AA8703" s="796"/>
      <c r="AB8703" s="797"/>
      <c r="AC8703" s="798"/>
      <c r="AD8703" s="796"/>
      <c r="AE8703" s="797"/>
      <c r="AF8703" s="798"/>
      <c r="AG8703" s="207"/>
    </row>
    <row r="8704" spans="14:33" ht="12" customHeight="1">
      <c r="N8704" s="232"/>
      <c r="O8704" s="490" t="str">
        <f>IF(CALC_IDENTIFIER="","",CALC_IDENTIFIER)</f>
        <v/>
      </c>
      <c r="P8704" s="251"/>
      <c r="Q8704" s="207"/>
      <c r="R8704" s="796"/>
      <c r="S8704" s="797"/>
      <c r="T8704" s="798"/>
      <c r="U8704" s="796"/>
      <c r="V8704" s="797"/>
      <c r="W8704" s="798"/>
      <c r="X8704" s="796"/>
      <c r="Y8704" s="797"/>
      <c r="Z8704" s="798"/>
      <c r="AA8704" s="796"/>
      <c r="AB8704" s="797"/>
      <c r="AC8704" s="798"/>
      <c r="AD8704" s="796"/>
      <c r="AE8704" s="797"/>
      <c r="AF8704" s="798"/>
      <c r="AG8704" s="207"/>
    </row>
    <row r="8705" spans="13:58" ht="12" customHeight="1">
      <c r="N8705" s="234" t="s">
        <v>642</v>
      </c>
      <c r="O8705" s="489" t="s">
        <v>789</v>
      </c>
      <c r="P8705" s="257"/>
      <c r="Q8705" s="258"/>
      <c r="R8705" s="260"/>
      <c r="S8705" s="260"/>
      <c r="T8705" s="257">
        <f>SUM(T8706,T8707,T8710)</f>
        <v>0</v>
      </c>
      <c r="U8705" s="260"/>
      <c r="V8705" s="260"/>
      <c r="W8705" s="257">
        <f>SUM(W8706,W8707,W8710)</f>
        <v>0</v>
      </c>
      <c r="X8705" s="260"/>
      <c r="Y8705" s="260"/>
      <c r="Z8705" s="257">
        <f>SUM(Z8706,Z8707,Z8710)</f>
        <v>0</v>
      </c>
      <c r="AA8705" s="260"/>
      <c r="AB8705" s="260"/>
      <c r="AC8705" s="257">
        <f>SUM(AC8706,AC8707,AC8710)</f>
        <v>0</v>
      </c>
      <c r="AD8705" s="260"/>
      <c r="AE8705" s="260"/>
      <c r="AF8705" s="257">
        <f>SUM(AF8706,AF8707,AF8710)</f>
        <v>0</v>
      </c>
      <c r="AG8705" s="258"/>
    </row>
    <row r="8706" spans="13:58" ht="12" customHeight="1">
      <c r="N8706" s="234" t="s">
        <v>790</v>
      </c>
      <c r="O8706" s="224" t="s">
        <v>791</v>
      </c>
      <c r="P8706" s="257"/>
      <c r="Q8706" s="258"/>
      <c r="R8706" s="260"/>
      <c r="S8706" s="260"/>
      <c r="T8706" s="262">
        <f>IF($AP$8="I",'ТС.РО 01.01 - 30.06'!T8706,IF($AP$8="II",'ТС.РО 01.07 - 31.08'!T8706,IF($AP$8="III",'ТС.РО 01.09 - 31.12'!T8706,0)))*T9564</f>
        <v>0</v>
      </c>
      <c r="U8706" s="260"/>
      <c r="V8706" s="260"/>
      <c r="W8706" s="262">
        <f>IF($AP$8="I",'ТС.РО 01.01 - 30.06'!W8706,IF($AP$8="II",'ТС.РО 01.07 - 31.08'!W8706,IF($AP$8="III",'ТС.РО 01.09 - 31.12'!W8706,0)))*W9564</f>
        <v>0</v>
      </c>
      <c r="X8706" s="260"/>
      <c r="Y8706" s="260"/>
      <c r="Z8706" s="262">
        <f>IF($AP$8="I",'ТС.РО 01.01 - 30.06'!Z8706,IF($AP$8="II",'ТС.РО 01.07 - 31.08'!Z8706,IF($AP$8="III",'ТС.РО 01.09 - 31.12'!Z8706,0)))*Z9564</f>
        <v>0</v>
      </c>
      <c r="AA8706" s="260"/>
      <c r="AB8706" s="260"/>
      <c r="AC8706" s="262">
        <f>IF($AP$8="I",'ТС.РО 01.01 - 30.06'!AC8706,IF($AP$8="II",'ТС.РО 01.07 - 31.08'!AC8706,IF($AP$8="III",'ТС.РО 01.09 - 31.12'!AC8706,0)))*AC9564</f>
        <v>0</v>
      </c>
      <c r="AD8706" s="260"/>
      <c r="AE8706" s="260"/>
      <c r="AF8706" s="262">
        <f>IF($AP$8="I",'ТС.РО 01.01 - 30.06'!AF8706,IF($AP$8="II",'ТС.РО 01.07 - 31.08'!AF8706,IF($AP$8="III",'ТС.РО 01.09 - 31.12'!AF8706,0)))*AF9564</f>
        <v>0</v>
      </c>
      <c r="AG8706" s="258"/>
    </row>
    <row r="8707" spans="13:58" ht="12" customHeight="1">
      <c r="N8707" s="236" t="s">
        <v>792</v>
      </c>
      <c r="O8707" s="237" t="s">
        <v>793</v>
      </c>
      <c r="P8707" s="257"/>
      <c r="Q8707" s="258"/>
      <c r="R8707" s="260"/>
      <c r="S8707" s="260"/>
      <c r="T8707" s="262">
        <f>IF($AP$8="I",'ТС.РО 01.01 - 30.06'!T8707,IF($AP$8="II",'ТС.РО 01.07 - 31.08'!T8707,IF($AP$8="III",'ТС.РО 01.09 - 31.12'!T8707,0)))*T9564</f>
        <v>0</v>
      </c>
      <c r="U8707" s="260"/>
      <c r="V8707" s="260"/>
      <c r="W8707" s="262">
        <f>IF($AP$8="I",'ТС.РО 01.01 - 30.06'!W8707,IF($AP$8="II",'ТС.РО 01.07 - 31.08'!W8707,IF($AP$8="III",'ТС.РО 01.09 - 31.12'!W8707,0)))*W9564</f>
        <v>0</v>
      </c>
      <c r="X8707" s="260"/>
      <c r="Y8707" s="260"/>
      <c r="Z8707" s="262">
        <f>IF($AP$8="I",'ТС.РО 01.01 - 30.06'!Z8707,IF($AP$8="II",'ТС.РО 01.07 - 31.08'!Z8707,IF($AP$8="III",'ТС.РО 01.09 - 31.12'!Z8707,0)))*Z9564</f>
        <v>0</v>
      </c>
      <c r="AA8707" s="260"/>
      <c r="AB8707" s="260"/>
      <c r="AC8707" s="262">
        <f>IF($AP$8="I",'ТС.РО 01.01 - 30.06'!AC8707,IF($AP$8="II",'ТС.РО 01.07 - 31.08'!AC8707,IF($AP$8="III",'ТС.РО 01.09 - 31.12'!AC8707,0)))*AC9564</f>
        <v>0</v>
      </c>
      <c r="AD8707" s="260"/>
      <c r="AE8707" s="260"/>
      <c r="AF8707" s="262">
        <f>IF($AP$8="I",'ТС.РО 01.01 - 30.06'!AF8707,IF($AP$8="II",'ТС.РО 01.07 - 31.08'!AF8707,IF($AP$8="III",'ТС.РО 01.09 - 31.12'!AF8707,0)))*AF9564</f>
        <v>0</v>
      </c>
      <c r="AG8707" s="258"/>
    </row>
    <row r="8708" spans="13:58" ht="12" customHeight="1">
      <c r="N8708" s="222"/>
      <c r="O8708" s="715"/>
      <c r="P8708" s="260"/>
      <c r="Q8708" s="258"/>
      <c r="R8708" s="260"/>
      <c r="S8708" s="260"/>
      <c r="T8708" s="260"/>
      <c r="U8708" s="260"/>
      <c r="V8708" s="260"/>
      <c r="W8708" s="260"/>
      <c r="X8708" s="260"/>
      <c r="Y8708" s="260"/>
      <c r="Z8708" s="260"/>
      <c r="AA8708" s="260"/>
      <c r="AB8708" s="260"/>
      <c r="AC8708" s="260"/>
      <c r="AD8708" s="260"/>
      <c r="AE8708" s="260"/>
      <c r="AF8708" s="260"/>
      <c r="AG8708" s="258"/>
    </row>
    <row r="8709" spans="13:58" ht="12" customHeight="1">
      <c r="N8709" s="222"/>
      <c r="O8709" s="716"/>
      <c r="P8709" s="260"/>
      <c r="Q8709" s="258"/>
      <c r="R8709" s="260"/>
      <c r="S8709" s="260"/>
      <c r="T8709" s="260"/>
      <c r="U8709" s="260"/>
      <c r="V8709" s="260"/>
      <c r="W8709" s="260"/>
      <c r="X8709" s="260"/>
      <c r="Y8709" s="260"/>
      <c r="Z8709" s="260"/>
      <c r="AA8709" s="260"/>
      <c r="AB8709" s="260"/>
      <c r="AC8709" s="260"/>
      <c r="AD8709" s="260"/>
      <c r="AE8709" s="260"/>
      <c r="AF8709" s="260"/>
      <c r="AG8709" s="258"/>
    </row>
    <row r="8710" spans="13:58" ht="12" customHeight="1">
      <c r="N8710" s="236" t="s">
        <v>63</v>
      </c>
      <c r="O8710" s="237" t="s">
        <v>64</v>
      </c>
      <c r="P8710" s="257"/>
      <c r="Q8710" s="258"/>
      <c r="R8710" s="260"/>
      <c r="S8710" s="260"/>
      <c r="T8710" s="262">
        <f>IF($AP$8="I",'ТС.РО 01.01 - 30.06'!T8710,IF($AP$8="II",'ТС.РО 01.07 - 31.08'!T8710,IF($AP$8="III",'ТС.РО 01.09 - 31.12'!T8710,0)))*T9564</f>
        <v>0</v>
      </c>
      <c r="U8710" s="260"/>
      <c r="V8710" s="260"/>
      <c r="W8710" s="262">
        <f>IF($AP$8="I",'ТС.РО 01.01 - 30.06'!W8710,IF($AP$8="II",'ТС.РО 01.07 - 31.08'!W8710,IF($AP$8="III",'ТС.РО 01.09 - 31.12'!W8710,0)))*W9564</f>
        <v>0</v>
      </c>
      <c r="X8710" s="260"/>
      <c r="Y8710" s="260"/>
      <c r="Z8710" s="262">
        <f>IF($AP$8="I",'ТС.РО 01.01 - 30.06'!Z8710,IF($AP$8="II",'ТС.РО 01.07 - 31.08'!Z8710,IF($AP$8="III",'ТС.РО 01.09 - 31.12'!Z8710,0)))*Z9564</f>
        <v>0</v>
      </c>
      <c r="AA8710" s="260"/>
      <c r="AB8710" s="260"/>
      <c r="AC8710" s="262">
        <f>IF($AP$8="I",'ТС.РО 01.01 - 30.06'!AC8710,IF($AP$8="II",'ТС.РО 01.07 - 31.08'!AC8710,IF($AP$8="III",'ТС.РО 01.09 - 31.12'!AC8710,0)))*AC9564</f>
        <v>0</v>
      </c>
      <c r="AD8710" s="260"/>
      <c r="AE8710" s="260"/>
      <c r="AF8710" s="262">
        <f>IF($AP$8="I",'ТС.РО 01.01 - 30.06'!AF8710,IF($AP$8="II",'ТС.РО 01.07 - 31.08'!AF8710,IF($AP$8="III",'ТС.РО 01.09 - 31.12'!AF8710,0)))*AF9564</f>
        <v>0</v>
      </c>
      <c r="AG8710" s="258"/>
    </row>
    <row r="8711" spans="13:58" ht="12" customHeight="1">
      <c r="N8711" s="234" t="s">
        <v>751</v>
      </c>
      <c r="O8711" s="235" t="s">
        <v>65</v>
      </c>
      <c r="P8711" s="257"/>
      <c r="Q8711" s="258"/>
      <c r="R8711" s="260"/>
      <c r="S8711" s="260"/>
      <c r="T8711" s="257">
        <f>SUM(T8712,T8713,T8714)</f>
        <v>0</v>
      </c>
      <c r="U8711" s="260"/>
      <c r="V8711" s="260"/>
      <c r="W8711" s="257">
        <f>SUM(W8712,W8713,W8714)</f>
        <v>0</v>
      </c>
      <c r="X8711" s="260"/>
      <c r="Y8711" s="260"/>
      <c r="Z8711" s="257">
        <f>SUM(Z8712,Z8713,Z8714)</f>
        <v>0</v>
      </c>
      <c r="AA8711" s="260"/>
      <c r="AB8711" s="260"/>
      <c r="AC8711" s="257">
        <f>SUM(AC8712,AC8713,AC8714)</f>
        <v>0</v>
      </c>
      <c r="AD8711" s="260"/>
      <c r="AE8711" s="260"/>
      <c r="AF8711" s="257">
        <f>SUM(AF8712,AF8713,AF8714)</f>
        <v>0</v>
      </c>
      <c r="AG8711" s="258"/>
    </row>
    <row r="8712" spans="13:58" ht="12" customHeight="1">
      <c r="N8712" s="234" t="s">
        <v>66</v>
      </c>
      <c r="O8712" s="237" t="s">
        <v>67</v>
      </c>
      <c r="P8712" s="257"/>
      <c r="Q8712" s="258"/>
      <c r="R8712" s="260"/>
      <c r="S8712" s="260"/>
      <c r="T8712" s="262">
        <f>IF($AP$8="I",'ТС.РО 01.01 - 30.06'!T8712,IF($AP$8="II",'ТС.РО 01.07 - 31.08'!T8712,IF($AP$8="III",'ТС.РО 01.09 - 31.12'!T8712,0)))*T9564</f>
        <v>0</v>
      </c>
      <c r="U8712" s="260"/>
      <c r="V8712" s="260"/>
      <c r="W8712" s="262">
        <f>IF($AP$8="I",'ТС.РО 01.01 - 30.06'!W8712,IF($AP$8="II",'ТС.РО 01.07 - 31.08'!W8712,IF($AP$8="III",'ТС.РО 01.09 - 31.12'!W8712,0)))*W9564</f>
        <v>0</v>
      </c>
      <c r="X8712" s="260"/>
      <c r="Y8712" s="260"/>
      <c r="Z8712" s="262">
        <f>IF($AP$8="I",'ТС.РО 01.01 - 30.06'!Z8712,IF($AP$8="II",'ТС.РО 01.07 - 31.08'!Z8712,IF($AP$8="III",'ТС.РО 01.09 - 31.12'!Z8712,0)))*Z9564</f>
        <v>0</v>
      </c>
      <c r="AA8712" s="260"/>
      <c r="AB8712" s="260"/>
      <c r="AC8712" s="262">
        <f>IF($AP$8="I",'ТС.РО 01.01 - 30.06'!AC8712,IF($AP$8="II",'ТС.РО 01.07 - 31.08'!AC8712,IF($AP$8="III",'ТС.РО 01.09 - 31.12'!AC8712,0)))*AC9564</f>
        <v>0</v>
      </c>
      <c r="AD8712" s="260"/>
      <c r="AE8712" s="260"/>
      <c r="AF8712" s="262">
        <f>IF($AP$8="I",'ТС.РО 01.01 - 30.06'!AF8712,IF($AP$8="II",'ТС.РО 01.07 - 31.08'!AF8712,IF($AP$8="III",'ТС.РО 01.09 - 31.12'!AF8712,0)))*AF9564</f>
        <v>0</v>
      </c>
      <c r="AG8712" s="258"/>
    </row>
    <row r="8713" spans="13:58" ht="12" customHeight="1">
      <c r="N8713" s="234" t="s">
        <v>69</v>
      </c>
      <c r="O8713" s="237" t="s">
        <v>70</v>
      </c>
      <c r="P8713" s="257"/>
      <c r="Q8713" s="258"/>
      <c r="R8713" s="260"/>
      <c r="S8713" s="260"/>
      <c r="T8713" s="262">
        <f>IF($AP$8="I",'ТС.РО 01.01 - 30.06'!T8713,IF($AP$8="II",'ТС.РО 01.07 - 31.08'!T8713,IF($AP$8="III",'ТС.РО 01.09 - 31.12'!T8713,0)))*T9564</f>
        <v>0</v>
      </c>
      <c r="U8713" s="260"/>
      <c r="V8713" s="260"/>
      <c r="W8713" s="262">
        <f>IF($AP$8="I",'ТС.РО 01.01 - 30.06'!W8713,IF($AP$8="II",'ТС.РО 01.07 - 31.08'!W8713,IF($AP$8="III",'ТС.РО 01.09 - 31.12'!W8713,0)))*W9564</f>
        <v>0</v>
      </c>
      <c r="X8713" s="260"/>
      <c r="Y8713" s="260"/>
      <c r="Z8713" s="262">
        <f>IF($AP$8="I",'ТС.РО 01.01 - 30.06'!Z8713,IF($AP$8="II",'ТС.РО 01.07 - 31.08'!Z8713,IF($AP$8="III",'ТС.РО 01.09 - 31.12'!Z8713,0)))*Z9564</f>
        <v>0</v>
      </c>
      <c r="AA8713" s="260"/>
      <c r="AB8713" s="260"/>
      <c r="AC8713" s="262">
        <f>IF($AP$8="I",'ТС.РО 01.01 - 30.06'!AC8713,IF($AP$8="II",'ТС.РО 01.07 - 31.08'!AC8713,IF($AP$8="III",'ТС.РО 01.09 - 31.12'!AC8713,0)))*AC9564</f>
        <v>0</v>
      </c>
      <c r="AD8713" s="260"/>
      <c r="AE8713" s="260"/>
      <c r="AF8713" s="262">
        <f>IF($AP$8="I",'ТС.РО 01.01 - 30.06'!AF8713,IF($AP$8="II",'ТС.РО 01.07 - 31.08'!AF8713,IF($AP$8="III",'ТС.РО 01.09 - 31.12'!AF8713,0)))*AF9564</f>
        <v>0</v>
      </c>
      <c r="AG8713" s="258"/>
    </row>
    <row r="8714" spans="13:58" ht="12" customHeight="1">
      <c r="N8714" s="234" t="s">
        <v>72</v>
      </c>
      <c r="O8714" s="237" t="s">
        <v>73</v>
      </c>
      <c r="P8714" s="257"/>
      <c r="Q8714" s="258"/>
      <c r="R8714" s="260"/>
      <c r="S8714" s="260"/>
      <c r="T8714" s="262">
        <f>IF($AP$8="I",'ТС.РО 01.01 - 30.06'!T8714,IF($AP$8="II",'ТС.РО 01.07 - 31.08'!T8714,IF($AP$8="III",'ТС.РО 01.09 - 31.12'!T8714,0)))*T9564</f>
        <v>0</v>
      </c>
      <c r="U8714" s="260"/>
      <c r="V8714" s="260"/>
      <c r="W8714" s="262">
        <f>IF($AP$8="I",'ТС.РО 01.01 - 30.06'!W8714,IF($AP$8="II",'ТС.РО 01.07 - 31.08'!W8714,IF($AP$8="III",'ТС.РО 01.09 - 31.12'!W8714,0)))*W9564</f>
        <v>0</v>
      </c>
      <c r="X8714" s="260"/>
      <c r="Y8714" s="260"/>
      <c r="Z8714" s="262">
        <f>IF($AP$8="I",'ТС.РО 01.01 - 30.06'!Z8714,IF($AP$8="II",'ТС.РО 01.07 - 31.08'!Z8714,IF($AP$8="III",'ТС.РО 01.09 - 31.12'!Z8714,0)))*Z9564</f>
        <v>0</v>
      </c>
      <c r="AA8714" s="260"/>
      <c r="AB8714" s="260"/>
      <c r="AC8714" s="262">
        <f>IF($AP$8="I",'ТС.РО 01.01 - 30.06'!AC8714,IF($AP$8="II",'ТС.РО 01.07 - 31.08'!AC8714,IF($AP$8="III",'ТС.РО 01.09 - 31.12'!AC8714,0)))*AC9564</f>
        <v>0</v>
      </c>
      <c r="AD8714" s="260"/>
      <c r="AE8714" s="260"/>
      <c r="AF8714" s="262">
        <f>IF($AP$8="I",'ТС.РО 01.01 - 30.06'!AF8714,IF($AP$8="II",'ТС.РО 01.07 - 31.08'!AF8714,IF($AP$8="III",'ТС.РО 01.09 - 31.12'!AF8714,0)))*AF9564</f>
        <v>0</v>
      </c>
      <c r="AG8714" s="258"/>
    </row>
    <row r="8715" spans="13:58" ht="12" customHeight="1">
      <c r="N8715" s="234" t="s">
        <v>752</v>
      </c>
      <c r="O8715" s="235" t="s">
        <v>74</v>
      </c>
      <c r="P8715" s="257"/>
      <c r="Q8715" s="258"/>
      <c r="R8715" s="260"/>
      <c r="S8715" s="260"/>
      <c r="T8715" s="262">
        <f>IF($AP$8="I",'ТС.РО 01.01 - 30.06'!T8715,IF($AP$8="II",'ТС.РО 01.07 - 31.08'!T8715,IF($AP$8="III",'ТС.РО 01.09 - 31.12'!T8715,0)))*T9564</f>
        <v>0</v>
      </c>
      <c r="U8715" s="260"/>
      <c r="V8715" s="260"/>
      <c r="W8715" s="262">
        <f>IF($AP$8="I",'ТС.РО 01.01 - 30.06'!W8715,IF($AP$8="II",'ТС.РО 01.07 - 31.08'!W8715,IF($AP$8="III",'ТС.РО 01.09 - 31.12'!W8715,0)))*W9564</f>
        <v>0</v>
      </c>
      <c r="X8715" s="260"/>
      <c r="Y8715" s="260"/>
      <c r="Z8715" s="262">
        <f>IF($AP$8="I",'ТС.РО 01.01 - 30.06'!Z8715,IF($AP$8="II",'ТС.РО 01.07 - 31.08'!Z8715,IF($AP$8="III",'ТС.РО 01.09 - 31.12'!Z8715,0)))*Z9564</f>
        <v>0</v>
      </c>
      <c r="AA8715" s="260"/>
      <c r="AB8715" s="260"/>
      <c r="AC8715" s="262">
        <f>IF($AP$8="I",'ТС.РО 01.01 - 30.06'!AC8715,IF($AP$8="II",'ТС.РО 01.07 - 31.08'!AC8715,IF($AP$8="III",'ТС.РО 01.09 - 31.12'!AC8715,0)))*AC9564</f>
        <v>0</v>
      </c>
      <c r="AD8715" s="260"/>
      <c r="AE8715" s="260"/>
      <c r="AF8715" s="262">
        <f>IF($AP$8="I",'ТС.РО 01.01 - 30.06'!AF8715,IF($AP$8="II",'ТС.РО 01.07 - 31.08'!AF8715,IF($AP$8="III",'ТС.РО 01.09 - 31.12'!AF8715,0)))*AF9564</f>
        <v>0</v>
      </c>
      <c r="AG8715" s="258"/>
    </row>
    <row r="8716" spans="13:58" ht="12" customHeight="1">
      <c r="N8716" s="236" t="s">
        <v>760</v>
      </c>
      <c r="O8716" s="237" t="s">
        <v>76</v>
      </c>
      <c r="P8716" s="257"/>
      <c r="Q8716" s="258"/>
      <c r="R8716" s="260"/>
      <c r="S8716" s="260"/>
      <c r="T8716" s="726">
        <f>IF($AP$8="I",'ТС.РО 01.01 - 30.06'!T8716,IF($AP$8="II",'ТС.РО 01.07 - 31.08'!T8716,IF($AP$8="III",'ТС.РО 01.09 - 31.12'!T8716,0)))*T9564</f>
        <v>0</v>
      </c>
      <c r="U8716" s="260"/>
      <c r="V8716" s="260"/>
      <c r="W8716" s="726">
        <f>IF($AP$8="I",'ТС.РО 01.01 - 30.06'!W8716,IF($AP$8="II",'ТС.РО 01.07 - 31.08'!W8716,IF($AP$8="III",'ТС.РО 01.09 - 31.12'!W8716,0)))*W9564</f>
        <v>0</v>
      </c>
      <c r="X8716" s="260"/>
      <c r="Y8716" s="260"/>
      <c r="Z8716" s="726">
        <f>IF($AP$8="I",'ТС.РО 01.01 - 30.06'!Z8716,IF($AP$8="II",'ТС.РО 01.07 - 31.08'!Z8716,IF($AP$8="III",'ТС.РО 01.09 - 31.12'!Z8716,0)))*Z9564</f>
        <v>0</v>
      </c>
      <c r="AA8716" s="260"/>
      <c r="AB8716" s="260"/>
      <c r="AC8716" s="726">
        <f>IF($AP$8="I",'ТС.РО 01.01 - 30.06'!AC8716,IF($AP$8="II",'ТС.РО 01.07 - 31.08'!AC8716,IF($AP$8="III",'ТС.РО 01.09 - 31.12'!AC8716,0)))*AC9564</f>
        <v>0</v>
      </c>
      <c r="AD8716" s="260"/>
      <c r="AE8716" s="260"/>
      <c r="AF8716" s="726">
        <f>IF($AP$8="I",'ТС.РО 01.01 - 30.06'!AF8716,IF($AP$8="II",'ТС.РО 01.07 - 31.08'!AF8716,IF($AP$8="III",'ТС.РО 01.09 - 31.12'!AF8716,0)))*AF9564</f>
        <v>0</v>
      </c>
      <c r="AG8716" s="258"/>
    </row>
    <row r="8717" spans="13:58" ht="12" customHeight="1">
      <c r="M8717" s="820"/>
      <c r="N8717" s="234" t="s">
        <v>753</v>
      </c>
      <c r="O8717" s="233" t="s">
        <v>211</v>
      </c>
      <c r="P8717" s="257"/>
      <c r="Q8717" s="258"/>
      <c r="R8717" s="260"/>
      <c r="S8717" s="260"/>
      <c r="T8717" s="726">
        <f>IF($AP$8="I",'ТС.РО 01.01 - 30.06'!T8717,IF($AP$8="II",'ТС.РО 01.07 - 31.08'!T8717,IF($AP$8="III",'ТС.РО 01.09 - 31.12'!T8717,0)))*T9564</f>
        <v>0</v>
      </c>
      <c r="U8717" s="260"/>
      <c r="V8717" s="260"/>
      <c r="W8717" s="726">
        <f>IF($AP$8="I",'ТС.РО 01.01 - 30.06'!W8717,IF($AP$8="II",'ТС.РО 01.07 - 31.08'!W8717,IF($AP$8="III",'ТС.РО 01.09 - 31.12'!W8717,0)))*W9564</f>
        <v>0</v>
      </c>
      <c r="X8717" s="260"/>
      <c r="Y8717" s="260"/>
      <c r="Z8717" s="726">
        <f>IF($AP$8="I",'ТС.РО 01.01 - 30.06'!Z8717,IF($AP$8="II",'ТС.РО 01.07 - 31.08'!Z8717,IF($AP$8="III",'ТС.РО 01.09 - 31.12'!Z8717,0)))*Z9564</f>
        <v>0</v>
      </c>
      <c r="AA8717" s="260"/>
      <c r="AB8717" s="260"/>
      <c r="AC8717" s="726">
        <f>IF($AP$8="I",'ТС.РО 01.01 - 30.06'!AC8717,IF($AP$8="II",'ТС.РО 01.07 - 31.08'!AC8717,IF($AP$8="III",'ТС.РО 01.09 - 31.12'!AC8717,0)))*AC9564</f>
        <v>0</v>
      </c>
      <c r="AD8717" s="260"/>
      <c r="AE8717" s="260"/>
      <c r="AF8717" s="726">
        <f>IF($AP$8="I",'ТС.РО 01.01 - 30.06'!AF8717,IF($AP$8="II",'ТС.РО 01.07 - 31.08'!AF8717,IF($AP$8="III",'ТС.РО 01.09 - 31.12'!AF8717,0)))*AF9564</f>
        <v>0</v>
      </c>
      <c r="AG8717" s="258"/>
      <c r="AO8717"/>
      <c r="AP8717"/>
      <c r="AQ8717"/>
      <c r="AR8717"/>
      <c r="AS8717"/>
      <c r="AT8717"/>
      <c r="AU8717"/>
      <c r="AV8717"/>
      <c r="AW8717"/>
      <c r="AX8717"/>
      <c r="AY8717"/>
      <c r="AZ8717"/>
      <c r="BA8717"/>
      <c r="BB8717"/>
      <c r="BC8717"/>
      <c r="BD8717"/>
      <c r="BE8717"/>
      <c r="BF8717"/>
    </row>
    <row r="8718" spans="13:58" ht="12" customHeight="1">
      <c r="M8718" s="820"/>
      <c r="N8718" s="451" t="s">
        <v>766</v>
      </c>
      <c r="O8718" s="453" t="s">
        <v>78</v>
      </c>
      <c r="P8718" s="260"/>
      <c r="Q8718" s="258"/>
      <c r="R8718" s="260"/>
      <c r="S8718" s="260"/>
      <c r="T8718" s="260"/>
      <c r="U8718" s="260"/>
      <c r="V8718" s="260"/>
      <c r="W8718" s="260"/>
      <c r="X8718" s="260"/>
      <c r="Y8718" s="260"/>
      <c r="Z8718" s="726">
        <f>IF($AP$8="I",'ТС.РО 01.01 - 30.06'!Z8718,IF($AP$8="II",'ТС.РО 01.07 - 31.08'!Z8718,IF($AP$8="III",'ТС.РО 01.09 - 31.12'!Z8718,0)))*Z9564</f>
        <v>0</v>
      </c>
      <c r="AA8718" s="260"/>
      <c r="AB8718" s="260"/>
      <c r="AC8718" s="260"/>
      <c r="AD8718" s="260"/>
      <c r="AE8718" s="260"/>
      <c r="AF8718" s="726">
        <f>IF($AP$8="I",'ТС.РО 01.01 - 30.06'!AF8718,IF($AP$8="II",'ТС.РО 01.07 - 31.08'!AF8718,IF($AP$8="III",'ТС.РО 01.09 - 31.12'!AF8718,0)))*AF9564</f>
        <v>0</v>
      </c>
      <c r="AG8718" s="258"/>
      <c r="AO8718"/>
      <c r="AP8718"/>
      <c r="AQ8718"/>
      <c r="AR8718"/>
      <c r="AS8718"/>
      <c r="AT8718"/>
      <c r="AU8718"/>
      <c r="AV8718"/>
      <c r="AW8718"/>
      <c r="AX8718"/>
      <c r="AY8718"/>
      <c r="AZ8718"/>
      <c r="BA8718"/>
      <c r="BB8718"/>
      <c r="BC8718"/>
      <c r="BD8718"/>
      <c r="BE8718"/>
      <c r="BF8718"/>
    </row>
    <row r="8719" spans="13:58" ht="12" customHeight="1">
      <c r="M8719" s="820"/>
      <c r="N8719" s="451" t="s">
        <v>768</v>
      </c>
      <c r="O8719" s="454" t="s">
        <v>212</v>
      </c>
      <c r="P8719" s="260"/>
      <c r="Q8719" s="258"/>
      <c r="R8719" s="260"/>
      <c r="S8719" s="260"/>
      <c r="T8719" s="260"/>
      <c r="U8719" s="260"/>
      <c r="V8719" s="260"/>
      <c r="W8719" s="260"/>
      <c r="X8719" s="260"/>
      <c r="Y8719" s="260"/>
      <c r="Z8719" s="726">
        <f>IF($AP$8="I",'ТС.РО 01.01 - 30.06'!Z8719,IF($AP$8="II",'ТС.РО 01.07 - 31.08'!Z8719,IF($AP$8="III",'ТС.РО 01.09 - 31.12'!Z8719,0)))*Z9564</f>
        <v>0</v>
      </c>
      <c r="AA8719" s="260"/>
      <c r="AB8719" s="260"/>
      <c r="AC8719" s="260"/>
      <c r="AD8719" s="260"/>
      <c r="AE8719" s="260"/>
      <c r="AF8719" s="726">
        <f>IF($AP$8="I",'ТС.РО 01.01 - 30.06'!AF8719,IF($AP$8="II",'ТС.РО 01.07 - 31.08'!AF8719,IF($AP$8="III",'ТС.РО 01.09 - 31.12'!AF8719,0)))*AF9564</f>
        <v>0</v>
      </c>
      <c r="AG8719" s="258"/>
      <c r="AO8719"/>
      <c r="AP8719"/>
      <c r="AQ8719"/>
      <c r="AR8719"/>
      <c r="AS8719"/>
      <c r="AT8719"/>
      <c r="AU8719"/>
      <c r="AV8719"/>
      <c r="AW8719"/>
      <c r="AX8719"/>
      <c r="AY8719"/>
      <c r="AZ8719"/>
      <c r="BA8719"/>
      <c r="BB8719"/>
      <c r="BC8719"/>
      <c r="BD8719"/>
      <c r="BE8719"/>
      <c r="BF8719"/>
    </row>
    <row r="8720" spans="13:58" ht="12" customHeight="1">
      <c r="M8720" s="820"/>
      <c r="N8720" s="451" t="s">
        <v>132</v>
      </c>
      <c r="O8720" s="455" t="s">
        <v>79</v>
      </c>
      <c r="P8720" s="260"/>
      <c r="Q8720" s="258"/>
      <c r="R8720" s="260"/>
      <c r="S8720" s="260"/>
      <c r="T8720" s="260"/>
      <c r="U8720" s="260"/>
      <c r="V8720" s="260"/>
      <c r="W8720" s="260"/>
      <c r="X8720" s="260"/>
      <c r="Y8720" s="260"/>
      <c r="Z8720" s="726">
        <f>IF($AP$8="I",'ТС.РО 01.01 - 30.06'!Z8720,IF($AP$8="II",'ТС.РО 01.07 - 31.08'!Z8720,IF($AP$8="III",'ТС.РО 01.09 - 31.12'!Z8720,0)))*Z9564</f>
        <v>0</v>
      </c>
      <c r="AA8720" s="260"/>
      <c r="AB8720" s="260"/>
      <c r="AC8720" s="260"/>
      <c r="AD8720" s="260"/>
      <c r="AE8720" s="260"/>
      <c r="AF8720" s="726">
        <f>IF($AP$8="I",'ТС.РО 01.01 - 30.06'!AF8720,IF($AP$8="II",'ТС.РО 01.07 - 31.08'!AF8720,IF($AP$8="III",'ТС.РО 01.09 - 31.12'!AF8720,0)))*AF9564</f>
        <v>0</v>
      </c>
      <c r="AG8720" s="258"/>
      <c r="AO8720"/>
      <c r="AP8720"/>
      <c r="AQ8720"/>
      <c r="AR8720"/>
      <c r="AS8720"/>
      <c r="AT8720"/>
      <c r="AU8720"/>
      <c r="AV8720"/>
      <c r="AW8720"/>
      <c r="AX8720"/>
      <c r="AY8720"/>
      <c r="AZ8720"/>
      <c r="BA8720"/>
      <c r="BB8720"/>
      <c r="BC8720"/>
      <c r="BD8720"/>
      <c r="BE8720"/>
      <c r="BF8720"/>
    </row>
    <row r="8721" spans="13:58" ht="12" hidden="1" customHeight="1">
      <c r="M8721" s="820"/>
      <c r="N8721" s="451"/>
      <c r="O8721" s="455"/>
      <c r="P8721" s="260"/>
      <c r="Q8721" s="258"/>
      <c r="R8721" s="260"/>
      <c r="S8721" s="260"/>
      <c r="T8721" s="260"/>
      <c r="U8721" s="260"/>
      <c r="V8721" s="260"/>
      <c r="W8721" s="260"/>
      <c r="X8721" s="260"/>
      <c r="Y8721" s="260"/>
      <c r="Z8721" s="260"/>
      <c r="AA8721" s="260"/>
      <c r="AB8721" s="260"/>
      <c r="AC8721" s="260"/>
      <c r="AD8721" s="260"/>
      <c r="AE8721" s="260"/>
      <c r="AF8721" s="260"/>
      <c r="AG8721" s="258"/>
      <c r="AO8721"/>
      <c r="AP8721"/>
      <c r="AQ8721"/>
      <c r="AR8721"/>
      <c r="AS8721"/>
      <c r="AT8721"/>
      <c r="AU8721"/>
      <c r="AV8721"/>
      <c r="AW8721"/>
      <c r="AX8721"/>
      <c r="AY8721"/>
      <c r="AZ8721"/>
      <c r="BA8721"/>
      <c r="BB8721"/>
      <c r="BC8721"/>
      <c r="BD8721"/>
      <c r="BE8721"/>
      <c r="BF8721"/>
    </row>
    <row r="8722" spans="13:58" ht="12" hidden="1" customHeight="1">
      <c r="M8722" s="820"/>
      <c r="N8722" s="451"/>
      <c r="O8722" s="455"/>
      <c r="P8722" s="260"/>
      <c r="Q8722" s="258"/>
      <c r="R8722" s="260"/>
      <c r="S8722" s="260"/>
      <c r="T8722" s="260"/>
      <c r="U8722" s="260"/>
      <c r="V8722" s="260"/>
      <c r="W8722" s="260"/>
      <c r="X8722" s="260"/>
      <c r="Y8722" s="260"/>
      <c r="Z8722" s="260"/>
      <c r="AA8722" s="260"/>
      <c r="AB8722" s="260"/>
      <c r="AC8722" s="260"/>
      <c r="AD8722" s="260"/>
      <c r="AE8722" s="260"/>
      <c r="AF8722" s="260"/>
      <c r="AG8722" s="258"/>
      <c r="AO8722"/>
      <c r="AP8722"/>
      <c r="AQ8722"/>
      <c r="AR8722"/>
      <c r="AS8722"/>
      <c r="AT8722"/>
      <c r="AU8722"/>
      <c r="AV8722"/>
      <c r="AW8722"/>
      <c r="AX8722"/>
      <c r="AY8722"/>
      <c r="AZ8722"/>
      <c r="BA8722"/>
      <c r="BB8722"/>
      <c r="BC8722"/>
      <c r="BD8722"/>
      <c r="BE8722"/>
      <c r="BF8722"/>
    </row>
    <row r="8723" spans="13:58" ht="12" hidden="1" customHeight="1">
      <c r="M8723" s="820"/>
      <c r="N8723" s="451"/>
      <c r="O8723" s="455"/>
      <c r="P8723" s="260"/>
      <c r="Q8723" s="258"/>
      <c r="R8723" s="260"/>
      <c r="S8723" s="260"/>
      <c r="T8723" s="260"/>
      <c r="U8723" s="260"/>
      <c r="V8723" s="260"/>
      <c r="W8723" s="260"/>
      <c r="X8723" s="260"/>
      <c r="Y8723" s="260"/>
      <c r="Z8723" s="260"/>
      <c r="AA8723" s="260"/>
      <c r="AB8723" s="260"/>
      <c r="AC8723" s="260"/>
      <c r="AD8723" s="260"/>
      <c r="AE8723" s="260"/>
      <c r="AF8723" s="260"/>
      <c r="AG8723" s="258"/>
      <c r="AO8723"/>
      <c r="AP8723"/>
      <c r="AQ8723"/>
      <c r="AR8723"/>
      <c r="AS8723"/>
      <c r="AT8723"/>
      <c r="AU8723"/>
      <c r="AV8723"/>
      <c r="AW8723"/>
      <c r="AX8723"/>
      <c r="AY8723"/>
      <c r="AZ8723"/>
      <c r="BA8723"/>
      <c r="BB8723"/>
      <c r="BC8723"/>
      <c r="BD8723"/>
      <c r="BE8723"/>
      <c r="BF8723"/>
    </row>
    <row r="8724" spans="13:58" ht="12" hidden="1" customHeight="1">
      <c r="M8724" s="820"/>
      <c r="N8724" s="451"/>
      <c r="O8724" s="455"/>
      <c r="P8724" s="260"/>
      <c r="Q8724" s="258"/>
      <c r="R8724" s="260"/>
      <c r="S8724" s="260"/>
      <c r="T8724" s="260"/>
      <c r="U8724" s="260"/>
      <c r="V8724" s="260"/>
      <c r="W8724" s="260"/>
      <c r="X8724" s="260"/>
      <c r="Y8724" s="260"/>
      <c r="Z8724" s="260"/>
      <c r="AA8724" s="260"/>
      <c r="AB8724" s="260"/>
      <c r="AC8724" s="260"/>
      <c r="AD8724" s="260"/>
      <c r="AE8724" s="260"/>
      <c r="AF8724" s="260"/>
      <c r="AG8724" s="258"/>
      <c r="AO8724"/>
      <c r="AP8724"/>
      <c r="AQ8724"/>
      <c r="AR8724"/>
      <c r="AS8724"/>
      <c r="AT8724"/>
      <c r="AU8724"/>
      <c r="AV8724"/>
      <c r="AW8724"/>
      <c r="AX8724"/>
      <c r="AY8724"/>
      <c r="AZ8724"/>
      <c r="BA8724"/>
      <c r="BB8724"/>
      <c r="BC8724"/>
      <c r="BD8724"/>
      <c r="BE8724"/>
      <c r="BF8724"/>
    </row>
    <row r="8725" spans="13:58" ht="12" hidden="1" customHeight="1">
      <c r="M8725" s="820"/>
      <c r="N8725" s="451"/>
      <c r="O8725" s="455"/>
      <c r="P8725" s="260"/>
      <c r="Q8725" s="258"/>
      <c r="R8725" s="260"/>
      <c r="S8725" s="260"/>
      <c r="T8725" s="260"/>
      <c r="U8725" s="260"/>
      <c r="V8725" s="260"/>
      <c r="W8725" s="260"/>
      <c r="X8725" s="260"/>
      <c r="Y8725" s="260"/>
      <c r="Z8725" s="260"/>
      <c r="AA8725" s="260"/>
      <c r="AB8725" s="260"/>
      <c r="AC8725" s="260"/>
      <c r="AD8725" s="260"/>
      <c r="AE8725" s="260"/>
      <c r="AF8725" s="260"/>
      <c r="AG8725" s="258"/>
      <c r="AO8725"/>
      <c r="AP8725"/>
      <c r="AQ8725"/>
      <c r="AR8725"/>
      <c r="AS8725"/>
      <c r="AT8725"/>
      <c r="AU8725"/>
      <c r="AV8725"/>
      <c r="AW8725"/>
      <c r="AX8725"/>
      <c r="AY8725"/>
      <c r="AZ8725"/>
      <c r="BA8725"/>
      <c r="BB8725"/>
      <c r="BC8725"/>
      <c r="BD8725"/>
      <c r="BE8725"/>
      <c r="BF8725"/>
    </row>
    <row r="8726" spans="13:58" ht="12" hidden="1" customHeight="1">
      <c r="M8726" s="820"/>
      <c r="N8726" s="451"/>
      <c r="O8726" s="455"/>
      <c r="P8726" s="260"/>
      <c r="Q8726" s="258"/>
      <c r="R8726" s="260"/>
      <c r="S8726" s="260"/>
      <c r="T8726" s="260"/>
      <c r="U8726" s="260"/>
      <c r="V8726" s="260"/>
      <c r="W8726" s="260"/>
      <c r="X8726" s="260"/>
      <c r="Y8726" s="260"/>
      <c r="Z8726" s="260"/>
      <c r="AA8726" s="260"/>
      <c r="AB8726" s="260"/>
      <c r="AC8726" s="260"/>
      <c r="AD8726" s="260"/>
      <c r="AE8726" s="260"/>
      <c r="AF8726" s="260"/>
      <c r="AG8726" s="258"/>
      <c r="AO8726"/>
      <c r="AP8726"/>
      <c r="AQ8726"/>
      <c r="AR8726"/>
      <c r="AS8726"/>
      <c r="AT8726"/>
      <c r="AU8726"/>
      <c r="AV8726"/>
      <c r="AW8726"/>
      <c r="AX8726"/>
      <c r="AY8726"/>
      <c r="AZ8726"/>
      <c r="BA8726"/>
      <c r="BB8726"/>
      <c r="BC8726"/>
      <c r="BD8726"/>
      <c r="BE8726"/>
      <c r="BF8726"/>
    </row>
    <row r="8727" spans="13:58" ht="12" hidden="1" customHeight="1">
      <c r="M8727" s="820"/>
      <c r="N8727" s="451"/>
      <c r="O8727" s="455"/>
      <c r="P8727" s="260"/>
      <c r="Q8727" s="258"/>
      <c r="R8727" s="260"/>
      <c r="S8727" s="260"/>
      <c r="T8727" s="260"/>
      <c r="U8727" s="260"/>
      <c r="V8727" s="260"/>
      <c r="W8727" s="260"/>
      <c r="X8727" s="260"/>
      <c r="Y8727" s="260"/>
      <c r="Z8727" s="260"/>
      <c r="AA8727" s="260"/>
      <c r="AB8727" s="260"/>
      <c r="AC8727" s="260"/>
      <c r="AD8727" s="260"/>
      <c r="AE8727" s="260"/>
      <c r="AF8727" s="260"/>
      <c r="AG8727" s="258"/>
      <c r="AO8727"/>
      <c r="AP8727"/>
      <c r="AQ8727"/>
      <c r="AR8727"/>
      <c r="AS8727"/>
      <c r="AT8727"/>
      <c r="AU8727"/>
      <c r="AV8727"/>
      <c r="AW8727"/>
      <c r="AX8727"/>
      <c r="AY8727"/>
      <c r="AZ8727"/>
      <c r="BA8727"/>
      <c r="BB8727"/>
      <c r="BC8727"/>
      <c r="BD8727"/>
      <c r="BE8727"/>
      <c r="BF8727"/>
    </row>
    <row r="8728" spans="13:58" ht="12" customHeight="1">
      <c r="M8728" s="820"/>
      <c r="N8728" s="451" t="s">
        <v>80</v>
      </c>
      <c r="O8728" s="455" t="s">
        <v>81</v>
      </c>
      <c r="P8728" s="260"/>
      <c r="Q8728" s="258"/>
      <c r="R8728" s="260"/>
      <c r="S8728" s="260"/>
      <c r="T8728" s="260"/>
      <c r="U8728" s="260"/>
      <c r="V8728" s="260"/>
      <c r="W8728" s="260"/>
      <c r="X8728" s="260"/>
      <c r="Y8728" s="260"/>
      <c r="Z8728" s="726">
        <f>IF($AP$8="I",'ТС.РО 01.01 - 30.06'!Z8728,IF($AP$8="II",'ТС.РО 01.07 - 31.08'!Z8728,IF($AP$8="III",'ТС.РО 01.09 - 31.12'!Z8728,0)))*Z9564</f>
        <v>0</v>
      </c>
      <c r="AA8728" s="260"/>
      <c r="AB8728" s="260"/>
      <c r="AC8728" s="260"/>
      <c r="AD8728" s="260"/>
      <c r="AE8728" s="260"/>
      <c r="AF8728" s="726">
        <f>IF($AP$8="I",'ТС.РО 01.01 - 30.06'!AF8728,IF($AP$8="II",'ТС.РО 01.07 - 31.08'!AF8728,IF($AP$8="III",'ТС.РО 01.09 - 31.12'!AF8728,0)))*AF9564</f>
        <v>0</v>
      </c>
      <c r="AG8728" s="258"/>
      <c r="AO8728"/>
      <c r="AP8728"/>
      <c r="AQ8728"/>
      <c r="AR8728"/>
      <c r="AS8728"/>
      <c r="AT8728"/>
      <c r="AU8728"/>
      <c r="AV8728"/>
      <c r="AW8728"/>
      <c r="AX8728"/>
      <c r="AY8728"/>
      <c r="AZ8728"/>
      <c r="BA8728"/>
      <c r="BB8728"/>
      <c r="BC8728"/>
      <c r="BD8728"/>
      <c r="BE8728"/>
      <c r="BF8728"/>
    </row>
    <row r="8729" spans="13:58" ht="12" hidden="1" customHeight="1">
      <c r="M8729" s="820"/>
      <c r="N8729" s="451"/>
      <c r="O8729" s="455"/>
      <c r="P8729" s="260"/>
      <c r="Q8729" s="258"/>
      <c r="R8729" s="260"/>
      <c r="S8729" s="260"/>
      <c r="T8729" s="260"/>
      <c r="U8729" s="260"/>
      <c r="V8729" s="260"/>
      <c r="W8729" s="260"/>
      <c r="X8729" s="260"/>
      <c r="Y8729" s="260"/>
      <c r="Z8729" s="260"/>
      <c r="AA8729" s="260"/>
      <c r="AB8729" s="260"/>
      <c r="AC8729" s="260"/>
      <c r="AD8729" s="260"/>
      <c r="AE8729" s="260"/>
      <c r="AF8729" s="260"/>
      <c r="AG8729" s="258"/>
      <c r="AO8729"/>
      <c r="AP8729"/>
      <c r="AQ8729"/>
      <c r="AR8729"/>
      <c r="AS8729"/>
      <c r="AT8729"/>
      <c r="AU8729"/>
      <c r="AV8729"/>
      <c r="AW8729"/>
      <c r="AX8729"/>
      <c r="AY8729"/>
      <c r="AZ8729"/>
      <c r="BA8729"/>
      <c r="BB8729"/>
      <c r="BC8729"/>
      <c r="BD8729"/>
      <c r="BE8729"/>
      <c r="BF8729"/>
    </row>
    <row r="8730" spans="13:58" ht="12" hidden="1" customHeight="1">
      <c r="M8730" s="820"/>
      <c r="N8730" s="451"/>
      <c r="O8730" s="455"/>
      <c r="P8730" s="260"/>
      <c r="Q8730" s="258"/>
      <c r="R8730" s="260"/>
      <c r="S8730" s="260"/>
      <c r="T8730" s="260"/>
      <c r="U8730" s="260"/>
      <c r="V8730" s="260"/>
      <c r="W8730" s="260"/>
      <c r="X8730" s="260"/>
      <c r="Y8730" s="260"/>
      <c r="Z8730" s="260"/>
      <c r="AA8730" s="260"/>
      <c r="AB8730" s="260"/>
      <c r="AC8730" s="260"/>
      <c r="AD8730" s="260"/>
      <c r="AE8730" s="260"/>
      <c r="AF8730" s="260"/>
      <c r="AG8730" s="258"/>
      <c r="AO8730"/>
      <c r="AP8730"/>
      <c r="AQ8730"/>
      <c r="AR8730"/>
      <c r="AS8730"/>
      <c r="AT8730"/>
      <c r="AU8730"/>
      <c r="AV8730"/>
      <c r="AW8730"/>
      <c r="AX8730"/>
      <c r="AY8730"/>
      <c r="AZ8730"/>
      <c r="BA8730"/>
      <c r="BB8730"/>
      <c r="BC8730"/>
      <c r="BD8730"/>
      <c r="BE8730"/>
      <c r="BF8730"/>
    </row>
    <row r="8731" spans="13:58" ht="12" hidden="1" customHeight="1">
      <c r="M8731" s="820"/>
      <c r="N8731" s="451"/>
      <c r="O8731" s="455"/>
      <c r="P8731" s="260"/>
      <c r="Q8731" s="258"/>
      <c r="R8731" s="260"/>
      <c r="S8731" s="260"/>
      <c r="T8731" s="260"/>
      <c r="U8731" s="260"/>
      <c r="V8731" s="260"/>
      <c r="W8731" s="260"/>
      <c r="X8731" s="260"/>
      <c r="Y8731" s="260"/>
      <c r="Z8731" s="260"/>
      <c r="AA8731" s="260"/>
      <c r="AB8731" s="260"/>
      <c r="AC8731" s="260"/>
      <c r="AD8731" s="260"/>
      <c r="AE8731" s="260"/>
      <c r="AF8731" s="260"/>
      <c r="AG8731" s="258"/>
      <c r="AO8731"/>
      <c r="AP8731"/>
      <c r="AQ8731"/>
      <c r="AR8731"/>
      <c r="AS8731"/>
      <c r="AT8731"/>
      <c r="AU8731"/>
      <c r="AV8731"/>
      <c r="AW8731"/>
      <c r="AX8731"/>
      <c r="AY8731"/>
      <c r="AZ8731"/>
      <c r="BA8731"/>
      <c r="BB8731"/>
      <c r="BC8731"/>
      <c r="BD8731"/>
      <c r="BE8731"/>
      <c r="BF8731"/>
    </row>
    <row r="8732" spans="13:58" ht="12" hidden="1" customHeight="1">
      <c r="M8732" s="820"/>
      <c r="N8732" s="451"/>
      <c r="O8732" s="455"/>
      <c r="P8732" s="260"/>
      <c r="Q8732" s="258"/>
      <c r="R8732" s="260"/>
      <c r="S8732" s="260"/>
      <c r="T8732" s="260"/>
      <c r="U8732" s="260"/>
      <c r="V8732" s="260"/>
      <c r="W8732" s="260"/>
      <c r="X8732" s="260"/>
      <c r="Y8732" s="260"/>
      <c r="Z8732" s="260"/>
      <c r="AA8732" s="260"/>
      <c r="AB8732" s="260"/>
      <c r="AC8732" s="260"/>
      <c r="AD8732" s="260"/>
      <c r="AE8732" s="260"/>
      <c r="AF8732" s="260"/>
      <c r="AG8732" s="258"/>
      <c r="AO8732"/>
      <c r="AP8732"/>
      <c r="AQ8732"/>
      <c r="AR8732"/>
      <c r="AS8732"/>
      <c r="AT8732"/>
      <c r="AU8732"/>
      <c r="AV8732"/>
      <c r="AW8732"/>
      <c r="AX8732"/>
      <c r="AY8732"/>
      <c r="AZ8732"/>
      <c r="BA8732"/>
      <c r="BB8732"/>
      <c r="BC8732"/>
      <c r="BD8732"/>
      <c r="BE8732"/>
      <c r="BF8732"/>
    </row>
    <row r="8733" spans="13:58" ht="12" hidden="1" customHeight="1">
      <c r="M8733" s="820"/>
      <c r="N8733" s="451"/>
      <c r="O8733" s="455"/>
      <c r="P8733" s="260"/>
      <c r="Q8733" s="258"/>
      <c r="R8733" s="260"/>
      <c r="S8733" s="260"/>
      <c r="T8733" s="260"/>
      <c r="U8733" s="260"/>
      <c r="V8733" s="260"/>
      <c r="W8733" s="260"/>
      <c r="X8733" s="260"/>
      <c r="Y8733" s="260"/>
      <c r="Z8733" s="260"/>
      <c r="AA8733" s="260"/>
      <c r="AB8733" s="260"/>
      <c r="AC8733" s="260"/>
      <c r="AD8733" s="260"/>
      <c r="AE8733" s="260"/>
      <c r="AF8733" s="260"/>
      <c r="AG8733" s="258"/>
      <c r="AO8733"/>
      <c r="AP8733"/>
      <c r="AQ8733"/>
      <c r="AR8733"/>
      <c r="AS8733"/>
      <c r="AT8733"/>
      <c r="AU8733"/>
      <c r="AV8733"/>
      <c r="AW8733"/>
      <c r="AX8733"/>
      <c r="AY8733"/>
      <c r="AZ8733"/>
      <c r="BA8733"/>
      <c r="BB8733"/>
      <c r="BC8733"/>
      <c r="BD8733"/>
      <c r="BE8733"/>
      <c r="BF8733"/>
    </row>
    <row r="8734" spans="13:58" ht="12" hidden="1" customHeight="1">
      <c r="M8734" s="820"/>
      <c r="N8734" s="451"/>
      <c r="O8734" s="455"/>
      <c r="P8734" s="260"/>
      <c r="Q8734" s="258"/>
      <c r="R8734" s="260"/>
      <c r="S8734" s="260"/>
      <c r="T8734" s="260"/>
      <c r="U8734" s="260"/>
      <c r="V8734" s="260"/>
      <c r="W8734" s="260"/>
      <c r="X8734" s="260"/>
      <c r="Y8734" s="260"/>
      <c r="Z8734" s="260"/>
      <c r="AA8734" s="260"/>
      <c r="AB8734" s="260"/>
      <c r="AC8734" s="260"/>
      <c r="AD8734" s="260"/>
      <c r="AE8734" s="260"/>
      <c r="AF8734" s="260"/>
      <c r="AG8734" s="258"/>
      <c r="AO8734"/>
      <c r="AP8734"/>
      <c r="AQ8734"/>
      <c r="AR8734"/>
      <c r="AS8734"/>
      <c r="AT8734"/>
      <c r="AU8734"/>
      <c r="AV8734"/>
      <c r="AW8734"/>
      <c r="AX8734"/>
      <c r="AY8734"/>
      <c r="AZ8734"/>
      <c r="BA8734"/>
      <c r="BB8734"/>
      <c r="BC8734"/>
      <c r="BD8734"/>
      <c r="BE8734"/>
      <c r="BF8734"/>
    </row>
    <row r="8735" spans="13:58" ht="12" hidden="1" customHeight="1">
      <c r="M8735" s="820"/>
      <c r="N8735" s="451"/>
      <c r="O8735" s="455"/>
      <c r="P8735" s="260"/>
      <c r="Q8735" s="258"/>
      <c r="R8735" s="260"/>
      <c r="S8735" s="260"/>
      <c r="T8735" s="260"/>
      <c r="U8735" s="260"/>
      <c r="V8735" s="260"/>
      <c r="W8735" s="260"/>
      <c r="X8735" s="260"/>
      <c r="Y8735" s="260"/>
      <c r="Z8735" s="260"/>
      <c r="AA8735" s="260"/>
      <c r="AB8735" s="260"/>
      <c r="AC8735" s="260"/>
      <c r="AD8735" s="260"/>
      <c r="AE8735" s="260"/>
      <c r="AF8735" s="260"/>
      <c r="AG8735" s="258"/>
      <c r="AO8735"/>
      <c r="AP8735"/>
      <c r="AQ8735"/>
      <c r="AR8735"/>
      <c r="AS8735"/>
      <c r="AT8735"/>
      <c r="AU8735"/>
      <c r="AV8735"/>
      <c r="AW8735"/>
      <c r="AX8735"/>
      <c r="AY8735"/>
      <c r="AZ8735"/>
      <c r="BA8735"/>
      <c r="BB8735"/>
      <c r="BC8735"/>
      <c r="BD8735"/>
      <c r="BE8735"/>
      <c r="BF8735"/>
    </row>
    <row r="8736" spans="13:58" ht="12" customHeight="1">
      <c r="M8736" s="820"/>
      <c r="N8736" s="451" t="s">
        <v>82</v>
      </c>
      <c r="O8736" s="455" t="s">
        <v>83</v>
      </c>
      <c r="P8736" s="260"/>
      <c r="Q8736" s="258"/>
      <c r="R8736" s="260"/>
      <c r="S8736" s="260"/>
      <c r="T8736" s="260"/>
      <c r="U8736" s="260"/>
      <c r="V8736" s="260"/>
      <c r="W8736" s="260"/>
      <c r="X8736" s="260"/>
      <c r="Y8736" s="260"/>
      <c r="Z8736" s="726">
        <f>IF($AP$8="I",'ТС.РО 01.01 - 30.06'!Z8736,IF($AP$8="II",'ТС.РО 01.07 - 31.08'!Z8736,IF($AP$8="III",'ТС.РО 01.09 - 31.12'!Z8736,0)))*Z9564</f>
        <v>0</v>
      </c>
      <c r="AA8736" s="260"/>
      <c r="AB8736" s="260"/>
      <c r="AC8736" s="260"/>
      <c r="AD8736" s="260"/>
      <c r="AE8736" s="260"/>
      <c r="AF8736" s="726">
        <f>IF($AP$8="I",'ТС.РО 01.01 - 30.06'!AF8736,IF($AP$8="II",'ТС.РО 01.07 - 31.08'!AF8736,IF($AP$8="III",'ТС.РО 01.09 - 31.12'!AF8736,0)))*AF9564</f>
        <v>0</v>
      </c>
      <c r="AG8736" s="258"/>
      <c r="AO8736"/>
      <c r="AP8736"/>
      <c r="AQ8736"/>
      <c r="AR8736"/>
      <c r="AS8736"/>
      <c r="AT8736"/>
      <c r="AU8736"/>
      <c r="AV8736"/>
      <c r="AW8736"/>
      <c r="AX8736"/>
      <c r="AY8736"/>
      <c r="AZ8736"/>
      <c r="BA8736"/>
      <c r="BB8736"/>
      <c r="BC8736"/>
      <c r="BD8736"/>
      <c r="BE8736"/>
      <c r="BF8736"/>
    </row>
    <row r="8737" spans="13:58" ht="12" customHeight="1">
      <c r="M8737" s="820"/>
      <c r="N8737" s="451" t="s">
        <v>84</v>
      </c>
      <c r="O8737" s="457" t="s">
        <v>85</v>
      </c>
      <c r="P8737" s="260"/>
      <c r="Q8737" s="258"/>
      <c r="R8737" s="260"/>
      <c r="S8737" s="260"/>
      <c r="T8737" s="260"/>
      <c r="U8737" s="260"/>
      <c r="V8737" s="260"/>
      <c r="W8737" s="260"/>
      <c r="X8737" s="260"/>
      <c r="Y8737" s="260"/>
      <c r="Z8737" s="726">
        <f>IF($AP$8="I",'ТС.РО 01.01 - 30.06'!Z8737,IF($AP$8="II",'ТС.РО 01.07 - 31.08'!Z8737,IF($AP$8="III",'ТС.РО 01.09 - 31.12'!Z8737,0)))*Z9564</f>
        <v>0</v>
      </c>
      <c r="AA8737" s="260"/>
      <c r="AB8737" s="260"/>
      <c r="AC8737" s="260"/>
      <c r="AD8737" s="260"/>
      <c r="AE8737" s="260"/>
      <c r="AF8737" s="726">
        <f>IF($AP$8="I",'ТС.РО 01.01 - 30.06'!AF8737,IF($AP$8="II",'ТС.РО 01.07 - 31.08'!AF8737,IF($AP$8="III",'ТС.РО 01.09 - 31.12'!AF8737,0)))*AF9564</f>
        <v>0</v>
      </c>
      <c r="AG8737" s="258"/>
      <c r="AO8737"/>
      <c r="AP8737"/>
      <c r="AQ8737"/>
      <c r="AR8737"/>
      <c r="AS8737"/>
      <c r="AT8737"/>
      <c r="AU8737"/>
      <c r="AV8737"/>
      <c r="AW8737"/>
      <c r="AX8737"/>
      <c r="AY8737"/>
      <c r="AZ8737"/>
      <c r="BA8737"/>
      <c r="BB8737"/>
      <c r="BC8737"/>
      <c r="BD8737"/>
      <c r="BE8737"/>
      <c r="BF8737"/>
    </row>
    <row r="8738" spans="13:58" ht="12" customHeight="1">
      <c r="M8738" s="820"/>
      <c r="N8738" s="451" t="s">
        <v>86</v>
      </c>
      <c r="O8738" s="457" t="s">
        <v>87</v>
      </c>
      <c r="P8738" s="260"/>
      <c r="Q8738" s="258"/>
      <c r="R8738" s="260"/>
      <c r="S8738" s="260"/>
      <c r="T8738" s="260"/>
      <c r="U8738" s="260"/>
      <c r="V8738" s="260"/>
      <c r="W8738" s="260"/>
      <c r="X8738" s="260"/>
      <c r="Y8738" s="260"/>
      <c r="Z8738" s="726">
        <f>IF($AP$8="I",'ТС.РО 01.01 - 30.06'!Z8738,IF($AP$8="II",'ТС.РО 01.07 - 31.08'!Z8738,IF($AP$8="III",'ТС.РО 01.09 - 31.12'!Z8738,0)))*Z9564</f>
        <v>0</v>
      </c>
      <c r="AA8738" s="260"/>
      <c r="AB8738" s="260"/>
      <c r="AC8738" s="260"/>
      <c r="AD8738" s="260"/>
      <c r="AE8738" s="260"/>
      <c r="AF8738" s="726">
        <f>IF($AP$8="I",'ТС.РО 01.01 - 30.06'!AF8738,IF($AP$8="II",'ТС.РО 01.07 - 31.08'!AF8738,IF($AP$8="III",'ТС.РО 01.09 - 31.12'!AF8738,0)))*AF9564</f>
        <v>0</v>
      </c>
      <c r="AG8738" s="258"/>
      <c r="AO8738"/>
      <c r="AP8738"/>
      <c r="AQ8738"/>
      <c r="AR8738"/>
      <c r="AS8738"/>
      <c r="AT8738"/>
      <c r="AU8738"/>
      <c r="AV8738"/>
      <c r="AW8738"/>
      <c r="AX8738"/>
      <c r="AY8738"/>
      <c r="AZ8738"/>
      <c r="BA8738"/>
      <c r="BB8738"/>
      <c r="BC8738"/>
      <c r="BD8738"/>
      <c r="BE8738"/>
      <c r="BF8738"/>
    </row>
    <row r="8739" spans="13:58" ht="12" customHeight="1">
      <c r="M8739" s="820"/>
      <c r="N8739" s="451" t="s">
        <v>88</v>
      </c>
      <c r="O8739" s="457" t="s">
        <v>89</v>
      </c>
      <c r="P8739" s="260"/>
      <c r="Q8739" s="258"/>
      <c r="R8739" s="260"/>
      <c r="S8739" s="260"/>
      <c r="T8739" s="260"/>
      <c r="U8739" s="260"/>
      <c r="V8739" s="260"/>
      <c r="W8739" s="260"/>
      <c r="X8739" s="260"/>
      <c r="Y8739" s="260"/>
      <c r="Z8739" s="726">
        <f>IF($AP$8="I",'ТС.РО 01.01 - 30.06'!Z8739,IF($AP$8="II",'ТС.РО 01.07 - 31.08'!Z8739,IF($AP$8="III",'ТС.РО 01.09 - 31.12'!Z8739,0)))*Z9564</f>
        <v>0</v>
      </c>
      <c r="AA8739" s="260"/>
      <c r="AB8739" s="260"/>
      <c r="AC8739" s="260"/>
      <c r="AD8739" s="260"/>
      <c r="AE8739" s="260"/>
      <c r="AF8739" s="726">
        <f>IF($AP$8="I",'ТС.РО 01.01 - 30.06'!AF8739,IF($AP$8="II",'ТС.РО 01.07 - 31.08'!AF8739,IF($AP$8="III",'ТС.РО 01.09 - 31.12'!AF8739,0)))*AF9564</f>
        <v>0</v>
      </c>
      <c r="AG8739" s="258"/>
      <c r="AO8739"/>
      <c r="AP8739"/>
      <c r="AQ8739"/>
      <c r="AR8739"/>
      <c r="AS8739"/>
      <c r="AT8739"/>
      <c r="AU8739"/>
      <c r="AV8739"/>
      <c r="AW8739"/>
      <c r="AX8739"/>
      <c r="AY8739"/>
      <c r="AZ8739"/>
      <c r="BA8739"/>
      <c r="BB8739"/>
      <c r="BC8739"/>
      <c r="BD8739"/>
      <c r="BE8739"/>
      <c r="BF8739"/>
    </row>
    <row r="8740" spans="13:58" ht="12" customHeight="1">
      <c r="M8740" s="820"/>
      <c r="N8740" s="451" t="s">
        <v>90</v>
      </c>
      <c r="O8740" s="457" t="s">
        <v>91</v>
      </c>
      <c r="P8740" s="260"/>
      <c r="Q8740" s="258"/>
      <c r="R8740" s="260"/>
      <c r="S8740" s="260"/>
      <c r="T8740" s="260"/>
      <c r="U8740" s="260"/>
      <c r="V8740" s="260"/>
      <c r="W8740" s="260"/>
      <c r="X8740" s="260"/>
      <c r="Y8740" s="260"/>
      <c r="Z8740" s="726">
        <f>IF($AP$8="I",'ТС.РО 01.01 - 30.06'!Z8740,IF($AP$8="II",'ТС.РО 01.07 - 31.08'!Z8740,IF($AP$8="III",'ТС.РО 01.09 - 31.12'!Z8740,0)))*Z9564</f>
        <v>0</v>
      </c>
      <c r="AA8740" s="260"/>
      <c r="AB8740" s="260"/>
      <c r="AC8740" s="260"/>
      <c r="AD8740" s="260"/>
      <c r="AE8740" s="260"/>
      <c r="AF8740" s="726">
        <f>IF($AP$8="I",'ТС.РО 01.01 - 30.06'!AF8740,IF($AP$8="II",'ТС.РО 01.07 - 31.08'!AF8740,IF($AP$8="III",'ТС.РО 01.09 - 31.12'!AF8740,0)))*AF9564</f>
        <v>0</v>
      </c>
      <c r="AG8740" s="258"/>
      <c r="AO8740"/>
      <c r="AP8740"/>
      <c r="AQ8740"/>
      <c r="AR8740"/>
      <c r="AS8740"/>
      <c r="AT8740"/>
      <c r="AU8740"/>
      <c r="AV8740"/>
      <c r="AW8740"/>
      <c r="AX8740"/>
      <c r="AY8740"/>
      <c r="AZ8740"/>
      <c r="BA8740"/>
      <c r="BB8740"/>
      <c r="BC8740"/>
      <c r="BD8740"/>
      <c r="BE8740"/>
      <c r="BF8740"/>
    </row>
    <row r="8741" spans="13:58" ht="12" customHeight="1">
      <c r="M8741" s="820"/>
      <c r="N8741" s="451" t="s">
        <v>92</v>
      </c>
      <c r="O8741" s="457" t="s">
        <v>93</v>
      </c>
      <c r="P8741" s="260"/>
      <c r="Q8741" s="258"/>
      <c r="R8741" s="260"/>
      <c r="S8741" s="260"/>
      <c r="T8741" s="260"/>
      <c r="U8741" s="260"/>
      <c r="V8741" s="260"/>
      <c r="W8741" s="260"/>
      <c r="X8741" s="260"/>
      <c r="Y8741" s="260"/>
      <c r="Z8741" s="726">
        <f>IF($AP$8="I",'ТС.РО 01.01 - 30.06'!Z8741,IF($AP$8="II",'ТС.РО 01.07 - 31.08'!Z8741,IF($AP$8="III",'ТС.РО 01.09 - 31.12'!Z8741,0)))*Z9564</f>
        <v>0</v>
      </c>
      <c r="AA8741" s="260"/>
      <c r="AB8741" s="260"/>
      <c r="AC8741" s="260"/>
      <c r="AD8741" s="260"/>
      <c r="AE8741" s="260"/>
      <c r="AF8741" s="726">
        <f>IF($AP$8="I",'ТС.РО 01.01 - 30.06'!AF8741,IF($AP$8="II",'ТС.РО 01.07 - 31.08'!AF8741,IF($AP$8="III",'ТС.РО 01.09 - 31.12'!AF8741,0)))*AF9564</f>
        <v>0</v>
      </c>
      <c r="AG8741" s="258"/>
      <c r="AO8741"/>
      <c r="AP8741"/>
      <c r="AQ8741"/>
      <c r="AR8741"/>
      <c r="AS8741"/>
      <c r="AT8741"/>
      <c r="AU8741"/>
      <c r="AV8741"/>
      <c r="AW8741"/>
      <c r="AX8741"/>
      <c r="AY8741"/>
      <c r="AZ8741"/>
      <c r="BA8741"/>
      <c r="BB8741"/>
      <c r="BC8741"/>
      <c r="BD8741"/>
      <c r="BE8741"/>
      <c r="BF8741"/>
    </row>
    <row r="8742" spans="13:58" ht="12" customHeight="1">
      <c r="M8742" s="820"/>
      <c r="N8742" s="451" t="s">
        <v>94</v>
      </c>
      <c r="O8742" s="457" t="s">
        <v>95</v>
      </c>
      <c r="P8742" s="260"/>
      <c r="Q8742" s="258"/>
      <c r="R8742" s="260"/>
      <c r="S8742" s="260"/>
      <c r="T8742" s="260"/>
      <c r="U8742" s="260"/>
      <c r="V8742" s="260"/>
      <c r="W8742" s="260"/>
      <c r="X8742" s="260"/>
      <c r="Y8742" s="260"/>
      <c r="Z8742" s="726">
        <f>IF($AP$8="I",'ТС.РО 01.01 - 30.06'!Z8742,IF($AP$8="II",'ТС.РО 01.07 - 31.08'!Z8742,IF($AP$8="III",'ТС.РО 01.09 - 31.12'!Z8742,0)))*Z9564</f>
        <v>0</v>
      </c>
      <c r="AA8742" s="260"/>
      <c r="AB8742" s="260"/>
      <c r="AC8742" s="260"/>
      <c r="AD8742" s="260"/>
      <c r="AE8742" s="260"/>
      <c r="AF8742" s="726">
        <f>IF($AP$8="I",'ТС.РО 01.01 - 30.06'!AF8742,IF($AP$8="II",'ТС.РО 01.07 - 31.08'!AF8742,IF($AP$8="III",'ТС.РО 01.09 - 31.12'!AF8742,0)))*AF9564</f>
        <v>0</v>
      </c>
      <c r="AG8742" s="258"/>
      <c r="AO8742"/>
      <c r="AP8742"/>
      <c r="AQ8742"/>
      <c r="AR8742"/>
      <c r="AS8742"/>
      <c r="AT8742"/>
      <c r="AU8742"/>
      <c r="AV8742"/>
      <c r="AW8742"/>
      <c r="AX8742"/>
      <c r="AY8742"/>
      <c r="AZ8742"/>
      <c r="BA8742"/>
      <c r="BB8742"/>
      <c r="BC8742"/>
      <c r="BD8742"/>
      <c r="BE8742"/>
      <c r="BF8742"/>
    </row>
    <row r="8743" spans="13:58" ht="12" customHeight="1">
      <c r="M8743" s="820"/>
      <c r="N8743" s="451" t="s">
        <v>2975</v>
      </c>
      <c r="O8743" s="457" t="s">
        <v>2976</v>
      </c>
      <c r="P8743" s="260"/>
      <c r="Q8743" s="258"/>
      <c r="R8743" s="260"/>
      <c r="S8743" s="260"/>
      <c r="T8743" s="260"/>
      <c r="U8743" s="260"/>
      <c r="V8743" s="260"/>
      <c r="W8743" s="260"/>
      <c r="X8743" s="260"/>
      <c r="Y8743" s="260"/>
      <c r="Z8743" s="726">
        <f>IF($AP$8="I",'ТС.РО 01.01 - 30.06'!Z8743,IF($AP$8="II",'ТС.РО 01.07 - 31.08'!Z8743,IF($AP$8="III",'ТС.РО 01.09 - 31.12'!Z8743,0)))*Z9564</f>
        <v>0</v>
      </c>
      <c r="AA8743" s="260"/>
      <c r="AB8743" s="260"/>
      <c r="AC8743" s="260"/>
      <c r="AD8743" s="260"/>
      <c r="AE8743" s="260"/>
      <c r="AF8743" s="726">
        <f>IF($AP$8="I",'ТС.РО 01.01 - 30.06'!AF8743,IF($AP$8="II",'ТС.РО 01.07 - 31.08'!AF8743,IF($AP$8="III",'ТС.РО 01.09 - 31.12'!AF8743,0)))*AF9564</f>
        <v>0</v>
      </c>
      <c r="AG8743" s="258"/>
      <c r="AO8743"/>
      <c r="AP8743"/>
      <c r="AQ8743"/>
      <c r="AR8743"/>
      <c r="AS8743"/>
      <c r="AT8743"/>
      <c r="AU8743"/>
      <c r="AV8743"/>
      <c r="AW8743"/>
      <c r="AX8743"/>
      <c r="AY8743"/>
      <c r="AZ8743"/>
      <c r="BA8743"/>
      <c r="BB8743"/>
      <c r="BC8743"/>
      <c r="BD8743"/>
      <c r="BE8743"/>
      <c r="BF8743"/>
    </row>
    <row r="8744" spans="13:58" ht="12" customHeight="1">
      <c r="M8744" s="820"/>
      <c r="N8744" s="451" t="s">
        <v>2977</v>
      </c>
      <c r="O8744" s="457" t="s">
        <v>2978</v>
      </c>
      <c r="P8744" s="260"/>
      <c r="Q8744" s="258"/>
      <c r="R8744" s="260"/>
      <c r="S8744" s="260"/>
      <c r="T8744" s="260"/>
      <c r="U8744" s="260"/>
      <c r="V8744" s="260"/>
      <c r="W8744" s="260"/>
      <c r="X8744" s="260"/>
      <c r="Y8744" s="260"/>
      <c r="Z8744" s="726">
        <f>IF($AP$8="I",'ТС.РО 01.01 - 30.06'!Z8744,IF($AP$8="II",'ТС.РО 01.07 - 31.08'!Z8744,IF($AP$8="III",'ТС.РО 01.09 - 31.12'!Z8744,0)))*Z9564</f>
        <v>0</v>
      </c>
      <c r="AA8744" s="260"/>
      <c r="AB8744" s="260"/>
      <c r="AC8744" s="260"/>
      <c r="AD8744" s="260"/>
      <c r="AE8744" s="260"/>
      <c r="AF8744" s="726">
        <f>IF($AP$8="I",'ТС.РО 01.01 - 30.06'!AF8744,IF($AP$8="II",'ТС.РО 01.07 - 31.08'!AF8744,IF($AP$8="III",'ТС.РО 01.09 - 31.12'!AF8744,0)))*AF9564</f>
        <v>0</v>
      </c>
      <c r="AG8744" s="258"/>
      <c r="AO8744"/>
      <c r="AP8744"/>
      <c r="AQ8744"/>
      <c r="AR8744"/>
      <c r="AS8744"/>
      <c r="AT8744"/>
      <c r="AU8744"/>
      <c r="AV8744"/>
      <c r="AW8744"/>
      <c r="AX8744"/>
      <c r="AY8744"/>
      <c r="AZ8744"/>
      <c r="BA8744"/>
      <c r="BB8744"/>
      <c r="BC8744"/>
      <c r="BD8744"/>
      <c r="BE8744"/>
      <c r="BF8744"/>
    </row>
    <row r="8745" spans="13:58" ht="12" customHeight="1">
      <c r="M8745" s="820"/>
      <c r="N8745" s="451" t="s">
        <v>2979</v>
      </c>
      <c r="O8745" s="457" t="s">
        <v>2980</v>
      </c>
      <c r="P8745" s="260"/>
      <c r="Q8745" s="258"/>
      <c r="R8745" s="260"/>
      <c r="S8745" s="260"/>
      <c r="T8745" s="260"/>
      <c r="U8745" s="260"/>
      <c r="V8745" s="260"/>
      <c r="W8745" s="260"/>
      <c r="X8745" s="260"/>
      <c r="Y8745" s="260"/>
      <c r="Z8745" s="726">
        <f>IF($AP$8="I",'ТС.РО 01.01 - 30.06'!Z8745,IF($AP$8="II",'ТС.РО 01.07 - 31.08'!Z8745,IF($AP$8="III",'ТС.РО 01.09 - 31.12'!Z8745,0)))*Z9564</f>
        <v>0</v>
      </c>
      <c r="AA8745" s="260"/>
      <c r="AB8745" s="260"/>
      <c r="AC8745" s="260"/>
      <c r="AD8745" s="260"/>
      <c r="AE8745" s="260"/>
      <c r="AF8745" s="726">
        <f>IF($AP$8="I",'ТС.РО 01.01 - 30.06'!AF8745,IF($AP$8="II",'ТС.РО 01.07 - 31.08'!AF8745,IF($AP$8="III",'ТС.РО 01.09 - 31.12'!AF8745,0)))*AF9564</f>
        <v>0</v>
      </c>
      <c r="AG8745" s="258"/>
      <c r="AO8745"/>
      <c r="AP8745"/>
      <c r="AQ8745"/>
      <c r="AR8745"/>
      <c r="AS8745"/>
      <c r="AT8745"/>
      <c r="AU8745"/>
      <c r="AV8745"/>
      <c r="AW8745"/>
      <c r="AX8745"/>
      <c r="AY8745"/>
      <c r="AZ8745"/>
      <c r="BA8745"/>
      <c r="BB8745"/>
      <c r="BC8745"/>
      <c r="BD8745"/>
      <c r="BE8745"/>
      <c r="BF8745"/>
    </row>
    <row r="8746" spans="13:58" ht="12" customHeight="1">
      <c r="M8746" s="820"/>
      <c r="N8746" s="451" t="s">
        <v>2981</v>
      </c>
      <c r="O8746" s="457" t="s">
        <v>2982</v>
      </c>
      <c r="P8746" s="260"/>
      <c r="Q8746" s="258"/>
      <c r="R8746" s="260"/>
      <c r="S8746" s="260"/>
      <c r="T8746" s="260"/>
      <c r="U8746" s="260"/>
      <c r="V8746" s="260"/>
      <c r="W8746" s="260"/>
      <c r="X8746" s="260"/>
      <c r="Y8746" s="260"/>
      <c r="Z8746" s="726">
        <f>IF($AP$8="I",'ТС.РО 01.01 - 30.06'!Z8746,IF($AP$8="II",'ТС.РО 01.07 - 31.08'!Z8746,IF($AP$8="III",'ТС.РО 01.09 - 31.12'!Z8746,0)))*Z9564</f>
        <v>0</v>
      </c>
      <c r="AA8746" s="260"/>
      <c r="AB8746" s="260"/>
      <c r="AC8746" s="260"/>
      <c r="AD8746" s="260"/>
      <c r="AE8746" s="260"/>
      <c r="AF8746" s="726">
        <f>IF($AP$8="I",'ТС.РО 01.01 - 30.06'!AF8746,IF($AP$8="II",'ТС.РО 01.07 - 31.08'!AF8746,IF($AP$8="III",'ТС.РО 01.09 - 31.12'!AF8746,0)))*AF9564</f>
        <v>0</v>
      </c>
      <c r="AG8746" s="258"/>
      <c r="AO8746"/>
      <c r="AP8746"/>
      <c r="AQ8746"/>
      <c r="AR8746"/>
      <c r="AS8746"/>
      <c r="AT8746"/>
      <c r="AU8746"/>
      <c r="AV8746"/>
      <c r="AW8746"/>
      <c r="AX8746"/>
      <c r="AY8746"/>
      <c r="AZ8746"/>
      <c r="BA8746"/>
      <c r="BB8746"/>
      <c r="BC8746"/>
      <c r="BD8746"/>
      <c r="BE8746"/>
      <c r="BF8746"/>
    </row>
    <row r="8747" spans="13:58" ht="12" customHeight="1">
      <c r="M8747" s="820"/>
      <c r="N8747" s="451" t="s">
        <v>2983</v>
      </c>
      <c r="O8747" s="224" t="s">
        <v>2984</v>
      </c>
      <c r="P8747" s="260"/>
      <c r="Q8747" s="258"/>
      <c r="R8747" s="260"/>
      <c r="S8747" s="260"/>
      <c r="T8747" s="260"/>
      <c r="U8747" s="260"/>
      <c r="V8747" s="260"/>
      <c r="W8747" s="260"/>
      <c r="X8747" s="260"/>
      <c r="Y8747" s="260"/>
      <c r="Z8747" s="726">
        <f>IF($AP$8="I",'ТС.РО 01.01 - 30.06'!Z8747,IF($AP$8="II",'ТС.РО 01.07 - 31.08'!Z8747,IF($AP$8="III",'ТС.РО 01.09 - 31.12'!Z8747,0)))*Z9564</f>
        <v>0</v>
      </c>
      <c r="AA8747" s="260"/>
      <c r="AB8747" s="260"/>
      <c r="AC8747" s="260"/>
      <c r="AD8747" s="260"/>
      <c r="AE8747" s="260"/>
      <c r="AF8747" s="726">
        <f>IF($AP$8="I",'ТС.РО 01.01 - 30.06'!AF8747,IF($AP$8="II",'ТС.РО 01.07 - 31.08'!AF8747,IF($AP$8="III",'ТС.РО 01.09 - 31.12'!AF8747,0)))*AF9564</f>
        <v>0</v>
      </c>
      <c r="AG8747" s="258"/>
      <c r="AO8747"/>
      <c r="AP8747"/>
      <c r="AQ8747"/>
      <c r="AR8747"/>
      <c r="AS8747"/>
      <c r="AT8747"/>
      <c r="AU8747"/>
      <c r="AV8747"/>
      <c r="AW8747"/>
      <c r="AX8747"/>
      <c r="AY8747"/>
      <c r="AZ8747"/>
      <c r="BA8747"/>
      <c r="BB8747"/>
      <c r="BC8747"/>
      <c r="BD8747"/>
      <c r="BE8747"/>
      <c r="BF8747"/>
    </row>
    <row r="8748" spans="13:58" ht="12" customHeight="1">
      <c r="M8748" s="820"/>
      <c r="N8748" s="451" t="s">
        <v>2989</v>
      </c>
      <c r="O8748" s="224" t="s">
        <v>2990</v>
      </c>
      <c r="P8748" s="260"/>
      <c r="Q8748" s="258"/>
      <c r="R8748" s="260"/>
      <c r="S8748" s="260"/>
      <c r="T8748" s="260"/>
      <c r="U8748" s="260"/>
      <c r="V8748" s="260"/>
      <c r="W8748" s="260"/>
      <c r="X8748" s="260"/>
      <c r="Y8748" s="260"/>
      <c r="Z8748" s="726">
        <f>IF($AP$8="I",'ТС.РО 01.01 - 30.06'!Z8748,IF($AP$8="II",'ТС.РО 01.07 - 31.08'!Z8748,IF($AP$8="III",'ТС.РО 01.09 - 31.12'!Z8748,0)))*Z9564</f>
        <v>0</v>
      </c>
      <c r="AA8748" s="260"/>
      <c r="AB8748" s="260"/>
      <c r="AC8748" s="260"/>
      <c r="AD8748" s="260"/>
      <c r="AE8748" s="260"/>
      <c r="AF8748" s="726">
        <f>IF($AP$8="I",'ТС.РО 01.01 - 30.06'!AF8748,IF($AP$8="II",'ТС.РО 01.07 - 31.08'!AF8748,IF($AP$8="III",'ТС.РО 01.09 - 31.12'!AF8748,0)))*AF9564</f>
        <v>0</v>
      </c>
      <c r="AG8748" s="258"/>
      <c r="AO8748"/>
      <c r="AP8748"/>
      <c r="AQ8748"/>
      <c r="AR8748"/>
      <c r="AS8748"/>
      <c r="AT8748"/>
      <c r="AU8748"/>
      <c r="AV8748"/>
      <c r="AW8748"/>
      <c r="AX8748"/>
      <c r="AY8748"/>
      <c r="AZ8748"/>
      <c r="BA8748"/>
      <c r="BB8748"/>
      <c r="BC8748"/>
      <c r="BD8748"/>
      <c r="BE8748"/>
      <c r="BF8748"/>
    </row>
    <row r="8749" spans="13:58" ht="12" customHeight="1">
      <c r="M8749" s="820"/>
      <c r="N8749" s="451" t="s">
        <v>292</v>
      </c>
      <c r="O8749" s="442" t="s">
        <v>291</v>
      </c>
      <c r="P8749" s="260"/>
      <c r="Q8749" s="258"/>
      <c r="R8749" s="260"/>
      <c r="S8749" s="260"/>
      <c r="T8749" s="260"/>
      <c r="U8749" s="260"/>
      <c r="V8749" s="260"/>
      <c r="W8749" s="260"/>
      <c r="X8749" s="260"/>
      <c r="Y8749" s="260"/>
      <c r="Z8749" s="726">
        <f>IF($AP$8="I",'ТС.РО 01.01 - 30.06'!Z8749,IF($AP$8="II",'ТС.РО 01.07 - 31.08'!Z8749,IF($AP$8="III",'ТС.РО 01.09 - 31.12'!Z8749,0)))*Z9564</f>
        <v>0</v>
      </c>
      <c r="AA8749" s="260"/>
      <c r="AB8749" s="260"/>
      <c r="AC8749" s="260"/>
      <c r="AD8749" s="260"/>
      <c r="AE8749" s="260"/>
      <c r="AF8749" s="726">
        <f>IF($AP$8="I",'ТС.РО 01.01 - 30.06'!AF8749,IF($AP$8="II",'ТС.РО 01.07 - 31.08'!AF8749,IF($AP$8="III",'ТС.РО 01.09 - 31.12'!AF8749,0)))*AF9564</f>
        <v>0</v>
      </c>
      <c r="AG8749" s="258"/>
      <c r="AO8749"/>
      <c r="AP8749"/>
      <c r="AQ8749"/>
      <c r="AR8749"/>
      <c r="AS8749"/>
      <c r="AT8749"/>
      <c r="AU8749"/>
      <c r="AV8749"/>
      <c r="AW8749"/>
      <c r="AX8749"/>
      <c r="AY8749"/>
      <c r="AZ8749"/>
      <c r="BA8749"/>
      <c r="BB8749"/>
      <c r="BC8749"/>
      <c r="BD8749"/>
      <c r="BE8749"/>
      <c r="BF8749"/>
    </row>
    <row r="8750" spans="13:58" ht="12" hidden="1" customHeight="1">
      <c r="M8750" s="820"/>
      <c r="N8750" s="239"/>
      <c r="O8750" s="225"/>
      <c r="P8750" s="260"/>
      <c r="Q8750" s="258"/>
      <c r="R8750" s="260"/>
      <c r="S8750" s="260"/>
      <c r="T8750" s="260"/>
      <c r="U8750" s="260"/>
      <c r="V8750" s="260"/>
      <c r="W8750" s="260"/>
      <c r="X8750" s="260"/>
      <c r="Y8750" s="260"/>
      <c r="Z8750" s="260"/>
      <c r="AA8750" s="260"/>
      <c r="AB8750" s="260"/>
      <c r="AC8750" s="260"/>
      <c r="AD8750" s="260"/>
      <c r="AE8750" s="260"/>
      <c r="AF8750" s="260"/>
      <c r="AG8750" s="258"/>
      <c r="AO8750"/>
      <c r="AP8750"/>
      <c r="AQ8750"/>
      <c r="AR8750"/>
      <c r="AS8750"/>
      <c r="AT8750"/>
      <c r="AU8750"/>
      <c r="AV8750"/>
      <c r="AW8750"/>
      <c r="AX8750"/>
      <c r="AY8750"/>
      <c r="AZ8750"/>
      <c r="BA8750"/>
      <c r="BB8750"/>
      <c r="BC8750"/>
      <c r="BD8750"/>
      <c r="BE8750"/>
      <c r="BF8750"/>
    </row>
    <row r="8751" spans="13:58" ht="12" hidden="1" customHeight="1">
      <c r="M8751" s="820"/>
      <c r="N8751" s="239"/>
      <c r="O8751" s="225"/>
      <c r="P8751" s="260"/>
      <c r="Q8751" s="258"/>
      <c r="R8751" s="260"/>
      <c r="S8751" s="260"/>
      <c r="T8751" s="260"/>
      <c r="U8751" s="260"/>
      <c r="V8751" s="260"/>
      <c r="W8751" s="260"/>
      <c r="X8751" s="260"/>
      <c r="Y8751" s="260"/>
      <c r="Z8751" s="260"/>
      <c r="AA8751" s="260"/>
      <c r="AB8751" s="260"/>
      <c r="AC8751" s="260"/>
      <c r="AD8751" s="260"/>
      <c r="AE8751" s="260"/>
      <c r="AF8751" s="260"/>
      <c r="AG8751" s="258"/>
      <c r="AO8751"/>
      <c r="AP8751"/>
      <c r="AQ8751"/>
      <c r="AR8751"/>
      <c r="AS8751"/>
      <c r="AT8751"/>
      <c r="AU8751"/>
      <c r="AV8751"/>
      <c r="AW8751"/>
      <c r="AX8751"/>
      <c r="AY8751"/>
      <c r="AZ8751"/>
      <c r="BA8751"/>
      <c r="BB8751"/>
      <c r="BC8751"/>
      <c r="BD8751"/>
      <c r="BE8751"/>
      <c r="BF8751"/>
    </row>
    <row r="8752" spans="13:58" ht="12" hidden="1" customHeight="1">
      <c r="M8752" s="820"/>
      <c r="N8752" s="239"/>
      <c r="O8752" s="225"/>
      <c r="P8752" s="260"/>
      <c r="Q8752" s="258"/>
      <c r="R8752" s="260"/>
      <c r="S8752" s="260"/>
      <c r="T8752" s="260"/>
      <c r="U8752" s="260"/>
      <c r="V8752" s="260"/>
      <c r="W8752" s="260"/>
      <c r="X8752" s="260"/>
      <c r="Y8752" s="260"/>
      <c r="Z8752" s="260"/>
      <c r="AA8752" s="260"/>
      <c r="AB8752" s="260"/>
      <c r="AC8752" s="260"/>
      <c r="AD8752" s="260"/>
      <c r="AE8752" s="260"/>
      <c r="AF8752" s="260"/>
      <c r="AG8752" s="258"/>
      <c r="AO8752"/>
      <c r="AP8752"/>
      <c r="AQ8752"/>
      <c r="AR8752"/>
      <c r="AS8752"/>
      <c r="AT8752"/>
      <c r="AU8752"/>
      <c r="AV8752"/>
      <c r="AW8752"/>
      <c r="AX8752"/>
      <c r="AY8752"/>
      <c r="AZ8752"/>
      <c r="BA8752"/>
      <c r="BB8752"/>
      <c r="BC8752"/>
      <c r="BD8752"/>
      <c r="BE8752"/>
      <c r="BF8752"/>
    </row>
    <row r="8753" spans="13:58" ht="12" hidden="1" customHeight="1">
      <c r="M8753" s="820"/>
      <c r="N8753" s="239"/>
      <c r="O8753" s="225"/>
      <c r="P8753" s="260"/>
      <c r="Q8753" s="258"/>
      <c r="R8753" s="260"/>
      <c r="S8753" s="260"/>
      <c r="T8753" s="260"/>
      <c r="U8753" s="260"/>
      <c r="V8753" s="260"/>
      <c r="W8753" s="260"/>
      <c r="X8753" s="260"/>
      <c r="Y8753" s="260"/>
      <c r="Z8753" s="260"/>
      <c r="AA8753" s="260"/>
      <c r="AB8753" s="260"/>
      <c r="AC8753" s="260"/>
      <c r="AD8753" s="260"/>
      <c r="AE8753" s="260"/>
      <c r="AF8753" s="260"/>
      <c r="AG8753" s="258"/>
      <c r="AO8753"/>
      <c r="AP8753"/>
      <c r="AQ8753"/>
      <c r="AR8753"/>
      <c r="AS8753"/>
      <c r="AT8753"/>
      <c r="AU8753"/>
      <c r="AV8753"/>
      <c r="AW8753"/>
      <c r="AX8753"/>
      <c r="AY8753"/>
      <c r="AZ8753"/>
      <c r="BA8753"/>
      <c r="BB8753"/>
      <c r="BC8753"/>
      <c r="BD8753"/>
      <c r="BE8753"/>
      <c r="BF8753"/>
    </row>
    <row r="8754" spans="13:58" ht="12" hidden="1" customHeight="1">
      <c r="M8754" s="820"/>
      <c r="N8754" s="239"/>
      <c r="O8754" s="225"/>
      <c r="P8754" s="260"/>
      <c r="Q8754" s="258"/>
      <c r="R8754" s="260"/>
      <c r="S8754" s="260"/>
      <c r="T8754" s="260"/>
      <c r="U8754" s="260"/>
      <c r="V8754" s="260"/>
      <c r="W8754" s="260"/>
      <c r="X8754" s="260"/>
      <c r="Y8754" s="260"/>
      <c r="Z8754" s="260"/>
      <c r="AA8754" s="260"/>
      <c r="AB8754" s="260"/>
      <c r="AC8754" s="260"/>
      <c r="AD8754" s="260"/>
      <c r="AE8754" s="260"/>
      <c r="AF8754" s="260"/>
      <c r="AG8754" s="258"/>
      <c r="AO8754"/>
      <c r="AP8754"/>
      <c r="AQ8754"/>
      <c r="AR8754"/>
      <c r="AS8754"/>
      <c r="AT8754"/>
      <c r="AU8754"/>
      <c r="AV8754"/>
      <c r="AW8754"/>
      <c r="AX8754"/>
      <c r="AY8754"/>
      <c r="AZ8754"/>
      <c r="BA8754"/>
      <c r="BB8754"/>
      <c r="BC8754"/>
      <c r="BD8754"/>
      <c r="BE8754"/>
      <c r="BF8754"/>
    </row>
    <row r="8755" spans="13:58" ht="12" hidden="1" customHeight="1">
      <c r="M8755" s="820"/>
      <c r="N8755" s="239"/>
      <c r="O8755" s="225"/>
      <c r="P8755" s="260"/>
      <c r="Q8755" s="258"/>
      <c r="R8755" s="260"/>
      <c r="S8755" s="260"/>
      <c r="T8755" s="260"/>
      <c r="U8755" s="260"/>
      <c r="V8755" s="260"/>
      <c r="W8755" s="260"/>
      <c r="X8755" s="260"/>
      <c r="Y8755" s="260"/>
      <c r="Z8755" s="260"/>
      <c r="AA8755" s="260"/>
      <c r="AB8755" s="260"/>
      <c r="AC8755" s="260"/>
      <c r="AD8755" s="260"/>
      <c r="AE8755" s="260"/>
      <c r="AF8755" s="260"/>
      <c r="AG8755" s="258"/>
      <c r="AO8755"/>
      <c r="AP8755"/>
      <c r="AQ8755"/>
      <c r="AR8755"/>
      <c r="AS8755"/>
      <c r="AT8755"/>
      <c r="AU8755"/>
      <c r="AV8755"/>
      <c r="AW8755"/>
      <c r="AX8755"/>
      <c r="AY8755"/>
      <c r="AZ8755"/>
      <c r="BA8755"/>
      <c r="BB8755"/>
      <c r="BC8755"/>
      <c r="BD8755"/>
      <c r="BE8755"/>
      <c r="BF8755"/>
    </row>
    <row r="8756" spans="13:58" ht="12" hidden="1" customHeight="1">
      <c r="M8756" s="820"/>
      <c r="N8756" s="239"/>
      <c r="O8756" s="225"/>
      <c r="P8756" s="260"/>
      <c r="Q8756" s="258"/>
      <c r="R8756" s="260"/>
      <c r="S8756" s="260"/>
      <c r="T8756" s="260"/>
      <c r="U8756" s="260"/>
      <c r="V8756" s="260"/>
      <c r="W8756" s="260"/>
      <c r="X8756" s="260"/>
      <c r="Y8756" s="260"/>
      <c r="Z8756" s="260"/>
      <c r="AA8756" s="260"/>
      <c r="AB8756" s="260"/>
      <c r="AC8756" s="260"/>
      <c r="AD8756" s="260"/>
      <c r="AE8756" s="260"/>
      <c r="AF8756" s="260"/>
      <c r="AG8756" s="258"/>
      <c r="AO8756"/>
      <c r="AP8756"/>
      <c r="AQ8756"/>
      <c r="AR8756"/>
      <c r="AS8756"/>
      <c r="AT8756"/>
      <c r="AU8756"/>
      <c r="AV8756"/>
      <c r="AW8756"/>
      <c r="AX8756"/>
      <c r="AY8756"/>
      <c r="AZ8756"/>
      <c r="BA8756"/>
      <c r="BB8756"/>
      <c r="BC8756"/>
      <c r="BD8756"/>
      <c r="BE8756"/>
      <c r="BF8756"/>
    </row>
    <row r="8757" spans="13:58" ht="12" hidden="1" customHeight="1">
      <c r="M8757" s="820"/>
      <c r="N8757" s="239"/>
      <c r="O8757" s="225"/>
      <c r="P8757" s="260"/>
      <c r="Q8757" s="258"/>
      <c r="R8757" s="260"/>
      <c r="S8757" s="260"/>
      <c r="T8757" s="260"/>
      <c r="U8757" s="260"/>
      <c r="V8757" s="260"/>
      <c r="W8757" s="260"/>
      <c r="X8757" s="260"/>
      <c r="Y8757" s="260"/>
      <c r="Z8757" s="260"/>
      <c r="AA8757" s="260"/>
      <c r="AB8757" s="260"/>
      <c r="AC8757" s="260"/>
      <c r="AD8757" s="260"/>
      <c r="AE8757" s="260"/>
      <c r="AF8757" s="260"/>
      <c r="AG8757" s="258"/>
      <c r="AO8757"/>
      <c r="AP8757"/>
      <c r="AQ8757"/>
      <c r="AR8757"/>
      <c r="AS8757"/>
      <c r="AT8757"/>
      <c r="AU8757"/>
      <c r="AV8757"/>
      <c r="AW8757"/>
      <c r="AX8757"/>
      <c r="AY8757"/>
      <c r="AZ8757"/>
      <c r="BA8757"/>
      <c r="BB8757"/>
      <c r="BC8757"/>
      <c r="BD8757"/>
      <c r="BE8757"/>
      <c r="BF8757"/>
    </row>
    <row r="8758" spans="13:58" ht="12" hidden="1" customHeight="1">
      <c r="M8758" s="820"/>
      <c r="N8758" s="239"/>
      <c r="O8758" s="225"/>
      <c r="P8758" s="260"/>
      <c r="Q8758" s="258"/>
      <c r="R8758" s="260"/>
      <c r="S8758" s="260"/>
      <c r="T8758" s="260"/>
      <c r="U8758" s="260"/>
      <c r="V8758" s="260"/>
      <c r="W8758" s="260"/>
      <c r="X8758" s="260"/>
      <c r="Y8758" s="260"/>
      <c r="Z8758" s="260"/>
      <c r="AA8758" s="260"/>
      <c r="AB8758" s="260"/>
      <c r="AC8758" s="260"/>
      <c r="AD8758" s="260"/>
      <c r="AE8758" s="260"/>
      <c r="AF8758" s="260"/>
      <c r="AG8758" s="258"/>
      <c r="AO8758"/>
      <c r="AP8758"/>
      <c r="AQ8758"/>
      <c r="AR8758"/>
      <c r="AS8758"/>
      <c r="AT8758"/>
      <c r="AU8758"/>
      <c r="AV8758"/>
      <c r="AW8758"/>
      <c r="AX8758"/>
      <c r="AY8758"/>
      <c r="AZ8758"/>
      <c r="BA8758"/>
      <c r="BB8758"/>
      <c r="BC8758"/>
      <c r="BD8758"/>
      <c r="BE8758"/>
      <c r="BF8758"/>
    </row>
    <row r="8759" spans="13:58" ht="12" hidden="1" customHeight="1">
      <c r="M8759" s="820"/>
      <c r="N8759" s="239"/>
      <c r="O8759" s="225"/>
      <c r="P8759" s="260"/>
      <c r="Q8759" s="258"/>
      <c r="R8759" s="260"/>
      <c r="S8759" s="260"/>
      <c r="T8759" s="260"/>
      <c r="U8759" s="260"/>
      <c r="V8759" s="260"/>
      <c r="W8759" s="260"/>
      <c r="X8759" s="260"/>
      <c r="Y8759" s="260"/>
      <c r="Z8759" s="260"/>
      <c r="AA8759" s="260"/>
      <c r="AB8759" s="260"/>
      <c r="AC8759" s="260"/>
      <c r="AD8759" s="260"/>
      <c r="AE8759" s="260"/>
      <c r="AF8759" s="260"/>
      <c r="AG8759" s="258"/>
      <c r="AO8759"/>
      <c r="AP8759"/>
      <c r="AQ8759"/>
      <c r="AR8759"/>
      <c r="AS8759"/>
      <c r="AT8759"/>
      <c r="AU8759"/>
      <c r="AV8759"/>
      <c r="AW8759"/>
      <c r="AX8759"/>
      <c r="AY8759"/>
      <c r="AZ8759"/>
      <c r="BA8759"/>
      <c r="BB8759"/>
      <c r="BC8759"/>
      <c r="BD8759"/>
      <c r="BE8759"/>
      <c r="BF8759"/>
    </row>
    <row r="8760" spans="13:58" ht="12" hidden="1" customHeight="1">
      <c r="M8760" s="820"/>
      <c r="N8760" s="239"/>
      <c r="O8760" s="225"/>
      <c r="P8760" s="260"/>
      <c r="Q8760" s="258"/>
      <c r="R8760" s="260"/>
      <c r="S8760" s="260"/>
      <c r="T8760" s="260"/>
      <c r="U8760" s="260"/>
      <c r="V8760" s="260"/>
      <c r="W8760" s="260"/>
      <c r="X8760" s="260"/>
      <c r="Y8760" s="260"/>
      <c r="Z8760" s="260"/>
      <c r="AA8760" s="260"/>
      <c r="AB8760" s="260"/>
      <c r="AC8760" s="260"/>
      <c r="AD8760" s="260"/>
      <c r="AE8760" s="260"/>
      <c r="AF8760" s="260"/>
      <c r="AG8760" s="258"/>
      <c r="AO8760"/>
      <c r="AP8760"/>
      <c r="AQ8760"/>
      <c r="AR8760"/>
      <c r="AS8760"/>
      <c r="AT8760"/>
      <c r="AU8760"/>
      <c r="AV8760"/>
      <c r="AW8760"/>
      <c r="AX8760"/>
      <c r="AY8760"/>
      <c r="AZ8760"/>
      <c r="BA8760"/>
      <c r="BB8760"/>
      <c r="BC8760"/>
      <c r="BD8760"/>
      <c r="BE8760"/>
      <c r="BF8760"/>
    </row>
    <row r="8761" spans="13:58" ht="12" hidden="1" customHeight="1">
      <c r="M8761" s="820"/>
      <c r="N8761" s="239"/>
      <c r="O8761" s="225"/>
      <c r="P8761" s="260"/>
      <c r="Q8761" s="258"/>
      <c r="R8761" s="260"/>
      <c r="S8761" s="260"/>
      <c r="T8761" s="260"/>
      <c r="U8761" s="260"/>
      <c r="V8761" s="260"/>
      <c r="W8761" s="260"/>
      <c r="X8761" s="260"/>
      <c r="Y8761" s="260"/>
      <c r="Z8761" s="260"/>
      <c r="AA8761" s="260"/>
      <c r="AB8761" s="260"/>
      <c r="AC8761" s="260"/>
      <c r="AD8761" s="260"/>
      <c r="AE8761" s="260"/>
      <c r="AF8761" s="260"/>
      <c r="AG8761" s="258"/>
      <c r="AO8761"/>
      <c r="AP8761"/>
      <c r="AQ8761"/>
      <c r="AR8761"/>
      <c r="AS8761"/>
      <c r="AT8761"/>
      <c r="AU8761"/>
      <c r="AV8761"/>
      <c r="AW8761"/>
      <c r="AX8761"/>
      <c r="AY8761"/>
      <c r="AZ8761"/>
      <c r="BA8761"/>
      <c r="BB8761"/>
      <c r="BC8761"/>
      <c r="BD8761"/>
      <c r="BE8761"/>
      <c r="BF8761"/>
    </row>
    <row r="8762" spans="13:58" ht="12" hidden="1" customHeight="1">
      <c r="M8762" s="820"/>
      <c r="N8762" s="239"/>
      <c r="O8762" s="225"/>
      <c r="P8762" s="260"/>
      <c r="Q8762" s="258"/>
      <c r="R8762" s="260"/>
      <c r="S8762" s="260"/>
      <c r="T8762" s="260"/>
      <c r="U8762" s="260"/>
      <c r="V8762" s="260"/>
      <c r="W8762" s="260"/>
      <c r="X8762" s="260"/>
      <c r="Y8762" s="260"/>
      <c r="Z8762" s="260"/>
      <c r="AA8762" s="260"/>
      <c r="AB8762" s="260"/>
      <c r="AC8762" s="260"/>
      <c r="AD8762" s="260"/>
      <c r="AE8762" s="260"/>
      <c r="AF8762" s="260"/>
      <c r="AG8762" s="258"/>
      <c r="AO8762"/>
      <c r="AP8762"/>
      <c r="AQ8762"/>
      <c r="AR8762"/>
      <c r="AS8762"/>
      <c r="AT8762"/>
      <c r="AU8762"/>
      <c r="AV8762"/>
      <c r="AW8762"/>
      <c r="AX8762"/>
      <c r="AY8762"/>
      <c r="AZ8762"/>
      <c r="BA8762"/>
      <c r="BB8762"/>
      <c r="BC8762"/>
      <c r="BD8762"/>
      <c r="BE8762"/>
      <c r="BF8762"/>
    </row>
    <row r="8763" spans="13:58" ht="12" hidden="1" customHeight="1">
      <c r="M8763" s="820"/>
      <c r="N8763" s="239"/>
      <c r="O8763" s="225"/>
      <c r="P8763" s="260"/>
      <c r="Q8763" s="258"/>
      <c r="R8763" s="260"/>
      <c r="S8763" s="260"/>
      <c r="T8763" s="260"/>
      <c r="U8763" s="260"/>
      <c r="V8763" s="260"/>
      <c r="W8763" s="260"/>
      <c r="X8763" s="260"/>
      <c r="Y8763" s="260"/>
      <c r="Z8763" s="260"/>
      <c r="AA8763" s="260"/>
      <c r="AB8763" s="260"/>
      <c r="AC8763" s="260"/>
      <c r="AD8763" s="260"/>
      <c r="AE8763" s="260"/>
      <c r="AF8763" s="260"/>
      <c r="AG8763" s="258"/>
      <c r="AO8763"/>
      <c r="AP8763"/>
      <c r="AQ8763"/>
      <c r="AR8763"/>
      <c r="AS8763"/>
      <c r="AT8763"/>
      <c r="AU8763"/>
      <c r="AV8763"/>
      <c r="AW8763"/>
      <c r="AX8763"/>
      <c r="AY8763"/>
      <c r="AZ8763"/>
      <c r="BA8763"/>
      <c r="BB8763"/>
      <c r="BC8763"/>
      <c r="BD8763"/>
      <c r="BE8763"/>
      <c r="BF8763"/>
    </row>
    <row r="8764" spans="13:58" ht="12" hidden="1" customHeight="1">
      <c r="M8764" s="820"/>
      <c r="N8764" s="239"/>
      <c r="O8764" s="225"/>
      <c r="P8764" s="260"/>
      <c r="Q8764" s="258"/>
      <c r="R8764" s="260"/>
      <c r="S8764" s="260"/>
      <c r="T8764" s="260"/>
      <c r="U8764" s="260"/>
      <c r="V8764" s="260"/>
      <c r="W8764" s="260"/>
      <c r="X8764" s="260"/>
      <c r="Y8764" s="260"/>
      <c r="Z8764" s="260"/>
      <c r="AA8764" s="260"/>
      <c r="AB8764" s="260"/>
      <c r="AC8764" s="260"/>
      <c r="AD8764" s="260"/>
      <c r="AE8764" s="260"/>
      <c r="AF8764" s="260"/>
      <c r="AG8764" s="258"/>
      <c r="AO8764"/>
      <c r="AP8764"/>
      <c r="AQ8764"/>
      <c r="AR8764"/>
      <c r="AS8764"/>
      <c r="AT8764"/>
      <c r="AU8764"/>
      <c r="AV8764"/>
      <c r="AW8764"/>
      <c r="AX8764"/>
      <c r="AY8764"/>
      <c r="AZ8764"/>
      <c r="BA8764"/>
      <c r="BB8764"/>
      <c r="BC8764"/>
      <c r="BD8764"/>
      <c r="BE8764"/>
      <c r="BF8764"/>
    </row>
    <row r="8765" spans="13:58" ht="12" hidden="1" customHeight="1">
      <c r="M8765" s="820"/>
      <c r="N8765" s="239"/>
      <c r="O8765" s="225"/>
      <c r="P8765" s="260"/>
      <c r="Q8765" s="258"/>
      <c r="R8765" s="260"/>
      <c r="S8765" s="260"/>
      <c r="T8765" s="260"/>
      <c r="U8765" s="260"/>
      <c r="V8765" s="260"/>
      <c r="W8765" s="260"/>
      <c r="X8765" s="260"/>
      <c r="Y8765" s="260"/>
      <c r="Z8765" s="260"/>
      <c r="AA8765" s="260"/>
      <c r="AB8765" s="260"/>
      <c r="AC8765" s="260"/>
      <c r="AD8765" s="260"/>
      <c r="AE8765" s="260"/>
      <c r="AF8765" s="260"/>
      <c r="AG8765" s="258"/>
      <c r="AO8765"/>
      <c r="AP8765"/>
      <c r="AQ8765"/>
      <c r="AR8765"/>
      <c r="AS8765"/>
      <c r="AT8765"/>
      <c r="AU8765"/>
      <c r="AV8765"/>
      <c r="AW8765"/>
      <c r="AX8765"/>
      <c r="AY8765"/>
      <c r="AZ8765"/>
      <c r="BA8765"/>
      <c r="BB8765"/>
      <c r="BC8765"/>
      <c r="BD8765"/>
      <c r="BE8765"/>
      <c r="BF8765"/>
    </row>
    <row r="8766" spans="13:58" ht="12" hidden="1" customHeight="1">
      <c r="M8766" s="820"/>
      <c r="N8766" s="239"/>
      <c r="O8766" s="225"/>
      <c r="P8766" s="260"/>
      <c r="Q8766" s="258"/>
      <c r="R8766" s="260"/>
      <c r="S8766" s="260"/>
      <c r="T8766" s="260"/>
      <c r="U8766" s="260"/>
      <c r="V8766" s="260"/>
      <c r="W8766" s="260"/>
      <c r="X8766" s="260"/>
      <c r="Y8766" s="260"/>
      <c r="Z8766" s="260"/>
      <c r="AA8766" s="260"/>
      <c r="AB8766" s="260"/>
      <c r="AC8766" s="260"/>
      <c r="AD8766" s="260"/>
      <c r="AE8766" s="260"/>
      <c r="AF8766" s="260"/>
      <c r="AG8766" s="258"/>
      <c r="AO8766"/>
      <c r="AP8766"/>
      <c r="AQ8766"/>
      <c r="AR8766"/>
      <c r="AS8766"/>
      <c r="AT8766"/>
      <c r="AU8766"/>
      <c r="AV8766"/>
      <c r="AW8766"/>
      <c r="AX8766"/>
      <c r="AY8766"/>
      <c r="AZ8766"/>
      <c r="BA8766"/>
      <c r="BB8766"/>
      <c r="BC8766"/>
      <c r="BD8766"/>
      <c r="BE8766"/>
      <c r="BF8766"/>
    </row>
    <row r="8767" spans="13:58" ht="12" hidden="1" customHeight="1">
      <c r="M8767" s="820"/>
      <c r="N8767" s="239"/>
      <c r="O8767" s="225"/>
      <c r="P8767" s="260"/>
      <c r="Q8767" s="258"/>
      <c r="R8767" s="260"/>
      <c r="S8767" s="260"/>
      <c r="T8767" s="260"/>
      <c r="U8767" s="260"/>
      <c r="V8767" s="260"/>
      <c r="W8767" s="260"/>
      <c r="X8767" s="260"/>
      <c r="Y8767" s="260"/>
      <c r="Z8767" s="260"/>
      <c r="AA8767" s="260"/>
      <c r="AB8767" s="260"/>
      <c r="AC8767" s="260"/>
      <c r="AD8767" s="260"/>
      <c r="AE8767" s="260"/>
      <c r="AF8767" s="260"/>
      <c r="AG8767" s="258"/>
      <c r="AO8767"/>
      <c r="AP8767"/>
      <c r="AQ8767"/>
      <c r="AR8767"/>
      <c r="AS8767"/>
      <c r="AT8767"/>
      <c r="AU8767"/>
      <c r="AV8767"/>
      <c r="AW8767"/>
      <c r="AX8767"/>
      <c r="AY8767"/>
      <c r="AZ8767"/>
      <c r="BA8767"/>
      <c r="BB8767"/>
      <c r="BC8767"/>
      <c r="BD8767"/>
      <c r="BE8767"/>
      <c r="BF8767"/>
    </row>
    <row r="8768" spans="13:58" ht="12" hidden="1" customHeight="1">
      <c r="M8768" s="820"/>
      <c r="N8768" s="239"/>
      <c r="O8768" s="225"/>
      <c r="P8768" s="260"/>
      <c r="Q8768" s="258"/>
      <c r="R8768" s="260"/>
      <c r="S8768" s="260"/>
      <c r="T8768" s="260"/>
      <c r="U8768" s="260"/>
      <c r="V8768" s="260"/>
      <c r="W8768" s="260"/>
      <c r="X8768" s="260"/>
      <c r="Y8768" s="260"/>
      <c r="Z8768" s="260"/>
      <c r="AA8768" s="260"/>
      <c r="AB8768" s="260"/>
      <c r="AC8768" s="260"/>
      <c r="AD8768" s="260"/>
      <c r="AE8768" s="260"/>
      <c r="AF8768" s="260"/>
      <c r="AG8768" s="258"/>
      <c r="AO8768"/>
      <c r="AP8768"/>
      <c r="AQ8768"/>
      <c r="AR8768"/>
      <c r="AS8768"/>
      <c r="AT8768"/>
      <c r="AU8768"/>
      <c r="AV8768"/>
      <c r="AW8768"/>
      <c r="AX8768"/>
      <c r="AY8768"/>
      <c r="AZ8768"/>
      <c r="BA8768"/>
      <c r="BB8768"/>
      <c r="BC8768"/>
      <c r="BD8768"/>
      <c r="BE8768"/>
      <c r="BF8768"/>
    </row>
    <row r="8769" spans="13:58" ht="12" hidden="1" customHeight="1">
      <c r="M8769" s="820"/>
      <c r="N8769" s="239"/>
      <c r="O8769" s="225"/>
      <c r="P8769" s="260"/>
      <c r="Q8769" s="258"/>
      <c r="R8769" s="260"/>
      <c r="S8769" s="260"/>
      <c r="T8769" s="260"/>
      <c r="U8769" s="260"/>
      <c r="V8769" s="260"/>
      <c r="W8769" s="260"/>
      <c r="X8769" s="260"/>
      <c r="Y8769" s="260"/>
      <c r="Z8769" s="260"/>
      <c r="AA8769" s="260"/>
      <c r="AB8769" s="260"/>
      <c r="AC8769" s="260"/>
      <c r="AD8769" s="260"/>
      <c r="AE8769" s="260"/>
      <c r="AF8769" s="260"/>
      <c r="AG8769" s="258"/>
      <c r="AO8769"/>
      <c r="AP8769"/>
      <c r="AQ8769"/>
      <c r="AR8769"/>
      <c r="AS8769"/>
      <c r="AT8769"/>
      <c r="AU8769"/>
      <c r="AV8769"/>
      <c r="AW8769"/>
      <c r="AX8769"/>
      <c r="AY8769"/>
      <c r="AZ8769"/>
      <c r="BA8769"/>
      <c r="BB8769"/>
      <c r="BC8769"/>
      <c r="BD8769"/>
      <c r="BE8769"/>
      <c r="BF8769"/>
    </row>
    <row r="8770" spans="13:58" ht="12" hidden="1" customHeight="1">
      <c r="M8770" s="820"/>
      <c r="N8770" s="239"/>
      <c r="O8770" s="225"/>
      <c r="P8770" s="260"/>
      <c r="Q8770" s="258"/>
      <c r="R8770" s="260"/>
      <c r="S8770" s="260"/>
      <c r="T8770" s="260"/>
      <c r="U8770" s="260"/>
      <c r="V8770" s="260"/>
      <c r="W8770" s="260"/>
      <c r="X8770" s="260"/>
      <c r="Y8770" s="260"/>
      <c r="Z8770" s="260"/>
      <c r="AA8770" s="260"/>
      <c r="AB8770" s="260"/>
      <c r="AC8770" s="260"/>
      <c r="AD8770" s="260"/>
      <c r="AE8770" s="260"/>
      <c r="AF8770" s="260"/>
      <c r="AG8770" s="258"/>
      <c r="AO8770"/>
      <c r="AP8770"/>
      <c r="AQ8770"/>
      <c r="AR8770"/>
      <c r="AS8770"/>
      <c r="AT8770"/>
      <c r="AU8770"/>
      <c r="AV8770"/>
      <c r="AW8770"/>
      <c r="AX8770"/>
      <c r="AY8770"/>
      <c r="AZ8770"/>
      <c r="BA8770"/>
      <c r="BB8770"/>
      <c r="BC8770"/>
      <c r="BD8770"/>
      <c r="BE8770"/>
      <c r="BF8770"/>
    </row>
    <row r="8771" spans="13:58" ht="12" hidden="1" customHeight="1">
      <c r="M8771" s="820"/>
      <c r="N8771" s="239"/>
      <c r="O8771" s="225"/>
      <c r="P8771" s="260"/>
      <c r="Q8771" s="258"/>
      <c r="R8771" s="260"/>
      <c r="S8771" s="260"/>
      <c r="T8771" s="260"/>
      <c r="U8771" s="260"/>
      <c r="V8771" s="260"/>
      <c r="W8771" s="260"/>
      <c r="X8771" s="260"/>
      <c r="Y8771" s="260"/>
      <c r="Z8771" s="260"/>
      <c r="AA8771" s="260"/>
      <c r="AB8771" s="260"/>
      <c r="AC8771" s="260"/>
      <c r="AD8771" s="260"/>
      <c r="AE8771" s="260"/>
      <c r="AF8771" s="260"/>
      <c r="AG8771" s="258"/>
      <c r="AO8771"/>
      <c r="AP8771"/>
      <c r="AQ8771"/>
      <c r="AR8771"/>
      <c r="AS8771"/>
      <c r="AT8771"/>
      <c r="AU8771"/>
      <c r="AV8771"/>
      <c r="AW8771"/>
      <c r="AX8771"/>
      <c r="AY8771"/>
      <c r="AZ8771"/>
      <c r="BA8771"/>
      <c r="BB8771"/>
      <c r="BC8771"/>
      <c r="BD8771"/>
      <c r="BE8771"/>
      <c r="BF8771"/>
    </row>
    <row r="8772" spans="13:58" ht="12" hidden="1" customHeight="1">
      <c r="M8772" s="820"/>
      <c r="N8772" s="239"/>
      <c r="O8772" s="225"/>
      <c r="P8772" s="260"/>
      <c r="Q8772" s="258"/>
      <c r="R8772" s="260"/>
      <c r="S8772" s="260"/>
      <c r="T8772" s="260"/>
      <c r="U8772" s="260"/>
      <c r="V8772" s="260"/>
      <c r="W8772" s="260"/>
      <c r="X8772" s="260"/>
      <c r="Y8772" s="260"/>
      <c r="Z8772" s="260"/>
      <c r="AA8772" s="260"/>
      <c r="AB8772" s="260"/>
      <c r="AC8772" s="260"/>
      <c r="AD8772" s="260"/>
      <c r="AE8772" s="260"/>
      <c r="AF8772" s="260"/>
      <c r="AG8772" s="258"/>
      <c r="AO8772"/>
      <c r="AP8772"/>
      <c r="AQ8772"/>
      <c r="AR8772"/>
      <c r="AS8772"/>
      <c r="AT8772"/>
      <c r="AU8772"/>
      <c r="AV8772"/>
      <c r="AW8772"/>
      <c r="AX8772"/>
      <c r="AY8772"/>
      <c r="AZ8772"/>
      <c r="BA8772"/>
      <c r="BB8772"/>
      <c r="BC8772"/>
      <c r="BD8772"/>
      <c r="BE8772"/>
      <c r="BF8772"/>
    </row>
    <row r="8773" spans="13:58" ht="12" hidden="1" customHeight="1">
      <c r="M8773" s="820"/>
      <c r="N8773" s="239"/>
      <c r="O8773" s="225"/>
      <c r="P8773" s="260"/>
      <c r="Q8773" s="258"/>
      <c r="R8773" s="260"/>
      <c r="S8773" s="260"/>
      <c r="T8773" s="260"/>
      <c r="U8773" s="260"/>
      <c r="V8773" s="260"/>
      <c r="W8773" s="260"/>
      <c r="X8773" s="260"/>
      <c r="Y8773" s="260"/>
      <c r="Z8773" s="260"/>
      <c r="AA8773" s="260"/>
      <c r="AB8773" s="260"/>
      <c r="AC8773" s="260"/>
      <c r="AD8773" s="260"/>
      <c r="AE8773" s="260"/>
      <c r="AF8773" s="260"/>
      <c r="AG8773" s="258"/>
      <c r="AO8773"/>
      <c r="AP8773"/>
      <c r="AQ8773"/>
      <c r="AR8773"/>
      <c r="AS8773"/>
      <c r="AT8773"/>
      <c r="AU8773"/>
      <c r="AV8773"/>
      <c r="AW8773"/>
      <c r="AX8773"/>
      <c r="AY8773"/>
      <c r="AZ8773"/>
      <c r="BA8773"/>
      <c r="BB8773"/>
      <c r="BC8773"/>
      <c r="BD8773"/>
      <c r="BE8773"/>
      <c r="BF8773"/>
    </row>
    <row r="8774" spans="13:58" ht="12" hidden="1" customHeight="1">
      <c r="M8774" s="820"/>
      <c r="N8774" s="239"/>
      <c r="O8774" s="225"/>
      <c r="P8774" s="260"/>
      <c r="Q8774" s="258"/>
      <c r="R8774" s="260"/>
      <c r="S8774" s="260"/>
      <c r="T8774" s="260"/>
      <c r="U8774" s="260"/>
      <c r="V8774" s="260"/>
      <c r="W8774" s="260"/>
      <c r="X8774" s="260"/>
      <c r="Y8774" s="260"/>
      <c r="Z8774" s="260"/>
      <c r="AA8774" s="260"/>
      <c r="AB8774" s="260"/>
      <c r="AC8774" s="260"/>
      <c r="AD8774" s="260"/>
      <c r="AE8774" s="260"/>
      <c r="AF8774" s="260"/>
      <c r="AG8774" s="258"/>
      <c r="AO8774"/>
      <c r="AP8774"/>
      <c r="AQ8774"/>
      <c r="AR8774"/>
      <c r="AS8774"/>
      <c r="AT8774"/>
      <c r="AU8774"/>
      <c r="AV8774"/>
      <c r="AW8774"/>
      <c r="AX8774"/>
      <c r="AY8774"/>
      <c r="AZ8774"/>
      <c r="BA8774"/>
      <c r="BB8774"/>
      <c r="BC8774"/>
      <c r="BD8774"/>
      <c r="BE8774"/>
      <c r="BF8774"/>
    </row>
    <row r="8775" spans="13:58" ht="12" hidden="1" customHeight="1">
      <c r="M8775" s="820"/>
      <c r="N8775" s="239"/>
      <c r="O8775" s="225"/>
      <c r="P8775" s="260"/>
      <c r="Q8775" s="258"/>
      <c r="R8775" s="260"/>
      <c r="S8775" s="260"/>
      <c r="T8775" s="260"/>
      <c r="U8775" s="260"/>
      <c r="V8775" s="260"/>
      <c r="W8775" s="260"/>
      <c r="X8775" s="260"/>
      <c r="Y8775" s="260"/>
      <c r="Z8775" s="260"/>
      <c r="AA8775" s="260"/>
      <c r="AB8775" s="260"/>
      <c r="AC8775" s="260"/>
      <c r="AD8775" s="260"/>
      <c r="AE8775" s="260"/>
      <c r="AF8775" s="260"/>
      <c r="AG8775" s="258"/>
      <c r="AO8775"/>
      <c r="AP8775"/>
      <c r="AQ8775"/>
      <c r="AR8775"/>
      <c r="AS8775"/>
      <c r="AT8775"/>
      <c r="AU8775"/>
      <c r="AV8775"/>
      <c r="AW8775"/>
      <c r="AX8775"/>
      <c r="AY8775"/>
      <c r="AZ8775"/>
      <c r="BA8775"/>
      <c r="BB8775"/>
      <c r="BC8775"/>
      <c r="BD8775"/>
      <c r="BE8775"/>
      <c r="BF8775"/>
    </row>
    <row r="8776" spans="13:58" ht="12" hidden="1" customHeight="1">
      <c r="M8776" s="820"/>
      <c r="N8776" s="239"/>
      <c r="O8776" s="225"/>
      <c r="P8776" s="260"/>
      <c r="Q8776" s="258"/>
      <c r="R8776" s="260"/>
      <c r="S8776" s="260"/>
      <c r="T8776" s="260"/>
      <c r="U8776" s="260"/>
      <c r="V8776" s="260"/>
      <c r="W8776" s="260"/>
      <c r="X8776" s="260"/>
      <c r="Y8776" s="260"/>
      <c r="Z8776" s="260"/>
      <c r="AA8776" s="260"/>
      <c r="AB8776" s="260"/>
      <c r="AC8776" s="260"/>
      <c r="AD8776" s="260"/>
      <c r="AE8776" s="260"/>
      <c r="AF8776" s="260"/>
      <c r="AG8776" s="258"/>
      <c r="AO8776"/>
      <c r="AP8776"/>
      <c r="AQ8776"/>
      <c r="AR8776"/>
      <c r="AS8776"/>
      <c r="AT8776"/>
      <c r="AU8776"/>
      <c r="AV8776"/>
      <c r="AW8776"/>
      <c r="AX8776"/>
      <c r="AY8776"/>
      <c r="AZ8776"/>
      <c r="BA8776"/>
      <c r="BB8776"/>
      <c r="BC8776"/>
      <c r="BD8776"/>
      <c r="BE8776"/>
      <c r="BF8776"/>
    </row>
    <row r="8777" spans="13:58" ht="12" hidden="1" customHeight="1">
      <c r="M8777" s="820"/>
      <c r="N8777" s="239"/>
      <c r="O8777" s="225"/>
      <c r="P8777" s="260"/>
      <c r="Q8777" s="258"/>
      <c r="R8777" s="260"/>
      <c r="S8777" s="260"/>
      <c r="T8777" s="260"/>
      <c r="U8777" s="260"/>
      <c r="V8777" s="260"/>
      <c r="W8777" s="260"/>
      <c r="X8777" s="260"/>
      <c r="Y8777" s="260"/>
      <c r="Z8777" s="260"/>
      <c r="AA8777" s="260"/>
      <c r="AB8777" s="260"/>
      <c r="AC8777" s="260"/>
      <c r="AD8777" s="260"/>
      <c r="AE8777" s="260"/>
      <c r="AF8777" s="260"/>
      <c r="AG8777" s="258"/>
      <c r="AO8777"/>
      <c r="AP8777"/>
      <c r="AQ8777"/>
      <c r="AR8777"/>
      <c r="AS8777"/>
      <c r="AT8777"/>
      <c r="AU8777"/>
      <c r="AV8777"/>
      <c r="AW8777"/>
      <c r="AX8777"/>
      <c r="AY8777"/>
      <c r="AZ8777"/>
      <c r="BA8777"/>
      <c r="BB8777"/>
      <c r="BC8777"/>
      <c r="BD8777"/>
      <c r="BE8777"/>
      <c r="BF8777"/>
    </row>
    <row r="8778" spans="13:58" ht="12" hidden="1" customHeight="1">
      <c r="M8778" s="820"/>
      <c r="N8778" s="239"/>
      <c r="O8778" s="225"/>
      <c r="P8778" s="260"/>
      <c r="Q8778" s="258"/>
      <c r="R8778" s="260"/>
      <c r="S8778" s="260"/>
      <c r="T8778" s="260"/>
      <c r="U8778" s="260"/>
      <c r="V8778" s="260"/>
      <c r="W8778" s="260"/>
      <c r="X8778" s="260"/>
      <c r="Y8778" s="260"/>
      <c r="Z8778" s="260"/>
      <c r="AA8778" s="260"/>
      <c r="AB8778" s="260"/>
      <c r="AC8778" s="260"/>
      <c r="AD8778" s="260"/>
      <c r="AE8778" s="260"/>
      <c r="AF8778" s="260"/>
      <c r="AG8778" s="258"/>
      <c r="AO8778"/>
      <c r="AP8778"/>
      <c r="AQ8778"/>
      <c r="AR8778"/>
      <c r="AS8778"/>
      <c r="AT8778"/>
      <c r="AU8778"/>
      <c r="AV8778"/>
      <c r="AW8778"/>
      <c r="AX8778"/>
      <c r="AY8778"/>
      <c r="AZ8778"/>
      <c r="BA8778"/>
      <c r="BB8778"/>
      <c r="BC8778"/>
      <c r="BD8778"/>
      <c r="BE8778"/>
      <c r="BF8778"/>
    </row>
    <row r="8779" spans="13:58" ht="12" hidden="1" customHeight="1">
      <c r="M8779" s="820"/>
      <c r="N8779" s="239"/>
      <c r="O8779" s="225"/>
      <c r="P8779" s="260"/>
      <c r="Q8779" s="258"/>
      <c r="R8779" s="260"/>
      <c r="S8779" s="260"/>
      <c r="T8779" s="260"/>
      <c r="U8779" s="260"/>
      <c r="V8779" s="260"/>
      <c r="W8779" s="260"/>
      <c r="X8779" s="260"/>
      <c r="Y8779" s="260"/>
      <c r="Z8779" s="260"/>
      <c r="AA8779" s="260"/>
      <c r="AB8779" s="260"/>
      <c r="AC8779" s="260"/>
      <c r="AD8779" s="260"/>
      <c r="AE8779" s="260"/>
      <c r="AF8779" s="260"/>
      <c r="AG8779" s="258"/>
      <c r="AO8779"/>
      <c r="AP8779"/>
      <c r="AQ8779"/>
      <c r="AR8779"/>
      <c r="AS8779"/>
      <c r="AT8779"/>
      <c r="AU8779"/>
      <c r="AV8779"/>
      <c r="AW8779"/>
      <c r="AX8779"/>
      <c r="AY8779"/>
      <c r="AZ8779"/>
      <c r="BA8779"/>
      <c r="BB8779"/>
      <c r="BC8779"/>
      <c r="BD8779"/>
      <c r="BE8779"/>
      <c r="BF8779"/>
    </row>
    <row r="8780" spans="13:58" ht="12" hidden="1" customHeight="1">
      <c r="M8780" s="820"/>
      <c r="N8780" s="239"/>
      <c r="O8780" s="225"/>
      <c r="P8780" s="260"/>
      <c r="Q8780" s="258"/>
      <c r="R8780" s="260"/>
      <c r="S8780" s="260"/>
      <c r="T8780" s="260"/>
      <c r="U8780" s="260"/>
      <c r="V8780" s="260"/>
      <c r="W8780" s="260"/>
      <c r="X8780" s="260"/>
      <c r="Y8780" s="260"/>
      <c r="Z8780" s="260"/>
      <c r="AA8780" s="260"/>
      <c r="AB8780" s="260"/>
      <c r="AC8780" s="260"/>
      <c r="AD8780" s="260"/>
      <c r="AE8780" s="260"/>
      <c r="AF8780" s="260"/>
      <c r="AG8780" s="258"/>
      <c r="AO8780"/>
      <c r="AP8780"/>
      <c r="AQ8780"/>
      <c r="AR8780"/>
      <c r="AS8780"/>
      <c r="AT8780"/>
      <c r="AU8780"/>
      <c r="AV8780"/>
      <c r="AW8780"/>
      <c r="AX8780"/>
      <c r="AY8780"/>
      <c r="AZ8780"/>
      <c r="BA8780"/>
      <c r="BB8780"/>
      <c r="BC8780"/>
      <c r="BD8780"/>
      <c r="BE8780"/>
      <c r="BF8780"/>
    </row>
    <row r="8781" spans="13:58" ht="12" hidden="1" customHeight="1">
      <c r="M8781" s="820"/>
      <c r="N8781" s="239"/>
      <c r="O8781" s="225"/>
      <c r="P8781" s="260"/>
      <c r="Q8781" s="258"/>
      <c r="R8781" s="260"/>
      <c r="S8781" s="260"/>
      <c r="T8781" s="260"/>
      <c r="U8781" s="260"/>
      <c r="V8781" s="260"/>
      <c r="W8781" s="260"/>
      <c r="X8781" s="260"/>
      <c r="Y8781" s="260"/>
      <c r="Z8781" s="260"/>
      <c r="AA8781" s="260"/>
      <c r="AB8781" s="260"/>
      <c r="AC8781" s="260"/>
      <c r="AD8781" s="260"/>
      <c r="AE8781" s="260"/>
      <c r="AF8781" s="260"/>
      <c r="AG8781" s="258"/>
      <c r="AO8781"/>
      <c r="AP8781"/>
      <c r="AQ8781"/>
      <c r="AR8781"/>
      <c r="AS8781"/>
      <c r="AT8781"/>
      <c r="AU8781"/>
      <c r="AV8781"/>
      <c r="AW8781"/>
      <c r="AX8781"/>
      <c r="AY8781"/>
      <c r="AZ8781"/>
      <c r="BA8781"/>
      <c r="BB8781"/>
      <c r="BC8781"/>
      <c r="BD8781"/>
      <c r="BE8781"/>
      <c r="BF8781"/>
    </row>
    <row r="8782" spans="13:58" ht="12" hidden="1" customHeight="1">
      <c r="M8782" s="820"/>
      <c r="N8782" s="239"/>
      <c r="O8782" s="225"/>
      <c r="P8782" s="260"/>
      <c r="Q8782" s="258"/>
      <c r="R8782" s="260"/>
      <c r="S8782" s="260"/>
      <c r="T8782" s="260"/>
      <c r="U8782" s="260"/>
      <c r="V8782" s="260"/>
      <c r="W8782" s="260"/>
      <c r="X8782" s="260"/>
      <c r="Y8782" s="260"/>
      <c r="Z8782" s="260"/>
      <c r="AA8782" s="260"/>
      <c r="AB8782" s="260"/>
      <c r="AC8782" s="260"/>
      <c r="AD8782" s="260"/>
      <c r="AE8782" s="260"/>
      <c r="AF8782" s="260"/>
      <c r="AG8782" s="258"/>
      <c r="AO8782"/>
      <c r="AP8782"/>
      <c r="AQ8782"/>
      <c r="AR8782"/>
      <c r="AS8782"/>
      <c r="AT8782"/>
      <c r="AU8782"/>
      <c r="AV8782"/>
      <c r="AW8782"/>
      <c r="AX8782"/>
      <c r="AY8782"/>
      <c r="AZ8782"/>
      <c r="BA8782"/>
      <c r="BB8782"/>
      <c r="BC8782"/>
      <c r="BD8782"/>
      <c r="BE8782"/>
      <c r="BF8782"/>
    </row>
    <row r="8783" spans="13:58" ht="12" hidden="1" customHeight="1">
      <c r="M8783" s="820"/>
      <c r="N8783" s="239"/>
      <c r="O8783" s="225"/>
      <c r="P8783" s="260"/>
      <c r="Q8783" s="258"/>
      <c r="R8783" s="260"/>
      <c r="S8783" s="260"/>
      <c r="T8783" s="260"/>
      <c r="U8783" s="260"/>
      <c r="V8783" s="260"/>
      <c r="W8783" s="260"/>
      <c r="X8783" s="260"/>
      <c r="Y8783" s="260"/>
      <c r="Z8783" s="260"/>
      <c r="AA8783" s="260"/>
      <c r="AB8783" s="260"/>
      <c r="AC8783" s="260"/>
      <c r="AD8783" s="260"/>
      <c r="AE8783" s="260"/>
      <c r="AF8783" s="260"/>
      <c r="AG8783" s="258"/>
      <c r="AO8783"/>
      <c r="AP8783"/>
      <c r="AQ8783"/>
      <c r="AR8783"/>
      <c r="AS8783"/>
      <c r="AT8783"/>
      <c r="AU8783"/>
      <c r="AV8783"/>
      <c r="AW8783"/>
      <c r="AX8783"/>
      <c r="AY8783"/>
      <c r="AZ8783"/>
      <c r="BA8783"/>
      <c r="BB8783"/>
      <c r="BC8783"/>
      <c r="BD8783"/>
      <c r="BE8783"/>
      <c r="BF8783"/>
    </row>
    <row r="8784" spans="13:58" ht="12" hidden="1" customHeight="1">
      <c r="M8784" s="820"/>
      <c r="N8784" s="239"/>
      <c r="O8784" s="225"/>
      <c r="P8784" s="260"/>
      <c r="Q8784" s="258"/>
      <c r="R8784" s="260"/>
      <c r="S8784" s="260"/>
      <c r="T8784" s="260"/>
      <c r="U8784" s="260"/>
      <c r="V8784" s="260"/>
      <c r="W8784" s="260"/>
      <c r="X8784" s="260"/>
      <c r="Y8784" s="260"/>
      <c r="Z8784" s="260"/>
      <c r="AA8784" s="260"/>
      <c r="AB8784" s="260"/>
      <c r="AC8784" s="260"/>
      <c r="AD8784" s="260"/>
      <c r="AE8784" s="260"/>
      <c r="AF8784" s="260"/>
      <c r="AG8784" s="258"/>
      <c r="AO8784"/>
      <c r="AP8784"/>
      <c r="AQ8784"/>
      <c r="AR8784"/>
      <c r="AS8784"/>
      <c r="AT8784"/>
      <c r="AU8784"/>
      <c r="AV8784"/>
      <c r="AW8784"/>
      <c r="AX8784"/>
      <c r="AY8784"/>
      <c r="AZ8784"/>
      <c r="BA8784"/>
      <c r="BB8784"/>
      <c r="BC8784"/>
      <c r="BD8784"/>
      <c r="BE8784"/>
      <c r="BF8784"/>
    </row>
    <row r="8785" spans="13:58" ht="12" hidden="1" customHeight="1">
      <c r="M8785" s="820"/>
      <c r="N8785" s="239"/>
      <c r="O8785" s="225"/>
      <c r="P8785" s="260"/>
      <c r="Q8785" s="258"/>
      <c r="R8785" s="260"/>
      <c r="S8785" s="260"/>
      <c r="T8785" s="260"/>
      <c r="U8785" s="260"/>
      <c r="V8785" s="260"/>
      <c r="W8785" s="260"/>
      <c r="X8785" s="260"/>
      <c r="Y8785" s="260"/>
      <c r="Z8785" s="260"/>
      <c r="AA8785" s="260"/>
      <c r="AB8785" s="260"/>
      <c r="AC8785" s="260"/>
      <c r="AD8785" s="260"/>
      <c r="AE8785" s="260"/>
      <c r="AF8785" s="260"/>
      <c r="AG8785" s="258"/>
      <c r="AO8785"/>
      <c r="AP8785"/>
      <c r="AQ8785"/>
      <c r="AR8785"/>
      <c r="AS8785"/>
      <c r="AT8785"/>
      <c r="AU8785"/>
      <c r="AV8785"/>
      <c r="AW8785"/>
      <c r="AX8785"/>
      <c r="AY8785"/>
      <c r="AZ8785"/>
      <c r="BA8785"/>
      <c r="BB8785"/>
      <c r="BC8785"/>
      <c r="BD8785"/>
      <c r="BE8785"/>
      <c r="BF8785"/>
    </row>
    <row r="8786" spans="13:58" ht="12" hidden="1" customHeight="1">
      <c r="M8786" s="820"/>
      <c r="N8786" s="239"/>
      <c r="O8786" s="225"/>
      <c r="P8786" s="260"/>
      <c r="Q8786" s="258"/>
      <c r="R8786" s="260"/>
      <c r="S8786" s="260"/>
      <c r="T8786" s="260"/>
      <c r="U8786" s="260"/>
      <c r="V8786" s="260"/>
      <c r="W8786" s="260"/>
      <c r="X8786" s="260"/>
      <c r="Y8786" s="260"/>
      <c r="Z8786" s="260"/>
      <c r="AA8786" s="260"/>
      <c r="AB8786" s="260"/>
      <c r="AC8786" s="260"/>
      <c r="AD8786" s="260"/>
      <c r="AE8786" s="260"/>
      <c r="AF8786" s="260"/>
      <c r="AG8786" s="258"/>
      <c r="AO8786"/>
      <c r="AP8786"/>
      <c r="AQ8786"/>
      <c r="AR8786"/>
      <c r="AS8786"/>
      <c r="AT8786"/>
      <c r="AU8786"/>
      <c r="AV8786"/>
      <c r="AW8786"/>
      <c r="AX8786"/>
      <c r="AY8786"/>
      <c r="AZ8786"/>
      <c r="BA8786"/>
      <c r="BB8786"/>
      <c r="BC8786"/>
      <c r="BD8786"/>
      <c r="BE8786"/>
      <c r="BF8786"/>
    </row>
    <row r="8787" spans="13:58" ht="12" hidden="1" customHeight="1">
      <c r="M8787" s="820"/>
      <c r="N8787" s="239"/>
      <c r="O8787" s="225"/>
      <c r="P8787" s="260"/>
      <c r="Q8787" s="258"/>
      <c r="R8787" s="260"/>
      <c r="S8787" s="260"/>
      <c r="T8787" s="260"/>
      <c r="U8787" s="260"/>
      <c r="V8787" s="260"/>
      <c r="W8787" s="260"/>
      <c r="X8787" s="260"/>
      <c r="Y8787" s="260"/>
      <c r="Z8787" s="260"/>
      <c r="AA8787" s="260"/>
      <c r="AB8787" s="260"/>
      <c r="AC8787" s="260"/>
      <c r="AD8787" s="260"/>
      <c r="AE8787" s="260"/>
      <c r="AF8787" s="260"/>
      <c r="AG8787" s="258"/>
      <c r="AO8787"/>
      <c r="AP8787"/>
      <c r="AQ8787"/>
      <c r="AR8787"/>
      <c r="AS8787"/>
      <c r="AT8787"/>
      <c r="AU8787"/>
      <c r="AV8787"/>
      <c r="AW8787"/>
      <c r="AX8787"/>
      <c r="AY8787"/>
      <c r="AZ8787"/>
      <c r="BA8787"/>
      <c r="BB8787"/>
      <c r="BC8787"/>
      <c r="BD8787"/>
      <c r="BE8787"/>
      <c r="BF8787"/>
    </row>
    <row r="8788" spans="13:58" ht="12" hidden="1" customHeight="1">
      <c r="M8788" s="820"/>
      <c r="N8788" s="239"/>
      <c r="O8788" s="225"/>
      <c r="P8788" s="260"/>
      <c r="Q8788" s="258"/>
      <c r="R8788" s="260"/>
      <c r="S8788" s="260"/>
      <c r="T8788" s="260"/>
      <c r="U8788" s="260"/>
      <c r="V8788" s="260"/>
      <c r="W8788" s="260"/>
      <c r="X8788" s="260"/>
      <c r="Y8788" s="260"/>
      <c r="Z8788" s="260"/>
      <c r="AA8788" s="260"/>
      <c r="AB8788" s="260"/>
      <c r="AC8788" s="260"/>
      <c r="AD8788" s="260"/>
      <c r="AE8788" s="260"/>
      <c r="AF8788" s="260"/>
      <c r="AG8788" s="258"/>
      <c r="AO8788"/>
      <c r="AP8788"/>
      <c r="AQ8788"/>
      <c r="AR8788"/>
      <c r="AS8788"/>
      <c r="AT8788"/>
      <c r="AU8788"/>
      <c r="AV8788"/>
      <c r="AW8788"/>
      <c r="AX8788"/>
      <c r="AY8788"/>
      <c r="AZ8788"/>
      <c r="BA8788"/>
      <c r="BB8788"/>
      <c r="BC8788"/>
      <c r="BD8788"/>
      <c r="BE8788"/>
      <c r="BF8788"/>
    </row>
    <row r="8789" spans="13:58" ht="12" hidden="1" customHeight="1">
      <c r="M8789" s="820"/>
      <c r="N8789" s="239"/>
      <c r="O8789" s="225"/>
      <c r="P8789" s="260"/>
      <c r="Q8789" s="258"/>
      <c r="R8789" s="260"/>
      <c r="S8789" s="260"/>
      <c r="T8789" s="260"/>
      <c r="U8789" s="260"/>
      <c r="V8789" s="260"/>
      <c r="W8789" s="260"/>
      <c r="X8789" s="260"/>
      <c r="Y8789" s="260"/>
      <c r="Z8789" s="260"/>
      <c r="AA8789" s="260"/>
      <c r="AB8789" s="260"/>
      <c r="AC8789" s="260"/>
      <c r="AD8789" s="260"/>
      <c r="AE8789" s="260"/>
      <c r="AF8789" s="260"/>
      <c r="AG8789" s="258"/>
      <c r="AO8789"/>
      <c r="AP8789"/>
      <c r="AQ8789"/>
      <c r="AR8789"/>
      <c r="AS8789"/>
      <c r="AT8789"/>
      <c r="AU8789"/>
      <c r="AV8789"/>
      <c r="AW8789"/>
      <c r="AX8789"/>
      <c r="AY8789"/>
      <c r="AZ8789"/>
      <c r="BA8789"/>
      <c r="BB8789"/>
      <c r="BC8789"/>
      <c r="BD8789"/>
      <c r="BE8789"/>
      <c r="BF8789"/>
    </row>
    <row r="8790" spans="13:58" ht="12" hidden="1" customHeight="1">
      <c r="M8790" s="820"/>
      <c r="N8790" s="239"/>
      <c r="O8790" s="225"/>
      <c r="P8790" s="260"/>
      <c r="Q8790" s="258"/>
      <c r="R8790" s="260"/>
      <c r="S8790" s="260"/>
      <c r="T8790" s="260"/>
      <c r="U8790" s="260"/>
      <c r="V8790" s="260"/>
      <c r="W8790" s="260"/>
      <c r="X8790" s="260"/>
      <c r="Y8790" s="260"/>
      <c r="Z8790" s="260"/>
      <c r="AA8790" s="260"/>
      <c r="AB8790" s="260"/>
      <c r="AC8790" s="260"/>
      <c r="AD8790" s="260"/>
      <c r="AE8790" s="260"/>
      <c r="AF8790" s="260"/>
      <c r="AG8790" s="258"/>
      <c r="AO8790"/>
      <c r="AP8790"/>
      <c r="AQ8790"/>
      <c r="AR8790"/>
      <c r="AS8790"/>
      <c r="AT8790"/>
      <c r="AU8790"/>
      <c r="AV8790"/>
      <c r="AW8790"/>
      <c r="AX8790"/>
      <c r="AY8790"/>
      <c r="AZ8790"/>
      <c r="BA8790"/>
      <c r="BB8790"/>
      <c r="BC8790"/>
      <c r="BD8790"/>
      <c r="BE8790"/>
      <c r="BF8790"/>
    </row>
    <row r="8791" spans="13:58" ht="12" hidden="1" customHeight="1">
      <c r="M8791" s="820"/>
      <c r="N8791" s="239"/>
      <c r="O8791" s="225"/>
      <c r="P8791" s="260"/>
      <c r="Q8791" s="258"/>
      <c r="R8791" s="260"/>
      <c r="S8791" s="260"/>
      <c r="T8791" s="260"/>
      <c r="U8791" s="260"/>
      <c r="V8791" s="260"/>
      <c r="W8791" s="260"/>
      <c r="X8791" s="260"/>
      <c r="Y8791" s="260"/>
      <c r="Z8791" s="260"/>
      <c r="AA8791" s="260"/>
      <c r="AB8791" s="260"/>
      <c r="AC8791" s="260"/>
      <c r="AD8791" s="260"/>
      <c r="AE8791" s="260"/>
      <c r="AF8791" s="260"/>
      <c r="AG8791" s="258"/>
      <c r="AO8791"/>
      <c r="AP8791"/>
      <c r="AQ8791"/>
      <c r="AR8791"/>
      <c r="AS8791"/>
      <c r="AT8791"/>
      <c r="AU8791"/>
      <c r="AV8791"/>
      <c r="AW8791"/>
      <c r="AX8791"/>
      <c r="AY8791"/>
      <c r="AZ8791"/>
      <c r="BA8791"/>
      <c r="BB8791"/>
      <c r="BC8791"/>
      <c r="BD8791"/>
      <c r="BE8791"/>
      <c r="BF8791"/>
    </row>
    <row r="8792" spans="13:58" ht="12" hidden="1" customHeight="1">
      <c r="M8792" s="820"/>
      <c r="N8792" s="239"/>
      <c r="O8792" s="225"/>
      <c r="P8792" s="260"/>
      <c r="Q8792" s="258"/>
      <c r="R8792" s="260"/>
      <c r="S8792" s="260"/>
      <c r="T8792" s="260"/>
      <c r="U8792" s="260"/>
      <c r="V8792" s="260"/>
      <c r="W8792" s="260"/>
      <c r="X8792" s="260"/>
      <c r="Y8792" s="260"/>
      <c r="Z8792" s="260"/>
      <c r="AA8792" s="260"/>
      <c r="AB8792" s="260"/>
      <c r="AC8792" s="260"/>
      <c r="AD8792" s="260"/>
      <c r="AE8792" s="260"/>
      <c r="AF8792" s="260"/>
      <c r="AG8792" s="258"/>
      <c r="AO8792"/>
      <c r="AP8792"/>
      <c r="AQ8792"/>
      <c r="AR8792"/>
      <c r="AS8792"/>
      <c r="AT8792"/>
      <c r="AU8792"/>
      <c r="AV8792"/>
      <c r="AW8792"/>
      <c r="AX8792"/>
      <c r="AY8792"/>
      <c r="AZ8792"/>
      <c r="BA8792"/>
      <c r="BB8792"/>
      <c r="BC8792"/>
      <c r="BD8792"/>
      <c r="BE8792"/>
      <c r="BF8792"/>
    </row>
    <row r="8793" spans="13:58" ht="12" hidden="1" customHeight="1">
      <c r="M8793" s="820"/>
      <c r="N8793" s="239"/>
      <c r="O8793" s="225"/>
      <c r="P8793" s="260"/>
      <c r="Q8793" s="258"/>
      <c r="R8793" s="260"/>
      <c r="S8793" s="260"/>
      <c r="T8793" s="260"/>
      <c r="U8793" s="260"/>
      <c r="V8793" s="260"/>
      <c r="W8793" s="260"/>
      <c r="X8793" s="260"/>
      <c r="Y8793" s="260"/>
      <c r="Z8793" s="260"/>
      <c r="AA8793" s="260"/>
      <c r="AB8793" s="260"/>
      <c r="AC8793" s="260"/>
      <c r="AD8793" s="260"/>
      <c r="AE8793" s="260"/>
      <c r="AF8793" s="260"/>
      <c r="AG8793" s="258"/>
      <c r="AO8793"/>
      <c r="AP8793"/>
      <c r="AQ8793"/>
      <c r="AR8793"/>
      <c r="AS8793"/>
      <c r="AT8793"/>
      <c r="AU8793"/>
      <c r="AV8793"/>
      <c r="AW8793"/>
      <c r="AX8793"/>
      <c r="AY8793"/>
      <c r="AZ8793"/>
      <c r="BA8793"/>
      <c r="BB8793"/>
      <c r="BC8793"/>
      <c r="BD8793"/>
      <c r="BE8793"/>
      <c r="BF8793"/>
    </row>
    <row r="8794" spans="13:58" ht="12" hidden="1" customHeight="1">
      <c r="M8794" s="820"/>
      <c r="N8794" s="239"/>
      <c r="O8794" s="225"/>
      <c r="P8794" s="260"/>
      <c r="Q8794" s="258"/>
      <c r="R8794" s="260"/>
      <c r="S8794" s="260"/>
      <c r="T8794" s="260"/>
      <c r="U8794" s="260"/>
      <c r="V8794" s="260"/>
      <c r="W8794" s="260"/>
      <c r="X8794" s="260"/>
      <c r="Y8794" s="260"/>
      <c r="Z8794" s="260"/>
      <c r="AA8794" s="260"/>
      <c r="AB8794" s="260"/>
      <c r="AC8794" s="260"/>
      <c r="AD8794" s="260"/>
      <c r="AE8794" s="260"/>
      <c r="AF8794" s="260"/>
      <c r="AG8794" s="258"/>
      <c r="AO8794"/>
      <c r="AP8794"/>
      <c r="AQ8794"/>
      <c r="AR8794"/>
      <c r="AS8794"/>
      <c r="AT8794"/>
      <c r="AU8794"/>
      <c r="AV8794"/>
      <c r="AW8794"/>
      <c r="AX8794"/>
      <c r="AY8794"/>
      <c r="AZ8794"/>
      <c r="BA8794"/>
      <c r="BB8794"/>
      <c r="BC8794"/>
      <c r="BD8794"/>
      <c r="BE8794"/>
      <c r="BF8794"/>
    </row>
    <row r="8795" spans="13:58" ht="12" hidden="1" customHeight="1">
      <c r="M8795" s="820"/>
      <c r="N8795" s="239"/>
      <c r="O8795" s="225"/>
      <c r="P8795" s="260"/>
      <c r="Q8795" s="258"/>
      <c r="R8795" s="260"/>
      <c r="S8795" s="260"/>
      <c r="T8795" s="260"/>
      <c r="U8795" s="260"/>
      <c r="V8795" s="260"/>
      <c r="W8795" s="260"/>
      <c r="X8795" s="260"/>
      <c r="Y8795" s="260"/>
      <c r="Z8795" s="260"/>
      <c r="AA8795" s="260"/>
      <c r="AB8795" s="260"/>
      <c r="AC8795" s="260"/>
      <c r="AD8795" s="260"/>
      <c r="AE8795" s="260"/>
      <c r="AF8795" s="260"/>
      <c r="AG8795" s="258"/>
      <c r="AO8795"/>
      <c r="AP8795"/>
      <c r="AQ8795"/>
      <c r="AR8795"/>
      <c r="AS8795"/>
      <c r="AT8795"/>
      <c r="AU8795"/>
      <c r="AV8795"/>
      <c r="AW8795"/>
      <c r="AX8795"/>
      <c r="AY8795"/>
      <c r="AZ8795"/>
      <c r="BA8795"/>
      <c r="BB8795"/>
      <c r="BC8795"/>
      <c r="BD8795"/>
      <c r="BE8795"/>
      <c r="BF8795"/>
    </row>
    <row r="8796" spans="13:58" ht="12" hidden="1" customHeight="1">
      <c r="M8796" s="820"/>
      <c r="N8796" s="239"/>
      <c r="O8796" s="225"/>
      <c r="P8796" s="260"/>
      <c r="Q8796" s="258"/>
      <c r="R8796" s="260"/>
      <c r="S8796" s="260"/>
      <c r="T8796" s="260"/>
      <c r="U8796" s="260"/>
      <c r="V8796" s="260"/>
      <c r="W8796" s="260"/>
      <c r="X8796" s="260"/>
      <c r="Y8796" s="260"/>
      <c r="Z8796" s="260"/>
      <c r="AA8796" s="260"/>
      <c r="AB8796" s="260"/>
      <c r="AC8796" s="260"/>
      <c r="AD8796" s="260"/>
      <c r="AE8796" s="260"/>
      <c r="AF8796" s="260"/>
      <c r="AG8796" s="258"/>
      <c r="AO8796"/>
      <c r="AP8796"/>
      <c r="AQ8796"/>
      <c r="AR8796"/>
      <c r="AS8796"/>
      <c r="AT8796"/>
      <c r="AU8796"/>
      <c r="AV8796"/>
      <c r="AW8796"/>
      <c r="AX8796"/>
      <c r="AY8796"/>
      <c r="AZ8796"/>
      <c r="BA8796"/>
      <c r="BB8796"/>
      <c r="BC8796"/>
      <c r="BD8796"/>
      <c r="BE8796"/>
      <c r="BF8796"/>
    </row>
    <row r="8797" spans="13:58" ht="12" hidden="1" customHeight="1">
      <c r="M8797" s="820"/>
      <c r="N8797" s="239"/>
      <c r="O8797" s="225"/>
      <c r="P8797" s="260"/>
      <c r="Q8797" s="258"/>
      <c r="R8797" s="260"/>
      <c r="S8797" s="260"/>
      <c r="T8797" s="260"/>
      <c r="U8797" s="260"/>
      <c r="V8797" s="260"/>
      <c r="W8797" s="260"/>
      <c r="X8797" s="260"/>
      <c r="Y8797" s="260"/>
      <c r="Z8797" s="260"/>
      <c r="AA8797" s="260"/>
      <c r="AB8797" s="260"/>
      <c r="AC8797" s="260"/>
      <c r="AD8797" s="260"/>
      <c r="AE8797" s="260"/>
      <c r="AF8797" s="260"/>
      <c r="AG8797" s="258"/>
      <c r="AO8797"/>
      <c r="AP8797"/>
      <c r="AQ8797"/>
      <c r="AR8797"/>
      <c r="AS8797"/>
      <c r="AT8797"/>
      <c r="AU8797"/>
      <c r="AV8797"/>
      <c r="AW8797"/>
      <c r="AX8797"/>
      <c r="AY8797"/>
      <c r="AZ8797"/>
      <c r="BA8797"/>
      <c r="BB8797"/>
      <c r="BC8797"/>
      <c r="BD8797"/>
      <c r="BE8797"/>
      <c r="BF8797"/>
    </row>
    <row r="8798" spans="13:58" ht="12" hidden="1" customHeight="1">
      <c r="M8798" s="820"/>
      <c r="N8798" s="239"/>
      <c r="O8798" s="225"/>
      <c r="P8798" s="260"/>
      <c r="Q8798" s="258"/>
      <c r="R8798" s="260"/>
      <c r="S8798" s="260"/>
      <c r="T8798" s="260"/>
      <c r="U8798" s="260"/>
      <c r="V8798" s="260"/>
      <c r="W8798" s="260"/>
      <c r="X8798" s="260"/>
      <c r="Y8798" s="260"/>
      <c r="Z8798" s="260"/>
      <c r="AA8798" s="260"/>
      <c r="AB8798" s="260"/>
      <c r="AC8798" s="260"/>
      <c r="AD8798" s="260"/>
      <c r="AE8798" s="260"/>
      <c r="AF8798" s="260"/>
      <c r="AG8798" s="258"/>
      <c r="AO8798"/>
      <c r="AP8798"/>
      <c r="AQ8798"/>
      <c r="AR8798"/>
      <c r="AS8798"/>
      <c r="AT8798"/>
      <c r="AU8798"/>
      <c r="AV8798"/>
      <c r="AW8798"/>
      <c r="AX8798"/>
      <c r="AY8798"/>
      <c r="AZ8798"/>
      <c r="BA8798"/>
      <c r="BB8798"/>
      <c r="BC8798"/>
      <c r="BD8798"/>
      <c r="BE8798"/>
      <c r="BF8798"/>
    </row>
    <row r="8799" spans="13:58" ht="12" hidden="1" customHeight="1">
      <c r="M8799" s="820"/>
      <c r="N8799" s="239"/>
      <c r="O8799" s="225"/>
      <c r="P8799" s="260"/>
      <c r="Q8799" s="258"/>
      <c r="R8799" s="260"/>
      <c r="S8799" s="260"/>
      <c r="T8799" s="260"/>
      <c r="U8799" s="260"/>
      <c r="V8799" s="260"/>
      <c r="W8799" s="260"/>
      <c r="X8799" s="260"/>
      <c r="Y8799" s="260"/>
      <c r="Z8799" s="260"/>
      <c r="AA8799" s="260"/>
      <c r="AB8799" s="260"/>
      <c r="AC8799" s="260"/>
      <c r="AD8799" s="260"/>
      <c r="AE8799" s="260"/>
      <c r="AF8799" s="260"/>
      <c r="AG8799" s="258"/>
      <c r="AO8799"/>
      <c r="AP8799"/>
      <c r="AQ8799"/>
      <c r="AR8799"/>
      <c r="AS8799"/>
      <c r="AT8799"/>
      <c r="AU8799"/>
      <c r="AV8799"/>
      <c r="AW8799"/>
      <c r="AX8799"/>
      <c r="AY8799"/>
      <c r="AZ8799"/>
      <c r="BA8799"/>
      <c r="BB8799"/>
      <c r="BC8799"/>
      <c r="BD8799"/>
      <c r="BE8799"/>
      <c r="BF8799"/>
    </row>
    <row r="8800" spans="13:58" ht="12" hidden="1" customHeight="1">
      <c r="M8800" s="820"/>
      <c r="N8800" s="239"/>
      <c r="O8800" s="225"/>
      <c r="P8800" s="260"/>
      <c r="Q8800" s="258"/>
      <c r="R8800" s="260"/>
      <c r="S8800" s="260"/>
      <c r="T8800" s="260"/>
      <c r="U8800" s="260"/>
      <c r="V8800" s="260"/>
      <c r="W8800" s="260"/>
      <c r="X8800" s="260"/>
      <c r="Y8800" s="260"/>
      <c r="Z8800" s="260"/>
      <c r="AA8800" s="260"/>
      <c r="AB8800" s="260"/>
      <c r="AC8800" s="260"/>
      <c r="AD8800" s="260"/>
      <c r="AE8800" s="260"/>
      <c r="AF8800" s="260"/>
      <c r="AG8800" s="258"/>
      <c r="AO8800"/>
      <c r="AP8800"/>
      <c r="AQ8800"/>
      <c r="AR8800"/>
      <c r="AS8800"/>
      <c r="AT8800"/>
      <c r="AU8800"/>
      <c r="AV8800"/>
      <c r="AW8800"/>
      <c r="AX8800"/>
      <c r="AY8800"/>
      <c r="AZ8800"/>
      <c r="BA8800"/>
      <c r="BB8800"/>
      <c r="BC8800"/>
      <c r="BD8800"/>
      <c r="BE8800"/>
      <c r="BF8800"/>
    </row>
    <row r="8801" spans="13:58" ht="12" hidden="1" customHeight="1">
      <c r="M8801" s="820"/>
      <c r="N8801" s="239"/>
      <c r="O8801" s="225"/>
      <c r="P8801" s="260"/>
      <c r="Q8801" s="258"/>
      <c r="R8801" s="260"/>
      <c r="S8801" s="260"/>
      <c r="T8801" s="260"/>
      <c r="U8801" s="260"/>
      <c r="V8801" s="260"/>
      <c r="W8801" s="260"/>
      <c r="X8801" s="260"/>
      <c r="Y8801" s="260"/>
      <c r="Z8801" s="260"/>
      <c r="AA8801" s="260"/>
      <c r="AB8801" s="260"/>
      <c r="AC8801" s="260"/>
      <c r="AD8801" s="260"/>
      <c r="AE8801" s="260"/>
      <c r="AF8801" s="260"/>
      <c r="AG8801" s="258"/>
      <c r="AO8801"/>
      <c r="AP8801"/>
      <c r="AQ8801"/>
      <c r="AR8801"/>
      <c r="AS8801"/>
      <c r="AT8801"/>
      <c r="AU8801"/>
      <c r="AV8801"/>
      <c r="AW8801"/>
      <c r="AX8801"/>
      <c r="AY8801"/>
      <c r="AZ8801"/>
      <c r="BA8801"/>
      <c r="BB8801"/>
      <c r="BC8801"/>
      <c r="BD8801"/>
      <c r="BE8801"/>
      <c r="BF8801"/>
    </row>
    <row r="8802" spans="13:58" ht="12" hidden="1" customHeight="1">
      <c r="M8802" s="820"/>
      <c r="N8802" s="239"/>
      <c r="O8802" s="225"/>
      <c r="P8802" s="260"/>
      <c r="Q8802" s="258"/>
      <c r="R8802" s="260"/>
      <c r="S8802" s="260"/>
      <c r="T8802" s="260"/>
      <c r="U8802" s="260"/>
      <c r="V8802" s="260"/>
      <c r="W8802" s="260"/>
      <c r="X8802" s="260"/>
      <c r="Y8802" s="260"/>
      <c r="Z8802" s="260"/>
      <c r="AA8802" s="260"/>
      <c r="AB8802" s="260"/>
      <c r="AC8802" s="260"/>
      <c r="AD8802" s="260"/>
      <c r="AE8802" s="260"/>
      <c r="AF8802" s="260"/>
      <c r="AG8802" s="258"/>
      <c r="AO8802"/>
      <c r="AP8802"/>
      <c r="AQ8802"/>
      <c r="AR8802"/>
      <c r="AS8802"/>
      <c r="AT8802"/>
      <c r="AU8802"/>
      <c r="AV8802"/>
      <c r="AW8802"/>
      <c r="AX8802"/>
      <c r="AY8802"/>
      <c r="AZ8802"/>
      <c r="BA8802"/>
      <c r="BB8802"/>
      <c r="BC8802"/>
      <c r="BD8802"/>
      <c r="BE8802"/>
      <c r="BF8802"/>
    </row>
    <row r="8803" spans="13:58" ht="12" hidden="1" customHeight="1">
      <c r="M8803" s="820"/>
      <c r="N8803" s="239"/>
      <c r="O8803" s="225"/>
      <c r="P8803" s="260"/>
      <c r="Q8803" s="258"/>
      <c r="R8803" s="260"/>
      <c r="S8803" s="260"/>
      <c r="T8803" s="260"/>
      <c r="U8803" s="260"/>
      <c r="V8803" s="260"/>
      <c r="W8803" s="260"/>
      <c r="X8803" s="260"/>
      <c r="Y8803" s="260"/>
      <c r="Z8803" s="260"/>
      <c r="AA8803" s="260"/>
      <c r="AB8803" s="260"/>
      <c r="AC8803" s="260"/>
      <c r="AD8803" s="260"/>
      <c r="AE8803" s="260"/>
      <c r="AF8803" s="260"/>
      <c r="AG8803" s="258"/>
      <c r="AO8803"/>
      <c r="AP8803"/>
      <c r="AQ8803"/>
      <c r="AR8803"/>
      <c r="AS8803"/>
      <c r="AT8803"/>
      <c r="AU8803"/>
      <c r="AV8803"/>
      <c r="AW8803"/>
      <c r="AX8803"/>
      <c r="AY8803"/>
      <c r="AZ8803"/>
      <c r="BA8803"/>
      <c r="BB8803"/>
      <c r="BC8803"/>
      <c r="BD8803"/>
      <c r="BE8803"/>
      <c r="BF8803"/>
    </row>
    <row r="8804" spans="13:58" ht="12" hidden="1" customHeight="1">
      <c r="M8804" s="820"/>
      <c r="N8804" s="239"/>
      <c r="O8804" s="225"/>
      <c r="P8804" s="260"/>
      <c r="Q8804" s="258"/>
      <c r="R8804" s="260"/>
      <c r="S8804" s="260"/>
      <c r="T8804" s="260"/>
      <c r="U8804" s="260"/>
      <c r="V8804" s="260"/>
      <c r="W8804" s="260"/>
      <c r="X8804" s="260"/>
      <c r="Y8804" s="260"/>
      <c r="Z8804" s="260"/>
      <c r="AA8804" s="260"/>
      <c r="AB8804" s="260"/>
      <c r="AC8804" s="260"/>
      <c r="AD8804" s="260"/>
      <c r="AE8804" s="260"/>
      <c r="AF8804" s="260"/>
      <c r="AG8804" s="258"/>
      <c r="AO8804"/>
      <c r="AP8804"/>
      <c r="AQ8804"/>
      <c r="AR8804"/>
      <c r="AS8804"/>
      <c r="AT8804"/>
      <c r="AU8804"/>
      <c r="AV8804"/>
      <c r="AW8804"/>
      <c r="AX8804"/>
      <c r="AY8804"/>
      <c r="AZ8804"/>
      <c r="BA8804"/>
      <c r="BB8804"/>
      <c r="BC8804"/>
      <c r="BD8804"/>
      <c r="BE8804"/>
      <c r="BF8804"/>
    </row>
    <row r="8805" spans="13:58" ht="12" hidden="1" customHeight="1">
      <c r="M8805" s="820"/>
      <c r="N8805" s="239"/>
      <c r="O8805" s="225"/>
      <c r="P8805" s="260"/>
      <c r="Q8805" s="258"/>
      <c r="R8805" s="260"/>
      <c r="S8805" s="260"/>
      <c r="T8805" s="260"/>
      <c r="U8805" s="260"/>
      <c r="V8805" s="260"/>
      <c r="W8805" s="260"/>
      <c r="X8805" s="260"/>
      <c r="Y8805" s="260"/>
      <c r="Z8805" s="260"/>
      <c r="AA8805" s="260"/>
      <c r="AB8805" s="260"/>
      <c r="AC8805" s="260"/>
      <c r="AD8805" s="260"/>
      <c r="AE8805" s="260"/>
      <c r="AF8805" s="260"/>
      <c r="AG8805" s="258"/>
      <c r="AO8805"/>
      <c r="AP8805"/>
      <c r="AQ8805"/>
      <c r="AR8805"/>
      <c r="AS8805"/>
      <c r="AT8805"/>
      <c r="AU8805"/>
      <c r="AV8805"/>
      <c r="AW8805"/>
      <c r="AX8805"/>
      <c r="AY8805"/>
      <c r="AZ8805"/>
      <c r="BA8805"/>
      <c r="BB8805"/>
      <c r="BC8805"/>
      <c r="BD8805"/>
      <c r="BE8805"/>
      <c r="BF8805"/>
    </row>
    <row r="8806" spans="13:58" ht="12" hidden="1" customHeight="1">
      <c r="M8806" s="820"/>
      <c r="N8806" s="239"/>
      <c r="O8806" s="225"/>
      <c r="P8806" s="260"/>
      <c r="Q8806" s="258"/>
      <c r="R8806" s="260"/>
      <c r="S8806" s="260"/>
      <c r="T8806" s="260"/>
      <c r="U8806" s="260"/>
      <c r="V8806" s="260"/>
      <c r="W8806" s="260"/>
      <c r="X8806" s="260"/>
      <c r="Y8806" s="260"/>
      <c r="Z8806" s="260"/>
      <c r="AA8806" s="260"/>
      <c r="AB8806" s="260"/>
      <c r="AC8806" s="260"/>
      <c r="AD8806" s="260"/>
      <c r="AE8806" s="260"/>
      <c r="AF8806" s="260"/>
      <c r="AG8806" s="258"/>
      <c r="AO8806"/>
      <c r="AP8806"/>
      <c r="AQ8806"/>
      <c r="AR8806"/>
      <c r="AS8806"/>
      <c r="AT8806"/>
      <c r="AU8806"/>
      <c r="AV8806"/>
      <c r="AW8806"/>
      <c r="AX8806"/>
      <c r="AY8806"/>
      <c r="AZ8806"/>
      <c r="BA8806"/>
      <c r="BB8806"/>
      <c r="BC8806"/>
      <c r="BD8806"/>
      <c r="BE8806"/>
      <c r="BF8806"/>
    </row>
    <row r="8807" spans="13:58" ht="12" hidden="1" customHeight="1">
      <c r="M8807" s="820"/>
      <c r="N8807" s="239"/>
      <c r="O8807" s="225"/>
      <c r="P8807" s="260"/>
      <c r="Q8807" s="258"/>
      <c r="R8807" s="260"/>
      <c r="S8807" s="260"/>
      <c r="T8807" s="260"/>
      <c r="U8807" s="260"/>
      <c r="V8807" s="260"/>
      <c r="W8807" s="260"/>
      <c r="X8807" s="260"/>
      <c r="Y8807" s="260"/>
      <c r="Z8807" s="260"/>
      <c r="AA8807" s="260"/>
      <c r="AB8807" s="260"/>
      <c r="AC8807" s="260"/>
      <c r="AD8807" s="260"/>
      <c r="AE8807" s="260"/>
      <c r="AF8807" s="260"/>
      <c r="AG8807" s="258"/>
      <c r="AO8807"/>
      <c r="AP8807"/>
      <c r="AQ8807"/>
      <c r="AR8807"/>
      <c r="AS8807"/>
      <c r="AT8807"/>
      <c r="AU8807"/>
      <c r="AV8807"/>
      <c r="AW8807"/>
      <c r="AX8807"/>
      <c r="AY8807"/>
      <c r="AZ8807"/>
      <c r="BA8807"/>
      <c r="BB8807"/>
      <c r="BC8807"/>
      <c r="BD8807"/>
      <c r="BE8807"/>
      <c r="BF8807"/>
    </row>
    <row r="8808" spans="13:58" ht="12" hidden="1" customHeight="1">
      <c r="M8808" s="820"/>
      <c r="N8808" s="239"/>
      <c r="O8808" s="225"/>
      <c r="P8808" s="260"/>
      <c r="Q8808" s="258"/>
      <c r="R8808" s="260"/>
      <c r="S8808" s="260"/>
      <c r="T8808" s="260"/>
      <c r="U8808" s="260"/>
      <c r="V8808" s="260"/>
      <c r="W8808" s="260"/>
      <c r="X8808" s="260"/>
      <c r="Y8808" s="260"/>
      <c r="Z8808" s="260"/>
      <c r="AA8808" s="260"/>
      <c r="AB8808" s="260"/>
      <c r="AC8808" s="260"/>
      <c r="AD8808" s="260"/>
      <c r="AE8808" s="260"/>
      <c r="AF8808" s="260"/>
      <c r="AG8808" s="258"/>
      <c r="AO8808"/>
      <c r="AP8808"/>
      <c r="AQ8808"/>
      <c r="AR8808"/>
      <c r="AS8808"/>
      <c r="AT8808"/>
      <c r="AU8808"/>
      <c r="AV8808"/>
      <c r="AW8808"/>
      <c r="AX8808"/>
      <c r="AY8808"/>
      <c r="AZ8808"/>
      <c r="BA8808"/>
      <c r="BB8808"/>
      <c r="BC8808"/>
      <c r="BD8808"/>
      <c r="BE8808"/>
      <c r="BF8808"/>
    </row>
    <row r="8809" spans="13:58" ht="12" hidden="1" customHeight="1">
      <c r="M8809" s="820"/>
      <c r="N8809" s="239"/>
      <c r="O8809" s="225"/>
      <c r="P8809" s="260"/>
      <c r="Q8809" s="258"/>
      <c r="R8809" s="260"/>
      <c r="S8809" s="260"/>
      <c r="T8809" s="260"/>
      <c r="U8809" s="260"/>
      <c r="V8809" s="260"/>
      <c r="W8809" s="260"/>
      <c r="X8809" s="260"/>
      <c r="Y8809" s="260"/>
      <c r="Z8809" s="260"/>
      <c r="AA8809" s="260"/>
      <c r="AB8809" s="260"/>
      <c r="AC8809" s="260"/>
      <c r="AD8809" s="260"/>
      <c r="AE8809" s="260"/>
      <c r="AF8809" s="260"/>
      <c r="AG8809" s="258"/>
      <c r="AO8809"/>
      <c r="AP8809"/>
      <c r="AQ8809"/>
      <c r="AR8809"/>
      <c r="AS8809"/>
      <c r="AT8809"/>
      <c r="AU8809"/>
      <c r="AV8809"/>
      <c r="AW8809"/>
      <c r="AX8809"/>
      <c r="AY8809"/>
      <c r="AZ8809"/>
      <c r="BA8809"/>
      <c r="BB8809"/>
      <c r="BC8809"/>
      <c r="BD8809"/>
      <c r="BE8809"/>
      <c r="BF8809"/>
    </row>
    <row r="8810" spans="13:58" ht="12" hidden="1" customHeight="1">
      <c r="M8810" s="820"/>
      <c r="N8810" s="239"/>
      <c r="O8810" s="225"/>
      <c r="P8810" s="260"/>
      <c r="Q8810" s="258"/>
      <c r="R8810" s="260"/>
      <c r="S8810" s="260"/>
      <c r="T8810" s="260"/>
      <c r="U8810" s="260"/>
      <c r="V8810" s="260"/>
      <c r="W8810" s="260"/>
      <c r="X8810" s="260"/>
      <c r="Y8810" s="260"/>
      <c r="Z8810" s="260"/>
      <c r="AA8810" s="260"/>
      <c r="AB8810" s="260"/>
      <c r="AC8810" s="260"/>
      <c r="AD8810" s="260"/>
      <c r="AE8810" s="260"/>
      <c r="AF8810" s="260"/>
      <c r="AG8810" s="258"/>
      <c r="AO8810"/>
      <c r="AP8810"/>
      <c r="AQ8810"/>
      <c r="AR8810"/>
      <c r="AS8810"/>
      <c r="AT8810"/>
      <c r="AU8810"/>
      <c r="AV8810"/>
      <c r="AW8810"/>
      <c r="AX8810"/>
      <c r="AY8810"/>
      <c r="AZ8810"/>
      <c r="BA8810"/>
      <c r="BB8810"/>
      <c r="BC8810"/>
      <c r="BD8810"/>
      <c r="BE8810"/>
      <c r="BF8810"/>
    </row>
    <row r="8811" spans="13:58" ht="12" hidden="1" customHeight="1">
      <c r="M8811" s="820"/>
      <c r="N8811" s="239"/>
      <c r="O8811" s="225"/>
      <c r="P8811" s="260"/>
      <c r="Q8811" s="258"/>
      <c r="R8811" s="260"/>
      <c r="S8811" s="260"/>
      <c r="T8811" s="260"/>
      <c r="U8811" s="260"/>
      <c r="V8811" s="260"/>
      <c r="W8811" s="260"/>
      <c r="X8811" s="260"/>
      <c r="Y8811" s="260"/>
      <c r="Z8811" s="260"/>
      <c r="AA8811" s="260"/>
      <c r="AB8811" s="260"/>
      <c r="AC8811" s="260"/>
      <c r="AD8811" s="260"/>
      <c r="AE8811" s="260"/>
      <c r="AF8811" s="260"/>
      <c r="AG8811" s="258"/>
      <c r="AO8811"/>
      <c r="AP8811"/>
      <c r="AQ8811"/>
      <c r="AR8811"/>
      <c r="AS8811"/>
      <c r="AT8811"/>
      <c r="AU8811"/>
      <c r="AV8811"/>
      <c r="AW8811"/>
      <c r="AX8811"/>
      <c r="AY8811"/>
      <c r="AZ8811"/>
      <c r="BA8811"/>
      <c r="BB8811"/>
      <c r="BC8811"/>
      <c r="BD8811"/>
      <c r="BE8811"/>
      <c r="BF8811"/>
    </row>
    <row r="8812" spans="13:58" ht="12" hidden="1" customHeight="1">
      <c r="M8812" s="820"/>
      <c r="N8812" s="239"/>
      <c r="O8812" s="225"/>
      <c r="P8812" s="260"/>
      <c r="Q8812" s="258"/>
      <c r="R8812" s="260"/>
      <c r="S8812" s="260"/>
      <c r="T8812" s="260"/>
      <c r="U8812" s="260"/>
      <c r="V8812" s="260"/>
      <c r="W8812" s="260"/>
      <c r="X8812" s="260"/>
      <c r="Y8812" s="260"/>
      <c r="Z8812" s="260"/>
      <c r="AA8812" s="260"/>
      <c r="AB8812" s="260"/>
      <c r="AC8812" s="260"/>
      <c r="AD8812" s="260"/>
      <c r="AE8812" s="260"/>
      <c r="AF8812" s="260"/>
      <c r="AG8812" s="258"/>
      <c r="AO8812"/>
      <c r="AP8812"/>
      <c r="AQ8812"/>
      <c r="AR8812"/>
      <c r="AS8812"/>
      <c r="AT8812"/>
      <c r="AU8812"/>
      <c r="AV8812"/>
      <c r="AW8812"/>
      <c r="AX8812"/>
      <c r="AY8812"/>
      <c r="AZ8812"/>
      <c r="BA8812"/>
      <c r="BB8812"/>
      <c r="BC8812"/>
      <c r="BD8812"/>
      <c r="BE8812"/>
      <c r="BF8812"/>
    </row>
    <row r="8813" spans="13:58" ht="12" hidden="1" customHeight="1">
      <c r="M8813" s="820"/>
      <c r="N8813" s="239"/>
      <c r="O8813" s="225"/>
      <c r="P8813" s="260"/>
      <c r="Q8813" s="258"/>
      <c r="R8813" s="260"/>
      <c r="S8813" s="260"/>
      <c r="T8813" s="260"/>
      <c r="U8813" s="260"/>
      <c r="V8813" s="260"/>
      <c r="W8813" s="260"/>
      <c r="X8813" s="260"/>
      <c r="Y8813" s="260"/>
      <c r="Z8813" s="260"/>
      <c r="AA8813" s="260"/>
      <c r="AB8813" s="260"/>
      <c r="AC8813" s="260"/>
      <c r="AD8813" s="260"/>
      <c r="AE8813" s="260"/>
      <c r="AF8813" s="260"/>
      <c r="AG8813" s="258"/>
      <c r="AO8813"/>
      <c r="AP8813"/>
      <c r="AQ8813"/>
      <c r="AR8813"/>
      <c r="AS8813"/>
      <c r="AT8813"/>
      <c r="AU8813"/>
      <c r="AV8813"/>
      <c r="AW8813"/>
      <c r="AX8813"/>
      <c r="AY8813"/>
      <c r="AZ8813"/>
      <c r="BA8813"/>
      <c r="BB8813"/>
      <c r="BC8813"/>
      <c r="BD8813"/>
      <c r="BE8813"/>
      <c r="BF8813"/>
    </row>
    <row r="8814" spans="13:58" ht="12" hidden="1" customHeight="1">
      <c r="M8814" s="820"/>
      <c r="N8814" s="239"/>
      <c r="O8814" s="225"/>
      <c r="P8814" s="260"/>
      <c r="Q8814" s="258"/>
      <c r="R8814" s="260"/>
      <c r="S8814" s="260"/>
      <c r="T8814" s="260"/>
      <c r="U8814" s="260"/>
      <c r="V8814" s="260"/>
      <c r="W8814" s="260"/>
      <c r="X8814" s="260"/>
      <c r="Y8814" s="260"/>
      <c r="Z8814" s="260"/>
      <c r="AA8814" s="260"/>
      <c r="AB8814" s="260"/>
      <c r="AC8814" s="260"/>
      <c r="AD8814" s="260"/>
      <c r="AE8814" s="260"/>
      <c r="AF8814" s="260"/>
      <c r="AG8814" s="258"/>
      <c r="AO8814"/>
      <c r="AP8814"/>
      <c r="AQ8814"/>
      <c r="AR8814"/>
      <c r="AS8814"/>
      <c r="AT8814"/>
      <c r="AU8814"/>
      <c r="AV8814"/>
      <c r="AW8814"/>
      <c r="AX8814"/>
      <c r="AY8814"/>
      <c r="AZ8814"/>
      <c r="BA8814"/>
      <c r="BB8814"/>
      <c r="BC8814"/>
      <c r="BD8814"/>
      <c r="BE8814"/>
      <c r="BF8814"/>
    </row>
    <row r="8815" spans="13:58" ht="12" hidden="1" customHeight="1">
      <c r="M8815" s="820"/>
      <c r="N8815" s="239"/>
      <c r="O8815" s="225"/>
      <c r="P8815" s="260"/>
      <c r="Q8815" s="258"/>
      <c r="R8815" s="260"/>
      <c r="S8815" s="260"/>
      <c r="T8815" s="260"/>
      <c r="U8815" s="260"/>
      <c r="V8815" s="260"/>
      <c r="W8815" s="260"/>
      <c r="X8815" s="260"/>
      <c r="Y8815" s="260"/>
      <c r="Z8815" s="260"/>
      <c r="AA8815" s="260"/>
      <c r="AB8815" s="260"/>
      <c r="AC8815" s="260"/>
      <c r="AD8815" s="260"/>
      <c r="AE8815" s="260"/>
      <c r="AF8815" s="260"/>
      <c r="AG8815" s="258"/>
      <c r="AO8815"/>
      <c r="AP8815"/>
      <c r="AQ8815"/>
      <c r="AR8815"/>
      <c r="AS8815"/>
      <c r="AT8815"/>
      <c r="AU8815"/>
      <c r="AV8815"/>
      <c r="AW8815"/>
      <c r="AX8815"/>
      <c r="AY8815"/>
      <c r="AZ8815"/>
      <c r="BA8815"/>
      <c r="BB8815"/>
      <c r="BC8815"/>
      <c r="BD8815"/>
      <c r="BE8815"/>
      <c r="BF8815"/>
    </row>
    <row r="8816" spans="13:58" ht="12" hidden="1" customHeight="1">
      <c r="M8816" s="820"/>
      <c r="N8816" s="239"/>
      <c r="O8816" s="225"/>
      <c r="P8816" s="260"/>
      <c r="Q8816" s="258"/>
      <c r="R8816" s="260"/>
      <c r="S8816" s="260"/>
      <c r="T8816" s="260"/>
      <c r="U8816" s="260"/>
      <c r="V8816" s="260"/>
      <c r="W8816" s="260"/>
      <c r="X8816" s="260"/>
      <c r="Y8816" s="260"/>
      <c r="Z8816" s="260"/>
      <c r="AA8816" s="260"/>
      <c r="AB8816" s="260"/>
      <c r="AC8816" s="260"/>
      <c r="AD8816" s="260"/>
      <c r="AE8816" s="260"/>
      <c r="AF8816" s="260"/>
      <c r="AG8816" s="258"/>
      <c r="AO8816"/>
      <c r="AP8816"/>
      <c r="AQ8816"/>
      <c r="AR8816"/>
      <c r="AS8816"/>
      <c r="AT8816"/>
      <c r="AU8816"/>
      <c r="AV8816"/>
      <c r="AW8816"/>
      <c r="AX8816"/>
      <c r="AY8816"/>
      <c r="AZ8816"/>
      <c r="BA8816"/>
      <c r="BB8816"/>
      <c r="BC8816"/>
      <c r="BD8816"/>
      <c r="BE8816"/>
      <c r="BF8816"/>
    </row>
    <row r="8817" spans="13:58" ht="12" hidden="1" customHeight="1">
      <c r="M8817" s="820"/>
      <c r="N8817" s="239"/>
      <c r="O8817" s="225"/>
      <c r="P8817" s="260"/>
      <c r="Q8817" s="258"/>
      <c r="R8817" s="260"/>
      <c r="S8817" s="260"/>
      <c r="T8817" s="260"/>
      <c r="U8817" s="260"/>
      <c r="V8817" s="260"/>
      <c r="W8817" s="260"/>
      <c r="X8817" s="260"/>
      <c r="Y8817" s="260"/>
      <c r="Z8817" s="260"/>
      <c r="AA8817" s="260"/>
      <c r="AB8817" s="260"/>
      <c r="AC8817" s="260"/>
      <c r="AD8817" s="260"/>
      <c r="AE8817" s="260"/>
      <c r="AF8817" s="260"/>
      <c r="AG8817" s="258"/>
      <c r="AO8817"/>
      <c r="AP8817"/>
      <c r="AQ8817"/>
      <c r="AR8817"/>
      <c r="AS8817"/>
      <c r="AT8817"/>
      <c r="AU8817"/>
      <c r="AV8817"/>
      <c r="AW8817"/>
      <c r="AX8817"/>
      <c r="AY8817"/>
      <c r="AZ8817"/>
      <c r="BA8817"/>
      <c r="BB8817"/>
      <c r="BC8817"/>
      <c r="BD8817"/>
      <c r="BE8817"/>
      <c r="BF8817"/>
    </row>
    <row r="8818" spans="13:58" ht="12" hidden="1" customHeight="1">
      <c r="M8818" s="820"/>
      <c r="N8818" s="239"/>
      <c r="O8818" s="225"/>
      <c r="P8818" s="260"/>
      <c r="Q8818" s="258"/>
      <c r="R8818" s="260"/>
      <c r="S8818" s="260"/>
      <c r="T8818" s="260"/>
      <c r="U8818" s="260"/>
      <c r="V8818" s="260"/>
      <c r="W8818" s="260"/>
      <c r="X8818" s="260"/>
      <c r="Y8818" s="260"/>
      <c r="Z8818" s="260"/>
      <c r="AA8818" s="260"/>
      <c r="AB8818" s="260"/>
      <c r="AC8818" s="260"/>
      <c r="AD8818" s="260"/>
      <c r="AE8818" s="260"/>
      <c r="AF8818" s="260"/>
      <c r="AG8818" s="258"/>
      <c r="AO8818"/>
      <c r="AP8818"/>
      <c r="AQ8818"/>
      <c r="AR8818"/>
      <c r="AS8818"/>
      <c r="AT8818"/>
      <c r="AU8818"/>
      <c r="AV8818"/>
      <c r="AW8818"/>
      <c r="AX8818"/>
      <c r="AY8818"/>
      <c r="AZ8818"/>
      <c r="BA8818"/>
      <c r="BB8818"/>
      <c r="BC8818"/>
      <c r="BD8818"/>
      <c r="BE8818"/>
      <c r="BF8818"/>
    </row>
    <row r="8819" spans="13:58" ht="12" hidden="1" customHeight="1">
      <c r="M8819" s="820"/>
      <c r="N8819" s="239"/>
      <c r="O8819" s="225"/>
      <c r="P8819" s="260"/>
      <c r="Q8819" s="258"/>
      <c r="R8819" s="260"/>
      <c r="S8819" s="260"/>
      <c r="T8819" s="260"/>
      <c r="U8819" s="260"/>
      <c r="V8819" s="260"/>
      <c r="W8819" s="260"/>
      <c r="X8819" s="260"/>
      <c r="Y8819" s="260"/>
      <c r="Z8819" s="260"/>
      <c r="AA8819" s="260"/>
      <c r="AB8819" s="260"/>
      <c r="AC8819" s="260"/>
      <c r="AD8819" s="260"/>
      <c r="AE8819" s="260"/>
      <c r="AF8819" s="260"/>
      <c r="AG8819" s="258"/>
      <c r="AO8819"/>
      <c r="AP8819"/>
      <c r="AQ8819"/>
      <c r="AR8819"/>
      <c r="AS8819"/>
      <c r="AT8819"/>
      <c r="AU8819"/>
      <c r="AV8819"/>
      <c r="AW8819"/>
      <c r="AX8819"/>
      <c r="AY8819"/>
      <c r="AZ8819"/>
      <c r="BA8819"/>
      <c r="BB8819"/>
      <c r="BC8819"/>
      <c r="BD8819"/>
      <c r="BE8819"/>
      <c r="BF8819"/>
    </row>
    <row r="8820" spans="13:58" ht="12" hidden="1" customHeight="1">
      <c r="M8820" s="820"/>
      <c r="N8820" s="239"/>
      <c r="O8820" s="225"/>
      <c r="P8820" s="260"/>
      <c r="Q8820" s="258"/>
      <c r="R8820" s="260"/>
      <c r="S8820" s="260"/>
      <c r="T8820" s="260"/>
      <c r="U8820" s="260"/>
      <c r="V8820" s="260"/>
      <c r="W8820" s="260"/>
      <c r="X8820" s="260"/>
      <c r="Y8820" s="260"/>
      <c r="Z8820" s="260"/>
      <c r="AA8820" s="260"/>
      <c r="AB8820" s="260"/>
      <c r="AC8820" s="260"/>
      <c r="AD8820" s="260"/>
      <c r="AE8820" s="260"/>
      <c r="AF8820" s="260"/>
      <c r="AG8820" s="258"/>
      <c r="AO8820"/>
      <c r="AP8820"/>
      <c r="AQ8820"/>
      <c r="AR8820"/>
      <c r="AS8820"/>
      <c r="AT8820"/>
      <c r="AU8820"/>
      <c r="AV8820"/>
      <c r="AW8820"/>
      <c r="AX8820"/>
      <c r="AY8820"/>
      <c r="AZ8820"/>
      <c r="BA8820"/>
      <c r="BB8820"/>
      <c r="BC8820"/>
      <c r="BD8820"/>
      <c r="BE8820"/>
      <c r="BF8820"/>
    </row>
    <row r="8821" spans="13:58" ht="12" hidden="1" customHeight="1">
      <c r="M8821" s="820"/>
      <c r="N8821" s="239"/>
      <c r="O8821" s="225"/>
      <c r="P8821" s="260"/>
      <c r="Q8821" s="258"/>
      <c r="R8821" s="260"/>
      <c r="S8821" s="260"/>
      <c r="T8821" s="260"/>
      <c r="U8821" s="260"/>
      <c r="V8821" s="260"/>
      <c r="W8821" s="260"/>
      <c r="X8821" s="260"/>
      <c r="Y8821" s="260"/>
      <c r="Z8821" s="260"/>
      <c r="AA8821" s="260"/>
      <c r="AB8821" s="260"/>
      <c r="AC8821" s="260"/>
      <c r="AD8821" s="260"/>
      <c r="AE8821" s="260"/>
      <c r="AF8821" s="260"/>
      <c r="AG8821" s="258"/>
      <c r="AO8821"/>
      <c r="AP8821"/>
      <c r="AQ8821"/>
      <c r="AR8821"/>
      <c r="AS8821"/>
      <c r="AT8821"/>
      <c r="AU8821"/>
      <c r="AV8821"/>
      <c r="AW8821"/>
      <c r="AX8821"/>
      <c r="AY8821"/>
      <c r="AZ8821"/>
      <c r="BA8821"/>
      <c r="BB8821"/>
      <c r="BC8821"/>
      <c r="BD8821"/>
      <c r="BE8821"/>
      <c r="BF8821"/>
    </row>
    <row r="8822" spans="13:58" ht="12" hidden="1" customHeight="1">
      <c r="M8822" s="820"/>
      <c r="N8822" s="239"/>
      <c r="O8822" s="225"/>
      <c r="P8822" s="260"/>
      <c r="Q8822" s="258"/>
      <c r="R8822" s="260"/>
      <c r="S8822" s="260"/>
      <c r="T8822" s="260"/>
      <c r="U8822" s="260"/>
      <c r="V8822" s="260"/>
      <c r="W8822" s="260"/>
      <c r="X8822" s="260"/>
      <c r="Y8822" s="260"/>
      <c r="Z8822" s="260"/>
      <c r="AA8822" s="260"/>
      <c r="AB8822" s="260"/>
      <c r="AC8822" s="260"/>
      <c r="AD8822" s="260"/>
      <c r="AE8822" s="260"/>
      <c r="AF8822" s="260"/>
      <c r="AG8822" s="258"/>
      <c r="AO8822"/>
      <c r="AP8822"/>
      <c r="AQ8822"/>
      <c r="AR8822"/>
      <c r="AS8822"/>
      <c r="AT8822"/>
      <c r="AU8822"/>
      <c r="AV8822"/>
      <c r="AW8822"/>
      <c r="AX8822"/>
      <c r="AY8822"/>
      <c r="AZ8822"/>
      <c r="BA8822"/>
      <c r="BB8822"/>
      <c r="BC8822"/>
      <c r="BD8822"/>
      <c r="BE8822"/>
      <c r="BF8822"/>
    </row>
    <row r="8823" spans="13:58" ht="12" hidden="1" customHeight="1">
      <c r="M8823" s="820"/>
      <c r="N8823" s="239"/>
      <c r="O8823" s="225"/>
      <c r="P8823" s="260"/>
      <c r="Q8823" s="258"/>
      <c r="R8823" s="260"/>
      <c r="S8823" s="260"/>
      <c r="T8823" s="260"/>
      <c r="U8823" s="260"/>
      <c r="V8823" s="260"/>
      <c r="W8823" s="260"/>
      <c r="X8823" s="260"/>
      <c r="Y8823" s="260"/>
      <c r="Z8823" s="260"/>
      <c r="AA8823" s="260"/>
      <c r="AB8823" s="260"/>
      <c r="AC8823" s="260"/>
      <c r="AD8823" s="260"/>
      <c r="AE8823" s="260"/>
      <c r="AF8823" s="260"/>
      <c r="AG8823" s="258"/>
      <c r="AO8823"/>
      <c r="AP8823"/>
      <c r="AQ8823"/>
      <c r="AR8823"/>
      <c r="AS8823"/>
      <c r="AT8823"/>
      <c r="AU8823"/>
      <c r="AV8823"/>
      <c r="AW8823"/>
      <c r="AX8823"/>
      <c r="AY8823"/>
      <c r="AZ8823"/>
      <c r="BA8823"/>
      <c r="BB8823"/>
      <c r="BC8823"/>
      <c r="BD8823"/>
      <c r="BE8823"/>
      <c r="BF8823"/>
    </row>
    <row r="8824" spans="13:58" ht="12" hidden="1" customHeight="1">
      <c r="M8824" s="820"/>
      <c r="N8824" s="239"/>
      <c r="O8824" s="225"/>
      <c r="P8824" s="260"/>
      <c r="Q8824" s="258"/>
      <c r="R8824" s="260"/>
      <c r="S8824" s="260"/>
      <c r="T8824" s="260"/>
      <c r="U8824" s="260"/>
      <c r="V8824" s="260"/>
      <c r="W8824" s="260"/>
      <c r="X8824" s="260"/>
      <c r="Y8824" s="260"/>
      <c r="Z8824" s="260"/>
      <c r="AA8824" s="260"/>
      <c r="AB8824" s="260"/>
      <c r="AC8824" s="260"/>
      <c r="AD8824" s="260"/>
      <c r="AE8824" s="260"/>
      <c r="AF8824" s="260"/>
      <c r="AG8824" s="258"/>
      <c r="AO8824"/>
      <c r="AP8824"/>
      <c r="AQ8824"/>
      <c r="AR8824"/>
      <c r="AS8824"/>
      <c r="AT8824"/>
      <c r="AU8824"/>
      <c r="AV8824"/>
      <c r="AW8824"/>
      <c r="AX8824"/>
      <c r="AY8824"/>
      <c r="AZ8824"/>
      <c r="BA8824"/>
      <c r="BB8824"/>
      <c r="BC8824"/>
      <c r="BD8824"/>
      <c r="BE8824"/>
      <c r="BF8824"/>
    </row>
    <row r="8825" spans="13:58" ht="12" hidden="1" customHeight="1">
      <c r="M8825" s="820"/>
      <c r="N8825" s="239"/>
      <c r="O8825" s="225"/>
      <c r="P8825" s="260"/>
      <c r="Q8825" s="258"/>
      <c r="R8825" s="260"/>
      <c r="S8825" s="260"/>
      <c r="T8825" s="260"/>
      <c r="U8825" s="260"/>
      <c r="V8825" s="260"/>
      <c r="W8825" s="260"/>
      <c r="X8825" s="260"/>
      <c r="Y8825" s="260"/>
      <c r="Z8825" s="260"/>
      <c r="AA8825" s="260"/>
      <c r="AB8825" s="260"/>
      <c r="AC8825" s="260"/>
      <c r="AD8825" s="260"/>
      <c r="AE8825" s="260"/>
      <c r="AF8825" s="260"/>
      <c r="AG8825" s="258"/>
      <c r="AO8825"/>
      <c r="AP8825"/>
      <c r="AQ8825"/>
      <c r="AR8825"/>
      <c r="AS8825"/>
      <c r="AT8825"/>
      <c r="AU8825"/>
      <c r="AV8825"/>
      <c r="AW8825"/>
      <c r="AX8825"/>
      <c r="AY8825"/>
      <c r="AZ8825"/>
      <c r="BA8825"/>
      <c r="BB8825"/>
      <c r="BC8825"/>
      <c r="BD8825"/>
      <c r="BE8825"/>
      <c r="BF8825"/>
    </row>
    <row r="8826" spans="13:58" ht="12" hidden="1" customHeight="1">
      <c r="M8826" s="820"/>
      <c r="N8826" s="239"/>
      <c r="O8826" s="225"/>
      <c r="P8826" s="260"/>
      <c r="Q8826" s="258"/>
      <c r="R8826" s="260"/>
      <c r="S8826" s="260"/>
      <c r="T8826" s="260"/>
      <c r="U8826" s="260"/>
      <c r="V8826" s="260"/>
      <c r="W8826" s="260"/>
      <c r="X8826" s="260"/>
      <c r="Y8826" s="260"/>
      <c r="Z8826" s="260"/>
      <c r="AA8826" s="260"/>
      <c r="AB8826" s="260"/>
      <c r="AC8826" s="260"/>
      <c r="AD8826" s="260"/>
      <c r="AE8826" s="260"/>
      <c r="AF8826" s="260"/>
      <c r="AG8826" s="258"/>
      <c r="AO8826"/>
      <c r="AP8826"/>
      <c r="AQ8826"/>
      <c r="AR8826"/>
      <c r="AS8826"/>
      <c r="AT8826"/>
      <c r="AU8826"/>
      <c r="AV8826"/>
      <c r="AW8826"/>
      <c r="AX8826"/>
      <c r="AY8826"/>
      <c r="AZ8826"/>
      <c r="BA8826"/>
      <c r="BB8826"/>
      <c r="BC8826"/>
      <c r="BD8826"/>
      <c r="BE8826"/>
      <c r="BF8826"/>
    </row>
    <row r="8827" spans="13:58" ht="12" hidden="1" customHeight="1">
      <c r="M8827" s="820"/>
      <c r="N8827" s="239"/>
      <c r="O8827" s="225"/>
      <c r="P8827" s="260"/>
      <c r="Q8827" s="258"/>
      <c r="R8827" s="260"/>
      <c r="S8827" s="260"/>
      <c r="T8827" s="260"/>
      <c r="U8827" s="260"/>
      <c r="V8827" s="260"/>
      <c r="W8827" s="260"/>
      <c r="X8827" s="260"/>
      <c r="Y8827" s="260"/>
      <c r="Z8827" s="260"/>
      <c r="AA8827" s="260"/>
      <c r="AB8827" s="260"/>
      <c r="AC8827" s="260"/>
      <c r="AD8827" s="260"/>
      <c r="AE8827" s="260"/>
      <c r="AF8827" s="260"/>
      <c r="AG8827" s="258"/>
      <c r="AO8827"/>
      <c r="AP8827"/>
      <c r="AQ8827"/>
      <c r="AR8827"/>
      <c r="AS8827"/>
      <c r="AT8827"/>
      <c r="AU8827"/>
      <c r="AV8827"/>
      <c r="AW8827"/>
      <c r="AX8827"/>
      <c r="AY8827"/>
      <c r="AZ8827"/>
      <c r="BA8827"/>
      <c r="BB8827"/>
      <c r="BC8827"/>
      <c r="BD8827"/>
      <c r="BE8827"/>
      <c r="BF8827"/>
    </row>
    <row r="8828" spans="13:58" ht="12" hidden="1" customHeight="1">
      <c r="M8828" s="820"/>
      <c r="N8828" s="239"/>
      <c r="O8828" s="225"/>
      <c r="P8828" s="260"/>
      <c r="Q8828" s="258"/>
      <c r="R8828" s="260"/>
      <c r="S8828" s="260"/>
      <c r="T8828" s="260"/>
      <c r="U8828" s="260"/>
      <c r="V8828" s="260"/>
      <c r="W8828" s="260"/>
      <c r="X8828" s="260"/>
      <c r="Y8828" s="260"/>
      <c r="Z8828" s="260"/>
      <c r="AA8828" s="260"/>
      <c r="AB8828" s="260"/>
      <c r="AC8828" s="260"/>
      <c r="AD8828" s="260"/>
      <c r="AE8828" s="260"/>
      <c r="AF8828" s="260"/>
      <c r="AG8828" s="258"/>
      <c r="AO8828"/>
      <c r="AP8828"/>
      <c r="AQ8828"/>
      <c r="AR8828"/>
      <c r="AS8828"/>
      <c r="AT8828"/>
      <c r="AU8828"/>
      <c r="AV8828"/>
      <c r="AW8828"/>
      <c r="AX8828"/>
      <c r="AY8828"/>
      <c r="AZ8828"/>
      <c r="BA8828"/>
      <c r="BB8828"/>
      <c r="BC8828"/>
      <c r="BD8828"/>
      <c r="BE8828"/>
      <c r="BF8828"/>
    </row>
    <row r="8829" spans="13:58" ht="12" hidden="1" customHeight="1">
      <c r="M8829" s="820"/>
      <c r="N8829" s="239"/>
      <c r="O8829" s="225"/>
      <c r="P8829" s="260"/>
      <c r="Q8829" s="258"/>
      <c r="R8829" s="260"/>
      <c r="S8829" s="260"/>
      <c r="T8829" s="260"/>
      <c r="U8829" s="260"/>
      <c r="V8829" s="260"/>
      <c r="W8829" s="260"/>
      <c r="X8829" s="260"/>
      <c r="Y8829" s="260"/>
      <c r="Z8829" s="260"/>
      <c r="AA8829" s="260"/>
      <c r="AB8829" s="260"/>
      <c r="AC8829" s="260"/>
      <c r="AD8829" s="260"/>
      <c r="AE8829" s="260"/>
      <c r="AF8829" s="260"/>
      <c r="AG8829" s="258"/>
      <c r="AO8829"/>
      <c r="AP8829"/>
      <c r="AQ8829"/>
      <c r="AR8829"/>
      <c r="AS8829"/>
      <c r="AT8829"/>
      <c r="AU8829"/>
      <c r="AV8829"/>
      <c r="AW8829"/>
      <c r="AX8829"/>
      <c r="AY8829"/>
      <c r="AZ8829"/>
      <c r="BA8829"/>
      <c r="BB8829"/>
      <c r="BC8829"/>
      <c r="BD8829"/>
      <c r="BE8829"/>
      <c r="BF8829"/>
    </row>
    <row r="8830" spans="13:58" ht="12" hidden="1" customHeight="1">
      <c r="M8830" s="820"/>
      <c r="N8830" s="239"/>
      <c r="O8830" s="225"/>
      <c r="P8830" s="260"/>
      <c r="Q8830" s="258"/>
      <c r="R8830" s="260"/>
      <c r="S8830" s="260"/>
      <c r="T8830" s="260"/>
      <c r="U8830" s="260"/>
      <c r="V8830" s="260"/>
      <c r="W8830" s="260"/>
      <c r="X8830" s="260"/>
      <c r="Y8830" s="260"/>
      <c r="Z8830" s="260"/>
      <c r="AA8830" s="260"/>
      <c r="AB8830" s="260"/>
      <c r="AC8830" s="260"/>
      <c r="AD8830" s="260"/>
      <c r="AE8830" s="260"/>
      <c r="AF8830" s="260"/>
      <c r="AG8830" s="258"/>
      <c r="AO8830"/>
      <c r="AP8830"/>
      <c r="AQ8830"/>
      <c r="AR8830"/>
      <c r="AS8830"/>
      <c r="AT8830"/>
      <c r="AU8830"/>
      <c r="AV8830"/>
      <c r="AW8830"/>
      <c r="AX8830"/>
      <c r="AY8830"/>
      <c r="AZ8830"/>
      <c r="BA8830"/>
      <c r="BB8830"/>
      <c r="BC8830"/>
      <c r="BD8830"/>
      <c r="BE8830"/>
      <c r="BF8830"/>
    </row>
    <row r="8831" spans="13:58" ht="12" hidden="1" customHeight="1">
      <c r="M8831" s="820"/>
      <c r="N8831" s="239"/>
      <c r="O8831" s="225"/>
      <c r="P8831" s="260"/>
      <c r="Q8831" s="258"/>
      <c r="R8831" s="260"/>
      <c r="S8831" s="260"/>
      <c r="T8831" s="260"/>
      <c r="U8831" s="260"/>
      <c r="V8831" s="260"/>
      <c r="W8831" s="260"/>
      <c r="X8831" s="260"/>
      <c r="Y8831" s="260"/>
      <c r="Z8831" s="260"/>
      <c r="AA8831" s="260"/>
      <c r="AB8831" s="260"/>
      <c r="AC8831" s="260"/>
      <c r="AD8831" s="260"/>
      <c r="AE8831" s="260"/>
      <c r="AF8831" s="260"/>
      <c r="AG8831" s="258"/>
      <c r="AO8831"/>
      <c r="AP8831"/>
      <c r="AQ8831"/>
      <c r="AR8831"/>
      <c r="AS8831"/>
      <c r="AT8831"/>
      <c r="AU8831"/>
      <c r="AV8831"/>
      <c r="AW8831"/>
      <c r="AX8831"/>
      <c r="AY8831"/>
      <c r="AZ8831"/>
      <c r="BA8831"/>
      <c r="BB8831"/>
      <c r="BC8831"/>
      <c r="BD8831"/>
      <c r="BE8831"/>
      <c r="BF8831"/>
    </row>
    <row r="8832" spans="13:58" ht="12" hidden="1" customHeight="1">
      <c r="M8832" s="820"/>
      <c r="N8832" s="239"/>
      <c r="O8832" s="225"/>
      <c r="P8832" s="260"/>
      <c r="Q8832" s="258"/>
      <c r="R8832" s="260"/>
      <c r="S8832" s="260"/>
      <c r="T8832" s="260"/>
      <c r="U8832" s="260"/>
      <c r="V8832" s="260"/>
      <c r="W8832" s="260"/>
      <c r="X8832" s="260"/>
      <c r="Y8832" s="260"/>
      <c r="Z8832" s="260"/>
      <c r="AA8832" s="260"/>
      <c r="AB8832" s="260"/>
      <c r="AC8832" s="260"/>
      <c r="AD8832" s="260"/>
      <c r="AE8832" s="260"/>
      <c r="AF8832" s="260"/>
      <c r="AG8832" s="258"/>
      <c r="AO8832"/>
      <c r="AP8832"/>
      <c r="AQ8832"/>
      <c r="AR8832"/>
      <c r="AS8832"/>
      <c r="AT8832"/>
      <c r="AU8832"/>
      <c r="AV8832"/>
      <c r="AW8832"/>
      <c r="AX8832"/>
      <c r="AY8832"/>
      <c r="AZ8832"/>
      <c r="BA8832"/>
      <c r="BB8832"/>
      <c r="BC8832"/>
      <c r="BD8832"/>
      <c r="BE8832"/>
      <c r="BF8832"/>
    </row>
    <row r="8833" spans="13:58" ht="12" hidden="1" customHeight="1">
      <c r="M8833" s="820"/>
      <c r="N8833" s="239"/>
      <c r="O8833" s="225"/>
      <c r="P8833" s="260"/>
      <c r="Q8833" s="258"/>
      <c r="R8833" s="260"/>
      <c r="S8833" s="260"/>
      <c r="T8833" s="260"/>
      <c r="U8833" s="260"/>
      <c r="V8833" s="260"/>
      <c r="W8833" s="260"/>
      <c r="X8833" s="260"/>
      <c r="Y8833" s="260"/>
      <c r="Z8833" s="260"/>
      <c r="AA8833" s="260"/>
      <c r="AB8833" s="260"/>
      <c r="AC8833" s="260"/>
      <c r="AD8833" s="260"/>
      <c r="AE8833" s="260"/>
      <c r="AF8833" s="260"/>
      <c r="AG8833" s="258"/>
      <c r="AO8833"/>
      <c r="AP8833"/>
      <c r="AQ8833"/>
      <c r="AR8833"/>
      <c r="AS8833"/>
      <c r="AT8833"/>
      <c r="AU8833"/>
      <c r="AV8833"/>
      <c r="AW8833"/>
      <c r="AX8833"/>
      <c r="AY8833"/>
      <c r="AZ8833"/>
      <c r="BA8833"/>
      <c r="BB8833"/>
      <c r="BC8833"/>
      <c r="BD8833"/>
      <c r="BE8833"/>
      <c r="BF8833"/>
    </row>
    <row r="8834" spans="13:58" ht="12" hidden="1" customHeight="1">
      <c r="M8834" s="820"/>
      <c r="N8834" s="239"/>
      <c r="O8834" s="225"/>
      <c r="P8834" s="260"/>
      <c r="Q8834" s="258"/>
      <c r="R8834" s="260"/>
      <c r="S8834" s="260"/>
      <c r="T8834" s="260"/>
      <c r="U8834" s="260"/>
      <c r="V8834" s="260"/>
      <c r="W8834" s="260"/>
      <c r="X8834" s="260"/>
      <c r="Y8834" s="260"/>
      <c r="Z8834" s="260"/>
      <c r="AA8834" s="260"/>
      <c r="AB8834" s="260"/>
      <c r="AC8834" s="260"/>
      <c r="AD8834" s="260"/>
      <c r="AE8834" s="260"/>
      <c r="AF8834" s="260"/>
      <c r="AG8834" s="258"/>
      <c r="AO8834"/>
      <c r="AP8834"/>
      <c r="AQ8834"/>
      <c r="AR8834"/>
      <c r="AS8834"/>
      <c r="AT8834"/>
      <c r="AU8834"/>
      <c r="AV8834"/>
      <c r="AW8834"/>
      <c r="AX8834"/>
      <c r="AY8834"/>
      <c r="AZ8834"/>
      <c r="BA8834"/>
      <c r="BB8834"/>
      <c r="BC8834"/>
      <c r="BD8834"/>
      <c r="BE8834"/>
      <c r="BF8834"/>
    </row>
    <row r="8835" spans="13:58" ht="12" hidden="1" customHeight="1">
      <c r="M8835" s="820"/>
      <c r="N8835" s="239"/>
      <c r="O8835" s="225"/>
      <c r="P8835" s="260"/>
      <c r="Q8835" s="258"/>
      <c r="R8835" s="260"/>
      <c r="S8835" s="260"/>
      <c r="T8835" s="260"/>
      <c r="U8835" s="260"/>
      <c r="V8835" s="260"/>
      <c r="W8835" s="260"/>
      <c r="X8835" s="260"/>
      <c r="Y8835" s="260"/>
      <c r="Z8835" s="260"/>
      <c r="AA8835" s="260"/>
      <c r="AB8835" s="260"/>
      <c r="AC8835" s="260"/>
      <c r="AD8835" s="260"/>
      <c r="AE8835" s="260"/>
      <c r="AF8835" s="260"/>
      <c r="AG8835" s="258"/>
      <c r="AO8835"/>
      <c r="AP8835"/>
      <c r="AQ8835"/>
      <c r="AR8835"/>
      <c r="AS8835"/>
      <c r="AT8835"/>
      <c r="AU8835"/>
      <c r="AV8835"/>
      <c r="AW8835"/>
      <c r="AX8835"/>
      <c r="AY8835"/>
      <c r="AZ8835"/>
      <c r="BA8835"/>
      <c r="BB8835"/>
      <c r="BC8835"/>
      <c r="BD8835"/>
      <c r="BE8835"/>
      <c r="BF8835"/>
    </row>
    <row r="8836" spans="13:58" ht="12" hidden="1" customHeight="1">
      <c r="M8836" s="820"/>
      <c r="N8836" s="239"/>
      <c r="O8836" s="225"/>
      <c r="P8836" s="260"/>
      <c r="Q8836" s="258"/>
      <c r="R8836" s="260"/>
      <c r="S8836" s="260"/>
      <c r="T8836" s="260"/>
      <c r="U8836" s="260"/>
      <c r="V8836" s="260"/>
      <c r="W8836" s="260"/>
      <c r="X8836" s="260"/>
      <c r="Y8836" s="260"/>
      <c r="Z8836" s="260"/>
      <c r="AA8836" s="260"/>
      <c r="AB8836" s="260"/>
      <c r="AC8836" s="260"/>
      <c r="AD8836" s="260"/>
      <c r="AE8836" s="260"/>
      <c r="AF8836" s="260"/>
      <c r="AG8836" s="258"/>
      <c r="AO8836"/>
      <c r="AP8836"/>
      <c r="AQ8836"/>
      <c r="AR8836"/>
      <c r="AS8836"/>
      <c r="AT8836"/>
      <c r="AU8836"/>
      <c r="AV8836"/>
      <c r="AW8836"/>
      <c r="AX8836"/>
      <c r="AY8836"/>
      <c r="AZ8836"/>
      <c r="BA8836"/>
      <c r="BB8836"/>
      <c r="BC8836"/>
      <c r="BD8836"/>
      <c r="BE8836"/>
      <c r="BF8836"/>
    </row>
    <row r="8837" spans="13:58" ht="12" hidden="1" customHeight="1">
      <c r="M8837" s="820"/>
      <c r="N8837" s="239"/>
      <c r="O8837" s="225"/>
      <c r="P8837" s="260"/>
      <c r="Q8837" s="258"/>
      <c r="R8837" s="260"/>
      <c r="S8837" s="260"/>
      <c r="T8837" s="260"/>
      <c r="U8837" s="260"/>
      <c r="V8837" s="260"/>
      <c r="W8837" s="260"/>
      <c r="X8837" s="260"/>
      <c r="Y8837" s="260"/>
      <c r="Z8837" s="260"/>
      <c r="AA8837" s="260"/>
      <c r="AB8837" s="260"/>
      <c r="AC8837" s="260"/>
      <c r="AD8837" s="260"/>
      <c r="AE8837" s="260"/>
      <c r="AF8837" s="260"/>
      <c r="AG8837" s="258"/>
      <c r="AO8837"/>
      <c r="AP8837"/>
      <c r="AQ8837"/>
      <c r="AR8837"/>
      <c r="AS8837"/>
      <c r="AT8837"/>
      <c r="AU8837"/>
      <c r="AV8837"/>
      <c r="AW8837"/>
      <c r="AX8837"/>
      <c r="AY8837"/>
      <c r="AZ8837"/>
      <c r="BA8837"/>
      <c r="BB8837"/>
      <c r="BC8837"/>
      <c r="BD8837"/>
      <c r="BE8837"/>
      <c r="BF8837"/>
    </row>
    <row r="8838" spans="13:58" ht="12" hidden="1" customHeight="1">
      <c r="M8838" s="820"/>
      <c r="N8838" s="239"/>
      <c r="O8838" s="225"/>
      <c r="P8838" s="260"/>
      <c r="Q8838" s="258"/>
      <c r="R8838" s="260"/>
      <c r="S8838" s="260"/>
      <c r="T8838" s="260"/>
      <c r="U8838" s="260"/>
      <c r="V8838" s="260"/>
      <c r="W8838" s="260"/>
      <c r="X8838" s="260"/>
      <c r="Y8838" s="260"/>
      <c r="Z8838" s="260"/>
      <c r="AA8838" s="260"/>
      <c r="AB8838" s="260"/>
      <c r="AC8838" s="260"/>
      <c r="AD8838" s="260"/>
      <c r="AE8838" s="260"/>
      <c r="AF8838" s="260"/>
      <c r="AG8838" s="258"/>
      <c r="AO8838"/>
      <c r="AP8838"/>
      <c r="AQ8838"/>
      <c r="AR8838"/>
      <c r="AS8838"/>
      <c r="AT8838"/>
      <c r="AU8838"/>
      <c r="AV8838"/>
      <c r="AW8838"/>
      <c r="AX8838"/>
      <c r="AY8838"/>
      <c r="AZ8838"/>
      <c r="BA8838"/>
      <c r="BB8838"/>
      <c r="BC8838"/>
      <c r="BD8838"/>
      <c r="BE8838"/>
      <c r="BF8838"/>
    </row>
    <row r="8839" spans="13:58" ht="12" hidden="1" customHeight="1">
      <c r="M8839" s="820"/>
      <c r="N8839" s="239"/>
      <c r="O8839" s="225"/>
      <c r="P8839" s="260"/>
      <c r="Q8839" s="258"/>
      <c r="R8839" s="260"/>
      <c r="S8839" s="260"/>
      <c r="T8839" s="260"/>
      <c r="U8839" s="260"/>
      <c r="V8839" s="260"/>
      <c r="W8839" s="260"/>
      <c r="X8839" s="260"/>
      <c r="Y8839" s="260"/>
      <c r="Z8839" s="260"/>
      <c r="AA8839" s="260"/>
      <c r="AB8839" s="260"/>
      <c r="AC8839" s="260"/>
      <c r="AD8839" s="260"/>
      <c r="AE8839" s="260"/>
      <c r="AF8839" s="260"/>
      <c r="AG8839" s="258"/>
      <c r="AO8839"/>
      <c r="AP8839"/>
      <c r="AQ8839"/>
      <c r="AR8839"/>
      <c r="AS8839"/>
      <c r="AT8839"/>
      <c r="AU8839"/>
      <c r="AV8839"/>
      <c r="AW8839"/>
      <c r="AX8839"/>
      <c r="AY8839"/>
      <c r="AZ8839"/>
      <c r="BA8839"/>
      <c r="BB8839"/>
      <c r="BC8839"/>
      <c r="BD8839"/>
      <c r="BE8839"/>
      <c r="BF8839"/>
    </row>
    <row r="8840" spans="13:58" ht="12" hidden="1" customHeight="1">
      <c r="M8840" s="820"/>
      <c r="N8840" s="239"/>
      <c r="O8840" s="225"/>
      <c r="P8840" s="260"/>
      <c r="Q8840" s="258"/>
      <c r="R8840" s="260"/>
      <c r="S8840" s="260"/>
      <c r="T8840" s="260"/>
      <c r="U8840" s="260"/>
      <c r="V8840" s="260"/>
      <c r="W8840" s="260"/>
      <c r="X8840" s="260"/>
      <c r="Y8840" s="260"/>
      <c r="Z8840" s="260"/>
      <c r="AA8840" s="260"/>
      <c r="AB8840" s="260"/>
      <c r="AC8840" s="260"/>
      <c r="AD8840" s="260"/>
      <c r="AE8840" s="260"/>
      <c r="AF8840" s="260"/>
      <c r="AG8840" s="258"/>
      <c r="AO8840"/>
      <c r="AP8840"/>
      <c r="AQ8840"/>
      <c r="AR8840"/>
      <c r="AS8840"/>
      <c r="AT8840"/>
      <c r="AU8840"/>
      <c r="AV8840"/>
      <c r="AW8840"/>
      <c r="AX8840"/>
      <c r="AY8840"/>
      <c r="AZ8840"/>
      <c r="BA8840"/>
      <c r="BB8840"/>
      <c r="BC8840"/>
      <c r="BD8840"/>
      <c r="BE8840"/>
      <c r="BF8840"/>
    </row>
    <row r="8841" spans="13:58" ht="12" hidden="1" customHeight="1">
      <c r="M8841" s="820"/>
      <c r="N8841" s="239"/>
      <c r="O8841" s="225"/>
      <c r="P8841" s="260"/>
      <c r="Q8841" s="258"/>
      <c r="R8841" s="260"/>
      <c r="S8841" s="260"/>
      <c r="T8841" s="260"/>
      <c r="U8841" s="260"/>
      <c r="V8841" s="260"/>
      <c r="W8841" s="260"/>
      <c r="X8841" s="260"/>
      <c r="Y8841" s="260"/>
      <c r="Z8841" s="260"/>
      <c r="AA8841" s="260"/>
      <c r="AB8841" s="260"/>
      <c r="AC8841" s="260"/>
      <c r="AD8841" s="260"/>
      <c r="AE8841" s="260"/>
      <c r="AF8841" s="260"/>
      <c r="AG8841" s="258"/>
      <c r="AO8841"/>
      <c r="AP8841"/>
      <c r="AQ8841"/>
      <c r="AR8841"/>
      <c r="AS8841"/>
      <c r="AT8841"/>
      <c r="AU8841"/>
      <c r="AV8841"/>
      <c r="AW8841"/>
      <c r="AX8841"/>
      <c r="AY8841"/>
      <c r="AZ8841"/>
      <c r="BA8841"/>
      <c r="BB8841"/>
      <c r="BC8841"/>
      <c r="BD8841"/>
      <c r="BE8841"/>
      <c r="BF8841"/>
    </row>
    <row r="8842" spans="13:58" ht="12" hidden="1" customHeight="1">
      <c r="M8842" s="820"/>
      <c r="N8842" s="239"/>
      <c r="O8842" s="225"/>
      <c r="P8842" s="260"/>
      <c r="Q8842" s="258"/>
      <c r="R8842" s="260"/>
      <c r="S8842" s="260"/>
      <c r="T8842" s="260"/>
      <c r="U8842" s="260"/>
      <c r="V8842" s="260"/>
      <c r="W8842" s="260"/>
      <c r="X8842" s="260"/>
      <c r="Y8842" s="260"/>
      <c r="Z8842" s="260"/>
      <c r="AA8842" s="260"/>
      <c r="AB8842" s="260"/>
      <c r="AC8842" s="260"/>
      <c r="AD8842" s="260"/>
      <c r="AE8842" s="260"/>
      <c r="AF8842" s="260"/>
      <c r="AG8842" s="258"/>
      <c r="AO8842"/>
      <c r="AP8842"/>
      <c r="AQ8842"/>
      <c r="AR8842"/>
      <c r="AS8842"/>
      <c r="AT8842"/>
      <c r="AU8842"/>
      <c r="AV8842"/>
      <c r="AW8842"/>
      <c r="AX8842"/>
      <c r="AY8842"/>
      <c r="AZ8842"/>
      <c r="BA8842"/>
      <c r="BB8842"/>
      <c r="BC8842"/>
      <c r="BD8842"/>
      <c r="BE8842"/>
      <c r="BF8842"/>
    </row>
    <row r="8843" spans="13:58" ht="12" hidden="1" customHeight="1">
      <c r="M8843" s="820"/>
      <c r="N8843" s="239"/>
      <c r="O8843" s="225"/>
      <c r="P8843" s="260"/>
      <c r="Q8843" s="258"/>
      <c r="R8843" s="260"/>
      <c r="S8843" s="260"/>
      <c r="T8843" s="260"/>
      <c r="U8843" s="260"/>
      <c r="V8843" s="260"/>
      <c r="W8843" s="260"/>
      <c r="X8843" s="260"/>
      <c r="Y8843" s="260"/>
      <c r="Z8843" s="260"/>
      <c r="AA8843" s="260"/>
      <c r="AB8843" s="260"/>
      <c r="AC8843" s="260"/>
      <c r="AD8843" s="260"/>
      <c r="AE8843" s="260"/>
      <c r="AF8843" s="260"/>
      <c r="AG8843" s="258"/>
      <c r="AO8843"/>
      <c r="AP8843"/>
      <c r="AQ8843"/>
      <c r="AR8843"/>
      <c r="AS8843"/>
      <c r="AT8843"/>
      <c r="AU8843"/>
      <c r="AV8843"/>
      <c r="AW8843"/>
      <c r="AX8843"/>
      <c r="AY8843"/>
      <c r="AZ8843"/>
      <c r="BA8843"/>
      <c r="BB8843"/>
      <c r="BC8843"/>
      <c r="BD8843"/>
      <c r="BE8843"/>
      <c r="BF8843"/>
    </row>
    <row r="8844" spans="13:58" ht="12" hidden="1" customHeight="1">
      <c r="M8844" s="820"/>
      <c r="N8844" s="239"/>
      <c r="O8844" s="225"/>
      <c r="P8844" s="260"/>
      <c r="Q8844" s="258"/>
      <c r="R8844" s="260"/>
      <c r="S8844" s="260"/>
      <c r="T8844" s="260"/>
      <c r="U8844" s="260"/>
      <c r="V8844" s="260"/>
      <c r="W8844" s="260"/>
      <c r="X8844" s="260"/>
      <c r="Y8844" s="260"/>
      <c r="Z8844" s="260"/>
      <c r="AA8844" s="260"/>
      <c r="AB8844" s="260"/>
      <c r="AC8844" s="260"/>
      <c r="AD8844" s="260"/>
      <c r="AE8844" s="260"/>
      <c r="AF8844" s="260"/>
      <c r="AG8844" s="258"/>
      <c r="AO8844"/>
      <c r="AP8844"/>
      <c r="AQ8844"/>
      <c r="AR8844"/>
      <c r="AS8844"/>
      <c r="AT8844"/>
      <c r="AU8844"/>
      <c r="AV8844"/>
      <c r="AW8844"/>
      <c r="AX8844"/>
      <c r="AY8844"/>
      <c r="AZ8844"/>
      <c r="BA8844"/>
      <c r="BB8844"/>
      <c r="BC8844"/>
      <c r="BD8844"/>
      <c r="BE8844"/>
      <c r="BF8844"/>
    </row>
    <row r="8845" spans="13:58" ht="12" hidden="1" customHeight="1">
      <c r="M8845" s="820"/>
      <c r="N8845" s="239"/>
      <c r="O8845" s="225"/>
      <c r="P8845" s="260"/>
      <c r="Q8845" s="258"/>
      <c r="R8845" s="260"/>
      <c r="S8845" s="260"/>
      <c r="T8845" s="260"/>
      <c r="U8845" s="260"/>
      <c r="V8845" s="260"/>
      <c r="W8845" s="260"/>
      <c r="X8845" s="260"/>
      <c r="Y8845" s="260"/>
      <c r="Z8845" s="260"/>
      <c r="AA8845" s="260"/>
      <c r="AB8845" s="260"/>
      <c r="AC8845" s="260"/>
      <c r="AD8845" s="260"/>
      <c r="AE8845" s="260"/>
      <c r="AF8845" s="260"/>
      <c r="AG8845" s="258"/>
      <c r="AO8845"/>
      <c r="AP8845"/>
      <c r="AQ8845"/>
      <c r="AR8845"/>
      <c r="AS8845"/>
      <c r="AT8845"/>
      <c r="AU8845"/>
      <c r="AV8845"/>
      <c r="AW8845"/>
      <c r="AX8845"/>
      <c r="AY8845"/>
      <c r="AZ8845"/>
      <c r="BA8845"/>
      <c r="BB8845"/>
      <c r="BC8845"/>
      <c r="BD8845"/>
      <c r="BE8845"/>
      <c r="BF8845"/>
    </row>
    <row r="8846" spans="13:58" ht="12" hidden="1" customHeight="1">
      <c r="M8846" s="820"/>
      <c r="N8846" s="239"/>
      <c r="O8846" s="225"/>
      <c r="P8846" s="260"/>
      <c r="Q8846" s="258"/>
      <c r="R8846" s="260"/>
      <c r="S8846" s="260"/>
      <c r="T8846" s="260"/>
      <c r="U8846" s="260"/>
      <c r="V8846" s="260"/>
      <c r="W8846" s="260"/>
      <c r="X8846" s="260"/>
      <c r="Y8846" s="260"/>
      <c r="Z8846" s="260"/>
      <c r="AA8846" s="260"/>
      <c r="AB8846" s="260"/>
      <c r="AC8846" s="260"/>
      <c r="AD8846" s="260"/>
      <c r="AE8846" s="260"/>
      <c r="AF8846" s="260"/>
      <c r="AG8846" s="258"/>
      <c r="AO8846"/>
      <c r="AP8846"/>
      <c r="AQ8846"/>
      <c r="AR8846"/>
      <c r="AS8846"/>
      <c r="AT8846"/>
      <c r="AU8846"/>
      <c r="AV8846"/>
      <c r="AW8846"/>
      <c r="AX8846"/>
      <c r="AY8846"/>
      <c r="AZ8846"/>
      <c r="BA8846"/>
      <c r="BB8846"/>
      <c r="BC8846"/>
      <c r="BD8846"/>
      <c r="BE8846"/>
      <c r="BF8846"/>
    </row>
    <row r="8847" spans="13:58" ht="12" hidden="1" customHeight="1">
      <c r="M8847" s="820"/>
      <c r="N8847" s="239"/>
      <c r="O8847" s="225"/>
      <c r="P8847" s="260"/>
      <c r="Q8847" s="258"/>
      <c r="R8847" s="260"/>
      <c r="S8847" s="260"/>
      <c r="T8847" s="260"/>
      <c r="U8847" s="260"/>
      <c r="V8847" s="260"/>
      <c r="W8847" s="260"/>
      <c r="X8847" s="260"/>
      <c r="Y8847" s="260"/>
      <c r="Z8847" s="260"/>
      <c r="AA8847" s="260"/>
      <c r="AB8847" s="260"/>
      <c r="AC8847" s="260"/>
      <c r="AD8847" s="260"/>
      <c r="AE8847" s="260"/>
      <c r="AF8847" s="260"/>
      <c r="AG8847" s="258"/>
      <c r="AO8847"/>
      <c r="AP8847"/>
      <c r="AQ8847"/>
      <c r="AR8847"/>
      <c r="AS8847"/>
      <c r="AT8847"/>
      <c r="AU8847"/>
      <c r="AV8847"/>
      <c r="AW8847"/>
      <c r="AX8847"/>
      <c r="AY8847"/>
      <c r="AZ8847"/>
      <c r="BA8847"/>
      <c r="BB8847"/>
      <c r="BC8847"/>
      <c r="BD8847"/>
      <c r="BE8847"/>
      <c r="BF8847"/>
    </row>
    <row r="8848" spans="13:58" ht="12" hidden="1" customHeight="1">
      <c r="M8848" s="820"/>
      <c r="N8848" s="239"/>
      <c r="O8848" s="225"/>
      <c r="P8848" s="260"/>
      <c r="Q8848" s="258"/>
      <c r="R8848" s="260"/>
      <c r="S8848" s="260"/>
      <c r="T8848" s="260"/>
      <c r="U8848" s="260"/>
      <c r="V8848" s="260"/>
      <c r="W8848" s="260"/>
      <c r="X8848" s="260"/>
      <c r="Y8848" s="260"/>
      <c r="Z8848" s="260"/>
      <c r="AA8848" s="260"/>
      <c r="AB8848" s="260"/>
      <c r="AC8848" s="260"/>
      <c r="AD8848" s="260"/>
      <c r="AE8848" s="260"/>
      <c r="AF8848" s="260"/>
      <c r="AG8848" s="258"/>
      <c r="AO8848"/>
      <c r="AP8848"/>
      <c r="AQ8848"/>
      <c r="AR8848"/>
      <c r="AS8848"/>
      <c r="AT8848"/>
      <c r="AU8848"/>
      <c r="AV8848"/>
      <c r="AW8848"/>
      <c r="AX8848"/>
      <c r="AY8848"/>
      <c r="AZ8848"/>
      <c r="BA8848"/>
      <c r="BB8848"/>
      <c r="BC8848"/>
      <c r="BD8848"/>
      <c r="BE8848"/>
      <c r="BF8848"/>
    </row>
    <row r="8849" spans="13:58" ht="12" hidden="1" customHeight="1">
      <c r="M8849" s="820"/>
      <c r="N8849" s="239"/>
      <c r="O8849" s="225"/>
      <c r="P8849" s="260"/>
      <c r="Q8849" s="258"/>
      <c r="R8849" s="260"/>
      <c r="S8849" s="260"/>
      <c r="T8849" s="260"/>
      <c r="U8849" s="260"/>
      <c r="V8849" s="260"/>
      <c r="W8849" s="260"/>
      <c r="X8849" s="260"/>
      <c r="Y8849" s="260"/>
      <c r="Z8849" s="260"/>
      <c r="AA8849" s="260"/>
      <c r="AB8849" s="260"/>
      <c r="AC8849" s="260"/>
      <c r="AD8849" s="260"/>
      <c r="AE8849" s="260"/>
      <c r="AF8849" s="260"/>
      <c r="AG8849" s="258"/>
      <c r="AO8849"/>
      <c r="AP8849"/>
      <c r="AQ8849"/>
      <c r="AR8849"/>
      <c r="AS8849"/>
      <c r="AT8849"/>
      <c r="AU8849"/>
      <c r="AV8849"/>
      <c r="AW8849"/>
      <c r="AX8849"/>
      <c r="AY8849"/>
      <c r="AZ8849"/>
      <c r="BA8849"/>
      <c r="BB8849"/>
      <c r="BC8849"/>
      <c r="BD8849"/>
      <c r="BE8849"/>
      <c r="BF8849"/>
    </row>
    <row r="8850" spans="13:58" ht="12" hidden="1" customHeight="1">
      <c r="M8850" s="820"/>
      <c r="N8850" s="239"/>
      <c r="O8850" s="225"/>
      <c r="P8850" s="260"/>
      <c r="Q8850" s="258"/>
      <c r="R8850" s="260"/>
      <c r="S8850" s="260"/>
      <c r="T8850" s="260"/>
      <c r="U8850" s="260"/>
      <c r="V8850" s="260"/>
      <c r="W8850" s="260"/>
      <c r="X8850" s="260"/>
      <c r="Y8850" s="260"/>
      <c r="Z8850" s="260"/>
      <c r="AA8850" s="260"/>
      <c r="AB8850" s="260"/>
      <c r="AC8850" s="260"/>
      <c r="AD8850" s="260"/>
      <c r="AE8850" s="260"/>
      <c r="AF8850" s="260"/>
      <c r="AG8850" s="258"/>
      <c r="AO8850"/>
      <c r="AP8850"/>
      <c r="AQ8850"/>
      <c r="AR8850"/>
      <c r="AS8850"/>
      <c r="AT8850"/>
      <c r="AU8850"/>
      <c r="AV8850"/>
      <c r="AW8850"/>
      <c r="AX8850"/>
      <c r="AY8850"/>
      <c r="AZ8850"/>
      <c r="BA8850"/>
      <c r="BB8850"/>
      <c r="BC8850"/>
      <c r="BD8850"/>
      <c r="BE8850"/>
      <c r="BF8850"/>
    </row>
    <row r="8851" spans="13:58" ht="12" hidden="1" customHeight="1">
      <c r="M8851" s="820"/>
      <c r="N8851" s="239"/>
      <c r="O8851" s="225"/>
      <c r="P8851" s="260"/>
      <c r="Q8851" s="258"/>
      <c r="R8851" s="260"/>
      <c r="S8851" s="260"/>
      <c r="T8851" s="260"/>
      <c r="U8851" s="260"/>
      <c r="V8851" s="260"/>
      <c r="W8851" s="260"/>
      <c r="X8851" s="260"/>
      <c r="Y8851" s="260"/>
      <c r="Z8851" s="260"/>
      <c r="AA8851" s="260"/>
      <c r="AB8851" s="260"/>
      <c r="AC8851" s="260"/>
      <c r="AD8851" s="260"/>
      <c r="AE8851" s="260"/>
      <c r="AF8851" s="260"/>
      <c r="AG8851" s="258"/>
      <c r="AO8851"/>
      <c r="AP8851"/>
      <c r="AQ8851"/>
      <c r="AR8851"/>
      <c r="AS8851"/>
      <c r="AT8851"/>
      <c r="AU8851"/>
      <c r="AV8851"/>
      <c r="AW8851"/>
      <c r="AX8851"/>
      <c r="AY8851"/>
      <c r="AZ8851"/>
      <c r="BA8851"/>
      <c r="BB8851"/>
      <c r="BC8851"/>
      <c r="BD8851"/>
      <c r="BE8851"/>
      <c r="BF8851"/>
    </row>
    <row r="8852" spans="13:58" ht="12" hidden="1" customHeight="1">
      <c r="M8852" s="820"/>
      <c r="N8852" s="239"/>
      <c r="O8852" s="225"/>
      <c r="P8852" s="260"/>
      <c r="Q8852" s="258"/>
      <c r="R8852" s="260"/>
      <c r="S8852" s="260"/>
      <c r="T8852" s="260"/>
      <c r="U8852" s="260"/>
      <c r="V8852" s="260"/>
      <c r="W8852" s="260"/>
      <c r="X8852" s="260"/>
      <c r="Y8852" s="260"/>
      <c r="Z8852" s="260"/>
      <c r="AA8852" s="260"/>
      <c r="AB8852" s="260"/>
      <c r="AC8852" s="260"/>
      <c r="AD8852" s="260"/>
      <c r="AE8852" s="260"/>
      <c r="AF8852" s="260"/>
      <c r="AG8852" s="258"/>
      <c r="AO8852"/>
      <c r="AP8852"/>
      <c r="AQ8852"/>
      <c r="AR8852"/>
      <c r="AS8852"/>
      <c r="AT8852"/>
      <c r="AU8852"/>
      <c r="AV8852"/>
      <c r="AW8852"/>
      <c r="AX8852"/>
      <c r="AY8852"/>
      <c r="AZ8852"/>
      <c r="BA8852"/>
      <c r="BB8852"/>
      <c r="BC8852"/>
      <c r="BD8852"/>
      <c r="BE8852"/>
      <c r="BF8852"/>
    </row>
    <row r="8853" spans="13:58" ht="12" hidden="1" customHeight="1">
      <c r="M8853" s="820"/>
      <c r="N8853" s="239"/>
      <c r="O8853" s="225"/>
      <c r="P8853" s="260"/>
      <c r="Q8853" s="258"/>
      <c r="R8853" s="260"/>
      <c r="S8853" s="260"/>
      <c r="T8853" s="260"/>
      <c r="U8853" s="260"/>
      <c r="V8853" s="260"/>
      <c r="W8853" s="260"/>
      <c r="X8853" s="260"/>
      <c r="Y8853" s="260"/>
      <c r="Z8853" s="260"/>
      <c r="AA8853" s="260"/>
      <c r="AB8853" s="260"/>
      <c r="AC8853" s="260"/>
      <c r="AD8853" s="260"/>
      <c r="AE8853" s="260"/>
      <c r="AF8853" s="260"/>
      <c r="AG8853" s="258"/>
      <c r="AO8853"/>
      <c r="AP8853"/>
      <c r="AQ8853"/>
      <c r="AR8853"/>
      <c r="AS8853"/>
      <c r="AT8853"/>
      <c r="AU8853"/>
      <c r="AV8853"/>
      <c r="AW8853"/>
      <c r="AX8853"/>
      <c r="AY8853"/>
      <c r="AZ8853"/>
      <c r="BA8853"/>
      <c r="BB8853"/>
      <c r="BC8853"/>
      <c r="BD8853"/>
      <c r="BE8853"/>
      <c r="BF8853"/>
    </row>
    <row r="8854" spans="13:58" ht="12" hidden="1" customHeight="1">
      <c r="M8854" s="820"/>
      <c r="N8854" s="239"/>
      <c r="O8854" s="225"/>
      <c r="P8854" s="260"/>
      <c r="Q8854" s="258"/>
      <c r="R8854" s="260"/>
      <c r="S8854" s="260"/>
      <c r="T8854" s="260"/>
      <c r="U8854" s="260"/>
      <c r="V8854" s="260"/>
      <c r="W8854" s="260"/>
      <c r="X8854" s="260"/>
      <c r="Y8854" s="260"/>
      <c r="Z8854" s="260"/>
      <c r="AA8854" s="260"/>
      <c r="AB8854" s="260"/>
      <c r="AC8854" s="260"/>
      <c r="AD8854" s="260"/>
      <c r="AE8854" s="260"/>
      <c r="AF8854" s="260"/>
      <c r="AG8854" s="258"/>
      <c r="AO8854"/>
      <c r="AP8854"/>
      <c r="AQ8854"/>
      <c r="AR8854"/>
      <c r="AS8854"/>
      <c r="AT8854"/>
      <c r="AU8854"/>
      <c r="AV8854"/>
      <c r="AW8854"/>
      <c r="AX8854"/>
      <c r="AY8854"/>
      <c r="AZ8854"/>
      <c r="BA8854"/>
      <c r="BB8854"/>
      <c r="BC8854"/>
      <c r="BD8854"/>
      <c r="BE8854"/>
      <c r="BF8854"/>
    </row>
    <row r="8855" spans="13:58" ht="12" hidden="1" customHeight="1">
      <c r="M8855" s="820"/>
      <c r="N8855" s="239"/>
      <c r="O8855" s="225"/>
      <c r="P8855" s="260"/>
      <c r="Q8855" s="258"/>
      <c r="R8855" s="260"/>
      <c r="S8855" s="260"/>
      <c r="T8855" s="260"/>
      <c r="U8855" s="260"/>
      <c r="V8855" s="260"/>
      <c r="W8855" s="260"/>
      <c r="X8855" s="260"/>
      <c r="Y8855" s="260"/>
      <c r="Z8855" s="260"/>
      <c r="AA8855" s="260"/>
      <c r="AB8855" s="260"/>
      <c r="AC8855" s="260"/>
      <c r="AD8855" s="260"/>
      <c r="AE8855" s="260"/>
      <c r="AF8855" s="260"/>
      <c r="AG8855" s="258"/>
      <c r="AO8855"/>
      <c r="AP8855"/>
      <c r="AQ8855"/>
      <c r="AR8855"/>
      <c r="AS8855"/>
      <c r="AT8855"/>
      <c r="AU8855"/>
      <c r="AV8855"/>
      <c r="AW8855"/>
      <c r="AX8855"/>
      <c r="AY8855"/>
      <c r="AZ8855"/>
      <c r="BA8855"/>
      <c r="BB8855"/>
      <c r="BC8855"/>
      <c r="BD8855"/>
      <c r="BE8855"/>
      <c r="BF8855"/>
    </row>
    <row r="8856" spans="13:58" ht="12" hidden="1" customHeight="1">
      <c r="M8856" s="820"/>
      <c r="N8856" s="239"/>
      <c r="O8856" s="225"/>
      <c r="P8856" s="260"/>
      <c r="Q8856" s="258"/>
      <c r="R8856" s="260"/>
      <c r="S8856" s="260"/>
      <c r="T8856" s="260"/>
      <c r="U8856" s="260"/>
      <c r="V8856" s="260"/>
      <c r="W8856" s="260"/>
      <c r="X8856" s="260"/>
      <c r="Y8856" s="260"/>
      <c r="Z8856" s="260"/>
      <c r="AA8856" s="260"/>
      <c r="AB8856" s="260"/>
      <c r="AC8856" s="260"/>
      <c r="AD8856" s="260"/>
      <c r="AE8856" s="260"/>
      <c r="AF8856" s="260"/>
      <c r="AG8856" s="258"/>
      <c r="AO8856"/>
      <c r="AP8856"/>
      <c r="AQ8856"/>
      <c r="AR8856"/>
      <c r="AS8856"/>
      <c r="AT8856"/>
      <c r="AU8856"/>
      <c r="AV8856"/>
      <c r="AW8856"/>
      <c r="AX8856"/>
      <c r="AY8856"/>
      <c r="AZ8856"/>
      <c r="BA8856"/>
      <c r="BB8856"/>
      <c r="BC8856"/>
      <c r="BD8856"/>
      <c r="BE8856"/>
      <c r="BF8856"/>
    </row>
    <row r="8857" spans="13:58" ht="12" hidden="1" customHeight="1">
      <c r="M8857" s="820"/>
      <c r="N8857" s="239"/>
      <c r="O8857" s="225"/>
      <c r="P8857" s="260"/>
      <c r="Q8857" s="258"/>
      <c r="R8857" s="260"/>
      <c r="S8857" s="260"/>
      <c r="T8857" s="260"/>
      <c r="U8857" s="260"/>
      <c r="V8857" s="260"/>
      <c r="W8857" s="260"/>
      <c r="X8857" s="260"/>
      <c r="Y8857" s="260"/>
      <c r="Z8857" s="260"/>
      <c r="AA8857" s="260"/>
      <c r="AB8857" s="260"/>
      <c r="AC8857" s="260"/>
      <c r="AD8857" s="260"/>
      <c r="AE8857" s="260"/>
      <c r="AF8857" s="260"/>
      <c r="AG8857" s="258"/>
      <c r="AO8857"/>
      <c r="AP8857"/>
      <c r="AQ8857"/>
      <c r="AR8857"/>
      <c r="AS8857"/>
      <c r="AT8857"/>
      <c r="AU8857"/>
      <c r="AV8857"/>
      <c r="AW8857"/>
      <c r="AX8857"/>
      <c r="AY8857"/>
      <c r="AZ8857"/>
      <c r="BA8857"/>
      <c r="BB8857"/>
      <c r="BC8857"/>
      <c r="BD8857"/>
      <c r="BE8857"/>
      <c r="BF8857"/>
    </row>
    <row r="8858" spans="13:58" ht="12" hidden="1" customHeight="1">
      <c r="M8858" s="820"/>
      <c r="N8858" s="239"/>
      <c r="O8858" s="225"/>
      <c r="P8858" s="260"/>
      <c r="Q8858" s="258"/>
      <c r="R8858" s="260"/>
      <c r="S8858" s="260"/>
      <c r="T8858" s="260"/>
      <c r="U8858" s="260"/>
      <c r="V8858" s="260"/>
      <c r="W8858" s="260"/>
      <c r="X8858" s="260"/>
      <c r="Y8858" s="260"/>
      <c r="Z8858" s="260"/>
      <c r="AA8858" s="260"/>
      <c r="AB8858" s="260"/>
      <c r="AC8858" s="260"/>
      <c r="AD8858" s="260"/>
      <c r="AE8858" s="260"/>
      <c r="AF8858" s="260"/>
      <c r="AG8858" s="258"/>
      <c r="AO8858"/>
      <c r="AP8858"/>
      <c r="AQ8858"/>
      <c r="AR8858"/>
      <c r="AS8858"/>
      <c r="AT8858"/>
      <c r="AU8858"/>
      <c r="AV8858"/>
      <c r="AW8858"/>
      <c r="AX8858"/>
      <c r="AY8858"/>
      <c r="AZ8858"/>
      <c r="BA8858"/>
      <c r="BB8858"/>
      <c r="BC8858"/>
      <c r="BD8858"/>
      <c r="BE8858"/>
      <c r="BF8858"/>
    </row>
    <row r="8859" spans="13:58" ht="12" hidden="1" customHeight="1">
      <c r="M8859" s="820"/>
      <c r="N8859" s="239"/>
      <c r="O8859" s="225"/>
      <c r="P8859" s="260"/>
      <c r="Q8859" s="258"/>
      <c r="R8859" s="260"/>
      <c r="S8859" s="260"/>
      <c r="T8859" s="260"/>
      <c r="U8859" s="260"/>
      <c r="V8859" s="260"/>
      <c r="W8859" s="260"/>
      <c r="X8859" s="260"/>
      <c r="Y8859" s="260"/>
      <c r="Z8859" s="260"/>
      <c r="AA8859" s="260"/>
      <c r="AB8859" s="260"/>
      <c r="AC8859" s="260"/>
      <c r="AD8859" s="260"/>
      <c r="AE8859" s="260"/>
      <c r="AF8859" s="260"/>
      <c r="AG8859" s="258"/>
      <c r="AO8859"/>
      <c r="AP8859"/>
      <c r="AQ8859"/>
      <c r="AR8859"/>
      <c r="AS8859"/>
      <c r="AT8859"/>
      <c r="AU8859"/>
      <c r="AV8859"/>
      <c r="AW8859"/>
      <c r="AX8859"/>
      <c r="AY8859"/>
      <c r="AZ8859"/>
      <c r="BA8859"/>
      <c r="BB8859"/>
      <c r="BC8859"/>
      <c r="BD8859"/>
      <c r="BE8859"/>
      <c r="BF8859"/>
    </row>
    <row r="8860" spans="13:58" ht="12" hidden="1" customHeight="1">
      <c r="M8860" s="820"/>
      <c r="N8860" s="239"/>
      <c r="O8860" s="225"/>
      <c r="P8860" s="260"/>
      <c r="Q8860" s="258"/>
      <c r="R8860" s="260"/>
      <c r="S8860" s="260"/>
      <c r="T8860" s="260"/>
      <c r="U8860" s="260"/>
      <c r="V8860" s="260"/>
      <c r="W8860" s="260"/>
      <c r="X8860" s="260"/>
      <c r="Y8860" s="260"/>
      <c r="Z8860" s="260"/>
      <c r="AA8860" s="260"/>
      <c r="AB8860" s="260"/>
      <c r="AC8860" s="260"/>
      <c r="AD8860" s="260"/>
      <c r="AE8860" s="260"/>
      <c r="AF8860" s="260"/>
      <c r="AG8860" s="258"/>
      <c r="AO8860"/>
      <c r="AP8860"/>
      <c r="AQ8860"/>
      <c r="AR8860"/>
      <c r="AS8860"/>
      <c r="AT8860"/>
      <c r="AU8860"/>
      <c r="AV8860"/>
      <c r="AW8860"/>
      <c r="AX8860"/>
      <c r="AY8860"/>
      <c r="AZ8860"/>
      <c r="BA8860"/>
      <c r="BB8860"/>
      <c r="BC8860"/>
      <c r="BD8860"/>
      <c r="BE8860"/>
      <c r="BF8860"/>
    </row>
    <row r="8861" spans="13:58" ht="12" hidden="1" customHeight="1">
      <c r="M8861" s="820"/>
      <c r="N8861" s="239"/>
      <c r="O8861" s="225"/>
      <c r="P8861" s="260"/>
      <c r="Q8861" s="258"/>
      <c r="R8861" s="260"/>
      <c r="S8861" s="260"/>
      <c r="T8861" s="260"/>
      <c r="U8861" s="260"/>
      <c r="V8861" s="260"/>
      <c r="W8861" s="260"/>
      <c r="X8861" s="260"/>
      <c r="Y8861" s="260"/>
      <c r="Z8861" s="260"/>
      <c r="AA8861" s="260"/>
      <c r="AB8861" s="260"/>
      <c r="AC8861" s="260"/>
      <c r="AD8861" s="260"/>
      <c r="AE8861" s="260"/>
      <c r="AF8861" s="260"/>
      <c r="AG8861" s="258"/>
      <c r="AO8861"/>
      <c r="AP8861"/>
      <c r="AQ8861"/>
      <c r="AR8861"/>
      <c r="AS8861"/>
      <c r="AT8861"/>
      <c r="AU8861"/>
      <c r="AV8861"/>
      <c r="AW8861"/>
      <c r="AX8861"/>
      <c r="AY8861"/>
      <c r="AZ8861"/>
      <c r="BA8861"/>
      <c r="BB8861"/>
      <c r="BC8861"/>
      <c r="BD8861"/>
      <c r="BE8861"/>
      <c r="BF8861"/>
    </row>
    <row r="8862" spans="13:58" ht="12" hidden="1" customHeight="1">
      <c r="M8862" s="820"/>
      <c r="N8862" s="239"/>
      <c r="O8862" s="225"/>
      <c r="P8862" s="260"/>
      <c r="Q8862" s="258"/>
      <c r="R8862" s="260"/>
      <c r="S8862" s="260"/>
      <c r="T8862" s="260"/>
      <c r="U8862" s="260"/>
      <c r="V8862" s="260"/>
      <c r="W8862" s="260"/>
      <c r="X8862" s="260"/>
      <c r="Y8862" s="260"/>
      <c r="Z8862" s="260"/>
      <c r="AA8862" s="260"/>
      <c r="AB8862" s="260"/>
      <c r="AC8862" s="260"/>
      <c r="AD8862" s="260"/>
      <c r="AE8862" s="260"/>
      <c r="AF8862" s="260"/>
      <c r="AG8862" s="258"/>
      <c r="AO8862"/>
      <c r="AP8862"/>
      <c r="AQ8862"/>
      <c r="AR8862"/>
      <c r="AS8862"/>
      <c r="AT8862"/>
      <c r="AU8862"/>
      <c r="AV8862"/>
      <c r="AW8862"/>
      <c r="AX8862"/>
      <c r="AY8862"/>
      <c r="AZ8862"/>
      <c r="BA8862"/>
      <c r="BB8862"/>
      <c r="BC8862"/>
      <c r="BD8862"/>
      <c r="BE8862"/>
      <c r="BF8862"/>
    </row>
    <row r="8863" spans="13:58" ht="12" hidden="1" customHeight="1">
      <c r="M8863" s="820"/>
      <c r="N8863" s="239"/>
      <c r="O8863" s="225"/>
      <c r="P8863" s="260"/>
      <c r="Q8863" s="258"/>
      <c r="R8863" s="260"/>
      <c r="S8863" s="260"/>
      <c r="T8863" s="260"/>
      <c r="U8863" s="260"/>
      <c r="V8863" s="260"/>
      <c r="W8863" s="260"/>
      <c r="X8863" s="260"/>
      <c r="Y8863" s="260"/>
      <c r="Z8863" s="260"/>
      <c r="AA8863" s="260"/>
      <c r="AB8863" s="260"/>
      <c r="AC8863" s="260"/>
      <c r="AD8863" s="260"/>
      <c r="AE8863" s="260"/>
      <c r="AF8863" s="260"/>
      <c r="AG8863" s="258"/>
      <c r="AO8863"/>
      <c r="AP8863"/>
      <c r="AQ8863"/>
      <c r="AR8863"/>
      <c r="AS8863"/>
      <c r="AT8863"/>
      <c r="AU8863"/>
      <c r="AV8863"/>
      <c r="AW8863"/>
      <c r="AX8863"/>
      <c r="AY8863"/>
      <c r="AZ8863"/>
      <c r="BA8863"/>
      <c r="BB8863"/>
      <c r="BC8863"/>
      <c r="BD8863"/>
      <c r="BE8863"/>
      <c r="BF8863"/>
    </row>
    <row r="8864" spans="13:58" ht="12" hidden="1" customHeight="1">
      <c r="M8864" s="820"/>
      <c r="N8864" s="239"/>
      <c r="O8864" s="225"/>
      <c r="P8864" s="260"/>
      <c r="Q8864" s="258"/>
      <c r="R8864" s="260"/>
      <c r="S8864" s="260"/>
      <c r="T8864" s="260"/>
      <c r="U8864" s="260"/>
      <c r="V8864" s="260"/>
      <c r="W8864" s="260"/>
      <c r="X8864" s="260"/>
      <c r="Y8864" s="260"/>
      <c r="Z8864" s="260"/>
      <c r="AA8864" s="260"/>
      <c r="AB8864" s="260"/>
      <c r="AC8864" s="260"/>
      <c r="AD8864" s="260"/>
      <c r="AE8864" s="260"/>
      <c r="AF8864" s="260"/>
      <c r="AG8864" s="258"/>
      <c r="AO8864"/>
      <c r="AP8864"/>
      <c r="AQ8864"/>
      <c r="AR8864"/>
      <c r="AS8864"/>
      <c r="AT8864"/>
      <c r="AU8864"/>
      <c r="AV8864"/>
      <c r="AW8864"/>
      <c r="AX8864"/>
      <c r="AY8864"/>
      <c r="AZ8864"/>
      <c r="BA8864"/>
      <c r="BB8864"/>
      <c r="BC8864"/>
      <c r="BD8864"/>
      <c r="BE8864"/>
      <c r="BF8864"/>
    </row>
    <row r="8865" spans="13:58" ht="12" hidden="1" customHeight="1">
      <c r="M8865" s="820"/>
      <c r="N8865" s="239"/>
      <c r="O8865" s="225"/>
      <c r="P8865" s="260"/>
      <c r="Q8865" s="258"/>
      <c r="R8865" s="260"/>
      <c r="S8865" s="260"/>
      <c r="T8865" s="260"/>
      <c r="U8865" s="260"/>
      <c r="V8865" s="260"/>
      <c r="W8865" s="260"/>
      <c r="X8865" s="260"/>
      <c r="Y8865" s="260"/>
      <c r="Z8865" s="260"/>
      <c r="AA8865" s="260"/>
      <c r="AB8865" s="260"/>
      <c r="AC8865" s="260"/>
      <c r="AD8865" s="260"/>
      <c r="AE8865" s="260"/>
      <c r="AF8865" s="260"/>
      <c r="AG8865" s="258"/>
      <c r="AO8865"/>
      <c r="AP8865"/>
      <c r="AQ8865"/>
      <c r="AR8865"/>
      <c r="AS8865"/>
      <c r="AT8865"/>
      <c r="AU8865"/>
      <c r="AV8865"/>
      <c r="AW8865"/>
      <c r="AX8865"/>
      <c r="AY8865"/>
      <c r="AZ8865"/>
      <c r="BA8865"/>
      <c r="BB8865"/>
      <c r="BC8865"/>
      <c r="BD8865"/>
      <c r="BE8865"/>
      <c r="BF8865"/>
    </row>
    <row r="8866" spans="13:58" ht="12" hidden="1" customHeight="1">
      <c r="M8866" s="820"/>
      <c r="N8866" s="239"/>
      <c r="O8866" s="225"/>
      <c r="P8866" s="260"/>
      <c r="Q8866" s="258"/>
      <c r="R8866" s="260"/>
      <c r="S8866" s="260"/>
      <c r="T8866" s="260"/>
      <c r="U8866" s="260"/>
      <c r="V8866" s="260"/>
      <c r="W8866" s="260"/>
      <c r="X8866" s="260"/>
      <c r="Y8866" s="260"/>
      <c r="Z8866" s="260"/>
      <c r="AA8866" s="260"/>
      <c r="AB8866" s="260"/>
      <c r="AC8866" s="260"/>
      <c r="AD8866" s="260"/>
      <c r="AE8866" s="260"/>
      <c r="AF8866" s="260"/>
      <c r="AG8866" s="258"/>
      <c r="AO8866"/>
      <c r="AP8866"/>
      <c r="AQ8866"/>
      <c r="AR8866"/>
      <c r="AS8866"/>
      <c r="AT8866"/>
      <c r="AU8866"/>
      <c r="AV8866"/>
      <c r="AW8866"/>
      <c r="AX8866"/>
      <c r="AY8866"/>
      <c r="AZ8866"/>
      <c r="BA8866"/>
      <c r="BB8866"/>
      <c r="BC8866"/>
      <c r="BD8866"/>
      <c r="BE8866"/>
      <c r="BF8866"/>
    </row>
    <row r="8867" spans="13:58" ht="12" hidden="1" customHeight="1">
      <c r="M8867" s="820"/>
      <c r="N8867" s="239"/>
      <c r="O8867" s="225"/>
      <c r="P8867" s="260"/>
      <c r="Q8867" s="258"/>
      <c r="R8867" s="260"/>
      <c r="S8867" s="260"/>
      <c r="T8867" s="260"/>
      <c r="U8867" s="260"/>
      <c r="V8867" s="260"/>
      <c r="W8867" s="260"/>
      <c r="X8867" s="260"/>
      <c r="Y8867" s="260"/>
      <c r="Z8867" s="260"/>
      <c r="AA8867" s="260"/>
      <c r="AB8867" s="260"/>
      <c r="AC8867" s="260"/>
      <c r="AD8867" s="260"/>
      <c r="AE8867" s="260"/>
      <c r="AF8867" s="260"/>
      <c r="AG8867" s="258"/>
      <c r="AO8867"/>
      <c r="AP8867"/>
      <c r="AQ8867"/>
      <c r="AR8867"/>
      <c r="AS8867"/>
      <c r="AT8867"/>
      <c r="AU8867"/>
      <c r="AV8867"/>
      <c r="AW8867"/>
      <c r="AX8867"/>
      <c r="AY8867"/>
      <c r="AZ8867"/>
      <c r="BA8867"/>
      <c r="BB8867"/>
      <c r="BC8867"/>
      <c r="BD8867"/>
      <c r="BE8867"/>
      <c r="BF8867"/>
    </row>
    <row r="8868" spans="13:58" ht="12" hidden="1" customHeight="1">
      <c r="M8868" s="820"/>
      <c r="N8868" s="239"/>
      <c r="O8868" s="225"/>
      <c r="P8868" s="260"/>
      <c r="Q8868" s="258"/>
      <c r="R8868" s="260"/>
      <c r="S8868" s="260"/>
      <c r="T8868" s="260"/>
      <c r="U8868" s="260"/>
      <c r="V8868" s="260"/>
      <c r="W8868" s="260"/>
      <c r="X8868" s="260"/>
      <c r="Y8868" s="260"/>
      <c r="Z8868" s="260"/>
      <c r="AA8868" s="260"/>
      <c r="AB8868" s="260"/>
      <c r="AC8868" s="260"/>
      <c r="AD8868" s="260"/>
      <c r="AE8868" s="260"/>
      <c r="AF8868" s="260"/>
      <c r="AG8868" s="258"/>
      <c r="AO8868"/>
      <c r="AP8868"/>
      <c r="AQ8868"/>
      <c r="AR8868"/>
      <c r="AS8868"/>
      <c r="AT8868"/>
      <c r="AU8868"/>
      <c r="AV8868"/>
      <c r="AW8868"/>
      <c r="AX8868"/>
      <c r="AY8868"/>
      <c r="AZ8868"/>
      <c r="BA8868"/>
      <c r="BB8868"/>
      <c r="BC8868"/>
      <c r="BD8868"/>
      <c r="BE8868"/>
      <c r="BF8868"/>
    </row>
    <row r="8869" spans="13:58" ht="12" hidden="1" customHeight="1">
      <c r="M8869" s="820"/>
      <c r="N8869" s="239"/>
      <c r="O8869" s="225"/>
      <c r="P8869" s="260"/>
      <c r="Q8869" s="258"/>
      <c r="R8869" s="260"/>
      <c r="S8869" s="260"/>
      <c r="T8869" s="260"/>
      <c r="U8869" s="260"/>
      <c r="V8869" s="260"/>
      <c r="W8869" s="260"/>
      <c r="X8869" s="260"/>
      <c r="Y8869" s="260"/>
      <c r="Z8869" s="260"/>
      <c r="AA8869" s="260"/>
      <c r="AB8869" s="260"/>
      <c r="AC8869" s="260"/>
      <c r="AD8869" s="260"/>
      <c r="AE8869" s="260"/>
      <c r="AF8869" s="260"/>
      <c r="AG8869" s="258"/>
      <c r="AO8869"/>
      <c r="AP8869"/>
      <c r="AQ8869"/>
      <c r="AR8869"/>
      <c r="AS8869"/>
      <c r="AT8869"/>
      <c r="AU8869"/>
      <c r="AV8869"/>
      <c r="AW8869"/>
      <c r="AX8869"/>
      <c r="AY8869"/>
      <c r="AZ8869"/>
      <c r="BA8869"/>
      <c r="BB8869"/>
      <c r="BC8869"/>
      <c r="BD8869"/>
      <c r="BE8869"/>
      <c r="BF8869"/>
    </row>
    <row r="8870" spans="13:58" ht="12" hidden="1" customHeight="1">
      <c r="M8870" s="820"/>
      <c r="N8870" s="239"/>
      <c r="O8870" s="225"/>
      <c r="P8870" s="260"/>
      <c r="Q8870" s="258"/>
      <c r="R8870" s="260"/>
      <c r="S8870" s="260"/>
      <c r="T8870" s="260"/>
      <c r="U8870" s="260"/>
      <c r="V8870" s="260"/>
      <c r="W8870" s="260"/>
      <c r="X8870" s="260"/>
      <c r="Y8870" s="260"/>
      <c r="Z8870" s="260"/>
      <c r="AA8870" s="260"/>
      <c r="AB8870" s="260"/>
      <c r="AC8870" s="260"/>
      <c r="AD8870" s="260"/>
      <c r="AE8870" s="260"/>
      <c r="AF8870" s="260"/>
      <c r="AG8870" s="258"/>
      <c r="AO8870"/>
      <c r="AP8870"/>
      <c r="AQ8870"/>
      <c r="AR8870"/>
      <c r="AS8870"/>
      <c r="AT8870"/>
      <c r="AU8870"/>
      <c r="AV8870"/>
      <c r="AW8870"/>
      <c r="AX8870"/>
      <c r="AY8870"/>
      <c r="AZ8870"/>
      <c r="BA8870"/>
      <c r="BB8870"/>
      <c r="BC8870"/>
      <c r="BD8870"/>
      <c r="BE8870"/>
      <c r="BF8870"/>
    </row>
    <row r="8871" spans="13:58" ht="12" hidden="1" customHeight="1">
      <c r="M8871" s="820"/>
      <c r="N8871" s="239"/>
      <c r="O8871" s="225"/>
      <c r="P8871" s="260"/>
      <c r="Q8871" s="258"/>
      <c r="R8871" s="260"/>
      <c r="S8871" s="260"/>
      <c r="T8871" s="260"/>
      <c r="U8871" s="260"/>
      <c r="V8871" s="260"/>
      <c r="W8871" s="260"/>
      <c r="X8871" s="260"/>
      <c r="Y8871" s="260"/>
      <c r="Z8871" s="260"/>
      <c r="AA8871" s="260"/>
      <c r="AB8871" s="260"/>
      <c r="AC8871" s="260"/>
      <c r="AD8871" s="260"/>
      <c r="AE8871" s="260"/>
      <c r="AF8871" s="260"/>
      <c r="AG8871" s="258"/>
      <c r="AO8871"/>
      <c r="AP8871"/>
      <c r="AQ8871"/>
      <c r="AR8871"/>
      <c r="AS8871"/>
      <c r="AT8871"/>
      <c r="AU8871"/>
      <c r="AV8871"/>
      <c r="AW8871"/>
      <c r="AX8871"/>
      <c r="AY8871"/>
      <c r="AZ8871"/>
      <c r="BA8871"/>
      <c r="BB8871"/>
      <c r="BC8871"/>
      <c r="BD8871"/>
      <c r="BE8871"/>
      <c r="BF8871"/>
    </row>
    <row r="8872" spans="13:58" ht="12" hidden="1" customHeight="1">
      <c r="M8872" s="820"/>
      <c r="N8872" s="239"/>
      <c r="O8872" s="225"/>
      <c r="P8872" s="260"/>
      <c r="Q8872" s="258"/>
      <c r="R8872" s="260"/>
      <c r="S8872" s="260"/>
      <c r="T8872" s="260"/>
      <c r="U8872" s="260"/>
      <c r="V8872" s="260"/>
      <c r="W8872" s="260"/>
      <c r="X8872" s="260"/>
      <c r="Y8872" s="260"/>
      <c r="Z8872" s="260"/>
      <c r="AA8872" s="260"/>
      <c r="AB8872" s="260"/>
      <c r="AC8872" s="260"/>
      <c r="AD8872" s="260"/>
      <c r="AE8872" s="260"/>
      <c r="AF8872" s="260"/>
      <c r="AG8872" s="258"/>
      <c r="AO8872"/>
      <c r="AP8872"/>
      <c r="AQ8872"/>
      <c r="AR8872"/>
      <c r="AS8872"/>
      <c r="AT8872"/>
      <c r="AU8872"/>
      <c r="AV8872"/>
      <c r="AW8872"/>
      <c r="AX8872"/>
      <c r="AY8872"/>
      <c r="AZ8872"/>
      <c r="BA8872"/>
      <c r="BB8872"/>
      <c r="BC8872"/>
      <c r="BD8872"/>
      <c r="BE8872"/>
      <c r="BF8872"/>
    </row>
    <row r="8873" spans="13:58" ht="12" hidden="1" customHeight="1">
      <c r="M8873" s="820"/>
      <c r="N8873" s="239"/>
      <c r="O8873" s="225"/>
      <c r="P8873" s="260"/>
      <c r="Q8873" s="258"/>
      <c r="R8873" s="260"/>
      <c r="S8873" s="260"/>
      <c r="T8873" s="260"/>
      <c r="U8873" s="260"/>
      <c r="V8873" s="260"/>
      <c r="W8873" s="260"/>
      <c r="X8873" s="260"/>
      <c r="Y8873" s="260"/>
      <c r="Z8873" s="260"/>
      <c r="AA8873" s="260"/>
      <c r="AB8873" s="260"/>
      <c r="AC8873" s="260"/>
      <c r="AD8873" s="260"/>
      <c r="AE8873" s="260"/>
      <c r="AF8873" s="260"/>
      <c r="AG8873" s="258"/>
      <c r="AO8873"/>
      <c r="AP8873"/>
      <c r="AQ8873"/>
      <c r="AR8873"/>
      <c r="AS8873"/>
      <c r="AT8873"/>
      <c r="AU8873"/>
      <c r="AV8873"/>
      <c r="AW8873"/>
      <c r="AX8873"/>
      <c r="AY8873"/>
      <c r="AZ8873"/>
      <c r="BA8873"/>
      <c r="BB8873"/>
      <c r="BC8873"/>
      <c r="BD8873"/>
      <c r="BE8873"/>
      <c r="BF8873"/>
    </row>
    <row r="8874" spans="13:58" ht="12" hidden="1" customHeight="1">
      <c r="M8874" s="820"/>
      <c r="N8874" s="239"/>
      <c r="O8874" s="225"/>
      <c r="P8874" s="260"/>
      <c r="Q8874" s="258"/>
      <c r="R8874" s="260"/>
      <c r="S8874" s="260"/>
      <c r="T8874" s="260"/>
      <c r="U8874" s="260"/>
      <c r="V8874" s="260"/>
      <c r="W8874" s="260"/>
      <c r="X8874" s="260"/>
      <c r="Y8874" s="260"/>
      <c r="Z8874" s="260"/>
      <c r="AA8874" s="260"/>
      <c r="AB8874" s="260"/>
      <c r="AC8874" s="260"/>
      <c r="AD8874" s="260"/>
      <c r="AE8874" s="260"/>
      <c r="AF8874" s="260"/>
      <c r="AG8874" s="258"/>
      <c r="AO8874"/>
      <c r="AP8874"/>
      <c r="AQ8874"/>
      <c r="AR8874"/>
      <c r="AS8874"/>
      <c r="AT8874"/>
      <c r="AU8874"/>
      <c r="AV8874"/>
      <c r="AW8874"/>
      <c r="AX8874"/>
      <c r="AY8874"/>
      <c r="AZ8874"/>
      <c r="BA8874"/>
      <c r="BB8874"/>
      <c r="BC8874"/>
      <c r="BD8874"/>
      <c r="BE8874"/>
      <c r="BF8874"/>
    </row>
    <row r="8875" spans="13:58" ht="12" hidden="1" customHeight="1">
      <c r="M8875" s="820"/>
      <c r="N8875" s="239"/>
      <c r="O8875" s="225"/>
      <c r="P8875" s="260"/>
      <c r="Q8875" s="258"/>
      <c r="R8875" s="260"/>
      <c r="S8875" s="260"/>
      <c r="T8875" s="260"/>
      <c r="U8875" s="260"/>
      <c r="V8875" s="260"/>
      <c r="W8875" s="260"/>
      <c r="X8875" s="260"/>
      <c r="Y8875" s="260"/>
      <c r="Z8875" s="260"/>
      <c r="AA8875" s="260"/>
      <c r="AB8875" s="260"/>
      <c r="AC8875" s="260"/>
      <c r="AD8875" s="260"/>
      <c r="AE8875" s="260"/>
      <c r="AF8875" s="260"/>
      <c r="AG8875" s="258"/>
      <c r="AO8875"/>
      <c r="AP8875"/>
      <c r="AQ8875"/>
      <c r="AR8875"/>
      <c r="AS8875"/>
      <c r="AT8875"/>
      <c r="AU8875"/>
      <c r="AV8875"/>
      <c r="AW8875"/>
      <c r="AX8875"/>
      <c r="AY8875"/>
      <c r="AZ8875"/>
      <c r="BA8875"/>
      <c r="BB8875"/>
      <c r="BC8875"/>
      <c r="BD8875"/>
      <c r="BE8875"/>
      <c r="BF8875"/>
    </row>
    <row r="8876" spans="13:58" ht="12" hidden="1" customHeight="1">
      <c r="M8876" s="820"/>
      <c r="N8876" s="239"/>
      <c r="O8876" s="225"/>
      <c r="P8876" s="260"/>
      <c r="Q8876" s="258"/>
      <c r="R8876" s="260"/>
      <c r="S8876" s="260"/>
      <c r="T8876" s="260"/>
      <c r="U8876" s="260"/>
      <c r="V8876" s="260"/>
      <c r="W8876" s="260"/>
      <c r="X8876" s="260"/>
      <c r="Y8876" s="260"/>
      <c r="Z8876" s="260"/>
      <c r="AA8876" s="260"/>
      <c r="AB8876" s="260"/>
      <c r="AC8876" s="260"/>
      <c r="AD8876" s="260"/>
      <c r="AE8876" s="260"/>
      <c r="AF8876" s="260"/>
      <c r="AG8876" s="258"/>
      <c r="AO8876"/>
      <c r="AP8876"/>
      <c r="AQ8876"/>
      <c r="AR8876"/>
      <c r="AS8876"/>
      <c r="AT8876"/>
      <c r="AU8876"/>
      <c r="AV8876"/>
      <c r="AW8876"/>
      <c r="AX8876"/>
      <c r="AY8876"/>
      <c r="AZ8876"/>
      <c r="BA8876"/>
      <c r="BB8876"/>
      <c r="BC8876"/>
      <c r="BD8876"/>
      <c r="BE8876"/>
      <c r="BF8876"/>
    </row>
    <row r="8877" spans="13:58" ht="12" hidden="1" customHeight="1">
      <c r="M8877" s="820"/>
      <c r="N8877" s="239"/>
      <c r="O8877" s="225"/>
      <c r="P8877" s="260"/>
      <c r="Q8877" s="258"/>
      <c r="R8877" s="260"/>
      <c r="S8877" s="260"/>
      <c r="T8877" s="260"/>
      <c r="U8877" s="260"/>
      <c r="V8877" s="260"/>
      <c r="W8877" s="260"/>
      <c r="X8877" s="260"/>
      <c r="Y8877" s="260"/>
      <c r="Z8877" s="260"/>
      <c r="AA8877" s="260"/>
      <c r="AB8877" s="260"/>
      <c r="AC8877" s="260"/>
      <c r="AD8877" s="260"/>
      <c r="AE8877" s="260"/>
      <c r="AF8877" s="260"/>
      <c r="AG8877" s="258"/>
      <c r="AO8877"/>
      <c r="AP8877"/>
      <c r="AQ8877"/>
      <c r="AR8877"/>
      <c r="AS8877"/>
      <c r="AT8877"/>
      <c r="AU8877"/>
      <c r="AV8877"/>
      <c r="AW8877"/>
      <c r="AX8877"/>
      <c r="AY8877"/>
      <c r="AZ8877"/>
      <c r="BA8877"/>
      <c r="BB8877"/>
      <c r="BC8877"/>
      <c r="BD8877"/>
      <c r="BE8877"/>
      <c r="BF8877"/>
    </row>
    <row r="8878" spans="13:58" ht="12" hidden="1" customHeight="1">
      <c r="M8878" s="820"/>
      <c r="N8878" s="239"/>
      <c r="O8878" s="225"/>
      <c r="P8878" s="260"/>
      <c r="Q8878" s="258"/>
      <c r="R8878" s="260"/>
      <c r="S8878" s="260"/>
      <c r="T8878" s="260"/>
      <c r="U8878" s="260"/>
      <c r="V8878" s="260"/>
      <c r="W8878" s="260"/>
      <c r="X8878" s="260"/>
      <c r="Y8878" s="260"/>
      <c r="Z8878" s="260"/>
      <c r="AA8878" s="260"/>
      <c r="AB8878" s="260"/>
      <c r="AC8878" s="260"/>
      <c r="AD8878" s="260"/>
      <c r="AE8878" s="260"/>
      <c r="AF8878" s="260"/>
      <c r="AG8878" s="258"/>
      <c r="AO8878"/>
      <c r="AP8878"/>
      <c r="AQ8878"/>
      <c r="AR8878"/>
      <c r="AS8878"/>
      <c r="AT8878"/>
      <c r="AU8878"/>
      <c r="AV8878"/>
      <c r="AW8878"/>
      <c r="AX8878"/>
      <c r="AY8878"/>
      <c r="AZ8878"/>
      <c r="BA8878"/>
      <c r="BB8878"/>
      <c r="BC8878"/>
      <c r="BD8878"/>
      <c r="BE8878"/>
      <c r="BF8878"/>
    </row>
    <row r="8879" spans="13:58" ht="12" hidden="1" customHeight="1">
      <c r="M8879" s="820"/>
      <c r="N8879" s="239"/>
      <c r="O8879" s="225"/>
      <c r="P8879" s="260"/>
      <c r="Q8879" s="258"/>
      <c r="R8879" s="260"/>
      <c r="S8879" s="260"/>
      <c r="T8879" s="260"/>
      <c r="U8879" s="260"/>
      <c r="V8879" s="260"/>
      <c r="W8879" s="260"/>
      <c r="X8879" s="260"/>
      <c r="Y8879" s="260"/>
      <c r="Z8879" s="260"/>
      <c r="AA8879" s="260"/>
      <c r="AB8879" s="260"/>
      <c r="AC8879" s="260"/>
      <c r="AD8879" s="260"/>
      <c r="AE8879" s="260"/>
      <c r="AF8879" s="260"/>
      <c r="AG8879" s="258"/>
      <c r="AO8879"/>
      <c r="AP8879"/>
      <c r="AQ8879"/>
      <c r="AR8879"/>
      <c r="AS8879"/>
      <c r="AT8879"/>
      <c r="AU8879"/>
      <c r="AV8879"/>
      <c r="AW8879"/>
      <c r="AX8879"/>
      <c r="AY8879"/>
      <c r="AZ8879"/>
      <c r="BA8879"/>
      <c r="BB8879"/>
      <c r="BC8879"/>
      <c r="BD8879"/>
      <c r="BE8879"/>
      <c r="BF8879"/>
    </row>
    <row r="8880" spans="13:58" ht="12" hidden="1" customHeight="1">
      <c r="M8880" s="820"/>
      <c r="N8880" s="239"/>
      <c r="O8880" s="225"/>
      <c r="P8880" s="260"/>
      <c r="Q8880" s="258"/>
      <c r="R8880" s="260"/>
      <c r="S8880" s="260"/>
      <c r="T8880" s="260"/>
      <c r="U8880" s="260"/>
      <c r="V8880" s="260"/>
      <c r="W8880" s="260"/>
      <c r="X8880" s="260"/>
      <c r="Y8880" s="260"/>
      <c r="Z8880" s="260"/>
      <c r="AA8880" s="260"/>
      <c r="AB8880" s="260"/>
      <c r="AC8880" s="260"/>
      <c r="AD8880" s="260"/>
      <c r="AE8880" s="260"/>
      <c r="AF8880" s="260"/>
      <c r="AG8880" s="258"/>
      <c r="AO8880"/>
      <c r="AP8880"/>
      <c r="AQ8880"/>
      <c r="AR8880"/>
      <c r="AS8880"/>
      <c r="AT8880"/>
      <c r="AU8880"/>
      <c r="AV8880"/>
      <c r="AW8880"/>
      <c r="AX8880"/>
      <c r="AY8880"/>
      <c r="AZ8880"/>
      <c r="BA8880"/>
      <c r="BB8880"/>
      <c r="BC8880"/>
      <c r="BD8880"/>
      <c r="BE8880"/>
      <c r="BF8880"/>
    </row>
    <row r="8881" spans="13:58" ht="12" hidden="1" customHeight="1">
      <c r="M8881" s="820"/>
      <c r="N8881" s="239"/>
      <c r="O8881" s="225"/>
      <c r="P8881" s="260"/>
      <c r="Q8881" s="258"/>
      <c r="R8881" s="260"/>
      <c r="S8881" s="260"/>
      <c r="T8881" s="260"/>
      <c r="U8881" s="260"/>
      <c r="V8881" s="260"/>
      <c r="W8881" s="260"/>
      <c r="X8881" s="260"/>
      <c r="Y8881" s="260"/>
      <c r="Z8881" s="260"/>
      <c r="AA8881" s="260"/>
      <c r="AB8881" s="260"/>
      <c r="AC8881" s="260"/>
      <c r="AD8881" s="260"/>
      <c r="AE8881" s="260"/>
      <c r="AF8881" s="260"/>
      <c r="AG8881" s="258"/>
      <c r="AO8881"/>
      <c r="AP8881"/>
      <c r="AQ8881"/>
      <c r="AR8881"/>
      <c r="AS8881"/>
      <c r="AT8881"/>
      <c r="AU8881"/>
      <c r="AV8881"/>
      <c r="AW8881"/>
      <c r="AX8881"/>
      <c r="AY8881"/>
      <c r="AZ8881"/>
      <c r="BA8881"/>
      <c r="BB8881"/>
      <c r="BC8881"/>
      <c r="BD8881"/>
      <c r="BE8881"/>
      <c r="BF8881"/>
    </row>
    <row r="8882" spans="13:58" ht="12" hidden="1" customHeight="1">
      <c r="M8882" s="820"/>
      <c r="N8882" s="239"/>
      <c r="O8882" s="225"/>
      <c r="P8882" s="260"/>
      <c r="Q8882" s="258"/>
      <c r="R8882" s="260"/>
      <c r="S8882" s="260"/>
      <c r="T8882" s="260"/>
      <c r="U8882" s="260"/>
      <c r="V8882" s="260"/>
      <c r="W8882" s="260"/>
      <c r="X8882" s="260"/>
      <c r="Y8882" s="260"/>
      <c r="Z8882" s="260"/>
      <c r="AA8882" s="260"/>
      <c r="AB8882" s="260"/>
      <c r="AC8882" s="260"/>
      <c r="AD8882" s="260"/>
      <c r="AE8882" s="260"/>
      <c r="AF8882" s="260"/>
      <c r="AG8882" s="258"/>
      <c r="AO8882"/>
      <c r="AP8882"/>
      <c r="AQ8882"/>
      <c r="AR8882"/>
      <c r="AS8882"/>
      <c r="AT8882"/>
      <c r="AU8882"/>
      <c r="AV8882"/>
      <c r="AW8882"/>
      <c r="AX8882"/>
      <c r="AY8882"/>
      <c r="AZ8882"/>
      <c r="BA8882"/>
      <c r="BB8882"/>
      <c r="BC8882"/>
      <c r="BD8882"/>
      <c r="BE8882"/>
      <c r="BF8882"/>
    </row>
    <row r="8883" spans="13:58" ht="12" hidden="1" customHeight="1">
      <c r="M8883" s="820"/>
      <c r="N8883" s="239"/>
      <c r="O8883" s="225"/>
      <c r="P8883" s="260"/>
      <c r="Q8883" s="258"/>
      <c r="R8883" s="260"/>
      <c r="S8883" s="260"/>
      <c r="T8883" s="260"/>
      <c r="U8883" s="260"/>
      <c r="V8883" s="260"/>
      <c r="W8883" s="260"/>
      <c r="X8883" s="260"/>
      <c r="Y8883" s="260"/>
      <c r="Z8883" s="260"/>
      <c r="AA8883" s="260"/>
      <c r="AB8883" s="260"/>
      <c r="AC8883" s="260"/>
      <c r="AD8883" s="260"/>
      <c r="AE8883" s="260"/>
      <c r="AF8883" s="260"/>
      <c r="AG8883" s="258"/>
      <c r="AO8883"/>
      <c r="AP8883"/>
      <c r="AQ8883"/>
      <c r="AR8883"/>
      <c r="AS8883"/>
      <c r="AT8883"/>
      <c r="AU8883"/>
      <c r="AV8883"/>
      <c r="AW8883"/>
      <c r="AX8883"/>
      <c r="AY8883"/>
      <c r="AZ8883"/>
      <c r="BA8883"/>
      <c r="BB8883"/>
      <c r="BC8883"/>
      <c r="BD8883"/>
      <c r="BE8883"/>
      <c r="BF8883"/>
    </row>
    <row r="8884" spans="13:58" ht="12" hidden="1" customHeight="1">
      <c r="M8884" s="820"/>
      <c r="N8884" s="239"/>
      <c r="O8884" s="225"/>
      <c r="P8884" s="260"/>
      <c r="Q8884" s="258"/>
      <c r="R8884" s="260"/>
      <c r="S8884" s="260"/>
      <c r="T8884" s="260"/>
      <c r="U8884" s="260"/>
      <c r="V8884" s="260"/>
      <c r="W8884" s="260"/>
      <c r="X8884" s="260"/>
      <c r="Y8884" s="260"/>
      <c r="Z8884" s="260"/>
      <c r="AA8884" s="260"/>
      <c r="AB8884" s="260"/>
      <c r="AC8884" s="260"/>
      <c r="AD8884" s="260"/>
      <c r="AE8884" s="260"/>
      <c r="AF8884" s="260"/>
      <c r="AG8884" s="258"/>
      <c r="AO8884"/>
      <c r="AP8884"/>
      <c r="AQ8884"/>
      <c r="AR8884"/>
      <c r="AS8884"/>
      <c r="AT8884"/>
      <c r="AU8884"/>
      <c r="AV8884"/>
      <c r="AW8884"/>
      <c r="AX8884"/>
      <c r="AY8884"/>
      <c r="AZ8884"/>
      <c r="BA8884"/>
      <c r="BB8884"/>
      <c r="BC8884"/>
      <c r="BD8884"/>
      <c r="BE8884"/>
      <c r="BF8884"/>
    </row>
    <row r="8885" spans="13:58" ht="12" hidden="1" customHeight="1">
      <c r="M8885" s="820"/>
      <c r="N8885" s="239"/>
      <c r="O8885" s="225"/>
      <c r="P8885" s="260"/>
      <c r="Q8885" s="258"/>
      <c r="R8885" s="260"/>
      <c r="S8885" s="260"/>
      <c r="T8885" s="260"/>
      <c r="U8885" s="260"/>
      <c r="V8885" s="260"/>
      <c r="W8885" s="260"/>
      <c r="X8885" s="260"/>
      <c r="Y8885" s="260"/>
      <c r="Z8885" s="260"/>
      <c r="AA8885" s="260"/>
      <c r="AB8885" s="260"/>
      <c r="AC8885" s="260"/>
      <c r="AD8885" s="260"/>
      <c r="AE8885" s="260"/>
      <c r="AF8885" s="260"/>
      <c r="AG8885" s="258"/>
      <c r="AO8885"/>
      <c r="AP8885"/>
      <c r="AQ8885"/>
      <c r="AR8885"/>
      <c r="AS8885"/>
      <c r="AT8885"/>
      <c r="AU8885"/>
      <c r="AV8885"/>
      <c r="AW8885"/>
      <c r="AX8885"/>
      <c r="AY8885"/>
      <c r="AZ8885"/>
      <c r="BA8885"/>
      <c r="BB8885"/>
      <c r="BC8885"/>
      <c r="BD8885"/>
      <c r="BE8885"/>
      <c r="BF8885"/>
    </row>
    <row r="8886" spans="13:58" ht="12" hidden="1" customHeight="1">
      <c r="M8886" s="820"/>
      <c r="N8886" s="239"/>
      <c r="O8886" s="225"/>
      <c r="P8886" s="260"/>
      <c r="Q8886" s="258"/>
      <c r="R8886" s="260"/>
      <c r="S8886" s="260"/>
      <c r="T8886" s="260"/>
      <c r="U8886" s="260"/>
      <c r="V8886" s="260"/>
      <c r="W8886" s="260"/>
      <c r="X8886" s="260"/>
      <c r="Y8886" s="260"/>
      <c r="Z8886" s="260"/>
      <c r="AA8886" s="260"/>
      <c r="AB8886" s="260"/>
      <c r="AC8886" s="260"/>
      <c r="AD8886" s="260"/>
      <c r="AE8886" s="260"/>
      <c r="AF8886" s="260"/>
      <c r="AG8886" s="258"/>
      <c r="AO8886"/>
      <c r="AP8886"/>
      <c r="AQ8886"/>
      <c r="AR8886"/>
      <c r="AS8886"/>
      <c r="AT8886"/>
      <c r="AU8886"/>
      <c r="AV8886"/>
      <c r="AW8886"/>
      <c r="AX8886"/>
      <c r="AY8886"/>
      <c r="AZ8886"/>
      <c r="BA8886"/>
      <c r="BB8886"/>
      <c r="BC8886"/>
      <c r="BD8886"/>
      <c r="BE8886"/>
      <c r="BF8886"/>
    </row>
    <row r="8887" spans="13:58" ht="12" hidden="1" customHeight="1">
      <c r="M8887" s="820"/>
      <c r="N8887" s="239"/>
      <c r="O8887" s="225"/>
      <c r="P8887" s="260"/>
      <c r="Q8887" s="258"/>
      <c r="R8887" s="260"/>
      <c r="S8887" s="260"/>
      <c r="T8887" s="260"/>
      <c r="U8887" s="260"/>
      <c r="V8887" s="260"/>
      <c r="W8887" s="260"/>
      <c r="X8887" s="260"/>
      <c r="Y8887" s="260"/>
      <c r="Z8887" s="260"/>
      <c r="AA8887" s="260"/>
      <c r="AB8887" s="260"/>
      <c r="AC8887" s="260"/>
      <c r="AD8887" s="260"/>
      <c r="AE8887" s="260"/>
      <c r="AF8887" s="260"/>
      <c r="AG8887" s="258"/>
      <c r="AO8887"/>
      <c r="AP8887"/>
      <c r="AQ8887"/>
      <c r="AR8887"/>
      <c r="AS8887"/>
      <c r="AT8887"/>
      <c r="AU8887"/>
      <c r="AV8887"/>
      <c r="AW8887"/>
      <c r="AX8887"/>
      <c r="AY8887"/>
      <c r="AZ8887"/>
      <c r="BA8887"/>
      <c r="BB8887"/>
      <c r="BC8887"/>
      <c r="BD8887"/>
      <c r="BE8887"/>
      <c r="BF8887"/>
    </row>
    <row r="8888" spans="13:58" ht="12" hidden="1" customHeight="1">
      <c r="M8888" s="820"/>
      <c r="N8888" s="239"/>
      <c r="O8888" s="225"/>
      <c r="P8888" s="260"/>
      <c r="Q8888" s="258"/>
      <c r="R8888" s="260"/>
      <c r="S8888" s="260"/>
      <c r="T8888" s="260"/>
      <c r="U8888" s="260"/>
      <c r="V8888" s="260"/>
      <c r="W8888" s="260"/>
      <c r="X8888" s="260"/>
      <c r="Y8888" s="260"/>
      <c r="Z8888" s="260"/>
      <c r="AA8888" s="260"/>
      <c r="AB8888" s="260"/>
      <c r="AC8888" s="260"/>
      <c r="AD8888" s="260"/>
      <c r="AE8888" s="260"/>
      <c r="AF8888" s="260"/>
      <c r="AG8888" s="258"/>
      <c r="AO8888"/>
      <c r="AP8888"/>
      <c r="AQ8888"/>
      <c r="AR8888"/>
      <c r="AS8888"/>
      <c r="AT8888"/>
      <c r="AU8888"/>
      <c r="AV8888"/>
      <c r="AW8888"/>
      <c r="AX8888"/>
      <c r="AY8888"/>
      <c r="AZ8888"/>
      <c r="BA8888"/>
      <c r="BB8888"/>
      <c r="BC8888"/>
      <c r="BD8888"/>
      <c r="BE8888"/>
      <c r="BF8888"/>
    </row>
    <row r="8889" spans="13:58" ht="12" hidden="1" customHeight="1">
      <c r="M8889" s="820"/>
      <c r="N8889" s="239"/>
      <c r="O8889" s="225"/>
      <c r="P8889" s="260"/>
      <c r="Q8889" s="258"/>
      <c r="R8889" s="260"/>
      <c r="S8889" s="260"/>
      <c r="T8889" s="260"/>
      <c r="U8889" s="260"/>
      <c r="V8889" s="260"/>
      <c r="W8889" s="260"/>
      <c r="X8889" s="260"/>
      <c r="Y8889" s="260"/>
      <c r="Z8889" s="260"/>
      <c r="AA8889" s="260"/>
      <c r="AB8889" s="260"/>
      <c r="AC8889" s="260"/>
      <c r="AD8889" s="260"/>
      <c r="AE8889" s="260"/>
      <c r="AF8889" s="260"/>
      <c r="AG8889" s="258"/>
      <c r="AO8889"/>
      <c r="AP8889"/>
      <c r="AQ8889"/>
      <c r="AR8889"/>
      <c r="AS8889"/>
      <c r="AT8889"/>
      <c r="AU8889"/>
      <c r="AV8889"/>
      <c r="AW8889"/>
      <c r="AX8889"/>
      <c r="AY8889"/>
      <c r="AZ8889"/>
      <c r="BA8889"/>
      <c r="BB8889"/>
      <c r="BC8889"/>
      <c r="BD8889"/>
      <c r="BE8889"/>
      <c r="BF8889"/>
    </row>
    <row r="8890" spans="13:58" ht="12" hidden="1" customHeight="1">
      <c r="M8890" s="820"/>
      <c r="N8890" s="239"/>
      <c r="O8890" s="225"/>
      <c r="P8890" s="260"/>
      <c r="Q8890" s="258"/>
      <c r="R8890" s="260"/>
      <c r="S8890" s="260"/>
      <c r="T8890" s="260"/>
      <c r="U8890" s="260"/>
      <c r="V8890" s="260"/>
      <c r="W8890" s="260"/>
      <c r="X8890" s="260"/>
      <c r="Y8890" s="260"/>
      <c r="Z8890" s="260"/>
      <c r="AA8890" s="260"/>
      <c r="AB8890" s="260"/>
      <c r="AC8890" s="260"/>
      <c r="AD8890" s="260"/>
      <c r="AE8890" s="260"/>
      <c r="AF8890" s="260"/>
      <c r="AG8890" s="258"/>
      <c r="AO8890"/>
      <c r="AP8890"/>
      <c r="AQ8890"/>
      <c r="AR8890"/>
      <c r="AS8890"/>
      <c r="AT8890"/>
      <c r="AU8890"/>
      <c r="AV8890"/>
      <c r="AW8890"/>
      <c r="AX8890"/>
      <c r="AY8890"/>
      <c r="AZ8890"/>
      <c r="BA8890"/>
      <c r="BB8890"/>
      <c r="BC8890"/>
      <c r="BD8890"/>
      <c r="BE8890"/>
      <c r="BF8890"/>
    </row>
    <row r="8891" spans="13:58" ht="12" hidden="1" customHeight="1">
      <c r="M8891" s="820"/>
      <c r="N8891" s="239"/>
      <c r="O8891" s="225"/>
      <c r="P8891" s="260"/>
      <c r="Q8891" s="258"/>
      <c r="R8891" s="260"/>
      <c r="S8891" s="260"/>
      <c r="T8891" s="260"/>
      <c r="U8891" s="260"/>
      <c r="V8891" s="260"/>
      <c r="W8891" s="260"/>
      <c r="X8891" s="260"/>
      <c r="Y8891" s="260"/>
      <c r="Z8891" s="260"/>
      <c r="AA8891" s="260"/>
      <c r="AB8891" s="260"/>
      <c r="AC8891" s="260"/>
      <c r="AD8891" s="260"/>
      <c r="AE8891" s="260"/>
      <c r="AF8891" s="260"/>
      <c r="AG8891" s="258"/>
      <c r="AO8891"/>
      <c r="AP8891"/>
      <c r="AQ8891"/>
      <c r="AR8891"/>
      <c r="AS8891"/>
      <c r="AT8891"/>
      <c r="AU8891"/>
      <c r="AV8891"/>
      <c r="AW8891"/>
      <c r="AX8891"/>
      <c r="AY8891"/>
      <c r="AZ8891"/>
      <c r="BA8891"/>
      <c r="BB8891"/>
      <c r="BC8891"/>
      <c r="BD8891"/>
      <c r="BE8891"/>
      <c r="BF8891"/>
    </row>
    <row r="8892" spans="13:58" ht="12" hidden="1" customHeight="1">
      <c r="M8892" s="820"/>
      <c r="N8892" s="239"/>
      <c r="O8892" s="225"/>
      <c r="P8892" s="260"/>
      <c r="Q8892" s="258"/>
      <c r="R8892" s="260"/>
      <c r="S8892" s="260"/>
      <c r="T8892" s="260"/>
      <c r="U8892" s="260"/>
      <c r="V8892" s="260"/>
      <c r="W8892" s="260"/>
      <c r="X8892" s="260"/>
      <c r="Y8892" s="260"/>
      <c r="Z8892" s="260"/>
      <c r="AA8892" s="260"/>
      <c r="AB8892" s="260"/>
      <c r="AC8892" s="260"/>
      <c r="AD8892" s="260"/>
      <c r="AE8892" s="260"/>
      <c r="AF8892" s="260"/>
      <c r="AG8892" s="258"/>
      <c r="AO8892"/>
      <c r="AP8892"/>
      <c r="AQ8892"/>
      <c r="AR8892"/>
      <c r="AS8892"/>
      <c r="AT8892"/>
      <c r="AU8892"/>
      <c r="AV8892"/>
      <c r="AW8892"/>
      <c r="AX8892"/>
      <c r="AY8892"/>
      <c r="AZ8892"/>
      <c r="BA8892"/>
      <c r="BB8892"/>
      <c r="BC8892"/>
      <c r="BD8892"/>
      <c r="BE8892"/>
      <c r="BF8892"/>
    </row>
    <row r="8893" spans="13:58" ht="12" hidden="1" customHeight="1">
      <c r="M8893" s="820"/>
      <c r="N8893" s="239"/>
      <c r="O8893" s="225"/>
      <c r="P8893" s="260"/>
      <c r="Q8893" s="258"/>
      <c r="R8893" s="260"/>
      <c r="S8893" s="260"/>
      <c r="T8893" s="260"/>
      <c r="U8893" s="260"/>
      <c r="V8893" s="260"/>
      <c r="W8893" s="260"/>
      <c r="X8893" s="260"/>
      <c r="Y8893" s="260"/>
      <c r="Z8893" s="260"/>
      <c r="AA8893" s="260"/>
      <c r="AB8893" s="260"/>
      <c r="AC8893" s="260"/>
      <c r="AD8893" s="260"/>
      <c r="AE8893" s="260"/>
      <c r="AF8893" s="260"/>
      <c r="AG8893" s="258"/>
      <c r="AO8893"/>
      <c r="AP8893"/>
      <c r="AQ8893"/>
      <c r="AR8893"/>
      <c r="AS8893"/>
      <c r="AT8893"/>
      <c r="AU8893"/>
      <c r="AV8893"/>
      <c r="AW8893"/>
      <c r="AX8893"/>
      <c r="AY8893"/>
      <c r="AZ8893"/>
      <c r="BA8893"/>
      <c r="BB8893"/>
      <c r="BC8893"/>
      <c r="BD8893"/>
      <c r="BE8893"/>
      <c r="BF8893"/>
    </row>
    <row r="8894" spans="13:58" ht="12" hidden="1" customHeight="1">
      <c r="M8894" s="820"/>
      <c r="N8894" s="239"/>
      <c r="O8894" s="225"/>
      <c r="P8894" s="260"/>
      <c r="Q8894" s="258"/>
      <c r="R8894" s="260"/>
      <c r="S8894" s="260"/>
      <c r="T8894" s="260"/>
      <c r="U8894" s="260"/>
      <c r="V8894" s="260"/>
      <c r="W8894" s="260"/>
      <c r="X8894" s="260"/>
      <c r="Y8894" s="260"/>
      <c r="Z8894" s="260"/>
      <c r="AA8894" s="260"/>
      <c r="AB8894" s="260"/>
      <c r="AC8894" s="260"/>
      <c r="AD8894" s="260"/>
      <c r="AE8894" s="260"/>
      <c r="AF8894" s="260"/>
      <c r="AG8894" s="258"/>
      <c r="AO8894"/>
      <c r="AP8894"/>
      <c r="AQ8894"/>
      <c r="AR8894"/>
      <c r="AS8894"/>
      <c r="AT8894"/>
      <c r="AU8894"/>
      <c r="AV8894"/>
      <c r="AW8894"/>
      <c r="AX8894"/>
      <c r="AY8894"/>
      <c r="AZ8894"/>
      <c r="BA8894"/>
      <c r="BB8894"/>
      <c r="BC8894"/>
      <c r="BD8894"/>
      <c r="BE8894"/>
      <c r="BF8894"/>
    </row>
    <row r="8895" spans="13:58" ht="12" hidden="1" customHeight="1">
      <c r="M8895" s="820"/>
      <c r="N8895" s="239"/>
      <c r="O8895" s="225"/>
      <c r="P8895" s="260"/>
      <c r="Q8895" s="258"/>
      <c r="R8895" s="260"/>
      <c r="S8895" s="260"/>
      <c r="T8895" s="260"/>
      <c r="U8895" s="260"/>
      <c r="V8895" s="260"/>
      <c r="W8895" s="260"/>
      <c r="X8895" s="260"/>
      <c r="Y8895" s="260"/>
      <c r="Z8895" s="260"/>
      <c r="AA8895" s="260"/>
      <c r="AB8895" s="260"/>
      <c r="AC8895" s="260"/>
      <c r="AD8895" s="260"/>
      <c r="AE8895" s="260"/>
      <c r="AF8895" s="260"/>
      <c r="AG8895" s="258"/>
      <c r="AO8895"/>
      <c r="AP8895"/>
      <c r="AQ8895"/>
      <c r="AR8895"/>
      <c r="AS8895"/>
      <c r="AT8895"/>
      <c r="AU8895"/>
      <c r="AV8895"/>
      <c r="AW8895"/>
      <c r="AX8895"/>
      <c r="AY8895"/>
      <c r="AZ8895"/>
      <c r="BA8895"/>
      <c r="BB8895"/>
      <c r="BC8895"/>
      <c r="BD8895"/>
      <c r="BE8895"/>
      <c r="BF8895"/>
    </row>
    <row r="8896" spans="13:58" ht="12" hidden="1" customHeight="1">
      <c r="M8896" s="820"/>
      <c r="N8896" s="239"/>
      <c r="O8896" s="225"/>
      <c r="P8896" s="260"/>
      <c r="Q8896" s="258"/>
      <c r="R8896" s="260"/>
      <c r="S8896" s="260"/>
      <c r="T8896" s="260"/>
      <c r="U8896" s="260"/>
      <c r="V8896" s="260"/>
      <c r="W8896" s="260"/>
      <c r="X8896" s="260"/>
      <c r="Y8896" s="260"/>
      <c r="Z8896" s="260"/>
      <c r="AA8896" s="260"/>
      <c r="AB8896" s="260"/>
      <c r="AC8896" s="260"/>
      <c r="AD8896" s="260"/>
      <c r="AE8896" s="260"/>
      <c r="AF8896" s="260"/>
      <c r="AG8896" s="258"/>
      <c r="AO8896"/>
      <c r="AP8896"/>
      <c r="AQ8896"/>
      <c r="AR8896"/>
      <c r="AS8896"/>
      <c r="AT8896"/>
      <c r="AU8896"/>
      <c r="AV8896"/>
      <c r="AW8896"/>
      <c r="AX8896"/>
      <c r="AY8896"/>
      <c r="AZ8896"/>
      <c r="BA8896"/>
      <c r="BB8896"/>
      <c r="BC8896"/>
      <c r="BD8896"/>
      <c r="BE8896"/>
      <c r="BF8896"/>
    </row>
    <row r="8897" spans="13:58" ht="12" hidden="1" customHeight="1">
      <c r="M8897" s="820"/>
      <c r="N8897" s="239"/>
      <c r="O8897" s="225"/>
      <c r="P8897" s="260"/>
      <c r="Q8897" s="258"/>
      <c r="R8897" s="260"/>
      <c r="S8897" s="260"/>
      <c r="T8897" s="260"/>
      <c r="U8897" s="260"/>
      <c r="V8897" s="260"/>
      <c r="W8897" s="260"/>
      <c r="X8897" s="260"/>
      <c r="Y8897" s="260"/>
      <c r="Z8897" s="260"/>
      <c r="AA8897" s="260"/>
      <c r="AB8897" s="260"/>
      <c r="AC8897" s="260"/>
      <c r="AD8897" s="260"/>
      <c r="AE8897" s="260"/>
      <c r="AF8897" s="260"/>
      <c r="AG8897" s="258"/>
      <c r="AO8897"/>
      <c r="AP8897"/>
      <c r="AQ8897"/>
      <c r="AR8897"/>
      <c r="AS8897"/>
      <c r="AT8897"/>
      <c r="AU8897"/>
      <c r="AV8897"/>
      <c r="AW8897"/>
      <c r="AX8897"/>
      <c r="AY8897"/>
      <c r="AZ8897"/>
      <c r="BA8897"/>
      <c r="BB8897"/>
      <c r="BC8897"/>
      <c r="BD8897"/>
      <c r="BE8897"/>
      <c r="BF8897"/>
    </row>
    <row r="8898" spans="13:58" ht="12" hidden="1" customHeight="1">
      <c r="M8898" s="820"/>
      <c r="N8898" s="239"/>
      <c r="O8898" s="225"/>
      <c r="P8898" s="260"/>
      <c r="Q8898" s="258"/>
      <c r="R8898" s="260"/>
      <c r="S8898" s="260"/>
      <c r="T8898" s="260"/>
      <c r="U8898" s="260"/>
      <c r="V8898" s="260"/>
      <c r="W8898" s="260"/>
      <c r="X8898" s="260"/>
      <c r="Y8898" s="260"/>
      <c r="Z8898" s="260"/>
      <c r="AA8898" s="260"/>
      <c r="AB8898" s="260"/>
      <c r="AC8898" s="260"/>
      <c r="AD8898" s="260"/>
      <c r="AE8898" s="260"/>
      <c r="AF8898" s="260"/>
      <c r="AG8898" s="258"/>
      <c r="AO8898"/>
      <c r="AP8898"/>
      <c r="AQ8898"/>
      <c r="AR8898"/>
      <c r="AS8898"/>
      <c r="AT8898"/>
      <c r="AU8898"/>
      <c r="AV8898"/>
      <c r="AW8898"/>
      <c r="AX8898"/>
      <c r="AY8898"/>
      <c r="AZ8898"/>
      <c r="BA8898"/>
      <c r="BB8898"/>
      <c r="BC8898"/>
      <c r="BD8898"/>
      <c r="BE8898"/>
      <c r="BF8898"/>
    </row>
    <row r="8899" spans="13:58" ht="12" hidden="1" customHeight="1">
      <c r="M8899" s="820"/>
      <c r="N8899" s="239"/>
      <c r="O8899" s="225"/>
      <c r="P8899" s="260"/>
      <c r="Q8899" s="258"/>
      <c r="R8899" s="260"/>
      <c r="S8899" s="260"/>
      <c r="T8899" s="260"/>
      <c r="U8899" s="260"/>
      <c r="V8899" s="260"/>
      <c r="W8899" s="260"/>
      <c r="X8899" s="260"/>
      <c r="Y8899" s="260"/>
      <c r="Z8899" s="260"/>
      <c r="AA8899" s="260"/>
      <c r="AB8899" s="260"/>
      <c r="AC8899" s="260"/>
      <c r="AD8899" s="260"/>
      <c r="AE8899" s="260"/>
      <c r="AF8899" s="260"/>
      <c r="AG8899" s="258"/>
      <c r="AO8899"/>
      <c r="AP8899"/>
      <c r="AQ8899"/>
      <c r="AR8899"/>
      <c r="AS8899"/>
      <c r="AT8899"/>
      <c r="AU8899"/>
      <c r="AV8899"/>
      <c r="AW8899"/>
      <c r="AX8899"/>
      <c r="AY8899"/>
      <c r="AZ8899"/>
      <c r="BA8899"/>
      <c r="BB8899"/>
      <c r="BC8899"/>
      <c r="BD8899"/>
      <c r="BE8899"/>
      <c r="BF8899"/>
    </row>
    <row r="8900" spans="13:58" ht="12" hidden="1" customHeight="1">
      <c r="M8900" s="820"/>
      <c r="N8900" s="239"/>
      <c r="O8900" s="225"/>
      <c r="P8900" s="260"/>
      <c r="Q8900" s="258"/>
      <c r="R8900" s="260"/>
      <c r="S8900" s="260"/>
      <c r="T8900" s="260"/>
      <c r="U8900" s="260"/>
      <c r="V8900" s="260"/>
      <c r="W8900" s="260"/>
      <c r="X8900" s="260"/>
      <c r="Y8900" s="260"/>
      <c r="Z8900" s="260"/>
      <c r="AA8900" s="260"/>
      <c r="AB8900" s="260"/>
      <c r="AC8900" s="260"/>
      <c r="AD8900" s="260"/>
      <c r="AE8900" s="260"/>
      <c r="AF8900" s="260"/>
      <c r="AG8900" s="258"/>
      <c r="AO8900"/>
      <c r="AP8900"/>
      <c r="AQ8900"/>
      <c r="AR8900"/>
      <c r="AS8900"/>
      <c r="AT8900"/>
      <c r="AU8900"/>
      <c r="AV8900"/>
      <c r="AW8900"/>
      <c r="AX8900"/>
      <c r="AY8900"/>
      <c r="AZ8900"/>
      <c r="BA8900"/>
      <c r="BB8900"/>
      <c r="BC8900"/>
      <c r="BD8900"/>
      <c r="BE8900"/>
      <c r="BF8900"/>
    </row>
    <row r="8901" spans="13:58" ht="12" hidden="1" customHeight="1">
      <c r="M8901" s="820"/>
      <c r="N8901" s="239"/>
      <c r="O8901" s="225"/>
      <c r="P8901" s="260"/>
      <c r="Q8901" s="258"/>
      <c r="R8901" s="260"/>
      <c r="S8901" s="260"/>
      <c r="T8901" s="260"/>
      <c r="U8901" s="260"/>
      <c r="V8901" s="260"/>
      <c r="W8901" s="260"/>
      <c r="X8901" s="260"/>
      <c r="Y8901" s="260"/>
      <c r="Z8901" s="260"/>
      <c r="AA8901" s="260"/>
      <c r="AB8901" s="260"/>
      <c r="AC8901" s="260"/>
      <c r="AD8901" s="260"/>
      <c r="AE8901" s="260"/>
      <c r="AF8901" s="260"/>
      <c r="AG8901" s="258"/>
      <c r="AO8901"/>
      <c r="AP8901"/>
      <c r="AQ8901"/>
      <c r="AR8901"/>
      <c r="AS8901"/>
      <c r="AT8901"/>
      <c r="AU8901"/>
      <c r="AV8901"/>
      <c r="AW8901"/>
      <c r="AX8901"/>
      <c r="AY8901"/>
      <c r="AZ8901"/>
      <c r="BA8901"/>
      <c r="BB8901"/>
      <c r="BC8901"/>
      <c r="BD8901"/>
      <c r="BE8901"/>
      <c r="BF8901"/>
    </row>
    <row r="8902" spans="13:58" ht="12" hidden="1" customHeight="1">
      <c r="M8902" s="820"/>
      <c r="N8902" s="239"/>
      <c r="O8902" s="225"/>
      <c r="P8902" s="260"/>
      <c r="Q8902" s="258"/>
      <c r="R8902" s="260"/>
      <c r="S8902" s="260"/>
      <c r="T8902" s="260"/>
      <c r="U8902" s="260"/>
      <c r="V8902" s="260"/>
      <c r="W8902" s="260"/>
      <c r="X8902" s="260"/>
      <c r="Y8902" s="260"/>
      <c r="Z8902" s="260"/>
      <c r="AA8902" s="260"/>
      <c r="AB8902" s="260"/>
      <c r="AC8902" s="260"/>
      <c r="AD8902" s="260"/>
      <c r="AE8902" s="260"/>
      <c r="AF8902" s="260"/>
      <c r="AG8902" s="258"/>
      <c r="AO8902"/>
      <c r="AP8902"/>
      <c r="AQ8902"/>
      <c r="AR8902"/>
      <c r="AS8902"/>
      <c r="AT8902"/>
      <c r="AU8902"/>
      <c r="AV8902"/>
      <c r="AW8902"/>
      <c r="AX8902"/>
      <c r="AY8902"/>
      <c r="AZ8902"/>
      <c r="BA8902"/>
      <c r="BB8902"/>
      <c r="BC8902"/>
      <c r="BD8902"/>
      <c r="BE8902"/>
      <c r="BF8902"/>
    </row>
    <row r="8903" spans="13:58" ht="12" hidden="1" customHeight="1">
      <c r="M8903" s="820"/>
      <c r="N8903" s="239"/>
      <c r="O8903" s="225"/>
      <c r="P8903" s="260"/>
      <c r="Q8903" s="258"/>
      <c r="R8903" s="260"/>
      <c r="S8903" s="260"/>
      <c r="T8903" s="260"/>
      <c r="U8903" s="260"/>
      <c r="V8903" s="260"/>
      <c r="W8903" s="260"/>
      <c r="X8903" s="260"/>
      <c r="Y8903" s="260"/>
      <c r="Z8903" s="260"/>
      <c r="AA8903" s="260"/>
      <c r="AB8903" s="260"/>
      <c r="AC8903" s="260"/>
      <c r="AD8903" s="260"/>
      <c r="AE8903" s="260"/>
      <c r="AF8903" s="260"/>
      <c r="AG8903" s="258"/>
      <c r="AO8903"/>
      <c r="AP8903"/>
      <c r="AQ8903"/>
      <c r="AR8903"/>
      <c r="AS8903"/>
      <c r="AT8903"/>
      <c r="AU8903"/>
      <c r="AV8903"/>
      <c r="AW8903"/>
      <c r="AX8903"/>
      <c r="AY8903"/>
      <c r="AZ8903"/>
      <c r="BA8903"/>
      <c r="BB8903"/>
      <c r="BC8903"/>
      <c r="BD8903"/>
      <c r="BE8903"/>
      <c r="BF8903"/>
    </row>
    <row r="8904" spans="13:58" ht="12" hidden="1" customHeight="1">
      <c r="M8904" s="820"/>
      <c r="N8904" s="239"/>
      <c r="O8904" s="225"/>
      <c r="P8904" s="260"/>
      <c r="Q8904" s="258"/>
      <c r="R8904" s="260"/>
      <c r="S8904" s="260"/>
      <c r="T8904" s="260"/>
      <c r="U8904" s="260"/>
      <c r="V8904" s="260"/>
      <c r="W8904" s="260"/>
      <c r="X8904" s="260"/>
      <c r="Y8904" s="260"/>
      <c r="Z8904" s="260"/>
      <c r="AA8904" s="260"/>
      <c r="AB8904" s="260"/>
      <c r="AC8904" s="260"/>
      <c r="AD8904" s="260"/>
      <c r="AE8904" s="260"/>
      <c r="AF8904" s="260"/>
      <c r="AG8904" s="258"/>
      <c r="AO8904"/>
      <c r="AP8904"/>
      <c r="AQ8904"/>
      <c r="AR8904"/>
      <c r="AS8904"/>
      <c r="AT8904"/>
      <c r="AU8904"/>
      <c r="AV8904"/>
      <c r="AW8904"/>
      <c r="AX8904"/>
      <c r="AY8904"/>
      <c r="AZ8904"/>
      <c r="BA8904"/>
      <c r="BB8904"/>
      <c r="BC8904"/>
      <c r="BD8904"/>
      <c r="BE8904"/>
      <c r="BF8904"/>
    </row>
    <row r="8905" spans="13:58" ht="12" hidden="1" customHeight="1">
      <c r="M8905" s="820"/>
      <c r="N8905" s="239"/>
      <c r="O8905" s="225"/>
      <c r="P8905" s="260"/>
      <c r="Q8905" s="258"/>
      <c r="R8905" s="260"/>
      <c r="S8905" s="260"/>
      <c r="T8905" s="260"/>
      <c r="U8905" s="260"/>
      <c r="V8905" s="260"/>
      <c r="W8905" s="260"/>
      <c r="X8905" s="260"/>
      <c r="Y8905" s="260"/>
      <c r="Z8905" s="260"/>
      <c r="AA8905" s="260"/>
      <c r="AB8905" s="260"/>
      <c r="AC8905" s="260"/>
      <c r="AD8905" s="260"/>
      <c r="AE8905" s="260"/>
      <c r="AF8905" s="260"/>
      <c r="AG8905" s="258"/>
      <c r="AO8905"/>
      <c r="AP8905"/>
      <c r="AQ8905"/>
      <c r="AR8905"/>
      <c r="AS8905"/>
      <c r="AT8905"/>
      <c r="AU8905"/>
      <c r="AV8905"/>
      <c r="AW8905"/>
      <c r="AX8905"/>
      <c r="AY8905"/>
      <c r="AZ8905"/>
      <c r="BA8905"/>
      <c r="BB8905"/>
      <c r="BC8905"/>
      <c r="BD8905"/>
      <c r="BE8905"/>
      <c r="BF8905"/>
    </row>
    <row r="8906" spans="13:58" ht="12" hidden="1" customHeight="1">
      <c r="M8906" s="820"/>
      <c r="N8906" s="239"/>
      <c r="O8906" s="225"/>
      <c r="P8906" s="260"/>
      <c r="Q8906" s="258"/>
      <c r="R8906" s="260"/>
      <c r="S8906" s="260"/>
      <c r="T8906" s="260"/>
      <c r="U8906" s="260"/>
      <c r="V8906" s="260"/>
      <c r="W8906" s="260"/>
      <c r="X8906" s="260"/>
      <c r="Y8906" s="260"/>
      <c r="Z8906" s="260"/>
      <c r="AA8906" s="260"/>
      <c r="AB8906" s="260"/>
      <c r="AC8906" s="260"/>
      <c r="AD8906" s="260"/>
      <c r="AE8906" s="260"/>
      <c r="AF8906" s="260"/>
      <c r="AG8906" s="258"/>
      <c r="AO8906"/>
      <c r="AP8906"/>
      <c r="AQ8906"/>
      <c r="AR8906"/>
      <c r="AS8906"/>
      <c r="AT8906"/>
      <c r="AU8906"/>
      <c r="AV8906"/>
      <c r="AW8906"/>
      <c r="AX8906"/>
      <c r="AY8906"/>
      <c r="AZ8906"/>
      <c r="BA8906"/>
      <c r="BB8906"/>
      <c r="BC8906"/>
      <c r="BD8906"/>
      <c r="BE8906"/>
      <c r="BF8906"/>
    </row>
    <row r="8907" spans="13:58" ht="12" hidden="1" customHeight="1">
      <c r="M8907" s="820"/>
      <c r="N8907" s="239"/>
      <c r="O8907" s="225"/>
      <c r="P8907" s="260"/>
      <c r="Q8907" s="258"/>
      <c r="R8907" s="260"/>
      <c r="S8907" s="260"/>
      <c r="T8907" s="260"/>
      <c r="U8907" s="260"/>
      <c r="V8907" s="260"/>
      <c r="W8907" s="260"/>
      <c r="X8907" s="260"/>
      <c r="Y8907" s="260"/>
      <c r="Z8907" s="260"/>
      <c r="AA8907" s="260"/>
      <c r="AB8907" s="260"/>
      <c r="AC8907" s="260"/>
      <c r="AD8907" s="260"/>
      <c r="AE8907" s="260"/>
      <c r="AF8907" s="260"/>
      <c r="AG8907" s="258"/>
      <c r="AO8907"/>
      <c r="AP8907"/>
      <c r="AQ8907"/>
      <c r="AR8907"/>
      <c r="AS8907"/>
      <c r="AT8907"/>
      <c r="AU8907"/>
      <c r="AV8907"/>
      <c r="AW8907"/>
      <c r="AX8907"/>
      <c r="AY8907"/>
      <c r="AZ8907"/>
      <c r="BA8907"/>
      <c r="BB8907"/>
      <c r="BC8907"/>
      <c r="BD8907"/>
      <c r="BE8907"/>
      <c r="BF8907"/>
    </row>
    <row r="8908" spans="13:58" ht="12" hidden="1" customHeight="1">
      <c r="M8908" s="820"/>
      <c r="N8908" s="239"/>
      <c r="O8908" s="225"/>
      <c r="P8908" s="260"/>
      <c r="Q8908" s="258"/>
      <c r="R8908" s="260"/>
      <c r="S8908" s="260"/>
      <c r="T8908" s="260"/>
      <c r="U8908" s="260"/>
      <c r="V8908" s="260"/>
      <c r="W8908" s="260"/>
      <c r="X8908" s="260"/>
      <c r="Y8908" s="260"/>
      <c r="Z8908" s="260"/>
      <c r="AA8908" s="260"/>
      <c r="AB8908" s="260"/>
      <c r="AC8908" s="260"/>
      <c r="AD8908" s="260"/>
      <c r="AE8908" s="260"/>
      <c r="AF8908" s="260"/>
      <c r="AG8908" s="258"/>
      <c r="AO8908"/>
      <c r="AP8908"/>
      <c r="AQ8908"/>
      <c r="AR8908"/>
      <c r="AS8908"/>
      <c r="AT8908"/>
      <c r="AU8908"/>
      <c r="AV8908"/>
      <c r="AW8908"/>
      <c r="AX8908"/>
      <c r="AY8908"/>
      <c r="AZ8908"/>
      <c r="BA8908"/>
      <c r="BB8908"/>
      <c r="BC8908"/>
      <c r="BD8908"/>
      <c r="BE8908"/>
      <c r="BF8908"/>
    </row>
    <row r="8909" spans="13:58" ht="12" hidden="1" customHeight="1">
      <c r="M8909" s="820"/>
      <c r="N8909" s="239"/>
      <c r="O8909" s="225"/>
      <c r="P8909" s="260"/>
      <c r="Q8909" s="258"/>
      <c r="R8909" s="260"/>
      <c r="S8909" s="260"/>
      <c r="T8909" s="260"/>
      <c r="U8909" s="260"/>
      <c r="V8909" s="260"/>
      <c r="W8909" s="260"/>
      <c r="X8909" s="260"/>
      <c r="Y8909" s="260"/>
      <c r="Z8909" s="260"/>
      <c r="AA8909" s="260"/>
      <c r="AB8909" s="260"/>
      <c r="AC8909" s="260"/>
      <c r="AD8909" s="260"/>
      <c r="AE8909" s="260"/>
      <c r="AF8909" s="260"/>
      <c r="AG8909" s="258"/>
      <c r="AO8909"/>
      <c r="AP8909"/>
      <c r="AQ8909"/>
      <c r="AR8909"/>
      <c r="AS8909"/>
      <c r="AT8909"/>
      <c r="AU8909"/>
      <c r="AV8909"/>
      <c r="AW8909"/>
      <c r="AX8909"/>
      <c r="AY8909"/>
      <c r="AZ8909"/>
      <c r="BA8909"/>
      <c r="BB8909"/>
      <c r="BC8909"/>
      <c r="BD8909"/>
      <c r="BE8909"/>
      <c r="BF8909"/>
    </row>
    <row r="8910" spans="13:58" ht="12" hidden="1" customHeight="1">
      <c r="M8910" s="820"/>
      <c r="N8910" s="239"/>
      <c r="O8910" s="225"/>
      <c r="P8910" s="260"/>
      <c r="Q8910" s="258"/>
      <c r="R8910" s="260"/>
      <c r="S8910" s="260"/>
      <c r="T8910" s="260"/>
      <c r="U8910" s="260"/>
      <c r="V8910" s="260"/>
      <c r="W8910" s="260"/>
      <c r="X8910" s="260"/>
      <c r="Y8910" s="260"/>
      <c r="Z8910" s="260"/>
      <c r="AA8910" s="260"/>
      <c r="AB8910" s="260"/>
      <c r="AC8910" s="260"/>
      <c r="AD8910" s="260"/>
      <c r="AE8910" s="260"/>
      <c r="AF8910" s="260"/>
      <c r="AG8910" s="258"/>
      <c r="AO8910"/>
      <c r="AP8910"/>
      <c r="AQ8910"/>
      <c r="AR8910"/>
      <c r="AS8910"/>
      <c r="AT8910"/>
      <c r="AU8910"/>
      <c r="AV8910"/>
      <c r="AW8910"/>
      <c r="AX8910"/>
      <c r="AY8910"/>
      <c r="AZ8910"/>
      <c r="BA8910"/>
      <c r="BB8910"/>
      <c r="BC8910"/>
      <c r="BD8910"/>
      <c r="BE8910"/>
      <c r="BF8910"/>
    </row>
    <row r="8911" spans="13:58" ht="12" hidden="1" customHeight="1">
      <c r="M8911" s="820"/>
      <c r="N8911" s="239"/>
      <c r="O8911" s="225"/>
      <c r="P8911" s="260"/>
      <c r="Q8911" s="258"/>
      <c r="R8911" s="260"/>
      <c r="S8911" s="260"/>
      <c r="T8911" s="260"/>
      <c r="U8911" s="260"/>
      <c r="V8911" s="260"/>
      <c r="W8911" s="260"/>
      <c r="X8911" s="260"/>
      <c r="Y8911" s="260"/>
      <c r="Z8911" s="260"/>
      <c r="AA8911" s="260"/>
      <c r="AB8911" s="260"/>
      <c r="AC8911" s="260"/>
      <c r="AD8911" s="260"/>
      <c r="AE8911" s="260"/>
      <c r="AF8911" s="260"/>
      <c r="AG8911" s="258"/>
      <c r="AO8911"/>
      <c r="AP8911"/>
      <c r="AQ8911"/>
      <c r="AR8911"/>
      <c r="AS8911"/>
      <c r="AT8911"/>
      <c r="AU8911"/>
      <c r="AV8911"/>
      <c r="AW8911"/>
      <c r="AX8911"/>
      <c r="AY8911"/>
      <c r="AZ8911"/>
      <c r="BA8911"/>
      <c r="BB8911"/>
      <c r="BC8911"/>
      <c r="BD8911"/>
      <c r="BE8911"/>
      <c r="BF8911"/>
    </row>
    <row r="8912" spans="13:58" ht="12" hidden="1" customHeight="1">
      <c r="M8912" s="820"/>
      <c r="N8912" s="239"/>
      <c r="O8912" s="225"/>
      <c r="P8912" s="260"/>
      <c r="Q8912" s="258"/>
      <c r="R8912" s="260"/>
      <c r="S8912" s="260"/>
      <c r="T8912" s="260"/>
      <c r="U8912" s="260"/>
      <c r="V8912" s="260"/>
      <c r="W8912" s="260"/>
      <c r="X8912" s="260"/>
      <c r="Y8912" s="260"/>
      <c r="Z8912" s="260"/>
      <c r="AA8912" s="260"/>
      <c r="AB8912" s="260"/>
      <c r="AC8912" s="260"/>
      <c r="AD8912" s="260"/>
      <c r="AE8912" s="260"/>
      <c r="AF8912" s="260"/>
      <c r="AG8912" s="258"/>
      <c r="AO8912"/>
      <c r="AP8912"/>
      <c r="AQ8912"/>
      <c r="AR8912"/>
      <c r="AS8912"/>
      <c r="AT8912"/>
      <c r="AU8912"/>
      <c r="AV8912"/>
      <c r="AW8912"/>
      <c r="AX8912"/>
      <c r="AY8912"/>
      <c r="AZ8912"/>
      <c r="BA8912"/>
      <c r="BB8912"/>
      <c r="BC8912"/>
      <c r="BD8912"/>
      <c r="BE8912"/>
      <c r="BF8912"/>
    </row>
    <row r="8913" spans="13:58" ht="12" hidden="1" customHeight="1">
      <c r="M8913" s="820"/>
      <c r="N8913" s="239"/>
      <c r="O8913" s="225"/>
      <c r="P8913" s="260"/>
      <c r="Q8913" s="258"/>
      <c r="R8913" s="260"/>
      <c r="S8913" s="260"/>
      <c r="T8913" s="260"/>
      <c r="U8913" s="260"/>
      <c r="V8913" s="260"/>
      <c r="W8913" s="260"/>
      <c r="X8913" s="260"/>
      <c r="Y8913" s="260"/>
      <c r="Z8913" s="260"/>
      <c r="AA8913" s="260"/>
      <c r="AB8913" s="260"/>
      <c r="AC8913" s="260"/>
      <c r="AD8913" s="260"/>
      <c r="AE8913" s="260"/>
      <c r="AF8913" s="260"/>
      <c r="AG8913" s="258"/>
      <c r="AO8913"/>
      <c r="AP8913"/>
      <c r="AQ8913"/>
      <c r="AR8913"/>
      <c r="AS8913"/>
      <c r="AT8913"/>
      <c r="AU8913"/>
      <c r="AV8913"/>
      <c r="AW8913"/>
      <c r="AX8913"/>
      <c r="AY8913"/>
      <c r="AZ8913"/>
      <c r="BA8913"/>
      <c r="BB8913"/>
      <c r="BC8913"/>
      <c r="BD8913"/>
      <c r="BE8913"/>
      <c r="BF8913"/>
    </row>
    <row r="8914" spans="13:58" ht="12" hidden="1" customHeight="1">
      <c r="M8914" s="820"/>
      <c r="N8914" s="239"/>
      <c r="O8914" s="225"/>
      <c r="P8914" s="260"/>
      <c r="Q8914" s="258"/>
      <c r="R8914" s="260"/>
      <c r="S8914" s="260"/>
      <c r="T8914" s="260"/>
      <c r="U8914" s="260"/>
      <c r="V8914" s="260"/>
      <c r="W8914" s="260"/>
      <c r="X8914" s="260"/>
      <c r="Y8914" s="260"/>
      <c r="Z8914" s="260"/>
      <c r="AA8914" s="260"/>
      <c r="AB8914" s="260"/>
      <c r="AC8914" s="260"/>
      <c r="AD8914" s="260"/>
      <c r="AE8914" s="260"/>
      <c r="AF8914" s="260"/>
      <c r="AG8914" s="258"/>
      <c r="AO8914"/>
      <c r="AP8914"/>
      <c r="AQ8914"/>
      <c r="AR8914"/>
      <c r="AS8914"/>
      <c r="AT8914"/>
      <c r="AU8914"/>
      <c r="AV8914"/>
      <c r="AW8914"/>
      <c r="AX8914"/>
      <c r="AY8914"/>
      <c r="AZ8914"/>
      <c r="BA8914"/>
      <c r="BB8914"/>
      <c r="BC8914"/>
      <c r="BD8914"/>
      <c r="BE8914"/>
      <c r="BF8914"/>
    </row>
    <row r="8915" spans="13:58" ht="12" hidden="1" customHeight="1">
      <c r="M8915" s="820"/>
      <c r="N8915" s="239"/>
      <c r="O8915" s="225"/>
      <c r="P8915" s="260"/>
      <c r="Q8915" s="258"/>
      <c r="R8915" s="260"/>
      <c r="S8915" s="260"/>
      <c r="T8915" s="260"/>
      <c r="U8915" s="260"/>
      <c r="V8915" s="260"/>
      <c r="W8915" s="260"/>
      <c r="X8915" s="260"/>
      <c r="Y8915" s="260"/>
      <c r="Z8915" s="260"/>
      <c r="AA8915" s="260"/>
      <c r="AB8915" s="260"/>
      <c r="AC8915" s="260"/>
      <c r="AD8915" s="260"/>
      <c r="AE8915" s="260"/>
      <c r="AF8915" s="260"/>
      <c r="AG8915" s="258"/>
      <c r="AO8915"/>
      <c r="AP8915"/>
      <c r="AQ8915"/>
      <c r="AR8915"/>
      <c r="AS8915"/>
      <c r="AT8915"/>
      <c r="AU8915"/>
      <c r="AV8915"/>
      <c r="AW8915"/>
      <c r="AX8915"/>
      <c r="AY8915"/>
      <c r="AZ8915"/>
      <c r="BA8915"/>
      <c r="BB8915"/>
      <c r="BC8915"/>
      <c r="BD8915"/>
      <c r="BE8915"/>
      <c r="BF8915"/>
    </row>
    <row r="8916" spans="13:58" ht="12" hidden="1" customHeight="1">
      <c r="M8916" s="820"/>
      <c r="N8916" s="239"/>
      <c r="O8916" s="225"/>
      <c r="P8916" s="260"/>
      <c r="Q8916" s="258"/>
      <c r="R8916" s="260"/>
      <c r="S8916" s="260"/>
      <c r="T8916" s="260"/>
      <c r="U8916" s="260"/>
      <c r="V8916" s="260"/>
      <c r="W8916" s="260"/>
      <c r="X8916" s="260"/>
      <c r="Y8916" s="260"/>
      <c r="Z8916" s="260"/>
      <c r="AA8916" s="260"/>
      <c r="AB8916" s="260"/>
      <c r="AC8916" s="260"/>
      <c r="AD8916" s="260"/>
      <c r="AE8916" s="260"/>
      <c r="AF8916" s="260"/>
      <c r="AG8916" s="258"/>
      <c r="AO8916"/>
      <c r="AP8916"/>
      <c r="AQ8916"/>
      <c r="AR8916"/>
      <c r="AS8916"/>
      <c r="AT8916"/>
      <c r="AU8916"/>
      <c r="AV8916"/>
      <c r="AW8916"/>
      <c r="AX8916"/>
      <c r="AY8916"/>
      <c r="AZ8916"/>
      <c r="BA8916"/>
      <c r="BB8916"/>
      <c r="BC8916"/>
      <c r="BD8916"/>
      <c r="BE8916"/>
      <c r="BF8916"/>
    </row>
    <row r="8917" spans="13:58" ht="12" hidden="1" customHeight="1">
      <c r="M8917" s="820"/>
      <c r="N8917" s="239"/>
      <c r="O8917" s="225"/>
      <c r="P8917" s="260"/>
      <c r="Q8917" s="258"/>
      <c r="R8917" s="260"/>
      <c r="S8917" s="260"/>
      <c r="T8917" s="260"/>
      <c r="U8917" s="260"/>
      <c r="V8917" s="260"/>
      <c r="W8917" s="260"/>
      <c r="X8917" s="260"/>
      <c r="Y8917" s="260"/>
      <c r="Z8917" s="260"/>
      <c r="AA8917" s="260"/>
      <c r="AB8917" s="260"/>
      <c r="AC8917" s="260"/>
      <c r="AD8917" s="260"/>
      <c r="AE8917" s="260"/>
      <c r="AF8917" s="260"/>
      <c r="AG8917" s="258"/>
      <c r="AO8917"/>
      <c r="AP8917"/>
      <c r="AQ8917"/>
      <c r="AR8917"/>
      <c r="AS8917"/>
      <c r="AT8917"/>
      <c r="AU8917"/>
      <c r="AV8917"/>
      <c r="AW8917"/>
      <c r="AX8917"/>
      <c r="AY8917"/>
      <c r="AZ8917"/>
      <c r="BA8917"/>
      <c r="BB8917"/>
      <c r="BC8917"/>
      <c r="BD8917"/>
      <c r="BE8917"/>
      <c r="BF8917"/>
    </row>
    <row r="8918" spans="13:58" ht="12" hidden="1" customHeight="1">
      <c r="M8918" s="820"/>
      <c r="N8918" s="239"/>
      <c r="O8918" s="225"/>
      <c r="P8918" s="260"/>
      <c r="Q8918" s="258"/>
      <c r="R8918" s="260"/>
      <c r="S8918" s="260"/>
      <c r="T8918" s="260"/>
      <c r="U8918" s="260"/>
      <c r="V8918" s="260"/>
      <c r="W8918" s="260"/>
      <c r="X8918" s="260"/>
      <c r="Y8918" s="260"/>
      <c r="Z8918" s="260"/>
      <c r="AA8918" s="260"/>
      <c r="AB8918" s="260"/>
      <c r="AC8918" s="260"/>
      <c r="AD8918" s="260"/>
      <c r="AE8918" s="260"/>
      <c r="AF8918" s="260"/>
      <c r="AG8918" s="258"/>
      <c r="AO8918"/>
      <c r="AP8918"/>
      <c r="AQ8918"/>
      <c r="AR8918"/>
      <c r="AS8918"/>
      <c r="AT8918"/>
      <c r="AU8918"/>
      <c r="AV8918"/>
      <c r="AW8918"/>
      <c r="AX8918"/>
      <c r="AY8918"/>
      <c r="AZ8918"/>
      <c r="BA8918"/>
      <c r="BB8918"/>
      <c r="BC8918"/>
      <c r="BD8918"/>
      <c r="BE8918"/>
      <c r="BF8918"/>
    </row>
    <row r="8919" spans="13:58" ht="12" hidden="1" customHeight="1">
      <c r="M8919" s="820"/>
      <c r="N8919" s="239"/>
      <c r="O8919" s="225"/>
      <c r="P8919" s="260"/>
      <c r="Q8919" s="258"/>
      <c r="R8919" s="260"/>
      <c r="S8919" s="260"/>
      <c r="T8919" s="260"/>
      <c r="U8919" s="260"/>
      <c r="V8919" s="260"/>
      <c r="W8919" s="260"/>
      <c r="X8919" s="260"/>
      <c r="Y8919" s="260"/>
      <c r="Z8919" s="260"/>
      <c r="AA8919" s="260"/>
      <c r="AB8919" s="260"/>
      <c r="AC8919" s="260"/>
      <c r="AD8919" s="260"/>
      <c r="AE8919" s="260"/>
      <c r="AF8919" s="260"/>
      <c r="AG8919" s="258"/>
      <c r="AO8919"/>
      <c r="AP8919"/>
      <c r="AQ8919"/>
      <c r="AR8919"/>
      <c r="AS8919"/>
      <c r="AT8919"/>
      <c r="AU8919"/>
      <c r="AV8919"/>
      <c r="AW8919"/>
      <c r="AX8919"/>
      <c r="AY8919"/>
      <c r="AZ8919"/>
      <c r="BA8919"/>
      <c r="BB8919"/>
      <c r="BC8919"/>
      <c r="BD8919"/>
      <c r="BE8919"/>
      <c r="BF8919"/>
    </row>
    <row r="8920" spans="13:58" ht="12" hidden="1" customHeight="1">
      <c r="M8920" s="820"/>
      <c r="N8920" s="239"/>
      <c r="O8920" s="225"/>
      <c r="P8920" s="260"/>
      <c r="Q8920" s="258"/>
      <c r="R8920" s="260"/>
      <c r="S8920" s="260"/>
      <c r="T8920" s="260"/>
      <c r="U8920" s="260"/>
      <c r="V8920" s="260"/>
      <c r="W8920" s="260"/>
      <c r="X8920" s="260"/>
      <c r="Y8920" s="260"/>
      <c r="Z8920" s="260"/>
      <c r="AA8920" s="260"/>
      <c r="AB8920" s="260"/>
      <c r="AC8920" s="260"/>
      <c r="AD8920" s="260"/>
      <c r="AE8920" s="260"/>
      <c r="AF8920" s="260"/>
      <c r="AG8920" s="258"/>
      <c r="AO8920"/>
      <c r="AP8920"/>
      <c r="AQ8920"/>
      <c r="AR8920"/>
      <c r="AS8920"/>
      <c r="AT8920"/>
      <c r="AU8920"/>
      <c r="AV8920"/>
      <c r="AW8920"/>
      <c r="AX8920"/>
      <c r="AY8920"/>
      <c r="AZ8920"/>
      <c r="BA8920"/>
      <c r="BB8920"/>
      <c r="BC8920"/>
      <c r="BD8920"/>
      <c r="BE8920"/>
      <c r="BF8920"/>
    </row>
    <row r="8921" spans="13:58" ht="12" hidden="1" customHeight="1">
      <c r="M8921" s="820"/>
      <c r="N8921" s="239"/>
      <c r="O8921" s="225"/>
      <c r="P8921" s="260"/>
      <c r="Q8921" s="258"/>
      <c r="R8921" s="260"/>
      <c r="S8921" s="260"/>
      <c r="T8921" s="260"/>
      <c r="U8921" s="260"/>
      <c r="V8921" s="260"/>
      <c r="W8921" s="260"/>
      <c r="X8921" s="260"/>
      <c r="Y8921" s="260"/>
      <c r="Z8921" s="260"/>
      <c r="AA8921" s="260"/>
      <c r="AB8921" s="260"/>
      <c r="AC8921" s="260"/>
      <c r="AD8921" s="260"/>
      <c r="AE8921" s="260"/>
      <c r="AF8921" s="260"/>
      <c r="AG8921" s="258"/>
      <c r="AO8921"/>
      <c r="AP8921"/>
      <c r="AQ8921"/>
      <c r="AR8921"/>
      <c r="AS8921"/>
      <c r="AT8921"/>
      <c r="AU8921"/>
      <c r="AV8921"/>
      <c r="AW8921"/>
      <c r="AX8921"/>
      <c r="AY8921"/>
      <c r="AZ8921"/>
      <c r="BA8921"/>
      <c r="BB8921"/>
      <c r="BC8921"/>
      <c r="BD8921"/>
      <c r="BE8921"/>
      <c r="BF8921"/>
    </row>
    <row r="8922" spans="13:58" ht="12" hidden="1" customHeight="1">
      <c r="M8922" s="820"/>
      <c r="N8922" s="239"/>
      <c r="O8922" s="225"/>
      <c r="P8922" s="260"/>
      <c r="Q8922" s="258"/>
      <c r="R8922" s="260"/>
      <c r="S8922" s="260"/>
      <c r="T8922" s="260"/>
      <c r="U8922" s="260"/>
      <c r="V8922" s="260"/>
      <c r="W8922" s="260"/>
      <c r="X8922" s="260"/>
      <c r="Y8922" s="260"/>
      <c r="Z8922" s="260"/>
      <c r="AA8922" s="260"/>
      <c r="AB8922" s="260"/>
      <c r="AC8922" s="260"/>
      <c r="AD8922" s="260"/>
      <c r="AE8922" s="260"/>
      <c r="AF8922" s="260"/>
      <c r="AG8922" s="258"/>
      <c r="AO8922"/>
      <c r="AP8922"/>
      <c r="AQ8922"/>
      <c r="AR8922"/>
      <c r="AS8922"/>
      <c r="AT8922"/>
      <c r="AU8922"/>
      <c r="AV8922"/>
      <c r="AW8922"/>
      <c r="AX8922"/>
      <c r="AY8922"/>
      <c r="AZ8922"/>
      <c r="BA8922"/>
      <c r="BB8922"/>
      <c r="BC8922"/>
      <c r="BD8922"/>
      <c r="BE8922"/>
      <c r="BF8922"/>
    </row>
    <row r="8923" spans="13:58" ht="12" hidden="1" customHeight="1">
      <c r="M8923" s="820"/>
      <c r="N8923" s="239"/>
      <c r="O8923" s="225"/>
      <c r="P8923" s="260"/>
      <c r="Q8923" s="258"/>
      <c r="R8923" s="260"/>
      <c r="S8923" s="260"/>
      <c r="T8923" s="260"/>
      <c r="U8923" s="260"/>
      <c r="V8923" s="260"/>
      <c r="W8923" s="260"/>
      <c r="X8923" s="260"/>
      <c r="Y8923" s="260"/>
      <c r="Z8923" s="260"/>
      <c r="AA8923" s="260"/>
      <c r="AB8923" s="260"/>
      <c r="AC8923" s="260"/>
      <c r="AD8923" s="260"/>
      <c r="AE8923" s="260"/>
      <c r="AF8923" s="260"/>
      <c r="AG8923" s="258"/>
      <c r="AO8923"/>
      <c r="AP8923"/>
      <c r="AQ8923"/>
      <c r="AR8923"/>
      <c r="AS8923"/>
      <c r="AT8923"/>
      <c r="AU8923"/>
      <c r="AV8923"/>
      <c r="AW8923"/>
      <c r="AX8923"/>
      <c r="AY8923"/>
      <c r="AZ8923"/>
      <c r="BA8923"/>
      <c r="BB8923"/>
      <c r="BC8923"/>
      <c r="BD8923"/>
      <c r="BE8923"/>
      <c r="BF8923"/>
    </row>
    <row r="8924" spans="13:58" ht="12" hidden="1" customHeight="1">
      <c r="M8924" s="820"/>
      <c r="N8924" s="239"/>
      <c r="O8924" s="225"/>
      <c r="P8924" s="260"/>
      <c r="Q8924" s="258"/>
      <c r="R8924" s="260"/>
      <c r="S8924" s="260"/>
      <c r="T8924" s="260"/>
      <c r="U8924" s="260"/>
      <c r="V8924" s="260"/>
      <c r="W8924" s="260"/>
      <c r="X8924" s="260"/>
      <c r="Y8924" s="260"/>
      <c r="Z8924" s="260"/>
      <c r="AA8924" s="260"/>
      <c r="AB8924" s="260"/>
      <c r="AC8924" s="260"/>
      <c r="AD8924" s="260"/>
      <c r="AE8924" s="260"/>
      <c r="AF8924" s="260"/>
      <c r="AG8924" s="258"/>
      <c r="AO8924"/>
      <c r="AP8924"/>
      <c r="AQ8924"/>
      <c r="AR8924"/>
      <c r="AS8924"/>
      <c r="AT8924"/>
      <c r="AU8924"/>
      <c r="AV8924"/>
      <c r="AW8924"/>
      <c r="AX8924"/>
      <c r="AY8924"/>
      <c r="AZ8924"/>
      <c r="BA8924"/>
      <c r="BB8924"/>
      <c r="BC8924"/>
      <c r="BD8924"/>
      <c r="BE8924"/>
      <c r="BF8924"/>
    </row>
    <row r="8925" spans="13:58" ht="12" hidden="1" customHeight="1">
      <c r="M8925" s="820"/>
      <c r="N8925" s="239"/>
      <c r="O8925" s="225"/>
      <c r="P8925" s="260"/>
      <c r="Q8925" s="258"/>
      <c r="R8925" s="260"/>
      <c r="S8925" s="260"/>
      <c r="T8925" s="260"/>
      <c r="U8925" s="260"/>
      <c r="V8925" s="260"/>
      <c r="W8925" s="260"/>
      <c r="X8925" s="260"/>
      <c r="Y8925" s="260"/>
      <c r="Z8925" s="260"/>
      <c r="AA8925" s="260"/>
      <c r="AB8925" s="260"/>
      <c r="AC8925" s="260"/>
      <c r="AD8925" s="260"/>
      <c r="AE8925" s="260"/>
      <c r="AF8925" s="260"/>
      <c r="AG8925" s="258"/>
      <c r="AO8925"/>
      <c r="AP8925"/>
      <c r="AQ8925"/>
      <c r="AR8925"/>
      <c r="AS8925"/>
      <c r="AT8925"/>
      <c r="AU8925"/>
      <c r="AV8925"/>
      <c r="AW8925"/>
      <c r="AX8925"/>
      <c r="AY8925"/>
      <c r="AZ8925"/>
      <c r="BA8925"/>
      <c r="BB8925"/>
      <c r="BC8925"/>
      <c r="BD8925"/>
      <c r="BE8925"/>
      <c r="BF8925"/>
    </row>
    <row r="8926" spans="13:58" ht="12" hidden="1" customHeight="1">
      <c r="M8926" s="820"/>
      <c r="N8926" s="239"/>
      <c r="O8926" s="225"/>
      <c r="P8926" s="260"/>
      <c r="Q8926" s="258"/>
      <c r="R8926" s="260"/>
      <c r="S8926" s="260"/>
      <c r="T8926" s="260"/>
      <c r="U8926" s="260"/>
      <c r="V8926" s="260"/>
      <c r="W8926" s="260"/>
      <c r="X8926" s="260"/>
      <c r="Y8926" s="260"/>
      <c r="Z8926" s="260"/>
      <c r="AA8926" s="260"/>
      <c r="AB8926" s="260"/>
      <c r="AC8926" s="260"/>
      <c r="AD8926" s="260"/>
      <c r="AE8926" s="260"/>
      <c r="AF8926" s="260"/>
      <c r="AG8926" s="258"/>
      <c r="AO8926"/>
      <c r="AP8926"/>
      <c r="AQ8926"/>
      <c r="AR8926"/>
      <c r="AS8926"/>
      <c r="AT8926"/>
      <c r="AU8926"/>
      <c r="AV8926"/>
      <c r="AW8926"/>
      <c r="AX8926"/>
      <c r="AY8926"/>
      <c r="AZ8926"/>
      <c r="BA8926"/>
      <c r="BB8926"/>
      <c r="BC8926"/>
      <c r="BD8926"/>
      <c r="BE8926"/>
      <c r="BF8926"/>
    </row>
    <row r="8927" spans="13:58" ht="12" hidden="1" customHeight="1">
      <c r="M8927" s="820"/>
      <c r="N8927" s="239"/>
      <c r="O8927" s="225"/>
      <c r="P8927" s="260"/>
      <c r="Q8927" s="258"/>
      <c r="R8927" s="260"/>
      <c r="S8927" s="260"/>
      <c r="T8927" s="260"/>
      <c r="U8927" s="260"/>
      <c r="V8927" s="260"/>
      <c r="W8927" s="260"/>
      <c r="X8927" s="260"/>
      <c r="Y8927" s="260"/>
      <c r="Z8927" s="260"/>
      <c r="AA8927" s="260"/>
      <c r="AB8927" s="260"/>
      <c r="AC8927" s="260"/>
      <c r="AD8927" s="260"/>
      <c r="AE8927" s="260"/>
      <c r="AF8927" s="260"/>
      <c r="AG8927" s="258"/>
      <c r="AO8927"/>
      <c r="AP8927"/>
      <c r="AQ8927"/>
      <c r="AR8927"/>
      <c r="AS8927"/>
      <c r="AT8927"/>
      <c r="AU8927"/>
      <c r="AV8927"/>
      <c r="AW8927"/>
      <c r="AX8927"/>
      <c r="AY8927"/>
      <c r="AZ8927"/>
      <c r="BA8927"/>
      <c r="BB8927"/>
      <c r="BC8927"/>
      <c r="BD8927"/>
      <c r="BE8927"/>
      <c r="BF8927"/>
    </row>
    <row r="8928" spans="13:58" ht="12" hidden="1" customHeight="1">
      <c r="M8928" s="820"/>
      <c r="N8928" s="239"/>
      <c r="O8928" s="225"/>
      <c r="P8928" s="260"/>
      <c r="Q8928" s="258"/>
      <c r="R8928" s="260"/>
      <c r="S8928" s="260"/>
      <c r="T8928" s="260"/>
      <c r="U8928" s="260"/>
      <c r="V8928" s="260"/>
      <c r="W8928" s="260"/>
      <c r="X8928" s="260"/>
      <c r="Y8928" s="260"/>
      <c r="Z8928" s="260"/>
      <c r="AA8928" s="260"/>
      <c r="AB8928" s="260"/>
      <c r="AC8928" s="260"/>
      <c r="AD8928" s="260"/>
      <c r="AE8928" s="260"/>
      <c r="AF8928" s="260"/>
      <c r="AG8928" s="258"/>
      <c r="AO8928"/>
      <c r="AP8928"/>
      <c r="AQ8928"/>
      <c r="AR8928"/>
      <c r="AS8928"/>
      <c r="AT8928"/>
      <c r="AU8928"/>
      <c r="AV8928"/>
      <c r="AW8928"/>
      <c r="AX8928"/>
      <c r="AY8928"/>
      <c r="AZ8928"/>
      <c r="BA8928"/>
      <c r="BB8928"/>
      <c r="BC8928"/>
      <c r="BD8928"/>
      <c r="BE8928"/>
      <c r="BF8928"/>
    </row>
    <row r="8929" spans="13:58" ht="12" hidden="1" customHeight="1">
      <c r="M8929" s="820"/>
      <c r="N8929" s="239"/>
      <c r="O8929" s="225"/>
      <c r="P8929" s="260"/>
      <c r="Q8929" s="258"/>
      <c r="R8929" s="260"/>
      <c r="S8929" s="260"/>
      <c r="T8929" s="260"/>
      <c r="U8929" s="260"/>
      <c r="V8929" s="260"/>
      <c r="W8929" s="260"/>
      <c r="X8929" s="260"/>
      <c r="Y8929" s="260"/>
      <c r="Z8929" s="260"/>
      <c r="AA8929" s="260"/>
      <c r="AB8929" s="260"/>
      <c r="AC8929" s="260"/>
      <c r="AD8929" s="260"/>
      <c r="AE8929" s="260"/>
      <c r="AF8929" s="260"/>
      <c r="AG8929" s="258"/>
      <c r="AO8929"/>
      <c r="AP8929"/>
      <c r="AQ8929"/>
      <c r="AR8929"/>
      <c r="AS8929"/>
      <c r="AT8929"/>
      <c r="AU8929"/>
      <c r="AV8929"/>
      <c r="AW8929"/>
      <c r="AX8929"/>
      <c r="AY8929"/>
      <c r="AZ8929"/>
      <c r="BA8929"/>
      <c r="BB8929"/>
      <c r="BC8929"/>
      <c r="BD8929"/>
      <c r="BE8929"/>
      <c r="BF8929"/>
    </row>
    <row r="8930" spans="13:58" ht="12" hidden="1" customHeight="1">
      <c r="M8930" s="820"/>
      <c r="N8930" s="239"/>
      <c r="O8930" s="225"/>
      <c r="P8930" s="260"/>
      <c r="Q8930" s="258"/>
      <c r="R8930" s="260"/>
      <c r="S8930" s="260"/>
      <c r="T8930" s="260"/>
      <c r="U8930" s="260"/>
      <c r="V8930" s="260"/>
      <c r="W8930" s="260"/>
      <c r="X8930" s="260"/>
      <c r="Y8930" s="260"/>
      <c r="Z8930" s="260"/>
      <c r="AA8930" s="260"/>
      <c r="AB8930" s="260"/>
      <c r="AC8930" s="260"/>
      <c r="AD8930" s="260"/>
      <c r="AE8930" s="260"/>
      <c r="AF8930" s="260"/>
      <c r="AG8930" s="258"/>
      <c r="AO8930"/>
      <c r="AP8930"/>
      <c r="AQ8930"/>
      <c r="AR8930"/>
      <c r="AS8930"/>
      <c r="AT8930"/>
      <c r="AU8930"/>
      <c r="AV8930"/>
      <c r="AW8930"/>
      <c r="AX8930"/>
      <c r="AY8930"/>
      <c r="AZ8930"/>
      <c r="BA8930"/>
      <c r="BB8930"/>
      <c r="BC8930"/>
      <c r="BD8930"/>
      <c r="BE8930"/>
      <c r="BF8930"/>
    </row>
    <row r="8931" spans="13:58" ht="12" hidden="1" customHeight="1">
      <c r="M8931" s="820"/>
      <c r="N8931" s="239"/>
      <c r="O8931" s="225"/>
      <c r="P8931" s="260"/>
      <c r="Q8931" s="258"/>
      <c r="R8931" s="260"/>
      <c r="S8931" s="260"/>
      <c r="T8931" s="260"/>
      <c r="U8931" s="260"/>
      <c r="V8931" s="260"/>
      <c r="W8931" s="260"/>
      <c r="X8931" s="260"/>
      <c r="Y8931" s="260"/>
      <c r="Z8931" s="260"/>
      <c r="AA8931" s="260"/>
      <c r="AB8931" s="260"/>
      <c r="AC8931" s="260"/>
      <c r="AD8931" s="260"/>
      <c r="AE8931" s="260"/>
      <c r="AF8931" s="260"/>
      <c r="AG8931" s="258"/>
      <c r="AO8931"/>
      <c r="AP8931"/>
      <c r="AQ8931"/>
      <c r="AR8931"/>
      <c r="AS8931"/>
      <c r="AT8931"/>
      <c r="AU8931"/>
      <c r="AV8931"/>
      <c r="AW8931"/>
      <c r="AX8931"/>
      <c r="AY8931"/>
      <c r="AZ8931"/>
      <c r="BA8931"/>
      <c r="BB8931"/>
      <c r="BC8931"/>
      <c r="BD8931"/>
      <c r="BE8931"/>
      <c r="BF8931"/>
    </row>
    <row r="8932" spans="13:58" ht="12" hidden="1" customHeight="1">
      <c r="M8932" s="820"/>
      <c r="N8932" s="239"/>
      <c r="O8932" s="225"/>
      <c r="P8932" s="260"/>
      <c r="Q8932" s="258"/>
      <c r="R8932" s="260"/>
      <c r="S8932" s="260"/>
      <c r="T8932" s="260"/>
      <c r="U8932" s="260"/>
      <c r="V8932" s="260"/>
      <c r="W8932" s="260"/>
      <c r="X8932" s="260"/>
      <c r="Y8932" s="260"/>
      <c r="Z8932" s="260"/>
      <c r="AA8932" s="260"/>
      <c r="AB8932" s="260"/>
      <c r="AC8932" s="260"/>
      <c r="AD8932" s="260"/>
      <c r="AE8932" s="260"/>
      <c r="AF8932" s="260"/>
      <c r="AG8932" s="258"/>
      <c r="AO8932"/>
      <c r="AP8932"/>
      <c r="AQ8932"/>
      <c r="AR8932"/>
      <c r="AS8932"/>
      <c r="AT8932"/>
      <c r="AU8932"/>
      <c r="AV8932"/>
      <c r="AW8932"/>
      <c r="AX8932"/>
      <c r="AY8932"/>
      <c r="AZ8932"/>
      <c r="BA8932"/>
      <c r="BB8932"/>
      <c r="BC8932"/>
      <c r="BD8932"/>
      <c r="BE8932"/>
      <c r="BF8932"/>
    </row>
    <row r="8933" spans="13:58" ht="12" hidden="1" customHeight="1">
      <c r="M8933" s="820"/>
      <c r="N8933" s="239"/>
      <c r="O8933" s="225"/>
      <c r="P8933" s="260"/>
      <c r="Q8933" s="258"/>
      <c r="R8933" s="260"/>
      <c r="S8933" s="260"/>
      <c r="T8933" s="260"/>
      <c r="U8933" s="260"/>
      <c r="V8933" s="260"/>
      <c r="W8933" s="260"/>
      <c r="X8933" s="260"/>
      <c r="Y8933" s="260"/>
      <c r="Z8933" s="260"/>
      <c r="AA8933" s="260"/>
      <c r="AB8933" s="260"/>
      <c r="AC8933" s="260"/>
      <c r="AD8933" s="260"/>
      <c r="AE8933" s="260"/>
      <c r="AF8933" s="260"/>
      <c r="AG8933" s="258"/>
      <c r="AO8933"/>
      <c r="AP8933"/>
      <c r="AQ8933"/>
      <c r="AR8933"/>
      <c r="AS8933"/>
      <c r="AT8933"/>
      <c r="AU8933"/>
      <c r="AV8933"/>
      <c r="AW8933"/>
      <c r="AX8933"/>
      <c r="AY8933"/>
      <c r="AZ8933"/>
      <c r="BA8933"/>
      <c r="BB8933"/>
      <c r="BC8933"/>
      <c r="BD8933"/>
      <c r="BE8933"/>
      <c r="BF8933"/>
    </row>
    <row r="8934" spans="13:58" ht="12" hidden="1" customHeight="1">
      <c r="M8934" s="820"/>
      <c r="N8934" s="239"/>
      <c r="O8934" s="225"/>
      <c r="P8934" s="260"/>
      <c r="Q8934" s="258"/>
      <c r="R8934" s="260"/>
      <c r="S8934" s="260"/>
      <c r="T8934" s="260"/>
      <c r="U8934" s="260"/>
      <c r="V8934" s="260"/>
      <c r="W8934" s="260"/>
      <c r="X8934" s="260"/>
      <c r="Y8934" s="260"/>
      <c r="Z8934" s="260"/>
      <c r="AA8934" s="260"/>
      <c r="AB8934" s="260"/>
      <c r="AC8934" s="260"/>
      <c r="AD8934" s="260"/>
      <c r="AE8934" s="260"/>
      <c r="AF8934" s="260"/>
      <c r="AG8934" s="258"/>
      <c r="AO8934"/>
      <c r="AP8934"/>
      <c r="AQ8934"/>
      <c r="AR8934"/>
      <c r="AS8934"/>
      <c r="AT8934"/>
      <c r="AU8934"/>
      <c r="AV8934"/>
      <c r="AW8934"/>
      <c r="AX8934"/>
      <c r="AY8934"/>
      <c r="AZ8934"/>
      <c r="BA8934"/>
      <c r="BB8934"/>
      <c r="BC8934"/>
      <c r="BD8934"/>
      <c r="BE8934"/>
      <c r="BF8934"/>
    </row>
    <row r="8935" spans="13:58" ht="12" hidden="1" customHeight="1">
      <c r="M8935" s="820"/>
      <c r="N8935" s="239"/>
      <c r="O8935" s="225"/>
      <c r="P8935" s="260"/>
      <c r="Q8935" s="258"/>
      <c r="R8935" s="260"/>
      <c r="S8935" s="260"/>
      <c r="T8935" s="260"/>
      <c r="U8935" s="260"/>
      <c r="V8935" s="260"/>
      <c r="W8935" s="260"/>
      <c r="X8935" s="260"/>
      <c r="Y8935" s="260"/>
      <c r="Z8935" s="260"/>
      <c r="AA8935" s="260"/>
      <c r="AB8935" s="260"/>
      <c r="AC8935" s="260"/>
      <c r="AD8935" s="260"/>
      <c r="AE8935" s="260"/>
      <c r="AF8935" s="260"/>
      <c r="AG8935" s="258"/>
      <c r="AO8935"/>
      <c r="AP8935"/>
      <c r="AQ8935"/>
      <c r="AR8935"/>
      <c r="AS8935"/>
      <c r="AT8935"/>
      <c r="AU8935"/>
      <c r="AV8935"/>
      <c r="AW8935"/>
      <c r="AX8935"/>
      <c r="AY8935"/>
      <c r="AZ8935"/>
      <c r="BA8935"/>
      <c r="BB8935"/>
      <c r="BC8935"/>
      <c r="BD8935"/>
      <c r="BE8935"/>
      <c r="BF8935"/>
    </row>
    <row r="8936" spans="13:58" ht="12" hidden="1" customHeight="1">
      <c r="M8936" s="820"/>
      <c r="N8936" s="239"/>
      <c r="O8936" s="225"/>
      <c r="P8936" s="260"/>
      <c r="Q8936" s="258"/>
      <c r="R8936" s="260"/>
      <c r="S8936" s="260"/>
      <c r="T8936" s="260"/>
      <c r="U8936" s="260"/>
      <c r="V8936" s="260"/>
      <c r="W8936" s="260"/>
      <c r="X8936" s="260"/>
      <c r="Y8936" s="260"/>
      <c r="Z8936" s="260"/>
      <c r="AA8936" s="260"/>
      <c r="AB8936" s="260"/>
      <c r="AC8936" s="260"/>
      <c r="AD8936" s="260"/>
      <c r="AE8936" s="260"/>
      <c r="AF8936" s="260"/>
      <c r="AG8936" s="258"/>
      <c r="AO8936"/>
      <c r="AP8936"/>
      <c r="AQ8936"/>
      <c r="AR8936"/>
      <c r="AS8936"/>
      <c r="AT8936"/>
      <c r="AU8936"/>
      <c r="AV8936"/>
      <c r="AW8936"/>
      <c r="AX8936"/>
      <c r="AY8936"/>
      <c r="AZ8936"/>
      <c r="BA8936"/>
      <c r="BB8936"/>
      <c r="BC8936"/>
      <c r="BD8936"/>
      <c r="BE8936"/>
      <c r="BF8936"/>
    </row>
    <row r="8937" spans="13:58" ht="12" hidden="1" customHeight="1">
      <c r="M8937" s="820"/>
      <c r="N8937" s="239"/>
      <c r="O8937" s="225"/>
      <c r="P8937" s="260"/>
      <c r="Q8937" s="258"/>
      <c r="R8937" s="260"/>
      <c r="S8937" s="260"/>
      <c r="T8937" s="260"/>
      <c r="U8937" s="260"/>
      <c r="V8937" s="260"/>
      <c r="W8937" s="260"/>
      <c r="X8937" s="260"/>
      <c r="Y8937" s="260"/>
      <c r="Z8937" s="260"/>
      <c r="AA8937" s="260"/>
      <c r="AB8937" s="260"/>
      <c r="AC8937" s="260"/>
      <c r="AD8937" s="260"/>
      <c r="AE8937" s="260"/>
      <c r="AF8937" s="260"/>
      <c r="AG8937" s="258"/>
      <c r="AO8937"/>
      <c r="AP8937"/>
      <c r="AQ8937"/>
      <c r="AR8937"/>
      <c r="AS8937"/>
      <c r="AT8937"/>
      <c r="AU8937"/>
      <c r="AV8937"/>
      <c r="AW8937"/>
      <c r="AX8937"/>
      <c r="AY8937"/>
      <c r="AZ8937"/>
      <c r="BA8937"/>
      <c r="BB8937"/>
      <c r="BC8937"/>
      <c r="BD8937"/>
      <c r="BE8937"/>
      <c r="BF8937"/>
    </row>
    <row r="8938" spans="13:58" ht="12" hidden="1" customHeight="1">
      <c r="M8938" s="820"/>
      <c r="N8938" s="239"/>
      <c r="O8938" s="225"/>
      <c r="P8938" s="260"/>
      <c r="Q8938" s="258"/>
      <c r="R8938" s="260"/>
      <c r="S8938" s="260"/>
      <c r="T8938" s="260"/>
      <c r="U8938" s="260"/>
      <c r="V8938" s="260"/>
      <c r="W8938" s="260"/>
      <c r="X8938" s="260"/>
      <c r="Y8938" s="260"/>
      <c r="Z8938" s="260"/>
      <c r="AA8938" s="260"/>
      <c r="AB8938" s="260"/>
      <c r="AC8938" s="260"/>
      <c r="AD8938" s="260"/>
      <c r="AE8938" s="260"/>
      <c r="AF8938" s="260"/>
      <c r="AG8938" s="258"/>
      <c r="AO8938"/>
      <c r="AP8938"/>
      <c r="AQ8938"/>
      <c r="AR8938"/>
      <c r="AS8938"/>
      <c r="AT8938"/>
      <c r="AU8938"/>
      <c r="AV8938"/>
      <c r="AW8938"/>
      <c r="AX8938"/>
      <c r="AY8938"/>
      <c r="AZ8938"/>
      <c r="BA8938"/>
      <c r="BB8938"/>
      <c r="BC8938"/>
      <c r="BD8938"/>
      <c r="BE8938"/>
      <c r="BF8938"/>
    </row>
    <row r="8939" spans="13:58" ht="12" hidden="1" customHeight="1">
      <c r="M8939" s="820"/>
      <c r="N8939" s="239"/>
      <c r="O8939" s="225"/>
      <c r="P8939" s="260"/>
      <c r="Q8939" s="258"/>
      <c r="R8939" s="260"/>
      <c r="S8939" s="260"/>
      <c r="T8939" s="260"/>
      <c r="U8939" s="260"/>
      <c r="V8939" s="260"/>
      <c r="W8939" s="260"/>
      <c r="X8939" s="260"/>
      <c r="Y8939" s="260"/>
      <c r="Z8939" s="260"/>
      <c r="AA8939" s="260"/>
      <c r="AB8939" s="260"/>
      <c r="AC8939" s="260"/>
      <c r="AD8939" s="260"/>
      <c r="AE8939" s="260"/>
      <c r="AF8939" s="260"/>
      <c r="AG8939" s="258"/>
      <c r="AO8939"/>
      <c r="AP8939"/>
      <c r="AQ8939"/>
      <c r="AR8939"/>
      <c r="AS8939"/>
      <c r="AT8939"/>
      <c r="AU8939"/>
      <c r="AV8939"/>
      <c r="AW8939"/>
      <c r="AX8939"/>
      <c r="AY8939"/>
      <c r="AZ8939"/>
      <c r="BA8939"/>
      <c r="BB8939"/>
      <c r="BC8939"/>
      <c r="BD8939"/>
      <c r="BE8939"/>
      <c r="BF8939"/>
    </row>
    <row r="8940" spans="13:58" ht="12" hidden="1" customHeight="1">
      <c r="M8940" s="820"/>
      <c r="N8940" s="239"/>
      <c r="O8940" s="225"/>
      <c r="P8940" s="260"/>
      <c r="Q8940" s="258"/>
      <c r="R8940" s="260"/>
      <c r="S8940" s="260"/>
      <c r="T8940" s="260"/>
      <c r="U8940" s="260"/>
      <c r="V8940" s="260"/>
      <c r="W8940" s="260"/>
      <c r="X8940" s="260"/>
      <c r="Y8940" s="260"/>
      <c r="Z8940" s="260"/>
      <c r="AA8940" s="260"/>
      <c r="AB8940" s="260"/>
      <c r="AC8940" s="260"/>
      <c r="AD8940" s="260"/>
      <c r="AE8940" s="260"/>
      <c r="AF8940" s="260"/>
      <c r="AG8940" s="258"/>
      <c r="AO8940"/>
      <c r="AP8940"/>
      <c r="AQ8940"/>
      <c r="AR8940"/>
      <c r="AS8940"/>
      <c r="AT8940"/>
      <c r="AU8940"/>
      <c r="AV8940"/>
      <c r="AW8940"/>
      <c r="AX8940"/>
      <c r="AY8940"/>
      <c r="AZ8940"/>
      <c r="BA8940"/>
      <c r="BB8940"/>
      <c r="BC8940"/>
      <c r="BD8940"/>
      <c r="BE8940"/>
      <c r="BF8940"/>
    </row>
    <row r="8941" spans="13:58" ht="12" hidden="1" customHeight="1">
      <c r="M8941" s="820"/>
      <c r="N8941" s="239"/>
      <c r="O8941" s="225"/>
      <c r="P8941" s="260"/>
      <c r="Q8941" s="258"/>
      <c r="R8941" s="260"/>
      <c r="S8941" s="260"/>
      <c r="T8941" s="260"/>
      <c r="U8941" s="260"/>
      <c r="V8941" s="260"/>
      <c r="W8941" s="260"/>
      <c r="X8941" s="260"/>
      <c r="Y8941" s="260"/>
      <c r="Z8941" s="260"/>
      <c r="AA8941" s="260"/>
      <c r="AB8941" s="260"/>
      <c r="AC8941" s="260"/>
      <c r="AD8941" s="260"/>
      <c r="AE8941" s="260"/>
      <c r="AF8941" s="260"/>
      <c r="AG8941" s="258"/>
      <c r="AO8941"/>
      <c r="AP8941"/>
      <c r="AQ8941"/>
      <c r="AR8941"/>
      <c r="AS8941"/>
      <c r="AT8941"/>
      <c r="AU8941"/>
      <c r="AV8941"/>
      <c r="AW8941"/>
      <c r="AX8941"/>
      <c r="AY8941"/>
      <c r="AZ8941"/>
      <c r="BA8941"/>
      <c r="BB8941"/>
      <c r="BC8941"/>
      <c r="BD8941"/>
      <c r="BE8941"/>
      <c r="BF8941"/>
    </row>
    <row r="8942" spans="13:58" ht="12" hidden="1" customHeight="1">
      <c r="M8942" s="820"/>
      <c r="N8942" s="239"/>
      <c r="O8942" s="225"/>
      <c r="P8942" s="260"/>
      <c r="Q8942" s="258"/>
      <c r="R8942" s="260"/>
      <c r="S8942" s="260"/>
      <c r="T8942" s="260"/>
      <c r="U8942" s="260"/>
      <c r="V8942" s="260"/>
      <c r="W8942" s="260"/>
      <c r="X8942" s="260"/>
      <c r="Y8942" s="260"/>
      <c r="Z8942" s="260"/>
      <c r="AA8942" s="260"/>
      <c r="AB8942" s="260"/>
      <c r="AC8942" s="260"/>
      <c r="AD8942" s="260"/>
      <c r="AE8942" s="260"/>
      <c r="AF8942" s="260"/>
      <c r="AG8942" s="258"/>
      <c r="AO8942"/>
      <c r="AP8942"/>
      <c r="AQ8942"/>
      <c r="AR8942"/>
      <c r="AS8942"/>
      <c r="AT8942"/>
      <c r="AU8942"/>
      <c r="AV8942"/>
      <c r="AW8942"/>
      <c r="AX8942"/>
      <c r="AY8942"/>
      <c r="AZ8942"/>
      <c r="BA8942"/>
      <c r="BB8942"/>
      <c r="BC8942"/>
      <c r="BD8942"/>
      <c r="BE8942"/>
      <c r="BF8942"/>
    </row>
    <row r="8943" spans="13:58" ht="12" hidden="1" customHeight="1">
      <c r="M8943" s="820"/>
      <c r="N8943" s="239"/>
      <c r="O8943" s="225"/>
      <c r="P8943" s="260"/>
      <c r="Q8943" s="258"/>
      <c r="R8943" s="260"/>
      <c r="S8943" s="260"/>
      <c r="T8943" s="260"/>
      <c r="U8943" s="260"/>
      <c r="V8943" s="260"/>
      <c r="W8943" s="260"/>
      <c r="X8943" s="260"/>
      <c r="Y8943" s="260"/>
      <c r="Z8943" s="260"/>
      <c r="AA8943" s="260"/>
      <c r="AB8943" s="260"/>
      <c r="AC8943" s="260"/>
      <c r="AD8943" s="260"/>
      <c r="AE8943" s="260"/>
      <c r="AF8943" s="260"/>
      <c r="AG8943" s="258"/>
      <c r="AO8943"/>
      <c r="AP8943"/>
      <c r="AQ8943"/>
      <c r="AR8943"/>
      <c r="AS8943"/>
      <c r="AT8943"/>
      <c r="AU8943"/>
      <c r="AV8943"/>
      <c r="AW8943"/>
      <c r="AX8943"/>
      <c r="AY8943"/>
      <c r="AZ8943"/>
      <c r="BA8943"/>
      <c r="BB8943"/>
      <c r="BC8943"/>
      <c r="BD8943"/>
      <c r="BE8943"/>
      <c r="BF8943"/>
    </row>
    <row r="8944" spans="13:58" ht="12" hidden="1" customHeight="1">
      <c r="M8944" s="820"/>
      <c r="N8944" s="239"/>
      <c r="O8944" s="225"/>
      <c r="P8944" s="260"/>
      <c r="Q8944" s="258"/>
      <c r="R8944" s="260"/>
      <c r="S8944" s="260"/>
      <c r="T8944" s="260"/>
      <c r="U8944" s="260"/>
      <c r="V8944" s="260"/>
      <c r="W8944" s="260"/>
      <c r="X8944" s="260"/>
      <c r="Y8944" s="260"/>
      <c r="Z8944" s="260"/>
      <c r="AA8944" s="260"/>
      <c r="AB8944" s="260"/>
      <c r="AC8944" s="260"/>
      <c r="AD8944" s="260"/>
      <c r="AE8944" s="260"/>
      <c r="AF8944" s="260"/>
      <c r="AG8944" s="258"/>
      <c r="AO8944"/>
      <c r="AP8944"/>
      <c r="AQ8944"/>
      <c r="AR8944"/>
      <c r="AS8944"/>
      <c r="AT8944"/>
      <c r="AU8944"/>
      <c r="AV8944"/>
      <c r="AW8944"/>
      <c r="AX8944"/>
      <c r="AY8944"/>
      <c r="AZ8944"/>
      <c r="BA8944"/>
      <c r="BB8944"/>
      <c r="BC8944"/>
      <c r="BD8944"/>
      <c r="BE8944"/>
      <c r="BF8944"/>
    </row>
    <row r="8945" spans="13:58" ht="12" hidden="1" customHeight="1">
      <c r="M8945" s="820"/>
      <c r="N8945" s="239"/>
      <c r="O8945" s="225"/>
      <c r="P8945" s="260"/>
      <c r="Q8945" s="258"/>
      <c r="R8945" s="260"/>
      <c r="S8945" s="260"/>
      <c r="T8945" s="260"/>
      <c r="U8945" s="260"/>
      <c r="V8945" s="260"/>
      <c r="W8945" s="260"/>
      <c r="X8945" s="260"/>
      <c r="Y8945" s="260"/>
      <c r="Z8945" s="260"/>
      <c r="AA8945" s="260"/>
      <c r="AB8945" s="260"/>
      <c r="AC8945" s="260"/>
      <c r="AD8945" s="260"/>
      <c r="AE8945" s="260"/>
      <c r="AF8945" s="260"/>
      <c r="AG8945" s="258"/>
      <c r="AO8945"/>
      <c r="AP8945"/>
      <c r="AQ8945"/>
      <c r="AR8945"/>
      <c r="AS8945"/>
      <c r="AT8945"/>
      <c r="AU8945"/>
      <c r="AV8945"/>
      <c r="AW8945"/>
      <c r="AX8945"/>
      <c r="AY8945"/>
      <c r="AZ8945"/>
      <c r="BA8945"/>
      <c r="BB8945"/>
      <c r="BC8945"/>
      <c r="BD8945"/>
      <c r="BE8945"/>
      <c r="BF8945"/>
    </row>
    <row r="8946" spans="13:58" ht="12" hidden="1" customHeight="1">
      <c r="M8946" s="820"/>
      <c r="N8946" s="239"/>
      <c r="O8946" s="225"/>
      <c r="P8946" s="260"/>
      <c r="Q8946" s="258"/>
      <c r="R8946" s="260"/>
      <c r="S8946" s="260"/>
      <c r="T8946" s="260"/>
      <c r="U8946" s="260"/>
      <c r="V8946" s="260"/>
      <c r="W8946" s="260"/>
      <c r="X8946" s="260"/>
      <c r="Y8946" s="260"/>
      <c r="Z8946" s="260"/>
      <c r="AA8946" s="260"/>
      <c r="AB8946" s="260"/>
      <c r="AC8946" s="260"/>
      <c r="AD8946" s="260"/>
      <c r="AE8946" s="260"/>
      <c r="AF8946" s="260"/>
      <c r="AG8946" s="258"/>
      <c r="AO8946"/>
      <c r="AP8946"/>
      <c r="AQ8946"/>
      <c r="AR8946"/>
      <c r="AS8946"/>
      <c r="AT8946"/>
      <c r="AU8946"/>
      <c r="AV8946"/>
      <c r="AW8946"/>
      <c r="AX8946"/>
      <c r="AY8946"/>
      <c r="AZ8946"/>
      <c r="BA8946"/>
      <c r="BB8946"/>
      <c r="BC8946"/>
      <c r="BD8946"/>
      <c r="BE8946"/>
      <c r="BF8946"/>
    </row>
    <row r="8947" spans="13:58" ht="12" hidden="1" customHeight="1">
      <c r="M8947" s="820"/>
      <c r="N8947" s="239"/>
      <c r="O8947" s="225"/>
      <c r="P8947" s="260"/>
      <c r="Q8947" s="258"/>
      <c r="R8947" s="260"/>
      <c r="S8947" s="260"/>
      <c r="T8947" s="260"/>
      <c r="U8947" s="260"/>
      <c r="V8947" s="260"/>
      <c r="W8947" s="260"/>
      <c r="X8947" s="260"/>
      <c r="Y8947" s="260"/>
      <c r="Z8947" s="260"/>
      <c r="AA8947" s="260"/>
      <c r="AB8947" s="260"/>
      <c r="AC8947" s="260"/>
      <c r="AD8947" s="260"/>
      <c r="AE8947" s="260"/>
      <c r="AF8947" s="260"/>
      <c r="AG8947" s="258"/>
      <c r="AO8947"/>
      <c r="AP8947"/>
      <c r="AQ8947"/>
      <c r="AR8947"/>
      <c r="AS8947"/>
      <c r="AT8947"/>
      <c r="AU8947"/>
      <c r="AV8947"/>
      <c r="AW8947"/>
      <c r="AX8947"/>
      <c r="AY8947"/>
      <c r="AZ8947"/>
      <c r="BA8947"/>
      <c r="BB8947"/>
      <c r="BC8947"/>
      <c r="BD8947"/>
      <c r="BE8947"/>
      <c r="BF8947"/>
    </row>
    <row r="8948" spans="13:58" ht="12" hidden="1" customHeight="1">
      <c r="M8948" s="820"/>
      <c r="N8948" s="239"/>
      <c r="O8948" s="225"/>
      <c r="P8948" s="260"/>
      <c r="Q8948" s="258"/>
      <c r="R8948" s="260"/>
      <c r="S8948" s="260"/>
      <c r="T8948" s="260"/>
      <c r="U8948" s="260"/>
      <c r="V8948" s="260"/>
      <c r="W8948" s="260"/>
      <c r="X8948" s="260"/>
      <c r="Y8948" s="260"/>
      <c r="Z8948" s="260"/>
      <c r="AA8948" s="260"/>
      <c r="AB8948" s="260"/>
      <c r="AC8948" s="260"/>
      <c r="AD8948" s="260"/>
      <c r="AE8948" s="260"/>
      <c r="AF8948" s="260"/>
      <c r="AG8948" s="258"/>
      <c r="AO8948"/>
      <c r="AP8948"/>
      <c r="AQ8948"/>
      <c r="AR8948"/>
      <c r="AS8948"/>
      <c r="AT8948"/>
      <c r="AU8948"/>
      <c r="AV8948"/>
      <c r="AW8948"/>
      <c r="AX8948"/>
      <c r="AY8948"/>
      <c r="AZ8948"/>
      <c r="BA8948"/>
      <c r="BB8948"/>
      <c r="BC8948"/>
      <c r="BD8948"/>
      <c r="BE8948"/>
      <c r="BF8948"/>
    </row>
    <row r="8949" spans="13:58" ht="12" hidden="1" customHeight="1">
      <c r="M8949" s="820"/>
      <c r="N8949" s="239"/>
      <c r="O8949" s="225"/>
      <c r="P8949" s="260"/>
      <c r="Q8949" s="258"/>
      <c r="R8949" s="260"/>
      <c r="S8949" s="260"/>
      <c r="T8949" s="260"/>
      <c r="U8949" s="260"/>
      <c r="V8949" s="260"/>
      <c r="W8949" s="260"/>
      <c r="X8949" s="260"/>
      <c r="Y8949" s="260"/>
      <c r="Z8949" s="260"/>
      <c r="AA8949" s="260"/>
      <c r="AB8949" s="260"/>
      <c r="AC8949" s="260"/>
      <c r="AD8949" s="260"/>
      <c r="AE8949" s="260"/>
      <c r="AF8949" s="260"/>
      <c r="AG8949" s="258"/>
      <c r="AO8949"/>
      <c r="AP8949"/>
      <c r="AQ8949"/>
      <c r="AR8949"/>
      <c r="AS8949"/>
      <c r="AT8949"/>
      <c r="AU8949"/>
      <c r="AV8949"/>
      <c r="AW8949"/>
      <c r="AX8949"/>
      <c r="AY8949"/>
      <c r="AZ8949"/>
      <c r="BA8949"/>
      <c r="BB8949"/>
      <c r="BC8949"/>
      <c r="BD8949"/>
      <c r="BE8949"/>
      <c r="BF8949"/>
    </row>
    <row r="8950" spans="13:58" ht="12" hidden="1" customHeight="1">
      <c r="M8950" s="820"/>
      <c r="N8950" s="239"/>
      <c r="O8950" s="225"/>
      <c r="P8950" s="260"/>
      <c r="Q8950" s="258"/>
      <c r="R8950" s="260"/>
      <c r="S8950" s="260"/>
      <c r="T8950" s="260"/>
      <c r="U8950" s="260"/>
      <c r="V8950" s="260"/>
      <c r="W8950" s="260"/>
      <c r="X8950" s="260"/>
      <c r="Y8950" s="260"/>
      <c r="Z8950" s="260"/>
      <c r="AA8950" s="260"/>
      <c r="AB8950" s="260"/>
      <c r="AC8950" s="260"/>
      <c r="AD8950" s="260"/>
      <c r="AE8950" s="260"/>
      <c r="AF8950" s="260"/>
      <c r="AG8950" s="258"/>
      <c r="AO8950"/>
      <c r="AP8950"/>
      <c r="AQ8950"/>
      <c r="AR8950"/>
      <c r="AS8950"/>
      <c r="AT8950"/>
      <c r="AU8950"/>
      <c r="AV8950"/>
      <c r="AW8950"/>
      <c r="AX8950"/>
      <c r="AY8950"/>
      <c r="AZ8950"/>
      <c r="BA8950"/>
      <c r="BB8950"/>
      <c r="BC8950"/>
      <c r="BD8950"/>
      <c r="BE8950"/>
      <c r="BF8950"/>
    </row>
    <row r="8951" spans="13:58" ht="12" hidden="1" customHeight="1">
      <c r="M8951" s="820"/>
      <c r="N8951" s="239"/>
      <c r="O8951" s="225"/>
      <c r="P8951" s="260"/>
      <c r="Q8951" s="258"/>
      <c r="R8951" s="260"/>
      <c r="S8951" s="260"/>
      <c r="T8951" s="260"/>
      <c r="U8951" s="260"/>
      <c r="V8951" s="260"/>
      <c r="W8951" s="260"/>
      <c r="X8951" s="260"/>
      <c r="Y8951" s="260"/>
      <c r="Z8951" s="260"/>
      <c r="AA8951" s="260"/>
      <c r="AB8951" s="260"/>
      <c r="AC8951" s="260"/>
      <c r="AD8951" s="260"/>
      <c r="AE8951" s="260"/>
      <c r="AF8951" s="260"/>
      <c r="AG8951" s="258"/>
      <c r="AO8951"/>
      <c r="AP8951"/>
      <c r="AQ8951"/>
      <c r="AR8951"/>
      <c r="AS8951"/>
      <c r="AT8951"/>
      <c r="AU8951"/>
      <c r="AV8951"/>
      <c r="AW8951"/>
      <c r="AX8951"/>
      <c r="AY8951"/>
      <c r="AZ8951"/>
      <c r="BA8951"/>
      <c r="BB8951"/>
      <c r="BC8951"/>
      <c r="BD8951"/>
      <c r="BE8951"/>
      <c r="BF8951"/>
    </row>
    <row r="8952" spans="13:58" ht="12" hidden="1" customHeight="1">
      <c r="M8952" s="820"/>
      <c r="N8952" s="239"/>
      <c r="O8952" s="225"/>
      <c r="P8952" s="260"/>
      <c r="Q8952" s="258"/>
      <c r="R8952" s="260"/>
      <c r="S8952" s="260"/>
      <c r="T8952" s="260"/>
      <c r="U8952" s="260"/>
      <c r="V8952" s="260"/>
      <c r="W8952" s="260"/>
      <c r="X8952" s="260"/>
      <c r="Y8952" s="260"/>
      <c r="Z8952" s="260"/>
      <c r="AA8952" s="260"/>
      <c r="AB8952" s="260"/>
      <c r="AC8952" s="260"/>
      <c r="AD8952" s="260"/>
      <c r="AE8952" s="260"/>
      <c r="AF8952" s="260"/>
      <c r="AG8952" s="258"/>
      <c r="AO8952"/>
      <c r="AP8952"/>
      <c r="AQ8952"/>
      <c r="AR8952"/>
      <c r="AS8952"/>
      <c r="AT8952"/>
      <c r="AU8952"/>
      <c r="AV8952"/>
      <c r="AW8952"/>
      <c r="AX8952"/>
      <c r="AY8952"/>
      <c r="AZ8952"/>
      <c r="BA8952"/>
      <c r="BB8952"/>
      <c r="BC8952"/>
      <c r="BD8952"/>
      <c r="BE8952"/>
      <c r="BF8952"/>
    </row>
    <row r="8953" spans="13:58" ht="12" hidden="1" customHeight="1">
      <c r="M8953" s="820"/>
      <c r="N8953" s="239"/>
      <c r="O8953" s="225"/>
      <c r="P8953" s="260"/>
      <c r="Q8953" s="258"/>
      <c r="R8953" s="260"/>
      <c r="S8953" s="260"/>
      <c r="T8953" s="260"/>
      <c r="U8953" s="260"/>
      <c r="V8953" s="260"/>
      <c r="W8953" s="260"/>
      <c r="X8953" s="260"/>
      <c r="Y8953" s="260"/>
      <c r="Z8953" s="260"/>
      <c r="AA8953" s="260"/>
      <c r="AB8953" s="260"/>
      <c r="AC8953" s="260"/>
      <c r="AD8953" s="260"/>
      <c r="AE8953" s="260"/>
      <c r="AF8953" s="260"/>
      <c r="AG8953" s="258"/>
      <c r="AO8953"/>
      <c r="AP8953"/>
      <c r="AQ8953"/>
      <c r="AR8953"/>
      <c r="AS8953"/>
      <c r="AT8953"/>
      <c r="AU8953"/>
      <c r="AV8953"/>
      <c r="AW8953"/>
      <c r="AX8953"/>
      <c r="AY8953"/>
      <c r="AZ8953"/>
      <c r="BA8953"/>
      <c r="BB8953"/>
      <c r="BC8953"/>
      <c r="BD8953"/>
      <c r="BE8953"/>
      <c r="BF8953"/>
    </row>
    <row r="8954" spans="13:58" ht="12" hidden="1" customHeight="1">
      <c r="M8954" s="820"/>
      <c r="N8954" s="239"/>
      <c r="O8954" s="225"/>
      <c r="P8954" s="260"/>
      <c r="Q8954" s="258"/>
      <c r="R8954" s="260"/>
      <c r="S8954" s="260"/>
      <c r="T8954" s="260"/>
      <c r="U8954" s="260"/>
      <c r="V8954" s="260"/>
      <c r="W8954" s="260"/>
      <c r="X8954" s="260"/>
      <c r="Y8954" s="260"/>
      <c r="Z8954" s="260"/>
      <c r="AA8954" s="260"/>
      <c r="AB8954" s="260"/>
      <c r="AC8954" s="260"/>
      <c r="AD8954" s="260"/>
      <c r="AE8954" s="260"/>
      <c r="AF8954" s="260"/>
      <c r="AG8954" s="258"/>
      <c r="AO8954"/>
      <c r="AP8954"/>
      <c r="AQ8954"/>
      <c r="AR8954"/>
      <c r="AS8954"/>
      <c r="AT8954"/>
      <c r="AU8954"/>
      <c r="AV8954"/>
      <c r="AW8954"/>
      <c r="AX8954"/>
      <c r="AY8954"/>
      <c r="AZ8954"/>
      <c r="BA8954"/>
      <c r="BB8954"/>
      <c r="BC8954"/>
      <c r="BD8954"/>
      <c r="BE8954"/>
      <c r="BF8954"/>
    </row>
    <row r="8955" spans="13:58" ht="12" hidden="1" customHeight="1">
      <c r="M8955" s="820"/>
      <c r="N8955" s="239"/>
      <c r="O8955" s="225"/>
      <c r="P8955" s="260"/>
      <c r="Q8955" s="258"/>
      <c r="R8955" s="260"/>
      <c r="S8955" s="260"/>
      <c r="T8955" s="260"/>
      <c r="U8955" s="260"/>
      <c r="V8955" s="260"/>
      <c r="W8955" s="260"/>
      <c r="X8955" s="260"/>
      <c r="Y8955" s="260"/>
      <c r="Z8955" s="260"/>
      <c r="AA8955" s="260"/>
      <c r="AB8955" s="260"/>
      <c r="AC8955" s="260"/>
      <c r="AD8955" s="260"/>
      <c r="AE8955" s="260"/>
      <c r="AF8955" s="260"/>
      <c r="AG8955" s="258"/>
      <c r="AO8955"/>
      <c r="AP8955"/>
      <c r="AQ8955"/>
      <c r="AR8955"/>
      <c r="AS8955"/>
      <c r="AT8955"/>
      <c r="AU8955"/>
      <c r="AV8955"/>
      <c r="AW8955"/>
      <c r="AX8955"/>
      <c r="AY8955"/>
      <c r="AZ8955"/>
      <c r="BA8955"/>
      <c r="BB8955"/>
      <c r="BC8955"/>
      <c r="BD8955"/>
      <c r="BE8955"/>
      <c r="BF8955"/>
    </row>
    <row r="8956" spans="13:58" ht="12" hidden="1" customHeight="1">
      <c r="M8956" s="820"/>
      <c r="N8956" s="239"/>
      <c r="O8956" s="225"/>
      <c r="P8956" s="260"/>
      <c r="Q8956" s="258"/>
      <c r="R8956" s="260"/>
      <c r="S8956" s="260"/>
      <c r="T8956" s="260"/>
      <c r="U8956" s="260"/>
      <c r="V8956" s="260"/>
      <c r="W8956" s="260"/>
      <c r="X8956" s="260"/>
      <c r="Y8956" s="260"/>
      <c r="Z8956" s="260"/>
      <c r="AA8956" s="260"/>
      <c r="AB8956" s="260"/>
      <c r="AC8956" s="260"/>
      <c r="AD8956" s="260"/>
      <c r="AE8956" s="260"/>
      <c r="AF8956" s="260"/>
      <c r="AG8956" s="258"/>
      <c r="AO8956"/>
      <c r="AP8956"/>
      <c r="AQ8956"/>
      <c r="AR8956"/>
      <c r="AS8956"/>
      <c r="AT8956"/>
      <c r="AU8956"/>
      <c r="AV8956"/>
      <c r="AW8956"/>
      <c r="AX8956"/>
      <c r="AY8956"/>
      <c r="AZ8956"/>
      <c r="BA8956"/>
      <c r="BB8956"/>
      <c r="BC8956"/>
      <c r="BD8956"/>
      <c r="BE8956"/>
      <c r="BF8956"/>
    </row>
    <row r="8957" spans="13:58" ht="12" hidden="1" customHeight="1">
      <c r="M8957" s="820"/>
      <c r="N8957" s="239"/>
      <c r="O8957" s="225"/>
      <c r="P8957" s="260"/>
      <c r="Q8957" s="258"/>
      <c r="R8957" s="260"/>
      <c r="S8957" s="260"/>
      <c r="T8957" s="260"/>
      <c r="U8957" s="260"/>
      <c r="V8957" s="260"/>
      <c r="W8957" s="260"/>
      <c r="X8957" s="260"/>
      <c r="Y8957" s="260"/>
      <c r="Z8957" s="260"/>
      <c r="AA8957" s="260"/>
      <c r="AB8957" s="260"/>
      <c r="AC8957" s="260"/>
      <c r="AD8957" s="260"/>
      <c r="AE8957" s="260"/>
      <c r="AF8957" s="260"/>
      <c r="AG8957" s="258"/>
      <c r="AO8957"/>
      <c r="AP8957"/>
      <c r="AQ8957"/>
      <c r="AR8957"/>
      <c r="AS8957"/>
      <c r="AT8957"/>
      <c r="AU8957"/>
      <c r="AV8957"/>
      <c r="AW8957"/>
      <c r="AX8957"/>
      <c r="AY8957"/>
      <c r="AZ8957"/>
      <c r="BA8957"/>
      <c r="BB8957"/>
      <c r="BC8957"/>
      <c r="BD8957"/>
      <c r="BE8957"/>
      <c r="BF8957"/>
    </row>
    <row r="8958" spans="13:58" ht="12" hidden="1" customHeight="1">
      <c r="M8958" s="820"/>
      <c r="N8958" s="239"/>
      <c r="O8958" s="225"/>
      <c r="P8958" s="260"/>
      <c r="Q8958" s="258"/>
      <c r="R8958" s="260"/>
      <c r="S8958" s="260"/>
      <c r="T8958" s="260"/>
      <c r="U8958" s="260"/>
      <c r="V8958" s="260"/>
      <c r="W8958" s="260"/>
      <c r="X8958" s="260"/>
      <c r="Y8958" s="260"/>
      <c r="Z8958" s="260"/>
      <c r="AA8958" s="260"/>
      <c r="AB8958" s="260"/>
      <c r="AC8958" s="260"/>
      <c r="AD8958" s="260"/>
      <c r="AE8958" s="260"/>
      <c r="AF8958" s="260"/>
      <c r="AG8958" s="258"/>
      <c r="AO8958"/>
      <c r="AP8958"/>
      <c r="AQ8958"/>
      <c r="AR8958"/>
      <c r="AS8958"/>
      <c r="AT8958"/>
      <c r="AU8958"/>
      <c r="AV8958"/>
      <c r="AW8958"/>
      <c r="AX8958"/>
      <c r="AY8958"/>
      <c r="AZ8958"/>
      <c r="BA8958"/>
      <c r="BB8958"/>
      <c r="BC8958"/>
      <c r="BD8958"/>
      <c r="BE8958"/>
      <c r="BF8958"/>
    </row>
    <row r="8959" spans="13:58" ht="12" hidden="1" customHeight="1">
      <c r="M8959" s="820"/>
      <c r="N8959" s="239"/>
      <c r="O8959" s="225"/>
      <c r="P8959" s="260"/>
      <c r="Q8959" s="258"/>
      <c r="R8959" s="260"/>
      <c r="S8959" s="260"/>
      <c r="T8959" s="260"/>
      <c r="U8959" s="260"/>
      <c r="V8959" s="260"/>
      <c r="W8959" s="260"/>
      <c r="X8959" s="260"/>
      <c r="Y8959" s="260"/>
      <c r="Z8959" s="260"/>
      <c r="AA8959" s="260"/>
      <c r="AB8959" s="260"/>
      <c r="AC8959" s="260"/>
      <c r="AD8959" s="260"/>
      <c r="AE8959" s="260"/>
      <c r="AF8959" s="260"/>
      <c r="AG8959" s="258"/>
      <c r="AO8959"/>
      <c r="AP8959"/>
      <c r="AQ8959"/>
      <c r="AR8959"/>
      <c r="AS8959"/>
      <c r="AT8959"/>
      <c r="AU8959"/>
      <c r="AV8959"/>
      <c r="AW8959"/>
      <c r="AX8959"/>
      <c r="AY8959"/>
      <c r="AZ8959"/>
      <c r="BA8959"/>
      <c r="BB8959"/>
      <c r="BC8959"/>
      <c r="BD8959"/>
      <c r="BE8959"/>
      <c r="BF8959"/>
    </row>
    <row r="8960" spans="13:58" ht="12" hidden="1" customHeight="1">
      <c r="M8960" s="820"/>
      <c r="N8960" s="239"/>
      <c r="O8960" s="225"/>
      <c r="P8960" s="260"/>
      <c r="Q8960" s="258"/>
      <c r="R8960" s="260"/>
      <c r="S8960" s="260"/>
      <c r="T8960" s="260"/>
      <c r="U8960" s="260"/>
      <c r="V8960" s="260"/>
      <c r="W8960" s="260"/>
      <c r="X8960" s="260"/>
      <c r="Y8960" s="260"/>
      <c r="Z8960" s="260"/>
      <c r="AA8960" s="260"/>
      <c r="AB8960" s="260"/>
      <c r="AC8960" s="260"/>
      <c r="AD8960" s="260"/>
      <c r="AE8960" s="260"/>
      <c r="AF8960" s="260"/>
      <c r="AG8960" s="258"/>
      <c r="AO8960"/>
      <c r="AP8960"/>
      <c r="AQ8960"/>
      <c r="AR8960"/>
      <c r="AS8960"/>
      <c r="AT8960"/>
      <c r="AU8960"/>
      <c r="AV8960"/>
      <c r="AW8960"/>
      <c r="AX8960"/>
      <c r="AY8960"/>
      <c r="AZ8960"/>
      <c r="BA8960"/>
      <c r="BB8960"/>
      <c r="BC8960"/>
      <c r="BD8960"/>
      <c r="BE8960"/>
      <c r="BF8960"/>
    </row>
    <row r="8961" spans="13:58" ht="12" hidden="1" customHeight="1">
      <c r="M8961" s="820"/>
      <c r="N8961" s="239"/>
      <c r="O8961" s="225"/>
      <c r="P8961" s="260"/>
      <c r="Q8961" s="258"/>
      <c r="R8961" s="260"/>
      <c r="S8961" s="260"/>
      <c r="T8961" s="260"/>
      <c r="U8961" s="260"/>
      <c r="V8961" s="260"/>
      <c r="W8961" s="260"/>
      <c r="X8961" s="260"/>
      <c r="Y8961" s="260"/>
      <c r="Z8961" s="260"/>
      <c r="AA8961" s="260"/>
      <c r="AB8961" s="260"/>
      <c r="AC8961" s="260"/>
      <c r="AD8961" s="260"/>
      <c r="AE8961" s="260"/>
      <c r="AF8961" s="260"/>
      <c r="AG8961" s="258"/>
      <c r="AO8961"/>
      <c r="AP8961"/>
      <c r="AQ8961"/>
      <c r="AR8961"/>
      <c r="AS8961"/>
      <c r="AT8961"/>
      <c r="AU8961"/>
      <c r="AV8961"/>
      <c r="AW8961"/>
      <c r="AX8961"/>
      <c r="AY8961"/>
      <c r="AZ8961"/>
      <c r="BA8961"/>
      <c r="BB8961"/>
      <c r="BC8961"/>
      <c r="BD8961"/>
      <c r="BE8961"/>
      <c r="BF8961"/>
    </row>
    <row r="8962" spans="13:58" ht="12" hidden="1" customHeight="1">
      <c r="M8962" s="820"/>
      <c r="N8962" s="239"/>
      <c r="O8962" s="225"/>
      <c r="P8962" s="260"/>
      <c r="Q8962" s="258"/>
      <c r="R8962" s="260"/>
      <c r="S8962" s="260"/>
      <c r="T8962" s="260"/>
      <c r="U8962" s="260"/>
      <c r="V8962" s="260"/>
      <c r="W8962" s="260"/>
      <c r="X8962" s="260"/>
      <c r="Y8962" s="260"/>
      <c r="Z8962" s="260"/>
      <c r="AA8962" s="260"/>
      <c r="AB8962" s="260"/>
      <c r="AC8962" s="260"/>
      <c r="AD8962" s="260"/>
      <c r="AE8962" s="260"/>
      <c r="AF8962" s="260"/>
      <c r="AG8962" s="258"/>
      <c r="AO8962"/>
      <c r="AP8962"/>
      <c r="AQ8962"/>
      <c r="AR8962"/>
      <c r="AS8962"/>
      <c r="AT8962"/>
      <c r="AU8962"/>
      <c r="AV8962"/>
      <c r="AW8962"/>
      <c r="AX8962"/>
      <c r="AY8962"/>
      <c r="AZ8962"/>
      <c r="BA8962"/>
      <c r="BB8962"/>
      <c r="BC8962"/>
      <c r="BD8962"/>
      <c r="BE8962"/>
      <c r="BF8962"/>
    </row>
    <row r="8963" spans="13:58" ht="12" hidden="1" customHeight="1">
      <c r="M8963" s="820"/>
      <c r="N8963" s="239"/>
      <c r="O8963" s="225"/>
      <c r="P8963" s="260"/>
      <c r="Q8963" s="258"/>
      <c r="R8963" s="260"/>
      <c r="S8963" s="260"/>
      <c r="T8963" s="260"/>
      <c r="U8963" s="260"/>
      <c r="V8963" s="260"/>
      <c r="W8963" s="260"/>
      <c r="X8963" s="260"/>
      <c r="Y8963" s="260"/>
      <c r="Z8963" s="260"/>
      <c r="AA8963" s="260"/>
      <c r="AB8963" s="260"/>
      <c r="AC8963" s="260"/>
      <c r="AD8963" s="260"/>
      <c r="AE8963" s="260"/>
      <c r="AF8963" s="260"/>
      <c r="AG8963" s="258"/>
      <c r="AO8963"/>
      <c r="AP8963"/>
      <c r="AQ8963"/>
      <c r="AR8963"/>
      <c r="AS8963"/>
      <c r="AT8963"/>
      <c r="AU8963"/>
      <c r="AV8963"/>
      <c r="AW8963"/>
      <c r="AX8963"/>
      <c r="AY8963"/>
      <c r="AZ8963"/>
      <c r="BA8963"/>
      <c r="BB8963"/>
      <c r="BC8963"/>
      <c r="BD8963"/>
      <c r="BE8963"/>
      <c r="BF8963"/>
    </row>
    <row r="8964" spans="13:58" ht="12" hidden="1" customHeight="1">
      <c r="M8964" s="820"/>
      <c r="N8964" s="239"/>
      <c r="O8964" s="225"/>
      <c r="P8964" s="260"/>
      <c r="Q8964" s="258"/>
      <c r="R8964" s="260"/>
      <c r="S8964" s="260"/>
      <c r="T8964" s="260"/>
      <c r="U8964" s="260"/>
      <c r="V8964" s="260"/>
      <c r="W8964" s="260"/>
      <c r="X8964" s="260"/>
      <c r="Y8964" s="260"/>
      <c r="Z8964" s="260"/>
      <c r="AA8964" s="260"/>
      <c r="AB8964" s="260"/>
      <c r="AC8964" s="260"/>
      <c r="AD8964" s="260"/>
      <c r="AE8964" s="260"/>
      <c r="AF8964" s="260"/>
      <c r="AG8964" s="258"/>
      <c r="AO8964"/>
      <c r="AP8964"/>
      <c r="AQ8964"/>
      <c r="AR8964"/>
      <c r="AS8964"/>
      <c r="AT8964"/>
      <c r="AU8964"/>
      <c r="AV8964"/>
      <c r="AW8964"/>
      <c r="AX8964"/>
      <c r="AY8964"/>
      <c r="AZ8964"/>
      <c r="BA8964"/>
      <c r="BB8964"/>
      <c r="BC8964"/>
      <c r="BD8964"/>
      <c r="BE8964"/>
      <c r="BF8964"/>
    </row>
    <row r="8965" spans="13:58" ht="12" hidden="1" customHeight="1">
      <c r="M8965" s="820"/>
      <c r="N8965" s="239"/>
      <c r="O8965" s="225"/>
      <c r="P8965" s="260"/>
      <c r="Q8965" s="258"/>
      <c r="R8965" s="260"/>
      <c r="S8965" s="260"/>
      <c r="T8965" s="260"/>
      <c r="U8965" s="260"/>
      <c r="V8965" s="260"/>
      <c r="W8965" s="260"/>
      <c r="X8965" s="260"/>
      <c r="Y8965" s="260"/>
      <c r="Z8965" s="260"/>
      <c r="AA8965" s="260"/>
      <c r="AB8965" s="260"/>
      <c r="AC8965" s="260"/>
      <c r="AD8965" s="260"/>
      <c r="AE8965" s="260"/>
      <c r="AF8965" s="260"/>
      <c r="AG8965" s="258"/>
      <c r="AO8965"/>
      <c r="AP8965"/>
      <c r="AQ8965"/>
      <c r="AR8965"/>
      <c r="AS8965"/>
      <c r="AT8965"/>
      <c r="AU8965"/>
      <c r="AV8965"/>
      <c r="AW8965"/>
      <c r="AX8965"/>
      <c r="AY8965"/>
      <c r="AZ8965"/>
      <c r="BA8965"/>
      <c r="BB8965"/>
      <c r="BC8965"/>
      <c r="BD8965"/>
      <c r="BE8965"/>
      <c r="BF8965"/>
    </row>
    <row r="8966" spans="13:58" ht="12" hidden="1" customHeight="1">
      <c r="M8966" s="820"/>
      <c r="N8966" s="239"/>
      <c r="O8966" s="225"/>
      <c r="P8966" s="260"/>
      <c r="Q8966" s="258"/>
      <c r="R8966" s="260"/>
      <c r="S8966" s="260"/>
      <c r="T8966" s="260"/>
      <c r="U8966" s="260"/>
      <c r="V8966" s="260"/>
      <c r="W8966" s="260"/>
      <c r="X8966" s="260"/>
      <c r="Y8966" s="260"/>
      <c r="Z8966" s="260"/>
      <c r="AA8966" s="260"/>
      <c r="AB8966" s="260"/>
      <c r="AC8966" s="260"/>
      <c r="AD8966" s="260"/>
      <c r="AE8966" s="260"/>
      <c r="AF8966" s="260"/>
      <c r="AG8966" s="258"/>
      <c r="AO8966"/>
      <c r="AP8966"/>
      <c r="AQ8966"/>
      <c r="AR8966"/>
      <c r="AS8966"/>
      <c r="AT8966"/>
      <c r="AU8966"/>
      <c r="AV8966"/>
      <c r="AW8966"/>
      <c r="AX8966"/>
      <c r="AY8966"/>
      <c r="AZ8966"/>
      <c r="BA8966"/>
      <c r="BB8966"/>
      <c r="BC8966"/>
      <c r="BD8966"/>
      <c r="BE8966"/>
      <c r="BF8966"/>
    </row>
    <row r="8967" spans="13:58" ht="12" hidden="1" customHeight="1">
      <c r="M8967" s="820"/>
      <c r="N8967" s="239"/>
      <c r="O8967" s="225"/>
      <c r="P8967" s="260"/>
      <c r="Q8967" s="258"/>
      <c r="R8967" s="260"/>
      <c r="S8967" s="260"/>
      <c r="T8967" s="260"/>
      <c r="U8967" s="260"/>
      <c r="V8967" s="260"/>
      <c r="W8967" s="260"/>
      <c r="X8967" s="260"/>
      <c r="Y8967" s="260"/>
      <c r="Z8967" s="260"/>
      <c r="AA8967" s="260"/>
      <c r="AB8967" s="260"/>
      <c r="AC8967" s="260"/>
      <c r="AD8967" s="260"/>
      <c r="AE8967" s="260"/>
      <c r="AF8967" s="260"/>
      <c r="AG8967" s="258"/>
      <c r="AO8967"/>
      <c r="AP8967"/>
      <c r="AQ8967"/>
      <c r="AR8967"/>
      <c r="AS8967"/>
      <c r="AT8967"/>
      <c r="AU8967"/>
      <c r="AV8967"/>
      <c r="AW8967"/>
      <c r="AX8967"/>
      <c r="AY8967"/>
      <c r="AZ8967"/>
      <c r="BA8967"/>
      <c r="BB8967"/>
      <c r="BC8967"/>
      <c r="BD8967"/>
      <c r="BE8967"/>
      <c r="BF8967"/>
    </row>
    <row r="8968" spans="13:58" ht="12" hidden="1" customHeight="1">
      <c r="M8968" s="820"/>
      <c r="N8968" s="239"/>
      <c r="O8968" s="225"/>
      <c r="P8968" s="260"/>
      <c r="Q8968" s="258"/>
      <c r="R8968" s="260"/>
      <c r="S8968" s="260"/>
      <c r="T8968" s="260"/>
      <c r="U8968" s="260"/>
      <c r="V8968" s="260"/>
      <c r="W8968" s="260"/>
      <c r="X8968" s="260"/>
      <c r="Y8968" s="260"/>
      <c r="Z8968" s="260"/>
      <c r="AA8968" s="260"/>
      <c r="AB8968" s="260"/>
      <c r="AC8968" s="260"/>
      <c r="AD8968" s="260"/>
      <c r="AE8968" s="260"/>
      <c r="AF8968" s="260"/>
      <c r="AG8968" s="258"/>
      <c r="AO8968"/>
      <c r="AP8968"/>
      <c r="AQ8968"/>
      <c r="AR8968"/>
      <c r="AS8968"/>
      <c r="AT8968"/>
      <c r="AU8968"/>
      <c r="AV8968"/>
      <c r="AW8968"/>
      <c r="AX8968"/>
      <c r="AY8968"/>
      <c r="AZ8968"/>
      <c r="BA8968"/>
      <c r="BB8968"/>
      <c r="BC8968"/>
      <c r="BD8968"/>
      <c r="BE8968"/>
      <c r="BF8968"/>
    </row>
    <row r="8969" spans="13:58" ht="12" hidden="1" customHeight="1">
      <c r="M8969" s="820"/>
      <c r="N8969" s="239"/>
      <c r="O8969" s="225"/>
      <c r="P8969" s="260"/>
      <c r="Q8969" s="258"/>
      <c r="R8969" s="260"/>
      <c r="S8969" s="260"/>
      <c r="T8969" s="260"/>
      <c r="U8969" s="260"/>
      <c r="V8969" s="260"/>
      <c r="W8969" s="260"/>
      <c r="X8969" s="260"/>
      <c r="Y8969" s="260"/>
      <c r="Z8969" s="260"/>
      <c r="AA8969" s="260"/>
      <c r="AB8969" s="260"/>
      <c r="AC8969" s="260"/>
      <c r="AD8969" s="260"/>
      <c r="AE8969" s="260"/>
      <c r="AF8969" s="260"/>
      <c r="AG8969" s="258"/>
      <c r="AO8969"/>
      <c r="AP8969"/>
      <c r="AQ8969"/>
      <c r="AR8969"/>
      <c r="AS8969"/>
      <c r="AT8969"/>
      <c r="AU8969"/>
      <c r="AV8969"/>
      <c r="AW8969"/>
      <c r="AX8969"/>
      <c r="AY8969"/>
      <c r="AZ8969"/>
      <c r="BA8969"/>
      <c r="BB8969"/>
      <c r="BC8969"/>
      <c r="BD8969"/>
      <c r="BE8969"/>
      <c r="BF8969"/>
    </row>
    <row r="8970" spans="13:58" ht="12" hidden="1" customHeight="1">
      <c r="M8970" s="820"/>
      <c r="N8970" s="239"/>
      <c r="O8970" s="225"/>
      <c r="P8970" s="260"/>
      <c r="Q8970" s="258"/>
      <c r="R8970" s="260"/>
      <c r="S8970" s="260"/>
      <c r="T8970" s="260"/>
      <c r="U8970" s="260"/>
      <c r="V8970" s="260"/>
      <c r="W8970" s="260"/>
      <c r="X8970" s="260"/>
      <c r="Y8970" s="260"/>
      <c r="Z8970" s="260"/>
      <c r="AA8970" s="260"/>
      <c r="AB8970" s="260"/>
      <c r="AC8970" s="260"/>
      <c r="AD8970" s="260"/>
      <c r="AE8970" s="260"/>
      <c r="AF8970" s="260"/>
      <c r="AG8970" s="258"/>
      <c r="AO8970"/>
      <c r="AP8970"/>
      <c r="AQ8970"/>
      <c r="AR8970"/>
      <c r="AS8970"/>
      <c r="AT8970"/>
      <c r="AU8970"/>
      <c r="AV8970"/>
      <c r="AW8970"/>
      <c r="AX8970"/>
      <c r="AY8970"/>
      <c r="AZ8970"/>
      <c r="BA8970"/>
      <c r="BB8970"/>
      <c r="BC8970"/>
      <c r="BD8970"/>
      <c r="BE8970"/>
      <c r="BF8970"/>
    </row>
    <row r="8971" spans="13:58" ht="12" hidden="1" customHeight="1">
      <c r="M8971" s="820"/>
      <c r="N8971" s="239"/>
      <c r="O8971" s="225"/>
      <c r="P8971" s="260"/>
      <c r="Q8971" s="258"/>
      <c r="R8971" s="260"/>
      <c r="S8971" s="260"/>
      <c r="T8971" s="260"/>
      <c r="U8971" s="260"/>
      <c r="V8971" s="260"/>
      <c r="W8971" s="260"/>
      <c r="X8971" s="260"/>
      <c r="Y8971" s="260"/>
      <c r="Z8971" s="260"/>
      <c r="AA8971" s="260"/>
      <c r="AB8971" s="260"/>
      <c r="AC8971" s="260"/>
      <c r="AD8971" s="260"/>
      <c r="AE8971" s="260"/>
      <c r="AF8971" s="260"/>
      <c r="AG8971" s="258"/>
      <c r="AO8971"/>
      <c r="AP8971"/>
      <c r="AQ8971"/>
      <c r="AR8971"/>
      <c r="AS8971"/>
      <c r="AT8971"/>
      <c r="AU8971"/>
      <c r="AV8971"/>
      <c r="AW8971"/>
      <c r="AX8971"/>
      <c r="AY8971"/>
      <c r="AZ8971"/>
      <c r="BA8971"/>
      <c r="BB8971"/>
      <c r="BC8971"/>
      <c r="BD8971"/>
      <c r="BE8971"/>
      <c r="BF8971"/>
    </row>
    <row r="8972" spans="13:58" ht="12" hidden="1" customHeight="1">
      <c r="M8972" s="820"/>
      <c r="N8972" s="239"/>
      <c r="O8972" s="225"/>
      <c r="P8972" s="260"/>
      <c r="Q8972" s="258"/>
      <c r="R8972" s="260"/>
      <c r="S8972" s="260"/>
      <c r="T8972" s="260"/>
      <c r="U8972" s="260"/>
      <c r="V8972" s="260"/>
      <c r="W8972" s="260"/>
      <c r="X8972" s="260"/>
      <c r="Y8972" s="260"/>
      <c r="Z8972" s="260"/>
      <c r="AA8972" s="260"/>
      <c r="AB8972" s="260"/>
      <c r="AC8972" s="260"/>
      <c r="AD8972" s="260"/>
      <c r="AE8972" s="260"/>
      <c r="AF8972" s="260"/>
      <c r="AG8972" s="258"/>
      <c r="AO8972"/>
      <c r="AP8972"/>
      <c r="AQ8972"/>
      <c r="AR8972"/>
      <c r="AS8972"/>
      <c r="AT8972"/>
      <c r="AU8972"/>
      <c r="AV8972"/>
      <c r="AW8972"/>
      <c r="AX8972"/>
      <c r="AY8972"/>
      <c r="AZ8972"/>
      <c r="BA8972"/>
      <c r="BB8972"/>
      <c r="BC8972"/>
      <c r="BD8972"/>
      <c r="BE8972"/>
      <c r="BF8972"/>
    </row>
    <row r="8973" spans="13:58" ht="12" hidden="1" customHeight="1">
      <c r="M8973" s="820"/>
      <c r="N8973" s="239"/>
      <c r="O8973" s="225"/>
      <c r="P8973" s="260"/>
      <c r="Q8973" s="258"/>
      <c r="R8973" s="260"/>
      <c r="S8973" s="260"/>
      <c r="T8973" s="260"/>
      <c r="U8973" s="260"/>
      <c r="V8973" s="260"/>
      <c r="W8973" s="260"/>
      <c r="X8973" s="260"/>
      <c r="Y8973" s="260"/>
      <c r="Z8973" s="260"/>
      <c r="AA8973" s="260"/>
      <c r="AB8973" s="260"/>
      <c r="AC8973" s="260"/>
      <c r="AD8973" s="260"/>
      <c r="AE8973" s="260"/>
      <c r="AF8973" s="260"/>
      <c r="AG8973" s="258"/>
      <c r="AO8973"/>
      <c r="AP8973"/>
      <c r="AQ8973"/>
      <c r="AR8973"/>
      <c r="AS8973"/>
      <c r="AT8973"/>
      <c r="AU8973"/>
      <c r="AV8973"/>
      <c r="AW8973"/>
      <c r="AX8973"/>
      <c r="AY8973"/>
      <c r="AZ8973"/>
      <c r="BA8973"/>
      <c r="BB8973"/>
      <c r="BC8973"/>
      <c r="BD8973"/>
      <c r="BE8973"/>
      <c r="BF8973"/>
    </row>
    <row r="8974" spans="13:58" ht="12" hidden="1" customHeight="1">
      <c r="M8974" s="820"/>
      <c r="N8974" s="239"/>
      <c r="O8974" s="225"/>
      <c r="P8974" s="260"/>
      <c r="Q8974" s="258"/>
      <c r="R8974" s="260"/>
      <c r="S8974" s="260"/>
      <c r="T8974" s="260"/>
      <c r="U8974" s="260"/>
      <c r="V8974" s="260"/>
      <c r="W8974" s="260"/>
      <c r="X8974" s="260"/>
      <c r="Y8974" s="260"/>
      <c r="Z8974" s="260"/>
      <c r="AA8974" s="260"/>
      <c r="AB8974" s="260"/>
      <c r="AC8974" s="260"/>
      <c r="AD8974" s="260"/>
      <c r="AE8974" s="260"/>
      <c r="AF8974" s="260"/>
      <c r="AG8974" s="258"/>
      <c r="AO8974"/>
      <c r="AP8974"/>
      <c r="AQ8974"/>
      <c r="AR8974"/>
      <c r="AS8974"/>
      <c r="AT8974"/>
      <c r="AU8974"/>
      <c r="AV8974"/>
      <c r="AW8974"/>
      <c r="AX8974"/>
      <c r="AY8974"/>
      <c r="AZ8974"/>
      <c r="BA8974"/>
      <c r="BB8974"/>
      <c r="BC8974"/>
      <c r="BD8974"/>
      <c r="BE8974"/>
      <c r="BF8974"/>
    </row>
    <row r="8975" spans="13:58" ht="12" hidden="1" customHeight="1">
      <c r="M8975" s="820"/>
      <c r="N8975" s="239"/>
      <c r="O8975" s="225"/>
      <c r="P8975" s="260"/>
      <c r="Q8975" s="258"/>
      <c r="R8975" s="260"/>
      <c r="S8975" s="260"/>
      <c r="T8975" s="260"/>
      <c r="U8975" s="260"/>
      <c r="V8975" s="260"/>
      <c r="W8975" s="260"/>
      <c r="X8975" s="260"/>
      <c r="Y8975" s="260"/>
      <c r="Z8975" s="260"/>
      <c r="AA8975" s="260"/>
      <c r="AB8975" s="260"/>
      <c r="AC8975" s="260"/>
      <c r="AD8975" s="260"/>
      <c r="AE8975" s="260"/>
      <c r="AF8975" s="260"/>
      <c r="AG8975" s="258"/>
      <c r="AO8975"/>
      <c r="AP8975"/>
      <c r="AQ8975"/>
      <c r="AR8975"/>
      <c r="AS8975"/>
      <c r="AT8975"/>
      <c r="AU8975"/>
      <c r="AV8975"/>
      <c r="AW8975"/>
      <c r="AX8975"/>
      <c r="AY8975"/>
      <c r="AZ8975"/>
      <c r="BA8975"/>
      <c r="BB8975"/>
      <c r="BC8975"/>
      <c r="BD8975"/>
      <c r="BE8975"/>
      <c r="BF8975"/>
    </row>
    <row r="8976" spans="13:58" ht="12" hidden="1" customHeight="1">
      <c r="M8976" s="820"/>
      <c r="N8976" s="239"/>
      <c r="O8976" s="225"/>
      <c r="P8976" s="260"/>
      <c r="Q8976" s="258"/>
      <c r="R8976" s="260"/>
      <c r="S8976" s="260"/>
      <c r="T8976" s="260"/>
      <c r="U8976" s="260"/>
      <c r="V8976" s="260"/>
      <c r="W8976" s="260"/>
      <c r="X8976" s="260"/>
      <c r="Y8976" s="260"/>
      <c r="Z8976" s="260"/>
      <c r="AA8976" s="260"/>
      <c r="AB8976" s="260"/>
      <c r="AC8976" s="260"/>
      <c r="AD8976" s="260"/>
      <c r="AE8976" s="260"/>
      <c r="AF8976" s="260"/>
      <c r="AG8976" s="258"/>
      <c r="AO8976"/>
      <c r="AP8976"/>
      <c r="AQ8976"/>
      <c r="AR8976"/>
      <c r="AS8976"/>
      <c r="AT8976"/>
      <c r="AU8976"/>
      <c r="AV8976"/>
      <c r="AW8976"/>
      <c r="AX8976"/>
      <c r="AY8976"/>
      <c r="AZ8976"/>
      <c r="BA8976"/>
      <c r="BB8976"/>
      <c r="BC8976"/>
      <c r="BD8976"/>
      <c r="BE8976"/>
      <c r="BF8976"/>
    </row>
    <row r="8977" spans="13:58" ht="12" hidden="1" customHeight="1">
      <c r="M8977" s="820"/>
      <c r="N8977" s="239"/>
      <c r="O8977" s="225"/>
      <c r="P8977" s="260"/>
      <c r="Q8977" s="258"/>
      <c r="R8977" s="260"/>
      <c r="S8977" s="260"/>
      <c r="T8977" s="260"/>
      <c r="U8977" s="260"/>
      <c r="V8977" s="260"/>
      <c r="W8977" s="260"/>
      <c r="X8977" s="260"/>
      <c r="Y8977" s="260"/>
      <c r="Z8977" s="260"/>
      <c r="AA8977" s="260"/>
      <c r="AB8977" s="260"/>
      <c r="AC8977" s="260"/>
      <c r="AD8977" s="260"/>
      <c r="AE8977" s="260"/>
      <c r="AF8977" s="260"/>
      <c r="AG8977" s="258"/>
      <c r="AO8977"/>
      <c r="AP8977"/>
      <c r="AQ8977"/>
      <c r="AR8977"/>
      <c r="AS8977"/>
      <c r="AT8977"/>
      <c r="AU8977"/>
      <c r="AV8977"/>
      <c r="AW8977"/>
      <c r="AX8977"/>
      <c r="AY8977"/>
      <c r="AZ8977"/>
      <c r="BA8977"/>
      <c r="BB8977"/>
      <c r="BC8977"/>
      <c r="BD8977"/>
      <c r="BE8977"/>
      <c r="BF8977"/>
    </row>
    <row r="8978" spans="13:58" ht="12" hidden="1" customHeight="1">
      <c r="M8978" s="820"/>
      <c r="N8978" s="239"/>
      <c r="O8978" s="225"/>
      <c r="P8978" s="260"/>
      <c r="Q8978" s="258"/>
      <c r="R8978" s="260"/>
      <c r="S8978" s="260"/>
      <c r="T8978" s="260"/>
      <c r="U8978" s="260"/>
      <c r="V8978" s="260"/>
      <c r="W8978" s="260"/>
      <c r="X8978" s="260"/>
      <c r="Y8978" s="260"/>
      <c r="Z8978" s="260"/>
      <c r="AA8978" s="260"/>
      <c r="AB8978" s="260"/>
      <c r="AC8978" s="260"/>
      <c r="AD8978" s="260"/>
      <c r="AE8978" s="260"/>
      <c r="AF8978" s="260"/>
      <c r="AG8978" s="258"/>
      <c r="AO8978"/>
      <c r="AP8978"/>
      <c r="AQ8978"/>
      <c r="AR8978"/>
      <c r="AS8978"/>
      <c r="AT8978"/>
      <c r="AU8978"/>
      <c r="AV8978"/>
      <c r="AW8978"/>
      <c r="AX8978"/>
      <c r="AY8978"/>
      <c r="AZ8978"/>
      <c r="BA8978"/>
      <c r="BB8978"/>
      <c r="BC8978"/>
      <c r="BD8978"/>
      <c r="BE8978"/>
      <c r="BF8978"/>
    </row>
    <row r="8979" spans="13:58" ht="12" hidden="1" customHeight="1">
      <c r="M8979" s="820"/>
      <c r="N8979" s="239"/>
      <c r="O8979" s="225"/>
      <c r="P8979" s="260"/>
      <c r="Q8979" s="258"/>
      <c r="R8979" s="260"/>
      <c r="S8979" s="260"/>
      <c r="T8979" s="260"/>
      <c r="U8979" s="260"/>
      <c r="V8979" s="260"/>
      <c r="W8979" s="260"/>
      <c r="X8979" s="260"/>
      <c r="Y8979" s="260"/>
      <c r="Z8979" s="260"/>
      <c r="AA8979" s="260"/>
      <c r="AB8979" s="260"/>
      <c r="AC8979" s="260"/>
      <c r="AD8979" s="260"/>
      <c r="AE8979" s="260"/>
      <c r="AF8979" s="260"/>
      <c r="AG8979" s="258"/>
      <c r="AO8979"/>
      <c r="AP8979"/>
      <c r="AQ8979"/>
      <c r="AR8979"/>
      <c r="AS8979"/>
      <c r="AT8979"/>
      <c r="AU8979"/>
      <c r="AV8979"/>
      <c r="AW8979"/>
      <c r="AX8979"/>
      <c r="AY8979"/>
      <c r="AZ8979"/>
      <c r="BA8979"/>
      <c r="BB8979"/>
      <c r="BC8979"/>
      <c r="BD8979"/>
      <c r="BE8979"/>
      <c r="BF8979"/>
    </row>
    <row r="8980" spans="13:58" ht="12" hidden="1" customHeight="1">
      <c r="M8980" s="820"/>
      <c r="N8980" s="239"/>
      <c r="O8980" s="225"/>
      <c r="P8980" s="260"/>
      <c r="Q8980" s="258"/>
      <c r="R8980" s="260"/>
      <c r="S8980" s="260"/>
      <c r="T8980" s="260"/>
      <c r="U8980" s="260"/>
      <c r="V8980" s="260"/>
      <c r="W8980" s="260"/>
      <c r="X8980" s="260"/>
      <c r="Y8980" s="260"/>
      <c r="Z8980" s="260"/>
      <c r="AA8980" s="260"/>
      <c r="AB8980" s="260"/>
      <c r="AC8980" s="260"/>
      <c r="AD8980" s="260"/>
      <c r="AE8980" s="260"/>
      <c r="AF8980" s="260"/>
      <c r="AG8980" s="258"/>
      <c r="AO8980"/>
      <c r="AP8980"/>
      <c r="AQ8980"/>
      <c r="AR8980"/>
      <c r="AS8980"/>
      <c r="AT8980"/>
      <c r="AU8980"/>
      <c r="AV8980"/>
      <c r="AW8980"/>
      <c r="AX8980"/>
      <c r="AY8980"/>
      <c r="AZ8980"/>
      <c r="BA8980"/>
      <c r="BB8980"/>
      <c r="BC8980"/>
      <c r="BD8980"/>
      <c r="BE8980"/>
      <c r="BF8980"/>
    </row>
    <row r="8981" spans="13:58" ht="12" hidden="1" customHeight="1">
      <c r="M8981" s="820"/>
      <c r="N8981" s="239"/>
      <c r="O8981" s="225"/>
      <c r="P8981" s="260"/>
      <c r="Q8981" s="258"/>
      <c r="R8981" s="260"/>
      <c r="S8981" s="260"/>
      <c r="T8981" s="260"/>
      <c r="U8981" s="260"/>
      <c r="V8981" s="260"/>
      <c r="W8981" s="260"/>
      <c r="X8981" s="260"/>
      <c r="Y8981" s="260"/>
      <c r="Z8981" s="260"/>
      <c r="AA8981" s="260"/>
      <c r="AB8981" s="260"/>
      <c r="AC8981" s="260"/>
      <c r="AD8981" s="260"/>
      <c r="AE8981" s="260"/>
      <c r="AF8981" s="260"/>
      <c r="AG8981" s="258"/>
      <c r="AO8981"/>
      <c r="AP8981"/>
      <c r="AQ8981"/>
      <c r="AR8981"/>
      <c r="AS8981"/>
      <c r="AT8981"/>
      <c r="AU8981"/>
      <c r="AV8981"/>
      <c r="AW8981"/>
      <c r="AX8981"/>
      <c r="AY8981"/>
      <c r="AZ8981"/>
      <c r="BA8981"/>
      <c r="BB8981"/>
      <c r="BC8981"/>
      <c r="BD8981"/>
      <c r="BE8981"/>
      <c r="BF8981"/>
    </row>
    <row r="8982" spans="13:58" ht="12" hidden="1" customHeight="1">
      <c r="M8982" s="820"/>
      <c r="N8982" s="239"/>
      <c r="O8982" s="225"/>
      <c r="P8982" s="260"/>
      <c r="Q8982" s="258"/>
      <c r="R8982" s="260"/>
      <c r="S8982" s="260"/>
      <c r="T8982" s="260"/>
      <c r="U8982" s="260"/>
      <c r="V8982" s="260"/>
      <c r="W8982" s="260"/>
      <c r="X8982" s="260"/>
      <c r="Y8982" s="260"/>
      <c r="Z8982" s="260"/>
      <c r="AA8982" s="260"/>
      <c r="AB8982" s="260"/>
      <c r="AC8982" s="260"/>
      <c r="AD8982" s="260"/>
      <c r="AE8982" s="260"/>
      <c r="AF8982" s="260"/>
      <c r="AG8982" s="258"/>
      <c r="AO8982"/>
      <c r="AP8982"/>
      <c r="AQ8982"/>
      <c r="AR8982"/>
      <c r="AS8982"/>
      <c r="AT8982"/>
      <c r="AU8982"/>
      <c r="AV8982"/>
      <c r="AW8982"/>
      <c r="AX8982"/>
      <c r="AY8982"/>
      <c r="AZ8982"/>
      <c r="BA8982"/>
      <c r="BB8982"/>
      <c r="BC8982"/>
      <c r="BD8982"/>
      <c r="BE8982"/>
      <c r="BF8982"/>
    </row>
    <row r="8983" spans="13:58" ht="12" hidden="1" customHeight="1">
      <c r="M8983" s="820"/>
      <c r="N8983" s="239"/>
      <c r="O8983" s="225"/>
      <c r="P8983" s="260"/>
      <c r="Q8983" s="258"/>
      <c r="R8983" s="260"/>
      <c r="S8983" s="260"/>
      <c r="T8983" s="260"/>
      <c r="U8983" s="260"/>
      <c r="V8983" s="260"/>
      <c r="W8983" s="260"/>
      <c r="X8983" s="260"/>
      <c r="Y8983" s="260"/>
      <c r="Z8983" s="260"/>
      <c r="AA8983" s="260"/>
      <c r="AB8983" s="260"/>
      <c r="AC8983" s="260"/>
      <c r="AD8983" s="260"/>
      <c r="AE8983" s="260"/>
      <c r="AF8983" s="260"/>
      <c r="AG8983" s="258"/>
      <c r="AO8983"/>
      <c r="AP8983"/>
      <c r="AQ8983"/>
      <c r="AR8983"/>
      <c r="AS8983"/>
      <c r="AT8983"/>
      <c r="AU8983"/>
      <c r="AV8983"/>
      <c r="AW8983"/>
      <c r="AX8983"/>
      <c r="AY8983"/>
      <c r="AZ8983"/>
      <c r="BA8983"/>
      <c r="BB8983"/>
      <c r="BC8983"/>
      <c r="BD8983"/>
      <c r="BE8983"/>
      <c r="BF8983"/>
    </row>
    <row r="8984" spans="13:58" ht="12" hidden="1" customHeight="1">
      <c r="M8984" s="820"/>
      <c r="N8984" s="239"/>
      <c r="O8984" s="225"/>
      <c r="P8984" s="260"/>
      <c r="Q8984" s="258"/>
      <c r="R8984" s="260"/>
      <c r="S8984" s="260"/>
      <c r="T8984" s="260"/>
      <c r="U8984" s="260"/>
      <c r="V8984" s="260"/>
      <c r="W8984" s="260"/>
      <c r="X8984" s="260"/>
      <c r="Y8984" s="260"/>
      <c r="Z8984" s="260"/>
      <c r="AA8984" s="260"/>
      <c r="AB8984" s="260"/>
      <c r="AC8984" s="260"/>
      <c r="AD8984" s="260"/>
      <c r="AE8984" s="260"/>
      <c r="AF8984" s="260"/>
      <c r="AG8984" s="258"/>
      <c r="AO8984"/>
      <c r="AP8984"/>
      <c r="AQ8984"/>
      <c r="AR8984"/>
      <c r="AS8984"/>
      <c r="AT8984"/>
      <c r="AU8984"/>
      <c r="AV8984"/>
      <c r="AW8984"/>
      <c r="AX8984"/>
      <c r="AY8984"/>
      <c r="AZ8984"/>
      <c r="BA8984"/>
      <c r="BB8984"/>
      <c r="BC8984"/>
      <c r="BD8984"/>
      <c r="BE8984"/>
      <c r="BF8984"/>
    </row>
    <row r="8985" spans="13:58" ht="12" hidden="1" customHeight="1">
      <c r="M8985" s="820"/>
      <c r="N8985" s="239"/>
      <c r="O8985" s="225"/>
      <c r="P8985" s="260"/>
      <c r="Q8985" s="258"/>
      <c r="R8985" s="260"/>
      <c r="S8985" s="260"/>
      <c r="T8985" s="260"/>
      <c r="U8985" s="260"/>
      <c r="V8985" s="260"/>
      <c r="W8985" s="260"/>
      <c r="X8985" s="260"/>
      <c r="Y8985" s="260"/>
      <c r="Z8985" s="260"/>
      <c r="AA8985" s="260"/>
      <c r="AB8985" s="260"/>
      <c r="AC8985" s="260"/>
      <c r="AD8985" s="260"/>
      <c r="AE8985" s="260"/>
      <c r="AF8985" s="260"/>
      <c r="AG8985" s="258"/>
      <c r="AO8985"/>
      <c r="AP8985"/>
      <c r="AQ8985"/>
      <c r="AR8985"/>
      <c r="AS8985"/>
      <c r="AT8985"/>
      <c r="AU8985"/>
      <c r="AV8985"/>
      <c r="AW8985"/>
      <c r="AX8985"/>
      <c r="AY8985"/>
      <c r="AZ8985"/>
      <c r="BA8985"/>
      <c r="BB8985"/>
      <c r="BC8985"/>
      <c r="BD8985"/>
      <c r="BE8985"/>
      <c r="BF8985"/>
    </row>
    <row r="8986" spans="13:58" ht="12" hidden="1" customHeight="1">
      <c r="M8986" s="820"/>
      <c r="N8986" s="239"/>
      <c r="O8986" s="225"/>
      <c r="P8986" s="260"/>
      <c r="Q8986" s="258"/>
      <c r="R8986" s="260"/>
      <c r="S8986" s="260"/>
      <c r="T8986" s="260"/>
      <c r="U8986" s="260"/>
      <c r="V8986" s="260"/>
      <c r="W8986" s="260"/>
      <c r="X8986" s="260"/>
      <c r="Y8986" s="260"/>
      <c r="Z8986" s="260"/>
      <c r="AA8986" s="260"/>
      <c r="AB8986" s="260"/>
      <c r="AC8986" s="260"/>
      <c r="AD8986" s="260"/>
      <c r="AE8986" s="260"/>
      <c r="AF8986" s="260"/>
      <c r="AG8986" s="258"/>
      <c r="AO8986"/>
      <c r="AP8986"/>
      <c r="AQ8986"/>
      <c r="AR8986"/>
      <c r="AS8986"/>
      <c r="AT8986"/>
      <c r="AU8986"/>
      <c r="AV8986"/>
      <c r="AW8986"/>
      <c r="AX8986"/>
      <c r="AY8986"/>
      <c r="AZ8986"/>
      <c r="BA8986"/>
      <c r="BB8986"/>
      <c r="BC8986"/>
      <c r="BD8986"/>
      <c r="BE8986"/>
      <c r="BF8986"/>
    </row>
    <row r="8987" spans="13:58" ht="12" hidden="1" customHeight="1">
      <c r="M8987" s="820"/>
      <c r="N8987" s="239"/>
      <c r="O8987" s="225"/>
      <c r="P8987" s="260"/>
      <c r="Q8987" s="258"/>
      <c r="R8987" s="260"/>
      <c r="S8987" s="260"/>
      <c r="T8987" s="260"/>
      <c r="U8987" s="260"/>
      <c r="V8987" s="260"/>
      <c r="W8987" s="260"/>
      <c r="X8987" s="260"/>
      <c r="Y8987" s="260"/>
      <c r="Z8987" s="260"/>
      <c r="AA8987" s="260"/>
      <c r="AB8987" s="260"/>
      <c r="AC8987" s="260"/>
      <c r="AD8987" s="260"/>
      <c r="AE8987" s="260"/>
      <c r="AF8987" s="260"/>
      <c r="AG8987" s="258"/>
      <c r="AO8987"/>
      <c r="AP8987"/>
      <c r="AQ8987"/>
      <c r="AR8987"/>
      <c r="AS8987"/>
      <c r="AT8987"/>
      <c r="AU8987"/>
      <c r="AV8987"/>
      <c r="AW8987"/>
      <c r="AX8987"/>
      <c r="AY8987"/>
      <c r="AZ8987"/>
      <c r="BA8987"/>
      <c r="BB8987"/>
      <c r="BC8987"/>
      <c r="BD8987"/>
      <c r="BE8987"/>
      <c r="BF8987"/>
    </row>
    <row r="8988" spans="13:58" ht="12" hidden="1" customHeight="1">
      <c r="M8988" s="820"/>
      <c r="N8988" s="239"/>
      <c r="O8988" s="225"/>
      <c r="P8988" s="260"/>
      <c r="Q8988" s="258"/>
      <c r="R8988" s="260"/>
      <c r="S8988" s="260"/>
      <c r="T8988" s="260"/>
      <c r="U8988" s="260"/>
      <c r="V8988" s="260"/>
      <c r="W8988" s="260"/>
      <c r="X8988" s="260"/>
      <c r="Y8988" s="260"/>
      <c r="Z8988" s="260"/>
      <c r="AA8988" s="260"/>
      <c r="AB8988" s="260"/>
      <c r="AC8988" s="260"/>
      <c r="AD8988" s="260"/>
      <c r="AE8988" s="260"/>
      <c r="AF8988" s="260"/>
      <c r="AG8988" s="258"/>
      <c r="AO8988"/>
      <c r="AP8988"/>
      <c r="AQ8988"/>
      <c r="AR8988"/>
      <c r="AS8988"/>
      <c r="AT8988"/>
      <c r="AU8988"/>
      <c r="AV8988"/>
      <c r="AW8988"/>
      <c r="AX8988"/>
      <c r="AY8988"/>
      <c r="AZ8988"/>
      <c r="BA8988"/>
      <c r="BB8988"/>
      <c r="BC8988"/>
      <c r="BD8988"/>
      <c r="BE8988"/>
      <c r="BF8988"/>
    </row>
    <row r="8989" spans="13:58" ht="12" hidden="1" customHeight="1">
      <c r="M8989" s="820"/>
      <c r="N8989" s="239"/>
      <c r="O8989" s="225"/>
      <c r="P8989" s="260"/>
      <c r="Q8989" s="258"/>
      <c r="R8989" s="260"/>
      <c r="S8989" s="260"/>
      <c r="T8989" s="260"/>
      <c r="U8989" s="260"/>
      <c r="V8989" s="260"/>
      <c r="W8989" s="260"/>
      <c r="X8989" s="260"/>
      <c r="Y8989" s="260"/>
      <c r="Z8989" s="260"/>
      <c r="AA8989" s="260"/>
      <c r="AB8989" s="260"/>
      <c r="AC8989" s="260"/>
      <c r="AD8989" s="260"/>
      <c r="AE8989" s="260"/>
      <c r="AF8989" s="260"/>
      <c r="AG8989" s="258"/>
      <c r="AO8989"/>
      <c r="AP8989"/>
      <c r="AQ8989"/>
      <c r="AR8989"/>
      <c r="AS8989"/>
      <c r="AT8989"/>
      <c r="AU8989"/>
      <c r="AV8989"/>
      <c r="AW8989"/>
      <c r="AX8989"/>
      <c r="AY8989"/>
      <c r="AZ8989"/>
      <c r="BA8989"/>
      <c r="BB8989"/>
      <c r="BC8989"/>
      <c r="BD8989"/>
      <c r="BE8989"/>
      <c r="BF8989"/>
    </row>
    <row r="8990" spans="13:58" ht="12" hidden="1" customHeight="1">
      <c r="M8990" s="820"/>
      <c r="N8990" s="239"/>
      <c r="O8990" s="225"/>
      <c r="P8990" s="260"/>
      <c r="Q8990" s="258"/>
      <c r="R8990" s="260"/>
      <c r="S8990" s="260"/>
      <c r="T8990" s="260"/>
      <c r="U8990" s="260"/>
      <c r="V8990" s="260"/>
      <c r="W8990" s="260"/>
      <c r="X8990" s="260"/>
      <c r="Y8990" s="260"/>
      <c r="Z8990" s="260"/>
      <c r="AA8990" s="260"/>
      <c r="AB8990" s="260"/>
      <c r="AC8990" s="260"/>
      <c r="AD8990" s="260"/>
      <c r="AE8990" s="260"/>
      <c r="AF8990" s="260"/>
      <c r="AG8990" s="258"/>
      <c r="AO8990"/>
      <c r="AP8990"/>
      <c r="AQ8990"/>
      <c r="AR8990"/>
      <c r="AS8990"/>
      <c r="AT8990"/>
      <c r="AU8990"/>
      <c r="AV8990"/>
      <c r="AW8990"/>
      <c r="AX8990"/>
      <c r="AY8990"/>
      <c r="AZ8990"/>
      <c r="BA8990"/>
      <c r="BB8990"/>
      <c r="BC8990"/>
      <c r="BD8990"/>
      <c r="BE8990"/>
      <c r="BF8990"/>
    </row>
    <row r="8991" spans="13:58" ht="12" hidden="1" customHeight="1">
      <c r="M8991" s="820"/>
      <c r="N8991" s="239"/>
      <c r="O8991" s="225"/>
      <c r="P8991" s="260"/>
      <c r="Q8991" s="258"/>
      <c r="R8991" s="260"/>
      <c r="S8991" s="260"/>
      <c r="T8991" s="260"/>
      <c r="U8991" s="260"/>
      <c r="V8991" s="260"/>
      <c r="W8991" s="260"/>
      <c r="X8991" s="260"/>
      <c r="Y8991" s="260"/>
      <c r="Z8991" s="260"/>
      <c r="AA8991" s="260"/>
      <c r="AB8991" s="260"/>
      <c r="AC8991" s="260"/>
      <c r="AD8991" s="260"/>
      <c r="AE8991" s="260"/>
      <c r="AF8991" s="260"/>
      <c r="AG8991" s="258"/>
      <c r="AO8991"/>
      <c r="AP8991"/>
      <c r="AQ8991"/>
      <c r="AR8991"/>
      <c r="AS8991"/>
      <c r="AT8991"/>
      <c r="AU8991"/>
      <c r="AV8991"/>
      <c r="AW8991"/>
      <c r="AX8991"/>
      <c r="AY8991"/>
      <c r="AZ8991"/>
      <c r="BA8991"/>
      <c r="BB8991"/>
      <c r="BC8991"/>
      <c r="BD8991"/>
      <c r="BE8991"/>
      <c r="BF8991"/>
    </row>
    <row r="8992" spans="13:58" ht="12" hidden="1" customHeight="1">
      <c r="M8992" s="820"/>
      <c r="N8992" s="239"/>
      <c r="O8992" s="225"/>
      <c r="P8992" s="260"/>
      <c r="Q8992" s="258"/>
      <c r="R8992" s="260"/>
      <c r="S8992" s="260"/>
      <c r="T8992" s="260"/>
      <c r="U8992" s="260"/>
      <c r="V8992" s="260"/>
      <c r="W8992" s="260"/>
      <c r="X8992" s="260"/>
      <c r="Y8992" s="260"/>
      <c r="Z8992" s="260"/>
      <c r="AA8992" s="260"/>
      <c r="AB8992" s="260"/>
      <c r="AC8992" s="260"/>
      <c r="AD8992" s="260"/>
      <c r="AE8992" s="260"/>
      <c r="AF8992" s="260"/>
      <c r="AG8992" s="258"/>
      <c r="AO8992"/>
      <c r="AP8992"/>
      <c r="AQ8992"/>
      <c r="AR8992"/>
      <c r="AS8992"/>
      <c r="AT8992"/>
      <c r="AU8992"/>
      <c r="AV8992"/>
      <c r="AW8992"/>
      <c r="AX8992"/>
      <c r="AY8992"/>
      <c r="AZ8992"/>
      <c r="BA8992"/>
      <c r="BB8992"/>
      <c r="BC8992"/>
      <c r="BD8992"/>
      <c r="BE8992"/>
      <c r="BF8992"/>
    </row>
    <row r="8993" spans="13:58" ht="12" hidden="1" customHeight="1">
      <c r="M8993" s="820"/>
      <c r="N8993" s="239"/>
      <c r="O8993" s="225"/>
      <c r="P8993" s="260"/>
      <c r="Q8993" s="258"/>
      <c r="R8993" s="260"/>
      <c r="S8993" s="260"/>
      <c r="T8993" s="260"/>
      <c r="U8993" s="260"/>
      <c r="V8993" s="260"/>
      <c r="W8993" s="260"/>
      <c r="X8993" s="260"/>
      <c r="Y8993" s="260"/>
      <c r="Z8993" s="260"/>
      <c r="AA8993" s="260"/>
      <c r="AB8993" s="260"/>
      <c r="AC8993" s="260"/>
      <c r="AD8993" s="260"/>
      <c r="AE8993" s="260"/>
      <c r="AF8993" s="260"/>
      <c r="AG8993" s="258"/>
      <c r="AO8993"/>
      <c r="AP8993"/>
      <c r="AQ8993"/>
      <c r="AR8993"/>
      <c r="AS8993"/>
      <c r="AT8993"/>
      <c r="AU8993"/>
      <c r="AV8993"/>
      <c r="AW8993"/>
      <c r="AX8993"/>
      <c r="AY8993"/>
      <c r="AZ8993"/>
      <c r="BA8993"/>
      <c r="BB8993"/>
      <c r="BC8993"/>
      <c r="BD8993"/>
      <c r="BE8993"/>
      <c r="BF8993"/>
    </row>
    <row r="8994" spans="13:58" ht="12" hidden="1" customHeight="1">
      <c r="M8994" s="820"/>
      <c r="N8994" s="239"/>
      <c r="O8994" s="225"/>
      <c r="P8994" s="260"/>
      <c r="Q8994" s="258"/>
      <c r="R8994" s="260"/>
      <c r="S8994" s="260"/>
      <c r="T8994" s="260"/>
      <c r="U8994" s="260"/>
      <c r="V8994" s="260"/>
      <c r="W8994" s="260"/>
      <c r="X8994" s="260"/>
      <c r="Y8994" s="260"/>
      <c r="Z8994" s="260"/>
      <c r="AA8994" s="260"/>
      <c r="AB8994" s="260"/>
      <c r="AC8994" s="260"/>
      <c r="AD8994" s="260"/>
      <c r="AE8994" s="260"/>
      <c r="AF8994" s="260"/>
      <c r="AG8994" s="258"/>
      <c r="AO8994"/>
      <c r="AP8994"/>
      <c r="AQ8994"/>
      <c r="AR8994"/>
      <c r="AS8994"/>
      <c r="AT8994"/>
      <c r="AU8994"/>
      <c r="AV8994"/>
      <c r="AW8994"/>
      <c r="AX8994"/>
      <c r="AY8994"/>
      <c r="AZ8994"/>
      <c r="BA8994"/>
      <c r="BB8994"/>
      <c r="BC8994"/>
      <c r="BD8994"/>
      <c r="BE8994"/>
      <c r="BF8994"/>
    </row>
    <row r="8995" spans="13:58" ht="12" hidden="1" customHeight="1">
      <c r="M8995" s="820"/>
      <c r="N8995" s="239"/>
      <c r="O8995" s="225"/>
      <c r="P8995" s="260"/>
      <c r="Q8995" s="258"/>
      <c r="R8995" s="260"/>
      <c r="S8995" s="260"/>
      <c r="T8995" s="260"/>
      <c r="U8995" s="260"/>
      <c r="V8995" s="260"/>
      <c r="W8995" s="260"/>
      <c r="X8995" s="260"/>
      <c r="Y8995" s="260"/>
      <c r="Z8995" s="260"/>
      <c r="AA8995" s="260"/>
      <c r="AB8995" s="260"/>
      <c r="AC8995" s="260"/>
      <c r="AD8995" s="260"/>
      <c r="AE8995" s="260"/>
      <c r="AF8995" s="260"/>
      <c r="AG8995" s="258"/>
      <c r="AO8995"/>
      <c r="AP8995"/>
      <c r="AQ8995"/>
      <c r="AR8995"/>
      <c r="AS8995"/>
      <c r="AT8995"/>
      <c r="AU8995"/>
      <c r="AV8995"/>
      <c r="AW8995"/>
      <c r="AX8995"/>
      <c r="AY8995"/>
      <c r="AZ8995"/>
      <c r="BA8995"/>
      <c r="BB8995"/>
      <c r="BC8995"/>
      <c r="BD8995"/>
      <c r="BE8995"/>
      <c r="BF8995"/>
    </row>
    <row r="8996" spans="13:58" ht="12" hidden="1" customHeight="1">
      <c r="M8996" s="820"/>
      <c r="N8996" s="239"/>
      <c r="O8996" s="225"/>
      <c r="P8996" s="260"/>
      <c r="Q8996" s="258"/>
      <c r="R8996" s="260"/>
      <c r="S8996" s="260"/>
      <c r="T8996" s="260"/>
      <c r="U8996" s="260"/>
      <c r="V8996" s="260"/>
      <c r="W8996" s="260"/>
      <c r="X8996" s="260"/>
      <c r="Y8996" s="260"/>
      <c r="Z8996" s="260"/>
      <c r="AA8996" s="260"/>
      <c r="AB8996" s="260"/>
      <c r="AC8996" s="260"/>
      <c r="AD8996" s="260"/>
      <c r="AE8996" s="260"/>
      <c r="AF8996" s="260"/>
      <c r="AG8996" s="258"/>
      <c r="AO8996"/>
      <c r="AP8996"/>
      <c r="AQ8996"/>
      <c r="AR8996"/>
      <c r="AS8996"/>
      <c r="AT8996"/>
      <c r="AU8996"/>
      <c r="AV8996"/>
      <c r="AW8996"/>
      <c r="AX8996"/>
      <c r="AY8996"/>
      <c r="AZ8996"/>
      <c r="BA8996"/>
      <c r="BB8996"/>
      <c r="BC8996"/>
      <c r="BD8996"/>
      <c r="BE8996"/>
      <c r="BF8996"/>
    </row>
    <row r="8997" spans="13:58" ht="12" hidden="1" customHeight="1">
      <c r="M8997" s="820"/>
      <c r="N8997" s="239"/>
      <c r="O8997" s="225"/>
      <c r="P8997" s="260"/>
      <c r="Q8997" s="258"/>
      <c r="R8997" s="260"/>
      <c r="S8997" s="260"/>
      <c r="T8997" s="260"/>
      <c r="U8997" s="260"/>
      <c r="V8997" s="260"/>
      <c r="W8997" s="260"/>
      <c r="X8997" s="260"/>
      <c r="Y8997" s="260"/>
      <c r="Z8997" s="260"/>
      <c r="AA8997" s="260"/>
      <c r="AB8997" s="260"/>
      <c r="AC8997" s="260"/>
      <c r="AD8997" s="260"/>
      <c r="AE8997" s="260"/>
      <c r="AF8997" s="260"/>
      <c r="AG8997" s="258"/>
      <c r="AO8997"/>
      <c r="AP8997"/>
      <c r="AQ8997"/>
      <c r="AR8997"/>
      <c r="AS8997"/>
      <c r="AT8997"/>
      <c r="AU8997"/>
      <c r="AV8997"/>
      <c r="AW8997"/>
      <c r="AX8997"/>
      <c r="AY8997"/>
      <c r="AZ8997"/>
      <c r="BA8997"/>
      <c r="BB8997"/>
      <c r="BC8997"/>
      <c r="BD8997"/>
      <c r="BE8997"/>
      <c r="BF8997"/>
    </row>
    <row r="8998" spans="13:58" ht="12" hidden="1" customHeight="1">
      <c r="M8998" s="820"/>
      <c r="N8998" s="239"/>
      <c r="O8998" s="225"/>
      <c r="P8998" s="260"/>
      <c r="Q8998" s="258"/>
      <c r="R8998" s="260"/>
      <c r="S8998" s="260"/>
      <c r="T8998" s="260"/>
      <c r="U8998" s="260"/>
      <c r="V8998" s="260"/>
      <c r="W8998" s="260"/>
      <c r="X8998" s="260"/>
      <c r="Y8998" s="260"/>
      <c r="Z8998" s="260"/>
      <c r="AA8998" s="260"/>
      <c r="AB8998" s="260"/>
      <c r="AC8998" s="260"/>
      <c r="AD8998" s="260"/>
      <c r="AE8998" s="260"/>
      <c r="AF8998" s="260"/>
      <c r="AG8998" s="258"/>
      <c r="AO8998"/>
      <c r="AP8998"/>
      <c r="AQ8998"/>
      <c r="AR8998"/>
      <c r="AS8998"/>
      <c r="AT8998"/>
      <c r="AU8998"/>
      <c r="AV8998"/>
      <c r="AW8998"/>
      <c r="AX8998"/>
      <c r="AY8998"/>
      <c r="AZ8998"/>
      <c r="BA8998"/>
      <c r="BB8998"/>
      <c r="BC8998"/>
      <c r="BD8998"/>
      <c r="BE8998"/>
      <c r="BF8998"/>
    </row>
    <row r="8999" spans="13:58" ht="12" hidden="1" customHeight="1">
      <c r="M8999" s="820"/>
      <c r="N8999" s="239"/>
      <c r="O8999" s="225"/>
      <c r="P8999" s="260"/>
      <c r="Q8999" s="258"/>
      <c r="R8999" s="260"/>
      <c r="S8999" s="260"/>
      <c r="T8999" s="260"/>
      <c r="U8999" s="260"/>
      <c r="V8999" s="260"/>
      <c r="W8999" s="260"/>
      <c r="X8999" s="260"/>
      <c r="Y8999" s="260"/>
      <c r="Z8999" s="260"/>
      <c r="AA8999" s="260"/>
      <c r="AB8999" s="260"/>
      <c r="AC8999" s="260"/>
      <c r="AD8999" s="260"/>
      <c r="AE8999" s="260"/>
      <c r="AF8999" s="260"/>
      <c r="AG8999" s="258"/>
      <c r="AO8999"/>
      <c r="AP8999"/>
      <c r="AQ8999"/>
      <c r="AR8999"/>
      <c r="AS8999"/>
      <c r="AT8999"/>
      <c r="AU8999"/>
      <c r="AV8999"/>
      <c r="AW8999"/>
      <c r="AX8999"/>
      <c r="AY8999"/>
      <c r="AZ8999"/>
      <c r="BA8999"/>
      <c r="BB8999"/>
      <c r="BC8999"/>
      <c r="BD8999"/>
      <c r="BE8999"/>
      <c r="BF8999"/>
    </row>
    <row r="9000" spans="13:58" ht="12" hidden="1" customHeight="1">
      <c r="M9000" s="820"/>
      <c r="N9000" s="239"/>
      <c r="O9000" s="225"/>
      <c r="P9000" s="260"/>
      <c r="Q9000" s="258"/>
      <c r="R9000" s="260"/>
      <c r="S9000" s="260"/>
      <c r="T9000" s="260"/>
      <c r="U9000" s="260"/>
      <c r="V9000" s="260"/>
      <c r="W9000" s="260"/>
      <c r="X9000" s="260"/>
      <c r="Y9000" s="260"/>
      <c r="Z9000" s="260"/>
      <c r="AA9000" s="260"/>
      <c r="AB9000" s="260"/>
      <c r="AC9000" s="260"/>
      <c r="AD9000" s="260"/>
      <c r="AE9000" s="260"/>
      <c r="AF9000" s="260"/>
      <c r="AG9000" s="258"/>
      <c r="AO9000"/>
      <c r="AP9000"/>
      <c r="AQ9000"/>
      <c r="AR9000"/>
      <c r="AS9000"/>
      <c r="AT9000"/>
      <c r="AU9000"/>
      <c r="AV9000"/>
      <c r="AW9000"/>
      <c r="AX9000"/>
      <c r="AY9000"/>
      <c r="AZ9000"/>
      <c r="BA9000"/>
      <c r="BB9000"/>
      <c r="BC9000"/>
      <c r="BD9000"/>
      <c r="BE9000"/>
      <c r="BF9000"/>
    </row>
    <row r="9001" spans="13:58" ht="12" hidden="1" customHeight="1">
      <c r="M9001" s="820"/>
      <c r="N9001" s="239"/>
      <c r="O9001" s="225"/>
      <c r="P9001" s="260"/>
      <c r="Q9001" s="258"/>
      <c r="R9001" s="260"/>
      <c r="S9001" s="260"/>
      <c r="T9001" s="260"/>
      <c r="U9001" s="260"/>
      <c r="V9001" s="260"/>
      <c r="W9001" s="260"/>
      <c r="X9001" s="260"/>
      <c r="Y9001" s="260"/>
      <c r="Z9001" s="260"/>
      <c r="AA9001" s="260"/>
      <c r="AB9001" s="260"/>
      <c r="AC9001" s="260"/>
      <c r="AD9001" s="260"/>
      <c r="AE9001" s="260"/>
      <c r="AF9001" s="260"/>
      <c r="AG9001" s="258"/>
      <c r="AO9001"/>
      <c r="AP9001"/>
      <c r="AQ9001"/>
      <c r="AR9001"/>
      <c r="AS9001"/>
      <c r="AT9001"/>
      <c r="AU9001"/>
      <c r="AV9001"/>
      <c r="AW9001"/>
      <c r="AX9001"/>
      <c r="AY9001"/>
      <c r="AZ9001"/>
      <c r="BA9001"/>
      <c r="BB9001"/>
      <c r="BC9001"/>
      <c r="BD9001"/>
      <c r="BE9001"/>
      <c r="BF9001"/>
    </row>
    <row r="9002" spans="13:58" ht="12" hidden="1" customHeight="1">
      <c r="M9002" s="820"/>
      <c r="N9002" s="239"/>
      <c r="O9002" s="225"/>
      <c r="P9002" s="260"/>
      <c r="Q9002" s="258"/>
      <c r="R9002" s="260"/>
      <c r="S9002" s="260"/>
      <c r="T9002" s="260"/>
      <c r="U9002" s="260"/>
      <c r="V9002" s="260"/>
      <c r="W9002" s="260"/>
      <c r="X9002" s="260"/>
      <c r="Y9002" s="260"/>
      <c r="Z9002" s="260"/>
      <c r="AA9002" s="260"/>
      <c r="AB9002" s="260"/>
      <c r="AC9002" s="260"/>
      <c r="AD9002" s="260"/>
      <c r="AE9002" s="260"/>
      <c r="AF9002" s="260"/>
      <c r="AG9002" s="258"/>
      <c r="AO9002"/>
      <c r="AP9002"/>
      <c r="AQ9002"/>
      <c r="AR9002"/>
      <c r="AS9002"/>
      <c r="AT9002"/>
      <c r="AU9002"/>
      <c r="AV9002"/>
      <c r="AW9002"/>
      <c r="AX9002"/>
      <c r="AY9002"/>
      <c r="AZ9002"/>
      <c r="BA9002"/>
      <c r="BB9002"/>
      <c r="BC9002"/>
      <c r="BD9002"/>
      <c r="BE9002"/>
      <c r="BF9002"/>
    </row>
    <row r="9003" spans="13:58" ht="12" hidden="1" customHeight="1">
      <c r="M9003" s="820"/>
      <c r="N9003" s="239"/>
      <c r="O9003" s="225"/>
      <c r="P9003" s="260"/>
      <c r="Q9003" s="258"/>
      <c r="R9003" s="260"/>
      <c r="S9003" s="260"/>
      <c r="T9003" s="260"/>
      <c r="U9003" s="260"/>
      <c r="V9003" s="260"/>
      <c r="W9003" s="260"/>
      <c r="X9003" s="260"/>
      <c r="Y9003" s="260"/>
      <c r="Z9003" s="260"/>
      <c r="AA9003" s="260"/>
      <c r="AB9003" s="260"/>
      <c r="AC9003" s="260"/>
      <c r="AD9003" s="260"/>
      <c r="AE9003" s="260"/>
      <c r="AF9003" s="260"/>
      <c r="AG9003" s="258"/>
      <c r="AO9003"/>
      <c r="AP9003"/>
      <c r="AQ9003"/>
      <c r="AR9003"/>
      <c r="AS9003"/>
      <c r="AT9003"/>
      <c r="AU9003"/>
      <c r="AV9003"/>
      <c r="AW9003"/>
      <c r="AX9003"/>
      <c r="AY9003"/>
      <c r="AZ9003"/>
      <c r="BA9003"/>
      <c r="BB9003"/>
      <c r="BC9003"/>
      <c r="BD9003"/>
      <c r="BE9003"/>
      <c r="BF9003"/>
    </row>
    <row r="9004" spans="13:58" ht="12" hidden="1" customHeight="1">
      <c r="M9004" s="820"/>
      <c r="N9004" s="239"/>
      <c r="O9004" s="225"/>
      <c r="P9004" s="260"/>
      <c r="Q9004" s="258"/>
      <c r="R9004" s="260"/>
      <c r="S9004" s="260"/>
      <c r="T9004" s="260"/>
      <c r="U9004" s="260"/>
      <c r="V9004" s="260"/>
      <c r="W9004" s="260"/>
      <c r="X9004" s="260"/>
      <c r="Y9004" s="260"/>
      <c r="Z9004" s="260"/>
      <c r="AA9004" s="260"/>
      <c r="AB9004" s="260"/>
      <c r="AC9004" s="260"/>
      <c r="AD9004" s="260"/>
      <c r="AE9004" s="260"/>
      <c r="AF9004" s="260"/>
      <c r="AG9004" s="258"/>
      <c r="AO9004"/>
      <c r="AP9004"/>
      <c r="AQ9004"/>
      <c r="AR9004"/>
      <c r="AS9004"/>
      <c r="AT9004"/>
      <c r="AU9004"/>
      <c r="AV9004"/>
      <c r="AW9004"/>
      <c r="AX9004"/>
      <c r="AY9004"/>
      <c r="AZ9004"/>
      <c r="BA9004"/>
      <c r="BB9004"/>
      <c r="BC9004"/>
      <c r="BD9004"/>
      <c r="BE9004"/>
      <c r="BF9004"/>
    </row>
    <row r="9005" spans="13:58" ht="12" hidden="1" customHeight="1">
      <c r="M9005" s="820"/>
      <c r="N9005" s="239"/>
      <c r="O9005" s="225"/>
      <c r="P9005" s="260"/>
      <c r="Q9005" s="258"/>
      <c r="R9005" s="260"/>
      <c r="S9005" s="260"/>
      <c r="T9005" s="260"/>
      <c r="U9005" s="260"/>
      <c r="V9005" s="260"/>
      <c r="W9005" s="260"/>
      <c r="X9005" s="260"/>
      <c r="Y9005" s="260"/>
      <c r="Z9005" s="260"/>
      <c r="AA9005" s="260"/>
      <c r="AB9005" s="260"/>
      <c r="AC9005" s="260"/>
      <c r="AD9005" s="260"/>
      <c r="AE9005" s="260"/>
      <c r="AF9005" s="260"/>
      <c r="AG9005" s="258"/>
      <c r="AO9005"/>
      <c r="AP9005"/>
      <c r="AQ9005"/>
      <c r="AR9005"/>
      <c r="AS9005"/>
      <c r="AT9005"/>
      <c r="AU9005"/>
      <c r="AV9005"/>
      <c r="AW9005"/>
      <c r="AX9005"/>
      <c r="AY9005"/>
      <c r="AZ9005"/>
      <c r="BA9005"/>
      <c r="BB9005"/>
      <c r="BC9005"/>
      <c r="BD9005"/>
      <c r="BE9005"/>
      <c r="BF9005"/>
    </row>
    <row r="9006" spans="13:58" ht="12" hidden="1" customHeight="1">
      <c r="M9006" s="820"/>
      <c r="N9006" s="239"/>
      <c r="O9006" s="225"/>
      <c r="P9006" s="260"/>
      <c r="Q9006" s="258"/>
      <c r="R9006" s="260"/>
      <c r="S9006" s="260"/>
      <c r="T9006" s="260"/>
      <c r="U9006" s="260"/>
      <c r="V9006" s="260"/>
      <c r="W9006" s="260"/>
      <c r="X9006" s="260"/>
      <c r="Y9006" s="260"/>
      <c r="Z9006" s="260"/>
      <c r="AA9006" s="260"/>
      <c r="AB9006" s="260"/>
      <c r="AC9006" s="260"/>
      <c r="AD9006" s="260"/>
      <c r="AE9006" s="260"/>
      <c r="AF9006" s="260"/>
      <c r="AG9006" s="258"/>
      <c r="AO9006"/>
      <c r="AP9006"/>
      <c r="AQ9006"/>
      <c r="AR9006"/>
      <c r="AS9006"/>
      <c r="AT9006"/>
      <c r="AU9006"/>
      <c r="AV9006"/>
      <c r="AW9006"/>
      <c r="AX9006"/>
      <c r="AY9006"/>
      <c r="AZ9006"/>
      <c r="BA9006"/>
      <c r="BB9006"/>
      <c r="BC9006"/>
      <c r="BD9006"/>
      <c r="BE9006"/>
      <c r="BF9006"/>
    </row>
    <row r="9007" spans="13:58" ht="12" hidden="1" customHeight="1">
      <c r="M9007" s="820"/>
      <c r="N9007" s="239"/>
      <c r="O9007" s="225"/>
      <c r="P9007" s="260"/>
      <c r="Q9007" s="258"/>
      <c r="R9007" s="260"/>
      <c r="S9007" s="260"/>
      <c r="T9007" s="260"/>
      <c r="U9007" s="260"/>
      <c r="V9007" s="260"/>
      <c r="W9007" s="260"/>
      <c r="X9007" s="260"/>
      <c r="Y9007" s="260"/>
      <c r="Z9007" s="260"/>
      <c r="AA9007" s="260"/>
      <c r="AB9007" s="260"/>
      <c r="AC9007" s="260"/>
      <c r="AD9007" s="260"/>
      <c r="AE9007" s="260"/>
      <c r="AF9007" s="260"/>
      <c r="AG9007" s="258"/>
      <c r="AO9007"/>
      <c r="AP9007"/>
      <c r="AQ9007"/>
      <c r="AR9007"/>
      <c r="AS9007"/>
      <c r="AT9007"/>
      <c r="AU9007"/>
      <c r="AV9007"/>
      <c r="AW9007"/>
      <c r="AX9007"/>
      <c r="AY9007"/>
      <c r="AZ9007"/>
      <c r="BA9007"/>
      <c r="BB9007"/>
      <c r="BC9007"/>
      <c r="BD9007"/>
      <c r="BE9007"/>
      <c r="BF9007"/>
    </row>
    <row r="9008" spans="13:58" ht="12" hidden="1" customHeight="1">
      <c r="M9008" s="820"/>
      <c r="N9008" s="239"/>
      <c r="O9008" s="225"/>
      <c r="P9008" s="260"/>
      <c r="Q9008" s="258"/>
      <c r="R9008" s="260"/>
      <c r="S9008" s="260"/>
      <c r="T9008" s="260"/>
      <c r="U9008" s="260"/>
      <c r="V9008" s="260"/>
      <c r="W9008" s="260"/>
      <c r="X9008" s="260"/>
      <c r="Y9008" s="260"/>
      <c r="Z9008" s="260"/>
      <c r="AA9008" s="260"/>
      <c r="AB9008" s="260"/>
      <c r="AC9008" s="260"/>
      <c r="AD9008" s="260"/>
      <c r="AE9008" s="260"/>
      <c r="AF9008" s="260"/>
      <c r="AG9008" s="258"/>
      <c r="AO9008"/>
      <c r="AP9008"/>
      <c r="AQ9008"/>
      <c r="AR9008"/>
      <c r="AS9008"/>
      <c r="AT9008"/>
      <c r="AU9008"/>
      <c r="AV9008"/>
      <c r="AW9008"/>
      <c r="AX9008"/>
      <c r="AY9008"/>
      <c r="AZ9008"/>
      <c r="BA9008"/>
      <c r="BB9008"/>
      <c r="BC9008"/>
      <c r="BD9008"/>
      <c r="BE9008"/>
      <c r="BF9008"/>
    </row>
    <row r="9009" spans="13:58" ht="12" hidden="1" customHeight="1">
      <c r="M9009" s="820"/>
      <c r="N9009" s="239"/>
      <c r="O9009" s="225"/>
      <c r="P9009" s="260"/>
      <c r="Q9009" s="258"/>
      <c r="R9009" s="260"/>
      <c r="S9009" s="260"/>
      <c r="T9009" s="260"/>
      <c r="U9009" s="260"/>
      <c r="V9009" s="260"/>
      <c r="W9009" s="260"/>
      <c r="X9009" s="260"/>
      <c r="Y9009" s="260"/>
      <c r="Z9009" s="260"/>
      <c r="AA9009" s="260"/>
      <c r="AB9009" s="260"/>
      <c r="AC9009" s="260"/>
      <c r="AD9009" s="260"/>
      <c r="AE9009" s="260"/>
      <c r="AF9009" s="260"/>
      <c r="AG9009" s="258"/>
      <c r="AO9009"/>
      <c r="AP9009"/>
      <c r="AQ9009"/>
      <c r="AR9009"/>
      <c r="AS9009"/>
      <c r="AT9009"/>
      <c r="AU9009"/>
      <c r="AV9009"/>
      <c r="AW9009"/>
      <c r="AX9009"/>
      <c r="AY9009"/>
      <c r="AZ9009"/>
      <c r="BA9009"/>
      <c r="BB9009"/>
      <c r="BC9009"/>
      <c r="BD9009"/>
      <c r="BE9009"/>
      <c r="BF9009"/>
    </row>
    <row r="9010" spans="13:58" ht="12" hidden="1" customHeight="1">
      <c r="M9010" s="820"/>
      <c r="N9010" s="239"/>
      <c r="O9010" s="225"/>
      <c r="P9010" s="260"/>
      <c r="Q9010" s="258"/>
      <c r="R9010" s="260"/>
      <c r="S9010" s="260"/>
      <c r="T9010" s="260"/>
      <c r="U9010" s="260"/>
      <c r="V9010" s="260"/>
      <c r="W9010" s="260"/>
      <c r="X9010" s="260"/>
      <c r="Y9010" s="260"/>
      <c r="Z9010" s="260"/>
      <c r="AA9010" s="260"/>
      <c r="AB9010" s="260"/>
      <c r="AC9010" s="260"/>
      <c r="AD9010" s="260"/>
      <c r="AE9010" s="260"/>
      <c r="AF9010" s="260"/>
      <c r="AG9010" s="258"/>
      <c r="AO9010"/>
      <c r="AP9010"/>
      <c r="AQ9010"/>
      <c r="AR9010"/>
      <c r="AS9010"/>
      <c r="AT9010"/>
      <c r="AU9010"/>
      <c r="AV9010"/>
      <c r="AW9010"/>
      <c r="AX9010"/>
      <c r="AY9010"/>
      <c r="AZ9010"/>
      <c r="BA9010"/>
      <c r="BB9010"/>
      <c r="BC9010"/>
      <c r="BD9010"/>
      <c r="BE9010"/>
      <c r="BF9010"/>
    </row>
    <row r="9011" spans="13:58" ht="12" hidden="1" customHeight="1">
      <c r="M9011" s="820"/>
      <c r="N9011" s="239"/>
      <c r="O9011" s="225"/>
      <c r="P9011" s="260"/>
      <c r="Q9011" s="258"/>
      <c r="R9011" s="260"/>
      <c r="S9011" s="260"/>
      <c r="T9011" s="260"/>
      <c r="U9011" s="260"/>
      <c r="V9011" s="260"/>
      <c r="W9011" s="260"/>
      <c r="X9011" s="260"/>
      <c r="Y9011" s="260"/>
      <c r="Z9011" s="260"/>
      <c r="AA9011" s="260"/>
      <c r="AB9011" s="260"/>
      <c r="AC9011" s="260"/>
      <c r="AD9011" s="260"/>
      <c r="AE9011" s="260"/>
      <c r="AF9011" s="260"/>
      <c r="AG9011" s="258"/>
      <c r="AO9011"/>
      <c r="AP9011"/>
      <c r="AQ9011"/>
      <c r="AR9011"/>
      <c r="AS9011"/>
      <c r="AT9011"/>
      <c r="AU9011"/>
      <c r="AV9011"/>
      <c r="AW9011"/>
      <c r="AX9011"/>
      <c r="AY9011"/>
      <c r="AZ9011"/>
      <c r="BA9011"/>
      <c r="BB9011"/>
      <c r="BC9011"/>
      <c r="BD9011"/>
      <c r="BE9011"/>
      <c r="BF9011"/>
    </row>
    <row r="9012" spans="13:58" ht="12" hidden="1" customHeight="1">
      <c r="M9012" s="820"/>
      <c r="N9012" s="239"/>
      <c r="O9012" s="225"/>
      <c r="P9012" s="260"/>
      <c r="Q9012" s="258"/>
      <c r="R9012" s="260"/>
      <c r="S9012" s="260"/>
      <c r="T9012" s="260"/>
      <c r="U9012" s="260"/>
      <c r="V9012" s="260"/>
      <c r="W9012" s="260"/>
      <c r="X9012" s="260"/>
      <c r="Y9012" s="260"/>
      <c r="Z9012" s="260"/>
      <c r="AA9012" s="260"/>
      <c r="AB9012" s="260"/>
      <c r="AC9012" s="260"/>
      <c r="AD9012" s="260"/>
      <c r="AE9012" s="260"/>
      <c r="AF9012" s="260"/>
      <c r="AG9012" s="258"/>
      <c r="AO9012"/>
      <c r="AP9012"/>
      <c r="AQ9012"/>
      <c r="AR9012"/>
      <c r="AS9012"/>
      <c r="AT9012"/>
      <c r="AU9012"/>
      <c r="AV9012"/>
      <c r="AW9012"/>
      <c r="AX9012"/>
      <c r="AY9012"/>
      <c r="AZ9012"/>
      <c r="BA9012"/>
      <c r="BB9012"/>
      <c r="BC9012"/>
      <c r="BD9012"/>
      <c r="BE9012"/>
      <c r="BF9012"/>
    </row>
    <row r="9013" spans="13:58" ht="12" hidden="1" customHeight="1">
      <c r="M9013" s="820"/>
      <c r="N9013" s="239"/>
      <c r="O9013" s="225"/>
      <c r="P9013" s="260"/>
      <c r="Q9013" s="258"/>
      <c r="R9013" s="260"/>
      <c r="S9013" s="260"/>
      <c r="T9013" s="260"/>
      <c r="U9013" s="260"/>
      <c r="V9013" s="260"/>
      <c r="W9013" s="260"/>
      <c r="X9013" s="260"/>
      <c r="Y9013" s="260"/>
      <c r="Z9013" s="260"/>
      <c r="AA9013" s="260"/>
      <c r="AB9013" s="260"/>
      <c r="AC9013" s="260"/>
      <c r="AD9013" s="260"/>
      <c r="AE9013" s="260"/>
      <c r="AF9013" s="260"/>
      <c r="AG9013" s="258"/>
      <c r="AO9013"/>
      <c r="AP9013"/>
      <c r="AQ9013"/>
      <c r="AR9013"/>
      <c r="AS9013"/>
      <c r="AT9013"/>
      <c r="AU9013"/>
      <c r="AV9013"/>
      <c r="AW9013"/>
      <c r="AX9013"/>
      <c r="AY9013"/>
      <c r="AZ9013"/>
      <c r="BA9013"/>
      <c r="BB9013"/>
      <c r="BC9013"/>
      <c r="BD9013"/>
      <c r="BE9013"/>
      <c r="BF9013"/>
    </row>
    <row r="9014" spans="13:58" ht="12" hidden="1" customHeight="1">
      <c r="M9014" s="820"/>
      <c r="N9014" s="239"/>
      <c r="O9014" s="225"/>
      <c r="P9014" s="260"/>
      <c r="Q9014" s="258"/>
      <c r="R9014" s="260"/>
      <c r="S9014" s="260"/>
      <c r="T9014" s="260"/>
      <c r="U9014" s="260"/>
      <c r="V9014" s="260"/>
      <c r="W9014" s="260"/>
      <c r="X9014" s="260"/>
      <c r="Y9014" s="260"/>
      <c r="Z9014" s="260"/>
      <c r="AA9014" s="260"/>
      <c r="AB9014" s="260"/>
      <c r="AC9014" s="260"/>
      <c r="AD9014" s="260"/>
      <c r="AE9014" s="260"/>
      <c r="AF9014" s="260"/>
      <c r="AG9014" s="258"/>
      <c r="AO9014"/>
      <c r="AP9014"/>
      <c r="AQ9014"/>
      <c r="AR9014"/>
      <c r="AS9014"/>
      <c r="AT9014"/>
      <c r="AU9014"/>
      <c r="AV9014"/>
      <c r="AW9014"/>
      <c r="AX9014"/>
      <c r="AY9014"/>
      <c r="AZ9014"/>
      <c r="BA9014"/>
      <c r="BB9014"/>
      <c r="BC9014"/>
      <c r="BD9014"/>
      <c r="BE9014"/>
      <c r="BF9014"/>
    </row>
    <row r="9015" spans="13:58" ht="12" hidden="1" customHeight="1">
      <c r="M9015" s="820"/>
      <c r="N9015" s="239"/>
      <c r="O9015" s="225"/>
      <c r="P9015" s="260"/>
      <c r="Q9015" s="258"/>
      <c r="R9015" s="260"/>
      <c r="S9015" s="260"/>
      <c r="T9015" s="260"/>
      <c r="U9015" s="260"/>
      <c r="V9015" s="260"/>
      <c r="W9015" s="260"/>
      <c r="X9015" s="260"/>
      <c r="Y9015" s="260"/>
      <c r="Z9015" s="260"/>
      <c r="AA9015" s="260"/>
      <c r="AB9015" s="260"/>
      <c r="AC9015" s="260"/>
      <c r="AD9015" s="260"/>
      <c r="AE9015" s="260"/>
      <c r="AF9015" s="260"/>
      <c r="AG9015" s="258"/>
      <c r="AO9015"/>
      <c r="AP9015"/>
      <c r="AQ9015"/>
      <c r="AR9015"/>
      <c r="AS9015"/>
      <c r="AT9015"/>
      <c r="AU9015"/>
      <c r="AV9015"/>
      <c r="AW9015"/>
      <c r="AX9015"/>
      <c r="AY9015"/>
      <c r="AZ9015"/>
      <c r="BA9015"/>
      <c r="BB9015"/>
      <c r="BC9015"/>
      <c r="BD9015"/>
      <c r="BE9015"/>
      <c r="BF9015"/>
    </row>
    <row r="9016" spans="13:58" ht="12" hidden="1" customHeight="1">
      <c r="M9016" s="820"/>
      <c r="N9016" s="239"/>
      <c r="O9016" s="225"/>
      <c r="P9016" s="260"/>
      <c r="Q9016" s="258"/>
      <c r="R9016" s="260"/>
      <c r="S9016" s="260"/>
      <c r="T9016" s="260"/>
      <c r="U9016" s="260"/>
      <c r="V9016" s="260"/>
      <c r="W9016" s="260"/>
      <c r="X9016" s="260"/>
      <c r="Y9016" s="260"/>
      <c r="Z9016" s="260"/>
      <c r="AA9016" s="260"/>
      <c r="AB9016" s="260"/>
      <c r="AC9016" s="260"/>
      <c r="AD9016" s="260"/>
      <c r="AE9016" s="260"/>
      <c r="AF9016" s="260"/>
      <c r="AG9016" s="258"/>
      <c r="AO9016"/>
      <c r="AP9016"/>
      <c r="AQ9016"/>
      <c r="AR9016"/>
      <c r="AS9016"/>
      <c r="AT9016"/>
      <c r="AU9016"/>
      <c r="AV9016"/>
      <c r="AW9016"/>
      <c r="AX9016"/>
      <c r="AY9016"/>
      <c r="AZ9016"/>
      <c r="BA9016"/>
      <c r="BB9016"/>
      <c r="BC9016"/>
      <c r="BD9016"/>
      <c r="BE9016"/>
      <c r="BF9016"/>
    </row>
    <row r="9017" spans="13:58" ht="12" hidden="1" customHeight="1">
      <c r="M9017" s="820"/>
      <c r="N9017" s="239"/>
      <c r="O9017" s="225"/>
      <c r="P9017" s="260"/>
      <c r="Q9017" s="258"/>
      <c r="R9017" s="260"/>
      <c r="S9017" s="260"/>
      <c r="T9017" s="260"/>
      <c r="U9017" s="260"/>
      <c r="V9017" s="260"/>
      <c r="W9017" s="260"/>
      <c r="X9017" s="260"/>
      <c r="Y9017" s="260"/>
      <c r="Z9017" s="260"/>
      <c r="AA9017" s="260"/>
      <c r="AB9017" s="260"/>
      <c r="AC9017" s="260"/>
      <c r="AD9017" s="260"/>
      <c r="AE9017" s="260"/>
      <c r="AF9017" s="260"/>
      <c r="AG9017" s="258"/>
      <c r="AO9017"/>
      <c r="AP9017"/>
      <c r="AQ9017"/>
      <c r="AR9017"/>
      <c r="AS9017"/>
      <c r="AT9017"/>
      <c r="AU9017"/>
      <c r="AV9017"/>
      <c r="AW9017"/>
      <c r="AX9017"/>
      <c r="AY9017"/>
      <c r="AZ9017"/>
      <c r="BA9017"/>
      <c r="BB9017"/>
      <c r="BC9017"/>
      <c r="BD9017"/>
      <c r="BE9017"/>
      <c r="BF9017"/>
    </row>
    <row r="9018" spans="13:58" ht="12" hidden="1" customHeight="1">
      <c r="M9018" s="820"/>
      <c r="N9018" s="239"/>
      <c r="O9018" s="225"/>
      <c r="P9018" s="260"/>
      <c r="Q9018" s="258"/>
      <c r="R9018" s="260"/>
      <c r="S9018" s="260"/>
      <c r="T9018" s="260"/>
      <c r="U9018" s="260"/>
      <c r="V9018" s="260"/>
      <c r="W9018" s="260"/>
      <c r="X9018" s="260"/>
      <c r="Y9018" s="260"/>
      <c r="Z9018" s="260"/>
      <c r="AA9018" s="260"/>
      <c r="AB9018" s="260"/>
      <c r="AC9018" s="260"/>
      <c r="AD9018" s="260"/>
      <c r="AE9018" s="260"/>
      <c r="AF9018" s="260"/>
      <c r="AG9018" s="258"/>
      <c r="AO9018"/>
      <c r="AP9018"/>
      <c r="AQ9018"/>
      <c r="AR9018"/>
      <c r="AS9018"/>
      <c r="AT9018"/>
      <c r="AU9018"/>
      <c r="AV9018"/>
      <c r="AW9018"/>
      <c r="AX9018"/>
      <c r="AY9018"/>
      <c r="AZ9018"/>
      <c r="BA9018"/>
      <c r="BB9018"/>
      <c r="BC9018"/>
      <c r="BD9018"/>
      <c r="BE9018"/>
      <c r="BF9018"/>
    </row>
    <row r="9019" spans="13:58" ht="12" hidden="1" customHeight="1">
      <c r="M9019" s="820"/>
      <c r="N9019" s="239"/>
      <c r="O9019" s="225"/>
      <c r="P9019" s="260"/>
      <c r="Q9019" s="258"/>
      <c r="R9019" s="260"/>
      <c r="S9019" s="260"/>
      <c r="T9019" s="260"/>
      <c r="U9019" s="260"/>
      <c r="V9019" s="260"/>
      <c r="W9019" s="260"/>
      <c r="X9019" s="260"/>
      <c r="Y9019" s="260"/>
      <c r="Z9019" s="260"/>
      <c r="AA9019" s="260"/>
      <c r="AB9019" s="260"/>
      <c r="AC9019" s="260"/>
      <c r="AD9019" s="260"/>
      <c r="AE9019" s="260"/>
      <c r="AF9019" s="260"/>
      <c r="AG9019" s="258"/>
      <c r="AO9019"/>
      <c r="AP9019"/>
      <c r="AQ9019"/>
      <c r="AR9019"/>
      <c r="AS9019"/>
      <c r="AT9019"/>
      <c r="AU9019"/>
      <c r="AV9019"/>
      <c r="AW9019"/>
      <c r="AX9019"/>
      <c r="AY9019"/>
      <c r="AZ9019"/>
      <c r="BA9019"/>
      <c r="BB9019"/>
      <c r="BC9019"/>
      <c r="BD9019"/>
      <c r="BE9019"/>
      <c r="BF9019"/>
    </row>
    <row r="9020" spans="13:58" ht="12" hidden="1" customHeight="1">
      <c r="M9020" s="820"/>
      <c r="N9020" s="239"/>
      <c r="O9020" s="225"/>
      <c r="P9020" s="260"/>
      <c r="Q9020" s="258"/>
      <c r="R9020" s="260"/>
      <c r="S9020" s="260"/>
      <c r="T9020" s="260"/>
      <c r="U9020" s="260"/>
      <c r="V9020" s="260"/>
      <c r="W9020" s="260"/>
      <c r="X9020" s="260"/>
      <c r="Y9020" s="260"/>
      <c r="Z9020" s="260"/>
      <c r="AA9020" s="260"/>
      <c r="AB9020" s="260"/>
      <c r="AC9020" s="260"/>
      <c r="AD9020" s="260"/>
      <c r="AE9020" s="260"/>
      <c r="AF9020" s="260"/>
      <c r="AG9020" s="258"/>
      <c r="AO9020"/>
      <c r="AP9020"/>
      <c r="AQ9020"/>
      <c r="AR9020"/>
      <c r="AS9020"/>
      <c r="AT9020"/>
      <c r="AU9020"/>
      <c r="AV9020"/>
      <c r="AW9020"/>
      <c r="AX9020"/>
      <c r="AY9020"/>
      <c r="AZ9020"/>
      <c r="BA9020"/>
      <c r="BB9020"/>
      <c r="BC9020"/>
      <c r="BD9020"/>
      <c r="BE9020"/>
      <c r="BF9020"/>
    </row>
    <row r="9021" spans="13:58" ht="12" hidden="1" customHeight="1">
      <c r="M9021" s="820"/>
      <c r="N9021" s="239"/>
      <c r="O9021" s="225"/>
      <c r="P9021" s="260"/>
      <c r="Q9021" s="258"/>
      <c r="R9021" s="260"/>
      <c r="S9021" s="260"/>
      <c r="T9021" s="260"/>
      <c r="U9021" s="260"/>
      <c r="V9021" s="260"/>
      <c r="W9021" s="260"/>
      <c r="X9021" s="260"/>
      <c r="Y9021" s="260"/>
      <c r="Z9021" s="260"/>
      <c r="AA9021" s="260"/>
      <c r="AB9021" s="260"/>
      <c r="AC9021" s="260"/>
      <c r="AD9021" s="260"/>
      <c r="AE9021" s="260"/>
      <c r="AF9021" s="260"/>
      <c r="AG9021" s="258"/>
      <c r="AO9021"/>
      <c r="AP9021"/>
      <c r="AQ9021"/>
      <c r="AR9021"/>
      <c r="AS9021"/>
      <c r="AT9021"/>
      <c r="AU9021"/>
      <c r="AV9021"/>
      <c r="AW9021"/>
      <c r="AX9021"/>
      <c r="AY9021"/>
      <c r="AZ9021"/>
      <c r="BA9021"/>
      <c r="BB9021"/>
      <c r="BC9021"/>
      <c r="BD9021"/>
      <c r="BE9021"/>
      <c r="BF9021"/>
    </row>
    <row r="9022" spans="13:58" ht="12" hidden="1" customHeight="1">
      <c r="M9022" s="820"/>
      <c r="N9022" s="239"/>
      <c r="O9022" s="225"/>
      <c r="P9022" s="260"/>
      <c r="Q9022" s="258"/>
      <c r="R9022" s="260"/>
      <c r="S9022" s="260"/>
      <c r="T9022" s="260"/>
      <c r="U9022" s="260"/>
      <c r="V9022" s="260"/>
      <c r="W9022" s="260"/>
      <c r="X9022" s="260"/>
      <c r="Y9022" s="260"/>
      <c r="Z9022" s="260"/>
      <c r="AA9022" s="260"/>
      <c r="AB9022" s="260"/>
      <c r="AC9022" s="260"/>
      <c r="AD9022" s="260"/>
      <c r="AE9022" s="260"/>
      <c r="AF9022" s="260"/>
      <c r="AG9022" s="258"/>
      <c r="AO9022"/>
      <c r="AP9022"/>
      <c r="AQ9022"/>
      <c r="AR9022"/>
      <c r="AS9022"/>
      <c r="AT9022"/>
      <c r="AU9022"/>
      <c r="AV9022"/>
      <c r="AW9022"/>
      <c r="AX9022"/>
      <c r="AY9022"/>
      <c r="AZ9022"/>
      <c r="BA9022"/>
      <c r="BB9022"/>
      <c r="BC9022"/>
      <c r="BD9022"/>
      <c r="BE9022"/>
      <c r="BF9022"/>
    </row>
    <row r="9023" spans="13:58" ht="12" hidden="1" customHeight="1">
      <c r="M9023" s="820"/>
      <c r="N9023" s="239"/>
      <c r="O9023" s="225"/>
      <c r="P9023" s="260"/>
      <c r="Q9023" s="258"/>
      <c r="R9023" s="260"/>
      <c r="S9023" s="260"/>
      <c r="T9023" s="260"/>
      <c r="U9023" s="260"/>
      <c r="V9023" s="260"/>
      <c r="W9023" s="260"/>
      <c r="X9023" s="260"/>
      <c r="Y9023" s="260"/>
      <c r="Z9023" s="260"/>
      <c r="AA9023" s="260"/>
      <c r="AB9023" s="260"/>
      <c r="AC9023" s="260"/>
      <c r="AD9023" s="260"/>
      <c r="AE9023" s="260"/>
      <c r="AF9023" s="260"/>
      <c r="AG9023" s="258"/>
      <c r="AO9023"/>
      <c r="AP9023"/>
      <c r="AQ9023"/>
      <c r="AR9023"/>
      <c r="AS9023"/>
      <c r="AT9023"/>
      <c r="AU9023"/>
      <c r="AV9023"/>
      <c r="AW9023"/>
      <c r="AX9023"/>
      <c r="AY9023"/>
      <c r="AZ9023"/>
      <c r="BA9023"/>
      <c r="BB9023"/>
      <c r="BC9023"/>
      <c r="BD9023"/>
      <c r="BE9023"/>
      <c r="BF9023"/>
    </row>
    <row r="9024" spans="13:58" ht="12" hidden="1" customHeight="1">
      <c r="M9024" s="820"/>
      <c r="N9024" s="239"/>
      <c r="O9024" s="225"/>
      <c r="P9024" s="260"/>
      <c r="Q9024" s="258"/>
      <c r="R9024" s="260"/>
      <c r="S9024" s="260"/>
      <c r="T9024" s="260"/>
      <c r="U9024" s="260"/>
      <c r="V9024" s="260"/>
      <c r="W9024" s="260"/>
      <c r="X9024" s="260"/>
      <c r="Y9024" s="260"/>
      <c r="Z9024" s="260"/>
      <c r="AA9024" s="260"/>
      <c r="AB9024" s="260"/>
      <c r="AC9024" s="260"/>
      <c r="AD9024" s="260"/>
      <c r="AE9024" s="260"/>
      <c r="AF9024" s="260"/>
      <c r="AG9024" s="258"/>
      <c r="AO9024"/>
      <c r="AP9024"/>
      <c r="AQ9024"/>
      <c r="AR9024"/>
      <c r="AS9024"/>
      <c r="AT9024"/>
      <c r="AU9024"/>
      <c r="AV9024"/>
      <c r="AW9024"/>
      <c r="AX9024"/>
      <c r="AY9024"/>
      <c r="AZ9024"/>
      <c r="BA9024"/>
      <c r="BB9024"/>
      <c r="BC9024"/>
      <c r="BD9024"/>
      <c r="BE9024"/>
      <c r="BF9024"/>
    </row>
    <row r="9025" spans="13:58" ht="12" hidden="1" customHeight="1">
      <c r="M9025" s="820"/>
      <c r="N9025" s="239"/>
      <c r="O9025" s="225"/>
      <c r="P9025" s="260"/>
      <c r="Q9025" s="258"/>
      <c r="R9025" s="260"/>
      <c r="S9025" s="260"/>
      <c r="T9025" s="260"/>
      <c r="U9025" s="260"/>
      <c r="V9025" s="260"/>
      <c r="W9025" s="260"/>
      <c r="X9025" s="260"/>
      <c r="Y9025" s="260"/>
      <c r="Z9025" s="260"/>
      <c r="AA9025" s="260"/>
      <c r="AB9025" s="260"/>
      <c r="AC9025" s="260"/>
      <c r="AD9025" s="260"/>
      <c r="AE9025" s="260"/>
      <c r="AF9025" s="260"/>
      <c r="AG9025" s="258"/>
      <c r="AO9025"/>
      <c r="AP9025"/>
      <c r="AQ9025"/>
      <c r="AR9025"/>
      <c r="AS9025"/>
      <c r="AT9025"/>
      <c r="AU9025"/>
      <c r="AV9025"/>
      <c r="AW9025"/>
      <c r="AX9025"/>
      <c r="AY9025"/>
      <c r="AZ9025"/>
      <c r="BA9025"/>
      <c r="BB9025"/>
      <c r="BC9025"/>
      <c r="BD9025"/>
      <c r="BE9025"/>
      <c r="BF9025"/>
    </row>
    <row r="9026" spans="13:58" ht="12" hidden="1" customHeight="1">
      <c r="M9026" s="820"/>
      <c r="N9026" s="239"/>
      <c r="O9026" s="225"/>
      <c r="P9026" s="260"/>
      <c r="Q9026" s="258"/>
      <c r="R9026" s="260"/>
      <c r="S9026" s="260"/>
      <c r="T9026" s="260"/>
      <c r="U9026" s="260"/>
      <c r="V9026" s="260"/>
      <c r="W9026" s="260"/>
      <c r="X9026" s="260"/>
      <c r="Y9026" s="260"/>
      <c r="Z9026" s="260"/>
      <c r="AA9026" s="260"/>
      <c r="AB9026" s="260"/>
      <c r="AC9026" s="260"/>
      <c r="AD9026" s="260"/>
      <c r="AE9026" s="260"/>
      <c r="AF9026" s="260"/>
      <c r="AG9026" s="258"/>
      <c r="AO9026"/>
      <c r="AP9026"/>
      <c r="AQ9026"/>
      <c r="AR9026"/>
      <c r="AS9026"/>
      <c r="AT9026"/>
      <c r="AU9026"/>
      <c r="AV9026"/>
      <c r="AW9026"/>
      <c r="AX9026"/>
      <c r="AY9026"/>
      <c r="AZ9026"/>
      <c r="BA9026"/>
      <c r="BB9026"/>
      <c r="BC9026"/>
      <c r="BD9026"/>
      <c r="BE9026"/>
      <c r="BF9026"/>
    </row>
    <row r="9027" spans="13:58" ht="12" hidden="1" customHeight="1">
      <c r="M9027" s="820"/>
      <c r="N9027" s="239"/>
      <c r="O9027" s="225"/>
      <c r="P9027" s="260"/>
      <c r="Q9027" s="258"/>
      <c r="R9027" s="260"/>
      <c r="S9027" s="260"/>
      <c r="T9027" s="260"/>
      <c r="U9027" s="260"/>
      <c r="V9027" s="260"/>
      <c r="W9027" s="260"/>
      <c r="X9027" s="260"/>
      <c r="Y9027" s="260"/>
      <c r="Z9027" s="260"/>
      <c r="AA9027" s="260"/>
      <c r="AB9027" s="260"/>
      <c r="AC9027" s="260"/>
      <c r="AD9027" s="260"/>
      <c r="AE9027" s="260"/>
      <c r="AF9027" s="260"/>
      <c r="AG9027" s="258"/>
      <c r="AO9027"/>
      <c r="AP9027"/>
      <c r="AQ9027"/>
      <c r="AR9027"/>
      <c r="AS9027"/>
      <c r="AT9027"/>
      <c r="AU9027"/>
      <c r="AV9027"/>
      <c r="AW9027"/>
      <c r="AX9027"/>
      <c r="AY9027"/>
      <c r="AZ9027"/>
      <c r="BA9027"/>
      <c r="BB9027"/>
      <c r="BC9027"/>
      <c r="BD9027"/>
      <c r="BE9027"/>
      <c r="BF9027"/>
    </row>
    <row r="9028" spans="13:58" ht="12" hidden="1" customHeight="1">
      <c r="M9028" s="820"/>
      <c r="N9028" s="239"/>
      <c r="O9028" s="225"/>
      <c r="P9028" s="260"/>
      <c r="Q9028" s="258"/>
      <c r="R9028" s="260"/>
      <c r="S9028" s="260"/>
      <c r="T9028" s="260"/>
      <c r="U9028" s="260"/>
      <c r="V9028" s="260"/>
      <c r="W9028" s="260"/>
      <c r="X9028" s="260"/>
      <c r="Y9028" s="260"/>
      <c r="Z9028" s="260"/>
      <c r="AA9028" s="260"/>
      <c r="AB9028" s="260"/>
      <c r="AC9028" s="260"/>
      <c r="AD9028" s="260"/>
      <c r="AE9028" s="260"/>
      <c r="AF9028" s="260"/>
      <c r="AG9028" s="258"/>
      <c r="AO9028"/>
      <c r="AP9028"/>
      <c r="AQ9028"/>
      <c r="AR9028"/>
      <c r="AS9028"/>
      <c r="AT9028"/>
      <c r="AU9028"/>
      <c r="AV9028"/>
      <c r="AW9028"/>
      <c r="AX9028"/>
      <c r="AY9028"/>
      <c r="AZ9028"/>
      <c r="BA9028"/>
      <c r="BB9028"/>
      <c r="BC9028"/>
      <c r="BD9028"/>
      <c r="BE9028"/>
      <c r="BF9028"/>
    </row>
    <row r="9029" spans="13:58" ht="12" hidden="1" customHeight="1">
      <c r="M9029" s="820"/>
      <c r="N9029" s="239"/>
      <c r="O9029" s="225"/>
      <c r="P9029" s="260"/>
      <c r="Q9029" s="258"/>
      <c r="R9029" s="260"/>
      <c r="S9029" s="260"/>
      <c r="T9029" s="260"/>
      <c r="U9029" s="260"/>
      <c r="V9029" s="260"/>
      <c r="W9029" s="260"/>
      <c r="X9029" s="260"/>
      <c r="Y9029" s="260"/>
      <c r="Z9029" s="260"/>
      <c r="AA9029" s="260"/>
      <c r="AB9029" s="260"/>
      <c r="AC9029" s="260"/>
      <c r="AD9029" s="260"/>
      <c r="AE9029" s="260"/>
      <c r="AF9029" s="260"/>
      <c r="AG9029" s="258"/>
      <c r="AO9029"/>
      <c r="AP9029"/>
      <c r="AQ9029"/>
      <c r="AR9029"/>
      <c r="AS9029"/>
      <c r="AT9029"/>
      <c r="AU9029"/>
      <c r="AV9029"/>
      <c r="AW9029"/>
      <c r="AX9029"/>
      <c r="AY9029"/>
      <c r="AZ9029"/>
      <c r="BA9029"/>
      <c r="BB9029"/>
      <c r="BC9029"/>
      <c r="BD9029"/>
      <c r="BE9029"/>
      <c r="BF9029"/>
    </row>
    <row r="9030" spans="13:58" ht="12" hidden="1" customHeight="1">
      <c r="M9030" s="820"/>
      <c r="N9030" s="239"/>
      <c r="O9030" s="225"/>
      <c r="P9030" s="260"/>
      <c r="Q9030" s="258"/>
      <c r="R9030" s="260"/>
      <c r="S9030" s="260"/>
      <c r="T9030" s="260"/>
      <c r="U9030" s="260"/>
      <c r="V9030" s="260"/>
      <c r="W9030" s="260"/>
      <c r="X9030" s="260"/>
      <c r="Y9030" s="260"/>
      <c r="Z9030" s="260"/>
      <c r="AA9030" s="260"/>
      <c r="AB9030" s="260"/>
      <c r="AC9030" s="260"/>
      <c r="AD9030" s="260"/>
      <c r="AE9030" s="260"/>
      <c r="AF9030" s="260"/>
      <c r="AG9030" s="258"/>
      <c r="AO9030"/>
      <c r="AP9030"/>
      <c r="AQ9030"/>
      <c r="AR9030"/>
      <c r="AS9030"/>
      <c r="AT9030"/>
      <c r="AU9030"/>
      <c r="AV9030"/>
      <c r="AW9030"/>
      <c r="AX9030"/>
      <c r="AY9030"/>
      <c r="AZ9030"/>
      <c r="BA9030"/>
      <c r="BB9030"/>
      <c r="BC9030"/>
      <c r="BD9030"/>
      <c r="BE9030"/>
      <c r="BF9030"/>
    </row>
    <row r="9031" spans="13:58" ht="12" hidden="1" customHeight="1">
      <c r="M9031" s="820"/>
      <c r="N9031" s="239"/>
      <c r="O9031" s="225"/>
      <c r="P9031" s="260"/>
      <c r="Q9031" s="258"/>
      <c r="R9031" s="260"/>
      <c r="S9031" s="260"/>
      <c r="T9031" s="260"/>
      <c r="U9031" s="260"/>
      <c r="V9031" s="260"/>
      <c r="W9031" s="260"/>
      <c r="X9031" s="260"/>
      <c r="Y9031" s="260"/>
      <c r="Z9031" s="260"/>
      <c r="AA9031" s="260"/>
      <c r="AB9031" s="260"/>
      <c r="AC9031" s="260"/>
      <c r="AD9031" s="260"/>
      <c r="AE9031" s="260"/>
      <c r="AF9031" s="260"/>
      <c r="AG9031" s="258"/>
      <c r="AO9031"/>
      <c r="AP9031"/>
      <c r="AQ9031"/>
      <c r="AR9031"/>
      <c r="AS9031"/>
      <c r="AT9031"/>
      <c r="AU9031"/>
      <c r="AV9031"/>
      <c r="AW9031"/>
      <c r="AX9031"/>
      <c r="AY9031"/>
      <c r="AZ9031"/>
      <c r="BA9031"/>
      <c r="BB9031"/>
      <c r="BC9031"/>
      <c r="BD9031"/>
      <c r="BE9031"/>
      <c r="BF9031"/>
    </row>
    <row r="9032" spans="13:58" ht="12" hidden="1" customHeight="1">
      <c r="M9032" s="820"/>
      <c r="N9032" s="239"/>
      <c r="O9032" s="225"/>
      <c r="P9032" s="260"/>
      <c r="Q9032" s="258"/>
      <c r="R9032" s="260"/>
      <c r="S9032" s="260"/>
      <c r="T9032" s="260"/>
      <c r="U9032" s="260"/>
      <c r="V9032" s="260"/>
      <c r="W9032" s="260"/>
      <c r="X9032" s="260"/>
      <c r="Y9032" s="260"/>
      <c r="Z9032" s="260"/>
      <c r="AA9032" s="260"/>
      <c r="AB9032" s="260"/>
      <c r="AC9032" s="260"/>
      <c r="AD9032" s="260"/>
      <c r="AE9032" s="260"/>
      <c r="AF9032" s="260"/>
      <c r="AG9032" s="258"/>
      <c r="AO9032"/>
      <c r="AP9032"/>
      <c r="AQ9032"/>
      <c r="AR9032"/>
      <c r="AS9032"/>
      <c r="AT9032"/>
      <c r="AU9032"/>
      <c r="AV9032"/>
      <c r="AW9032"/>
      <c r="AX9032"/>
      <c r="AY9032"/>
      <c r="AZ9032"/>
      <c r="BA9032"/>
      <c r="BB9032"/>
      <c r="BC9032"/>
      <c r="BD9032"/>
      <c r="BE9032"/>
      <c r="BF9032"/>
    </row>
    <row r="9033" spans="13:58" ht="12" hidden="1" customHeight="1">
      <c r="M9033" s="820"/>
      <c r="N9033" s="239"/>
      <c r="O9033" s="225"/>
      <c r="P9033" s="260"/>
      <c r="Q9033" s="258"/>
      <c r="R9033" s="260"/>
      <c r="S9033" s="260"/>
      <c r="T9033" s="260"/>
      <c r="U9033" s="260"/>
      <c r="V9033" s="260"/>
      <c r="W9033" s="260"/>
      <c r="X9033" s="260"/>
      <c r="Y9033" s="260"/>
      <c r="Z9033" s="260"/>
      <c r="AA9033" s="260"/>
      <c r="AB9033" s="260"/>
      <c r="AC9033" s="260"/>
      <c r="AD9033" s="260"/>
      <c r="AE9033" s="260"/>
      <c r="AF9033" s="260"/>
      <c r="AG9033" s="258"/>
      <c r="AO9033"/>
      <c r="AP9033"/>
      <c r="AQ9033"/>
      <c r="AR9033"/>
      <c r="AS9033"/>
      <c r="AT9033"/>
      <c r="AU9033"/>
      <c r="AV9033"/>
      <c r="AW9033"/>
      <c r="AX9033"/>
      <c r="AY9033"/>
      <c r="AZ9033"/>
      <c r="BA9033"/>
      <c r="BB9033"/>
      <c r="BC9033"/>
      <c r="BD9033"/>
      <c r="BE9033"/>
      <c r="BF9033"/>
    </row>
    <row r="9034" spans="13:58" ht="12" hidden="1" customHeight="1">
      <c r="M9034" s="820"/>
      <c r="N9034" s="239"/>
      <c r="O9034" s="225"/>
      <c r="P9034" s="260"/>
      <c r="Q9034" s="258"/>
      <c r="R9034" s="260"/>
      <c r="S9034" s="260"/>
      <c r="T9034" s="260"/>
      <c r="U9034" s="260"/>
      <c r="V9034" s="260"/>
      <c r="W9034" s="260"/>
      <c r="X9034" s="260"/>
      <c r="Y9034" s="260"/>
      <c r="Z9034" s="260"/>
      <c r="AA9034" s="260"/>
      <c r="AB9034" s="260"/>
      <c r="AC9034" s="260"/>
      <c r="AD9034" s="260"/>
      <c r="AE9034" s="260"/>
      <c r="AF9034" s="260"/>
      <c r="AG9034" s="258"/>
      <c r="AO9034"/>
      <c r="AP9034"/>
      <c r="AQ9034"/>
      <c r="AR9034"/>
      <c r="AS9034"/>
      <c r="AT9034"/>
      <c r="AU9034"/>
      <c r="AV9034"/>
      <c r="AW9034"/>
      <c r="AX9034"/>
      <c r="AY9034"/>
      <c r="AZ9034"/>
      <c r="BA9034"/>
      <c r="BB9034"/>
      <c r="BC9034"/>
      <c r="BD9034"/>
      <c r="BE9034"/>
      <c r="BF9034"/>
    </row>
    <row r="9035" spans="13:58" ht="12" hidden="1" customHeight="1">
      <c r="M9035" s="820"/>
      <c r="N9035" s="239"/>
      <c r="O9035" s="225"/>
      <c r="P9035" s="260"/>
      <c r="Q9035" s="258"/>
      <c r="R9035" s="260"/>
      <c r="S9035" s="260"/>
      <c r="T9035" s="260"/>
      <c r="U9035" s="260"/>
      <c r="V9035" s="260"/>
      <c r="W9035" s="260"/>
      <c r="X9035" s="260"/>
      <c r="Y9035" s="260"/>
      <c r="Z9035" s="260"/>
      <c r="AA9035" s="260"/>
      <c r="AB9035" s="260"/>
      <c r="AC9035" s="260"/>
      <c r="AD9035" s="260"/>
      <c r="AE9035" s="260"/>
      <c r="AF9035" s="260"/>
      <c r="AG9035" s="258"/>
      <c r="AO9035"/>
      <c r="AP9035"/>
      <c r="AQ9035"/>
      <c r="AR9035"/>
      <c r="AS9035"/>
      <c r="AT9035"/>
      <c r="AU9035"/>
      <c r="AV9035"/>
      <c r="AW9035"/>
      <c r="AX9035"/>
      <c r="AY9035"/>
      <c r="AZ9035"/>
      <c r="BA9035"/>
      <c r="BB9035"/>
      <c r="BC9035"/>
      <c r="BD9035"/>
      <c r="BE9035"/>
      <c r="BF9035"/>
    </row>
    <row r="9036" spans="13:58" ht="12" hidden="1" customHeight="1">
      <c r="M9036" s="820"/>
      <c r="N9036" s="239"/>
      <c r="O9036" s="225"/>
      <c r="P9036" s="260"/>
      <c r="Q9036" s="258"/>
      <c r="R9036" s="260"/>
      <c r="S9036" s="260"/>
      <c r="T9036" s="260"/>
      <c r="U9036" s="260"/>
      <c r="V9036" s="260"/>
      <c r="W9036" s="260"/>
      <c r="X9036" s="260"/>
      <c r="Y9036" s="260"/>
      <c r="Z9036" s="260"/>
      <c r="AA9036" s="260"/>
      <c r="AB9036" s="260"/>
      <c r="AC9036" s="260"/>
      <c r="AD9036" s="260"/>
      <c r="AE9036" s="260"/>
      <c r="AF9036" s="260"/>
      <c r="AG9036" s="258"/>
      <c r="AO9036"/>
      <c r="AP9036"/>
      <c r="AQ9036"/>
      <c r="AR9036"/>
      <c r="AS9036"/>
      <c r="AT9036"/>
      <c r="AU9036"/>
      <c r="AV9036"/>
      <c r="AW9036"/>
      <c r="AX9036"/>
      <c r="AY9036"/>
      <c r="AZ9036"/>
      <c r="BA9036"/>
      <c r="BB9036"/>
      <c r="BC9036"/>
      <c r="BD9036"/>
      <c r="BE9036"/>
      <c r="BF9036"/>
    </row>
    <row r="9037" spans="13:58" ht="12" hidden="1" customHeight="1">
      <c r="M9037" s="820"/>
      <c r="N9037" s="239"/>
      <c r="O9037" s="225"/>
      <c r="P9037" s="260"/>
      <c r="Q9037" s="258"/>
      <c r="R9037" s="260"/>
      <c r="S9037" s="260"/>
      <c r="T9037" s="260"/>
      <c r="U9037" s="260"/>
      <c r="V9037" s="260"/>
      <c r="W9037" s="260"/>
      <c r="X9037" s="260"/>
      <c r="Y9037" s="260"/>
      <c r="Z9037" s="260"/>
      <c r="AA9037" s="260"/>
      <c r="AB9037" s="260"/>
      <c r="AC9037" s="260"/>
      <c r="AD9037" s="260"/>
      <c r="AE9037" s="260"/>
      <c r="AF9037" s="260"/>
      <c r="AG9037" s="258"/>
      <c r="AO9037"/>
      <c r="AP9037"/>
      <c r="AQ9037"/>
      <c r="AR9037"/>
      <c r="AS9037"/>
      <c r="AT9037"/>
      <c r="AU9037"/>
      <c r="AV9037"/>
      <c r="AW9037"/>
      <c r="AX9037"/>
      <c r="AY9037"/>
      <c r="AZ9037"/>
      <c r="BA9037"/>
      <c r="BB9037"/>
      <c r="BC9037"/>
      <c r="BD9037"/>
      <c r="BE9037"/>
      <c r="BF9037"/>
    </row>
    <row r="9038" spans="13:58" ht="12" hidden="1" customHeight="1">
      <c r="M9038" s="820"/>
      <c r="N9038" s="239"/>
      <c r="O9038" s="225"/>
      <c r="P9038" s="260"/>
      <c r="Q9038" s="258"/>
      <c r="R9038" s="260"/>
      <c r="S9038" s="260"/>
      <c r="T9038" s="260"/>
      <c r="U9038" s="260"/>
      <c r="V9038" s="260"/>
      <c r="W9038" s="260"/>
      <c r="X9038" s="260"/>
      <c r="Y9038" s="260"/>
      <c r="Z9038" s="260"/>
      <c r="AA9038" s="260"/>
      <c r="AB9038" s="260"/>
      <c r="AC9038" s="260"/>
      <c r="AD9038" s="260"/>
      <c r="AE9038" s="260"/>
      <c r="AF9038" s="260"/>
      <c r="AG9038" s="258"/>
      <c r="AO9038"/>
      <c r="AP9038"/>
      <c r="AQ9038"/>
      <c r="AR9038"/>
      <c r="AS9038"/>
      <c r="AT9038"/>
      <c r="AU9038"/>
      <c r="AV9038"/>
      <c r="AW9038"/>
      <c r="AX9038"/>
      <c r="AY9038"/>
      <c r="AZ9038"/>
      <c r="BA9038"/>
      <c r="BB9038"/>
      <c r="BC9038"/>
      <c r="BD9038"/>
      <c r="BE9038"/>
      <c r="BF9038"/>
    </row>
    <row r="9039" spans="13:58" ht="12" hidden="1" customHeight="1">
      <c r="M9039" s="820"/>
      <c r="N9039" s="239"/>
      <c r="O9039" s="225"/>
      <c r="P9039" s="260"/>
      <c r="Q9039" s="258"/>
      <c r="R9039" s="260"/>
      <c r="S9039" s="260"/>
      <c r="T9039" s="260"/>
      <c r="U9039" s="260"/>
      <c r="V9039" s="260"/>
      <c r="W9039" s="260"/>
      <c r="X9039" s="260"/>
      <c r="Y9039" s="260"/>
      <c r="Z9039" s="260"/>
      <c r="AA9039" s="260"/>
      <c r="AB9039" s="260"/>
      <c r="AC9039" s="260"/>
      <c r="AD9039" s="260"/>
      <c r="AE9039" s="260"/>
      <c r="AF9039" s="260"/>
      <c r="AG9039" s="258"/>
      <c r="AO9039"/>
      <c r="AP9039"/>
      <c r="AQ9039"/>
      <c r="AR9039"/>
      <c r="AS9039"/>
      <c r="AT9039"/>
      <c r="AU9039"/>
      <c r="AV9039"/>
      <c r="AW9039"/>
      <c r="AX9039"/>
      <c r="AY9039"/>
      <c r="AZ9039"/>
      <c r="BA9039"/>
      <c r="BB9039"/>
      <c r="BC9039"/>
      <c r="BD9039"/>
      <c r="BE9039"/>
      <c r="BF9039"/>
    </row>
    <row r="9040" spans="13:58" ht="12" hidden="1" customHeight="1">
      <c r="M9040" s="820"/>
      <c r="N9040" s="239"/>
      <c r="O9040" s="225"/>
      <c r="P9040" s="260"/>
      <c r="Q9040" s="258"/>
      <c r="R9040" s="260"/>
      <c r="S9040" s="260"/>
      <c r="T9040" s="260"/>
      <c r="U9040" s="260"/>
      <c r="V9040" s="260"/>
      <c r="W9040" s="260"/>
      <c r="X9040" s="260"/>
      <c r="Y9040" s="260"/>
      <c r="Z9040" s="260"/>
      <c r="AA9040" s="260"/>
      <c r="AB9040" s="260"/>
      <c r="AC9040" s="260"/>
      <c r="AD9040" s="260"/>
      <c r="AE9040" s="260"/>
      <c r="AF9040" s="260"/>
      <c r="AG9040" s="258"/>
      <c r="AO9040"/>
      <c r="AP9040"/>
      <c r="AQ9040"/>
      <c r="AR9040"/>
      <c r="AS9040"/>
      <c r="AT9040"/>
      <c r="AU9040"/>
      <c r="AV9040"/>
      <c r="AW9040"/>
      <c r="AX9040"/>
      <c r="AY9040"/>
      <c r="AZ9040"/>
      <c r="BA9040"/>
      <c r="BB9040"/>
      <c r="BC9040"/>
      <c r="BD9040"/>
      <c r="BE9040"/>
      <c r="BF9040"/>
    </row>
    <row r="9041" spans="13:58" ht="12" hidden="1" customHeight="1">
      <c r="M9041" s="820"/>
      <c r="N9041" s="239"/>
      <c r="O9041" s="225"/>
      <c r="P9041" s="260"/>
      <c r="Q9041" s="258"/>
      <c r="R9041" s="260"/>
      <c r="S9041" s="260"/>
      <c r="T9041" s="260"/>
      <c r="U9041" s="260"/>
      <c r="V9041" s="260"/>
      <c r="W9041" s="260"/>
      <c r="X9041" s="260"/>
      <c r="Y9041" s="260"/>
      <c r="Z9041" s="260"/>
      <c r="AA9041" s="260"/>
      <c r="AB9041" s="260"/>
      <c r="AC9041" s="260"/>
      <c r="AD9041" s="260"/>
      <c r="AE9041" s="260"/>
      <c r="AF9041" s="260"/>
      <c r="AG9041" s="258"/>
      <c r="AO9041"/>
      <c r="AP9041"/>
      <c r="AQ9041"/>
      <c r="AR9041"/>
      <c r="AS9041"/>
      <c r="AT9041"/>
      <c r="AU9041"/>
      <c r="AV9041"/>
      <c r="AW9041"/>
      <c r="AX9041"/>
      <c r="AY9041"/>
      <c r="AZ9041"/>
      <c r="BA9041"/>
      <c r="BB9041"/>
      <c r="BC9041"/>
      <c r="BD9041"/>
      <c r="BE9041"/>
      <c r="BF9041"/>
    </row>
    <row r="9042" spans="13:58" ht="12" hidden="1" customHeight="1">
      <c r="M9042" s="820"/>
      <c r="N9042" s="239"/>
      <c r="O9042" s="225"/>
      <c r="P9042" s="260"/>
      <c r="Q9042" s="258"/>
      <c r="R9042" s="260"/>
      <c r="S9042" s="260"/>
      <c r="T9042" s="260"/>
      <c r="U9042" s="260"/>
      <c r="V9042" s="260"/>
      <c r="W9042" s="260"/>
      <c r="X9042" s="260"/>
      <c r="Y9042" s="260"/>
      <c r="Z9042" s="260"/>
      <c r="AA9042" s="260"/>
      <c r="AB9042" s="260"/>
      <c r="AC9042" s="260"/>
      <c r="AD9042" s="260"/>
      <c r="AE9042" s="260"/>
      <c r="AF9042" s="260"/>
      <c r="AG9042" s="258"/>
      <c r="AO9042"/>
      <c r="AP9042"/>
      <c r="AQ9042"/>
      <c r="AR9042"/>
      <c r="AS9042"/>
      <c r="AT9042"/>
      <c r="AU9042"/>
      <c r="AV9042"/>
      <c r="AW9042"/>
      <c r="AX9042"/>
      <c r="AY9042"/>
      <c r="AZ9042"/>
      <c r="BA9042"/>
      <c r="BB9042"/>
      <c r="BC9042"/>
      <c r="BD9042"/>
      <c r="BE9042"/>
      <c r="BF9042"/>
    </row>
    <row r="9043" spans="13:58" ht="12" hidden="1" customHeight="1">
      <c r="M9043" s="820"/>
      <c r="N9043" s="239"/>
      <c r="O9043" s="225"/>
      <c r="P9043" s="260"/>
      <c r="Q9043" s="258"/>
      <c r="R9043" s="260"/>
      <c r="S9043" s="260"/>
      <c r="T9043" s="260"/>
      <c r="U9043" s="260"/>
      <c r="V9043" s="260"/>
      <c r="W9043" s="260"/>
      <c r="X9043" s="260"/>
      <c r="Y9043" s="260"/>
      <c r="Z9043" s="260"/>
      <c r="AA9043" s="260"/>
      <c r="AB9043" s="260"/>
      <c r="AC9043" s="260"/>
      <c r="AD9043" s="260"/>
      <c r="AE9043" s="260"/>
      <c r="AF9043" s="260"/>
      <c r="AG9043" s="258"/>
      <c r="AO9043"/>
      <c r="AP9043"/>
      <c r="AQ9043"/>
      <c r="AR9043"/>
      <c r="AS9043"/>
      <c r="AT9043"/>
      <c r="AU9043"/>
      <c r="AV9043"/>
      <c r="AW9043"/>
      <c r="AX9043"/>
      <c r="AY9043"/>
      <c r="AZ9043"/>
      <c r="BA9043"/>
      <c r="BB9043"/>
      <c r="BC9043"/>
      <c r="BD9043"/>
      <c r="BE9043"/>
      <c r="BF9043"/>
    </row>
    <row r="9044" spans="13:58" ht="12" hidden="1" customHeight="1">
      <c r="M9044" s="820"/>
      <c r="N9044" s="239"/>
      <c r="O9044" s="225"/>
      <c r="P9044" s="260"/>
      <c r="Q9044" s="258"/>
      <c r="R9044" s="260"/>
      <c r="S9044" s="260"/>
      <c r="T9044" s="260"/>
      <c r="U9044" s="260"/>
      <c r="V9044" s="260"/>
      <c r="W9044" s="260"/>
      <c r="X9044" s="260"/>
      <c r="Y9044" s="260"/>
      <c r="Z9044" s="260"/>
      <c r="AA9044" s="260"/>
      <c r="AB9044" s="260"/>
      <c r="AC9044" s="260"/>
      <c r="AD9044" s="260"/>
      <c r="AE9044" s="260"/>
      <c r="AF9044" s="260"/>
      <c r="AG9044" s="258"/>
      <c r="AO9044"/>
      <c r="AP9044"/>
      <c r="AQ9044"/>
      <c r="AR9044"/>
      <c r="AS9044"/>
      <c r="AT9044"/>
      <c r="AU9044"/>
      <c r="AV9044"/>
      <c r="AW9044"/>
      <c r="AX9044"/>
      <c r="AY9044"/>
      <c r="AZ9044"/>
      <c r="BA9044"/>
      <c r="BB9044"/>
      <c r="BC9044"/>
      <c r="BD9044"/>
      <c r="BE9044"/>
      <c r="BF9044"/>
    </row>
    <row r="9045" spans="13:58" ht="12" hidden="1" customHeight="1">
      <c r="M9045" s="820"/>
      <c r="N9045" s="239"/>
      <c r="O9045" s="225"/>
      <c r="P9045" s="260"/>
      <c r="Q9045" s="258"/>
      <c r="R9045" s="260"/>
      <c r="S9045" s="260"/>
      <c r="T9045" s="260"/>
      <c r="U9045" s="260"/>
      <c r="V9045" s="260"/>
      <c r="W9045" s="260"/>
      <c r="X9045" s="260"/>
      <c r="Y9045" s="260"/>
      <c r="Z9045" s="260"/>
      <c r="AA9045" s="260"/>
      <c r="AB9045" s="260"/>
      <c r="AC9045" s="260"/>
      <c r="AD9045" s="260"/>
      <c r="AE9045" s="260"/>
      <c r="AF9045" s="260"/>
      <c r="AG9045" s="258"/>
      <c r="AO9045"/>
      <c r="AP9045"/>
      <c r="AQ9045"/>
      <c r="AR9045"/>
      <c r="AS9045"/>
      <c r="AT9045"/>
      <c r="AU9045"/>
      <c r="AV9045"/>
      <c r="AW9045"/>
      <c r="AX9045"/>
      <c r="AY9045"/>
      <c r="AZ9045"/>
      <c r="BA9045"/>
      <c r="BB9045"/>
      <c r="BC9045"/>
      <c r="BD9045"/>
      <c r="BE9045"/>
      <c r="BF9045"/>
    </row>
    <row r="9046" spans="13:58" ht="12" hidden="1" customHeight="1">
      <c r="M9046" s="820"/>
      <c r="N9046" s="239"/>
      <c r="O9046" s="225"/>
      <c r="P9046" s="260"/>
      <c r="Q9046" s="258"/>
      <c r="R9046" s="260"/>
      <c r="S9046" s="260"/>
      <c r="T9046" s="260"/>
      <c r="U9046" s="260"/>
      <c r="V9046" s="260"/>
      <c r="W9046" s="260"/>
      <c r="X9046" s="260"/>
      <c r="Y9046" s="260"/>
      <c r="Z9046" s="260"/>
      <c r="AA9046" s="260"/>
      <c r="AB9046" s="260"/>
      <c r="AC9046" s="260"/>
      <c r="AD9046" s="260"/>
      <c r="AE9046" s="260"/>
      <c r="AF9046" s="260"/>
      <c r="AG9046" s="258"/>
      <c r="AO9046"/>
      <c r="AP9046"/>
      <c r="AQ9046"/>
      <c r="AR9046"/>
      <c r="AS9046"/>
      <c r="AT9046"/>
      <c r="AU9046"/>
      <c r="AV9046"/>
      <c r="AW9046"/>
      <c r="AX9046"/>
      <c r="AY9046"/>
      <c r="AZ9046"/>
      <c r="BA9046"/>
      <c r="BB9046"/>
      <c r="BC9046"/>
      <c r="BD9046"/>
      <c r="BE9046"/>
      <c r="BF9046"/>
    </row>
    <row r="9047" spans="13:58" ht="12" hidden="1" customHeight="1">
      <c r="M9047" s="820"/>
      <c r="N9047" s="239"/>
      <c r="O9047" s="225"/>
      <c r="P9047" s="260"/>
      <c r="Q9047" s="258"/>
      <c r="R9047" s="260"/>
      <c r="S9047" s="260"/>
      <c r="T9047" s="260"/>
      <c r="U9047" s="260"/>
      <c r="V9047" s="260"/>
      <c r="W9047" s="260"/>
      <c r="X9047" s="260"/>
      <c r="Y9047" s="260"/>
      <c r="Z9047" s="260"/>
      <c r="AA9047" s="260"/>
      <c r="AB9047" s="260"/>
      <c r="AC9047" s="260"/>
      <c r="AD9047" s="260"/>
      <c r="AE9047" s="260"/>
      <c r="AF9047" s="260"/>
      <c r="AG9047" s="258"/>
      <c r="AO9047"/>
      <c r="AP9047"/>
      <c r="AQ9047"/>
      <c r="AR9047"/>
      <c r="AS9047"/>
      <c r="AT9047"/>
      <c r="AU9047"/>
      <c r="AV9047"/>
      <c r="AW9047"/>
      <c r="AX9047"/>
      <c r="AY9047"/>
      <c r="AZ9047"/>
      <c r="BA9047"/>
      <c r="BB9047"/>
      <c r="BC9047"/>
      <c r="BD9047"/>
      <c r="BE9047"/>
      <c r="BF9047"/>
    </row>
    <row r="9048" spans="13:58" ht="12" hidden="1" customHeight="1">
      <c r="M9048" s="820"/>
      <c r="N9048" s="239"/>
      <c r="O9048" s="225"/>
      <c r="P9048" s="260"/>
      <c r="Q9048" s="258"/>
      <c r="R9048" s="260"/>
      <c r="S9048" s="260"/>
      <c r="T9048" s="260"/>
      <c r="U9048" s="260"/>
      <c r="V9048" s="260"/>
      <c r="W9048" s="260"/>
      <c r="X9048" s="260"/>
      <c r="Y9048" s="260"/>
      <c r="Z9048" s="260"/>
      <c r="AA9048" s="260"/>
      <c r="AB9048" s="260"/>
      <c r="AC9048" s="260"/>
      <c r="AD9048" s="260"/>
      <c r="AE9048" s="260"/>
      <c r="AF9048" s="260"/>
      <c r="AG9048" s="258"/>
      <c r="AO9048"/>
      <c r="AP9048"/>
      <c r="AQ9048"/>
      <c r="AR9048"/>
      <c r="AS9048"/>
      <c r="AT9048"/>
      <c r="AU9048"/>
      <c r="AV9048"/>
      <c r="AW9048"/>
      <c r="AX9048"/>
      <c r="AY9048"/>
      <c r="AZ9048"/>
      <c r="BA9048"/>
      <c r="BB9048"/>
      <c r="BC9048"/>
      <c r="BD9048"/>
      <c r="BE9048"/>
      <c r="BF9048"/>
    </row>
    <row r="9049" spans="13:58" ht="12" hidden="1" customHeight="1">
      <c r="M9049" s="820"/>
      <c r="N9049" s="239"/>
      <c r="O9049" s="225"/>
      <c r="P9049" s="260"/>
      <c r="Q9049" s="258"/>
      <c r="R9049" s="260"/>
      <c r="S9049" s="260"/>
      <c r="T9049" s="260"/>
      <c r="U9049" s="260"/>
      <c r="V9049" s="260"/>
      <c r="W9049" s="260"/>
      <c r="X9049" s="260"/>
      <c r="Y9049" s="260"/>
      <c r="Z9049" s="260"/>
      <c r="AA9049" s="260"/>
      <c r="AB9049" s="260"/>
      <c r="AC9049" s="260"/>
      <c r="AD9049" s="260"/>
      <c r="AE9049" s="260"/>
      <c r="AF9049" s="260"/>
      <c r="AG9049" s="258"/>
      <c r="AO9049"/>
      <c r="AP9049"/>
      <c r="AQ9049"/>
      <c r="AR9049"/>
      <c r="AS9049"/>
      <c r="AT9049"/>
      <c r="AU9049"/>
      <c r="AV9049"/>
      <c r="AW9049"/>
      <c r="AX9049"/>
      <c r="AY9049"/>
      <c r="AZ9049"/>
      <c r="BA9049"/>
      <c r="BB9049"/>
      <c r="BC9049"/>
      <c r="BD9049"/>
      <c r="BE9049"/>
      <c r="BF9049"/>
    </row>
    <row r="9050" spans="13:58" ht="12" hidden="1" customHeight="1">
      <c r="M9050" s="820"/>
      <c r="N9050" s="239"/>
      <c r="O9050" s="225"/>
      <c r="P9050" s="260"/>
      <c r="Q9050" s="258"/>
      <c r="R9050" s="260"/>
      <c r="S9050" s="260"/>
      <c r="T9050" s="260"/>
      <c r="U9050" s="260"/>
      <c r="V9050" s="260"/>
      <c r="W9050" s="260"/>
      <c r="X9050" s="260"/>
      <c r="Y9050" s="260"/>
      <c r="Z9050" s="260"/>
      <c r="AA9050" s="260"/>
      <c r="AB9050" s="260"/>
      <c r="AC9050" s="260"/>
      <c r="AD9050" s="260"/>
      <c r="AE9050" s="260"/>
      <c r="AF9050" s="260"/>
      <c r="AG9050" s="258"/>
      <c r="AO9050"/>
      <c r="AP9050"/>
      <c r="AQ9050"/>
      <c r="AR9050"/>
      <c r="AS9050"/>
      <c r="AT9050"/>
      <c r="AU9050"/>
      <c r="AV9050"/>
      <c r="AW9050"/>
      <c r="AX9050"/>
      <c r="AY9050"/>
      <c r="AZ9050"/>
      <c r="BA9050"/>
      <c r="BB9050"/>
      <c r="BC9050"/>
      <c r="BD9050"/>
      <c r="BE9050"/>
      <c r="BF9050"/>
    </row>
    <row r="9051" spans="13:58" ht="12" hidden="1" customHeight="1">
      <c r="M9051" s="820"/>
      <c r="N9051" s="239"/>
      <c r="O9051" s="225"/>
      <c r="P9051" s="260"/>
      <c r="Q9051" s="258"/>
      <c r="R9051" s="260"/>
      <c r="S9051" s="260"/>
      <c r="T9051" s="260"/>
      <c r="U9051" s="260"/>
      <c r="V9051" s="260"/>
      <c r="W9051" s="260"/>
      <c r="X9051" s="260"/>
      <c r="Y9051" s="260"/>
      <c r="Z9051" s="260"/>
      <c r="AA9051" s="260"/>
      <c r="AB9051" s="260"/>
      <c r="AC9051" s="260"/>
      <c r="AD9051" s="260"/>
      <c r="AE9051" s="260"/>
      <c r="AF9051" s="260"/>
      <c r="AG9051" s="258"/>
      <c r="AO9051"/>
      <c r="AP9051"/>
      <c r="AQ9051"/>
      <c r="AR9051"/>
      <c r="AS9051"/>
      <c r="AT9051"/>
      <c r="AU9051"/>
      <c r="AV9051"/>
      <c r="AW9051"/>
      <c r="AX9051"/>
      <c r="AY9051"/>
      <c r="AZ9051"/>
      <c r="BA9051"/>
      <c r="BB9051"/>
      <c r="BC9051"/>
      <c r="BD9051"/>
      <c r="BE9051"/>
      <c r="BF9051"/>
    </row>
    <row r="9052" spans="13:58" ht="12" hidden="1" customHeight="1">
      <c r="M9052" s="820"/>
      <c r="N9052" s="239"/>
      <c r="O9052" s="225"/>
      <c r="P9052" s="260"/>
      <c r="Q9052" s="258"/>
      <c r="R9052" s="260"/>
      <c r="S9052" s="260"/>
      <c r="T9052" s="260"/>
      <c r="U9052" s="260"/>
      <c r="V9052" s="260"/>
      <c r="W9052" s="260"/>
      <c r="X9052" s="260"/>
      <c r="Y9052" s="260"/>
      <c r="Z9052" s="260"/>
      <c r="AA9052" s="260"/>
      <c r="AB9052" s="260"/>
      <c r="AC9052" s="260"/>
      <c r="AD9052" s="260"/>
      <c r="AE9052" s="260"/>
      <c r="AF9052" s="260"/>
      <c r="AG9052" s="258"/>
      <c r="AO9052"/>
      <c r="AP9052"/>
      <c r="AQ9052"/>
      <c r="AR9052"/>
      <c r="AS9052"/>
      <c r="AT9052"/>
      <c r="AU9052"/>
      <c r="AV9052"/>
      <c r="AW9052"/>
      <c r="AX9052"/>
      <c r="AY9052"/>
      <c r="AZ9052"/>
      <c r="BA9052"/>
      <c r="BB9052"/>
      <c r="BC9052"/>
      <c r="BD9052"/>
      <c r="BE9052"/>
      <c r="BF9052"/>
    </row>
    <row r="9053" spans="13:58" ht="12" hidden="1" customHeight="1">
      <c r="M9053" s="820"/>
      <c r="N9053" s="239"/>
      <c r="O9053" s="225"/>
      <c r="P9053" s="260"/>
      <c r="Q9053" s="258"/>
      <c r="R9053" s="260"/>
      <c r="S9053" s="260"/>
      <c r="T9053" s="260"/>
      <c r="U9053" s="260"/>
      <c r="V9053" s="260"/>
      <c r="W9053" s="260"/>
      <c r="X9053" s="260"/>
      <c r="Y9053" s="260"/>
      <c r="Z9053" s="260"/>
      <c r="AA9053" s="260"/>
      <c r="AB9053" s="260"/>
      <c r="AC9053" s="260"/>
      <c r="AD9053" s="260"/>
      <c r="AE9053" s="260"/>
      <c r="AF9053" s="260"/>
      <c r="AG9053" s="258"/>
      <c r="AO9053"/>
      <c r="AP9053"/>
      <c r="AQ9053"/>
      <c r="AR9053"/>
      <c r="AS9053"/>
      <c r="AT9053"/>
      <c r="AU9053"/>
      <c r="AV9053"/>
      <c r="AW9053"/>
      <c r="AX9053"/>
      <c r="AY9053"/>
      <c r="AZ9053"/>
      <c r="BA9053"/>
      <c r="BB9053"/>
      <c r="BC9053"/>
      <c r="BD9053"/>
      <c r="BE9053"/>
      <c r="BF9053"/>
    </row>
    <row r="9054" spans="13:58" ht="12" hidden="1" customHeight="1">
      <c r="M9054" s="820"/>
      <c r="N9054" s="239"/>
      <c r="O9054" s="225"/>
      <c r="P9054" s="260"/>
      <c r="Q9054" s="258"/>
      <c r="R9054" s="260"/>
      <c r="S9054" s="260"/>
      <c r="T9054" s="260"/>
      <c r="U9054" s="260"/>
      <c r="V9054" s="260"/>
      <c r="W9054" s="260"/>
      <c r="X9054" s="260"/>
      <c r="Y9054" s="260"/>
      <c r="Z9054" s="260"/>
      <c r="AA9054" s="260"/>
      <c r="AB9054" s="260"/>
      <c r="AC9054" s="260"/>
      <c r="AD9054" s="260"/>
      <c r="AE9054" s="260"/>
      <c r="AF9054" s="260"/>
      <c r="AG9054" s="258"/>
      <c r="AO9054"/>
      <c r="AP9054"/>
      <c r="AQ9054"/>
      <c r="AR9054"/>
      <c r="AS9054"/>
      <c r="AT9054"/>
      <c r="AU9054"/>
      <c r="AV9054"/>
      <c r="AW9054"/>
      <c r="AX9054"/>
      <c r="AY9054"/>
      <c r="AZ9054"/>
      <c r="BA9054"/>
      <c r="BB9054"/>
      <c r="BC9054"/>
      <c r="BD9054"/>
      <c r="BE9054"/>
      <c r="BF9054"/>
    </row>
    <row r="9055" spans="13:58" ht="12" hidden="1" customHeight="1">
      <c r="M9055" s="820"/>
      <c r="N9055" s="239"/>
      <c r="O9055" s="225"/>
      <c r="P9055" s="260"/>
      <c r="Q9055" s="258"/>
      <c r="R9055" s="260"/>
      <c r="S9055" s="260"/>
      <c r="T9055" s="260"/>
      <c r="U9055" s="260"/>
      <c r="V9055" s="260"/>
      <c r="W9055" s="260"/>
      <c r="X9055" s="260"/>
      <c r="Y9055" s="260"/>
      <c r="Z9055" s="260"/>
      <c r="AA9055" s="260"/>
      <c r="AB9055" s="260"/>
      <c r="AC9055" s="260"/>
      <c r="AD9055" s="260"/>
      <c r="AE9055" s="260"/>
      <c r="AF9055" s="260"/>
      <c r="AG9055" s="258"/>
      <c r="AO9055"/>
      <c r="AP9055"/>
      <c r="AQ9055"/>
      <c r="AR9055"/>
      <c r="AS9055"/>
      <c r="AT9055"/>
      <c r="AU9055"/>
      <c r="AV9055"/>
      <c r="AW9055"/>
      <c r="AX9055"/>
      <c r="AY9055"/>
      <c r="AZ9055"/>
      <c r="BA9055"/>
      <c r="BB9055"/>
      <c r="BC9055"/>
      <c r="BD9055"/>
      <c r="BE9055"/>
      <c r="BF9055"/>
    </row>
    <row r="9056" spans="13:58" ht="12" hidden="1" customHeight="1">
      <c r="M9056" s="820"/>
      <c r="N9056" s="239"/>
      <c r="O9056" s="225"/>
      <c r="P9056" s="260"/>
      <c r="Q9056" s="258"/>
      <c r="R9056" s="260"/>
      <c r="S9056" s="260"/>
      <c r="T9056" s="260"/>
      <c r="U9056" s="260"/>
      <c r="V9056" s="260"/>
      <c r="W9056" s="260"/>
      <c r="X9056" s="260"/>
      <c r="Y9056" s="260"/>
      <c r="Z9056" s="260"/>
      <c r="AA9056" s="260"/>
      <c r="AB9056" s="260"/>
      <c r="AC9056" s="260"/>
      <c r="AD9056" s="260"/>
      <c r="AE9056" s="260"/>
      <c r="AF9056" s="260"/>
      <c r="AG9056" s="258"/>
      <c r="AO9056"/>
      <c r="AP9056"/>
      <c r="AQ9056"/>
      <c r="AR9056"/>
      <c r="AS9056"/>
      <c r="AT9056"/>
      <c r="AU9056"/>
      <c r="AV9056"/>
      <c r="AW9056"/>
      <c r="AX9056"/>
      <c r="AY9056"/>
      <c r="AZ9056"/>
      <c r="BA9056"/>
      <c r="BB9056"/>
      <c r="BC9056"/>
      <c r="BD9056"/>
      <c r="BE9056"/>
      <c r="BF9056"/>
    </row>
    <row r="9057" spans="13:58" ht="12" hidden="1" customHeight="1">
      <c r="M9057" s="820"/>
      <c r="N9057" s="239"/>
      <c r="O9057" s="225"/>
      <c r="P9057" s="260"/>
      <c r="Q9057" s="258"/>
      <c r="R9057" s="260"/>
      <c r="S9057" s="260"/>
      <c r="T9057" s="260"/>
      <c r="U9057" s="260"/>
      <c r="V9057" s="260"/>
      <c r="W9057" s="260"/>
      <c r="X9057" s="260"/>
      <c r="Y9057" s="260"/>
      <c r="Z9057" s="260"/>
      <c r="AA9057" s="260"/>
      <c r="AB9057" s="260"/>
      <c r="AC9057" s="260"/>
      <c r="AD9057" s="260"/>
      <c r="AE9057" s="260"/>
      <c r="AF9057" s="260"/>
      <c r="AG9057" s="258"/>
      <c r="AO9057"/>
      <c r="AP9057"/>
      <c r="AQ9057"/>
      <c r="AR9057"/>
      <c r="AS9057"/>
      <c r="AT9057"/>
      <c r="AU9057"/>
      <c r="AV9057"/>
      <c r="AW9057"/>
      <c r="AX9057"/>
      <c r="AY9057"/>
      <c r="AZ9057"/>
      <c r="BA9057"/>
      <c r="BB9057"/>
      <c r="BC9057"/>
      <c r="BD9057"/>
      <c r="BE9057"/>
      <c r="BF9057"/>
    </row>
    <row r="9058" spans="13:58" ht="12" hidden="1" customHeight="1">
      <c r="M9058" s="820"/>
      <c r="N9058" s="239"/>
      <c r="O9058" s="225"/>
      <c r="P9058" s="260"/>
      <c r="Q9058" s="258"/>
      <c r="R9058" s="260"/>
      <c r="S9058" s="260"/>
      <c r="T9058" s="260"/>
      <c r="U9058" s="260"/>
      <c r="V9058" s="260"/>
      <c r="W9058" s="260"/>
      <c r="X9058" s="260"/>
      <c r="Y9058" s="260"/>
      <c r="Z9058" s="260"/>
      <c r="AA9058" s="260"/>
      <c r="AB9058" s="260"/>
      <c r="AC9058" s="260"/>
      <c r="AD9058" s="260"/>
      <c r="AE9058" s="260"/>
      <c r="AF9058" s="260"/>
      <c r="AG9058" s="258"/>
      <c r="AO9058"/>
      <c r="AP9058"/>
      <c r="AQ9058"/>
      <c r="AR9058"/>
      <c r="AS9058"/>
      <c r="AT9058"/>
      <c r="AU9058"/>
      <c r="AV9058"/>
      <c r="AW9058"/>
      <c r="AX9058"/>
      <c r="AY9058"/>
      <c r="AZ9058"/>
      <c r="BA9058"/>
      <c r="BB9058"/>
      <c r="BC9058"/>
      <c r="BD9058"/>
      <c r="BE9058"/>
      <c r="BF9058"/>
    </row>
    <row r="9059" spans="13:58" ht="12" hidden="1" customHeight="1">
      <c r="M9059" s="820"/>
      <c r="N9059" s="239"/>
      <c r="O9059" s="225"/>
      <c r="P9059" s="260"/>
      <c r="Q9059" s="258"/>
      <c r="R9059" s="260"/>
      <c r="S9059" s="260"/>
      <c r="T9059" s="260"/>
      <c r="U9059" s="260"/>
      <c r="V9059" s="260"/>
      <c r="W9059" s="260"/>
      <c r="X9059" s="260"/>
      <c r="Y9059" s="260"/>
      <c r="Z9059" s="260"/>
      <c r="AA9059" s="260"/>
      <c r="AB9059" s="260"/>
      <c r="AC9059" s="260"/>
      <c r="AD9059" s="260"/>
      <c r="AE9059" s="260"/>
      <c r="AF9059" s="260"/>
      <c r="AG9059" s="258"/>
      <c r="AO9059"/>
      <c r="AP9059"/>
      <c r="AQ9059"/>
      <c r="AR9059"/>
      <c r="AS9059"/>
      <c r="AT9059"/>
      <c r="AU9059"/>
      <c r="AV9059"/>
      <c r="AW9059"/>
      <c r="AX9059"/>
      <c r="AY9059"/>
      <c r="AZ9059"/>
      <c r="BA9059"/>
      <c r="BB9059"/>
      <c r="BC9059"/>
      <c r="BD9059"/>
      <c r="BE9059"/>
      <c r="BF9059"/>
    </row>
    <row r="9060" spans="13:58" ht="12" hidden="1" customHeight="1">
      <c r="M9060" s="820"/>
      <c r="N9060" s="239"/>
      <c r="O9060" s="225"/>
      <c r="P9060" s="260"/>
      <c r="Q9060" s="258"/>
      <c r="R9060" s="260"/>
      <c r="S9060" s="260"/>
      <c r="T9060" s="260"/>
      <c r="U9060" s="260"/>
      <c r="V9060" s="260"/>
      <c r="W9060" s="260"/>
      <c r="X9060" s="260"/>
      <c r="Y9060" s="260"/>
      <c r="Z9060" s="260"/>
      <c r="AA9060" s="260"/>
      <c r="AB9060" s="260"/>
      <c r="AC9060" s="260"/>
      <c r="AD9060" s="260"/>
      <c r="AE9060" s="260"/>
      <c r="AF9060" s="260"/>
      <c r="AG9060" s="258"/>
      <c r="AO9060"/>
      <c r="AP9060"/>
      <c r="AQ9060"/>
      <c r="AR9060"/>
      <c r="AS9060"/>
      <c r="AT9060"/>
      <c r="AU9060"/>
      <c r="AV9060"/>
      <c r="AW9060"/>
      <c r="AX9060"/>
      <c r="AY9060"/>
      <c r="AZ9060"/>
      <c r="BA9060"/>
      <c r="BB9060"/>
      <c r="BC9060"/>
      <c r="BD9060"/>
      <c r="BE9060"/>
      <c r="BF9060"/>
    </row>
    <row r="9061" spans="13:58" ht="12" hidden="1" customHeight="1">
      <c r="M9061" s="820"/>
      <c r="N9061" s="239"/>
      <c r="O9061" s="225"/>
      <c r="P9061" s="260"/>
      <c r="Q9061" s="258"/>
      <c r="R9061" s="260"/>
      <c r="S9061" s="260"/>
      <c r="T9061" s="260"/>
      <c r="U9061" s="260"/>
      <c r="V9061" s="260"/>
      <c r="W9061" s="260"/>
      <c r="X9061" s="260"/>
      <c r="Y9061" s="260"/>
      <c r="Z9061" s="260"/>
      <c r="AA9061" s="260"/>
      <c r="AB9061" s="260"/>
      <c r="AC9061" s="260"/>
      <c r="AD9061" s="260"/>
      <c r="AE9061" s="260"/>
      <c r="AF9061" s="260"/>
      <c r="AG9061" s="258"/>
      <c r="AO9061"/>
      <c r="AP9061"/>
      <c r="AQ9061"/>
      <c r="AR9061"/>
      <c r="AS9061"/>
      <c r="AT9061"/>
      <c r="AU9061"/>
      <c r="AV9061"/>
      <c r="AW9061"/>
      <c r="AX9061"/>
      <c r="AY9061"/>
      <c r="AZ9061"/>
      <c r="BA9061"/>
      <c r="BB9061"/>
      <c r="BC9061"/>
      <c r="BD9061"/>
      <c r="BE9061"/>
      <c r="BF9061"/>
    </row>
    <row r="9062" spans="13:58" ht="12" hidden="1" customHeight="1">
      <c r="M9062" s="820"/>
      <c r="N9062" s="239"/>
      <c r="O9062" s="225"/>
      <c r="P9062" s="260"/>
      <c r="Q9062" s="258"/>
      <c r="R9062" s="260"/>
      <c r="S9062" s="260"/>
      <c r="T9062" s="260"/>
      <c r="U9062" s="260"/>
      <c r="V9062" s="260"/>
      <c r="W9062" s="260"/>
      <c r="X9062" s="260"/>
      <c r="Y9062" s="260"/>
      <c r="Z9062" s="260"/>
      <c r="AA9062" s="260"/>
      <c r="AB9062" s="260"/>
      <c r="AC9062" s="260"/>
      <c r="AD9062" s="260"/>
      <c r="AE9062" s="260"/>
      <c r="AF9062" s="260"/>
      <c r="AG9062" s="258"/>
      <c r="AO9062"/>
      <c r="AP9062"/>
      <c r="AQ9062"/>
      <c r="AR9062"/>
      <c r="AS9062"/>
      <c r="AT9062"/>
      <c r="AU9062"/>
      <c r="AV9062"/>
      <c r="AW9062"/>
      <c r="AX9062"/>
      <c r="AY9062"/>
      <c r="AZ9062"/>
      <c r="BA9062"/>
      <c r="BB9062"/>
      <c r="BC9062"/>
      <c r="BD9062"/>
      <c r="BE9062"/>
      <c r="BF9062"/>
    </row>
    <row r="9063" spans="13:58" ht="12" hidden="1" customHeight="1">
      <c r="M9063" s="820"/>
      <c r="N9063" s="239"/>
      <c r="O9063" s="225"/>
      <c r="P9063" s="260"/>
      <c r="Q9063" s="258"/>
      <c r="R9063" s="260"/>
      <c r="S9063" s="260"/>
      <c r="T9063" s="260"/>
      <c r="U9063" s="260"/>
      <c r="V9063" s="260"/>
      <c r="W9063" s="260"/>
      <c r="X9063" s="260"/>
      <c r="Y9063" s="260"/>
      <c r="Z9063" s="260"/>
      <c r="AA9063" s="260"/>
      <c r="AB9063" s="260"/>
      <c r="AC9063" s="260"/>
      <c r="AD9063" s="260"/>
      <c r="AE9063" s="260"/>
      <c r="AF9063" s="260"/>
      <c r="AG9063" s="258"/>
      <c r="AO9063"/>
      <c r="AP9063"/>
      <c r="AQ9063"/>
      <c r="AR9063"/>
      <c r="AS9063"/>
      <c r="AT9063"/>
      <c r="AU9063"/>
      <c r="AV9063"/>
      <c r="AW9063"/>
      <c r="AX9063"/>
      <c r="AY9063"/>
      <c r="AZ9063"/>
      <c r="BA9063"/>
      <c r="BB9063"/>
      <c r="BC9063"/>
      <c r="BD9063"/>
      <c r="BE9063"/>
      <c r="BF9063"/>
    </row>
    <row r="9064" spans="13:58" ht="12" hidden="1" customHeight="1">
      <c r="M9064" s="820"/>
      <c r="N9064" s="239"/>
      <c r="O9064" s="225"/>
      <c r="P9064" s="260"/>
      <c r="Q9064" s="258"/>
      <c r="R9064" s="260"/>
      <c r="S9064" s="260"/>
      <c r="T9064" s="260"/>
      <c r="U9064" s="260"/>
      <c r="V9064" s="260"/>
      <c r="W9064" s="260"/>
      <c r="X9064" s="260"/>
      <c r="Y9064" s="260"/>
      <c r="Z9064" s="260"/>
      <c r="AA9064" s="260"/>
      <c r="AB9064" s="260"/>
      <c r="AC9064" s="260"/>
      <c r="AD9064" s="260"/>
      <c r="AE9064" s="260"/>
      <c r="AF9064" s="260"/>
      <c r="AG9064" s="258"/>
      <c r="AO9064"/>
      <c r="AP9064"/>
      <c r="AQ9064"/>
      <c r="AR9064"/>
      <c r="AS9064"/>
      <c r="AT9064"/>
      <c r="AU9064"/>
      <c r="AV9064"/>
      <c r="AW9064"/>
      <c r="AX9064"/>
      <c r="AY9064"/>
      <c r="AZ9064"/>
      <c r="BA9064"/>
      <c r="BB9064"/>
      <c r="BC9064"/>
      <c r="BD9064"/>
      <c r="BE9064"/>
      <c r="BF9064"/>
    </row>
    <row r="9065" spans="13:58" ht="12" hidden="1" customHeight="1">
      <c r="M9065" s="820"/>
      <c r="N9065" s="239"/>
      <c r="O9065" s="225"/>
      <c r="P9065" s="260"/>
      <c r="Q9065" s="258"/>
      <c r="R9065" s="260"/>
      <c r="S9065" s="260"/>
      <c r="T9065" s="260"/>
      <c r="U9065" s="260"/>
      <c r="V9065" s="260"/>
      <c r="W9065" s="260"/>
      <c r="X9065" s="260"/>
      <c r="Y9065" s="260"/>
      <c r="Z9065" s="260"/>
      <c r="AA9065" s="260"/>
      <c r="AB9065" s="260"/>
      <c r="AC9065" s="260"/>
      <c r="AD9065" s="260"/>
      <c r="AE9065" s="260"/>
      <c r="AF9065" s="260"/>
      <c r="AG9065" s="258"/>
      <c r="AO9065"/>
      <c r="AP9065"/>
      <c r="AQ9065"/>
      <c r="AR9065"/>
      <c r="AS9065"/>
      <c r="AT9065"/>
      <c r="AU9065"/>
      <c r="AV9065"/>
      <c r="AW9065"/>
      <c r="AX9065"/>
      <c r="AY9065"/>
      <c r="AZ9065"/>
      <c r="BA9065"/>
      <c r="BB9065"/>
      <c r="BC9065"/>
      <c r="BD9065"/>
      <c r="BE9065"/>
      <c r="BF9065"/>
    </row>
    <row r="9066" spans="13:58" ht="12" hidden="1" customHeight="1">
      <c r="M9066" s="820"/>
      <c r="N9066" s="239"/>
      <c r="O9066" s="225"/>
      <c r="P9066" s="260"/>
      <c r="Q9066" s="258"/>
      <c r="R9066" s="260"/>
      <c r="S9066" s="260"/>
      <c r="T9066" s="260"/>
      <c r="U9066" s="260"/>
      <c r="V9066" s="260"/>
      <c r="W9066" s="260"/>
      <c r="X9066" s="260"/>
      <c r="Y9066" s="260"/>
      <c r="Z9066" s="260"/>
      <c r="AA9066" s="260"/>
      <c r="AB9066" s="260"/>
      <c r="AC9066" s="260"/>
      <c r="AD9066" s="260"/>
      <c r="AE9066" s="260"/>
      <c r="AF9066" s="260"/>
      <c r="AG9066" s="258"/>
      <c r="AO9066"/>
      <c r="AP9066"/>
      <c r="AQ9066"/>
      <c r="AR9066"/>
      <c r="AS9066"/>
      <c r="AT9066"/>
      <c r="AU9066"/>
      <c r="AV9066"/>
      <c r="AW9066"/>
      <c r="AX9066"/>
      <c r="AY9066"/>
      <c r="AZ9066"/>
      <c r="BA9066"/>
      <c r="BB9066"/>
      <c r="BC9066"/>
      <c r="BD9066"/>
      <c r="BE9066"/>
      <c r="BF9066"/>
    </row>
    <row r="9067" spans="13:58" ht="12" hidden="1" customHeight="1">
      <c r="M9067" s="820"/>
      <c r="N9067" s="239"/>
      <c r="O9067" s="225"/>
      <c r="P9067" s="260"/>
      <c r="Q9067" s="258"/>
      <c r="R9067" s="260"/>
      <c r="S9067" s="260"/>
      <c r="T9067" s="260"/>
      <c r="U9067" s="260"/>
      <c r="V9067" s="260"/>
      <c r="W9067" s="260"/>
      <c r="X9067" s="260"/>
      <c r="Y9067" s="260"/>
      <c r="Z9067" s="260"/>
      <c r="AA9067" s="260"/>
      <c r="AB9067" s="260"/>
      <c r="AC9067" s="260"/>
      <c r="AD9067" s="260"/>
      <c r="AE9067" s="260"/>
      <c r="AF9067" s="260"/>
      <c r="AG9067" s="258"/>
      <c r="AO9067"/>
      <c r="AP9067"/>
      <c r="AQ9067"/>
      <c r="AR9067"/>
      <c r="AS9067"/>
      <c r="AT9067"/>
      <c r="AU9067"/>
      <c r="AV9067"/>
      <c r="AW9067"/>
      <c r="AX9067"/>
      <c r="AY9067"/>
      <c r="AZ9067"/>
      <c r="BA9067"/>
      <c r="BB9067"/>
      <c r="BC9067"/>
      <c r="BD9067"/>
      <c r="BE9067"/>
      <c r="BF9067"/>
    </row>
    <row r="9068" spans="13:58" ht="12" hidden="1" customHeight="1">
      <c r="M9068" s="820"/>
      <c r="N9068" s="239"/>
      <c r="O9068" s="225"/>
      <c r="P9068" s="260"/>
      <c r="Q9068" s="258"/>
      <c r="R9068" s="260"/>
      <c r="S9068" s="260"/>
      <c r="T9068" s="260"/>
      <c r="U9068" s="260"/>
      <c r="V9068" s="260"/>
      <c r="W9068" s="260"/>
      <c r="X9068" s="260"/>
      <c r="Y9068" s="260"/>
      <c r="Z9068" s="260"/>
      <c r="AA9068" s="260"/>
      <c r="AB9068" s="260"/>
      <c r="AC9068" s="260"/>
      <c r="AD9068" s="260"/>
      <c r="AE9068" s="260"/>
      <c r="AF9068" s="260"/>
      <c r="AG9068" s="258"/>
      <c r="AO9068"/>
      <c r="AP9068"/>
      <c r="AQ9068"/>
      <c r="AR9068"/>
      <c r="AS9068"/>
      <c r="AT9068"/>
      <c r="AU9068"/>
      <c r="AV9068"/>
      <c r="AW9068"/>
      <c r="AX9068"/>
      <c r="AY9068"/>
      <c r="AZ9068"/>
      <c r="BA9068"/>
      <c r="BB9068"/>
      <c r="BC9068"/>
      <c r="BD9068"/>
      <c r="BE9068"/>
      <c r="BF9068"/>
    </row>
    <row r="9069" spans="13:58" ht="12" hidden="1" customHeight="1">
      <c r="M9069" s="820"/>
      <c r="N9069" s="239"/>
      <c r="O9069" s="225"/>
      <c r="P9069" s="260"/>
      <c r="Q9069" s="258"/>
      <c r="R9069" s="260"/>
      <c r="S9069" s="260"/>
      <c r="T9069" s="260"/>
      <c r="U9069" s="260"/>
      <c r="V9069" s="260"/>
      <c r="W9069" s="260"/>
      <c r="X9069" s="260"/>
      <c r="Y9069" s="260"/>
      <c r="Z9069" s="260"/>
      <c r="AA9069" s="260"/>
      <c r="AB9069" s="260"/>
      <c r="AC9069" s="260"/>
      <c r="AD9069" s="260"/>
      <c r="AE9069" s="260"/>
      <c r="AF9069" s="260"/>
      <c r="AG9069" s="258"/>
      <c r="AO9069"/>
      <c r="AP9069"/>
      <c r="AQ9069"/>
      <c r="AR9069"/>
      <c r="AS9069"/>
      <c r="AT9069"/>
      <c r="AU9069"/>
      <c r="AV9069"/>
      <c r="AW9069"/>
      <c r="AX9069"/>
      <c r="AY9069"/>
      <c r="AZ9069"/>
      <c r="BA9069"/>
      <c r="BB9069"/>
      <c r="BC9069"/>
      <c r="BD9069"/>
      <c r="BE9069"/>
      <c r="BF9069"/>
    </row>
    <row r="9070" spans="13:58" ht="12" hidden="1" customHeight="1">
      <c r="M9070" s="820"/>
      <c r="N9070" s="239"/>
      <c r="O9070" s="225"/>
      <c r="P9070" s="260"/>
      <c r="Q9070" s="258"/>
      <c r="R9070" s="260"/>
      <c r="S9070" s="260"/>
      <c r="T9070" s="260"/>
      <c r="U9070" s="260"/>
      <c r="V9070" s="260"/>
      <c r="W9070" s="260"/>
      <c r="X9070" s="260"/>
      <c r="Y9070" s="260"/>
      <c r="Z9070" s="260"/>
      <c r="AA9070" s="260"/>
      <c r="AB9070" s="260"/>
      <c r="AC9070" s="260"/>
      <c r="AD9070" s="260"/>
      <c r="AE9070" s="260"/>
      <c r="AF9070" s="260"/>
      <c r="AG9070" s="258"/>
      <c r="AO9070"/>
      <c r="AP9070"/>
      <c r="AQ9070"/>
      <c r="AR9070"/>
      <c r="AS9070"/>
      <c r="AT9070"/>
      <c r="AU9070"/>
      <c r="AV9070"/>
      <c r="AW9070"/>
      <c r="AX9070"/>
      <c r="AY9070"/>
      <c r="AZ9070"/>
      <c r="BA9070"/>
      <c r="BB9070"/>
      <c r="BC9070"/>
      <c r="BD9070"/>
      <c r="BE9070"/>
      <c r="BF9070"/>
    </row>
    <row r="9071" spans="13:58" ht="12" hidden="1" customHeight="1">
      <c r="M9071" s="820"/>
      <c r="N9071" s="239"/>
      <c r="O9071" s="225"/>
      <c r="P9071" s="260"/>
      <c r="Q9071" s="258"/>
      <c r="R9071" s="260"/>
      <c r="S9071" s="260"/>
      <c r="T9071" s="260"/>
      <c r="U9071" s="260"/>
      <c r="V9071" s="260"/>
      <c r="W9071" s="260"/>
      <c r="X9071" s="260"/>
      <c r="Y9071" s="260"/>
      <c r="Z9071" s="260"/>
      <c r="AA9071" s="260"/>
      <c r="AB9071" s="260"/>
      <c r="AC9071" s="260"/>
      <c r="AD9071" s="260"/>
      <c r="AE9071" s="260"/>
      <c r="AF9071" s="260"/>
      <c r="AG9071" s="258"/>
      <c r="AO9071"/>
      <c r="AP9071"/>
      <c r="AQ9071"/>
      <c r="AR9071"/>
      <c r="AS9071"/>
      <c r="AT9071"/>
      <c r="AU9071"/>
      <c r="AV9071"/>
      <c r="AW9071"/>
      <c r="AX9071"/>
      <c r="AY9071"/>
      <c r="AZ9071"/>
      <c r="BA9071"/>
      <c r="BB9071"/>
      <c r="BC9071"/>
      <c r="BD9071"/>
      <c r="BE9071"/>
      <c r="BF9071"/>
    </row>
    <row r="9072" spans="13:58" ht="12" hidden="1" customHeight="1">
      <c r="M9072" s="820"/>
      <c r="N9072" s="239"/>
      <c r="O9072" s="225"/>
      <c r="P9072" s="260"/>
      <c r="Q9072" s="258"/>
      <c r="R9072" s="260"/>
      <c r="S9072" s="260"/>
      <c r="T9072" s="260"/>
      <c r="U9072" s="260"/>
      <c r="V9072" s="260"/>
      <c r="W9072" s="260"/>
      <c r="X9072" s="260"/>
      <c r="Y9072" s="260"/>
      <c r="Z9072" s="260"/>
      <c r="AA9072" s="260"/>
      <c r="AB9072" s="260"/>
      <c r="AC9072" s="260"/>
      <c r="AD9072" s="260"/>
      <c r="AE9072" s="260"/>
      <c r="AF9072" s="260"/>
      <c r="AG9072" s="258"/>
      <c r="AO9072"/>
      <c r="AP9072"/>
      <c r="AQ9072"/>
      <c r="AR9072"/>
      <c r="AS9072"/>
      <c r="AT9072"/>
      <c r="AU9072"/>
      <c r="AV9072"/>
      <c r="AW9072"/>
      <c r="AX9072"/>
      <c r="AY9072"/>
      <c r="AZ9072"/>
      <c r="BA9072"/>
      <c r="BB9072"/>
      <c r="BC9072"/>
      <c r="BD9072"/>
      <c r="BE9072"/>
      <c r="BF9072"/>
    </row>
    <row r="9073" spans="13:58" ht="12" hidden="1" customHeight="1">
      <c r="M9073" s="820"/>
      <c r="N9073" s="239"/>
      <c r="O9073" s="225"/>
      <c r="P9073" s="260"/>
      <c r="Q9073" s="258"/>
      <c r="R9073" s="260"/>
      <c r="S9073" s="260"/>
      <c r="T9073" s="260"/>
      <c r="U9073" s="260"/>
      <c r="V9073" s="260"/>
      <c r="W9073" s="260"/>
      <c r="X9073" s="260"/>
      <c r="Y9073" s="260"/>
      <c r="Z9073" s="260"/>
      <c r="AA9073" s="260"/>
      <c r="AB9073" s="260"/>
      <c r="AC9073" s="260"/>
      <c r="AD9073" s="260"/>
      <c r="AE9073" s="260"/>
      <c r="AF9073" s="260"/>
      <c r="AG9073" s="258"/>
      <c r="AO9073"/>
      <c r="AP9073"/>
      <c r="AQ9073"/>
      <c r="AR9073"/>
      <c r="AS9073"/>
      <c r="AT9073"/>
      <c r="AU9073"/>
      <c r="AV9073"/>
      <c r="AW9073"/>
      <c r="AX9073"/>
      <c r="AY9073"/>
      <c r="AZ9073"/>
      <c r="BA9073"/>
      <c r="BB9073"/>
      <c r="BC9073"/>
      <c r="BD9073"/>
      <c r="BE9073"/>
      <c r="BF9073"/>
    </row>
    <row r="9074" spans="13:58" ht="12" hidden="1" customHeight="1">
      <c r="M9074" s="820"/>
      <c r="N9074" s="239"/>
      <c r="O9074" s="225"/>
      <c r="P9074" s="260"/>
      <c r="Q9074" s="258"/>
      <c r="R9074" s="260"/>
      <c r="S9074" s="260"/>
      <c r="T9074" s="260"/>
      <c r="U9074" s="260"/>
      <c r="V9074" s="260"/>
      <c r="W9074" s="260"/>
      <c r="X9074" s="260"/>
      <c r="Y9074" s="260"/>
      <c r="Z9074" s="260"/>
      <c r="AA9074" s="260"/>
      <c r="AB9074" s="260"/>
      <c r="AC9074" s="260"/>
      <c r="AD9074" s="260"/>
      <c r="AE9074" s="260"/>
      <c r="AF9074" s="260"/>
      <c r="AG9074" s="258"/>
      <c r="AO9074"/>
      <c r="AP9074"/>
      <c r="AQ9074"/>
      <c r="AR9074"/>
      <c r="AS9074"/>
      <c r="AT9074"/>
      <c r="AU9074"/>
      <c r="AV9074"/>
      <c r="AW9074"/>
      <c r="AX9074"/>
      <c r="AY9074"/>
      <c r="AZ9074"/>
      <c r="BA9074"/>
      <c r="BB9074"/>
      <c r="BC9074"/>
      <c r="BD9074"/>
      <c r="BE9074"/>
      <c r="BF9074"/>
    </row>
    <row r="9075" spans="13:58" ht="12" hidden="1" customHeight="1">
      <c r="M9075" s="820"/>
      <c r="N9075" s="239"/>
      <c r="O9075" s="225"/>
      <c r="P9075" s="260"/>
      <c r="Q9075" s="258"/>
      <c r="R9075" s="260"/>
      <c r="S9075" s="260"/>
      <c r="T9075" s="260"/>
      <c r="U9075" s="260"/>
      <c r="V9075" s="260"/>
      <c r="W9075" s="260"/>
      <c r="X9075" s="260"/>
      <c r="Y9075" s="260"/>
      <c r="Z9075" s="260"/>
      <c r="AA9075" s="260"/>
      <c r="AB9075" s="260"/>
      <c r="AC9075" s="260"/>
      <c r="AD9075" s="260"/>
      <c r="AE9075" s="260"/>
      <c r="AF9075" s="260"/>
      <c r="AG9075" s="258"/>
      <c r="AO9075"/>
      <c r="AP9075"/>
      <c r="AQ9075"/>
      <c r="AR9075"/>
      <c r="AS9075"/>
      <c r="AT9075"/>
      <c r="AU9075"/>
      <c r="AV9075"/>
      <c r="AW9075"/>
      <c r="AX9075"/>
      <c r="AY9075"/>
      <c r="AZ9075"/>
      <c r="BA9075"/>
      <c r="BB9075"/>
      <c r="BC9075"/>
      <c r="BD9075"/>
      <c r="BE9075"/>
      <c r="BF9075"/>
    </row>
    <row r="9076" spans="13:58" ht="12" hidden="1" customHeight="1">
      <c r="M9076" s="820"/>
      <c r="N9076" s="239"/>
      <c r="O9076" s="225"/>
      <c r="P9076" s="260"/>
      <c r="Q9076" s="258"/>
      <c r="R9076" s="260"/>
      <c r="S9076" s="260"/>
      <c r="T9076" s="260"/>
      <c r="U9076" s="260"/>
      <c r="V9076" s="260"/>
      <c r="W9076" s="260"/>
      <c r="X9076" s="260"/>
      <c r="Y9076" s="260"/>
      <c r="Z9076" s="260"/>
      <c r="AA9076" s="260"/>
      <c r="AB9076" s="260"/>
      <c r="AC9076" s="260"/>
      <c r="AD9076" s="260"/>
      <c r="AE9076" s="260"/>
      <c r="AF9076" s="260"/>
      <c r="AG9076" s="258"/>
      <c r="AO9076"/>
      <c r="AP9076"/>
      <c r="AQ9076"/>
      <c r="AR9076"/>
      <c r="AS9076"/>
      <c r="AT9076"/>
      <c r="AU9076"/>
      <c r="AV9076"/>
      <c r="AW9076"/>
      <c r="AX9076"/>
      <c r="AY9076"/>
      <c r="AZ9076"/>
      <c r="BA9076"/>
      <c r="BB9076"/>
      <c r="BC9076"/>
      <c r="BD9076"/>
      <c r="BE9076"/>
      <c r="BF9076"/>
    </row>
    <row r="9077" spans="13:58" ht="12" hidden="1" customHeight="1">
      <c r="M9077" s="820"/>
      <c r="N9077" s="239"/>
      <c r="O9077" s="225"/>
      <c r="P9077" s="260"/>
      <c r="Q9077" s="258"/>
      <c r="R9077" s="260"/>
      <c r="S9077" s="260"/>
      <c r="T9077" s="260"/>
      <c r="U9077" s="260"/>
      <c r="V9077" s="260"/>
      <c r="W9077" s="260"/>
      <c r="X9077" s="260"/>
      <c r="Y9077" s="260"/>
      <c r="Z9077" s="260"/>
      <c r="AA9077" s="260"/>
      <c r="AB9077" s="260"/>
      <c r="AC9077" s="260"/>
      <c r="AD9077" s="260"/>
      <c r="AE9077" s="260"/>
      <c r="AF9077" s="260"/>
      <c r="AG9077" s="258"/>
      <c r="AO9077"/>
      <c r="AP9077"/>
      <c r="AQ9077"/>
      <c r="AR9077"/>
      <c r="AS9077"/>
      <c r="AT9077"/>
      <c r="AU9077"/>
      <c r="AV9077"/>
      <c r="AW9077"/>
      <c r="AX9077"/>
      <c r="AY9077"/>
      <c r="AZ9077"/>
      <c r="BA9077"/>
      <c r="BB9077"/>
      <c r="BC9077"/>
      <c r="BD9077"/>
      <c r="BE9077"/>
      <c r="BF9077"/>
    </row>
    <row r="9078" spans="13:58" ht="12" hidden="1" customHeight="1">
      <c r="M9078" s="820"/>
      <c r="N9078" s="239"/>
      <c r="O9078" s="225"/>
      <c r="P9078" s="260"/>
      <c r="Q9078" s="258"/>
      <c r="R9078" s="260"/>
      <c r="S9078" s="260"/>
      <c r="T9078" s="260"/>
      <c r="U9078" s="260"/>
      <c r="V9078" s="260"/>
      <c r="W9078" s="260"/>
      <c r="X9078" s="260"/>
      <c r="Y9078" s="260"/>
      <c r="Z9078" s="260"/>
      <c r="AA9078" s="260"/>
      <c r="AB9078" s="260"/>
      <c r="AC9078" s="260"/>
      <c r="AD9078" s="260"/>
      <c r="AE9078" s="260"/>
      <c r="AF9078" s="260"/>
      <c r="AG9078" s="258"/>
      <c r="AO9078"/>
      <c r="AP9078"/>
      <c r="AQ9078"/>
      <c r="AR9078"/>
      <c r="AS9078"/>
      <c r="AT9078"/>
      <c r="AU9078"/>
      <c r="AV9078"/>
      <c r="AW9078"/>
      <c r="AX9078"/>
      <c r="AY9078"/>
      <c r="AZ9078"/>
      <c r="BA9078"/>
      <c r="BB9078"/>
      <c r="BC9078"/>
      <c r="BD9078"/>
      <c r="BE9078"/>
      <c r="BF9078"/>
    </row>
    <row r="9079" spans="13:58" ht="12" hidden="1" customHeight="1">
      <c r="M9079" s="820"/>
      <c r="N9079" s="239"/>
      <c r="O9079" s="225"/>
      <c r="P9079" s="260"/>
      <c r="Q9079" s="258"/>
      <c r="R9079" s="260"/>
      <c r="S9079" s="260"/>
      <c r="T9079" s="260"/>
      <c r="U9079" s="260"/>
      <c r="V9079" s="260"/>
      <c r="W9079" s="260"/>
      <c r="X9079" s="260"/>
      <c r="Y9079" s="260"/>
      <c r="Z9079" s="260"/>
      <c r="AA9079" s="260"/>
      <c r="AB9079" s="260"/>
      <c r="AC9079" s="260"/>
      <c r="AD9079" s="260"/>
      <c r="AE9079" s="260"/>
      <c r="AF9079" s="260"/>
      <c r="AG9079" s="258"/>
      <c r="AO9079"/>
      <c r="AP9079"/>
      <c r="AQ9079"/>
      <c r="AR9079"/>
      <c r="AS9079"/>
      <c r="AT9079"/>
      <c r="AU9079"/>
      <c r="AV9079"/>
      <c r="AW9079"/>
      <c r="AX9079"/>
      <c r="AY9079"/>
      <c r="AZ9079"/>
      <c r="BA9079"/>
      <c r="BB9079"/>
      <c r="BC9079"/>
      <c r="BD9079"/>
      <c r="BE9079"/>
      <c r="BF9079"/>
    </row>
    <row r="9080" spans="13:58" ht="12" hidden="1" customHeight="1">
      <c r="M9080" s="820"/>
      <c r="N9080" s="239"/>
      <c r="O9080" s="225"/>
      <c r="P9080" s="260"/>
      <c r="Q9080" s="258"/>
      <c r="R9080" s="260"/>
      <c r="S9080" s="260"/>
      <c r="T9080" s="260"/>
      <c r="U9080" s="260"/>
      <c r="V9080" s="260"/>
      <c r="W9080" s="260"/>
      <c r="X9080" s="260"/>
      <c r="Y9080" s="260"/>
      <c r="Z9080" s="260"/>
      <c r="AA9080" s="260"/>
      <c r="AB9080" s="260"/>
      <c r="AC9080" s="260"/>
      <c r="AD9080" s="260"/>
      <c r="AE9080" s="260"/>
      <c r="AF9080" s="260"/>
      <c r="AG9080" s="258"/>
      <c r="AO9080"/>
      <c r="AP9080"/>
      <c r="AQ9080"/>
      <c r="AR9080"/>
      <c r="AS9080"/>
      <c r="AT9080"/>
      <c r="AU9080"/>
      <c r="AV9080"/>
      <c r="AW9080"/>
      <c r="AX9080"/>
      <c r="AY9080"/>
      <c r="AZ9080"/>
      <c r="BA9080"/>
      <c r="BB9080"/>
      <c r="BC9080"/>
      <c r="BD9080"/>
      <c r="BE9080"/>
      <c r="BF9080"/>
    </row>
    <row r="9081" spans="13:58" ht="12" hidden="1" customHeight="1">
      <c r="M9081" s="820"/>
      <c r="N9081" s="239"/>
      <c r="O9081" s="225"/>
      <c r="P9081" s="260"/>
      <c r="Q9081" s="258"/>
      <c r="R9081" s="260"/>
      <c r="S9081" s="260"/>
      <c r="T9081" s="260"/>
      <c r="U9081" s="260"/>
      <c r="V9081" s="260"/>
      <c r="W9081" s="260"/>
      <c r="X9081" s="260"/>
      <c r="Y9081" s="260"/>
      <c r="Z9081" s="260"/>
      <c r="AA9081" s="260"/>
      <c r="AB9081" s="260"/>
      <c r="AC9081" s="260"/>
      <c r="AD9081" s="260"/>
      <c r="AE9081" s="260"/>
      <c r="AF9081" s="260"/>
      <c r="AG9081" s="258"/>
      <c r="AO9081"/>
      <c r="AP9081"/>
      <c r="AQ9081"/>
      <c r="AR9081"/>
      <c r="AS9081"/>
      <c r="AT9081"/>
      <c r="AU9081"/>
      <c r="AV9081"/>
      <c r="AW9081"/>
      <c r="AX9081"/>
      <c r="AY9081"/>
      <c r="AZ9081"/>
      <c r="BA9081"/>
      <c r="BB9081"/>
      <c r="BC9081"/>
      <c r="BD9081"/>
      <c r="BE9081"/>
      <c r="BF9081"/>
    </row>
    <row r="9082" spans="13:58" ht="12" hidden="1" customHeight="1">
      <c r="M9082" s="820"/>
      <c r="N9082" s="239"/>
      <c r="O9082" s="225"/>
      <c r="P9082" s="260"/>
      <c r="Q9082" s="258"/>
      <c r="R9082" s="260"/>
      <c r="S9082" s="260"/>
      <c r="T9082" s="260"/>
      <c r="U9082" s="260"/>
      <c r="V9082" s="260"/>
      <c r="W9082" s="260"/>
      <c r="X9082" s="260"/>
      <c r="Y9082" s="260"/>
      <c r="Z9082" s="260"/>
      <c r="AA9082" s="260"/>
      <c r="AB9082" s="260"/>
      <c r="AC9082" s="260"/>
      <c r="AD9082" s="260"/>
      <c r="AE9082" s="260"/>
      <c r="AF9082" s="260"/>
      <c r="AG9082" s="258"/>
      <c r="AO9082"/>
      <c r="AP9082"/>
      <c r="AQ9082"/>
      <c r="AR9082"/>
      <c r="AS9082"/>
      <c r="AT9082"/>
      <c r="AU9082"/>
      <c r="AV9082"/>
      <c r="AW9082"/>
      <c r="AX9082"/>
      <c r="AY9082"/>
      <c r="AZ9082"/>
      <c r="BA9082"/>
      <c r="BB9082"/>
      <c r="BC9082"/>
      <c r="BD9082"/>
      <c r="BE9082"/>
      <c r="BF9082"/>
    </row>
    <row r="9083" spans="13:58" ht="12" hidden="1" customHeight="1">
      <c r="M9083" s="820"/>
      <c r="N9083" s="239"/>
      <c r="O9083" s="225"/>
      <c r="P9083" s="260"/>
      <c r="Q9083" s="258"/>
      <c r="R9083" s="260"/>
      <c r="S9083" s="260"/>
      <c r="T9083" s="260"/>
      <c r="U9083" s="260"/>
      <c r="V9083" s="260"/>
      <c r="W9083" s="260"/>
      <c r="X9083" s="260"/>
      <c r="Y9083" s="260"/>
      <c r="Z9083" s="260"/>
      <c r="AA9083" s="260"/>
      <c r="AB9083" s="260"/>
      <c r="AC9083" s="260"/>
      <c r="AD9083" s="260"/>
      <c r="AE9083" s="260"/>
      <c r="AF9083" s="260"/>
      <c r="AG9083" s="258"/>
      <c r="AO9083"/>
      <c r="AP9083"/>
      <c r="AQ9083"/>
      <c r="AR9083"/>
      <c r="AS9083"/>
      <c r="AT9083"/>
      <c r="AU9083"/>
      <c r="AV9083"/>
      <c r="AW9083"/>
      <c r="AX9083"/>
      <c r="AY9083"/>
      <c r="AZ9083"/>
      <c r="BA9083"/>
      <c r="BB9083"/>
      <c r="BC9083"/>
      <c r="BD9083"/>
      <c r="BE9083"/>
      <c r="BF9083"/>
    </row>
    <row r="9084" spans="13:58" ht="12" hidden="1" customHeight="1">
      <c r="M9084" s="820"/>
      <c r="N9084" s="239"/>
      <c r="O9084" s="225"/>
      <c r="P9084" s="260"/>
      <c r="Q9084" s="258"/>
      <c r="R9084" s="260"/>
      <c r="S9084" s="260"/>
      <c r="T9084" s="260"/>
      <c r="U9084" s="260"/>
      <c r="V9084" s="260"/>
      <c r="W9084" s="260"/>
      <c r="X9084" s="260"/>
      <c r="Y9084" s="260"/>
      <c r="Z9084" s="260"/>
      <c r="AA9084" s="260"/>
      <c r="AB9084" s="260"/>
      <c r="AC9084" s="260"/>
      <c r="AD9084" s="260"/>
      <c r="AE9084" s="260"/>
      <c r="AF9084" s="260"/>
      <c r="AG9084" s="258"/>
      <c r="AO9084"/>
      <c r="AP9084"/>
      <c r="AQ9084"/>
      <c r="AR9084"/>
      <c r="AS9084"/>
      <c r="AT9084"/>
      <c r="AU9084"/>
      <c r="AV9084"/>
      <c r="AW9084"/>
      <c r="AX9084"/>
      <c r="AY9084"/>
      <c r="AZ9084"/>
      <c r="BA9084"/>
      <c r="BB9084"/>
      <c r="BC9084"/>
      <c r="BD9084"/>
      <c r="BE9084"/>
      <c r="BF9084"/>
    </row>
    <row r="9085" spans="13:58" ht="12" hidden="1" customHeight="1">
      <c r="M9085" s="820"/>
      <c r="N9085" s="239"/>
      <c r="O9085" s="225"/>
      <c r="P9085" s="260"/>
      <c r="Q9085" s="258"/>
      <c r="R9085" s="260"/>
      <c r="S9085" s="260"/>
      <c r="T9085" s="260"/>
      <c r="U9085" s="260"/>
      <c r="V9085" s="260"/>
      <c r="W9085" s="260"/>
      <c r="X9085" s="260"/>
      <c r="Y9085" s="260"/>
      <c r="Z9085" s="260"/>
      <c r="AA9085" s="260"/>
      <c r="AB9085" s="260"/>
      <c r="AC9085" s="260"/>
      <c r="AD9085" s="260"/>
      <c r="AE9085" s="260"/>
      <c r="AF9085" s="260"/>
      <c r="AG9085" s="258"/>
      <c r="AO9085"/>
      <c r="AP9085"/>
      <c r="AQ9085"/>
      <c r="AR9085"/>
      <c r="AS9085"/>
      <c r="AT9085"/>
      <c r="AU9085"/>
      <c r="AV9085"/>
      <c r="AW9085"/>
      <c r="AX9085"/>
      <c r="AY9085"/>
      <c r="AZ9085"/>
      <c r="BA9085"/>
      <c r="BB9085"/>
      <c r="BC9085"/>
      <c r="BD9085"/>
      <c r="BE9085"/>
      <c r="BF9085"/>
    </row>
    <row r="9086" spans="13:58" ht="12" hidden="1" customHeight="1">
      <c r="M9086" s="820"/>
      <c r="N9086" s="239"/>
      <c r="O9086" s="225"/>
      <c r="P9086" s="260"/>
      <c r="Q9086" s="258"/>
      <c r="R9086" s="260"/>
      <c r="S9086" s="260"/>
      <c r="T9086" s="260"/>
      <c r="U9086" s="260"/>
      <c r="V9086" s="260"/>
      <c r="W9086" s="260"/>
      <c r="X9086" s="260"/>
      <c r="Y9086" s="260"/>
      <c r="Z9086" s="260"/>
      <c r="AA9086" s="260"/>
      <c r="AB9086" s="260"/>
      <c r="AC9086" s="260"/>
      <c r="AD9086" s="260"/>
      <c r="AE9086" s="260"/>
      <c r="AF9086" s="260"/>
      <c r="AG9086" s="258"/>
      <c r="AO9086"/>
      <c r="AP9086"/>
      <c r="AQ9086"/>
      <c r="AR9086"/>
      <c r="AS9086"/>
      <c r="AT9086"/>
      <c r="AU9086"/>
      <c r="AV9086"/>
      <c r="AW9086"/>
      <c r="AX9086"/>
      <c r="AY9086"/>
      <c r="AZ9086"/>
      <c r="BA9086"/>
      <c r="BB9086"/>
      <c r="BC9086"/>
      <c r="BD9086"/>
      <c r="BE9086"/>
      <c r="BF9086"/>
    </row>
    <row r="9087" spans="13:58" ht="12" hidden="1" customHeight="1">
      <c r="M9087" s="820"/>
      <c r="N9087" s="239"/>
      <c r="O9087" s="225"/>
      <c r="P9087" s="260"/>
      <c r="Q9087" s="258"/>
      <c r="R9087" s="260"/>
      <c r="S9087" s="260"/>
      <c r="T9087" s="260"/>
      <c r="U9087" s="260"/>
      <c r="V9087" s="260"/>
      <c r="W9087" s="260"/>
      <c r="X9087" s="260"/>
      <c r="Y9087" s="260"/>
      <c r="Z9087" s="260"/>
      <c r="AA9087" s="260"/>
      <c r="AB9087" s="260"/>
      <c r="AC9087" s="260"/>
      <c r="AD9087" s="260"/>
      <c r="AE9087" s="260"/>
      <c r="AF9087" s="260"/>
      <c r="AG9087" s="258"/>
      <c r="AO9087"/>
      <c r="AP9087"/>
      <c r="AQ9087"/>
      <c r="AR9087"/>
      <c r="AS9087"/>
      <c r="AT9087"/>
      <c r="AU9087"/>
      <c r="AV9087"/>
      <c r="AW9087"/>
      <c r="AX9087"/>
      <c r="AY9087"/>
      <c r="AZ9087"/>
      <c r="BA9087"/>
      <c r="BB9087"/>
      <c r="BC9087"/>
      <c r="BD9087"/>
      <c r="BE9087"/>
      <c r="BF9087"/>
    </row>
    <row r="9088" spans="13:58" ht="12" hidden="1" customHeight="1">
      <c r="M9088" s="820"/>
      <c r="N9088" s="239"/>
      <c r="O9088" s="225"/>
      <c r="P9088" s="260"/>
      <c r="Q9088" s="258"/>
      <c r="R9088" s="260"/>
      <c r="S9088" s="260"/>
      <c r="T9088" s="260"/>
      <c r="U9088" s="260"/>
      <c r="V9088" s="260"/>
      <c r="W9088" s="260"/>
      <c r="X9088" s="260"/>
      <c r="Y9088" s="260"/>
      <c r="Z9088" s="260"/>
      <c r="AA9088" s="260"/>
      <c r="AB9088" s="260"/>
      <c r="AC9088" s="260"/>
      <c r="AD9088" s="260"/>
      <c r="AE9088" s="260"/>
      <c r="AF9088" s="260"/>
      <c r="AG9088" s="258"/>
      <c r="AO9088"/>
      <c r="AP9088"/>
      <c r="AQ9088"/>
      <c r="AR9088"/>
      <c r="AS9088"/>
      <c r="AT9088"/>
      <c r="AU9088"/>
      <c r="AV9088"/>
      <c r="AW9088"/>
      <c r="AX9088"/>
      <c r="AY9088"/>
      <c r="AZ9088"/>
      <c r="BA9088"/>
      <c r="BB9088"/>
      <c r="BC9088"/>
      <c r="BD9088"/>
      <c r="BE9088"/>
      <c r="BF9088"/>
    </row>
    <row r="9089" spans="13:58" ht="12" hidden="1" customHeight="1">
      <c r="M9089" s="820"/>
      <c r="N9089" s="239"/>
      <c r="O9089" s="225"/>
      <c r="P9089" s="260"/>
      <c r="Q9089" s="258"/>
      <c r="R9089" s="260"/>
      <c r="S9089" s="260"/>
      <c r="T9089" s="260"/>
      <c r="U9089" s="260"/>
      <c r="V9089" s="260"/>
      <c r="W9089" s="260"/>
      <c r="X9089" s="260"/>
      <c r="Y9089" s="260"/>
      <c r="Z9089" s="260"/>
      <c r="AA9089" s="260"/>
      <c r="AB9089" s="260"/>
      <c r="AC9089" s="260"/>
      <c r="AD9089" s="260"/>
      <c r="AE9089" s="260"/>
      <c r="AF9089" s="260"/>
      <c r="AG9089" s="258"/>
      <c r="AO9089"/>
      <c r="AP9089"/>
      <c r="AQ9089"/>
      <c r="AR9089"/>
      <c r="AS9089"/>
      <c r="AT9089"/>
      <c r="AU9089"/>
      <c r="AV9089"/>
      <c r="AW9089"/>
      <c r="AX9089"/>
      <c r="AY9089"/>
      <c r="AZ9089"/>
      <c r="BA9089"/>
      <c r="BB9089"/>
      <c r="BC9089"/>
      <c r="BD9089"/>
      <c r="BE9089"/>
      <c r="BF9089"/>
    </row>
    <row r="9090" spans="13:58" ht="12" hidden="1" customHeight="1">
      <c r="M9090" s="820"/>
      <c r="N9090" s="239"/>
      <c r="O9090" s="225"/>
      <c r="P9090" s="260"/>
      <c r="Q9090" s="258"/>
      <c r="R9090" s="260"/>
      <c r="S9090" s="260"/>
      <c r="T9090" s="260"/>
      <c r="U9090" s="260"/>
      <c r="V9090" s="260"/>
      <c r="W9090" s="260"/>
      <c r="X9090" s="260"/>
      <c r="Y9090" s="260"/>
      <c r="Z9090" s="260"/>
      <c r="AA9090" s="260"/>
      <c r="AB9090" s="260"/>
      <c r="AC9090" s="260"/>
      <c r="AD9090" s="260"/>
      <c r="AE9090" s="260"/>
      <c r="AF9090" s="260"/>
      <c r="AG9090" s="258"/>
      <c r="AO9090"/>
      <c r="AP9090"/>
      <c r="AQ9090"/>
      <c r="AR9090"/>
      <c r="AS9090"/>
      <c r="AT9090"/>
      <c r="AU9090"/>
      <c r="AV9090"/>
      <c r="AW9090"/>
      <c r="AX9090"/>
      <c r="AY9090"/>
      <c r="AZ9090"/>
      <c r="BA9090"/>
      <c r="BB9090"/>
      <c r="BC9090"/>
      <c r="BD9090"/>
      <c r="BE9090"/>
      <c r="BF9090"/>
    </row>
    <row r="9091" spans="13:58" ht="12" hidden="1" customHeight="1">
      <c r="M9091" s="820"/>
      <c r="N9091" s="239"/>
      <c r="O9091" s="225"/>
      <c r="P9091" s="260"/>
      <c r="Q9091" s="258"/>
      <c r="R9091" s="260"/>
      <c r="S9091" s="260"/>
      <c r="T9091" s="260"/>
      <c r="U9091" s="260"/>
      <c r="V9091" s="260"/>
      <c r="W9091" s="260"/>
      <c r="X9091" s="260"/>
      <c r="Y9091" s="260"/>
      <c r="Z9091" s="260"/>
      <c r="AA9091" s="260"/>
      <c r="AB9091" s="260"/>
      <c r="AC9091" s="260"/>
      <c r="AD9091" s="260"/>
      <c r="AE9091" s="260"/>
      <c r="AF9091" s="260"/>
      <c r="AG9091" s="258"/>
      <c r="AO9091"/>
      <c r="AP9091"/>
      <c r="AQ9091"/>
      <c r="AR9091"/>
      <c r="AS9091"/>
      <c r="AT9091"/>
      <c r="AU9091"/>
      <c r="AV9091"/>
      <c r="AW9091"/>
      <c r="AX9091"/>
      <c r="AY9091"/>
      <c r="AZ9091"/>
      <c r="BA9091"/>
      <c r="BB9091"/>
      <c r="BC9091"/>
      <c r="BD9091"/>
      <c r="BE9091"/>
      <c r="BF9091"/>
    </row>
    <row r="9092" spans="13:58" ht="12" hidden="1" customHeight="1">
      <c r="M9092" s="820"/>
      <c r="N9092" s="239"/>
      <c r="O9092" s="225"/>
      <c r="P9092" s="260"/>
      <c r="Q9092" s="258"/>
      <c r="R9092" s="260"/>
      <c r="S9092" s="260"/>
      <c r="T9092" s="260"/>
      <c r="U9092" s="260"/>
      <c r="V9092" s="260"/>
      <c r="W9092" s="260"/>
      <c r="X9092" s="260"/>
      <c r="Y9092" s="260"/>
      <c r="Z9092" s="260"/>
      <c r="AA9092" s="260"/>
      <c r="AB9092" s="260"/>
      <c r="AC9092" s="260"/>
      <c r="AD9092" s="260"/>
      <c r="AE9092" s="260"/>
      <c r="AF9092" s="260"/>
      <c r="AG9092" s="258"/>
      <c r="AO9092"/>
      <c r="AP9092"/>
      <c r="AQ9092"/>
      <c r="AR9092"/>
      <c r="AS9092"/>
      <c r="AT9092"/>
      <c r="AU9092"/>
      <c r="AV9092"/>
      <c r="AW9092"/>
      <c r="AX9092"/>
      <c r="AY9092"/>
      <c r="AZ9092"/>
      <c r="BA9092"/>
      <c r="BB9092"/>
      <c r="BC9092"/>
      <c r="BD9092"/>
      <c r="BE9092"/>
      <c r="BF9092"/>
    </row>
    <row r="9093" spans="13:58" ht="12" hidden="1" customHeight="1">
      <c r="M9093" s="820"/>
      <c r="N9093" s="239"/>
      <c r="O9093" s="225"/>
      <c r="P9093" s="260"/>
      <c r="Q9093" s="258"/>
      <c r="R9093" s="260"/>
      <c r="S9093" s="260"/>
      <c r="T9093" s="260"/>
      <c r="U9093" s="260"/>
      <c r="V9093" s="260"/>
      <c r="W9093" s="260"/>
      <c r="X9093" s="260"/>
      <c r="Y9093" s="260"/>
      <c r="Z9093" s="260"/>
      <c r="AA9093" s="260"/>
      <c r="AB9093" s="260"/>
      <c r="AC9093" s="260"/>
      <c r="AD9093" s="260"/>
      <c r="AE9093" s="260"/>
      <c r="AF9093" s="260"/>
      <c r="AG9093" s="258"/>
      <c r="AO9093"/>
      <c r="AP9093"/>
      <c r="AQ9093"/>
      <c r="AR9093"/>
      <c r="AS9093"/>
      <c r="AT9093"/>
      <c r="AU9093"/>
      <c r="AV9093"/>
      <c r="AW9093"/>
      <c r="AX9093"/>
      <c r="AY9093"/>
      <c r="AZ9093"/>
      <c r="BA9093"/>
      <c r="BB9093"/>
      <c r="BC9093"/>
      <c r="BD9093"/>
      <c r="BE9093"/>
      <c r="BF9093"/>
    </row>
    <row r="9094" spans="13:58" ht="12" hidden="1" customHeight="1">
      <c r="M9094" s="820"/>
      <c r="N9094" s="239"/>
      <c r="O9094" s="225"/>
      <c r="P9094" s="260"/>
      <c r="Q9094" s="258"/>
      <c r="R9094" s="260"/>
      <c r="S9094" s="260"/>
      <c r="T9094" s="260"/>
      <c r="U9094" s="260"/>
      <c r="V9094" s="260"/>
      <c r="W9094" s="260"/>
      <c r="X9094" s="260"/>
      <c r="Y9094" s="260"/>
      <c r="Z9094" s="260"/>
      <c r="AA9094" s="260"/>
      <c r="AB9094" s="260"/>
      <c r="AC9094" s="260"/>
      <c r="AD9094" s="260"/>
      <c r="AE9094" s="260"/>
      <c r="AF9094" s="260"/>
      <c r="AG9094" s="258"/>
      <c r="AO9094"/>
      <c r="AP9094"/>
      <c r="AQ9094"/>
      <c r="AR9094"/>
      <c r="AS9094"/>
      <c r="AT9094"/>
      <c r="AU9094"/>
      <c r="AV9094"/>
      <c r="AW9094"/>
      <c r="AX9094"/>
      <c r="AY9094"/>
      <c r="AZ9094"/>
      <c r="BA9094"/>
      <c r="BB9094"/>
      <c r="BC9094"/>
      <c r="BD9094"/>
      <c r="BE9094"/>
      <c r="BF9094"/>
    </row>
    <row r="9095" spans="13:58" ht="12" hidden="1" customHeight="1">
      <c r="M9095" s="820"/>
      <c r="N9095" s="239"/>
      <c r="O9095" s="225"/>
      <c r="P9095" s="260"/>
      <c r="Q9095" s="258"/>
      <c r="R9095" s="260"/>
      <c r="S9095" s="260"/>
      <c r="T9095" s="260"/>
      <c r="U9095" s="260"/>
      <c r="V9095" s="260"/>
      <c r="W9095" s="260"/>
      <c r="X9095" s="260"/>
      <c r="Y9095" s="260"/>
      <c r="Z9095" s="260"/>
      <c r="AA9095" s="260"/>
      <c r="AB9095" s="260"/>
      <c r="AC9095" s="260"/>
      <c r="AD9095" s="260"/>
      <c r="AE9095" s="260"/>
      <c r="AF9095" s="260"/>
      <c r="AG9095" s="258"/>
      <c r="AO9095"/>
      <c r="AP9095"/>
      <c r="AQ9095"/>
      <c r="AR9095"/>
      <c r="AS9095"/>
      <c r="AT9095"/>
      <c r="AU9095"/>
      <c r="AV9095"/>
      <c r="AW9095"/>
      <c r="AX9095"/>
      <c r="AY9095"/>
      <c r="AZ9095"/>
      <c r="BA9095"/>
      <c r="BB9095"/>
      <c r="BC9095"/>
      <c r="BD9095"/>
      <c r="BE9095"/>
      <c r="BF9095"/>
    </row>
    <row r="9096" spans="13:58" ht="12" hidden="1" customHeight="1">
      <c r="M9096" s="820"/>
      <c r="N9096" s="239"/>
      <c r="O9096" s="225"/>
      <c r="P9096" s="260"/>
      <c r="Q9096" s="258"/>
      <c r="R9096" s="260"/>
      <c r="S9096" s="260"/>
      <c r="T9096" s="260"/>
      <c r="U9096" s="260"/>
      <c r="V9096" s="260"/>
      <c r="W9096" s="260"/>
      <c r="X9096" s="260"/>
      <c r="Y9096" s="260"/>
      <c r="Z9096" s="260"/>
      <c r="AA9096" s="260"/>
      <c r="AB9096" s="260"/>
      <c r="AC9096" s="260"/>
      <c r="AD9096" s="260"/>
      <c r="AE9096" s="260"/>
      <c r="AF9096" s="260"/>
      <c r="AG9096" s="258"/>
      <c r="AO9096"/>
      <c r="AP9096"/>
      <c r="AQ9096"/>
      <c r="AR9096"/>
      <c r="AS9096"/>
      <c r="AT9096"/>
      <c r="AU9096"/>
      <c r="AV9096"/>
      <c r="AW9096"/>
      <c r="AX9096"/>
      <c r="AY9096"/>
      <c r="AZ9096"/>
      <c r="BA9096"/>
      <c r="BB9096"/>
      <c r="BC9096"/>
      <c r="BD9096"/>
      <c r="BE9096"/>
      <c r="BF9096"/>
    </row>
    <row r="9097" spans="13:58" ht="12" hidden="1" customHeight="1">
      <c r="M9097" s="820"/>
      <c r="N9097" s="239"/>
      <c r="O9097" s="225"/>
      <c r="P9097" s="260"/>
      <c r="Q9097" s="258"/>
      <c r="R9097" s="260"/>
      <c r="S9097" s="260"/>
      <c r="T9097" s="260"/>
      <c r="U9097" s="260"/>
      <c r="V9097" s="260"/>
      <c r="W9097" s="260"/>
      <c r="X9097" s="260"/>
      <c r="Y9097" s="260"/>
      <c r="Z9097" s="260"/>
      <c r="AA9097" s="260"/>
      <c r="AB9097" s="260"/>
      <c r="AC9097" s="260"/>
      <c r="AD9097" s="260"/>
      <c r="AE9097" s="260"/>
      <c r="AF9097" s="260"/>
      <c r="AG9097" s="258"/>
      <c r="AO9097"/>
      <c r="AP9097"/>
      <c r="AQ9097"/>
      <c r="AR9097"/>
      <c r="AS9097"/>
      <c r="AT9097"/>
      <c r="AU9097"/>
      <c r="AV9097"/>
      <c r="AW9097"/>
      <c r="AX9097"/>
      <c r="AY9097"/>
      <c r="AZ9097"/>
      <c r="BA9097"/>
      <c r="BB9097"/>
      <c r="BC9097"/>
      <c r="BD9097"/>
      <c r="BE9097"/>
      <c r="BF9097"/>
    </row>
    <row r="9098" spans="13:58" ht="12" hidden="1" customHeight="1">
      <c r="M9098" s="820"/>
      <c r="N9098" s="239"/>
      <c r="O9098" s="225"/>
      <c r="P9098" s="260"/>
      <c r="Q9098" s="258"/>
      <c r="R9098" s="260"/>
      <c r="S9098" s="260"/>
      <c r="T9098" s="260"/>
      <c r="U9098" s="260"/>
      <c r="V9098" s="260"/>
      <c r="W9098" s="260"/>
      <c r="X9098" s="260"/>
      <c r="Y9098" s="260"/>
      <c r="Z9098" s="260"/>
      <c r="AA9098" s="260"/>
      <c r="AB9098" s="260"/>
      <c r="AC9098" s="260"/>
      <c r="AD9098" s="260"/>
      <c r="AE9098" s="260"/>
      <c r="AF9098" s="260"/>
      <c r="AG9098" s="258"/>
      <c r="AO9098"/>
      <c r="AP9098"/>
      <c r="AQ9098"/>
      <c r="AR9098"/>
      <c r="AS9098"/>
      <c r="AT9098"/>
      <c r="AU9098"/>
      <c r="AV9098"/>
      <c r="AW9098"/>
      <c r="AX9098"/>
      <c r="AY9098"/>
      <c r="AZ9098"/>
      <c r="BA9098"/>
      <c r="BB9098"/>
      <c r="BC9098"/>
      <c r="BD9098"/>
      <c r="BE9098"/>
      <c r="BF9098"/>
    </row>
    <row r="9099" spans="13:58" ht="12" hidden="1" customHeight="1">
      <c r="M9099" s="820"/>
      <c r="N9099" s="239"/>
      <c r="O9099" s="225"/>
      <c r="P9099" s="260"/>
      <c r="Q9099" s="258"/>
      <c r="R9099" s="260"/>
      <c r="S9099" s="260"/>
      <c r="T9099" s="260"/>
      <c r="U9099" s="260"/>
      <c r="V9099" s="260"/>
      <c r="W9099" s="260"/>
      <c r="X9099" s="260"/>
      <c r="Y9099" s="260"/>
      <c r="Z9099" s="260"/>
      <c r="AA9099" s="260"/>
      <c r="AB9099" s="260"/>
      <c r="AC9099" s="260"/>
      <c r="AD9099" s="260"/>
      <c r="AE9099" s="260"/>
      <c r="AF9099" s="260"/>
      <c r="AG9099" s="258"/>
      <c r="AO9099"/>
      <c r="AP9099"/>
      <c r="AQ9099"/>
      <c r="AR9099"/>
      <c r="AS9099"/>
      <c r="AT9099"/>
      <c r="AU9099"/>
      <c r="AV9099"/>
      <c r="AW9099"/>
      <c r="AX9099"/>
      <c r="AY9099"/>
      <c r="AZ9099"/>
      <c r="BA9099"/>
      <c r="BB9099"/>
      <c r="BC9099"/>
      <c r="BD9099"/>
      <c r="BE9099"/>
      <c r="BF9099"/>
    </row>
    <row r="9100" spans="13:58" ht="12" hidden="1" customHeight="1">
      <c r="M9100" s="820"/>
      <c r="N9100" s="239"/>
      <c r="O9100" s="225"/>
      <c r="P9100" s="260"/>
      <c r="Q9100" s="258"/>
      <c r="R9100" s="260"/>
      <c r="S9100" s="260"/>
      <c r="T9100" s="260"/>
      <c r="U9100" s="260"/>
      <c r="V9100" s="260"/>
      <c r="W9100" s="260"/>
      <c r="X9100" s="260"/>
      <c r="Y9100" s="260"/>
      <c r="Z9100" s="260"/>
      <c r="AA9100" s="260"/>
      <c r="AB9100" s="260"/>
      <c r="AC9100" s="260"/>
      <c r="AD9100" s="260"/>
      <c r="AE9100" s="260"/>
      <c r="AF9100" s="260"/>
      <c r="AG9100" s="258"/>
      <c r="AO9100"/>
      <c r="AP9100"/>
      <c r="AQ9100"/>
      <c r="AR9100"/>
      <c r="AS9100"/>
      <c r="AT9100"/>
      <c r="AU9100"/>
      <c r="AV9100"/>
      <c r="AW9100"/>
      <c r="AX9100"/>
      <c r="AY9100"/>
      <c r="AZ9100"/>
      <c r="BA9100"/>
      <c r="BB9100"/>
      <c r="BC9100"/>
      <c r="BD9100"/>
      <c r="BE9100"/>
      <c r="BF9100"/>
    </row>
    <row r="9101" spans="13:58" ht="12" hidden="1" customHeight="1">
      <c r="M9101" s="820"/>
      <c r="N9101" s="239"/>
      <c r="O9101" s="225"/>
      <c r="P9101" s="260"/>
      <c r="Q9101" s="258"/>
      <c r="R9101" s="260"/>
      <c r="S9101" s="260"/>
      <c r="T9101" s="260"/>
      <c r="U9101" s="260"/>
      <c r="V9101" s="260"/>
      <c r="W9101" s="260"/>
      <c r="X9101" s="260"/>
      <c r="Y9101" s="260"/>
      <c r="Z9101" s="260"/>
      <c r="AA9101" s="260"/>
      <c r="AB9101" s="260"/>
      <c r="AC9101" s="260"/>
      <c r="AD9101" s="260"/>
      <c r="AE9101" s="260"/>
      <c r="AF9101" s="260"/>
      <c r="AG9101" s="258"/>
      <c r="AO9101"/>
      <c r="AP9101"/>
      <c r="AQ9101"/>
      <c r="AR9101"/>
      <c r="AS9101"/>
      <c r="AT9101"/>
      <c r="AU9101"/>
      <c r="AV9101"/>
      <c r="AW9101"/>
      <c r="AX9101"/>
      <c r="AY9101"/>
      <c r="AZ9101"/>
      <c r="BA9101"/>
      <c r="BB9101"/>
      <c r="BC9101"/>
      <c r="BD9101"/>
      <c r="BE9101"/>
      <c r="BF9101"/>
    </row>
    <row r="9102" spans="13:58" ht="12" hidden="1" customHeight="1">
      <c r="M9102" s="820"/>
      <c r="N9102" s="239"/>
      <c r="O9102" s="225"/>
      <c r="P9102" s="260"/>
      <c r="Q9102" s="258"/>
      <c r="R9102" s="260"/>
      <c r="S9102" s="260"/>
      <c r="T9102" s="260"/>
      <c r="U9102" s="260"/>
      <c r="V9102" s="260"/>
      <c r="W9102" s="260"/>
      <c r="X9102" s="260"/>
      <c r="Y9102" s="260"/>
      <c r="Z9102" s="260"/>
      <c r="AA9102" s="260"/>
      <c r="AB9102" s="260"/>
      <c r="AC9102" s="260"/>
      <c r="AD9102" s="260"/>
      <c r="AE9102" s="260"/>
      <c r="AF9102" s="260"/>
      <c r="AG9102" s="258"/>
      <c r="AO9102"/>
      <c r="AP9102"/>
      <c r="AQ9102"/>
      <c r="AR9102"/>
      <c r="AS9102"/>
      <c r="AT9102"/>
      <c r="AU9102"/>
      <c r="AV9102"/>
      <c r="AW9102"/>
      <c r="AX9102"/>
      <c r="AY9102"/>
      <c r="AZ9102"/>
      <c r="BA9102"/>
      <c r="BB9102"/>
      <c r="BC9102"/>
      <c r="BD9102"/>
      <c r="BE9102"/>
      <c r="BF9102"/>
    </row>
    <row r="9103" spans="13:58" ht="12" hidden="1" customHeight="1">
      <c r="M9103" s="820"/>
      <c r="N9103" s="239"/>
      <c r="O9103" s="225"/>
      <c r="P9103" s="260"/>
      <c r="Q9103" s="258"/>
      <c r="R9103" s="260"/>
      <c r="S9103" s="260"/>
      <c r="T9103" s="260"/>
      <c r="U9103" s="260"/>
      <c r="V9103" s="260"/>
      <c r="W9103" s="260"/>
      <c r="X9103" s="260"/>
      <c r="Y9103" s="260"/>
      <c r="Z9103" s="260"/>
      <c r="AA9103" s="260"/>
      <c r="AB9103" s="260"/>
      <c r="AC9103" s="260"/>
      <c r="AD9103" s="260"/>
      <c r="AE9103" s="260"/>
      <c r="AF9103" s="260"/>
      <c r="AG9103" s="258"/>
      <c r="AO9103"/>
      <c r="AP9103"/>
      <c r="AQ9103"/>
      <c r="AR9103"/>
      <c r="AS9103"/>
      <c r="AT9103"/>
      <c r="AU9103"/>
      <c r="AV9103"/>
      <c r="AW9103"/>
      <c r="AX9103"/>
      <c r="AY9103"/>
      <c r="AZ9103"/>
      <c r="BA9103"/>
      <c r="BB9103"/>
      <c r="BC9103"/>
      <c r="BD9103"/>
      <c r="BE9103"/>
      <c r="BF9103"/>
    </row>
    <row r="9104" spans="13:58" ht="12" hidden="1" customHeight="1">
      <c r="M9104" s="820"/>
      <c r="N9104" s="239"/>
      <c r="O9104" s="225"/>
      <c r="P9104" s="260"/>
      <c r="Q9104" s="258"/>
      <c r="R9104" s="260"/>
      <c r="S9104" s="260"/>
      <c r="T9104" s="260"/>
      <c r="U9104" s="260"/>
      <c r="V9104" s="260"/>
      <c r="W9104" s="260"/>
      <c r="X9104" s="260"/>
      <c r="Y9104" s="260"/>
      <c r="Z9104" s="260"/>
      <c r="AA9104" s="260"/>
      <c r="AB9104" s="260"/>
      <c r="AC9104" s="260"/>
      <c r="AD9104" s="260"/>
      <c r="AE9104" s="260"/>
      <c r="AF9104" s="260"/>
      <c r="AG9104" s="258"/>
      <c r="AO9104"/>
      <c r="AP9104"/>
      <c r="AQ9104"/>
      <c r="AR9104"/>
      <c r="AS9104"/>
      <c r="AT9104"/>
      <c r="AU9104"/>
      <c r="AV9104"/>
      <c r="AW9104"/>
      <c r="AX9104"/>
      <c r="AY9104"/>
      <c r="AZ9104"/>
      <c r="BA9104"/>
      <c r="BB9104"/>
      <c r="BC9104"/>
      <c r="BD9104"/>
      <c r="BE9104"/>
      <c r="BF9104"/>
    </row>
    <row r="9105" spans="13:58" ht="12" hidden="1" customHeight="1">
      <c r="M9105" s="820"/>
      <c r="N9105" s="239"/>
      <c r="O9105" s="225"/>
      <c r="P9105" s="260"/>
      <c r="Q9105" s="258"/>
      <c r="R9105" s="260"/>
      <c r="S9105" s="260"/>
      <c r="T9105" s="260"/>
      <c r="U9105" s="260"/>
      <c r="V9105" s="260"/>
      <c r="W9105" s="260"/>
      <c r="X9105" s="260"/>
      <c r="Y9105" s="260"/>
      <c r="Z9105" s="260"/>
      <c r="AA9105" s="260"/>
      <c r="AB9105" s="260"/>
      <c r="AC9105" s="260"/>
      <c r="AD9105" s="260"/>
      <c r="AE9105" s="260"/>
      <c r="AF9105" s="260"/>
      <c r="AG9105" s="258"/>
      <c r="AO9105"/>
      <c r="AP9105"/>
      <c r="AQ9105"/>
      <c r="AR9105"/>
      <c r="AS9105"/>
      <c r="AT9105"/>
      <c r="AU9105"/>
      <c r="AV9105"/>
      <c r="AW9105"/>
      <c r="AX9105"/>
      <c r="AY9105"/>
      <c r="AZ9105"/>
      <c r="BA9105"/>
      <c r="BB9105"/>
      <c r="BC9105"/>
      <c r="BD9105"/>
      <c r="BE9105"/>
      <c r="BF9105"/>
    </row>
    <row r="9106" spans="13:58" ht="12" hidden="1" customHeight="1">
      <c r="M9106" s="820"/>
      <c r="N9106" s="239"/>
      <c r="O9106" s="225"/>
      <c r="P9106" s="260"/>
      <c r="Q9106" s="258"/>
      <c r="R9106" s="260"/>
      <c r="S9106" s="260"/>
      <c r="T9106" s="260"/>
      <c r="U9106" s="260"/>
      <c r="V9106" s="260"/>
      <c r="W9106" s="260"/>
      <c r="X9106" s="260"/>
      <c r="Y9106" s="260"/>
      <c r="Z9106" s="260"/>
      <c r="AA9106" s="260"/>
      <c r="AB9106" s="260"/>
      <c r="AC9106" s="260"/>
      <c r="AD9106" s="260"/>
      <c r="AE9106" s="260"/>
      <c r="AF9106" s="260"/>
      <c r="AG9106" s="258"/>
      <c r="AO9106"/>
      <c r="AP9106"/>
      <c r="AQ9106"/>
      <c r="AR9106"/>
      <c r="AS9106"/>
      <c r="AT9106"/>
      <c r="AU9106"/>
      <c r="AV9106"/>
      <c r="AW9106"/>
      <c r="AX9106"/>
      <c r="AY9106"/>
      <c r="AZ9106"/>
      <c r="BA9106"/>
      <c r="BB9106"/>
      <c r="BC9106"/>
      <c r="BD9106"/>
      <c r="BE9106"/>
      <c r="BF9106"/>
    </row>
    <row r="9107" spans="13:58" ht="12" hidden="1" customHeight="1">
      <c r="M9107" s="820"/>
      <c r="N9107" s="239"/>
      <c r="O9107" s="225"/>
      <c r="P9107" s="260"/>
      <c r="Q9107" s="258"/>
      <c r="R9107" s="260"/>
      <c r="S9107" s="260"/>
      <c r="T9107" s="260"/>
      <c r="U9107" s="260"/>
      <c r="V9107" s="260"/>
      <c r="W9107" s="260"/>
      <c r="X9107" s="260"/>
      <c r="Y9107" s="260"/>
      <c r="Z9107" s="260"/>
      <c r="AA9107" s="260"/>
      <c r="AB9107" s="260"/>
      <c r="AC9107" s="260"/>
      <c r="AD9107" s="260"/>
      <c r="AE9107" s="260"/>
      <c r="AF9107" s="260"/>
      <c r="AG9107" s="258"/>
      <c r="AO9107"/>
      <c r="AP9107"/>
      <c r="AQ9107"/>
      <c r="AR9107"/>
      <c r="AS9107"/>
      <c r="AT9107"/>
      <c r="AU9107"/>
      <c r="AV9107"/>
      <c r="AW9107"/>
      <c r="AX9107"/>
      <c r="AY9107"/>
      <c r="AZ9107"/>
      <c r="BA9107"/>
      <c r="BB9107"/>
      <c r="BC9107"/>
      <c r="BD9107"/>
      <c r="BE9107"/>
      <c r="BF9107"/>
    </row>
    <row r="9108" spans="13:58" ht="12" hidden="1" customHeight="1">
      <c r="M9108" s="820"/>
      <c r="N9108" s="239"/>
      <c r="O9108" s="225"/>
      <c r="P9108" s="260"/>
      <c r="Q9108" s="258"/>
      <c r="R9108" s="260"/>
      <c r="S9108" s="260"/>
      <c r="T9108" s="260"/>
      <c r="U9108" s="260"/>
      <c r="V9108" s="260"/>
      <c r="W9108" s="260"/>
      <c r="X9108" s="260"/>
      <c r="Y9108" s="260"/>
      <c r="Z9108" s="260"/>
      <c r="AA9108" s="260"/>
      <c r="AB9108" s="260"/>
      <c r="AC9108" s="260"/>
      <c r="AD9108" s="260"/>
      <c r="AE9108" s="260"/>
      <c r="AF9108" s="260"/>
      <c r="AG9108" s="258"/>
      <c r="AO9108"/>
      <c r="AP9108"/>
      <c r="AQ9108"/>
      <c r="AR9108"/>
      <c r="AS9108"/>
      <c r="AT9108"/>
      <c r="AU9108"/>
      <c r="AV9108"/>
      <c r="AW9108"/>
      <c r="AX9108"/>
      <c r="AY9108"/>
      <c r="AZ9108"/>
      <c r="BA9108"/>
      <c r="BB9108"/>
      <c r="BC9108"/>
      <c r="BD9108"/>
      <c r="BE9108"/>
      <c r="BF9108"/>
    </row>
    <row r="9109" spans="13:58" ht="12" hidden="1" customHeight="1">
      <c r="M9109" s="820"/>
      <c r="N9109" s="239"/>
      <c r="O9109" s="225"/>
      <c r="P9109" s="260"/>
      <c r="Q9109" s="258"/>
      <c r="R9109" s="260"/>
      <c r="S9109" s="260"/>
      <c r="T9109" s="260"/>
      <c r="U9109" s="260"/>
      <c r="V9109" s="260"/>
      <c r="W9109" s="260"/>
      <c r="X9109" s="260"/>
      <c r="Y9109" s="260"/>
      <c r="Z9109" s="260"/>
      <c r="AA9109" s="260"/>
      <c r="AB9109" s="260"/>
      <c r="AC9109" s="260"/>
      <c r="AD9109" s="260"/>
      <c r="AE9109" s="260"/>
      <c r="AF9109" s="260"/>
      <c r="AG9109" s="258"/>
      <c r="AO9109"/>
      <c r="AP9109"/>
      <c r="AQ9109"/>
      <c r="AR9109"/>
      <c r="AS9109"/>
      <c r="AT9109"/>
      <c r="AU9109"/>
      <c r="AV9109"/>
      <c r="AW9109"/>
      <c r="AX9109"/>
      <c r="AY9109"/>
      <c r="AZ9109"/>
      <c r="BA9109"/>
      <c r="BB9109"/>
      <c r="BC9109"/>
      <c r="BD9109"/>
      <c r="BE9109"/>
      <c r="BF9109"/>
    </row>
    <row r="9110" spans="13:58" ht="12" hidden="1" customHeight="1">
      <c r="M9110" s="820"/>
      <c r="N9110" s="239"/>
      <c r="O9110" s="225"/>
      <c r="P9110" s="260"/>
      <c r="Q9110" s="258"/>
      <c r="R9110" s="260"/>
      <c r="S9110" s="260"/>
      <c r="T9110" s="260"/>
      <c r="U9110" s="260"/>
      <c r="V9110" s="260"/>
      <c r="W9110" s="260"/>
      <c r="X9110" s="260"/>
      <c r="Y9110" s="260"/>
      <c r="Z9110" s="260"/>
      <c r="AA9110" s="260"/>
      <c r="AB9110" s="260"/>
      <c r="AC9110" s="260"/>
      <c r="AD9110" s="260"/>
      <c r="AE9110" s="260"/>
      <c r="AF9110" s="260"/>
      <c r="AG9110" s="258"/>
      <c r="AO9110"/>
      <c r="AP9110"/>
      <c r="AQ9110"/>
      <c r="AR9110"/>
      <c r="AS9110"/>
      <c r="AT9110"/>
      <c r="AU9110"/>
      <c r="AV9110"/>
      <c r="AW9110"/>
      <c r="AX9110"/>
      <c r="AY9110"/>
      <c r="AZ9110"/>
      <c r="BA9110"/>
      <c r="BB9110"/>
      <c r="BC9110"/>
      <c r="BD9110"/>
      <c r="BE9110"/>
      <c r="BF9110"/>
    </row>
    <row r="9111" spans="13:58" ht="12" hidden="1" customHeight="1">
      <c r="M9111" s="820"/>
      <c r="N9111" s="239"/>
      <c r="O9111" s="225"/>
      <c r="P9111" s="260"/>
      <c r="Q9111" s="258"/>
      <c r="R9111" s="260"/>
      <c r="S9111" s="260"/>
      <c r="T9111" s="260"/>
      <c r="U9111" s="260"/>
      <c r="V9111" s="260"/>
      <c r="W9111" s="260"/>
      <c r="X9111" s="260"/>
      <c r="Y9111" s="260"/>
      <c r="Z9111" s="260"/>
      <c r="AA9111" s="260"/>
      <c r="AB9111" s="260"/>
      <c r="AC9111" s="260"/>
      <c r="AD9111" s="260"/>
      <c r="AE9111" s="260"/>
      <c r="AF9111" s="260"/>
      <c r="AG9111" s="258"/>
      <c r="AO9111"/>
      <c r="AP9111"/>
      <c r="AQ9111"/>
      <c r="AR9111"/>
      <c r="AS9111"/>
      <c r="AT9111"/>
      <c r="AU9111"/>
      <c r="AV9111"/>
      <c r="AW9111"/>
      <c r="AX9111"/>
      <c r="AY9111"/>
      <c r="AZ9111"/>
      <c r="BA9111"/>
      <c r="BB9111"/>
      <c r="BC9111"/>
      <c r="BD9111"/>
      <c r="BE9111"/>
      <c r="BF9111"/>
    </row>
    <row r="9112" spans="13:58" ht="12" hidden="1" customHeight="1">
      <c r="M9112" s="820"/>
      <c r="N9112" s="239"/>
      <c r="O9112" s="225"/>
      <c r="P9112" s="260"/>
      <c r="Q9112" s="258"/>
      <c r="R9112" s="260"/>
      <c r="S9112" s="260"/>
      <c r="T9112" s="260"/>
      <c r="U9112" s="260"/>
      <c r="V9112" s="260"/>
      <c r="W9112" s="260"/>
      <c r="X9112" s="260"/>
      <c r="Y9112" s="260"/>
      <c r="Z9112" s="260"/>
      <c r="AA9112" s="260"/>
      <c r="AB9112" s="260"/>
      <c r="AC9112" s="260"/>
      <c r="AD9112" s="260"/>
      <c r="AE9112" s="260"/>
      <c r="AF9112" s="260"/>
      <c r="AG9112" s="258"/>
      <c r="AO9112"/>
      <c r="AP9112"/>
      <c r="AQ9112"/>
      <c r="AR9112"/>
      <c r="AS9112"/>
      <c r="AT9112"/>
      <c r="AU9112"/>
      <c r="AV9112"/>
      <c r="AW9112"/>
      <c r="AX9112"/>
      <c r="AY9112"/>
      <c r="AZ9112"/>
      <c r="BA9112"/>
      <c r="BB9112"/>
      <c r="BC9112"/>
      <c r="BD9112"/>
      <c r="BE9112"/>
      <c r="BF9112"/>
    </row>
    <row r="9113" spans="13:58" ht="12" hidden="1" customHeight="1">
      <c r="M9113" s="820"/>
      <c r="N9113" s="239"/>
      <c r="O9113" s="225"/>
      <c r="P9113" s="260"/>
      <c r="Q9113" s="258"/>
      <c r="R9113" s="260"/>
      <c r="S9113" s="260"/>
      <c r="T9113" s="260"/>
      <c r="U9113" s="260"/>
      <c r="V9113" s="260"/>
      <c r="W9113" s="260"/>
      <c r="X9113" s="260"/>
      <c r="Y9113" s="260"/>
      <c r="Z9113" s="260"/>
      <c r="AA9113" s="260"/>
      <c r="AB9113" s="260"/>
      <c r="AC9113" s="260"/>
      <c r="AD9113" s="260"/>
      <c r="AE9113" s="260"/>
      <c r="AF9113" s="260"/>
      <c r="AG9113" s="258"/>
      <c r="AO9113"/>
      <c r="AP9113"/>
      <c r="AQ9113"/>
      <c r="AR9113"/>
      <c r="AS9113"/>
      <c r="AT9113"/>
      <c r="AU9113"/>
      <c r="AV9113"/>
      <c r="AW9113"/>
      <c r="AX9113"/>
      <c r="AY9113"/>
      <c r="AZ9113"/>
      <c r="BA9113"/>
      <c r="BB9113"/>
      <c r="BC9113"/>
      <c r="BD9113"/>
      <c r="BE9113"/>
      <c r="BF9113"/>
    </row>
    <row r="9114" spans="13:58" ht="12" hidden="1" customHeight="1">
      <c r="M9114" s="820"/>
      <c r="N9114" s="239"/>
      <c r="O9114" s="225"/>
      <c r="P9114" s="260"/>
      <c r="Q9114" s="258"/>
      <c r="R9114" s="260"/>
      <c r="S9114" s="260"/>
      <c r="T9114" s="260"/>
      <c r="U9114" s="260"/>
      <c r="V9114" s="260"/>
      <c r="W9114" s="260"/>
      <c r="X9114" s="260"/>
      <c r="Y9114" s="260"/>
      <c r="Z9114" s="260"/>
      <c r="AA9114" s="260"/>
      <c r="AB9114" s="260"/>
      <c r="AC9114" s="260"/>
      <c r="AD9114" s="260"/>
      <c r="AE9114" s="260"/>
      <c r="AF9114" s="260"/>
      <c r="AG9114" s="258"/>
      <c r="AO9114"/>
      <c r="AP9114"/>
      <c r="AQ9114"/>
      <c r="AR9114"/>
      <c r="AS9114"/>
      <c r="AT9114"/>
      <c r="AU9114"/>
      <c r="AV9114"/>
      <c r="AW9114"/>
      <c r="AX9114"/>
      <c r="AY9114"/>
      <c r="AZ9114"/>
      <c r="BA9114"/>
      <c r="BB9114"/>
      <c r="BC9114"/>
      <c r="BD9114"/>
      <c r="BE9114"/>
      <c r="BF9114"/>
    </row>
    <row r="9115" spans="13:58" ht="12" hidden="1" customHeight="1">
      <c r="M9115" s="820"/>
      <c r="N9115" s="239"/>
      <c r="O9115" s="225"/>
      <c r="P9115" s="260"/>
      <c r="Q9115" s="258"/>
      <c r="R9115" s="260"/>
      <c r="S9115" s="260"/>
      <c r="T9115" s="260"/>
      <c r="U9115" s="260"/>
      <c r="V9115" s="260"/>
      <c r="W9115" s="260"/>
      <c r="X9115" s="260"/>
      <c r="Y9115" s="260"/>
      <c r="Z9115" s="260"/>
      <c r="AA9115" s="260"/>
      <c r="AB9115" s="260"/>
      <c r="AC9115" s="260"/>
      <c r="AD9115" s="260"/>
      <c r="AE9115" s="260"/>
      <c r="AF9115" s="260"/>
      <c r="AG9115" s="258"/>
      <c r="AO9115"/>
      <c r="AP9115"/>
      <c r="AQ9115"/>
      <c r="AR9115"/>
      <c r="AS9115"/>
      <c r="AT9115"/>
      <c r="AU9115"/>
      <c r="AV9115"/>
      <c r="AW9115"/>
      <c r="AX9115"/>
      <c r="AY9115"/>
      <c r="AZ9115"/>
      <c r="BA9115"/>
      <c r="BB9115"/>
      <c r="BC9115"/>
      <c r="BD9115"/>
      <c r="BE9115"/>
      <c r="BF9115"/>
    </row>
    <row r="9116" spans="13:58" ht="12" hidden="1" customHeight="1">
      <c r="M9116" s="820"/>
      <c r="N9116" s="239"/>
      <c r="O9116" s="225"/>
      <c r="P9116" s="260"/>
      <c r="Q9116" s="258"/>
      <c r="R9116" s="260"/>
      <c r="S9116" s="260"/>
      <c r="T9116" s="260"/>
      <c r="U9116" s="260"/>
      <c r="V9116" s="260"/>
      <c r="W9116" s="260"/>
      <c r="X9116" s="260"/>
      <c r="Y9116" s="260"/>
      <c r="Z9116" s="260"/>
      <c r="AA9116" s="260"/>
      <c r="AB9116" s="260"/>
      <c r="AC9116" s="260"/>
      <c r="AD9116" s="260"/>
      <c r="AE9116" s="260"/>
      <c r="AF9116" s="260"/>
      <c r="AG9116" s="258"/>
      <c r="AO9116"/>
      <c r="AP9116"/>
      <c r="AQ9116"/>
      <c r="AR9116"/>
      <c r="AS9116"/>
      <c r="AT9116"/>
      <c r="AU9116"/>
      <c r="AV9116"/>
      <c r="AW9116"/>
      <c r="AX9116"/>
      <c r="AY9116"/>
      <c r="AZ9116"/>
      <c r="BA9116"/>
      <c r="BB9116"/>
      <c r="BC9116"/>
      <c r="BD9116"/>
      <c r="BE9116"/>
      <c r="BF9116"/>
    </row>
    <row r="9117" spans="13:58" ht="12" hidden="1" customHeight="1">
      <c r="M9117" s="820"/>
      <c r="N9117" s="239"/>
      <c r="O9117" s="225"/>
      <c r="P9117" s="260"/>
      <c r="Q9117" s="258"/>
      <c r="R9117" s="260"/>
      <c r="S9117" s="260"/>
      <c r="T9117" s="260"/>
      <c r="U9117" s="260"/>
      <c r="V9117" s="260"/>
      <c r="W9117" s="260"/>
      <c r="X9117" s="260"/>
      <c r="Y9117" s="260"/>
      <c r="Z9117" s="260"/>
      <c r="AA9117" s="260"/>
      <c r="AB9117" s="260"/>
      <c r="AC9117" s="260"/>
      <c r="AD9117" s="260"/>
      <c r="AE9117" s="260"/>
      <c r="AF9117" s="260"/>
      <c r="AG9117" s="258"/>
      <c r="AO9117"/>
      <c r="AP9117"/>
      <c r="AQ9117"/>
      <c r="AR9117"/>
      <c r="AS9117"/>
      <c r="AT9117"/>
      <c r="AU9117"/>
      <c r="AV9117"/>
      <c r="AW9117"/>
      <c r="AX9117"/>
      <c r="AY9117"/>
      <c r="AZ9117"/>
      <c r="BA9117"/>
      <c r="BB9117"/>
      <c r="BC9117"/>
      <c r="BD9117"/>
      <c r="BE9117"/>
      <c r="BF9117"/>
    </row>
    <row r="9118" spans="13:58" ht="12" hidden="1" customHeight="1">
      <c r="M9118" s="820"/>
      <c r="N9118" s="239"/>
      <c r="O9118" s="225"/>
      <c r="P9118" s="260"/>
      <c r="Q9118" s="258"/>
      <c r="R9118" s="260"/>
      <c r="S9118" s="260"/>
      <c r="T9118" s="260"/>
      <c r="U9118" s="260"/>
      <c r="V9118" s="260"/>
      <c r="W9118" s="260"/>
      <c r="X9118" s="260"/>
      <c r="Y9118" s="260"/>
      <c r="Z9118" s="260"/>
      <c r="AA9118" s="260"/>
      <c r="AB9118" s="260"/>
      <c r="AC9118" s="260"/>
      <c r="AD9118" s="260"/>
      <c r="AE9118" s="260"/>
      <c r="AF9118" s="260"/>
      <c r="AG9118" s="258"/>
      <c r="AO9118"/>
      <c r="AP9118"/>
      <c r="AQ9118"/>
      <c r="AR9118"/>
      <c r="AS9118"/>
      <c r="AT9118"/>
      <c r="AU9118"/>
      <c r="AV9118"/>
      <c r="AW9118"/>
      <c r="AX9118"/>
      <c r="AY9118"/>
      <c r="AZ9118"/>
      <c r="BA9118"/>
      <c r="BB9118"/>
      <c r="BC9118"/>
      <c r="BD9118"/>
      <c r="BE9118"/>
      <c r="BF9118"/>
    </row>
    <row r="9119" spans="13:58" ht="12" hidden="1" customHeight="1">
      <c r="M9119" s="820"/>
      <c r="N9119" s="239"/>
      <c r="O9119" s="225"/>
      <c r="P9119" s="260"/>
      <c r="Q9119" s="258"/>
      <c r="R9119" s="260"/>
      <c r="S9119" s="260"/>
      <c r="T9119" s="260"/>
      <c r="U9119" s="260"/>
      <c r="V9119" s="260"/>
      <c r="W9119" s="260"/>
      <c r="X9119" s="260"/>
      <c r="Y9119" s="260"/>
      <c r="Z9119" s="260"/>
      <c r="AA9119" s="260"/>
      <c r="AB9119" s="260"/>
      <c r="AC9119" s="260"/>
      <c r="AD9119" s="260"/>
      <c r="AE9119" s="260"/>
      <c r="AF9119" s="260"/>
      <c r="AG9119" s="258"/>
      <c r="AO9119"/>
      <c r="AP9119"/>
      <c r="AQ9119"/>
      <c r="AR9119"/>
      <c r="AS9119"/>
      <c r="AT9119"/>
      <c r="AU9119"/>
      <c r="AV9119"/>
      <c r="AW9119"/>
      <c r="AX9119"/>
      <c r="AY9119"/>
      <c r="AZ9119"/>
      <c r="BA9119"/>
      <c r="BB9119"/>
      <c r="BC9119"/>
      <c r="BD9119"/>
      <c r="BE9119"/>
      <c r="BF9119"/>
    </row>
    <row r="9120" spans="13:58" ht="12" hidden="1" customHeight="1">
      <c r="M9120" s="820"/>
      <c r="N9120" s="239"/>
      <c r="O9120" s="225"/>
      <c r="P9120" s="260"/>
      <c r="Q9120" s="258"/>
      <c r="R9120" s="260"/>
      <c r="S9120" s="260"/>
      <c r="T9120" s="260"/>
      <c r="U9120" s="260"/>
      <c r="V9120" s="260"/>
      <c r="W9120" s="260"/>
      <c r="X9120" s="260"/>
      <c r="Y9120" s="260"/>
      <c r="Z9120" s="260"/>
      <c r="AA9120" s="260"/>
      <c r="AB9120" s="260"/>
      <c r="AC9120" s="260"/>
      <c r="AD9120" s="260"/>
      <c r="AE9120" s="260"/>
      <c r="AF9120" s="260"/>
      <c r="AG9120" s="258"/>
      <c r="AO9120"/>
      <c r="AP9120"/>
      <c r="AQ9120"/>
      <c r="AR9120"/>
      <c r="AS9120"/>
      <c r="AT9120"/>
      <c r="AU9120"/>
      <c r="AV9120"/>
      <c r="AW9120"/>
      <c r="AX9120"/>
      <c r="AY9120"/>
      <c r="AZ9120"/>
      <c r="BA9120"/>
      <c r="BB9120"/>
      <c r="BC9120"/>
      <c r="BD9120"/>
      <c r="BE9120"/>
      <c r="BF9120"/>
    </row>
    <row r="9121" spans="13:58" ht="12" hidden="1" customHeight="1">
      <c r="M9121" s="820"/>
      <c r="N9121" s="239"/>
      <c r="O9121" s="225"/>
      <c r="P9121" s="260"/>
      <c r="Q9121" s="258"/>
      <c r="R9121" s="260"/>
      <c r="S9121" s="260"/>
      <c r="T9121" s="260"/>
      <c r="U9121" s="260"/>
      <c r="V9121" s="260"/>
      <c r="W9121" s="260"/>
      <c r="X9121" s="260"/>
      <c r="Y9121" s="260"/>
      <c r="Z9121" s="260"/>
      <c r="AA9121" s="260"/>
      <c r="AB9121" s="260"/>
      <c r="AC9121" s="260"/>
      <c r="AD9121" s="260"/>
      <c r="AE9121" s="260"/>
      <c r="AF9121" s="260"/>
      <c r="AG9121" s="258"/>
      <c r="AO9121"/>
      <c r="AP9121"/>
      <c r="AQ9121"/>
      <c r="AR9121"/>
      <c r="AS9121"/>
      <c r="AT9121"/>
      <c r="AU9121"/>
      <c r="AV9121"/>
      <c r="AW9121"/>
      <c r="AX9121"/>
      <c r="AY9121"/>
      <c r="AZ9121"/>
      <c r="BA9121"/>
      <c r="BB9121"/>
      <c r="BC9121"/>
      <c r="BD9121"/>
      <c r="BE9121"/>
      <c r="BF9121"/>
    </row>
    <row r="9122" spans="13:58" ht="12" hidden="1" customHeight="1">
      <c r="M9122" s="820"/>
      <c r="N9122" s="239"/>
      <c r="O9122" s="225"/>
      <c r="P9122" s="260"/>
      <c r="Q9122" s="258"/>
      <c r="R9122" s="260"/>
      <c r="S9122" s="260"/>
      <c r="T9122" s="260"/>
      <c r="U9122" s="260"/>
      <c r="V9122" s="260"/>
      <c r="W9122" s="260"/>
      <c r="X9122" s="260"/>
      <c r="Y9122" s="260"/>
      <c r="Z9122" s="260"/>
      <c r="AA9122" s="260"/>
      <c r="AB9122" s="260"/>
      <c r="AC9122" s="260"/>
      <c r="AD9122" s="260"/>
      <c r="AE9122" s="260"/>
      <c r="AF9122" s="260"/>
      <c r="AG9122" s="258"/>
      <c r="AO9122"/>
      <c r="AP9122"/>
      <c r="AQ9122"/>
      <c r="AR9122"/>
      <c r="AS9122"/>
      <c r="AT9122"/>
      <c r="AU9122"/>
      <c r="AV9122"/>
      <c r="AW9122"/>
      <c r="AX9122"/>
      <c r="AY9122"/>
      <c r="AZ9122"/>
      <c r="BA9122"/>
      <c r="BB9122"/>
      <c r="BC9122"/>
      <c r="BD9122"/>
      <c r="BE9122"/>
      <c r="BF9122"/>
    </row>
    <row r="9123" spans="13:58" ht="12" hidden="1" customHeight="1">
      <c r="M9123" s="820"/>
      <c r="N9123" s="239"/>
      <c r="O9123" s="225"/>
      <c r="P9123" s="260"/>
      <c r="Q9123" s="258"/>
      <c r="R9123" s="260"/>
      <c r="S9123" s="260"/>
      <c r="T9123" s="260"/>
      <c r="U9123" s="260"/>
      <c r="V9123" s="260"/>
      <c r="W9123" s="260"/>
      <c r="X9123" s="260"/>
      <c r="Y9123" s="260"/>
      <c r="Z9123" s="260"/>
      <c r="AA9123" s="260"/>
      <c r="AB9123" s="260"/>
      <c r="AC9123" s="260"/>
      <c r="AD9123" s="260"/>
      <c r="AE9123" s="260"/>
      <c r="AF9123" s="260"/>
      <c r="AG9123" s="258"/>
      <c r="AO9123"/>
      <c r="AP9123"/>
      <c r="AQ9123"/>
      <c r="AR9123"/>
      <c r="AS9123"/>
      <c r="AT9123"/>
      <c r="AU9123"/>
      <c r="AV9123"/>
      <c r="AW9123"/>
      <c r="AX9123"/>
      <c r="AY9123"/>
      <c r="AZ9123"/>
      <c r="BA9123"/>
      <c r="BB9123"/>
      <c r="BC9123"/>
      <c r="BD9123"/>
      <c r="BE9123"/>
      <c r="BF9123"/>
    </row>
    <row r="9124" spans="13:58" ht="12" hidden="1" customHeight="1">
      <c r="M9124" s="820"/>
      <c r="N9124" s="239"/>
      <c r="O9124" s="225"/>
      <c r="P9124" s="260"/>
      <c r="Q9124" s="258"/>
      <c r="R9124" s="260"/>
      <c r="S9124" s="260"/>
      <c r="T9124" s="260"/>
      <c r="U9124" s="260"/>
      <c r="V9124" s="260"/>
      <c r="W9124" s="260"/>
      <c r="X9124" s="260"/>
      <c r="Y9124" s="260"/>
      <c r="Z9124" s="260"/>
      <c r="AA9124" s="260"/>
      <c r="AB9124" s="260"/>
      <c r="AC9124" s="260"/>
      <c r="AD9124" s="260"/>
      <c r="AE9124" s="260"/>
      <c r="AF9124" s="260"/>
      <c r="AG9124" s="258"/>
      <c r="AO9124"/>
      <c r="AP9124"/>
      <c r="AQ9124"/>
      <c r="AR9124"/>
      <c r="AS9124"/>
      <c r="AT9124"/>
      <c r="AU9124"/>
      <c r="AV9124"/>
      <c r="AW9124"/>
      <c r="AX9124"/>
      <c r="AY9124"/>
      <c r="AZ9124"/>
      <c r="BA9124"/>
      <c r="BB9124"/>
      <c r="BC9124"/>
      <c r="BD9124"/>
      <c r="BE9124"/>
      <c r="BF9124"/>
    </row>
    <row r="9125" spans="13:58" ht="12" hidden="1" customHeight="1">
      <c r="M9125" s="820"/>
      <c r="N9125" s="239"/>
      <c r="O9125" s="225"/>
      <c r="P9125" s="260"/>
      <c r="Q9125" s="258"/>
      <c r="R9125" s="260"/>
      <c r="S9125" s="260"/>
      <c r="T9125" s="260"/>
      <c r="U9125" s="260"/>
      <c r="V9125" s="260"/>
      <c r="W9125" s="260"/>
      <c r="X9125" s="260"/>
      <c r="Y9125" s="260"/>
      <c r="Z9125" s="260"/>
      <c r="AA9125" s="260"/>
      <c r="AB9125" s="260"/>
      <c r="AC9125" s="260"/>
      <c r="AD9125" s="260"/>
      <c r="AE9125" s="260"/>
      <c r="AF9125" s="260"/>
      <c r="AG9125" s="258"/>
      <c r="AO9125"/>
      <c r="AP9125"/>
      <c r="AQ9125"/>
      <c r="AR9125"/>
      <c r="AS9125"/>
      <c r="AT9125"/>
      <c r="AU9125"/>
      <c r="AV9125"/>
      <c r="AW9125"/>
      <c r="AX9125"/>
      <c r="AY9125"/>
      <c r="AZ9125"/>
      <c r="BA9125"/>
      <c r="BB9125"/>
      <c r="BC9125"/>
      <c r="BD9125"/>
      <c r="BE9125"/>
      <c r="BF9125"/>
    </row>
    <row r="9126" spans="13:58" ht="12" hidden="1" customHeight="1">
      <c r="M9126" s="820"/>
      <c r="N9126" s="239"/>
      <c r="O9126" s="225"/>
      <c r="P9126" s="260"/>
      <c r="Q9126" s="258"/>
      <c r="R9126" s="260"/>
      <c r="S9126" s="260"/>
      <c r="T9126" s="260"/>
      <c r="U9126" s="260"/>
      <c r="V9126" s="260"/>
      <c r="W9126" s="260"/>
      <c r="X9126" s="260"/>
      <c r="Y9126" s="260"/>
      <c r="Z9126" s="260"/>
      <c r="AA9126" s="260"/>
      <c r="AB9126" s="260"/>
      <c r="AC9126" s="260"/>
      <c r="AD9126" s="260"/>
      <c r="AE9126" s="260"/>
      <c r="AF9126" s="260"/>
      <c r="AG9126" s="258"/>
      <c r="AO9126"/>
      <c r="AP9126"/>
      <c r="AQ9126"/>
      <c r="AR9126"/>
      <c r="AS9126"/>
      <c r="AT9126"/>
      <c r="AU9126"/>
      <c r="AV9126"/>
      <c r="AW9126"/>
      <c r="AX9126"/>
      <c r="AY9126"/>
      <c r="AZ9126"/>
      <c r="BA9126"/>
      <c r="BB9126"/>
      <c r="BC9126"/>
      <c r="BD9126"/>
      <c r="BE9126"/>
      <c r="BF9126"/>
    </row>
    <row r="9127" spans="13:58" ht="12" hidden="1" customHeight="1">
      <c r="M9127" s="820"/>
      <c r="N9127" s="239"/>
      <c r="O9127" s="225"/>
      <c r="P9127" s="260"/>
      <c r="Q9127" s="258"/>
      <c r="R9127" s="260"/>
      <c r="S9127" s="260"/>
      <c r="T9127" s="260"/>
      <c r="U9127" s="260"/>
      <c r="V9127" s="260"/>
      <c r="W9127" s="260"/>
      <c r="X9127" s="260"/>
      <c r="Y9127" s="260"/>
      <c r="Z9127" s="260"/>
      <c r="AA9127" s="260"/>
      <c r="AB9127" s="260"/>
      <c r="AC9127" s="260"/>
      <c r="AD9127" s="260"/>
      <c r="AE9127" s="260"/>
      <c r="AF9127" s="260"/>
      <c r="AG9127" s="258"/>
      <c r="AO9127"/>
      <c r="AP9127"/>
      <c r="AQ9127"/>
      <c r="AR9127"/>
      <c r="AS9127"/>
      <c r="AT9127"/>
      <c r="AU9127"/>
      <c r="AV9127"/>
      <c r="AW9127"/>
      <c r="AX9127"/>
      <c r="AY9127"/>
      <c r="AZ9127"/>
      <c r="BA9127"/>
      <c r="BB9127"/>
      <c r="BC9127"/>
      <c r="BD9127"/>
      <c r="BE9127"/>
      <c r="BF9127"/>
    </row>
    <row r="9128" spans="13:58" ht="12" hidden="1" customHeight="1">
      <c r="M9128" s="820"/>
      <c r="N9128" s="239"/>
      <c r="O9128" s="225"/>
      <c r="P9128" s="260"/>
      <c r="Q9128" s="258"/>
      <c r="R9128" s="260"/>
      <c r="S9128" s="260"/>
      <c r="T9128" s="260"/>
      <c r="U9128" s="260"/>
      <c r="V9128" s="260"/>
      <c r="W9128" s="260"/>
      <c r="X9128" s="260"/>
      <c r="Y9128" s="260"/>
      <c r="Z9128" s="260"/>
      <c r="AA9128" s="260"/>
      <c r="AB9128" s="260"/>
      <c r="AC9128" s="260"/>
      <c r="AD9128" s="260"/>
      <c r="AE9128" s="260"/>
      <c r="AF9128" s="260"/>
      <c r="AG9128" s="258"/>
      <c r="AO9128"/>
      <c r="AP9128"/>
      <c r="AQ9128"/>
      <c r="AR9128"/>
      <c r="AS9128"/>
      <c r="AT9128"/>
      <c r="AU9128"/>
      <c r="AV9128"/>
      <c r="AW9128"/>
      <c r="AX9128"/>
      <c r="AY9128"/>
      <c r="AZ9128"/>
      <c r="BA9128"/>
      <c r="BB9128"/>
      <c r="BC9128"/>
      <c r="BD9128"/>
      <c r="BE9128"/>
      <c r="BF9128"/>
    </row>
    <row r="9129" spans="13:58" ht="12" hidden="1" customHeight="1">
      <c r="M9129" s="820"/>
      <c r="N9129" s="239"/>
      <c r="O9129" s="225"/>
      <c r="P9129" s="260"/>
      <c r="Q9129" s="258"/>
      <c r="R9129" s="260"/>
      <c r="S9129" s="260"/>
      <c r="T9129" s="260"/>
      <c r="U9129" s="260"/>
      <c r="V9129" s="260"/>
      <c r="W9129" s="260"/>
      <c r="X9129" s="260"/>
      <c r="Y9129" s="260"/>
      <c r="Z9129" s="260"/>
      <c r="AA9129" s="260"/>
      <c r="AB9129" s="260"/>
      <c r="AC9129" s="260"/>
      <c r="AD9129" s="260"/>
      <c r="AE9129" s="260"/>
      <c r="AF9129" s="260"/>
      <c r="AG9129" s="258"/>
      <c r="AO9129"/>
      <c r="AP9129"/>
      <c r="AQ9129"/>
      <c r="AR9129"/>
      <c r="AS9129"/>
      <c r="AT9129"/>
      <c r="AU9129"/>
      <c r="AV9129"/>
      <c r="AW9129"/>
      <c r="AX9129"/>
      <c r="AY9129"/>
      <c r="AZ9129"/>
      <c r="BA9129"/>
      <c r="BB9129"/>
      <c r="BC9129"/>
      <c r="BD9129"/>
      <c r="BE9129"/>
      <c r="BF9129"/>
    </row>
    <row r="9130" spans="13:58" ht="12" hidden="1" customHeight="1">
      <c r="M9130" s="820"/>
      <c r="N9130" s="239"/>
      <c r="O9130" s="225"/>
      <c r="P9130" s="260"/>
      <c r="Q9130" s="258"/>
      <c r="R9130" s="260"/>
      <c r="S9130" s="260"/>
      <c r="T9130" s="260"/>
      <c r="U9130" s="260"/>
      <c r="V9130" s="260"/>
      <c r="W9130" s="260"/>
      <c r="X9130" s="260"/>
      <c r="Y9130" s="260"/>
      <c r="Z9130" s="260"/>
      <c r="AA9130" s="260"/>
      <c r="AB9130" s="260"/>
      <c r="AC9130" s="260"/>
      <c r="AD9130" s="260"/>
      <c r="AE9130" s="260"/>
      <c r="AF9130" s="260"/>
      <c r="AG9130" s="258"/>
      <c r="AO9130"/>
      <c r="AP9130"/>
      <c r="AQ9130"/>
      <c r="AR9130"/>
      <c r="AS9130"/>
      <c r="AT9130"/>
      <c r="AU9130"/>
      <c r="AV9130"/>
      <c r="AW9130"/>
      <c r="AX9130"/>
      <c r="AY9130"/>
      <c r="AZ9130"/>
      <c r="BA9130"/>
      <c r="BB9130"/>
      <c r="BC9130"/>
      <c r="BD9130"/>
      <c r="BE9130"/>
      <c r="BF9130"/>
    </row>
    <row r="9131" spans="13:58" ht="12" hidden="1" customHeight="1">
      <c r="M9131" s="820"/>
      <c r="N9131" s="239"/>
      <c r="O9131" s="225"/>
      <c r="P9131" s="260"/>
      <c r="Q9131" s="258"/>
      <c r="R9131" s="260"/>
      <c r="S9131" s="260"/>
      <c r="T9131" s="260"/>
      <c r="U9131" s="260"/>
      <c r="V9131" s="260"/>
      <c r="W9131" s="260"/>
      <c r="X9131" s="260"/>
      <c r="Y9131" s="260"/>
      <c r="Z9131" s="260"/>
      <c r="AA9131" s="260"/>
      <c r="AB9131" s="260"/>
      <c r="AC9131" s="260"/>
      <c r="AD9131" s="260"/>
      <c r="AE9131" s="260"/>
      <c r="AF9131" s="260"/>
      <c r="AG9131" s="258"/>
      <c r="AO9131"/>
      <c r="AP9131"/>
      <c r="AQ9131"/>
      <c r="AR9131"/>
      <c r="AS9131"/>
      <c r="AT9131"/>
      <c r="AU9131"/>
      <c r="AV9131"/>
      <c r="AW9131"/>
      <c r="AX9131"/>
      <c r="AY9131"/>
      <c r="AZ9131"/>
      <c r="BA9131"/>
      <c r="BB9131"/>
      <c r="BC9131"/>
      <c r="BD9131"/>
      <c r="BE9131"/>
      <c r="BF9131"/>
    </row>
    <row r="9132" spans="13:58" ht="12" hidden="1" customHeight="1">
      <c r="M9132" s="820"/>
      <c r="N9132" s="239"/>
      <c r="O9132" s="225"/>
      <c r="P9132" s="260"/>
      <c r="Q9132" s="258"/>
      <c r="R9132" s="260"/>
      <c r="S9132" s="260"/>
      <c r="T9132" s="260"/>
      <c r="U9132" s="260"/>
      <c r="V9132" s="260"/>
      <c r="W9132" s="260"/>
      <c r="X9132" s="260"/>
      <c r="Y9132" s="260"/>
      <c r="Z9132" s="260"/>
      <c r="AA9132" s="260"/>
      <c r="AB9132" s="260"/>
      <c r="AC9132" s="260"/>
      <c r="AD9132" s="260"/>
      <c r="AE9132" s="260"/>
      <c r="AF9132" s="260"/>
      <c r="AG9132" s="258"/>
      <c r="AO9132"/>
      <c r="AP9132"/>
      <c r="AQ9132"/>
      <c r="AR9132"/>
      <c r="AS9132"/>
      <c r="AT9132"/>
      <c r="AU9132"/>
      <c r="AV9132"/>
      <c r="AW9132"/>
      <c r="AX9132"/>
      <c r="AY9132"/>
      <c r="AZ9132"/>
      <c r="BA9132"/>
      <c r="BB9132"/>
      <c r="BC9132"/>
      <c r="BD9132"/>
      <c r="BE9132"/>
      <c r="BF9132"/>
    </row>
    <row r="9133" spans="13:58" ht="12" hidden="1" customHeight="1">
      <c r="M9133" s="820"/>
      <c r="N9133" s="239"/>
      <c r="O9133" s="225"/>
      <c r="P9133" s="260"/>
      <c r="Q9133" s="258"/>
      <c r="R9133" s="260"/>
      <c r="S9133" s="260"/>
      <c r="T9133" s="260"/>
      <c r="U9133" s="260"/>
      <c r="V9133" s="260"/>
      <c r="W9133" s="260"/>
      <c r="X9133" s="260"/>
      <c r="Y9133" s="260"/>
      <c r="Z9133" s="260"/>
      <c r="AA9133" s="260"/>
      <c r="AB9133" s="260"/>
      <c r="AC9133" s="260"/>
      <c r="AD9133" s="260"/>
      <c r="AE9133" s="260"/>
      <c r="AF9133" s="260"/>
      <c r="AG9133" s="258"/>
      <c r="AO9133"/>
      <c r="AP9133"/>
      <c r="AQ9133"/>
      <c r="AR9133"/>
      <c r="AS9133"/>
      <c r="AT9133"/>
      <c r="AU9133"/>
      <c r="AV9133"/>
      <c r="AW9133"/>
      <c r="AX9133"/>
      <c r="AY9133"/>
      <c r="AZ9133"/>
      <c r="BA9133"/>
      <c r="BB9133"/>
      <c r="BC9133"/>
      <c r="BD9133"/>
      <c r="BE9133"/>
      <c r="BF9133"/>
    </row>
    <row r="9134" spans="13:58" ht="12" hidden="1" customHeight="1">
      <c r="M9134" s="820"/>
      <c r="N9134" s="239"/>
      <c r="O9134" s="225"/>
      <c r="P9134" s="260"/>
      <c r="Q9134" s="258"/>
      <c r="R9134" s="260"/>
      <c r="S9134" s="260"/>
      <c r="T9134" s="260"/>
      <c r="U9134" s="260"/>
      <c r="V9134" s="260"/>
      <c r="W9134" s="260"/>
      <c r="X9134" s="260"/>
      <c r="Y9134" s="260"/>
      <c r="Z9134" s="260"/>
      <c r="AA9134" s="260"/>
      <c r="AB9134" s="260"/>
      <c r="AC9134" s="260"/>
      <c r="AD9134" s="260"/>
      <c r="AE9134" s="260"/>
      <c r="AF9134" s="260"/>
      <c r="AG9134" s="258"/>
      <c r="AO9134"/>
      <c r="AP9134"/>
      <c r="AQ9134"/>
      <c r="AR9134"/>
      <c r="AS9134"/>
      <c r="AT9134"/>
      <c r="AU9134"/>
      <c r="AV9134"/>
      <c r="AW9134"/>
      <c r="AX9134"/>
      <c r="AY9134"/>
      <c r="AZ9134"/>
      <c r="BA9134"/>
      <c r="BB9134"/>
      <c r="BC9134"/>
      <c r="BD9134"/>
      <c r="BE9134"/>
      <c r="BF9134"/>
    </row>
    <row r="9135" spans="13:58" ht="12" hidden="1" customHeight="1">
      <c r="M9135" s="820"/>
      <c r="N9135" s="239"/>
      <c r="O9135" s="225"/>
      <c r="P9135" s="260"/>
      <c r="Q9135" s="258"/>
      <c r="R9135" s="260"/>
      <c r="S9135" s="260"/>
      <c r="T9135" s="260"/>
      <c r="U9135" s="260"/>
      <c r="V9135" s="260"/>
      <c r="W9135" s="260"/>
      <c r="X9135" s="260"/>
      <c r="Y9135" s="260"/>
      <c r="Z9135" s="260"/>
      <c r="AA9135" s="260"/>
      <c r="AB9135" s="260"/>
      <c r="AC9135" s="260"/>
      <c r="AD9135" s="260"/>
      <c r="AE9135" s="260"/>
      <c r="AF9135" s="260"/>
      <c r="AG9135" s="258"/>
      <c r="AO9135"/>
      <c r="AP9135"/>
      <c r="AQ9135"/>
      <c r="AR9135"/>
      <c r="AS9135"/>
      <c r="AT9135"/>
      <c r="AU9135"/>
      <c r="AV9135"/>
      <c r="AW9135"/>
      <c r="AX9135"/>
      <c r="AY9135"/>
      <c r="AZ9135"/>
      <c r="BA9135"/>
      <c r="BB9135"/>
      <c r="BC9135"/>
      <c r="BD9135"/>
      <c r="BE9135"/>
      <c r="BF9135"/>
    </row>
    <row r="9136" spans="13:58" ht="12" hidden="1" customHeight="1">
      <c r="M9136" s="820"/>
      <c r="N9136" s="239"/>
      <c r="O9136" s="225"/>
      <c r="P9136" s="260"/>
      <c r="Q9136" s="258"/>
      <c r="R9136" s="260"/>
      <c r="S9136" s="260"/>
      <c r="T9136" s="260"/>
      <c r="U9136" s="260"/>
      <c r="V9136" s="260"/>
      <c r="W9136" s="260"/>
      <c r="X9136" s="260"/>
      <c r="Y9136" s="260"/>
      <c r="Z9136" s="260"/>
      <c r="AA9136" s="260"/>
      <c r="AB9136" s="260"/>
      <c r="AC9136" s="260"/>
      <c r="AD9136" s="260"/>
      <c r="AE9136" s="260"/>
      <c r="AF9136" s="260"/>
      <c r="AG9136" s="258"/>
      <c r="AO9136"/>
      <c r="AP9136"/>
      <c r="AQ9136"/>
      <c r="AR9136"/>
      <c r="AS9136"/>
      <c r="AT9136"/>
      <c r="AU9136"/>
      <c r="AV9136"/>
      <c r="AW9136"/>
      <c r="AX9136"/>
      <c r="AY9136"/>
      <c r="AZ9136"/>
      <c r="BA9136"/>
      <c r="BB9136"/>
      <c r="BC9136"/>
      <c r="BD9136"/>
      <c r="BE9136"/>
      <c r="BF9136"/>
    </row>
    <row r="9137" spans="13:58" ht="12" hidden="1" customHeight="1">
      <c r="M9137" s="820"/>
      <c r="N9137" s="239"/>
      <c r="O9137" s="225"/>
      <c r="P9137" s="260"/>
      <c r="Q9137" s="258"/>
      <c r="R9137" s="260"/>
      <c r="S9137" s="260"/>
      <c r="T9137" s="260"/>
      <c r="U9137" s="260"/>
      <c r="V9137" s="260"/>
      <c r="W9137" s="260"/>
      <c r="X9137" s="260"/>
      <c r="Y9137" s="260"/>
      <c r="Z9137" s="260"/>
      <c r="AA9137" s="260"/>
      <c r="AB9137" s="260"/>
      <c r="AC9137" s="260"/>
      <c r="AD9137" s="260"/>
      <c r="AE9137" s="260"/>
      <c r="AF9137" s="260"/>
      <c r="AG9137" s="258"/>
      <c r="AO9137"/>
      <c r="AP9137"/>
      <c r="AQ9137"/>
      <c r="AR9137"/>
      <c r="AS9137"/>
      <c r="AT9137"/>
      <c r="AU9137"/>
      <c r="AV9137"/>
      <c r="AW9137"/>
      <c r="AX9137"/>
      <c r="AY9137"/>
      <c r="AZ9137"/>
      <c r="BA9137"/>
      <c r="BB9137"/>
      <c r="BC9137"/>
      <c r="BD9137"/>
      <c r="BE9137"/>
      <c r="BF9137"/>
    </row>
    <row r="9138" spans="13:58" ht="12" hidden="1" customHeight="1">
      <c r="M9138" s="820"/>
      <c r="N9138" s="239"/>
      <c r="O9138" s="225"/>
      <c r="P9138" s="260"/>
      <c r="Q9138" s="258"/>
      <c r="R9138" s="260"/>
      <c r="S9138" s="260"/>
      <c r="T9138" s="260"/>
      <c r="U9138" s="260"/>
      <c r="V9138" s="260"/>
      <c r="W9138" s="260"/>
      <c r="X9138" s="260"/>
      <c r="Y9138" s="260"/>
      <c r="Z9138" s="260"/>
      <c r="AA9138" s="260"/>
      <c r="AB9138" s="260"/>
      <c r="AC9138" s="260"/>
      <c r="AD9138" s="260"/>
      <c r="AE9138" s="260"/>
      <c r="AF9138" s="260"/>
      <c r="AG9138" s="258"/>
      <c r="AO9138"/>
      <c r="AP9138"/>
      <c r="AQ9138"/>
      <c r="AR9138"/>
      <c r="AS9138"/>
      <c r="AT9138"/>
      <c r="AU9138"/>
      <c r="AV9138"/>
      <c r="AW9138"/>
      <c r="AX9138"/>
      <c r="AY9138"/>
      <c r="AZ9138"/>
      <c r="BA9138"/>
      <c r="BB9138"/>
      <c r="BC9138"/>
      <c r="BD9138"/>
      <c r="BE9138"/>
      <c r="BF9138"/>
    </row>
    <row r="9139" spans="13:58" ht="12" hidden="1" customHeight="1">
      <c r="M9139" s="820"/>
      <c r="N9139" s="239"/>
      <c r="O9139" s="225"/>
      <c r="P9139" s="260"/>
      <c r="Q9139" s="258"/>
      <c r="R9139" s="260"/>
      <c r="S9139" s="260"/>
      <c r="T9139" s="260"/>
      <c r="U9139" s="260"/>
      <c r="V9139" s="260"/>
      <c r="W9139" s="260"/>
      <c r="X9139" s="260"/>
      <c r="Y9139" s="260"/>
      <c r="Z9139" s="260"/>
      <c r="AA9139" s="260"/>
      <c r="AB9139" s="260"/>
      <c r="AC9139" s="260"/>
      <c r="AD9139" s="260"/>
      <c r="AE9139" s="260"/>
      <c r="AF9139" s="260"/>
      <c r="AG9139" s="258"/>
      <c r="AO9139"/>
      <c r="AP9139"/>
      <c r="AQ9139"/>
      <c r="AR9139"/>
      <c r="AS9139"/>
      <c r="AT9139"/>
      <c r="AU9139"/>
      <c r="AV9139"/>
      <c r="AW9139"/>
      <c r="AX9139"/>
      <c r="AY9139"/>
      <c r="AZ9139"/>
      <c r="BA9139"/>
      <c r="BB9139"/>
      <c r="BC9139"/>
      <c r="BD9139"/>
      <c r="BE9139"/>
      <c r="BF9139"/>
    </row>
    <row r="9140" spans="13:58" ht="12" hidden="1" customHeight="1">
      <c r="M9140" s="820"/>
      <c r="N9140" s="239"/>
      <c r="O9140" s="225"/>
      <c r="P9140" s="260"/>
      <c r="Q9140" s="258"/>
      <c r="R9140" s="260"/>
      <c r="S9140" s="260"/>
      <c r="T9140" s="260"/>
      <c r="U9140" s="260"/>
      <c r="V9140" s="260"/>
      <c r="W9140" s="260"/>
      <c r="X9140" s="260"/>
      <c r="Y9140" s="260"/>
      <c r="Z9140" s="260"/>
      <c r="AA9140" s="260"/>
      <c r="AB9140" s="260"/>
      <c r="AC9140" s="260"/>
      <c r="AD9140" s="260"/>
      <c r="AE9140" s="260"/>
      <c r="AF9140" s="260"/>
      <c r="AG9140" s="258"/>
      <c r="AO9140"/>
      <c r="AP9140"/>
      <c r="AQ9140"/>
      <c r="AR9140"/>
      <c r="AS9140"/>
      <c r="AT9140"/>
      <c r="AU9140"/>
      <c r="AV9140"/>
      <c r="AW9140"/>
      <c r="AX9140"/>
      <c r="AY9140"/>
      <c r="AZ9140"/>
      <c r="BA9140"/>
      <c r="BB9140"/>
      <c r="BC9140"/>
      <c r="BD9140"/>
      <c r="BE9140"/>
      <c r="BF9140"/>
    </row>
    <row r="9141" spans="13:58" ht="12" hidden="1" customHeight="1">
      <c r="M9141" s="820"/>
      <c r="N9141" s="239"/>
      <c r="O9141" s="225"/>
      <c r="P9141" s="260"/>
      <c r="Q9141" s="258"/>
      <c r="R9141" s="260"/>
      <c r="S9141" s="260"/>
      <c r="T9141" s="260"/>
      <c r="U9141" s="260"/>
      <c r="V9141" s="260"/>
      <c r="W9141" s="260"/>
      <c r="X9141" s="260"/>
      <c r="Y9141" s="260"/>
      <c r="Z9141" s="260"/>
      <c r="AA9141" s="260"/>
      <c r="AB9141" s="260"/>
      <c r="AC9141" s="260"/>
      <c r="AD9141" s="260"/>
      <c r="AE9141" s="260"/>
      <c r="AF9141" s="260"/>
      <c r="AG9141" s="258"/>
      <c r="AO9141"/>
      <c r="AP9141"/>
      <c r="AQ9141"/>
      <c r="AR9141"/>
      <c r="AS9141"/>
      <c r="AT9141"/>
      <c r="AU9141"/>
      <c r="AV9141"/>
      <c r="AW9141"/>
      <c r="AX9141"/>
      <c r="AY9141"/>
      <c r="AZ9141"/>
      <c r="BA9141"/>
      <c r="BB9141"/>
      <c r="BC9141"/>
      <c r="BD9141"/>
      <c r="BE9141"/>
      <c r="BF9141"/>
    </row>
    <row r="9142" spans="13:58" ht="12" hidden="1" customHeight="1">
      <c r="M9142" s="820"/>
      <c r="N9142" s="239"/>
      <c r="O9142" s="225"/>
      <c r="P9142" s="260"/>
      <c r="Q9142" s="258"/>
      <c r="R9142" s="260"/>
      <c r="S9142" s="260"/>
      <c r="T9142" s="260"/>
      <c r="U9142" s="260"/>
      <c r="V9142" s="260"/>
      <c r="W9142" s="260"/>
      <c r="X9142" s="260"/>
      <c r="Y9142" s="260"/>
      <c r="Z9142" s="260"/>
      <c r="AA9142" s="260"/>
      <c r="AB9142" s="260"/>
      <c r="AC9142" s="260"/>
      <c r="AD9142" s="260"/>
      <c r="AE9142" s="260"/>
      <c r="AF9142" s="260"/>
      <c r="AG9142" s="258"/>
      <c r="AO9142"/>
      <c r="AP9142"/>
      <c r="AQ9142"/>
      <c r="AR9142"/>
      <c r="AS9142"/>
      <c r="AT9142"/>
      <c r="AU9142"/>
      <c r="AV9142"/>
      <c r="AW9142"/>
      <c r="AX9142"/>
      <c r="AY9142"/>
      <c r="AZ9142"/>
      <c r="BA9142"/>
      <c r="BB9142"/>
      <c r="BC9142"/>
      <c r="BD9142"/>
      <c r="BE9142"/>
      <c r="BF9142"/>
    </row>
    <row r="9143" spans="13:58" ht="12" hidden="1" customHeight="1">
      <c r="M9143" s="820"/>
      <c r="N9143" s="239"/>
      <c r="O9143" s="225"/>
      <c r="P9143" s="260"/>
      <c r="Q9143" s="258"/>
      <c r="R9143" s="260"/>
      <c r="S9143" s="260"/>
      <c r="T9143" s="260"/>
      <c r="U9143" s="260"/>
      <c r="V9143" s="260"/>
      <c r="W9143" s="260"/>
      <c r="X9143" s="260"/>
      <c r="Y9143" s="260"/>
      <c r="Z9143" s="260"/>
      <c r="AA9143" s="260"/>
      <c r="AB9143" s="260"/>
      <c r="AC9143" s="260"/>
      <c r="AD9143" s="260"/>
      <c r="AE9143" s="260"/>
      <c r="AF9143" s="260"/>
      <c r="AG9143" s="258"/>
      <c r="AO9143"/>
      <c r="AP9143"/>
      <c r="AQ9143"/>
      <c r="AR9143"/>
      <c r="AS9143"/>
      <c r="AT9143"/>
      <c r="AU9143"/>
      <c r="AV9143"/>
      <c r="AW9143"/>
      <c r="AX9143"/>
      <c r="AY9143"/>
      <c r="AZ9143"/>
      <c r="BA9143"/>
      <c r="BB9143"/>
      <c r="BC9143"/>
      <c r="BD9143"/>
      <c r="BE9143"/>
      <c r="BF9143"/>
    </row>
    <row r="9144" spans="13:58" ht="12" hidden="1" customHeight="1">
      <c r="M9144" s="820"/>
      <c r="N9144" s="239"/>
      <c r="O9144" s="225"/>
      <c r="P9144" s="260"/>
      <c r="Q9144" s="258"/>
      <c r="R9144" s="260"/>
      <c r="S9144" s="260"/>
      <c r="T9144" s="260"/>
      <c r="U9144" s="260"/>
      <c r="V9144" s="260"/>
      <c r="W9144" s="260"/>
      <c r="X9144" s="260"/>
      <c r="Y9144" s="260"/>
      <c r="Z9144" s="260"/>
      <c r="AA9144" s="260"/>
      <c r="AB9144" s="260"/>
      <c r="AC9144" s="260"/>
      <c r="AD9144" s="260"/>
      <c r="AE9144" s="260"/>
      <c r="AF9144" s="260"/>
      <c r="AG9144" s="258"/>
      <c r="AO9144"/>
      <c r="AP9144"/>
      <c r="AQ9144"/>
      <c r="AR9144"/>
      <c r="AS9144"/>
      <c r="AT9144"/>
      <c r="AU9144"/>
      <c r="AV9144"/>
      <c r="AW9144"/>
      <c r="AX9144"/>
      <c r="AY9144"/>
      <c r="AZ9144"/>
      <c r="BA9144"/>
      <c r="BB9144"/>
      <c r="BC9144"/>
      <c r="BD9144"/>
      <c r="BE9144"/>
      <c r="BF9144"/>
    </row>
    <row r="9145" spans="13:58" ht="12" hidden="1" customHeight="1">
      <c r="M9145" s="820"/>
      <c r="N9145" s="239"/>
      <c r="O9145" s="225"/>
      <c r="P9145" s="260"/>
      <c r="Q9145" s="258"/>
      <c r="R9145" s="260"/>
      <c r="S9145" s="260"/>
      <c r="T9145" s="260"/>
      <c r="U9145" s="260"/>
      <c r="V9145" s="260"/>
      <c r="W9145" s="260"/>
      <c r="X9145" s="260"/>
      <c r="Y9145" s="260"/>
      <c r="Z9145" s="260"/>
      <c r="AA9145" s="260"/>
      <c r="AB9145" s="260"/>
      <c r="AC9145" s="260"/>
      <c r="AD9145" s="260"/>
      <c r="AE9145" s="260"/>
      <c r="AF9145" s="260"/>
      <c r="AG9145" s="258"/>
      <c r="AO9145"/>
      <c r="AP9145"/>
      <c r="AQ9145"/>
      <c r="AR9145"/>
      <c r="AS9145"/>
      <c r="AT9145"/>
      <c r="AU9145"/>
      <c r="AV9145"/>
      <c r="AW9145"/>
      <c r="AX9145"/>
      <c r="AY9145"/>
      <c r="AZ9145"/>
      <c r="BA9145"/>
      <c r="BB9145"/>
      <c r="BC9145"/>
      <c r="BD9145"/>
      <c r="BE9145"/>
      <c r="BF9145"/>
    </row>
    <row r="9146" spans="13:58" ht="12" hidden="1" customHeight="1">
      <c r="M9146" s="820"/>
      <c r="N9146" s="239"/>
      <c r="O9146" s="225"/>
      <c r="P9146" s="260"/>
      <c r="Q9146" s="258"/>
      <c r="R9146" s="260"/>
      <c r="S9146" s="260"/>
      <c r="T9146" s="260"/>
      <c r="U9146" s="260"/>
      <c r="V9146" s="260"/>
      <c r="W9146" s="260"/>
      <c r="X9146" s="260"/>
      <c r="Y9146" s="260"/>
      <c r="Z9146" s="260"/>
      <c r="AA9146" s="260"/>
      <c r="AB9146" s="260"/>
      <c r="AC9146" s="260"/>
      <c r="AD9146" s="260"/>
      <c r="AE9146" s="260"/>
      <c r="AF9146" s="260"/>
      <c r="AG9146" s="258"/>
      <c r="AO9146"/>
      <c r="AP9146"/>
      <c r="AQ9146"/>
      <c r="AR9146"/>
      <c r="AS9146"/>
      <c r="AT9146"/>
      <c r="AU9146"/>
      <c r="AV9146"/>
      <c r="AW9146"/>
      <c r="AX9146"/>
      <c r="AY9146"/>
      <c r="AZ9146"/>
      <c r="BA9146"/>
      <c r="BB9146"/>
      <c r="BC9146"/>
      <c r="BD9146"/>
      <c r="BE9146"/>
      <c r="BF9146"/>
    </row>
    <row r="9147" spans="13:58" ht="12" hidden="1" customHeight="1">
      <c r="M9147" s="820"/>
      <c r="N9147" s="239"/>
      <c r="O9147" s="225"/>
      <c r="P9147" s="260"/>
      <c r="Q9147" s="258"/>
      <c r="R9147" s="260"/>
      <c r="S9147" s="260"/>
      <c r="T9147" s="260"/>
      <c r="U9147" s="260"/>
      <c r="V9147" s="260"/>
      <c r="W9147" s="260"/>
      <c r="X9147" s="260"/>
      <c r="Y9147" s="260"/>
      <c r="Z9147" s="260"/>
      <c r="AA9147" s="260"/>
      <c r="AB9147" s="260"/>
      <c r="AC9147" s="260"/>
      <c r="AD9147" s="260"/>
      <c r="AE9147" s="260"/>
      <c r="AF9147" s="260"/>
      <c r="AG9147" s="258"/>
      <c r="AO9147"/>
      <c r="AP9147"/>
      <c r="AQ9147"/>
      <c r="AR9147"/>
      <c r="AS9147"/>
      <c r="AT9147"/>
      <c r="AU9147"/>
      <c r="AV9147"/>
      <c r="AW9147"/>
      <c r="AX9147"/>
      <c r="AY9147"/>
      <c r="AZ9147"/>
      <c r="BA9147"/>
      <c r="BB9147"/>
      <c r="BC9147"/>
      <c r="BD9147"/>
      <c r="BE9147"/>
      <c r="BF9147"/>
    </row>
    <row r="9148" spans="13:58" ht="12" hidden="1" customHeight="1">
      <c r="M9148" s="820"/>
      <c r="N9148" s="239"/>
      <c r="O9148" s="225"/>
      <c r="P9148" s="260"/>
      <c r="Q9148" s="258"/>
      <c r="R9148" s="260"/>
      <c r="S9148" s="260"/>
      <c r="T9148" s="260"/>
      <c r="U9148" s="260"/>
      <c r="V9148" s="260"/>
      <c r="W9148" s="260"/>
      <c r="X9148" s="260"/>
      <c r="Y9148" s="260"/>
      <c r="Z9148" s="260"/>
      <c r="AA9148" s="260"/>
      <c r="AB9148" s="260"/>
      <c r="AC9148" s="260"/>
      <c r="AD9148" s="260"/>
      <c r="AE9148" s="260"/>
      <c r="AF9148" s="260"/>
      <c r="AG9148" s="258"/>
      <c r="AO9148"/>
      <c r="AP9148"/>
      <c r="AQ9148"/>
      <c r="AR9148"/>
      <c r="AS9148"/>
      <c r="AT9148"/>
      <c r="AU9148"/>
      <c r="AV9148"/>
      <c r="AW9148"/>
      <c r="AX9148"/>
      <c r="AY9148"/>
      <c r="AZ9148"/>
      <c r="BA9148"/>
      <c r="BB9148"/>
      <c r="BC9148"/>
      <c r="BD9148"/>
      <c r="BE9148"/>
      <c r="BF9148"/>
    </row>
    <row r="9149" spans="13:58" ht="12" hidden="1" customHeight="1">
      <c r="M9149" s="820"/>
      <c r="N9149" s="239"/>
      <c r="O9149" s="225"/>
      <c r="P9149" s="260"/>
      <c r="Q9149" s="258"/>
      <c r="R9149" s="260"/>
      <c r="S9149" s="260"/>
      <c r="T9149" s="260"/>
      <c r="U9149" s="260"/>
      <c r="V9149" s="260"/>
      <c r="W9149" s="260"/>
      <c r="X9149" s="260"/>
      <c r="Y9149" s="260"/>
      <c r="Z9149" s="260"/>
      <c r="AA9149" s="260"/>
      <c r="AB9149" s="260"/>
      <c r="AC9149" s="260"/>
      <c r="AD9149" s="260"/>
      <c r="AE9149" s="260"/>
      <c r="AF9149" s="260"/>
      <c r="AG9149" s="258"/>
      <c r="AO9149"/>
      <c r="AP9149"/>
      <c r="AQ9149"/>
      <c r="AR9149"/>
      <c r="AS9149"/>
      <c r="AT9149"/>
      <c r="AU9149"/>
      <c r="AV9149"/>
      <c r="AW9149"/>
      <c r="AX9149"/>
      <c r="AY9149"/>
      <c r="AZ9149"/>
      <c r="BA9149"/>
      <c r="BB9149"/>
      <c r="BC9149"/>
      <c r="BD9149"/>
      <c r="BE9149"/>
      <c r="BF9149"/>
    </row>
    <row r="9150" spans="13:58" ht="12" hidden="1" customHeight="1">
      <c r="M9150" s="820"/>
      <c r="N9150" s="239"/>
      <c r="O9150" s="225"/>
      <c r="P9150" s="260"/>
      <c r="Q9150" s="258"/>
      <c r="R9150" s="260"/>
      <c r="S9150" s="260"/>
      <c r="T9150" s="260"/>
      <c r="U9150" s="260"/>
      <c r="V9150" s="260"/>
      <c r="W9150" s="260"/>
      <c r="X9150" s="260"/>
      <c r="Y9150" s="260"/>
      <c r="Z9150" s="260"/>
      <c r="AA9150" s="260"/>
      <c r="AB9150" s="260"/>
      <c r="AC9150" s="260"/>
      <c r="AD9150" s="260"/>
      <c r="AE9150" s="260"/>
      <c r="AF9150" s="260"/>
      <c r="AG9150" s="258"/>
      <c r="AO9150"/>
      <c r="AP9150"/>
      <c r="AQ9150"/>
      <c r="AR9150"/>
      <c r="AS9150"/>
      <c r="AT9150"/>
      <c r="AU9150"/>
      <c r="AV9150"/>
      <c r="AW9150"/>
      <c r="AX9150"/>
      <c r="AY9150"/>
      <c r="AZ9150"/>
      <c r="BA9150"/>
      <c r="BB9150"/>
      <c r="BC9150"/>
      <c r="BD9150"/>
      <c r="BE9150"/>
      <c r="BF9150"/>
    </row>
    <row r="9151" spans="13:58" ht="12" hidden="1" customHeight="1">
      <c r="M9151" s="820"/>
      <c r="N9151" s="239"/>
      <c r="O9151" s="225"/>
      <c r="P9151" s="260"/>
      <c r="Q9151" s="258"/>
      <c r="R9151" s="260"/>
      <c r="S9151" s="260"/>
      <c r="T9151" s="260"/>
      <c r="U9151" s="260"/>
      <c r="V9151" s="260"/>
      <c r="W9151" s="260"/>
      <c r="X9151" s="260"/>
      <c r="Y9151" s="260"/>
      <c r="Z9151" s="260"/>
      <c r="AA9151" s="260"/>
      <c r="AB9151" s="260"/>
      <c r="AC9151" s="260"/>
      <c r="AD9151" s="260"/>
      <c r="AE9151" s="260"/>
      <c r="AF9151" s="260"/>
      <c r="AG9151" s="258"/>
      <c r="AO9151"/>
      <c r="AP9151"/>
      <c r="AQ9151"/>
      <c r="AR9151"/>
      <c r="AS9151"/>
      <c r="AT9151"/>
      <c r="AU9151"/>
      <c r="AV9151"/>
      <c r="AW9151"/>
      <c r="AX9151"/>
      <c r="AY9151"/>
      <c r="AZ9151"/>
      <c r="BA9151"/>
      <c r="BB9151"/>
      <c r="BC9151"/>
      <c r="BD9151"/>
      <c r="BE9151"/>
      <c r="BF9151"/>
    </row>
    <row r="9152" spans="13:58" ht="12" hidden="1" customHeight="1">
      <c r="M9152" s="820"/>
      <c r="N9152" s="239"/>
      <c r="O9152" s="225"/>
      <c r="P9152" s="260"/>
      <c r="Q9152" s="258"/>
      <c r="R9152" s="260"/>
      <c r="S9152" s="260"/>
      <c r="T9152" s="260"/>
      <c r="U9152" s="260"/>
      <c r="V9152" s="260"/>
      <c r="W9152" s="260"/>
      <c r="X9152" s="260"/>
      <c r="Y9152" s="260"/>
      <c r="Z9152" s="260"/>
      <c r="AA9152" s="260"/>
      <c r="AB9152" s="260"/>
      <c r="AC9152" s="260"/>
      <c r="AD9152" s="260"/>
      <c r="AE9152" s="260"/>
      <c r="AF9152" s="260"/>
      <c r="AG9152" s="258"/>
      <c r="AO9152"/>
      <c r="AP9152"/>
      <c r="AQ9152"/>
      <c r="AR9152"/>
      <c r="AS9152"/>
      <c r="AT9152"/>
      <c r="AU9152"/>
      <c r="AV9152"/>
      <c r="AW9152"/>
      <c r="AX9152"/>
      <c r="AY9152"/>
      <c r="AZ9152"/>
      <c r="BA9152"/>
      <c r="BB9152"/>
      <c r="BC9152"/>
      <c r="BD9152"/>
      <c r="BE9152"/>
      <c r="BF9152"/>
    </row>
    <row r="9153" spans="13:58" ht="12" hidden="1" customHeight="1">
      <c r="M9153" s="820"/>
      <c r="N9153" s="239"/>
      <c r="O9153" s="225"/>
      <c r="P9153" s="260"/>
      <c r="Q9153" s="258"/>
      <c r="R9153" s="260"/>
      <c r="S9153" s="260"/>
      <c r="T9153" s="260"/>
      <c r="U9153" s="260"/>
      <c r="V9153" s="260"/>
      <c r="W9153" s="260"/>
      <c r="X9153" s="260"/>
      <c r="Y9153" s="260"/>
      <c r="Z9153" s="260"/>
      <c r="AA9153" s="260"/>
      <c r="AB9153" s="260"/>
      <c r="AC9153" s="260"/>
      <c r="AD9153" s="260"/>
      <c r="AE9153" s="260"/>
      <c r="AF9153" s="260"/>
      <c r="AG9153" s="258"/>
      <c r="AO9153"/>
      <c r="AP9153"/>
      <c r="AQ9153"/>
      <c r="AR9153"/>
      <c r="AS9153"/>
      <c r="AT9153"/>
      <c r="AU9153"/>
      <c r="AV9153"/>
      <c r="AW9153"/>
      <c r="AX9153"/>
      <c r="AY9153"/>
      <c r="AZ9153"/>
      <c r="BA9153"/>
      <c r="BB9153"/>
      <c r="BC9153"/>
      <c r="BD9153"/>
      <c r="BE9153"/>
      <c r="BF9153"/>
    </row>
    <row r="9154" spans="13:58" ht="12" hidden="1" customHeight="1">
      <c r="M9154" s="820"/>
      <c r="N9154" s="239"/>
      <c r="O9154" s="225"/>
      <c r="P9154" s="260"/>
      <c r="Q9154" s="258"/>
      <c r="R9154" s="260"/>
      <c r="S9154" s="260"/>
      <c r="T9154" s="260"/>
      <c r="U9154" s="260"/>
      <c r="V9154" s="260"/>
      <c r="W9154" s="260"/>
      <c r="X9154" s="260"/>
      <c r="Y9154" s="260"/>
      <c r="Z9154" s="260"/>
      <c r="AA9154" s="260"/>
      <c r="AB9154" s="260"/>
      <c r="AC9154" s="260"/>
      <c r="AD9154" s="260"/>
      <c r="AE9154" s="260"/>
      <c r="AF9154" s="260"/>
      <c r="AG9154" s="258"/>
      <c r="AO9154"/>
      <c r="AP9154"/>
      <c r="AQ9154"/>
      <c r="AR9154"/>
      <c r="AS9154"/>
      <c r="AT9154"/>
      <c r="AU9154"/>
      <c r="AV9154"/>
      <c r="AW9154"/>
      <c r="AX9154"/>
      <c r="AY9154"/>
      <c r="AZ9154"/>
      <c r="BA9154"/>
      <c r="BB9154"/>
      <c r="BC9154"/>
      <c r="BD9154"/>
      <c r="BE9154"/>
      <c r="BF9154"/>
    </row>
    <row r="9155" spans="13:58" ht="12" hidden="1" customHeight="1">
      <c r="M9155" s="820"/>
      <c r="N9155" s="239"/>
      <c r="O9155" s="225"/>
      <c r="P9155" s="260"/>
      <c r="Q9155" s="258"/>
      <c r="R9155" s="260"/>
      <c r="S9155" s="260"/>
      <c r="T9155" s="260"/>
      <c r="U9155" s="260"/>
      <c r="V9155" s="260"/>
      <c r="W9155" s="260"/>
      <c r="X9155" s="260"/>
      <c r="Y9155" s="260"/>
      <c r="Z9155" s="260"/>
      <c r="AA9155" s="260"/>
      <c r="AB9155" s="260"/>
      <c r="AC9155" s="260"/>
      <c r="AD9155" s="260"/>
      <c r="AE9155" s="260"/>
      <c r="AF9155" s="260"/>
      <c r="AG9155" s="258"/>
      <c r="AO9155"/>
      <c r="AP9155"/>
      <c r="AQ9155"/>
      <c r="AR9155"/>
      <c r="AS9155"/>
      <c r="AT9155"/>
      <c r="AU9155"/>
      <c r="AV9155"/>
      <c r="AW9155"/>
      <c r="AX9155"/>
      <c r="AY9155"/>
      <c r="AZ9155"/>
      <c r="BA9155"/>
      <c r="BB9155"/>
      <c r="BC9155"/>
      <c r="BD9155"/>
      <c r="BE9155"/>
      <c r="BF9155"/>
    </row>
    <row r="9156" spans="13:58" ht="12" hidden="1" customHeight="1">
      <c r="M9156" s="820"/>
      <c r="N9156" s="239"/>
      <c r="O9156" s="225"/>
      <c r="P9156" s="260"/>
      <c r="Q9156" s="258"/>
      <c r="R9156" s="260"/>
      <c r="S9156" s="260"/>
      <c r="T9156" s="260"/>
      <c r="U9156" s="260"/>
      <c r="V9156" s="260"/>
      <c r="W9156" s="260"/>
      <c r="X9156" s="260"/>
      <c r="Y9156" s="260"/>
      <c r="Z9156" s="260"/>
      <c r="AA9156" s="260"/>
      <c r="AB9156" s="260"/>
      <c r="AC9156" s="260"/>
      <c r="AD9156" s="260"/>
      <c r="AE9156" s="260"/>
      <c r="AF9156" s="260"/>
      <c r="AG9156" s="258"/>
      <c r="AO9156"/>
      <c r="AP9156"/>
      <c r="AQ9156"/>
      <c r="AR9156"/>
      <c r="AS9156"/>
      <c r="AT9156"/>
      <c r="AU9156"/>
      <c r="AV9156"/>
      <c r="AW9156"/>
      <c r="AX9156"/>
      <c r="AY9156"/>
      <c r="AZ9156"/>
      <c r="BA9156"/>
      <c r="BB9156"/>
      <c r="BC9156"/>
      <c r="BD9156"/>
      <c r="BE9156"/>
      <c r="BF9156"/>
    </row>
    <row r="9157" spans="13:58" ht="12" hidden="1" customHeight="1">
      <c r="M9157" s="820"/>
      <c r="N9157" s="239"/>
      <c r="O9157" s="225"/>
      <c r="P9157" s="260"/>
      <c r="Q9157" s="258"/>
      <c r="R9157" s="260"/>
      <c r="S9157" s="260"/>
      <c r="T9157" s="260"/>
      <c r="U9157" s="260"/>
      <c r="V9157" s="260"/>
      <c r="W9157" s="260"/>
      <c r="X9157" s="260"/>
      <c r="Y9157" s="260"/>
      <c r="Z9157" s="260"/>
      <c r="AA9157" s="260"/>
      <c r="AB9157" s="260"/>
      <c r="AC9157" s="260"/>
      <c r="AD9157" s="260"/>
      <c r="AE9157" s="260"/>
      <c r="AF9157" s="260"/>
      <c r="AG9157" s="258"/>
      <c r="AO9157"/>
      <c r="AP9157"/>
      <c r="AQ9157"/>
      <c r="AR9157"/>
      <c r="AS9157"/>
      <c r="AT9157"/>
      <c r="AU9157"/>
      <c r="AV9157"/>
      <c r="AW9157"/>
      <c r="AX9157"/>
      <c r="AY9157"/>
      <c r="AZ9157"/>
      <c r="BA9157"/>
      <c r="BB9157"/>
      <c r="BC9157"/>
      <c r="BD9157"/>
      <c r="BE9157"/>
      <c r="BF9157"/>
    </row>
    <row r="9158" spans="13:58" ht="12" hidden="1" customHeight="1">
      <c r="M9158" s="820"/>
      <c r="N9158" s="239"/>
      <c r="O9158" s="225"/>
      <c r="P9158" s="260"/>
      <c r="Q9158" s="258"/>
      <c r="R9158" s="260"/>
      <c r="S9158" s="260"/>
      <c r="T9158" s="260"/>
      <c r="U9158" s="260"/>
      <c r="V9158" s="260"/>
      <c r="W9158" s="260"/>
      <c r="X9158" s="260"/>
      <c r="Y9158" s="260"/>
      <c r="Z9158" s="260"/>
      <c r="AA9158" s="260"/>
      <c r="AB9158" s="260"/>
      <c r="AC9158" s="260"/>
      <c r="AD9158" s="260"/>
      <c r="AE9158" s="260"/>
      <c r="AF9158" s="260"/>
      <c r="AG9158" s="258"/>
      <c r="AO9158"/>
      <c r="AP9158"/>
      <c r="AQ9158"/>
      <c r="AR9158"/>
      <c r="AS9158"/>
      <c r="AT9158"/>
      <c r="AU9158"/>
      <c r="AV9158"/>
      <c r="AW9158"/>
      <c r="AX9158"/>
      <c r="AY9158"/>
      <c r="AZ9158"/>
      <c r="BA9158"/>
      <c r="BB9158"/>
      <c r="BC9158"/>
      <c r="BD9158"/>
      <c r="BE9158"/>
      <c r="BF9158"/>
    </row>
    <row r="9159" spans="13:58" ht="12" hidden="1" customHeight="1">
      <c r="M9159" s="820"/>
      <c r="N9159" s="239"/>
      <c r="O9159" s="225"/>
      <c r="P9159" s="260"/>
      <c r="Q9159" s="258"/>
      <c r="R9159" s="260"/>
      <c r="S9159" s="260"/>
      <c r="T9159" s="260"/>
      <c r="U9159" s="260"/>
      <c r="V9159" s="260"/>
      <c r="W9159" s="260"/>
      <c r="X9159" s="260"/>
      <c r="Y9159" s="260"/>
      <c r="Z9159" s="260"/>
      <c r="AA9159" s="260"/>
      <c r="AB9159" s="260"/>
      <c r="AC9159" s="260"/>
      <c r="AD9159" s="260"/>
      <c r="AE9159" s="260"/>
      <c r="AF9159" s="260"/>
      <c r="AG9159" s="258"/>
      <c r="AO9159"/>
      <c r="AP9159"/>
      <c r="AQ9159"/>
      <c r="AR9159"/>
      <c r="AS9159"/>
      <c r="AT9159"/>
      <c r="AU9159"/>
      <c r="AV9159"/>
      <c r="AW9159"/>
      <c r="AX9159"/>
      <c r="AY9159"/>
      <c r="AZ9159"/>
      <c r="BA9159"/>
      <c r="BB9159"/>
      <c r="BC9159"/>
      <c r="BD9159"/>
      <c r="BE9159"/>
      <c r="BF9159"/>
    </row>
    <row r="9160" spans="13:58" ht="12" hidden="1" customHeight="1">
      <c r="M9160" s="820"/>
      <c r="N9160" s="239"/>
      <c r="O9160" s="225"/>
      <c r="P9160" s="260"/>
      <c r="Q9160" s="258"/>
      <c r="R9160" s="260"/>
      <c r="S9160" s="260"/>
      <c r="T9160" s="260"/>
      <c r="U9160" s="260"/>
      <c r="V9160" s="260"/>
      <c r="W9160" s="260"/>
      <c r="X9160" s="260"/>
      <c r="Y9160" s="260"/>
      <c r="Z9160" s="260"/>
      <c r="AA9160" s="260"/>
      <c r="AB9160" s="260"/>
      <c r="AC9160" s="260"/>
      <c r="AD9160" s="260"/>
      <c r="AE9160" s="260"/>
      <c r="AF9160" s="260"/>
      <c r="AG9160" s="258"/>
      <c r="AO9160"/>
      <c r="AP9160"/>
      <c r="AQ9160"/>
      <c r="AR9160"/>
      <c r="AS9160"/>
      <c r="AT9160"/>
      <c r="AU9160"/>
      <c r="AV9160"/>
      <c r="AW9160"/>
      <c r="AX9160"/>
      <c r="AY9160"/>
      <c r="AZ9160"/>
      <c r="BA9160"/>
      <c r="BB9160"/>
      <c r="BC9160"/>
      <c r="BD9160"/>
      <c r="BE9160"/>
      <c r="BF9160"/>
    </row>
    <row r="9161" spans="13:58" ht="12" hidden="1" customHeight="1">
      <c r="M9161" s="820"/>
      <c r="N9161" s="239"/>
      <c r="O9161" s="225"/>
      <c r="P9161" s="260"/>
      <c r="Q9161" s="258"/>
      <c r="R9161" s="260"/>
      <c r="S9161" s="260"/>
      <c r="T9161" s="260"/>
      <c r="U9161" s="260"/>
      <c r="V9161" s="260"/>
      <c r="W9161" s="260"/>
      <c r="X9161" s="260"/>
      <c r="Y9161" s="260"/>
      <c r="Z9161" s="260"/>
      <c r="AA9161" s="260"/>
      <c r="AB9161" s="260"/>
      <c r="AC9161" s="260"/>
      <c r="AD9161" s="260"/>
      <c r="AE9161" s="260"/>
      <c r="AF9161" s="260"/>
      <c r="AG9161" s="258"/>
      <c r="AO9161"/>
      <c r="AP9161"/>
      <c r="AQ9161"/>
      <c r="AR9161"/>
      <c r="AS9161"/>
      <c r="AT9161"/>
      <c r="AU9161"/>
      <c r="AV9161"/>
      <c r="AW9161"/>
      <c r="AX9161"/>
      <c r="AY9161"/>
      <c r="AZ9161"/>
      <c r="BA9161"/>
      <c r="BB9161"/>
      <c r="BC9161"/>
      <c r="BD9161"/>
      <c r="BE9161"/>
      <c r="BF9161"/>
    </row>
    <row r="9162" spans="13:58" ht="12" hidden="1" customHeight="1">
      <c r="M9162" s="820"/>
      <c r="N9162" s="239"/>
      <c r="O9162" s="225"/>
      <c r="P9162" s="260"/>
      <c r="Q9162" s="258"/>
      <c r="R9162" s="260"/>
      <c r="S9162" s="260"/>
      <c r="T9162" s="260"/>
      <c r="U9162" s="260"/>
      <c r="V9162" s="260"/>
      <c r="W9162" s="260"/>
      <c r="X9162" s="260"/>
      <c r="Y9162" s="260"/>
      <c r="Z9162" s="260"/>
      <c r="AA9162" s="260"/>
      <c r="AB9162" s="260"/>
      <c r="AC9162" s="260"/>
      <c r="AD9162" s="260"/>
      <c r="AE9162" s="260"/>
      <c r="AF9162" s="260"/>
      <c r="AG9162" s="258"/>
      <c r="AO9162"/>
      <c r="AP9162"/>
      <c r="AQ9162"/>
      <c r="AR9162"/>
      <c r="AS9162"/>
      <c r="AT9162"/>
      <c r="AU9162"/>
      <c r="AV9162"/>
      <c r="AW9162"/>
      <c r="AX9162"/>
      <c r="AY9162"/>
      <c r="AZ9162"/>
      <c r="BA9162"/>
      <c r="BB9162"/>
      <c r="BC9162"/>
      <c r="BD9162"/>
      <c r="BE9162"/>
      <c r="BF9162"/>
    </row>
    <row r="9163" spans="13:58" ht="12" hidden="1" customHeight="1">
      <c r="M9163" s="820"/>
      <c r="N9163" s="239"/>
      <c r="O9163" s="225"/>
      <c r="P9163" s="260"/>
      <c r="Q9163" s="258"/>
      <c r="R9163" s="260"/>
      <c r="S9163" s="260"/>
      <c r="T9163" s="260"/>
      <c r="U9163" s="260"/>
      <c r="V9163" s="260"/>
      <c r="W9163" s="260"/>
      <c r="X9163" s="260"/>
      <c r="Y9163" s="260"/>
      <c r="Z9163" s="260"/>
      <c r="AA9163" s="260"/>
      <c r="AB9163" s="260"/>
      <c r="AC9163" s="260"/>
      <c r="AD9163" s="260"/>
      <c r="AE9163" s="260"/>
      <c r="AF9163" s="260"/>
      <c r="AG9163" s="258"/>
      <c r="AO9163"/>
      <c r="AP9163"/>
      <c r="AQ9163"/>
      <c r="AR9163"/>
      <c r="AS9163"/>
      <c r="AT9163"/>
      <c r="AU9163"/>
      <c r="AV9163"/>
      <c r="AW9163"/>
      <c r="AX9163"/>
      <c r="AY9163"/>
      <c r="AZ9163"/>
      <c r="BA9163"/>
      <c r="BB9163"/>
      <c r="BC9163"/>
      <c r="BD9163"/>
      <c r="BE9163"/>
      <c r="BF9163"/>
    </row>
    <row r="9164" spans="13:58" ht="12" hidden="1" customHeight="1">
      <c r="M9164" s="820"/>
      <c r="N9164" s="239"/>
      <c r="O9164" s="225"/>
      <c r="P9164" s="260"/>
      <c r="Q9164" s="258"/>
      <c r="R9164" s="260"/>
      <c r="S9164" s="260"/>
      <c r="T9164" s="260"/>
      <c r="U9164" s="260"/>
      <c r="V9164" s="260"/>
      <c r="W9164" s="260"/>
      <c r="X9164" s="260"/>
      <c r="Y9164" s="260"/>
      <c r="Z9164" s="260"/>
      <c r="AA9164" s="260"/>
      <c r="AB9164" s="260"/>
      <c r="AC9164" s="260"/>
      <c r="AD9164" s="260"/>
      <c r="AE9164" s="260"/>
      <c r="AF9164" s="260"/>
      <c r="AG9164" s="258"/>
      <c r="AO9164"/>
      <c r="AP9164"/>
      <c r="AQ9164"/>
      <c r="AR9164"/>
      <c r="AS9164"/>
      <c r="AT9164"/>
      <c r="AU9164"/>
      <c r="AV9164"/>
      <c r="AW9164"/>
      <c r="AX9164"/>
      <c r="AY9164"/>
      <c r="AZ9164"/>
      <c r="BA9164"/>
      <c r="BB9164"/>
      <c r="BC9164"/>
      <c r="BD9164"/>
      <c r="BE9164"/>
      <c r="BF9164"/>
    </row>
    <row r="9165" spans="13:58" ht="12" hidden="1" customHeight="1">
      <c r="M9165" s="820"/>
      <c r="N9165" s="239"/>
      <c r="O9165" s="225"/>
      <c r="P9165" s="260"/>
      <c r="Q9165" s="258"/>
      <c r="R9165" s="260"/>
      <c r="S9165" s="260"/>
      <c r="T9165" s="260"/>
      <c r="U9165" s="260"/>
      <c r="V9165" s="260"/>
      <c r="W9165" s="260"/>
      <c r="X9165" s="260"/>
      <c r="Y9165" s="260"/>
      <c r="Z9165" s="260"/>
      <c r="AA9165" s="260"/>
      <c r="AB9165" s="260"/>
      <c r="AC9165" s="260"/>
      <c r="AD9165" s="260"/>
      <c r="AE9165" s="260"/>
      <c r="AF9165" s="260"/>
      <c r="AG9165" s="258"/>
      <c r="AO9165"/>
      <c r="AP9165"/>
      <c r="AQ9165"/>
      <c r="AR9165"/>
      <c r="AS9165"/>
      <c r="AT9165"/>
      <c r="AU9165"/>
      <c r="AV9165"/>
      <c r="AW9165"/>
      <c r="AX9165"/>
      <c r="AY9165"/>
      <c r="AZ9165"/>
      <c r="BA9165"/>
      <c r="BB9165"/>
      <c r="BC9165"/>
      <c r="BD9165"/>
      <c r="BE9165"/>
      <c r="BF9165"/>
    </row>
    <row r="9166" spans="13:58" ht="12" hidden="1" customHeight="1">
      <c r="M9166" s="820"/>
      <c r="N9166" s="239"/>
      <c r="O9166" s="225"/>
      <c r="P9166" s="260"/>
      <c r="Q9166" s="258"/>
      <c r="R9166" s="260"/>
      <c r="S9166" s="260"/>
      <c r="T9166" s="260"/>
      <c r="U9166" s="260"/>
      <c r="V9166" s="260"/>
      <c r="W9166" s="260"/>
      <c r="X9166" s="260"/>
      <c r="Y9166" s="260"/>
      <c r="Z9166" s="260"/>
      <c r="AA9166" s="260"/>
      <c r="AB9166" s="260"/>
      <c r="AC9166" s="260"/>
      <c r="AD9166" s="260"/>
      <c r="AE9166" s="260"/>
      <c r="AF9166" s="260"/>
      <c r="AG9166" s="258"/>
      <c r="AO9166"/>
      <c r="AP9166"/>
      <c r="AQ9166"/>
      <c r="AR9166"/>
      <c r="AS9166"/>
      <c r="AT9166"/>
      <c r="AU9166"/>
      <c r="AV9166"/>
      <c r="AW9166"/>
      <c r="AX9166"/>
      <c r="AY9166"/>
      <c r="AZ9166"/>
      <c r="BA9166"/>
      <c r="BB9166"/>
      <c r="BC9166"/>
      <c r="BD9166"/>
      <c r="BE9166"/>
      <c r="BF9166"/>
    </row>
    <row r="9167" spans="13:58" ht="12" hidden="1" customHeight="1">
      <c r="M9167" s="820"/>
      <c r="N9167" s="239"/>
      <c r="O9167" s="225"/>
      <c r="P9167" s="260"/>
      <c r="Q9167" s="258"/>
      <c r="R9167" s="260"/>
      <c r="S9167" s="260"/>
      <c r="T9167" s="260"/>
      <c r="U9167" s="260"/>
      <c r="V9167" s="260"/>
      <c r="W9167" s="260"/>
      <c r="X9167" s="260"/>
      <c r="Y9167" s="260"/>
      <c r="Z9167" s="260"/>
      <c r="AA9167" s="260"/>
      <c r="AB9167" s="260"/>
      <c r="AC9167" s="260"/>
      <c r="AD9167" s="260"/>
      <c r="AE9167" s="260"/>
      <c r="AF9167" s="260"/>
      <c r="AG9167" s="258"/>
      <c r="AO9167"/>
      <c r="AP9167"/>
      <c r="AQ9167"/>
      <c r="AR9167"/>
      <c r="AS9167"/>
      <c r="AT9167"/>
      <c r="AU9167"/>
      <c r="AV9167"/>
      <c r="AW9167"/>
      <c r="AX9167"/>
      <c r="AY9167"/>
      <c r="AZ9167"/>
      <c r="BA9167"/>
      <c r="BB9167"/>
      <c r="BC9167"/>
      <c r="BD9167"/>
      <c r="BE9167"/>
      <c r="BF9167"/>
    </row>
    <row r="9168" spans="13:58" ht="12" hidden="1" customHeight="1">
      <c r="M9168" s="820"/>
      <c r="N9168" s="239"/>
      <c r="O9168" s="225"/>
      <c r="P9168" s="260"/>
      <c r="Q9168" s="258"/>
      <c r="R9168" s="260"/>
      <c r="S9168" s="260"/>
      <c r="T9168" s="260"/>
      <c r="U9168" s="260"/>
      <c r="V9168" s="260"/>
      <c r="W9168" s="260"/>
      <c r="X9168" s="260"/>
      <c r="Y9168" s="260"/>
      <c r="Z9168" s="260"/>
      <c r="AA9168" s="260"/>
      <c r="AB9168" s="260"/>
      <c r="AC9168" s="260"/>
      <c r="AD9168" s="260"/>
      <c r="AE9168" s="260"/>
      <c r="AF9168" s="260"/>
      <c r="AG9168" s="258"/>
      <c r="AO9168"/>
      <c r="AP9168"/>
      <c r="AQ9168"/>
      <c r="AR9168"/>
      <c r="AS9168"/>
      <c r="AT9168"/>
      <c r="AU9168"/>
      <c r="AV9168"/>
      <c r="AW9168"/>
      <c r="AX9168"/>
      <c r="AY9168"/>
      <c r="AZ9168"/>
      <c r="BA9168"/>
      <c r="BB9168"/>
      <c r="BC9168"/>
      <c r="BD9168"/>
      <c r="BE9168"/>
      <c r="BF9168"/>
    </row>
    <row r="9169" spans="13:58" ht="12" hidden="1" customHeight="1">
      <c r="M9169" s="820"/>
      <c r="N9169" s="239"/>
      <c r="O9169" s="225"/>
      <c r="P9169" s="260"/>
      <c r="Q9169" s="258"/>
      <c r="R9169" s="260"/>
      <c r="S9169" s="260"/>
      <c r="T9169" s="260"/>
      <c r="U9169" s="260"/>
      <c r="V9169" s="260"/>
      <c r="W9169" s="260"/>
      <c r="X9169" s="260"/>
      <c r="Y9169" s="260"/>
      <c r="Z9169" s="260"/>
      <c r="AA9169" s="260"/>
      <c r="AB9169" s="260"/>
      <c r="AC9169" s="260"/>
      <c r="AD9169" s="260"/>
      <c r="AE9169" s="260"/>
      <c r="AF9169" s="260"/>
      <c r="AG9169" s="258"/>
      <c r="AO9169"/>
      <c r="AP9169"/>
      <c r="AQ9169"/>
      <c r="AR9169"/>
      <c r="AS9169"/>
      <c r="AT9169"/>
      <c r="AU9169"/>
      <c r="AV9169"/>
      <c r="AW9169"/>
      <c r="AX9169"/>
      <c r="AY9169"/>
      <c r="AZ9169"/>
      <c r="BA9169"/>
      <c r="BB9169"/>
      <c r="BC9169"/>
      <c r="BD9169"/>
      <c r="BE9169"/>
      <c r="BF9169"/>
    </row>
    <row r="9170" spans="13:58" ht="12" hidden="1" customHeight="1">
      <c r="M9170" s="820"/>
      <c r="N9170" s="239"/>
      <c r="O9170" s="225"/>
      <c r="P9170" s="260"/>
      <c r="Q9170" s="258"/>
      <c r="R9170" s="260"/>
      <c r="S9170" s="260"/>
      <c r="T9170" s="260"/>
      <c r="U9170" s="260"/>
      <c r="V9170" s="260"/>
      <c r="W9170" s="260"/>
      <c r="X9170" s="260"/>
      <c r="Y9170" s="260"/>
      <c r="Z9170" s="260"/>
      <c r="AA9170" s="260"/>
      <c r="AB9170" s="260"/>
      <c r="AC9170" s="260"/>
      <c r="AD9170" s="260"/>
      <c r="AE9170" s="260"/>
      <c r="AF9170" s="260"/>
      <c r="AG9170" s="258"/>
      <c r="AO9170"/>
      <c r="AP9170"/>
      <c r="AQ9170"/>
      <c r="AR9170"/>
      <c r="AS9170"/>
      <c r="AT9170"/>
      <c r="AU9170"/>
      <c r="AV9170"/>
      <c r="AW9170"/>
      <c r="AX9170"/>
      <c r="AY9170"/>
      <c r="AZ9170"/>
      <c r="BA9170"/>
      <c r="BB9170"/>
      <c r="BC9170"/>
      <c r="BD9170"/>
      <c r="BE9170"/>
      <c r="BF9170"/>
    </row>
    <row r="9171" spans="13:58" ht="12" hidden="1" customHeight="1">
      <c r="M9171" s="820"/>
      <c r="N9171" s="239"/>
      <c r="O9171" s="225"/>
      <c r="P9171" s="260"/>
      <c r="Q9171" s="258"/>
      <c r="R9171" s="260"/>
      <c r="S9171" s="260"/>
      <c r="T9171" s="260"/>
      <c r="U9171" s="260"/>
      <c r="V9171" s="260"/>
      <c r="W9171" s="260"/>
      <c r="X9171" s="260"/>
      <c r="Y9171" s="260"/>
      <c r="Z9171" s="260"/>
      <c r="AA9171" s="260"/>
      <c r="AB9171" s="260"/>
      <c r="AC9171" s="260"/>
      <c r="AD9171" s="260"/>
      <c r="AE9171" s="260"/>
      <c r="AF9171" s="260"/>
      <c r="AG9171" s="258"/>
      <c r="AO9171"/>
      <c r="AP9171"/>
      <c r="AQ9171"/>
      <c r="AR9171"/>
      <c r="AS9171"/>
      <c r="AT9171"/>
      <c r="AU9171"/>
      <c r="AV9171"/>
      <c r="AW9171"/>
      <c r="AX9171"/>
      <c r="AY9171"/>
      <c r="AZ9171"/>
      <c r="BA9171"/>
      <c r="BB9171"/>
      <c r="BC9171"/>
      <c r="BD9171"/>
      <c r="BE9171"/>
      <c r="BF9171"/>
    </row>
    <row r="9172" spans="13:58" ht="12" hidden="1" customHeight="1">
      <c r="M9172" s="820"/>
      <c r="N9172" s="239"/>
      <c r="O9172" s="225"/>
      <c r="P9172" s="260"/>
      <c r="Q9172" s="258"/>
      <c r="R9172" s="260"/>
      <c r="S9172" s="260"/>
      <c r="T9172" s="260"/>
      <c r="U9172" s="260"/>
      <c r="V9172" s="260"/>
      <c r="W9172" s="260"/>
      <c r="X9172" s="260"/>
      <c r="Y9172" s="260"/>
      <c r="Z9172" s="260"/>
      <c r="AA9172" s="260"/>
      <c r="AB9172" s="260"/>
      <c r="AC9172" s="260"/>
      <c r="AD9172" s="260"/>
      <c r="AE9172" s="260"/>
      <c r="AF9172" s="260"/>
      <c r="AG9172" s="258"/>
      <c r="AO9172"/>
      <c r="AP9172"/>
      <c r="AQ9172"/>
      <c r="AR9172"/>
      <c r="AS9172"/>
      <c r="AT9172"/>
      <c r="AU9172"/>
      <c r="AV9172"/>
      <c r="AW9172"/>
      <c r="AX9172"/>
      <c r="AY9172"/>
      <c r="AZ9172"/>
      <c r="BA9172"/>
      <c r="BB9172"/>
      <c r="BC9172"/>
      <c r="BD9172"/>
      <c r="BE9172"/>
      <c r="BF9172"/>
    </row>
    <row r="9173" spans="13:58" ht="12" hidden="1" customHeight="1">
      <c r="M9173" s="820"/>
      <c r="N9173" s="239"/>
      <c r="O9173" s="225"/>
      <c r="P9173" s="260"/>
      <c r="Q9173" s="258"/>
      <c r="R9173" s="260"/>
      <c r="S9173" s="260"/>
      <c r="T9173" s="260"/>
      <c r="U9173" s="260"/>
      <c r="V9173" s="260"/>
      <c r="W9173" s="260"/>
      <c r="X9173" s="260"/>
      <c r="Y9173" s="260"/>
      <c r="Z9173" s="260"/>
      <c r="AA9173" s="260"/>
      <c r="AB9173" s="260"/>
      <c r="AC9173" s="260"/>
      <c r="AD9173" s="260"/>
      <c r="AE9173" s="260"/>
      <c r="AF9173" s="260"/>
      <c r="AG9173" s="258"/>
      <c r="AO9173"/>
      <c r="AP9173"/>
      <c r="AQ9173"/>
      <c r="AR9173"/>
      <c r="AS9173"/>
      <c r="AT9173"/>
      <c r="AU9173"/>
      <c r="AV9173"/>
      <c r="AW9173"/>
      <c r="AX9173"/>
      <c r="AY9173"/>
      <c r="AZ9173"/>
      <c r="BA9173"/>
      <c r="BB9173"/>
      <c r="BC9173"/>
      <c r="BD9173"/>
      <c r="BE9173"/>
      <c r="BF9173"/>
    </row>
    <row r="9174" spans="13:58" ht="12" hidden="1" customHeight="1">
      <c r="M9174" s="820"/>
      <c r="N9174" s="239"/>
      <c r="O9174" s="225"/>
      <c r="P9174" s="260"/>
      <c r="Q9174" s="258"/>
      <c r="R9174" s="260"/>
      <c r="S9174" s="260"/>
      <c r="T9174" s="260"/>
      <c r="U9174" s="260"/>
      <c r="V9174" s="260"/>
      <c r="W9174" s="260"/>
      <c r="X9174" s="260"/>
      <c r="Y9174" s="260"/>
      <c r="Z9174" s="260"/>
      <c r="AA9174" s="260"/>
      <c r="AB9174" s="260"/>
      <c r="AC9174" s="260"/>
      <c r="AD9174" s="260"/>
      <c r="AE9174" s="260"/>
      <c r="AF9174" s="260"/>
      <c r="AG9174" s="258"/>
      <c r="AO9174"/>
      <c r="AP9174"/>
      <c r="AQ9174"/>
      <c r="AR9174"/>
      <c r="AS9174"/>
      <c r="AT9174"/>
      <c r="AU9174"/>
      <c r="AV9174"/>
      <c r="AW9174"/>
      <c r="AX9174"/>
      <c r="AY9174"/>
      <c r="AZ9174"/>
      <c r="BA9174"/>
      <c r="BB9174"/>
      <c r="BC9174"/>
      <c r="BD9174"/>
      <c r="BE9174"/>
      <c r="BF9174"/>
    </row>
    <row r="9175" spans="13:58" ht="12" hidden="1" customHeight="1">
      <c r="M9175" s="820"/>
      <c r="N9175" s="239"/>
      <c r="O9175" s="225"/>
      <c r="P9175" s="260"/>
      <c r="Q9175" s="258"/>
      <c r="R9175" s="260"/>
      <c r="S9175" s="260"/>
      <c r="T9175" s="260"/>
      <c r="U9175" s="260"/>
      <c r="V9175" s="260"/>
      <c r="W9175" s="260"/>
      <c r="X9175" s="260"/>
      <c r="Y9175" s="260"/>
      <c r="Z9175" s="260"/>
      <c r="AA9175" s="260"/>
      <c r="AB9175" s="260"/>
      <c r="AC9175" s="260"/>
      <c r="AD9175" s="260"/>
      <c r="AE9175" s="260"/>
      <c r="AF9175" s="260"/>
      <c r="AG9175" s="258"/>
      <c r="AO9175"/>
      <c r="AP9175"/>
      <c r="AQ9175"/>
      <c r="AR9175"/>
      <c r="AS9175"/>
      <c r="AT9175"/>
      <c r="AU9175"/>
      <c r="AV9175"/>
      <c r="AW9175"/>
      <c r="AX9175"/>
      <c r="AY9175"/>
      <c r="AZ9175"/>
      <c r="BA9175"/>
      <c r="BB9175"/>
      <c r="BC9175"/>
      <c r="BD9175"/>
      <c r="BE9175"/>
      <c r="BF9175"/>
    </row>
    <row r="9176" spans="13:58" ht="12" hidden="1" customHeight="1">
      <c r="M9176" s="820"/>
      <c r="N9176" s="239"/>
      <c r="O9176" s="225"/>
      <c r="P9176" s="260"/>
      <c r="Q9176" s="258"/>
      <c r="R9176" s="260"/>
      <c r="S9176" s="260"/>
      <c r="T9176" s="260"/>
      <c r="U9176" s="260"/>
      <c r="V9176" s="260"/>
      <c r="W9176" s="260"/>
      <c r="X9176" s="260"/>
      <c r="Y9176" s="260"/>
      <c r="Z9176" s="260"/>
      <c r="AA9176" s="260"/>
      <c r="AB9176" s="260"/>
      <c r="AC9176" s="260"/>
      <c r="AD9176" s="260"/>
      <c r="AE9176" s="260"/>
      <c r="AF9176" s="260"/>
      <c r="AG9176" s="258"/>
      <c r="AO9176"/>
      <c r="AP9176"/>
      <c r="AQ9176"/>
      <c r="AR9176"/>
      <c r="AS9176"/>
      <c r="AT9176"/>
      <c r="AU9176"/>
      <c r="AV9176"/>
      <c r="AW9176"/>
      <c r="AX9176"/>
      <c r="AY9176"/>
      <c r="AZ9176"/>
      <c r="BA9176"/>
      <c r="BB9176"/>
      <c r="BC9176"/>
      <c r="BD9176"/>
      <c r="BE9176"/>
      <c r="BF9176"/>
    </row>
    <row r="9177" spans="13:58" ht="12" hidden="1" customHeight="1">
      <c r="M9177" s="820"/>
      <c r="N9177" s="239"/>
      <c r="O9177" s="225"/>
      <c r="P9177" s="260"/>
      <c r="Q9177" s="258"/>
      <c r="R9177" s="260"/>
      <c r="S9177" s="260"/>
      <c r="T9177" s="260"/>
      <c r="U9177" s="260"/>
      <c r="V9177" s="260"/>
      <c r="W9177" s="260"/>
      <c r="X9177" s="260"/>
      <c r="Y9177" s="260"/>
      <c r="Z9177" s="260"/>
      <c r="AA9177" s="260"/>
      <c r="AB9177" s="260"/>
      <c r="AC9177" s="260"/>
      <c r="AD9177" s="260"/>
      <c r="AE9177" s="260"/>
      <c r="AF9177" s="260"/>
      <c r="AG9177" s="258"/>
      <c r="AO9177"/>
      <c r="AP9177"/>
      <c r="AQ9177"/>
      <c r="AR9177"/>
      <c r="AS9177"/>
      <c r="AT9177"/>
      <c r="AU9177"/>
      <c r="AV9177"/>
      <c r="AW9177"/>
      <c r="AX9177"/>
      <c r="AY9177"/>
      <c r="AZ9177"/>
      <c r="BA9177"/>
      <c r="BB9177"/>
      <c r="BC9177"/>
      <c r="BD9177"/>
      <c r="BE9177"/>
      <c r="BF9177"/>
    </row>
    <row r="9178" spans="13:58" ht="12" hidden="1" customHeight="1">
      <c r="M9178" s="820"/>
      <c r="N9178" s="239"/>
      <c r="O9178" s="225"/>
      <c r="P9178" s="260"/>
      <c r="Q9178" s="258"/>
      <c r="R9178" s="260"/>
      <c r="S9178" s="260"/>
      <c r="T9178" s="260"/>
      <c r="U9178" s="260"/>
      <c r="V9178" s="260"/>
      <c r="W9178" s="260"/>
      <c r="X9178" s="260"/>
      <c r="Y9178" s="260"/>
      <c r="Z9178" s="260"/>
      <c r="AA9178" s="260"/>
      <c r="AB9178" s="260"/>
      <c r="AC9178" s="260"/>
      <c r="AD9178" s="260"/>
      <c r="AE9178" s="260"/>
      <c r="AF9178" s="260"/>
      <c r="AG9178" s="258"/>
      <c r="AO9178"/>
      <c r="AP9178"/>
      <c r="AQ9178"/>
      <c r="AR9178"/>
      <c r="AS9178"/>
      <c r="AT9178"/>
      <c r="AU9178"/>
      <c r="AV9178"/>
      <c r="AW9178"/>
      <c r="AX9178"/>
      <c r="AY9178"/>
      <c r="AZ9178"/>
      <c r="BA9178"/>
      <c r="BB9178"/>
      <c r="BC9178"/>
      <c r="BD9178"/>
      <c r="BE9178"/>
      <c r="BF9178"/>
    </row>
    <row r="9179" spans="13:58" ht="12" hidden="1" customHeight="1">
      <c r="M9179" s="820"/>
      <c r="N9179" s="239"/>
      <c r="O9179" s="225"/>
      <c r="P9179" s="260"/>
      <c r="Q9179" s="258"/>
      <c r="R9179" s="260"/>
      <c r="S9179" s="260"/>
      <c r="T9179" s="260"/>
      <c r="U9179" s="260"/>
      <c r="V9179" s="260"/>
      <c r="W9179" s="260"/>
      <c r="X9179" s="260"/>
      <c r="Y9179" s="260"/>
      <c r="Z9179" s="260"/>
      <c r="AA9179" s="260"/>
      <c r="AB9179" s="260"/>
      <c r="AC9179" s="260"/>
      <c r="AD9179" s="260"/>
      <c r="AE9179" s="260"/>
      <c r="AF9179" s="260"/>
      <c r="AG9179" s="258"/>
      <c r="AO9179"/>
      <c r="AP9179"/>
      <c r="AQ9179"/>
      <c r="AR9179"/>
      <c r="AS9179"/>
      <c r="AT9179"/>
      <c r="AU9179"/>
      <c r="AV9179"/>
      <c r="AW9179"/>
      <c r="AX9179"/>
      <c r="AY9179"/>
      <c r="AZ9179"/>
      <c r="BA9179"/>
      <c r="BB9179"/>
      <c r="BC9179"/>
      <c r="BD9179"/>
      <c r="BE9179"/>
      <c r="BF9179"/>
    </row>
    <row r="9180" spans="13:58" ht="12" hidden="1" customHeight="1">
      <c r="M9180" s="820"/>
      <c r="N9180" s="239"/>
      <c r="O9180" s="225"/>
      <c r="P9180" s="260"/>
      <c r="Q9180" s="258"/>
      <c r="R9180" s="260"/>
      <c r="S9180" s="260"/>
      <c r="T9180" s="260"/>
      <c r="U9180" s="260"/>
      <c r="V9180" s="260"/>
      <c r="W9180" s="260"/>
      <c r="X9180" s="260"/>
      <c r="Y9180" s="260"/>
      <c r="Z9180" s="260"/>
      <c r="AA9180" s="260"/>
      <c r="AB9180" s="260"/>
      <c r="AC9180" s="260"/>
      <c r="AD9180" s="260"/>
      <c r="AE9180" s="260"/>
      <c r="AF9180" s="260"/>
      <c r="AG9180" s="258"/>
      <c r="AO9180"/>
      <c r="AP9180"/>
      <c r="AQ9180"/>
      <c r="AR9180"/>
      <c r="AS9180"/>
      <c r="AT9180"/>
      <c r="AU9180"/>
      <c r="AV9180"/>
      <c r="AW9180"/>
      <c r="AX9180"/>
      <c r="AY9180"/>
      <c r="AZ9180"/>
      <c r="BA9180"/>
      <c r="BB9180"/>
      <c r="BC9180"/>
      <c r="BD9180"/>
      <c r="BE9180"/>
      <c r="BF9180"/>
    </row>
    <row r="9181" spans="13:58" ht="12" hidden="1" customHeight="1">
      <c r="M9181" s="820"/>
      <c r="N9181" s="239"/>
      <c r="O9181" s="225"/>
      <c r="P9181" s="260"/>
      <c r="Q9181" s="258"/>
      <c r="R9181" s="260"/>
      <c r="S9181" s="260"/>
      <c r="T9181" s="260"/>
      <c r="U9181" s="260"/>
      <c r="V9181" s="260"/>
      <c r="W9181" s="260"/>
      <c r="X9181" s="260"/>
      <c r="Y9181" s="260"/>
      <c r="Z9181" s="260"/>
      <c r="AA9181" s="260"/>
      <c r="AB9181" s="260"/>
      <c r="AC9181" s="260"/>
      <c r="AD9181" s="260"/>
      <c r="AE9181" s="260"/>
      <c r="AF9181" s="260"/>
      <c r="AG9181" s="258"/>
      <c r="AO9181"/>
      <c r="AP9181"/>
      <c r="AQ9181"/>
      <c r="AR9181"/>
      <c r="AS9181"/>
      <c r="AT9181"/>
      <c r="AU9181"/>
      <c r="AV9181"/>
      <c r="AW9181"/>
      <c r="AX9181"/>
      <c r="AY9181"/>
      <c r="AZ9181"/>
      <c r="BA9181"/>
      <c r="BB9181"/>
      <c r="BC9181"/>
      <c r="BD9181"/>
      <c r="BE9181"/>
      <c r="BF9181"/>
    </row>
    <row r="9182" spans="13:58" ht="12" hidden="1" customHeight="1">
      <c r="M9182" s="820"/>
      <c r="N9182" s="239"/>
      <c r="O9182" s="225"/>
      <c r="P9182" s="260"/>
      <c r="Q9182" s="258"/>
      <c r="R9182" s="260"/>
      <c r="S9182" s="260"/>
      <c r="T9182" s="260"/>
      <c r="U9182" s="260"/>
      <c r="V9182" s="260"/>
      <c r="W9182" s="260"/>
      <c r="X9182" s="260"/>
      <c r="Y9182" s="260"/>
      <c r="Z9182" s="260"/>
      <c r="AA9182" s="260"/>
      <c r="AB9182" s="260"/>
      <c r="AC9182" s="260"/>
      <c r="AD9182" s="260"/>
      <c r="AE9182" s="260"/>
      <c r="AF9182" s="260"/>
      <c r="AG9182" s="258"/>
      <c r="AO9182"/>
      <c r="AP9182"/>
      <c r="AQ9182"/>
      <c r="AR9182"/>
      <c r="AS9182"/>
      <c r="AT9182"/>
      <c r="AU9182"/>
      <c r="AV9182"/>
      <c r="AW9182"/>
      <c r="AX9182"/>
      <c r="AY9182"/>
      <c r="AZ9182"/>
      <c r="BA9182"/>
      <c r="BB9182"/>
      <c r="BC9182"/>
      <c r="BD9182"/>
      <c r="BE9182"/>
      <c r="BF9182"/>
    </row>
    <row r="9183" spans="13:58" ht="12" hidden="1" customHeight="1">
      <c r="M9183" s="820"/>
      <c r="N9183" s="239"/>
      <c r="O9183" s="225"/>
      <c r="P9183" s="260"/>
      <c r="Q9183" s="258"/>
      <c r="R9183" s="260"/>
      <c r="S9183" s="260"/>
      <c r="T9183" s="260"/>
      <c r="U9183" s="260"/>
      <c r="V9183" s="260"/>
      <c r="W9183" s="260"/>
      <c r="X9183" s="260"/>
      <c r="Y9183" s="260"/>
      <c r="Z9183" s="260"/>
      <c r="AA9183" s="260"/>
      <c r="AB9183" s="260"/>
      <c r="AC9183" s="260"/>
      <c r="AD9183" s="260"/>
      <c r="AE9183" s="260"/>
      <c r="AF9183" s="260"/>
      <c r="AG9183" s="258"/>
      <c r="AO9183"/>
      <c r="AP9183"/>
      <c r="AQ9183"/>
      <c r="AR9183"/>
      <c r="AS9183"/>
      <c r="AT9183"/>
      <c r="AU9183"/>
      <c r="AV9183"/>
      <c r="AW9183"/>
      <c r="AX9183"/>
      <c r="AY9183"/>
      <c r="AZ9183"/>
      <c r="BA9183"/>
      <c r="BB9183"/>
      <c r="BC9183"/>
      <c r="BD9183"/>
      <c r="BE9183"/>
      <c r="BF9183"/>
    </row>
    <row r="9184" spans="13:58" ht="12" hidden="1" customHeight="1">
      <c r="M9184" s="820"/>
      <c r="N9184" s="239"/>
      <c r="O9184" s="225"/>
      <c r="P9184" s="260"/>
      <c r="Q9184" s="258"/>
      <c r="R9184" s="260"/>
      <c r="S9184" s="260"/>
      <c r="T9184" s="260"/>
      <c r="U9184" s="260"/>
      <c r="V9184" s="260"/>
      <c r="W9184" s="260"/>
      <c r="X9184" s="260"/>
      <c r="Y9184" s="260"/>
      <c r="Z9184" s="260"/>
      <c r="AA9184" s="260"/>
      <c r="AB9184" s="260"/>
      <c r="AC9184" s="260"/>
      <c r="AD9184" s="260"/>
      <c r="AE9184" s="260"/>
      <c r="AF9184" s="260"/>
      <c r="AG9184" s="258"/>
      <c r="AO9184"/>
      <c r="AP9184"/>
      <c r="AQ9184"/>
      <c r="AR9184"/>
      <c r="AS9184"/>
      <c r="AT9184"/>
      <c r="AU9184"/>
      <c r="AV9184"/>
      <c r="AW9184"/>
      <c r="AX9184"/>
      <c r="AY9184"/>
      <c r="AZ9184"/>
      <c r="BA9184"/>
      <c r="BB9184"/>
      <c r="BC9184"/>
      <c r="BD9184"/>
      <c r="BE9184"/>
      <c r="BF9184"/>
    </row>
    <row r="9185" spans="13:58" ht="12" hidden="1" customHeight="1">
      <c r="M9185" s="820"/>
      <c r="N9185" s="239"/>
      <c r="O9185" s="225"/>
      <c r="P9185" s="260"/>
      <c r="Q9185" s="258"/>
      <c r="R9185" s="260"/>
      <c r="S9185" s="260"/>
      <c r="T9185" s="260"/>
      <c r="U9185" s="260"/>
      <c r="V9185" s="260"/>
      <c r="W9185" s="260"/>
      <c r="X9185" s="260"/>
      <c r="Y9185" s="260"/>
      <c r="Z9185" s="260"/>
      <c r="AA9185" s="260"/>
      <c r="AB9185" s="260"/>
      <c r="AC9185" s="260"/>
      <c r="AD9185" s="260"/>
      <c r="AE9185" s="260"/>
      <c r="AF9185" s="260"/>
      <c r="AG9185" s="258"/>
      <c r="AO9185"/>
      <c r="AP9185"/>
      <c r="AQ9185"/>
      <c r="AR9185"/>
      <c r="AS9185"/>
      <c r="AT9185"/>
      <c r="AU9185"/>
      <c r="AV9185"/>
      <c r="AW9185"/>
      <c r="AX9185"/>
      <c r="AY9185"/>
      <c r="AZ9185"/>
      <c r="BA9185"/>
      <c r="BB9185"/>
      <c r="BC9185"/>
      <c r="BD9185"/>
      <c r="BE9185"/>
      <c r="BF9185"/>
    </row>
    <row r="9186" spans="13:58" ht="12" hidden="1" customHeight="1">
      <c r="M9186" s="820"/>
      <c r="N9186" s="239"/>
      <c r="O9186" s="225"/>
      <c r="P9186" s="260"/>
      <c r="Q9186" s="258"/>
      <c r="R9186" s="260"/>
      <c r="S9186" s="260"/>
      <c r="T9186" s="260"/>
      <c r="U9186" s="260"/>
      <c r="V9186" s="260"/>
      <c r="W9186" s="260"/>
      <c r="X9186" s="260"/>
      <c r="Y9186" s="260"/>
      <c r="Z9186" s="260"/>
      <c r="AA9186" s="260"/>
      <c r="AB9186" s="260"/>
      <c r="AC9186" s="260"/>
      <c r="AD9186" s="260"/>
      <c r="AE9186" s="260"/>
      <c r="AF9186" s="260"/>
      <c r="AG9186" s="258"/>
      <c r="AO9186"/>
      <c r="AP9186"/>
      <c r="AQ9186"/>
      <c r="AR9186"/>
      <c r="AS9186"/>
      <c r="AT9186"/>
      <c r="AU9186"/>
      <c r="AV9186"/>
      <c r="AW9186"/>
      <c r="AX9186"/>
      <c r="AY9186"/>
      <c r="AZ9186"/>
      <c r="BA9186"/>
      <c r="BB9186"/>
      <c r="BC9186"/>
      <c r="BD9186"/>
      <c r="BE9186"/>
      <c r="BF9186"/>
    </row>
    <row r="9187" spans="13:58" ht="12" hidden="1" customHeight="1">
      <c r="M9187" s="820"/>
      <c r="N9187" s="239"/>
      <c r="O9187" s="225"/>
      <c r="P9187" s="260"/>
      <c r="Q9187" s="258"/>
      <c r="R9187" s="260"/>
      <c r="S9187" s="260"/>
      <c r="T9187" s="260"/>
      <c r="U9187" s="260"/>
      <c r="V9187" s="260"/>
      <c r="W9187" s="260"/>
      <c r="X9187" s="260"/>
      <c r="Y9187" s="260"/>
      <c r="Z9187" s="260"/>
      <c r="AA9187" s="260"/>
      <c r="AB9187" s="260"/>
      <c r="AC9187" s="260"/>
      <c r="AD9187" s="260"/>
      <c r="AE9187" s="260"/>
      <c r="AF9187" s="260"/>
      <c r="AG9187" s="258"/>
      <c r="AO9187"/>
      <c r="AP9187"/>
      <c r="AQ9187"/>
      <c r="AR9187"/>
      <c r="AS9187"/>
      <c r="AT9187"/>
      <c r="AU9187"/>
      <c r="AV9187"/>
      <c r="AW9187"/>
      <c r="AX9187"/>
      <c r="AY9187"/>
      <c r="AZ9187"/>
      <c r="BA9187"/>
      <c r="BB9187"/>
      <c r="BC9187"/>
      <c r="BD9187"/>
      <c r="BE9187"/>
      <c r="BF9187"/>
    </row>
    <row r="9188" spans="13:58" ht="12" hidden="1" customHeight="1">
      <c r="M9188" s="820"/>
      <c r="N9188" s="239"/>
      <c r="O9188" s="225"/>
      <c r="P9188" s="260"/>
      <c r="Q9188" s="258"/>
      <c r="R9188" s="260"/>
      <c r="S9188" s="260"/>
      <c r="T9188" s="260"/>
      <c r="U9188" s="260"/>
      <c r="V9188" s="260"/>
      <c r="W9188" s="260"/>
      <c r="X9188" s="260"/>
      <c r="Y9188" s="260"/>
      <c r="Z9188" s="260"/>
      <c r="AA9188" s="260"/>
      <c r="AB9188" s="260"/>
      <c r="AC9188" s="260"/>
      <c r="AD9188" s="260"/>
      <c r="AE9188" s="260"/>
      <c r="AF9188" s="260"/>
      <c r="AG9188" s="258"/>
      <c r="AO9188"/>
      <c r="AP9188"/>
      <c r="AQ9188"/>
      <c r="AR9188"/>
      <c r="AS9188"/>
      <c r="AT9188"/>
      <c r="AU9188"/>
      <c r="AV9188"/>
      <c r="AW9188"/>
      <c r="AX9188"/>
      <c r="AY9188"/>
      <c r="AZ9188"/>
      <c r="BA9188"/>
      <c r="BB9188"/>
      <c r="BC9188"/>
      <c r="BD9188"/>
      <c r="BE9188"/>
      <c r="BF9188"/>
    </row>
    <row r="9189" spans="13:58" ht="12" hidden="1" customHeight="1">
      <c r="M9189" s="820"/>
      <c r="N9189" s="239"/>
      <c r="O9189" s="225"/>
      <c r="P9189" s="260"/>
      <c r="Q9189" s="258"/>
      <c r="R9189" s="260"/>
      <c r="S9189" s="260"/>
      <c r="T9189" s="260"/>
      <c r="U9189" s="260"/>
      <c r="V9189" s="260"/>
      <c r="W9189" s="260"/>
      <c r="X9189" s="260"/>
      <c r="Y9189" s="260"/>
      <c r="Z9189" s="260"/>
      <c r="AA9189" s="260"/>
      <c r="AB9189" s="260"/>
      <c r="AC9189" s="260"/>
      <c r="AD9189" s="260"/>
      <c r="AE9189" s="260"/>
      <c r="AF9189" s="260"/>
      <c r="AG9189" s="258"/>
      <c r="AO9189"/>
      <c r="AP9189"/>
      <c r="AQ9189"/>
      <c r="AR9189"/>
      <c r="AS9189"/>
      <c r="AT9189"/>
      <c r="AU9189"/>
      <c r="AV9189"/>
      <c r="AW9189"/>
      <c r="AX9189"/>
      <c r="AY9189"/>
      <c r="AZ9189"/>
      <c r="BA9189"/>
      <c r="BB9189"/>
      <c r="BC9189"/>
      <c r="BD9189"/>
      <c r="BE9189"/>
      <c r="BF9189"/>
    </row>
    <row r="9190" spans="13:58" ht="12" hidden="1" customHeight="1">
      <c r="M9190" s="820"/>
      <c r="N9190" s="239"/>
      <c r="O9190" s="225"/>
      <c r="P9190" s="260"/>
      <c r="Q9190" s="258"/>
      <c r="R9190" s="260"/>
      <c r="S9190" s="260"/>
      <c r="T9190" s="260"/>
      <c r="U9190" s="260"/>
      <c r="V9190" s="260"/>
      <c r="W9190" s="260"/>
      <c r="X9190" s="260"/>
      <c r="Y9190" s="260"/>
      <c r="Z9190" s="260"/>
      <c r="AA9190" s="260"/>
      <c r="AB9190" s="260"/>
      <c r="AC9190" s="260"/>
      <c r="AD9190" s="260"/>
      <c r="AE9190" s="260"/>
      <c r="AF9190" s="260"/>
      <c r="AG9190" s="258"/>
      <c r="AO9190"/>
      <c r="AP9190"/>
      <c r="AQ9190"/>
      <c r="AR9190"/>
      <c r="AS9190"/>
      <c r="AT9190"/>
      <c r="AU9190"/>
      <c r="AV9190"/>
      <c r="AW9190"/>
      <c r="AX9190"/>
      <c r="AY9190"/>
      <c r="AZ9190"/>
      <c r="BA9190"/>
      <c r="BB9190"/>
      <c r="BC9190"/>
      <c r="BD9190"/>
      <c r="BE9190"/>
      <c r="BF9190"/>
    </row>
    <row r="9191" spans="13:58" ht="12" hidden="1" customHeight="1">
      <c r="M9191" s="820"/>
      <c r="N9191" s="239"/>
      <c r="O9191" s="225"/>
      <c r="P9191" s="260"/>
      <c r="Q9191" s="258"/>
      <c r="R9191" s="260"/>
      <c r="S9191" s="260"/>
      <c r="T9191" s="260"/>
      <c r="U9191" s="260"/>
      <c r="V9191" s="260"/>
      <c r="W9191" s="260"/>
      <c r="X9191" s="260"/>
      <c r="Y9191" s="260"/>
      <c r="Z9191" s="260"/>
      <c r="AA9191" s="260"/>
      <c r="AB9191" s="260"/>
      <c r="AC9191" s="260"/>
      <c r="AD9191" s="260"/>
      <c r="AE9191" s="260"/>
      <c r="AF9191" s="260"/>
      <c r="AG9191" s="258"/>
      <c r="AO9191"/>
      <c r="AP9191"/>
      <c r="AQ9191"/>
      <c r="AR9191"/>
      <c r="AS9191"/>
      <c r="AT9191"/>
      <c r="AU9191"/>
      <c r="AV9191"/>
      <c r="AW9191"/>
      <c r="AX9191"/>
      <c r="AY9191"/>
      <c r="AZ9191"/>
      <c r="BA9191"/>
      <c r="BB9191"/>
      <c r="BC9191"/>
      <c r="BD9191"/>
      <c r="BE9191"/>
      <c r="BF9191"/>
    </row>
    <row r="9192" spans="13:58" ht="12" hidden="1" customHeight="1">
      <c r="M9192" s="820"/>
      <c r="N9192" s="239"/>
      <c r="O9192" s="225"/>
      <c r="P9192" s="260"/>
      <c r="Q9192" s="258"/>
      <c r="R9192" s="260"/>
      <c r="S9192" s="260"/>
      <c r="T9192" s="260"/>
      <c r="U9192" s="260"/>
      <c r="V9192" s="260"/>
      <c r="W9192" s="260"/>
      <c r="X9192" s="260"/>
      <c r="Y9192" s="260"/>
      <c r="Z9192" s="260"/>
      <c r="AA9192" s="260"/>
      <c r="AB9192" s="260"/>
      <c r="AC9192" s="260"/>
      <c r="AD9192" s="260"/>
      <c r="AE9192" s="260"/>
      <c r="AF9192" s="260"/>
      <c r="AG9192" s="258"/>
      <c r="AO9192"/>
      <c r="AP9192"/>
      <c r="AQ9192"/>
      <c r="AR9192"/>
      <c r="AS9192"/>
      <c r="AT9192"/>
      <c r="AU9192"/>
      <c r="AV9192"/>
      <c r="AW9192"/>
      <c r="AX9192"/>
      <c r="AY9192"/>
      <c r="AZ9192"/>
      <c r="BA9192"/>
      <c r="BB9192"/>
      <c r="BC9192"/>
      <c r="BD9192"/>
      <c r="BE9192"/>
      <c r="BF9192"/>
    </row>
    <row r="9193" spans="13:58" ht="12" hidden="1" customHeight="1">
      <c r="M9193" s="820"/>
      <c r="N9193" s="239"/>
      <c r="O9193" s="225"/>
      <c r="P9193" s="260"/>
      <c r="Q9193" s="258"/>
      <c r="R9193" s="260"/>
      <c r="S9193" s="260"/>
      <c r="T9193" s="260"/>
      <c r="U9193" s="260"/>
      <c r="V9193" s="260"/>
      <c r="W9193" s="260"/>
      <c r="X9193" s="260"/>
      <c r="Y9193" s="260"/>
      <c r="Z9193" s="260"/>
      <c r="AA9193" s="260"/>
      <c r="AB9193" s="260"/>
      <c r="AC9193" s="260"/>
      <c r="AD9193" s="260"/>
      <c r="AE9193" s="260"/>
      <c r="AF9193" s="260"/>
      <c r="AG9193" s="258"/>
      <c r="AO9193"/>
      <c r="AP9193"/>
      <c r="AQ9193"/>
      <c r="AR9193"/>
      <c r="AS9193"/>
      <c r="AT9193"/>
      <c r="AU9193"/>
      <c r="AV9193"/>
      <c r="AW9193"/>
      <c r="AX9193"/>
      <c r="AY9193"/>
      <c r="AZ9193"/>
      <c r="BA9193"/>
      <c r="BB9193"/>
      <c r="BC9193"/>
      <c r="BD9193"/>
      <c r="BE9193"/>
      <c r="BF9193"/>
    </row>
    <row r="9194" spans="13:58" ht="12" hidden="1" customHeight="1">
      <c r="M9194" s="820"/>
      <c r="N9194" s="239"/>
      <c r="O9194" s="225"/>
      <c r="P9194" s="260"/>
      <c r="Q9194" s="258"/>
      <c r="R9194" s="260"/>
      <c r="S9194" s="260"/>
      <c r="T9194" s="260"/>
      <c r="U9194" s="260"/>
      <c r="V9194" s="260"/>
      <c r="W9194" s="260"/>
      <c r="X9194" s="260"/>
      <c r="Y9194" s="260"/>
      <c r="Z9194" s="260"/>
      <c r="AA9194" s="260"/>
      <c r="AB9194" s="260"/>
      <c r="AC9194" s="260"/>
      <c r="AD9194" s="260"/>
      <c r="AE9194" s="260"/>
      <c r="AF9194" s="260"/>
      <c r="AG9194" s="258"/>
      <c r="AO9194"/>
      <c r="AP9194"/>
      <c r="AQ9194"/>
      <c r="AR9194"/>
      <c r="AS9194"/>
      <c r="AT9194"/>
      <c r="AU9194"/>
      <c r="AV9194"/>
      <c r="AW9194"/>
      <c r="AX9194"/>
      <c r="AY9194"/>
      <c r="AZ9194"/>
      <c r="BA9194"/>
      <c r="BB9194"/>
      <c r="BC9194"/>
      <c r="BD9194"/>
      <c r="BE9194"/>
      <c r="BF9194"/>
    </row>
    <row r="9195" spans="13:58" ht="12" hidden="1" customHeight="1">
      <c r="M9195" s="820"/>
      <c r="N9195" s="239"/>
      <c r="O9195" s="225"/>
      <c r="P9195" s="260"/>
      <c r="Q9195" s="258"/>
      <c r="R9195" s="260"/>
      <c r="S9195" s="260"/>
      <c r="T9195" s="260"/>
      <c r="U9195" s="260"/>
      <c r="V9195" s="260"/>
      <c r="W9195" s="260"/>
      <c r="X9195" s="260"/>
      <c r="Y9195" s="260"/>
      <c r="Z9195" s="260"/>
      <c r="AA9195" s="260"/>
      <c r="AB9195" s="260"/>
      <c r="AC9195" s="260"/>
      <c r="AD9195" s="260"/>
      <c r="AE9195" s="260"/>
      <c r="AF9195" s="260"/>
      <c r="AG9195" s="258"/>
      <c r="AO9195"/>
      <c r="AP9195"/>
      <c r="AQ9195"/>
      <c r="AR9195"/>
      <c r="AS9195"/>
      <c r="AT9195"/>
      <c r="AU9195"/>
      <c r="AV9195"/>
      <c r="AW9195"/>
      <c r="AX9195"/>
      <c r="AY9195"/>
      <c r="AZ9195"/>
      <c r="BA9195"/>
      <c r="BB9195"/>
      <c r="BC9195"/>
      <c r="BD9195"/>
      <c r="BE9195"/>
      <c r="BF9195"/>
    </row>
    <row r="9196" spans="13:58" ht="12" hidden="1" customHeight="1">
      <c r="M9196" s="820"/>
      <c r="N9196" s="239"/>
      <c r="O9196" s="225"/>
      <c r="P9196" s="260"/>
      <c r="Q9196" s="258"/>
      <c r="R9196" s="260"/>
      <c r="S9196" s="260"/>
      <c r="T9196" s="260"/>
      <c r="U9196" s="260"/>
      <c r="V9196" s="260"/>
      <c r="W9196" s="260"/>
      <c r="X9196" s="260"/>
      <c r="Y9196" s="260"/>
      <c r="Z9196" s="260"/>
      <c r="AA9196" s="260"/>
      <c r="AB9196" s="260"/>
      <c r="AC9196" s="260"/>
      <c r="AD9196" s="260"/>
      <c r="AE9196" s="260"/>
      <c r="AF9196" s="260"/>
      <c r="AG9196" s="258"/>
      <c r="AO9196"/>
      <c r="AP9196"/>
      <c r="AQ9196"/>
      <c r="AR9196"/>
      <c r="AS9196"/>
      <c r="AT9196"/>
      <c r="AU9196"/>
      <c r="AV9196"/>
      <c r="AW9196"/>
      <c r="AX9196"/>
      <c r="AY9196"/>
      <c r="AZ9196"/>
      <c r="BA9196"/>
      <c r="BB9196"/>
      <c r="BC9196"/>
      <c r="BD9196"/>
      <c r="BE9196"/>
      <c r="BF9196"/>
    </row>
    <row r="9197" spans="13:58" ht="12" hidden="1" customHeight="1">
      <c r="M9197" s="820"/>
      <c r="N9197" s="239"/>
      <c r="O9197" s="225"/>
      <c r="P9197" s="260"/>
      <c r="Q9197" s="258"/>
      <c r="R9197" s="260"/>
      <c r="S9197" s="260"/>
      <c r="T9197" s="260"/>
      <c r="U9197" s="260"/>
      <c r="V9197" s="260"/>
      <c r="W9197" s="260"/>
      <c r="X9197" s="260"/>
      <c r="Y9197" s="260"/>
      <c r="Z9197" s="260"/>
      <c r="AA9197" s="260"/>
      <c r="AB9197" s="260"/>
      <c r="AC9197" s="260"/>
      <c r="AD9197" s="260"/>
      <c r="AE9197" s="260"/>
      <c r="AF9197" s="260"/>
      <c r="AG9197" s="258"/>
      <c r="AO9197"/>
      <c r="AP9197"/>
      <c r="AQ9197"/>
      <c r="AR9197"/>
      <c r="AS9197"/>
      <c r="AT9197"/>
      <c r="AU9197"/>
      <c r="AV9197"/>
      <c r="AW9197"/>
      <c r="AX9197"/>
      <c r="AY9197"/>
      <c r="AZ9197"/>
      <c r="BA9197"/>
      <c r="BB9197"/>
      <c r="BC9197"/>
      <c r="BD9197"/>
      <c r="BE9197"/>
      <c r="BF9197"/>
    </row>
    <row r="9198" spans="13:58" ht="12" hidden="1" customHeight="1">
      <c r="M9198" s="820"/>
      <c r="N9198" s="239"/>
      <c r="O9198" s="225"/>
      <c r="P9198" s="260"/>
      <c r="Q9198" s="258"/>
      <c r="R9198" s="260"/>
      <c r="S9198" s="260"/>
      <c r="T9198" s="260"/>
      <c r="U9198" s="260"/>
      <c r="V9198" s="260"/>
      <c r="W9198" s="260"/>
      <c r="X9198" s="260"/>
      <c r="Y9198" s="260"/>
      <c r="Z9198" s="260"/>
      <c r="AA9198" s="260"/>
      <c r="AB9198" s="260"/>
      <c r="AC9198" s="260"/>
      <c r="AD9198" s="260"/>
      <c r="AE9198" s="260"/>
      <c r="AF9198" s="260"/>
      <c r="AG9198" s="258"/>
      <c r="AO9198"/>
      <c r="AP9198"/>
      <c r="AQ9198"/>
      <c r="AR9198"/>
      <c r="AS9198"/>
      <c r="AT9198"/>
      <c r="AU9198"/>
      <c r="AV9198"/>
      <c r="AW9198"/>
      <c r="AX9198"/>
      <c r="AY9198"/>
      <c r="AZ9198"/>
      <c r="BA9198"/>
      <c r="BB9198"/>
      <c r="BC9198"/>
      <c r="BD9198"/>
      <c r="BE9198"/>
      <c r="BF9198"/>
    </row>
    <row r="9199" spans="13:58" ht="12" hidden="1" customHeight="1">
      <c r="M9199" s="820"/>
      <c r="N9199" s="239"/>
      <c r="O9199" s="225"/>
      <c r="P9199" s="260"/>
      <c r="Q9199" s="258"/>
      <c r="R9199" s="260"/>
      <c r="S9199" s="260"/>
      <c r="T9199" s="260"/>
      <c r="U9199" s="260"/>
      <c r="V9199" s="260"/>
      <c r="W9199" s="260"/>
      <c r="X9199" s="260"/>
      <c r="Y9199" s="260"/>
      <c r="Z9199" s="260"/>
      <c r="AA9199" s="260"/>
      <c r="AB9199" s="260"/>
      <c r="AC9199" s="260"/>
      <c r="AD9199" s="260"/>
      <c r="AE9199" s="260"/>
      <c r="AF9199" s="260"/>
      <c r="AG9199" s="258"/>
      <c r="AO9199"/>
      <c r="AP9199"/>
      <c r="AQ9199"/>
      <c r="AR9199"/>
      <c r="AS9199"/>
      <c r="AT9199"/>
      <c r="AU9199"/>
      <c r="AV9199"/>
      <c r="AW9199"/>
      <c r="AX9199"/>
      <c r="AY9199"/>
      <c r="AZ9199"/>
      <c r="BA9199"/>
      <c r="BB9199"/>
      <c r="BC9199"/>
      <c r="BD9199"/>
      <c r="BE9199"/>
      <c r="BF9199"/>
    </row>
    <row r="9200" spans="13:58" ht="12" hidden="1" customHeight="1">
      <c r="M9200" s="820"/>
      <c r="N9200" s="239"/>
      <c r="O9200" s="225"/>
      <c r="P9200" s="260"/>
      <c r="Q9200" s="258"/>
      <c r="R9200" s="260"/>
      <c r="S9200" s="260"/>
      <c r="T9200" s="260"/>
      <c r="U9200" s="260"/>
      <c r="V9200" s="260"/>
      <c r="W9200" s="260"/>
      <c r="X9200" s="260"/>
      <c r="Y9200" s="260"/>
      <c r="Z9200" s="260"/>
      <c r="AA9200" s="260"/>
      <c r="AB9200" s="260"/>
      <c r="AC9200" s="260"/>
      <c r="AD9200" s="260"/>
      <c r="AE9200" s="260"/>
      <c r="AF9200" s="260"/>
      <c r="AG9200" s="258"/>
      <c r="AO9200"/>
      <c r="AP9200"/>
      <c r="AQ9200"/>
      <c r="AR9200"/>
      <c r="AS9200"/>
      <c r="AT9200"/>
      <c r="AU9200"/>
      <c r="AV9200"/>
      <c r="AW9200"/>
      <c r="AX9200"/>
      <c r="AY9200"/>
      <c r="AZ9200"/>
      <c r="BA9200"/>
      <c r="BB9200"/>
      <c r="BC9200"/>
      <c r="BD9200"/>
      <c r="BE9200"/>
      <c r="BF9200"/>
    </row>
    <row r="9201" spans="13:58" ht="12" hidden="1" customHeight="1">
      <c r="M9201" s="820"/>
      <c r="N9201" s="239"/>
      <c r="O9201" s="225"/>
      <c r="P9201" s="260"/>
      <c r="Q9201" s="258"/>
      <c r="R9201" s="260"/>
      <c r="S9201" s="260"/>
      <c r="T9201" s="260"/>
      <c r="U9201" s="260"/>
      <c r="V9201" s="260"/>
      <c r="W9201" s="260"/>
      <c r="X9201" s="260"/>
      <c r="Y9201" s="260"/>
      <c r="Z9201" s="260"/>
      <c r="AA9201" s="260"/>
      <c r="AB9201" s="260"/>
      <c r="AC9201" s="260"/>
      <c r="AD9201" s="260"/>
      <c r="AE9201" s="260"/>
      <c r="AF9201" s="260"/>
      <c r="AG9201" s="258"/>
      <c r="AO9201"/>
      <c r="AP9201"/>
      <c r="AQ9201"/>
      <c r="AR9201"/>
      <c r="AS9201"/>
      <c r="AT9201"/>
      <c r="AU9201"/>
      <c r="AV9201"/>
      <c r="AW9201"/>
      <c r="AX9201"/>
      <c r="AY9201"/>
      <c r="AZ9201"/>
      <c r="BA9201"/>
      <c r="BB9201"/>
      <c r="BC9201"/>
      <c r="BD9201"/>
      <c r="BE9201"/>
      <c r="BF9201"/>
    </row>
    <row r="9202" spans="13:58" ht="12" hidden="1" customHeight="1">
      <c r="M9202" s="820"/>
      <c r="N9202" s="239"/>
      <c r="O9202" s="225"/>
      <c r="P9202" s="260"/>
      <c r="Q9202" s="258"/>
      <c r="R9202" s="260"/>
      <c r="S9202" s="260"/>
      <c r="T9202" s="260"/>
      <c r="U9202" s="260"/>
      <c r="V9202" s="260"/>
      <c r="W9202" s="260"/>
      <c r="X9202" s="260"/>
      <c r="Y9202" s="260"/>
      <c r="Z9202" s="260"/>
      <c r="AA9202" s="260"/>
      <c r="AB9202" s="260"/>
      <c r="AC9202" s="260"/>
      <c r="AD9202" s="260"/>
      <c r="AE9202" s="260"/>
      <c r="AF9202" s="260"/>
      <c r="AG9202" s="258"/>
      <c r="AO9202"/>
      <c r="AP9202"/>
      <c r="AQ9202"/>
      <c r="AR9202"/>
      <c r="AS9202"/>
      <c r="AT9202"/>
      <c r="AU9202"/>
      <c r="AV9202"/>
      <c r="AW9202"/>
      <c r="AX9202"/>
      <c r="AY9202"/>
      <c r="AZ9202"/>
      <c r="BA9202"/>
      <c r="BB9202"/>
      <c r="BC9202"/>
      <c r="BD9202"/>
      <c r="BE9202"/>
      <c r="BF9202"/>
    </row>
    <row r="9203" spans="13:58" ht="12" hidden="1" customHeight="1">
      <c r="M9203" s="820"/>
      <c r="N9203" s="239"/>
      <c r="O9203" s="225"/>
      <c r="P9203" s="260"/>
      <c r="Q9203" s="258"/>
      <c r="R9203" s="260"/>
      <c r="S9203" s="260"/>
      <c r="T9203" s="260"/>
      <c r="U9203" s="260"/>
      <c r="V9203" s="260"/>
      <c r="W9203" s="260"/>
      <c r="X9203" s="260"/>
      <c r="Y9203" s="260"/>
      <c r="Z9203" s="260"/>
      <c r="AA9203" s="260"/>
      <c r="AB9203" s="260"/>
      <c r="AC9203" s="260"/>
      <c r="AD9203" s="260"/>
      <c r="AE9203" s="260"/>
      <c r="AF9203" s="260"/>
      <c r="AG9203" s="258"/>
      <c r="AO9203"/>
      <c r="AP9203"/>
      <c r="AQ9203"/>
      <c r="AR9203"/>
      <c r="AS9203"/>
      <c r="AT9203"/>
      <c r="AU9203"/>
      <c r="AV9203"/>
      <c r="AW9203"/>
      <c r="AX9203"/>
      <c r="AY9203"/>
      <c r="AZ9203"/>
      <c r="BA9203"/>
      <c r="BB9203"/>
      <c r="BC9203"/>
      <c r="BD9203"/>
      <c r="BE9203"/>
      <c r="BF9203"/>
    </row>
    <row r="9204" spans="13:58" ht="12" hidden="1" customHeight="1">
      <c r="M9204" s="820"/>
      <c r="N9204" s="239"/>
      <c r="O9204" s="225"/>
      <c r="P9204" s="260"/>
      <c r="Q9204" s="258"/>
      <c r="R9204" s="260"/>
      <c r="S9204" s="260"/>
      <c r="T9204" s="260"/>
      <c r="U9204" s="260"/>
      <c r="V9204" s="260"/>
      <c r="W9204" s="260"/>
      <c r="X9204" s="260"/>
      <c r="Y9204" s="260"/>
      <c r="Z9204" s="260"/>
      <c r="AA9204" s="260"/>
      <c r="AB9204" s="260"/>
      <c r="AC9204" s="260"/>
      <c r="AD9204" s="260"/>
      <c r="AE9204" s="260"/>
      <c r="AF9204" s="260"/>
      <c r="AG9204" s="258"/>
      <c r="AO9204"/>
      <c r="AP9204"/>
      <c r="AQ9204"/>
      <c r="AR9204"/>
      <c r="AS9204"/>
      <c r="AT9204"/>
      <c r="AU9204"/>
      <c r="AV9204"/>
      <c r="AW9204"/>
      <c r="AX9204"/>
      <c r="AY9204"/>
      <c r="AZ9204"/>
      <c r="BA9204"/>
      <c r="BB9204"/>
      <c r="BC9204"/>
      <c r="BD9204"/>
      <c r="BE9204"/>
      <c r="BF9204"/>
    </row>
    <row r="9205" spans="13:58" ht="12" hidden="1" customHeight="1">
      <c r="M9205" s="820"/>
      <c r="N9205" s="239"/>
      <c r="O9205" s="225"/>
      <c r="P9205" s="260"/>
      <c r="Q9205" s="258"/>
      <c r="R9205" s="260"/>
      <c r="S9205" s="260"/>
      <c r="T9205" s="260"/>
      <c r="U9205" s="260"/>
      <c r="V9205" s="260"/>
      <c r="W9205" s="260"/>
      <c r="X9205" s="260"/>
      <c r="Y9205" s="260"/>
      <c r="Z9205" s="260"/>
      <c r="AA9205" s="260"/>
      <c r="AB9205" s="260"/>
      <c r="AC9205" s="260"/>
      <c r="AD9205" s="260"/>
      <c r="AE9205" s="260"/>
      <c r="AF9205" s="260"/>
      <c r="AG9205" s="258"/>
      <c r="AO9205"/>
      <c r="AP9205"/>
      <c r="AQ9205"/>
      <c r="AR9205"/>
      <c r="AS9205"/>
      <c r="AT9205"/>
      <c r="AU9205"/>
      <c r="AV9205"/>
      <c r="AW9205"/>
      <c r="AX9205"/>
      <c r="AY9205"/>
      <c r="AZ9205"/>
      <c r="BA9205"/>
      <c r="BB9205"/>
      <c r="BC9205"/>
      <c r="BD9205"/>
      <c r="BE9205"/>
      <c r="BF9205"/>
    </row>
    <row r="9206" spans="13:58" ht="12" hidden="1" customHeight="1">
      <c r="M9206" s="820"/>
      <c r="N9206" s="239"/>
      <c r="O9206" s="225"/>
      <c r="P9206" s="260"/>
      <c r="Q9206" s="258"/>
      <c r="R9206" s="260"/>
      <c r="S9206" s="260"/>
      <c r="T9206" s="260"/>
      <c r="U9206" s="260"/>
      <c r="V9206" s="260"/>
      <c r="W9206" s="260"/>
      <c r="X9206" s="260"/>
      <c r="Y9206" s="260"/>
      <c r="Z9206" s="260"/>
      <c r="AA9206" s="260"/>
      <c r="AB9206" s="260"/>
      <c r="AC9206" s="260"/>
      <c r="AD9206" s="260"/>
      <c r="AE9206" s="260"/>
      <c r="AF9206" s="260"/>
      <c r="AG9206" s="258"/>
      <c r="AO9206"/>
      <c r="AP9206"/>
      <c r="AQ9206"/>
      <c r="AR9206"/>
      <c r="AS9206"/>
      <c r="AT9206"/>
      <c r="AU9206"/>
      <c r="AV9206"/>
      <c r="AW9206"/>
      <c r="AX9206"/>
      <c r="AY9206"/>
      <c r="AZ9206"/>
      <c r="BA9206"/>
      <c r="BB9206"/>
      <c r="BC9206"/>
      <c r="BD9206"/>
      <c r="BE9206"/>
      <c r="BF9206"/>
    </row>
    <row r="9207" spans="13:58" ht="12" hidden="1" customHeight="1">
      <c r="M9207" s="820"/>
      <c r="N9207" s="239"/>
      <c r="O9207" s="225"/>
      <c r="P9207" s="260"/>
      <c r="Q9207" s="258"/>
      <c r="R9207" s="260"/>
      <c r="S9207" s="260"/>
      <c r="T9207" s="260"/>
      <c r="U9207" s="260"/>
      <c r="V9207" s="260"/>
      <c r="W9207" s="260"/>
      <c r="X9207" s="260"/>
      <c r="Y9207" s="260"/>
      <c r="Z9207" s="260"/>
      <c r="AA9207" s="260"/>
      <c r="AB9207" s="260"/>
      <c r="AC9207" s="260"/>
      <c r="AD9207" s="260"/>
      <c r="AE9207" s="260"/>
      <c r="AF9207" s="260"/>
      <c r="AG9207" s="258"/>
      <c r="AO9207"/>
      <c r="AP9207"/>
      <c r="AQ9207"/>
      <c r="AR9207"/>
      <c r="AS9207"/>
      <c r="AT9207"/>
      <c r="AU9207"/>
      <c r="AV9207"/>
      <c r="AW9207"/>
      <c r="AX9207"/>
      <c r="AY9207"/>
      <c r="AZ9207"/>
      <c r="BA9207"/>
      <c r="BB9207"/>
      <c r="BC9207"/>
      <c r="BD9207"/>
      <c r="BE9207"/>
      <c r="BF9207"/>
    </row>
    <row r="9208" spans="13:58" ht="12" hidden="1" customHeight="1">
      <c r="M9208" s="820"/>
      <c r="N9208" s="239"/>
      <c r="O9208" s="225"/>
      <c r="P9208" s="260"/>
      <c r="Q9208" s="258"/>
      <c r="R9208" s="260"/>
      <c r="S9208" s="260"/>
      <c r="T9208" s="260"/>
      <c r="U9208" s="260"/>
      <c r="V9208" s="260"/>
      <c r="W9208" s="260"/>
      <c r="X9208" s="260"/>
      <c r="Y9208" s="260"/>
      <c r="Z9208" s="260"/>
      <c r="AA9208" s="260"/>
      <c r="AB9208" s="260"/>
      <c r="AC9208" s="260"/>
      <c r="AD9208" s="260"/>
      <c r="AE9208" s="260"/>
      <c r="AF9208" s="260"/>
      <c r="AG9208" s="258"/>
      <c r="AO9208"/>
      <c r="AP9208"/>
      <c r="AQ9208"/>
      <c r="AR9208"/>
      <c r="AS9208"/>
      <c r="AT9208"/>
      <c r="AU9208"/>
      <c r="AV9208"/>
      <c r="AW9208"/>
      <c r="AX9208"/>
      <c r="AY9208"/>
      <c r="AZ9208"/>
      <c r="BA9208"/>
      <c r="BB9208"/>
      <c r="BC9208"/>
      <c r="BD9208"/>
      <c r="BE9208"/>
      <c r="BF9208"/>
    </row>
    <row r="9209" spans="13:58" ht="12" hidden="1" customHeight="1">
      <c r="M9209" s="820"/>
      <c r="N9209" s="239"/>
      <c r="O9209" s="225"/>
      <c r="P9209" s="260"/>
      <c r="Q9209" s="258"/>
      <c r="R9209" s="260"/>
      <c r="S9209" s="260"/>
      <c r="T9209" s="260"/>
      <c r="U9209" s="260"/>
      <c r="V9209" s="260"/>
      <c r="W9209" s="260"/>
      <c r="X9209" s="260"/>
      <c r="Y9209" s="260"/>
      <c r="Z9209" s="260"/>
      <c r="AA9209" s="260"/>
      <c r="AB9209" s="260"/>
      <c r="AC9209" s="260"/>
      <c r="AD9209" s="260"/>
      <c r="AE9209" s="260"/>
      <c r="AF9209" s="260"/>
      <c r="AG9209" s="258"/>
      <c r="AO9209"/>
      <c r="AP9209"/>
      <c r="AQ9209"/>
      <c r="AR9209"/>
      <c r="AS9209"/>
      <c r="AT9209"/>
      <c r="AU9209"/>
      <c r="AV9209"/>
      <c r="AW9209"/>
      <c r="AX9209"/>
      <c r="AY9209"/>
      <c r="AZ9209"/>
      <c r="BA9209"/>
      <c r="BB9209"/>
      <c r="BC9209"/>
      <c r="BD9209"/>
      <c r="BE9209"/>
      <c r="BF9209"/>
    </row>
    <row r="9210" spans="13:58" ht="12" hidden="1" customHeight="1">
      <c r="M9210" s="820"/>
      <c r="N9210" s="239"/>
      <c r="O9210" s="225"/>
      <c r="P9210" s="260"/>
      <c r="Q9210" s="258"/>
      <c r="R9210" s="260"/>
      <c r="S9210" s="260"/>
      <c r="T9210" s="260"/>
      <c r="U9210" s="260"/>
      <c r="V9210" s="260"/>
      <c r="W9210" s="260"/>
      <c r="X9210" s="260"/>
      <c r="Y9210" s="260"/>
      <c r="Z9210" s="260"/>
      <c r="AA9210" s="260"/>
      <c r="AB9210" s="260"/>
      <c r="AC9210" s="260"/>
      <c r="AD9210" s="260"/>
      <c r="AE9210" s="260"/>
      <c r="AF9210" s="260"/>
      <c r="AG9210" s="258"/>
      <c r="AO9210"/>
      <c r="AP9210"/>
      <c r="AQ9210"/>
      <c r="AR9210"/>
      <c r="AS9210"/>
      <c r="AT9210"/>
      <c r="AU9210"/>
      <c r="AV9210"/>
      <c r="AW9210"/>
      <c r="AX9210"/>
      <c r="AY9210"/>
      <c r="AZ9210"/>
      <c r="BA9210"/>
      <c r="BB9210"/>
      <c r="BC9210"/>
      <c r="BD9210"/>
      <c r="BE9210"/>
      <c r="BF9210"/>
    </row>
    <row r="9211" spans="13:58" ht="12" hidden="1" customHeight="1">
      <c r="M9211" s="820"/>
      <c r="N9211" s="239"/>
      <c r="O9211" s="225"/>
      <c r="P9211" s="260"/>
      <c r="Q9211" s="258"/>
      <c r="R9211" s="260"/>
      <c r="S9211" s="260"/>
      <c r="T9211" s="260"/>
      <c r="U9211" s="260"/>
      <c r="V9211" s="260"/>
      <c r="W9211" s="260"/>
      <c r="X9211" s="260"/>
      <c r="Y9211" s="260"/>
      <c r="Z9211" s="260"/>
      <c r="AA9211" s="260"/>
      <c r="AB9211" s="260"/>
      <c r="AC9211" s="260"/>
      <c r="AD9211" s="260"/>
      <c r="AE9211" s="260"/>
      <c r="AF9211" s="260"/>
      <c r="AG9211" s="258"/>
      <c r="AO9211"/>
      <c r="AP9211"/>
      <c r="AQ9211"/>
      <c r="AR9211"/>
      <c r="AS9211"/>
      <c r="AT9211"/>
      <c r="AU9211"/>
      <c r="AV9211"/>
      <c r="AW9211"/>
      <c r="AX9211"/>
      <c r="AY9211"/>
      <c r="AZ9211"/>
      <c r="BA9211"/>
      <c r="BB9211"/>
      <c r="BC9211"/>
      <c r="BD9211"/>
      <c r="BE9211"/>
      <c r="BF9211"/>
    </row>
    <row r="9212" spans="13:58" ht="12" hidden="1" customHeight="1">
      <c r="M9212" s="820"/>
      <c r="N9212" s="239"/>
      <c r="O9212" s="225"/>
      <c r="P9212" s="260"/>
      <c r="Q9212" s="258"/>
      <c r="R9212" s="260"/>
      <c r="S9212" s="260"/>
      <c r="T9212" s="260"/>
      <c r="U9212" s="260"/>
      <c r="V9212" s="260"/>
      <c r="W9212" s="260"/>
      <c r="X9212" s="260"/>
      <c r="Y9212" s="260"/>
      <c r="Z9212" s="260"/>
      <c r="AA9212" s="260"/>
      <c r="AB9212" s="260"/>
      <c r="AC9212" s="260"/>
      <c r="AD9212" s="260"/>
      <c r="AE9212" s="260"/>
      <c r="AF9212" s="260"/>
      <c r="AG9212" s="258"/>
      <c r="AO9212"/>
      <c r="AP9212"/>
      <c r="AQ9212"/>
      <c r="AR9212"/>
      <c r="AS9212"/>
      <c r="AT9212"/>
      <c r="AU9212"/>
      <c r="AV9212"/>
      <c r="AW9212"/>
      <c r="AX9212"/>
      <c r="AY9212"/>
      <c r="AZ9212"/>
      <c r="BA9212"/>
      <c r="BB9212"/>
      <c r="BC9212"/>
      <c r="BD9212"/>
      <c r="BE9212"/>
      <c r="BF9212"/>
    </row>
    <row r="9213" spans="13:58" ht="12" hidden="1" customHeight="1">
      <c r="M9213" s="820"/>
      <c r="N9213" s="239"/>
      <c r="O9213" s="225"/>
      <c r="P9213" s="260"/>
      <c r="Q9213" s="258"/>
      <c r="R9213" s="260"/>
      <c r="S9213" s="260"/>
      <c r="T9213" s="260"/>
      <c r="U9213" s="260"/>
      <c r="V9213" s="260"/>
      <c r="W9213" s="260"/>
      <c r="X9213" s="260"/>
      <c r="Y9213" s="260"/>
      <c r="Z9213" s="260"/>
      <c r="AA9213" s="260"/>
      <c r="AB9213" s="260"/>
      <c r="AC9213" s="260"/>
      <c r="AD9213" s="260"/>
      <c r="AE9213" s="260"/>
      <c r="AF9213" s="260"/>
      <c r="AG9213" s="258"/>
      <c r="AO9213"/>
      <c r="AP9213"/>
      <c r="AQ9213"/>
      <c r="AR9213"/>
      <c r="AS9213"/>
      <c r="AT9213"/>
      <c r="AU9213"/>
      <c r="AV9213"/>
      <c r="AW9213"/>
      <c r="AX9213"/>
      <c r="AY9213"/>
      <c r="AZ9213"/>
      <c r="BA9213"/>
      <c r="BB9213"/>
      <c r="BC9213"/>
      <c r="BD9213"/>
      <c r="BE9213"/>
      <c r="BF9213"/>
    </row>
    <row r="9214" spans="13:58" ht="12" hidden="1" customHeight="1">
      <c r="M9214" s="820"/>
      <c r="N9214" s="239"/>
      <c r="O9214" s="225"/>
      <c r="P9214" s="260"/>
      <c r="Q9214" s="258"/>
      <c r="R9214" s="260"/>
      <c r="S9214" s="260"/>
      <c r="T9214" s="260"/>
      <c r="U9214" s="260"/>
      <c r="V9214" s="260"/>
      <c r="W9214" s="260"/>
      <c r="X9214" s="260"/>
      <c r="Y9214" s="260"/>
      <c r="Z9214" s="260"/>
      <c r="AA9214" s="260"/>
      <c r="AB9214" s="260"/>
      <c r="AC9214" s="260"/>
      <c r="AD9214" s="260"/>
      <c r="AE9214" s="260"/>
      <c r="AF9214" s="260"/>
      <c r="AG9214" s="258"/>
      <c r="AO9214"/>
      <c r="AP9214"/>
      <c r="AQ9214"/>
      <c r="AR9214"/>
      <c r="AS9214"/>
      <c r="AT9214"/>
      <c r="AU9214"/>
      <c r="AV9214"/>
      <c r="AW9214"/>
      <c r="AX9214"/>
      <c r="AY9214"/>
      <c r="AZ9214"/>
      <c r="BA9214"/>
      <c r="BB9214"/>
      <c r="BC9214"/>
      <c r="BD9214"/>
      <c r="BE9214"/>
      <c r="BF9214"/>
    </row>
    <row r="9215" spans="13:58" ht="12" hidden="1" customHeight="1">
      <c r="M9215" s="820"/>
      <c r="N9215" s="239"/>
      <c r="O9215" s="225"/>
      <c r="P9215" s="260"/>
      <c r="Q9215" s="258"/>
      <c r="R9215" s="260"/>
      <c r="S9215" s="260"/>
      <c r="T9215" s="260"/>
      <c r="U9215" s="260"/>
      <c r="V9215" s="260"/>
      <c r="W9215" s="260"/>
      <c r="X9215" s="260"/>
      <c r="Y9215" s="260"/>
      <c r="Z9215" s="260"/>
      <c r="AA9215" s="260"/>
      <c r="AB9215" s="260"/>
      <c r="AC9215" s="260"/>
      <c r="AD9215" s="260"/>
      <c r="AE9215" s="260"/>
      <c r="AF9215" s="260"/>
      <c r="AG9215" s="258"/>
      <c r="AO9215"/>
      <c r="AP9215"/>
      <c r="AQ9215"/>
      <c r="AR9215"/>
      <c r="AS9215"/>
      <c r="AT9215"/>
      <c r="AU9215"/>
      <c r="AV9215"/>
      <c r="AW9215"/>
      <c r="AX9215"/>
      <c r="AY9215"/>
      <c r="AZ9215"/>
      <c r="BA9215"/>
      <c r="BB9215"/>
      <c r="BC9215"/>
      <c r="BD9215"/>
      <c r="BE9215"/>
      <c r="BF9215"/>
    </row>
    <row r="9216" spans="13:58" ht="12" hidden="1" customHeight="1">
      <c r="M9216" s="820"/>
      <c r="N9216" s="239"/>
      <c r="O9216" s="225"/>
      <c r="P9216" s="260"/>
      <c r="Q9216" s="258"/>
      <c r="R9216" s="260"/>
      <c r="S9216" s="260"/>
      <c r="T9216" s="260"/>
      <c r="U9216" s="260"/>
      <c r="V9216" s="260"/>
      <c r="W9216" s="260"/>
      <c r="X9216" s="260"/>
      <c r="Y9216" s="260"/>
      <c r="Z9216" s="260"/>
      <c r="AA9216" s="260"/>
      <c r="AB9216" s="260"/>
      <c r="AC9216" s="260"/>
      <c r="AD9216" s="260"/>
      <c r="AE9216" s="260"/>
      <c r="AF9216" s="260"/>
      <c r="AG9216" s="258"/>
      <c r="AO9216"/>
      <c r="AP9216"/>
      <c r="AQ9216"/>
      <c r="AR9216"/>
      <c r="AS9216"/>
      <c r="AT9216"/>
      <c r="AU9216"/>
      <c r="AV9216"/>
      <c r="AW9216"/>
      <c r="AX9216"/>
      <c r="AY9216"/>
      <c r="AZ9216"/>
      <c r="BA9216"/>
      <c r="BB9216"/>
      <c r="BC9216"/>
      <c r="BD9216"/>
      <c r="BE9216"/>
      <c r="BF9216"/>
    </row>
    <row r="9217" spans="13:58" ht="12" hidden="1" customHeight="1">
      <c r="M9217" s="820"/>
      <c r="N9217" s="239"/>
      <c r="O9217" s="225"/>
      <c r="P9217" s="260"/>
      <c r="Q9217" s="258"/>
      <c r="R9217" s="260"/>
      <c r="S9217" s="260"/>
      <c r="T9217" s="260"/>
      <c r="U9217" s="260"/>
      <c r="V9217" s="260"/>
      <c r="W9217" s="260"/>
      <c r="X9217" s="260"/>
      <c r="Y9217" s="260"/>
      <c r="Z9217" s="260"/>
      <c r="AA9217" s="260"/>
      <c r="AB9217" s="260"/>
      <c r="AC9217" s="260"/>
      <c r="AD9217" s="260"/>
      <c r="AE9217" s="260"/>
      <c r="AF9217" s="260"/>
      <c r="AG9217" s="258"/>
      <c r="AO9217"/>
      <c r="AP9217"/>
      <c r="AQ9217"/>
      <c r="AR9217"/>
      <c r="AS9217"/>
      <c r="AT9217"/>
      <c r="AU9217"/>
      <c r="AV9217"/>
      <c r="AW9217"/>
      <c r="AX9217"/>
      <c r="AY9217"/>
      <c r="AZ9217"/>
      <c r="BA9217"/>
      <c r="BB9217"/>
      <c r="BC9217"/>
      <c r="BD9217"/>
      <c r="BE9217"/>
      <c r="BF9217"/>
    </row>
    <row r="9218" spans="13:58" ht="12" hidden="1" customHeight="1">
      <c r="M9218" s="820"/>
      <c r="N9218" s="239"/>
      <c r="O9218" s="225"/>
      <c r="P9218" s="260"/>
      <c r="Q9218" s="258"/>
      <c r="R9218" s="260"/>
      <c r="S9218" s="260"/>
      <c r="T9218" s="260"/>
      <c r="U9218" s="260"/>
      <c r="V9218" s="260"/>
      <c r="W9218" s="260"/>
      <c r="X9218" s="260"/>
      <c r="Y9218" s="260"/>
      <c r="Z9218" s="260"/>
      <c r="AA9218" s="260"/>
      <c r="AB9218" s="260"/>
      <c r="AC9218" s="260"/>
      <c r="AD9218" s="260"/>
      <c r="AE9218" s="260"/>
      <c r="AF9218" s="260"/>
      <c r="AG9218" s="258"/>
      <c r="AO9218"/>
      <c r="AP9218"/>
      <c r="AQ9218"/>
      <c r="AR9218"/>
      <c r="AS9218"/>
      <c r="AT9218"/>
      <c r="AU9218"/>
      <c r="AV9218"/>
      <c r="AW9218"/>
      <c r="AX9218"/>
      <c r="AY9218"/>
      <c r="AZ9218"/>
      <c r="BA9218"/>
      <c r="BB9218"/>
      <c r="BC9218"/>
      <c r="BD9218"/>
      <c r="BE9218"/>
      <c r="BF9218"/>
    </row>
    <row r="9219" spans="13:58" ht="12" hidden="1" customHeight="1">
      <c r="M9219" s="820"/>
      <c r="N9219" s="239"/>
      <c r="O9219" s="225"/>
      <c r="P9219" s="260"/>
      <c r="Q9219" s="258"/>
      <c r="R9219" s="260"/>
      <c r="S9219" s="260"/>
      <c r="T9219" s="260"/>
      <c r="U9219" s="260"/>
      <c r="V9219" s="260"/>
      <c r="W9219" s="260"/>
      <c r="X9219" s="260"/>
      <c r="Y9219" s="260"/>
      <c r="Z9219" s="260"/>
      <c r="AA9219" s="260"/>
      <c r="AB9219" s="260"/>
      <c r="AC9219" s="260"/>
      <c r="AD9219" s="260"/>
      <c r="AE9219" s="260"/>
      <c r="AF9219" s="260"/>
      <c r="AG9219" s="258"/>
      <c r="AO9219"/>
      <c r="AP9219"/>
      <c r="AQ9219"/>
      <c r="AR9219"/>
      <c r="AS9219"/>
      <c r="AT9219"/>
      <c r="AU9219"/>
      <c r="AV9219"/>
      <c r="AW9219"/>
      <c r="AX9219"/>
      <c r="AY9219"/>
      <c r="AZ9219"/>
      <c r="BA9219"/>
      <c r="BB9219"/>
      <c r="BC9219"/>
      <c r="BD9219"/>
      <c r="BE9219"/>
      <c r="BF9219"/>
    </row>
    <row r="9220" spans="13:58" ht="12" hidden="1" customHeight="1">
      <c r="M9220" s="820"/>
      <c r="N9220" s="239"/>
      <c r="O9220" s="225"/>
      <c r="P9220" s="260"/>
      <c r="Q9220" s="258"/>
      <c r="R9220" s="260"/>
      <c r="S9220" s="260"/>
      <c r="T9220" s="260"/>
      <c r="U9220" s="260"/>
      <c r="V9220" s="260"/>
      <c r="W9220" s="260"/>
      <c r="X9220" s="260"/>
      <c r="Y9220" s="260"/>
      <c r="Z9220" s="260"/>
      <c r="AA9220" s="260"/>
      <c r="AB9220" s="260"/>
      <c r="AC9220" s="260"/>
      <c r="AD9220" s="260"/>
      <c r="AE9220" s="260"/>
      <c r="AF9220" s="260"/>
      <c r="AG9220" s="258"/>
      <c r="AO9220"/>
      <c r="AP9220"/>
      <c r="AQ9220"/>
      <c r="AR9220"/>
      <c r="AS9220"/>
      <c r="AT9220"/>
      <c r="AU9220"/>
      <c r="AV9220"/>
      <c r="AW9220"/>
      <c r="AX9220"/>
      <c r="AY9220"/>
      <c r="AZ9220"/>
      <c r="BA9220"/>
      <c r="BB9220"/>
      <c r="BC9220"/>
      <c r="BD9220"/>
      <c r="BE9220"/>
      <c r="BF9220"/>
    </row>
    <row r="9221" spans="13:58" ht="12" hidden="1" customHeight="1">
      <c r="M9221" s="820"/>
      <c r="N9221" s="239"/>
      <c r="O9221" s="225"/>
      <c r="P9221" s="260"/>
      <c r="Q9221" s="258"/>
      <c r="R9221" s="260"/>
      <c r="S9221" s="260"/>
      <c r="T9221" s="260"/>
      <c r="U9221" s="260"/>
      <c r="V9221" s="260"/>
      <c r="W9221" s="260"/>
      <c r="X9221" s="260"/>
      <c r="Y9221" s="260"/>
      <c r="Z9221" s="260"/>
      <c r="AA9221" s="260"/>
      <c r="AB9221" s="260"/>
      <c r="AC9221" s="260"/>
      <c r="AD9221" s="260"/>
      <c r="AE9221" s="260"/>
      <c r="AF9221" s="260"/>
      <c r="AG9221" s="258"/>
      <c r="AO9221"/>
      <c r="AP9221"/>
      <c r="AQ9221"/>
      <c r="AR9221"/>
      <c r="AS9221"/>
      <c r="AT9221"/>
      <c r="AU9221"/>
      <c r="AV9221"/>
      <c r="AW9221"/>
      <c r="AX9221"/>
      <c r="AY9221"/>
      <c r="AZ9221"/>
      <c r="BA9221"/>
      <c r="BB9221"/>
      <c r="BC9221"/>
      <c r="BD9221"/>
      <c r="BE9221"/>
      <c r="BF9221"/>
    </row>
    <row r="9222" spans="13:58" ht="12" hidden="1" customHeight="1">
      <c r="M9222" s="820"/>
      <c r="N9222" s="239"/>
      <c r="O9222" s="225"/>
      <c r="P9222" s="260"/>
      <c r="Q9222" s="258"/>
      <c r="R9222" s="260"/>
      <c r="S9222" s="260"/>
      <c r="T9222" s="260"/>
      <c r="U9222" s="260"/>
      <c r="V9222" s="260"/>
      <c r="W9222" s="260"/>
      <c r="X9222" s="260"/>
      <c r="Y9222" s="260"/>
      <c r="Z9222" s="260"/>
      <c r="AA9222" s="260"/>
      <c r="AB9222" s="260"/>
      <c r="AC9222" s="260"/>
      <c r="AD9222" s="260"/>
      <c r="AE9222" s="260"/>
      <c r="AF9222" s="260"/>
      <c r="AG9222" s="258"/>
      <c r="AO9222"/>
      <c r="AP9222"/>
      <c r="AQ9222"/>
      <c r="AR9222"/>
      <c r="AS9222"/>
      <c r="AT9222"/>
      <c r="AU9222"/>
      <c r="AV9222"/>
      <c r="AW9222"/>
      <c r="AX9222"/>
      <c r="AY9222"/>
      <c r="AZ9222"/>
      <c r="BA9222"/>
      <c r="BB9222"/>
      <c r="BC9222"/>
      <c r="BD9222"/>
      <c r="BE9222"/>
      <c r="BF9222"/>
    </row>
    <row r="9223" spans="13:58" ht="12" hidden="1" customHeight="1">
      <c r="M9223" s="820"/>
      <c r="N9223" s="239"/>
      <c r="O9223" s="225"/>
      <c r="P9223" s="260"/>
      <c r="Q9223" s="258"/>
      <c r="R9223" s="260"/>
      <c r="S9223" s="260"/>
      <c r="T9223" s="260"/>
      <c r="U9223" s="260"/>
      <c r="V9223" s="260"/>
      <c r="W9223" s="260"/>
      <c r="X9223" s="260"/>
      <c r="Y9223" s="260"/>
      <c r="Z9223" s="260"/>
      <c r="AA9223" s="260"/>
      <c r="AB9223" s="260"/>
      <c r="AC9223" s="260"/>
      <c r="AD9223" s="260"/>
      <c r="AE9223" s="260"/>
      <c r="AF9223" s="260"/>
      <c r="AG9223" s="258"/>
      <c r="AO9223"/>
      <c r="AP9223"/>
      <c r="AQ9223"/>
      <c r="AR9223"/>
      <c r="AS9223"/>
      <c r="AT9223"/>
      <c r="AU9223"/>
      <c r="AV9223"/>
      <c r="AW9223"/>
      <c r="AX9223"/>
      <c r="AY9223"/>
      <c r="AZ9223"/>
      <c r="BA9223"/>
      <c r="BB9223"/>
      <c r="BC9223"/>
      <c r="BD9223"/>
      <c r="BE9223"/>
      <c r="BF9223"/>
    </row>
    <row r="9224" spans="13:58" ht="12" hidden="1" customHeight="1">
      <c r="M9224" s="820"/>
      <c r="N9224" s="239"/>
      <c r="O9224" s="225"/>
      <c r="P9224" s="260"/>
      <c r="Q9224" s="258"/>
      <c r="R9224" s="260"/>
      <c r="S9224" s="260"/>
      <c r="T9224" s="260"/>
      <c r="U9224" s="260"/>
      <c r="V9224" s="260"/>
      <c r="W9224" s="260"/>
      <c r="X9224" s="260"/>
      <c r="Y9224" s="260"/>
      <c r="Z9224" s="260"/>
      <c r="AA9224" s="260"/>
      <c r="AB9224" s="260"/>
      <c r="AC9224" s="260"/>
      <c r="AD9224" s="260"/>
      <c r="AE9224" s="260"/>
      <c r="AF9224" s="260"/>
      <c r="AG9224" s="258"/>
      <c r="AO9224"/>
      <c r="AP9224"/>
      <c r="AQ9224"/>
      <c r="AR9224"/>
      <c r="AS9224"/>
      <c r="AT9224"/>
      <c r="AU9224"/>
      <c r="AV9224"/>
      <c r="AW9224"/>
      <c r="AX9224"/>
      <c r="AY9224"/>
      <c r="AZ9224"/>
      <c r="BA9224"/>
      <c r="BB9224"/>
      <c r="BC9224"/>
      <c r="BD9224"/>
      <c r="BE9224"/>
      <c r="BF9224"/>
    </row>
    <row r="9225" spans="13:58" ht="12" hidden="1" customHeight="1">
      <c r="M9225" s="820"/>
      <c r="N9225" s="239"/>
      <c r="O9225" s="225"/>
      <c r="P9225" s="260"/>
      <c r="Q9225" s="258"/>
      <c r="R9225" s="260"/>
      <c r="S9225" s="260"/>
      <c r="T9225" s="260"/>
      <c r="U9225" s="260"/>
      <c r="V9225" s="260"/>
      <c r="W9225" s="260"/>
      <c r="X9225" s="260"/>
      <c r="Y9225" s="260"/>
      <c r="Z9225" s="260"/>
      <c r="AA9225" s="260"/>
      <c r="AB9225" s="260"/>
      <c r="AC9225" s="260"/>
      <c r="AD9225" s="260"/>
      <c r="AE9225" s="260"/>
      <c r="AF9225" s="260"/>
      <c r="AG9225" s="258"/>
      <c r="AO9225"/>
      <c r="AP9225"/>
      <c r="AQ9225"/>
      <c r="AR9225"/>
      <c r="AS9225"/>
      <c r="AT9225"/>
      <c r="AU9225"/>
      <c r="AV9225"/>
      <c r="AW9225"/>
      <c r="AX9225"/>
      <c r="AY9225"/>
      <c r="AZ9225"/>
      <c r="BA9225"/>
      <c r="BB9225"/>
      <c r="BC9225"/>
      <c r="BD9225"/>
      <c r="BE9225"/>
      <c r="BF9225"/>
    </row>
    <row r="9226" spans="13:58" ht="12" hidden="1" customHeight="1">
      <c r="M9226" s="820"/>
      <c r="N9226" s="239"/>
      <c r="O9226" s="225"/>
      <c r="P9226" s="260"/>
      <c r="Q9226" s="258"/>
      <c r="R9226" s="260"/>
      <c r="S9226" s="260"/>
      <c r="T9226" s="260"/>
      <c r="U9226" s="260"/>
      <c r="V9226" s="260"/>
      <c r="W9226" s="260"/>
      <c r="X9226" s="260"/>
      <c r="Y9226" s="260"/>
      <c r="Z9226" s="260"/>
      <c r="AA9226" s="260"/>
      <c r="AB9226" s="260"/>
      <c r="AC9226" s="260"/>
      <c r="AD9226" s="260"/>
      <c r="AE9226" s="260"/>
      <c r="AF9226" s="260"/>
      <c r="AG9226" s="258"/>
      <c r="AO9226"/>
      <c r="AP9226"/>
      <c r="AQ9226"/>
      <c r="AR9226"/>
      <c r="AS9226"/>
      <c r="AT9226"/>
      <c r="AU9226"/>
      <c r="AV9226"/>
      <c r="AW9226"/>
      <c r="AX9226"/>
      <c r="AY9226"/>
      <c r="AZ9226"/>
      <c r="BA9226"/>
      <c r="BB9226"/>
      <c r="BC9226"/>
      <c r="BD9226"/>
      <c r="BE9226"/>
      <c r="BF9226"/>
    </row>
    <row r="9227" spans="13:58" ht="12" hidden="1" customHeight="1">
      <c r="M9227" s="820"/>
      <c r="N9227" s="239"/>
      <c r="O9227" s="225"/>
      <c r="P9227" s="260"/>
      <c r="Q9227" s="258"/>
      <c r="R9227" s="260"/>
      <c r="S9227" s="260"/>
      <c r="T9227" s="260"/>
      <c r="U9227" s="260"/>
      <c r="V9227" s="260"/>
      <c r="W9227" s="260"/>
      <c r="X9227" s="260"/>
      <c r="Y9227" s="260"/>
      <c r="Z9227" s="260"/>
      <c r="AA9227" s="260"/>
      <c r="AB9227" s="260"/>
      <c r="AC9227" s="260"/>
      <c r="AD9227" s="260"/>
      <c r="AE9227" s="260"/>
      <c r="AF9227" s="260"/>
      <c r="AG9227" s="258"/>
      <c r="AO9227"/>
      <c r="AP9227"/>
      <c r="AQ9227"/>
      <c r="AR9227"/>
      <c r="AS9227"/>
      <c r="AT9227"/>
      <c r="AU9227"/>
      <c r="AV9227"/>
      <c r="AW9227"/>
      <c r="AX9227"/>
      <c r="AY9227"/>
      <c r="AZ9227"/>
      <c r="BA9227"/>
      <c r="BB9227"/>
      <c r="BC9227"/>
      <c r="BD9227"/>
      <c r="BE9227"/>
      <c r="BF9227"/>
    </row>
    <row r="9228" spans="13:58" ht="12" hidden="1" customHeight="1">
      <c r="M9228" s="820"/>
      <c r="N9228" s="239"/>
      <c r="O9228" s="225"/>
      <c r="P9228" s="260"/>
      <c r="Q9228" s="258"/>
      <c r="R9228" s="260"/>
      <c r="S9228" s="260"/>
      <c r="T9228" s="260"/>
      <c r="U9228" s="260"/>
      <c r="V9228" s="260"/>
      <c r="W9228" s="260"/>
      <c r="X9228" s="260"/>
      <c r="Y9228" s="260"/>
      <c r="Z9228" s="260"/>
      <c r="AA9228" s="260"/>
      <c r="AB9228" s="260"/>
      <c r="AC9228" s="260"/>
      <c r="AD9228" s="260"/>
      <c r="AE9228" s="260"/>
      <c r="AF9228" s="260"/>
      <c r="AG9228" s="258"/>
      <c r="AO9228"/>
      <c r="AP9228"/>
      <c r="AQ9228"/>
      <c r="AR9228"/>
      <c r="AS9228"/>
      <c r="AT9228"/>
      <c r="AU9228"/>
      <c r="AV9228"/>
      <c r="AW9228"/>
      <c r="AX9228"/>
      <c r="AY9228"/>
      <c r="AZ9228"/>
      <c r="BA9228"/>
      <c r="BB9228"/>
      <c r="BC9228"/>
      <c r="BD9228"/>
      <c r="BE9228"/>
      <c r="BF9228"/>
    </row>
    <row r="9229" spans="13:58" ht="12" hidden="1" customHeight="1">
      <c r="M9229" s="820"/>
      <c r="N9229" s="239"/>
      <c r="O9229" s="225"/>
      <c r="P9229" s="260"/>
      <c r="Q9229" s="258"/>
      <c r="R9229" s="260"/>
      <c r="S9229" s="260"/>
      <c r="T9229" s="260"/>
      <c r="U9229" s="260"/>
      <c r="V9229" s="260"/>
      <c r="W9229" s="260"/>
      <c r="X9229" s="260"/>
      <c r="Y9229" s="260"/>
      <c r="Z9229" s="260"/>
      <c r="AA9229" s="260"/>
      <c r="AB9229" s="260"/>
      <c r="AC9229" s="260"/>
      <c r="AD9229" s="260"/>
      <c r="AE9229" s="260"/>
      <c r="AF9229" s="260"/>
      <c r="AG9229" s="258"/>
      <c r="AO9229"/>
      <c r="AP9229"/>
      <c r="AQ9229"/>
      <c r="AR9229"/>
      <c r="AS9229"/>
      <c r="AT9229"/>
      <c r="AU9229"/>
      <c r="AV9229"/>
      <c r="AW9229"/>
      <c r="AX9229"/>
      <c r="AY9229"/>
      <c r="AZ9229"/>
      <c r="BA9229"/>
      <c r="BB9229"/>
      <c r="BC9229"/>
      <c r="BD9229"/>
      <c r="BE9229"/>
      <c r="BF9229"/>
    </row>
    <row r="9230" spans="13:58" ht="12" hidden="1" customHeight="1">
      <c r="M9230" s="820"/>
      <c r="N9230" s="239"/>
      <c r="O9230" s="225"/>
      <c r="P9230" s="260"/>
      <c r="Q9230" s="258"/>
      <c r="R9230" s="260"/>
      <c r="S9230" s="260"/>
      <c r="T9230" s="260"/>
      <c r="U9230" s="260"/>
      <c r="V9230" s="260"/>
      <c r="W9230" s="260"/>
      <c r="X9230" s="260"/>
      <c r="Y9230" s="260"/>
      <c r="Z9230" s="260"/>
      <c r="AA9230" s="260"/>
      <c r="AB9230" s="260"/>
      <c r="AC9230" s="260"/>
      <c r="AD9230" s="260"/>
      <c r="AE9230" s="260"/>
      <c r="AF9230" s="260"/>
      <c r="AG9230" s="258"/>
      <c r="AO9230"/>
      <c r="AP9230"/>
      <c r="AQ9230"/>
      <c r="AR9230"/>
      <c r="AS9230"/>
      <c r="AT9230"/>
      <c r="AU9230"/>
      <c r="AV9230"/>
      <c r="AW9230"/>
      <c r="AX9230"/>
      <c r="AY9230"/>
      <c r="AZ9230"/>
      <c r="BA9230"/>
      <c r="BB9230"/>
      <c r="BC9230"/>
      <c r="BD9230"/>
      <c r="BE9230"/>
      <c r="BF9230"/>
    </row>
    <row r="9231" spans="13:58" ht="12" hidden="1" customHeight="1">
      <c r="M9231" s="820"/>
      <c r="N9231" s="239"/>
      <c r="O9231" s="225"/>
      <c r="P9231" s="260"/>
      <c r="Q9231" s="258"/>
      <c r="R9231" s="260"/>
      <c r="S9231" s="260"/>
      <c r="T9231" s="260"/>
      <c r="U9231" s="260"/>
      <c r="V9231" s="260"/>
      <c r="W9231" s="260"/>
      <c r="X9231" s="260"/>
      <c r="Y9231" s="260"/>
      <c r="Z9231" s="260"/>
      <c r="AA9231" s="260"/>
      <c r="AB9231" s="260"/>
      <c r="AC9231" s="260"/>
      <c r="AD9231" s="260"/>
      <c r="AE9231" s="260"/>
      <c r="AF9231" s="260"/>
      <c r="AG9231" s="258"/>
      <c r="AO9231"/>
      <c r="AP9231"/>
      <c r="AQ9231"/>
      <c r="AR9231"/>
      <c r="AS9231"/>
      <c r="AT9231"/>
      <c r="AU9231"/>
      <c r="AV9231"/>
      <c r="AW9231"/>
      <c r="AX9231"/>
      <c r="AY9231"/>
      <c r="AZ9231"/>
      <c r="BA9231"/>
      <c r="BB9231"/>
      <c r="BC9231"/>
      <c r="BD9231"/>
      <c r="BE9231"/>
      <c r="BF9231"/>
    </row>
    <row r="9232" spans="13:58" ht="12" hidden="1" customHeight="1">
      <c r="M9232" s="820"/>
      <c r="N9232" s="239"/>
      <c r="O9232" s="225"/>
      <c r="P9232" s="260"/>
      <c r="Q9232" s="258"/>
      <c r="R9232" s="260"/>
      <c r="S9232" s="260"/>
      <c r="T9232" s="260"/>
      <c r="U9232" s="260"/>
      <c r="V9232" s="260"/>
      <c r="W9232" s="260"/>
      <c r="X9232" s="260"/>
      <c r="Y9232" s="260"/>
      <c r="Z9232" s="260"/>
      <c r="AA9232" s="260"/>
      <c r="AB9232" s="260"/>
      <c r="AC9232" s="260"/>
      <c r="AD9232" s="260"/>
      <c r="AE9232" s="260"/>
      <c r="AF9232" s="260"/>
      <c r="AG9232" s="258"/>
      <c r="AO9232"/>
      <c r="AP9232"/>
      <c r="AQ9232"/>
      <c r="AR9232"/>
      <c r="AS9232"/>
      <c r="AT9232"/>
      <c r="AU9232"/>
      <c r="AV9232"/>
      <c r="AW9232"/>
      <c r="AX9232"/>
      <c r="AY9232"/>
      <c r="AZ9232"/>
      <c r="BA9232"/>
      <c r="BB9232"/>
      <c r="BC9232"/>
      <c r="BD9232"/>
      <c r="BE9232"/>
      <c r="BF9232"/>
    </row>
    <row r="9233" spans="13:58" ht="12" hidden="1" customHeight="1">
      <c r="M9233" s="820"/>
      <c r="N9233" s="239"/>
      <c r="O9233" s="225"/>
      <c r="P9233" s="260"/>
      <c r="Q9233" s="258"/>
      <c r="R9233" s="260"/>
      <c r="S9233" s="260"/>
      <c r="T9233" s="260"/>
      <c r="U9233" s="260"/>
      <c r="V9233" s="260"/>
      <c r="W9233" s="260"/>
      <c r="X9233" s="260"/>
      <c r="Y9233" s="260"/>
      <c r="Z9233" s="260"/>
      <c r="AA9233" s="260"/>
      <c r="AB9233" s="260"/>
      <c r="AC9233" s="260"/>
      <c r="AD9233" s="260"/>
      <c r="AE9233" s="260"/>
      <c r="AF9233" s="260"/>
      <c r="AG9233" s="258"/>
      <c r="AO9233"/>
      <c r="AP9233"/>
      <c r="AQ9233"/>
      <c r="AR9233"/>
      <c r="AS9233"/>
      <c r="AT9233"/>
      <c r="AU9233"/>
      <c r="AV9233"/>
      <c r="AW9233"/>
      <c r="AX9233"/>
      <c r="AY9233"/>
      <c r="AZ9233"/>
      <c r="BA9233"/>
      <c r="BB9233"/>
      <c r="BC9233"/>
      <c r="BD9233"/>
      <c r="BE9233"/>
      <c r="BF9233"/>
    </row>
    <row r="9234" spans="13:58" ht="12" hidden="1" customHeight="1">
      <c r="M9234" s="820"/>
      <c r="N9234" s="239"/>
      <c r="O9234" s="225"/>
      <c r="P9234" s="260"/>
      <c r="Q9234" s="258"/>
      <c r="R9234" s="260"/>
      <c r="S9234" s="260"/>
      <c r="T9234" s="260"/>
      <c r="U9234" s="260"/>
      <c r="V9234" s="260"/>
      <c r="W9234" s="260"/>
      <c r="X9234" s="260"/>
      <c r="Y9234" s="260"/>
      <c r="Z9234" s="260"/>
      <c r="AA9234" s="260"/>
      <c r="AB9234" s="260"/>
      <c r="AC9234" s="260"/>
      <c r="AD9234" s="260"/>
      <c r="AE9234" s="260"/>
      <c r="AF9234" s="260"/>
      <c r="AG9234" s="258"/>
      <c r="AO9234"/>
      <c r="AP9234"/>
      <c r="AQ9234"/>
      <c r="AR9234"/>
      <c r="AS9234"/>
      <c r="AT9234"/>
      <c r="AU9234"/>
      <c r="AV9234"/>
      <c r="AW9234"/>
      <c r="AX9234"/>
      <c r="AY9234"/>
      <c r="AZ9234"/>
      <c r="BA9234"/>
      <c r="BB9234"/>
      <c r="BC9234"/>
      <c r="BD9234"/>
      <c r="BE9234"/>
      <c r="BF9234"/>
    </row>
    <row r="9235" spans="13:58" ht="12" hidden="1" customHeight="1">
      <c r="M9235" s="820"/>
      <c r="N9235" s="239"/>
      <c r="O9235" s="225"/>
      <c r="P9235" s="260"/>
      <c r="Q9235" s="258"/>
      <c r="R9235" s="260"/>
      <c r="S9235" s="260"/>
      <c r="T9235" s="260"/>
      <c r="U9235" s="260"/>
      <c r="V9235" s="260"/>
      <c r="W9235" s="260"/>
      <c r="X9235" s="260"/>
      <c r="Y9235" s="260"/>
      <c r="Z9235" s="260"/>
      <c r="AA9235" s="260"/>
      <c r="AB9235" s="260"/>
      <c r="AC9235" s="260"/>
      <c r="AD9235" s="260"/>
      <c r="AE9235" s="260"/>
      <c r="AF9235" s="260"/>
      <c r="AG9235" s="258"/>
      <c r="AO9235"/>
      <c r="AP9235"/>
      <c r="AQ9235"/>
      <c r="AR9235"/>
      <c r="AS9235"/>
      <c r="AT9235"/>
      <c r="AU9235"/>
      <c r="AV9235"/>
      <c r="AW9235"/>
      <c r="AX9235"/>
      <c r="AY9235"/>
      <c r="AZ9235"/>
      <c r="BA9235"/>
      <c r="BB9235"/>
      <c r="BC9235"/>
      <c r="BD9235"/>
      <c r="BE9235"/>
      <c r="BF9235"/>
    </row>
    <row r="9236" spans="13:58" ht="12" hidden="1" customHeight="1">
      <c r="M9236" s="820"/>
      <c r="N9236" s="239"/>
      <c r="O9236" s="225"/>
      <c r="P9236" s="260"/>
      <c r="Q9236" s="258"/>
      <c r="R9236" s="260"/>
      <c r="S9236" s="260"/>
      <c r="T9236" s="260"/>
      <c r="U9236" s="260"/>
      <c r="V9236" s="260"/>
      <c r="W9236" s="260"/>
      <c r="X9236" s="260"/>
      <c r="Y9236" s="260"/>
      <c r="Z9236" s="260"/>
      <c r="AA9236" s="260"/>
      <c r="AB9236" s="260"/>
      <c r="AC9236" s="260"/>
      <c r="AD9236" s="260"/>
      <c r="AE9236" s="260"/>
      <c r="AF9236" s="260"/>
      <c r="AG9236" s="258"/>
      <c r="AO9236"/>
      <c r="AP9236"/>
      <c r="AQ9236"/>
      <c r="AR9236"/>
      <c r="AS9236"/>
      <c r="AT9236"/>
      <c r="AU9236"/>
      <c r="AV9236"/>
      <c r="AW9236"/>
      <c r="AX9236"/>
      <c r="AY9236"/>
      <c r="AZ9236"/>
      <c r="BA9236"/>
      <c r="BB9236"/>
      <c r="BC9236"/>
      <c r="BD9236"/>
      <c r="BE9236"/>
      <c r="BF9236"/>
    </row>
    <row r="9237" spans="13:58" ht="12" hidden="1" customHeight="1">
      <c r="M9237" s="820"/>
      <c r="N9237" s="239"/>
      <c r="O9237" s="225"/>
      <c r="P9237" s="260"/>
      <c r="Q9237" s="258"/>
      <c r="R9237" s="260"/>
      <c r="S9237" s="260"/>
      <c r="T9237" s="260"/>
      <c r="U9237" s="260"/>
      <c r="V9237" s="260"/>
      <c r="W9237" s="260"/>
      <c r="X9237" s="260"/>
      <c r="Y9237" s="260"/>
      <c r="Z9237" s="260"/>
      <c r="AA9237" s="260"/>
      <c r="AB9237" s="260"/>
      <c r="AC9237" s="260"/>
      <c r="AD9237" s="260"/>
      <c r="AE9237" s="260"/>
      <c r="AF9237" s="260"/>
      <c r="AG9237" s="258"/>
      <c r="AO9237"/>
      <c r="AP9237"/>
      <c r="AQ9237"/>
      <c r="AR9237"/>
      <c r="AS9237"/>
      <c r="AT9237"/>
      <c r="AU9237"/>
      <c r="AV9237"/>
      <c r="AW9237"/>
      <c r="AX9237"/>
      <c r="AY9237"/>
      <c r="AZ9237"/>
      <c r="BA9237"/>
      <c r="BB9237"/>
      <c r="BC9237"/>
      <c r="BD9237"/>
      <c r="BE9237"/>
      <c r="BF9237"/>
    </row>
    <row r="9238" spans="13:58" ht="12" hidden="1" customHeight="1">
      <c r="M9238" s="820"/>
      <c r="N9238" s="239"/>
      <c r="O9238" s="225"/>
      <c r="P9238" s="260"/>
      <c r="Q9238" s="258"/>
      <c r="R9238" s="260"/>
      <c r="S9238" s="260"/>
      <c r="T9238" s="260"/>
      <c r="U9238" s="260"/>
      <c r="V9238" s="260"/>
      <c r="W9238" s="260"/>
      <c r="X9238" s="260"/>
      <c r="Y9238" s="260"/>
      <c r="Z9238" s="260"/>
      <c r="AA9238" s="260"/>
      <c r="AB9238" s="260"/>
      <c r="AC9238" s="260"/>
      <c r="AD9238" s="260"/>
      <c r="AE9238" s="260"/>
      <c r="AF9238" s="260"/>
      <c r="AG9238" s="258"/>
      <c r="AO9238"/>
      <c r="AP9238"/>
      <c r="AQ9238"/>
      <c r="AR9238"/>
      <c r="AS9238"/>
      <c r="AT9238"/>
      <c r="AU9238"/>
      <c r="AV9238"/>
      <c r="AW9238"/>
      <c r="AX9238"/>
      <c r="AY9238"/>
      <c r="AZ9238"/>
      <c r="BA9238"/>
      <c r="BB9238"/>
      <c r="BC9238"/>
      <c r="BD9238"/>
      <c r="BE9238"/>
      <c r="BF9238"/>
    </row>
    <row r="9239" spans="13:58" ht="12" hidden="1" customHeight="1">
      <c r="M9239" s="820"/>
      <c r="N9239" s="239"/>
      <c r="O9239" s="225"/>
      <c r="P9239" s="260"/>
      <c r="Q9239" s="258"/>
      <c r="R9239" s="260"/>
      <c r="S9239" s="260"/>
      <c r="T9239" s="260"/>
      <c r="U9239" s="260"/>
      <c r="V9239" s="260"/>
      <c r="W9239" s="260"/>
      <c r="X9239" s="260"/>
      <c r="Y9239" s="260"/>
      <c r="Z9239" s="260"/>
      <c r="AA9239" s="260"/>
      <c r="AB9239" s="260"/>
      <c r="AC9239" s="260"/>
      <c r="AD9239" s="260"/>
      <c r="AE9239" s="260"/>
      <c r="AF9239" s="260"/>
      <c r="AG9239" s="258"/>
      <c r="AO9239"/>
      <c r="AP9239"/>
      <c r="AQ9239"/>
      <c r="AR9239"/>
      <c r="AS9239"/>
      <c r="AT9239"/>
      <c r="AU9239"/>
      <c r="AV9239"/>
      <c r="AW9239"/>
      <c r="AX9239"/>
      <c r="AY9239"/>
      <c r="AZ9239"/>
      <c r="BA9239"/>
      <c r="BB9239"/>
      <c r="BC9239"/>
      <c r="BD9239"/>
      <c r="BE9239"/>
      <c r="BF9239"/>
    </row>
    <row r="9240" spans="13:58" ht="12" hidden="1" customHeight="1">
      <c r="M9240" s="820"/>
      <c r="N9240" s="239"/>
      <c r="O9240" s="225"/>
      <c r="P9240" s="260"/>
      <c r="Q9240" s="258"/>
      <c r="R9240" s="260"/>
      <c r="S9240" s="260"/>
      <c r="T9240" s="260"/>
      <c r="U9240" s="260"/>
      <c r="V9240" s="260"/>
      <c r="W9240" s="260"/>
      <c r="X9240" s="260"/>
      <c r="Y9240" s="260"/>
      <c r="Z9240" s="260"/>
      <c r="AA9240" s="260"/>
      <c r="AB9240" s="260"/>
      <c r="AC9240" s="260"/>
      <c r="AD9240" s="260"/>
      <c r="AE9240" s="260"/>
      <c r="AF9240" s="260"/>
      <c r="AG9240" s="258"/>
      <c r="AO9240"/>
      <c r="AP9240"/>
      <c r="AQ9240"/>
      <c r="AR9240"/>
      <c r="AS9240"/>
      <c r="AT9240"/>
      <c r="AU9240"/>
      <c r="AV9240"/>
      <c r="AW9240"/>
      <c r="AX9240"/>
      <c r="AY9240"/>
      <c r="AZ9240"/>
      <c r="BA9240"/>
      <c r="BB9240"/>
      <c r="BC9240"/>
      <c r="BD9240"/>
      <c r="BE9240"/>
      <c r="BF9240"/>
    </row>
    <row r="9241" spans="13:58" ht="12" hidden="1" customHeight="1">
      <c r="M9241" s="820"/>
      <c r="N9241" s="239"/>
      <c r="O9241" s="225"/>
      <c r="P9241" s="260"/>
      <c r="Q9241" s="258"/>
      <c r="R9241" s="260"/>
      <c r="S9241" s="260"/>
      <c r="T9241" s="260"/>
      <c r="U9241" s="260"/>
      <c r="V9241" s="260"/>
      <c r="W9241" s="260"/>
      <c r="X9241" s="260"/>
      <c r="Y9241" s="260"/>
      <c r="Z9241" s="260"/>
      <c r="AA9241" s="260"/>
      <c r="AB9241" s="260"/>
      <c r="AC9241" s="260"/>
      <c r="AD9241" s="260"/>
      <c r="AE9241" s="260"/>
      <c r="AF9241" s="260"/>
      <c r="AG9241" s="258"/>
      <c r="AO9241"/>
      <c r="AP9241"/>
      <c r="AQ9241"/>
      <c r="AR9241"/>
      <c r="AS9241"/>
      <c r="AT9241"/>
      <c r="AU9241"/>
      <c r="AV9241"/>
      <c r="AW9241"/>
      <c r="AX9241"/>
      <c r="AY9241"/>
      <c r="AZ9241"/>
      <c r="BA9241"/>
      <c r="BB9241"/>
      <c r="BC9241"/>
      <c r="BD9241"/>
      <c r="BE9241"/>
      <c r="BF9241"/>
    </row>
    <row r="9242" spans="13:58" ht="12" hidden="1" customHeight="1">
      <c r="M9242" s="820"/>
      <c r="N9242" s="239"/>
      <c r="O9242" s="225"/>
      <c r="P9242" s="260"/>
      <c r="Q9242" s="258"/>
      <c r="R9242" s="260"/>
      <c r="S9242" s="260"/>
      <c r="T9242" s="260"/>
      <c r="U9242" s="260"/>
      <c r="V9242" s="260"/>
      <c r="W9242" s="260"/>
      <c r="X9242" s="260"/>
      <c r="Y9242" s="260"/>
      <c r="Z9242" s="260"/>
      <c r="AA9242" s="260"/>
      <c r="AB9242" s="260"/>
      <c r="AC9242" s="260"/>
      <c r="AD9242" s="260"/>
      <c r="AE9242" s="260"/>
      <c r="AF9242" s="260"/>
      <c r="AG9242" s="258"/>
      <c r="AO9242"/>
      <c r="AP9242"/>
      <c r="AQ9242"/>
      <c r="AR9242"/>
      <c r="AS9242"/>
      <c r="AT9242"/>
      <c r="AU9242"/>
      <c r="AV9242"/>
      <c r="AW9242"/>
      <c r="AX9242"/>
      <c r="AY9242"/>
      <c r="AZ9242"/>
      <c r="BA9242"/>
      <c r="BB9242"/>
      <c r="BC9242"/>
      <c r="BD9242"/>
      <c r="BE9242"/>
      <c r="BF9242"/>
    </row>
    <row r="9243" spans="13:58" ht="12" hidden="1" customHeight="1">
      <c r="M9243" s="820"/>
      <c r="N9243" s="239"/>
      <c r="O9243" s="225"/>
      <c r="P9243" s="260"/>
      <c r="Q9243" s="258"/>
      <c r="R9243" s="260"/>
      <c r="S9243" s="260"/>
      <c r="T9243" s="260"/>
      <c r="U9243" s="260"/>
      <c r="V9243" s="260"/>
      <c r="W9243" s="260"/>
      <c r="X9243" s="260"/>
      <c r="Y9243" s="260"/>
      <c r="Z9243" s="260"/>
      <c r="AA9243" s="260"/>
      <c r="AB9243" s="260"/>
      <c r="AC9243" s="260"/>
      <c r="AD9243" s="260"/>
      <c r="AE9243" s="260"/>
      <c r="AF9243" s="260"/>
      <c r="AG9243" s="258"/>
      <c r="AO9243"/>
      <c r="AP9243"/>
      <c r="AQ9243"/>
      <c r="AR9243"/>
      <c r="AS9243"/>
      <c r="AT9243"/>
      <c r="AU9243"/>
      <c r="AV9243"/>
      <c r="AW9243"/>
      <c r="AX9243"/>
      <c r="AY9243"/>
      <c r="AZ9243"/>
      <c r="BA9243"/>
      <c r="BB9243"/>
      <c r="BC9243"/>
      <c r="BD9243"/>
      <c r="BE9243"/>
      <c r="BF9243"/>
    </row>
    <row r="9244" spans="13:58" ht="12" hidden="1" customHeight="1">
      <c r="M9244" s="820"/>
      <c r="N9244" s="239"/>
      <c r="O9244" s="225"/>
      <c r="P9244" s="260"/>
      <c r="Q9244" s="258"/>
      <c r="R9244" s="260"/>
      <c r="S9244" s="260"/>
      <c r="T9244" s="260"/>
      <c r="U9244" s="260"/>
      <c r="V9244" s="260"/>
      <c r="W9244" s="260"/>
      <c r="X9244" s="260"/>
      <c r="Y9244" s="260"/>
      <c r="Z9244" s="260"/>
      <c r="AA9244" s="260"/>
      <c r="AB9244" s="260"/>
      <c r="AC9244" s="260"/>
      <c r="AD9244" s="260"/>
      <c r="AE9244" s="260"/>
      <c r="AF9244" s="260"/>
      <c r="AG9244" s="258"/>
      <c r="AO9244"/>
      <c r="AP9244"/>
      <c r="AQ9244"/>
      <c r="AR9244"/>
      <c r="AS9244"/>
      <c r="AT9244"/>
      <c r="AU9244"/>
      <c r="AV9244"/>
      <c r="AW9244"/>
      <c r="AX9244"/>
      <c r="AY9244"/>
      <c r="AZ9244"/>
      <c r="BA9244"/>
      <c r="BB9244"/>
      <c r="BC9244"/>
      <c r="BD9244"/>
      <c r="BE9244"/>
      <c r="BF9244"/>
    </row>
    <row r="9245" spans="13:58" ht="12" hidden="1" customHeight="1">
      <c r="M9245" s="820"/>
      <c r="N9245" s="239"/>
      <c r="O9245" s="225"/>
      <c r="P9245" s="260"/>
      <c r="Q9245" s="258"/>
      <c r="R9245" s="260"/>
      <c r="S9245" s="260"/>
      <c r="T9245" s="260"/>
      <c r="U9245" s="260"/>
      <c r="V9245" s="260"/>
      <c r="W9245" s="260"/>
      <c r="X9245" s="260"/>
      <c r="Y9245" s="260"/>
      <c r="Z9245" s="260"/>
      <c r="AA9245" s="260"/>
      <c r="AB9245" s="260"/>
      <c r="AC9245" s="260"/>
      <c r="AD9245" s="260"/>
      <c r="AE9245" s="260"/>
      <c r="AF9245" s="260"/>
      <c r="AG9245" s="258"/>
      <c r="AO9245"/>
      <c r="AP9245"/>
      <c r="AQ9245"/>
      <c r="AR9245"/>
      <c r="AS9245"/>
      <c r="AT9245"/>
      <c r="AU9245"/>
      <c r="AV9245"/>
      <c r="AW9245"/>
      <c r="AX9245"/>
      <c r="AY9245"/>
      <c r="AZ9245"/>
      <c r="BA9245"/>
      <c r="BB9245"/>
      <c r="BC9245"/>
      <c r="BD9245"/>
      <c r="BE9245"/>
      <c r="BF9245"/>
    </row>
    <row r="9246" spans="13:58" ht="12" hidden="1" customHeight="1">
      <c r="M9246" s="820"/>
      <c r="N9246" s="239"/>
      <c r="O9246" s="225"/>
      <c r="P9246" s="260"/>
      <c r="Q9246" s="258"/>
      <c r="R9246" s="260"/>
      <c r="S9246" s="260"/>
      <c r="T9246" s="260"/>
      <c r="U9246" s="260"/>
      <c r="V9246" s="260"/>
      <c r="W9246" s="260"/>
      <c r="X9246" s="260"/>
      <c r="Y9246" s="260"/>
      <c r="Z9246" s="260"/>
      <c r="AA9246" s="260"/>
      <c r="AB9246" s="260"/>
      <c r="AC9246" s="260"/>
      <c r="AD9246" s="260"/>
      <c r="AE9246" s="260"/>
      <c r="AF9246" s="260"/>
      <c r="AG9246" s="258"/>
      <c r="AO9246"/>
      <c r="AP9246"/>
      <c r="AQ9246"/>
      <c r="AR9246"/>
      <c r="AS9246"/>
      <c r="AT9246"/>
      <c r="AU9246"/>
      <c r="AV9246"/>
      <c r="AW9246"/>
      <c r="AX9246"/>
      <c r="AY9246"/>
      <c r="AZ9246"/>
      <c r="BA9246"/>
      <c r="BB9246"/>
      <c r="BC9246"/>
      <c r="BD9246"/>
      <c r="BE9246"/>
      <c r="BF9246"/>
    </row>
    <row r="9247" spans="13:58" ht="12" hidden="1" customHeight="1">
      <c r="M9247" s="820"/>
      <c r="N9247" s="239"/>
      <c r="O9247" s="225"/>
      <c r="P9247" s="260"/>
      <c r="Q9247" s="258"/>
      <c r="R9247" s="260"/>
      <c r="S9247" s="260"/>
      <c r="T9247" s="260"/>
      <c r="U9247" s="260"/>
      <c r="V9247" s="260"/>
      <c r="W9247" s="260"/>
      <c r="X9247" s="260"/>
      <c r="Y9247" s="260"/>
      <c r="Z9247" s="260"/>
      <c r="AA9247" s="260"/>
      <c r="AB9247" s="260"/>
      <c r="AC9247" s="260"/>
      <c r="AD9247" s="260"/>
      <c r="AE9247" s="260"/>
      <c r="AF9247" s="260"/>
      <c r="AG9247" s="258"/>
      <c r="AO9247"/>
      <c r="AP9247"/>
      <c r="AQ9247"/>
      <c r="AR9247"/>
      <c r="AS9247"/>
      <c r="AT9247"/>
      <c r="AU9247"/>
      <c r="AV9247"/>
      <c r="AW9247"/>
      <c r="AX9247"/>
      <c r="AY9247"/>
      <c r="AZ9247"/>
      <c r="BA9247"/>
      <c r="BB9247"/>
      <c r="BC9247"/>
      <c r="BD9247"/>
      <c r="BE9247"/>
      <c r="BF9247"/>
    </row>
    <row r="9248" spans="13:58" ht="12" hidden="1" customHeight="1">
      <c r="M9248" s="820"/>
      <c r="N9248" s="239"/>
      <c r="O9248" s="225"/>
      <c r="P9248" s="260"/>
      <c r="Q9248" s="258"/>
      <c r="R9248" s="260"/>
      <c r="S9248" s="260"/>
      <c r="T9248" s="260"/>
      <c r="U9248" s="260"/>
      <c r="V9248" s="260"/>
      <c r="W9248" s="260"/>
      <c r="X9248" s="260"/>
      <c r="Y9248" s="260"/>
      <c r="Z9248" s="260"/>
      <c r="AA9248" s="260"/>
      <c r="AB9248" s="260"/>
      <c r="AC9248" s="260"/>
      <c r="AD9248" s="260"/>
      <c r="AE9248" s="260"/>
      <c r="AF9248" s="260"/>
      <c r="AG9248" s="258"/>
      <c r="AO9248"/>
      <c r="AP9248"/>
      <c r="AQ9248"/>
      <c r="AR9248"/>
      <c r="AS9248"/>
      <c r="AT9248"/>
      <c r="AU9248"/>
      <c r="AV9248"/>
      <c r="AW9248"/>
      <c r="AX9248"/>
      <c r="AY9248"/>
      <c r="AZ9248"/>
      <c r="BA9248"/>
      <c r="BB9248"/>
      <c r="BC9248"/>
      <c r="BD9248"/>
      <c r="BE9248"/>
      <c r="BF9248"/>
    </row>
    <row r="9249" spans="13:58" ht="12" hidden="1" customHeight="1">
      <c r="M9249" s="820"/>
      <c r="N9249" s="239"/>
      <c r="O9249" s="225"/>
      <c r="P9249" s="260"/>
      <c r="Q9249" s="258"/>
      <c r="R9249" s="260"/>
      <c r="S9249" s="260"/>
      <c r="T9249" s="260"/>
      <c r="U9249" s="260"/>
      <c r="V9249" s="260"/>
      <c r="W9249" s="260"/>
      <c r="X9249" s="260"/>
      <c r="Y9249" s="260"/>
      <c r="Z9249" s="260"/>
      <c r="AA9249" s="260"/>
      <c r="AB9249" s="260"/>
      <c r="AC9249" s="260"/>
      <c r="AD9249" s="260"/>
      <c r="AE9249" s="260"/>
      <c r="AF9249" s="260"/>
      <c r="AG9249" s="258"/>
      <c r="AO9249"/>
      <c r="AP9249"/>
      <c r="AQ9249"/>
      <c r="AR9249"/>
      <c r="AS9249"/>
      <c r="AT9249"/>
      <c r="AU9249"/>
      <c r="AV9249"/>
      <c r="AW9249"/>
      <c r="AX9249"/>
      <c r="AY9249"/>
      <c r="AZ9249"/>
      <c r="BA9249"/>
      <c r="BB9249"/>
      <c r="BC9249"/>
      <c r="BD9249"/>
      <c r="BE9249"/>
      <c r="BF9249"/>
    </row>
    <row r="9250" spans="13:58" ht="12" hidden="1" customHeight="1">
      <c r="M9250" s="820"/>
      <c r="N9250" s="239"/>
      <c r="O9250" s="225"/>
      <c r="P9250" s="260"/>
      <c r="Q9250" s="258"/>
      <c r="R9250" s="260"/>
      <c r="S9250" s="260"/>
      <c r="T9250" s="260"/>
      <c r="U9250" s="260"/>
      <c r="V9250" s="260"/>
      <c r="W9250" s="260"/>
      <c r="X9250" s="260"/>
      <c r="Y9250" s="260"/>
      <c r="Z9250" s="260"/>
      <c r="AA9250" s="260"/>
      <c r="AB9250" s="260"/>
      <c r="AC9250" s="260"/>
      <c r="AD9250" s="260"/>
      <c r="AE9250" s="260"/>
      <c r="AF9250" s="260"/>
      <c r="AG9250" s="258"/>
      <c r="AO9250"/>
      <c r="AP9250"/>
      <c r="AQ9250"/>
      <c r="AR9250"/>
      <c r="AS9250"/>
      <c r="AT9250"/>
      <c r="AU9250"/>
      <c r="AV9250"/>
      <c r="AW9250"/>
      <c r="AX9250"/>
      <c r="AY9250"/>
      <c r="AZ9250"/>
      <c r="BA9250"/>
      <c r="BB9250"/>
      <c r="BC9250"/>
      <c r="BD9250"/>
      <c r="BE9250"/>
      <c r="BF9250"/>
    </row>
    <row r="9251" spans="13:58" ht="12" hidden="1" customHeight="1">
      <c r="M9251" s="820"/>
      <c r="N9251" s="239"/>
      <c r="O9251" s="225"/>
      <c r="P9251" s="260"/>
      <c r="Q9251" s="258"/>
      <c r="R9251" s="260"/>
      <c r="S9251" s="260"/>
      <c r="T9251" s="260"/>
      <c r="U9251" s="260"/>
      <c r="V9251" s="260"/>
      <c r="W9251" s="260"/>
      <c r="X9251" s="260"/>
      <c r="Y9251" s="260"/>
      <c r="Z9251" s="260"/>
      <c r="AA9251" s="260"/>
      <c r="AB9251" s="260"/>
      <c r="AC9251" s="260"/>
      <c r="AD9251" s="260"/>
      <c r="AE9251" s="260"/>
      <c r="AF9251" s="260"/>
      <c r="AG9251" s="258"/>
      <c r="AO9251"/>
      <c r="AP9251"/>
      <c r="AQ9251"/>
      <c r="AR9251"/>
      <c r="AS9251"/>
      <c r="AT9251"/>
      <c r="AU9251"/>
      <c r="AV9251"/>
      <c r="AW9251"/>
      <c r="AX9251"/>
      <c r="AY9251"/>
      <c r="AZ9251"/>
      <c r="BA9251"/>
      <c r="BB9251"/>
      <c r="BC9251"/>
      <c r="BD9251"/>
      <c r="BE9251"/>
      <c r="BF9251"/>
    </row>
    <row r="9252" spans="13:58" ht="12" hidden="1" customHeight="1">
      <c r="M9252" s="820"/>
      <c r="N9252" s="239"/>
      <c r="O9252" s="225"/>
      <c r="P9252" s="260"/>
      <c r="Q9252" s="258"/>
      <c r="R9252" s="260"/>
      <c r="S9252" s="260"/>
      <c r="T9252" s="260"/>
      <c r="U9252" s="260"/>
      <c r="V9252" s="260"/>
      <c r="W9252" s="260"/>
      <c r="X9252" s="260"/>
      <c r="Y9252" s="260"/>
      <c r="Z9252" s="260"/>
      <c r="AA9252" s="260"/>
      <c r="AB9252" s="260"/>
      <c r="AC9252" s="260"/>
      <c r="AD9252" s="260"/>
      <c r="AE9252" s="260"/>
      <c r="AF9252" s="260"/>
      <c r="AG9252" s="258"/>
      <c r="AO9252"/>
      <c r="AP9252"/>
      <c r="AQ9252"/>
      <c r="AR9252"/>
      <c r="AS9252"/>
      <c r="AT9252"/>
      <c r="AU9252"/>
      <c r="AV9252"/>
      <c r="AW9252"/>
      <c r="AX9252"/>
      <c r="AY9252"/>
      <c r="AZ9252"/>
      <c r="BA9252"/>
      <c r="BB9252"/>
      <c r="BC9252"/>
      <c r="BD9252"/>
      <c r="BE9252"/>
      <c r="BF9252"/>
    </row>
    <row r="9253" spans="13:58" ht="12" hidden="1" customHeight="1">
      <c r="M9253" s="820"/>
      <c r="N9253" s="239"/>
      <c r="O9253" s="225"/>
      <c r="P9253" s="260"/>
      <c r="Q9253" s="258"/>
      <c r="R9253" s="260"/>
      <c r="S9253" s="260"/>
      <c r="T9253" s="260"/>
      <c r="U9253" s="260"/>
      <c r="V9253" s="260"/>
      <c r="W9253" s="260"/>
      <c r="X9253" s="260"/>
      <c r="Y9253" s="260"/>
      <c r="Z9253" s="260"/>
      <c r="AA9253" s="260"/>
      <c r="AB9253" s="260"/>
      <c r="AC9253" s="260"/>
      <c r="AD9253" s="260"/>
      <c r="AE9253" s="260"/>
      <c r="AF9253" s="260"/>
      <c r="AG9253" s="258"/>
      <c r="AO9253"/>
      <c r="AP9253"/>
      <c r="AQ9253"/>
      <c r="AR9253"/>
      <c r="AS9253"/>
      <c r="AT9253"/>
      <c r="AU9253"/>
      <c r="AV9253"/>
      <c r="AW9253"/>
      <c r="AX9253"/>
      <c r="AY9253"/>
      <c r="AZ9253"/>
      <c r="BA9253"/>
      <c r="BB9253"/>
      <c r="BC9253"/>
      <c r="BD9253"/>
      <c r="BE9253"/>
      <c r="BF9253"/>
    </row>
    <row r="9254" spans="13:58" ht="12" hidden="1" customHeight="1">
      <c r="M9254" s="820"/>
      <c r="N9254" s="239"/>
      <c r="O9254" s="225"/>
      <c r="P9254" s="260"/>
      <c r="Q9254" s="258"/>
      <c r="R9254" s="260"/>
      <c r="S9254" s="260"/>
      <c r="T9254" s="260"/>
      <c r="U9254" s="260"/>
      <c r="V9254" s="260"/>
      <c r="W9254" s="260"/>
      <c r="X9254" s="260"/>
      <c r="Y9254" s="260"/>
      <c r="Z9254" s="260"/>
      <c r="AA9254" s="260"/>
      <c r="AB9254" s="260"/>
      <c r="AC9254" s="260"/>
      <c r="AD9254" s="260"/>
      <c r="AE9254" s="260"/>
      <c r="AF9254" s="260"/>
      <c r="AG9254" s="258"/>
      <c r="AO9254"/>
      <c r="AP9254"/>
      <c r="AQ9254"/>
      <c r="AR9254"/>
      <c r="AS9254"/>
      <c r="AT9254"/>
      <c r="AU9254"/>
      <c r="AV9254"/>
      <c r="AW9254"/>
      <c r="AX9254"/>
      <c r="AY9254"/>
      <c r="AZ9254"/>
      <c r="BA9254"/>
      <c r="BB9254"/>
      <c r="BC9254"/>
      <c r="BD9254"/>
      <c r="BE9254"/>
      <c r="BF9254"/>
    </row>
    <row r="9255" spans="13:58" ht="12" hidden="1" customHeight="1">
      <c r="M9255" s="820"/>
      <c r="N9255" s="239"/>
      <c r="O9255" s="225"/>
      <c r="P9255" s="260"/>
      <c r="Q9255" s="258"/>
      <c r="R9255" s="260"/>
      <c r="S9255" s="260"/>
      <c r="T9255" s="260"/>
      <c r="U9255" s="260"/>
      <c r="V9255" s="260"/>
      <c r="W9255" s="260"/>
      <c r="X9255" s="260"/>
      <c r="Y9255" s="260"/>
      <c r="Z9255" s="260"/>
      <c r="AA9255" s="260"/>
      <c r="AB9255" s="260"/>
      <c r="AC9255" s="260"/>
      <c r="AD9255" s="260"/>
      <c r="AE9255" s="260"/>
      <c r="AF9255" s="260"/>
      <c r="AG9255" s="258"/>
      <c r="AO9255"/>
      <c r="AP9255"/>
      <c r="AQ9255"/>
      <c r="AR9255"/>
      <c r="AS9255"/>
      <c r="AT9255"/>
      <c r="AU9255"/>
      <c r="AV9255"/>
      <c r="AW9255"/>
      <c r="AX9255"/>
      <c r="AY9255"/>
      <c r="AZ9255"/>
      <c r="BA9255"/>
      <c r="BB9255"/>
      <c r="BC9255"/>
      <c r="BD9255"/>
      <c r="BE9255"/>
      <c r="BF9255"/>
    </row>
    <row r="9256" spans="13:58" ht="12" hidden="1" customHeight="1">
      <c r="M9256" s="820"/>
      <c r="N9256" s="239"/>
      <c r="O9256" s="225"/>
      <c r="P9256" s="260"/>
      <c r="Q9256" s="258"/>
      <c r="R9256" s="260"/>
      <c r="S9256" s="260"/>
      <c r="T9256" s="260"/>
      <c r="U9256" s="260"/>
      <c r="V9256" s="260"/>
      <c r="W9256" s="260"/>
      <c r="X9256" s="260"/>
      <c r="Y9256" s="260"/>
      <c r="Z9256" s="260"/>
      <c r="AA9256" s="260"/>
      <c r="AB9256" s="260"/>
      <c r="AC9256" s="260"/>
      <c r="AD9256" s="260"/>
      <c r="AE9256" s="260"/>
      <c r="AF9256" s="260"/>
      <c r="AG9256" s="258"/>
      <c r="AO9256"/>
      <c r="AP9256"/>
      <c r="AQ9256"/>
      <c r="AR9256"/>
      <c r="AS9256"/>
      <c r="AT9256"/>
      <c r="AU9256"/>
      <c r="AV9256"/>
      <c r="AW9256"/>
      <c r="AX9256"/>
      <c r="AY9256"/>
      <c r="AZ9256"/>
      <c r="BA9256"/>
      <c r="BB9256"/>
      <c r="BC9256"/>
      <c r="BD9256"/>
      <c r="BE9256"/>
      <c r="BF9256"/>
    </row>
    <row r="9257" spans="13:58" ht="12" hidden="1" customHeight="1">
      <c r="M9257" s="820"/>
      <c r="N9257" s="239"/>
      <c r="O9257" s="225"/>
      <c r="P9257" s="260"/>
      <c r="Q9257" s="258"/>
      <c r="R9257" s="260"/>
      <c r="S9257" s="260"/>
      <c r="T9257" s="260"/>
      <c r="U9257" s="260"/>
      <c r="V9257" s="260"/>
      <c r="W9257" s="260"/>
      <c r="X9257" s="260"/>
      <c r="Y9257" s="260"/>
      <c r="Z9257" s="260"/>
      <c r="AA9257" s="260"/>
      <c r="AB9257" s="260"/>
      <c r="AC9257" s="260"/>
      <c r="AD9257" s="260"/>
      <c r="AE9257" s="260"/>
      <c r="AF9257" s="260"/>
      <c r="AG9257" s="258"/>
      <c r="AO9257"/>
      <c r="AP9257"/>
      <c r="AQ9257"/>
      <c r="AR9257"/>
      <c r="AS9257"/>
      <c r="AT9257"/>
      <c r="AU9257"/>
      <c r="AV9257"/>
      <c r="AW9257"/>
      <c r="AX9257"/>
      <c r="AY9257"/>
      <c r="AZ9257"/>
      <c r="BA9257"/>
      <c r="BB9257"/>
      <c r="BC9257"/>
      <c r="BD9257"/>
      <c r="BE9257"/>
      <c r="BF9257"/>
    </row>
    <row r="9258" spans="13:58" ht="12" hidden="1" customHeight="1">
      <c r="M9258" s="820"/>
      <c r="N9258" s="239"/>
      <c r="O9258" s="225"/>
      <c r="P9258" s="260"/>
      <c r="Q9258" s="258"/>
      <c r="R9258" s="260"/>
      <c r="S9258" s="260"/>
      <c r="T9258" s="260"/>
      <c r="U9258" s="260"/>
      <c r="V9258" s="260"/>
      <c r="W9258" s="260"/>
      <c r="X9258" s="260"/>
      <c r="Y9258" s="260"/>
      <c r="Z9258" s="260"/>
      <c r="AA9258" s="260"/>
      <c r="AB9258" s="260"/>
      <c r="AC9258" s="260"/>
      <c r="AD9258" s="260"/>
      <c r="AE9258" s="260"/>
      <c r="AF9258" s="260"/>
      <c r="AG9258" s="258"/>
      <c r="AO9258"/>
      <c r="AP9258"/>
      <c r="AQ9258"/>
      <c r="AR9258"/>
      <c r="AS9258"/>
      <c r="AT9258"/>
      <c r="AU9258"/>
      <c r="AV9258"/>
      <c r="AW9258"/>
      <c r="AX9258"/>
      <c r="AY9258"/>
      <c r="AZ9258"/>
      <c r="BA9258"/>
      <c r="BB9258"/>
      <c r="BC9258"/>
      <c r="BD9258"/>
      <c r="BE9258"/>
      <c r="BF9258"/>
    </row>
    <row r="9259" spans="13:58" ht="12" hidden="1" customHeight="1">
      <c r="M9259" s="820"/>
      <c r="N9259" s="239"/>
      <c r="O9259" s="225"/>
      <c r="P9259" s="260"/>
      <c r="Q9259" s="258"/>
      <c r="R9259" s="260"/>
      <c r="S9259" s="260"/>
      <c r="T9259" s="260"/>
      <c r="U9259" s="260"/>
      <c r="V9259" s="260"/>
      <c r="W9259" s="260"/>
      <c r="X9259" s="260"/>
      <c r="Y9259" s="260"/>
      <c r="Z9259" s="260"/>
      <c r="AA9259" s="260"/>
      <c r="AB9259" s="260"/>
      <c r="AC9259" s="260"/>
      <c r="AD9259" s="260"/>
      <c r="AE9259" s="260"/>
      <c r="AF9259" s="260"/>
      <c r="AG9259" s="258"/>
      <c r="AO9259"/>
      <c r="AP9259"/>
      <c r="AQ9259"/>
      <c r="AR9259"/>
      <c r="AS9259"/>
      <c r="AT9259"/>
      <c r="AU9259"/>
      <c r="AV9259"/>
      <c r="AW9259"/>
      <c r="AX9259"/>
      <c r="AY9259"/>
      <c r="AZ9259"/>
      <c r="BA9259"/>
      <c r="BB9259"/>
      <c r="BC9259"/>
      <c r="BD9259"/>
      <c r="BE9259"/>
      <c r="BF9259"/>
    </row>
    <row r="9260" spans="13:58" ht="12" hidden="1" customHeight="1">
      <c r="M9260" s="820"/>
      <c r="N9260" s="239"/>
      <c r="O9260" s="225"/>
      <c r="P9260" s="260"/>
      <c r="Q9260" s="258"/>
      <c r="R9260" s="260"/>
      <c r="S9260" s="260"/>
      <c r="T9260" s="260"/>
      <c r="U9260" s="260"/>
      <c r="V9260" s="260"/>
      <c r="W9260" s="260"/>
      <c r="X9260" s="260"/>
      <c r="Y9260" s="260"/>
      <c r="Z9260" s="260"/>
      <c r="AA9260" s="260"/>
      <c r="AB9260" s="260"/>
      <c r="AC9260" s="260"/>
      <c r="AD9260" s="260"/>
      <c r="AE9260" s="260"/>
      <c r="AF9260" s="260"/>
      <c r="AG9260" s="258"/>
      <c r="AO9260"/>
      <c r="AP9260"/>
      <c r="AQ9260"/>
      <c r="AR9260"/>
      <c r="AS9260"/>
      <c r="AT9260"/>
      <c r="AU9260"/>
      <c r="AV9260"/>
      <c r="AW9260"/>
      <c r="AX9260"/>
      <c r="AY9260"/>
      <c r="AZ9260"/>
      <c r="BA9260"/>
      <c r="BB9260"/>
      <c r="BC9260"/>
      <c r="BD9260"/>
      <c r="BE9260"/>
      <c r="BF9260"/>
    </row>
    <row r="9261" spans="13:58" ht="12" hidden="1" customHeight="1">
      <c r="M9261" s="820"/>
      <c r="N9261" s="239"/>
      <c r="O9261" s="225"/>
      <c r="P9261" s="260"/>
      <c r="Q9261" s="258"/>
      <c r="R9261" s="260"/>
      <c r="S9261" s="260"/>
      <c r="T9261" s="260"/>
      <c r="U9261" s="260"/>
      <c r="V9261" s="260"/>
      <c r="W9261" s="260"/>
      <c r="X9261" s="260"/>
      <c r="Y9261" s="260"/>
      <c r="Z9261" s="260"/>
      <c r="AA9261" s="260"/>
      <c r="AB9261" s="260"/>
      <c r="AC9261" s="260"/>
      <c r="AD9261" s="260"/>
      <c r="AE9261" s="260"/>
      <c r="AF9261" s="260"/>
      <c r="AG9261" s="258"/>
      <c r="AO9261"/>
      <c r="AP9261"/>
      <c r="AQ9261"/>
      <c r="AR9261"/>
      <c r="AS9261"/>
      <c r="AT9261"/>
      <c r="AU9261"/>
      <c r="AV9261"/>
      <c r="AW9261"/>
      <c r="AX9261"/>
      <c r="AY9261"/>
      <c r="AZ9261"/>
      <c r="BA9261"/>
      <c r="BB9261"/>
      <c r="BC9261"/>
      <c r="BD9261"/>
      <c r="BE9261"/>
      <c r="BF9261"/>
    </row>
    <row r="9262" spans="13:58" ht="12" hidden="1" customHeight="1">
      <c r="M9262" s="820"/>
      <c r="N9262" s="239"/>
      <c r="O9262" s="225"/>
      <c r="P9262" s="260"/>
      <c r="Q9262" s="258"/>
      <c r="R9262" s="260"/>
      <c r="S9262" s="260"/>
      <c r="T9262" s="260"/>
      <c r="U9262" s="260"/>
      <c r="V9262" s="260"/>
      <c r="W9262" s="260"/>
      <c r="X9262" s="260"/>
      <c r="Y9262" s="260"/>
      <c r="Z9262" s="260"/>
      <c r="AA9262" s="260"/>
      <c r="AB9262" s="260"/>
      <c r="AC9262" s="260"/>
      <c r="AD9262" s="260"/>
      <c r="AE9262" s="260"/>
      <c r="AF9262" s="260"/>
      <c r="AG9262" s="258"/>
      <c r="AO9262"/>
      <c r="AP9262"/>
      <c r="AQ9262"/>
      <c r="AR9262"/>
      <c r="AS9262"/>
      <c r="AT9262"/>
      <c r="AU9262"/>
      <c r="AV9262"/>
      <c r="AW9262"/>
      <c r="AX9262"/>
      <c r="AY9262"/>
      <c r="AZ9262"/>
      <c r="BA9262"/>
      <c r="BB9262"/>
      <c r="BC9262"/>
      <c r="BD9262"/>
      <c r="BE9262"/>
      <c r="BF9262"/>
    </row>
    <row r="9263" spans="13:58" ht="12" hidden="1" customHeight="1">
      <c r="M9263" s="820"/>
      <c r="N9263" s="239"/>
      <c r="O9263" s="225"/>
      <c r="P9263" s="260"/>
      <c r="Q9263" s="258"/>
      <c r="R9263" s="260"/>
      <c r="S9263" s="260"/>
      <c r="T9263" s="260"/>
      <c r="U9263" s="260"/>
      <c r="V9263" s="260"/>
      <c r="W9263" s="260"/>
      <c r="X9263" s="260"/>
      <c r="Y9263" s="260"/>
      <c r="Z9263" s="260"/>
      <c r="AA9263" s="260"/>
      <c r="AB9263" s="260"/>
      <c r="AC9263" s="260"/>
      <c r="AD9263" s="260"/>
      <c r="AE9263" s="260"/>
      <c r="AF9263" s="260"/>
      <c r="AG9263" s="258"/>
      <c r="AO9263"/>
      <c r="AP9263"/>
      <c r="AQ9263"/>
      <c r="AR9263"/>
      <c r="AS9263"/>
      <c r="AT9263"/>
      <c r="AU9263"/>
      <c r="AV9263"/>
      <c r="AW9263"/>
      <c r="AX9263"/>
      <c r="AY9263"/>
      <c r="AZ9263"/>
      <c r="BA9263"/>
      <c r="BB9263"/>
      <c r="BC9263"/>
      <c r="BD9263"/>
      <c r="BE9263"/>
      <c r="BF9263"/>
    </row>
    <row r="9264" spans="13:58" ht="12" hidden="1" customHeight="1">
      <c r="M9264" s="820"/>
      <c r="N9264" s="239"/>
      <c r="O9264" s="225"/>
      <c r="P9264" s="260"/>
      <c r="Q9264" s="258"/>
      <c r="R9264" s="260"/>
      <c r="S9264" s="260"/>
      <c r="T9264" s="260"/>
      <c r="U9264" s="260"/>
      <c r="V9264" s="260"/>
      <c r="W9264" s="260"/>
      <c r="X9264" s="260"/>
      <c r="Y9264" s="260"/>
      <c r="Z9264" s="260"/>
      <c r="AA9264" s="260"/>
      <c r="AB9264" s="260"/>
      <c r="AC9264" s="260"/>
      <c r="AD9264" s="260"/>
      <c r="AE9264" s="260"/>
      <c r="AF9264" s="260"/>
      <c r="AG9264" s="258"/>
      <c r="AO9264"/>
      <c r="AP9264"/>
      <c r="AQ9264"/>
      <c r="AR9264"/>
      <c r="AS9264"/>
      <c r="AT9264"/>
      <c r="AU9264"/>
      <c r="AV9264"/>
      <c r="AW9264"/>
      <c r="AX9264"/>
      <c r="AY9264"/>
      <c r="AZ9264"/>
      <c r="BA9264"/>
      <c r="BB9264"/>
      <c r="BC9264"/>
      <c r="BD9264"/>
      <c r="BE9264"/>
      <c r="BF9264"/>
    </row>
    <row r="9265" spans="13:58" ht="12" hidden="1" customHeight="1">
      <c r="M9265" s="820"/>
      <c r="N9265" s="239"/>
      <c r="O9265" s="225"/>
      <c r="P9265" s="260"/>
      <c r="Q9265" s="258"/>
      <c r="R9265" s="260"/>
      <c r="S9265" s="260"/>
      <c r="T9265" s="260"/>
      <c r="U9265" s="260"/>
      <c r="V9265" s="260"/>
      <c r="W9265" s="260"/>
      <c r="X9265" s="260"/>
      <c r="Y9265" s="260"/>
      <c r="Z9265" s="260"/>
      <c r="AA9265" s="260"/>
      <c r="AB9265" s="260"/>
      <c r="AC9265" s="260"/>
      <c r="AD9265" s="260"/>
      <c r="AE9265" s="260"/>
      <c r="AF9265" s="260"/>
      <c r="AG9265" s="258"/>
      <c r="AO9265"/>
      <c r="AP9265"/>
      <c r="AQ9265"/>
      <c r="AR9265"/>
      <c r="AS9265"/>
      <c r="AT9265"/>
      <c r="AU9265"/>
      <c r="AV9265"/>
      <c r="AW9265"/>
      <c r="AX9265"/>
      <c r="AY9265"/>
      <c r="AZ9265"/>
      <c r="BA9265"/>
      <c r="BB9265"/>
      <c r="BC9265"/>
      <c r="BD9265"/>
      <c r="BE9265"/>
      <c r="BF9265"/>
    </row>
    <row r="9266" spans="13:58" ht="12" hidden="1" customHeight="1">
      <c r="M9266" s="820"/>
      <c r="N9266" s="239"/>
      <c r="O9266" s="225"/>
      <c r="P9266" s="260"/>
      <c r="Q9266" s="258"/>
      <c r="R9266" s="260"/>
      <c r="S9266" s="260"/>
      <c r="T9266" s="260"/>
      <c r="U9266" s="260"/>
      <c r="V9266" s="260"/>
      <c r="W9266" s="260"/>
      <c r="X9266" s="260"/>
      <c r="Y9266" s="260"/>
      <c r="Z9266" s="260"/>
      <c r="AA9266" s="260"/>
      <c r="AB9266" s="260"/>
      <c r="AC9266" s="260"/>
      <c r="AD9266" s="260"/>
      <c r="AE9266" s="260"/>
      <c r="AF9266" s="260"/>
      <c r="AG9266" s="258"/>
      <c r="AO9266"/>
      <c r="AP9266"/>
      <c r="AQ9266"/>
      <c r="AR9266"/>
      <c r="AS9266"/>
      <c r="AT9266"/>
      <c r="AU9266"/>
      <c r="AV9266"/>
      <c r="AW9266"/>
      <c r="AX9266"/>
      <c r="AY9266"/>
      <c r="AZ9266"/>
      <c r="BA9266"/>
      <c r="BB9266"/>
      <c r="BC9266"/>
      <c r="BD9266"/>
      <c r="BE9266"/>
      <c r="BF9266"/>
    </row>
    <row r="9267" spans="13:58" ht="12" hidden="1" customHeight="1">
      <c r="M9267" s="820"/>
      <c r="N9267" s="239"/>
      <c r="O9267" s="225"/>
      <c r="P9267" s="260"/>
      <c r="Q9267" s="258"/>
      <c r="R9267" s="260"/>
      <c r="S9267" s="260"/>
      <c r="T9267" s="260"/>
      <c r="U9267" s="260"/>
      <c r="V9267" s="260"/>
      <c r="W9267" s="260"/>
      <c r="X9267" s="260"/>
      <c r="Y9267" s="260"/>
      <c r="Z9267" s="260"/>
      <c r="AA9267" s="260"/>
      <c r="AB9267" s="260"/>
      <c r="AC9267" s="260"/>
      <c r="AD9267" s="260"/>
      <c r="AE9267" s="260"/>
      <c r="AF9267" s="260"/>
      <c r="AG9267" s="258"/>
      <c r="AO9267"/>
      <c r="AP9267"/>
      <c r="AQ9267"/>
      <c r="AR9267"/>
      <c r="AS9267"/>
      <c r="AT9267"/>
      <c r="AU9267"/>
      <c r="AV9267"/>
      <c r="AW9267"/>
      <c r="AX9267"/>
      <c r="AY9267"/>
      <c r="AZ9267"/>
      <c r="BA9267"/>
      <c r="BB9267"/>
      <c r="BC9267"/>
      <c r="BD9267"/>
      <c r="BE9267"/>
      <c r="BF9267"/>
    </row>
    <row r="9268" spans="13:58" ht="12" hidden="1" customHeight="1">
      <c r="M9268" s="820"/>
      <c r="N9268" s="239"/>
      <c r="O9268" s="225"/>
      <c r="P9268" s="260"/>
      <c r="Q9268" s="258"/>
      <c r="R9268" s="260"/>
      <c r="S9268" s="260"/>
      <c r="T9268" s="260"/>
      <c r="U9268" s="260"/>
      <c r="V9268" s="260"/>
      <c r="W9268" s="260"/>
      <c r="X9268" s="260"/>
      <c r="Y9268" s="260"/>
      <c r="Z9268" s="260"/>
      <c r="AA9268" s="260"/>
      <c r="AB9268" s="260"/>
      <c r="AC9268" s="260"/>
      <c r="AD9268" s="260"/>
      <c r="AE9268" s="260"/>
      <c r="AF9268" s="260"/>
      <c r="AG9268" s="258"/>
      <c r="AO9268"/>
      <c r="AP9268"/>
      <c r="AQ9268"/>
      <c r="AR9268"/>
      <c r="AS9268"/>
      <c r="AT9268"/>
      <c r="AU9268"/>
      <c r="AV9268"/>
      <c r="AW9268"/>
      <c r="AX9268"/>
      <c r="AY9268"/>
      <c r="AZ9268"/>
      <c r="BA9268"/>
      <c r="BB9268"/>
      <c r="BC9268"/>
      <c r="BD9268"/>
      <c r="BE9268"/>
      <c r="BF9268"/>
    </row>
    <row r="9269" spans="13:58" ht="12" hidden="1" customHeight="1">
      <c r="M9269" s="820"/>
      <c r="N9269" s="239"/>
      <c r="O9269" s="225"/>
      <c r="P9269" s="260"/>
      <c r="Q9269" s="258"/>
      <c r="R9269" s="260"/>
      <c r="S9269" s="260"/>
      <c r="T9269" s="260"/>
      <c r="U9269" s="260"/>
      <c r="V9269" s="260"/>
      <c r="W9269" s="260"/>
      <c r="X9269" s="260"/>
      <c r="Y9269" s="260"/>
      <c r="Z9269" s="260"/>
      <c r="AA9269" s="260"/>
      <c r="AB9269" s="260"/>
      <c r="AC9269" s="260"/>
      <c r="AD9269" s="260"/>
      <c r="AE9269" s="260"/>
      <c r="AF9269" s="260"/>
      <c r="AG9269" s="258"/>
      <c r="AO9269"/>
      <c r="AP9269"/>
      <c r="AQ9269"/>
      <c r="AR9269"/>
      <c r="AS9269"/>
      <c r="AT9269"/>
      <c r="AU9269"/>
      <c r="AV9269"/>
      <c r="AW9269"/>
      <c r="AX9269"/>
      <c r="AY9269"/>
      <c r="AZ9269"/>
      <c r="BA9269"/>
      <c r="BB9269"/>
      <c r="BC9269"/>
      <c r="BD9269"/>
      <c r="BE9269"/>
      <c r="BF9269"/>
    </row>
    <row r="9270" spans="13:58" ht="12" hidden="1" customHeight="1">
      <c r="M9270" s="820"/>
      <c r="N9270" s="239"/>
      <c r="O9270" s="225"/>
      <c r="P9270" s="260"/>
      <c r="Q9270" s="258"/>
      <c r="R9270" s="260"/>
      <c r="S9270" s="260"/>
      <c r="T9270" s="260"/>
      <c r="U9270" s="260"/>
      <c r="V9270" s="260"/>
      <c r="W9270" s="260"/>
      <c r="X9270" s="260"/>
      <c r="Y9270" s="260"/>
      <c r="Z9270" s="260"/>
      <c r="AA9270" s="260"/>
      <c r="AB9270" s="260"/>
      <c r="AC9270" s="260"/>
      <c r="AD9270" s="260"/>
      <c r="AE9270" s="260"/>
      <c r="AF9270" s="260"/>
      <c r="AG9270" s="258"/>
      <c r="AO9270"/>
      <c r="AP9270"/>
      <c r="AQ9270"/>
      <c r="AR9270"/>
      <c r="AS9270"/>
      <c r="AT9270"/>
      <c r="AU9270"/>
      <c r="AV9270"/>
      <c r="AW9270"/>
      <c r="AX9270"/>
      <c r="AY9270"/>
      <c r="AZ9270"/>
      <c r="BA9270"/>
      <c r="BB9270"/>
      <c r="BC9270"/>
      <c r="BD9270"/>
      <c r="BE9270"/>
      <c r="BF9270"/>
    </row>
    <row r="9271" spans="13:58" ht="12" hidden="1" customHeight="1">
      <c r="M9271" s="820"/>
      <c r="N9271" s="239"/>
      <c r="O9271" s="225"/>
      <c r="P9271" s="260"/>
      <c r="Q9271" s="258"/>
      <c r="R9271" s="260"/>
      <c r="S9271" s="260"/>
      <c r="T9271" s="260"/>
      <c r="U9271" s="260"/>
      <c r="V9271" s="260"/>
      <c r="W9271" s="260"/>
      <c r="X9271" s="260"/>
      <c r="Y9271" s="260"/>
      <c r="Z9271" s="260"/>
      <c r="AA9271" s="260"/>
      <c r="AB9271" s="260"/>
      <c r="AC9271" s="260"/>
      <c r="AD9271" s="260"/>
      <c r="AE9271" s="260"/>
      <c r="AF9271" s="260"/>
      <c r="AG9271" s="258"/>
      <c r="AO9271"/>
      <c r="AP9271"/>
      <c r="AQ9271"/>
      <c r="AR9271"/>
      <c r="AS9271"/>
      <c r="AT9271"/>
      <c r="AU9271"/>
      <c r="AV9271"/>
      <c r="AW9271"/>
      <c r="AX9271"/>
      <c r="AY9271"/>
      <c r="AZ9271"/>
      <c r="BA9271"/>
      <c r="BB9271"/>
      <c r="BC9271"/>
      <c r="BD9271"/>
      <c r="BE9271"/>
      <c r="BF9271"/>
    </row>
    <row r="9272" spans="13:58" ht="12" hidden="1" customHeight="1">
      <c r="M9272" s="820"/>
      <c r="N9272" s="239"/>
      <c r="O9272" s="225"/>
      <c r="P9272" s="260"/>
      <c r="Q9272" s="258"/>
      <c r="R9272" s="260"/>
      <c r="S9272" s="260"/>
      <c r="T9272" s="260"/>
      <c r="U9272" s="260"/>
      <c r="V9272" s="260"/>
      <c r="W9272" s="260"/>
      <c r="X9272" s="260"/>
      <c r="Y9272" s="260"/>
      <c r="Z9272" s="260"/>
      <c r="AA9272" s="260"/>
      <c r="AB9272" s="260"/>
      <c r="AC9272" s="260"/>
      <c r="AD9272" s="260"/>
      <c r="AE9272" s="260"/>
      <c r="AF9272" s="260"/>
      <c r="AG9272" s="258"/>
      <c r="AO9272"/>
      <c r="AP9272"/>
      <c r="AQ9272"/>
      <c r="AR9272"/>
      <c r="AS9272"/>
      <c r="AT9272"/>
      <c r="AU9272"/>
      <c r="AV9272"/>
      <c r="AW9272"/>
      <c r="AX9272"/>
      <c r="AY9272"/>
      <c r="AZ9272"/>
      <c r="BA9272"/>
      <c r="BB9272"/>
      <c r="BC9272"/>
      <c r="BD9272"/>
      <c r="BE9272"/>
      <c r="BF9272"/>
    </row>
    <row r="9273" spans="13:58" ht="12" hidden="1" customHeight="1">
      <c r="M9273" s="820"/>
      <c r="N9273" s="239"/>
      <c r="O9273" s="225"/>
      <c r="P9273" s="260"/>
      <c r="Q9273" s="258"/>
      <c r="R9273" s="260"/>
      <c r="S9273" s="260"/>
      <c r="T9273" s="260"/>
      <c r="U9273" s="260"/>
      <c r="V9273" s="260"/>
      <c r="W9273" s="260"/>
      <c r="X9273" s="260"/>
      <c r="Y9273" s="260"/>
      <c r="Z9273" s="260"/>
      <c r="AA9273" s="260"/>
      <c r="AB9273" s="260"/>
      <c r="AC9273" s="260"/>
      <c r="AD9273" s="260"/>
      <c r="AE9273" s="260"/>
      <c r="AF9273" s="260"/>
      <c r="AG9273" s="258"/>
      <c r="AO9273"/>
      <c r="AP9273"/>
      <c r="AQ9273"/>
      <c r="AR9273"/>
      <c r="AS9273"/>
      <c r="AT9273"/>
      <c r="AU9273"/>
      <c r="AV9273"/>
      <c r="AW9273"/>
      <c r="AX9273"/>
      <c r="AY9273"/>
      <c r="AZ9273"/>
      <c r="BA9273"/>
      <c r="BB9273"/>
      <c r="BC9273"/>
      <c r="BD9273"/>
      <c r="BE9273"/>
      <c r="BF9273"/>
    </row>
    <row r="9274" spans="13:58" ht="12" hidden="1" customHeight="1">
      <c r="M9274" s="820"/>
      <c r="N9274" s="239"/>
      <c r="O9274" s="225"/>
      <c r="P9274" s="260"/>
      <c r="Q9274" s="258"/>
      <c r="R9274" s="260"/>
      <c r="S9274" s="260"/>
      <c r="T9274" s="260"/>
      <c r="U9274" s="260"/>
      <c r="V9274" s="260"/>
      <c r="W9274" s="260"/>
      <c r="X9274" s="260"/>
      <c r="Y9274" s="260"/>
      <c r="Z9274" s="260"/>
      <c r="AA9274" s="260"/>
      <c r="AB9274" s="260"/>
      <c r="AC9274" s="260"/>
      <c r="AD9274" s="260"/>
      <c r="AE9274" s="260"/>
      <c r="AF9274" s="260"/>
      <c r="AG9274" s="258"/>
      <c r="AO9274"/>
      <c r="AP9274"/>
      <c r="AQ9274"/>
      <c r="AR9274"/>
      <c r="AS9274"/>
      <c r="AT9274"/>
      <c r="AU9274"/>
      <c r="AV9274"/>
      <c r="AW9274"/>
      <c r="AX9274"/>
      <c r="AY9274"/>
      <c r="AZ9274"/>
      <c r="BA9274"/>
      <c r="BB9274"/>
      <c r="BC9274"/>
      <c r="BD9274"/>
      <c r="BE9274"/>
      <c r="BF9274"/>
    </row>
    <row r="9275" spans="13:58" ht="12" hidden="1" customHeight="1">
      <c r="M9275" s="820"/>
      <c r="N9275" s="239"/>
      <c r="O9275" s="225"/>
      <c r="P9275" s="260"/>
      <c r="Q9275" s="258"/>
      <c r="R9275" s="260"/>
      <c r="S9275" s="260"/>
      <c r="T9275" s="260"/>
      <c r="U9275" s="260"/>
      <c r="V9275" s="260"/>
      <c r="W9275" s="260"/>
      <c r="X9275" s="260"/>
      <c r="Y9275" s="260"/>
      <c r="Z9275" s="260"/>
      <c r="AA9275" s="260"/>
      <c r="AB9275" s="260"/>
      <c r="AC9275" s="260"/>
      <c r="AD9275" s="260"/>
      <c r="AE9275" s="260"/>
      <c r="AF9275" s="260"/>
      <c r="AG9275" s="258"/>
      <c r="AO9275"/>
      <c r="AP9275"/>
      <c r="AQ9275"/>
      <c r="AR9275"/>
      <c r="AS9275"/>
      <c r="AT9275"/>
      <c r="AU9275"/>
      <c r="AV9275"/>
      <c r="AW9275"/>
      <c r="AX9275"/>
      <c r="AY9275"/>
      <c r="AZ9275"/>
      <c r="BA9275"/>
      <c r="BB9275"/>
      <c r="BC9275"/>
      <c r="BD9275"/>
      <c r="BE9275"/>
      <c r="BF9275"/>
    </row>
    <row r="9276" spans="13:58" ht="12" hidden="1" customHeight="1">
      <c r="M9276" s="820"/>
      <c r="N9276" s="239"/>
      <c r="O9276" s="225"/>
      <c r="P9276" s="260"/>
      <c r="Q9276" s="258"/>
      <c r="R9276" s="260"/>
      <c r="S9276" s="260"/>
      <c r="T9276" s="260"/>
      <c r="U9276" s="260"/>
      <c r="V9276" s="260"/>
      <c r="W9276" s="260"/>
      <c r="X9276" s="260"/>
      <c r="Y9276" s="260"/>
      <c r="Z9276" s="260"/>
      <c r="AA9276" s="260"/>
      <c r="AB9276" s="260"/>
      <c r="AC9276" s="260"/>
      <c r="AD9276" s="260"/>
      <c r="AE9276" s="260"/>
      <c r="AF9276" s="260"/>
      <c r="AG9276" s="258"/>
      <c r="AO9276"/>
      <c r="AP9276"/>
      <c r="AQ9276"/>
      <c r="AR9276"/>
      <c r="AS9276"/>
      <c r="AT9276"/>
      <c r="AU9276"/>
      <c r="AV9276"/>
      <c r="AW9276"/>
      <c r="AX9276"/>
      <c r="AY9276"/>
      <c r="AZ9276"/>
      <c r="BA9276"/>
      <c r="BB9276"/>
      <c r="BC9276"/>
      <c r="BD9276"/>
      <c r="BE9276"/>
      <c r="BF9276"/>
    </row>
    <row r="9277" spans="13:58" ht="12" hidden="1" customHeight="1">
      <c r="M9277" s="820"/>
      <c r="N9277" s="239"/>
      <c r="O9277" s="225"/>
      <c r="P9277" s="260"/>
      <c r="Q9277" s="258"/>
      <c r="R9277" s="260"/>
      <c r="S9277" s="260"/>
      <c r="T9277" s="260"/>
      <c r="U9277" s="260"/>
      <c r="V9277" s="260"/>
      <c r="W9277" s="260"/>
      <c r="X9277" s="260"/>
      <c r="Y9277" s="260"/>
      <c r="Z9277" s="260"/>
      <c r="AA9277" s="260"/>
      <c r="AB9277" s="260"/>
      <c r="AC9277" s="260"/>
      <c r="AD9277" s="260"/>
      <c r="AE9277" s="260"/>
      <c r="AF9277" s="260"/>
      <c r="AG9277" s="258"/>
      <c r="AO9277"/>
      <c r="AP9277"/>
      <c r="AQ9277"/>
      <c r="AR9277"/>
      <c r="AS9277"/>
      <c r="AT9277"/>
      <c r="AU9277"/>
      <c r="AV9277"/>
      <c r="AW9277"/>
      <c r="AX9277"/>
      <c r="AY9277"/>
      <c r="AZ9277"/>
      <c r="BA9277"/>
      <c r="BB9277"/>
      <c r="BC9277"/>
      <c r="BD9277"/>
      <c r="BE9277"/>
      <c r="BF9277"/>
    </row>
    <row r="9278" spans="13:58" ht="12" hidden="1" customHeight="1">
      <c r="M9278" s="820"/>
      <c r="N9278" s="239"/>
      <c r="O9278" s="225"/>
      <c r="P9278" s="260"/>
      <c r="Q9278" s="258"/>
      <c r="R9278" s="260"/>
      <c r="S9278" s="260"/>
      <c r="T9278" s="260"/>
      <c r="U9278" s="260"/>
      <c r="V9278" s="260"/>
      <c r="W9278" s="260"/>
      <c r="X9278" s="260"/>
      <c r="Y9278" s="260"/>
      <c r="Z9278" s="260"/>
      <c r="AA9278" s="260"/>
      <c r="AB9278" s="260"/>
      <c r="AC9278" s="260"/>
      <c r="AD9278" s="260"/>
      <c r="AE9278" s="260"/>
      <c r="AF9278" s="260"/>
      <c r="AG9278" s="258"/>
      <c r="AO9278"/>
      <c r="AP9278"/>
      <c r="AQ9278"/>
      <c r="AR9278"/>
      <c r="AS9278"/>
      <c r="AT9278"/>
      <c r="AU9278"/>
      <c r="AV9278"/>
      <c r="AW9278"/>
      <c r="AX9278"/>
      <c r="AY9278"/>
      <c r="AZ9278"/>
      <c r="BA9278"/>
      <c r="BB9278"/>
      <c r="BC9278"/>
      <c r="BD9278"/>
      <c r="BE9278"/>
      <c r="BF9278"/>
    </row>
    <row r="9279" spans="13:58" ht="12" hidden="1" customHeight="1">
      <c r="M9279" s="820"/>
      <c r="N9279" s="239"/>
      <c r="O9279" s="225"/>
      <c r="P9279" s="260"/>
      <c r="Q9279" s="258"/>
      <c r="R9279" s="260"/>
      <c r="S9279" s="260"/>
      <c r="T9279" s="260"/>
      <c r="U9279" s="260"/>
      <c r="V9279" s="260"/>
      <c r="W9279" s="260"/>
      <c r="X9279" s="260"/>
      <c r="Y9279" s="260"/>
      <c r="Z9279" s="260"/>
      <c r="AA9279" s="260"/>
      <c r="AB9279" s="260"/>
      <c r="AC9279" s="260"/>
      <c r="AD9279" s="260"/>
      <c r="AE9279" s="260"/>
      <c r="AF9279" s="260"/>
      <c r="AG9279" s="258"/>
      <c r="AO9279"/>
      <c r="AP9279"/>
      <c r="AQ9279"/>
      <c r="AR9279"/>
      <c r="AS9279"/>
      <c r="AT9279"/>
      <c r="AU9279"/>
      <c r="AV9279"/>
      <c r="AW9279"/>
      <c r="AX9279"/>
      <c r="AY9279"/>
      <c r="AZ9279"/>
      <c r="BA9279"/>
      <c r="BB9279"/>
      <c r="BC9279"/>
      <c r="BD9279"/>
      <c r="BE9279"/>
      <c r="BF9279"/>
    </row>
    <row r="9280" spans="13:58" ht="12" hidden="1" customHeight="1">
      <c r="M9280" s="820"/>
      <c r="N9280" s="239"/>
      <c r="O9280" s="225"/>
      <c r="P9280" s="260"/>
      <c r="Q9280" s="258"/>
      <c r="R9280" s="260"/>
      <c r="S9280" s="260"/>
      <c r="T9280" s="260"/>
      <c r="U9280" s="260"/>
      <c r="V9280" s="260"/>
      <c r="W9280" s="260"/>
      <c r="X9280" s="260"/>
      <c r="Y9280" s="260"/>
      <c r="Z9280" s="260"/>
      <c r="AA9280" s="260"/>
      <c r="AB9280" s="260"/>
      <c r="AC9280" s="260"/>
      <c r="AD9280" s="260"/>
      <c r="AE9280" s="260"/>
      <c r="AF9280" s="260"/>
      <c r="AG9280" s="258"/>
      <c r="AO9280"/>
      <c r="AP9280"/>
      <c r="AQ9280"/>
      <c r="AR9280"/>
      <c r="AS9280"/>
      <c r="AT9280"/>
      <c r="AU9280"/>
      <c r="AV9280"/>
      <c r="AW9280"/>
      <c r="AX9280"/>
      <c r="AY9280"/>
      <c r="AZ9280"/>
      <c r="BA9280"/>
      <c r="BB9280"/>
      <c r="BC9280"/>
      <c r="BD9280"/>
      <c r="BE9280"/>
      <c r="BF9280"/>
    </row>
    <row r="9281" spans="13:58" ht="12" hidden="1" customHeight="1">
      <c r="M9281" s="820"/>
      <c r="N9281" s="239"/>
      <c r="O9281" s="225"/>
      <c r="P9281" s="260"/>
      <c r="Q9281" s="258"/>
      <c r="R9281" s="260"/>
      <c r="S9281" s="260"/>
      <c r="T9281" s="260"/>
      <c r="U9281" s="260"/>
      <c r="V9281" s="260"/>
      <c r="W9281" s="260"/>
      <c r="X9281" s="260"/>
      <c r="Y9281" s="260"/>
      <c r="Z9281" s="260"/>
      <c r="AA9281" s="260"/>
      <c r="AB9281" s="260"/>
      <c r="AC9281" s="260"/>
      <c r="AD9281" s="260"/>
      <c r="AE9281" s="260"/>
      <c r="AF9281" s="260"/>
      <c r="AG9281" s="258"/>
      <c r="AO9281"/>
      <c r="AP9281"/>
      <c r="AQ9281"/>
      <c r="AR9281"/>
      <c r="AS9281"/>
      <c r="AT9281"/>
      <c r="AU9281"/>
      <c r="AV9281"/>
      <c r="AW9281"/>
      <c r="AX9281"/>
      <c r="AY9281"/>
      <c r="AZ9281"/>
      <c r="BA9281"/>
      <c r="BB9281"/>
      <c r="BC9281"/>
      <c r="BD9281"/>
      <c r="BE9281"/>
      <c r="BF9281"/>
    </row>
    <row r="9282" spans="13:58" ht="12" hidden="1" customHeight="1">
      <c r="M9282" s="820"/>
      <c r="N9282" s="239"/>
      <c r="O9282" s="225"/>
      <c r="P9282" s="260"/>
      <c r="Q9282" s="258"/>
      <c r="R9282" s="260"/>
      <c r="S9282" s="260"/>
      <c r="T9282" s="260"/>
      <c r="U9282" s="260"/>
      <c r="V9282" s="260"/>
      <c r="W9282" s="260"/>
      <c r="X9282" s="260"/>
      <c r="Y9282" s="260"/>
      <c r="Z9282" s="260"/>
      <c r="AA9282" s="260"/>
      <c r="AB9282" s="260"/>
      <c r="AC9282" s="260"/>
      <c r="AD9282" s="260"/>
      <c r="AE9282" s="260"/>
      <c r="AF9282" s="260"/>
      <c r="AG9282" s="258"/>
      <c r="AO9282"/>
      <c r="AP9282"/>
      <c r="AQ9282"/>
      <c r="AR9282"/>
      <c r="AS9282"/>
      <c r="AT9282"/>
      <c r="AU9282"/>
      <c r="AV9282"/>
      <c r="AW9282"/>
      <c r="AX9282"/>
      <c r="AY9282"/>
      <c r="AZ9282"/>
      <c r="BA9282"/>
      <c r="BB9282"/>
      <c r="BC9282"/>
      <c r="BD9282"/>
      <c r="BE9282"/>
      <c r="BF9282"/>
    </row>
    <row r="9283" spans="13:58" ht="12" hidden="1" customHeight="1">
      <c r="M9283" s="820"/>
      <c r="N9283" s="239"/>
      <c r="O9283" s="225"/>
      <c r="P9283" s="260"/>
      <c r="Q9283" s="258"/>
      <c r="R9283" s="260"/>
      <c r="S9283" s="260"/>
      <c r="T9283" s="260"/>
      <c r="U9283" s="260"/>
      <c r="V9283" s="260"/>
      <c r="W9283" s="260"/>
      <c r="X9283" s="260"/>
      <c r="Y9283" s="260"/>
      <c r="Z9283" s="260"/>
      <c r="AA9283" s="260"/>
      <c r="AB9283" s="260"/>
      <c r="AC9283" s="260"/>
      <c r="AD9283" s="260"/>
      <c r="AE9283" s="260"/>
      <c r="AF9283" s="260"/>
      <c r="AG9283" s="258"/>
      <c r="AO9283"/>
      <c r="AP9283"/>
      <c r="AQ9283"/>
      <c r="AR9283"/>
      <c r="AS9283"/>
      <c r="AT9283"/>
      <c r="AU9283"/>
      <c r="AV9283"/>
      <c r="AW9283"/>
      <c r="AX9283"/>
      <c r="AY9283"/>
      <c r="AZ9283"/>
      <c r="BA9283"/>
      <c r="BB9283"/>
      <c r="BC9283"/>
      <c r="BD9283"/>
      <c r="BE9283"/>
      <c r="BF9283"/>
    </row>
    <row r="9284" spans="13:58" ht="12" hidden="1" customHeight="1">
      <c r="M9284" s="820"/>
      <c r="N9284" s="239"/>
      <c r="O9284" s="225"/>
      <c r="P9284" s="260"/>
      <c r="Q9284" s="258"/>
      <c r="R9284" s="260"/>
      <c r="S9284" s="260"/>
      <c r="T9284" s="260"/>
      <c r="U9284" s="260"/>
      <c r="V9284" s="260"/>
      <c r="W9284" s="260"/>
      <c r="X9284" s="260"/>
      <c r="Y9284" s="260"/>
      <c r="Z9284" s="260"/>
      <c r="AA9284" s="260"/>
      <c r="AB9284" s="260"/>
      <c r="AC9284" s="260"/>
      <c r="AD9284" s="260"/>
      <c r="AE9284" s="260"/>
      <c r="AF9284" s="260"/>
      <c r="AG9284" s="258"/>
      <c r="AO9284"/>
      <c r="AP9284"/>
      <c r="AQ9284"/>
      <c r="AR9284"/>
      <c r="AS9284"/>
      <c r="AT9284"/>
      <c r="AU9284"/>
      <c r="AV9284"/>
      <c r="AW9284"/>
      <c r="AX9284"/>
      <c r="AY9284"/>
      <c r="AZ9284"/>
      <c r="BA9284"/>
      <c r="BB9284"/>
      <c r="BC9284"/>
      <c r="BD9284"/>
      <c r="BE9284"/>
      <c r="BF9284"/>
    </row>
    <row r="9285" spans="13:58" ht="12" hidden="1" customHeight="1">
      <c r="M9285" s="820"/>
      <c r="N9285" s="239"/>
      <c r="O9285" s="225"/>
      <c r="P9285" s="260"/>
      <c r="Q9285" s="258"/>
      <c r="R9285" s="260"/>
      <c r="S9285" s="260"/>
      <c r="T9285" s="260"/>
      <c r="U9285" s="260"/>
      <c r="V9285" s="260"/>
      <c r="W9285" s="260"/>
      <c r="X9285" s="260"/>
      <c r="Y9285" s="260"/>
      <c r="Z9285" s="260"/>
      <c r="AA9285" s="260"/>
      <c r="AB9285" s="260"/>
      <c r="AC9285" s="260"/>
      <c r="AD9285" s="260"/>
      <c r="AE9285" s="260"/>
      <c r="AF9285" s="260"/>
      <c r="AG9285" s="258"/>
      <c r="AO9285"/>
      <c r="AP9285"/>
      <c r="AQ9285"/>
      <c r="AR9285"/>
      <c r="AS9285"/>
      <c r="AT9285"/>
      <c r="AU9285"/>
      <c r="AV9285"/>
      <c r="AW9285"/>
      <c r="AX9285"/>
      <c r="AY9285"/>
      <c r="AZ9285"/>
      <c r="BA9285"/>
      <c r="BB9285"/>
      <c r="BC9285"/>
      <c r="BD9285"/>
      <c r="BE9285"/>
      <c r="BF9285"/>
    </row>
    <row r="9286" spans="13:58" ht="12" hidden="1" customHeight="1">
      <c r="M9286" s="820"/>
      <c r="N9286" s="239"/>
      <c r="O9286" s="225"/>
      <c r="P9286" s="260"/>
      <c r="Q9286" s="258"/>
      <c r="R9286" s="260"/>
      <c r="S9286" s="260"/>
      <c r="T9286" s="260"/>
      <c r="U9286" s="260"/>
      <c r="V9286" s="260"/>
      <c r="W9286" s="260"/>
      <c r="X9286" s="260"/>
      <c r="Y9286" s="260"/>
      <c r="Z9286" s="260"/>
      <c r="AA9286" s="260"/>
      <c r="AB9286" s="260"/>
      <c r="AC9286" s="260"/>
      <c r="AD9286" s="260"/>
      <c r="AE9286" s="260"/>
      <c r="AF9286" s="260"/>
      <c r="AG9286" s="258"/>
      <c r="AO9286"/>
      <c r="AP9286"/>
      <c r="AQ9286"/>
      <c r="AR9286"/>
      <c r="AS9286"/>
      <c r="AT9286"/>
      <c r="AU9286"/>
      <c r="AV9286"/>
      <c r="AW9286"/>
      <c r="AX9286"/>
      <c r="AY9286"/>
      <c r="AZ9286"/>
      <c r="BA9286"/>
      <c r="BB9286"/>
      <c r="BC9286"/>
      <c r="BD9286"/>
      <c r="BE9286"/>
      <c r="BF9286"/>
    </row>
    <row r="9287" spans="13:58" ht="12" hidden="1" customHeight="1">
      <c r="M9287" s="820"/>
      <c r="N9287" s="239"/>
      <c r="O9287" s="225"/>
      <c r="P9287" s="260"/>
      <c r="Q9287" s="258"/>
      <c r="R9287" s="260"/>
      <c r="S9287" s="260"/>
      <c r="T9287" s="260"/>
      <c r="U9287" s="260"/>
      <c r="V9287" s="260"/>
      <c r="W9287" s="260"/>
      <c r="X9287" s="260"/>
      <c r="Y9287" s="260"/>
      <c r="Z9287" s="260"/>
      <c r="AA9287" s="260"/>
      <c r="AB9287" s="260"/>
      <c r="AC9287" s="260"/>
      <c r="AD9287" s="260"/>
      <c r="AE9287" s="260"/>
      <c r="AF9287" s="260"/>
      <c r="AG9287" s="258"/>
      <c r="AO9287"/>
      <c r="AP9287"/>
      <c r="AQ9287"/>
      <c r="AR9287"/>
      <c r="AS9287"/>
      <c r="AT9287"/>
      <c r="AU9287"/>
      <c r="AV9287"/>
      <c r="AW9287"/>
      <c r="AX9287"/>
      <c r="AY9287"/>
      <c r="AZ9287"/>
      <c r="BA9287"/>
      <c r="BB9287"/>
      <c r="BC9287"/>
      <c r="BD9287"/>
      <c r="BE9287"/>
      <c r="BF9287"/>
    </row>
    <row r="9288" spans="13:58" ht="12" hidden="1" customHeight="1">
      <c r="M9288" s="820"/>
      <c r="N9288" s="239"/>
      <c r="O9288" s="225"/>
      <c r="P9288" s="260"/>
      <c r="Q9288" s="258"/>
      <c r="R9288" s="260"/>
      <c r="S9288" s="260"/>
      <c r="T9288" s="260"/>
      <c r="U9288" s="260"/>
      <c r="V9288" s="260"/>
      <c r="W9288" s="260"/>
      <c r="X9288" s="260"/>
      <c r="Y9288" s="260"/>
      <c r="Z9288" s="260"/>
      <c r="AA9288" s="260"/>
      <c r="AB9288" s="260"/>
      <c r="AC9288" s="260"/>
      <c r="AD9288" s="260"/>
      <c r="AE9288" s="260"/>
      <c r="AF9288" s="260"/>
      <c r="AG9288" s="258"/>
      <c r="AO9288"/>
      <c r="AP9288"/>
      <c r="AQ9288"/>
      <c r="AR9288"/>
      <c r="AS9288"/>
      <c r="AT9288"/>
      <c r="AU9288"/>
      <c r="AV9288"/>
      <c r="AW9288"/>
      <c r="AX9288"/>
      <c r="AY9288"/>
      <c r="AZ9288"/>
      <c r="BA9288"/>
      <c r="BB9288"/>
      <c r="BC9288"/>
      <c r="BD9288"/>
      <c r="BE9288"/>
      <c r="BF9288"/>
    </row>
    <row r="9289" spans="13:58" ht="12" hidden="1" customHeight="1">
      <c r="M9289" s="820"/>
      <c r="N9289" s="239"/>
      <c r="O9289" s="225"/>
      <c r="P9289" s="260"/>
      <c r="Q9289" s="258"/>
      <c r="R9289" s="260"/>
      <c r="S9289" s="260"/>
      <c r="T9289" s="260"/>
      <c r="U9289" s="260"/>
      <c r="V9289" s="260"/>
      <c r="W9289" s="260"/>
      <c r="X9289" s="260"/>
      <c r="Y9289" s="260"/>
      <c r="Z9289" s="260"/>
      <c r="AA9289" s="260"/>
      <c r="AB9289" s="260"/>
      <c r="AC9289" s="260"/>
      <c r="AD9289" s="260"/>
      <c r="AE9289" s="260"/>
      <c r="AF9289" s="260"/>
      <c r="AG9289" s="258"/>
      <c r="AO9289"/>
      <c r="AP9289"/>
      <c r="AQ9289"/>
      <c r="AR9289"/>
      <c r="AS9289"/>
      <c r="AT9289"/>
      <c r="AU9289"/>
      <c r="AV9289"/>
      <c r="AW9289"/>
      <c r="AX9289"/>
      <c r="AY9289"/>
      <c r="AZ9289"/>
      <c r="BA9289"/>
      <c r="BB9289"/>
      <c r="BC9289"/>
      <c r="BD9289"/>
      <c r="BE9289"/>
      <c r="BF9289"/>
    </row>
    <row r="9290" spans="13:58" ht="12" hidden="1" customHeight="1">
      <c r="M9290" s="820"/>
      <c r="N9290" s="239"/>
      <c r="O9290" s="225"/>
      <c r="P9290" s="260"/>
      <c r="Q9290" s="258"/>
      <c r="R9290" s="260"/>
      <c r="S9290" s="260"/>
      <c r="T9290" s="260"/>
      <c r="U9290" s="260"/>
      <c r="V9290" s="260"/>
      <c r="W9290" s="260"/>
      <c r="X9290" s="260"/>
      <c r="Y9290" s="260"/>
      <c r="Z9290" s="260"/>
      <c r="AA9290" s="260"/>
      <c r="AB9290" s="260"/>
      <c r="AC9290" s="260"/>
      <c r="AD9290" s="260"/>
      <c r="AE9290" s="260"/>
      <c r="AF9290" s="260"/>
      <c r="AG9290" s="258"/>
      <c r="AO9290"/>
      <c r="AP9290"/>
      <c r="AQ9290"/>
      <c r="AR9290"/>
      <c r="AS9290"/>
      <c r="AT9290"/>
      <c r="AU9290"/>
      <c r="AV9290"/>
      <c r="AW9290"/>
      <c r="AX9290"/>
      <c r="AY9290"/>
      <c r="AZ9290"/>
      <c r="BA9290"/>
      <c r="BB9290"/>
      <c r="BC9290"/>
      <c r="BD9290"/>
      <c r="BE9290"/>
      <c r="BF9290"/>
    </row>
    <row r="9291" spans="13:58" ht="12" hidden="1" customHeight="1">
      <c r="M9291" s="820"/>
      <c r="N9291" s="239"/>
      <c r="O9291" s="225"/>
      <c r="P9291" s="260"/>
      <c r="Q9291" s="258"/>
      <c r="R9291" s="260"/>
      <c r="S9291" s="260"/>
      <c r="T9291" s="260"/>
      <c r="U9291" s="260"/>
      <c r="V9291" s="260"/>
      <c r="W9291" s="260"/>
      <c r="X9291" s="260"/>
      <c r="Y9291" s="260"/>
      <c r="Z9291" s="260"/>
      <c r="AA9291" s="260"/>
      <c r="AB9291" s="260"/>
      <c r="AC9291" s="260"/>
      <c r="AD9291" s="260"/>
      <c r="AE9291" s="260"/>
      <c r="AF9291" s="260"/>
      <c r="AG9291" s="258"/>
      <c r="AO9291"/>
      <c r="AP9291"/>
      <c r="AQ9291"/>
      <c r="AR9291"/>
      <c r="AS9291"/>
      <c r="AT9291"/>
      <c r="AU9291"/>
      <c r="AV9291"/>
      <c r="AW9291"/>
      <c r="AX9291"/>
      <c r="AY9291"/>
      <c r="AZ9291"/>
      <c r="BA9291"/>
      <c r="BB9291"/>
      <c r="BC9291"/>
      <c r="BD9291"/>
      <c r="BE9291"/>
      <c r="BF9291"/>
    </row>
    <row r="9292" spans="13:58" ht="12" hidden="1" customHeight="1">
      <c r="M9292" s="820"/>
      <c r="N9292" s="239"/>
      <c r="O9292" s="225"/>
      <c r="P9292" s="260"/>
      <c r="Q9292" s="258"/>
      <c r="R9292" s="260"/>
      <c r="S9292" s="260"/>
      <c r="T9292" s="260"/>
      <c r="U9292" s="260"/>
      <c r="V9292" s="260"/>
      <c r="W9292" s="260"/>
      <c r="X9292" s="260"/>
      <c r="Y9292" s="260"/>
      <c r="Z9292" s="260"/>
      <c r="AA9292" s="260"/>
      <c r="AB9292" s="260"/>
      <c r="AC9292" s="260"/>
      <c r="AD9292" s="260"/>
      <c r="AE9292" s="260"/>
      <c r="AF9292" s="260"/>
      <c r="AG9292" s="258"/>
      <c r="AO9292"/>
      <c r="AP9292"/>
      <c r="AQ9292"/>
      <c r="AR9292"/>
      <c r="AS9292"/>
      <c r="AT9292"/>
      <c r="AU9292"/>
      <c r="AV9292"/>
      <c r="AW9292"/>
      <c r="AX9292"/>
      <c r="AY9292"/>
      <c r="AZ9292"/>
      <c r="BA9292"/>
      <c r="BB9292"/>
      <c r="BC9292"/>
      <c r="BD9292"/>
      <c r="BE9292"/>
      <c r="BF9292"/>
    </row>
    <row r="9293" spans="13:58" ht="12" hidden="1" customHeight="1">
      <c r="M9293" s="820"/>
      <c r="N9293" s="239"/>
      <c r="O9293" s="225"/>
      <c r="P9293" s="260"/>
      <c r="Q9293" s="258"/>
      <c r="R9293" s="260"/>
      <c r="S9293" s="260"/>
      <c r="T9293" s="260"/>
      <c r="U9293" s="260"/>
      <c r="V9293" s="260"/>
      <c r="W9293" s="260"/>
      <c r="X9293" s="260"/>
      <c r="Y9293" s="260"/>
      <c r="Z9293" s="260"/>
      <c r="AA9293" s="260"/>
      <c r="AB9293" s="260"/>
      <c r="AC9293" s="260"/>
      <c r="AD9293" s="260"/>
      <c r="AE9293" s="260"/>
      <c r="AF9293" s="260"/>
      <c r="AG9293" s="258"/>
      <c r="AO9293"/>
      <c r="AP9293"/>
      <c r="AQ9293"/>
      <c r="AR9293"/>
      <c r="AS9293"/>
      <c r="AT9293"/>
      <c r="AU9293"/>
      <c r="AV9293"/>
      <c r="AW9293"/>
      <c r="AX9293"/>
      <c r="AY9293"/>
      <c r="AZ9293"/>
      <c r="BA9293"/>
      <c r="BB9293"/>
      <c r="BC9293"/>
      <c r="BD9293"/>
      <c r="BE9293"/>
      <c r="BF9293"/>
    </row>
    <row r="9294" spans="13:58" ht="12" hidden="1" customHeight="1">
      <c r="M9294" s="820"/>
      <c r="N9294" s="239"/>
      <c r="O9294" s="225"/>
      <c r="P9294" s="260"/>
      <c r="Q9294" s="258"/>
      <c r="R9294" s="260"/>
      <c r="S9294" s="260"/>
      <c r="T9294" s="260"/>
      <c r="U9294" s="260"/>
      <c r="V9294" s="260"/>
      <c r="W9294" s="260"/>
      <c r="X9294" s="260"/>
      <c r="Y9294" s="260"/>
      <c r="Z9294" s="260"/>
      <c r="AA9294" s="260"/>
      <c r="AB9294" s="260"/>
      <c r="AC9294" s="260"/>
      <c r="AD9294" s="260"/>
      <c r="AE9294" s="260"/>
      <c r="AF9294" s="260"/>
      <c r="AG9294" s="258"/>
      <c r="AO9294"/>
      <c r="AP9294"/>
      <c r="AQ9294"/>
      <c r="AR9294"/>
      <c r="AS9294"/>
      <c r="AT9294"/>
      <c r="AU9294"/>
      <c r="AV9294"/>
      <c r="AW9294"/>
      <c r="AX9294"/>
      <c r="AY9294"/>
      <c r="AZ9294"/>
      <c r="BA9294"/>
      <c r="BB9294"/>
      <c r="BC9294"/>
      <c r="BD9294"/>
      <c r="BE9294"/>
      <c r="BF9294"/>
    </row>
    <row r="9295" spans="13:58" ht="12" hidden="1" customHeight="1">
      <c r="M9295" s="820"/>
      <c r="N9295" s="239"/>
      <c r="O9295" s="225"/>
      <c r="P9295" s="260"/>
      <c r="Q9295" s="258"/>
      <c r="R9295" s="260"/>
      <c r="S9295" s="260"/>
      <c r="T9295" s="260"/>
      <c r="U9295" s="260"/>
      <c r="V9295" s="260"/>
      <c r="W9295" s="260"/>
      <c r="X9295" s="260"/>
      <c r="Y9295" s="260"/>
      <c r="Z9295" s="260"/>
      <c r="AA9295" s="260"/>
      <c r="AB9295" s="260"/>
      <c r="AC9295" s="260"/>
      <c r="AD9295" s="260"/>
      <c r="AE9295" s="260"/>
      <c r="AF9295" s="260"/>
      <c r="AG9295" s="258"/>
      <c r="AO9295"/>
      <c r="AP9295"/>
      <c r="AQ9295"/>
      <c r="AR9295"/>
      <c r="AS9295"/>
      <c r="AT9295"/>
      <c r="AU9295"/>
      <c r="AV9295"/>
      <c r="AW9295"/>
      <c r="AX9295"/>
      <c r="AY9295"/>
      <c r="AZ9295"/>
      <c r="BA9295"/>
      <c r="BB9295"/>
      <c r="BC9295"/>
      <c r="BD9295"/>
      <c r="BE9295"/>
      <c r="BF9295"/>
    </row>
    <row r="9296" spans="13:58" ht="12" hidden="1" customHeight="1">
      <c r="M9296" s="820"/>
      <c r="N9296" s="239"/>
      <c r="O9296" s="225"/>
      <c r="P9296" s="260"/>
      <c r="Q9296" s="258"/>
      <c r="R9296" s="260"/>
      <c r="S9296" s="260"/>
      <c r="T9296" s="260"/>
      <c r="U9296" s="260"/>
      <c r="V9296" s="260"/>
      <c r="W9296" s="260"/>
      <c r="X9296" s="260"/>
      <c r="Y9296" s="260"/>
      <c r="Z9296" s="260"/>
      <c r="AA9296" s="260"/>
      <c r="AB9296" s="260"/>
      <c r="AC9296" s="260"/>
      <c r="AD9296" s="260"/>
      <c r="AE9296" s="260"/>
      <c r="AF9296" s="260"/>
      <c r="AG9296" s="258"/>
      <c r="AO9296"/>
      <c r="AP9296"/>
      <c r="AQ9296"/>
      <c r="AR9296"/>
      <c r="AS9296"/>
      <c r="AT9296"/>
      <c r="AU9296"/>
      <c r="AV9296"/>
      <c r="AW9296"/>
      <c r="AX9296"/>
      <c r="AY9296"/>
      <c r="AZ9296"/>
      <c r="BA9296"/>
      <c r="BB9296"/>
      <c r="BC9296"/>
      <c r="BD9296"/>
      <c r="BE9296"/>
      <c r="BF9296"/>
    </row>
    <row r="9297" spans="13:58" ht="12" hidden="1" customHeight="1">
      <c r="M9297" s="820"/>
      <c r="N9297" s="239"/>
      <c r="O9297" s="225"/>
      <c r="P9297" s="260"/>
      <c r="Q9297" s="258"/>
      <c r="R9297" s="260"/>
      <c r="S9297" s="260"/>
      <c r="T9297" s="260"/>
      <c r="U9297" s="260"/>
      <c r="V9297" s="260"/>
      <c r="W9297" s="260"/>
      <c r="X9297" s="260"/>
      <c r="Y9297" s="260"/>
      <c r="Z9297" s="260"/>
      <c r="AA9297" s="260"/>
      <c r="AB9297" s="260"/>
      <c r="AC9297" s="260"/>
      <c r="AD9297" s="260"/>
      <c r="AE9297" s="260"/>
      <c r="AF9297" s="260"/>
      <c r="AG9297" s="258"/>
      <c r="AO9297"/>
      <c r="AP9297"/>
      <c r="AQ9297"/>
      <c r="AR9297"/>
      <c r="AS9297"/>
      <c r="AT9297"/>
      <c r="AU9297"/>
      <c r="AV9297"/>
      <c r="AW9297"/>
      <c r="AX9297"/>
      <c r="AY9297"/>
      <c r="AZ9297"/>
      <c r="BA9297"/>
      <c r="BB9297"/>
      <c r="BC9297"/>
      <c r="BD9297"/>
      <c r="BE9297"/>
      <c r="BF9297"/>
    </row>
    <row r="9298" spans="13:58" ht="12" hidden="1" customHeight="1">
      <c r="M9298" s="820"/>
      <c r="N9298" s="239"/>
      <c r="O9298" s="225"/>
      <c r="P9298" s="260"/>
      <c r="Q9298" s="258"/>
      <c r="R9298" s="260"/>
      <c r="S9298" s="260"/>
      <c r="T9298" s="260"/>
      <c r="U9298" s="260"/>
      <c r="V9298" s="260"/>
      <c r="W9298" s="260"/>
      <c r="X9298" s="260"/>
      <c r="Y9298" s="260"/>
      <c r="Z9298" s="260"/>
      <c r="AA9298" s="260"/>
      <c r="AB9298" s="260"/>
      <c r="AC9298" s="260"/>
      <c r="AD9298" s="260"/>
      <c r="AE9298" s="260"/>
      <c r="AF9298" s="260"/>
      <c r="AG9298" s="258"/>
      <c r="AO9298"/>
      <c r="AP9298"/>
      <c r="AQ9298"/>
      <c r="AR9298"/>
      <c r="AS9298"/>
      <c r="AT9298"/>
      <c r="AU9298"/>
      <c r="AV9298"/>
      <c r="AW9298"/>
      <c r="AX9298"/>
      <c r="AY9298"/>
      <c r="AZ9298"/>
      <c r="BA9298"/>
      <c r="BB9298"/>
      <c r="BC9298"/>
      <c r="BD9298"/>
      <c r="BE9298"/>
      <c r="BF9298"/>
    </row>
    <row r="9299" spans="13:58" ht="12" hidden="1" customHeight="1">
      <c r="M9299" s="820"/>
      <c r="N9299" s="239"/>
      <c r="O9299" s="225"/>
      <c r="P9299" s="260"/>
      <c r="Q9299" s="258"/>
      <c r="R9299" s="260"/>
      <c r="S9299" s="260"/>
      <c r="T9299" s="260"/>
      <c r="U9299" s="260"/>
      <c r="V9299" s="260"/>
      <c r="W9299" s="260"/>
      <c r="X9299" s="260"/>
      <c r="Y9299" s="260"/>
      <c r="Z9299" s="260"/>
      <c r="AA9299" s="260"/>
      <c r="AB9299" s="260"/>
      <c r="AC9299" s="260"/>
      <c r="AD9299" s="260"/>
      <c r="AE9299" s="260"/>
      <c r="AF9299" s="260"/>
      <c r="AG9299" s="258"/>
      <c r="AO9299"/>
      <c r="AP9299"/>
      <c r="AQ9299"/>
      <c r="AR9299"/>
      <c r="AS9299"/>
      <c r="AT9299"/>
      <c r="AU9299"/>
      <c r="AV9299"/>
      <c r="AW9299"/>
      <c r="AX9299"/>
      <c r="AY9299"/>
      <c r="AZ9299"/>
      <c r="BA9299"/>
      <c r="BB9299"/>
      <c r="BC9299"/>
      <c r="BD9299"/>
      <c r="BE9299"/>
      <c r="BF9299"/>
    </row>
    <row r="9300" spans="13:58" ht="12" hidden="1" customHeight="1">
      <c r="M9300" s="820"/>
      <c r="N9300" s="239"/>
      <c r="O9300" s="225"/>
      <c r="P9300" s="260"/>
      <c r="Q9300" s="258"/>
      <c r="R9300" s="260"/>
      <c r="S9300" s="260"/>
      <c r="T9300" s="260"/>
      <c r="U9300" s="260"/>
      <c r="V9300" s="260"/>
      <c r="W9300" s="260"/>
      <c r="X9300" s="260"/>
      <c r="Y9300" s="260"/>
      <c r="Z9300" s="260"/>
      <c r="AA9300" s="260"/>
      <c r="AB9300" s="260"/>
      <c r="AC9300" s="260"/>
      <c r="AD9300" s="260"/>
      <c r="AE9300" s="260"/>
      <c r="AF9300" s="260"/>
      <c r="AG9300" s="258"/>
      <c r="AO9300"/>
      <c r="AP9300"/>
      <c r="AQ9300"/>
      <c r="AR9300"/>
      <c r="AS9300"/>
      <c r="AT9300"/>
      <c r="AU9300"/>
      <c r="AV9300"/>
      <c r="AW9300"/>
      <c r="AX9300"/>
      <c r="AY9300"/>
      <c r="AZ9300"/>
      <c r="BA9300"/>
      <c r="BB9300"/>
      <c r="BC9300"/>
      <c r="BD9300"/>
      <c r="BE9300"/>
      <c r="BF9300"/>
    </row>
    <row r="9301" spans="13:58" ht="12" hidden="1" customHeight="1">
      <c r="M9301" s="820"/>
      <c r="N9301" s="239"/>
      <c r="O9301" s="225"/>
      <c r="P9301" s="260"/>
      <c r="Q9301" s="258"/>
      <c r="R9301" s="260"/>
      <c r="S9301" s="260"/>
      <c r="T9301" s="260"/>
      <c r="U9301" s="260"/>
      <c r="V9301" s="260"/>
      <c r="W9301" s="260"/>
      <c r="X9301" s="260"/>
      <c r="Y9301" s="260"/>
      <c r="Z9301" s="260"/>
      <c r="AA9301" s="260"/>
      <c r="AB9301" s="260"/>
      <c r="AC9301" s="260"/>
      <c r="AD9301" s="260"/>
      <c r="AE9301" s="260"/>
      <c r="AF9301" s="260"/>
      <c r="AG9301" s="258"/>
      <c r="AO9301"/>
      <c r="AP9301"/>
      <c r="AQ9301"/>
      <c r="AR9301"/>
      <c r="AS9301"/>
      <c r="AT9301"/>
      <c r="AU9301"/>
      <c r="AV9301"/>
      <c r="AW9301"/>
      <c r="AX9301"/>
      <c r="AY9301"/>
      <c r="AZ9301"/>
      <c r="BA9301"/>
      <c r="BB9301"/>
      <c r="BC9301"/>
      <c r="BD9301"/>
      <c r="BE9301"/>
      <c r="BF9301"/>
    </row>
    <row r="9302" spans="13:58" ht="12" hidden="1" customHeight="1">
      <c r="M9302" s="820"/>
      <c r="N9302" s="239"/>
      <c r="O9302" s="225"/>
      <c r="P9302" s="260"/>
      <c r="Q9302" s="258"/>
      <c r="R9302" s="260"/>
      <c r="S9302" s="260"/>
      <c r="T9302" s="260"/>
      <c r="U9302" s="260"/>
      <c r="V9302" s="260"/>
      <c r="W9302" s="260"/>
      <c r="X9302" s="260"/>
      <c r="Y9302" s="260"/>
      <c r="Z9302" s="260"/>
      <c r="AA9302" s="260"/>
      <c r="AB9302" s="260"/>
      <c r="AC9302" s="260"/>
      <c r="AD9302" s="260"/>
      <c r="AE9302" s="260"/>
      <c r="AF9302" s="260"/>
      <c r="AG9302" s="258"/>
      <c r="AO9302"/>
      <c r="AP9302"/>
      <c r="AQ9302"/>
      <c r="AR9302"/>
      <c r="AS9302"/>
      <c r="AT9302"/>
      <c r="AU9302"/>
      <c r="AV9302"/>
      <c r="AW9302"/>
      <c r="AX9302"/>
      <c r="AY9302"/>
      <c r="AZ9302"/>
      <c r="BA9302"/>
      <c r="BB9302"/>
      <c r="BC9302"/>
      <c r="BD9302"/>
      <c r="BE9302"/>
      <c r="BF9302"/>
    </row>
    <row r="9303" spans="13:58" ht="12" hidden="1" customHeight="1">
      <c r="M9303" s="820"/>
      <c r="N9303" s="239"/>
      <c r="O9303" s="225"/>
      <c r="P9303" s="260"/>
      <c r="Q9303" s="258"/>
      <c r="R9303" s="260"/>
      <c r="S9303" s="260"/>
      <c r="T9303" s="260"/>
      <c r="U9303" s="260"/>
      <c r="V9303" s="260"/>
      <c r="W9303" s="260"/>
      <c r="X9303" s="260"/>
      <c r="Y9303" s="260"/>
      <c r="Z9303" s="260"/>
      <c r="AA9303" s="260"/>
      <c r="AB9303" s="260"/>
      <c r="AC9303" s="260"/>
      <c r="AD9303" s="260"/>
      <c r="AE9303" s="260"/>
      <c r="AF9303" s="260"/>
      <c r="AG9303" s="258"/>
      <c r="AO9303"/>
      <c r="AP9303"/>
      <c r="AQ9303"/>
      <c r="AR9303"/>
      <c r="AS9303"/>
      <c r="AT9303"/>
      <c r="AU9303"/>
      <c r="AV9303"/>
      <c r="AW9303"/>
      <c r="AX9303"/>
      <c r="AY9303"/>
      <c r="AZ9303"/>
      <c r="BA9303"/>
      <c r="BB9303"/>
      <c r="BC9303"/>
      <c r="BD9303"/>
      <c r="BE9303"/>
      <c r="BF9303"/>
    </row>
    <row r="9304" spans="13:58" ht="12" hidden="1" customHeight="1">
      <c r="M9304" s="820"/>
      <c r="N9304" s="239"/>
      <c r="O9304" s="225"/>
      <c r="P9304" s="260"/>
      <c r="Q9304" s="258"/>
      <c r="R9304" s="260"/>
      <c r="S9304" s="260"/>
      <c r="T9304" s="260"/>
      <c r="U9304" s="260"/>
      <c r="V9304" s="260"/>
      <c r="W9304" s="260"/>
      <c r="X9304" s="260"/>
      <c r="Y9304" s="260"/>
      <c r="Z9304" s="260"/>
      <c r="AA9304" s="260"/>
      <c r="AB9304" s="260"/>
      <c r="AC9304" s="260"/>
      <c r="AD9304" s="260"/>
      <c r="AE9304" s="260"/>
      <c r="AF9304" s="260"/>
      <c r="AG9304" s="258"/>
      <c r="AO9304"/>
      <c r="AP9304"/>
      <c r="AQ9304"/>
      <c r="AR9304"/>
      <c r="AS9304"/>
      <c r="AT9304"/>
      <c r="AU9304"/>
      <c r="AV9304"/>
      <c r="AW9304"/>
      <c r="AX9304"/>
      <c r="AY9304"/>
      <c r="AZ9304"/>
      <c r="BA9304"/>
      <c r="BB9304"/>
      <c r="BC9304"/>
      <c r="BD9304"/>
      <c r="BE9304"/>
      <c r="BF9304"/>
    </row>
    <row r="9305" spans="13:58" ht="12" hidden="1" customHeight="1">
      <c r="M9305" s="820"/>
      <c r="N9305" s="239"/>
      <c r="O9305" s="225"/>
      <c r="P9305" s="260"/>
      <c r="Q9305" s="258"/>
      <c r="R9305" s="260"/>
      <c r="S9305" s="260"/>
      <c r="T9305" s="260"/>
      <c r="U9305" s="260"/>
      <c r="V9305" s="260"/>
      <c r="W9305" s="260"/>
      <c r="X9305" s="260"/>
      <c r="Y9305" s="260"/>
      <c r="Z9305" s="260"/>
      <c r="AA9305" s="260"/>
      <c r="AB9305" s="260"/>
      <c r="AC9305" s="260"/>
      <c r="AD9305" s="260"/>
      <c r="AE9305" s="260"/>
      <c r="AF9305" s="260"/>
      <c r="AG9305" s="258"/>
      <c r="AO9305"/>
      <c r="AP9305"/>
      <c r="AQ9305"/>
      <c r="AR9305"/>
      <c r="AS9305"/>
      <c r="AT9305"/>
      <c r="AU9305"/>
      <c r="AV9305"/>
      <c r="AW9305"/>
      <c r="AX9305"/>
      <c r="AY9305"/>
      <c r="AZ9305"/>
      <c r="BA9305"/>
      <c r="BB9305"/>
      <c r="BC9305"/>
      <c r="BD9305"/>
      <c r="BE9305"/>
      <c r="BF9305"/>
    </row>
    <row r="9306" spans="13:58" ht="12" hidden="1" customHeight="1">
      <c r="M9306" s="820"/>
      <c r="N9306" s="239"/>
      <c r="O9306" s="225"/>
      <c r="P9306" s="260"/>
      <c r="Q9306" s="258"/>
      <c r="R9306" s="260"/>
      <c r="S9306" s="260"/>
      <c r="T9306" s="260"/>
      <c r="U9306" s="260"/>
      <c r="V9306" s="260"/>
      <c r="W9306" s="260"/>
      <c r="X9306" s="260"/>
      <c r="Y9306" s="260"/>
      <c r="Z9306" s="260"/>
      <c r="AA9306" s="260"/>
      <c r="AB9306" s="260"/>
      <c r="AC9306" s="260"/>
      <c r="AD9306" s="260"/>
      <c r="AE9306" s="260"/>
      <c r="AF9306" s="260"/>
      <c r="AG9306" s="258"/>
      <c r="AO9306"/>
      <c r="AP9306"/>
      <c r="AQ9306"/>
      <c r="AR9306"/>
      <c r="AS9306"/>
      <c r="AT9306"/>
      <c r="AU9306"/>
      <c r="AV9306"/>
      <c r="AW9306"/>
      <c r="AX9306"/>
      <c r="AY9306"/>
      <c r="AZ9306"/>
      <c r="BA9306"/>
      <c r="BB9306"/>
      <c r="BC9306"/>
      <c r="BD9306"/>
      <c r="BE9306"/>
      <c r="BF9306"/>
    </row>
    <row r="9307" spans="13:58" ht="12" hidden="1" customHeight="1">
      <c r="M9307" s="820"/>
      <c r="N9307" s="239"/>
      <c r="O9307" s="225"/>
      <c r="P9307" s="260"/>
      <c r="Q9307" s="258"/>
      <c r="R9307" s="260"/>
      <c r="S9307" s="260"/>
      <c r="T9307" s="260"/>
      <c r="U9307" s="260"/>
      <c r="V9307" s="260"/>
      <c r="W9307" s="260"/>
      <c r="X9307" s="260"/>
      <c r="Y9307" s="260"/>
      <c r="Z9307" s="260"/>
      <c r="AA9307" s="260"/>
      <c r="AB9307" s="260"/>
      <c r="AC9307" s="260"/>
      <c r="AD9307" s="260"/>
      <c r="AE9307" s="260"/>
      <c r="AF9307" s="260"/>
      <c r="AG9307" s="258"/>
      <c r="AO9307"/>
      <c r="AP9307"/>
      <c r="AQ9307"/>
      <c r="AR9307"/>
      <c r="AS9307"/>
      <c r="AT9307"/>
      <c r="AU9307"/>
      <c r="AV9307"/>
      <c r="AW9307"/>
      <c r="AX9307"/>
      <c r="AY9307"/>
      <c r="AZ9307"/>
      <c r="BA9307"/>
      <c r="BB9307"/>
      <c r="BC9307"/>
      <c r="BD9307"/>
      <c r="BE9307"/>
      <c r="BF9307"/>
    </row>
    <row r="9308" spans="13:58" ht="12" hidden="1" customHeight="1">
      <c r="M9308" s="820"/>
      <c r="N9308" s="239"/>
      <c r="O9308" s="225"/>
      <c r="P9308" s="260"/>
      <c r="Q9308" s="258"/>
      <c r="R9308" s="260"/>
      <c r="S9308" s="260"/>
      <c r="T9308" s="260"/>
      <c r="U9308" s="260"/>
      <c r="V9308" s="260"/>
      <c r="W9308" s="260"/>
      <c r="X9308" s="260"/>
      <c r="Y9308" s="260"/>
      <c r="Z9308" s="260"/>
      <c r="AA9308" s="260"/>
      <c r="AB9308" s="260"/>
      <c r="AC9308" s="260"/>
      <c r="AD9308" s="260"/>
      <c r="AE9308" s="260"/>
      <c r="AF9308" s="260"/>
      <c r="AG9308" s="258"/>
      <c r="AO9308"/>
      <c r="AP9308"/>
      <c r="AQ9308"/>
      <c r="AR9308"/>
      <c r="AS9308"/>
      <c r="AT9308"/>
      <c r="AU9308"/>
      <c r="AV9308"/>
      <c r="AW9308"/>
      <c r="AX9308"/>
      <c r="AY9308"/>
      <c r="AZ9308"/>
      <c r="BA9308"/>
      <c r="BB9308"/>
      <c r="BC9308"/>
      <c r="BD9308"/>
      <c r="BE9308"/>
      <c r="BF9308"/>
    </row>
    <row r="9309" spans="13:58" ht="12" hidden="1" customHeight="1">
      <c r="M9309" s="820"/>
      <c r="N9309" s="239"/>
      <c r="O9309" s="225"/>
      <c r="P9309" s="260"/>
      <c r="Q9309" s="258"/>
      <c r="R9309" s="260"/>
      <c r="S9309" s="260"/>
      <c r="T9309" s="260"/>
      <c r="U9309" s="260"/>
      <c r="V9309" s="260"/>
      <c r="W9309" s="260"/>
      <c r="X9309" s="260"/>
      <c r="Y9309" s="260"/>
      <c r="Z9309" s="260"/>
      <c r="AA9309" s="260"/>
      <c r="AB9309" s="260"/>
      <c r="AC9309" s="260"/>
      <c r="AD9309" s="260"/>
      <c r="AE9309" s="260"/>
      <c r="AF9309" s="260"/>
      <c r="AG9309" s="258"/>
      <c r="AO9309"/>
      <c r="AP9309"/>
      <c r="AQ9309"/>
      <c r="AR9309"/>
      <c r="AS9309"/>
      <c r="AT9309"/>
      <c r="AU9309"/>
      <c r="AV9309"/>
      <c r="AW9309"/>
      <c r="AX9309"/>
      <c r="AY9309"/>
      <c r="AZ9309"/>
      <c r="BA9309"/>
      <c r="BB9309"/>
      <c r="BC9309"/>
      <c r="BD9309"/>
      <c r="BE9309"/>
      <c r="BF9309"/>
    </row>
    <row r="9310" spans="13:58" ht="12" hidden="1" customHeight="1">
      <c r="M9310" s="820"/>
      <c r="N9310" s="239"/>
      <c r="O9310" s="225"/>
      <c r="P9310" s="260"/>
      <c r="Q9310" s="258"/>
      <c r="R9310" s="260"/>
      <c r="S9310" s="260"/>
      <c r="T9310" s="260"/>
      <c r="U9310" s="260"/>
      <c r="V9310" s="260"/>
      <c r="W9310" s="260"/>
      <c r="X9310" s="260"/>
      <c r="Y9310" s="260"/>
      <c r="Z9310" s="260"/>
      <c r="AA9310" s="260"/>
      <c r="AB9310" s="260"/>
      <c r="AC9310" s="260"/>
      <c r="AD9310" s="260"/>
      <c r="AE9310" s="260"/>
      <c r="AF9310" s="260"/>
      <c r="AG9310" s="258"/>
      <c r="AO9310"/>
      <c r="AP9310"/>
      <c r="AQ9310"/>
      <c r="AR9310"/>
      <c r="AS9310"/>
      <c r="AT9310"/>
      <c r="AU9310"/>
      <c r="AV9310"/>
      <c r="AW9310"/>
      <c r="AX9310"/>
      <c r="AY9310"/>
      <c r="AZ9310"/>
      <c r="BA9310"/>
      <c r="BB9310"/>
      <c r="BC9310"/>
      <c r="BD9310"/>
      <c r="BE9310"/>
      <c r="BF9310"/>
    </row>
    <row r="9311" spans="13:58" ht="12" hidden="1" customHeight="1">
      <c r="M9311" s="820"/>
      <c r="N9311" s="239"/>
      <c r="O9311" s="225"/>
      <c r="P9311" s="260"/>
      <c r="Q9311" s="258"/>
      <c r="R9311" s="260"/>
      <c r="S9311" s="260"/>
      <c r="T9311" s="260"/>
      <c r="U9311" s="260"/>
      <c r="V9311" s="260"/>
      <c r="W9311" s="260"/>
      <c r="X9311" s="260"/>
      <c r="Y9311" s="260"/>
      <c r="Z9311" s="260"/>
      <c r="AA9311" s="260"/>
      <c r="AB9311" s="260"/>
      <c r="AC9311" s="260"/>
      <c r="AD9311" s="260"/>
      <c r="AE9311" s="260"/>
      <c r="AF9311" s="260"/>
      <c r="AG9311" s="258"/>
      <c r="AO9311"/>
      <c r="AP9311"/>
      <c r="AQ9311"/>
      <c r="AR9311"/>
      <c r="AS9311"/>
      <c r="AT9311"/>
      <c r="AU9311"/>
      <c r="AV9311"/>
      <c r="AW9311"/>
      <c r="AX9311"/>
      <c r="AY9311"/>
      <c r="AZ9311"/>
      <c r="BA9311"/>
      <c r="BB9311"/>
      <c r="BC9311"/>
      <c r="BD9311"/>
      <c r="BE9311"/>
      <c r="BF9311"/>
    </row>
    <row r="9312" spans="13:58" ht="12" hidden="1" customHeight="1">
      <c r="M9312" s="820"/>
      <c r="N9312" s="239"/>
      <c r="O9312" s="225"/>
      <c r="P9312" s="260"/>
      <c r="Q9312" s="258"/>
      <c r="R9312" s="260"/>
      <c r="S9312" s="260"/>
      <c r="T9312" s="260"/>
      <c r="U9312" s="260"/>
      <c r="V9312" s="260"/>
      <c r="W9312" s="260"/>
      <c r="X9312" s="260"/>
      <c r="Y9312" s="260"/>
      <c r="Z9312" s="260"/>
      <c r="AA9312" s="260"/>
      <c r="AB9312" s="260"/>
      <c r="AC9312" s="260"/>
      <c r="AD9312" s="260"/>
      <c r="AE9312" s="260"/>
      <c r="AF9312" s="260"/>
      <c r="AG9312" s="258"/>
      <c r="AO9312"/>
      <c r="AP9312"/>
      <c r="AQ9312"/>
      <c r="AR9312"/>
      <c r="AS9312"/>
      <c r="AT9312"/>
      <c r="AU9312"/>
      <c r="AV9312"/>
      <c r="AW9312"/>
      <c r="AX9312"/>
      <c r="AY9312"/>
      <c r="AZ9312"/>
      <c r="BA9312"/>
      <c r="BB9312"/>
      <c r="BC9312"/>
      <c r="BD9312"/>
      <c r="BE9312"/>
      <c r="BF9312"/>
    </row>
    <row r="9313" spans="13:58" ht="12" hidden="1" customHeight="1">
      <c r="M9313" s="820"/>
      <c r="N9313" s="239"/>
      <c r="O9313" s="225"/>
      <c r="P9313" s="260"/>
      <c r="Q9313" s="258"/>
      <c r="R9313" s="260"/>
      <c r="S9313" s="260"/>
      <c r="T9313" s="260"/>
      <c r="U9313" s="260"/>
      <c r="V9313" s="260"/>
      <c r="W9313" s="260"/>
      <c r="X9313" s="260"/>
      <c r="Y9313" s="260"/>
      <c r="Z9313" s="260"/>
      <c r="AA9313" s="260"/>
      <c r="AB9313" s="260"/>
      <c r="AC9313" s="260"/>
      <c r="AD9313" s="260"/>
      <c r="AE9313" s="260"/>
      <c r="AF9313" s="260"/>
      <c r="AG9313" s="258"/>
      <c r="AO9313"/>
      <c r="AP9313"/>
      <c r="AQ9313"/>
      <c r="AR9313"/>
      <c r="AS9313"/>
      <c r="AT9313"/>
      <c r="AU9313"/>
      <c r="AV9313"/>
      <c r="AW9313"/>
      <c r="AX9313"/>
      <c r="AY9313"/>
      <c r="AZ9313"/>
      <c r="BA9313"/>
      <c r="BB9313"/>
      <c r="BC9313"/>
      <c r="BD9313"/>
      <c r="BE9313"/>
      <c r="BF9313"/>
    </row>
    <row r="9314" spans="13:58" ht="12" hidden="1" customHeight="1">
      <c r="M9314" s="820"/>
      <c r="N9314" s="239"/>
      <c r="O9314" s="225"/>
      <c r="P9314" s="260"/>
      <c r="Q9314" s="258"/>
      <c r="R9314" s="260"/>
      <c r="S9314" s="260"/>
      <c r="T9314" s="260"/>
      <c r="U9314" s="260"/>
      <c r="V9314" s="260"/>
      <c r="W9314" s="260"/>
      <c r="X9314" s="260"/>
      <c r="Y9314" s="260"/>
      <c r="Z9314" s="260"/>
      <c r="AA9314" s="260"/>
      <c r="AB9314" s="260"/>
      <c r="AC9314" s="260"/>
      <c r="AD9314" s="260"/>
      <c r="AE9314" s="260"/>
      <c r="AF9314" s="260"/>
      <c r="AG9314" s="258"/>
      <c r="AO9314"/>
      <c r="AP9314"/>
      <c r="AQ9314"/>
      <c r="AR9314"/>
      <c r="AS9314"/>
      <c r="AT9314"/>
      <c r="AU9314"/>
      <c r="AV9314"/>
      <c r="AW9314"/>
      <c r="AX9314"/>
      <c r="AY9314"/>
      <c r="AZ9314"/>
      <c r="BA9314"/>
      <c r="BB9314"/>
      <c r="BC9314"/>
      <c r="BD9314"/>
      <c r="BE9314"/>
      <c r="BF9314"/>
    </row>
    <row r="9315" spans="13:58" ht="12" hidden="1" customHeight="1">
      <c r="M9315" s="820"/>
      <c r="N9315" s="239"/>
      <c r="O9315" s="225"/>
      <c r="P9315" s="260"/>
      <c r="Q9315" s="258"/>
      <c r="R9315" s="260"/>
      <c r="S9315" s="260"/>
      <c r="T9315" s="260"/>
      <c r="U9315" s="260"/>
      <c r="V9315" s="260"/>
      <c r="W9315" s="260"/>
      <c r="X9315" s="260"/>
      <c r="Y9315" s="260"/>
      <c r="Z9315" s="260"/>
      <c r="AA9315" s="260"/>
      <c r="AB9315" s="260"/>
      <c r="AC9315" s="260"/>
      <c r="AD9315" s="260"/>
      <c r="AE9315" s="260"/>
      <c r="AF9315" s="260"/>
      <c r="AG9315" s="258"/>
      <c r="AO9315"/>
      <c r="AP9315"/>
      <c r="AQ9315"/>
      <c r="AR9315"/>
      <c r="AS9315"/>
      <c r="AT9315"/>
      <c r="AU9315"/>
      <c r="AV9315"/>
      <c r="AW9315"/>
      <c r="AX9315"/>
      <c r="AY9315"/>
      <c r="AZ9315"/>
      <c r="BA9315"/>
      <c r="BB9315"/>
      <c r="BC9315"/>
      <c r="BD9315"/>
      <c r="BE9315"/>
      <c r="BF9315"/>
    </row>
    <row r="9316" spans="13:58" ht="12" hidden="1" customHeight="1">
      <c r="M9316" s="820"/>
      <c r="N9316" s="239"/>
      <c r="O9316" s="225"/>
      <c r="P9316" s="260"/>
      <c r="Q9316" s="258"/>
      <c r="R9316" s="260"/>
      <c r="S9316" s="260"/>
      <c r="T9316" s="260"/>
      <c r="U9316" s="260"/>
      <c r="V9316" s="260"/>
      <c r="W9316" s="260"/>
      <c r="X9316" s="260"/>
      <c r="Y9316" s="260"/>
      <c r="Z9316" s="260"/>
      <c r="AA9316" s="260"/>
      <c r="AB9316" s="260"/>
      <c r="AC9316" s="260"/>
      <c r="AD9316" s="260"/>
      <c r="AE9316" s="260"/>
      <c r="AF9316" s="260"/>
      <c r="AG9316" s="258"/>
      <c r="AO9316"/>
      <c r="AP9316"/>
      <c r="AQ9316"/>
      <c r="AR9316"/>
      <c r="AS9316"/>
      <c r="AT9316"/>
      <c r="AU9316"/>
      <c r="AV9316"/>
      <c r="AW9316"/>
      <c r="AX9316"/>
      <c r="AY9316"/>
      <c r="AZ9316"/>
      <c r="BA9316"/>
      <c r="BB9316"/>
      <c r="BC9316"/>
      <c r="BD9316"/>
      <c r="BE9316"/>
      <c r="BF9316"/>
    </row>
    <row r="9317" spans="13:58" ht="12" hidden="1" customHeight="1">
      <c r="M9317" s="820"/>
      <c r="N9317" s="239"/>
      <c r="O9317" s="225"/>
      <c r="P9317" s="260"/>
      <c r="Q9317" s="258"/>
      <c r="R9317" s="260"/>
      <c r="S9317" s="260"/>
      <c r="T9317" s="260"/>
      <c r="U9317" s="260"/>
      <c r="V9317" s="260"/>
      <c r="W9317" s="260"/>
      <c r="X9317" s="260"/>
      <c r="Y9317" s="260"/>
      <c r="Z9317" s="260"/>
      <c r="AA9317" s="260"/>
      <c r="AB9317" s="260"/>
      <c r="AC9317" s="260"/>
      <c r="AD9317" s="260"/>
      <c r="AE9317" s="260"/>
      <c r="AF9317" s="260"/>
      <c r="AG9317" s="258"/>
      <c r="AO9317"/>
      <c r="AP9317"/>
      <c r="AQ9317"/>
      <c r="AR9317"/>
      <c r="AS9317"/>
      <c r="AT9317"/>
      <c r="AU9317"/>
      <c r="AV9317"/>
      <c r="AW9317"/>
      <c r="AX9317"/>
      <c r="AY9317"/>
      <c r="AZ9317"/>
      <c r="BA9317"/>
      <c r="BB9317"/>
      <c r="BC9317"/>
      <c r="BD9317"/>
      <c r="BE9317"/>
      <c r="BF9317"/>
    </row>
    <row r="9318" spans="13:58" ht="12" hidden="1" customHeight="1">
      <c r="M9318" s="820"/>
      <c r="N9318" s="239"/>
      <c r="O9318" s="225"/>
      <c r="P9318" s="260"/>
      <c r="Q9318" s="258"/>
      <c r="R9318" s="260"/>
      <c r="S9318" s="260"/>
      <c r="T9318" s="260"/>
      <c r="U9318" s="260"/>
      <c r="V9318" s="260"/>
      <c r="W9318" s="260"/>
      <c r="X9318" s="260"/>
      <c r="Y9318" s="260"/>
      <c r="Z9318" s="260"/>
      <c r="AA9318" s="260"/>
      <c r="AB9318" s="260"/>
      <c r="AC9318" s="260"/>
      <c r="AD9318" s="260"/>
      <c r="AE9318" s="260"/>
      <c r="AF9318" s="260"/>
      <c r="AG9318" s="258"/>
      <c r="AO9318"/>
      <c r="AP9318"/>
      <c r="AQ9318"/>
      <c r="AR9318"/>
      <c r="AS9318"/>
      <c r="AT9318"/>
      <c r="AU9318"/>
      <c r="AV9318"/>
      <c r="AW9318"/>
      <c r="AX9318"/>
      <c r="AY9318"/>
      <c r="AZ9318"/>
      <c r="BA9318"/>
      <c r="BB9318"/>
      <c r="BC9318"/>
      <c r="BD9318"/>
      <c r="BE9318"/>
      <c r="BF9318"/>
    </row>
    <row r="9319" spans="13:58" ht="12" hidden="1" customHeight="1">
      <c r="M9319" s="820"/>
      <c r="N9319" s="239"/>
      <c r="O9319" s="225"/>
      <c r="P9319" s="260"/>
      <c r="Q9319" s="258"/>
      <c r="R9319" s="260"/>
      <c r="S9319" s="260"/>
      <c r="T9319" s="260"/>
      <c r="U9319" s="260"/>
      <c r="V9319" s="260"/>
      <c r="W9319" s="260"/>
      <c r="X9319" s="260"/>
      <c r="Y9319" s="260"/>
      <c r="Z9319" s="260"/>
      <c r="AA9319" s="260"/>
      <c r="AB9319" s="260"/>
      <c r="AC9319" s="260"/>
      <c r="AD9319" s="260"/>
      <c r="AE9319" s="260"/>
      <c r="AF9319" s="260"/>
      <c r="AG9319" s="258"/>
      <c r="AO9319"/>
      <c r="AP9319"/>
      <c r="AQ9319"/>
      <c r="AR9319"/>
      <c r="AS9319"/>
      <c r="AT9319"/>
      <c r="AU9319"/>
      <c r="AV9319"/>
      <c r="AW9319"/>
      <c r="AX9319"/>
      <c r="AY9319"/>
      <c r="AZ9319"/>
      <c r="BA9319"/>
      <c r="BB9319"/>
      <c r="BC9319"/>
      <c r="BD9319"/>
      <c r="BE9319"/>
      <c r="BF9319"/>
    </row>
    <row r="9320" spans="13:58" ht="12" hidden="1" customHeight="1">
      <c r="M9320" s="820"/>
      <c r="N9320" s="239"/>
      <c r="O9320" s="225"/>
      <c r="P9320" s="260"/>
      <c r="Q9320" s="258"/>
      <c r="R9320" s="260"/>
      <c r="S9320" s="260"/>
      <c r="T9320" s="260"/>
      <c r="U9320" s="260"/>
      <c r="V9320" s="260"/>
      <c r="W9320" s="260"/>
      <c r="X9320" s="260"/>
      <c r="Y9320" s="260"/>
      <c r="Z9320" s="260"/>
      <c r="AA9320" s="260"/>
      <c r="AB9320" s="260"/>
      <c r="AC9320" s="260"/>
      <c r="AD9320" s="260"/>
      <c r="AE9320" s="260"/>
      <c r="AF9320" s="260"/>
      <c r="AG9320" s="258"/>
      <c r="AO9320"/>
      <c r="AP9320"/>
      <c r="AQ9320"/>
      <c r="AR9320"/>
      <c r="AS9320"/>
      <c r="AT9320"/>
      <c r="AU9320"/>
      <c r="AV9320"/>
      <c r="AW9320"/>
      <c r="AX9320"/>
      <c r="AY9320"/>
      <c r="AZ9320"/>
      <c r="BA9320"/>
      <c r="BB9320"/>
      <c r="BC9320"/>
      <c r="BD9320"/>
      <c r="BE9320"/>
      <c r="BF9320"/>
    </row>
    <row r="9321" spans="13:58" ht="12" hidden="1" customHeight="1">
      <c r="M9321" s="820"/>
      <c r="N9321" s="239"/>
      <c r="O9321" s="225"/>
      <c r="P9321" s="260"/>
      <c r="Q9321" s="258"/>
      <c r="R9321" s="260"/>
      <c r="S9321" s="260"/>
      <c r="T9321" s="260"/>
      <c r="U9321" s="260"/>
      <c r="V9321" s="260"/>
      <c r="W9321" s="260"/>
      <c r="X9321" s="260"/>
      <c r="Y9321" s="260"/>
      <c r="Z9321" s="260"/>
      <c r="AA9321" s="260"/>
      <c r="AB9321" s="260"/>
      <c r="AC9321" s="260"/>
      <c r="AD9321" s="260"/>
      <c r="AE9321" s="260"/>
      <c r="AF9321" s="260"/>
      <c r="AG9321" s="258"/>
      <c r="AO9321"/>
      <c r="AP9321"/>
      <c r="AQ9321"/>
      <c r="AR9321"/>
      <c r="AS9321"/>
      <c r="AT9321"/>
      <c r="AU9321"/>
      <c r="AV9321"/>
      <c r="AW9321"/>
      <c r="AX9321"/>
      <c r="AY9321"/>
      <c r="AZ9321"/>
      <c r="BA9321"/>
      <c r="BB9321"/>
      <c r="BC9321"/>
      <c r="BD9321"/>
      <c r="BE9321"/>
      <c r="BF9321"/>
    </row>
    <row r="9322" spans="13:58" ht="12" hidden="1" customHeight="1">
      <c r="M9322" s="820"/>
      <c r="N9322" s="239"/>
      <c r="O9322" s="225"/>
      <c r="P9322" s="260"/>
      <c r="Q9322" s="258"/>
      <c r="R9322" s="260"/>
      <c r="S9322" s="260"/>
      <c r="T9322" s="260"/>
      <c r="U9322" s="260"/>
      <c r="V9322" s="260"/>
      <c r="W9322" s="260"/>
      <c r="X9322" s="260"/>
      <c r="Y9322" s="260"/>
      <c r="Z9322" s="260"/>
      <c r="AA9322" s="260"/>
      <c r="AB9322" s="260"/>
      <c r="AC9322" s="260"/>
      <c r="AD9322" s="260"/>
      <c r="AE9322" s="260"/>
      <c r="AF9322" s="260"/>
      <c r="AG9322" s="258"/>
      <c r="AO9322"/>
      <c r="AP9322"/>
      <c r="AQ9322"/>
      <c r="AR9322"/>
      <c r="AS9322"/>
      <c r="AT9322"/>
      <c r="AU9322"/>
      <c r="AV9322"/>
      <c r="AW9322"/>
      <c r="AX9322"/>
      <c r="AY9322"/>
      <c r="AZ9322"/>
      <c r="BA9322"/>
      <c r="BB9322"/>
      <c r="BC9322"/>
      <c r="BD9322"/>
      <c r="BE9322"/>
      <c r="BF9322"/>
    </row>
    <row r="9323" spans="13:58" ht="12" hidden="1" customHeight="1">
      <c r="M9323" s="820"/>
      <c r="N9323" s="239"/>
      <c r="O9323" s="225"/>
      <c r="P9323" s="260"/>
      <c r="Q9323" s="258"/>
      <c r="R9323" s="260"/>
      <c r="S9323" s="260"/>
      <c r="T9323" s="260"/>
      <c r="U9323" s="260"/>
      <c r="V9323" s="260"/>
      <c r="W9323" s="260"/>
      <c r="X9323" s="260"/>
      <c r="Y9323" s="260"/>
      <c r="Z9323" s="260"/>
      <c r="AA9323" s="260"/>
      <c r="AB9323" s="260"/>
      <c r="AC9323" s="260"/>
      <c r="AD9323" s="260"/>
      <c r="AE9323" s="260"/>
      <c r="AF9323" s="260"/>
      <c r="AG9323" s="258"/>
      <c r="AO9323"/>
      <c r="AP9323"/>
      <c r="AQ9323"/>
      <c r="AR9323"/>
      <c r="AS9323"/>
      <c r="AT9323"/>
      <c r="AU9323"/>
      <c r="AV9323"/>
      <c r="AW9323"/>
      <c r="AX9323"/>
      <c r="AY9323"/>
      <c r="AZ9323"/>
      <c r="BA9323"/>
      <c r="BB9323"/>
      <c r="BC9323"/>
      <c r="BD9323"/>
      <c r="BE9323"/>
      <c r="BF9323"/>
    </row>
    <row r="9324" spans="13:58" ht="12" hidden="1" customHeight="1">
      <c r="M9324" s="820"/>
      <c r="N9324" s="239"/>
      <c r="O9324" s="225"/>
      <c r="P9324" s="260"/>
      <c r="Q9324" s="258"/>
      <c r="R9324" s="260"/>
      <c r="S9324" s="260"/>
      <c r="T9324" s="260"/>
      <c r="U9324" s="260"/>
      <c r="V9324" s="260"/>
      <c r="W9324" s="260"/>
      <c r="X9324" s="260"/>
      <c r="Y9324" s="260"/>
      <c r="Z9324" s="260"/>
      <c r="AA9324" s="260"/>
      <c r="AB9324" s="260"/>
      <c r="AC9324" s="260"/>
      <c r="AD9324" s="260"/>
      <c r="AE9324" s="260"/>
      <c r="AF9324" s="260"/>
      <c r="AG9324" s="258"/>
      <c r="AO9324"/>
      <c r="AP9324"/>
      <c r="AQ9324"/>
      <c r="AR9324"/>
      <c r="AS9324"/>
      <c r="AT9324"/>
      <c r="AU9324"/>
      <c r="AV9324"/>
      <c r="AW9324"/>
      <c r="AX9324"/>
      <c r="AY9324"/>
      <c r="AZ9324"/>
      <c r="BA9324"/>
      <c r="BB9324"/>
      <c r="BC9324"/>
      <c r="BD9324"/>
      <c r="BE9324"/>
      <c r="BF9324"/>
    </row>
    <row r="9325" spans="13:58" ht="12" hidden="1" customHeight="1">
      <c r="M9325" s="820"/>
      <c r="N9325" s="239"/>
      <c r="O9325" s="225"/>
      <c r="P9325" s="260"/>
      <c r="Q9325" s="258"/>
      <c r="R9325" s="260"/>
      <c r="S9325" s="260"/>
      <c r="T9325" s="260"/>
      <c r="U9325" s="260"/>
      <c r="V9325" s="260"/>
      <c r="W9325" s="260"/>
      <c r="X9325" s="260"/>
      <c r="Y9325" s="260"/>
      <c r="Z9325" s="260"/>
      <c r="AA9325" s="260"/>
      <c r="AB9325" s="260"/>
      <c r="AC9325" s="260"/>
      <c r="AD9325" s="260"/>
      <c r="AE9325" s="260"/>
      <c r="AF9325" s="260"/>
      <c r="AG9325" s="258"/>
      <c r="AO9325"/>
      <c r="AP9325"/>
      <c r="AQ9325"/>
      <c r="AR9325"/>
      <c r="AS9325"/>
      <c r="AT9325"/>
      <c r="AU9325"/>
      <c r="AV9325"/>
      <c r="AW9325"/>
      <c r="AX9325"/>
      <c r="AY9325"/>
      <c r="AZ9325"/>
      <c r="BA9325"/>
      <c r="BB9325"/>
      <c r="BC9325"/>
      <c r="BD9325"/>
      <c r="BE9325"/>
      <c r="BF9325"/>
    </row>
    <row r="9326" spans="13:58" ht="12" hidden="1" customHeight="1">
      <c r="M9326" s="820"/>
      <c r="N9326" s="239"/>
      <c r="O9326" s="225"/>
      <c r="P9326" s="260"/>
      <c r="Q9326" s="258"/>
      <c r="R9326" s="260"/>
      <c r="S9326" s="260"/>
      <c r="T9326" s="260"/>
      <c r="U9326" s="260"/>
      <c r="V9326" s="260"/>
      <c r="W9326" s="260"/>
      <c r="X9326" s="260"/>
      <c r="Y9326" s="260"/>
      <c r="Z9326" s="260"/>
      <c r="AA9326" s="260"/>
      <c r="AB9326" s="260"/>
      <c r="AC9326" s="260"/>
      <c r="AD9326" s="260"/>
      <c r="AE9326" s="260"/>
      <c r="AF9326" s="260"/>
      <c r="AG9326" s="258"/>
      <c r="AO9326"/>
      <c r="AP9326"/>
      <c r="AQ9326"/>
      <c r="AR9326"/>
      <c r="AS9326"/>
      <c r="AT9326"/>
      <c r="AU9326"/>
      <c r="AV9326"/>
      <c r="AW9326"/>
      <c r="AX9326"/>
      <c r="AY9326"/>
      <c r="AZ9326"/>
      <c r="BA9326"/>
      <c r="BB9326"/>
      <c r="BC9326"/>
      <c r="BD9326"/>
      <c r="BE9326"/>
      <c r="BF9326"/>
    </row>
    <row r="9327" spans="13:58" ht="12" hidden="1" customHeight="1">
      <c r="M9327" s="820"/>
      <c r="N9327" s="239"/>
      <c r="O9327" s="225"/>
      <c r="P9327" s="260"/>
      <c r="Q9327" s="258"/>
      <c r="R9327" s="260"/>
      <c r="S9327" s="260"/>
      <c r="T9327" s="260"/>
      <c r="U9327" s="260"/>
      <c r="V9327" s="260"/>
      <c r="W9327" s="260"/>
      <c r="X9327" s="260"/>
      <c r="Y9327" s="260"/>
      <c r="Z9327" s="260"/>
      <c r="AA9327" s="260"/>
      <c r="AB9327" s="260"/>
      <c r="AC9327" s="260"/>
      <c r="AD9327" s="260"/>
      <c r="AE9327" s="260"/>
      <c r="AF9327" s="260"/>
      <c r="AG9327" s="258"/>
      <c r="AO9327"/>
      <c r="AP9327"/>
      <c r="AQ9327"/>
      <c r="AR9327"/>
      <c r="AS9327"/>
      <c r="AT9327"/>
      <c r="AU9327"/>
      <c r="AV9327"/>
      <c r="AW9327"/>
      <c r="AX9327"/>
      <c r="AY9327"/>
      <c r="AZ9327"/>
      <c r="BA9327"/>
      <c r="BB9327"/>
      <c r="BC9327"/>
      <c r="BD9327"/>
      <c r="BE9327"/>
      <c r="BF9327"/>
    </row>
    <row r="9328" spans="13:58" ht="12" hidden="1" customHeight="1">
      <c r="M9328" s="820"/>
      <c r="N9328" s="239"/>
      <c r="O9328" s="225"/>
      <c r="P9328" s="260"/>
      <c r="Q9328" s="258"/>
      <c r="R9328" s="260"/>
      <c r="S9328" s="260"/>
      <c r="T9328" s="260"/>
      <c r="U9328" s="260"/>
      <c r="V9328" s="260"/>
      <c r="W9328" s="260"/>
      <c r="X9328" s="260"/>
      <c r="Y9328" s="260"/>
      <c r="Z9328" s="260"/>
      <c r="AA9328" s="260"/>
      <c r="AB9328" s="260"/>
      <c r="AC9328" s="260"/>
      <c r="AD9328" s="260"/>
      <c r="AE9328" s="260"/>
      <c r="AF9328" s="260"/>
      <c r="AG9328" s="258"/>
      <c r="AO9328"/>
      <c r="AP9328"/>
      <c r="AQ9328"/>
      <c r="AR9328"/>
      <c r="AS9328"/>
      <c r="AT9328"/>
      <c r="AU9328"/>
      <c r="AV9328"/>
      <c r="AW9328"/>
      <c r="AX9328"/>
      <c r="AY9328"/>
      <c r="AZ9328"/>
      <c r="BA9328"/>
      <c r="BB9328"/>
      <c r="BC9328"/>
      <c r="BD9328"/>
      <c r="BE9328"/>
      <c r="BF9328"/>
    </row>
    <row r="9329" spans="13:58" ht="12" hidden="1" customHeight="1">
      <c r="M9329" s="820"/>
      <c r="N9329" s="239"/>
      <c r="O9329" s="225"/>
      <c r="P9329" s="260"/>
      <c r="Q9329" s="258"/>
      <c r="R9329" s="260"/>
      <c r="S9329" s="260"/>
      <c r="T9329" s="260"/>
      <c r="U9329" s="260"/>
      <c r="V9329" s="260"/>
      <c r="W9329" s="260"/>
      <c r="X9329" s="260"/>
      <c r="Y9329" s="260"/>
      <c r="Z9329" s="260"/>
      <c r="AA9329" s="260"/>
      <c r="AB9329" s="260"/>
      <c r="AC9329" s="260"/>
      <c r="AD9329" s="260"/>
      <c r="AE9329" s="260"/>
      <c r="AF9329" s="260"/>
      <c r="AG9329" s="258"/>
      <c r="AO9329"/>
      <c r="AP9329"/>
      <c r="AQ9329"/>
      <c r="AR9329"/>
      <c r="AS9329"/>
      <c r="AT9329"/>
      <c r="AU9329"/>
      <c r="AV9329"/>
      <c r="AW9329"/>
      <c r="AX9329"/>
      <c r="AY9329"/>
      <c r="AZ9329"/>
      <c r="BA9329"/>
      <c r="BB9329"/>
      <c r="BC9329"/>
      <c r="BD9329"/>
      <c r="BE9329"/>
      <c r="BF9329"/>
    </row>
    <row r="9330" spans="13:58" ht="12" hidden="1" customHeight="1">
      <c r="M9330" s="820"/>
      <c r="N9330" s="239"/>
      <c r="O9330" s="225"/>
      <c r="P9330" s="260"/>
      <c r="Q9330" s="258"/>
      <c r="R9330" s="260"/>
      <c r="S9330" s="260"/>
      <c r="T9330" s="260"/>
      <c r="U9330" s="260"/>
      <c r="V9330" s="260"/>
      <c r="W9330" s="260"/>
      <c r="X9330" s="260"/>
      <c r="Y9330" s="260"/>
      <c r="Z9330" s="260"/>
      <c r="AA9330" s="260"/>
      <c r="AB9330" s="260"/>
      <c r="AC9330" s="260"/>
      <c r="AD9330" s="260"/>
      <c r="AE9330" s="260"/>
      <c r="AF9330" s="260"/>
      <c r="AG9330" s="258"/>
      <c r="AO9330"/>
      <c r="AP9330"/>
      <c r="AQ9330"/>
      <c r="AR9330"/>
      <c r="AS9330"/>
      <c r="AT9330"/>
      <c r="AU9330"/>
      <c r="AV9330"/>
      <c r="AW9330"/>
      <c r="AX9330"/>
      <c r="AY9330"/>
      <c r="AZ9330"/>
      <c r="BA9330"/>
      <c r="BB9330"/>
      <c r="BC9330"/>
      <c r="BD9330"/>
      <c r="BE9330"/>
      <c r="BF9330"/>
    </row>
    <row r="9331" spans="13:58" ht="12" hidden="1" customHeight="1">
      <c r="M9331" s="820"/>
      <c r="N9331" s="239"/>
      <c r="O9331" s="225"/>
      <c r="P9331" s="260"/>
      <c r="Q9331" s="258"/>
      <c r="R9331" s="260"/>
      <c r="S9331" s="260"/>
      <c r="T9331" s="260"/>
      <c r="U9331" s="260"/>
      <c r="V9331" s="260"/>
      <c r="W9331" s="260"/>
      <c r="X9331" s="260"/>
      <c r="Y9331" s="260"/>
      <c r="Z9331" s="260"/>
      <c r="AA9331" s="260"/>
      <c r="AB9331" s="260"/>
      <c r="AC9331" s="260"/>
      <c r="AD9331" s="260"/>
      <c r="AE9331" s="260"/>
      <c r="AF9331" s="260"/>
      <c r="AG9331" s="258"/>
      <c r="AO9331"/>
      <c r="AP9331"/>
      <c r="AQ9331"/>
      <c r="AR9331"/>
      <c r="AS9331"/>
      <c r="AT9331"/>
      <c r="AU9331"/>
      <c r="AV9331"/>
      <c r="AW9331"/>
      <c r="AX9331"/>
      <c r="AY9331"/>
      <c r="AZ9331"/>
      <c r="BA9331"/>
      <c r="BB9331"/>
      <c r="BC9331"/>
      <c r="BD9331"/>
      <c r="BE9331"/>
      <c r="BF9331"/>
    </row>
    <row r="9332" spans="13:58" ht="12" hidden="1" customHeight="1">
      <c r="M9332" s="820"/>
      <c r="N9332" s="239"/>
      <c r="O9332" s="225"/>
      <c r="P9332" s="260"/>
      <c r="Q9332" s="258"/>
      <c r="R9332" s="260"/>
      <c r="S9332" s="260"/>
      <c r="T9332" s="260"/>
      <c r="U9332" s="260"/>
      <c r="V9332" s="260"/>
      <c r="W9332" s="260"/>
      <c r="X9332" s="260"/>
      <c r="Y9332" s="260"/>
      <c r="Z9332" s="260"/>
      <c r="AA9332" s="260"/>
      <c r="AB9332" s="260"/>
      <c r="AC9332" s="260"/>
      <c r="AD9332" s="260"/>
      <c r="AE9332" s="260"/>
      <c r="AF9332" s="260"/>
      <c r="AG9332" s="258"/>
      <c r="AO9332"/>
      <c r="AP9332"/>
      <c r="AQ9332"/>
      <c r="AR9332"/>
      <c r="AS9332"/>
      <c r="AT9332"/>
      <c r="AU9332"/>
      <c r="AV9332"/>
      <c r="AW9332"/>
      <c r="AX9332"/>
      <c r="AY9332"/>
      <c r="AZ9332"/>
      <c r="BA9332"/>
      <c r="BB9332"/>
      <c r="BC9332"/>
      <c r="BD9332"/>
      <c r="BE9332"/>
      <c r="BF9332"/>
    </row>
    <row r="9333" spans="13:58" ht="12" hidden="1" customHeight="1">
      <c r="M9333" s="820"/>
      <c r="N9333" s="239"/>
      <c r="O9333" s="225"/>
      <c r="P9333" s="260"/>
      <c r="Q9333" s="258"/>
      <c r="R9333" s="260"/>
      <c r="S9333" s="260"/>
      <c r="T9333" s="260"/>
      <c r="U9333" s="260"/>
      <c r="V9333" s="260"/>
      <c r="W9333" s="260"/>
      <c r="X9333" s="260"/>
      <c r="Y9333" s="260"/>
      <c r="Z9333" s="260"/>
      <c r="AA9333" s="260"/>
      <c r="AB9333" s="260"/>
      <c r="AC9333" s="260"/>
      <c r="AD9333" s="260"/>
      <c r="AE9333" s="260"/>
      <c r="AF9333" s="260"/>
      <c r="AG9333" s="258"/>
      <c r="AO9333"/>
      <c r="AP9333"/>
      <c r="AQ9333"/>
      <c r="AR9333"/>
      <c r="AS9333"/>
      <c r="AT9333"/>
      <c r="AU9333"/>
      <c r="AV9333"/>
      <c r="AW9333"/>
      <c r="AX9333"/>
      <c r="AY9333"/>
      <c r="AZ9333"/>
      <c r="BA9333"/>
      <c r="BB9333"/>
      <c r="BC9333"/>
      <c r="BD9333"/>
      <c r="BE9333"/>
      <c r="BF9333"/>
    </row>
    <row r="9334" spans="13:58" ht="12" hidden="1" customHeight="1">
      <c r="M9334" s="820"/>
      <c r="N9334" s="239"/>
      <c r="O9334" s="225"/>
      <c r="P9334" s="260"/>
      <c r="Q9334" s="258"/>
      <c r="R9334" s="260"/>
      <c r="S9334" s="260"/>
      <c r="T9334" s="260"/>
      <c r="U9334" s="260"/>
      <c r="V9334" s="260"/>
      <c r="W9334" s="260"/>
      <c r="X9334" s="260"/>
      <c r="Y9334" s="260"/>
      <c r="Z9334" s="260"/>
      <c r="AA9334" s="260"/>
      <c r="AB9334" s="260"/>
      <c r="AC9334" s="260"/>
      <c r="AD9334" s="260"/>
      <c r="AE9334" s="260"/>
      <c r="AF9334" s="260"/>
      <c r="AG9334" s="258"/>
      <c r="AO9334"/>
      <c r="AP9334"/>
      <c r="AQ9334"/>
      <c r="AR9334"/>
      <c r="AS9334"/>
      <c r="AT9334"/>
      <c r="AU9334"/>
      <c r="AV9334"/>
      <c r="AW9334"/>
      <c r="AX9334"/>
      <c r="AY9334"/>
      <c r="AZ9334"/>
      <c r="BA9334"/>
      <c r="BB9334"/>
      <c r="BC9334"/>
      <c r="BD9334"/>
      <c r="BE9334"/>
      <c r="BF9334"/>
    </row>
    <row r="9335" spans="13:58" ht="12" hidden="1" customHeight="1">
      <c r="M9335" s="820"/>
      <c r="N9335" s="239"/>
      <c r="O9335" s="225"/>
      <c r="P9335" s="260"/>
      <c r="Q9335" s="258"/>
      <c r="R9335" s="260"/>
      <c r="S9335" s="260"/>
      <c r="T9335" s="260"/>
      <c r="U9335" s="260"/>
      <c r="V9335" s="260"/>
      <c r="W9335" s="260"/>
      <c r="X9335" s="260"/>
      <c r="Y9335" s="260"/>
      <c r="Z9335" s="260"/>
      <c r="AA9335" s="260"/>
      <c r="AB9335" s="260"/>
      <c r="AC9335" s="260"/>
      <c r="AD9335" s="260"/>
      <c r="AE9335" s="260"/>
      <c r="AF9335" s="260"/>
      <c r="AG9335" s="258"/>
      <c r="AO9335"/>
      <c r="AP9335"/>
      <c r="AQ9335"/>
      <c r="AR9335"/>
      <c r="AS9335"/>
      <c r="AT9335"/>
      <c r="AU9335"/>
      <c r="AV9335"/>
      <c r="AW9335"/>
      <c r="AX9335"/>
      <c r="AY9335"/>
      <c r="AZ9335"/>
      <c r="BA9335"/>
      <c r="BB9335"/>
      <c r="BC9335"/>
      <c r="BD9335"/>
      <c r="BE9335"/>
      <c r="BF9335"/>
    </row>
    <row r="9336" spans="13:58" ht="12" hidden="1" customHeight="1">
      <c r="M9336" s="820"/>
      <c r="N9336" s="239"/>
      <c r="O9336" s="225"/>
      <c r="P9336" s="260"/>
      <c r="Q9336" s="258"/>
      <c r="R9336" s="260"/>
      <c r="S9336" s="260"/>
      <c r="T9336" s="260"/>
      <c r="U9336" s="260"/>
      <c r="V9336" s="260"/>
      <c r="W9336" s="260"/>
      <c r="X9336" s="260"/>
      <c r="Y9336" s="260"/>
      <c r="Z9336" s="260"/>
      <c r="AA9336" s="260"/>
      <c r="AB9336" s="260"/>
      <c r="AC9336" s="260"/>
      <c r="AD9336" s="260"/>
      <c r="AE9336" s="260"/>
      <c r="AF9336" s="260"/>
      <c r="AG9336" s="258"/>
      <c r="AO9336"/>
      <c r="AP9336"/>
      <c r="AQ9336"/>
      <c r="AR9336"/>
      <c r="AS9336"/>
      <c r="AT9336"/>
      <c r="AU9336"/>
      <c r="AV9336"/>
      <c r="AW9336"/>
      <c r="AX9336"/>
      <c r="AY9336"/>
      <c r="AZ9336"/>
      <c r="BA9336"/>
      <c r="BB9336"/>
      <c r="BC9336"/>
      <c r="BD9336"/>
      <c r="BE9336"/>
      <c r="BF9336"/>
    </row>
    <row r="9337" spans="13:58" ht="12" hidden="1" customHeight="1">
      <c r="M9337" s="820"/>
      <c r="N9337" s="239"/>
      <c r="O9337" s="225"/>
      <c r="P9337" s="260"/>
      <c r="Q9337" s="258"/>
      <c r="R9337" s="260"/>
      <c r="S9337" s="260"/>
      <c r="T9337" s="260"/>
      <c r="U9337" s="260"/>
      <c r="V9337" s="260"/>
      <c r="W9337" s="260"/>
      <c r="X9337" s="260"/>
      <c r="Y9337" s="260"/>
      <c r="Z9337" s="260"/>
      <c r="AA9337" s="260"/>
      <c r="AB9337" s="260"/>
      <c r="AC9337" s="260"/>
      <c r="AD9337" s="260"/>
      <c r="AE9337" s="260"/>
      <c r="AF9337" s="260"/>
      <c r="AG9337" s="258"/>
      <c r="AO9337"/>
      <c r="AP9337"/>
      <c r="AQ9337"/>
      <c r="AR9337"/>
      <c r="AS9337"/>
      <c r="AT9337"/>
      <c r="AU9337"/>
      <c r="AV9337"/>
      <c r="AW9337"/>
      <c r="AX9337"/>
      <c r="AY9337"/>
      <c r="AZ9337"/>
      <c r="BA9337"/>
      <c r="BB9337"/>
      <c r="BC9337"/>
      <c r="BD9337"/>
      <c r="BE9337"/>
      <c r="BF9337"/>
    </row>
    <row r="9338" spans="13:58" ht="12" hidden="1" customHeight="1">
      <c r="M9338" s="820"/>
      <c r="N9338" s="239"/>
      <c r="O9338" s="225"/>
      <c r="P9338" s="260"/>
      <c r="Q9338" s="258"/>
      <c r="R9338" s="260"/>
      <c r="S9338" s="260"/>
      <c r="T9338" s="260"/>
      <c r="U9338" s="260"/>
      <c r="V9338" s="260"/>
      <c r="W9338" s="260"/>
      <c r="X9338" s="260"/>
      <c r="Y9338" s="260"/>
      <c r="Z9338" s="260"/>
      <c r="AA9338" s="260"/>
      <c r="AB9338" s="260"/>
      <c r="AC9338" s="260"/>
      <c r="AD9338" s="260"/>
      <c r="AE9338" s="260"/>
      <c r="AF9338" s="260"/>
      <c r="AG9338" s="258"/>
      <c r="AO9338"/>
      <c r="AP9338"/>
      <c r="AQ9338"/>
      <c r="AR9338"/>
      <c r="AS9338"/>
      <c r="AT9338"/>
      <c r="AU9338"/>
      <c r="AV9338"/>
      <c r="AW9338"/>
      <c r="AX9338"/>
      <c r="AY9338"/>
      <c r="AZ9338"/>
      <c r="BA9338"/>
      <c r="BB9338"/>
      <c r="BC9338"/>
      <c r="BD9338"/>
      <c r="BE9338"/>
      <c r="BF9338"/>
    </row>
    <row r="9339" spans="13:58" ht="12" hidden="1" customHeight="1">
      <c r="M9339" s="820"/>
      <c r="N9339" s="239"/>
      <c r="O9339" s="225"/>
      <c r="P9339" s="260"/>
      <c r="Q9339" s="258"/>
      <c r="R9339" s="260"/>
      <c r="S9339" s="260"/>
      <c r="T9339" s="260"/>
      <c r="U9339" s="260"/>
      <c r="V9339" s="260"/>
      <c r="W9339" s="260"/>
      <c r="X9339" s="260"/>
      <c r="Y9339" s="260"/>
      <c r="Z9339" s="260"/>
      <c r="AA9339" s="260"/>
      <c r="AB9339" s="260"/>
      <c r="AC9339" s="260"/>
      <c r="AD9339" s="260"/>
      <c r="AE9339" s="260"/>
      <c r="AF9339" s="260"/>
      <c r="AG9339" s="258"/>
      <c r="AO9339"/>
      <c r="AP9339"/>
      <c r="AQ9339"/>
      <c r="AR9339"/>
      <c r="AS9339"/>
      <c r="AT9339"/>
      <c r="AU9339"/>
      <c r="AV9339"/>
      <c r="AW9339"/>
      <c r="AX9339"/>
      <c r="AY9339"/>
      <c r="AZ9339"/>
      <c r="BA9339"/>
      <c r="BB9339"/>
      <c r="BC9339"/>
      <c r="BD9339"/>
      <c r="BE9339"/>
      <c r="BF9339"/>
    </row>
    <row r="9340" spans="13:58" ht="12" hidden="1" customHeight="1">
      <c r="M9340" s="820"/>
      <c r="N9340" s="239"/>
      <c r="O9340" s="225"/>
      <c r="P9340" s="260"/>
      <c r="Q9340" s="258"/>
      <c r="R9340" s="260"/>
      <c r="S9340" s="260"/>
      <c r="T9340" s="260"/>
      <c r="U9340" s="260"/>
      <c r="V9340" s="260"/>
      <c r="W9340" s="260"/>
      <c r="X9340" s="260"/>
      <c r="Y9340" s="260"/>
      <c r="Z9340" s="260"/>
      <c r="AA9340" s="260"/>
      <c r="AB9340" s="260"/>
      <c r="AC9340" s="260"/>
      <c r="AD9340" s="260"/>
      <c r="AE9340" s="260"/>
      <c r="AF9340" s="260"/>
      <c r="AG9340" s="258"/>
      <c r="AO9340"/>
      <c r="AP9340"/>
      <c r="AQ9340"/>
      <c r="AR9340"/>
      <c r="AS9340"/>
      <c r="AT9340"/>
      <c r="AU9340"/>
      <c r="AV9340"/>
      <c r="AW9340"/>
      <c r="AX9340"/>
      <c r="AY9340"/>
      <c r="AZ9340"/>
      <c r="BA9340"/>
      <c r="BB9340"/>
      <c r="BC9340"/>
      <c r="BD9340"/>
      <c r="BE9340"/>
      <c r="BF9340"/>
    </row>
    <row r="9341" spans="13:58" ht="12" hidden="1" customHeight="1">
      <c r="M9341" s="820"/>
      <c r="N9341" s="239"/>
      <c r="O9341" s="225"/>
      <c r="P9341" s="260"/>
      <c r="Q9341" s="258"/>
      <c r="R9341" s="260"/>
      <c r="S9341" s="260"/>
      <c r="T9341" s="260"/>
      <c r="U9341" s="260"/>
      <c r="V9341" s="260"/>
      <c r="W9341" s="260"/>
      <c r="X9341" s="260"/>
      <c r="Y9341" s="260"/>
      <c r="Z9341" s="260"/>
      <c r="AA9341" s="260"/>
      <c r="AB9341" s="260"/>
      <c r="AC9341" s="260"/>
      <c r="AD9341" s="260"/>
      <c r="AE9341" s="260"/>
      <c r="AF9341" s="260"/>
      <c r="AG9341" s="258"/>
      <c r="AO9341"/>
      <c r="AP9341"/>
      <c r="AQ9341"/>
      <c r="AR9341"/>
      <c r="AS9341"/>
      <c r="AT9341"/>
      <c r="AU9341"/>
      <c r="AV9341"/>
      <c r="AW9341"/>
      <c r="AX9341"/>
      <c r="AY9341"/>
      <c r="AZ9341"/>
      <c r="BA9341"/>
      <c r="BB9341"/>
      <c r="BC9341"/>
      <c r="BD9341"/>
      <c r="BE9341"/>
      <c r="BF9341"/>
    </row>
    <row r="9342" spans="13:58" ht="12" hidden="1" customHeight="1">
      <c r="M9342" s="820"/>
      <c r="N9342" s="239"/>
      <c r="O9342" s="225"/>
      <c r="P9342" s="260"/>
      <c r="Q9342" s="258"/>
      <c r="R9342" s="260"/>
      <c r="S9342" s="260"/>
      <c r="T9342" s="260"/>
      <c r="U9342" s="260"/>
      <c r="V9342" s="260"/>
      <c r="W9342" s="260"/>
      <c r="X9342" s="260"/>
      <c r="Y9342" s="260"/>
      <c r="Z9342" s="260"/>
      <c r="AA9342" s="260"/>
      <c r="AB9342" s="260"/>
      <c r="AC9342" s="260"/>
      <c r="AD9342" s="260"/>
      <c r="AE9342" s="260"/>
      <c r="AF9342" s="260"/>
      <c r="AG9342" s="258"/>
      <c r="AO9342"/>
      <c r="AP9342"/>
      <c r="AQ9342"/>
      <c r="AR9342"/>
      <c r="AS9342"/>
      <c r="AT9342"/>
      <c r="AU9342"/>
      <c r="AV9342"/>
      <c r="AW9342"/>
      <c r="AX9342"/>
      <c r="AY9342"/>
      <c r="AZ9342"/>
      <c r="BA9342"/>
      <c r="BB9342"/>
      <c r="BC9342"/>
      <c r="BD9342"/>
      <c r="BE9342"/>
      <c r="BF9342"/>
    </row>
    <row r="9343" spans="13:58" ht="12" hidden="1" customHeight="1">
      <c r="M9343" s="820"/>
      <c r="N9343" s="239"/>
      <c r="O9343" s="225"/>
      <c r="P9343" s="260"/>
      <c r="Q9343" s="258"/>
      <c r="R9343" s="260"/>
      <c r="S9343" s="260"/>
      <c r="T9343" s="260"/>
      <c r="U9343" s="260"/>
      <c r="V9343" s="260"/>
      <c r="W9343" s="260"/>
      <c r="X9343" s="260"/>
      <c r="Y9343" s="260"/>
      <c r="Z9343" s="260"/>
      <c r="AA9343" s="260"/>
      <c r="AB9343" s="260"/>
      <c r="AC9343" s="260"/>
      <c r="AD9343" s="260"/>
      <c r="AE9343" s="260"/>
      <c r="AF9343" s="260"/>
      <c r="AG9343" s="258"/>
      <c r="AO9343"/>
      <c r="AP9343"/>
      <c r="AQ9343"/>
      <c r="AR9343"/>
      <c r="AS9343"/>
      <c r="AT9343"/>
      <c r="AU9343"/>
      <c r="AV9343"/>
      <c r="AW9343"/>
      <c r="AX9343"/>
      <c r="AY9343"/>
      <c r="AZ9343"/>
      <c r="BA9343"/>
      <c r="BB9343"/>
      <c r="BC9343"/>
      <c r="BD9343"/>
      <c r="BE9343"/>
      <c r="BF9343"/>
    </row>
    <row r="9344" spans="13:58" ht="12" hidden="1" customHeight="1">
      <c r="M9344" s="820"/>
      <c r="N9344" s="239"/>
      <c r="O9344" s="225"/>
      <c r="P9344" s="260"/>
      <c r="Q9344" s="258"/>
      <c r="R9344" s="260"/>
      <c r="S9344" s="260"/>
      <c r="T9344" s="260"/>
      <c r="U9344" s="260"/>
      <c r="V9344" s="260"/>
      <c r="W9344" s="260"/>
      <c r="X9344" s="260"/>
      <c r="Y9344" s="260"/>
      <c r="Z9344" s="260"/>
      <c r="AA9344" s="260"/>
      <c r="AB9344" s="260"/>
      <c r="AC9344" s="260"/>
      <c r="AD9344" s="260"/>
      <c r="AE9344" s="260"/>
      <c r="AF9344" s="260"/>
      <c r="AG9344" s="258"/>
      <c r="AO9344"/>
      <c r="AP9344"/>
      <c r="AQ9344"/>
      <c r="AR9344"/>
      <c r="AS9344"/>
      <c r="AT9344"/>
      <c r="AU9344"/>
      <c r="AV9344"/>
      <c r="AW9344"/>
      <c r="AX9344"/>
      <c r="AY9344"/>
      <c r="AZ9344"/>
      <c r="BA9344"/>
      <c r="BB9344"/>
      <c r="BC9344"/>
      <c r="BD9344"/>
      <c r="BE9344"/>
      <c r="BF9344"/>
    </row>
    <row r="9345" spans="13:58" ht="12" hidden="1" customHeight="1">
      <c r="M9345" s="820"/>
      <c r="N9345" s="239"/>
      <c r="O9345" s="225"/>
      <c r="P9345" s="260"/>
      <c r="Q9345" s="258"/>
      <c r="R9345" s="260"/>
      <c r="S9345" s="260"/>
      <c r="T9345" s="260"/>
      <c r="U9345" s="260"/>
      <c r="V9345" s="260"/>
      <c r="W9345" s="260"/>
      <c r="X9345" s="260"/>
      <c r="Y9345" s="260"/>
      <c r="Z9345" s="260"/>
      <c r="AA9345" s="260"/>
      <c r="AB9345" s="260"/>
      <c r="AC9345" s="260"/>
      <c r="AD9345" s="260"/>
      <c r="AE9345" s="260"/>
      <c r="AF9345" s="260"/>
      <c r="AG9345" s="258"/>
      <c r="AO9345"/>
      <c r="AP9345"/>
      <c r="AQ9345"/>
      <c r="AR9345"/>
      <c r="AS9345"/>
      <c r="AT9345"/>
      <c r="AU9345"/>
      <c r="AV9345"/>
      <c r="AW9345"/>
      <c r="AX9345"/>
      <c r="AY9345"/>
      <c r="AZ9345"/>
      <c r="BA9345"/>
      <c r="BB9345"/>
      <c r="BC9345"/>
      <c r="BD9345"/>
      <c r="BE9345"/>
      <c r="BF9345"/>
    </row>
    <row r="9346" spans="13:58" ht="12" hidden="1" customHeight="1">
      <c r="M9346" s="820"/>
      <c r="N9346" s="239"/>
      <c r="O9346" s="225"/>
      <c r="P9346" s="260"/>
      <c r="Q9346" s="258"/>
      <c r="R9346" s="260"/>
      <c r="S9346" s="260"/>
      <c r="T9346" s="260"/>
      <c r="U9346" s="260"/>
      <c r="V9346" s="260"/>
      <c r="W9346" s="260"/>
      <c r="X9346" s="260"/>
      <c r="Y9346" s="260"/>
      <c r="Z9346" s="260"/>
      <c r="AA9346" s="260"/>
      <c r="AB9346" s="260"/>
      <c r="AC9346" s="260"/>
      <c r="AD9346" s="260"/>
      <c r="AE9346" s="260"/>
      <c r="AF9346" s="260"/>
      <c r="AG9346" s="258"/>
      <c r="AO9346"/>
      <c r="AP9346"/>
      <c r="AQ9346"/>
      <c r="AR9346"/>
      <c r="AS9346"/>
      <c r="AT9346"/>
      <c r="AU9346"/>
      <c r="AV9346"/>
      <c r="AW9346"/>
      <c r="AX9346"/>
      <c r="AY9346"/>
      <c r="AZ9346"/>
      <c r="BA9346"/>
      <c r="BB9346"/>
      <c r="BC9346"/>
      <c r="BD9346"/>
      <c r="BE9346"/>
      <c r="BF9346"/>
    </row>
    <row r="9347" spans="13:58" ht="12" hidden="1" customHeight="1">
      <c r="M9347" s="820"/>
      <c r="N9347" s="239"/>
      <c r="O9347" s="225"/>
      <c r="P9347" s="260"/>
      <c r="Q9347" s="258"/>
      <c r="R9347" s="260"/>
      <c r="S9347" s="260"/>
      <c r="T9347" s="260"/>
      <c r="U9347" s="260"/>
      <c r="V9347" s="260"/>
      <c r="W9347" s="260"/>
      <c r="X9347" s="260"/>
      <c r="Y9347" s="260"/>
      <c r="Z9347" s="260"/>
      <c r="AA9347" s="260"/>
      <c r="AB9347" s="260"/>
      <c r="AC9347" s="260"/>
      <c r="AD9347" s="260"/>
      <c r="AE9347" s="260"/>
      <c r="AF9347" s="260"/>
      <c r="AG9347" s="258"/>
      <c r="AO9347"/>
      <c r="AP9347"/>
      <c r="AQ9347"/>
      <c r="AR9347"/>
      <c r="AS9347"/>
      <c r="AT9347"/>
      <c r="AU9347"/>
      <c r="AV9347"/>
      <c r="AW9347"/>
      <c r="AX9347"/>
      <c r="AY9347"/>
      <c r="AZ9347"/>
      <c r="BA9347"/>
      <c r="BB9347"/>
      <c r="BC9347"/>
      <c r="BD9347"/>
      <c r="BE9347"/>
      <c r="BF9347"/>
    </row>
    <row r="9348" spans="13:58" ht="12" hidden="1" customHeight="1">
      <c r="M9348" s="820"/>
      <c r="N9348" s="239"/>
      <c r="O9348" s="225"/>
      <c r="P9348" s="260"/>
      <c r="Q9348" s="258"/>
      <c r="R9348" s="260"/>
      <c r="S9348" s="260"/>
      <c r="T9348" s="260"/>
      <c r="U9348" s="260"/>
      <c r="V9348" s="260"/>
      <c r="W9348" s="260"/>
      <c r="X9348" s="260"/>
      <c r="Y9348" s="260"/>
      <c r="Z9348" s="260"/>
      <c r="AA9348" s="260"/>
      <c r="AB9348" s="260"/>
      <c r="AC9348" s="260"/>
      <c r="AD9348" s="260"/>
      <c r="AE9348" s="260"/>
      <c r="AF9348" s="260"/>
      <c r="AG9348" s="258"/>
      <c r="AO9348"/>
      <c r="AP9348"/>
      <c r="AQ9348"/>
      <c r="AR9348"/>
      <c r="AS9348"/>
      <c r="AT9348"/>
      <c r="AU9348"/>
      <c r="AV9348"/>
      <c r="AW9348"/>
      <c r="AX9348"/>
      <c r="AY9348"/>
      <c r="AZ9348"/>
      <c r="BA9348"/>
      <c r="BB9348"/>
      <c r="BC9348"/>
      <c r="BD9348"/>
      <c r="BE9348"/>
      <c r="BF9348"/>
    </row>
    <row r="9349" spans="13:58" ht="12" hidden="1" customHeight="1">
      <c r="M9349" s="820"/>
      <c r="N9349" s="239"/>
      <c r="O9349" s="225"/>
      <c r="P9349" s="260"/>
      <c r="Q9349" s="258"/>
      <c r="R9349" s="260"/>
      <c r="S9349" s="260"/>
      <c r="T9349" s="260"/>
      <c r="U9349" s="260"/>
      <c r="V9349" s="260"/>
      <c r="W9349" s="260"/>
      <c r="X9349" s="260"/>
      <c r="Y9349" s="260"/>
      <c r="Z9349" s="260"/>
      <c r="AA9349" s="260"/>
      <c r="AB9349" s="260"/>
      <c r="AC9349" s="260"/>
      <c r="AD9349" s="260"/>
      <c r="AE9349" s="260"/>
      <c r="AF9349" s="260"/>
      <c r="AG9349" s="258"/>
      <c r="AO9349"/>
      <c r="AP9349"/>
      <c r="AQ9349"/>
      <c r="AR9349"/>
      <c r="AS9349"/>
      <c r="AT9349"/>
      <c r="AU9349"/>
      <c r="AV9349"/>
      <c r="AW9349"/>
      <c r="AX9349"/>
      <c r="AY9349"/>
      <c r="AZ9349"/>
      <c r="BA9349"/>
      <c r="BB9349"/>
      <c r="BC9349"/>
      <c r="BD9349"/>
      <c r="BE9349"/>
      <c r="BF9349"/>
    </row>
    <row r="9350" spans="13:58" ht="12" hidden="1" customHeight="1">
      <c r="M9350" s="820"/>
      <c r="N9350" s="239"/>
      <c r="O9350" s="225"/>
      <c r="P9350" s="260"/>
      <c r="Q9350" s="258"/>
      <c r="R9350" s="260"/>
      <c r="S9350" s="260"/>
      <c r="T9350" s="260"/>
      <c r="U9350" s="260"/>
      <c r="V9350" s="260"/>
      <c r="W9350" s="260"/>
      <c r="X9350" s="260"/>
      <c r="Y9350" s="260"/>
      <c r="Z9350" s="260"/>
      <c r="AA9350" s="260"/>
      <c r="AB9350" s="260"/>
      <c r="AC9350" s="260"/>
      <c r="AD9350" s="260"/>
      <c r="AE9350" s="260"/>
      <c r="AF9350" s="260"/>
      <c r="AG9350" s="258"/>
      <c r="AO9350"/>
      <c r="AP9350"/>
      <c r="AQ9350"/>
      <c r="AR9350"/>
      <c r="AS9350"/>
      <c r="AT9350"/>
      <c r="AU9350"/>
      <c r="AV9350"/>
      <c r="AW9350"/>
      <c r="AX9350"/>
      <c r="AY9350"/>
      <c r="AZ9350"/>
      <c r="BA9350"/>
      <c r="BB9350"/>
      <c r="BC9350"/>
      <c r="BD9350"/>
      <c r="BE9350"/>
      <c r="BF9350"/>
    </row>
    <row r="9351" spans="13:58" ht="12" hidden="1" customHeight="1">
      <c r="M9351" s="820"/>
      <c r="N9351" s="239"/>
      <c r="O9351" s="225"/>
      <c r="P9351" s="260"/>
      <c r="Q9351" s="258"/>
      <c r="R9351" s="260"/>
      <c r="S9351" s="260"/>
      <c r="T9351" s="260"/>
      <c r="U9351" s="260"/>
      <c r="V9351" s="260"/>
      <c r="W9351" s="260"/>
      <c r="X9351" s="260"/>
      <c r="Y9351" s="260"/>
      <c r="Z9351" s="260"/>
      <c r="AA9351" s="260"/>
      <c r="AB9351" s="260"/>
      <c r="AC9351" s="260"/>
      <c r="AD9351" s="260"/>
      <c r="AE9351" s="260"/>
      <c r="AF9351" s="260"/>
      <c r="AG9351" s="258"/>
      <c r="AO9351"/>
      <c r="AP9351"/>
      <c r="AQ9351"/>
      <c r="AR9351"/>
      <c r="AS9351"/>
      <c r="AT9351"/>
      <c r="AU9351"/>
      <c r="AV9351"/>
      <c r="AW9351"/>
      <c r="AX9351"/>
      <c r="AY9351"/>
      <c r="AZ9351"/>
      <c r="BA9351"/>
      <c r="BB9351"/>
      <c r="BC9351"/>
      <c r="BD9351"/>
      <c r="BE9351"/>
      <c r="BF9351"/>
    </row>
    <row r="9352" spans="13:58" ht="12" hidden="1" customHeight="1">
      <c r="M9352" s="820"/>
      <c r="N9352" s="239"/>
      <c r="O9352" s="225"/>
      <c r="P9352" s="260"/>
      <c r="Q9352" s="258"/>
      <c r="R9352" s="260"/>
      <c r="S9352" s="260"/>
      <c r="T9352" s="260"/>
      <c r="U9352" s="260"/>
      <c r="V9352" s="260"/>
      <c r="W9352" s="260"/>
      <c r="X9352" s="260"/>
      <c r="Y9352" s="260"/>
      <c r="Z9352" s="260"/>
      <c r="AA9352" s="260"/>
      <c r="AB9352" s="260"/>
      <c r="AC9352" s="260"/>
      <c r="AD9352" s="260"/>
      <c r="AE9352" s="260"/>
      <c r="AF9352" s="260"/>
      <c r="AG9352" s="258"/>
      <c r="AO9352"/>
      <c r="AP9352"/>
      <c r="AQ9352"/>
      <c r="AR9352"/>
      <c r="AS9352"/>
      <c r="AT9352"/>
      <c r="AU9352"/>
      <c r="AV9352"/>
      <c r="AW9352"/>
      <c r="AX9352"/>
      <c r="AY9352"/>
      <c r="AZ9352"/>
      <c r="BA9352"/>
      <c r="BB9352"/>
      <c r="BC9352"/>
      <c r="BD9352"/>
      <c r="BE9352"/>
      <c r="BF9352"/>
    </row>
    <row r="9353" spans="13:58" ht="12" hidden="1" customHeight="1">
      <c r="M9353" s="820"/>
      <c r="N9353" s="239"/>
      <c r="O9353" s="225"/>
      <c r="P9353" s="260"/>
      <c r="Q9353" s="258"/>
      <c r="R9353" s="260"/>
      <c r="S9353" s="260"/>
      <c r="T9353" s="260"/>
      <c r="U9353" s="260"/>
      <c r="V9353" s="260"/>
      <c r="W9353" s="260"/>
      <c r="X9353" s="260"/>
      <c r="Y9353" s="260"/>
      <c r="Z9353" s="260"/>
      <c r="AA9353" s="260"/>
      <c r="AB9353" s="260"/>
      <c r="AC9353" s="260"/>
      <c r="AD9353" s="260"/>
      <c r="AE9353" s="260"/>
      <c r="AF9353" s="260"/>
      <c r="AG9353" s="258"/>
      <c r="AO9353"/>
      <c r="AP9353"/>
      <c r="AQ9353"/>
      <c r="AR9353"/>
      <c r="AS9353"/>
      <c r="AT9353"/>
      <c r="AU9353"/>
      <c r="AV9353"/>
      <c r="AW9353"/>
      <c r="AX9353"/>
      <c r="AY9353"/>
      <c r="AZ9353"/>
      <c r="BA9353"/>
      <c r="BB9353"/>
      <c r="BC9353"/>
      <c r="BD9353"/>
      <c r="BE9353"/>
      <c r="BF9353"/>
    </row>
    <row r="9354" spans="13:58" ht="12" hidden="1" customHeight="1">
      <c r="M9354" s="820"/>
      <c r="N9354" s="239"/>
      <c r="O9354" s="225"/>
      <c r="P9354" s="260"/>
      <c r="Q9354" s="258"/>
      <c r="R9354" s="260"/>
      <c r="S9354" s="260"/>
      <c r="T9354" s="260"/>
      <c r="U9354" s="260"/>
      <c r="V9354" s="260"/>
      <c r="W9354" s="260"/>
      <c r="X9354" s="260"/>
      <c r="Y9354" s="260"/>
      <c r="Z9354" s="260"/>
      <c r="AA9354" s="260"/>
      <c r="AB9354" s="260"/>
      <c r="AC9354" s="260"/>
      <c r="AD9354" s="260"/>
      <c r="AE9354" s="260"/>
      <c r="AF9354" s="260"/>
      <c r="AG9354" s="258"/>
      <c r="AO9354"/>
      <c r="AP9354"/>
      <c r="AQ9354"/>
      <c r="AR9354"/>
      <c r="AS9354"/>
      <c r="AT9354"/>
      <c r="AU9354"/>
      <c r="AV9354"/>
      <c r="AW9354"/>
      <c r="AX9354"/>
      <c r="AY9354"/>
      <c r="AZ9354"/>
      <c r="BA9354"/>
      <c r="BB9354"/>
      <c r="BC9354"/>
      <c r="BD9354"/>
      <c r="BE9354"/>
      <c r="BF9354"/>
    </row>
    <row r="9355" spans="13:58" ht="12" hidden="1" customHeight="1">
      <c r="M9355" s="820"/>
      <c r="N9355" s="239"/>
      <c r="O9355" s="225"/>
      <c r="P9355" s="260"/>
      <c r="Q9355" s="258"/>
      <c r="R9355" s="260"/>
      <c r="S9355" s="260"/>
      <c r="T9355" s="260"/>
      <c r="U9355" s="260"/>
      <c r="V9355" s="260"/>
      <c r="W9355" s="260"/>
      <c r="X9355" s="260"/>
      <c r="Y9355" s="260"/>
      <c r="Z9355" s="260"/>
      <c r="AA9355" s="260"/>
      <c r="AB9355" s="260"/>
      <c r="AC9355" s="260"/>
      <c r="AD9355" s="260"/>
      <c r="AE9355" s="260"/>
      <c r="AF9355" s="260"/>
      <c r="AG9355" s="258"/>
      <c r="AO9355"/>
      <c r="AP9355"/>
      <c r="AQ9355"/>
      <c r="AR9355"/>
      <c r="AS9355"/>
      <c r="AT9355"/>
      <c r="AU9355"/>
      <c r="AV9355"/>
      <c r="AW9355"/>
      <c r="AX9355"/>
      <c r="AY9355"/>
      <c r="AZ9355"/>
      <c r="BA9355"/>
      <c r="BB9355"/>
      <c r="BC9355"/>
      <c r="BD9355"/>
      <c r="BE9355"/>
      <c r="BF9355"/>
    </row>
    <row r="9356" spans="13:58" ht="12" hidden="1" customHeight="1">
      <c r="M9356" s="820"/>
      <c r="N9356" s="239"/>
      <c r="O9356" s="225"/>
      <c r="P9356" s="260"/>
      <c r="Q9356" s="258"/>
      <c r="R9356" s="260"/>
      <c r="S9356" s="260"/>
      <c r="T9356" s="260"/>
      <c r="U9356" s="260"/>
      <c r="V9356" s="260"/>
      <c r="W9356" s="260"/>
      <c r="X9356" s="260"/>
      <c r="Y9356" s="260"/>
      <c r="Z9356" s="260"/>
      <c r="AA9356" s="260"/>
      <c r="AB9356" s="260"/>
      <c r="AC9356" s="260"/>
      <c r="AD9356" s="260"/>
      <c r="AE9356" s="260"/>
      <c r="AF9356" s="260"/>
      <c r="AG9356" s="258"/>
      <c r="AO9356"/>
      <c r="AP9356"/>
      <c r="AQ9356"/>
      <c r="AR9356"/>
      <c r="AS9356"/>
      <c r="AT9356"/>
      <c r="AU9356"/>
      <c r="AV9356"/>
      <c r="AW9356"/>
      <c r="AX9356"/>
      <c r="AY9356"/>
      <c r="AZ9356"/>
      <c r="BA9356"/>
      <c r="BB9356"/>
      <c r="BC9356"/>
      <c r="BD9356"/>
      <c r="BE9356"/>
      <c r="BF9356"/>
    </row>
    <row r="9357" spans="13:58" ht="12" hidden="1" customHeight="1">
      <c r="M9357" s="820"/>
      <c r="N9357" s="239"/>
      <c r="O9357" s="225"/>
      <c r="P9357" s="260"/>
      <c r="Q9357" s="258"/>
      <c r="R9357" s="260"/>
      <c r="S9357" s="260"/>
      <c r="T9357" s="260"/>
      <c r="U9357" s="260"/>
      <c r="V9357" s="260"/>
      <c r="W9357" s="260"/>
      <c r="X9357" s="260"/>
      <c r="Y9357" s="260"/>
      <c r="Z9357" s="260"/>
      <c r="AA9357" s="260"/>
      <c r="AB9357" s="260"/>
      <c r="AC9357" s="260"/>
      <c r="AD9357" s="260"/>
      <c r="AE9357" s="260"/>
      <c r="AF9357" s="260"/>
      <c r="AG9357" s="258"/>
      <c r="AO9357"/>
      <c r="AP9357"/>
      <c r="AQ9357"/>
      <c r="AR9357"/>
      <c r="AS9357"/>
      <c r="AT9357"/>
      <c r="AU9357"/>
      <c r="AV9357"/>
      <c r="AW9357"/>
      <c r="AX9357"/>
      <c r="AY9357"/>
      <c r="AZ9357"/>
      <c r="BA9357"/>
      <c r="BB9357"/>
      <c r="BC9357"/>
      <c r="BD9357"/>
      <c r="BE9357"/>
      <c r="BF9357"/>
    </row>
    <row r="9358" spans="13:58" ht="12" hidden="1" customHeight="1">
      <c r="M9358" s="820"/>
      <c r="N9358" s="239"/>
      <c r="O9358" s="225"/>
      <c r="P9358" s="260"/>
      <c r="Q9358" s="258"/>
      <c r="R9358" s="260"/>
      <c r="S9358" s="260"/>
      <c r="T9358" s="260"/>
      <c r="U9358" s="260"/>
      <c r="V9358" s="260"/>
      <c r="W9358" s="260"/>
      <c r="X9358" s="260"/>
      <c r="Y9358" s="260"/>
      <c r="Z9358" s="260"/>
      <c r="AA9358" s="260"/>
      <c r="AB9358" s="260"/>
      <c r="AC9358" s="260"/>
      <c r="AD9358" s="260"/>
      <c r="AE9358" s="260"/>
      <c r="AF9358" s="260"/>
      <c r="AG9358" s="258"/>
      <c r="AO9358"/>
      <c r="AP9358"/>
      <c r="AQ9358"/>
      <c r="AR9358"/>
      <c r="AS9358"/>
      <c r="AT9358"/>
      <c r="AU9358"/>
      <c r="AV9358"/>
      <c r="AW9358"/>
      <c r="AX9358"/>
      <c r="AY9358"/>
      <c r="AZ9358"/>
      <c r="BA9358"/>
      <c r="BB9358"/>
      <c r="BC9358"/>
      <c r="BD9358"/>
      <c r="BE9358"/>
      <c r="BF9358"/>
    </row>
    <row r="9359" spans="13:58" ht="12" hidden="1" customHeight="1">
      <c r="M9359" s="820"/>
      <c r="N9359" s="239"/>
      <c r="O9359" s="225"/>
      <c r="P9359" s="260"/>
      <c r="Q9359" s="258"/>
      <c r="R9359" s="260"/>
      <c r="S9359" s="260"/>
      <c r="T9359" s="260"/>
      <c r="U9359" s="260"/>
      <c r="V9359" s="260"/>
      <c r="W9359" s="260"/>
      <c r="X9359" s="260"/>
      <c r="Y9359" s="260"/>
      <c r="Z9359" s="260"/>
      <c r="AA9359" s="260"/>
      <c r="AB9359" s="260"/>
      <c r="AC9359" s="260"/>
      <c r="AD9359" s="260"/>
      <c r="AE9359" s="260"/>
      <c r="AF9359" s="260"/>
      <c r="AG9359" s="258"/>
      <c r="AO9359"/>
      <c r="AP9359"/>
      <c r="AQ9359"/>
      <c r="AR9359"/>
      <c r="AS9359"/>
      <c r="AT9359"/>
      <c r="AU9359"/>
      <c r="AV9359"/>
      <c r="AW9359"/>
      <c r="AX9359"/>
      <c r="AY9359"/>
      <c r="AZ9359"/>
      <c r="BA9359"/>
      <c r="BB9359"/>
      <c r="BC9359"/>
      <c r="BD9359"/>
      <c r="BE9359"/>
      <c r="BF9359"/>
    </row>
    <row r="9360" spans="13:58" ht="12" hidden="1" customHeight="1">
      <c r="M9360" s="820"/>
      <c r="N9360" s="239"/>
      <c r="O9360" s="225"/>
      <c r="P9360" s="260"/>
      <c r="Q9360" s="258"/>
      <c r="R9360" s="260"/>
      <c r="S9360" s="260"/>
      <c r="T9360" s="260"/>
      <c r="U9360" s="260"/>
      <c r="V9360" s="260"/>
      <c r="W9360" s="260"/>
      <c r="X9360" s="260"/>
      <c r="Y9360" s="260"/>
      <c r="Z9360" s="260"/>
      <c r="AA9360" s="260"/>
      <c r="AB9360" s="260"/>
      <c r="AC9360" s="260"/>
      <c r="AD9360" s="260"/>
      <c r="AE9360" s="260"/>
      <c r="AF9360" s="260"/>
      <c r="AG9360" s="258"/>
      <c r="AO9360"/>
      <c r="AP9360"/>
      <c r="AQ9360"/>
      <c r="AR9360"/>
      <c r="AS9360"/>
      <c r="AT9360"/>
      <c r="AU9360"/>
      <c r="AV9360"/>
      <c r="AW9360"/>
      <c r="AX9360"/>
      <c r="AY9360"/>
      <c r="AZ9360"/>
      <c r="BA9360"/>
      <c r="BB9360"/>
      <c r="BC9360"/>
      <c r="BD9360"/>
      <c r="BE9360"/>
      <c r="BF9360"/>
    </row>
    <row r="9361" spans="13:58" ht="12" hidden="1" customHeight="1">
      <c r="M9361" s="820"/>
      <c r="N9361" s="239"/>
      <c r="O9361" s="225"/>
      <c r="P9361" s="260"/>
      <c r="Q9361" s="258"/>
      <c r="R9361" s="260"/>
      <c r="S9361" s="260"/>
      <c r="T9361" s="260"/>
      <c r="U9361" s="260"/>
      <c r="V9361" s="260"/>
      <c r="W9361" s="260"/>
      <c r="X9361" s="260"/>
      <c r="Y9361" s="260"/>
      <c r="Z9361" s="260"/>
      <c r="AA9361" s="260"/>
      <c r="AB9361" s="260"/>
      <c r="AC9361" s="260"/>
      <c r="AD9361" s="260"/>
      <c r="AE9361" s="260"/>
      <c r="AF9361" s="260"/>
      <c r="AG9361" s="258"/>
      <c r="AO9361"/>
      <c r="AP9361"/>
      <c r="AQ9361"/>
      <c r="AR9361"/>
      <c r="AS9361"/>
      <c r="AT9361"/>
      <c r="AU9361"/>
      <c r="AV9361"/>
      <c r="AW9361"/>
      <c r="AX9361"/>
      <c r="AY9361"/>
      <c r="AZ9361"/>
      <c r="BA9361"/>
      <c r="BB9361"/>
      <c r="BC9361"/>
      <c r="BD9361"/>
      <c r="BE9361"/>
      <c r="BF9361"/>
    </row>
    <row r="9362" spans="13:58" ht="12" hidden="1" customHeight="1">
      <c r="M9362" s="820"/>
      <c r="N9362" s="239"/>
      <c r="O9362" s="225"/>
      <c r="P9362" s="260"/>
      <c r="Q9362" s="258"/>
      <c r="R9362" s="260"/>
      <c r="S9362" s="260"/>
      <c r="T9362" s="260"/>
      <c r="U9362" s="260"/>
      <c r="V9362" s="260"/>
      <c r="W9362" s="260"/>
      <c r="X9362" s="260"/>
      <c r="Y9362" s="260"/>
      <c r="Z9362" s="260"/>
      <c r="AA9362" s="260"/>
      <c r="AB9362" s="260"/>
      <c r="AC9362" s="260"/>
      <c r="AD9362" s="260"/>
      <c r="AE9362" s="260"/>
      <c r="AF9362" s="260"/>
      <c r="AG9362" s="258"/>
      <c r="AO9362"/>
      <c r="AP9362"/>
      <c r="AQ9362"/>
      <c r="AR9362"/>
      <c r="AS9362"/>
      <c r="AT9362"/>
      <c r="AU9362"/>
      <c r="AV9362"/>
      <c r="AW9362"/>
      <c r="AX9362"/>
      <c r="AY9362"/>
      <c r="AZ9362"/>
      <c r="BA9362"/>
      <c r="BB9362"/>
      <c r="BC9362"/>
      <c r="BD9362"/>
      <c r="BE9362"/>
      <c r="BF9362"/>
    </row>
    <row r="9363" spans="13:58" ht="12" hidden="1" customHeight="1">
      <c r="M9363" s="820"/>
      <c r="N9363" s="239"/>
      <c r="O9363" s="225"/>
      <c r="P9363" s="260"/>
      <c r="Q9363" s="258"/>
      <c r="R9363" s="260"/>
      <c r="S9363" s="260"/>
      <c r="T9363" s="260"/>
      <c r="U9363" s="260"/>
      <c r="V9363" s="260"/>
      <c r="W9363" s="260"/>
      <c r="X9363" s="260"/>
      <c r="Y9363" s="260"/>
      <c r="Z9363" s="260"/>
      <c r="AA9363" s="260"/>
      <c r="AB9363" s="260"/>
      <c r="AC9363" s="260"/>
      <c r="AD9363" s="260"/>
      <c r="AE9363" s="260"/>
      <c r="AF9363" s="260"/>
      <c r="AG9363" s="258"/>
      <c r="AO9363"/>
      <c r="AP9363"/>
      <c r="AQ9363"/>
      <c r="AR9363"/>
      <c r="AS9363"/>
      <c r="AT9363"/>
      <c r="AU9363"/>
      <c r="AV9363"/>
      <c r="AW9363"/>
      <c r="AX9363"/>
      <c r="AY9363"/>
      <c r="AZ9363"/>
      <c r="BA9363"/>
      <c r="BB9363"/>
      <c r="BC9363"/>
      <c r="BD9363"/>
      <c r="BE9363"/>
      <c r="BF9363"/>
    </row>
    <row r="9364" spans="13:58" ht="12" hidden="1" customHeight="1">
      <c r="M9364" s="820"/>
      <c r="N9364" s="239"/>
      <c r="O9364" s="225"/>
      <c r="P9364" s="260"/>
      <c r="Q9364" s="258"/>
      <c r="R9364" s="260"/>
      <c r="S9364" s="260"/>
      <c r="T9364" s="260"/>
      <c r="U9364" s="260"/>
      <c r="V9364" s="260"/>
      <c r="W9364" s="260"/>
      <c r="X9364" s="260"/>
      <c r="Y9364" s="260"/>
      <c r="Z9364" s="260"/>
      <c r="AA9364" s="260"/>
      <c r="AB9364" s="260"/>
      <c r="AC9364" s="260"/>
      <c r="AD9364" s="260"/>
      <c r="AE9364" s="260"/>
      <c r="AF9364" s="260"/>
      <c r="AG9364" s="258"/>
      <c r="AO9364"/>
      <c r="AP9364"/>
      <c r="AQ9364"/>
      <c r="AR9364"/>
      <c r="AS9364"/>
      <c r="AT9364"/>
      <c r="AU9364"/>
      <c r="AV9364"/>
      <c r="AW9364"/>
      <c r="AX9364"/>
      <c r="AY9364"/>
      <c r="AZ9364"/>
      <c r="BA9364"/>
      <c r="BB9364"/>
      <c r="BC9364"/>
      <c r="BD9364"/>
      <c r="BE9364"/>
      <c r="BF9364"/>
    </row>
    <row r="9365" spans="13:58" ht="12" hidden="1" customHeight="1">
      <c r="M9365" s="820"/>
      <c r="N9365" s="239"/>
      <c r="O9365" s="225"/>
      <c r="P9365" s="260"/>
      <c r="Q9365" s="258"/>
      <c r="R9365" s="260"/>
      <c r="S9365" s="260"/>
      <c r="T9365" s="260"/>
      <c r="U9365" s="260"/>
      <c r="V9365" s="260"/>
      <c r="W9365" s="260"/>
      <c r="X9365" s="260"/>
      <c r="Y9365" s="260"/>
      <c r="Z9365" s="260"/>
      <c r="AA9365" s="260"/>
      <c r="AB9365" s="260"/>
      <c r="AC9365" s="260"/>
      <c r="AD9365" s="260"/>
      <c r="AE9365" s="260"/>
      <c r="AF9365" s="260"/>
      <c r="AG9365" s="258"/>
      <c r="AO9365"/>
      <c r="AP9365"/>
      <c r="AQ9365"/>
      <c r="AR9365"/>
      <c r="AS9365"/>
      <c r="AT9365"/>
      <c r="AU9365"/>
      <c r="AV9365"/>
      <c r="AW9365"/>
      <c r="AX9365"/>
      <c r="AY9365"/>
      <c r="AZ9365"/>
      <c r="BA9365"/>
      <c r="BB9365"/>
      <c r="BC9365"/>
      <c r="BD9365"/>
      <c r="BE9365"/>
      <c r="BF9365"/>
    </row>
    <row r="9366" spans="13:58" ht="12" hidden="1" customHeight="1">
      <c r="M9366" s="820"/>
      <c r="N9366" s="239"/>
      <c r="O9366" s="225"/>
      <c r="P9366" s="260"/>
      <c r="Q9366" s="258"/>
      <c r="R9366" s="260"/>
      <c r="S9366" s="260"/>
      <c r="T9366" s="260"/>
      <c r="U9366" s="260"/>
      <c r="V9366" s="260"/>
      <c r="W9366" s="260"/>
      <c r="X9366" s="260"/>
      <c r="Y9366" s="260"/>
      <c r="Z9366" s="260"/>
      <c r="AA9366" s="260"/>
      <c r="AB9366" s="260"/>
      <c r="AC9366" s="260"/>
      <c r="AD9366" s="260"/>
      <c r="AE9366" s="260"/>
      <c r="AF9366" s="260"/>
      <c r="AG9366" s="258"/>
      <c r="AO9366"/>
      <c r="AP9366"/>
      <c r="AQ9366"/>
      <c r="AR9366"/>
      <c r="AS9366"/>
      <c r="AT9366"/>
      <c r="AU9366"/>
      <c r="AV9366"/>
      <c r="AW9366"/>
      <c r="AX9366"/>
      <c r="AY9366"/>
      <c r="AZ9366"/>
      <c r="BA9366"/>
      <c r="BB9366"/>
      <c r="BC9366"/>
      <c r="BD9366"/>
      <c r="BE9366"/>
      <c r="BF9366"/>
    </row>
    <row r="9367" spans="13:58" ht="12" hidden="1" customHeight="1">
      <c r="M9367" s="820"/>
      <c r="N9367" s="239"/>
      <c r="O9367" s="225"/>
      <c r="P9367" s="260"/>
      <c r="Q9367" s="258"/>
      <c r="R9367" s="260"/>
      <c r="S9367" s="260"/>
      <c r="T9367" s="260"/>
      <c r="U9367" s="260"/>
      <c r="V9367" s="260"/>
      <c r="W9367" s="260"/>
      <c r="X9367" s="260"/>
      <c r="Y9367" s="260"/>
      <c r="Z9367" s="260"/>
      <c r="AA9367" s="260"/>
      <c r="AB9367" s="260"/>
      <c r="AC9367" s="260"/>
      <c r="AD9367" s="260"/>
      <c r="AE9367" s="260"/>
      <c r="AF9367" s="260"/>
      <c r="AG9367" s="258"/>
      <c r="AO9367"/>
      <c r="AP9367"/>
      <c r="AQ9367"/>
      <c r="AR9367"/>
      <c r="AS9367"/>
      <c r="AT9367"/>
      <c r="AU9367"/>
      <c r="AV9367"/>
      <c r="AW9367"/>
      <c r="AX9367"/>
      <c r="AY9367"/>
      <c r="AZ9367"/>
      <c r="BA9367"/>
      <c r="BB9367"/>
      <c r="BC9367"/>
      <c r="BD9367"/>
      <c r="BE9367"/>
      <c r="BF9367"/>
    </row>
    <row r="9368" spans="13:58" ht="12" hidden="1" customHeight="1">
      <c r="M9368" s="820"/>
      <c r="N9368" s="239"/>
      <c r="O9368" s="225"/>
      <c r="P9368" s="260"/>
      <c r="Q9368" s="258"/>
      <c r="R9368" s="260"/>
      <c r="S9368" s="260"/>
      <c r="T9368" s="260"/>
      <c r="U9368" s="260"/>
      <c r="V9368" s="260"/>
      <c r="W9368" s="260"/>
      <c r="X9368" s="260"/>
      <c r="Y9368" s="260"/>
      <c r="Z9368" s="260"/>
      <c r="AA9368" s="260"/>
      <c r="AB9368" s="260"/>
      <c r="AC9368" s="260"/>
      <c r="AD9368" s="260"/>
      <c r="AE9368" s="260"/>
      <c r="AF9368" s="260"/>
      <c r="AG9368" s="258"/>
      <c r="AO9368"/>
      <c r="AP9368"/>
      <c r="AQ9368"/>
      <c r="AR9368"/>
      <c r="AS9368"/>
      <c r="AT9368"/>
      <c r="AU9368"/>
      <c r="AV9368"/>
      <c r="AW9368"/>
      <c r="AX9368"/>
      <c r="AY9368"/>
      <c r="AZ9368"/>
      <c r="BA9368"/>
      <c r="BB9368"/>
      <c r="BC9368"/>
      <c r="BD9368"/>
      <c r="BE9368"/>
      <c r="BF9368"/>
    </row>
    <row r="9369" spans="13:58" ht="12" hidden="1" customHeight="1">
      <c r="M9369" s="820"/>
      <c r="N9369" s="239"/>
      <c r="O9369" s="225"/>
      <c r="P9369" s="260"/>
      <c r="Q9369" s="258"/>
      <c r="R9369" s="260"/>
      <c r="S9369" s="260"/>
      <c r="T9369" s="260"/>
      <c r="U9369" s="260"/>
      <c r="V9369" s="260"/>
      <c r="W9369" s="260"/>
      <c r="X9369" s="260"/>
      <c r="Y9369" s="260"/>
      <c r="Z9369" s="260"/>
      <c r="AA9369" s="260"/>
      <c r="AB9369" s="260"/>
      <c r="AC9369" s="260"/>
      <c r="AD9369" s="260"/>
      <c r="AE9369" s="260"/>
      <c r="AF9369" s="260"/>
      <c r="AG9369" s="258"/>
      <c r="AO9369"/>
      <c r="AP9369"/>
      <c r="AQ9369"/>
      <c r="AR9369"/>
      <c r="AS9369"/>
      <c r="AT9369"/>
      <c r="AU9369"/>
      <c r="AV9369"/>
      <c r="AW9369"/>
      <c r="AX9369"/>
      <c r="AY9369"/>
      <c r="AZ9369"/>
      <c r="BA9369"/>
      <c r="BB9369"/>
      <c r="BC9369"/>
      <c r="BD9369"/>
      <c r="BE9369"/>
      <c r="BF9369"/>
    </row>
    <row r="9370" spans="13:58" ht="12" hidden="1" customHeight="1">
      <c r="M9370" s="820"/>
      <c r="N9370" s="239"/>
      <c r="O9370" s="225"/>
      <c r="P9370" s="260"/>
      <c r="Q9370" s="258"/>
      <c r="R9370" s="260"/>
      <c r="S9370" s="260"/>
      <c r="T9370" s="260"/>
      <c r="U9370" s="260"/>
      <c r="V9370" s="260"/>
      <c r="W9370" s="260"/>
      <c r="X9370" s="260"/>
      <c r="Y9370" s="260"/>
      <c r="Z9370" s="260"/>
      <c r="AA9370" s="260"/>
      <c r="AB9370" s="260"/>
      <c r="AC9370" s="260"/>
      <c r="AD9370" s="260"/>
      <c r="AE9370" s="260"/>
      <c r="AF9370" s="260"/>
      <c r="AG9370" s="258"/>
      <c r="AO9370"/>
      <c r="AP9370"/>
      <c r="AQ9370"/>
      <c r="AR9370"/>
      <c r="AS9370"/>
      <c r="AT9370"/>
      <c r="AU9370"/>
      <c r="AV9370"/>
      <c r="AW9370"/>
      <c r="AX9370"/>
      <c r="AY9370"/>
      <c r="AZ9370"/>
      <c r="BA9370"/>
      <c r="BB9370"/>
      <c r="BC9370"/>
      <c r="BD9370"/>
      <c r="BE9370"/>
      <c r="BF9370"/>
    </row>
    <row r="9371" spans="13:58" ht="12" hidden="1" customHeight="1">
      <c r="M9371" s="820"/>
      <c r="N9371" s="239"/>
      <c r="O9371" s="225"/>
      <c r="P9371" s="260"/>
      <c r="Q9371" s="258"/>
      <c r="R9371" s="260"/>
      <c r="S9371" s="260"/>
      <c r="T9371" s="260"/>
      <c r="U9371" s="260"/>
      <c r="V9371" s="260"/>
      <c r="W9371" s="260"/>
      <c r="X9371" s="260"/>
      <c r="Y9371" s="260"/>
      <c r="Z9371" s="260"/>
      <c r="AA9371" s="260"/>
      <c r="AB9371" s="260"/>
      <c r="AC9371" s="260"/>
      <c r="AD9371" s="260"/>
      <c r="AE9371" s="260"/>
      <c r="AF9371" s="260"/>
      <c r="AG9371" s="258"/>
      <c r="AO9371"/>
      <c r="AP9371"/>
      <c r="AQ9371"/>
      <c r="AR9371"/>
      <c r="AS9371"/>
      <c r="AT9371"/>
      <c r="AU9371"/>
      <c r="AV9371"/>
      <c r="AW9371"/>
      <c r="AX9371"/>
      <c r="AY9371"/>
      <c r="AZ9371"/>
      <c r="BA9371"/>
      <c r="BB9371"/>
      <c r="BC9371"/>
      <c r="BD9371"/>
      <c r="BE9371"/>
      <c r="BF9371"/>
    </row>
    <row r="9372" spans="13:58" ht="12" hidden="1" customHeight="1">
      <c r="M9372" s="820"/>
      <c r="N9372" s="239"/>
      <c r="O9372" s="225"/>
      <c r="P9372" s="260"/>
      <c r="Q9372" s="258"/>
      <c r="R9372" s="260"/>
      <c r="S9372" s="260"/>
      <c r="T9372" s="260"/>
      <c r="U9372" s="260"/>
      <c r="V9372" s="260"/>
      <c r="W9372" s="260"/>
      <c r="X9372" s="260"/>
      <c r="Y9372" s="260"/>
      <c r="Z9372" s="260"/>
      <c r="AA9372" s="260"/>
      <c r="AB9372" s="260"/>
      <c r="AC9372" s="260"/>
      <c r="AD9372" s="260"/>
      <c r="AE9372" s="260"/>
      <c r="AF9372" s="260"/>
      <c r="AG9372" s="258"/>
      <c r="AO9372"/>
      <c r="AP9372"/>
      <c r="AQ9372"/>
      <c r="AR9372"/>
      <c r="AS9372"/>
      <c r="AT9372"/>
      <c r="AU9372"/>
      <c r="AV9372"/>
      <c r="AW9372"/>
      <c r="AX9372"/>
      <c r="AY9372"/>
      <c r="AZ9372"/>
      <c r="BA9372"/>
      <c r="BB9372"/>
      <c r="BC9372"/>
      <c r="BD9372"/>
      <c r="BE9372"/>
      <c r="BF9372"/>
    </row>
    <row r="9373" spans="13:58" ht="12" hidden="1" customHeight="1">
      <c r="M9373" s="820"/>
      <c r="N9373" s="239"/>
      <c r="O9373" s="225"/>
      <c r="P9373" s="260"/>
      <c r="Q9373" s="258"/>
      <c r="R9373" s="260"/>
      <c r="S9373" s="260"/>
      <c r="T9373" s="260"/>
      <c r="U9373" s="260"/>
      <c r="V9373" s="260"/>
      <c r="W9373" s="260"/>
      <c r="X9373" s="260"/>
      <c r="Y9373" s="260"/>
      <c r="Z9373" s="260"/>
      <c r="AA9373" s="260"/>
      <c r="AB9373" s="260"/>
      <c r="AC9373" s="260"/>
      <c r="AD9373" s="260"/>
      <c r="AE9373" s="260"/>
      <c r="AF9373" s="260"/>
      <c r="AG9373" s="258"/>
      <c r="AO9373"/>
      <c r="AP9373"/>
      <c r="AQ9373"/>
      <c r="AR9373"/>
      <c r="AS9373"/>
      <c r="AT9373"/>
      <c r="AU9373"/>
      <c r="AV9373"/>
      <c r="AW9373"/>
      <c r="AX9373"/>
      <c r="AY9373"/>
      <c r="AZ9373"/>
      <c r="BA9373"/>
      <c r="BB9373"/>
      <c r="BC9373"/>
      <c r="BD9373"/>
      <c r="BE9373"/>
      <c r="BF9373"/>
    </row>
    <row r="9374" spans="13:58" ht="12" hidden="1" customHeight="1">
      <c r="M9374" s="820"/>
      <c r="N9374" s="239"/>
      <c r="O9374" s="225"/>
      <c r="P9374" s="260"/>
      <c r="Q9374" s="258"/>
      <c r="R9374" s="260"/>
      <c r="S9374" s="260"/>
      <c r="T9374" s="260"/>
      <c r="U9374" s="260"/>
      <c r="V9374" s="260"/>
      <c r="W9374" s="260"/>
      <c r="X9374" s="260"/>
      <c r="Y9374" s="260"/>
      <c r="Z9374" s="260"/>
      <c r="AA9374" s="260"/>
      <c r="AB9374" s="260"/>
      <c r="AC9374" s="260"/>
      <c r="AD9374" s="260"/>
      <c r="AE9374" s="260"/>
      <c r="AF9374" s="260"/>
      <c r="AG9374" s="258"/>
      <c r="AO9374"/>
      <c r="AP9374"/>
      <c r="AQ9374"/>
      <c r="AR9374"/>
      <c r="AS9374"/>
      <c r="AT9374"/>
      <c r="AU9374"/>
      <c r="AV9374"/>
      <c r="AW9374"/>
      <c r="AX9374"/>
      <c r="AY9374"/>
      <c r="AZ9374"/>
      <c r="BA9374"/>
      <c r="BB9374"/>
      <c r="BC9374"/>
      <c r="BD9374"/>
      <c r="BE9374"/>
      <c r="BF9374"/>
    </row>
    <row r="9375" spans="13:58" ht="12" hidden="1" customHeight="1">
      <c r="M9375" s="820"/>
      <c r="N9375" s="239"/>
      <c r="O9375" s="225"/>
      <c r="P9375" s="260"/>
      <c r="Q9375" s="258"/>
      <c r="R9375" s="260"/>
      <c r="S9375" s="260"/>
      <c r="T9375" s="260"/>
      <c r="U9375" s="260"/>
      <c r="V9375" s="260"/>
      <c r="W9375" s="260"/>
      <c r="X9375" s="260"/>
      <c r="Y9375" s="260"/>
      <c r="Z9375" s="260"/>
      <c r="AA9375" s="260"/>
      <c r="AB9375" s="260"/>
      <c r="AC9375" s="260"/>
      <c r="AD9375" s="260"/>
      <c r="AE9375" s="260"/>
      <c r="AF9375" s="260"/>
      <c r="AG9375" s="258"/>
      <c r="AO9375"/>
      <c r="AP9375"/>
      <c r="AQ9375"/>
      <c r="AR9375"/>
      <c r="AS9375"/>
      <c r="AT9375"/>
      <c r="AU9375"/>
      <c r="AV9375"/>
      <c r="AW9375"/>
      <c r="AX9375"/>
      <c r="AY9375"/>
      <c r="AZ9375"/>
      <c r="BA9375"/>
      <c r="BB9375"/>
      <c r="BC9375"/>
      <c r="BD9375"/>
      <c r="BE9375"/>
      <c r="BF9375"/>
    </row>
    <row r="9376" spans="13:58" ht="12" hidden="1" customHeight="1">
      <c r="M9376" s="820"/>
      <c r="N9376" s="239"/>
      <c r="O9376" s="225"/>
      <c r="P9376" s="260"/>
      <c r="Q9376" s="258"/>
      <c r="R9376" s="260"/>
      <c r="S9376" s="260"/>
      <c r="T9376" s="260"/>
      <c r="U9376" s="260"/>
      <c r="V9376" s="260"/>
      <c r="W9376" s="260"/>
      <c r="X9376" s="260"/>
      <c r="Y9376" s="260"/>
      <c r="Z9376" s="260"/>
      <c r="AA9376" s="260"/>
      <c r="AB9376" s="260"/>
      <c r="AC9376" s="260"/>
      <c r="AD9376" s="260"/>
      <c r="AE9376" s="260"/>
      <c r="AF9376" s="260"/>
      <c r="AG9376" s="258"/>
      <c r="AO9376"/>
      <c r="AP9376"/>
      <c r="AQ9376"/>
      <c r="AR9376"/>
      <c r="AS9376"/>
      <c r="AT9376"/>
      <c r="AU9376"/>
      <c r="AV9376"/>
      <c r="AW9376"/>
      <c r="AX9376"/>
      <c r="AY9376"/>
      <c r="AZ9376"/>
      <c r="BA9376"/>
      <c r="BB9376"/>
      <c r="BC9376"/>
      <c r="BD9376"/>
      <c r="BE9376"/>
      <c r="BF9376"/>
    </row>
    <row r="9377" spans="13:58" ht="12" hidden="1" customHeight="1">
      <c r="M9377" s="820"/>
      <c r="N9377" s="239"/>
      <c r="O9377" s="225"/>
      <c r="P9377" s="260"/>
      <c r="Q9377" s="258"/>
      <c r="R9377" s="260"/>
      <c r="S9377" s="260"/>
      <c r="T9377" s="260"/>
      <c r="U9377" s="260"/>
      <c r="V9377" s="260"/>
      <c r="W9377" s="260"/>
      <c r="X9377" s="260"/>
      <c r="Y9377" s="260"/>
      <c r="Z9377" s="260"/>
      <c r="AA9377" s="260"/>
      <c r="AB9377" s="260"/>
      <c r="AC9377" s="260"/>
      <c r="AD9377" s="260"/>
      <c r="AE9377" s="260"/>
      <c r="AF9377" s="260"/>
      <c r="AG9377" s="258"/>
      <c r="AO9377"/>
      <c r="AP9377"/>
      <c r="AQ9377"/>
      <c r="AR9377"/>
      <c r="AS9377"/>
      <c r="AT9377"/>
      <c r="AU9377"/>
      <c r="AV9377"/>
      <c r="AW9377"/>
      <c r="AX9377"/>
      <c r="AY9377"/>
      <c r="AZ9377"/>
      <c r="BA9377"/>
      <c r="BB9377"/>
      <c r="BC9377"/>
      <c r="BD9377"/>
      <c r="BE9377"/>
      <c r="BF9377"/>
    </row>
    <row r="9378" spans="13:58" ht="12" hidden="1" customHeight="1">
      <c r="M9378" s="820"/>
      <c r="N9378" s="239"/>
      <c r="O9378" s="225"/>
      <c r="P9378" s="260"/>
      <c r="Q9378" s="258"/>
      <c r="R9378" s="260"/>
      <c r="S9378" s="260"/>
      <c r="T9378" s="260"/>
      <c r="U9378" s="260"/>
      <c r="V9378" s="260"/>
      <c r="W9378" s="260"/>
      <c r="X9378" s="260"/>
      <c r="Y9378" s="260"/>
      <c r="Z9378" s="260"/>
      <c r="AA9378" s="260"/>
      <c r="AB9378" s="260"/>
      <c r="AC9378" s="260"/>
      <c r="AD9378" s="260"/>
      <c r="AE9378" s="260"/>
      <c r="AF9378" s="260"/>
      <c r="AG9378" s="258"/>
      <c r="AO9378"/>
      <c r="AP9378"/>
      <c r="AQ9378"/>
      <c r="AR9378"/>
      <c r="AS9378"/>
      <c r="AT9378"/>
      <c r="AU9378"/>
      <c r="AV9378"/>
      <c r="AW9378"/>
      <c r="AX9378"/>
      <c r="AY9378"/>
      <c r="AZ9378"/>
      <c r="BA9378"/>
      <c r="BB9378"/>
      <c r="BC9378"/>
      <c r="BD9378"/>
      <c r="BE9378"/>
      <c r="BF9378"/>
    </row>
    <row r="9379" spans="13:58" ht="12" hidden="1" customHeight="1">
      <c r="M9379" s="820"/>
      <c r="N9379" s="239"/>
      <c r="O9379" s="225"/>
      <c r="P9379" s="260"/>
      <c r="Q9379" s="258"/>
      <c r="R9379" s="260"/>
      <c r="S9379" s="260"/>
      <c r="T9379" s="260"/>
      <c r="U9379" s="260"/>
      <c r="V9379" s="260"/>
      <c r="W9379" s="260"/>
      <c r="X9379" s="260"/>
      <c r="Y9379" s="260"/>
      <c r="Z9379" s="260"/>
      <c r="AA9379" s="260"/>
      <c r="AB9379" s="260"/>
      <c r="AC9379" s="260"/>
      <c r="AD9379" s="260"/>
      <c r="AE9379" s="260"/>
      <c r="AF9379" s="260"/>
      <c r="AG9379" s="258"/>
      <c r="AO9379"/>
      <c r="AP9379"/>
      <c r="AQ9379"/>
      <c r="AR9379"/>
      <c r="AS9379"/>
      <c r="AT9379"/>
      <c r="AU9379"/>
      <c r="AV9379"/>
      <c r="AW9379"/>
      <c r="AX9379"/>
      <c r="AY9379"/>
      <c r="AZ9379"/>
      <c r="BA9379"/>
      <c r="BB9379"/>
      <c r="BC9379"/>
      <c r="BD9379"/>
      <c r="BE9379"/>
      <c r="BF9379"/>
    </row>
    <row r="9380" spans="13:58" ht="12" hidden="1" customHeight="1">
      <c r="M9380" s="820"/>
      <c r="N9380" s="239"/>
      <c r="O9380" s="225"/>
      <c r="P9380" s="260"/>
      <c r="Q9380" s="258"/>
      <c r="R9380" s="260"/>
      <c r="S9380" s="260"/>
      <c r="T9380" s="260"/>
      <c r="U9380" s="260"/>
      <c r="V9380" s="260"/>
      <c r="W9380" s="260"/>
      <c r="X9380" s="260"/>
      <c r="Y9380" s="260"/>
      <c r="Z9380" s="260"/>
      <c r="AA9380" s="260"/>
      <c r="AB9380" s="260"/>
      <c r="AC9380" s="260"/>
      <c r="AD9380" s="260"/>
      <c r="AE9380" s="260"/>
      <c r="AF9380" s="260"/>
      <c r="AG9380" s="258"/>
      <c r="AO9380"/>
      <c r="AP9380"/>
      <c r="AQ9380"/>
      <c r="AR9380"/>
      <c r="AS9380"/>
      <c r="AT9380"/>
      <c r="AU9380"/>
      <c r="AV9380"/>
      <c r="AW9380"/>
      <c r="AX9380"/>
      <c r="AY9380"/>
      <c r="AZ9380"/>
      <c r="BA9380"/>
      <c r="BB9380"/>
      <c r="BC9380"/>
      <c r="BD9380"/>
      <c r="BE9380"/>
      <c r="BF9380"/>
    </row>
    <row r="9381" spans="13:58" ht="12" hidden="1" customHeight="1">
      <c r="M9381" s="820"/>
      <c r="N9381" s="239"/>
      <c r="O9381" s="225"/>
      <c r="P9381" s="260"/>
      <c r="Q9381" s="258"/>
      <c r="R9381" s="260"/>
      <c r="S9381" s="260"/>
      <c r="T9381" s="260"/>
      <c r="U9381" s="260"/>
      <c r="V9381" s="260"/>
      <c r="W9381" s="260"/>
      <c r="X9381" s="260"/>
      <c r="Y9381" s="260"/>
      <c r="Z9381" s="260"/>
      <c r="AA9381" s="260"/>
      <c r="AB9381" s="260"/>
      <c r="AC9381" s="260"/>
      <c r="AD9381" s="260"/>
      <c r="AE9381" s="260"/>
      <c r="AF9381" s="260"/>
      <c r="AG9381" s="258"/>
      <c r="AO9381"/>
      <c r="AP9381"/>
      <c r="AQ9381"/>
      <c r="AR9381"/>
      <c r="AS9381"/>
      <c r="AT9381"/>
      <c r="AU9381"/>
      <c r="AV9381"/>
      <c r="AW9381"/>
      <c r="AX9381"/>
      <c r="AY9381"/>
      <c r="AZ9381"/>
      <c r="BA9381"/>
      <c r="BB9381"/>
      <c r="BC9381"/>
      <c r="BD9381"/>
      <c r="BE9381"/>
      <c r="BF9381"/>
    </row>
    <row r="9382" spans="13:58" ht="12" hidden="1" customHeight="1">
      <c r="M9382" s="820"/>
      <c r="N9382" s="239"/>
      <c r="O9382" s="225"/>
      <c r="P9382" s="260"/>
      <c r="Q9382" s="258"/>
      <c r="R9382" s="260"/>
      <c r="S9382" s="260"/>
      <c r="T9382" s="260"/>
      <c r="U9382" s="260"/>
      <c r="V9382" s="260"/>
      <c r="W9382" s="260"/>
      <c r="X9382" s="260"/>
      <c r="Y9382" s="260"/>
      <c r="Z9382" s="260"/>
      <c r="AA9382" s="260"/>
      <c r="AB9382" s="260"/>
      <c r="AC9382" s="260"/>
      <c r="AD9382" s="260"/>
      <c r="AE9382" s="260"/>
      <c r="AF9382" s="260"/>
      <c r="AG9382" s="258"/>
      <c r="AO9382"/>
      <c r="AP9382"/>
      <c r="AQ9382"/>
      <c r="AR9382"/>
      <c r="AS9382"/>
      <c r="AT9382"/>
      <c r="AU9382"/>
      <c r="AV9382"/>
      <c r="AW9382"/>
      <c r="AX9382"/>
      <c r="AY9382"/>
      <c r="AZ9382"/>
      <c r="BA9382"/>
      <c r="BB9382"/>
      <c r="BC9382"/>
      <c r="BD9382"/>
      <c r="BE9382"/>
      <c r="BF9382"/>
    </row>
    <row r="9383" spans="13:58" ht="12" hidden="1" customHeight="1">
      <c r="M9383" s="820"/>
      <c r="N9383" s="239"/>
      <c r="O9383" s="225"/>
      <c r="P9383" s="260"/>
      <c r="Q9383" s="258"/>
      <c r="R9383" s="260"/>
      <c r="S9383" s="260"/>
      <c r="T9383" s="260"/>
      <c r="U9383" s="260"/>
      <c r="V9383" s="260"/>
      <c r="W9383" s="260"/>
      <c r="X9383" s="260"/>
      <c r="Y9383" s="260"/>
      <c r="Z9383" s="260"/>
      <c r="AA9383" s="260"/>
      <c r="AB9383" s="260"/>
      <c r="AC9383" s="260"/>
      <c r="AD9383" s="260"/>
      <c r="AE9383" s="260"/>
      <c r="AF9383" s="260"/>
      <c r="AG9383" s="258"/>
      <c r="AO9383"/>
      <c r="AP9383"/>
      <c r="AQ9383"/>
      <c r="AR9383"/>
      <c r="AS9383"/>
      <c r="AT9383"/>
      <c r="AU9383"/>
      <c r="AV9383"/>
      <c r="AW9383"/>
      <c r="AX9383"/>
      <c r="AY9383"/>
      <c r="AZ9383"/>
      <c r="BA9383"/>
      <c r="BB9383"/>
      <c r="BC9383"/>
      <c r="BD9383"/>
      <c r="BE9383"/>
      <c r="BF9383"/>
    </row>
    <row r="9384" spans="13:58" ht="12" hidden="1" customHeight="1">
      <c r="M9384" s="820"/>
      <c r="N9384" s="239"/>
      <c r="O9384" s="225"/>
      <c r="P9384" s="260"/>
      <c r="Q9384" s="258"/>
      <c r="R9384" s="260"/>
      <c r="S9384" s="260"/>
      <c r="T9384" s="260"/>
      <c r="U9384" s="260"/>
      <c r="V9384" s="260"/>
      <c r="W9384" s="260"/>
      <c r="X9384" s="260"/>
      <c r="Y9384" s="260"/>
      <c r="Z9384" s="260"/>
      <c r="AA9384" s="260"/>
      <c r="AB9384" s="260"/>
      <c r="AC9384" s="260"/>
      <c r="AD9384" s="260"/>
      <c r="AE9384" s="260"/>
      <c r="AF9384" s="260"/>
      <c r="AG9384" s="258"/>
      <c r="AO9384"/>
      <c r="AP9384"/>
      <c r="AQ9384"/>
      <c r="AR9384"/>
      <c r="AS9384"/>
      <c r="AT9384"/>
      <c r="AU9384"/>
      <c r="AV9384"/>
      <c r="AW9384"/>
      <c r="AX9384"/>
      <c r="AY9384"/>
      <c r="AZ9384"/>
      <c r="BA9384"/>
      <c r="BB9384"/>
      <c r="BC9384"/>
      <c r="BD9384"/>
      <c r="BE9384"/>
      <c r="BF9384"/>
    </row>
    <row r="9385" spans="13:58" ht="12" hidden="1" customHeight="1">
      <c r="M9385" s="820"/>
      <c r="N9385" s="239"/>
      <c r="O9385" s="225"/>
      <c r="P9385" s="260"/>
      <c r="Q9385" s="258"/>
      <c r="R9385" s="260"/>
      <c r="S9385" s="260"/>
      <c r="T9385" s="260"/>
      <c r="U9385" s="260"/>
      <c r="V9385" s="260"/>
      <c r="W9385" s="260"/>
      <c r="X9385" s="260"/>
      <c r="Y9385" s="260"/>
      <c r="Z9385" s="260"/>
      <c r="AA9385" s="260"/>
      <c r="AB9385" s="260"/>
      <c r="AC9385" s="260"/>
      <c r="AD9385" s="260"/>
      <c r="AE9385" s="260"/>
      <c r="AF9385" s="260"/>
      <c r="AG9385" s="258"/>
      <c r="AO9385"/>
      <c r="AP9385"/>
      <c r="AQ9385"/>
      <c r="AR9385"/>
      <c r="AS9385"/>
      <c r="AT9385"/>
      <c r="AU9385"/>
      <c r="AV9385"/>
      <c r="AW9385"/>
      <c r="AX9385"/>
      <c r="AY9385"/>
      <c r="AZ9385"/>
      <c r="BA9385"/>
      <c r="BB9385"/>
      <c r="BC9385"/>
      <c r="BD9385"/>
      <c r="BE9385"/>
      <c r="BF9385"/>
    </row>
    <row r="9386" spans="13:58" ht="12" hidden="1" customHeight="1">
      <c r="M9386" s="820"/>
      <c r="N9386" s="239"/>
      <c r="O9386" s="225"/>
      <c r="P9386" s="260"/>
      <c r="Q9386" s="258"/>
      <c r="R9386" s="260"/>
      <c r="S9386" s="260"/>
      <c r="T9386" s="260"/>
      <c r="U9386" s="260"/>
      <c r="V9386" s="260"/>
      <c r="W9386" s="260"/>
      <c r="X9386" s="260"/>
      <c r="Y9386" s="260"/>
      <c r="Z9386" s="260"/>
      <c r="AA9386" s="260"/>
      <c r="AB9386" s="260"/>
      <c r="AC9386" s="260"/>
      <c r="AD9386" s="260"/>
      <c r="AE9386" s="260"/>
      <c r="AF9386" s="260"/>
      <c r="AG9386" s="258"/>
      <c r="AO9386"/>
      <c r="AP9386"/>
      <c r="AQ9386"/>
      <c r="AR9386"/>
      <c r="AS9386"/>
      <c r="AT9386"/>
      <c r="AU9386"/>
      <c r="AV9386"/>
      <c r="AW9386"/>
      <c r="AX9386"/>
      <c r="AY9386"/>
      <c r="AZ9386"/>
      <c r="BA9386"/>
      <c r="BB9386"/>
      <c r="BC9386"/>
      <c r="BD9386"/>
      <c r="BE9386"/>
      <c r="BF9386"/>
    </row>
    <row r="9387" spans="13:58" ht="12" hidden="1" customHeight="1">
      <c r="M9387" s="820"/>
      <c r="N9387" s="239"/>
      <c r="O9387" s="225"/>
      <c r="P9387" s="260"/>
      <c r="Q9387" s="258"/>
      <c r="R9387" s="260"/>
      <c r="S9387" s="260"/>
      <c r="T9387" s="260"/>
      <c r="U9387" s="260"/>
      <c r="V9387" s="260"/>
      <c r="W9387" s="260"/>
      <c r="X9387" s="260"/>
      <c r="Y9387" s="260"/>
      <c r="Z9387" s="260"/>
      <c r="AA9387" s="260"/>
      <c r="AB9387" s="260"/>
      <c r="AC9387" s="260"/>
      <c r="AD9387" s="260"/>
      <c r="AE9387" s="260"/>
      <c r="AF9387" s="260"/>
      <c r="AG9387" s="258"/>
      <c r="AO9387"/>
      <c r="AP9387"/>
      <c r="AQ9387"/>
      <c r="AR9387"/>
      <c r="AS9387"/>
      <c r="AT9387"/>
      <c r="AU9387"/>
      <c r="AV9387"/>
      <c r="AW9387"/>
      <c r="AX9387"/>
      <c r="AY9387"/>
      <c r="AZ9387"/>
      <c r="BA9387"/>
      <c r="BB9387"/>
      <c r="BC9387"/>
      <c r="BD9387"/>
      <c r="BE9387"/>
      <c r="BF9387"/>
    </row>
    <row r="9388" spans="13:58" ht="12" hidden="1" customHeight="1">
      <c r="M9388" s="820"/>
      <c r="N9388" s="239"/>
      <c r="O9388" s="225"/>
      <c r="P9388" s="260"/>
      <c r="Q9388" s="258"/>
      <c r="R9388" s="260"/>
      <c r="S9388" s="260"/>
      <c r="T9388" s="260"/>
      <c r="U9388" s="260"/>
      <c r="V9388" s="260"/>
      <c r="W9388" s="260"/>
      <c r="X9388" s="260"/>
      <c r="Y9388" s="260"/>
      <c r="Z9388" s="260"/>
      <c r="AA9388" s="260"/>
      <c r="AB9388" s="260"/>
      <c r="AC9388" s="260"/>
      <c r="AD9388" s="260"/>
      <c r="AE9388" s="260"/>
      <c r="AF9388" s="260"/>
      <c r="AG9388" s="258"/>
      <c r="AO9388"/>
      <c r="AP9388"/>
      <c r="AQ9388"/>
      <c r="AR9388"/>
      <c r="AS9388"/>
      <c r="AT9388"/>
      <c r="AU9388"/>
      <c r="AV9388"/>
      <c r="AW9388"/>
      <c r="AX9388"/>
      <c r="AY9388"/>
      <c r="AZ9388"/>
      <c r="BA9388"/>
      <c r="BB9388"/>
      <c r="BC9388"/>
      <c r="BD9388"/>
      <c r="BE9388"/>
      <c r="BF9388"/>
    </row>
    <row r="9389" spans="13:58" ht="12" hidden="1" customHeight="1">
      <c r="M9389" s="820"/>
      <c r="N9389" s="239"/>
      <c r="O9389" s="225"/>
      <c r="P9389" s="260"/>
      <c r="Q9389" s="258"/>
      <c r="R9389" s="260"/>
      <c r="S9389" s="260"/>
      <c r="T9389" s="260"/>
      <c r="U9389" s="260"/>
      <c r="V9389" s="260"/>
      <c r="W9389" s="260"/>
      <c r="X9389" s="260"/>
      <c r="Y9389" s="260"/>
      <c r="Z9389" s="260"/>
      <c r="AA9389" s="260"/>
      <c r="AB9389" s="260"/>
      <c r="AC9389" s="260"/>
      <c r="AD9389" s="260"/>
      <c r="AE9389" s="260"/>
      <c r="AF9389" s="260"/>
      <c r="AG9389" s="258"/>
      <c r="AO9389"/>
      <c r="AP9389"/>
      <c r="AQ9389"/>
      <c r="AR9389"/>
      <c r="AS9389"/>
      <c r="AT9389"/>
      <c r="AU9389"/>
      <c r="AV9389"/>
      <c r="AW9389"/>
      <c r="AX9389"/>
      <c r="AY9389"/>
      <c r="AZ9389"/>
      <c r="BA9389"/>
      <c r="BB9389"/>
      <c r="BC9389"/>
      <c r="BD9389"/>
      <c r="BE9389"/>
      <c r="BF9389"/>
    </row>
    <row r="9390" spans="13:58" ht="12" customHeight="1">
      <c r="M9390" s="820"/>
      <c r="N9390" s="236" t="s">
        <v>2985</v>
      </c>
      <c r="O9390" s="225" t="s">
        <v>2986</v>
      </c>
      <c r="P9390" s="260"/>
      <c r="Q9390" s="258"/>
      <c r="R9390" s="260"/>
      <c r="S9390" s="260"/>
      <c r="T9390" s="260"/>
      <c r="U9390" s="260"/>
      <c r="V9390" s="260"/>
      <c r="W9390" s="260"/>
      <c r="X9390" s="260"/>
      <c r="Y9390" s="260"/>
      <c r="Z9390" s="726">
        <f>IF($AP$8="I",'ТС.РО 01.01 - 30.06'!Z9390,IF($AP$8="II",'ТС.РО 01.07 - 31.08'!Z9390,IF($AP$8="III",'ТС.РО 01.09 - 31.12'!Z9390,0)))*Z9564</f>
        <v>0</v>
      </c>
      <c r="AA9390" s="260"/>
      <c r="AB9390" s="260"/>
      <c r="AC9390" s="260"/>
      <c r="AD9390" s="260"/>
      <c r="AE9390" s="260"/>
      <c r="AF9390" s="726">
        <f>IF($AP$8="I",'ТС.РО 01.01 - 30.06'!AF9390,IF($AP$8="II",'ТС.РО 01.07 - 31.08'!AF9390,IF($AP$8="III",'ТС.РО 01.09 - 31.12'!AF9390,0)))*AF9564</f>
        <v>0</v>
      </c>
      <c r="AG9390" s="258"/>
      <c r="AO9390"/>
      <c r="AP9390"/>
      <c r="AQ9390"/>
      <c r="AR9390"/>
      <c r="AS9390"/>
      <c r="AT9390"/>
      <c r="AU9390"/>
      <c r="AV9390"/>
      <c r="AW9390"/>
      <c r="AX9390"/>
      <c r="AY9390"/>
      <c r="AZ9390"/>
      <c r="BA9390"/>
      <c r="BB9390"/>
      <c r="BC9390"/>
      <c r="BD9390"/>
      <c r="BE9390"/>
      <c r="BF9390"/>
    </row>
    <row r="9391" spans="13:58" ht="12" customHeight="1">
      <c r="M9391" s="820"/>
      <c r="N9391" s="236" t="s">
        <v>2987</v>
      </c>
      <c r="O9391" s="225" t="s">
        <v>2988</v>
      </c>
      <c r="P9391" s="260"/>
      <c r="Q9391" s="258"/>
      <c r="R9391" s="260"/>
      <c r="S9391" s="260"/>
      <c r="T9391" s="260"/>
      <c r="U9391" s="260"/>
      <c r="V9391" s="260"/>
      <c r="W9391" s="260"/>
      <c r="X9391" s="260"/>
      <c r="Y9391" s="260"/>
      <c r="Z9391" s="726">
        <f>IF($AP$8="I",'ТС.РО 01.01 - 30.06'!Z9391,IF($AP$8="II",'ТС.РО 01.07 - 31.08'!Z9391,IF($AP$8="III",'ТС.РО 01.09 - 31.12'!Z9391,0)))*Z9564</f>
        <v>0</v>
      </c>
      <c r="AA9391" s="260"/>
      <c r="AB9391" s="260"/>
      <c r="AC9391" s="260"/>
      <c r="AD9391" s="260"/>
      <c r="AE9391" s="260"/>
      <c r="AF9391" s="726">
        <f>IF($AP$8="I",'ТС.РО 01.01 - 30.06'!AF9391,IF($AP$8="II",'ТС.РО 01.07 - 31.08'!AF9391,IF($AP$8="III",'ТС.РО 01.09 - 31.12'!AF9391,0)))*AF9564</f>
        <v>0</v>
      </c>
      <c r="AG9391" s="258"/>
      <c r="AO9391"/>
      <c r="AP9391"/>
      <c r="AQ9391"/>
      <c r="AR9391"/>
      <c r="AS9391"/>
      <c r="AT9391"/>
      <c r="AU9391"/>
      <c r="AV9391"/>
      <c r="AW9391"/>
      <c r="AX9391"/>
      <c r="AY9391"/>
      <c r="AZ9391"/>
      <c r="BA9391"/>
      <c r="BB9391"/>
      <c r="BC9391"/>
      <c r="BD9391"/>
      <c r="BE9391"/>
      <c r="BF9391"/>
    </row>
    <row r="9392" spans="13:58" ht="12" hidden="1" customHeight="1">
      <c r="M9392" s="820"/>
      <c r="N9392" s="239"/>
      <c r="O9392" s="226"/>
      <c r="P9392" s="260"/>
      <c r="Q9392" s="258"/>
      <c r="R9392" s="260"/>
      <c r="S9392" s="260"/>
      <c r="T9392" s="260"/>
      <c r="U9392" s="260"/>
      <c r="V9392" s="260"/>
      <c r="W9392" s="260"/>
      <c r="X9392" s="260"/>
      <c r="Y9392" s="260"/>
      <c r="Z9392" s="260"/>
      <c r="AA9392" s="260"/>
      <c r="AB9392" s="260"/>
      <c r="AC9392" s="260"/>
      <c r="AD9392" s="260"/>
      <c r="AE9392" s="260"/>
      <c r="AF9392" s="260"/>
      <c r="AG9392" s="258"/>
      <c r="AO9392"/>
      <c r="AP9392"/>
      <c r="AQ9392"/>
      <c r="AR9392"/>
      <c r="AS9392"/>
      <c r="AT9392"/>
      <c r="AU9392"/>
      <c r="AV9392"/>
      <c r="AW9392"/>
      <c r="AX9392"/>
      <c r="AY9392"/>
      <c r="AZ9392"/>
      <c r="BA9392"/>
      <c r="BB9392"/>
      <c r="BC9392"/>
      <c r="BD9392"/>
      <c r="BE9392"/>
      <c r="BF9392"/>
    </row>
    <row r="9393" spans="13:58" ht="12" hidden="1" customHeight="1">
      <c r="M9393" s="820"/>
      <c r="N9393" s="239"/>
      <c r="O9393" s="227"/>
      <c r="P9393" s="260"/>
      <c r="Q9393" s="258"/>
      <c r="R9393" s="260"/>
      <c r="S9393" s="260"/>
      <c r="T9393" s="260"/>
      <c r="U9393" s="260"/>
      <c r="V9393" s="260"/>
      <c r="W9393" s="260"/>
      <c r="X9393" s="260"/>
      <c r="Y9393" s="260"/>
      <c r="Z9393" s="260"/>
      <c r="AA9393" s="260"/>
      <c r="AB9393" s="260"/>
      <c r="AC9393" s="260"/>
      <c r="AD9393" s="260"/>
      <c r="AE9393" s="260"/>
      <c r="AF9393" s="260"/>
      <c r="AG9393" s="258"/>
      <c r="AO9393"/>
      <c r="AP9393"/>
      <c r="AQ9393"/>
      <c r="AR9393"/>
      <c r="AS9393"/>
      <c r="AT9393"/>
      <c r="AU9393"/>
      <c r="AV9393"/>
      <c r="AW9393"/>
      <c r="AX9393"/>
      <c r="AY9393"/>
      <c r="AZ9393"/>
      <c r="BA9393"/>
      <c r="BB9393"/>
      <c r="BC9393"/>
      <c r="BD9393"/>
      <c r="BE9393"/>
      <c r="BF9393"/>
    </row>
    <row r="9394" spans="13:58" ht="12" hidden="1" customHeight="1">
      <c r="M9394" s="820"/>
      <c r="N9394" s="239"/>
      <c r="O9394" s="227"/>
      <c r="P9394" s="260"/>
      <c r="Q9394" s="258"/>
      <c r="R9394" s="260"/>
      <c r="S9394" s="260"/>
      <c r="T9394" s="260"/>
      <c r="U9394" s="260"/>
      <c r="V9394" s="260"/>
      <c r="W9394" s="260"/>
      <c r="X9394" s="260"/>
      <c r="Y9394" s="260"/>
      <c r="Z9394" s="260"/>
      <c r="AA9394" s="260"/>
      <c r="AB9394" s="260"/>
      <c r="AC9394" s="260"/>
      <c r="AD9394" s="260"/>
      <c r="AE9394" s="260"/>
      <c r="AF9394" s="260"/>
      <c r="AG9394" s="258"/>
      <c r="AO9394"/>
      <c r="AP9394"/>
      <c r="AQ9394"/>
      <c r="AR9394"/>
      <c r="AS9394"/>
      <c r="AT9394"/>
      <c r="AU9394"/>
      <c r="AV9394"/>
      <c r="AW9394"/>
      <c r="AX9394"/>
      <c r="AY9394"/>
      <c r="AZ9394"/>
      <c r="BA9394"/>
      <c r="BB9394"/>
      <c r="BC9394"/>
      <c r="BD9394"/>
      <c r="BE9394"/>
      <c r="BF9394"/>
    </row>
    <row r="9395" spans="13:58" ht="12" hidden="1" customHeight="1">
      <c r="M9395" s="820"/>
      <c r="N9395" s="239"/>
      <c r="O9395" s="226"/>
      <c r="P9395" s="260"/>
      <c r="Q9395" s="258"/>
      <c r="R9395" s="260"/>
      <c r="S9395" s="260"/>
      <c r="T9395" s="260"/>
      <c r="U9395" s="260"/>
      <c r="V9395" s="260"/>
      <c r="W9395" s="260"/>
      <c r="X9395" s="260"/>
      <c r="Y9395" s="260"/>
      <c r="Z9395" s="260"/>
      <c r="AA9395" s="260"/>
      <c r="AB9395" s="260"/>
      <c r="AC9395" s="260"/>
      <c r="AD9395" s="260"/>
      <c r="AE9395" s="260"/>
      <c r="AF9395" s="260"/>
      <c r="AG9395" s="258"/>
      <c r="AO9395"/>
      <c r="AP9395"/>
      <c r="AQ9395"/>
      <c r="AR9395"/>
      <c r="AS9395"/>
      <c r="AT9395"/>
      <c r="AU9395"/>
      <c r="AV9395"/>
      <c r="AW9395"/>
      <c r="AX9395"/>
      <c r="AY9395"/>
      <c r="AZ9395"/>
      <c r="BA9395"/>
      <c r="BB9395"/>
      <c r="BC9395"/>
      <c r="BD9395"/>
      <c r="BE9395"/>
      <c r="BF9395"/>
    </row>
    <row r="9396" spans="13:58" ht="12" hidden="1" customHeight="1">
      <c r="M9396" s="820"/>
      <c r="N9396" s="239"/>
      <c r="O9396" s="227"/>
      <c r="P9396" s="260"/>
      <c r="Q9396" s="258"/>
      <c r="R9396" s="260"/>
      <c r="S9396" s="260"/>
      <c r="T9396" s="260"/>
      <c r="U9396" s="260"/>
      <c r="V9396" s="260"/>
      <c r="W9396" s="260"/>
      <c r="X9396" s="260"/>
      <c r="Y9396" s="260"/>
      <c r="Z9396" s="260"/>
      <c r="AA9396" s="260"/>
      <c r="AB9396" s="260"/>
      <c r="AC9396" s="260"/>
      <c r="AD9396" s="260"/>
      <c r="AE9396" s="260"/>
      <c r="AF9396" s="260"/>
      <c r="AG9396" s="258"/>
      <c r="AO9396"/>
      <c r="AP9396"/>
      <c r="AQ9396"/>
      <c r="AR9396"/>
      <c r="AS9396"/>
      <c r="AT9396"/>
      <c r="AU9396"/>
      <c r="AV9396"/>
      <c r="AW9396"/>
      <c r="AX9396"/>
      <c r="AY9396"/>
      <c r="AZ9396"/>
      <c r="BA9396"/>
      <c r="BB9396"/>
      <c r="BC9396"/>
      <c r="BD9396"/>
      <c r="BE9396"/>
      <c r="BF9396"/>
    </row>
    <row r="9397" spans="13:58" ht="12" hidden="1" customHeight="1">
      <c r="M9397" s="820"/>
      <c r="N9397" s="239"/>
      <c r="O9397" s="227"/>
      <c r="P9397" s="260"/>
      <c r="Q9397" s="258"/>
      <c r="R9397" s="260"/>
      <c r="S9397" s="260"/>
      <c r="T9397" s="260"/>
      <c r="U9397" s="260"/>
      <c r="V9397" s="260"/>
      <c r="W9397" s="260"/>
      <c r="X9397" s="260"/>
      <c r="Y9397" s="260"/>
      <c r="Z9397" s="260"/>
      <c r="AA9397" s="260"/>
      <c r="AB9397" s="260"/>
      <c r="AC9397" s="260"/>
      <c r="AD9397" s="260"/>
      <c r="AE9397" s="260"/>
      <c r="AF9397" s="260"/>
      <c r="AG9397" s="258"/>
      <c r="AO9397"/>
      <c r="AP9397"/>
      <c r="AQ9397"/>
      <c r="AR9397"/>
      <c r="AS9397"/>
      <c r="AT9397"/>
      <c r="AU9397"/>
      <c r="AV9397"/>
      <c r="AW9397"/>
      <c r="AX9397"/>
      <c r="AY9397"/>
      <c r="AZ9397"/>
      <c r="BA9397"/>
      <c r="BB9397"/>
      <c r="BC9397"/>
      <c r="BD9397"/>
      <c r="BE9397"/>
      <c r="BF9397"/>
    </row>
    <row r="9398" spans="13:58" ht="12" hidden="1" customHeight="1">
      <c r="M9398" s="820"/>
      <c r="N9398" s="239"/>
      <c r="O9398" s="226"/>
      <c r="P9398" s="260"/>
      <c r="Q9398" s="258"/>
      <c r="R9398" s="260"/>
      <c r="S9398" s="260"/>
      <c r="T9398" s="260"/>
      <c r="U9398" s="260"/>
      <c r="V9398" s="260"/>
      <c r="W9398" s="260"/>
      <c r="X9398" s="260"/>
      <c r="Y9398" s="260"/>
      <c r="Z9398" s="260"/>
      <c r="AA9398" s="260"/>
      <c r="AB9398" s="260"/>
      <c r="AC9398" s="260"/>
      <c r="AD9398" s="260"/>
      <c r="AE9398" s="260"/>
      <c r="AF9398" s="260"/>
      <c r="AG9398" s="258"/>
      <c r="AO9398"/>
      <c r="AP9398"/>
      <c r="AQ9398"/>
      <c r="AR9398"/>
      <c r="AS9398"/>
      <c r="AT9398"/>
      <c r="AU9398"/>
      <c r="AV9398"/>
      <c r="AW9398"/>
      <c r="AX9398"/>
      <c r="AY9398"/>
      <c r="AZ9398"/>
      <c r="BA9398"/>
      <c r="BB9398"/>
      <c r="BC9398"/>
      <c r="BD9398"/>
      <c r="BE9398"/>
      <c r="BF9398"/>
    </row>
    <row r="9399" spans="13:58" ht="12" hidden="1" customHeight="1">
      <c r="M9399" s="820"/>
      <c r="N9399" s="239"/>
      <c r="O9399" s="225"/>
      <c r="P9399" s="260"/>
      <c r="Q9399" s="258"/>
      <c r="R9399" s="260"/>
      <c r="S9399" s="260"/>
      <c r="T9399" s="260"/>
      <c r="U9399" s="260"/>
      <c r="V9399" s="260"/>
      <c r="W9399" s="260"/>
      <c r="X9399" s="260"/>
      <c r="Y9399" s="260"/>
      <c r="Z9399" s="260"/>
      <c r="AA9399" s="260"/>
      <c r="AB9399" s="260"/>
      <c r="AC9399" s="260"/>
      <c r="AD9399" s="260"/>
      <c r="AE9399" s="260"/>
      <c r="AF9399" s="260"/>
      <c r="AG9399" s="258"/>
      <c r="AO9399"/>
      <c r="AP9399"/>
      <c r="AQ9399"/>
      <c r="AR9399"/>
      <c r="AS9399"/>
      <c r="AT9399"/>
      <c r="AU9399"/>
      <c r="AV9399"/>
      <c r="AW9399"/>
      <c r="AX9399"/>
      <c r="AY9399"/>
      <c r="AZ9399"/>
      <c r="BA9399"/>
      <c r="BB9399"/>
      <c r="BC9399"/>
      <c r="BD9399"/>
      <c r="BE9399"/>
      <c r="BF9399"/>
    </row>
    <row r="9400" spans="13:58" ht="12" hidden="1" customHeight="1">
      <c r="M9400" s="820"/>
      <c r="N9400" s="239"/>
      <c r="O9400" s="225"/>
      <c r="P9400" s="260"/>
      <c r="Q9400" s="258"/>
      <c r="R9400" s="260"/>
      <c r="S9400" s="260"/>
      <c r="T9400" s="260"/>
      <c r="U9400" s="260"/>
      <c r="V9400" s="260"/>
      <c r="W9400" s="260"/>
      <c r="X9400" s="260"/>
      <c r="Y9400" s="260"/>
      <c r="Z9400" s="260"/>
      <c r="AA9400" s="260"/>
      <c r="AB9400" s="260"/>
      <c r="AC9400" s="260"/>
      <c r="AD9400" s="260"/>
      <c r="AE9400" s="260"/>
      <c r="AF9400" s="260"/>
      <c r="AG9400" s="258"/>
      <c r="AO9400"/>
      <c r="AP9400"/>
      <c r="AQ9400"/>
      <c r="AR9400"/>
      <c r="AS9400"/>
      <c r="AT9400"/>
      <c r="AU9400"/>
      <c r="AV9400"/>
      <c r="AW9400"/>
      <c r="AX9400"/>
      <c r="AY9400"/>
      <c r="AZ9400"/>
      <c r="BA9400"/>
      <c r="BB9400"/>
      <c r="BC9400"/>
      <c r="BD9400"/>
      <c r="BE9400"/>
      <c r="BF9400"/>
    </row>
    <row r="9401" spans="13:58" ht="12" hidden="1" customHeight="1">
      <c r="M9401" s="820"/>
      <c r="N9401" s="239"/>
      <c r="O9401" s="225"/>
      <c r="P9401" s="260"/>
      <c r="Q9401" s="258"/>
      <c r="R9401" s="260"/>
      <c r="S9401" s="260"/>
      <c r="T9401" s="260"/>
      <c r="U9401" s="260"/>
      <c r="V9401" s="260"/>
      <c r="W9401" s="260"/>
      <c r="X9401" s="260"/>
      <c r="Y9401" s="260"/>
      <c r="Z9401" s="260"/>
      <c r="AA9401" s="260"/>
      <c r="AB9401" s="260"/>
      <c r="AC9401" s="260"/>
      <c r="AD9401" s="260"/>
      <c r="AE9401" s="260"/>
      <c r="AF9401" s="260"/>
      <c r="AG9401" s="258"/>
      <c r="AO9401"/>
      <c r="AP9401"/>
      <c r="AQ9401"/>
      <c r="AR9401"/>
      <c r="AS9401"/>
      <c r="AT9401"/>
      <c r="AU9401"/>
      <c r="AV9401"/>
      <c r="AW9401"/>
      <c r="AX9401"/>
      <c r="AY9401"/>
      <c r="AZ9401"/>
      <c r="BA9401"/>
      <c r="BB9401"/>
      <c r="BC9401"/>
      <c r="BD9401"/>
      <c r="BE9401"/>
      <c r="BF9401"/>
    </row>
    <row r="9402" spans="13:58" ht="12" hidden="1" customHeight="1">
      <c r="M9402" s="820"/>
      <c r="N9402" s="239"/>
      <c r="O9402" s="225"/>
      <c r="P9402" s="260"/>
      <c r="Q9402" s="258"/>
      <c r="R9402" s="260"/>
      <c r="S9402" s="260"/>
      <c r="T9402" s="260"/>
      <c r="U9402" s="260"/>
      <c r="V9402" s="260"/>
      <c r="W9402" s="260"/>
      <c r="X9402" s="260"/>
      <c r="Y9402" s="260"/>
      <c r="Z9402" s="260"/>
      <c r="AA9402" s="260"/>
      <c r="AB9402" s="260"/>
      <c r="AC9402" s="260"/>
      <c r="AD9402" s="260"/>
      <c r="AE9402" s="260"/>
      <c r="AF9402" s="260"/>
      <c r="AG9402" s="258"/>
      <c r="AO9402"/>
      <c r="AP9402"/>
      <c r="AQ9402"/>
      <c r="AR9402"/>
      <c r="AS9402"/>
      <c r="AT9402"/>
      <c r="AU9402"/>
      <c r="AV9402"/>
      <c r="AW9402"/>
      <c r="AX9402"/>
      <c r="AY9402"/>
      <c r="AZ9402"/>
      <c r="BA9402"/>
      <c r="BB9402"/>
      <c r="BC9402"/>
      <c r="BD9402"/>
      <c r="BE9402"/>
      <c r="BF9402"/>
    </row>
    <row r="9403" spans="13:58" ht="12" hidden="1" customHeight="1">
      <c r="M9403" s="820"/>
      <c r="N9403" s="239"/>
      <c r="O9403" s="225"/>
      <c r="P9403" s="260"/>
      <c r="Q9403" s="258"/>
      <c r="R9403" s="260"/>
      <c r="S9403" s="260"/>
      <c r="T9403" s="260"/>
      <c r="U9403" s="260"/>
      <c r="V9403" s="260"/>
      <c r="W9403" s="260"/>
      <c r="X9403" s="260"/>
      <c r="Y9403" s="260"/>
      <c r="Z9403" s="260"/>
      <c r="AA9403" s="260"/>
      <c r="AB9403" s="260"/>
      <c r="AC9403" s="260"/>
      <c r="AD9403" s="260"/>
      <c r="AE9403" s="260"/>
      <c r="AF9403" s="260"/>
      <c r="AG9403" s="258"/>
      <c r="AO9403"/>
      <c r="AP9403"/>
      <c r="AQ9403"/>
      <c r="AR9403"/>
      <c r="AS9403"/>
      <c r="AT9403"/>
      <c r="AU9403"/>
      <c r="AV9403"/>
      <c r="AW9403"/>
      <c r="AX9403"/>
      <c r="AY9403"/>
      <c r="AZ9403"/>
      <c r="BA9403"/>
      <c r="BB9403"/>
      <c r="BC9403"/>
      <c r="BD9403"/>
      <c r="BE9403"/>
      <c r="BF9403"/>
    </row>
    <row r="9404" spans="13:58" ht="12" hidden="1" customHeight="1">
      <c r="M9404" s="820"/>
      <c r="N9404" s="239"/>
      <c r="O9404" s="225"/>
      <c r="P9404" s="260"/>
      <c r="Q9404" s="258"/>
      <c r="R9404" s="260"/>
      <c r="S9404" s="260"/>
      <c r="T9404" s="260"/>
      <c r="U9404" s="260"/>
      <c r="V9404" s="260"/>
      <c r="W9404" s="260"/>
      <c r="X9404" s="260"/>
      <c r="Y9404" s="260"/>
      <c r="Z9404" s="260"/>
      <c r="AA9404" s="260"/>
      <c r="AB9404" s="260"/>
      <c r="AC9404" s="260"/>
      <c r="AD9404" s="260"/>
      <c r="AE9404" s="260"/>
      <c r="AF9404" s="260"/>
      <c r="AG9404" s="258"/>
      <c r="AO9404"/>
      <c r="AP9404"/>
      <c r="AQ9404"/>
      <c r="AR9404"/>
      <c r="AS9404"/>
      <c r="AT9404"/>
      <c r="AU9404"/>
      <c r="AV9404"/>
      <c r="AW9404"/>
      <c r="AX9404"/>
      <c r="AY9404"/>
      <c r="AZ9404"/>
      <c r="BA9404"/>
      <c r="BB9404"/>
      <c r="BC9404"/>
      <c r="BD9404"/>
      <c r="BE9404"/>
      <c r="BF9404"/>
    </row>
    <row r="9405" spans="13:58" ht="12" hidden="1" customHeight="1">
      <c r="M9405" s="820"/>
      <c r="N9405" s="239"/>
      <c r="O9405" s="225"/>
      <c r="P9405" s="260"/>
      <c r="Q9405" s="258"/>
      <c r="R9405" s="260"/>
      <c r="S9405" s="260"/>
      <c r="T9405" s="260"/>
      <c r="U9405" s="260"/>
      <c r="V9405" s="260"/>
      <c r="W9405" s="260"/>
      <c r="X9405" s="260"/>
      <c r="Y9405" s="260"/>
      <c r="Z9405" s="260"/>
      <c r="AA9405" s="260"/>
      <c r="AB9405" s="260"/>
      <c r="AC9405" s="260"/>
      <c r="AD9405" s="260"/>
      <c r="AE9405" s="260"/>
      <c r="AF9405" s="260"/>
      <c r="AG9405" s="258"/>
      <c r="AO9405"/>
      <c r="AP9405"/>
      <c r="AQ9405"/>
      <c r="AR9405"/>
      <c r="AS9405"/>
      <c r="AT9405"/>
      <c r="AU9405"/>
      <c r="AV9405"/>
      <c r="AW9405"/>
      <c r="AX9405"/>
      <c r="AY9405"/>
      <c r="AZ9405"/>
      <c r="BA9405"/>
      <c r="BB9405"/>
      <c r="BC9405"/>
      <c r="BD9405"/>
      <c r="BE9405"/>
      <c r="BF9405"/>
    </row>
    <row r="9406" spans="13:58" ht="12" hidden="1" customHeight="1">
      <c r="M9406" s="820"/>
      <c r="N9406" s="239"/>
      <c r="O9406" s="225"/>
      <c r="P9406" s="260"/>
      <c r="Q9406" s="258"/>
      <c r="R9406" s="260"/>
      <c r="S9406" s="260"/>
      <c r="T9406" s="260"/>
      <c r="U9406" s="260"/>
      <c r="V9406" s="260"/>
      <c r="W9406" s="260"/>
      <c r="X9406" s="260"/>
      <c r="Y9406" s="260"/>
      <c r="Z9406" s="260"/>
      <c r="AA9406" s="260"/>
      <c r="AB9406" s="260"/>
      <c r="AC9406" s="260"/>
      <c r="AD9406" s="260"/>
      <c r="AE9406" s="260"/>
      <c r="AF9406" s="260"/>
      <c r="AG9406" s="258"/>
      <c r="AO9406"/>
      <c r="AP9406"/>
      <c r="AQ9406"/>
      <c r="AR9406"/>
      <c r="AS9406"/>
      <c r="AT9406"/>
      <c r="AU9406"/>
      <c r="AV9406"/>
      <c r="AW9406"/>
      <c r="AX9406"/>
      <c r="AY9406"/>
      <c r="AZ9406"/>
      <c r="BA9406"/>
      <c r="BB9406"/>
      <c r="BC9406"/>
      <c r="BD9406"/>
      <c r="BE9406"/>
      <c r="BF9406"/>
    </row>
    <row r="9407" spans="13:58" ht="12" hidden="1" customHeight="1">
      <c r="M9407" s="820"/>
      <c r="N9407" s="239"/>
      <c r="O9407" s="225"/>
      <c r="P9407" s="260"/>
      <c r="Q9407" s="258"/>
      <c r="R9407" s="260"/>
      <c r="S9407" s="260"/>
      <c r="T9407" s="260"/>
      <c r="U9407" s="260"/>
      <c r="V9407" s="260"/>
      <c r="W9407" s="260"/>
      <c r="X9407" s="260"/>
      <c r="Y9407" s="260"/>
      <c r="Z9407" s="260"/>
      <c r="AA9407" s="260"/>
      <c r="AB9407" s="260"/>
      <c r="AC9407" s="260"/>
      <c r="AD9407" s="260"/>
      <c r="AE9407" s="260"/>
      <c r="AF9407" s="260"/>
      <c r="AG9407" s="258"/>
      <c r="AO9407"/>
      <c r="AP9407"/>
      <c r="AQ9407"/>
      <c r="AR9407"/>
      <c r="AS9407"/>
      <c r="AT9407"/>
      <c r="AU9407"/>
      <c r="AV9407"/>
      <c r="AW9407"/>
      <c r="AX9407"/>
      <c r="AY9407"/>
      <c r="AZ9407"/>
      <c r="BA9407"/>
      <c r="BB9407"/>
      <c r="BC9407"/>
      <c r="BD9407"/>
      <c r="BE9407"/>
      <c r="BF9407"/>
    </row>
    <row r="9408" spans="13:58" ht="12" hidden="1" customHeight="1">
      <c r="M9408" s="820"/>
      <c r="N9408" s="239"/>
      <c r="O9408" s="225"/>
      <c r="P9408" s="260"/>
      <c r="Q9408" s="258"/>
      <c r="R9408" s="260"/>
      <c r="S9408" s="260"/>
      <c r="T9408" s="260"/>
      <c r="U9408" s="260"/>
      <c r="V9408" s="260"/>
      <c r="W9408" s="260"/>
      <c r="X9408" s="260"/>
      <c r="Y9408" s="260"/>
      <c r="Z9408" s="260"/>
      <c r="AA9408" s="260"/>
      <c r="AB9408" s="260"/>
      <c r="AC9408" s="260"/>
      <c r="AD9408" s="260"/>
      <c r="AE9408" s="260"/>
      <c r="AF9408" s="260"/>
      <c r="AG9408" s="258"/>
      <c r="AO9408"/>
      <c r="AP9408"/>
      <c r="AQ9408"/>
      <c r="AR9408"/>
      <c r="AS9408"/>
      <c r="AT9408"/>
      <c r="AU9408"/>
      <c r="AV9408"/>
      <c r="AW9408"/>
      <c r="AX9408"/>
      <c r="AY9408"/>
      <c r="AZ9408"/>
      <c r="BA9408"/>
      <c r="BB9408"/>
      <c r="BC9408"/>
      <c r="BD9408"/>
      <c r="BE9408"/>
      <c r="BF9408"/>
    </row>
    <row r="9409" spans="13:58" ht="12" hidden="1" customHeight="1">
      <c r="M9409" s="820"/>
      <c r="N9409" s="239"/>
      <c r="O9409" s="225"/>
      <c r="P9409" s="260"/>
      <c r="Q9409" s="258"/>
      <c r="R9409" s="260"/>
      <c r="S9409" s="260"/>
      <c r="T9409" s="260"/>
      <c r="U9409" s="260"/>
      <c r="V9409" s="260"/>
      <c r="W9409" s="260"/>
      <c r="X9409" s="260"/>
      <c r="Y9409" s="260"/>
      <c r="Z9409" s="260"/>
      <c r="AA9409" s="260"/>
      <c r="AB9409" s="260"/>
      <c r="AC9409" s="260"/>
      <c r="AD9409" s="260"/>
      <c r="AE9409" s="260"/>
      <c r="AF9409" s="260"/>
      <c r="AG9409" s="258"/>
      <c r="AO9409"/>
      <c r="AP9409"/>
      <c r="AQ9409"/>
      <c r="AR9409"/>
      <c r="AS9409"/>
      <c r="AT9409"/>
      <c r="AU9409"/>
      <c r="AV9409"/>
      <c r="AW9409"/>
      <c r="AX9409"/>
      <c r="AY9409"/>
      <c r="AZ9409"/>
      <c r="BA9409"/>
      <c r="BB9409"/>
      <c r="BC9409"/>
      <c r="BD9409"/>
      <c r="BE9409"/>
      <c r="BF9409"/>
    </row>
    <row r="9410" spans="13:58" ht="12" hidden="1" customHeight="1">
      <c r="M9410" s="820"/>
      <c r="N9410" s="239"/>
      <c r="O9410" s="225"/>
      <c r="P9410" s="260"/>
      <c r="Q9410" s="258"/>
      <c r="R9410" s="260"/>
      <c r="S9410" s="260"/>
      <c r="T9410" s="260"/>
      <c r="U9410" s="260"/>
      <c r="V9410" s="260"/>
      <c r="W9410" s="260"/>
      <c r="X9410" s="260"/>
      <c r="Y9410" s="260"/>
      <c r="Z9410" s="260"/>
      <c r="AA9410" s="260"/>
      <c r="AB9410" s="260"/>
      <c r="AC9410" s="260"/>
      <c r="AD9410" s="260"/>
      <c r="AE9410" s="260"/>
      <c r="AF9410" s="260"/>
      <c r="AG9410" s="258"/>
      <c r="AO9410"/>
      <c r="AP9410"/>
      <c r="AQ9410"/>
      <c r="AR9410"/>
      <c r="AS9410"/>
      <c r="AT9410"/>
      <c r="AU9410"/>
      <c r="AV9410"/>
      <c r="AW9410"/>
      <c r="AX9410"/>
      <c r="AY9410"/>
      <c r="AZ9410"/>
      <c r="BA9410"/>
      <c r="BB9410"/>
      <c r="BC9410"/>
      <c r="BD9410"/>
      <c r="BE9410"/>
      <c r="BF9410"/>
    </row>
    <row r="9411" spans="13:58" ht="12" hidden="1" customHeight="1">
      <c r="M9411" s="820"/>
      <c r="N9411" s="239"/>
      <c r="O9411" s="225"/>
      <c r="P9411" s="260"/>
      <c r="Q9411" s="258"/>
      <c r="R9411" s="260"/>
      <c r="S9411" s="260"/>
      <c r="T9411" s="260"/>
      <c r="U9411" s="260"/>
      <c r="V9411" s="260"/>
      <c r="W9411" s="260"/>
      <c r="X9411" s="260"/>
      <c r="Y9411" s="260"/>
      <c r="Z9411" s="260"/>
      <c r="AA9411" s="260"/>
      <c r="AB9411" s="260"/>
      <c r="AC9411" s="260"/>
      <c r="AD9411" s="260"/>
      <c r="AE9411" s="260"/>
      <c r="AF9411" s="260"/>
      <c r="AG9411" s="258"/>
      <c r="AO9411"/>
      <c r="AP9411"/>
      <c r="AQ9411"/>
      <c r="AR9411"/>
      <c r="AS9411"/>
      <c r="AT9411"/>
      <c r="AU9411"/>
      <c r="AV9411"/>
      <c r="AW9411"/>
      <c r="AX9411"/>
      <c r="AY9411"/>
      <c r="AZ9411"/>
      <c r="BA9411"/>
      <c r="BB9411"/>
      <c r="BC9411"/>
      <c r="BD9411"/>
      <c r="BE9411"/>
      <c r="BF9411"/>
    </row>
    <row r="9412" spans="13:58" ht="12" hidden="1" customHeight="1">
      <c r="M9412" s="820"/>
      <c r="N9412" s="239"/>
      <c r="O9412" s="225"/>
      <c r="P9412" s="260"/>
      <c r="Q9412" s="258"/>
      <c r="R9412" s="260"/>
      <c r="S9412" s="260"/>
      <c r="T9412" s="260"/>
      <c r="U9412" s="260"/>
      <c r="V9412" s="260"/>
      <c r="W9412" s="260"/>
      <c r="X9412" s="260"/>
      <c r="Y9412" s="260"/>
      <c r="Z9412" s="260"/>
      <c r="AA9412" s="260"/>
      <c r="AB9412" s="260"/>
      <c r="AC9412" s="260"/>
      <c r="AD9412" s="260"/>
      <c r="AE9412" s="260"/>
      <c r="AF9412" s="260"/>
      <c r="AG9412" s="258"/>
      <c r="AO9412"/>
      <c r="AP9412"/>
      <c r="AQ9412"/>
      <c r="AR9412"/>
      <c r="AS9412"/>
      <c r="AT9412"/>
      <c r="AU9412"/>
      <c r="AV9412"/>
      <c r="AW9412"/>
      <c r="AX9412"/>
      <c r="AY9412"/>
      <c r="AZ9412"/>
      <c r="BA9412"/>
      <c r="BB9412"/>
      <c r="BC9412"/>
      <c r="BD9412"/>
      <c r="BE9412"/>
      <c r="BF9412"/>
    </row>
    <row r="9413" spans="13:58" ht="12" hidden="1" customHeight="1">
      <c r="M9413" s="820"/>
      <c r="N9413" s="239"/>
      <c r="O9413" s="225"/>
      <c r="P9413" s="260"/>
      <c r="Q9413" s="258"/>
      <c r="R9413" s="260"/>
      <c r="S9413" s="260"/>
      <c r="T9413" s="260"/>
      <c r="U9413" s="260"/>
      <c r="V9413" s="260"/>
      <c r="W9413" s="260"/>
      <c r="X9413" s="260"/>
      <c r="Y9413" s="260"/>
      <c r="Z9413" s="260"/>
      <c r="AA9413" s="260"/>
      <c r="AB9413" s="260"/>
      <c r="AC9413" s="260"/>
      <c r="AD9413" s="260"/>
      <c r="AE9413" s="260"/>
      <c r="AF9413" s="260"/>
      <c r="AG9413" s="258"/>
      <c r="AO9413"/>
      <c r="AP9413"/>
      <c r="AQ9413"/>
      <c r="AR9413"/>
      <c r="AS9413"/>
      <c r="AT9413"/>
      <c r="AU9413"/>
      <c r="AV9413"/>
      <c r="AW9413"/>
      <c r="AX9413"/>
      <c r="AY9413"/>
      <c r="AZ9413"/>
      <c r="BA9413"/>
      <c r="BB9413"/>
      <c r="BC9413"/>
      <c r="BD9413"/>
      <c r="BE9413"/>
      <c r="BF9413"/>
    </row>
    <row r="9414" spans="13:58" ht="12" hidden="1" customHeight="1">
      <c r="M9414" s="820"/>
      <c r="N9414" s="239"/>
      <c r="O9414" s="225"/>
      <c r="P9414" s="260"/>
      <c r="Q9414" s="258"/>
      <c r="R9414" s="260"/>
      <c r="S9414" s="260"/>
      <c r="T9414" s="260"/>
      <c r="U9414" s="260"/>
      <c r="V9414" s="260"/>
      <c r="W9414" s="260"/>
      <c r="X9414" s="260"/>
      <c r="Y9414" s="260"/>
      <c r="Z9414" s="260"/>
      <c r="AA9414" s="260"/>
      <c r="AB9414" s="260"/>
      <c r="AC9414" s="260"/>
      <c r="AD9414" s="260"/>
      <c r="AE9414" s="260"/>
      <c r="AF9414" s="260"/>
      <c r="AG9414" s="258"/>
      <c r="AO9414"/>
      <c r="AP9414"/>
      <c r="AQ9414"/>
      <c r="AR9414"/>
      <c r="AS9414"/>
      <c r="AT9414"/>
      <c r="AU9414"/>
      <c r="AV9414"/>
      <c r="AW9414"/>
      <c r="AX9414"/>
      <c r="AY9414"/>
      <c r="AZ9414"/>
      <c r="BA9414"/>
      <c r="BB9414"/>
      <c r="BC9414"/>
      <c r="BD9414"/>
      <c r="BE9414"/>
      <c r="BF9414"/>
    </row>
    <row r="9415" spans="13:58" ht="12" hidden="1" customHeight="1">
      <c r="M9415" s="820"/>
      <c r="N9415" s="239"/>
      <c r="O9415" s="225"/>
      <c r="P9415" s="260"/>
      <c r="Q9415" s="258"/>
      <c r="R9415" s="260"/>
      <c r="S9415" s="260"/>
      <c r="T9415" s="260"/>
      <c r="U9415" s="260"/>
      <c r="V9415" s="260"/>
      <c r="W9415" s="260"/>
      <c r="X9415" s="260"/>
      <c r="Y9415" s="260"/>
      <c r="Z9415" s="260"/>
      <c r="AA9415" s="260"/>
      <c r="AB9415" s="260"/>
      <c r="AC9415" s="260"/>
      <c r="AD9415" s="260"/>
      <c r="AE9415" s="260"/>
      <c r="AF9415" s="260"/>
      <c r="AG9415" s="258"/>
      <c r="AO9415"/>
      <c r="AP9415"/>
      <c r="AQ9415"/>
      <c r="AR9415"/>
      <c r="AS9415"/>
      <c r="AT9415"/>
      <c r="AU9415"/>
      <c r="AV9415"/>
      <c r="AW9415"/>
      <c r="AX9415"/>
      <c r="AY9415"/>
      <c r="AZ9415"/>
      <c r="BA9415"/>
      <c r="BB9415"/>
      <c r="BC9415"/>
      <c r="BD9415"/>
      <c r="BE9415"/>
      <c r="BF9415"/>
    </row>
    <row r="9416" spans="13:58" ht="12" customHeight="1">
      <c r="M9416" s="820"/>
      <c r="N9416" s="239"/>
      <c r="O9416" s="225"/>
      <c r="P9416" s="260"/>
      <c r="Q9416" s="258"/>
      <c r="R9416" s="260"/>
      <c r="S9416" s="260"/>
      <c r="T9416" s="260"/>
      <c r="U9416" s="260"/>
      <c r="V9416" s="260"/>
      <c r="W9416" s="260"/>
      <c r="X9416" s="260"/>
      <c r="Y9416" s="260"/>
      <c r="Z9416" s="260"/>
      <c r="AA9416" s="260"/>
      <c r="AB9416" s="260"/>
      <c r="AC9416" s="260"/>
      <c r="AD9416" s="260"/>
      <c r="AE9416" s="260"/>
      <c r="AF9416" s="260"/>
      <c r="AG9416" s="258"/>
      <c r="AO9416"/>
      <c r="AP9416"/>
      <c r="AQ9416"/>
      <c r="AR9416"/>
      <c r="AS9416"/>
      <c r="AT9416"/>
      <c r="AU9416"/>
      <c r="AV9416"/>
      <c r="AW9416"/>
      <c r="AX9416"/>
      <c r="AY9416"/>
      <c r="AZ9416"/>
      <c r="BA9416"/>
      <c r="BB9416"/>
      <c r="BC9416"/>
      <c r="BD9416"/>
      <c r="BE9416"/>
      <c r="BF9416"/>
    </row>
    <row r="9417" spans="13:58" ht="12" customHeight="1">
      <c r="N9417" s="234" t="s">
        <v>769</v>
      </c>
      <c r="O9417" s="235" t="s">
        <v>2991</v>
      </c>
      <c r="P9417" s="257"/>
      <c r="Q9417" s="258"/>
      <c r="R9417" s="260"/>
      <c r="S9417" s="260"/>
      <c r="T9417" s="257">
        <f>SUM(T9418,T9464)</f>
        <v>0</v>
      </c>
      <c r="U9417" s="260"/>
      <c r="V9417" s="260"/>
      <c r="W9417" s="257">
        <f>SUM(W9418,W9464)</f>
        <v>0</v>
      </c>
      <c r="X9417" s="260"/>
      <c r="Y9417" s="260"/>
      <c r="Z9417" s="257">
        <f>SUM(Z9418,Z9464)</f>
        <v>0</v>
      </c>
      <c r="AA9417" s="260"/>
      <c r="AB9417" s="260"/>
      <c r="AC9417" s="257">
        <f>SUM(AC9418,AC9464)</f>
        <v>0</v>
      </c>
      <c r="AD9417" s="260"/>
      <c r="AE9417" s="260"/>
      <c r="AF9417" s="257">
        <f>SUM(AF9418,AF9464)</f>
        <v>0</v>
      </c>
      <c r="AG9417" s="258"/>
      <c r="AO9417"/>
      <c r="AP9417"/>
      <c r="AQ9417"/>
      <c r="AR9417"/>
      <c r="AS9417"/>
      <c r="AT9417"/>
      <c r="AU9417"/>
      <c r="AV9417"/>
      <c r="AW9417"/>
      <c r="AX9417"/>
      <c r="AY9417"/>
      <c r="AZ9417"/>
      <c r="BA9417"/>
      <c r="BB9417"/>
      <c r="BC9417"/>
      <c r="BD9417"/>
      <c r="BE9417"/>
      <c r="BF9417"/>
    </row>
    <row r="9418" spans="13:58" ht="12" customHeight="1">
      <c r="N9418" s="234" t="s">
        <v>770</v>
      </c>
      <c r="O9418" s="442" t="s">
        <v>2992</v>
      </c>
      <c r="P9418" s="257"/>
      <c r="Q9418" s="258"/>
      <c r="R9418" s="260"/>
      <c r="S9418" s="260"/>
      <c r="T9418" s="257">
        <f>SUM(T9419,T9436,T9437)</f>
        <v>0</v>
      </c>
      <c r="U9418" s="260"/>
      <c r="V9418" s="260"/>
      <c r="W9418" s="257">
        <f>SUM(W9419,W9436,W9437)</f>
        <v>0</v>
      </c>
      <c r="X9418" s="260"/>
      <c r="Y9418" s="260"/>
      <c r="Z9418" s="257">
        <f>SUM(Z9419,Z9436,Z9437)</f>
        <v>0</v>
      </c>
      <c r="AA9418" s="260"/>
      <c r="AB9418" s="260"/>
      <c r="AC9418" s="257">
        <f>SUM(AC9419,AC9436,AC9437)</f>
        <v>0</v>
      </c>
      <c r="AD9418" s="260"/>
      <c r="AE9418" s="260"/>
      <c r="AF9418" s="257">
        <f>SUM(AF9419,AF9436,AF9437)</f>
        <v>0</v>
      </c>
      <c r="AG9418" s="258"/>
      <c r="AO9418"/>
      <c r="AP9418"/>
      <c r="AQ9418"/>
      <c r="AR9418"/>
      <c r="AS9418"/>
      <c r="AT9418"/>
      <c r="AU9418"/>
      <c r="AV9418"/>
      <c r="AW9418"/>
      <c r="AX9418"/>
      <c r="AY9418"/>
      <c r="AZ9418"/>
      <c r="BA9418"/>
      <c r="BB9418"/>
      <c r="BC9418"/>
      <c r="BD9418"/>
      <c r="BE9418"/>
      <c r="BF9418"/>
    </row>
    <row r="9419" spans="13:58" ht="12" customHeight="1">
      <c r="N9419" s="236" t="s">
        <v>2993</v>
      </c>
      <c r="O9419" s="225" t="s">
        <v>2994</v>
      </c>
      <c r="P9419" s="257"/>
      <c r="Q9419" s="258"/>
      <c r="R9419" s="260"/>
      <c r="S9419" s="260"/>
      <c r="T9419" s="257">
        <f>SUM(T9420,T9424,T9428,T9432)</f>
        <v>0</v>
      </c>
      <c r="U9419" s="260"/>
      <c r="V9419" s="260"/>
      <c r="W9419" s="257">
        <f>SUM(W9420,W9424,W9428,W9432)</f>
        <v>0</v>
      </c>
      <c r="X9419" s="260"/>
      <c r="Y9419" s="260"/>
      <c r="Z9419" s="257">
        <f>SUM(Z9420,Z9424,Z9428,Z9432)</f>
        <v>0</v>
      </c>
      <c r="AA9419" s="260"/>
      <c r="AB9419" s="260"/>
      <c r="AC9419" s="257">
        <f>SUM(AC9420,AC9424,AC9428,AC9432)</f>
        <v>0</v>
      </c>
      <c r="AD9419" s="260"/>
      <c r="AE9419" s="260"/>
      <c r="AF9419" s="257">
        <f>SUM(AF9420,AF9424,AF9428,AF9432)</f>
        <v>0</v>
      </c>
      <c r="AG9419" s="258"/>
      <c r="AO9419"/>
      <c r="AP9419"/>
      <c r="AQ9419"/>
      <c r="AR9419"/>
      <c r="AS9419"/>
      <c r="AT9419"/>
      <c r="AU9419"/>
      <c r="AV9419"/>
      <c r="AW9419"/>
      <c r="AX9419"/>
      <c r="AY9419"/>
      <c r="AZ9419"/>
      <c r="BA9419"/>
      <c r="BB9419"/>
      <c r="BC9419"/>
      <c r="BD9419"/>
      <c r="BE9419"/>
      <c r="BF9419"/>
    </row>
    <row r="9420" spans="13:58" ht="12" customHeight="1">
      <c r="N9420" s="236" t="s">
        <v>2995</v>
      </c>
      <c r="O9420" s="482" t="s">
        <v>2791</v>
      </c>
      <c r="P9420" s="257"/>
      <c r="Q9420" s="258"/>
      <c r="R9420" s="260"/>
      <c r="S9420" s="260"/>
      <c r="T9420" s="262">
        <f>IF($AP$8="I",'ТС.РО 01.01 - 30.06'!T9420,IF($AP$8="II",'ТС.РО 01.07 - 31.08'!T9420,IF($AP$8="III",'ТС.РО 01.09 - 31.12'!T9420,0)))*T9564</f>
        <v>0</v>
      </c>
      <c r="U9420" s="260"/>
      <c r="V9420" s="260"/>
      <c r="W9420" s="262">
        <f>IF($AP$8="I",'ТС.РО 01.01 - 30.06'!W9420,IF($AP$8="II",'ТС.РО 01.07 - 31.08'!W9420,IF($AP$8="III",'ТС.РО 01.09 - 31.12'!W9420,0)))*W9564</f>
        <v>0</v>
      </c>
      <c r="X9420" s="260"/>
      <c r="Y9420" s="260"/>
      <c r="Z9420" s="262">
        <f>IF($AP$8="I",'ТС.РО 01.01 - 30.06'!Z9420,IF($AP$8="II",'ТС.РО 01.07 - 31.08'!Z9420,IF($AP$8="III",'ТС.РО 01.09 - 31.12'!Z9420,0)))*Z9564</f>
        <v>0</v>
      </c>
      <c r="AA9420" s="260"/>
      <c r="AB9420" s="260"/>
      <c r="AC9420" s="262">
        <f>IF($AP$8="I",'ТС.РО 01.01 - 30.06'!AC9420,IF($AP$8="II",'ТС.РО 01.07 - 31.08'!AC9420,IF($AP$8="III",'ТС.РО 01.09 - 31.12'!AC9420,0)))*AC9564</f>
        <v>0</v>
      </c>
      <c r="AD9420" s="260"/>
      <c r="AE9420" s="260"/>
      <c r="AF9420" s="262">
        <f>IF($AP$8="I",'ТС.РО 01.01 - 30.06'!AF9420,IF($AP$8="II",'ТС.РО 01.07 - 31.08'!AF9420,IF($AP$8="III",'ТС.РО 01.09 - 31.12'!AF9420,0)))*AF9564</f>
        <v>0</v>
      </c>
      <c r="AG9420" s="258"/>
      <c r="AO9420"/>
      <c r="AP9420"/>
      <c r="AQ9420"/>
      <c r="AR9420"/>
      <c r="AS9420"/>
      <c r="AT9420"/>
      <c r="AU9420"/>
      <c r="AV9420"/>
      <c r="AW9420"/>
      <c r="AX9420"/>
      <c r="AY9420"/>
      <c r="AZ9420"/>
      <c r="BA9420"/>
      <c r="BB9420"/>
      <c r="BC9420"/>
      <c r="BD9420"/>
      <c r="BE9420"/>
      <c r="BF9420"/>
    </row>
    <row r="9421" spans="13:58" ht="12" customHeight="1">
      <c r="N9421" s="594" t="str">
        <f>IF(TEMPLATE_CLAIM="P","5.1.1.1.1","")</f>
        <v/>
      </c>
      <c r="O9421" s="593" t="str">
        <f>IF(TEMPLATE_CLAIM="P","от станций с мощностью производства &gt;= 25 МВт","")</f>
        <v/>
      </c>
      <c r="P9421" s="257"/>
      <c r="Q9421" s="258"/>
      <c r="R9421" s="260"/>
      <c r="S9421" s="260"/>
      <c r="T9421" s="260"/>
      <c r="U9421" s="260"/>
      <c r="V9421" s="260"/>
      <c r="W9421" s="260"/>
      <c r="X9421" s="260"/>
      <c r="Y9421" s="260"/>
      <c r="Z9421" s="260"/>
      <c r="AA9421" s="260"/>
      <c r="AB9421" s="260"/>
      <c r="AC9421" s="260"/>
      <c r="AD9421" s="260"/>
      <c r="AE9421" s="260"/>
      <c r="AF9421" s="260"/>
      <c r="AG9421" s="258"/>
      <c r="AO9421"/>
      <c r="AP9421"/>
      <c r="AQ9421"/>
      <c r="AR9421"/>
      <c r="AS9421"/>
      <c r="AT9421"/>
      <c r="AU9421"/>
      <c r="AV9421"/>
      <c r="AW9421"/>
      <c r="AX9421"/>
      <c r="AY9421"/>
      <c r="AZ9421"/>
      <c r="BA9421"/>
      <c r="BB9421"/>
      <c r="BC9421"/>
      <c r="BD9421"/>
      <c r="BE9421"/>
      <c r="BF9421"/>
    </row>
    <row r="9422" spans="13:58" ht="12" customHeight="1">
      <c r="N9422" s="594" t="str">
        <f>IF(TEMPLATE_CLAIM="P","5.1.1.1.2","")</f>
        <v/>
      </c>
      <c r="O9422" s="593" t="str">
        <f>IF(TEMPLATE_CLAIM="P","от станций с мощностью производства &lt; 25 МВт","")</f>
        <v/>
      </c>
      <c r="P9422" s="257"/>
      <c r="Q9422" s="258"/>
      <c r="R9422" s="260"/>
      <c r="S9422" s="260"/>
      <c r="T9422" s="260"/>
      <c r="U9422" s="260"/>
      <c r="V9422" s="260"/>
      <c r="W9422" s="260"/>
      <c r="X9422" s="260"/>
      <c r="Y9422" s="260"/>
      <c r="Z9422" s="260"/>
      <c r="AA9422" s="260"/>
      <c r="AB9422" s="260"/>
      <c r="AC9422" s="260"/>
      <c r="AD9422" s="260"/>
      <c r="AE9422" s="260"/>
      <c r="AF9422" s="260"/>
      <c r="AG9422" s="258"/>
      <c r="AO9422"/>
      <c r="AP9422"/>
      <c r="AQ9422"/>
      <c r="AR9422"/>
      <c r="AS9422"/>
      <c r="AT9422"/>
      <c r="AU9422"/>
      <c r="AV9422"/>
      <c r="AW9422"/>
      <c r="AX9422"/>
      <c r="AY9422"/>
      <c r="AZ9422"/>
      <c r="BA9422"/>
      <c r="BB9422"/>
      <c r="BC9422"/>
      <c r="BD9422"/>
      <c r="BE9422"/>
      <c r="BF9422"/>
    </row>
    <row r="9423" spans="13:58" ht="12" customHeight="1">
      <c r="N9423" s="236"/>
      <c r="O9423" s="243"/>
      <c r="P9423" s="260"/>
      <c r="Q9423" s="258"/>
      <c r="R9423" s="260"/>
      <c r="S9423" s="260"/>
      <c r="T9423" s="260"/>
      <c r="U9423" s="260"/>
      <c r="V9423" s="260"/>
      <c r="W9423" s="260"/>
      <c r="X9423" s="260"/>
      <c r="Y9423" s="260"/>
      <c r="Z9423" s="260"/>
      <c r="AA9423" s="260"/>
      <c r="AB9423" s="260"/>
      <c r="AC9423" s="260"/>
      <c r="AD9423" s="260"/>
      <c r="AE9423" s="260"/>
      <c r="AF9423" s="260"/>
      <c r="AG9423" s="258"/>
      <c r="AO9423"/>
      <c r="AP9423"/>
      <c r="AQ9423"/>
      <c r="AR9423"/>
      <c r="AS9423"/>
      <c r="AT9423"/>
      <c r="AU9423"/>
      <c r="AV9423"/>
      <c r="AW9423"/>
      <c r="AX9423"/>
      <c r="AY9423"/>
      <c r="AZ9423"/>
      <c r="BA9423"/>
      <c r="BB9423"/>
      <c r="BC9423"/>
      <c r="BD9423"/>
      <c r="BE9423"/>
      <c r="BF9423"/>
    </row>
    <row r="9424" spans="13:58" ht="12" customHeight="1">
      <c r="N9424" s="236" t="s">
        <v>2998</v>
      </c>
      <c r="O9424" s="482" t="s">
        <v>755</v>
      </c>
      <c r="P9424" s="257"/>
      <c r="Q9424" s="258"/>
      <c r="R9424" s="260"/>
      <c r="S9424" s="260"/>
      <c r="T9424" s="262">
        <f>IF($AP$8="I",'ТС.РО 01.01 - 30.06'!T9424,IF($AP$8="II",'ТС.РО 01.07 - 31.08'!T9424,IF($AP$8="III",'ТС.РО 01.09 - 31.12'!T9424,0)))*T9564</f>
        <v>0</v>
      </c>
      <c r="U9424" s="260"/>
      <c r="V9424" s="260"/>
      <c r="W9424" s="262">
        <f>IF($AP$8="I",'ТС.РО 01.01 - 30.06'!W9424,IF($AP$8="II",'ТС.РО 01.07 - 31.08'!W9424,IF($AP$8="III",'ТС.РО 01.09 - 31.12'!W9424,0)))*W9564</f>
        <v>0</v>
      </c>
      <c r="X9424" s="260"/>
      <c r="Y9424" s="260"/>
      <c r="Z9424" s="262">
        <f>IF($AP$8="I",'ТС.РО 01.01 - 30.06'!Z9424,IF($AP$8="II",'ТС.РО 01.07 - 31.08'!Z9424,IF($AP$8="III",'ТС.РО 01.09 - 31.12'!Z9424,0)))*Z9564</f>
        <v>0</v>
      </c>
      <c r="AA9424" s="260"/>
      <c r="AB9424" s="260"/>
      <c r="AC9424" s="262">
        <f>IF($AP$8="I",'ТС.РО 01.01 - 30.06'!AC9424,IF($AP$8="II",'ТС.РО 01.07 - 31.08'!AC9424,IF($AP$8="III",'ТС.РО 01.09 - 31.12'!AC9424,0)))*AC9564</f>
        <v>0</v>
      </c>
      <c r="AD9424" s="260"/>
      <c r="AE9424" s="260"/>
      <c r="AF9424" s="262">
        <f>IF($AP$8="I",'ТС.РО 01.01 - 30.06'!AF9424,IF($AP$8="II",'ТС.РО 01.07 - 31.08'!AF9424,IF($AP$8="III",'ТС.РО 01.09 - 31.12'!AF9424,0)))*AF9564</f>
        <v>0</v>
      </c>
      <c r="AG9424" s="258"/>
      <c r="AO9424"/>
      <c r="AP9424"/>
      <c r="AQ9424"/>
      <c r="AR9424"/>
      <c r="AS9424"/>
      <c r="AT9424"/>
      <c r="AU9424"/>
      <c r="AV9424"/>
      <c r="AW9424"/>
      <c r="AX9424"/>
      <c r="AY9424"/>
      <c r="AZ9424"/>
      <c r="BA9424"/>
      <c r="BB9424"/>
      <c r="BC9424"/>
      <c r="BD9424"/>
      <c r="BE9424"/>
      <c r="BF9424"/>
    </row>
    <row r="9425" spans="14:58" ht="12" customHeight="1">
      <c r="N9425" s="594" t="str">
        <f>IF(TEMPLATE_CLAIM="P","5.1.1.2.1","")</f>
        <v/>
      </c>
      <c r="O9425" s="593" t="str">
        <f>IF(TEMPLATE_CLAIM="P","от станций с мощностью производства &gt;= 25 МВт","")</f>
        <v/>
      </c>
      <c r="P9425" s="257"/>
      <c r="Q9425" s="258"/>
      <c r="R9425" s="260"/>
      <c r="S9425" s="260"/>
      <c r="T9425" s="260"/>
      <c r="U9425" s="260"/>
      <c r="V9425" s="260"/>
      <c r="W9425" s="260"/>
      <c r="X9425" s="260"/>
      <c r="Y9425" s="260"/>
      <c r="Z9425" s="260"/>
      <c r="AA9425" s="260"/>
      <c r="AB9425" s="260"/>
      <c r="AC9425" s="260"/>
      <c r="AD9425" s="260"/>
      <c r="AE9425" s="260"/>
      <c r="AF9425" s="260"/>
      <c r="AG9425" s="258"/>
      <c r="AO9425"/>
      <c r="AP9425"/>
      <c r="AQ9425"/>
      <c r="AR9425"/>
      <c r="AS9425"/>
      <c r="AT9425"/>
      <c r="AU9425"/>
      <c r="AV9425"/>
      <c r="AW9425"/>
      <c r="AX9425"/>
      <c r="AY9425"/>
      <c r="AZ9425"/>
      <c r="BA9425"/>
      <c r="BB9425"/>
      <c r="BC9425"/>
      <c r="BD9425"/>
      <c r="BE9425"/>
      <c r="BF9425"/>
    </row>
    <row r="9426" spans="14:58" ht="12" customHeight="1">
      <c r="N9426" s="594" t="str">
        <f>IF(TEMPLATE_CLAIM="P","5.1.1.2.2","")</f>
        <v/>
      </c>
      <c r="O9426" s="593" t="str">
        <f>IF(TEMPLATE_CLAIM="P","от станций с мощностью производства &lt; 25 МВт","")</f>
        <v/>
      </c>
      <c r="P9426" s="257"/>
      <c r="Q9426" s="258"/>
      <c r="R9426" s="260"/>
      <c r="S9426" s="260"/>
      <c r="T9426" s="260"/>
      <c r="U9426" s="260"/>
      <c r="V9426" s="260"/>
      <c r="W9426" s="260"/>
      <c r="X9426" s="260"/>
      <c r="Y9426" s="260"/>
      <c r="Z9426" s="260"/>
      <c r="AA9426" s="260"/>
      <c r="AB9426" s="260"/>
      <c r="AC9426" s="260"/>
      <c r="AD9426" s="260"/>
      <c r="AE9426" s="260"/>
      <c r="AF9426" s="260"/>
      <c r="AG9426" s="258"/>
      <c r="AO9426"/>
      <c r="AP9426"/>
      <c r="AQ9426"/>
      <c r="AR9426"/>
      <c r="AS9426"/>
      <c r="AT9426"/>
      <c r="AU9426"/>
      <c r="AV9426"/>
      <c r="AW9426"/>
      <c r="AX9426"/>
      <c r="AY9426"/>
      <c r="AZ9426"/>
      <c r="BA9426"/>
      <c r="BB9426"/>
      <c r="BC9426"/>
      <c r="BD9426"/>
      <c r="BE9426"/>
      <c r="BF9426"/>
    </row>
    <row r="9427" spans="14:58" ht="12" customHeight="1">
      <c r="N9427" s="436"/>
      <c r="O9427" s="243"/>
      <c r="P9427" s="260"/>
      <c r="Q9427" s="258"/>
      <c r="R9427" s="260"/>
      <c r="S9427" s="260"/>
      <c r="T9427" s="260"/>
      <c r="U9427" s="260"/>
      <c r="V9427" s="260"/>
      <c r="W9427" s="260"/>
      <c r="X9427" s="260"/>
      <c r="Y9427" s="260"/>
      <c r="Z9427" s="260"/>
      <c r="AA9427" s="260"/>
      <c r="AB9427" s="260"/>
      <c r="AC9427" s="260"/>
      <c r="AD9427" s="260"/>
      <c r="AE9427" s="260"/>
      <c r="AF9427" s="260"/>
      <c r="AG9427" s="258"/>
      <c r="AO9427"/>
      <c r="AP9427"/>
      <c r="AQ9427"/>
      <c r="AR9427"/>
      <c r="AS9427"/>
      <c r="AT9427"/>
      <c r="AU9427"/>
      <c r="AV9427"/>
      <c r="AW9427"/>
      <c r="AX9427"/>
      <c r="AY9427"/>
      <c r="AZ9427"/>
      <c r="BA9427"/>
      <c r="BB9427"/>
      <c r="BC9427"/>
      <c r="BD9427"/>
      <c r="BE9427"/>
      <c r="BF9427"/>
    </row>
    <row r="9428" spans="14:58" ht="12" customHeight="1">
      <c r="N9428" s="236" t="s">
        <v>2999</v>
      </c>
      <c r="O9428" s="482" t="s">
        <v>2792</v>
      </c>
      <c r="P9428" s="257"/>
      <c r="Q9428" s="258"/>
      <c r="R9428" s="260"/>
      <c r="S9428" s="260"/>
      <c r="T9428" s="262">
        <f>IF($AP$8="I",'ТС.РО 01.01 - 30.06'!T9428,IF($AP$8="II",'ТС.РО 01.07 - 31.08'!T9428,IF($AP$8="III",'ТС.РО 01.09 - 31.12'!T9428,0)))*T9564</f>
        <v>0</v>
      </c>
      <c r="U9428" s="260"/>
      <c r="V9428" s="260"/>
      <c r="W9428" s="262">
        <f>IF($AP$8="I",'ТС.РО 01.01 - 30.06'!W9428,IF($AP$8="II",'ТС.РО 01.07 - 31.08'!W9428,IF($AP$8="III",'ТС.РО 01.09 - 31.12'!W9428,0)))*W9564</f>
        <v>0</v>
      </c>
      <c r="X9428" s="260"/>
      <c r="Y9428" s="260"/>
      <c r="Z9428" s="262">
        <f>IF($AP$8="I",'ТС.РО 01.01 - 30.06'!Z9428,IF($AP$8="II",'ТС.РО 01.07 - 31.08'!Z9428,IF($AP$8="III",'ТС.РО 01.09 - 31.12'!Z9428,0)))*Z9564</f>
        <v>0</v>
      </c>
      <c r="AA9428" s="260"/>
      <c r="AB9428" s="260"/>
      <c r="AC9428" s="262">
        <f>IF($AP$8="I",'ТС.РО 01.01 - 30.06'!AC9428,IF($AP$8="II",'ТС.РО 01.07 - 31.08'!AC9428,IF($AP$8="III",'ТС.РО 01.09 - 31.12'!AC9428,0)))*AC9564</f>
        <v>0</v>
      </c>
      <c r="AD9428" s="260"/>
      <c r="AE9428" s="260"/>
      <c r="AF9428" s="262">
        <f>IF($AP$8="I",'ТС.РО 01.01 - 30.06'!AF9428,IF($AP$8="II",'ТС.РО 01.07 - 31.08'!AF9428,IF($AP$8="III",'ТС.РО 01.09 - 31.12'!AF9428,0)))*AF9564</f>
        <v>0</v>
      </c>
      <c r="AG9428" s="258"/>
      <c r="AO9428"/>
      <c r="AP9428"/>
      <c r="AQ9428"/>
      <c r="AR9428"/>
      <c r="AS9428"/>
      <c r="AT9428"/>
      <c r="AU9428"/>
      <c r="AV9428"/>
      <c r="AW9428"/>
      <c r="AX9428"/>
      <c r="AY9428"/>
      <c r="AZ9428"/>
      <c r="BA9428"/>
      <c r="BB9428"/>
      <c r="BC9428"/>
      <c r="BD9428"/>
      <c r="BE9428"/>
      <c r="BF9428"/>
    </row>
    <row r="9429" spans="14:58" ht="12" customHeight="1">
      <c r="N9429" s="594" t="str">
        <f>IF(TEMPLATE_CLAIM="P","5.1.1.3.1","")</f>
        <v/>
      </c>
      <c r="O9429" s="593" t="str">
        <f>IF(TEMPLATE_CLAIM="P","от станций с мощностью производства &gt;= 25 МВт","")</f>
        <v/>
      </c>
      <c r="P9429" s="257"/>
      <c r="Q9429" s="258"/>
      <c r="R9429" s="260"/>
      <c r="S9429" s="260"/>
      <c r="T9429" s="260"/>
      <c r="U9429" s="260"/>
      <c r="V9429" s="260"/>
      <c r="W9429" s="260"/>
      <c r="X9429" s="260"/>
      <c r="Y9429" s="260"/>
      <c r="Z9429" s="260"/>
      <c r="AA9429" s="260"/>
      <c r="AB9429" s="260"/>
      <c r="AC9429" s="260"/>
      <c r="AD9429" s="260"/>
      <c r="AE9429" s="260"/>
      <c r="AF9429" s="260"/>
      <c r="AG9429" s="258"/>
      <c r="AO9429"/>
      <c r="AP9429"/>
      <c r="AQ9429"/>
      <c r="AR9429"/>
      <c r="AS9429"/>
      <c r="AT9429"/>
      <c r="AU9429"/>
      <c r="AV9429"/>
      <c r="AW9429"/>
      <c r="AX9429"/>
      <c r="AY9429"/>
      <c r="AZ9429"/>
      <c r="BA9429"/>
      <c r="BB9429"/>
      <c r="BC9429"/>
      <c r="BD9429"/>
      <c r="BE9429"/>
      <c r="BF9429"/>
    </row>
    <row r="9430" spans="14:58" ht="12" customHeight="1">
      <c r="N9430" s="594" t="str">
        <f>IF(TEMPLATE_CLAIM="P","5.1.1.3.2","")</f>
        <v/>
      </c>
      <c r="O9430" s="593" t="str">
        <f>IF(TEMPLATE_CLAIM="P","от станций с мощностью производства &lt; 25 МВт","")</f>
        <v/>
      </c>
      <c r="P9430" s="257"/>
      <c r="Q9430" s="258"/>
      <c r="R9430" s="260"/>
      <c r="S9430" s="260"/>
      <c r="T9430" s="260"/>
      <c r="U9430" s="260"/>
      <c r="V9430" s="260"/>
      <c r="W9430" s="260"/>
      <c r="X9430" s="260"/>
      <c r="Y9430" s="260"/>
      <c r="Z9430" s="260"/>
      <c r="AA9430" s="260"/>
      <c r="AB9430" s="260"/>
      <c r="AC9430" s="260"/>
      <c r="AD9430" s="260"/>
      <c r="AE9430" s="260"/>
      <c r="AF9430" s="260"/>
      <c r="AG9430" s="258"/>
      <c r="AO9430"/>
      <c r="AP9430"/>
      <c r="AQ9430"/>
      <c r="AR9430"/>
      <c r="AS9430"/>
      <c r="AT9430"/>
      <c r="AU9430"/>
      <c r="AV9430"/>
      <c r="AW9430"/>
      <c r="AX9430"/>
      <c r="AY9430"/>
      <c r="AZ9430"/>
      <c r="BA9430"/>
      <c r="BB9430"/>
      <c r="BC9430"/>
      <c r="BD9430"/>
      <c r="BE9430"/>
      <c r="BF9430"/>
    </row>
    <row r="9431" spans="14:58" ht="12" customHeight="1">
      <c r="N9431" s="594" t="str">
        <f>IF(TEMPLATE_CLAIM="P","5.1.1.3.3","")</f>
        <v/>
      </c>
      <c r="O9431" s="593" t="str">
        <f>IF(TEMPLATE_CLAIM="P","от котельных (некомбинированная выработка)","")</f>
        <v/>
      </c>
      <c r="P9431" s="257"/>
      <c r="Q9431" s="258"/>
      <c r="R9431" s="260"/>
      <c r="S9431" s="260"/>
      <c r="T9431" s="260"/>
      <c r="U9431" s="260"/>
      <c r="V9431" s="260"/>
      <c r="W9431" s="260"/>
      <c r="X9431" s="260"/>
      <c r="Y9431" s="260"/>
      <c r="Z9431" s="260"/>
      <c r="AA9431" s="260"/>
      <c r="AB9431" s="260"/>
      <c r="AC9431" s="260"/>
      <c r="AD9431" s="260"/>
      <c r="AE9431" s="260"/>
      <c r="AF9431" s="260"/>
      <c r="AG9431" s="258"/>
      <c r="AO9431"/>
      <c r="AP9431"/>
      <c r="AQ9431"/>
      <c r="AR9431"/>
      <c r="AS9431"/>
      <c r="AT9431"/>
      <c r="AU9431"/>
      <c r="AV9431"/>
      <c r="AW9431"/>
      <c r="AX9431"/>
      <c r="AY9431"/>
      <c r="AZ9431"/>
      <c r="BA9431"/>
      <c r="BB9431"/>
      <c r="BC9431"/>
      <c r="BD9431"/>
      <c r="BE9431"/>
      <c r="BF9431"/>
    </row>
    <row r="9432" spans="14:58" ht="12" customHeight="1">
      <c r="N9432" s="236" t="s">
        <v>3002</v>
      </c>
      <c r="O9432" s="482" t="s">
        <v>756</v>
      </c>
      <c r="P9432" s="257"/>
      <c r="Q9432" s="258"/>
      <c r="R9432" s="260"/>
      <c r="S9432" s="260"/>
      <c r="T9432" s="262">
        <f>IF($AP$8="I",'ТС.РО 01.01 - 30.06'!T9432,IF($AP$8="II",'ТС.РО 01.07 - 31.08'!T9432,IF($AP$8="III",'ТС.РО 01.09 - 31.12'!T9432,0)))*T9564</f>
        <v>0</v>
      </c>
      <c r="U9432" s="260"/>
      <c r="V9432" s="260"/>
      <c r="W9432" s="262">
        <f>IF($AP$8="I",'ТС.РО 01.01 - 30.06'!W9432,IF($AP$8="II",'ТС.РО 01.07 - 31.08'!W9432,IF($AP$8="III",'ТС.РО 01.09 - 31.12'!W9432,0)))*W9564</f>
        <v>0</v>
      </c>
      <c r="X9432" s="260"/>
      <c r="Y9432" s="260"/>
      <c r="Z9432" s="262">
        <f>IF($AP$8="I",'ТС.РО 01.01 - 30.06'!Z9432,IF($AP$8="II",'ТС.РО 01.07 - 31.08'!Z9432,IF($AP$8="III",'ТС.РО 01.09 - 31.12'!Z9432,0)))*Z9564</f>
        <v>0</v>
      </c>
      <c r="AA9432" s="260"/>
      <c r="AB9432" s="260"/>
      <c r="AC9432" s="262">
        <f>IF($AP$8="I",'ТС.РО 01.01 - 30.06'!AC9432,IF($AP$8="II",'ТС.РО 01.07 - 31.08'!AC9432,IF($AP$8="III",'ТС.РО 01.09 - 31.12'!AC9432,0)))*AC9564</f>
        <v>0</v>
      </c>
      <c r="AD9432" s="260"/>
      <c r="AE9432" s="260"/>
      <c r="AF9432" s="262">
        <f>IF($AP$8="I",'ТС.РО 01.01 - 30.06'!AF9432,IF($AP$8="II",'ТС.РО 01.07 - 31.08'!AF9432,IF($AP$8="III",'ТС.РО 01.09 - 31.12'!AF9432,0)))*AF9564</f>
        <v>0</v>
      </c>
      <c r="AG9432" s="258"/>
      <c r="AO9432"/>
      <c r="AP9432"/>
      <c r="AQ9432"/>
      <c r="AR9432"/>
      <c r="AS9432"/>
      <c r="AT9432"/>
      <c r="AU9432"/>
      <c r="AV9432"/>
      <c r="AW9432"/>
      <c r="AX9432"/>
      <c r="AY9432"/>
      <c r="AZ9432"/>
      <c r="BA9432"/>
      <c r="BB9432"/>
      <c r="BC9432"/>
      <c r="BD9432"/>
      <c r="BE9432"/>
      <c r="BF9432"/>
    </row>
    <row r="9433" spans="14:58" ht="12" customHeight="1">
      <c r="N9433" s="594" t="str">
        <f>IF(TEMPLATE_CLAIM="P","5.1.1.4.1","")</f>
        <v/>
      </c>
      <c r="O9433" s="593" t="str">
        <f>IF(TEMPLATE_CLAIM="P","от станций с мощностью производства &gt;= 25 МВт","")</f>
        <v/>
      </c>
      <c r="P9433" s="257"/>
      <c r="Q9433" s="258"/>
      <c r="R9433" s="260"/>
      <c r="S9433" s="260"/>
      <c r="T9433" s="260"/>
      <c r="U9433" s="260"/>
      <c r="V9433" s="260"/>
      <c r="W9433" s="260"/>
      <c r="X9433" s="260"/>
      <c r="Y9433" s="260"/>
      <c r="Z9433" s="260"/>
      <c r="AA9433" s="260"/>
      <c r="AB9433" s="260"/>
      <c r="AC9433" s="260"/>
      <c r="AD9433" s="260"/>
      <c r="AE9433" s="260"/>
      <c r="AF9433" s="260"/>
      <c r="AG9433" s="258"/>
      <c r="AO9433"/>
      <c r="AP9433"/>
      <c r="AQ9433"/>
      <c r="AR9433"/>
      <c r="AS9433"/>
      <c r="AT9433"/>
      <c r="AU9433"/>
      <c r="AV9433"/>
      <c r="AW9433"/>
      <c r="AX9433"/>
      <c r="AY9433"/>
      <c r="AZ9433"/>
      <c r="BA9433"/>
      <c r="BB9433"/>
      <c r="BC9433"/>
      <c r="BD9433"/>
      <c r="BE9433"/>
      <c r="BF9433"/>
    </row>
    <row r="9434" spans="14:58" ht="12" customHeight="1">
      <c r="N9434" s="594" t="str">
        <f>IF(TEMPLATE_CLAIM="P","5.1.1.4.2","")</f>
        <v/>
      </c>
      <c r="O9434" s="593" t="str">
        <f>IF(TEMPLATE_CLAIM="P","от станций с мощностью производства &lt; 25 МВт","")</f>
        <v/>
      </c>
      <c r="P9434" s="257"/>
      <c r="Q9434" s="258"/>
      <c r="R9434" s="260"/>
      <c r="S9434" s="260"/>
      <c r="T9434" s="260"/>
      <c r="U9434" s="260"/>
      <c r="V9434" s="260"/>
      <c r="W9434" s="260"/>
      <c r="X9434" s="260"/>
      <c r="Y9434" s="260"/>
      <c r="Z9434" s="260"/>
      <c r="AA9434" s="260"/>
      <c r="AB9434" s="260"/>
      <c r="AC9434" s="260"/>
      <c r="AD9434" s="260"/>
      <c r="AE9434" s="260"/>
      <c r="AF9434" s="260"/>
      <c r="AG9434" s="258"/>
      <c r="AO9434"/>
      <c r="AP9434"/>
      <c r="AQ9434"/>
      <c r="AR9434"/>
      <c r="AS9434"/>
      <c r="AT9434"/>
      <c r="AU9434"/>
      <c r="AV9434"/>
      <c r="AW9434"/>
      <c r="AX9434"/>
      <c r="AY9434"/>
      <c r="AZ9434"/>
      <c r="BA9434"/>
      <c r="BB9434"/>
      <c r="BC9434"/>
      <c r="BD9434"/>
      <c r="BE9434"/>
      <c r="BF9434"/>
    </row>
    <row r="9435" spans="14:58" ht="12" customHeight="1">
      <c r="N9435" s="594" t="str">
        <f>IF(TEMPLATE_CLAIM="P","5.1.1.4.3","")</f>
        <v/>
      </c>
      <c r="O9435" s="593" t="str">
        <f>IF(TEMPLATE_CLAIM="P","от котельных (некомбинированная выработка)","")</f>
        <v/>
      </c>
      <c r="P9435" s="257"/>
      <c r="Q9435" s="258"/>
      <c r="R9435" s="260"/>
      <c r="S9435" s="260"/>
      <c r="T9435" s="260"/>
      <c r="U9435" s="260"/>
      <c r="V9435" s="260"/>
      <c r="W9435" s="260"/>
      <c r="X9435" s="260"/>
      <c r="Y9435" s="260"/>
      <c r="Z9435" s="260"/>
      <c r="AA9435" s="260"/>
      <c r="AB9435" s="260"/>
      <c r="AC9435" s="260"/>
      <c r="AD9435" s="260"/>
      <c r="AE9435" s="260"/>
      <c r="AF9435" s="260"/>
      <c r="AG9435" s="258"/>
      <c r="AO9435"/>
      <c r="AP9435"/>
      <c r="AQ9435"/>
      <c r="AR9435"/>
      <c r="AS9435"/>
      <c r="AT9435"/>
      <c r="AU9435"/>
      <c r="AV9435"/>
      <c r="AW9435"/>
      <c r="AX9435"/>
      <c r="AY9435"/>
      <c r="AZ9435"/>
      <c r="BA9435"/>
      <c r="BB9435"/>
      <c r="BC9435"/>
      <c r="BD9435"/>
      <c r="BE9435"/>
      <c r="BF9435"/>
    </row>
    <row r="9436" spans="14:58" ht="12" customHeight="1">
      <c r="N9436" s="234" t="s">
        <v>3003</v>
      </c>
      <c r="O9436" s="225" t="s">
        <v>3004</v>
      </c>
      <c r="P9436" s="257"/>
      <c r="Q9436" s="258"/>
      <c r="R9436" s="260"/>
      <c r="S9436" s="260"/>
      <c r="T9436" s="262">
        <f>IF($AP$8="I",'ТС.РО 01.01 - 30.06'!T9436,IF($AP$8="II",'ТС.РО 01.07 - 31.08'!T9436,IF($AP$8="III",'ТС.РО 01.09 - 31.12'!T9436,0)))*T9564</f>
        <v>0</v>
      </c>
      <c r="U9436" s="260"/>
      <c r="V9436" s="260"/>
      <c r="W9436" s="262">
        <f>IF($AP$8="I",'ТС.РО 01.01 - 30.06'!W9436,IF($AP$8="II",'ТС.РО 01.07 - 31.08'!W9436,IF($AP$8="III",'ТС.РО 01.09 - 31.12'!W9436,0)))*W9564</f>
        <v>0</v>
      </c>
      <c r="X9436" s="260"/>
      <c r="Y9436" s="260"/>
      <c r="Z9436" s="262">
        <f>IF($AP$8="I",'ТС.РО 01.01 - 30.06'!Z9436,IF($AP$8="II",'ТС.РО 01.07 - 31.08'!Z9436,IF($AP$8="III",'ТС.РО 01.09 - 31.12'!Z9436,0)))*Z9564</f>
        <v>0</v>
      </c>
      <c r="AA9436" s="260"/>
      <c r="AB9436" s="260"/>
      <c r="AC9436" s="262">
        <f>IF($AP$8="I",'ТС.РО 01.01 - 30.06'!AC9436,IF($AP$8="II",'ТС.РО 01.07 - 31.08'!AC9436,IF($AP$8="III",'ТС.РО 01.09 - 31.12'!AC9436,0)))*AC9564</f>
        <v>0</v>
      </c>
      <c r="AD9436" s="260"/>
      <c r="AE9436" s="260"/>
      <c r="AF9436" s="262">
        <f>IF($AP$8="I",'ТС.РО 01.01 - 30.06'!AF9436,IF($AP$8="II",'ТС.РО 01.07 - 31.08'!AF9436,IF($AP$8="III",'ТС.РО 01.09 - 31.12'!AF9436,0)))*AF9564</f>
        <v>0</v>
      </c>
      <c r="AG9436" s="258"/>
      <c r="AO9436"/>
      <c r="AP9436"/>
      <c r="AQ9436"/>
      <c r="AR9436"/>
      <c r="AS9436"/>
      <c r="AT9436"/>
      <c r="AU9436"/>
      <c r="AV9436"/>
      <c r="AW9436"/>
      <c r="AX9436"/>
      <c r="AY9436"/>
      <c r="AZ9436"/>
      <c r="BA9436"/>
      <c r="BB9436"/>
      <c r="BC9436"/>
      <c r="BD9436"/>
      <c r="BE9436"/>
      <c r="BF9436"/>
    </row>
    <row r="9437" spans="14:58" ht="12" customHeight="1">
      <c r="N9437" s="234" t="s">
        <v>3006</v>
      </c>
      <c r="O9437" s="225" t="s">
        <v>3007</v>
      </c>
      <c r="P9437" s="257"/>
      <c r="Q9437" s="258"/>
      <c r="R9437" s="260"/>
      <c r="S9437" s="260"/>
      <c r="T9437" s="726">
        <f>IF($AP$8="I",'ТС.РО 01.01 - 30.06'!T9437,IF($AP$8="II",'ТС.РО 01.07 - 31.08'!T9437,IF($AP$8="III",'ТС.РО 01.09 - 31.12'!T9437,0)))*T9564</f>
        <v>0</v>
      </c>
      <c r="U9437" s="260"/>
      <c r="V9437" s="260"/>
      <c r="W9437" s="726">
        <f>IF($AP$8="I",'ТС.РО 01.01 - 30.06'!W9437,IF($AP$8="II",'ТС.РО 01.07 - 31.08'!W9437,IF($AP$8="III",'ТС.РО 01.09 - 31.12'!W9437,0)))*W9564</f>
        <v>0</v>
      </c>
      <c r="X9437" s="260"/>
      <c r="Y9437" s="260"/>
      <c r="Z9437" s="726">
        <f>IF($AP$8="I",'ТС.РО 01.01 - 30.06'!Z9437,IF($AP$8="II",'ТС.РО 01.07 - 31.08'!Z9437,IF($AP$8="III",'ТС.РО 01.09 - 31.12'!Z9437,0)))*Z9564</f>
        <v>0</v>
      </c>
      <c r="AA9437" s="260"/>
      <c r="AB9437" s="260"/>
      <c r="AC9437" s="726">
        <f>IF($AP$8="I",'ТС.РО 01.01 - 30.06'!AC9437,IF($AP$8="II",'ТС.РО 01.07 - 31.08'!AC9437,IF($AP$8="III",'ТС.РО 01.09 - 31.12'!AC9437,0)))*AC9564</f>
        <v>0</v>
      </c>
      <c r="AD9437" s="260"/>
      <c r="AE9437" s="260"/>
      <c r="AF9437" s="726">
        <f>IF($AP$8="I",'ТС.РО 01.01 - 30.06'!AF9437,IF($AP$8="II",'ТС.РО 01.07 - 31.08'!AF9437,IF($AP$8="III",'ТС.РО 01.09 - 31.12'!AF9437,0)))*AF9564</f>
        <v>0</v>
      </c>
      <c r="AG9437" s="258"/>
      <c r="AO9437"/>
      <c r="AP9437"/>
      <c r="AQ9437"/>
      <c r="AR9437"/>
      <c r="AS9437"/>
      <c r="AT9437"/>
      <c r="AU9437"/>
      <c r="AV9437"/>
      <c r="AW9437"/>
      <c r="AX9437"/>
      <c r="AY9437"/>
      <c r="AZ9437"/>
      <c r="BA9437"/>
      <c r="BB9437"/>
      <c r="BC9437"/>
      <c r="BD9437"/>
      <c r="BE9437"/>
      <c r="BF9437"/>
    </row>
    <row r="9438" spans="14:58" ht="12" customHeight="1">
      <c r="N9438" s="236" t="s">
        <v>3008</v>
      </c>
      <c r="O9438" s="242" t="s">
        <v>2986</v>
      </c>
      <c r="P9438" s="257"/>
      <c r="Q9438" s="258"/>
      <c r="R9438" s="260"/>
      <c r="S9438" s="260"/>
      <c r="T9438" s="726">
        <f>IF($AP$8="I",'ТС.РО 01.01 - 30.06'!T9438,IF($AP$8="II",'ТС.РО 01.07 - 31.08'!T9438,IF($AP$8="III",'ТС.РО 01.09 - 31.12'!T9438,0)))*T9564</f>
        <v>0</v>
      </c>
      <c r="U9438" s="260"/>
      <c r="V9438" s="260"/>
      <c r="W9438" s="726">
        <f>IF($AP$8="I",'ТС.РО 01.01 - 30.06'!W9438,IF($AP$8="II",'ТС.РО 01.07 - 31.08'!W9438,IF($AP$8="III",'ТС.РО 01.09 - 31.12'!W9438,0)))*W9564</f>
        <v>0</v>
      </c>
      <c r="X9438" s="260"/>
      <c r="Y9438" s="260"/>
      <c r="Z9438" s="726">
        <f>IF($AP$8="I",'ТС.РО 01.01 - 30.06'!Z9438,IF($AP$8="II",'ТС.РО 01.07 - 31.08'!Z9438,IF($AP$8="III",'ТС.РО 01.09 - 31.12'!Z9438,0)))*Z9564</f>
        <v>0</v>
      </c>
      <c r="AA9438" s="260"/>
      <c r="AB9438" s="260"/>
      <c r="AC9438" s="726">
        <f>IF($AP$8="I",'ТС.РО 01.01 - 30.06'!AC9438,IF($AP$8="II",'ТС.РО 01.07 - 31.08'!AC9438,IF($AP$8="III",'ТС.РО 01.09 - 31.12'!AC9438,0)))*AC9564</f>
        <v>0</v>
      </c>
      <c r="AD9438" s="260"/>
      <c r="AE9438" s="260"/>
      <c r="AF9438" s="726">
        <f>IF($AP$8="I",'ТС.РО 01.01 - 30.06'!AF9438,IF($AP$8="II",'ТС.РО 01.07 - 31.08'!AF9438,IF($AP$8="III",'ТС.РО 01.09 - 31.12'!AF9438,0)))*AF9564</f>
        <v>0</v>
      </c>
      <c r="AG9438" s="258"/>
      <c r="AO9438"/>
      <c r="AP9438"/>
      <c r="AQ9438"/>
      <c r="AR9438"/>
      <c r="AS9438"/>
      <c r="AT9438"/>
      <c r="AU9438"/>
      <c r="AV9438"/>
      <c r="AW9438"/>
      <c r="AX9438"/>
      <c r="AY9438"/>
      <c r="AZ9438"/>
      <c r="BA9438"/>
      <c r="BB9438"/>
      <c r="BC9438"/>
      <c r="BD9438"/>
      <c r="BE9438"/>
      <c r="BF9438"/>
    </row>
    <row r="9439" spans="14:58" ht="12" customHeight="1">
      <c r="N9439" s="236" t="s">
        <v>3009</v>
      </c>
      <c r="O9439" s="242" t="s">
        <v>2988</v>
      </c>
      <c r="P9439" s="257"/>
      <c r="Q9439" s="258"/>
      <c r="R9439" s="260"/>
      <c r="S9439" s="260"/>
      <c r="T9439" s="726">
        <f>IF($AP$8="I",'ТС.РО 01.01 - 30.06'!T9439,IF($AP$8="II",'ТС.РО 01.07 - 31.08'!T9439,IF($AP$8="III",'ТС.РО 01.09 - 31.12'!T9439,0)))*T9564</f>
        <v>0</v>
      </c>
      <c r="U9439" s="260"/>
      <c r="V9439" s="260"/>
      <c r="W9439" s="726">
        <f>IF($AP$8="I",'ТС.РО 01.01 - 30.06'!W9439,IF($AP$8="II",'ТС.РО 01.07 - 31.08'!W9439,IF($AP$8="III",'ТС.РО 01.09 - 31.12'!W9439,0)))*W9564</f>
        <v>0</v>
      </c>
      <c r="X9439" s="260"/>
      <c r="Y9439" s="260"/>
      <c r="Z9439" s="726">
        <f>IF($AP$8="I",'ТС.РО 01.01 - 30.06'!Z9439,IF($AP$8="II",'ТС.РО 01.07 - 31.08'!Z9439,IF($AP$8="III",'ТС.РО 01.09 - 31.12'!Z9439,0)))*Z9564</f>
        <v>0</v>
      </c>
      <c r="AA9439" s="260"/>
      <c r="AB9439" s="260"/>
      <c r="AC9439" s="726">
        <f>IF($AP$8="I",'ТС.РО 01.01 - 30.06'!AC9439,IF($AP$8="II",'ТС.РО 01.07 - 31.08'!AC9439,IF($AP$8="III",'ТС.РО 01.09 - 31.12'!AC9439,0)))*AC9564</f>
        <v>0</v>
      </c>
      <c r="AD9439" s="260"/>
      <c r="AE9439" s="260"/>
      <c r="AF9439" s="726">
        <f>IF($AP$8="I",'ТС.РО 01.01 - 30.06'!AF9439,IF($AP$8="II",'ТС.РО 01.07 - 31.08'!AF9439,IF($AP$8="III",'ТС.РО 01.09 - 31.12'!AF9439,0)))*AF9564</f>
        <v>0</v>
      </c>
      <c r="AG9439" s="258"/>
      <c r="AO9439"/>
      <c r="AP9439"/>
      <c r="AQ9439"/>
      <c r="AR9439"/>
      <c r="AS9439"/>
      <c r="AT9439"/>
      <c r="AU9439"/>
      <c r="AV9439"/>
      <c r="AW9439"/>
      <c r="AX9439"/>
      <c r="AY9439"/>
      <c r="AZ9439"/>
      <c r="BA9439"/>
      <c r="BB9439"/>
      <c r="BC9439"/>
      <c r="BD9439"/>
      <c r="BE9439"/>
      <c r="BF9439"/>
    </row>
    <row r="9440" spans="14:58" ht="12" hidden="1" customHeight="1">
      <c r="N9440" s="223"/>
      <c r="O9440" s="447"/>
      <c r="P9440" s="260"/>
      <c r="Q9440" s="258"/>
      <c r="R9440" s="260"/>
      <c r="S9440" s="260"/>
      <c r="T9440" s="260"/>
      <c r="U9440" s="260"/>
      <c r="V9440" s="260"/>
      <c r="W9440" s="260"/>
      <c r="X9440" s="260"/>
      <c r="Y9440" s="260"/>
      <c r="Z9440" s="260"/>
      <c r="AA9440" s="260"/>
      <c r="AB9440" s="260"/>
      <c r="AC9440" s="260"/>
      <c r="AD9440" s="260"/>
      <c r="AE9440" s="260"/>
      <c r="AF9440" s="260"/>
      <c r="AG9440" s="258"/>
      <c r="AO9440"/>
      <c r="AP9440"/>
      <c r="AQ9440"/>
      <c r="AR9440"/>
      <c r="AS9440"/>
      <c r="AT9440"/>
      <c r="AU9440"/>
      <c r="AV9440"/>
      <c r="AW9440"/>
      <c r="AX9440"/>
      <c r="AY9440"/>
      <c r="AZ9440"/>
      <c r="BA9440"/>
      <c r="BB9440"/>
      <c r="BC9440"/>
      <c r="BD9440"/>
      <c r="BE9440"/>
      <c r="BF9440"/>
    </row>
    <row r="9441" spans="14:58" ht="12" hidden="1" customHeight="1">
      <c r="N9441" s="223"/>
      <c r="O9441" s="717"/>
      <c r="P9441" s="260"/>
      <c r="Q9441" s="258"/>
      <c r="R9441" s="260"/>
      <c r="S9441" s="260"/>
      <c r="T9441" s="260"/>
      <c r="U9441" s="260"/>
      <c r="V9441" s="260"/>
      <c r="W9441" s="260"/>
      <c r="X9441" s="260"/>
      <c r="Y9441" s="260"/>
      <c r="Z9441" s="260"/>
      <c r="AA9441" s="260"/>
      <c r="AB9441" s="260"/>
      <c r="AC9441" s="260"/>
      <c r="AD9441" s="260"/>
      <c r="AE9441" s="260"/>
      <c r="AF9441" s="260"/>
      <c r="AG9441" s="258"/>
      <c r="AO9441"/>
      <c r="AP9441"/>
      <c r="AQ9441"/>
      <c r="AR9441"/>
      <c r="AS9441"/>
      <c r="AT9441"/>
      <c r="AU9441"/>
      <c r="AV9441"/>
      <c r="AW9441"/>
      <c r="AX9441"/>
      <c r="AY9441"/>
      <c r="AZ9441"/>
      <c r="BA9441"/>
      <c r="BB9441"/>
      <c r="BC9441"/>
      <c r="BD9441"/>
      <c r="BE9441"/>
      <c r="BF9441"/>
    </row>
    <row r="9442" spans="14:58" ht="12" hidden="1" customHeight="1">
      <c r="N9442" s="223"/>
      <c r="O9442" s="717"/>
      <c r="P9442" s="260"/>
      <c r="Q9442" s="258"/>
      <c r="R9442" s="260"/>
      <c r="S9442" s="260"/>
      <c r="T9442" s="260"/>
      <c r="U9442" s="260"/>
      <c r="V9442" s="260"/>
      <c r="W9442" s="260"/>
      <c r="X9442" s="260"/>
      <c r="Y9442" s="260"/>
      <c r="Z9442" s="260"/>
      <c r="AA9442" s="260"/>
      <c r="AB9442" s="260"/>
      <c r="AC9442" s="260"/>
      <c r="AD9442" s="260"/>
      <c r="AE9442" s="260"/>
      <c r="AF9442" s="260"/>
      <c r="AG9442" s="258"/>
      <c r="AO9442"/>
      <c r="AP9442"/>
      <c r="AQ9442"/>
      <c r="AR9442"/>
      <c r="AS9442"/>
      <c r="AT9442"/>
      <c r="AU9442"/>
      <c r="AV9442"/>
      <c r="AW9442"/>
      <c r="AX9442"/>
      <c r="AY9442"/>
      <c r="AZ9442"/>
      <c r="BA9442"/>
      <c r="BB9442"/>
      <c r="BC9442"/>
      <c r="BD9442"/>
      <c r="BE9442"/>
      <c r="BF9442"/>
    </row>
    <row r="9443" spans="14:58" ht="12" hidden="1" customHeight="1">
      <c r="N9443" s="223"/>
      <c r="O9443" s="718"/>
      <c r="P9443" s="260"/>
      <c r="Q9443" s="258"/>
      <c r="R9443" s="260"/>
      <c r="S9443" s="260"/>
      <c r="T9443" s="260"/>
      <c r="U9443" s="260"/>
      <c r="V9443" s="260"/>
      <c r="W9443" s="260"/>
      <c r="X9443" s="260"/>
      <c r="Y9443" s="260"/>
      <c r="Z9443" s="260"/>
      <c r="AA9443" s="260"/>
      <c r="AB9443" s="260"/>
      <c r="AC9443" s="260"/>
      <c r="AD9443" s="260"/>
      <c r="AE9443" s="260"/>
      <c r="AF9443" s="260"/>
      <c r="AG9443" s="258"/>
      <c r="AO9443"/>
      <c r="AP9443"/>
      <c r="AQ9443"/>
      <c r="AR9443"/>
      <c r="AS9443"/>
      <c r="AT9443"/>
      <c r="AU9443"/>
      <c r="AV9443"/>
      <c r="AW9443"/>
      <c r="AX9443"/>
      <c r="AY9443"/>
      <c r="AZ9443"/>
      <c r="BA9443"/>
      <c r="BB9443"/>
      <c r="BC9443"/>
      <c r="BD9443"/>
      <c r="BE9443"/>
      <c r="BF9443"/>
    </row>
    <row r="9444" spans="14:58" ht="12" hidden="1" customHeight="1">
      <c r="N9444" s="223"/>
      <c r="O9444" s="717"/>
      <c r="P9444" s="260"/>
      <c r="Q9444" s="258"/>
      <c r="R9444" s="260"/>
      <c r="S9444" s="260"/>
      <c r="T9444" s="260"/>
      <c r="U9444" s="260"/>
      <c r="V9444" s="260"/>
      <c r="W9444" s="260"/>
      <c r="X9444" s="260"/>
      <c r="Y9444" s="260"/>
      <c r="Z9444" s="260"/>
      <c r="AA9444" s="260"/>
      <c r="AB9444" s="260"/>
      <c r="AC9444" s="260"/>
      <c r="AD9444" s="260"/>
      <c r="AE9444" s="260"/>
      <c r="AF9444" s="260"/>
      <c r="AG9444" s="258"/>
      <c r="AO9444"/>
      <c r="AP9444"/>
      <c r="AQ9444"/>
      <c r="AR9444"/>
      <c r="AS9444"/>
      <c r="AT9444"/>
      <c r="AU9444"/>
      <c r="AV9444"/>
      <c r="AW9444"/>
      <c r="AX9444"/>
      <c r="AY9444"/>
      <c r="AZ9444"/>
      <c r="BA9444"/>
      <c r="BB9444"/>
      <c r="BC9444"/>
      <c r="BD9444"/>
      <c r="BE9444"/>
      <c r="BF9444"/>
    </row>
    <row r="9445" spans="14:58" ht="12" hidden="1" customHeight="1">
      <c r="N9445" s="223"/>
      <c r="O9445" s="717"/>
      <c r="P9445" s="260"/>
      <c r="Q9445" s="258"/>
      <c r="R9445" s="260"/>
      <c r="S9445" s="260"/>
      <c r="T9445" s="260"/>
      <c r="U9445" s="260"/>
      <c r="V9445" s="260"/>
      <c r="W9445" s="260"/>
      <c r="X9445" s="260"/>
      <c r="Y9445" s="260"/>
      <c r="Z9445" s="260"/>
      <c r="AA9445" s="260"/>
      <c r="AB9445" s="260"/>
      <c r="AC9445" s="260"/>
      <c r="AD9445" s="260"/>
      <c r="AE9445" s="260"/>
      <c r="AF9445" s="260"/>
      <c r="AG9445" s="258"/>
      <c r="AO9445"/>
      <c r="AP9445"/>
      <c r="AQ9445"/>
      <c r="AR9445"/>
      <c r="AS9445"/>
      <c r="AT9445"/>
      <c r="AU9445"/>
      <c r="AV9445"/>
      <c r="AW9445"/>
      <c r="AX9445"/>
      <c r="AY9445"/>
      <c r="AZ9445"/>
      <c r="BA9445"/>
      <c r="BB9445"/>
      <c r="BC9445"/>
      <c r="BD9445"/>
      <c r="BE9445"/>
      <c r="BF9445"/>
    </row>
    <row r="9446" spans="14:58" ht="12" hidden="1" customHeight="1">
      <c r="N9446" s="223"/>
      <c r="O9446" s="447"/>
      <c r="P9446" s="260"/>
      <c r="Q9446" s="258"/>
      <c r="R9446" s="260"/>
      <c r="S9446" s="260"/>
      <c r="T9446" s="260"/>
      <c r="U9446" s="260"/>
      <c r="V9446" s="260"/>
      <c r="W9446" s="260"/>
      <c r="X9446" s="260"/>
      <c r="Y9446" s="260"/>
      <c r="Z9446" s="260"/>
      <c r="AA9446" s="260"/>
      <c r="AB9446" s="260"/>
      <c r="AC9446" s="260"/>
      <c r="AD9446" s="260"/>
      <c r="AE9446" s="260"/>
      <c r="AF9446" s="260"/>
      <c r="AG9446" s="258"/>
      <c r="AO9446"/>
      <c r="AP9446"/>
      <c r="AQ9446"/>
      <c r="AR9446"/>
      <c r="AS9446"/>
      <c r="AT9446"/>
      <c r="AU9446"/>
      <c r="AV9446"/>
      <c r="AW9446"/>
      <c r="AX9446"/>
      <c r="AY9446"/>
      <c r="AZ9446"/>
      <c r="BA9446"/>
      <c r="BB9446"/>
      <c r="BC9446"/>
      <c r="BD9446"/>
      <c r="BE9446"/>
      <c r="BF9446"/>
    </row>
    <row r="9447" spans="14:58" ht="12" hidden="1" customHeight="1">
      <c r="N9447" s="223"/>
      <c r="O9447" s="717"/>
      <c r="P9447" s="260"/>
      <c r="Q9447" s="258"/>
      <c r="R9447" s="260"/>
      <c r="S9447" s="260"/>
      <c r="T9447" s="260"/>
      <c r="U9447" s="260"/>
      <c r="V9447" s="260"/>
      <c r="W9447" s="260"/>
      <c r="X9447" s="260"/>
      <c r="Y9447" s="260"/>
      <c r="Z9447" s="260"/>
      <c r="AA9447" s="260"/>
      <c r="AB9447" s="260"/>
      <c r="AC9447" s="260"/>
      <c r="AD9447" s="260"/>
      <c r="AE9447" s="260"/>
      <c r="AF9447" s="260"/>
      <c r="AG9447" s="258"/>
      <c r="AO9447"/>
      <c r="AP9447"/>
      <c r="AQ9447"/>
      <c r="AR9447"/>
      <c r="AS9447"/>
      <c r="AT9447"/>
      <c r="AU9447"/>
      <c r="AV9447"/>
      <c r="AW9447"/>
      <c r="AX9447"/>
      <c r="AY9447"/>
      <c r="AZ9447"/>
      <c r="BA9447"/>
      <c r="BB9447"/>
      <c r="BC9447"/>
      <c r="BD9447"/>
      <c r="BE9447"/>
      <c r="BF9447"/>
    </row>
    <row r="9448" spans="14:58" ht="12" hidden="1" customHeight="1">
      <c r="N9448" s="223"/>
      <c r="O9448" s="717"/>
      <c r="P9448" s="260"/>
      <c r="Q9448" s="258"/>
      <c r="R9448" s="260"/>
      <c r="S9448" s="260"/>
      <c r="T9448" s="260"/>
      <c r="U9448" s="260"/>
      <c r="V9448" s="260"/>
      <c r="W9448" s="260"/>
      <c r="X9448" s="260"/>
      <c r="Y9448" s="260"/>
      <c r="Z9448" s="260"/>
      <c r="AA9448" s="260"/>
      <c r="AB9448" s="260"/>
      <c r="AC9448" s="260"/>
      <c r="AD9448" s="260"/>
      <c r="AE9448" s="260"/>
      <c r="AF9448" s="260"/>
      <c r="AG9448" s="258"/>
      <c r="AO9448"/>
      <c r="AP9448"/>
      <c r="AQ9448"/>
      <c r="AR9448"/>
      <c r="AS9448"/>
      <c r="AT9448"/>
      <c r="AU9448"/>
      <c r="AV9448"/>
      <c r="AW9448"/>
      <c r="AX9448"/>
      <c r="AY9448"/>
      <c r="AZ9448"/>
      <c r="BA9448"/>
      <c r="BB9448"/>
      <c r="BC9448"/>
      <c r="BD9448"/>
      <c r="BE9448"/>
      <c r="BF9448"/>
    </row>
    <row r="9449" spans="14:58" ht="12" hidden="1" customHeight="1">
      <c r="N9449" s="223"/>
      <c r="O9449" s="718"/>
      <c r="P9449" s="260"/>
      <c r="Q9449" s="258"/>
      <c r="R9449" s="260"/>
      <c r="S9449" s="260"/>
      <c r="T9449" s="260"/>
      <c r="U9449" s="260"/>
      <c r="V9449" s="260"/>
      <c r="W9449" s="260"/>
      <c r="X9449" s="260"/>
      <c r="Y9449" s="260"/>
      <c r="Z9449" s="260"/>
      <c r="AA9449" s="260"/>
      <c r="AB9449" s="260"/>
      <c r="AC9449" s="260"/>
      <c r="AD9449" s="260"/>
      <c r="AE9449" s="260"/>
      <c r="AF9449" s="260"/>
      <c r="AG9449" s="258"/>
      <c r="AO9449"/>
      <c r="AP9449"/>
      <c r="AQ9449"/>
      <c r="AR9449"/>
      <c r="AS9449"/>
      <c r="AT9449"/>
      <c r="AU9449"/>
      <c r="AV9449"/>
      <c r="AW9449"/>
      <c r="AX9449"/>
      <c r="AY9449"/>
      <c r="AZ9449"/>
      <c r="BA9449"/>
      <c r="BB9449"/>
      <c r="BC9449"/>
      <c r="BD9449"/>
      <c r="BE9449"/>
      <c r="BF9449"/>
    </row>
    <row r="9450" spans="14:58" ht="12" hidden="1" customHeight="1">
      <c r="N9450" s="223"/>
      <c r="O9450" s="717"/>
      <c r="P9450" s="260"/>
      <c r="Q9450" s="258"/>
      <c r="R9450" s="260"/>
      <c r="S9450" s="260"/>
      <c r="T9450" s="260"/>
      <c r="U9450" s="260"/>
      <c r="V9450" s="260"/>
      <c r="W9450" s="260"/>
      <c r="X9450" s="260"/>
      <c r="Y9450" s="260"/>
      <c r="Z9450" s="260"/>
      <c r="AA9450" s="260"/>
      <c r="AB9450" s="260"/>
      <c r="AC9450" s="260"/>
      <c r="AD9450" s="260"/>
      <c r="AE9450" s="260"/>
      <c r="AF9450" s="260"/>
      <c r="AG9450" s="258"/>
      <c r="AO9450"/>
      <c r="AP9450"/>
      <c r="AQ9450"/>
      <c r="AR9450"/>
      <c r="AS9450"/>
      <c r="AT9450"/>
      <c r="AU9450"/>
      <c r="AV9450"/>
      <c r="AW9450"/>
      <c r="AX9450"/>
      <c r="AY9450"/>
      <c r="AZ9450"/>
      <c r="BA9450"/>
      <c r="BB9450"/>
      <c r="BC9450"/>
      <c r="BD9450"/>
      <c r="BE9450"/>
      <c r="BF9450"/>
    </row>
    <row r="9451" spans="14:58" ht="12" hidden="1" customHeight="1">
      <c r="N9451" s="223"/>
      <c r="O9451" s="717"/>
      <c r="P9451" s="260"/>
      <c r="Q9451" s="258"/>
      <c r="R9451" s="260"/>
      <c r="S9451" s="260"/>
      <c r="T9451" s="260"/>
      <c r="U9451" s="260"/>
      <c r="V9451" s="260"/>
      <c r="W9451" s="260"/>
      <c r="X9451" s="260"/>
      <c r="Y9451" s="260"/>
      <c r="Z9451" s="260"/>
      <c r="AA9451" s="260"/>
      <c r="AB9451" s="260"/>
      <c r="AC9451" s="260"/>
      <c r="AD9451" s="260"/>
      <c r="AE9451" s="260"/>
      <c r="AF9451" s="260"/>
      <c r="AG9451" s="258"/>
      <c r="AO9451"/>
      <c r="AP9451"/>
      <c r="AQ9451"/>
      <c r="AR9451"/>
      <c r="AS9451"/>
      <c r="AT9451"/>
      <c r="AU9451"/>
      <c r="AV9451"/>
      <c r="AW9451"/>
      <c r="AX9451"/>
      <c r="AY9451"/>
      <c r="AZ9451"/>
      <c r="BA9451"/>
      <c r="BB9451"/>
      <c r="BC9451"/>
      <c r="BD9451"/>
      <c r="BE9451"/>
      <c r="BF9451"/>
    </row>
    <row r="9452" spans="14:58" ht="12" hidden="1" customHeight="1">
      <c r="N9452" s="223"/>
      <c r="O9452" s="447"/>
      <c r="P9452" s="260"/>
      <c r="Q9452" s="258"/>
      <c r="R9452" s="260"/>
      <c r="S9452" s="260"/>
      <c r="T9452" s="260"/>
      <c r="U9452" s="260"/>
      <c r="V9452" s="260"/>
      <c r="W9452" s="260"/>
      <c r="X9452" s="260"/>
      <c r="Y9452" s="260"/>
      <c r="Z9452" s="260"/>
      <c r="AA9452" s="260"/>
      <c r="AB9452" s="260"/>
      <c r="AC9452" s="260"/>
      <c r="AD9452" s="260"/>
      <c r="AE9452" s="260"/>
      <c r="AF9452" s="260"/>
      <c r="AG9452" s="258"/>
      <c r="AO9452"/>
      <c r="AP9452"/>
      <c r="AQ9452"/>
      <c r="AR9452"/>
      <c r="AS9452"/>
      <c r="AT9452"/>
      <c r="AU9452"/>
      <c r="AV9452"/>
      <c r="AW9452"/>
      <c r="AX9452"/>
      <c r="AY9452"/>
      <c r="AZ9452"/>
      <c r="BA9452"/>
      <c r="BB9452"/>
      <c r="BC9452"/>
      <c r="BD9452"/>
      <c r="BE9452"/>
      <c r="BF9452"/>
    </row>
    <row r="9453" spans="14:58" ht="12" hidden="1" customHeight="1">
      <c r="N9453" s="223"/>
      <c r="O9453" s="717"/>
      <c r="P9453" s="260"/>
      <c r="Q9453" s="258"/>
      <c r="R9453" s="260"/>
      <c r="S9453" s="260"/>
      <c r="T9453" s="260"/>
      <c r="U9453" s="260"/>
      <c r="V9453" s="260"/>
      <c r="W9453" s="260"/>
      <c r="X9453" s="260"/>
      <c r="Y9453" s="260"/>
      <c r="Z9453" s="260"/>
      <c r="AA9453" s="260"/>
      <c r="AB9453" s="260"/>
      <c r="AC9453" s="260"/>
      <c r="AD9453" s="260"/>
      <c r="AE9453" s="260"/>
      <c r="AF9453" s="260"/>
      <c r="AG9453" s="258"/>
      <c r="AO9453"/>
      <c r="AP9453"/>
      <c r="AQ9453"/>
      <c r="AR9453"/>
      <c r="AS9453"/>
      <c r="AT9453"/>
      <c r="AU9453"/>
      <c r="AV9453"/>
      <c r="AW9453"/>
      <c r="AX9453"/>
      <c r="AY9453"/>
      <c r="AZ9453"/>
      <c r="BA9453"/>
      <c r="BB9453"/>
      <c r="BC9453"/>
      <c r="BD9453"/>
      <c r="BE9453"/>
      <c r="BF9453"/>
    </row>
    <row r="9454" spans="14:58" ht="12" hidden="1" customHeight="1">
      <c r="N9454" s="223"/>
      <c r="O9454" s="717"/>
      <c r="P9454" s="260"/>
      <c r="Q9454" s="258"/>
      <c r="R9454" s="260"/>
      <c r="S9454" s="260"/>
      <c r="T9454" s="260"/>
      <c r="U9454" s="260"/>
      <c r="V9454" s="260"/>
      <c r="W9454" s="260"/>
      <c r="X9454" s="260"/>
      <c r="Y9454" s="260"/>
      <c r="Z9454" s="260"/>
      <c r="AA9454" s="260"/>
      <c r="AB9454" s="260"/>
      <c r="AC9454" s="260"/>
      <c r="AD9454" s="260"/>
      <c r="AE9454" s="260"/>
      <c r="AF9454" s="260"/>
      <c r="AG9454" s="258"/>
      <c r="AO9454"/>
      <c r="AP9454"/>
      <c r="AQ9454"/>
      <c r="AR9454"/>
      <c r="AS9454"/>
      <c r="AT9454"/>
      <c r="AU9454"/>
      <c r="AV9454"/>
      <c r="AW9454"/>
      <c r="AX9454"/>
      <c r="AY9454"/>
      <c r="AZ9454"/>
      <c r="BA9454"/>
      <c r="BB9454"/>
      <c r="BC9454"/>
      <c r="BD9454"/>
      <c r="BE9454"/>
      <c r="BF9454"/>
    </row>
    <row r="9455" spans="14:58" ht="12" hidden="1" customHeight="1">
      <c r="N9455" s="223"/>
      <c r="O9455" s="718"/>
      <c r="P9455" s="260"/>
      <c r="Q9455" s="258"/>
      <c r="R9455" s="260"/>
      <c r="S9455" s="260"/>
      <c r="T9455" s="260"/>
      <c r="U9455" s="260"/>
      <c r="V9455" s="260"/>
      <c r="W9455" s="260"/>
      <c r="X9455" s="260"/>
      <c r="Y9455" s="260"/>
      <c r="Z9455" s="260"/>
      <c r="AA9455" s="260"/>
      <c r="AB9455" s="260"/>
      <c r="AC9455" s="260"/>
      <c r="AD9455" s="260"/>
      <c r="AE9455" s="260"/>
      <c r="AF9455" s="260"/>
      <c r="AG9455" s="258"/>
      <c r="AO9455"/>
      <c r="AP9455"/>
      <c r="AQ9455"/>
      <c r="AR9455"/>
      <c r="AS9455"/>
      <c r="AT9455"/>
      <c r="AU9455"/>
      <c r="AV9455"/>
      <c r="AW9455"/>
      <c r="AX9455"/>
      <c r="AY9455"/>
      <c r="AZ9455"/>
      <c r="BA9455"/>
      <c r="BB9455"/>
      <c r="BC9455"/>
      <c r="BD9455"/>
      <c r="BE9455"/>
      <c r="BF9455"/>
    </row>
    <row r="9456" spans="14:58" ht="12" hidden="1" customHeight="1">
      <c r="N9456" s="223"/>
      <c r="O9456" s="717"/>
      <c r="P9456" s="260"/>
      <c r="Q9456" s="258"/>
      <c r="R9456" s="260"/>
      <c r="S9456" s="260"/>
      <c r="T9456" s="260"/>
      <c r="U9456" s="260"/>
      <c r="V9456" s="260"/>
      <c r="W9456" s="260"/>
      <c r="X9456" s="260"/>
      <c r="Y9456" s="260"/>
      <c r="Z9456" s="260"/>
      <c r="AA9456" s="260"/>
      <c r="AB9456" s="260"/>
      <c r="AC9456" s="260"/>
      <c r="AD9456" s="260"/>
      <c r="AE9456" s="260"/>
      <c r="AF9456" s="260"/>
      <c r="AG9456" s="258"/>
      <c r="AO9456"/>
      <c r="AP9456"/>
      <c r="AQ9456"/>
      <c r="AR9456"/>
      <c r="AS9456"/>
      <c r="AT9456"/>
      <c r="AU9456"/>
      <c r="AV9456"/>
      <c r="AW9456"/>
      <c r="AX9456"/>
      <c r="AY9456"/>
      <c r="AZ9456"/>
      <c r="BA9456"/>
      <c r="BB9456"/>
      <c r="BC9456"/>
      <c r="BD9456"/>
      <c r="BE9456"/>
      <c r="BF9456"/>
    </row>
    <row r="9457" spans="14:58" ht="12" hidden="1" customHeight="1">
      <c r="N9457" s="223"/>
      <c r="O9457" s="717"/>
      <c r="P9457" s="260"/>
      <c r="Q9457" s="258"/>
      <c r="R9457" s="260"/>
      <c r="S9457" s="260"/>
      <c r="T9457" s="260"/>
      <c r="U9457" s="260"/>
      <c r="V9457" s="260"/>
      <c r="W9457" s="260"/>
      <c r="X9457" s="260"/>
      <c r="Y9457" s="260"/>
      <c r="Z9457" s="260"/>
      <c r="AA9457" s="260"/>
      <c r="AB9457" s="260"/>
      <c r="AC9457" s="260"/>
      <c r="AD9457" s="260"/>
      <c r="AE9457" s="260"/>
      <c r="AF9457" s="260"/>
      <c r="AG9457" s="258"/>
      <c r="AO9457"/>
      <c r="AP9457"/>
      <c r="AQ9457"/>
      <c r="AR9457"/>
      <c r="AS9457"/>
      <c r="AT9457"/>
      <c r="AU9457"/>
      <c r="AV9457"/>
      <c r="AW9457"/>
      <c r="AX9457"/>
      <c r="AY9457"/>
      <c r="AZ9457"/>
      <c r="BA9457"/>
      <c r="BB9457"/>
      <c r="BC9457"/>
      <c r="BD9457"/>
      <c r="BE9457"/>
      <c r="BF9457"/>
    </row>
    <row r="9458" spans="14:58" ht="12" hidden="1" customHeight="1">
      <c r="N9458" s="223"/>
      <c r="O9458" s="447"/>
      <c r="P9458" s="260"/>
      <c r="Q9458" s="258"/>
      <c r="R9458" s="260"/>
      <c r="S9458" s="260"/>
      <c r="T9458" s="260"/>
      <c r="U9458" s="260"/>
      <c r="V9458" s="260"/>
      <c r="W9458" s="260"/>
      <c r="X9458" s="260"/>
      <c r="Y9458" s="260"/>
      <c r="Z9458" s="260"/>
      <c r="AA9458" s="260"/>
      <c r="AB9458" s="260"/>
      <c r="AC9458" s="260"/>
      <c r="AD9458" s="260"/>
      <c r="AE9458" s="260"/>
      <c r="AF9458" s="260"/>
      <c r="AG9458" s="258"/>
      <c r="AO9458"/>
      <c r="AP9458"/>
      <c r="AQ9458"/>
      <c r="AR9458"/>
      <c r="AS9458"/>
      <c r="AT9458"/>
      <c r="AU9458"/>
      <c r="AV9458"/>
      <c r="AW9458"/>
      <c r="AX9458"/>
      <c r="AY9458"/>
      <c r="AZ9458"/>
      <c r="BA9458"/>
      <c r="BB9458"/>
      <c r="BC9458"/>
      <c r="BD9458"/>
      <c r="BE9458"/>
      <c r="BF9458"/>
    </row>
    <row r="9459" spans="14:58" ht="12" hidden="1" customHeight="1">
      <c r="N9459" s="223"/>
      <c r="O9459" s="717"/>
      <c r="P9459" s="260"/>
      <c r="Q9459" s="258"/>
      <c r="R9459" s="260"/>
      <c r="S9459" s="260"/>
      <c r="T9459" s="260"/>
      <c r="U9459" s="260"/>
      <c r="V9459" s="260"/>
      <c r="W9459" s="260"/>
      <c r="X9459" s="260"/>
      <c r="Y9459" s="260"/>
      <c r="Z9459" s="260"/>
      <c r="AA9459" s="260"/>
      <c r="AB9459" s="260"/>
      <c r="AC9459" s="260"/>
      <c r="AD9459" s="260"/>
      <c r="AE9459" s="260"/>
      <c r="AF9459" s="260"/>
      <c r="AG9459" s="258"/>
      <c r="AO9459"/>
      <c r="AP9459"/>
      <c r="AQ9459"/>
      <c r="AR9459"/>
      <c r="AS9459"/>
      <c r="AT9459"/>
      <c r="AU9459"/>
      <c r="AV9459"/>
      <c r="AW9459"/>
      <c r="AX9459"/>
      <c r="AY9459"/>
      <c r="AZ9459"/>
      <c r="BA9459"/>
      <c r="BB9459"/>
      <c r="BC9459"/>
      <c r="BD9459"/>
      <c r="BE9459"/>
      <c r="BF9459"/>
    </row>
    <row r="9460" spans="14:58" ht="12" hidden="1" customHeight="1">
      <c r="N9460" s="223"/>
      <c r="O9460" s="717"/>
      <c r="P9460" s="260"/>
      <c r="Q9460" s="258"/>
      <c r="R9460" s="260"/>
      <c r="S9460" s="260"/>
      <c r="T9460" s="260"/>
      <c r="U9460" s="260"/>
      <c r="V9460" s="260"/>
      <c r="W9460" s="260"/>
      <c r="X9460" s="260"/>
      <c r="Y9460" s="260"/>
      <c r="Z9460" s="260"/>
      <c r="AA9460" s="260"/>
      <c r="AB9460" s="260"/>
      <c r="AC9460" s="260"/>
      <c r="AD9460" s="260"/>
      <c r="AE9460" s="260"/>
      <c r="AF9460" s="260"/>
      <c r="AG9460" s="258"/>
      <c r="AO9460"/>
      <c r="AP9460"/>
      <c r="AQ9460"/>
      <c r="AR9460"/>
      <c r="AS9460"/>
      <c r="AT9460"/>
      <c r="AU9460"/>
      <c r="AV9460"/>
      <c r="AW9460"/>
      <c r="AX9460"/>
      <c r="AY9460"/>
      <c r="AZ9460"/>
      <c r="BA9460"/>
      <c r="BB9460"/>
      <c r="BC9460"/>
      <c r="BD9460"/>
      <c r="BE9460"/>
      <c r="BF9460"/>
    </row>
    <row r="9461" spans="14:58" ht="12" hidden="1" customHeight="1">
      <c r="N9461" s="223"/>
      <c r="O9461" s="718"/>
      <c r="P9461" s="260"/>
      <c r="Q9461" s="258"/>
      <c r="R9461" s="260"/>
      <c r="S9461" s="260"/>
      <c r="T9461" s="260"/>
      <c r="U9461" s="260"/>
      <c r="V9461" s="260"/>
      <c r="W9461" s="260"/>
      <c r="X9461" s="260"/>
      <c r="Y9461" s="260"/>
      <c r="Z9461" s="260"/>
      <c r="AA9461" s="260"/>
      <c r="AB9461" s="260"/>
      <c r="AC9461" s="260"/>
      <c r="AD9461" s="260"/>
      <c r="AE9461" s="260"/>
      <c r="AF9461" s="260"/>
      <c r="AG9461" s="258"/>
      <c r="AO9461"/>
      <c r="AP9461"/>
      <c r="AQ9461"/>
      <c r="AR9461"/>
      <c r="AS9461"/>
      <c r="AT9461"/>
      <c r="AU9461"/>
      <c r="AV9461"/>
      <c r="AW9461"/>
      <c r="AX9461"/>
      <c r="AY9461"/>
      <c r="AZ9461"/>
      <c r="BA9461"/>
      <c r="BB9461"/>
      <c r="BC9461"/>
      <c r="BD9461"/>
      <c r="BE9461"/>
      <c r="BF9461"/>
    </row>
    <row r="9462" spans="14:58" ht="12" hidden="1" customHeight="1">
      <c r="N9462" s="223"/>
      <c r="O9462" s="717"/>
      <c r="P9462" s="260"/>
      <c r="Q9462" s="258"/>
      <c r="R9462" s="260"/>
      <c r="S9462" s="260"/>
      <c r="T9462" s="260"/>
      <c r="U9462" s="260"/>
      <c r="V9462" s="260"/>
      <c r="W9462" s="260"/>
      <c r="X9462" s="260"/>
      <c r="Y9462" s="260"/>
      <c r="Z9462" s="260"/>
      <c r="AA9462" s="260"/>
      <c r="AB9462" s="260"/>
      <c r="AC9462" s="260"/>
      <c r="AD9462" s="260"/>
      <c r="AE9462" s="260"/>
      <c r="AF9462" s="260"/>
      <c r="AG9462" s="258"/>
      <c r="AO9462"/>
      <c r="AP9462"/>
      <c r="AQ9462"/>
      <c r="AR9462"/>
      <c r="AS9462"/>
      <c r="AT9462"/>
      <c r="AU9462"/>
      <c r="AV9462"/>
      <c r="AW9462"/>
      <c r="AX9462"/>
      <c r="AY9462"/>
      <c r="AZ9462"/>
      <c r="BA9462"/>
      <c r="BB9462"/>
      <c r="BC9462"/>
      <c r="BD9462"/>
      <c r="BE9462"/>
      <c r="BF9462"/>
    </row>
    <row r="9463" spans="14:58" ht="12" hidden="1" customHeight="1">
      <c r="N9463" s="223"/>
      <c r="O9463" s="717"/>
      <c r="P9463" s="260"/>
      <c r="Q9463" s="258"/>
      <c r="R9463" s="260"/>
      <c r="S9463" s="260"/>
      <c r="T9463" s="260"/>
      <c r="U9463" s="260"/>
      <c r="V9463" s="260"/>
      <c r="W9463" s="260"/>
      <c r="X9463" s="260"/>
      <c r="Y9463" s="260"/>
      <c r="Z9463" s="260"/>
      <c r="AA9463" s="260"/>
      <c r="AB9463" s="260"/>
      <c r="AC9463" s="260"/>
      <c r="AD9463" s="260"/>
      <c r="AE9463" s="260"/>
      <c r="AF9463" s="260"/>
      <c r="AG9463" s="258"/>
      <c r="AO9463"/>
      <c r="AP9463"/>
      <c r="AQ9463"/>
      <c r="AR9463"/>
      <c r="AS9463"/>
      <c r="AT9463"/>
      <c r="AU9463"/>
      <c r="AV9463"/>
      <c r="AW9463"/>
      <c r="AX9463"/>
      <c r="AY9463"/>
      <c r="AZ9463"/>
      <c r="BA9463"/>
      <c r="BB9463"/>
      <c r="BC9463"/>
      <c r="BD9463"/>
      <c r="BE9463"/>
      <c r="BF9463"/>
    </row>
    <row r="9464" spans="14:58" ht="12" customHeight="1">
      <c r="N9464" s="436" t="s">
        <v>771</v>
      </c>
      <c r="O9464" s="591" t="s">
        <v>3043</v>
      </c>
      <c r="P9464" s="257"/>
      <c r="Q9464" s="258"/>
      <c r="R9464" s="260"/>
      <c r="S9464" s="260"/>
      <c r="T9464" s="257">
        <f>SUM(T9465:T9466)</f>
        <v>0</v>
      </c>
      <c r="U9464" s="260"/>
      <c r="V9464" s="260"/>
      <c r="W9464" s="257">
        <f>SUM(W9465:W9466)</f>
        <v>0</v>
      </c>
      <c r="X9464" s="260"/>
      <c r="Y9464" s="260"/>
      <c r="Z9464" s="257">
        <f>SUM(Z9465:Z9466)</f>
        <v>0</v>
      </c>
      <c r="AA9464" s="260"/>
      <c r="AB9464" s="260"/>
      <c r="AC9464" s="257">
        <f>SUM(AC9465:AC9466)</f>
        <v>0</v>
      </c>
      <c r="AD9464" s="260"/>
      <c r="AE9464" s="260"/>
      <c r="AF9464" s="257">
        <f>SUM(AF9465:AF9466)</f>
        <v>0</v>
      </c>
      <c r="AG9464" s="258"/>
    </row>
    <row r="9465" spans="14:58" ht="12" customHeight="1">
      <c r="N9465" s="436" t="s">
        <v>772</v>
      </c>
      <c r="O9465" s="592" t="s">
        <v>3044</v>
      </c>
      <c r="P9465" s="257"/>
      <c r="Q9465" s="258"/>
      <c r="R9465" s="260"/>
      <c r="S9465" s="260"/>
      <c r="T9465" s="262">
        <f>IF($AP$8="I",'ТС.РО 01.01 - 30.06'!T9465,IF($AP$8="II",'ТС.РО 01.07 - 31.08'!T9465,IF($AP$8="III",'ТС.РО 01.09 - 31.12'!T9465,0)))*T9564</f>
        <v>0</v>
      </c>
      <c r="U9465" s="260"/>
      <c r="V9465" s="260"/>
      <c r="W9465" s="262">
        <f>IF($AP$8="I",'ТС.РО 01.01 - 30.06'!W9465,IF($AP$8="II",'ТС.РО 01.07 - 31.08'!W9465,IF($AP$8="III",'ТС.РО 01.09 - 31.12'!W9465,0)))*W9564</f>
        <v>0</v>
      </c>
      <c r="X9465" s="260"/>
      <c r="Y9465" s="260"/>
      <c r="Z9465" s="262">
        <f>IF($AP$8="I",'ТС.РО 01.01 - 30.06'!Z9465,IF($AP$8="II",'ТС.РО 01.07 - 31.08'!Z9465,IF($AP$8="III",'ТС.РО 01.09 - 31.12'!Z9465,0)))*Z9564</f>
        <v>0</v>
      </c>
      <c r="AA9465" s="260"/>
      <c r="AB9465" s="260"/>
      <c r="AC9465" s="262">
        <f>IF($AP$8="I",'ТС.РО 01.01 - 30.06'!AC9465,IF($AP$8="II",'ТС.РО 01.07 - 31.08'!AC9465,IF($AP$8="III",'ТС.РО 01.09 - 31.12'!AC9465,0)))*AC9564</f>
        <v>0</v>
      </c>
      <c r="AD9465" s="260"/>
      <c r="AE9465" s="260"/>
      <c r="AF9465" s="262">
        <f>IF($AP$8="I",'ТС.РО 01.01 - 30.06'!AF9465,IF($AP$8="II",'ТС.РО 01.07 - 31.08'!AF9465,IF($AP$8="III",'ТС.РО 01.09 - 31.12'!AF9465,0)))*AF9564</f>
        <v>0</v>
      </c>
      <c r="AG9465" s="258"/>
    </row>
    <row r="9466" spans="14:58" ht="12" customHeight="1">
      <c r="N9466" s="236" t="s">
        <v>773</v>
      </c>
      <c r="O9466" s="248" t="s">
        <v>3045</v>
      </c>
      <c r="P9466" s="257"/>
      <c r="Q9466" s="258"/>
      <c r="R9466" s="260"/>
      <c r="S9466" s="260"/>
      <c r="T9466" s="726">
        <f>IF($AP$8="I",'ТС.РО 01.01 - 30.06'!T9466,IF($AP$8="II",'ТС.РО 01.07 - 31.08'!T9466,IF($AP$8="III",'ТС.РО 01.09 - 31.12'!T9466,0)))*T9564</f>
        <v>0</v>
      </c>
      <c r="U9466" s="260"/>
      <c r="V9466" s="260"/>
      <c r="W9466" s="726">
        <f>IF($AP$8="I",'ТС.РО 01.01 - 30.06'!W9466,IF($AP$8="II",'ТС.РО 01.07 - 31.08'!W9466,IF($AP$8="III",'ТС.РО 01.09 - 31.12'!W9466,0)))*W9564</f>
        <v>0</v>
      </c>
      <c r="X9466" s="260"/>
      <c r="Y9466" s="260"/>
      <c r="Z9466" s="726">
        <f>IF($AP$8="I",'ТС.РО 01.01 - 30.06'!Z9466,IF($AP$8="II",'ТС.РО 01.07 - 31.08'!Z9466,IF($AP$8="III",'ТС.РО 01.09 - 31.12'!Z9466,0)))*Z9564</f>
        <v>0</v>
      </c>
      <c r="AA9466" s="260"/>
      <c r="AB9466" s="260"/>
      <c r="AC9466" s="726">
        <f>IF($AP$8="I",'ТС.РО 01.01 - 30.06'!AC9466,IF($AP$8="II",'ТС.РО 01.07 - 31.08'!AC9466,IF($AP$8="III",'ТС.РО 01.09 - 31.12'!AC9466,0)))*AC9564</f>
        <v>0</v>
      </c>
      <c r="AD9466" s="260"/>
      <c r="AE9466" s="260"/>
      <c r="AF9466" s="726">
        <f>IF($AP$8="I",'ТС.РО 01.01 - 30.06'!AF9466,IF($AP$8="II",'ТС.РО 01.07 - 31.08'!AF9466,IF($AP$8="III",'ТС.РО 01.09 - 31.12'!AF9466,0)))*AF9564</f>
        <v>0</v>
      </c>
      <c r="AG9466" s="258"/>
    </row>
    <row r="9467" spans="14:58" ht="12" customHeight="1">
      <c r="N9467" s="236" t="s">
        <v>3046</v>
      </c>
      <c r="O9467" s="242" t="s">
        <v>2986</v>
      </c>
      <c r="P9467" s="257"/>
      <c r="Q9467" s="258"/>
      <c r="R9467" s="260"/>
      <c r="S9467" s="260"/>
      <c r="T9467" s="726">
        <f>IF($AP$8="I",'ТС.РО 01.01 - 30.06'!T9467,IF($AP$8="II",'ТС.РО 01.07 - 31.08'!T9467,IF($AP$8="III",'ТС.РО 01.09 - 31.12'!T9467,0)))*T9564</f>
        <v>0</v>
      </c>
      <c r="U9467" s="260"/>
      <c r="V9467" s="260"/>
      <c r="W9467" s="726">
        <f>IF($AP$8="I",'ТС.РО 01.01 - 30.06'!W9467,IF($AP$8="II",'ТС.РО 01.07 - 31.08'!W9467,IF($AP$8="III",'ТС.РО 01.09 - 31.12'!W9467,0)))*W9564</f>
        <v>0</v>
      </c>
      <c r="X9467" s="260"/>
      <c r="Y9467" s="260"/>
      <c r="Z9467" s="726">
        <f>IF($AP$8="I",'ТС.РО 01.01 - 30.06'!Z9467,IF($AP$8="II",'ТС.РО 01.07 - 31.08'!Z9467,IF($AP$8="III",'ТС.РО 01.09 - 31.12'!Z9467,0)))*Z9564</f>
        <v>0</v>
      </c>
      <c r="AA9467" s="260"/>
      <c r="AB9467" s="260"/>
      <c r="AC9467" s="726">
        <f>IF($AP$8="I",'ТС.РО 01.01 - 30.06'!AC9467,IF($AP$8="II",'ТС.РО 01.07 - 31.08'!AC9467,IF($AP$8="III",'ТС.РО 01.09 - 31.12'!AC9467,0)))*AC9564</f>
        <v>0</v>
      </c>
      <c r="AD9467" s="260"/>
      <c r="AE9467" s="260"/>
      <c r="AF9467" s="726">
        <f>IF($AP$8="I",'ТС.РО 01.01 - 30.06'!AF9467,IF($AP$8="II",'ТС.РО 01.07 - 31.08'!AF9467,IF($AP$8="III",'ТС.РО 01.09 - 31.12'!AF9467,0)))*AF9564</f>
        <v>0</v>
      </c>
      <c r="AG9467" s="258"/>
    </row>
    <row r="9468" spans="14:58" ht="12" customHeight="1">
      <c r="N9468" s="236" t="s">
        <v>3047</v>
      </c>
      <c r="O9468" s="242" t="s">
        <v>2988</v>
      </c>
      <c r="P9468" s="257"/>
      <c r="Q9468" s="258"/>
      <c r="R9468" s="260"/>
      <c r="S9468" s="260"/>
      <c r="T9468" s="726">
        <f>IF($AP$8="I",'ТС.РО 01.01 - 30.06'!T9468,IF($AP$8="II",'ТС.РО 01.07 - 31.08'!T9468,IF($AP$8="III",'ТС.РО 01.09 - 31.12'!T9468,0)))*T9564</f>
        <v>0</v>
      </c>
      <c r="U9468" s="260"/>
      <c r="V9468" s="260"/>
      <c r="W9468" s="726">
        <f>IF($AP$8="I",'ТС.РО 01.01 - 30.06'!W9468,IF($AP$8="II",'ТС.РО 01.07 - 31.08'!W9468,IF($AP$8="III",'ТС.РО 01.09 - 31.12'!W9468,0)))*W9564</f>
        <v>0</v>
      </c>
      <c r="X9468" s="260"/>
      <c r="Y9468" s="260"/>
      <c r="Z9468" s="726">
        <f>IF($AP$8="I",'ТС.РО 01.01 - 30.06'!Z9468,IF($AP$8="II",'ТС.РО 01.07 - 31.08'!Z9468,IF($AP$8="III",'ТС.РО 01.09 - 31.12'!Z9468,0)))*Z9564</f>
        <v>0</v>
      </c>
      <c r="AA9468" s="260"/>
      <c r="AB9468" s="260"/>
      <c r="AC9468" s="726">
        <f>IF($AP$8="I",'ТС.РО 01.01 - 30.06'!AC9468,IF($AP$8="II",'ТС.РО 01.07 - 31.08'!AC9468,IF($AP$8="III",'ТС.РО 01.09 - 31.12'!AC9468,0)))*AC9564</f>
        <v>0</v>
      </c>
      <c r="AD9468" s="260"/>
      <c r="AE9468" s="260"/>
      <c r="AF9468" s="726">
        <f>IF($AP$8="I",'ТС.РО 01.01 - 30.06'!AF9468,IF($AP$8="II",'ТС.РО 01.07 - 31.08'!AF9468,IF($AP$8="III",'ТС.РО 01.09 - 31.12'!AF9468,0)))*AF9564</f>
        <v>0</v>
      </c>
      <c r="AG9468" s="258"/>
    </row>
    <row r="9469" spans="14:58" ht="12" hidden="1" customHeight="1">
      <c r="N9469" s="223"/>
      <c r="O9469" s="447"/>
      <c r="P9469" s="260"/>
      <c r="Q9469" s="258"/>
      <c r="R9469" s="260"/>
      <c r="S9469" s="260"/>
      <c r="T9469" s="260"/>
      <c r="U9469" s="260"/>
      <c r="V9469" s="260"/>
      <c r="W9469" s="260"/>
      <c r="X9469" s="260"/>
      <c r="Y9469" s="260"/>
      <c r="Z9469" s="260"/>
      <c r="AA9469" s="260"/>
      <c r="AB9469" s="260"/>
      <c r="AC9469" s="260"/>
      <c r="AD9469" s="260"/>
      <c r="AE9469" s="260"/>
      <c r="AF9469" s="260"/>
      <c r="AG9469" s="258"/>
    </row>
    <row r="9470" spans="14:58" ht="12" hidden="1" customHeight="1">
      <c r="N9470" s="223"/>
      <c r="O9470" s="717"/>
      <c r="P9470" s="260"/>
      <c r="Q9470" s="258"/>
      <c r="R9470" s="260"/>
      <c r="S9470" s="260"/>
      <c r="T9470" s="260"/>
      <c r="U9470" s="260"/>
      <c r="V9470" s="260"/>
      <c r="W9470" s="260"/>
      <c r="X9470" s="260"/>
      <c r="Y9470" s="260"/>
      <c r="Z9470" s="260"/>
      <c r="AA9470" s="260"/>
      <c r="AB9470" s="260"/>
      <c r="AC9470" s="260"/>
      <c r="AD9470" s="260"/>
      <c r="AE9470" s="260"/>
      <c r="AF9470" s="260"/>
      <c r="AG9470" s="258"/>
    </row>
    <row r="9471" spans="14:58" ht="12" hidden="1" customHeight="1">
      <c r="N9471" s="223"/>
      <c r="O9471" s="717"/>
      <c r="P9471" s="260"/>
      <c r="Q9471" s="258"/>
      <c r="R9471" s="260"/>
      <c r="S9471" s="260"/>
      <c r="T9471" s="260"/>
      <c r="U9471" s="260"/>
      <c r="V9471" s="260"/>
      <c r="W9471" s="260"/>
      <c r="X9471" s="260"/>
      <c r="Y9471" s="260"/>
      <c r="Z9471" s="260"/>
      <c r="AA9471" s="260"/>
      <c r="AB9471" s="260"/>
      <c r="AC9471" s="260"/>
      <c r="AD9471" s="260"/>
      <c r="AE9471" s="260"/>
      <c r="AF9471" s="260"/>
      <c r="AG9471" s="258"/>
    </row>
    <row r="9472" spans="14:58" ht="12" hidden="1" customHeight="1">
      <c r="N9472" s="223"/>
      <c r="O9472" s="718"/>
      <c r="P9472" s="260"/>
      <c r="Q9472" s="258"/>
      <c r="R9472" s="260"/>
      <c r="S9472" s="260"/>
      <c r="T9472" s="260"/>
      <c r="U9472" s="260"/>
      <c r="V9472" s="260"/>
      <c r="W9472" s="260"/>
      <c r="X9472" s="260"/>
      <c r="Y9472" s="260"/>
      <c r="Z9472" s="260"/>
      <c r="AA9472" s="260"/>
      <c r="AB9472" s="260"/>
      <c r="AC9472" s="260"/>
      <c r="AD9472" s="260"/>
      <c r="AE9472" s="260"/>
      <c r="AF9472" s="260"/>
      <c r="AG9472" s="258"/>
    </row>
    <row r="9473" spans="14:33" ht="12" hidden="1" customHeight="1">
      <c r="N9473" s="223"/>
      <c r="O9473" s="717"/>
      <c r="P9473" s="260"/>
      <c r="Q9473" s="258"/>
      <c r="R9473" s="260"/>
      <c r="S9473" s="260"/>
      <c r="T9473" s="260"/>
      <c r="U9473" s="260"/>
      <c r="V9473" s="260"/>
      <c r="W9473" s="260"/>
      <c r="X9473" s="260"/>
      <c r="Y9473" s="260"/>
      <c r="Z9473" s="260"/>
      <c r="AA9473" s="260"/>
      <c r="AB9473" s="260"/>
      <c r="AC9473" s="260"/>
      <c r="AD9473" s="260"/>
      <c r="AE9473" s="260"/>
      <c r="AF9473" s="260"/>
      <c r="AG9473" s="258"/>
    </row>
    <row r="9474" spans="14:33" ht="12" hidden="1" customHeight="1">
      <c r="N9474" s="223"/>
      <c r="O9474" s="717"/>
      <c r="P9474" s="260"/>
      <c r="Q9474" s="258"/>
      <c r="R9474" s="260"/>
      <c r="S9474" s="260"/>
      <c r="T9474" s="260"/>
      <c r="U9474" s="260"/>
      <c r="V9474" s="260"/>
      <c r="W9474" s="260"/>
      <c r="X9474" s="260"/>
      <c r="Y9474" s="260"/>
      <c r="Z9474" s="260"/>
      <c r="AA9474" s="260"/>
      <c r="AB9474" s="260"/>
      <c r="AC9474" s="260"/>
      <c r="AD9474" s="260"/>
      <c r="AE9474" s="260"/>
      <c r="AF9474" s="260"/>
      <c r="AG9474" s="258"/>
    </row>
    <row r="9475" spans="14:33" ht="12" hidden="1" customHeight="1">
      <c r="N9475" s="223"/>
      <c r="O9475" s="447"/>
      <c r="P9475" s="260"/>
      <c r="Q9475" s="258"/>
      <c r="R9475" s="260"/>
      <c r="S9475" s="260"/>
      <c r="T9475" s="260"/>
      <c r="U9475" s="260"/>
      <c r="V9475" s="260"/>
      <c r="W9475" s="260"/>
      <c r="X9475" s="260"/>
      <c r="Y9475" s="260"/>
      <c r="Z9475" s="260"/>
      <c r="AA9475" s="260"/>
      <c r="AB9475" s="260"/>
      <c r="AC9475" s="260"/>
      <c r="AD9475" s="260"/>
      <c r="AE9475" s="260"/>
      <c r="AF9475" s="260"/>
      <c r="AG9475" s="258"/>
    </row>
    <row r="9476" spans="14:33" ht="12" hidden="1" customHeight="1">
      <c r="N9476" s="223"/>
      <c r="O9476" s="717"/>
      <c r="P9476" s="260"/>
      <c r="Q9476" s="258"/>
      <c r="R9476" s="260"/>
      <c r="S9476" s="260"/>
      <c r="T9476" s="260"/>
      <c r="U9476" s="260"/>
      <c r="V9476" s="260"/>
      <c r="W9476" s="260"/>
      <c r="X9476" s="260"/>
      <c r="Y9476" s="260"/>
      <c r="Z9476" s="260"/>
      <c r="AA9476" s="260"/>
      <c r="AB9476" s="260"/>
      <c r="AC9476" s="260"/>
      <c r="AD9476" s="260"/>
      <c r="AE9476" s="260"/>
      <c r="AF9476" s="260"/>
      <c r="AG9476" s="258"/>
    </row>
    <row r="9477" spans="14:33" ht="12" hidden="1" customHeight="1">
      <c r="N9477" s="223"/>
      <c r="O9477" s="717"/>
      <c r="P9477" s="260"/>
      <c r="Q9477" s="258"/>
      <c r="R9477" s="260"/>
      <c r="S9477" s="260"/>
      <c r="T9477" s="260"/>
      <c r="U9477" s="260"/>
      <c r="V9477" s="260"/>
      <c r="W9477" s="260"/>
      <c r="X9477" s="260"/>
      <c r="Y9477" s="260"/>
      <c r="Z9477" s="260"/>
      <c r="AA9477" s="260"/>
      <c r="AB9477" s="260"/>
      <c r="AC9477" s="260"/>
      <c r="AD9477" s="260"/>
      <c r="AE9477" s="260"/>
      <c r="AF9477" s="260"/>
      <c r="AG9477" s="258"/>
    </row>
    <row r="9478" spans="14:33" ht="12" hidden="1" customHeight="1">
      <c r="N9478" s="223"/>
      <c r="O9478" s="718"/>
      <c r="P9478" s="260"/>
      <c r="Q9478" s="258"/>
      <c r="R9478" s="260"/>
      <c r="S9478" s="260"/>
      <c r="T9478" s="260"/>
      <c r="U9478" s="260"/>
      <c r="V9478" s="260"/>
      <c r="W9478" s="260"/>
      <c r="X9478" s="260"/>
      <c r="Y9478" s="260"/>
      <c r="Z9478" s="260"/>
      <c r="AA9478" s="260"/>
      <c r="AB9478" s="260"/>
      <c r="AC9478" s="260"/>
      <c r="AD9478" s="260"/>
      <c r="AE9478" s="260"/>
      <c r="AF9478" s="260"/>
      <c r="AG9478" s="258"/>
    </row>
    <row r="9479" spans="14:33" ht="12" hidden="1" customHeight="1">
      <c r="N9479" s="223"/>
      <c r="O9479" s="717"/>
      <c r="P9479" s="260"/>
      <c r="Q9479" s="258"/>
      <c r="R9479" s="260"/>
      <c r="S9479" s="260"/>
      <c r="T9479" s="260"/>
      <c r="U9479" s="260"/>
      <c r="V9479" s="260"/>
      <c r="W9479" s="260"/>
      <c r="X9479" s="260"/>
      <c r="Y9479" s="260"/>
      <c r="Z9479" s="260"/>
      <c r="AA9479" s="260"/>
      <c r="AB9479" s="260"/>
      <c r="AC9479" s="260"/>
      <c r="AD9479" s="260"/>
      <c r="AE9479" s="260"/>
      <c r="AF9479" s="260"/>
      <c r="AG9479" s="258"/>
    </row>
    <row r="9480" spans="14:33" ht="12" hidden="1" customHeight="1">
      <c r="N9480" s="223"/>
      <c r="O9480" s="717"/>
      <c r="P9480" s="260"/>
      <c r="Q9480" s="258"/>
      <c r="R9480" s="260"/>
      <c r="S9480" s="260"/>
      <c r="T9480" s="260"/>
      <c r="U9480" s="260"/>
      <c r="V9480" s="260"/>
      <c r="W9480" s="260"/>
      <c r="X9480" s="260"/>
      <c r="Y9480" s="260"/>
      <c r="Z9480" s="260"/>
      <c r="AA9480" s="260"/>
      <c r="AB9480" s="260"/>
      <c r="AC9480" s="260"/>
      <c r="AD9480" s="260"/>
      <c r="AE9480" s="260"/>
      <c r="AF9480" s="260"/>
      <c r="AG9480" s="258"/>
    </row>
    <row r="9481" spans="14:33" ht="12" hidden="1" customHeight="1">
      <c r="N9481" s="223"/>
      <c r="O9481" s="447"/>
      <c r="P9481" s="260"/>
      <c r="Q9481" s="258"/>
      <c r="R9481" s="260"/>
      <c r="S9481" s="260"/>
      <c r="T9481" s="260"/>
      <c r="U9481" s="260"/>
      <c r="V9481" s="260"/>
      <c r="W9481" s="260"/>
      <c r="X9481" s="260"/>
      <c r="Y9481" s="260"/>
      <c r="Z9481" s="260"/>
      <c r="AA9481" s="260"/>
      <c r="AB9481" s="260"/>
      <c r="AC9481" s="260"/>
      <c r="AD9481" s="260"/>
      <c r="AE9481" s="260"/>
      <c r="AF9481" s="260"/>
      <c r="AG9481" s="258"/>
    </row>
    <row r="9482" spans="14:33" ht="12" hidden="1" customHeight="1">
      <c r="N9482" s="223"/>
      <c r="O9482" s="717"/>
      <c r="P9482" s="260"/>
      <c r="Q9482" s="258"/>
      <c r="R9482" s="260"/>
      <c r="S9482" s="260"/>
      <c r="T9482" s="260"/>
      <c r="U9482" s="260"/>
      <c r="V9482" s="260"/>
      <c r="W9482" s="260"/>
      <c r="X9482" s="260"/>
      <c r="Y9482" s="260"/>
      <c r="Z9482" s="260"/>
      <c r="AA9482" s="260"/>
      <c r="AB9482" s="260"/>
      <c r="AC9482" s="260"/>
      <c r="AD9482" s="260"/>
      <c r="AE9482" s="260"/>
      <c r="AF9482" s="260"/>
      <c r="AG9482" s="258"/>
    </row>
    <row r="9483" spans="14:33" ht="12" hidden="1" customHeight="1">
      <c r="N9483" s="223"/>
      <c r="O9483" s="717"/>
      <c r="P9483" s="260"/>
      <c r="Q9483" s="258"/>
      <c r="R9483" s="260"/>
      <c r="S9483" s="260"/>
      <c r="T9483" s="260"/>
      <c r="U9483" s="260"/>
      <c r="V9483" s="260"/>
      <c r="W9483" s="260"/>
      <c r="X9483" s="260"/>
      <c r="Y9483" s="260"/>
      <c r="Z9483" s="260"/>
      <c r="AA9483" s="260"/>
      <c r="AB9483" s="260"/>
      <c r="AC9483" s="260"/>
      <c r="AD9483" s="260"/>
      <c r="AE9483" s="260"/>
      <c r="AF9483" s="260"/>
      <c r="AG9483" s="258"/>
    </row>
    <row r="9484" spans="14:33" ht="12" hidden="1" customHeight="1">
      <c r="N9484" s="223"/>
      <c r="O9484" s="718"/>
      <c r="P9484" s="260"/>
      <c r="Q9484" s="258"/>
      <c r="R9484" s="260"/>
      <c r="S9484" s="260"/>
      <c r="T9484" s="260"/>
      <c r="U9484" s="260"/>
      <c r="V9484" s="260"/>
      <c r="W9484" s="260"/>
      <c r="X9484" s="260"/>
      <c r="Y9484" s="260"/>
      <c r="Z9484" s="260"/>
      <c r="AA9484" s="260"/>
      <c r="AB9484" s="260"/>
      <c r="AC9484" s="260"/>
      <c r="AD9484" s="260"/>
      <c r="AE9484" s="260"/>
      <c r="AF9484" s="260"/>
      <c r="AG9484" s="258"/>
    </row>
    <row r="9485" spans="14:33" ht="12" hidden="1" customHeight="1">
      <c r="N9485" s="223"/>
      <c r="O9485" s="717"/>
      <c r="P9485" s="260"/>
      <c r="Q9485" s="258"/>
      <c r="R9485" s="260"/>
      <c r="S9485" s="260"/>
      <c r="T9485" s="260"/>
      <c r="U9485" s="260"/>
      <c r="V9485" s="260"/>
      <c r="W9485" s="260"/>
      <c r="X9485" s="260"/>
      <c r="Y9485" s="260"/>
      <c r="Z9485" s="260"/>
      <c r="AA9485" s="260"/>
      <c r="AB9485" s="260"/>
      <c r="AC9485" s="260"/>
      <c r="AD9485" s="260"/>
      <c r="AE9485" s="260"/>
      <c r="AF9485" s="260"/>
      <c r="AG9485" s="258"/>
    </row>
    <row r="9486" spans="14:33" ht="12" hidden="1" customHeight="1">
      <c r="N9486" s="223"/>
      <c r="O9486" s="717"/>
      <c r="P9486" s="260"/>
      <c r="Q9486" s="258"/>
      <c r="R9486" s="260"/>
      <c r="S9486" s="260"/>
      <c r="T9486" s="260"/>
      <c r="U9486" s="260"/>
      <c r="V9486" s="260"/>
      <c r="W9486" s="260"/>
      <c r="X9486" s="260"/>
      <c r="Y9486" s="260"/>
      <c r="Z9486" s="260"/>
      <c r="AA9486" s="260"/>
      <c r="AB9486" s="260"/>
      <c r="AC9486" s="260"/>
      <c r="AD9486" s="260"/>
      <c r="AE9486" s="260"/>
      <c r="AF9486" s="260"/>
      <c r="AG9486" s="258"/>
    </row>
    <row r="9487" spans="14:33" ht="12" hidden="1" customHeight="1">
      <c r="N9487" s="223"/>
      <c r="O9487" s="447"/>
      <c r="P9487" s="260"/>
      <c r="Q9487" s="258"/>
      <c r="R9487" s="260"/>
      <c r="S9487" s="260"/>
      <c r="T9487" s="260"/>
      <c r="U9487" s="260"/>
      <c r="V9487" s="260"/>
      <c r="W9487" s="260"/>
      <c r="X9487" s="260"/>
      <c r="Y9487" s="260"/>
      <c r="Z9487" s="260"/>
      <c r="AA9487" s="260"/>
      <c r="AB9487" s="260"/>
      <c r="AC9487" s="260"/>
      <c r="AD9487" s="260"/>
      <c r="AE9487" s="260"/>
      <c r="AF9487" s="260"/>
      <c r="AG9487" s="258"/>
    </row>
    <row r="9488" spans="14:33" ht="12" hidden="1" customHeight="1">
      <c r="N9488" s="223"/>
      <c r="O9488" s="717"/>
      <c r="P9488" s="260"/>
      <c r="Q9488" s="258"/>
      <c r="R9488" s="260"/>
      <c r="S9488" s="260"/>
      <c r="T9488" s="260"/>
      <c r="U9488" s="260"/>
      <c r="V9488" s="260"/>
      <c r="W9488" s="260"/>
      <c r="X9488" s="260"/>
      <c r="Y9488" s="260"/>
      <c r="Z9488" s="260"/>
      <c r="AA9488" s="260"/>
      <c r="AB9488" s="260"/>
      <c r="AC9488" s="260"/>
      <c r="AD9488" s="260"/>
      <c r="AE9488" s="260"/>
      <c r="AF9488" s="260"/>
      <c r="AG9488" s="258"/>
    </row>
    <row r="9489" spans="14:33" ht="12" hidden="1" customHeight="1">
      <c r="N9489" s="223"/>
      <c r="O9489" s="717"/>
      <c r="P9489" s="260"/>
      <c r="Q9489" s="258"/>
      <c r="R9489" s="260"/>
      <c r="S9489" s="260"/>
      <c r="T9489" s="260"/>
      <c r="U9489" s="260"/>
      <c r="V9489" s="260"/>
      <c r="W9489" s="260"/>
      <c r="X9489" s="260"/>
      <c r="Y9489" s="260"/>
      <c r="Z9489" s="260"/>
      <c r="AA9489" s="260"/>
      <c r="AB9489" s="260"/>
      <c r="AC9489" s="260"/>
      <c r="AD9489" s="260"/>
      <c r="AE9489" s="260"/>
      <c r="AF9489" s="260"/>
      <c r="AG9489" s="258"/>
    </row>
    <row r="9490" spans="14:33" ht="12" hidden="1" customHeight="1">
      <c r="N9490" s="223"/>
      <c r="O9490" s="718"/>
      <c r="P9490" s="260"/>
      <c r="Q9490" s="258"/>
      <c r="R9490" s="260"/>
      <c r="S9490" s="260"/>
      <c r="T9490" s="260"/>
      <c r="U9490" s="260"/>
      <c r="V9490" s="260"/>
      <c r="W9490" s="260"/>
      <c r="X9490" s="260"/>
      <c r="Y9490" s="260"/>
      <c r="Z9490" s="260"/>
      <c r="AA9490" s="260"/>
      <c r="AB9490" s="260"/>
      <c r="AC9490" s="260"/>
      <c r="AD9490" s="260"/>
      <c r="AE9490" s="260"/>
      <c r="AF9490" s="260"/>
      <c r="AG9490" s="258"/>
    </row>
    <row r="9491" spans="14:33" ht="12" hidden="1" customHeight="1">
      <c r="N9491" s="223"/>
      <c r="O9491" s="717"/>
      <c r="P9491" s="260"/>
      <c r="Q9491" s="258"/>
      <c r="R9491" s="260"/>
      <c r="S9491" s="260"/>
      <c r="T9491" s="260"/>
      <c r="U9491" s="260"/>
      <c r="V9491" s="260"/>
      <c r="W9491" s="260"/>
      <c r="X9491" s="260"/>
      <c r="Y9491" s="260"/>
      <c r="Z9491" s="260"/>
      <c r="AA9491" s="260"/>
      <c r="AB9491" s="260"/>
      <c r="AC9491" s="260"/>
      <c r="AD9491" s="260"/>
      <c r="AE9491" s="260"/>
      <c r="AF9491" s="260"/>
      <c r="AG9491" s="258"/>
    </row>
    <row r="9492" spans="14:33" ht="12" hidden="1" customHeight="1">
      <c r="N9492" s="223"/>
      <c r="O9492" s="717"/>
      <c r="P9492" s="260"/>
      <c r="Q9492" s="258"/>
      <c r="R9492" s="260"/>
      <c r="S9492" s="260"/>
      <c r="T9492" s="260"/>
      <c r="U9492" s="260"/>
      <c r="V9492" s="260"/>
      <c r="W9492" s="260"/>
      <c r="X9492" s="260"/>
      <c r="Y9492" s="260"/>
      <c r="Z9492" s="260"/>
      <c r="AA9492" s="260"/>
      <c r="AB9492" s="260"/>
      <c r="AC9492" s="260"/>
      <c r="AD9492" s="260"/>
      <c r="AE9492" s="260"/>
      <c r="AF9492" s="260"/>
      <c r="AG9492" s="258"/>
    </row>
    <row r="9493" spans="14:33" ht="12" customHeight="1">
      <c r="N9493" s="234" t="s">
        <v>3072</v>
      </c>
      <c r="O9493" s="235" t="s">
        <v>799</v>
      </c>
      <c r="P9493" s="257"/>
      <c r="Q9493" s="258"/>
      <c r="R9493" s="260"/>
      <c r="S9493" s="260"/>
      <c r="T9493" s="257">
        <f>SUM(T9497,T9503,T9509,T9512,T9515)</f>
        <v>0</v>
      </c>
      <c r="U9493" s="260"/>
      <c r="V9493" s="260"/>
      <c r="W9493" s="257">
        <f>SUM(W9497,W9503,W9509,W9512,W9515)</f>
        <v>0</v>
      </c>
      <c r="X9493" s="260"/>
      <c r="Y9493" s="260"/>
      <c r="Z9493" s="257">
        <f>SUM(Z9497,Z9503,Z9509,Z9512,Z9515)</f>
        <v>0</v>
      </c>
      <c r="AA9493" s="260"/>
      <c r="AB9493" s="260"/>
      <c r="AC9493" s="257">
        <f>SUM(AC9497,AC9503,AC9509,AC9512,AC9515)</f>
        <v>0</v>
      </c>
      <c r="AD9493" s="260"/>
      <c r="AE9493" s="260"/>
      <c r="AF9493" s="257">
        <f>SUM(AF9497,AF9503,AF9509,AF9512,AF9515)</f>
        <v>0</v>
      </c>
      <c r="AG9493" s="258"/>
    </row>
    <row r="9494" spans="14:33" ht="12" hidden="1" customHeight="1">
      <c r="N9494" s="719"/>
      <c r="O9494" s="720"/>
      <c r="P9494" s="720"/>
      <c r="Q9494" s="258"/>
      <c r="R9494" s="260"/>
      <c r="S9494" s="260"/>
      <c r="T9494" s="720"/>
      <c r="U9494" s="720"/>
      <c r="V9494" s="720"/>
      <c r="W9494" s="720"/>
      <c r="X9494" s="720"/>
      <c r="Y9494" s="720"/>
      <c r="Z9494" s="720"/>
      <c r="AA9494" s="720"/>
      <c r="AB9494" s="720"/>
      <c r="AC9494" s="720"/>
      <c r="AD9494" s="720"/>
      <c r="AE9494" s="720"/>
      <c r="AF9494" s="720"/>
      <c r="AG9494" s="258"/>
    </row>
    <row r="9495" spans="14:33" ht="12" hidden="1" customHeight="1">
      <c r="N9495" s="719"/>
      <c r="O9495" s="720"/>
      <c r="P9495" s="720"/>
      <c r="Q9495" s="258"/>
      <c r="R9495" s="260"/>
      <c r="S9495" s="260"/>
      <c r="T9495" s="720"/>
      <c r="U9495" s="720"/>
      <c r="V9495" s="720"/>
      <c r="W9495" s="720"/>
      <c r="X9495" s="720"/>
      <c r="Y9495" s="720"/>
      <c r="Z9495" s="720"/>
      <c r="AA9495" s="720"/>
      <c r="AB9495" s="720"/>
      <c r="AC9495" s="720"/>
      <c r="AD9495" s="720"/>
      <c r="AE9495" s="720"/>
      <c r="AF9495" s="720"/>
      <c r="AG9495" s="258"/>
    </row>
    <row r="9496" spans="14:33" ht="12" hidden="1" customHeight="1">
      <c r="N9496" s="719"/>
      <c r="O9496" s="720"/>
      <c r="P9496" s="720"/>
      <c r="Q9496" s="258"/>
      <c r="R9496" s="260"/>
      <c r="S9496" s="260"/>
      <c r="T9496" s="720"/>
      <c r="U9496" s="720"/>
      <c r="V9496" s="720"/>
      <c r="W9496" s="720"/>
      <c r="X9496" s="720"/>
      <c r="Y9496" s="720"/>
      <c r="Z9496" s="720"/>
      <c r="AA9496" s="720"/>
      <c r="AB9496" s="720"/>
      <c r="AC9496" s="720"/>
      <c r="AD9496" s="720"/>
      <c r="AE9496" s="720"/>
      <c r="AF9496" s="720"/>
      <c r="AG9496" s="258"/>
    </row>
    <row r="9497" spans="14:33" ht="12" customHeight="1">
      <c r="N9497" s="236" t="s">
        <v>75</v>
      </c>
      <c r="O9497" s="224" t="s">
        <v>1832</v>
      </c>
      <c r="P9497" s="257"/>
      <c r="Q9497" s="258"/>
      <c r="R9497" s="260"/>
      <c r="S9497" s="260"/>
      <c r="T9497" s="262">
        <f>IF($AP$8="I",'ТС.РО 01.01 - 30.06'!T9497,IF($AP$8="II",'ТС.РО 01.07 - 31.08'!T9497,IF($AP$8="III",'ТС.РО 01.09 - 31.12'!T9497,0)))*T9564</f>
        <v>0</v>
      </c>
      <c r="U9497" s="260"/>
      <c r="V9497" s="260"/>
      <c r="W9497" s="262">
        <f>IF($AP$8="I",'ТС.РО 01.01 - 30.06'!W9497,IF($AP$8="II",'ТС.РО 01.07 - 31.08'!W9497,IF($AP$8="III",'ТС.РО 01.09 - 31.12'!W9497,0)))*W9564</f>
        <v>0</v>
      </c>
      <c r="X9497" s="260"/>
      <c r="Y9497" s="260"/>
      <c r="Z9497" s="262">
        <f>IF($AP$8="I",'ТС.РО 01.01 - 30.06'!Z9497,IF($AP$8="II",'ТС.РО 01.07 - 31.08'!Z9497,IF($AP$8="III",'ТС.РО 01.09 - 31.12'!Z9497,0)))*Z9564</f>
        <v>0</v>
      </c>
      <c r="AA9497" s="260"/>
      <c r="AB9497" s="260"/>
      <c r="AC9497" s="262">
        <f>IF($AP$8="I",'ТС.РО 01.01 - 30.06'!AC9497,IF($AP$8="II",'ТС.РО 01.07 - 31.08'!AC9497,IF($AP$8="III",'ТС.РО 01.09 - 31.12'!AC9497,0)))*AC9564</f>
        <v>0</v>
      </c>
      <c r="AD9497" s="260"/>
      <c r="AE9497" s="260"/>
      <c r="AF9497" s="262">
        <f>IF($AP$8="I",'ТС.РО 01.01 - 30.06'!AF9497,IF($AP$8="II",'ТС.РО 01.07 - 31.08'!AF9497,IF($AP$8="III",'ТС.РО 01.09 - 31.12'!AF9497,0)))*AF9564</f>
        <v>0</v>
      </c>
      <c r="AG9497" s="258"/>
    </row>
    <row r="9498" spans="14:33" ht="12" hidden="1" customHeight="1">
      <c r="N9498" s="719"/>
      <c r="O9498" s="720"/>
      <c r="P9498" s="720"/>
      <c r="Q9498" s="258"/>
      <c r="R9498" s="260"/>
      <c r="S9498" s="260"/>
      <c r="T9498" s="720"/>
      <c r="U9498" s="720"/>
      <c r="V9498" s="720"/>
      <c r="W9498" s="720"/>
      <c r="X9498" s="720"/>
      <c r="Y9498" s="720"/>
      <c r="Z9498" s="720"/>
      <c r="AA9498" s="720"/>
      <c r="AB9498" s="720"/>
      <c r="AC9498" s="720"/>
      <c r="AD9498" s="720"/>
      <c r="AE9498" s="720"/>
      <c r="AF9498" s="720"/>
      <c r="AG9498" s="258"/>
    </row>
    <row r="9499" spans="14:33" ht="12" hidden="1" customHeight="1">
      <c r="N9499" s="719"/>
      <c r="O9499" s="720"/>
      <c r="P9499" s="720"/>
      <c r="Q9499" s="258"/>
      <c r="R9499" s="260"/>
      <c r="S9499" s="260"/>
      <c r="T9499" s="720"/>
      <c r="U9499" s="720"/>
      <c r="V9499" s="720"/>
      <c r="W9499" s="720"/>
      <c r="X9499" s="720"/>
      <c r="Y9499" s="720"/>
      <c r="Z9499" s="720"/>
      <c r="AA9499" s="720"/>
      <c r="AB9499" s="720"/>
      <c r="AC9499" s="720"/>
      <c r="AD9499" s="720"/>
      <c r="AE9499" s="720"/>
      <c r="AF9499" s="720"/>
      <c r="AG9499" s="258"/>
    </row>
    <row r="9500" spans="14:33" ht="12" hidden="1" customHeight="1">
      <c r="N9500" s="719"/>
      <c r="O9500" s="720"/>
      <c r="P9500" s="720"/>
      <c r="Q9500" s="258"/>
      <c r="R9500" s="260"/>
      <c r="S9500" s="260"/>
      <c r="T9500" s="720"/>
      <c r="U9500" s="720"/>
      <c r="V9500" s="720"/>
      <c r="W9500" s="720"/>
      <c r="X9500" s="720"/>
      <c r="Y9500" s="720"/>
      <c r="Z9500" s="720"/>
      <c r="AA9500" s="720"/>
      <c r="AB9500" s="720"/>
      <c r="AC9500" s="720"/>
      <c r="AD9500" s="720"/>
      <c r="AE9500" s="720"/>
      <c r="AF9500" s="720"/>
      <c r="AG9500" s="258"/>
    </row>
    <row r="9501" spans="14:33" ht="12" hidden="1" customHeight="1">
      <c r="N9501" s="719"/>
      <c r="O9501" s="720"/>
      <c r="P9501" s="720"/>
      <c r="Q9501" s="258"/>
      <c r="R9501" s="260"/>
      <c r="S9501" s="260"/>
      <c r="T9501" s="720"/>
      <c r="U9501" s="720"/>
      <c r="V9501" s="720"/>
      <c r="W9501" s="720"/>
      <c r="X9501" s="720"/>
      <c r="Y9501" s="720"/>
      <c r="Z9501" s="720"/>
      <c r="AA9501" s="720"/>
      <c r="AB9501" s="720"/>
      <c r="AC9501" s="720"/>
      <c r="AD9501" s="720"/>
      <c r="AE9501" s="720"/>
      <c r="AF9501" s="720"/>
      <c r="AG9501" s="258"/>
    </row>
    <row r="9502" spans="14:33" ht="12" hidden="1" customHeight="1">
      <c r="N9502" s="719"/>
      <c r="O9502" s="720"/>
      <c r="P9502" s="720"/>
      <c r="Q9502" s="258"/>
      <c r="R9502" s="260"/>
      <c r="S9502" s="260"/>
      <c r="T9502" s="720"/>
      <c r="U9502" s="720"/>
      <c r="V9502" s="720"/>
      <c r="W9502" s="720"/>
      <c r="X9502" s="720"/>
      <c r="Y9502" s="720"/>
      <c r="Z9502" s="720"/>
      <c r="AA9502" s="720"/>
      <c r="AB9502" s="720"/>
      <c r="AC9502" s="720"/>
      <c r="AD9502" s="720"/>
      <c r="AE9502" s="720"/>
      <c r="AF9502" s="720"/>
      <c r="AG9502" s="258"/>
    </row>
    <row r="9503" spans="14:33" ht="12" customHeight="1">
      <c r="N9503" s="236" t="s">
        <v>62</v>
      </c>
      <c r="O9503" s="224" t="s">
        <v>1838</v>
      </c>
      <c r="P9503" s="257"/>
      <c r="Q9503" s="258"/>
      <c r="R9503" s="260"/>
      <c r="S9503" s="260"/>
      <c r="T9503" s="262">
        <f>IF($AP$8="I",'ТС.РО 01.01 - 30.06'!T9503,IF($AP$8="II",'ТС.РО 01.07 - 31.08'!T9503,IF($AP$8="III",'ТС.РО 01.09 - 31.12'!T9503,0)))*T9564</f>
        <v>0</v>
      </c>
      <c r="U9503" s="260"/>
      <c r="V9503" s="260"/>
      <c r="W9503" s="262">
        <f>IF($AP$8="I",'ТС.РО 01.01 - 30.06'!W9503,IF($AP$8="II",'ТС.РО 01.07 - 31.08'!W9503,IF($AP$8="III",'ТС.РО 01.09 - 31.12'!W9503,0)))*W9564</f>
        <v>0</v>
      </c>
      <c r="X9503" s="260"/>
      <c r="Y9503" s="260"/>
      <c r="Z9503" s="262">
        <f>IF($AP$8="I",'ТС.РО 01.01 - 30.06'!Z9503,IF($AP$8="II",'ТС.РО 01.07 - 31.08'!Z9503,IF($AP$8="III",'ТС.РО 01.09 - 31.12'!Z9503,0)))*Z9564</f>
        <v>0</v>
      </c>
      <c r="AA9503" s="260"/>
      <c r="AB9503" s="260"/>
      <c r="AC9503" s="262">
        <f>IF($AP$8="I",'ТС.РО 01.01 - 30.06'!AC9503,IF($AP$8="II",'ТС.РО 01.07 - 31.08'!AC9503,IF($AP$8="III",'ТС.РО 01.09 - 31.12'!AC9503,0)))*AC9564</f>
        <v>0</v>
      </c>
      <c r="AD9503" s="260"/>
      <c r="AE9503" s="260"/>
      <c r="AF9503" s="262">
        <f>IF($AP$8="I",'ТС.РО 01.01 - 30.06'!AF9503,IF($AP$8="II",'ТС.РО 01.07 - 31.08'!AF9503,IF($AP$8="III",'ТС.РО 01.09 - 31.12'!AF9503,0)))*AF9564</f>
        <v>0</v>
      </c>
      <c r="AG9503" s="258"/>
    </row>
    <row r="9504" spans="14:33" ht="12" hidden="1" customHeight="1">
      <c r="N9504" s="719"/>
      <c r="O9504" s="720"/>
      <c r="P9504" s="720"/>
      <c r="Q9504" s="258"/>
      <c r="R9504" s="260"/>
      <c r="S9504" s="260"/>
      <c r="T9504" s="720"/>
      <c r="U9504" s="720"/>
      <c r="V9504" s="720"/>
      <c r="W9504" s="720"/>
      <c r="X9504" s="720"/>
      <c r="Y9504" s="720"/>
      <c r="Z9504" s="720"/>
      <c r="AA9504" s="720"/>
      <c r="AB9504" s="720"/>
      <c r="AC9504" s="720"/>
      <c r="AD9504" s="720"/>
      <c r="AE9504" s="720"/>
      <c r="AF9504" s="720"/>
      <c r="AG9504" s="258"/>
    </row>
    <row r="9505" spans="14:33" ht="12" hidden="1" customHeight="1">
      <c r="N9505" s="719"/>
      <c r="O9505" s="720"/>
      <c r="P9505" s="720"/>
      <c r="Q9505" s="258"/>
      <c r="R9505" s="260"/>
      <c r="S9505" s="260"/>
      <c r="T9505" s="720"/>
      <c r="U9505" s="720"/>
      <c r="V9505" s="720"/>
      <c r="W9505" s="720"/>
      <c r="X9505" s="720"/>
      <c r="Y9505" s="720"/>
      <c r="Z9505" s="720"/>
      <c r="AA9505" s="720"/>
      <c r="AB9505" s="720"/>
      <c r="AC9505" s="720"/>
      <c r="AD9505" s="720"/>
      <c r="AE9505" s="720"/>
      <c r="AF9505" s="720"/>
      <c r="AG9505" s="258"/>
    </row>
    <row r="9506" spans="14:33" ht="12" hidden="1" customHeight="1">
      <c r="N9506" s="719"/>
      <c r="O9506" s="720"/>
      <c r="P9506" s="720"/>
      <c r="Q9506" s="258"/>
      <c r="R9506" s="260"/>
      <c r="S9506" s="260"/>
      <c r="T9506" s="720"/>
      <c r="U9506" s="720"/>
      <c r="V9506" s="720"/>
      <c r="W9506" s="720"/>
      <c r="X9506" s="720"/>
      <c r="Y9506" s="720"/>
      <c r="Z9506" s="720"/>
      <c r="AA9506" s="720"/>
      <c r="AB9506" s="720"/>
      <c r="AC9506" s="720"/>
      <c r="AD9506" s="720"/>
      <c r="AE9506" s="720"/>
      <c r="AF9506" s="720"/>
      <c r="AG9506" s="258"/>
    </row>
    <row r="9507" spans="14:33" ht="12" hidden="1" customHeight="1">
      <c r="N9507" s="719"/>
      <c r="O9507" s="720"/>
      <c r="P9507" s="720"/>
      <c r="Q9507" s="258"/>
      <c r="R9507" s="260"/>
      <c r="S9507" s="260"/>
      <c r="T9507" s="720"/>
      <c r="U9507" s="720"/>
      <c r="V9507" s="720"/>
      <c r="W9507" s="720"/>
      <c r="X9507" s="720"/>
      <c r="Y9507" s="720"/>
      <c r="Z9507" s="720"/>
      <c r="AA9507" s="720"/>
      <c r="AB9507" s="720"/>
      <c r="AC9507" s="720"/>
      <c r="AD9507" s="720"/>
      <c r="AE9507" s="720"/>
      <c r="AF9507" s="720"/>
      <c r="AG9507" s="258"/>
    </row>
    <row r="9508" spans="14:33" ht="12" hidden="1" customHeight="1">
      <c r="N9508" s="719"/>
      <c r="O9508" s="720"/>
      <c r="P9508" s="720"/>
      <c r="Q9508" s="258"/>
      <c r="R9508" s="260"/>
      <c r="S9508" s="260"/>
      <c r="T9508" s="720"/>
      <c r="U9508" s="720"/>
      <c r="V9508" s="720"/>
      <c r="W9508" s="720"/>
      <c r="X9508" s="720"/>
      <c r="Y9508" s="720"/>
      <c r="Z9508" s="720"/>
      <c r="AA9508" s="720"/>
      <c r="AB9508" s="720"/>
      <c r="AC9508" s="720"/>
      <c r="AD9508" s="720"/>
      <c r="AE9508" s="720"/>
      <c r="AF9508" s="720"/>
      <c r="AG9508" s="258"/>
    </row>
    <row r="9509" spans="14:33" ht="12" customHeight="1">
      <c r="N9509" s="236" t="s">
        <v>68</v>
      </c>
      <c r="O9509" s="224" t="s">
        <v>1843</v>
      </c>
      <c r="P9509" s="257"/>
      <c r="Q9509" s="258"/>
      <c r="R9509" s="260"/>
      <c r="S9509" s="260"/>
      <c r="T9509" s="262">
        <f>IF($AP$8="I",'ТС.РО 01.01 - 30.06'!T9509,IF($AP$8="II",'ТС.РО 01.07 - 31.08'!T9509,IF($AP$8="III",'ТС.РО 01.09 - 31.12'!T9509,0)))*T9564</f>
        <v>0</v>
      </c>
      <c r="U9509" s="260"/>
      <c r="V9509" s="260"/>
      <c r="W9509" s="262">
        <f>IF($AP$8="I",'ТС.РО 01.01 - 30.06'!W9509,IF($AP$8="II",'ТС.РО 01.07 - 31.08'!W9509,IF($AP$8="III",'ТС.РО 01.09 - 31.12'!W9509,0)))*W9564</f>
        <v>0</v>
      </c>
      <c r="X9509" s="260"/>
      <c r="Y9509" s="260"/>
      <c r="Z9509" s="262">
        <f>IF($AP$8="I",'ТС.РО 01.01 - 30.06'!Z9509,IF($AP$8="II",'ТС.РО 01.07 - 31.08'!Z9509,IF($AP$8="III",'ТС.РО 01.09 - 31.12'!Z9509,0)))*Z9564</f>
        <v>0</v>
      </c>
      <c r="AA9509" s="260"/>
      <c r="AB9509" s="260"/>
      <c r="AC9509" s="262">
        <f>IF($AP$8="I",'ТС.РО 01.01 - 30.06'!AC9509,IF($AP$8="II",'ТС.РО 01.07 - 31.08'!AC9509,IF($AP$8="III",'ТС.РО 01.09 - 31.12'!AC9509,0)))*AC9564</f>
        <v>0</v>
      </c>
      <c r="AD9509" s="260"/>
      <c r="AE9509" s="260"/>
      <c r="AF9509" s="262">
        <f>IF($AP$8="I",'ТС.РО 01.01 - 30.06'!AF9509,IF($AP$8="II",'ТС.РО 01.07 - 31.08'!AF9509,IF($AP$8="III",'ТС.РО 01.09 - 31.12'!AF9509,0)))*AF9564</f>
        <v>0</v>
      </c>
      <c r="AG9509" s="258"/>
    </row>
    <row r="9510" spans="14:33" ht="12" hidden="1" customHeight="1">
      <c r="N9510" s="719"/>
      <c r="O9510" s="720"/>
      <c r="P9510" s="720"/>
      <c r="Q9510" s="258"/>
      <c r="R9510" s="260"/>
      <c r="S9510" s="260"/>
      <c r="T9510" s="720"/>
      <c r="U9510" s="720"/>
      <c r="V9510" s="720"/>
      <c r="W9510" s="720"/>
      <c r="X9510" s="720"/>
      <c r="Y9510" s="720"/>
      <c r="Z9510" s="720"/>
      <c r="AA9510" s="720"/>
      <c r="AB9510" s="720"/>
      <c r="AC9510" s="720"/>
      <c r="AD9510" s="720"/>
      <c r="AE9510" s="720"/>
      <c r="AF9510" s="720"/>
      <c r="AG9510" s="258"/>
    </row>
    <row r="9511" spans="14:33" ht="12" hidden="1" customHeight="1">
      <c r="N9511" s="719"/>
      <c r="O9511" s="720"/>
      <c r="P9511" s="720"/>
      <c r="Q9511" s="258"/>
      <c r="R9511" s="260"/>
      <c r="S9511" s="260"/>
      <c r="T9511" s="720"/>
      <c r="U9511" s="720"/>
      <c r="V9511" s="720"/>
      <c r="W9511" s="720"/>
      <c r="X9511" s="720"/>
      <c r="Y9511" s="720"/>
      <c r="Z9511" s="720"/>
      <c r="AA9511" s="720"/>
      <c r="AB9511" s="720"/>
      <c r="AC9511" s="720"/>
      <c r="AD9511" s="720"/>
      <c r="AE9511" s="720"/>
      <c r="AF9511" s="720"/>
      <c r="AG9511" s="258"/>
    </row>
    <row r="9512" spans="14:33" ht="12" customHeight="1">
      <c r="N9512" s="236" t="s">
        <v>1848</v>
      </c>
      <c r="O9512" s="224" t="s">
        <v>1849</v>
      </c>
      <c r="P9512" s="257"/>
      <c r="Q9512" s="258"/>
      <c r="R9512" s="260"/>
      <c r="S9512" s="260"/>
      <c r="T9512" s="262">
        <f>IF($AP$8="I",'ТС.РО 01.01 - 30.06'!T9512,IF($AP$8="II",'ТС.РО 01.07 - 31.08'!T9512,IF($AP$8="III",'ТС.РО 01.09 - 31.12'!T9512,0)))*T9564</f>
        <v>0</v>
      </c>
      <c r="U9512" s="260"/>
      <c r="V9512" s="260"/>
      <c r="W9512" s="262">
        <f>IF($AP$8="I",'ТС.РО 01.01 - 30.06'!W9512,IF($AP$8="II",'ТС.РО 01.07 - 31.08'!W9512,IF($AP$8="III",'ТС.РО 01.09 - 31.12'!W9512,0)))*W9564</f>
        <v>0</v>
      </c>
      <c r="X9512" s="260"/>
      <c r="Y9512" s="260"/>
      <c r="Z9512" s="262">
        <f>IF($AP$8="I",'ТС.РО 01.01 - 30.06'!Z9512,IF($AP$8="II",'ТС.РО 01.07 - 31.08'!Z9512,IF($AP$8="III",'ТС.РО 01.09 - 31.12'!Z9512,0)))*Z9564</f>
        <v>0</v>
      </c>
      <c r="AA9512" s="260"/>
      <c r="AB9512" s="260"/>
      <c r="AC9512" s="262">
        <f>IF($AP$8="I",'ТС.РО 01.01 - 30.06'!AC9512,IF($AP$8="II",'ТС.РО 01.07 - 31.08'!AC9512,IF($AP$8="III",'ТС.РО 01.09 - 31.12'!AC9512,0)))*AC9564</f>
        <v>0</v>
      </c>
      <c r="AD9512" s="260"/>
      <c r="AE9512" s="260"/>
      <c r="AF9512" s="262">
        <f>IF($AP$8="I",'ТС.РО 01.01 - 30.06'!AF9512,IF($AP$8="II",'ТС.РО 01.07 - 31.08'!AF9512,IF($AP$8="III",'ТС.РО 01.09 - 31.12'!AF9512,0)))*AF9564</f>
        <v>0</v>
      </c>
      <c r="AG9512" s="258"/>
    </row>
    <row r="9513" spans="14:33" ht="12" hidden="1" customHeight="1">
      <c r="N9513" s="719"/>
      <c r="O9513" s="720"/>
      <c r="P9513" s="720"/>
      <c r="Q9513" s="258"/>
      <c r="R9513" s="260"/>
      <c r="S9513" s="260"/>
      <c r="T9513" s="720"/>
      <c r="U9513" s="720"/>
      <c r="V9513" s="720"/>
      <c r="W9513" s="720"/>
      <c r="X9513" s="720"/>
      <c r="Y9513" s="720"/>
      <c r="Z9513" s="720"/>
      <c r="AA9513" s="720"/>
      <c r="AB9513" s="720"/>
      <c r="AC9513" s="720"/>
      <c r="AD9513" s="720"/>
      <c r="AE9513" s="720"/>
      <c r="AF9513" s="720"/>
      <c r="AG9513" s="258"/>
    </row>
    <row r="9514" spans="14:33" ht="12" hidden="1" customHeight="1">
      <c r="N9514" s="719"/>
      <c r="O9514" s="720"/>
      <c r="P9514" s="720"/>
      <c r="Q9514" s="258"/>
      <c r="R9514" s="260"/>
      <c r="S9514" s="260"/>
      <c r="T9514" s="720"/>
      <c r="U9514" s="720"/>
      <c r="V9514" s="720"/>
      <c r="W9514" s="720"/>
      <c r="X9514" s="720"/>
      <c r="Y9514" s="720"/>
      <c r="Z9514" s="720"/>
      <c r="AA9514" s="720"/>
      <c r="AB9514" s="720"/>
      <c r="AC9514" s="720"/>
      <c r="AD9514" s="720"/>
      <c r="AE9514" s="720"/>
      <c r="AF9514" s="720"/>
      <c r="AG9514" s="258"/>
    </row>
    <row r="9515" spans="14:33" ht="12" customHeight="1">
      <c r="N9515" s="236" t="s">
        <v>1855</v>
      </c>
      <c r="O9515" s="224" t="s">
        <v>1856</v>
      </c>
      <c r="P9515" s="257"/>
      <c r="Q9515" s="258"/>
      <c r="R9515" s="260"/>
      <c r="S9515" s="260"/>
      <c r="T9515" s="262">
        <f>IF($AP$8="I",'ТС.РО 01.01 - 30.06'!T9515,IF($AP$8="II",'ТС.РО 01.07 - 31.08'!T9515,IF($AP$8="III",'ТС.РО 01.09 - 31.12'!T9515,0)))*T9564</f>
        <v>0</v>
      </c>
      <c r="U9515" s="260"/>
      <c r="V9515" s="260"/>
      <c r="W9515" s="262">
        <f>IF($AP$8="I",'ТС.РО 01.01 - 30.06'!W9515,IF($AP$8="II",'ТС.РО 01.07 - 31.08'!W9515,IF($AP$8="III",'ТС.РО 01.09 - 31.12'!W9515,0)))*W9564</f>
        <v>0</v>
      </c>
      <c r="X9515" s="260"/>
      <c r="Y9515" s="260"/>
      <c r="Z9515" s="262">
        <f>IF($AP$8="I",'ТС.РО 01.01 - 30.06'!Z9515,IF($AP$8="II",'ТС.РО 01.07 - 31.08'!Z9515,IF($AP$8="III",'ТС.РО 01.09 - 31.12'!Z9515,0)))*Z9564</f>
        <v>0</v>
      </c>
      <c r="AA9515" s="260"/>
      <c r="AB9515" s="260"/>
      <c r="AC9515" s="262">
        <f>IF($AP$8="I",'ТС.РО 01.01 - 30.06'!AC9515,IF($AP$8="II",'ТС.РО 01.07 - 31.08'!AC9515,IF($AP$8="III",'ТС.РО 01.09 - 31.12'!AC9515,0)))*AC9564</f>
        <v>0</v>
      </c>
      <c r="AD9515" s="260"/>
      <c r="AE9515" s="260"/>
      <c r="AF9515" s="262">
        <f>IF($AP$8="I",'ТС.РО 01.01 - 30.06'!AF9515,IF($AP$8="II",'ТС.РО 01.07 - 31.08'!AF9515,IF($AP$8="III",'ТС.РО 01.09 - 31.12'!AF9515,0)))*AF9564</f>
        <v>0</v>
      </c>
      <c r="AG9515" s="258"/>
    </row>
    <row r="9516" spans="14:33" ht="12" hidden="1" customHeight="1">
      <c r="N9516" s="719"/>
      <c r="O9516" s="720"/>
      <c r="P9516" s="720"/>
      <c r="Q9516" s="258"/>
      <c r="R9516" s="260"/>
      <c r="S9516" s="260"/>
      <c r="T9516" s="720"/>
      <c r="U9516" s="720"/>
      <c r="V9516" s="720"/>
      <c r="W9516" s="720"/>
      <c r="X9516" s="720"/>
      <c r="Y9516" s="720"/>
      <c r="Z9516" s="720"/>
      <c r="AA9516" s="720"/>
      <c r="AB9516" s="720"/>
      <c r="AC9516" s="720"/>
      <c r="AD9516" s="720"/>
      <c r="AE9516" s="720"/>
      <c r="AF9516" s="720"/>
      <c r="AG9516" s="258"/>
    </row>
    <row r="9517" spans="14:33" ht="12" hidden="1" customHeight="1">
      <c r="N9517" s="719"/>
      <c r="O9517" s="720"/>
      <c r="P9517" s="720"/>
      <c r="Q9517" s="258"/>
      <c r="R9517" s="260"/>
      <c r="S9517" s="260"/>
      <c r="T9517" s="720"/>
      <c r="U9517" s="720"/>
      <c r="V9517" s="720"/>
      <c r="W9517" s="720"/>
      <c r="X9517" s="720"/>
      <c r="Y9517" s="720"/>
      <c r="Z9517" s="720"/>
      <c r="AA9517" s="720"/>
      <c r="AB9517" s="720"/>
      <c r="AC9517" s="720"/>
      <c r="AD9517" s="720"/>
      <c r="AE9517" s="720"/>
      <c r="AF9517" s="720"/>
      <c r="AG9517" s="258"/>
    </row>
    <row r="9518" spans="14:33" ht="12" customHeight="1">
      <c r="N9518" s="234" t="s">
        <v>2412</v>
      </c>
      <c r="O9518" s="235" t="s">
        <v>2413</v>
      </c>
      <c r="P9518" s="257"/>
      <c r="Q9518" s="258"/>
      <c r="R9518" s="260"/>
      <c r="S9518" s="260"/>
      <c r="T9518" s="257">
        <f>SUM(T9519:T9523)</f>
        <v>0</v>
      </c>
      <c r="U9518" s="260"/>
      <c r="V9518" s="260"/>
      <c r="W9518" s="257">
        <f>SUM(W9519:W9523)</f>
        <v>0</v>
      </c>
      <c r="X9518" s="260"/>
      <c r="Y9518" s="260"/>
      <c r="Z9518" s="257">
        <f>SUM(Z9519:Z9523)</f>
        <v>0</v>
      </c>
      <c r="AA9518" s="260"/>
      <c r="AB9518" s="260"/>
      <c r="AC9518" s="257">
        <f>SUM(AC9519:AC9523)</f>
        <v>0</v>
      </c>
      <c r="AD9518" s="260"/>
      <c r="AE9518" s="260"/>
      <c r="AF9518" s="257">
        <f>SUM(AF9519:AF9523)</f>
        <v>0</v>
      </c>
      <c r="AG9518" s="258"/>
    </row>
    <row r="9519" spans="14:33" ht="12" customHeight="1">
      <c r="N9519" s="236" t="s">
        <v>2414</v>
      </c>
      <c r="O9519" s="224" t="s">
        <v>2415</v>
      </c>
      <c r="P9519" s="257"/>
      <c r="Q9519" s="258"/>
      <c r="R9519" s="260"/>
      <c r="S9519" s="260"/>
      <c r="T9519" s="262">
        <f>IF($AP$8="I",'ТС.РО 01.01 - 30.06'!T9519,IF($AP$8="II",'ТС.РО 01.07 - 31.08'!T9519,IF($AP$8="III",'ТС.РО 01.09 - 31.12'!T9519,0)))*T9564</f>
        <v>0</v>
      </c>
      <c r="U9519" s="260"/>
      <c r="V9519" s="260"/>
      <c r="W9519" s="262">
        <f>IF($AP$8="I",'ТС.РО 01.01 - 30.06'!W9519,IF($AP$8="II",'ТС.РО 01.07 - 31.08'!W9519,IF($AP$8="III",'ТС.РО 01.09 - 31.12'!W9519,0)))*W9564</f>
        <v>0</v>
      </c>
      <c r="X9519" s="260"/>
      <c r="Y9519" s="260"/>
      <c r="Z9519" s="262">
        <f>IF($AP$8="I",'ТС.РО 01.01 - 30.06'!Z9519,IF($AP$8="II",'ТС.РО 01.07 - 31.08'!Z9519,IF($AP$8="III",'ТС.РО 01.09 - 31.12'!Z9519,0)))*Z9564</f>
        <v>0</v>
      </c>
      <c r="AA9519" s="260"/>
      <c r="AB9519" s="260"/>
      <c r="AC9519" s="262">
        <f>IF($AP$8="I",'ТС.РО 01.01 - 30.06'!AC9519,IF($AP$8="II",'ТС.РО 01.07 - 31.08'!AC9519,IF($AP$8="III",'ТС.РО 01.09 - 31.12'!AC9519,0)))*AC9564</f>
        <v>0</v>
      </c>
      <c r="AD9519" s="260"/>
      <c r="AE9519" s="260"/>
      <c r="AF9519" s="262">
        <f>IF($AP$8="I",'ТС.РО 01.01 - 30.06'!AF9519,IF($AP$8="II",'ТС.РО 01.07 - 31.08'!AF9519,IF($AP$8="III",'ТС.РО 01.09 - 31.12'!AF9519,0)))*AF9564</f>
        <v>0</v>
      </c>
      <c r="AG9519" s="258"/>
    </row>
    <row r="9520" spans="14:33" ht="12" customHeight="1">
      <c r="N9520" s="236" t="s">
        <v>2416</v>
      </c>
      <c r="O9520" s="224" t="s">
        <v>2417</v>
      </c>
      <c r="P9520" s="257"/>
      <c r="Q9520" s="258"/>
      <c r="R9520" s="260"/>
      <c r="S9520" s="260"/>
      <c r="T9520" s="262">
        <f>IF($AP$8="I",'ТС.РО 01.01 - 30.06'!T9520,IF($AP$8="II",'ТС.РО 01.07 - 31.08'!T9520,IF($AP$8="III",'ТС.РО 01.09 - 31.12'!T9520,0)))*T9564</f>
        <v>0</v>
      </c>
      <c r="U9520" s="260"/>
      <c r="V9520" s="260"/>
      <c r="W9520" s="262">
        <f>IF($AP$8="I",'ТС.РО 01.01 - 30.06'!W9520,IF($AP$8="II",'ТС.РО 01.07 - 31.08'!W9520,IF($AP$8="III",'ТС.РО 01.09 - 31.12'!W9520,0)))*W9564</f>
        <v>0</v>
      </c>
      <c r="X9520" s="260"/>
      <c r="Y9520" s="260"/>
      <c r="Z9520" s="262">
        <f>IF($AP$8="I",'ТС.РО 01.01 - 30.06'!Z9520,IF($AP$8="II",'ТС.РО 01.07 - 31.08'!Z9520,IF($AP$8="III",'ТС.РО 01.09 - 31.12'!Z9520,0)))*Z9564</f>
        <v>0</v>
      </c>
      <c r="AA9520" s="260"/>
      <c r="AB9520" s="260"/>
      <c r="AC9520" s="262">
        <f>IF($AP$8="I",'ТС.РО 01.01 - 30.06'!AC9520,IF($AP$8="II",'ТС.РО 01.07 - 31.08'!AC9520,IF($AP$8="III",'ТС.РО 01.09 - 31.12'!AC9520,0)))*AC9564</f>
        <v>0</v>
      </c>
      <c r="AD9520" s="260"/>
      <c r="AE9520" s="260"/>
      <c r="AF9520" s="262">
        <f>IF($AP$8="I",'ТС.РО 01.01 - 30.06'!AF9520,IF($AP$8="II",'ТС.РО 01.07 - 31.08'!AF9520,IF($AP$8="III",'ТС.РО 01.09 - 31.12'!AF9520,0)))*AF9564</f>
        <v>0</v>
      </c>
      <c r="AG9520" s="258"/>
    </row>
    <row r="9521" spans="14:33" ht="12" customHeight="1">
      <c r="N9521" s="236" t="s">
        <v>2419</v>
      </c>
      <c r="O9521" s="224" t="s">
        <v>2420</v>
      </c>
      <c r="P9521" s="257"/>
      <c r="Q9521" s="258"/>
      <c r="R9521" s="260"/>
      <c r="S9521" s="260"/>
      <c r="T9521" s="262">
        <f>IF($AP$8="I",'ТС.РО 01.01 - 30.06'!T9521,IF($AP$8="II",'ТС.РО 01.07 - 31.08'!T9521,IF($AP$8="III",'ТС.РО 01.09 - 31.12'!T9521,0)))*T9564</f>
        <v>0</v>
      </c>
      <c r="U9521" s="260"/>
      <c r="V9521" s="260"/>
      <c r="W9521" s="262">
        <f>IF($AP$8="I",'ТС.РО 01.01 - 30.06'!W9521,IF($AP$8="II",'ТС.РО 01.07 - 31.08'!W9521,IF($AP$8="III",'ТС.РО 01.09 - 31.12'!W9521,0)))*W9564</f>
        <v>0</v>
      </c>
      <c r="X9521" s="260"/>
      <c r="Y9521" s="260"/>
      <c r="Z9521" s="262">
        <f>IF($AP$8="I",'ТС.РО 01.01 - 30.06'!Z9521,IF($AP$8="II",'ТС.РО 01.07 - 31.08'!Z9521,IF($AP$8="III",'ТС.РО 01.09 - 31.12'!Z9521,0)))*Z9564</f>
        <v>0</v>
      </c>
      <c r="AA9521" s="260"/>
      <c r="AB9521" s="260"/>
      <c r="AC9521" s="262">
        <f>IF($AP$8="I",'ТС.РО 01.01 - 30.06'!AC9521,IF($AP$8="II",'ТС.РО 01.07 - 31.08'!AC9521,IF($AP$8="III",'ТС.РО 01.09 - 31.12'!AC9521,0)))*AC9564</f>
        <v>0</v>
      </c>
      <c r="AD9521" s="260"/>
      <c r="AE9521" s="260"/>
      <c r="AF9521" s="262">
        <f>IF($AP$8="I",'ТС.РО 01.01 - 30.06'!AF9521,IF($AP$8="II",'ТС.РО 01.07 - 31.08'!AF9521,IF($AP$8="III",'ТС.РО 01.09 - 31.12'!AF9521,0)))*AF9564</f>
        <v>0</v>
      </c>
      <c r="AG9521" s="258"/>
    </row>
    <row r="9522" spans="14:33" ht="12" customHeight="1">
      <c r="N9522" s="236" t="s">
        <v>2422</v>
      </c>
      <c r="O9522" s="224" t="s">
        <v>2423</v>
      </c>
      <c r="P9522" s="257"/>
      <c r="Q9522" s="258"/>
      <c r="R9522" s="260"/>
      <c r="S9522" s="260"/>
      <c r="T9522" s="262">
        <f>IF($AP$8="I",'ТС.РО 01.01 - 30.06'!T9522,IF($AP$8="II",'ТС.РО 01.07 - 31.08'!T9522,IF($AP$8="III",'ТС.РО 01.09 - 31.12'!T9522,0)))*T9564</f>
        <v>0</v>
      </c>
      <c r="U9522" s="260"/>
      <c r="V9522" s="260"/>
      <c r="W9522" s="262">
        <f>IF($AP$8="I",'ТС.РО 01.01 - 30.06'!W9522,IF($AP$8="II",'ТС.РО 01.07 - 31.08'!W9522,IF($AP$8="III",'ТС.РО 01.09 - 31.12'!W9522,0)))*W9564</f>
        <v>0</v>
      </c>
      <c r="X9522" s="260"/>
      <c r="Y9522" s="260"/>
      <c r="Z9522" s="262">
        <f>IF($AP$8="I",'ТС.РО 01.01 - 30.06'!Z9522,IF($AP$8="II",'ТС.РО 01.07 - 31.08'!Z9522,IF($AP$8="III",'ТС.РО 01.09 - 31.12'!Z9522,0)))*Z9564</f>
        <v>0</v>
      </c>
      <c r="AA9522" s="260"/>
      <c r="AB9522" s="260"/>
      <c r="AC9522" s="262">
        <f>IF($AP$8="I",'ТС.РО 01.01 - 30.06'!AC9522,IF($AP$8="II",'ТС.РО 01.07 - 31.08'!AC9522,IF($AP$8="III",'ТС.РО 01.09 - 31.12'!AC9522,0)))*AC9564</f>
        <v>0</v>
      </c>
      <c r="AD9522" s="260"/>
      <c r="AE9522" s="260"/>
      <c r="AF9522" s="262">
        <f>IF($AP$8="I",'ТС.РО 01.01 - 30.06'!AF9522,IF($AP$8="II",'ТС.РО 01.07 - 31.08'!AF9522,IF($AP$8="III",'ТС.РО 01.09 - 31.12'!AF9522,0)))*AF9564</f>
        <v>0</v>
      </c>
      <c r="AG9522" s="258"/>
    </row>
    <row r="9523" spans="14:33" ht="12" customHeight="1">
      <c r="N9523" s="236" t="s">
        <v>2425</v>
      </c>
      <c r="O9523" s="224" t="s">
        <v>2426</v>
      </c>
      <c r="P9523" s="257"/>
      <c r="Q9523" s="258"/>
      <c r="R9523" s="260"/>
      <c r="S9523" s="260"/>
      <c r="T9523" s="262">
        <f>IF($AP$8="I",'ТС.РО 01.01 - 30.06'!T9523,IF($AP$8="II",'ТС.РО 01.07 - 31.08'!T9523,IF($AP$8="III",'ТС.РО 01.09 - 31.12'!T9523,0)))*T9564</f>
        <v>0</v>
      </c>
      <c r="U9523" s="260"/>
      <c r="V9523" s="260"/>
      <c r="W9523" s="262">
        <f>IF($AP$8="I",'ТС.РО 01.01 - 30.06'!W9523,IF($AP$8="II",'ТС.РО 01.07 - 31.08'!W9523,IF($AP$8="III",'ТС.РО 01.09 - 31.12'!W9523,0)))*W9564</f>
        <v>0</v>
      </c>
      <c r="X9523" s="260"/>
      <c r="Y9523" s="260"/>
      <c r="Z9523" s="262">
        <f>IF($AP$8="I",'ТС.РО 01.01 - 30.06'!Z9523,IF($AP$8="II",'ТС.РО 01.07 - 31.08'!Z9523,IF($AP$8="III",'ТС.РО 01.09 - 31.12'!Z9523,0)))*Z9564</f>
        <v>0</v>
      </c>
      <c r="AA9523" s="260"/>
      <c r="AB9523" s="260"/>
      <c r="AC9523" s="262">
        <f>IF($AP$8="I",'ТС.РО 01.01 - 30.06'!AC9523,IF($AP$8="II",'ТС.РО 01.07 - 31.08'!AC9523,IF($AP$8="III",'ТС.РО 01.09 - 31.12'!AC9523,0)))*AC9564</f>
        <v>0</v>
      </c>
      <c r="AD9523" s="260"/>
      <c r="AE9523" s="260"/>
      <c r="AF9523" s="262">
        <f>IF($AP$8="I",'ТС.РО 01.01 - 30.06'!AF9523,IF($AP$8="II",'ТС.РО 01.07 - 31.08'!AF9523,IF($AP$8="III",'ТС.РО 01.09 - 31.12'!AF9523,0)))*AF9564</f>
        <v>0</v>
      </c>
      <c r="AG9523" s="258"/>
    </row>
    <row r="9524" spans="14:33" ht="12" customHeight="1">
      <c r="N9524" s="236" t="s">
        <v>2427</v>
      </c>
      <c r="O9524" s="235" t="s">
        <v>2428</v>
      </c>
      <c r="P9524" s="257"/>
      <c r="Q9524" s="258"/>
      <c r="R9524" s="260"/>
      <c r="S9524" s="260"/>
      <c r="T9524" s="262">
        <f>IF($AP$8="I",'ТС.РО 01.01 - 30.06'!T9524,IF($AP$8="II",'ТС.РО 01.07 - 31.08'!T9524,IF($AP$8="III",'ТС.РО 01.09 - 31.12'!T9524,0)))*T9564</f>
        <v>0</v>
      </c>
      <c r="U9524" s="260"/>
      <c r="V9524" s="260"/>
      <c r="W9524" s="262">
        <f>IF($AP$8="I",'ТС.РО 01.01 - 30.06'!W9524,IF($AP$8="II",'ТС.РО 01.07 - 31.08'!W9524,IF($AP$8="III",'ТС.РО 01.09 - 31.12'!W9524,0)))*W9564</f>
        <v>0</v>
      </c>
      <c r="X9524" s="260"/>
      <c r="Y9524" s="260"/>
      <c r="Z9524" s="262">
        <f>IF($AP$8="I",'ТС.РО 01.01 - 30.06'!Z9524,IF($AP$8="II",'ТС.РО 01.07 - 31.08'!Z9524,IF($AP$8="III",'ТС.РО 01.09 - 31.12'!Z9524,0)))*Z9564</f>
        <v>0</v>
      </c>
      <c r="AA9524" s="260"/>
      <c r="AB9524" s="260"/>
      <c r="AC9524" s="262">
        <f>IF($AP$8="I",'ТС.РО 01.01 - 30.06'!AC9524,IF($AP$8="II",'ТС.РО 01.07 - 31.08'!AC9524,IF($AP$8="III",'ТС.РО 01.09 - 31.12'!AC9524,0)))*AC9564</f>
        <v>0</v>
      </c>
      <c r="AD9524" s="260"/>
      <c r="AE9524" s="260"/>
      <c r="AF9524" s="262">
        <f>IF($AP$8="I",'ТС.РО 01.01 - 30.06'!AF9524,IF($AP$8="II",'ТС.РО 01.07 - 31.08'!AF9524,IF($AP$8="III",'ТС.РО 01.09 - 31.12'!AF9524,0)))*AF9564</f>
        <v>0</v>
      </c>
      <c r="AG9524" s="258"/>
    </row>
    <row r="9525" spans="14:33" ht="12" customHeight="1">
      <c r="N9525" s="234" t="s">
        <v>2429</v>
      </c>
      <c r="O9525" s="224" t="s">
        <v>2430</v>
      </c>
      <c r="P9525" s="257"/>
      <c r="Q9525" s="258"/>
      <c r="R9525" s="260"/>
      <c r="S9525" s="260"/>
      <c r="T9525" s="262">
        <f>IF($AP$8="I",'ТС.РО 01.01 - 30.06'!T9525,IF($AP$8="II",'ТС.РО 01.07 - 31.08'!T9525,IF($AP$8="III",'ТС.РО 01.09 - 31.12'!T9525,0)))*T9564</f>
        <v>0</v>
      </c>
      <c r="U9525" s="260"/>
      <c r="V9525" s="260"/>
      <c r="W9525" s="262">
        <f>IF($AP$8="I",'ТС.РО 01.01 - 30.06'!W9525,IF($AP$8="II",'ТС.РО 01.07 - 31.08'!W9525,IF($AP$8="III",'ТС.РО 01.09 - 31.12'!W9525,0)))*W9564</f>
        <v>0</v>
      </c>
      <c r="X9525" s="260"/>
      <c r="Y9525" s="260"/>
      <c r="Z9525" s="262">
        <f>IF($AP$8="I",'ТС.РО 01.01 - 30.06'!Z9525,IF($AP$8="II",'ТС.РО 01.07 - 31.08'!Z9525,IF($AP$8="III",'ТС.РО 01.09 - 31.12'!Z9525,0)))*Z9564</f>
        <v>0</v>
      </c>
      <c r="AA9525" s="260"/>
      <c r="AB9525" s="260"/>
      <c r="AC9525" s="262">
        <f>IF($AP$8="I",'ТС.РО 01.01 - 30.06'!AC9525,IF($AP$8="II",'ТС.РО 01.07 - 31.08'!AC9525,IF($AP$8="III",'ТС.РО 01.09 - 31.12'!AC9525,0)))*AC9564</f>
        <v>0</v>
      </c>
      <c r="AD9525" s="260"/>
      <c r="AE9525" s="260"/>
      <c r="AF9525" s="262">
        <f>IF($AP$8="I",'ТС.РО 01.01 - 30.06'!AF9525,IF($AP$8="II",'ТС.РО 01.07 - 31.08'!AF9525,IF($AP$8="III",'ТС.РО 01.09 - 31.12'!AF9525,0)))*AF9564</f>
        <v>0</v>
      </c>
      <c r="AG9525" s="258"/>
    </row>
    <row r="9526" spans="14:33" ht="12" customHeight="1">
      <c r="N9526" s="234" t="s">
        <v>2431</v>
      </c>
      <c r="O9526" s="235" t="s">
        <v>2432</v>
      </c>
      <c r="P9526" s="257"/>
      <c r="Q9526" s="258"/>
      <c r="R9526" s="260"/>
      <c r="S9526" s="260"/>
      <c r="T9526" s="257">
        <f>SUM(T9527:T9534)</f>
        <v>0</v>
      </c>
      <c r="U9526" s="260"/>
      <c r="V9526" s="260"/>
      <c r="W9526" s="257">
        <f>SUM(W9527:W9534)</f>
        <v>0</v>
      </c>
      <c r="X9526" s="260"/>
      <c r="Y9526" s="260"/>
      <c r="Z9526" s="257">
        <f>SUM(Z9527:Z9534)</f>
        <v>0</v>
      </c>
      <c r="AA9526" s="260"/>
      <c r="AB9526" s="260"/>
      <c r="AC9526" s="257">
        <f>SUM(AC9527:AC9534)</f>
        <v>0</v>
      </c>
      <c r="AD9526" s="260"/>
      <c r="AE9526" s="260"/>
      <c r="AF9526" s="257">
        <f>SUM(AF9527:AF9534)</f>
        <v>0</v>
      </c>
      <c r="AG9526" s="258"/>
    </row>
    <row r="9527" spans="14:33" ht="12" customHeight="1">
      <c r="N9527" s="236" t="s">
        <v>1842</v>
      </c>
      <c r="O9527" s="224" t="s">
        <v>2433</v>
      </c>
      <c r="P9527" s="257"/>
      <c r="Q9527" s="258"/>
      <c r="R9527" s="260"/>
      <c r="S9527" s="260"/>
      <c r="T9527" s="262">
        <f>IF($AP$8="I",'ТС.РО 01.01 - 30.06'!T9527,IF($AP$8="II",'ТС.РО 01.07 - 31.08'!T9527,IF($AP$8="III",'ТС.РО 01.09 - 31.12'!T9527,0)))*T9564</f>
        <v>0</v>
      </c>
      <c r="U9527" s="260"/>
      <c r="V9527" s="260"/>
      <c r="W9527" s="262">
        <f>IF($AP$8="I",'ТС.РО 01.01 - 30.06'!W9527,IF($AP$8="II",'ТС.РО 01.07 - 31.08'!W9527,IF($AP$8="III",'ТС.РО 01.09 - 31.12'!W9527,0)))*W9564</f>
        <v>0</v>
      </c>
      <c r="X9527" s="260"/>
      <c r="Y9527" s="260"/>
      <c r="Z9527" s="262">
        <f>IF($AP$8="I",'ТС.РО 01.01 - 30.06'!Z9527,IF($AP$8="II",'ТС.РО 01.07 - 31.08'!Z9527,IF($AP$8="III",'ТС.РО 01.09 - 31.12'!Z9527,0)))*Z9564</f>
        <v>0</v>
      </c>
      <c r="AA9527" s="260"/>
      <c r="AB9527" s="260"/>
      <c r="AC9527" s="262">
        <f>IF($AP$8="I",'ТС.РО 01.01 - 30.06'!AC9527,IF($AP$8="II",'ТС.РО 01.07 - 31.08'!AC9527,IF($AP$8="III",'ТС.РО 01.09 - 31.12'!AC9527,0)))*AC9564</f>
        <v>0</v>
      </c>
      <c r="AD9527" s="260"/>
      <c r="AE9527" s="260"/>
      <c r="AF9527" s="262">
        <f>IF($AP$8="I",'ТС.РО 01.01 - 30.06'!AF9527,IF($AP$8="II",'ТС.РО 01.07 - 31.08'!AF9527,IF($AP$8="III",'ТС.РО 01.09 - 31.12'!AF9527,0)))*AF9564</f>
        <v>0</v>
      </c>
      <c r="AG9527" s="258"/>
    </row>
    <row r="9528" spans="14:33" ht="12" customHeight="1">
      <c r="N9528" s="236" t="s">
        <v>2418</v>
      </c>
      <c r="O9528" s="224" t="s">
        <v>2434</v>
      </c>
      <c r="P9528" s="257"/>
      <c r="Q9528" s="258"/>
      <c r="R9528" s="260"/>
      <c r="S9528" s="260"/>
      <c r="T9528" s="262">
        <f>IF($AP$8="I",'ТС.РО 01.01 - 30.06'!T9528,IF($AP$8="II",'ТС.РО 01.07 - 31.08'!T9528,IF($AP$8="III",'ТС.РО 01.09 - 31.12'!T9528,0)))*T9564</f>
        <v>0</v>
      </c>
      <c r="U9528" s="260"/>
      <c r="V9528" s="260"/>
      <c r="W9528" s="262">
        <f>IF($AP$8="I",'ТС.РО 01.01 - 30.06'!W9528,IF($AP$8="II",'ТС.РО 01.07 - 31.08'!W9528,IF($AP$8="III",'ТС.РО 01.09 - 31.12'!W9528,0)))*W9564</f>
        <v>0</v>
      </c>
      <c r="X9528" s="260"/>
      <c r="Y9528" s="260"/>
      <c r="Z9528" s="262">
        <f>IF($AP$8="I",'ТС.РО 01.01 - 30.06'!Z9528,IF($AP$8="II",'ТС.РО 01.07 - 31.08'!Z9528,IF($AP$8="III",'ТС.РО 01.09 - 31.12'!Z9528,0)))*Z9564</f>
        <v>0</v>
      </c>
      <c r="AA9528" s="260"/>
      <c r="AB9528" s="260"/>
      <c r="AC9528" s="262">
        <f>IF($AP$8="I",'ТС.РО 01.01 - 30.06'!AC9528,IF($AP$8="II",'ТС.РО 01.07 - 31.08'!AC9528,IF($AP$8="III",'ТС.РО 01.09 - 31.12'!AC9528,0)))*AC9564</f>
        <v>0</v>
      </c>
      <c r="AD9528" s="260"/>
      <c r="AE9528" s="260"/>
      <c r="AF9528" s="262">
        <f>IF($AP$8="I",'ТС.РО 01.01 - 30.06'!AF9528,IF($AP$8="II",'ТС.РО 01.07 - 31.08'!AF9528,IF($AP$8="III",'ТС.РО 01.09 - 31.12'!AF9528,0)))*AF9564</f>
        <v>0</v>
      </c>
      <c r="AG9528" s="258"/>
    </row>
    <row r="9529" spans="14:33" ht="12" customHeight="1">
      <c r="N9529" s="236" t="s">
        <v>2435</v>
      </c>
      <c r="O9529" s="224" t="s">
        <v>2436</v>
      </c>
      <c r="P9529" s="257"/>
      <c r="Q9529" s="258"/>
      <c r="R9529" s="260"/>
      <c r="S9529" s="260"/>
      <c r="T9529" s="262">
        <f>IF($AP$8="I",'ТС.РО 01.01 - 30.06'!T9529,IF($AP$8="II",'ТС.РО 01.07 - 31.08'!T9529,IF($AP$8="III",'ТС.РО 01.09 - 31.12'!T9529,0)))*T9564</f>
        <v>0</v>
      </c>
      <c r="U9529" s="260"/>
      <c r="V9529" s="260"/>
      <c r="W9529" s="262">
        <f>IF($AP$8="I",'ТС.РО 01.01 - 30.06'!W9529,IF($AP$8="II",'ТС.РО 01.07 - 31.08'!W9529,IF($AP$8="III",'ТС.РО 01.09 - 31.12'!W9529,0)))*W9564</f>
        <v>0</v>
      </c>
      <c r="X9529" s="260"/>
      <c r="Y9529" s="260"/>
      <c r="Z9529" s="262">
        <f>IF($AP$8="I",'ТС.РО 01.01 - 30.06'!Z9529,IF($AP$8="II",'ТС.РО 01.07 - 31.08'!Z9529,IF($AP$8="III",'ТС.РО 01.09 - 31.12'!Z9529,0)))*Z9564</f>
        <v>0</v>
      </c>
      <c r="AA9529" s="260"/>
      <c r="AB9529" s="260"/>
      <c r="AC9529" s="262">
        <f>IF($AP$8="I",'ТС.РО 01.01 - 30.06'!AC9529,IF($AP$8="II",'ТС.РО 01.07 - 31.08'!AC9529,IF($AP$8="III",'ТС.РО 01.09 - 31.12'!AC9529,0)))*AC9564</f>
        <v>0</v>
      </c>
      <c r="AD9529" s="260"/>
      <c r="AE9529" s="260"/>
      <c r="AF9529" s="262">
        <f>IF($AP$8="I",'ТС.РО 01.01 - 30.06'!AF9529,IF($AP$8="II",'ТС.РО 01.07 - 31.08'!AF9529,IF($AP$8="III",'ТС.РО 01.09 - 31.12'!AF9529,0)))*AF9564</f>
        <v>0</v>
      </c>
      <c r="AG9529" s="258"/>
    </row>
    <row r="9530" spans="14:33" ht="12" customHeight="1">
      <c r="N9530" s="236" t="s">
        <v>2437</v>
      </c>
      <c r="O9530" s="224" t="s">
        <v>2438</v>
      </c>
      <c r="P9530" s="257"/>
      <c r="Q9530" s="258"/>
      <c r="R9530" s="260"/>
      <c r="S9530" s="260"/>
      <c r="T9530" s="262">
        <f>IF($AP$8="I",'ТС.РО 01.01 - 30.06'!T9530,IF($AP$8="II",'ТС.РО 01.07 - 31.08'!T9530,IF($AP$8="III",'ТС.РО 01.09 - 31.12'!T9530,0)))*T9564</f>
        <v>0</v>
      </c>
      <c r="U9530" s="260"/>
      <c r="V9530" s="260"/>
      <c r="W9530" s="262">
        <f>IF($AP$8="I",'ТС.РО 01.01 - 30.06'!W9530,IF($AP$8="II",'ТС.РО 01.07 - 31.08'!W9530,IF($AP$8="III",'ТС.РО 01.09 - 31.12'!W9530,0)))*W9564</f>
        <v>0</v>
      </c>
      <c r="X9530" s="260"/>
      <c r="Y9530" s="260"/>
      <c r="Z9530" s="262">
        <f>IF($AP$8="I",'ТС.РО 01.01 - 30.06'!Z9530,IF($AP$8="II",'ТС.РО 01.07 - 31.08'!Z9530,IF($AP$8="III",'ТС.РО 01.09 - 31.12'!Z9530,0)))*Z9564</f>
        <v>0</v>
      </c>
      <c r="AA9530" s="260"/>
      <c r="AB9530" s="260"/>
      <c r="AC9530" s="262">
        <f>IF($AP$8="I",'ТС.РО 01.01 - 30.06'!AC9530,IF($AP$8="II",'ТС.РО 01.07 - 31.08'!AC9530,IF($AP$8="III",'ТС.РО 01.09 - 31.12'!AC9530,0)))*AC9564</f>
        <v>0</v>
      </c>
      <c r="AD9530" s="260"/>
      <c r="AE9530" s="260"/>
      <c r="AF9530" s="262">
        <f>IF($AP$8="I",'ТС.РО 01.01 - 30.06'!AF9530,IF($AP$8="II",'ТС.РО 01.07 - 31.08'!AF9530,IF($AP$8="III",'ТС.РО 01.09 - 31.12'!AF9530,0)))*AF9564</f>
        <v>0</v>
      </c>
      <c r="AG9530" s="258"/>
    </row>
    <row r="9531" spans="14:33" ht="12" customHeight="1">
      <c r="N9531" s="236" t="s">
        <v>2439</v>
      </c>
      <c r="O9531" s="224" t="s">
        <v>2440</v>
      </c>
      <c r="P9531" s="257"/>
      <c r="Q9531" s="258"/>
      <c r="R9531" s="260"/>
      <c r="S9531" s="260"/>
      <c r="T9531" s="262">
        <f>IF($AP$8="I",'ТС.РО 01.01 - 30.06'!T9531,IF($AP$8="II",'ТС.РО 01.07 - 31.08'!T9531,IF($AP$8="III",'ТС.РО 01.09 - 31.12'!T9531,0)))*T9564</f>
        <v>0</v>
      </c>
      <c r="U9531" s="260"/>
      <c r="V9531" s="260"/>
      <c r="W9531" s="262">
        <f>IF($AP$8="I",'ТС.РО 01.01 - 30.06'!W9531,IF($AP$8="II",'ТС.РО 01.07 - 31.08'!W9531,IF($AP$8="III",'ТС.РО 01.09 - 31.12'!W9531,0)))*W9564</f>
        <v>0</v>
      </c>
      <c r="X9531" s="260"/>
      <c r="Y9531" s="260"/>
      <c r="Z9531" s="262">
        <f>IF($AP$8="I",'ТС.РО 01.01 - 30.06'!Z9531,IF($AP$8="II",'ТС.РО 01.07 - 31.08'!Z9531,IF($AP$8="III",'ТС.РО 01.09 - 31.12'!Z9531,0)))*Z9564</f>
        <v>0</v>
      </c>
      <c r="AA9531" s="260"/>
      <c r="AB9531" s="260"/>
      <c r="AC9531" s="262">
        <f>IF($AP$8="I",'ТС.РО 01.01 - 30.06'!AC9531,IF($AP$8="II",'ТС.РО 01.07 - 31.08'!AC9531,IF($AP$8="III",'ТС.РО 01.09 - 31.12'!AC9531,0)))*AC9564</f>
        <v>0</v>
      </c>
      <c r="AD9531" s="260"/>
      <c r="AE9531" s="260"/>
      <c r="AF9531" s="262">
        <f>IF($AP$8="I",'ТС.РО 01.01 - 30.06'!AF9531,IF($AP$8="II",'ТС.РО 01.07 - 31.08'!AF9531,IF($AP$8="III",'ТС.РО 01.09 - 31.12'!AF9531,0)))*AF9564</f>
        <v>0</v>
      </c>
      <c r="AG9531" s="258"/>
    </row>
    <row r="9532" spans="14:33" ht="12" customHeight="1">
      <c r="N9532" s="236" t="s">
        <v>2441</v>
      </c>
      <c r="O9532" s="224" t="s">
        <v>2442</v>
      </c>
      <c r="P9532" s="257"/>
      <c r="Q9532" s="258"/>
      <c r="R9532" s="260"/>
      <c r="S9532" s="260"/>
      <c r="T9532" s="262">
        <f>IF($AP$8="I",'ТС.РО 01.01 - 30.06'!T9532,IF($AP$8="II",'ТС.РО 01.07 - 31.08'!T9532,IF($AP$8="III",'ТС.РО 01.09 - 31.12'!T9532,0)))*T9564</f>
        <v>0</v>
      </c>
      <c r="U9532" s="260"/>
      <c r="V9532" s="260"/>
      <c r="W9532" s="262">
        <f>IF($AP$8="I",'ТС.РО 01.01 - 30.06'!W9532,IF($AP$8="II",'ТС.РО 01.07 - 31.08'!W9532,IF($AP$8="III",'ТС.РО 01.09 - 31.12'!W9532,0)))*W9564</f>
        <v>0</v>
      </c>
      <c r="X9532" s="260"/>
      <c r="Y9532" s="260"/>
      <c r="Z9532" s="262">
        <f>IF($AP$8="I",'ТС.РО 01.01 - 30.06'!Z9532,IF($AP$8="II",'ТС.РО 01.07 - 31.08'!Z9532,IF($AP$8="III",'ТС.РО 01.09 - 31.12'!Z9532,0)))*Z9564</f>
        <v>0</v>
      </c>
      <c r="AA9532" s="260"/>
      <c r="AB9532" s="260"/>
      <c r="AC9532" s="262">
        <f>IF($AP$8="I",'ТС.РО 01.01 - 30.06'!AC9532,IF($AP$8="II",'ТС.РО 01.07 - 31.08'!AC9532,IF($AP$8="III",'ТС.РО 01.09 - 31.12'!AC9532,0)))*AC9564</f>
        <v>0</v>
      </c>
      <c r="AD9532" s="260"/>
      <c r="AE9532" s="260"/>
      <c r="AF9532" s="262">
        <f>IF($AP$8="I",'ТС.РО 01.01 - 30.06'!AF9532,IF($AP$8="II",'ТС.РО 01.07 - 31.08'!AF9532,IF($AP$8="III",'ТС.РО 01.09 - 31.12'!AF9532,0)))*AF9564</f>
        <v>0</v>
      </c>
      <c r="AG9532" s="258"/>
    </row>
    <row r="9533" spans="14:33" ht="12" customHeight="1">
      <c r="N9533" s="236" t="s">
        <v>2443</v>
      </c>
      <c r="O9533" s="224" t="s">
        <v>2444</v>
      </c>
      <c r="P9533" s="257"/>
      <c r="Q9533" s="258"/>
      <c r="R9533" s="260"/>
      <c r="S9533" s="260"/>
      <c r="T9533" s="262">
        <f>IF($AP$8="I",'ТС.РО 01.01 - 30.06'!T9533,IF($AP$8="II",'ТС.РО 01.07 - 31.08'!T9533,IF($AP$8="III",'ТС.РО 01.09 - 31.12'!T9533,0)))*T9564</f>
        <v>0</v>
      </c>
      <c r="U9533" s="260"/>
      <c r="V9533" s="260"/>
      <c r="W9533" s="262">
        <f>IF($AP$8="I",'ТС.РО 01.01 - 30.06'!W9533,IF($AP$8="II",'ТС.РО 01.07 - 31.08'!W9533,IF($AP$8="III",'ТС.РО 01.09 - 31.12'!W9533,0)))*W9564</f>
        <v>0</v>
      </c>
      <c r="X9533" s="260"/>
      <c r="Y9533" s="260"/>
      <c r="Z9533" s="262">
        <f>IF($AP$8="I",'ТС.РО 01.01 - 30.06'!Z9533,IF($AP$8="II",'ТС.РО 01.07 - 31.08'!Z9533,IF($AP$8="III",'ТС.РО 01.09 - 31.12'!Z9533,0)))*Z9564</f>
        <v>0</v>
      </c>
      <c r="AA9533" s="260"/>
      <c r="AB9533" s="260"/>
      <c r="AC9533" s="262">
        <f>IF($AP$8="I",'ТС.РО 01.01 - 30.06'!AC9533,IF($AP$8="II",'ТС.РО 01.07 - 31.08'!AC9533,IF($AP$8="III",'ТС.РО 01.09 - 31.12'!AC9533,0)))*AC9564</f>
        <v>0</v>
      </c>
      <c r="AD9533" s="260"/>
      <c r="AE9533" s="260"/>
      <c r="AF9533" s="262">
        <f>IF($AP$8="I",'ТС.РО 01.01 - 30.06'!AF9533,IF($AP$8="II",'ТС.РО 01.07 - 31.08'!AF9533,IF($AP$8="III",'ТС.РО 01.09 - 31.12'!AF9533,0)))*AF9564</f>
        <v>0</v>
      </c>
      <c r="AG9533" s="258"/>
    </row>
    <row r="9534" spans="14:33" ht="12" customHeight="1">
      <c r="N9534" s="236" t="s">
        <v>842</v>
      </c>
      <c r="O9534" s="224" t="s">
        <v>843</v>
      </c>
      <c r="P9534" s="257"/>
      <c r="Q9534" s="258"/>
      <c r="R9534" s="260"/>
      <c r="S9534" s="260"/>
      <c r="T9534" s="262">
        <f>IF($AP$8="I",'ТС.РО 01.01 - 30.06'!T9534,IF($AP$8="II",'ТС.РО 01.07 - 31.08'!T9534,IF($AP$8="III",'ТС.РО 01.09 - 31.12'!T9534,0)))*T9564</f>
        <v>0</v>
      </c>
      <c r="U9534" s="260"/>
      <c r="V9534" s="260"/>
      <c r="W9534" s="262">
        <f>IF($AP$8="I",'ТС.РО 01.01 - 30.06'!W9534,IF($AP$8="II",'ТС.РО 01.07 - 31.08'!W9534,IF($AP$8="III",'ТС.РО 01.09 - 31.12'!W9534,0)))*W9564</f>
        <v>0</v>
      </c>
      <c r="X9534" s="260"/>
      <c r="Y9534" s="260"/>
      <c r="Z9534" s="262">
        <f>IF($AP$8="I",'ТС.РО 01.01 - 30.06'!Z9534,IF($AP$8="II",'ТС.РО 01.07 - 31.08'!Z9534,IF($AP$8="III",'ТС.РО 01.09 - 31.12'!Z9534,0)))*Z9564</f>
        <v>0</v>
      </c>
      <c r="AA9534" s="260"/>
      <c r="AB9534" s="260"/>
      <c r="AC9534" s="262">
        <f>IF($AP$8="I",'ТС.РО 01.01 - 30.06'!AC9534,IF($AP$8="II",'ТС.РО 01.07 - 31.08'!AC9534,IF($AP$8="III",'ТС.РО 01.09 - 31.12'!AC9534,0)))*AC9564</f>
        <v>0</v>
      </c>
      <c r="AD9534" s="260"/>
      <c r="AE9534" s="260"/>
      <c r="AF9534" s="262">
        <f>IF($AP$8="I",'ТС.РО 01.01 - 30.06'!AF9534,IF($AP$8="II",'ТС.РО 01.07 - 31.08'!AF9534,IF($AP$8="III",'ТС.РО 01.09 - 31.12'!AF9534,0)))*AF9564</f>
        <v>0</v>
      </c>
      <c r="AG9534" s="258"/>
    </row>
    <row r="9535" spans="14:33" ht="12" customHeight="1">
      <c r="N9535" s="236"/>
      <c r="O9535" s="224"/>
      <c r="P9535" s="260"/>
      <c r="Q9535" s="258"/>
      <c r="R9535" s="260"/>
      <c r="S9535" s="260"/>
      <c r="T9535" s="260"/>
      <c r="U9535" s="260"/>
      <c r="V9535" s="260"/>
      <c r="W9535" s="260"/>
      <c r="X9535" s="260"/>
      <c r="Y9535" s="260"/>
      <c r="Z9535" s="260"/>
      <c r="AA9535" s="260"/>
      <c r="AB9535" s="260"/>
      <c r="AC9535" s="260"/>
      <c r="AD9535" s="260"/>
      <c r="AE9535" s="260"/>
      <c r="AF9535" s="260"/>
      <c r="AG9535" s="258"/>
    </row>
    <row r="9536" spans="14:33" ht="12" customHeight="1">
      <c r="N9536" s="236"/>
      <c r="O9536" s="224"/>
      <c r="P9536" s="260"/>
      <c r="Q9536" s="258"/>
      <c r="R9536" s="260"/>
      <c r="S9536" s="260"/>
      <c r="T9536" s="260"/>
      <c r="U9536" s="260"/>
      <c r="V9536" s="260"/>
      <c r="W9536" s="260"/>
      <c r="X9536" s="260"/>
      <c r="Y9536" s="260"/>
      <c r="Z9536" s="260"/>
      <c r="AA9536" s="260"/>
      <c r="AB9536" s="260"/>
      <c r="AC9536" s="260"/>
      <c r="AD9536" s="260"/>
      <c r="AE9536" s="260"/>
      <c r="AF9536" s="260"/>
      <c r="AG9536" s="258"/>
    </row>
    <row r="9537" spans="14:45" ht="12" customHeight="1">
      <c r="N9537" s="236"/>
      <c r="O9537" s="224"/>
      <c r="P9537" s="260"/>
      <c r="Q9537" s="258"/>
      <c r="R9537" s="260"/>
      <c r="S9537" s="260"/>
      <c r="T9537" s="260"/>
      <c r="U9537" s="260"/>
      <c r="V9537" s="260"/>
      <c r="W9537" s="260"/>
      <c r="X9537" s="260"/>
      <c r="Y9537" s="260"/>
      <c r="Z9537" s="260"/>
      <c r="AA9537" s="260"/>
      <c r="AB9537" s="260"/>
      <c r="AC9537" s="260"/>
      <c r="AD9537" s="260"/>
      <c r="AE9537" s="260"/>
      <c r="AF9537" s="260"/>
      <c r="AG9537" s="258"/>
    </row>
    <row r="9538" spans="14:45" ht="12" customHeight="1">
      <c r="N9538" s="236"/>
      <c r="O9538" s="224"/>
      <c r="P9538" s="260"/>
      <c r="Q9538" s="258"/>
      <c r="R9538" s="260"/>
      <c r="S9538" s="260"/>
      <c r="T9538" s="260"/>
      <c r="U9538" s="260"/>
      <c r="V9538" s="260"/>
      <c r="W9538" s="260"/>
      <c r="X9538" s="260"/>
      <c r="Y9538" s="260"/>
      <c r="Z9538" s="260"/>
      <c r="AA9538" s="260"/>
      <c r="AB9538" s="260"/>
      <c r="AC9538" s="260"/>
      <c r="AD9538" s="260"/>
      <c r="AE9538" s="260"/>
      <c r="AF9538" s="260"/>
      <c r="AG9538" s="258"/>
    </row>
    <row r="9539" spans="14:45" ht="12" customHeight="1">
      <c r="N9539" s="236"/>
      <c r="O9539" s="224"/>
      <c r="P9539" s="260"/>
      <c r="Q9539" s="258"/>
      <c r="R9539" s="260"/>
      <c r="S9539" s="260"/>
      <c r="T9539" s="260"/>
      <c r="U9539" s="260"/>
      <c r="V9539" s="260"/>
      <c r="W9539" s="260"/>
      <c r="X9539" s="260"/>
      <c r="Y9539" s="260"/>
      <c r="Z9539" s="260"/>
      <c r="AA9539" s="260"/>
      <c r="AB9539" s="260"/>
      <c r="AC9539" s="260"/>
      <c r="AD9539" s="260"/>
      <c r="AE9539" s="260"/>
      <c r="AF9539" s="260"/>
      <c r="AG9539" s="258"/>
    </row>
    <row r="9540" spans="14:45" ht="12" customHeight="1">
      <c r="N9540" s="236"/>
      <c r="O9540" s="224"/>
      <c r="P9540" s="260"/>
      <c r="Q9540" s="258"/>
      <c r="R9540" s="260"/>
      <c r="S9540" s="260"/>
      <c r="T9540" s="260"/>
      <c r="U9540" s="260"/>
      <c r="V9540" s="260"/>
      <c r="W9540" s="260"/>
      <c r="X9540" s="260"/>
      <c r="Y9540" s="260"/>
      <c r="Z9540" s="260"/>
      <c r="AA9540" s="260"/>
      <c r="AB9540" s="260"/>
      <c r="AC9540" s="260"/>
      <c r="AD9540" s="260"/>
      <c r="AE9540" s="260"/>
      <c r="AF9540" s="260"/>
      <c r="AG9540" s="258"/>
    </row>
    <row r="9541" spans="14:45" ht="12" customHeight="1">
      <c r="N9541" s="236"/>
      <c r="O9541" s="224"/>
      <c r="P9541" s="260"/>
      <c r="Q9541" s="258"/>
      <c r="R9541" s="260"/>
      <c r="S9541" s="260"/>
      <c r="T9541" s="260"/>
      <c r="U9541" s="260"/>
      <c r="V9541" s="260"/>
      <c r="W9541" s="260"/>
      <c r="X9541" s="260"/>
      <c r="Y9541" s="260"/>
      <c r="Z9541" s="260"/>
      <c r="AA9541" s="260"/>
      <c r="AB9541" s="260"/>
      <c r="AC9541" s="260"/>
      <c r="AD9541" s="260"/>
      <c r="AE9541" s="260"/>
      <c r="AF9541" s="260"/>
      <c r="AG9541" s="258"/>
    </row>
    <row r="9542" spans="14:45" ht="12" customHeight="1">
      <c r="N9542" s="236"/>
      <c r="O9542" s="224"/>
      <c r="P9542" s="260"/>
      <c r="Q9542" s="258"/>
      <c r="R9542" s="260"/>
      <c r="S9542" s="260"/>
      <c r="T9542" s="260"/>
      <c r="U9542" s="260"/>
      <c r="V9542" s="260"/>
      <c r="W9542" s="260"/>
      <c r="X9542" s="260"/>
      <c r="Y9542" s="260"/>
      <c r="Z9542" s="260"/>
      <c r="AA9542" s="260"/>
      <c r="AB9542" s="260"/>
      <c r="AC9542" s="260"/>
      <c r="AD9542" s="260"/>
      <c r="AE9542" s="260"/>
      <c r="AF9542" s="260"/>
      <c r="AG9542" s="258"/>
    </row>
    <row r="9543" spans="14:45" ht="12" customHeight="1">
      <c r="N9543" s="236" t="s">
        <v>844</v>
      </c>
      <c r="O9543" s="235" t="s">
        <v>853</v>
      </c>
      <c r="P9543" s="257"/>
      <c r="Q9543" s="258"/>
      <c r="R9543" s="260"/>
      <c r="S9543" s="260"/>
      <c r="T9543" s="257">
        <f>SUM(T8705,T8711,T8715,T8717,T9417,T9493,T9518,T9524,T9526,T9535)-T9540</f>
        <v>0</v>
      </c>
      <c r="U9543" s="260"/>
      <c r="V9543" s="260"/>
      <c r="W9543" s="257">
        <f>SUM(W8705,W8711,W8715,W8717,W9417,W9493,W9518,W9524,W9526,W9535)-W9540</f>
        <v>0</v>
      </c>
      <c r="X9543" s="260"/>
      <c r="Y9543" s="260"/>
      <c r="Z9543" s="257">
        <f>SUM(Z8705,Z8711,Z8715,Z8717,Z9417,Z9493,Z9518,Z9524,Z9526,Z9535)-Z9540</f>
        <v>0</v>
      </c>
      <c r="AA9543" s="260"/>
      <c r="AB9543" s="260"/>
      <c r="AC9543" s="257">
        <f>SUM(AC8705,AC8711,AC8715,AC8717,AC9417,AC9493,AC9518,AC9524,AC9526,AC9535)-AC9540</f>
        <v>0</v>
      </c>
      <c r="AD9543" s="260"/>
      <c r="AE9543" s="260"/>
      <c r="AF9543" s="257">
        <f>SUM(AF8705,AF8711,AF8715,AF8717,AF9417,AF9493,AF9518,AF9524,AF9526,AF9535)-AF9540</f>
        <v>0</v>
      </c>
      <c r="AG9543" s="258"/>
      <c r="AI9543"/>
      <c r="AJ9543"/>
      <c r="AK9543"/>
      <c r="AL9543"/>
      <c r="AM9543"/>
      <c r="AN9543"/>
      <c r="AO9543"/>
      <c r="AP9543"/>
      <c r="AQ9543"/>
      <c r="AR9543"/>
      <c r="AS9543"/>
    </row>
    <row r="9544" spans="14:45" ht="12" customHeight="1">
      <c r="N9544" s="234" t="s">
        <v>854</v>
      </c>
      <c r="O9544" s="205" t="s">
        <v>76</v>
      </c>
      <c r="P9544" s="257"/>
      <c r="Q9544" s="258"/>
      <c r="R9544" s="260"/>
      <c r="S9544" s="260"/>
      <c r="T9544" s="257">
        <f>SUM(T8706,T8712,T8716,T9503,T9520)</f>
        <v>0</v>
      </c>
      <c r="U9544" s="260"/>
      <c r="V9544" s="260"/>
      <c r="W9544" s="257">
        <f>SUM(W8706,W8712,W8716,W9503,W9520)</f>
        <v>0</v>
      </c>
      <c r="X9544" s="260"/>
      <c r="Y9544" s="260"/>
      <c r="Z9544" s="257">
        <f>SUM(Z8706,Z8712,Z8716,Z9503,Z9520)</f>
        <v>0</v>
      </c>
      <c r="AA9544" s="260"/>
      <c r="AB9544" s="260"/>
      <c r="AC9544" s="257">
        <f>SUM(AC8706,AC8712,AC8716,AC9503,AC9520)</f>
        <v>0</v>
      </c>
      <c r="AD9544" s="260"/>
      <c r="AE9544" s="260"/>
      <c r="AF9544" s="257">
        <f>SUM(AF8706,AF8712,AF8716,AF9503,AF9520)</f>
        <v>0</v>
      </c>
      <c r="AG9544" s="258"/>
      <c r="AI9544"/>
      <c r="AJ9544"/>
      <c r="AK9544"/>
      <c r="AL9544"/>
      <c r="AM9544"/>
      <c r="AN9544"/>
      <c r="AO9544"/>
      <c r="AP9544"/>
      <c r="AQ9544"/>
      <c r="AR9544"/>
      <c r="AS9544"/>
    </row>
    <row r="9545" spans="14:45" ht="12" customHeight="1">
      <c r="N9545" s="236" t="s">
        <v>850</v>
      </c>
      <c r="O9545" s="723" t="s">
        <v>2726</v>
      </c>
      <c r="P9545" s="257"/>
      <c r="Q9545" s="258"/>
      <c r="R9545" s="260"/>
      <c r="S9545" s="260"/>
      <c r="T9545" s="257">
        <f>SUM(T9546:T9550)</f>
        <v>0</v>
      </c>
      <c r="U9545" s="260"/>
      <c r="V9545" s="260"/>
      <c r="W9545" s="257">
        <f>SUM(W9546:W9550)</f>
        <v>0</v>
      </c>
      <c r="X9545" s="260"/>
      <c r="Y9545" s="260"/>
      <c r="Z9545" s="257">
        <f>SUM(Z9546:Z9550)</f>
        <v>0</v>
      </c>
      <c r="AA9545" s="260"/>
      <c r="AB9545" s="260"/>
      <c r="AC9545" s="257">
        <f>SUM(AC9546:AC9550)</f>
        <v>0</v>
      </c>
      <c r="AD9545" s="260"/>
      <c r="AE9545" s="260"/>
      <c r="AF9545" s="257">
        <f>SUM(AF9546:AF9550)</f>
        <v>0</v>
      </c>
      <c r="AG9545" s="258"/>
      <c r="AI9545"/>
      <c r="AJ9545"/>
      <c r="AK9545"/>
      <c r="AL9545"/>
      <c r="AM9545"/>
      <c r="AN9545"/>
      <c r="AO9545"/>
      <c r="AP9545"/>
      <c r="AQ9545"/>
      <c r="AR9545"/>
      <c r="AS9545"/>
    </row>
    <row r="9546" spans="14:45" ht="12" customHeight="1">
      <c r="N9546" s="236" t="s">
        <v>858</v>
      </c>
      <c r="O9546" s="205" t="s">
        <v>859</v>
      </c>
      <c r="P9546" s="257"/>
      <c r="Q9546" s="258"/>
      <c r="R9546" s="260"/>
      <c r="S9546" s="260"/>
      <c r="T9546" s="322"/>
      <c r="U9546" s="260"/>
      <c r="V9546" s="260"/>
      <c r="W9546" s="322"/>
      <c r="X9546" s="260"/>
      <c r="Y9546" s="260"/>
      <c r="Z9546" s="322"/>
      <c r="AA9546" s="260"/>
      <c r="AB9546" s="260"/>
      <c r="AC9546" s="322"/>
      <c r="AD9546" s="260"/>
      <c r="AE9546" s="260"/>
      <c r="AF9546" s="322"/>
      <c r="AG9546" s="258"/>
      <c r="AI9546"/>
      <c r="AJ9546"/>
      <c r="AK9546"/>
      <c r="AL9546"/>
      <c r="AM9546"/>
      <c r="AN9546"/>
      <c r="AO9546"/>
      <c r="AP9546"/>
      <c r="AQ9546"/>
      <c r="AR9546"/>
      <c r="AS9546"/>
    </row>
    <row r="9547" spans="14:45" ht="12" customHeight="1">
      <c r="N9547" s="236" t="s">
        <v>861</v>
      </c>
      <c r="O9547" s="205" t="s">
        <v>862</v>
      </c>
      <c r="P9547" s="257"/>
      <c r="Q9547" s="258"/>
      <c r="R9547" s="260"/>
      <c r="S9547" s="260"/>
      <c r="T9547" s="322"/>
      <c r="U9547" s="260"/>
      <c r="V9547" s="260"/>
      <c r="W9547" s="322"/>
      <c r="X9547" s="260"/>
      <c r="Y9547" s="260"/>
      <c r="Z9547" s="322"/>
      <c r="AA9547" s="260"/>
      <c r="AB9547" s="260"/>
      <c r="AC9547" s="322"/>
      <c r="AD9547" s="260"/>
      <c r="AE9547" s="260"/>
      <c r="AF9547" s="322"/>
      <c r="AG9547" s="258"/>
      <c r="AI9547"/>
      <c r="AJ9547"/>
      <c r="AK9547"/>
      <c r="AL9547"/>
      <c r="AM9547"/>
      <c r="AN9547"/>
      <c r="AO9547"/>
      <c r="AP9547"/>
      <c r="AQ9547"/>
      <c r="AR9547"/>
      <c r="AS9547"/>
    </row>
    <row r="9548" spans="14:45" ht="12" customHeight="1">
      <c r="N9548" s="236" t="s">
        <v>863</v>
      </c>
      <c r="O9548" s="205" t="s">
        <v>864</v>
      </c>
      <c r="P9548" s="257"/>
      <c r="Q9548" s="258"/>
      <c r="R9548" s="260"/>
      <c r="S9548" s="260"/>
      <c r="T9548" s="322"/>
      <c r="U9548" s="260"/>
      <c r="V9548" s="260"/>
      <c r="W9548" s="322"/>
      <c r="X9548" s="260"/>
      <c r="Y9548" s="260"/>
      <c r="Z9548" s="322"/>
      <c r="AA9548" s="260"/>
      <c r="AB9548" s="260"/>
      <c r="AC9548" s="322"/>
      <c r="AD9548" s="260"/>
      <c r="AE9548" s="260"/>
      <c r="AF9548" s="322"/>
      <c r="AG9548" s="258"/>
      <c r="AI9548"/>
      <c r="AJ9548"/>
      <c r="AK9548"/>
      <c r="AL9548"/>
      <c r="AM9548"/>
      <c r="AN9548"/>
      <c r="AO9548"/>
      <c r="AP9548"/>
      <c r="AQ9548"/>
      <c r="AR9548"/>
      <c r="AS9548"/>
    </row>
    <row r="9549" spans="14:45" ht="12" customHeight="1">
      <c r="N9549" s="236" t="s">
        <v>865</v>
      </c>
      <c r="O9549" s="205" t="s">
        <v>866</v>
      </c>
      <c r="P9549" s="257"/>
      <c r="Q9549" s="258"/>
      <c r="R9549" s="260"/>
      <c r="S9549" s="260"/>
      <c r="T9549" s="322"/>
      <c r="U9549" s="260"/>
      <c r="V9549" s="260"/>
      <c r="W9549" s="322"/>
      <c r="X9549" s="260"/>
      <c r="Y9549" s="260"/>
      <c r="Z9549" s="322"/>
      <c r="AA9549" s="260"/>
      <c r="AB9549" s="260"/>
      <c r="AC9549" s="322"/>
      <c r="AD9549" s="260"/>
      <c r="AE9549" s="260"/>
      <c r="AF9549" s="322"/>
      <c r="AG9549" s="258"/>
      <c r="AI9549"/>
      <c r="AJ9549"/>
      <c r="AK9549"/>
      <c r="AL9549"/>
      <c r="AM9549"/>
      <c r="AN9549"/>
      <c r="AO9549"/>
      <c r="AP9549"/>
      <c r="AQ9549"/>
      <c r="AR9549"/>
      <c r="AS9549"/>
    </row>
    <row r="9550" spans="14:45" ht="12" customHeight="1">
      <c r="N9550" s="236" t="s">
        <v>867</v>
      </c>
      <c r="O9550" s="205" t="s">
        <v>868</v>
      </c>
      <c r="P9550" s="257"/>
      <c r="Q9550" s="258"/>
      <c r="R9550" s="260"/>
      <c r="S9550" s="260"/>
      <c r="T9550" s="257">
        <f>SUM(T9551:T9553)</f>
        <v>0</v>
      </c>
      <c r="U9550" s="260"/>
      <c r="V9550" s="260"/>
      <c r="W9550" s="257">
        <f>SUM(W9551:W9553)</f>
        <v>0</v>
      </c>
      <c r="X9550" s="260"/>
      <c r="Y9550" s="260"/>
      <c r="Z9550" s="257">
        <f>SUM(Z9551:Z9553)</f>
        <v>0</v>
      </c>
      <c r="AA9550" s="260"/>
      <c r="AB9550" s="260"/>
      <c r="AC9550" s="257">
        <f>SUM(AC9551:AC9553)</f>
        <v>0</v>
      </c>
      <c r="AD9550" s="260"/>
      <c r="AE9550" s="260"/>
      <c r="AF9550" s="257">
        <f>SUM(AF9551:AF9553)</f>
        <v>0</v>
      </c>
      <c r="AG9550" s="258"/>
      <c r="AI9550"/>
      <c r="AJ9550"/>
      <c r="AK9550"/>
      <c r="AL9550"/>
      <c r="AM9550"/>
      <c r="AN9550"/>
      <c r="AO9550"/>
      <c r="AP9550"/>
      <c r="AQ9550"/>
      <c r="AR9550"/>
      <c r="AS9550"/>
    </row>
    <row r="9551" spans="14:45" ht="12" customHeight="1">
      <c r="N9551" s="236" t="s">
        <v>869</v>
      </c>
      <c r="O9551" s="229" t="s">
        <v>870</v>
      </c>
      <c r="P9551" s="257"/>
      <c r="Q9551" s="258"/>
      <c r="R9551" s="260"/>
      <c r="S9551" s="260"/>
      <c r="T9551" s="322"/>
      <c r="U9551" s="260"/>
      <c r="V9551" s="260"/>
      <c r="W9551" s="322"/>
      <c r="X9551" s="260"/>
      <c r="Y9551" s="260"/>
      <c r="Z9551" s="322"/>
      <c r="AA9551" s="260"/>
      <c r="AB9551" s="260"/>
      <c r="AC9551" s="322"/>
      <c r="AD9551" s="260"/>
      <c r="AE9551" s="260"/>
      <c r="AF9551" s="322"/>
      <c r="AG9551" s="258"/>
      <c r="AI9551"/>
      <c r="AJ9551"/>
      <c r="AK9551"/>
      <c r="AL9551"/>
      <c r="AM9551"/>
      <c r="AN9551"/>
      <c r="AO9551"/>
      <c r="AP9551"/>
      <c r="AQ9551"/>
      <c r="AR9551"/>
      <c r="AS9551"/>
    </row>
    <row r="9552" spans="14:45" ht="12" customHeight="1">
      <c r="N9552" s="236" t="s">
        <v>871</v>
      </c>
      <c r="O9552" s="229" t="s">
        <v>872</v>
      </c>
      <c r="P9552" s="257"/>
      <c r="Q9552" s="258"/>
      <c r="R9552" s="260"/>
      <c r="S9552" s="260"/>
      <c r="T9552" s="322"/>
      <c r="U9552" s="260"/>
      <c r="V9552" s="260"/>
      <c r="W9552" s="322"/>
      <c r="X9552" s="260"/>
      <c r="Y9552" s="260"/>
      <c r="Z9552" s="322"/>
      <c r="AA9552" s="260"/>
      <c r="AB9552" s="260"/>
      <c r="AC9552" s="322"/>
      <c r="AD9552" s="260"/>
      <c r="AE9552" s="260"/>
      <c r="AF9552" s="322"/>
      <c r="AG9552" s="258"/>
      <c r="AI9552"/>
      <c r="AJ9552"/>
      <c r="AK9552"/>
      <c r="AL9552"/>
      <c r="AM9552"/>
      <c r="AN9552"/>
      <c r="AO9552"/>
      <c r="AP9552"/>
      <c r="AQ9552"/>
      <c r="AR9552"/>
      <c r="AS9552"/>
    </row>
    <row r="9553" spans="13:45" ht="12" customHeight="1">
      <c r="N9553" s="236" t="s">
        <v>873</v>
      </c>
      <c r="O9553" s="229" t="s">
        <v>874</v>
      </c>
      <c r="P9553" s="257"/>
      <c r="Q9553" s="258"/>
      <c r="R9553" s="281"/>
      <c r="S9553" s="281"/>
      <c r="T9553" s="322"/>
      <c r="U9553" s="281"/>
      <c r="V9553" s="281"/>
      <c r="W9553" s="322"/>
      <c r="X9553" s="281"/>
      <c r="Y9553" s="281"/>
      <c r="Z9553" s="322"/>
      <c r="AA9553" s="281"/>
      <c r="AB9553" s="281"/>
      <c r="AC9553" s="322"/>
      <c r="AD9553" s="281"/>
      <c r="AE9553" s="281"/>
      <c r="AF9553" s="322"/>
      <c r="AG9553" s="258"/>
      <c r="AI9553"/>
      <c r="AJ9553"/>
      <c r="AK9553"/>
      <c r="AL9553"/>
      <c r="AM9553"/>
      <c r="AN9553"/>
      <c r="AO9553"/>
      <c r="AP9553"/>
      <c r="AQ9553"/>
      <c r="AR9553"/>
      <c r="AS9553"/>
    </row>
    <row r="9554" spans="13:45" ht="12" customHeight="1">
      <c r="M9554" s="820"/>
      <c r="N9554" s="725" t="s">
        <v>852</v>
      </c>
      <c r="O9554" s="724" t="s">
        <v>2727</v>
      </c>
      <c r="P9554" s="257"/>
      <c r="Q9554" s="320"/>
      <c r="R9554" s="281"/>
      <c r="S9554" s="281"/>
      <c r="T9554" s="322"/>
      <c r="U9554" s="281"/>
      <c r="V9554" s="260"/>
      <c r="W9554" s="322"/>
      <c r="X9554" s="260"/>
      <c r="Y9554" s="260"/>
      <c r="Z9554" s="322"/>
      <c r="AA9554" s="260"/>
      <c r="AB9554" s="260"/>
      <c r="AC9554" s="322"/>
      <c r="AD9554" s="260"/>
      <c r="AE9554" s="260"/>
      <c r="AF9554" s="322"/>
      <c r="AG9554" s="321"/>
      <c r="AI9554"/>
      <c r="AJ9554"/>
      <c r="AK9554"/>
      <c r="AL9554"/>
      <c r="AM9554"/>
      <c r="AN9554"/>
      <c r="AO9554"/>
      <c r="AP9554"/>
      <c r="AQ9554"/>
      <c r="AR9554"/>
      <c r="AS9554"/>
    </row>
    <row r="9555" spans="13:45" ht="1.5" customHeight="1">
      <c r="M9555" s="820"/>
      <c r="N9555" s="719"/>
      <c r="O9555" s="720"/>
      <c r="P9555" s="720"/>
      <c r="Q9555" s="258"/>
      <c r="R9555" s="260"/>
      <c r="S9555" s="260"/>
      <c r="T9555" s="720"/>
      <c r="U9555" s="720"/>
      <c r="V9555" s="720"/>
      <c r="W9555" s="720"/>
      <c r="X9555" s="720"/>
      <c r="Y9555" s="720"/>
      <c r="Z9555" s="720"/>
      <c r="AA9555" s="720"/>
      <c r="AB9555" s="720"/>
      <c r="AC9555" s="720"/>
      <c r="AD9555" s="720"/>
      <c r="AE9555" s="720"/>
      <c r="AF9555" s="720"/>
      <c r="AG9555" s="258"/>
      <c r="AI9555"/>
      <c r="AJ9555"/>
      <c r="AK9555"/>
      <c r="AL9555"/>
      <c r="AM9555"/>
      <c r="AN9555"/>
      <c r="AO9555"/>
      <c r="AP9555"/>
      <c r="AQ9555"/>
      <c r="AR9555"/>
      <c r="AS9555"/>
    </row>
    <row r="9556" spans="13:45" ht="1.5" customHeight="1">
      <c r="M9556" s="820"/>
      <c r="N9556" s="719"/>
      <c r="O9556" s="720"/>
      <c r="P9556" s="720"/>
      <c r="Q9556" s="258"/>
      <c r="R9556" s="260"/>
      <c r="S9556" s="260"/>
      <c r="T9556" s="720"/>
      <c r="U9556" s="720"/>
      <c r="V9556" s="720"/>
      <c r="W9556" s="720"/>
      <c r="X9556" s="720"/>
      <c r="Y9556" s="720"/>
      <c r="Z9556" s="720"/>
      <c r="AA9556" s="720"/>
      <c r="AB9556" s="720"/>
      <c r="AC9556" s="720"/>
      <c r="AD9556" s="720"/>
      <c r="AE9556" s="720"/>
      <c r="AF9556" s="720"/>
      <c r="AG9556" s="258"/>
      <c r="AI9556"/>
      <c r="AJ9556"/>
      <c r="AK9556"/>
      <c r="AL9556"/>
      <c r="AM9556"/>
      <c r="AN9556"/>
      <c r="AO9556"/>
      <c r="AP9556"/>
      <c r="AQ9556"/>
      <c r="AR9556"/>
      <c r="AS9556"/>
    </row>
    <row r="9557" spans="13:45" ht="1.5" customHeight="1">
      <c r="M9557" s="820"/>
      <c r="N9557" s="719"/>
      <c r="O9557" s="720"/>
      <c r="P9557" s="720"/>
      <c r="Q9557" s="258"/>
      <c r="R9557" s="260"/>
      <c r="S9557" s="260"/>
      <c r="T9557" s="720"/>
      <c r="U9557" s="720"/>
      <c r="V9557" s="720"/>
      <c r="W9557" s="720"/>
      <c r="X9557" s="720"/>
      <c r="Y9557" s="720"/>
      <c r="Z9557" s="720"/>
      <c r="AA9557" s="720"/>
      <c r="AB9557" s="720"/>
      <c r="AC9557" s="720"/>
      <c r="AD9557" s="720"/>
      <c r="AE9557" s="720"/>
      <c r="AF9557" s="720"/>
      <c r="AG9557" s="258"/>
      <c r="AI9557"/>
      <c r="AJ9557"/>
      <c r="AK9557"/>
      <c r="AL9557"/>
      <c r="AM9557"/>
      <c r="AN9557"/>
      <c r="AO9557"/>
      <c r="AP9557"/>
      <c r="AQ9557"/>
      <c r="AR9557"/>
      <c r="AS9557"/>
    </row>
    <row r="9558" spans="13:45" ht="1.5" customHeight="1">
      <c r="M9558" s="820"/>
      <c r="N9558" s="719"/>
      <c r="O9558" s="720"/>
      <c r="P9558" s="720"/>
      <c r="Q9558" s="258"/>
      <c r="R9558" s="260"/>
      <c r="S9558" s="260"/>
      <c r="T9558" s="720"/>
      <c r="U9558" s="720"/>
      <c r="V9558" s="720"/>
      <c r="W9558" s="720"/>
      <c r="X9558" s="720"/>
      <c r="Y9558" s="720"/>
      <c r="Z9558" s="720"/>
      <c r="AA9558" s="720"/>
      <c r="AB9558" s="720"/>
      <c r="AC9558" s="720"/>
      <c r="AD9558" s="720"/>
      <c r="AE9558" s="720"/>
      <c r="AF9558" s="720"/>
      <c r="AG9558" s="258"/>
      <c r="AI9558"/>
      <c r="AJ9558"/>
      <c r="AK9558"/>
      <c r="AL9558"/>
      <c r="AM9558"/>
      <c r="AN9558"/>
      <c r="AO9558"/>
      <c r="AP9558"/>
      <c r="AQ9558"/>
      <c r="AR9558"/>
      <c r="AS9558"/>
    </row>
    <row r="9559" spans="13:45" ht="1.5" customHeight="1">
      <c r="M9559" s="820"/>
      <c r="N9559" s="719"/>
      <c r="O9559" s="720"/>
      <c r="P9559" s="720"/>
      <c r="Q9559" s="258"/>
      <c r="R9559" s="260"/>
      <c r="S9559" s="260"/>
      <c r="T9559" s="720"/>
      <c r="U9559" s="720"/>
      <c r="V9559" s="720"/>
      <c r="W9559" s="720"/>
      <c r="X9559" s="720"/>
      <c r="Y9559" s="720"/>
      <c r="Z9559" s="720"/>
      <c r="AA9559" s="720"/>
      <c r="AB9559" s="720"/>
      <c r="AC9559" s="720"/>
      <c r="AD9559" s="720"/>
      <c r="AE9559" s="720"/>
      <c r="AF9559" s="720"/>
      <c r="AG9559" s="258"/>
      <c r="AI9559"/>
      <c r="AJ9559"/>
      <c r="AK9559"/>
      <c r="AL9559"/>
      <c r="AM9559"/>
      <c r="AN9559"/>
      <c r="AO9559"/>
      <c r="AP9559"/>
      <c r="AQ9559"/>
      <c r="AR9559"/>
      <c r="AS9559"/>
    </row>
    <row r="9560" spans="13:45" ht="1.5" customHeight="1">
      <c r="M9560" s="820"/>
      <c r="N9560" s="719"/>
      <c r="O9560" s="720"/>
      <c r="P9560" s="720"/>
      <c r="Q9560" s="258"/>
      <c r="R9560" s="260"/>
      <c r="S9560" s="260"/>
      <c r="T9560" s="720"/>
      <c r="U9560" s="720"/>
      <c r="V9560" s="720"/>
      <c r="W9560" s="720"/>
      <c r="X9560" s="720"/>
      <c r="Y9560" s="720"/>
      <c r="Z9560" s="720"/>
      <c r="AA9560" s="720"/>
      <c r="AB9560" s="720"/>
      <c r="AC9560" s="720"/>
      <c r="AD9560" s="720"/>
      <c r="AE9560" s="720"/>
      <c r="AF9560" s="720"/>
      <c r="AG9560" s="258"/>
      <c r="AI9560"/>
      <c r="AJ9560"/>
      <c r="AK9560"/>
      <c r="AL9560"/>
      <c r="AM9560"/>
      <c r="AN9560"/>
      <c r="AO9560"/>
      <c r="AP9560"/>
      <c r="AQ9560"/>
      <c r="AR9560"/>
      <c r="AS9560"/>
    </row>
    <row r="9561" spans="13:45" ht="1.5" customHeight="1">
      <c r="M9561" s="820"/>
      <c r="N9561" s="719"/>
      <c r="O9561" s="720"/>
      <c r="P9561" s="720"/>
      <c r="Q9561" s="258"/>
      <c r="R9561" s="260"/>
      <c r="S9561" s="260"/>
      <c r="T9561" s="720"/>
      <c r="U9561" s="720"/>
      <c r="V9561" s="720"/>
      <c r="W9561" s="720"/>
      <c r="X9561" s="720"/>
      <c r="Y9561" s="720"/>
      <c r="Z9561" s="720"/>
      <c r="AA9561" s="720"/>
      <c r="AB9561" s="720"/>
      <c r="AC9561" s="720"/>
      <c r="AD9561" s="720"/>
      <c r="AE9561" s="720"/>
      <c r="AF9561" s="720"/>
      <c r="AG9561" s="258"/>
      <c r="AI9561"/>
      <c r="AJ9561"/>
      <c r="AK9561"/>
      <c r="AL9561"/>
      <c r="AM9561"/>
      <c r="AN9561"/>
      <c r="AO9561"/>
      <c r="AP9561"/>
      <c r="AQ9561"/>
      <c r="AR9561"/>
      <c r="AS9561"/>
    </row>
    <row r="9562" spans="13:45" ht="68.25" customHeight="1">
      <c r="M9562" s="820"/>
      <c r="N9562" s="236" t="s">
        <v>2460</v>
      </c>
      <c r="O9562" s="325" t="s">
        <v>336</v>
      </c>
      <c r="P9562" s="257"/>
      <c r="Q9562" s="320"/>
      <c r="R9562" s="323"/>
      <c r="S9562" s="323"/>
      <c r="T9562" s="334"/>
      <c r="U9562" s="260"/>
      <c r="V9562" s="260"/>
      <c r="W9562" s="629">
        <f>SUMIF(ТС.БПр!$F$129:$F$130,W8699,ТС.БПр!$L$129:$L$130)-SUMIF(ТС.БПр!$F$129:$F$130,W8699,ТС.БПр!$Y$129:$Y$130)+SUMIF(ТС.БПр!$F$129:$F$130,W8699,ТС.БПр!$AR$129:$AR$130)</f>
        <v>0</v>
      </c>
      <c r="X9562" s="260"/>
      <c r="Y9562" s="260"/>
      <c r="Z9562" s="629">
        <f>SUMIF(ТС.БПр!$F$129:$F$130,Z8699,ТС.БПр!$L$129:$L$130)-SUMIF(ТС.БПр!$F$129:$F$130,Z8699,ТС.БПр!$Y$129:$Y$130)+SUMIF(ТС.БПр!$F$129:$F$130,Z8699,ТС.БПр!$AR$129:$AR$130)</f>
        <v>0</v>
      </c>
      <c r="AA9562" s="260"/>
      <c r="AB9562" s="260"/>
      <c r="AC9562" s="629">
        <f>IF(TARIFF_SETUP_METHOD_CODE="BY_MONTHS",SUMIF('ТС.ТМ1 01.01 - 30.06'!$C$21:$C$22,AC8699,'ТС.ТМ1 01.01 - 30.06'!$AE$21:$AE$22)+SUMIF('ТС.ТМ1 01.07 - 31.08'!$C$21:$C$22,AC8699,'ТС.ТМ1 01.07 - 31.08'!$AE$21:$AE$22)+SUMIF('ТС.ТМ1 01.09 - 31.12'!$C$21:$C$22,AC8699,'ТС.ТМ1 01.09 - 31.12'!$AE$21:$AE$22),IF(TARIFF_SETUP_METHOD_CODE="BY_PSEUDO_YEARS",IF($AP$8="I",SUMIF('ТС.ТМ1 01.01 - 30.06'!$C$21:$C$22,AC8699,'ТС.ТМ1 01.01 - 30.06'!$AE$21:$AE$22),IF($AP$8="II",SUMIF('ТС.ТМ1 01.07 - 31.08'!$C$21:$C$22,AC8699,'ТС.ТМ1 01.07 - 31.08'!$AE$21:$AE$22),IF($AP$8="III",SUMIF('ТС.ТМ1 01.09 - 31.12'!$C$21:$C$22,AC8699,'ТС.ТМ1 01.09 - 31.12'!$AE$21:$AE$22),0)))))</f>
        <v>0</v>
      </c>
      <c r="AD9562" s="260"/>
      <c r="AE9562" s="260"/>
      <c r="AF9562" s="629">
        <f>SUMIF(ТС.БПр!$F$129:$F$130,AF8699,ТС.БПр!$L$129:$L$130)</f>
        <v>0</v>
      </c>
      <c r="AG9562" s="321"/>
      <c r="AI9562"/>
      <c r="AJ9562"/>
      <c r="AK9562"/>
      <c r="AL9562"/>
      <c r="AM9562"/>
      <c r="AN9562"/>
      <c r="AO9562"/>
      <c r="AP9562"/>
      <c r="AQ9562"/>
      <c r="AR9562"/>
      <c r="AS9562"/>
    </row>
    <row r="9563" spans="13:45" ht="68.25" customHeight="1">
      <c r="M9563" s="820"/>
      <c r="N9563" s="236" t="s">
        <v>2483</v>
      </c>
      <c r="O9563" s="483" t="s">
        <v>337</v>
      </c>
      <c r="P9563" s="257"/>
      <c r="Q9563" s="320"/>
      <c r="R9563" s="323"/>
      <c r="S9563" s="323"/>
      <c r="T9563" s="334"/>
      <c r="U9563" s="260"/>
      <c r="V9563" s="260"/>
      <c r="W9563" s="629">
        <f>SUMIF(ТС.БПр!$F$129:$F$130,W8699,ТС.БПр!$Q$129:$Q$130)+SUMIF(ТС.БПр!$F$129:$F$130,W8699,ТС.БПр!$R$129:$R$130)+SUMIF(ТС.БПр!$F$129:$F$130,W8699,ТС.БПр!$S$129:$S$130)+SUMIF(ТС.БПр!$F$129:$F$130,W8699,ТС.БПр!$T$129:$T$130)+SUMIF(ТС.БПр!$F$129:$F$130,W8699,ТС.БПр!$AW$129:$AW$130)+SUMIF(ТС.БПр!$F$129:$F$130,W8699,ТС.БПр!$BB$129:$BB$130)</f>
        <v>0</v>
      </c>
      <c r="X9563" s="260"/>
      <c r="Y9563" s="260"/>
      <c r="Z9563" s="629">
        <f>SUMIF(ТС.БПр!$F$129:$F$130,Z8699,ТС.БПр!$Q$129:$Q$130)+SUMIF(ТС.БПр!$F$129:$F$130,Z8699,ТС.БПр!$R$129:$R$130)+SUMIF(ТС.БПр!$F$129:$F$130,Z8699,ТС.БПр!$S$129:$S$130)+SUMIF(ТС.БПр!$F$129:$F$130,Z8699,ТС.БПр!$T$129:$T$130)+SUMIF(ТС.БПр!$F$129:$F$130,Z8699,ТС.БПр!$AW$129:$AW$130)+SUMIF(ТС.БПр!$F$129:$F$130,Z8699,ТС.БПр!$BB$129:$BB$130)</f>
        <v>0</v>
      </c>
      <c r="AA9563" s="260"/>
      <c r="AB9563" s="260"/>
      <c r="AC9563" s="629">
        <f>AC9562-IF(TARIFF_SETUP_METHOD_CODE="BY_MONTHS",SUMIF('ТС.ТМ1 01.01 - 30.06'!$C$21:$C$22,AC8699,'ТС.ТМ1 01.01 - 30.06'!$AM$21:$AM$22)+SUMIF('ТС.ТМ1 01.07 - 31.08'!$C$21:$C$22,AC8699,'ТС.ТМ1 01.07 - 31.08'!$AM$21:$AM$22)+SUMIF('ТС.ТМ1 01.09 - 31.12'!$C$21:$C$22,AC8699,'ТС.ТМ1 01.09 - 31.12'!$AM$21:$AM$22),IF(TARIFF_SETUP_METHOD_CODE="BY_PSEUDO_YEARS",IF($AP$8="I",SUMIF('ТС.ТМ1 01.01 - 30.06'!$C$21:$C$22,AC8699,'ТС.ТМ1 01.01 - 30.06'!$AM$21:$AM$22),IF($AP$8="II",SUMIF('ТС.ТМ1 01.07 - 31.08'!$C$21:$C$22,AC8699,'ТС.ТМ1 01.07 - 31.08'!$AM$21:$AM$22),IF($AP$8="III",SUMIF('ТС.ТМ1 01.09 - 31.12'!$C$21:$C$22,AC8699,'ТС.ТМ1 01.09 - 31.12'!$AM$21:$AM$22),0)))))</f>
        <v>0</v>
      </c>
      <c r="AD9563" s="260"/>
      <c r="AE9563" s="260"/>
      <c r="AF9563" s="629">
        <f>SUMIF(ТС.БПр!$F$129:$F$130,AF8699,ТС.БПр!$Q$129:$Q$130)+SUMIF(ТС.БПр!$F$129:$F$130,AF8699,ТС.БПр!$R$129:$R$130)+SUMIF(ТС.БПр!$F$129:$F$130,AF8699,ТС.БПр!$S$129:$S$130)+SUMIF(ТС.БПр!$F$129:$F$130,AF8699,ТС.БПр!$T$129:$T$130)</f>
        <v>0</v>
      </c>
      <c r="AG9563" s="321"/>
      <c r="AI9563"/>
      <c r="AJ9563"/>
      <c r="AK9563"/>
      <c r="AL9563"/>
      <c r="AM9563"/>
      <c r="AN9563"/>
      <c r="AO9563"/>
      <c r="AP9563"/>
      <c r="AQ9563"/>
      <c r="AR9563"/>
      <c r="AS9563"/>
    </row>
    <row r="9564" spans="13:45" ht="12" customHeight="1">
      <c r="M9564" s="820"/>
      <c r="N9564" s="236" t="s">
        <v>2484</v>
      </c>
      <c r="O9564" s="235" t="s">
        <v>2967</v>
      </c>
      <c r="P9564" s="254"/>
      <c r="Q9564" s="320"/>
      <c r="R9564" s="323"/>
      <c r="S9564" s="323"/>
      <c r="T9564" s="334"/>
      <c r="U9564" s="260"/>
      <c r="V9564" s="260"/>
      <c r="W9564" s="257">
        <f>IF(W9562=0,0,W9563/W9562)</f>
        <v>0</v>
      </c>
      <c r="X9564" s="260"/>
      <c r="Y9564" s="260"/>
      <c r="Z9564" s="257">
        <f>IF(Z9562=0,0,Z9563/Z9562)</f>
        <v>0</v>
      </c>
      <c r="AA9564" s="260"/>
      <c r="AB9564" s="260"/>
      <c r="AC9564" s="257">
        <f>IF(AC9562=0,0,AC9563/AC9562)</f>
        <v>0</v>
      </c>
      <c r="AD9564" s="260"/>
      <c r="AE9564" s="260"/>
      <c r="AF9564" s="257">
        <f>IF(AF9562=0,0,AF9563/AF9562)</f>
        <v>0</v>
      </c>
      <c r="AG9564" s="321"/>
      <c r="AI9564"/>
      <c r="AJ9564"/>
      <c r="AK9564"/>
      <c r="AL9564"/>
      <c r="AM9564"/>
      <c r="AN9564"/>
      <c r="AO9564"/>
      <c r="AP9564"/>
      <c r="AQ9564"/>
      <c r="AR9564"/>
      <c r="AS9564"/>
    </row>
    <row r="9565" spans="13:45" ht="79.5" customHeight="1">
      <c r="M9565" s="820"/>
      <c r="N9565" s="436" t="s">
        <v>3083</v>
      </c>
      <c r="O9565" s="485" t="s">
        <v>2303</v>
      </c>
      <c r="P9565" s="257"/>
      <c r="Q9565" s="320"/>
      <c r="R9565" s="323"/>
      <c r="S9565" s="323"/>
      <c r="T9565" s="334"/>
      <c r="U9565" s="260"/>
      <c r="V9565" s="260"/>
      <c r="W9565" s="629">
        <f>SUMIF(ТС.БПр!$F$129:$F$130,W8699,ТС.БПр!$Q$129:$Q$130)+SUMIF(ТС.БПр!$F$129:$F$130,W8699,ТС.БПр!$R$129:$R$130)+SUMIF(ТС.БПр!$F$129:$F$130,W8699,ТС.БПр!$S$129:$S$130)+SUMIF(ТС.БПр!$F$129:$F$130,W8699,ТС.БПр!$BB$129:$BB$130)</f>
        <v>0</v>
      </c>
      <c r="X9565" s="260"/>
      <c r="Y9565" s="260"/>
      <c r="Z9565" s="629">
        <f>SUMIF(ТС.БПр!$F$129:$F$130,Z8699,ТС.БПр!$Q$129:$Q$130)+SUMIF(ТС.БПр!$F$129:$F$130,Z8699,ТС.БПр!$R$129:$R$130)+SUMIF(ТС.БПр!$F$129:$F$130,Z8699,ТС.БПр!$S$129:$S$130)+SUMIF(ТС.БПр!$F$129:$F$130,Z8699,ТС.БПр!$BB$129:$BB$130)</f>
        <v>0</v>
      </c>
      <c r="AA9565" s="260"/>
      <c r="AB9565" s="260"/>
      <c r="AC9565" s="629">
        <f>AC9563-IF(TARIFF_SETUP_METHOD_CODE="BY_MONTHS",SUMIF('ТС.ТМ1 01.01 - 30.06'!$C$21:$C$22,AC8699,'ТС.ТМ1 01.01 - 30.06'!$AP$21:$AP$22)+SUMIF('ТС.ТМ1 01.07 - 31.08'!$C$21:$C$22,AC8699,'ТС.ТМ1 01.07 - 31.08'!$AP$21:$AP$22)+SUMIF('ТС.ТМ1 01.09 - 31.12'!$C$21:$C$22,AC8699,'ТС.ТМ1 01.09 - 31.12'!$AP$21:$AP$22),IF(TARIFF_SETUP_METHOD_CODE="BY_PSEUDO_YEARS",IF($AP$8="I",SUMIF('ТС.ТМ1 01.01 - 30.06'!$C$21:$C$22,AC8699,'ТС.ТМ1 01.01 - 30.06'!$AP$21:$AP$22),IF($AP$8="II",SUMIF('ТС.ТМ1 01.07 - 31.08'!$C$21:$C$22,AC8699,'ТС.ТМ1 01.07 - 31.08'!$AP$21:$AP$22),IF($AP$8="III",SUMIF('ТС.ТМ1 01.09 - 31.12'!$C$21:$C$22,AC8699,'ТС.ТМ1 01.09 - 31.12'!$AP$21:$AP$22),0)))))</f>
        <v>0</v>
      </c>
      <c r="AD9565" s="260"/>
      <c r="AE9565" s="260"/>
      <c r="AF9565" s="629">
        <f>SUMIF(ТС.БПр!$F$129:$F$130,AF8699,ТС.БПр!$Q$129:$Q$130)+SUMIF(ТС.БПр!$F$129:$F$130,AF8699,ТС.БПр!$R$129:$R$130)+SUMIF(ТС.БПр!$F$129:$F$130,AF8699,ТС.БПр!$S$129:$S$130)</f>
        <v>0</v>
      </c>
      <c r="AG9565" s="321"/>
      <c r="AI9565"/>
      <c r="AJ9565"/>
      <c r="AK9565"/>
      <c r="AL9565"/>
      <c r="AM9565"/>
      <c r="AN9565"/>
      <c r="AO9565"/>
      <c r="AP9565"/>
      <c r="AQ9565"/>
      <c r="AR9565"/>
      <c r="AS9565"/>
    </row>
    <row r="9566" spans="13:45" ht="12" customHeight="1">
      <c r="M9566" s="820"/>
      <c r="N9566" s="236"/>
      <c r="O9566" s="231"/>
      <c r="P9566" s="260"/>
      <c r="Q9566" s="258"/>
      <c r="R9566" s="323"/>
      <c r="S9566" s="323"/>
      <c r="T9566" s="324"/>
      <c r="U9566" s="323"/>
      <c r="V9566" s="323"/>
      <c r="W9566" s="324"/>
      <c r="X9566" s="323"/>
      <c r="Y9566" s="323"/>
      <c r="Z9566" s="324"/>
      <c r="AA9566" s="323"/>
      <c r="AB9566" s="323"/>
      <c r="AC9566" s="324"/>
      <c r="AD9566" s="323"/>
      <c r="AE9566" s="323"/>
      <c r="AF9566" s="324"/>
      <c r="AG9566" s="321"/>
      <c r="AI9566"/>
      <c r="AJ9566"/>
      <c r="AK9566"/>
      <c r="AL9566"/>
      <c r="AM9566"/>
      <c r="AN9566"/>
      <c r="AO9566"/>
      <c r="AP9566"/>
      <c r="AQ9566"/>
      <c r="AR9566"/>
      <c r="AS9566"/>
    </row>
    <row r="9567" spans="13:45" ht="12" customHeight="1">
      <c r="M9567" s="820"/>
      <c r="N9567" s="236" t="s">
        <v>2490</v>
      </c>
      <c r="O9567" s="721" t="str">
        <f>"Общий доход организации от реализации потребителям без учёта НДС, исходя из утверждённых тарифов на " &amp; N8700</f>
        <v>Общий доход организации от реализации потребителям без учёта НДС, исходя из утверждённых тарифов на TBD</v>
      </c>
      <c r="P9567" s="257"/>
      <c r="Q9567" s="320"/>
      <c r="R9567" s="323"/>
      <c r="S9567" s="323"/>
      <c r="T9567" s="334"/>
      <c r="U9567" s="260"/>
      <c r="V9567" s="260"/>
      <c r="W9567" s="257">
        <f>W9569+W9572+W9575+W9578+W9582</f>
        <v>0</v>
      </c>
      <c r="X9567" s="260"/>
      <c r="Y9567" s="260"/>
      <c r="Z9567" s="257">
        <f>Z9569+Z9572+Z9575+Z9578+Z9582</f>
        <v>0</v>
      </c>
      <c r="AA9567" s="260"/>
      <c r="AB9567" s="260"/>
      <c r="AC9567" s="257">
        <f>AC9569+AC9572+AC9575+AC9578+AC9582</f>
        <v>0</v>
      </c>
      <c r="AD9567" s="260"/>
      <c r="AE9567" s="260"/>
      <c r="AF9567" s="257">
        <f>AF9569+AF9572+AF9575+AF9578+AF9582</f>
        <v>0</v>
      </c>
      <c r="AG9567" s="321"/>
      <c r="AI9567"/>
      <c r="AJ9567"/>
      <c r="AK9567"/>
      <c r="AL9567"/>
      <c r="AM9567"/>
      <c r="AN9567"/>
      <c r="AO9567"/>
      <c r="AP9567"/>
      <c r="AQ9567"/>
      <c r="AR9567"/>
      <c r="AS9567"/>
    </row>
    <row r="9568" spans="13:45" ht="12" customHeight="1">
      <c r="M9568" s="820"/>
      <c r="N9568" s="236" t="s">
        <v>2491</v>
      </c>
      <c r="O9568" s="230" t="str">
        <f>"Полезный отпуск продукции на реализацию потребителям (Гкал) на " &amp; N8700</f>
        <v>Полезный отпуск продукции на реализацию потребителям (Гкал) на TBD</v>
      </c>
      <c r="P9568" s="257"/>
      <c r="Q9568" s="320"/>
      <c r="R9568" s="323"/>
      <c r="S9568" s="323"/>
      <c r="T9568" s="334"/>
      <c r="U9568" s="260"/>
      <c r="V9568" s="260"/>
      <c r="W9568" s="257">
        <f>W9571+W9574+W9577+W9580</f>
        <v>0</v>
      </c>
      <c r="X9568" s="260"/>
      <c r="Y9568" s="260"/>
      <c r="Z9568" s="257">
        <f>Z9571+Z9574+Z9577+Z9580</f>
        <v>0</v>
      </c>
      <c r="AA9568" s="260"/>
      <c r="AB9568" s="260"/>
      <c r="AC9568" s="257">
        <f>AC9571+AC9574+AC9577+AC9580</f>
        <v>0</v>
      </c>
      <c r="AD9568" s="260"/>
      <c r="AE9568" s="260"/>
      <c r="AF9568" s="257">
        <f>AF9571+AF9574+AF9577+AF9580</f>
        <v>0</v>
      </c>
      <c r="AG9568" s="321"/>
      <c r="AI9568"/>
      <c r="AJ9568"/>
      <c r="AK9568"/>
      <c r="AL9568"/>
      <c r="AM9568"/>
      <c r="AN9568"/>
      <c r="AO9568"/>
      <c r="AP9568"/>
      <c r="AQ9568"/>
      <c r="AR9568"/>
      <c r="AS9568"/>
    </row>
    <row r="9569" spans="13:45" ht="12" customHeight="1">
      <c r="M9569" s="820"/>
      <c r="N9569" s="236" t="s">
        <v>2492</v>
      </c>
      <c r="O9569" s="230" t="str">
        <f>"Организации-перепродавцы / энергоснабжающие организации на " &amp; N8700</f>
        <v>Организации-перепродавцы / энергоснабжающие организации на TBD</v>
      </c>
      <c r="P9569" s="257"/>
      <c r="Q9569" s="320"/>
      <c r="R9569" s="323"/>
      <c r="S9569" s="323"/>
      <c r="T9569" s="334"/>
      <c r="U9569" s="260"/>
      <c r="V9569" s="260"/>
      <c r="W9569" s="257">
        <f>W9570*W9571/1000</f>
        <v>0</v>
      </c>
      <c r="X9569" s="260"/>
      <c r="Y9569" s="260"/>
      <c r="Z9569" s="257">
        <f>Z9570*Z9571/1000</f>
        <v>0</v>
      </c>
      <c r="AA9569" s="260"/>
      <c r="AB9569" s="260"/>
      <c r="AC9569" s="257">
        <f>AC9570*AC9571/1000</f>
        <v>0</v>
      </c>
      <c r="AD9569" s="260"/>
      <c r="AE9569" s="260"/>
      <c r="AF9569" s="257">
        <f>AF9570*AF9571/1000</f>
        <v>0</v>
      </c>
      <c r="AG9569" s="321"/>
      <c r="AI9569"/>
      <c r="AJ9569"/>
      <c r="AK9569"/>
      <c r="AL9569"/>
      <c r="AM9569"/>
      <c r="AN9569"/>
      <c r="AO9569"/>
      <c r="AP9569"/>
      <c r="AQ9569"/>
      <c r="AR9569"/>
      <c r="AS9569"/>
    </row>
    <row r="9570" spans="13:45" ht="12" customHeight="1">
      <c r="M9570" s="820"/>
      <c r="N9570" s="239" t="str">
        <f>N9569 &amp; ".1"</f>
        <v>22.1.1</v>
      </c>
      <c r="O9570" s="231" t="str">
        <f>"средневзвешенный тариф (" &amp; TRANSMISSION_TARIFF &amp; " - передача, руб./Гкал - остальные)"</f>
        <v>средневзвешенный тариф (руб/куб.м - передача, руб./Гкал - остальные)</v>
      </c>
      <c r="P9570" s="254"/>
      <c r="Q9570" s="320"/>
      <c r="R9570" s="323"/>
      <c r="S9570" s="323"/>
      <c r="T9570" s="334"/>
      <c r="U9570" s="260"/>
      <c r="V9570" s="260"/>
      <c r="W9570" s="630">
        <f>IF($AP$8="I",SUMIF('ТС.ТМ2 01.01 - 30.06'!$C$21:$C$22,W$9,'ТС.ТМ2 01.01 - 30.06'!$AM$21:$AM$22),IF($AP$8="II",SUMIF('ТС.ТМ2 01.07 - 31.08'!$C$21:$C$22,W$9,'ТС.ТМ2 01.07 - 31.08'!$AM$21:$AM$22),IF($AP$8="III",SUMIF('ТС.ТМ2 01.09 - 31.12'!$C$21:$C$22,W$9,'ТС.ТМ2 01.09 - 31.12'!$AM$21:$AM$22),0)))</f>
        <v>0</v>
      </c>
      <c r="X9570" s="260"/>
      <c r="Y9570" s="260"/>
      <c r="Z9570" s="630">
        <f>IF($AP$8="I",SUMIF('ТС.ТМ2 01.01 - 30.06'!$C$21:$C$22,Z$9,'ТС.ТМ2 01.01 - 30.06'!$AM$21:$AM$22),IF($AP$8="II",SUMIF('ТС.ТМ2 01.07 - 31.08'!$C$21:$C$22,Z$9,'ТС.ТМ2 01.07 - 31.08'!$AM$21:$AM$22),IF($AP$8="III",SUMIF('ТС.ТМ2 01.09 - 31.12'!$C$21:$C$22,Z$9,'ТС.ТМ2 01.09 - 31.12'!$AM$21:$AM$22),0)))</f>
        <v>0</v>
      </c>
      <c r="AA9570" s="260"/>
      <c r="AB9570" s="260"/>
      <c r="AC9570" s="629">
        <f>IF($AP$8="I",SUMIF('ТС.ТМ1 01.01 - 30.06'!$C$21:$C$22,AC$9,'ТС.ТМ1 01.01 - 30.06'!$AN$21:$AN$22),IF($AP$8="II",SUMIF('ТС.ТМ1 01.07 - 31.08'!$C$21:$C$22,AC$9,'ТС.ТМ1 01.07 - 31.08'!$AN$21:$AN$22),IF($AP$8="III",SUMIF('ТС.ТМ1 01.09 - 31.12'!$C$21:$C$22,AC$9,'ТС.ТМ1 01.09 - 31.12'!$AN$21:$AN$22),0)))</f>
        <v>0</v>
      </c>
      <c r="AD9570" s="260"/>
      <c r="AE9570" s="260"/>
      <c r="AF9570" s="630">
        <f>IF($AP$8="I",SUMIF('ТС.ТМ2 01.01 - 30.06'!$C$21:$C$22,AF$9,'ТС.ТМ2 01.01 - 30.06'!$AM$21:$AM$22),IF($AP$8="II",SUMIF('ТС.ТМ2 01.07 - 31.08'!$C$21:$C$22,AF$9,'ТС.ТМ2 01.07 - 31.08'!$AM$21:$AM$22),IF($AP$8="III",SUMIF('ТС.ТМ2 01.09 - 31.12'!$C$21:$C$22,AF$9,'ТС.ТМ2 01.09 - 31.12'!$AM$21:$AM$22),0)))</f>
        <v>0</v>
      </c>
      <c r="AG9570" s="321"/>
      <c r="AI9570"/>
      <c r="AJ9570"/>
      <c r="AK9570"/>
      <c r="AL9570"/>
      <c r="AM9570"/>
      <c r="AN9570"/>
      <c r="AO9570"/>
      <c r="AP9570"/>
      <c r="AQ9570"/>
      <c r="AR9570"/>
      <c r="AS9570"/>
    </row>
    <row r="9571" spans="13:45" ht="12" customHeight="1">
      <c r="M9571" s="820"/>
      <c r="N9571" s="239" t="str">
        <f>N9569 &amp; ".2"</f>
        <v>22.1.2</v>
      </c>
      <c r="O9571" s="231" t="s">
        <v>2493</v>
      </c>
      <c r="P9571" s="257"/>
      <c r="Q9571" s="320"/>
      <c r="R9571" s="323"/>
      <c r="S9571" s="323"/>
      <c r="T9571" s="334"/>
      <c r="U9571" s="260"/>
      <c r="V9571" s="260"/>
      <c r="W9571" s="629">
        <f>SUMIF(ТС.БПр!$BF$129:$BF$130,W$9 &amp; "-" &amp; $AP$8,ТС.БПр!$T$129:$T$130)+SUMIF(ТС.БПр!$BF$129:$BF$130,W$9 &amp; "-" &amp; $AP$8,ТС.БПр!$AW$129:$AW$130)</f>
        <v>0</v>
      </c>
      <c r="X9571" s="260"/>
      <c r="Y9571" s="260"/>
      <c r="Z9571" s="629">
        <f>SUMIF(ТС.БПр!$BF$129:$BF$130,Z$9 &amp; "-" &amp; $AP$8,ТС.БПр!$T$129:$T$130)+SUMIF(ТС.БПр!$BF$129:$BF$130,Z$9 &amp; "-" &amp; $AP$8,ТС.БПр!$AW$129:$AW$130)</f>
        <v>0</v>
      </c>
      <c r="AA9571" s="260"/>
      <c r="AB9571" s="260"/>
      <c r="AC9571" s="629">
        <f>IF($AP$8="I",SUMIF('ТС.ТМ1 01.01 - 30.06'!$C$21:$C$22,AC$9,'ТС.ТМ1 01.01 - 30.06'!$AP$21:$AP$22),IF($AP$8="II",SUMIF('ТС.ТМ1 01.07 - 31.08'!$C$21:$C$22,AC$9,'ТС.ТМ1 01.07 - 31.08'!$AP$21:$AP$22),IF($AP$8="III",SUMIF('ТС.ТМ1 01.09 - 31.12'!$C$21:$C$22,AC$9,'ТС.ТМ1 01.09 - 31.12'!$AP$21:$AP$22),0)))*IF(TRANSMISSION_TARIFF="руб/Гкал",1,IF(TRANSMISSION_TARIFF="руб/Гкал*час в мес",12,0))*IF(TARIFF_SETUP_METHOD_CODE="BY_PSEUDO_YEARS",SUMIF(ТС.БТр!$BF$129:$BF$130,AC$9 &amp; "-" &amp; $AP$8,ТС.БТр!$CY$129:$CY$130),1)</f>
        <v>0</v>
      </c>
      <c r="AD9571" s="260"/>
      <c r="AE9571" s="260"/>
      <c r="AF9571" s="629">
        <f>SUMIF(ТС.БПр!$BF$129:$BF$130,AF$9 &amp; "-" &amp; $AP$8,ТС.БПр!$T$129:$T$130)</f>
        <v>0</v>
      </c>
      <c r="AG9571" s="321"/>
      <c r="AI9571"/>
      <c r="AJ9571"/>
      <c r="AK9571"/>
      <c r="AL9571"/>
      <c r="AM9571"/>
      <c r="AN9571"/>
      <c r="AO9571"/>
      <c r="AP9571"/>
      <c r="AQ9571"/>
      <c r="AR9571"/>
      <c r="AS9571"/>
    </row>
    <row r="9572" spans="13:45" ht="12" customHeight="1">
      <c r="M9572" s="820"/>
      <c r="N9572" s="236" t="s">
        <v>2494</v>
      </c>
      <c r="O9572" s="230" t="str">
        <f>"Бюджетные потребители на " &amp; N8700</f>
        <v>Бюджетные потребители на TBD</v>
      </c>
      <c r="P9572" s="257"/>
      <c r="Q9572" s="320"/>
      <c r="R9572" s="323"/>
      <c r="S9572" s="323"/>
      <c r="T9572" s="334"/>
      <c r="U9572" s="260"/>
      <c r="V9572" s="260"/>
      <c r="W9572" s="257">
        <f>W9573*W9574/1000</f>
        <v>0</v>
      </c>
      <c r="X9572" s="260"/>
      <c r="Y9572" s="260"/>
      <c r="Z9572" s="257">
        <f>Z9573*Z9574/1000</f>
        <v>0</v>
      </c>
      <c r="AA9572" s="260"/>
      <c r="AB9572" s="260"/>
      <c r="AC9572" s="257">
        <f>AC9573*AC9574/1000</f>
        <v>0</v>
      </c>
      <c r="AD9572" s="260"/>
      <c r="AE9572" s="260"/>
      <c r="AF9572" s="257">
        <f>AF9573*AF9574/1000</f>
        <v>0</v>
      </c>
      <c r="AG9572" s="321"/>
      <c r="AI9572"/>
      <c r="AJ9572"/>
      <c r="AK9572"/>
      <c r="AL9572"/>
      <c r="AM9572"/>
      <c r="AN9572"/>
      <c r="AO9572"/>
      <c r="AP9572"/>
      <c r="AQ9572"/>
      <c r="AR9572"/>
      <c r="AS9572"/>
    </row>
    <row r="9573" spans="13:45" ht="12" customHeight="1">
      <c r="M9573" s="820"/>
      <c r="N9573" s="239" t="str">
        <f>N9572 &amp; ".1"</f>
        <v>22.2.1</v>
      </c>
      <c r="O9573" s="231" t="str">
        <f>"средневзвешенный тариф (" &amp; TRANSMISSION_TARIFF &amp; " - передача, руб./Гкал - остальные)"</f>
        <v>средневзвешенный тариф (руб/куб.м - передача, руб./Гкал - остальные)</v>
      </c>
      <c r="P9573" s="254"/>
      <c r="Q9573" s="320"/>
      <c r="R9573" s="323"/>
      <c r="S9573" s="323"/>
      <c r="T9573" s="334"/>
      <c r="U9573" s="260"/>
      <c r="V9573" s="260"/>
      <c r="W9573" s="630">
        <f>IF($AP$8="I",SUMIF('ТС.ТМ2 01.01 - 30.06'!$C$21:$C$22,W$9,'ТС.ТМ2 01.01 - 30.06'!$ET$21:$ET$22),IF($AP$8="II",SUMIF('ТС.ТМ2 01.07 - 31.08'!$C$21:$C$22,W$9,'ТС.ТМ2 01.07 - 31.08'!$ET$21:$ET$22),IF($AP$8="III",SUMIF('ТС.ТМ2 01.09 - 31.12'!$C$21:$C$22,W$9,'ТС.ТМ2 01.09 - 31.12'!$ET$21:$ET$22),0)))</f>
        <v>0</v>
      </c>
      <c r="X9573" s="260"/>
      <c r="Y9573" s="260"/>
      <c r="Z9573" s="630">
        <f>IF($AP$8="I",SUMIF('ТС.ТМ2 01.01 - 30.06'!$C$21:$C$22,Z$9,'ТС.ТМ2 01.01 - 30.06'!$ET$21:$ET$22),IF($AP$8="II",SUMIF('ТС.ТМ2 01.07 - 31.08'!$C$21:$C$22,Z$9,'ТС.ТМ2 01.07 - 31.08'!$ET$21:$ET$22),IF($AP$8="III",SUMIF('ТС.ТМ2 01.09 - 31.12'!$C$21:$C$22,Z$9,'ТС.ТМ2 01.09 - 31.12'!$ET$21:$ET$22),0)))</f>
        <v>0</v>
      </c>
      <c r="AA9573" s="260"/>
      <c r="AB9573" s="260"/>
      <c r="AC9573" s="630">
        <f>IF($AP$8="I",SUMIF('ТС.ТМ1 01.01 - 30.06'!$C$21:$C$22,AC$9,'ТС.ТМ1 01.01 - 30.06'!$AQ$21:$AQ$22),IF($AP$8="II",SUMIF('ТС.ТМ1 01.07 - 31.08'!$C$21:$C$22,AC$9,'ТС.ТМ1 01.07 - 31.08'!$AQ$21:$AQ$22),IF($AP$8="III",SUMIF('ТС.ТМ1 01.09 - 31.12'!$C$21:$C$22,AC$9,'ТС.ТМ1 01.09 - 31.12'!$AQ$21:$AQ$22),0)))</f>
        <v>0</v>
      </c>
      <c r="AD9573" s="260"/>
      <c r="AE9573" s="260"/>
      <c r="AF9573" s="630">
        <f>IF($AP$8="I",SUMIF('ТС.ТМ2 01.01 - 30.06'!$C$21:$C$22,AF$9,'ТС.ТМ2 01.01 - 30.06'!$ET$21:$ET$22),IF($AP$8="II",SUMIF('ТС.ТМ2 01.07 - 31.08'!$C$21:$C$22,AF$9,'ТС.ТМ2 01.07 - 31.08'!$ET$21:$ET$22),IF($AP$8="III",SUMIF('ТС.ТМ2 01.09 - 31.12'!$C$21:$C$22,AF$9,'ТС.ТМ2 01.09 - 31.12'!$ET$21:$ET$22),0)))</f>
        <v>0</v>
      </c>
      <c r="AG9573" s="321"/>
      <c r="AI9573"/>
      <c r="AJ9573"/>
      <c r="AK9573"/>
      <c r="AL9573"/>
      <c r="AM9573"/>
      <c r="AN9573"/>
      <c r="AO9573"/>
      <c r="AP9573"/>
      <c r="AQ9573"/>
      <c r="AR9573"/>
      <c r="AS9573"/>
    </row>
    <row r="9574" spans="13:45" ht="12" customHeight="1">
      <c r="M9574" s="820"/>
      <c r="N9574" s="239" t="str">
        <f>N9572 &amp; ".2"</f>
        <v>22.2.2</v>
      </c>
      <c r="O9574" s="231" t="s">
        <v>2493</v>
      </c>
      <c r="P9574" s="257"/>
      <c r="Q9574" s="320"/>
      <c r="R9574" s="323"/>
      <c r="S9574" s="323"/>
      <c r="T9574" s="334"/>
      <c r="U9574" s="260"/>
      <c r="V9574" s="260"/>
      <c r="W9574" s="629">
        <f>SUMIF(ТС.БПр!$BF$129:$BF$130,W$9 &amp; "-" &amp; $AP$8,ТС.БПр!$Q$129:$Q$130)+SUMIF(ТС.БПр!$BF$129:$BF$130,W$9 &amp; "-" &amp; $AP$8,ТС.БПр!$BC$129:$BC$130)</f>
        <v>0</v>
      </c>
      <c r="X9574" s="260"/>
      <c r="Y9574" s="260"/>
      <c r="Z9574" s="629">
        <f>SUMIF(ТС.БПр!$BF$129:$BF$130,Z$9 &amp; "-" &amp; $AP$8,ТС.БПр!$Q$129:$Q$130)+SUMIF(ТС.БПр!$BF$129:$BF$130,Z$9 &amp; "-" &amp; $AP$8,ТС.БПр!$BC$129:$BC$130)</f>
        <v>0</v>
      </c>
      <c r="AA9574" s="260"/>
      <c r="AB9574" s="260"/>
      <c r="AC9574" s="629">
        <f>IF($AP$8="I",SUMIF('ТС.ТМ1 01.01 - 30.06'!$C$21:$C$22,AC$9,'ТС.ТМ1 01.01 - 30.06'!$AS$21:$AS$22),IF($AP$8="II",SUMIF('ТС.ТМ1 01.07 - 31.08'!$C$21:$C$22,AC$9,'ТС.ТМ1 01.07 - 31.08'!$AS$21:$AS$22),IF($AP$8="III",SUMIF('ТС.ТМ1 01.09 - 31.12'!$C$21:$C$22,AC$9,'ТС.ТМ1 01.09 - 31.12'!$AS$21:$AS$22),0)))*IF(TRANSMISSION_TARIFF="руб/Гкал",1,IF(TRANSMISSION_TARIFF="руб/Гкал*час в мес",12,0))*IF(TARIFF_SETUP_METHOD_CODE="BY_PSEUDO_YEARS",SUMIF(ТС.БТр!$BF$129:$BF$130,AC$9 &amp; "-" &amp; $AP$8,ТС.БТр!$CZ$129:$CZ$130),1)</f>
        <v>0</v>
      </c>
      <c r="AD9574" s="260"/>
      <c r="AE9574" s="260"/>
      <c r="AF9574" s="629">
        <f>SUMIF(ТС.БПр!$BF$129:$BF$130,AF$9 &amp; "-" &amp; $AP$8,ТС.БПр!$Q$129:$Q$130)</f>
        <v>0</v>
      </c>
      <c r="AG9574" s="321"/>
      <c r="AI9574"/>
      <c r="AJ9574"/>
      <c r="AK9574"/>
      <c r="AL9574"/>
      <c r="AM9574"/>
      <c r="AN9574"/>
      <c r="AO9574"/>
      <c r="AP9574"/>
      <c r="AQ9574"/>
      <c r="AR9574"/>
      <c r="AS9574"/>
    </row>
    <row r="9575" spans="13:45" ht="12" customHeight="1">
      <c r="M9575" s="820"/>
      <c r="N9575" s="236" t="s">
        <v>2495</v>
      </c>
      <c r="O9575" s="230" t="str">
        <f>"Население на " &amp; N8700</f>
        <v>Население на TBD</v>
      </c>
      <c r="P9575" s="257"/>
      <c r="Q9575" s="320"/>
      <c r="R9575" s="323"/>
      <c r="S9575" s="323"/>
      <c r="T9575" s="334"/>
      <c r="U9575" s="260"/>
      <c r="V9575" s="260"/>
      <c r="W9575" s="257">
        <f>W9576*W9577/1000</f>
        <v>0</v>
      </c>
      <c r="X9575" s="260"/>
      <c r="Y9575" s="260"/>
      <c r="Z9575" s="257">
        <f>Z9576*Z9577/1000</f>
        <v>0</v>
      </c>
      <c r="AA9575" s="260"/>
      <c r="AB9575" s="260"/>
      <c r="AC9575" s="257">
        <f>AC9576*AC9577/1000</f>
        <v>0</v>
      </c>
      <c r="AD9575" s="260"/>
      <c r="AE9575" s="260"/>
      <c r="AF9575" s="257">
        <f>AF9576*AF9577/1000</f>
        <v>0</v>
      </c>
      <c r="AG9575" s="321"/>
      <c r="AI9575"/>
      <c r="AJ9575"/>
      <c r="AK9575"/>
      <c r="AL9575"/>
      <c r="AM9575"/>
      <c r="AN9575"/>
      <c r="AO9575"/>
      <c r="AP9575"/>
      <c r="AQ9575"/>
      <c r="AR9575"/>
      <c r="AS9575"/>
    </row>
    <row r="9576" spans="13:45" ht="12" customHeight="1">
      <c r="M9576" s="820"/>
      <c r="N9576" s="239" t="str">
        <f>N9575 &amp; ".1"</f>
        <v>22.3.1</v>
      </c>
      <c r="O9576" s="231" t="str">
        <f>"средневзвешенный тариф (" &amp; TRANSMISSION_TARIFF &amp; " - передача, руб./Гкал - остальные)"</f>
        <v>средневзвешенный тариф (руб/куб.м - передача, руб./Гкал - остальные)</v>
      </c>
      <c r="P9576" s="254"/>
      <c r="Q9576" s="320"/>
      <c r="R9576" s="323"/>
      <c r="S9576" s="323"/>
      <c r="T9576" s="334"/>
      <c r="U9576" s="260"/>
      <c r="V9576" s="260"/>
      <c r="W9576" s="630">
        <f>IF($AP$8="I",SUMIF('ТС.ТМ2 01.01 - 30.06'!$C$21:$C$22,W$9,'ТС.ТМ2 01.01 - 30.06'!$EU$21:$EU$22),IF($AP$8="II",SUMIF('ТС.ТМ2 01.07 - 31.08'!$C$21:$C$22,W$9,'ТС.ТМ2 01.07 - 31.08'!$EU$21:$EU$22),IF($AP$8="III",SUMIF('ТС.ТМ2 01.09 - 31.12'!$C$21:$C$22,W$9,'ТС.ТМ2 01.09 - 31.12'!$EU$21:$EU$22),0)))</f>
        <v>0</v>
      </c>
      <c r="X9576" s="260"/>
      <c r="Y9576" s="260"/>
      <c r="Z9576" s="630">
        <f>IF($AP$8="I",SUMIF('ТС.ТМ2 01.01 - 30.06'!$C$21:$C$22,Z$9,'ТС.ТМ2 01.01 - 30.06'!$EU$21:$EU$22),IF($AP$8="II",SUMIF('ТС.ТМ2 01.07 - 31.08'!$C$21:$C$22,Z$9,'ТС.ТМ2 01.07 - 31.08'!$EU$21:$EU$22),IF($AP$8="III",SUMIF('ТС.ТМ2 01.09 - 31.12'!$C$21:$C$22,Z$9,'ТС.ТМ2 01.09 - 31.12'!$EU$21:$EU$22),0)))</f>
        <v>0</v>
      </c>
      <c r="AA9576" s="260"/>
      <c r="AB9576" s="260"/>
      <c r="AC9576" s="630">
        <f>IF($AP$8="I",SUMIF('ТС.ТМ1 01.01 - 30.06'!$C$21:$C$22,AC$9,'ТС.ТМ1 01.01 - 30.06'!$AT$21:$AT$22),IF($AP$8="II",SUMIF('ТС.ТМ1 01.07 - 31.08'!$C$21:$C$22,AC$9,'ТС.ТМ1 01.07 - 31.08'!$AT$21:$AT$22),IF($AP$8="III",SUMIF('ТС.ТМ1 01.09 - 31.12'!$C$21:$C$22,AC$9,'ТС.ТМ1 01.09 - 31.12'!$AT$21:$AT$22),0)))</f>
        <v>0</v>
      </c>
      <c r="AD9576" s="260"/>
      <c r="AE9576" s="260"/>
      <c r="AF9576" s="630">
        <f>IF($AP$8="I",SUMIF('ТС.ТМ2 01.01 - 30.06'!$C$21:$C$22,AF$9,'ТС.ТМ2 01.01 - 30.06'!$EU$21:$EU$22),IF($AP$8="II",SUMIF('ТС.ТМ2 01.07 - 31.08'!$C$21:$C$22,AF$9,'ТС.ТМ2 01.07 - 31.08'!$EU$21:$EU$22),IF($AP$8="III",SUMIF('ТС.ТМ2 01.09 - 31.12'!$C$21:$C$22,AF$9,'ТС.ТМ2 01.09 - 31.12'!$EU$21:$EU$22),0)))</f>
        <v>0</v>
      </c>
      <c r="AG9576" s="321"/>
      <c r="AI9576"/>
      <c r="AJ9576"/>
      <c r="AK9576"/>
      <c r="AL9576"/>
      <c r="AM9576"/>
      <c r="AN9576"/>
      <c r="AO9576"/>
      <c r="AP9576"/>
      <c r="AQ9576"/>
      <c r="AR9576"/>
      <c r="AS9576"/>
    </row>
    <row r="9577" spans="13:45" ht="12" customHeight="1">
      <c r="M9577" s="820"/>
      <c r="N9577" s="239" t="str">
        <f>N9575 &amp; ".2"</f>
        <v>22.3.2</v>
      </c>
      <c r="O9577" s="231" t="s">
        <v>2493</v>
      </c>
      <c r="P9577" s="257"/>
      <c r="Q9577" s="320"/>
      <c r="R9577" s="323"/>
      <c r="S9577" s="323"/>
      <c r="T9577" s="334"/>
      <c r="U9577" s="260"/>
      <c r="V9577" s="260"/>
      <c r="W9577" s="629">
        <f>SUMIF(ТС.БПр!$BF$129:$BF$130,W$9 &amp; "-" &amp; $AP$8,ТС.БПр!$R$129:$R$130)+SUMIF(ТС.БПр!$BF$129:$BF$130,W$9 &amp; "-" &amp; $AP$8,ТС.БПр!$BD$129:$BD$130)</f>
        <v>0</v>
      </c>
      <c r="X9577" s="260"/>
      <c r="Y9577" s="260"/>
      <c r="Z9577" s="629">
        <f>SUMIF(ТС.БПр!$BF$129:$BF$130,Z$9 &amp; "-" &amp; $AP$8,ТС.БПр!$R$129:$R$130)+SUMIF(ТС.БПр!$BF$129:$BF$130,Z$9 &amp; "-" &amp; $AP$8,ТС.БПр!$BD$129:$BD$130)</f>
        <v>0</v>
      </c>
      <c r="AA9577" s="260"/>
      <c r="AB9577" s="260"/>
      <c r="AC9577" s="629">
        <f>IF($AP$8="I",SUMIF('ТС.ТМ1 01.01 - 30.06'!$C$21:$C$22,AC$9,'ТС.ТМ1 01.01 - 30.06'!$AV$21:$AV$22),IF($AP$8="II",SUMIF('ТС.ТМ1 01.07 - 31.08'!$C$21:$C$22,AC$9,'ТС.ТМ1 01.07 - 31.08'!$AV$21:$AV$22),IF($AP$8="III",SUMIF('ТС.ТМ1 01.09 - 31.12'!$C$21:$C$22,AC$9,'ТС.ТМ1 01.09 - 31.12'!$AV$21:$AV$22),0)))*IF(TRANSMISSION_TARIFF="руб/Гкал",1,IF(TRANSMISSION_TARIFF="руб/Гкал*час в мес",12,0))*IF(TARIFF_SETUP_METHOD_CODE="BY_PSEUDO_YEARS",SUMIF(ТС.БТр!$BF$129:$BF$130,AC$9 &amp; "-" &amp; $AP$8,ТС.БТр!$DA$129:$DA$130),1)</f>
        <v>0</v>
      </c>
      <c r="AD9577" s="260"/>
      <c r="AE9577" s="260"/>
      <c r="AF9577" s="629">
        <f>SUMIF(ТС.БПр!$BF$129:$BF$130,AF$9 &amp; "-" &amp; $AP$8,ТС.БПр!$R$129:$R$130)</f>
        <v>0</v>
      </c>
      <c r="AG9577" s="321"/>
      <c r="AI9577"/>
      <c r="AJ9577"/>
      <c r="AK9577"/>
      <c r="AL9577"/>
      <c r="AM9577"/>
      <c r="AN9577"/>
      <c r="AO9577"/>
      <c r="AP9577"/>
      <c r="AQ9577"/>
      <c r="AR9577"/>
      <c r="AS9577"/>
    </row>
    <row r="9578" spans="13:45" ht="12" customHeight="1">
      <c r="M9578" s="820"/>
      <c r="N9578" s="236" t="s">
        <v>2496</v>
      </c>
      <c r="O9578" s="230" t="str">
        <f>"Прочие на " &amp; N8700</f>
        <v>Прочие на TBD</v>
      </c>
      <c r="P9578" s="257"/>
      <c r="Q9578" s="320"/>
      <c r="R9578" s="323"/>
      <c r="S9578" s="323"/>
      <c r="T9578" s="334"/>
      <c r="U9578" s="260"/>
      <c r="V9578" s="260"/>
      <c r="W9578" s="257">
        <f>W9579*W9580/1000</f>
        <v>0</v>
      </c>
      <c r="X9578" s="260"/>
      <c r="Y9578" s="260"/>
      <c r="Z9578" s="257">
        <f>Z9579*Z9580/1000</f>
        <v>0</v>
      </c>
      <c r="AA9578" s="260"/>
      <c r="AB9578" s="260"/>
      <c r="AC9578" s="257">
        <f>AC9579*AC9580/1000</f>
        <v>0</v>
      </c>
      <c r="AD9578" s="260"/>
      <c r="AE9578" s="260"/>
      <c r="AF9578" s="257">
        <f>AF9579*AF9580/1000</f>
        <v>0</v>
      </c>
      <c r="AG9578" s="321"/>
      <c r="AI9578"/>
      <c r="AJ9578"/>
      <c r="AK9578"/>
      <c r="AL9578"/>
      <c r="AM9578"/>
      <c r="AN9578"/>
      <c r="AO9578"/>
      <c r="AP9578"/>
      <c r="AQ9578"/>
      <c r="AR9578"/>
      <c r="AS9578"/>
    </row>
    <row r="9579" spans="13:45" ht="12" customHeight="1">
      <c r="M9579" s="820"/>
      <c r="N9579" s="239" t="str">
        <f>N9578 &amp; ".1"</f>
        <v>22.4.1</v>
      </c>
      <c r="O9579" s="231" t="str">
        <f>"средневзвешенный тариф (" &amp; TRANSMISSION_TARIFF &amp; " - передача, руб./Гкал - остальные)"</f>
        <v>средневзвешенный тариф (руб/куб.м - передача, руб./Гкал - остальные)</v>
      </c>
      <c r="P9579" s="254"/>
      <c r="Q9579" s="320"/>
      <c r="R9579" s="323"/>
      <c r="S9579" s="323"/>
      <c r="T9579" s="334"/>
      <c r="U9579" s="260"/>
      <c r="V9579" s="260"/>
      <c r="W9579" s="630">
        <f>IF($AP$8="I",SUMIF('ТС.ТМ2 01.01 - 30.06'!$C$21:$C$22,W$9,'ТС.ТМ2 01.01 - 30.06'!$EV$21:$EV$22),IF($AP$8="II",SUMIF('ТС.ТМ2 01.07 - 31.08'!$C$21:$C$22,W$9,'ТС.ТМ2 01.07 - 31.08'!$EV$21:$EV$22),IF($AP$8="III",SUMIF('ТС.ТМ2 01.09 - 31.12'!$C$21:$C$22,W$9,'ТС.ТМ2 01.09 - 31.12'!$EV$21:$EV$22),0)))</f>
        <v>0</v>
      </c>
      <c r="X9579" s="260"/>
      <c r="Y9579" s="260"/>
      <c r="Z9579" s="630">
        <f>IF($AP$8="I",SUMIF('ТС.ТМ2 01.01 - 30.06'!$C$21:$C$22,Z$9,'ТС.ТМ2 01.01 - 30.06'!$EV$21:$EV$22),IF($AP$8="II",SUMIF('ТС.ТМ2 01.07 - 31.08'!$C$21:$C$22,Z$9,'ТС.ТМ2 01.07 - 31.08'!$EV$21:$EV$22),IF($AP$8="III",SUMIF('ТС.ТМ2 01.09 - 31.12'!$C$21:$C$22,Z$9,'ТС.ТМ2 01.09 - 31.12'!$EV$21:$EV$22),0)))</f>
        <v>0</v>
      </c>
      <c r="AA9579" s="260"/>
      <c r="AB9579" s="260"/>
      <c r="AC9579" s="630">
        <f>IF($AP$8="I",SUMIF('ТС.ТМ1 01.01 - 30.06'!$C$21:$C$22,AC$9,'ТС.ТМ1 01.01 - 30.06'!$AW$21:$AW$22),IF($AP$8="II",SUMIF('ТС.ТМ1 01.07 - 31.08'!$C$21:$C$22,AC$9,'ТС.ТМ1 01.07 - 31.08'!$AW$21:$AW$22),IF($AP$8="III",SUMIF('ТС.ТМ1 01.09 - 31.12'!$C$21:$C$22,AC$9,'ТС.ТМ1 01.09 - 31.12'!$AW$21:$AW$22),0)))</f>
        <v>0</v>
      </c>
      <c r="AD9579" s="260"/>
      <c r="AE9579" s="260"/>
      <c r="AF9579" s="630">
        <f>IF($AP$8="I",SUMIF('ТС.ТМ2 01.01 - 30.06'!$C$21:$C$22,AF$9,'ТС.ТМ2 01.01 - 30.06'!$EV$21:$EV$22),IF($AP$8="II",SUMIF('ТС.ТМ2 01.07 - 31.08'!$C$21:$C$22,AF$9,'ТС.ТМ2 01.07 - 31.08'!$EV$21:$EV$22),IF($AP$8="III",SUMIF('ТС.ТМ2 01.09 - 31.12'!$C$21:$C$22,AF$9,'ТС.ТМ2 01.09 - 31.12'!$EV$21:$EV$22),0)))</f>
        <v>0</v>
      </c>
      <c r="AG9579" s="321"/>
      <c r="AI9579"/>
      <c r="AJ9579"/>
      <c r="AK9579"/>
      <c r="AL9579"/>
      <c r="AM9579"/>
      <c r="AN9579"/>
      <c r="AO9579"/>
      <c r="AP9579"/>
      <c r="AQ9579"/>
      <c r="AR9579"/>
      <c r="AS9579"/>
    </row>
    <row r="9580" spans="13:45" ht="12" customHeight="1">
      <c r="M9580" s="820"/>
      <c r="N9580" s="239" t="str">
        <f>N9578 &amp; ".2"</f>
        <v>22.4.2</v>
      </c>
      <c r="O9580" s="231" t="s">
        <v>2493</v>
      </c>
      <c r="P9580" s="257"/>
      <c r="Q9580" s="320"/>
      <c r="R9580" s="323"/>
      <c r="S9580" s="323"/>
      <c r="T9580" s="334"/>
      <c r="U9580" s="260"/>
      <c r="V9580" s="260"/>
      <c r="W9580" s="629">
        <f>SUMIF(ТС.БПр!$BF$129:$BF$130,W$9 &amp; "-" &amp; $AP$8,ТС.БПр!$S$129:$S$130)+SUMIF(ТС.БПр!$BF$129:$BF$130,W$9 &amp; "-" &amp; $AP$8,ТС.БПр!$BE$129:$BE$130)</f>
        <v>0</v>
      </c>
      <c r="X9580" s="260"/>
      <c r="Y9580" s="260"/>
      <c r="Z9580" s="629">
        <f>SUMIF(ТС.БПр!$BF$129:$BF$130,Z$9 &amp; "-" &amp; $AP$8,ТС.БПр!$S$129:$S$130)+SUMIF(ТС.БПр!$BF$129:$BF$130,Z$9 &amp; "-" &amp; $AP$8,ТС.БПр!$BE$129:$BE$130)</f>
        <v>0</v>
      </c>
      <c r="AA9580" s="260"/>
      <c r="AB9580" s="260"/>
      <c r="AC9580" s="629">
        <f>IF($AP$8="I",SUMIF('ТС.ТМ1 01.01 - 30.06'!$C$21:$C$22,AC$9,'ТС.ТМ1 01.01 - 30.06'!$AY$21:$AY$22),IF($AP$8="II",SUMIF('ТС.ТМ1 01.07 - 31.08'!$C$21:$C$22,AC$9,'ТС.ТМ1 01.07 - 31.08'!$AY$21:$AY$22),IF($AP$8="III",SUMIF('ТС.ТМ1 01.09 - 31.12'!$C$21:$C$22,AC$9,'ТС.ТМ1 01.09 - 31.12'!$AY$21:$AY$22),0)))*IF(TRANSMISSION_TARIFF="руб/Гкал",1,IF(TRANSMISSION_TARIFF="руб/Гкал*час в мес",12,0))*IF(TARIFF_SETUP_METHOD_CODE="BY_PSEUDO_YEARS",SUMIF(ТС.БТр!$BF$129:$BF$130,AC$9 &amp; "-" &amp; $AP$8,ТС.БТр!$DB$129:$DB$130),1)</f>
        <v>0</v>
      </c>
      <c r="AD9580" s="260"/>
      <c r="AE9580" s="260"/>
      <c r="AF9580" s="629">
        <f>SUMIF(ТС.БПр!$BF$129:$BF$130,AF$9 &amp; "-" &amp; $AP$8,ТС.БПр!$S$129:$S$130)</f>
        <v>0</v>
      </c>
      <c r="AG9580" s="321"/>
      <c r="AI9580"/>
      <c r="AJ9580"/>
      <c r="AK9580"/>
      <c r="AL9580"/>
      <c r="AM9580"/>
      <c r="AN9580"/>
      <c r="AO9580"/>
      <c r="AP9580"/>
      <c r="AQ9580"/>
      <c r="AR9580"/>
      <c r="AS9580"/>
    </row>
    <row r="9581" spans="13:45">
      <c r="M9581" s="820"/>
      <c r="N9581" s="236"/>
      <c r="O9581" s="205"/>
      <c r="P9581" s="264"/>
      <c r="Q9581" s="320"/>
      <c r="R9581" s="323"/>
      <c r="S9581" s="323"/>
      <c r="T9581" s="334"/>
      <c r="U9581" s="260"/>
      <c r="V9581" s="260"/>
      <c r="W9581" s="264"/>
      <c r="X9581" s="260"/>
      <c r="Y9581" s="260"/>
      <c r="Z9581" s="264"/>
      <c r="AA9581" s="260"/>
      <c r="AB9581" s="260"/>
      <c r="AC9581" s="264"/>
      <c r="AD9581" s="260"/>
      <c r="AE9581" s="260"/>
      <c r="AF9581" s="264"/>
      <c r="AG9581" s="321"/>
      <c r="AI9581"/>
      <c r="AJ9581"/>
      <c r="AK9581"/>
      <c r="AL9581"/>
      <c r="AM9581"/>
      <c r="AN9581"/>
      <c r="AO9581"/>
      <c r="AP9581"/>
      <c r="AQ9581"/>
      <c r="AR9581"/>
      <c r="AS9581"/>
    </row>
    <row r="9582" spans="13:45">
      <c r="M9582" s="820"/>
      <c r="N9582" s="722" t="s">
        <v>2725</v>
      </c>
      <c r="O9582" s="721" t="s">
        <v>2724</v>
      </c>
      <c r="P9582" s="264"/>
      <c r="Q9582" s="320"/>
      <c r="R9582" s="323"/>
      <c r="S9582" s="323"/>
      <c r="T9582" s="334"/>
      <c r="U9582" s="323"/>
      <c r="V9582" s="323"/>
      <c r="W9582" s="729"/>
      <c r="X9582" s="323"/>
      <c r="Y9582" s="323"/>
      <c r="Z9582" s="729"/>
      <c r="AA9582" s="323"/>
      <c r="AB9582" s="323"/>
      <c r="AC9582" s="729"/>
      <c r="AD9582" s="323"/>
      <c r="AE9582" s="323"/>
      <c r="AF9582" s="729"/>
      <c r="AG9582" s="321"/>
      <c r="AI9582"/>
      <c r="AJ9582"/>
      <c r="AK9582"/>
      <c r="AL9582"/>
      <c r="AM9582"/>
      <c r="AN9582"/>
      <c r="AO9582"/>
      <c r="AP9582"/>
      <c r="AQ9582"/>
      <c r="AR9582"/>
      <c r="AS9582"/>
    </row>
    <row r="9583" spans="13:45">
      <c r="M9583" s="820"/>
      <c r="N9583" s="236"/>
      <c r="O9583" s="231"/>
      <c r="P9583" s="264"/>
      <c r="Q9583" s="320"/>
      <c r="R9583" s="323"/>
      <c r="S9583" s="323"/>
      <c r="T9583" s="334"/>
      <c r="U9583" s="323"/>
      <c r="V9583" s="323"/>
      <c r="W9583" s="334"/>
      <c r="X9583" s="323"/>
      <c r="Y9583" s="323"/>
      <c r="Z9583" s="334"/>
      <c r="AA9583" s="323"/>
      <c r="AB9583" s="323"/>
      <c r="AC9583" s="334"/>
      <c r="AD9583" s="323"/>
      <c r="AE9583" s="323"/>
      <c r="AF9583" s="334"/>
      <c r="AG9583" s="321"/>
      <c r="AI9583"/>
      <c r="AJ9583"/>
      <c r="AK9583"/>
      <c r="AL9583"/>
      <c r="AM9583"/>
      <c r="AN9583"/>
      <c r="AO9583"/>
      <c r="AP9583"/>
      <c r="AQ9583"/>
      <c r="AR9583"/>
      <c r="AS9583"/>
    </row>
    <row r="9584" spans="13:45" ht="12" customHeight="1">
      <c r="M9584" s="820"/>
      <c r="N9584" s="236"/>
      <c r="O9584" s="231"/>
      <c r="P9584" s="260"/>
      <c r="Q9584" s="258"/>
      <c r="R9584" s="323"/>
      <c r="S9584" s="323"/>
      <c r="T9584" s="324"/>
      <c r="U9584" s="323"/>
      <c r="V9584" s="323"/>
      <c r="W9584" s="324"/>
      <c r="X9584" s="323"/>
      <c r="Y9584" s="323"/>
      <c r="Z9584" s="324"/>
      <c r="AA9584" s="323"/>
      <c r="AB9584" s="323"/>
      <c r="AC9584" s="324"/>
      <c r="AD9584" s="323"/>
      <c r="AE9584" s="323"/>
      <c r="AF9584" s="324"/>
      <c r="AG9584" s="258"/>
      <c r="AI9584"/>
      <c r="AJ9584"/>
      <c r="AK9584"/>
      <c r="AL9584"/>
      <c r="AM9584"/>
      <c r="AN9584"/>
      <c r="AO9584"/>
      <c r="AP9584"/>
      <c r="AQ9584"/>
      <c r="AR9584"/>
      <c r="AS9584"/>
    </row>
    <row r="9585" spans="14:45" ht="12" customHeight="1">
      <c r="N9585" s="236"/>
      <c r="O9585" s="231"/>
      <c r="P9585" s="260"/>
      <c r="Q9585" s="258"/>
      <c r="R9585" s="260"/>
      <c r="S9585" s="260"/>
      <c r="T9585" s="278"/>
      <c r="U9585" s="260"/>
      <c r="V9585" s="260"/>
      <c r="W9585" s="278"/>
      <c r="X9585" s="260"/>
      <c r="Y9585" s="260"/>
      <c r="Z9585" s="278"/>
      <c r="AA9585" s="260"/>
      <c r="AB9585" s="260"/>
      <c r="AC9585" s="278"/>
      <c r="AD9585" s="260"/>
      <c r="AE9585" s="260"/>
      <c r="AF9585" s="278"/>
      <c r="AG9585" s="258"/>
      <c r="AI9585"/>
      <c r="AJ9585"/>
      <c r="AK9585"/>
      <c r="AL9585"/>
      <c r="AM9585"/>
      <c r="AN9585"/>
      <c r="AO9585"/>
      <c r="AP9585"/>
      <c r="AQ9585"/>
      <c r="AR9585"/>
      <c r="AS9585"/>
    </row>
    <row r="9586" spans="14:45" ht="12" hidden="1" customHeight="1">
      <c r="N9586" s="236"/>
      <c r="O9586" s="231"/>
      <c r="P9586" s="260"/>
      <c r="Q9586" s="258"/>
      <c r="R9586" s="260"/>
      <c r="S9586" s="260"/>
      <c r="T9586" s="278"/>
      <c r="U9586" s="260"/>
      <c r="V9586" s="260"/>
      <c r="W9586" s="278"/>
      <c r="X9586" s="260"/>
      <c r="Y9586" s="260"/>
      <c r="Z9586" s="278"/>
      <c r="AA9586" s="260"/>
      <c r="AB9586" s="260"/>
      <c r="AC9586" s="278"/>
      <c r="AD9586" s="260"/>
      <c r="AE9586" s="260"/>
      <c r="AF9586" s="278"/>
      <c r="AG9586" s="258"/>
      <c r="AI9586"/>
      <c r="AJ9586"/>
      <c r="AK9586"/>
      <c r="AL9586"/>
      <c r="AM9586"/>
      <c r="AN9586"/>
      <c r="AO9586"/>
      <c r="AP9586"/>
      <c r="AQ9586"/>
      <c r="AR9586"/>
      <c r="AS9586"/>
    </row>
    <row r="9587" spans="14:45" ht="12" hidden="1" customHeight="1">
      <c r="N9587" s="236"/>
      <c r="O9587" s="231"/>
      <c r="P9587" s="260"/>
      <c r="Q9587" s="258"/>
      <c r="R9587" s="260"/>
      <c r="S9587" s="260"/>
      <c r="T9587" s="278"/>
      <c r="U9587" s="260"/>
      <c r="V9587" s="260"/>
      <c r="W9587" s="278"/>
      <c r="X9587" s="260"/>
      <c r="Y9587" s="260"/>
      <c r="Z9587" s="278"/>
      <c r="AA9587" s="260"/>
      <c r="AB9587" s="260"/>
      <c r="AC9587" s="278"/>
      <c r="AD9587" s="260"/>
      <c r="AE9587" s="260"/>
      <c r="AF9587" s="278"/>
      <c r="AG9587" s="258"/>
      <c r="AI9587"/>
      <c r="AJ9587"/>
      <c r="AK9587"/>
      <c r="AL9587"/>
      <c r="AM9587"/>
      <c r="AN9587"/>
      <c r="AO9587"/>
      <c r="AP9587"/>
      <c r="AQ9587"/>
      <c r="AR9587"/>
      <c r="AS9587"/>
    </row>
    <row r="9588" spans="14:45" ht="12" hidden="1" customHeight="1">
      <c r="N9588" s="236"/>
      <c r="O9588" s="231"/>
      <c r="P9588" s="260"/>
      <c r="Q9588" s="258"/>
      <c r="R9588" s="260"/>
      <c r="S9588" s="260"/>
      <c r="T9588" s="278"/>
      <c r="U9588" s="260"/>
      <c r="V9588" s="260"/>
      <c r="W9588" s="278"/>
      <c r="X9588" s="260"/>
      <c r="Y9588" s="260"/>
      <c r="Z9588" s="278"/>
      <c r="AA9588" s="260"/>
      <c r="AB9588" s="260"/>
      <c r="AC9588" s="278"/>
      <c r="AD9588" s="260"/>
      <c r="AE9588" s="260"/>
      <c r="AF9588" s="278"/>
      <c r="AG9588" s="258"/>
      <c r="AI9588"/>
      <c r="AJ9588"/>
      <c r="AK9588"/>
      <c r="AL9588"/>
      <c r="AM9588"/>
      <c r="AN9588"/>
      <c r="AO9588"/>
      <c r="AP9588"/>
      <c r="AQ9588"/>
      <c r="AR9588"/>
      <c r="AS9588"/>
    </row>
    <row r="9589" spans="14:45" ht="12" hidden="1" customHeight="1">
      <c r="N9589" s="283"/>
      <c r="O9589" s="284"/>
      <c r="P9589" s="260"/>
      <c r="Q9589" s="258"/>
      <c r="R9589" s="260"/>
      <c r="S9589" s="260"/>
      <c r="T9589" s="278"/>
      <c r="U9589" s="260"/>
      <c r="V9589" s="260"/>
      <c r="W9589" s="278"/>
      <c r="X9589" s="260"/>
      <c r="Y9589" s="260"/>
      <c r="Z9589" s="278"/>
      <c r="AA9589" s="260"/>
      <c r="AB9589" s="260"/>
      <c r="AC9589" s="278"/>
      <c r="AD9589" s="260"/>
      <c r="AE9589" s="260"/>
      <c r="AF9589" s="278"/>
      <c r="AG9589" s="258"/>
      <c r="AI9589"/>
      <c r="AJ9589"/>
      <c r="AK9589"/>
      <c r="AL9589"/>
      <c r="AM9589"/>
      <c r="AN9589"/>
      <c r="AO9589"/>
      <c r="AP9589"/>
      <c r="AQ9589"/>
      <c r="AR9589"/>
      <c r="AS9589"/>
    </row>
    <row r="9590" spans="14:45" ht="12" hidden="1" customHeight="1">
      <c r="N9590" s="283"/>
      <c r="O9590" s="284"/>
      <c r="P9590" s="260"/>
      <c r="Q9590" s="258"/>
      <c r="R9590" s="260"/>
      <c r="S9590" s="260"/>
      <c r="T9590" s="278"/>
      <c r="U9590" s="260"/>
      <c r="V9590" s="260"/>
      <c r="W9590" s="278"/>
      <c r="X9590" s="260"/>
      <c r="Y9590" s="260"/>
      <c r="Z9590" s="278"/>
      <c r="AA9590" s="260"/>
      <c r="AB9590" s="260"/>
      <c r="AC9590" s="278"/>
      <c r="AD9590" s="260"/>
      <c r="AE9590" s="260"/>
      <c r="AF9590" s="278"/>
      <c r="AG9590" s="258"/>
      <c r="AI9590"/>
      <c r="AJ9590"/>
      <c r="AK9590"/>
      <c r="AL9590"/>
      <c r="AM9590"/>
      <c r="AN9590"/>
      <c r="AO9590"/>
      <c r="AP9590"/>
      <c r="AQ9590"/>
      <c r="AR9590"/>
      <c r="AS9590"/>
    </row>
    <row r="9591" spans="14:45" ht="12" hidden="1" customHeight="1">
      <c r="N9591" s="283"/>
      <c r="O9591" s="284"/>
      <c r="P9591" s="260"/>
      <c r="Q9591" s="258"/>
      <c r="R9591" s="260"/>
      <c r="S9591" s="260"/>
      <c r="T9591" s="278"/>
      <c r="U9591" s="260"/>
      <c r="V9591" s="260"/>
      <c r="W9591" s="278"/>
      <c r="X9591" s="260"/>
      <c r="Y9591" s="260"/>
      <c r="Z9591" s="278"/>
      <c r="AA9591" s="260"/>
      <c r="AB9591" s="260"/>
      <c r="AC9591" s="278"/>
      <c r="AD9591" s="260"/>
      <c r="AE9591" s="260"/>
      <c r="AF9591" s="278"/>
      <c r="AG9591" s="258"/>
      <c r="AI9591"/>
      <c r="AJ9591"/>
      <c r="AK9591"/>
      <c r="AL9591"/>
      <c r="AM9591"/>
      <c r="AN9591"/>
      <c r="AO9591"/>
      <c r="AP9591"/>
      <c r="AQ9591"/>
      <c r="AR9591"/>
      <c r="AS9591"/>
    </row>
    <row r="9592" spans="14:45" ht="12" hidden="1" customHeight="1">
      <c r="N9592" s="283"/>
      <c r="O9592" s="284"/>
      <c r="P9592" s="260"/>
      <c r="Q9592" s="258"/>
      <c r="R9592" s="260"/>
      <c r="S9592" s="260"/>
      <c r="T9592" s="278"/>
      <c r="U9592" s="260"/>
      <c r="V9592" s="260"/>
      <c r="W9592" s="278"/>
      <c r="X9592" s="260"/>
      <c r="Y9592" s="260"/>
      <c r="Z9592" s="278"/>
      <c r="AA9592" s="260"/>
      <c r="AB9592" s="260"/>
      <c r="AC9592" s="278"/>
      <c r="AD9592" s="260"/>
      <c r="AE9592" s="260"/>
      <c r="AF9592" s="278"/>
      <c r="AG9592" s="258"/>
      <c r="AI9592"/>
      <c r="AJ9592"/>
      <c r="AK9592"/>
      <c r="AL9592"/>
      <c r="AM9592"/>
      <c r="AN9592"/>
      <c r="AO9592"/>
      <c r="AP9592"/>
      <c r="AQ9592"/>
      <c r="AR9592"/>
      <c r="AS9592"/>
    </row>
    <row r="9593" spans="14:45" ht="12" hidden="1" customHeight="1">
      <c r="N9593" s="283"/>
      <c r="O9593" s="284"/>
      <c r="P9593" s="260"/>
      <c r="Q9593" s="258"/>
      <c r="R9593" s="260"/>
      <c r="S9593" s="260"/>
      <c r="T9593" s="278"/>
      <c r="U9593" s="260"/>
      <c r="V9593" s="260"/>
      <c r="W9593" s="278"/>
      <c r="X9593" s="260"/>
      <c r="Y9593" s="260"/>
      <c r="Z9593" s="278"/>
      <c r="AA9593" s="260"/>
      <c r="AB9593" s="260"/>
      <c r="AC9593" s="278"/>
      <c r="AD9593" s="260"/>
      <c r="AE9593" s="260"/>
      <c r="AF9593" s="278"/>
      <c r="AG9593" s="258"/>
      <c r="AI9593"/>
      <c r="AJ9593"/>
      <c r="AK9593"/>
      <c r="AL9593"/>
      <c r="AM9593"/>
      <c r="AN9593"/>
      <c r="AO9593"/>
      <c r="AP9593"/>
      <c r="AQ9593"/>
      <c r="AR9593"/>
      <c r="AS9593"/>
    </row>
    <row r="9594" spans="14:45" ht="12" hidden="1" customHeight="1">
      <c r="N9594" s="283"/>
      <c r="O9594" s="284"/>
      <c r="P9594" s="260"/>
      <c r="Q9594" s="258"/>
      <c r="R9594" s="260"/>
      <c r="S9594" s="260"/>
      <c r="T9594" s="278"/>
      <c r="U9594" s="260"/>
      <c r="V9594" s="260"/>
      <c r="W9594" s="278"/>
      <c r="X9594" s="260"/>
      <c r="Y9594" s="260"/>
      <c r="Z9594" s="278"/>
      <c r="AA9594" s="260"/>
      <c r="AB9594" s="260"/>
      <c r="AC9594" s="278"/>
      <c r="AD9594" s="260"/>
      <c r="AE9594" s="260"/>
      <c r="AF9594" s="278"/>
      <c r="AG9594" s="258"/>
      <c r="AI9594"/>
      <c r="AJ9594"/>
      <c r="AK9594"/>
      <c r="AL9594"/>
      <c r="AM9594"/>
      <c r="AN9594"/>
      <c r="AO9594"/>
      <c r="AP9594"/>
      <c r="AQ9594"/>
      <c r="AR9594"/>
      <c r="AS9594"/>
    </row>
    <row r="9595" spans="14:45" ht="12" hidden="1" customHeight="1">
      <c r="N9595" s="283"/>
      <c r="O9595" s="284"/>
      <c r="P9595" s="260"/>
      <c r="Q9595" s="258"/>
      <c r="R9595" s="260"/>
      <c r="S9595" s="260"/>
      <c r="T9595" s="278"/>
      <c r="U9595" s="260"/>
      <c r="V9595" s="260"/>
      <c r="W9595" s="278"/>
      <c r="X9595" s="260"/>
      <c r="Y9595" s="260"/>
      <c r="Z9595" s="278"/>
      <c r="AA9595" s="260"/>
      <c r="AB9595" s="260"/>
      <c r="AC9595" s="278"/>
      <c r="AD9595" s="260"/>
      <c r="AE9595" s="260"/>
      <c r="AF9595" s="278"/>
      <c r="AG9595" s="258"/>
      <c r="AI9595"/>
      <c r="AJ9595"/>
      <c r="AK9595"/>
      <c r="AL9595"/>
      <c r="AM9595"/>
      <c r="AN9595"/>
      <c r="AO9595"/>
      <c r="AP9595"/>
      <c r="AQ9595"/>
      <c r="AR9595"/>
      <c r="AS9595"/>
    </row>
    <row r="9596" spans="14:45" ht="12" hidden="1" customHeight="1">
      <c r="N9596" s="283"/>
      <c r="O9596" s="284"/>
      <c r="P9596" s="260"/>
      <c r="Q9596" s="258"/>
      <c r="R9596" s="260"/>
      <c r="S9596" s="260"/>
      <c r="T9596" s="278"/>
      <c r="U9596" s="260"/>
      <c r="V9596" s="260"/>
      <c r="W9596" s="278"/>
      <c r="X9596" s="260"/>
      <c r="Y9596" s="260"/>
      <c r="Z9596" s="278"/>
      <c r="AA9596" s="260"/>
      <c r="AB9596" s="260"/>
      <c r="AC9596" s="278"/>
      <c r="AD9596" s="260"/>
      <c r="AE9596" s="260"/>
      <c r="AF9596" s="278"/>
      <c r="AG9596" s="258"/>
      <c r="AI9596"/>
      <c r="AJ9596"/>
      <c r="AK9596"/>
      <c r="AL9596"/>
      <c r="AM9596"/>
      <c r="AN9596"/>
      <c r="AO9596"/>
      <c r="AP9596"/>
      <c r="AQ9596"/>
      <c r="AR9596"/>
      <c r="AS9596"/>
    </row>
    <row r="9597" spans="14:45" ht="12" hidden="1" customHeight="1">
      <c r="N9597" s="283"/>
      <c r="O9597" s="284"/>
      <c r="P9597" s="260"/>
      <c r="Q9597" s="258"/>
      <c r="R9597" s="260"/>
      <c r="S9597" s="260"/>
      <c r="T9597" s="278"/>
      <c r="U9597" s="260"/>
      <c r="V9597" s="260"/>
      <c r="W9597" s="278"/>
      <c r="X9597" s="260"/>
      <c r="Y9597" s="260"/>
      <c r="Z9597" s="278"/>
      <c r="AA9597" s="260"/>
      <c r="AB9597" s="260"/>
      <c r="AC9597" s="278"/>
      <c r="AD9597" s="260"/>
      <c r="AE9597" s="260"/>
      <c r="AF9597" s="278"/>
      <c r="AG9597" s="258"/>
      <c r="AI9597"/>
      <c r="AJ9597"/>
      <c r="AK9597"/>
      <c r="AL9597"/>
      <c r="AM9597"/>
      <c r="AN9597"/>
      <c r="AO9597"/>
      <c r="AP9597"/>
      <c r="AQ9597"/>
      <c r="AR9597"/>
      <c r="AS9597"/>
    </row>
    <row r="9598" spans="14:45" ht="12" hidden="1" customHeight="1">
      <c r="N9598" s="283"/>
      <c r="O9598" s="284"/>
      <c r="P9598" s="260"/>
      <c r="Q9598" s="258"/>
      <c r="R9598" s="260"/>
      <c r="S9598" s="260"/>
      <c r="T9598" s="278"/>
      <c r="U9598" s="260"/>
      <c r="V9598" s="260"/>
      <c r="W9598" s="278"/>
      <c r="X9598" s="260"/>
      <c r="Y9598" s="260"/>
      <c r="Z9598" s="278"/>
      <c r="AA9598" s="260"/>
      <c r="AB9598" s="260"/>
      <c r="AC9598" s="278"/>
      <c r="AD9598" s="260"/>
      <c r="AE9598" s="260"/>
      <c r="AF9598" s="278"/>
      <c r="AG9598" s="258"/>
      <c r="AI9598"/>
      <c r="AJ9598"/>
      <c r="AK9598"/>
      <c r="AL9598"/>
      <c r="AM9598"/>
      <c r="AN9598"/>
      <c r="AO9598"/>
      <c r="AP9598"/>
      <c r="AQ9598"/>
      <c r="AR9598"/>
      <c r="AS9598"/>
    </row>
    <row r="9599" spans="14:45" ht="12" hidden="1" customHeight="1">
      <c r="N9599" s="283"/>
      <c r="O9599" s="284"/>
      <c r="P9599" s="260"/>
      <c r="Q9599" s="258"/>
      <c r="R9599" s="260"/>
      <c r="S9599" s="260"/>
      <c r="T9599" s="278"/>
      <c r="U9599" s="260"/>
      <c r="V9599" s="260"/>
      <c r="W9599" s="278"/>
      <c r="X9599" s="260"/>
      <c r="Y9599" s="260"/>
      <c r="Z9599" s="278"/>
      <c r="AA9599" s="260"/>
      <c r="AB9599" s="260"/>
      <c r="AC9599" s="278"/>
      <c r="AD9599" s="260"/>
      <c r="AE9599" s="260"/>
      <c r="AF9599" s="278"/>
      <c r="AG9599" s="258"/>
      <c r="AI9599"/>
      <c r="AJ9599"/>
      <c r="AK9599"/>
      <c r="AL9599"/>
      <c r="AM9599"/>
      <c r="AN9599"/>
      <c r="AO9599"/>
      <c r="AP9599"/>
      <c r="AQ9599"/>
      <c r="AR9599"/>
      <c r="AS9599"/>
    </row>
    <row r="9600" spans="14:45" ht="12" hidden="1" customHeight="1">
      <c r="N9600" s="283"/>
      <c r="O9600" s="284"/>
      <c r="P9600" s="260"/>
      <c r="Q9600" s="258"/>
      <c r="R9600" s="260"/>
      <c r="S9600" s="260"/>
      <c r="T9600" s="278"/>
      <c r="U9600" s="260"/>
      <c r="V9600" s="260"/>
      <c r="W9600" s="278"/>
      <c r="X9600" s="260"/>
      <c r="Y9600" s="260"/>
      <c r="Z9600" s="278"/>
      <c r="AA9600" s="260"/>
      <c r="AB9600" s="260"/>
      <c r="AC9600" s="278"/>
      <c r="AD9600" s="260"/>
      <c r="AE9600" s="260"/>
      <c r="AF9600" s="278"/>
      <c r="AG9600" s="258"/>
      <c r="AI9600"/>
      <c r="AJ9600"/>
      <c r="AK9600"/>
      <c r="AL9600"/>
      <c r="AM9600"/>
      <c r="AN9600"/>
      <c r="AO9600"/>
      <c r="AP9600"/>
      <c r="AQ9600"/>
      <c r="AR9600"/>
      <c r="AS9600"/>
    </row>
    <row r="9601" spans="14:45" ht="12" hidden="1" customHeight="1">
      <c r="N9601" s="283"/>
      <c r="O9601" s="284"/>
      <c r="P9601" s="260"/>
      <c r="Q9601" s="258"/>
      <c r="R9601" s="260"/>
      <c r="S9601" s="260"/>
      <c r="T9601" s="278"/>
      <c r="U9601" s="260"/>
      <c r="V9601" s="260"/>
      <c r="W9601" s="278"/>
      <c r="X9601" s="260"/>
      <c r="Y9601" s="260"/>
      <c r="Z9601" s="278"/>
      <c r="AA9601" s="260"/>
      <c r="AB9601" s="260"/>
      <c r="AC9601" s="278"/>
      <c r="AD9601" s="260"/>
      <c r="AE9601" s="260"/>
      <c r="AF9601" s="278"/>
      <c r="AG9601" s="258"/>
      <c r="AI9601"/>
      <c r="AJ9601"/>
      <c r="AK9601"/>
      <c r="AL9601"/>
      <c r="AM9601"/>
      <c r="AN9601"/>
      <c r="AO9601"/>
      <c r="AP9601"/>
      <c r="AQ9601"/>
      <c r="AR9601"/>
      <c r="AS9601"/>
    </row>
    <row r="9602" spans="14:45" ht="12" hidden="1" customHeight="1">
      <c r="N9602" s="283"/>
      <c r="O9602" s="284"/>
      <c r="P9602" s="260"/>
      <c r="Q9602" s="258"/>
      <c r="R9602" s="260"/>
      <c r="S9602" s="260"/>
      <c r="T9602" s="278"/>
      <c r="U9602" s="260"/>
      <c r="V9602" s="260"/>
      <c r="W9602" s="278"/>
      <c r="X9602" s="260"/>
      <c r="Y9602" s="260"/>
      <c r="Z9602" s="278"/>
      <c r="AA9602" s="260"/>
      <c r="AB9602" s="260"/>
      <c r="AC9602" s="278"/>
      <c r="AD9602" s="260"/>
      <c r="AE9602" s="260"/>
      <c r="AF9602" s="278"/>
      <c r="AG9602" s="258"/>
      <c r="AI9602"/>
      <c r="AJ9602"/>
      <c r="AK9602"/>
      <c r="AL9602"/>
      <c r="AM9602"/>
      <c r="AN9602"/>
      <c r="AO9602"/>
      <c r="AP9602"/>
      <c r="AQ9602"/>
      <c r="AR9602"/>
      <c r="AS9602"/>
    </row>
    <row r="9603" spans="14:45" ht="12" hidden="1" customHeight="1">
      <c r="N9603" s="283"/>
      <c r="O9603" s="284"/>
      <c r="P9603" s="260"/>
      <c r="Q9603" s="258"/>
      <c r="R9603" s="260"/>
      <c r="S9603" s="260"/>
      <c r="T9603" s="278"/>
      <c r="U9603" s="260"/>
      <c r="V9603" s="260"/>
      <c r="W9603" s="278"/>
      <c r="X9603" s="260"/>
      <c r="Y9603" s="260"/>
      <c r="Z9603" s="278"/>
      <c r="AA9603" s="260"/>
      <c r="AB9603" s="260"/>
      <c r="AC9603" s="278"/>
      <c r="AD9603" s="260"/>
      <c r="AE9603" s="260"/>
      <c r="AF9603" s="278"/>
      <c r="AG9603" s="258"/>
      <c r="AI9603"/>
      <c r="AJ9603"/>
      <c r="AK9603"/>
      <c r="AL9603"/>
      <c r="AM9603"/>
      <c r="AN9603"/>
      <c r="AO9603"/>
      <c r="AP9603"/>
      <c r="AQ9603"/>
      <c r="AR9603"/>
      <c r="AS9603"/>
    </row>
    <row r="9604" spans="14:45" ht="12" hidden="1" customHeight="1">
      <c r="N9604" s="283"/>
      <c r="O9604" s="284"/>
      <c r="P9604" s="260"/>
      <c r="Q9604" s="258"/>
      <c r="R9604" s="260"/>
      <c r="S9604" s="260"/>
      <c r="T9604" s="278"/>
      <c r="U9604" s="260"/>
      <c r="V9604" s="260"/>
      <c r="W9604" s="278"/>
      <c r="X9604" s="260"/>
      <c r="Y9604" s="260"/>
      <c r="Z9604" s="278"/>
      <c r="AA9604" s="260"/>
      <c r="AB9604" s="260"/>
      <c r="AC9604" s="278"/>
      <c r="AD9604" s="260"/>
      <c r="AE9604" s="260"/>
      <c r="AF9604" s="278"/>
      <c r="AG9604" s="258"/>
      <c r="AI9604"/>
      <c r="AJ9604"/>
      <c r="AK9604"/>
      <c r="AL9604"/>
      <c r="AM9604"/>
      <c r="AN9604"/>
      <c r="AO9604"/>
      <c r="AP9604"/>
      <c r="AQ9604"/>
      <c r="AR9604"/>
      <c r="AS9604"/>
    </row>
    <row r="9605" spans="14:45" ht="12" hidden="1" customHeight="1">
      <c r="N9605" s="283"/>
      <c r="O9605" s="284"/>
      <c r="P9605" s="260"/>
      <c r="Q9605" s="258"/>
      <c r="R9605" s="260"/>
      <c r="S9605" s="260"/>
      <c r="T9605" s="278"/>
      <c r="U9605" s="260"/>
      <c r="V9605" s="260"/>
      <c r="W9605" s="278"/>
      <c r="X9605" s="260"/>
      <c r="Y9605" s="260"/>
      <c r="Z9605" s="278"/>
      <c r="AA9605" s="260"/>
      <c r="AB9605" s="260"/>
      <c r="AC9605" s="278"/>
      <c r="AD9605" s="260"/>
      <c r="AE9605" s="260"/>
      <c r="AF9605" s="278"/>
      <c r="AG9605" s="258"/>
      <c r="AI9605"/>
      <c r="AJ9605"/>
      <c r="AK9605"/>
      <c r="AL9605"/>
      <c r="AM9605"/>
      <c r="AN9605"/>
      <c r="AO9605"/>
      <c r="AP9605"/>
      <c r="AQ9605"/>
      <c r="AR9605"/>
      <c r="AS9605"/>
    </row>
    <row r="9606" spans="14:45" ht="12" hidden="1" customHeight="1">
      <c r="N9606" s="283"/>
      <c r="O9606" s="284"/>
      <c r="P9606" s="260"/>
      <c r="Q9606" s="258"/>
      <c r="R9606" s="260"/>
      <c r="S9606" s="260"/>
      <c r="T9606" s="278"/>
      <c r="U9606" s="260"/>
      <c r="V9606" s="260"/>
      <c r="W9606" s="278"/>
      <c r="X9606" s="260"/>
      <c r="Y9606" s="260"/>
      <c r="Z9606" s="278"/>
      <c r="AA9606" s="260"/>
      <c r="AB9606" s="260"/>
      <c r="AC9606" s="278"/>
      <c r="AD9606" s="260"/>
      <c r="AE9606" s="260"/>
      <c r="AF9606" s="278"/>
      <c r="AG9606" s="258"/>
      <c r="AI9606"/>
      <c r="AJ9606"/>
      <c r="AK9606"/>
      <c r="AL9606"/>
      <c r="AM9606"/>
      <c r="AN9606"/>
      <c r="AO9606"/>
      <c r="AP9606"/>
      <c r="AQ9606"/>
      <c r="AR9606"/>
      <c r="AS9606"/>
    </row>
    <row r="9607" spans="14:45" ht="12" hidden="1" customHeight="1">
      <c r="N9607" s="283"/>
      <c r="O9607" s="284"/>
      <c r="P9607" s="260"/>
      <c r="Q9607" s="258"/>
      <c r="R9607" s="260"/>
      <c r="S9607" s="260"/>
      <c r="T9607" s="278"/>
      <c r="U9607" s="260"/>
      <c r="V9607" s="260"/>
      <c r="W9607" s="278"/>
      <c r="X9607" s="260"/>
      <c r="Y9607" s="260"/>
      <c r="Z9607" s="278"/>
      <c r="AA9607" s="260"/>
      <c r="AB9607" s="260"/>
      <c r="AC9607" s="278"/>
      <c r="AD9607" s="260"/>
      <c r="AE9607" s="260"/>
      <c r="AF9607" s="278"/>
      <c r="AG9607" s="258"/>
      <c r="AI9607"/>
      <c r="AJ9607"/>
      <c r="AK9607"/>
      <c r="AL9607"/>
      <c r="AM9607"/>
      <c r="AN9607"/>
      <c r="AO9607"/>
      <c r="AP9607"/>
      <c r="AQ9607"/>
      <c r="AR9607"/>
      <c r="AS9607"/>
    </row>
    <row r="9608" spans="14:45" hidden="1">
      <c r="N9608" s="283"/>
      <c r="O9608" s="284"/>
      <c r="P9608" s="260"/>
      <c r="Q9608" s="258"/>
      <c r="R9608" s="260"/>
      <c r="S9608" s="260"/>
      <c r="T9608" s="285"/>
      <c r="U9608" s="260"/>
      <c r="V9608" s="260"/>
      <c r="W9608" s="255"/>
      <c r="X9608" s="260"/>
      <c r="Y9608" s="260"/>
      <c r="Z9608" s="255"/>
      <c r="AA9608" s="260"/>
      <c r="AB9608" s="260"/>
      <c r="AC9608" s="260"/>
      <c r="AD9608" s="260"/>
      <c r="AE9608" s="260"/>
      <c r="AF9608" s="260"/>
      <c r="AG9608" s="258"/>
      <c r="AI9608"/>
      <c r="AJ9608"/>
      <c r="AK9608"/>
      <c r="AL9608"/>
      <c r="AM9608"/>
      <c r="AN9608"/>
      <c r="AO9608"/>
      <c r="AP9608"/>
      <c r="AQ9608"/>
      <c r="AR9608"/>
      <c r="AS9608"/>
    </row>
    <row r="9609" spans="14:45" hidden="1">
      <c r="N9609" s="283"/>
      <c r="O9609" s="284"/>
      <c r="P9609" s="260"/>
      <c r="Q9609" s="258"/>
      <c r="R9609" s="260"/>
      <c r="S9609" s="260"/>
      <c r="T9609" s="285"/>
      <c r="U9609" s="260"/>
      <c r="V9609" s="260"/>
      <c r="W9609" s="255"/>
      <c r="X9609" s="260"/>
      <c r="Y9609" s="260"/>
      <c r="Z9609" s="255"/>
      <c r="AA9609" s="260"/>
      <c r="AB9609" s="260"/>
      <c r="AC9609" s="260"/>
      <c r="AD9609" s="260"/>
      <c r="AE9609" s="260"/>
      <c r="AF9609" s="260"/>
      <c r="AG9609" s="258"/>
      <c r="AI9609"/>
      <c r="AJ9609"/>
      <c r="AK9609"/>
      <c r="AL9609"/>
      <c r="AM9609"/>
      <c r="AN9609"/>
      <c r="AO9609"/>
      <c r="AP9609"/>
      <c r="AQ9609"/>
      <c r="AR9609"/>
      <c r="AS9609"/>
    </row>
    <row r="9610" spans="14:45" hidden="1">
      <c r="N9610" s="283"/>
      <c r="O9610" s="284"/>
      <c r="P9610" s="260"/>
      <c r="Q9610" s="258"/>
      <c r="R9610" s="260"/>
      <c r="S9610" s="260"/>
      <c r="T9610" s="285"/>
      <c r="U9610" s="260"/>
      <c r="V9610" s="260"/>
      <c r="W9610" s="255"/>
      <c r="X9610" s="260"/>
      <c r="Y9610" s="260"/>
      <c r="Z9610" s="255"/>
      <c r="AA9610" s="260"/>
      <c r="AB9610" s="260"/>
      <c r="AC9610" s="260"/>
      <c r="AD9610" s="260"/>
      <c r="AE9610" s="260"/>
      <c r="AF9610" s="260"/>
      <c r="AG9610" s="258"/>
      <c r="AI9610"/>
      <c r="AJ9610"/>
      <c r="AK9610"/>
      <c r="AL9610"/>
      <c r="AM9610"/>
      <c r="AN9610"/>
      <c r="AO9610"/>
      <c r="AP9610"/>
      <c r="AQ9610"/>
      <c r="AR9610"/>
      <c r="AS9610"/>
    </row>
    <row r="9611" spans="14:45" hidden="1">
      <c r="N9611" s="283"/>
      <c r="O9611" s="284"/>
      <c r="P9611" s="260"/>
      <c r="Q9611" s="258"/>
      <c r="R9611" s="260"/>
      <c r="S9611" s="260"/>
      <c r="T9611" s="285"/>
      <c r="U9611" s="260"/>
      <c r="V9611" s="260"/>
      <c r="W9611" s="255"/>
      <c r="X9611" s="260"/>
      <c r="Y9611" s="260"/>
      <c r="Z9611" s="255"/>
      <c r="AA9611" s="260"/>
      <c r="AB9611" s="260"/>
      <c r="AC9611" s="260"/>
      <c r="AD9611" s="260"/>
      <c r="AE9611" s="260"/>
      <c r="AF9611" s="260"/>
      <c r="AG9611" s="258"/>
      <c r="AI9611"/>
      <c r="AJ9611"/>
      <c r="AK9611"/>
      <c r="AL9611"/>
      <c r="AM9611"/>
      <c r="AN9611"/>
      <c r="AO9611"/>
      <c r="AP9611"/>
      <c r="AQ9611"/>
      <c r="AR9611"/>
      <c r="AS9611"/>
    </row>
    <row r="9612" spans="14:45" hidden="1">
      <c r="N9612" s="283"/>
      <c r="O9612" s="284"/>
      <c r="P9612" s="260"/>
      <c r="Q9612" s="258"/>
      <c r="R9612" s="260"/>
      <c r="S9612" s="260"/>
      <c r="T9612" s="285"/>
      <c r="U9612" s="260"/>
      <c r="V9612" s="260"/>
      <c r="W9612" s="255"/>
      <c r="X9612" s="260"/>
      <c r="Y9612" s="260"/>
      <c r="Z9612" s="255"/>
      <c r="AA9612" s="260"/>
      <c r="AB9612" s="260"/>
      <c r="AC9612" s="260"/>
      <c r="AD9612" s="260"/>
      <c r="AE9612" s="260"/>
      <c r="AF9612" s="260"/>
      <c r="AG9612" s="258"/>
      <c r="AI9612"/>
      <c r="AJ9612"/>
      <c r="AK9612"/>
      <c r="AL9612"/>
      <c r="AM9612"/>
      <c r="AN9612"/>
      <c r="AO9612"/>
      <c r="AP9612"/>
      <c r="AQ9612"/>
      <c r="AR9612"/>
      <c r="AS9612"/>
    </row>
    <row r="9613" spans="14:45" ht="11.25" hidden="1" customHeight="1">
      <c r="N9613" s="283"/>
      <c r="O9613" s="284"/>
      <c r="P9613" s="260"/>
      <c r="Q9613" s="258"/>
      <c r="R9613" s="260"/>
      <c r="S9613" s="260"/>
      <c r="T9613" s="285"/>
      <c r="U9613" s="260"/>
      <c r="V9613" s="260"/>
      <c r="W9613" s="255"/>
      <c r="X9613" s="260"/>
      <c r="Y9613" s="260"/>
      <c r="Z9613" s="255"/>
      <c r="AA9613" s="260"/>
      <c r="AB9613" s="260"/>
      <c r="AC9613" s="260"/>
      <c r="AD9613" s="260"/>
      <c r="AE9613" s="260"/>
      <c r="AF9613" s="260"/>
      <c r="AG9613" s="258"/>
      <c r="AI9613"/>
      <c r="AJ9613"/>
      <c r="AK9613"/>
      <c r="AL9613"/>
      <c r="AM9613"/>
      <c r="AN9613"/>
      <c r="AO9613"/>
      <c r="AP9613"/>
      <c r="AQ9613"/>
      <c r="AR9613"/>
      <c r="AS9613"/>
    </row>
    <row r="9614" spans="14:45" ht="11.25" hidden="1" customHeight="1">
      <c r="N9614" s="283"/>
      <c r="O9614" s="284"/>
      <c r="P9614" s="260"/>
      <c r="Q9614" s="258"/>
      <c r="R9614" s="260"/>
      <c r="S9614" s="260"/>
      <c r="T9614" s="285"/>
      <c r="U9614" s="260"/>
      <c r="V9614" s="260"/>
      <c r="W9614" s="255"/>
      <c r="X9614" s="260"/>
      <c r="Y9614" s="260"/>
      <c r="Z9614" s="255"/>
      <c r="AA9614" s="260"/>
      <c r="AB9614" s="260"/>
      <c r="AC9614" s="260"/>
      <c r="AD9614" s="260"/>
      <c r="AE9614" s="260"/>
      <c r="AF9614" s="260"/>
      <c r="AG9614" s="258"/>
      <c r="AI9614"/>
      <c r="AJ9614"/>
      <c r="AK9614"/>
      <c r="AL9614"/>
      <c r="AM9614"/>
      <c r="AN9614"/>
      <c r="AO9614"/>
      <c r="AP9614"/>
      <c r="AQ9614"/>
      <c r="AR9614"/>
      <c r="AS9614"/>
    </row>
    <row r="9615" spans="14:45" ht="11.25" hidden="1" customHeight="1">
      <c r="N9615" s="283"/>
      <c r="O9615" s="284"/>
      <c r="P9615" s="260"/>
      <c r="Q9615" s="258"/>
      <c r="R9615" s="260"/>
      <c r="S9615" s="260"/>
      <c r="T9615" s="285"/>
      <c r="U9615" s="260"/>
      <c r="V9615" s="260"/>
      <c r="W9615" s="255"/>
      <c r="X9615" s="260"/>
      <c r="Y9615" s="260"/>
      <c r="Z9615" s="255"/>
      <c r="AA9615" s="260"/>
      <c r="AB9615" s="260"/>
      <c r="AC9615" s="260"/>
      <c r="AD9615" s="260"/>
      <c r="AE9615" s="260"/>
      <c r="AF9615" s="260"/>
      <c r="AG9615" s="258"/>
      <c r="AI9615"/>
      <c r="AJ9615"/>
      <c r="AK9615"/>
      <c r="AL9615"/>
      <c r="AM9615"/>
      <c r="AN9615"/>
      <c r="AO9615"/>
      <c r="AP9615"/>
      <c r="AQ9615"/>
      <c r="AR9615"/>
      <c r="AS9615"/>
    </row>
    <row r="9616" spans="14:45" ht="11.25" hidden="1" customHeight="1">
      <c r="N9616" s="302"/>
      <c r="O9616" s="303"/>
      <c r="P9616" s="260"/>
      <c r="Q9616" s="258"/>
      <c r="R9616" s="260"/>
      <c r="S9616" s="260"/>
      <c r="T9616" s="285"/>
      <c r="U9616" s="260"/>
      <c r="V9616" s="260"/>
      <c r="W9616" s="255"/>
      <c r="X9616" s="260"/>
      <c r="Y9616" s="260"/>
      <c r="Z9616" s="255"/>
      <c r="AA9616" s="260"/>
      <c r="AB9616" s="260"/>
      <c r="AC9616" s="260"/>
      <c r="AD9616" s="260"/>
      <c r="AE9616" s="260"/>
      <c r="AF9616" s="260"/>
      <c r="AG9616" s="258"/>
      <c r="AI9616"/>
      <c r="AJ9616"/>
      <c r="AK9616"/>
      <c r="AL9616"/>
      <c r="AM9616"/>
      <c r="AN9616"/>
      <c r="AO9616"/>
      <c r="AP9616"/>
      <c r="AQ9616"/>
      <c r="AR9616"/>
      <c r="AS9616"/>
    </row>
    <row r="9617" spans="14:45" ht="11.25" hidden="1" customHeight="1">
      <c r="N9617" s="302"/>
      <c r="O9617" s="303"/>
      <c r="P9617" s="260"/>
      <c r="Q9617" s="258"/>
      <c r="R9617" s="287"/>
      <c r="S9617" s="260"/>
      <c r="T9617" s="285"/>
      <c r="U9617" s="260"/>
      <c r="V9617" s="260"/>
      <c r="W9617" s="255"/>
      <c r="X9617" s="260"/>
      <c r="Y9617" s="260"/>
      <c r="Z9617" s="255"/>
      <c r="AA9617" s="260"/>
      <c r="AB9617" s="260"/>
      <c r="AC9617" s="260"/>
      <c r="AD9617" s="260"/>
      <c r="AE9617" s="260"/>
      <c r="AF9617" s="260"/>
      <c r="AG9617" s="258"/>
      <c r="AI9617"/>
      <c r="AJ9617"/>
      <c r="AK9617"/>
      <c r="AL9617"/>
      <c r="AM9617"/>
      <c r="AN9617"/>
      <c r="AO9617"/>
      <c r="AP9617"/>
      <c r="AQ9617"/>
      <c r="AR9617"/>
      <c r="AS9617"/>
    </row>
    <row r="9618" spans="14:45" ht="11.25" hidden="1" customHeight="1">
      <c r="N9618" s="302"/>
      <c r="O9618" s="303"/>
      <c r="P9618" s="260"/>
      <c r="Q9618" s="258"/>
      <c r="R9618" s="287"/>
      <c r="S9618" s="260"/>
      <c r="T9618" s="285"/>
      <c r="U9618" s="260"/>
      <c r="V9618" s="260"/>
      <c r="W9618" s="255"/>
      <c r="X9618" s="260"/>
      <c r="Y9618" s="260"/>
      <c r="Z9618" s="255"/>
      <c r="AA9618" s="260"/>
      <c r="AB9618" s="260"/>
      <c r="AC9618" s="260"/>
      <c r="AD9618" s="260"/>
      <c r="AE9618" s="260"/>
      <c r="AF9618" s="260"/>
      <c r="AG9618" s="258"/>
      <c r="AI9618"/>
      <c r="AJ9618"/>
      <c r="AK9618"/>
      <c r="AL9618"/>
      <c r="AM9618"/>
      <c r="AN9618"/>
      <c r="AO9618"/>
      <c r="AP9618"/>
      <c r="AQ9618"/>
      <c r="AR9618"/>
      <c r="AS9618"/>
    </row>
    <row r="9619" spans="14:45" ht="12" hidden="1" customHeight="1">
      <c r="N9619" s="302"/>
      <c r="O9619" s="303"/>
      <c r="P9619" s="260"/>
      <c r="Q9619" s="258"/>
      <c r="R9619" s="260"/>
      <c r="S9619" s="260"/>
      <c r="T9619" s="285"/>
      <c r="U9619" s="260"/>
      <c r="V9619" s="260"/>
      <c r="W9619" s="255"/>
      <c r="X9619" s="260"/>
      <c r="Y9619" s="260"/>
      <c r="Z9619" s="255"/>
      <c r="AA9619" s="260"/>
      <c r="AB9619" s="260"/>
      <c r="AC9619" s="260"/>
      <c r="AD9619" s="260"/>
      <c r="AE9619" s="260"/>
      <c r="AF9619" s="260"/>
      <c r="AG9619" s="258"/>
      <c r="AI9619"/>
      <c r="AJ9619"/>
      <c r="AK9619"/>
      <c r="AL9619"/>
      <c r="AM9619"/>
      <c r="AN9619"/>
      <c r="AO9619"/>
      <c r="AP9619"/>
      <c r="AQ9619"/>
      <c r="AR9619"/>
      <c r="AS9619"/>
    </row>
    <row r="9620" spans="14:45" ht="12" hidden="1" customHeight="1">
      <c r="N9620" s="302"/>
      <c r="O9620" s="303"/>
      <c r="P9620" s="260"/>
      <c r="Q9620" s="258"/>
      <c r="R9620" s="260"/>
      <c r="S9620" s="260"/>
      <c r="T9620" s="285"/>
      <c r="U9620" s="260"/>
      <c r="V9620" s="260"/>
      <c r="W9620" s="255"/>
      <c r="X9620" s="260"/>
      <c r="Y9620" s="260"/>
      <c r="Z9620" s="255"/>
      <c r="AA9620" s="260"/>
      <c r="AB9620" s="260"/>
      <c r="AC9620" s="260"/>
      <c r="AD9620" s="260"/>
      <c r="AE9620" s="260"/>
      <c r="AF9620" s="260"/>
      <c r="AG9620" s="258"/>
      <c r="AI9620"/>
      <c r="AJ9620"/>
      <c r="AK9620"/>
      <c r="AL9620"/>
      <c r="AM9620"/>
      <c r="AN9620"/>
      <c r="AO9620"/>
      <c r="AP9620"/>
      <c r="AQ9620"/>
      <c r="AR9620"/>
      <c r="AS9620"/>
    </row>
    <row r="9621" spans="14:45" ht="12" hidden="1" customHeight="1">
      <c r="N9621" s="302"/>
      <c r="O9621" s="303"/>
      <c r="P9621" s="260"/>
      <c r="Q9621" s="258"/>
      <c r="R9621" s="260"/>
      <c r="S9621" s="260"/>
      <c r="T9621" s="285"/>
      <c r="U9621" s="260"/>
      <c r="V9621" s="260"/>
      <c r="W9621" s="255"/>
      <c r="X9621" s="260"/>
      <c r="Y9621" s="260"/>
      <c r="Z9621" s="255"/>
      <c r="AA9621" s="260"/>
      <c r="AB9621" s="260"/>
      <c r="AC9621" s="260"/>
      <c r="AD9621" s="260"/>
      <c r="AE9621" s="260"/>
      <c r="AF9621" s="260"/>
      <c r="AG9621" s="258"/>
      <c r="AI9621"/>
      <c r="AJ9621"/>
      <c r="AK9621"/>
      <c r="AL9621"/>
      <c r="AM9621"/>
      <c r="AN9621"/>
      <c r="AO9621"/>
      <c r="AP9621"/>
      <c r="AQ9621"/>
      <c r="AR9621"/>
      <c r="AS9621"/>
    </row>
    <row r="9622" spans="14:45" ht="12" hidden="1" customHeight="1">
      <c r="N9622" s="302"/>
      <c r="O9622" s="303"/>
      <c r="P9622" s="260"/>
      <c r="Q9622" s="258"/>
      <c r="R9622" s="260"/>
      <c r="S9622" s="260"/>
      <c r="T9622" s="285"/>
      <c r="U9622" s="260"/>
      <c r="V9622" s="260"/>
      <c r="W9622" s="255"/>
      <c r="X9622" s="260"/>
      <c r="Y9622" s="260"/>
      <c r="Z9622" s="255"/>
      <c r="AA9622" s="260"/>
      <c r="AB9622" s="260"/>
      <c r="AC9622" s="260"/>
      <c r="AD9622" s="260"/>
      <c r="AE9622" s="260"/>
      <c r="AF9622" s="260"/>
      <c r="AG9622" s="258"/>
      <c r="AI9622"/>
      <c r="AJ9622"/>
      <c r="AK9622"/>
      <c r="AL9622"/>
      <c r="AM9622"/>
      <c r="AN9622"/>
      <c r="AO9622"/>
      <c r="AP9622"/>
      <c r="AQ9622"/>
      <c r="AR9622"/>
      <c r="AS9622"/>
    </row>
    <row r="9623" spans="14:45" ht="12" hidden="1" customHeight="1">
      <c r="N9623" s="302"/>
      <c r="O9623" s="303"/>
      <c r="P9623" s="285"/>
      <c r="Q9623" s="258"/>
      <c r="R9623" s="260"/>
      <c r="S9623" s="260"/>
      <c r="T9623" s="285"/>
      <c r="U9623" s="260"/>
      <c r="V9623" s="260"/>
      <c r="W9623" s="255"/>
      <c r="X9623" s="260"/>
      <c r="Y9623" s="260"/>
      <c r="Z9623" s="255"/>
      <c r="AA9623" s="260"/>
      <c r="AB9623" s="260"/>
      <c r="AC9623" s="260"/>
      <c r="AD9623" s="260"/>
      <c r="AE9623" s="260"/>
      <c r="AF9623" s="260"/>
      <c r="AG9623" s="258"/>
      <c r="AI9623"/>
      <c r="AJ9623"/>
      <c r="AK9623"/>
      <c r="AL9623"/>
      <c r="AM9623"/>
      <c r="AN9623"/>
      <c r="AO9623"/>
      <c r="AP9623"/>
      <c r="AQ9623"/>
      <c r="AR9623"/>
      <c r="AS9623"/>
    </row>
    <row r="9624" spans="14:45" ht="12" hidden="1" customHeight="1">
      <c r="N9624" s="302"/>
      <c r="O9624" s="303"/>
      <c r="P9624" s="285"/>
      <c r="Q9624" s="258"/>
      <c r="R9624" s="260"/>
      <c r="S9624" s="260"/>
      <c r="T9624" s="285"/>
      <c r="U9624" s="260"/>
      <c r="V9624" s="260"/>
      <c r="W9624" s="255"/>
      <c r="X9624" s="260"/>
      <c r="Y9624" s="260"/>
      <c r="Z9624" s="255"/>
      <c r="AA9624" s="260"/>
      <c r="AB9624" s="260"/>
      <c r="AC9624" s="260"/>
      <c r="AD9624" s="260"/>
      <c r="AE9624" s="260"/>
      <c r="AF9624" s="260"/>
      <c r="AG9624" s="258"/>
      <c r="AI9624"/>
      <c r="AJ9624"/>
      <c r="AK9624"/>
      <c r="AL9624"/>
      <c r="AM9624"/>
      <c r="AN9624"/>
      <c r="AO9624"/>
      <c r="AP9624"/>
      <c r="AQ9624"/>
      <c r="AR9624"/>
      <c r="AS9624"/>
    </row>
    <row r="9625" spans="14:45" ht="12" hidden="1" customHeight="1">
      <c r="N9625" s="302"/>
      <c r="O9625" s="303"/>
      <c r="P9625" s="285"/>
      <c r="Q9625" s="258"/>
      <c r="R9625" s="260"/>
      <c r="S9625" s="260"/>
      <c r="T9625" s="285"/>
      <c r="U9625" s="260"/>
      <c r="V9625" s="260"/>
      <c r="W9625" s="255"/>
      <c r="X9625" s="260"/>
      <c r="Y9625" s="260"/>
      <c r="Z9625" s="255"/>
      <c r="AA9625" s="260"/>
      <c r="AB9625" s="260"/>
      <c r="AC9625" s="260"/>
      <c r="AD9625" s="260"/>
      <c r="AE9625" s="260"/>
      <c r="AF9625" s="260"/>
      <c r="AG9625" s="258"/>
      <c r="AI9625"/>
      <c r="AJ9625"/>
      <c r="AK9625"/>
      <c r="AL9625"/>
      <c r="AM9625"/>
      <c r="AN9625"/>
      <c r="AO9625"/>
      <c r="AP9625"/>
      <c r="AQ9625"/>
      <c r="AR9625"/>
      <c r="AS9625"/>
    </row>
    <row r="9626" spans="14:45" ht="12" hidden="1" customHeight="1">
      <c r="N9626" s="302"/>
      <c r="O9626" s="303"/>
      <c r="P9626" s="285"/>
      <c r="Q9626" s="258"/>
      <c r="R9626" s="260"/>
      <c r="S9626" s="260"/>
      <c r="T9626" s="285"/>
      <c r="U9626" s="260"/>
      <c r="V9626" s="260"/>
      <c r="W9626" s="255"/>
      <c r="X9626" s="260"/>
      <c r="Y9626" s="260"/>
      <c r="Z9626" s="255"/>
      <c r="AA9626" s="260"/>
      <c r="AB9626" s="260"/>
      <c r="AC9626" s="260"/>
      <c r="AD9626" s="260"/>
      <c r="AE9626" s="260"/>
      <c r="AF9626" s="260"/>
      <c r="AG9626" s="258"/>
      <c r="AI9626"/>
      <c r="AJ9626"/>
      <c r="AK9626"/>
      <c r="AL9626"/>
      <c r="AM9626"/>
      <c r="AN9626"/>
      <c r="AO9626"/>
      <c r="AP9626"/>
      <c r="AQ9626"/>
      <c r="AR9626"/>
      <c r="AS9626"/>
    </row>
    <row r="9627" spans="14:45" ht="12" hidden="1" customHeight="1">
      <c r="N9627" s="302"/>
      <c r="O9627" s="303"/>
      <c r="P9627" s="285"/>
      <c r="Q9627" s="258"/>
      <c r="R9627" s="260"/>
      <c r="S9627" s="260"/>
      <c r="T9627" s="285"/>
      <c r="U9627" s="260"/>
      <c r="V9627" s="260"/>
      <c r="W9627" s="255"/>
      <c r="X9627" s="260"/>
      <c r="Y9627" s="260"/>
      <c r="Z9627" s="255"/>
      <c r="AA9627" s="260"/>
      <c r="AB9627" s="260"/>
      <c r="AC9627" s="260"/>
      <c r="AD9627" s="260"/>
      <c r="AE9627" s="260"/>
      <c r="AF9627" s="260"/>
      <c r="AG9627" s="258"/>
      <c r="AI9627"/>
      <c r="AJ9627"/>
      <c r="AK9627"/>
      <c r="AL9627"/>
      <c r="AM9627"/>
      <c r="AN9627"/>
      <c r="AO9627"/>
      <c r="AP9627"/>
      <c r="AQ9627"/>
      <c r="AR9627"/>
      <c r="AS9627"/>
    </row>
    <row r="9628" spans="14:45" ht="12" hidden="1" customHeight="1">
      <c r="N9628" s="302"/>
      <c r="O9628" s="303"/>
      <c r="P9628" s="285"/>
      <c r="Q9628" s="258"/>
      <c r="R9628" s="260"/>
      <c r="S9628" s="260"/>
      <c r="T9628" s="285"/>
      <c r="U9628" s="260"/>
      <c r="V9628" s="260"/>
      <c r="W9628" s="255"/>
      <c r="X9628" s="260"/>
      <c r="Y9628" s="260"/>
      <c r="Z9628" s="255"/>
      <c r="AA9628" s="260"/>
      <c r="AB9628" s="260"/>
      <c r="AC9628" s="260"/>
      <c r="AD9628" s="260"/>
      <c r="AE9628" s="260"/>
      <c r="AF9628" s="260"/>
      <c r="AG9628" s="258"/>
      <c r="AI9628"/>
      <c r="AJ9628"/>
      <c r="AK9628"/>
      <c r="AL9628"/>
      <c r="AM9628"/>
      <c r="AN9628"/>
      <c r="AO9628"/>
      <c r="AP9628"/>
      <c r="AQ9628"/>
      <c r="AR9628"/>
      <c r="AS9628"/>
    </row>
    <row r="9629" spans="14:45" ht="12" hidden="1" customHeight="1">
      <c r="N9629" s="302"/>
      <c r="O9629" s="303"/>
      <c r="P9629" s="285"/>
      <c r="Q9629" s="258"/>
      <c r="R9629" s="260"/>
      <c r="S9629" s="260"/>
      <c r="T9629" s="285"/>
      <c r="U9629" s="260"/>
      <c r="V9629" s="260"/>
      <c r="W9629" s="255"/>
      <c r="X9629" s="260"/>
      <c r="Y9629" s="260"/>
      <c r="Z9629" s="255"/>
      <c r="AA9629" s="260"/>
      <c r="AB9629" s="260"/>
      <c r="AC9629" s="260"/>
      <c r="AD9629" s="260"/>
      <c r="AE9629" s="260"/>
      <c r="AF9629" s="260"/>
      <c r="AG9629" s="258"/>
      <c r="AI9629"/>
      <c r="AJ9629"/>
      <c r="AK9629"/>
      <c r="AL9629"/>
      <c r="AM9629"/>
      <c r="AN9629"/>
      <c r="AO9629"/>
      <c r="AP9629"/>
      <c r="AQ9629"/>
      <c r="AR9629"/>
      <c r="AS9629"/>
    </row>
    <row r="9630" spans="14:45" ht="12" hidden="1" customHeight="1">
      <c r="N9630" s="302"/>
      <c r="O9630" s="303"/>
      <c r="P9630" s="285"/>
      <c r="Q9630" s="258"/>
      <c r="R9630" s="260"/>
      <c r="S9630" s="260"/>
      <c r="T9630" s="285"/>
      <c r="U9630" s="260"/>
      <c r="V9630" s="260"/>
      <c r="W9630" s="255"/>
      <c r="X9630" s="260"/>
      <c r="Y9630" s="260"/>
      <c r="Z9630" s="255"/>
      <c r="AA9630" s="260"/>
      <c r="AB9630" s="260"/>
      <c r="AC9630" s="260"/>
      <c r="AD9630" s="260"/>
      <c r="AE9630" s="260"/>
      <c r="AF9630" s="260"/>
      <c r="AG9630" s="258"/>
      <c r="AI9630"/>
      <c r="AJ9630"/>
      <c r="AK9630"/>
      <c r="AL9630"/>
      <c r="AM9630"/>
      <c r="AN9630"/>
      <c r="AO9630"/>
      <c r="AP9630"/>
      <c r="AQ9630"/>
      <c r="AR9630"/>
      <c r="AS9630"/>
    </row>
    <row r="9631" spans="14:45" ht="12" hidden="1" customHeight="1">
      <c r="N9631" s="302"/>
      <c r="O9631" s="303"/>
      <c r="P9631" s="285"/>
      <c r="Q9631" s="258"/>
      <c r="R9631" s="260"/>
      <c r="S9631" s="260"/>
      <c r="T9631" s="285"/>
      <c r="U9631" s="260"/>
      <c r="V9631" s="260"/>
      <c r="W9631" s="255"/>
      <c r="X9631" s="260"/>
      <c r="Y9631" s="260"/>
      <c r="Z9631" s="255"/>
      <c r="AA9631" s="260"/>
      <c r="AB9631" s="260"/>
      <c r="AC9631" s="260"/>
      <c r="AD9631" s="260"/>
      <c r="AE9631" s="260"/>
      <c r="AF9631" s="260"/>
      <c r="AG9631" s="258"/>
      <c r="AI9631"/>
      <c r="AJ9631"/>
      <c r="AK9631"/>
      <c r="AL9631"/>
      <c r="AM9631"/>
      <c r="AN9631"/>
      <c r="AO9631"/>
      <c r="AP9631"/>
      <c r="AQ9631"/>
      <c r="AR9631"/>
      <c r="AS9631"/>
    </row>
    <row r="9632" spans="14:45" ht="12" hidden="1" customHeight="1">
      <c r="N9632" s="302"/>
      <c r="O9632" s="303"/>
      <c r="P9632" s="285"/>
      <c r="Q9632" s="258"/>
      <c r="R9632" s="260"/>
      <c r="S9632" s="260"/>
      <c r="T9632" s="285"/>
      <c r="U9632" s="260"/>
      <c r="V9632" s="260"/>
      <c r="W9632" s="255"/>
      <c r="X9632" s="260"/>
      <c r="Y9632" s="260"/>
      <c r="Z9632" s="255"/>
      <c r="AA9632" s="260"/>
      <c r="AB9632" s="260"/>
      <c r="AC9632" s="260"/>
      <c r="AD9632" s="260"/>
      <c r="AE9632" s="260"/>
      <c r="AF9632" s="260"/>
      <c r="AG9632" s="258"/>
      <c r="AI9632"/>
      <c r="AJ9632"/>
      <c r="AK9632"/>
      <c r="AL9632"/>
      <c r="AM9632"/>
      <c r="AN9632"/>
      <c r="AO9632"/>
      <c r="AP9632"/>
      <c r="AQ9632"/>
      <c r="AR9632"/>
      <c r="AS9632"/>
    </row>
    <row r="9633" spans="14:45" ht="12" hidden="1" customHeight="1">
      <c r="N9633" s="302"/>
      <c r="O9633" s="303"/>
      <c r="P9633" s="285"/>
      <c r="Q9633" s="258"/>
      <c r="R9633" s="260"/>
      <c r="S9633" s="260"/>
      <c r="T9633" s="285"/>
      <c r="U9633" s="260"/>
      <c r="V9633" s="260"/>
      <c r="W9633" s="255"/>
      <c r="X9633" s="260"/>
      <c r="Y9633" s="260"/>
      <c r="Z9633" s="255"/>
      <c r="AA9633" s="260"/>
      <c r="AB9633" s="260"/>
      <c r="AC9633" s="260"/>
      <c r="AD9633" s="260"/>
      <c r="AE9633" s="260"/>
      <c r="AF9633" s="260"/>
      <c r="AG9633" s="258"/>
      <c r="AI9633"/>
      <c r="AJ9633"/>
      <c r="AK9633"/>
      <c r="AL9633"/>
      <c r="AM9633"/>
      <c r="AN9633"/>
      <c r="AO9633"/>
      <c r="AP9633"/>
      <c r="AQ9633"/>
      <c r="AR9633"/>
      <c r="AS9633"/>
    </row>
    <row r="9634" spans="14:45" ht="12" hidden="1" customHeight="1">
      <c r="N9634" s="302"/>
      <c r="O9634" s="303"/>
      <c r="P9634" s="285"/>
      <c r="Q9634" s="258"/>
      <c r="R9634" s="260"/>
      <c r="S9634" s="260"/>
      <c r="T9634" s="285"/>
      <c r="U9634" s="260"/>
      <c r="V9634" s="260"/>
      <c r="W9634" s="255"/>
      <c r="X9634" s="260"/>
      <c r="Y9634" s="260"/>
      <c r="Z9634" s="255"/>
      <c r="AA9634" s="260"/>
      <c r="AB9634" s="260"/>
      <c r="AC9634" s="260"/>
      <c r="AD9634" s="260"/>
      <c r="AE9634" s="260"/>
      <c r="AF9634" s="260"/>
      <c r="AG9634" s="258"/>
      <c r="AI9634"/>
      <c r="AJ9634"/>
      <c r="AK9634"/>
      <c r="AL9634"/>
      <c r="AM9634"/>
      <c r="AN9634"/>
      <c r="AO9634"/>
      <c r="AP9634"/>
      <c r="AQ9634"/>
      <c r="AR9634"/>
      <c r="AS9634"/>
    </row>
    <row r="9635" spans="14:45" ht="12" hidden="1" customHeight="1">
      <c r="N9635" s="302"/>
      <c r="O9635" s="303"/>
      <c r="P9635" s="285"/>
      <c r="Q9635" s="258"/>
      <c r="R9635" s="260"/>
      <c r="S9635" s="260"/>
      <c r="T9635" s="285"/>
      <c r="U9635" s="260"/>
      <c r="V9635" s="260"/>
      <c r="W9635" s="255"/>
      <c r="X9635" s="260"/>
      <c r="Y9635" s="260"/>
      <c r="Z9635" s="255"/>
      <c r="AA9635" s="260"/>
      <c r="AB9635" s="260"/>
      <c r="AC9635" s="260"/>
      <c r="AD9635" s="260"/>
      <c r="AE9635" s="260"/>
      <c r="AF9635" s="260"/>
      <c r="AG9635" s="258"/>
      <c r="AI9635"/>
      <c r="AJ9635"/>
      <c r="AK9635"/>
      <c r="AL9635"/>
      <c r="AM9635"/>
      <c r="AN9635"/>
      <c r="AO9635"/>
      <c r="AP9635"/>
      <c r="AQ9635"/>
      <c r="AR9635"/>
      <c r="AS9635"/>
    </row>
    <row r="9636" spans="14:45" ht="12" hidden="1" customHeight="1">
      <c r="N9636" s="302"/>
      <c r="O9636" s="303"/>
      <c r="P9636" s="285"/>
      <c r="Q9636" s="258"/>
      <c r="R9636" s="260"/>
      <c r="S9636" s="260"/>
      <c r="T9636" s="285"/>
      <c r="U9636" s="260"/>
      <c r="V9636" s="260"/>
      <c r="W9636" s="255"/>
      <c r="X9636" s="260"/>
      <c r="Y9636" s="260"/>
      <c r="Z9636" s="255"/>
      <c r="AA9636" s="260"/>
      <c r="AB9636" s="260"/>
      <c r="AC9636" s="260"/>
      <c r="AD9636" s="260"/>
      <c r="AE9636" s="260"/>
      <c r="AF9636" s="260"/>
      <c r="AG9636" s="258"/>
      <c r="AI9636"/>
      <c r="AJ9636"/>
      <c r="AK9636"/>
      <c r="AL9636"/>
      <c r="AM9636"/>
      <c r="AN9636"/>
      <c r="AO9636"/>
      <c r="AP9636"/>
      <c r="AQ9636"/>
      <c r="AR9636"/>
      <c r="AS9636"/>
    </row>
    <row r="9637" spans="14:45" ht="12" hidden="1" customHeight="1">
      <c r="N9637" s="302"/>
      <c r="O9637" s="303"/>
      <c r="P9637" s="285"/>
      <c r="Q9637" s="258"/>
      <c r="R9637" s="260"/>
      <c r="S9637" s="260"/>
      <c r="T9637" s="285"/>
      <c r="U9637" s="260"/>
      <c r="V9637" s="260"/>
      <c r="W9637" s="255"/>
      <c r="X9637" s="260"/>
      <c r="Y9637" s="260"/>
      <c r="Z9637" s="255"/>
      <c r="AA9637" s="260"/>
      <c r="AB9637" s="260"/>
      <c r="AC9637" s="260"/>
      <c r="AD9637" s="260"/>
      <c r="AE9637" s="260"/>
      <c r="AF9637" s="260"/>
      <c r="AG9637" s="258"/>
      <c r="AI9637"/>
      <c r="AJ9637"/>
      <c r="AK9637"/>
      <c r="AL9637"/>
      <c r="AM9637"/>
      <c r="AN9637"/>
      <c r="AO9637"/>
      <c r="AP9637"/>
      <c r="AQ9637"/>
      <c r="AR9637"/>
      <c r="AS9637"/>
    </row>
    <row r="9638" spans="14:45" ht="12" hidden="1" customHeight="1">
      <c r="N9638" s="302"/>
      <c r="O9638" s="303"/>
      <c r="P9638" s="285"/>
      <c r="Q9638" s="258"/>
      <c r="R9638" s="260"/>
      <c r="S9638" s="260"/>
      <c r="T9638" s="285"/>
      <c r="U9638" s="260"/>
      <c r="V9638" s="260"/>
      <c r="W9638" s="255"/>
      <c r="X9638" s="260"/>
      <c r="Y9638" s="260"/>
      <c r="Z9638" s="255"/>
      <c r="AA9638" s="260"/>
      <c r="AB9638" s="260"/>
      <c r="AC9638" s="260"/>
      <c r="AD9638" s="260"/>
      <c r="AE9638" s="260"/>
      <c r="AF9638" s="260"/>
      <c r="AG9638" s="258"/>
      <c r="AI9638"/>
      <c r="AJ9638"/>
      <c r="AK9638"/>
      <c r="AL9638"/>
      <c r="AM9638"/>
      <c r="AN9638"/>
      <c r="AO9638"/>
      <c r="AP9638"/>
      <c r="AQ9638"/>
      <c r="AR9638"/>
      <c r="AS9638"/>
    </row>
    <row r="9639" spans="14:45" ht="12" hidden="1" customHeight="1">
      <c r="N9639" s="302"/>
      <c r="O9639" s="303"/>
      <c r="P9639" s="285"/>
      <c r="Q9639" s="258"/>
      <c r="R9639" s="260"/>
      <c r="S9639" s="260"/>
      <c r="T9639" s="285"/>
      <c r="U9639" s="260"/>
      <c r="V9639" s="260"/>
      <c r="W9639" s="255"/>
      <c r="X9639" s="260"/>
      <c r="Y9639" s="260"/>
      <c r="Z9639" s="255"/>
      <c r="AA9639" s="260"/>
      <c r="AB9639" s="260"/>
      <c r="AC9639" s="260"/>
      <c r="AD9639" s="260"/>
      <c r="AE9639" s="260"/>
      <c r="AF9639" s="260"/>
      <c r="AG9639" s="258"/>
      <c r="AI9639"/>
      <c r="AJ9639"/>
      <c r="AK9639"/>
      <c r="AL9639"/>
      <c r="AM9639"/>
      <c r="AN9639"/>
      <c r="AO9639"/>
      <c r="AP9639"/>
      <c r="AQ9639"/>
      <c r="AR9639"/>
      <c r="AS9639"/>
    </row>
    <row r="9640" spans="14:45" ht="12" hidden="1" customHeight="1">
      <c r="N9640" s="302"/>
      <c r="O9640" s="303"/>
      <c r="P9640" s="285"/>
      <c r="Q9640" s="258"/>
      <c r="R9640" s="260"/>
      <c r="S9640" s="260"/>
      <c r="T9640" s="285"/>
      <c r="U9640" s="260"/>
      <c r="V9640" s="260"/>
      <c r="W9640" s="255"/>
      <c r="X9640" s="260"/>
      <c r="Y9640" s="260"/>
      <c r="Z9640" s="255"/>
      <c r="AA9640" s="260"/>
      <c r="AB9640" s="260"/>
      <c r="AC9640" s="260"/>
      <c r="AD9640" s="260"/>
      <c r="AE9640" s="260"/>
      <c r="AF9640" s="260"/>
      <c r="AG9640" s="258"/>
      <c r="AI9640"/>
      <c r="AJ9640"/>
      <c r="AK9640"/>
      <c r="AL9640"/>
      <c r="AM9640"/>
      <c r="AN9640"/>
      <c r="AO9640"/>
      <c r="AP9640"/>
      <c r="AQ9640"/>
      <c r="AR9640"/>
      <c r="AS9640"/>
    </row>
    <row r="9641" spans="14:45" ht="12" hidden="1" customHeight="1">
      <c r="N9641" s="302"/>
      <c r="O9641" s="303"/>
      <c r="P9641" s="285"/>
      <c r="Q9641" s="258"/>
      <c r="R9641" s="260"/>
      <c r="S9641" s="260"/>
      <c r="T9641" s="285"/>
      <c r="U9641" s="260"/>
      <c r="V9641" s="260"/>
      <c r="W9641" s="255"/>
      <c r="X9641" s="260"/>
      <c r="Y9641" s="260"/>
      <c r="Z9641" s="255"/>
      <c r="AA9641" s="260"/>
      <c r="AB9641" s="260"/>
      <c r="AC9641" s="260"/>
      <c r="AD9641" s="260"/>
      <c r="AE9641" s="260"/>
      <c r="AF9641" s="260"/>
      <c r="AG9641" s="258"/>
      <c r="AI9641"/>
      <c r="AJ9641"/>
      <c r="AK9641"/>
      <c r="AL9641"/>
      <c r="AM9641"/>
      <c r="AN9641"/>
      <c r="AO9641"/>
      <c r="AP9641"/>
      <c r="AQ9641"/>
      <c r="AR9641"/>
      <c r="AS9641"/>
    </row>
    <row r="9642" spans="14:45" ht="12" hidden="1" customHeight="1">
      <c r="N9642" s="302"/>
      <c r="O9642" s="303"/>
      <c r="P9642" s="285"/>
      <c r="Q9642" s="258"/>
      <c r="R9642" s="260"/>
      <c r="S9642" s="260"/>
      <c r="T9642" s="285"/>
      <c r="U9642" s="260"/>
      <c r="V9642" s="260"/>
      <c r="W9642" s="255"/>
      <c r="X9642" s="260"/>
      <c r="Y9642" s="260"/>
      <c r="Z9642" s="255"/>
      <c r="AA9642" s="260"/>
      <c r="AB9642" s="260"/>
      <c r="AC9642" s="260"/>
      <c r="AD9642" s="260"/>
      <c r="AE9642" s="260"/>
      <c r="AF9642" s="260"/>
      <c r="AG9642" s="258"/>
      <c r="AI9642"/>
      <c r="AJ9642"/>
      <c r="AK9642"/>
      <c r="AL9642"/>
      <c r="AM9642"/>
      <c r="AN9642"/>
      <c r="AO9642"/>
      <c r="AP9642"/>
      <c r="AQ9642"/>
      <c r="AR9642"/>
      <c r="AS9642"/>
    </row>
    <row r="9643" spans="14:45" ht="12" hidden="1" customHeight="1">
      <c r="N9643" s="302"/>
      <c r="O9643" s="303"/>
      <c r="P9643" s="285"/>
      <c r="Q9643" s="258"/>
      <c r="R9643" s="260"/>
      <c r="S9643" s="260"/>
      <c r="T9643" s="285"/>
      <c r="U9643" s="260"/>
      <c r="V9643" s="260"/>
      <c r="W9643" s="255"/>
      <c r="X9643" s="260"/>
      <c r="Y9643" s="260"/>
      <c r="Z9643" s="255"/>
      <c r="AA9643" s="260"/>
      <c r="AB9643" s="260"/>
      <c r="AC9643" s="260"/>
      <c r="AD9643" s="260"/>
      <c r="AE9643" s="260"/>
      <c r="AF9643" s="260"/>
      <c r="AG9643" s="258"/>
      <c r="AI9643"/>
      <c r="AJ9643"/>
      <c r="AK9643"/>
      <c r="AL9643"/>
      <c r="AM9643"/>
      <c r="AN9643"/>
      <c r="AO9643"/>
      <c r="AP9643"/>
      <c r="AQ9643"/>
      <c r="AR9643"/>
      <c r="AS9643"/>
    </row>
    <row r="9644" spans="14:45" ht="12" hidden="1" customHeight="1">
      <c r="N9644" s="302"/>
      <c r="O9644" s="303"/>
      <c r="P9644" s="285"/>
      <c r="Q9644" s="258"/>
      <c r="R9644" s="260"/>
      <c r="S9644" s="260"/>
      <c r="T9644" s="285"/>
      <c r="U9644" s="260"/>
      <c r="V9644" s="260"/>
      <c r="W9644" s="255"/>
      <c r="X9644" s="260"/>
      <c r="Y9644" s="260"/>
      <c r="Z9644" s="255"/>
      <c r="AA9644" s="260"/>
      <c r="AB9644" s="260"/>
      <c r="AC9644" s="260"/>
      <c r="AD9644" s="260"/>
      <c r="AE9644" s="260"/>
      <c r="AF9644" s="260"/>
      <c r="AG9644" s="258"/>
      <c r="AI9644"/>
      <c r="AJ9644"/>
      <c r="AK9644"/>
      <c r="AL9644"/>
      <c r="AM9644"/>
      <c r="AN9644"/>
      <c r="AO9644"/>
      <c r="AP9644"/>
      <c r="AQ9644"/>
      <c r="AR9644"/>
      <c r="AS9644"/>
    </row>
    <row r="9645" spans="14:45" ht="12" hidden="1" customHeight="1">
      <c r="N9645" s="302"/>
      <c r="O9645" s="303"/>
      <c r="P9645" s="285"/>
      <c r="Q9645" s="258"/>
      <c r="R9645" s="260"/>
      <c r="S9645" s="260"/>
      <c r="T9645" s="285"/>
      <c r="U9645" s="260"/>
      <c r="V9645" s="260"/>
      <c r="W9645" s="255"/>
      <c r="X9645" s="260"/>
      <c r="Y9645" s="260"/>
      <c r="Z9645" s="255"/>
      <c r="AA9645" s="260"/>
      <c r="AB9645" s="260"/>
      <c r="AC9645" s="260"/>
      <c r="AD9645" s="260"/>
      <c r="AE9645" s="260"/>
      <c r="AF9645" s="260"/>
      <c r="AG9645" s="258"/>
      <c r="AI9645"/>
      <c r="AJ9645"/>
      <c r="AK9645"/>
      <c r="AL9645"/>
      <c r="AM9645"/>
      <c r="AN9645"/>
      <c r="AO9645"/>
      <c r="AP9645"/>
      <c r="AQ9645"/>
      <c r="AR9645"/>
      <c r="AS9645"/>
    </row>
    <row r="9646" spans="14:45" ht="12" hidden="1" customHeight="1">
      <c r="N9646" s="302"/>
      <c r="O9646" s="303"/>
      <c r="P9646" s="285"/>
      <c r="Q9646" s="258"/>
      <c r="R9646" s="260"/>
      <c r="S9646" s="260"/>
      <c r="T9646" s="285"/>
      <c r="U9646" s="260"/>
      <c r="V9646" s="260"/>
      <c r="W9646" s="255"/>
      <c r="X9646" s="260"/>
      <c r="Y9646" s="260"/>
      <c r="Z9646" s="255"/>
      <c r="AA9646" s="260"/>
      <c r="AB9646" s="260"/>
      <c r="AC9646" s="260"/>
      <c r="AD9646" s="260"/>
      <c r="AE9646" s="260"/>
      <c r="AF9646" s="260"/>
      <c r="AG9646" s="258"/>
      <c r="AI9646"/>
      <c r="AJ9646"/>
      <c r="AK9646"/>
      <c r="AL9646"/>
      <c r="AM9646"/>
      <c r="AN9646"/>
      <c r="AO9646"/>
      <c r="AP9646"/>
      <c r="AQ9646"/>
      <c r="AR9646"/>
      <c r="AS9646"/>
    </row>
    <row r="9647" spans="14:45" ht="12" hidden="1" customHeight="1">
      <c r="N9647" s="302"/>
      <c r="O9647" s="303"/>
      <c r="P9647" s="285"/>
      <c r="Q9647" s="258"/>
      <c r="R9647" s="260"/>
      <c r="S9647" s="260"/>
      <c r="T9647" s="285"/>
      <c r="U9647" s="260"/>
      <c r="V9647" s="260"/>
      <c r="W9647" s="255"/>
      <c r="X9647" s="260"/>
      <c r="Y9647" s="260"/>
      <c r="Z9647" s="255"/>
      <c r="AA9647" s="260"/>
      <c r="AB9647" s="260"/>
      <c r="AC9647" s="260"/>
      <c r="AD9647" s="260"/>
      <c r="AE9647" s="260"/>
      <c r="AF9647" s="260"/>
      <c r="AG9647" s="258"/>
      <c r="AI9647"/>
      <c r="AJ9647"/>
      <c r="AK9647"/>
      <c r="AL9647"/>
      <c r="AM9647"/>
      <c r="AN9647"/>
      <c r="AO9647"/>
      <c r="AP9647"/>
      <c r="AQ9647"/>
      <c r="AR9647"/>
      <c r="AS9647"/>
    </row>
    <row r="9648" spans="14:45" ht="12" hidden="1" customHeight="1">
      <c r="N9648" s="302"/>
      <c r="O9648" s="303"/>
      <c r="P9648" s="285"/>
      <c r="Q9648" s="258"/>
      <c r="R9648" s="260"/>
      <c r="S9648" s="260"/>
      <c r="T9648" s="285"/>
      <c r="U9648" s="260"/>
      <c r="V9648" s="260"/>
      <c r="W9648" s="255"/>
      <c r="X9648" s="260"/>
      <c r="Y9648" s="260"/>
      <c r="Z9648" s="255"/>
      <c r="AA9648" s="260"/>
      <c r="AB9648" s="260"/>
      <c r="AC9648" s="260"/>
      <c r="AD9648" s="260"/>
      <c r="AE9648" s="260"/>
      <c r="AF9648" s="260"/>
      <c r="AG9648" s="258"/>
      <c r="AI9648"/>
      <c r="AJ9648"/>
      <c r="AK9648"/>
      <c r="AL9648"/>
      <c r="AM9648"/>
      <c r="AN9648"/>
      <c r="AO9648"/>
      <c r="AP9648"/>
      <c r="AQ9648"/>
      <c r="AR9648"/>
      <c r="AS9648"/>
    </row>
    <row r="9649" spans="14:45" ht="12" hidden="1" customHeight="1">
      <c r="N9649" s="302"/>
      <c r="O9649" s="303"/>
      <c r="P9649" s="285"/>
      <c r="Q9649" s="258"/>
      <c r="R9649" s="260"/>
      <c r="S9649" s="260"/>
      <c r="T9649" s="285"/>
      <c r="U9649" s="260"/>
      <c r="V9649" s="260"/>
      <c r="W9649" s="255"/>
      <c r="X9649" s="260"/>
      <c r="Y9649" s="260"/>
      <c r="Z9649" s="255"/>
      <c r="AA9649" s="260"/>
      <c r="AB9649" s="260"/>
      <c r="AC9649" s="260"/>
      <c r="AD9649" s="260"/>
      <c r="AE9649" s="260"/>
      <c r="AF9649" s="260"/>
      <c r="AG9649" s="258"/>
      <c r="AI9649"/>
      <c r="AJ9649"/>
      <c r="AK9649"/>
      <c r="AL9649"/>
      <c r="AM9649"/>
      <c r="AN9649"/>
      <c r="AO9649"/>
      <c r="AP9649"/>
      <c r="AQ9649"/>
      <c r="AR9649"/>
      <c r="AS9649"/>
    </row>
    <row r="9650" spans="14:45" ht="12" hidden="1" customHeight="1">
      <c r="N9650" s="302"/>
      <c r="O9650" s="303"/>
      <c r="P9650" s="285"/>
      <c r="Q9650" s="258"/>
      <c r="R9650" s="260"/>
      <c r="S9650" s="260"/>
      <c r="T9650" s="285"/>
      <c r="U9650" s="260"/>
      <c r="V9650" s="260"/>
      <c r="W9650" s="255"/>
      <c r="X9650" s="260"/>
      <c r="Y9650" s="260"/>
      <c r="Z9650" s="255"/>
      <c r="AA9650" s="260"/>
      <c r="AB9650" s="260"/>
      <c r="AC9650" s="260"/>
      <c r="AD9650" s="260"/>
      <c r="AE9650" s="260"/>
      <c r="AF9650" s="260"/>
      <c r="AG9650" s="258"/>
      <c r="AI9650"/>
      <c r="AJ9650"/>
      <c r="AK9650"/>
      <c r="AL9650"/>
      <c r="AM9650"/>
      <c r="AN9650"/>
      <c r="AO9650"/>
      <c r="AP9650"/>
      <c r="AQ9650"/>
      <c r="AR9650"/>
      <c r="AS9650"/>
    </row>
    <row r="9651" spans="14:45" ht="12" hidden="1" customHeight="1">
      <c r="N9651" s="302"/>
      <c r="O9651" s="303"/>
      <c r="P9651" s="285"/>
      <c r="Q9651" s="258"/>
      <c r="R9651" s="260"/>
      <c r="S9651" s="260"/>
      <c r="T9651" s="285"/>
      <c r="U9651" s="260"/>
      <c r="V9651" s="260"/>
      <c r="W9651" s="255"/>
      <c r="X9651" s="260"/>
      <c r="Y9651" s="260"/>
      <c r="Z9651" s="255"/>
      <c r="AA9651" s="260"/>
      <c r="AB9651" s="260"/>
      <c r="AC9651" s="260"/>
      <c r="AD9651" s="260"/>
      <c r="AE9651" s="260"/>
      <c r="AF9651" s="260"/>
      <c r="AG9651" s="258"/>
      <c r="AI9651"/>
      <c r="AJ9651"/>
      <c r="AK9651"/>
      <c r="AL9651"/>
      <c r="AM9651"/>
      <c r="AN9651"/>
      <c r="AO9651"/>
      <c r="AP9651"/>
      <c r="AQ9651"/>
      <c r="AR9651"/>
      <c r="AS9651"/>
    </row>
    <row r="9652" spans="14:45" ht="12" hidden="1" customHeight="1">
      <c r="N9652" s="302"/>
      <c r="O9652" s="303"/>
      <c r="P9652" s="285"/>
      <c r="Q9652" s="258"/>
      <c r="R9652" s="260"/>
      <c r="S9652" s="260"/>
      <c r="T9652" s="285"/>
      <c r="U9652" s="260"/>
      <c r="V9652" s="260"/>
      <c r="W9652" s="255"/>
      <c r="X9652" s="260"/>
      <c r="Y9652" s="260"/>
      <c r="Z9652" s="255"/>
      <c r="AA9652" s="260"/>
      <c r="AB9652" s="260"/>
      <c r="AC9652" s="260"/>
      <c r="AD9652" s="260"/>
      <c r="AE9652" s="260"/>
      <c r="AF9652" s="260"/>
      <c r="AG9652" s="258"/>
      <c r="AI9652"/>
      <c r="AJ9652"/>
      <c r="AK9652"/>
      <c r="AL9652"/>
      <c r="AM9652"/>
      <c r="AN9652"/>
      <c r="AO9652"/>
      <c r="AP9652"/>
      <c r="AQ9652"/>
      <c r="AR9652"/>
      <c r="AS9652"/>
    </row>
    <row r="9653" spans="14:45" ht="12" hidden="1" customHeight="1">
      <c r="N9653" s="302"/>
      <c r="O9653" s="303"/>
      <c r="P9653" s="285"/>
      <c r="Q9653" s="258"/>
      <c r="R9653" s="260"/>
      <c r="S9653" s="260"/>
      <c r="T9653" s="285"/>
      <c r="U9653" s="260"/>
      <c r="V9653" s="260"/>
      <c r="W9653" s="255"/>
      <c r="X9653" s="260"/>
      <c r="Y9653" s="260"/>
      <c r="Z9653" s="255"/>
      <c r="AA9653" s="260"/>
      <c r="AB9653" s="260"/>
      <c r="AC9653" s="260"/>
      <c r="AD9653" s="260"/>
      <c r="AE9653" s="260"/>
      <c r="AF9653" s="260"/>
      <c r="AG9653" s="258"/>
      <c r="AI9653"/>
      <c r="AJ9653"/>
      <c r="AK9653"/>
      <c r="AL9653"/>
      <c r="AM9653"/>
      <c r="AN9653"/>
      <c r="AO9653"/>
      <c r="AP9653"/>
      <c r="AQ9653"/>
      <c r="AR9653"/>
      <c r="AS9653"/>
    </row>
    <row r="9654" spans="14:45" ht="12" hidden="1" customHeight="1">
      <c r="N9654" s="302"/>
      <c r="O9654" s="303"/>
      <c r="P9654" s="285"/>
      <c r="Q9654" s="258"/>
      <c r="R9654" s="260"/>
      <c r="S9654" s="260"/>
      <c r="T9654" s="285"/>
      <c r="U9654" s="260"/>
      <c r="V9654" s="260"/>
      <c r="W9654" s="255"/>
      <c r="X9654" s="260"/>
      <c r="Y9654" s="260"/>
      <c r="Z9654" s="255"/>
      <c r="AA9654" s="260"/>
      <c r="AB9654" s="260"/>
      <c r="AC9654" s="260"/>
      <c r="AD9654" s="260"/>
      <c r="AE9654" s="260"/>
      <c r="AF9654" s="260"/>
      <c r="AG9654" s="258"/>
      <c r="AI9654"/>
      <c r="AJ9654"/>
      <c r="AK9654"/>
      <c r="AL9654"/>
      <c r="AM9654"/>
      <c r="AN9654"/>
      <c r="AO9654"/>
      <c r="AP9654"/>
      <c r="AQ9654"/>
      <c r="AR9654"/>
      <c r="AS9654"/>
    </row>
    <row r="9655" spans="14:45" ht="12" hidden="1" customHeight="1">
      <c r="N9655" s="302"/>
      <c r="O9655" s="303"/>
      <c r="P9655" s="285"/>
      <c r="Q9655" s="258"/>
      <c r="R9655" s="260"/>
      <c r="S9655" s="260"/>
      <c r="T9655" s="285"/>
      <c r="U9655" s="260"/>
      <c r="V9655" s="260"/>
      <c r="W9655" s="255"/>
      <c r="X9655" s="260"/>
      <c r="Y9655" s="260"/>
      <c r="Z9655" s="255"/>
      <c r="AA9655" s="260"/>
      <c r="AB9655" s="260"/>
      <c r="AC9655" s="260"/>
      <c r="AD9655" s="260"/>
      <c r="AE9655" s="260"/>
      <c r="AF9655" s="260"/>
      <c r="AG9655" s="258"/>
      <c r="AI9655"/>
      <c r="AJ9655"/>
      <c r="AK9655"/>
      <c r="AL9655"/>
      <c r="AM9655"/>
      <c r="AN9655"/>
      <c r="AO9655"/>
      <c r="AP9655"/>
      <c r="AQ9655"/>
      <c r="AR9655"/>
      <c r="AS9655"/>
    </row>
    <row r="9656" spans="14:45" ht="12" hidden="1" customHeight="1">
      <c r="N9656" s="302"/>
      <c r="O9656" s="303"/>
      <c r="P9656" s="285"/>
      <c r="Q9656" s="258"/>
      <c r="R9656" s="260"/>
      <c r="S9656" s="260"/>
      <c r="T9656" s="285"/>
      <c r="U9656" s="260"/>
      <c r="V9656" s="260"/>
      <c r="W9656" s="255"/>
      <c r="X9656" s="260"/>
      <c r="Y9656" s="260"/>
      <c r="Z9656" s="255"/>
      <c r="AA9656" s="260"/>
      <c r="AB9656" s="260"/>
      <c r="AC9656" s="260"/>
      <c r="AD9656" s="260"/>
      <c r="AE9656" s="260"/>
      <c r="AF9656" s="260"/>
      <c r="AG9656" s="258"/>
      <c r="AI9656"/>
      <c r="AJ9656"/>
      <c r="AK9656"/>
      <c r="AL9656"/>
      <c r="AM9656"/>
      <c r="AN9656"/>
      <c r="AO9656"/>
      <c r="AP9656"/>
      <c r="AQ9656"/>
      <c r="AR9656"/>
      <c r="AS9656"/>
    </row>
    <row r="9657" spans="14:45" ht="12" hidden="1" customHeight="1">
      <c r="N9657" s="302"/>
      <c r="O9657" s="303"/>
      <c r="P9657" s="285"/>
      <c r="Q9657" s="258"/>
      <c r="R9657" s="260"/>
      <c r="S9657" s="260"/>
      <c r="T9657" s="285"/>
      <c r="U9657" s="260"/>
      <c r="V9657" s="260"/>
      <c r="W9657" s="255"/>
      <c r="X9657" s="260"/>
      <c r="Y9657" s="260"/>
      <c r="Z9657" s="255"/>
      <c r="AA9657" s="260"/>
      <c r="AB9657" s="260"/>
      <c r="AC9657" s="260"/>
      <c r="AD9657" s="260"/>
      <c r="AE9657" s="260"/>
      <c r="AF9657" s="260"/>
      <c r="AG9657" s="258"/>
      <c r="AI9657"/>
      <c r="AJ9657"/>
      <c r="AK9657"/>
      <c r="AL9657"/>
      <c r="AM9657"/>
      <c r="AN9657"/>
      <c r="AO9657"/>
      <c r="AP9657"/>
      <c r="AQ9657"/>
      <c r="AR9657"/>
      <c r="AS9657"/>
    </row>
    <row r="9658" spans="14:45" ht="12" hidden="1" customHeight="1">
      <c r="N9658" s="302"/>
      <c r="O9658" s="303"/>
      <c r="P9658" s="285"/>
      <c r="Q9658" s="258"/>
      <c r="R9658" s="260"/>
      <c r="S9658" s="260"/>
      <c r="T9658" s="285"/>
      <c r="U9658" s="260"/>
      <c r="V9658" s="260"/>
      <c r="W9658" s="255"/>
      <c r="X9658" s="260"/>
      <c r="Y9658" s="260"/>
      <c r="Z9658" s="255"/>
      <c r="AA9658" s="260"/>
      <c r="AB9658" s="260"/>
      <c r="AC9658" s="260"/>
      <c r="AD9658" s="260"/>
      <c r="AE9658" s="260"/>
      <c r="AF9658" s="260"/>
      <c r="AG9658" s="258"/>
      <c r="AI9658"/>
      <c r="AJ9658"/>
      <c r="AK9658"/>
      <c r="AL9658"/>
      <c r="AM9658"/>
      <c r="AN9658"/>
      <c r="AO9658"/>
      <c r="AP9658"/>
      <c r="AQ9658"/>
      <c r="AR9658"/>
      <c r="AS9658"/>
    </row>
    <row r="9659" spans="14:45" ht="12" hidden="1" customHeight="1">
      <c r="N9659" s="302"/>
      <c r="O9659" s="303"/>
      <c r="P9659" s="285"/>
      <c r="Q9659" s="258"/>
      <c r="R9659" s="260"/>
      <c r="S9659" s="260"/>
      <c r="T9659" s="285"/>
      <c r="U9659" s="260"/>
      <c r="V9659" s="260"/>
      <c r="W9659" s="255"/>
      <c r="X9659" s="260"/>
      <c r="Y9659" s="260"/>
      <c r="Z9659" s="255"/>
      <c r="AA9659" s="260"/>
      <c r="AB9659" s="260"/>
      <c r="AC9659" s="260"/>
      <c r="AD9659" s="260"/>
      <c r="AE9659" s="260"/>
      <c r="AF9659" s="260"/>
      <c r="AG9659" s="258"/>
      <c r="AI9659"/>
      <c r="AJ9659"/>
      <c r="AK9659"/>
      <c r="AL9659"/>
      <c r="AM9659"/>
      <c r="AN9659"/>
      <c r="AO9659"/>
      <c r="AP9659"/>
      <c r="AQ9659"/>
      <c r="AR9659"/>
      <c r="AS9659"/>
    </row>
    <row r="9660" spans="14:45" ht="12" hidden="1" customHeight="1">
      <c r="N9660" s="302"/>
      <c r="O9660" s="303"/>
      <c r="P9660" s="285"/>
      <c r="Q9660" s="258"/>
      <c r="R9660" s="260"/>
      <c r="S9660" s="260"/>
      <c r="T9660" s="285"/>
      <c r="U9660" s="260"/>
      <c r="V9660" s="260"/>
      <c r="W9660" s="255"/>
      <c r="X9660" s="260"/>
      <c r="Y9660" s="260"/>
      <c r="Z9660" s="255"/>
      <c r="AA9660" s="260"/>
      <c r="AB9660" s="260"/>
      <c r="AC9660" s="260"/>
      <c r="AD9660" s="260"/>
      <c r="AE9660" s="260"/>
      <c r="AF9660" s="260"/>
      <c r="AG9660" s="258"/>
      <c r="AI9660"/>
      <c r="AJ9660"/>
      <c r="AK9660"/>
      <c r="AL9660"/>
      <c r="AM9660"/>
      <c r="AN9660"/>
      <c r="AO9660"/>
      <c r="AP9660"/>
      <c r="AQ9660"/>
      <c r="AR9660"/>
      <c r="AS9660"/>
    </row>
    <row r="9661" spans="14:45" hidden="1">
      <c r="N9661" s="302"/>
      <c r="O9661" s="303"/>
      <c r="P9661" s="285"/>
      <c r="Q9661" s="258"/>
      <c r="R9661" s="260"/>
      <c r="S9661" s="260"/>
      <c r="T9661" s="285"/>
      <c r="U9661" s="260"/>
      <c r="V9661" s="260"/>
      <c r="W9661" s="255"/>
      <c r="X9661" s="260"/>
      <c r="Y9661" s="260"/>
      <c r="Z9661" s="255"/>
      <c r="AA9661" s="260"/>
      <c r="AB9661" s="260"/>
      <c r="AC9661" s="260"/>
      <c r="AD9661" s="260"/>
      <c r="AE9661" s="260"/>
      <c r="AF9661" s="260"/>
      <c r="AG9661" s="258"/>
      <c r="AI9661"/>
      <c r="AJ9661"/>
      <c r="AK9661"/>
      <c r="AL9661"/>
      <c r="AM9661"/>
      <c r="AN9661"/>
      <c r="AO9661"/>
      <c r="AP9661"/>
      <c r="AQ9661"/>
      <c r="AR9661"/>
      <c r="AS9661"/>
    </row>
    <row r="9662" spans="14:45" hidden="1">
      <c r="N9662" s="302"/>
      <c r="O9662" s="303"/>
      <c r="P9662" s="285"/>
      <c r="Q9662" s="258"/>
      <c r="R9662" s="260"/>
      <c r="S9662" s="260"/>
      <c r="T9662" s="285"/>
      <c r="U9662" s="260"/>
      <c r="V9662" s="260"/>
      <c r="W9662" s="255"/>
      <c r="X9662" s="260"/>
      <c r="Y9662" s="260"/>
      <c r="Z9662" s="255"/>
      <c r="AA9662" s="260"/>
      <c r="AB9662" s="260"/>
      <c r="AC9662" s="260"/>
      <c r="AD9662" s="260"/>
      <c r="AE9662" s="260"/>
      <c r="AF9662" s="260"/>
      <c r="AG9662" s="258"/>
      <c r="AI9662"/>
      <c r="AJ9662"/>
      <c r="AK9662"/>
      <c r="AL9662"/>
      <c r="AM9662"/>
      <c r="AN9662"/>
      <c r="AO9662"/>
      <c r="AP9662"/>
      <c r="AQ9662"/>
      <c r="AR9662"/>
      <c r="AS9662"/>
    </row>
    <row r="9663" spans="14:45" hidden="1">
      <c r="N9663" s="302"/>
      <c r="O9663" s="303"/>
      <c r="P9663" s="285"/>
      <c r="Q9663" s="258"/>
      <c r="R9663" s="260"/>
      <c r="S9663" s="260"/>
      <c r="T9663" s="285"/>
      <c r="U9663" s="260"/>
      <c r="V9663" s="260"/>
      <c r="W9663" s="255"/>
      <c r="X9663" s="260"/>
      <c r="Y9663" s="260"/>
      <c r="Z9663" s="255"/>
      <c r="AA9663" s="260"/>
      <c r="AB9663" s="260"/>
      <c r="AC9663" s="260"/>
      <c r="AD9663" s="260"/>
      <c r="AE9663" s="260"/>
      <c r="AF9663" s="260"/>
      <c r="AG9663" s="258"/>
      <c r="AI9663"/>
      <c r="AJ9663"/>
      <c r="AK9663"/>
      <c r="AL9663"/>
      <c r="AM9663"/>
      <c r="AN9663"/>
      <c r="AO9663"/>
      <c r="AP9663"/>
      <c r="AQ9663"/>
      <c r="AR9663"/>
      <c r="AS9663"/>
    </row>
    <row r="9664" spans="14:45" hidden="1">
      <c r="N9664" s="302"/>
      <c r="O9664" s="303"/>
      <c r="P9664" s="285"/>
      <c r="Q9664" s="258"/>
      <c r="R9664" s="260"/>
      <c r="S9664" s="260"/>
      <c r="T9664" s="285"/>
      <c r="U9664" s="260"/>
      <c r="V9664" s="260"/>
      <c r="W9664" s="255"/>
      <c r="X9664" s="260"/>
      <c r="Y9664" s="260"/>
      <c r="Z9664" s="255"/>
      <c r="AA9664" s="260"/>
      <c r="AB9664" s="260"/>
      <c r="AC9664" s="260"/>
      <c r="AD9664" s="260"/>
      <c r="AE9664" s="260"/>
      <c r="AF9664" s="260"/>
      <c r="AG9664" s="258"/>
      <c r="AI9664"/>
      <c r="AJ9664"/>
      <c r="AK9664"/>
      <c r="AL9664"/>
      <c r="AM9664"/>
      <c r="AN9664"/>
      <c r="AO9664"/>
      <c r="AP9664"/>
      <c r="AQ9664"/>
      <c r="AR9664"/>
      <c r="AS9664"/>
    </row>
    <row r="9665" spans="14:45" hidden="1">
      <c r="N9665" s="302"/>
      <c r="O9665" s="303"/>
      <c r="P9665" s="285"/>
      <c r="Q9665" s="258"/>
      <c r="R9665" s="260"/>
      <c r="S9665" s="260"/>
      <c r="T9665" s="285"/>
      <c r="U9665" s="260"/>
      <c r="V9665" s="260"/>
      <c r="W9665" s="255"/>
      <c r="X9665" s="260"/>
      <c r="Y9665" s="260"/>
      <c r="Z9665" s="255"/>
      <c r="AA9665" s="260"/>
      <c r="AB9665" s="260"/>
      <c r="AC9665" s="260"/>
      <c r="AD9665" s="260"/>
      <c r="AE9665" s="260"/>
      <c r="AF9665" s="260"/>
      <c r="AG9665" s="258"/>
      <c r="AI9665"/>
      <c r="AJ9665"/>
      <c r="AK9665"/>
      <c r="AL9665"/>
      <c r="AM9665"/>
      <c r="AN9665"/>
      <c r="AO9665"/>
      <c r="AP9665"/>
      <c r="AQ9665"/>
      <c r="AR9665"/>
      <c r="AS9665"/>
    </row>
    <row r="9666" spans="14:45" hidden="1">
      <c r="N9666" s="302"/>
      <c r="O9666" s="303"/>
      <c r="P9666" s="285"/>
      <c r="Q9666" s="258"/>
      <c r="R9666" s="260"/>
      <c r="S9666" s="260"/>
      <c r="T9666" s="285"/>
      <c r="U9666" s="260"/>
      <c r="V9666" s="260"/>
      <c r="W9666" s="255"/>
      <c r="X9666" s="260"/>
      <c r="Y9666" s="260"/>
      <c r="Z9666" s="255"/>
      <c r="AA9666" s="260"/>
      <c r="AB9666" s="260"/>
      <c r="AC9666" s="260"/>
      <c r="AD9666" s="260"/>
      <c r="AE9666" s="260"/>
      <c r="AF9666" s="260"/>
      <c r="AG9666" s="258"/>
      <c r="AI9666"/>
      <c r="AJ9666"/>
      <c r="AK9666"/>
      <c r="AL9666"/>
      <c r="AM9666"/>
      <c r="AN9666"/>
      <c r="AO9666"/>
      <c r="AP9666"/>
      <c r="AQ9666"/>
      <c r="AR9666"/>
      <c r="AS9666"/>
    </row>
    <row r="9667" spans="14:45" hidden="1">
      <c r="N9667" s="302"/>
      <c r="O9667" s="303"/>
      <c r="P9667" s="285"/>
      <c r="Q9667" s="258"/>
      <c r="R9667" s="260"/>
      <c r="S9667" s="260"/>
      <c r="T9667" s="285"/>
      <c r="U9667" s="260"/>
      <c r="V9667" s="260"/>
      <c r="W9667" s="255"/>
      <c r="X9667" s="260"/>
      <c r="Y9667" s="260"/>
      <c r="Z9667" s="255"/>
      <c r="AA9667" s="260"/>
      <c r="AB9667" s="260"/>
      <c r="AC9667" s="260"/>
      <c r="AD9667" s="260"/>
      <c r="AE9667" s="260"/>
      <c r="AF9667" s="260"/>
      <c r="AG9667" s="258"/>
      <c r="AI9667"/>
      <c r="AJ9667"/>
      <c r="AK9667"/>
      <c r="AL9667"/>
      <c r="AM9667"/>
      <c r="AN9667"/>
      <c r="AO9667"/>
      <c r="AP9667"/>
      <c r="AQ9667"/>
      <c r="AR9667"/>
      <c r="AS9667"/>
    </row>
    <row r="9668" spans="14:45" hidden="1">
      <c r="N9668" s="302"/>
      <c r="O9668" s="303"/>
      <c r="P9668" s="285"/>
      <c r="Q9668" s="258"/>
      <c r="R9668" s="260"/>
      <c r="S9668" s="260"/>
      <c r="T9668" s="285"/>
      <c r="U9668" s="260"/>
      <c r="V9668" s="260"/>
      <c r="W9668" s="255"/>
      <c r="X9668" s="260"/>
      <c r="Y9668" s="260"/>
      <c r="Z9668" s="255"/>
      <c r="AA9668" s="260"/>
      <c r="AB9668" s="260"/>
      <c r="AC9668" s="260"/>
      <c r="AD9668" s="260"/>
      <c r="AE9668" s="260"/>
      <c r="AF9668" s="260"/>
      <c r="AG9668" s="258"/>
      <c r="AI9668"/>
      <c r="AJ9668"/>
      <c r="AK9668"/>
      <c r="AL9668"/>
      <c r="AM9668"/>
      <c r="AN9668"/>
      <c r="AO9668"/>
      <c r="AP9668"/>
      <c r="AQ9668"/>
      <c r="AR9668"/>
      <c r="AS9668"/>
    </row>
    <row r="9669" spans="14:45" hidden="1">
      <c r="N9669" s="302"/>
      <c r="O9669" s="303"/>
      <c r="P9669" s="285"/>
      <c r="Q9669" s="258"/>
      <c r="R9669" s="260"/>
      <c r="S9669" s="260"/>
      <c r="T9669" s="285"/>
      <c r="U9669" s="260"/>
      <c r="V9669" s="260"/>
      <c r="W9669" s="255"/>
      <c r="X9669" s="260"/>
      <c r="Y9669" s="260"/>
      <c r="Z9669" s="255"/>
      <c r="AA9669" s="260"/>
      <c r="AB9669" s="260"/>
      <c r="AC9669" s="260"/>
      <c r="AD9669" s="260"/>
      <c r="AE9669" s="260"/>
      <c r="AF9669" s="260"/>
      <c r="AG9669" s="258"/>
      <c r="AI9669"/>
      <c r="AJ9669"/>
      <c r="AK9669"/>
      <c r="AL9669"/>
      <c r="AM9669"/>
      <c r="AN9669"/>
      <c r="AO9669"/>
      <c r="AP9669"/>
      <c r="AQ9669"/>
      <c r="AR9669"/>
      <c r="AS9669"/>
    </row>
    <row r="9670" spans="14:45" hidden="1">
      <c r="N9670" s="302"/>
      <c r="O9670" s="303"/>
      <c r="P9670" s="285"/>
      <c r="Q9670" s="258"/>
      <c r="R9670" s="260"/>
      <c r="S9670" s="260"/>
      <c r="T9670" s="285"/>
      <c r="U9670" s="260"/>
      <c r="V9670" s="260"/>
      <c r="W9670" s="255"/>
      <c r="X9670" s="260"/>
      <c r="Y9670" s="260"/>
      <c r="Z9670" s="255"/>
      <c r="AA9670" s="260"/>
      <c r="AB9670" s="260"/>
      <c r="AC9670" s="260"/>
      <c r="AD9670" s="260"/>
      <c r="AE9670" s="260"/>
      <c r="AF9670" s="260"/>
      <c r="AG9670" s="258"/>
      <c r="AI9670"/>
      <c r="AJ9670"/>
      <c r="AK9670"/>
      <c r="AL9670"/>
      <c r="AM9670"/>
      <c r="AN9670"/>
      <c r="AO9670"/>
      <c r="AP9670"/>
      <c r="AQ9670"/>
      <c r="AR9670"/>
      <c r="AS9670"/>
    </row>
    <row r="9671" spans="14:45" hidden="1">
      <c r="N9671" s="302"/>
      <c r="O9671" s="303"/>
      <c r="P9671" s="285"/>
      <c r="Q9671" s="258"/>
      <c r="R9671" s="260"/>
      <c r="S9671" s="260"/>
      <c r="T9671" s="285"/>
      <c r="U9671" s="260"/>
      <c r="V9671" s="260"/>
      <c r="W9671" s="255"/>
      <c r="X9671" s="260"/>
      <c r="Y9671" s="260"/>
      <c r="Z9671" s="255"/>
      <c r="AA9671" s="260"/>
      <c r="AB9671" s="260"/>
      <c r="AC9671" s="260"/>
      <c r="AD9671" s="260"/>
      <c r="AE9671" s="260"/>
      <c r="AF9671" s="260"/>
      <c r="AG9671" s="258"/>
      <c r="AI9671"/>
      <c r="AJ9671"/>
      <c r="AK9671"/>
      <c r="AL9671"/>
      <c r="AM9671"/>
      <c r="AN9671"/>
      <c r="AO9671"/>
      <c r="AP9671"/>
      <c r="AQ9671"/>
      <c r="AR9671"/>
      <c r="AS9671"/>
    </row>
    <row r="9672" spans="14:45" hidden="1">
      <c r="N9672" s="302"/>
      <c r="O9672" s="303"/>
      <c r="P9672" s="285"/>
      <c r="Q9672" s="258"/>
      <c r="R9672" s="260"/>
      <c r="S9672" s="260"/>
      <c r="T9672" s="285"/>
      <c r="U9672" s="260"/>
      <c r="V9672" s="260"/>
      <c r="W9672" s="255"/>
      <c r="X9672" s="260"/>
      <c r="Y9672" s="260"/>
      <c r="Z9672" s="255"/>
      <c r="AA9672" s="260"/>
      <c r="AB9672" s="260"/>
      <c r="AC9672" s="260"/>
      <c r="AD9672" s="260"/>
      <c r="AE9672" s="260"/>
      <c r="AF9672" s="260"/>
      <c r="AG9672" s="258"/>
      <c r="AI9672"/>
      <c r="AJ9672"/>
      <c r="AK9672"/>
      <c r="AL9672"/>
      <c r="AM9672"/>
      <c r="AN9672"/>
      <c r="AO9672"/>
      <c r="AP9672"/>
      <c r="AQ9672"/>
      <c r="AR9672"/>
      <c r="AS9672"/>
    </row>
    <row r="9673" spans="14:45" hidden="1">
      <c r="N9673" s="302"/>
      <c r="O9673" s="303"/>
      <c r="P9673" s="285"/>
      <c r="Q9673" s="258"/>
      <c r="R9673" s="260"/>
      <c r="S9673" s="260"/>
      <c r="T9673" s="285"/>
      <c r="U9673" s="260"/>
      <c r="V9673" s="260"/>
      <c r="W9673" s="255"/>
      <c r="X9673" s="260"/>
      <c r="Y9673" s="260"/>
      <c r="Z9673" s="255"/>
      <c r="AA9673" s="260"/>
      <c r="AB9673" s="260"/>
      <c r="AC9673" s="260"/>
      <c r="AD9673" s="260"/>
      <c r="AE9673" s="260"/>
      <c r="AF9673" s="260"/>
      <c r="AG9673" s="258"/>
      <c r="AI9673"/>
      <c r="AJ9673"/>
      <c r="AK9673"/>
      <c r="AL9673"/>
      <c r="AM9673"/>
      <c r="AN9673"/>
      <c r="AO9673"/>
      <c r="AP9673"/>
      <c r="AQ9673"/>
      <c r="AR9673"/>
      <c r="AS9673"/>
    </row>
    <row r="9674" spans="14:45" hidden="1">
      <c r="N9674" s="302"/>
      <c r="O9674" s="303"/>
      <c r="P9674" s="285"/>
      <c r="Q9674" s="258"/>
      <c r="R9674" s="260"/>
      <c r="S9674" s="260"/>
      <c r="T9674" s="285"/>
      <c r="U9674" s="260"/>
      <c r="V9674" s="260"/>
      <c r="W9674" s="255"/>
      <c r="X9674" s="260"/>
      <c r="Y9674" s="260"/>
      <c r="Z9674" s="255"/>
      <c r="AA9674" s="260"/>
      <c r="AB9674" s="260"/>
      <c r="AC9674" s="260"/>
      <c r="AD9674" s="260"/>
      <c r="AE9674" s="260"/>
      <c r="AF9674" s="260"/>
      <c r="AG9674" s="258"/>
      <c r="AI9674"/>
      <c r="AJ9674"/>
      <c r="AK9674"/>
      <c r="AL9674"/>
      <c r="AM9674"/>
      <c r="AN9674"/>
      <c r="AO9674"/>
      <c r="AP9674"/>
      <c r="AQ9674"/>
      <c r="AR9674"/>
      <c r="AS9674"/>
    </row>
    <row r="9675" spans="14:45" hidden="1">
      <c r="N9675" s="302"/>
      <c r="O9675" s="303"/>
      <c r="P9675" s="285"/>
      <c r="Q9675" s="258"/>
      <c r="R9675" s="260"/>
      <c r="S9675" s="260"/>
      <c r="T9675" s="285"/>
      <c r="U9675" s="260"/>
      <c r="V9675" s="260"/>
      <c r="W9675" s="255"/>
      <c r="X9675" s="260"/>
      <c r="Y9675" s="260"/>
      <c r="Z9675" s="255"/>
      <c r="AA9675" s="260"/>
      <c r="AB9675" s="260"/>
      <c r="AC9675" s="260"/>
      <c r="AD9675" s="260"/>
      <c r="AE9675" s="260"/>
      <c r="AF9675" s="260"/>
      <c r="AG9675" s="258"/>
      <c r="AI9675"/>
      <c r="AJ9675"/>
      <c r="AK9675"/>
      <c r="AL9675"/>
      <c r="AM9675"/>
      <c r="AN9675"/>
      <c r="AO9675"/>
      <c r="AP9675"/>
      <c r="AQ9675"/>
      <c r="AR9675"/>
      <c r="AS9675"/>
    </row>
    <row r="9676" spans="14:45" hidden="1">
      <c r="N9676" s="302"/>
      <c r="O9676" s="303"/>
      <c r="P9676" s="285"/>
      <c r="Q9676" s="258"/>
      <c r="R9676" s="260"/>
      <c r="S9676" s="260"/>
      <c r="T9676" s="285"/>
      <c r="U9676" s="260"/>
      <c r="V9676" s="260"/>
      <c r="W9676" s="255"/>
      <c r="X9676" s="260"/>
      <c r="Y9676" s="260"/>
      <c r="Z9676" s="255"/>
      <c r="AA9676" s="260"/>
      <c r="AB9676" s="260"/>
      <c r="AC9676" s="260"/>
      <c r="AD9676" s="260"/>
      <c r="AE9676" s="260"/>
      <c r="AF9676" s="260"/>
      <c r="AG9676" s="258"/>
      <c r="AI9676"/>
      <c r="AJ9676"/>
      <c r="AK9676"/>
      <c r="AL9676"/>
      <c r="AM9676"/>
      <c r="AN9676"/>
      <c r="AO9676"/>
      <c r="AP9676"/>
      <c r="AQ9676"/>
      <c r="AR9676"/>
      <c r="AS9676"/>
    </row>
    <row r="9677" spans="14:45" hidden="1">
      <c r="N9677" s="302"/>
      <c r="O9677" s="303"/>
      <c r="P9677" s="285"/>
      <c r="Q9677" s="258"/>
      <c r="R9677" s="260"/>
      <c r="S9677" s="260"/>
      <c r="T9677" s="285"/>
      <c r="U9677" s="260"/>
      <c r="V9677" s="260"/>
      <c r="W9677" s="255"/>
      <c r="X9677" s="260"/>
      <c r="Y9677" s="260"/>
      <c r="Z9677" s="255"/>
      <c r="AA9677" s="260"/>
      <c r="AB9677" s="260"/>
      <c r="AC9677" s="260"/>
      <c r="AD9677" s="260"/>
      <c r="AE9677" s="260"/>
      <c r="AF9677" s="260"/>
      <c r="AG9677" s="258"/>
      <c r="AI9677"/>
      <c r="AJ9677"/>
      <c r="AK9677"/>
      <c r="AL9677"/>
      <c r="AM9677"/>
      <c r="AN9677"/>
      <c r="AO9677"/>
      <c r="AP9677"/>
      <c r="AQ9677"/>
      <c r="AR9677"/>
      <c r="AS9677"/>
    </row>
    <row r="9678" spans="14:45" hidden="1">
      <c r="N9678" s="302"/>
      <c r="O9678" s="303"/>
      <c r="P9678" s="285"/>
      <c r="Q9678" s="258"/>
      <c r="R9678" s="260"/>
      <c r="S9678" s="260"/>
      <c r="T9678" s="285"/>
      <c r="U9678" s="260"/>
      <c r="V9678" s="260"/>
      <c r="W9678" s="255"/>
      <c r="X9678" s="260"/>
      <c r="Y9678" s="260"/>
      <c r="Z9678" s="255"/>
      <c r="AA9678" s="260"/>
      <c r="AB9678" s="260"/>
      <c r="AC9678" s="260"/>
      <c r="AD9678" s="260"/>
      <c r="AE9678" s="260"/>
      <c r="AF9678" s="260"/>
      <c r="AG9678" s="258"/>
      <c r="AI9678"/>
      <c r="AJ9678"/>
      <c r="AK9678"/>
      <c r="AL9678"/>
      <c r="AM9678"/>
      <c r="AN9678"/>
      <c r="AO9678"/>
      <c r="AP9678"/>
      <c r="AQ9678"/>
      <c r="AR9678"/>
      <c r="AS9678"/>
    </row>
    <row r="9679" spans="14:45" hidden="1">
      <c r="N9679" s="302"/>
      <c r="O9679" s="303"/>
      <c r="P9679" s="285"/>
      <c r="Q9679" s="258"/>
      <c r="R9679" s="260"/>
      <c r="S9679" s="260"/>
      <c r="T9679" s="285"/>
      <c r="U9679" s="260"/>
      <c r="V9679" s="260"/>
      <c r="W9679" s="255"/>
      <c r="X9679" s="260"/>
      <c r="Y9679" s="260"/>
      <c r="Z9679" s="255"/>
      <c r="AA9679" s="260"/>
      <c r="AB9679" s="260"/>
      <c r="AC9679" s="260"/>
      <c r="AD9679" s="260"/>
      <c r="AE9679" s="260"/>
      <c r="AF9679" s="260"/>
      <c r="AG9679" s="258"/>
      <c r="AI9679"/>
      <c r="AJ9679"/>
      <c r="AK9679"/>
      <c r="AL9679"/>
      <c r="AM9679"/>
      <c r="AN9679"/>
      <c r="AO9679"/>
      <c r="AP9679"/>
      <c r="AQ9679"/>
      <c r="AR9679"/>
      <c r="AS9679"/>
    </row>
    <row r="9680" spans="14:45" hidden="1">
      <c r="N9680" s="302"/>
      <c r="O9680" s="303"/>
      <c r="P9680" s="285"/>
      <c r="Q9680" s="258"/>
      <c r="R9680" s="260"/>
      <c r="S9680" s="260"/>
      <c r="T9680" s="285"/>
      <c r="U9680" s="260"/>
      <c r="V9680" s="260"/>
      <c r="W9680" s="255"/>
      <c r="X9680" s="260"/>
      <c r="Y9680" s="260"/>
      <c r="Z9680" s="255"/>
      <c r="AA9680" s="260"/>
      <c r="AB9680" s="260"/>
      <c r="AC9680" s="260"/>
      <c r="AD9680" s="260"/>
      <c r="AE9680" s="260"/>
      <c r="AF9680" s="260"/>
      <c r="AG9680" s="258"/>
      <c r="AI9680"/>
      <c r="AJ9680"/>
      <c r="AK9680"/>
      <c r="AL9680"/>
      <c r="AM9680"/>
      <c r="AN9680"/>
      <c r="AO9680"/>
      <c r="AP9680"/>
      <c r="AQ9680"/>
      <c r="AR9680"/>
      <c r="AS9680"/>
    </row>
    <row r="9681" spans="14:45" hidden="1">
      <c r="N9681" s="302"/>
      <c r="O9681" s="303"/>
      <c r="P9681" s="285"/>
      <c r="Q9681" s="258"/>
      <c r="R9681" s="260"/>
      <c r="S9681" s="260"/>
      <c r="T9681" s="285"/>
      <c r="U9681" s="260"/>
      <c r="V9681" s="260"/>
      <c r="W9681" s="255"/>
      <c r="X9681" s="260"/>
      <c r="Y9681" s="260"/>
      <c r="Z9681" s="255"/>
      <c r="AA9681" s="260"/>
      <c r="AB9681" s="260"/>
      <c r="AC9681" s="260"/>
      <c r="AD9681" s="260"/>
      <c r="AE9681" s="260"/>
      <c r="AF9681" s="260"/>
      <c r="AG9681" s="258"/>
      <c r="AI9681"/>
      <c r="AJ9681"/>
      <c r="AK9681"/>
      <c r="AL9681"/>
      <c r="AM9681"/>
      <c r="AN9681"/>
      <c r="AO9681"/>
      <c r="AP9681"/>
      <c r="AQ9681"/>
      <c r="AR9681"/>
      <c r="AS9681"/>
    </row>
    <row r="9682" spans="14:45" hidden="1">
      <c r="N9682" s="302"/>
      <c r="O9682" s="303"/>
      <c r="P9682" s="285"/>
      <c r="Q9682" s="258"/>
      <c r="R9682" s="260"/>
      <c r="S9682" s="260"/>
      <c r="T9682" s="285"/>
      <c r="U9682" s="260"/>
      <c r="V9682" s="260"/>
      <c r="W9682" s="255"/>
      <c r="X9682" s="260"/>
      <c r="Y9682" s="260"/>
      <c r="Z9682" s="255"/>
      <c r="AA9682" s="260"/>
      <c r="AB9682" s="260"/>
      <c r="AC9682" s="260"/>
      <c r="AD9682" s="260"/>
      <c r="AE9682" s="260"/>
      <c r="AF9682" s="260"/>
      <c r="AG9682" s="258"/>
      <c r="AI9682"/>
      <c r="AJ9682"/>
      <c r="AK9682"/>
      <c r="AL9682"/>
      <c r="AM9682"/>
      <c r="AN9682"/>
      <c r="AO9682"/>
      <c r="AP9682"/>
      <c r="AQ9682"/>
      <c r="AR9682"/>
      <c r="AS9682"/>
    </row>
    <row r="9683" spans="14:45" hidden="1">
      <c r="N9683" s="302"/>
      <c r="O9683" s="303"/>
      <c r="P9683" s="285"/>
      <c r="Q9683" s="258"/>
      <c r="R9683" s="260"/>
      <c r="S9683" s="260"/>
      <c r="T9683" s="285"/>
      <c r="U9683" s="260"/>
      <c r="V9683" s="260"/>
      <c r="W9683" s="255"/>
      <c r="X9683" s="260"/>
      <c r="Y9683" s="260"/>
      <c r="Z9683" s="255"/>
      <c r="AA9683" s="260"/>
      <c r="AB9683" s="260"/>
      <c r="AC9683" s="260"/>
      <c r="AD9683" s="260"/>
      <c r="AE9683" s="260"/>
      <c r="AF9683" s="260"/>
      <c r="AG9683" s="258"/>
      <c r="AI9683"/>
      <c r="AJ9683"/>
      <c r="AK9683"/>
      <c r="AL9683"/>
      <c r="AM9683"/>
      <c r="AN9683"/>
      <c r="AO9683"/>
      <c r="AP9683"/>
      <c r="AQ9683"/>
      <c r="AR9683"/>
      <c r="AS9683"/>
    </row>
    <row r="9684" spans="14:45" hidden="1">
      <c r="N9684" s="302"/>
      <c r="O9684" s="303"/>
      <c r="P9684" s="285"/>
      <c r="Q9684" s="258"/>
      <c r="R9684" s="260"/>
      <c r="S9684" s="260"/>
      <c r="T9684" s="285"/>
      <c r="U9684" s="260"/>
      <c r="V9684" s="260"/>
      <c r="W9684" s="255"/>
      <c r="X9684" s="260"/>
      <c r="Y9684" s="260"/>
      <c r="Z9684" s="255"/>
      <c r="AA9684" s="260"/>
      <c r="AB9684" s="260"/>
      <c r="AC9684" s="260"/>
      <c r="AD9684" s="260"/>
      <c r="AE9684" s="260"/>
      <c r="AF9684" s="260"/>
      <c r="AG9684" s="258"/>
      <c r="AI9684"/>
      <c r="AJ9684"/>
      <c r="AK9684"/>
      <c r="AL9684"/>
      <c r="AM9684"/>
      <c r="AN9684"/>
      <c r="AO9684"/>
      <c r="AP9684"/>
      <c r="AQ9684"/>
      <c r="AR9684"/>
      <c r="AS9684"/>
    </row>
    <row r="9685" spans="14:45" hidden="1">
      <c r="N9685" s="302"/>
      <c r="O9685" s="303"/>
      <c r="P9685" s="285"/>
      <c r="Q9685" s="258"/>
      <c r="R9685" s="260"/>
      <c r="S9685" s="260"/>
      <c r="T9685" s="285"/>
      <c r="U9685" s="260"/>
      <c r="V9685" s="260"/>
      <c r="W9685" s="255"/>
      <c r="X9685" s="260"/>
      <c r="Y9685" s="260"/>
      <c r="Z9685" s="255"/>
      <c r="AA9685" s="260"/>
      <c r="AB9685" s="260"/>
      <c r="AC9685" s="260"/>
      <c r="AD9685" s="260"/>
      <c r="AE9685" s="260"/>
      <c r="AF9685" s="260"/>
      <c r="AG9685" s="258"/>
      <c r="AI9685"/>
      <c r="AJ9685"/>
      <c r="AK9685"/>
      <c r="AL9685"/>
      <c r="AM9685"/>
      <c r="AN9685"/>
      <c r="AO9685"/>
      <c r="AP9685"/>
      <c r="AQ9685"/>
      <c r="AR9685"/>
      <c r="AS9685"/>
    </row>
    <row r="9686" spans="14:45" hidden="1">
      <c r="N9686" s="302"/>
      <c r="O9686" s="303"/>
      <c r="P9686" s="285"/>
      <c r="Q9686" s="258"/>
      <c r="R9686" s="260"/>
      <c r="S9686" s="260"/>
      <c r="T9686" s="285"/>
      <c r="U9686" s="260"/>
      <c r="V9686" s="260"/>
      <c r="W9686" s="255"/>
      <c r="X9686" s="260"/>
      <c r="Y9686" s="260"/>
      <c r="Z9686" s="255"/>
      <c r="AA9686" s="260"/>
      <c r="AB9686" s="260"/>
      <c r="AC9686" s="260"/>
      <c r="AD9686" s="260"/>
      <c r="AE9686" s="260"/>
      <c r="AF9686" s="260"/>
      <c r="AG9686" s="258"/>
      <c r="AI9686"/>
      <c r="AJ9686"/>
      <c r="AK9686"/>
      <c r="AL9686"/>
      <c r="AM9686"/>
      <c r="AN9686"/>
      <c r="AO9686"/>
      <c r="AP9686"/>
      <c r="AQ9686"/>
      <c r="AR9686"/>
      <c r="AS9686"/>
    </row>
    <row r="9687" spans="14:45" hidden="1">
      <c r="N9687" s="302"/>
      <c r="O9687" s="303"/>
      <c r="P9687" s="285"/>
      <c r="Q9687" s="258"/>
      <c r="R9687" s="260"/>
      <c r="S9687" s="260"/>
      <c r="T9687" s="285"/>
      <c r="U9687" s="260"/>
      <c r="V9687" s="260"/>
      <c r="W9687" s="255"/>
      <c r="X9687" s="260"/>
      <c r="Y9687" s="260"/>
      <c r="Z9687" s="255"/>
      <c r="AA9687" s="260"/>
      <c r="AB9687" s="260"/>
      <c r="AC9687" s="260"/>
      <c r="AD9687" s="260"/>
      <c r="AE9687" s="260"/>
      <c r="AF9687" s="260"/>
      <c r="AG9687" s="258"/>
      <c r="AI9687"/>
      <c r="AJ9687"/>
      <c r="AK9687"/>
      <c r="AL9687"/>
      <c r="AM9687"/>
      <c r="AN9687"/>
      <c r="AO9687"/>
      <c r="AP9687"/>
      <c r="AQ9687"/>
      <c r="AR9687"/>
      <c r="AS9687"/>
    </row>
    <row r="9688" spans="14:45" hidden="1">
      <c r="N9688" s="302"/>
      <c r="O9688" s="303"/>
      <c r="P9688" s="285"/>
      <c r="Q9688" s="258"/>
      <c r="R9688" s="260"/>
      <c r="S9688" s="260"/>
      <c r="T9688" s="285"/>
      <c r="U9688" s="260"/>
      <c r="V9688" s="260"/>
      <c r="W9688" s="255"/>
      <c r="X9688" s="260"/>
      <c r="Y9688" s="260"/>
      <c r="Z9688" s="255"/>
      <c r="AA9688" s="260"/>
      <c r="AB9688" s="260"/>
      <c r="AC9688" s="260"/>
      <c r="AD9688" s="260"/>
      <c r="AE9688" s="260"/>
      <c r="AF9688" s="260"/>
      <c r="AG9688" s="258"/>
      <c r="AI9688"/>
      <c r="AJ9688"/>
      <c r="AK9688"/>
      <c r="AL9688"/>
      <c r="AM9688"/>
      <c r="AN9688"/>
      <c r="AO9688"/>
      <c r="AP9688"/>
      <c r="AQ9688"/>
      <c r="AR9688"/>
      <c r="AS9688"/>
    </row>
    <row r="9689" spans="14:45">
      <c r="N9689" s="302"/>
      <c r="O9689" s="303"/>
      <c r="P9689" s="285"/>
      <c r="Q9689" s="258"/>
      <c r="R9689" s="260"/>
      <c r="S9689" s="260"/>
      <c r="T9689" s="285"/>
      <c r="U9689" s="260"/>
      <c r="V9689" s="260"/>
      <c r="W9689" s="255"/>
      <c r="X9689" s="260"/>
      <c r="Y9689" s="260"/>
      <c r="Z9689" s="255"/>
      <c r="AA9689" s="260"/>
      <c r="AB9689" s="260"/>
      <c r="AC9689" s="260"/>
      <c r="AD9689" s="260"/>
      <c r="AE9689" s="260"/>
      <c r="AF9689" s="260"/>
      <c r="AG9689" s="258"/>
      <c r="AI9689"/>
      <c r="AJ9689"/>
      <c r="AK9689"/>
      <c r="AL9689"/>
      <c r="AM9689"/>
      <c r="AN9689"/>
      <c r="AO9689"/>
      <c r="AP9689"/>
      <c r="AQ9689"/>
      <c r="AR9689"/>
      <c r="AS9689"/>
    </row>
    <row r="9690" spans="14:45" ht="0.75" customHeight="1">
      <c r="N9690" s="283"/>
      <c r="O9690" s="215"/>
      <c r="P9690" s="286"/>
      <c r="Q9690" s="265"/>
      <c r="R9690" s="287"/>
      <c r="S9690" s="260"/>
      <c r="T9690" s="285"/>
      <c r="U9690" s="260"/>
      <c r="V9690" s="260"/>
      <c r="W9690" s="255"/>
      <c r="X9690" s="260"/>
      <c r="Y9690" s="260"/>
      <c r="Z9690" s="255"/>
      <c r="AA9690" s="260"/>
      <c r="AB9690" s="260"/>
      <c r="AC9690" s="260"/>
      <c r="AD9690" s="260"/>
      <c r="AE9690" s="260"/>
      <c r="AF9690" s="260"/>
      <c r="AG9690" s="265"/>
      <c r="AI9690"/>
      <c r="AJ9690"/>
      <c r="AK9690"/>
      <c r="AL9690"/>
      <c r="AM9690"/>
      <c r="AN9690"/>
      <c r="AO9690"/>
      <c r="AP9690"/>
      <c r="AQ9690"/>
      <c r="AR9690"/>
      <c r="AS9690"/>
    </row>
    <row r="9691" spans="14:45" ht="11.25" customHeight="1">
      <c r="N9691" s="199"/>
      <c r="O9691" s="48"/>
      <c r="AI9691"/>
      <c r="AJ9691"/>
      <c r="AK9691"/>
      <c r="AL9691"/>
      <c r="AM9691"/>
      <c r="AN9691"/>
      <c r="AO9691"/>
      <c r="AP9691"/>
      <c r="AQ9691"/>
      <c r="AR9691"/>
      <c r="AS9691"/>
    </row>
    <row r="9692" spans="14:45" ht="23.25" customHeight="1">
      <c r="R9692" s="815" t="s">
        <v>2588</v>
      </c>
      <c r="S9692" s="815"/>
      <c r="T9692" s="815"/>
      <c r="U9692" s="815" t="s">
        <v>2589</v>
      </c>
      <c r="V9692" s="815"/>
      <c r="W9692" s="815"/>
      <c r="X9692" s="815" t="s">
        <v>2590</v>
      </c>
      <c r="Y9692" s="815"/>
      <c r="Z9692" s="815"/>
      <c r="AA9692" s="815" t="s">
        <v>2591</v>
      </c>
      <c r="AB9692" s="815"/>
      <c r="AC9692" s="815"/>
      <c r="AD9692" s="815" t="s">
        <v>2592</v>
      </c>
      <c r="AE9692" s="815"/>
      <c r="AF9692" s="815"/>
      <c r="AI9692"/>
      <c r="AJ9692"/>
      <c r="AK9692"/>
      <c r="AL9692"/>
      <c r="AM9692"/>
      <c r="AN9692"/>
      <c r="AO9692"/>
      <c r="AP9692"/>
      <c r="AQ9692"/>
      <c r="AR9692"/>
      <c r="AS9692"/>
    </row>
    <row r="9710" spans="18:32" ht="22.5" customHeight="1">
      <c r="R9710" s="815" t="s">
        <v>2610</v>
      </c>
      <c r="S9710" s="815"/>
      <c r="T9710" s="815"/>
      <c r="U9710" s="326"/>
      <c r="V9710" s="326"/>
      <c r="W9710" s="327"/>
      <c r="X9710" s="326"/>
      <c r="Y9710" s="11"/>
      <c r="Z9710" s="11"/>
      <c r="AA9710" s="11"/>
      <c r="AB9710" s="11"/>
      <c r="AC9710" s="11"/>
      <c r="AD9710" s="11"/>
      <c r="AE9710" s="11"/>
      <c r="AF9710" s="11"/>
    </row>
    <row r="9711" spans="18:32" ht="22.5" customHeight="1">
      <c r="R9711" s="815" t="s">
        <v>2611</v>
      </c>
      <c r="S9711" s="815"/>
      <c r="T9711" s="815"/>
      <c r="U9711" s="815" t="s">
        <v>2612</v>
      </c>
      <c r="V9711" s="815"/>
      <c r="W9711" s="815"/>
      <c r="X9711" s="815" t="s">
        <v>2613</v>
      </c>
      <c r="Y9711" s="815"/>
      <c r="Z9711" s="815"/>
      <c r="AA9711" s="815" t="s">
        <v>2614</v>
      </c>
      <c r="AB9711" s="815"/>
      <c r="AC9711" s="815"/>
      <c r="AD9711" s="815" t="s">
        <v>2615</v>
      </c>
      <c r="AE9711" s="815"/>
      <c r="AF9711" s="815"/>
    </row>
    <row r="9712" spans="18:32" customFormat="1">
      <c r="R9712" s="621"/>
      <c r="S9712" s="621"/>
      <c r="T9712" s="621"/>
      <c r="U9712" s="621"/>
      <c r="V9712" s="621"/>
      <c r="W9712" s="621"/>
      <c r="X9712" s="621"/>
      <c r="Y9712" s="621"/>
      <c r="Z9712" s="621"/>
      <c r="AA9712" s="621"/>
      <c r="AB9712" s="621"/>
      <c r="AC9712" s="621"/>
      <c r="AD9712" s="621"/>
      <c r="AE9712" s="621"/>
      <c r="AF9712" s="621"/>
    </row>
    <row r="9713" spans="1:33" customFormat="1">
      <c r="Q9713" s="1"/>
      <c r="R9713" s="622"/>
      <c r="S9713" s="622"/>
      <c r="T9713" s="622"/>
      <c r="U9713" s="622"/>
      <c r="V9713" s="622"/>
      <c r="W9713" s="622"/>
      <c r="X9713" s="622"/>
      <c r="Y9713" s="622"/>
      <c r="Z9713" s="622"/>
      <c r="AA9713" s="622"/>
      <c r="AB9713" s="622"/>
      <c r="AC9713" s="622"/>
      <c r="AD9713" s="622"/>
      <c r="AE9713" s="622"/>
      <c r="AF9713" s="622"/>
      <c r="AG9713" s="1"/>
    </row>
    <row r="9714" spans="1:33" customFormat="1">
      <c r="M9714" s="317"/>
      <c r="Q9714" s="316"/>
      <c r="R9714" s="623"/>
      <c r="S9714" s="623"/>
      <c r="T9714" s="623"/>
      <c r="U9714" s="623"/>
      <c r="V9714" s="623"/>
      <c r="W9714" s="623"/>
      <c r="X9714" s="623"/>
      <c r="Y9714" s="623"/>
      <c r="Z9714" s="623"/>
      <c r="AA9714" s="623"/>
      <c r="AB9714" s="623"/>
      <c r="AC9714" s="623"/>
      <c r="AD9714" s="623"/>
      <c r="AE9714" s="623"/>
      <c r="AF9714" s="623"/>
      <c r="AG9714" s="316"/>
    </row>
    <row r="9715" spans="1:33" s="314" customFormat="1" ht="12" customHeight="1">
      <c r="A9715"/>
      <c r="B9715"/>
      <c r="C9715"/>
      <c r="D9715"/>
      <c r="E9715"/>
      <c r="F9715"/>
      <c r="G9715"/>
      <c r="H9715"/>
      <c r="I9715"/>
      <c r="J9715"/>
      <c r="K9715"/>
      <c r="L9715"/>
      <c r="M9715" s="311"/>
      <c r="N9715" s="434"/>
      <c r="O9715" s="315"/>
      <c r="P9715" s="309"/>
      <c r="Q9715" s="311"/>
      <c r="R9715" s="624"/>
      <c r="S9715" s="624"/>
      <c r="T9715" s="624"/>
      <c r="U9715" s="624"/>
      <c r="V9715" s="624"/>
      <c r="W9715" s="624"/>
      <c r="X9715" s="624"/>
      <c r="Y9715" s="624"/>
      <c r="Z9715" s="624"/>
      <c r="AA9715" s="624"/>
      <c r="AB9715" s="624"/>
      <c r="AC9715" s="624"/>
      <c r="AD9715" s="624"/>
      <c r="AE9715" s="624"/>
      <c r="AF9715" s="624"/>
      <c r="AG9715" s="311"/>
    </row>
    <row r="9716" spans="1:33" s="47" customFormat="1" ht="12.75">
      <c r="A9716"/>
      <c r="B9716"/>
      <c r="C9716"/>
      <c r="D9716"/>
      <c r="E9716"/>
      <c r="F9716"/>
      <c r="G9716"/>
      <c r="H9716"/>
      <c r="I9716"/>
      <c r="J9716"/>
      <c r="K9716"/>
      <c r="L9716"/>
      <c r="M9716" s="200"/>
      <c r="N9716" s="817"/>
      <c r="O9716" s="818"/>
      <c r="P9716" s="818"/>
      <c r="Q9716" s="317"/>
      <c r="R9716" s="625" t="str">
        <f>R9718 &amp; ".1"</f>
        <v>.1</v>
      </c>
      <c r="S9716" s="625" t="str">
        <f>R9718 &amp; ".2"</f>
        <v>.2</v>
      </c>
      <c r="T9716" s="625" t="str">
        <f>R9718 &amp; ".0"</f>
        <v>.0</v>
      </c>
      <c r="U9716" s="625" t="str">
        <f>U9718 &amp; ".1"</f>
        <v>.1</v>
      </c>
      <c r="V9716" s="625" t="str">
        <f>U9718 &amp; ".2"</f>
        <v>.2</v>
      </c>
      <c r="W9716" s="625" t="str">
        <f>U9718 &amp; ".0"</f>
        <v>.0</v>
      </c>
      <c r="X9716" s="625" t="str">
        <f>X9718 &amp; ".1"</f>
        <v>.1</v>
      </c>
      <c r="Y9716" s="625" t="str">
        <f>X9718 &amp; ".2"</f>
        <v>.2</v>
      </c>
      <c r="Z9716" s="625" t="str">
        <f>X9718 &amp; ".0"</f>
        <v>.0</v>
      </c>
      <c r="AA9716" s="625" t="str">
        <f>AA9718 &amp; ".1"</f>
        <v>.1</v>
      </c>
      <c r="AB9716" s="625" t="str">
        <f>AA9718 &amp; ".2"</f>
        <v>.2</v>
      </c>
      <c r="AC9716" s="625" t="str">
        <f>AA9718 &amp; ".0"</f>
        <v>.0</v>
      </c>
      <c r="AD9716" s="625" t="str">
        <f>AD9718 &amp; ".1"</f>
        <v>.1</v>
      </c>
      <c r="AE9716" s="625" t="str">
        <f>AD9718 &amp; ".2"</f>
        <v>.2</v>
      </c>
      <c r="AF9716" s="625" t="str">
        <f>AD9718 &amp; ".0"</f>
        <v>.0</v>
      </c>
      <c r="AG9716" s="214"/>
    </row>
    <row r="9717" spans="1:33" s="200" customFormat="1" ht="12" customHeight="1">
      <c r="A9717"/>
      <c r="B9717"/>
      <c r="C9717"/>
      <c r="D9717"/>
      <c r="E9717"/>
      <c r="F9717"/>
      <c r="G9717"/>
      <c r="H9717"/>
      <c r="I9717"/>
      <c r="J9717"/>
      <c r="K9717"/>
      <c r="L9717"/>
      <c r="N9717" s="430" t="s">
        <v>1742</v>
      </c>
      <c r="O9717" s="209"/>
      <c r="P9717" s="214" t="s">
        <v>786</v>
      </c>
      <c r="Q9717" s="201"/>
      <c r="R9717" s="814" t="s">
        <v>719</v>
      </c>
      <c r="S9717" s="814"/>
      <c r="T9717" s="814"/>
      <c r="U9717" s="814" t="s">
        <v>719</v>
      </c>
      <c r="V9717" s="814"/>
      <c r="W9717" s="814"/>
      <c r="X9717" s="814" t="s">
        <v>719</v>
      </c>
      <c r="Y9717" s="814"/>
      <c r="Z9717" s="814"/>
      <c r="AA9717" s="814" t="s">
        <v>719</v>
      </c>
      <c r="AB9717" s="814"/>
      <c r="AC9717" s="814"/>
      <c r="AD9717" s="814" t="s">
        <v>719</v>
      </c>
      <c r="AE9717" s="814"/>
      <c r="AF9717" s="814"/>
      <c r="AG9717" s="168" t="s">
        <v>720</v>
      </c>
    </row>
    <row r="9718" spans="1:33">
      <c r="N9718" s="802" t="s">
        <v>641</v>
      </c>
      <c r="O9718" s="804" t="s">
        <v>787</v>
      </c>
      <c r="P9718" s="819" t="s">
        <v>778</v>
      </c>
      <c r="Q9718" s="206">
        <v>0</v>
      </c>
      <c r="R9718" s="808"/>
      <c r="S9718" s="809"/>
      <c r="T9718" s="810"/>
      <c r="U9718" s="808"/>
      <c r="V9718" s="809"/>
      <c r="W9718" s="810"/>
      <c r="X9718" s="808"/>
      <c r="Y9718" s="809"/>
      <c r="Z9718" s="810"/>
      <c r="AA9718" s="808"/>
      <c r="AB9718" s="809"/>
      <c r="AC9718" s="810"/>
      <c r="AD9718" s="808"/>
      <c r="AE9718" s="809"/>
      <c r="AF9718" s="810"/>
      <c r="AG9718" s="206"/>
    </row>
    <row r="9719" spans="1:33">
      <c r="N9719" s="802"/>
      <c r="O9719" s="804"/>
      <c r="P9719" s="819"/>
      <c r="Q9719" s="207"/>
      <c r="R9719" s="796"/>
      <c r="S9719" s="797"/>
      <c r="T9719" s="798"/>
      <c r="U9719" s="796"/>
      <c r="V9719" s="797"/>
      <c r="W9719" s="798"/>
      <c r="X9719" s="796"/>
      <c r="Y9719" s="797"/>
      <c r="Z9719" s="798"/>
      <c r="AA9719" s="796"/>
      <c r="AB9719" s="797"/>
      <c r="AC9719" s="798"/>
      <c r="AD9719" s="796"/>
      <c r="AE9719" s="797"/>
      <c r="AF9719" s="798"/>
      <c r="AG9719" s="207"/>
    </row>
    <row r="9720" spans="1:33">
      <c r="N9720" s="232"/>
      <c r="O9720" s="233" t="s">
        <v>788</v>
      </c>
      <c r="P9720" s="304"/>
      <c r="Q9720" s="207"/>
      <c r="R9720" s="796"/>
      <c r="S9720" s="797"/>
      <c r="T9720" s="798"/>
      <c r="U9720" s="796"/>
      <c r="V9720" s="797"/>
      <c r="W9720" s="798"/>
      <c r="X9720" s="796"/>
      <c r="Y9720" s="797"/>
      <c r="Z9720" s="798"/>
      <c r="AA9720" s="796"/>
      <c r="AB9720" s="797"/>
      <c r="AC9720" s="798"/>
      <c r="AD9720" s="796"/>
      <c r="AE9720" s="797"/>
      <c r="AF9720" s="798"/>
      <c r="AG9720" s="207"/>
    </row>
    <row r="9721" spans="1:33">
      <c r="N9721" s="232"/>
      <c r="O9721" s="490" t="str">
        <f>IF(CALC_IDENTIFIER="","",CALC_IDENTIFIER)</f>
        <v/>
      </c>
      <c r="P9721" s="304"/>
      <c r="Q9721" s="207"/>
      <c r="R9721" s="799"/>
      <c r="S9721" s="800"/>
      <c r="T9721" s="801"/>
      <c r="U9721" s="799"/>
      <c r="V9721" s="800"/>
      <c r="W9721" s="801"/>
      <c r="X9721" s="799"/>
      <c r="Y9721" s="800"/>
      <c r="Z9721" s="801"/>
      <c r="AA9721" s="799"/>
      <c r="AB9721" s="800"/>
      <c r="AC9721" s="801"/>
      <c r="AD9721" s="799"/>
      <c r="AE9721" s="800"/>
      <c r="AF9721" s="801"/>
      <c r="AG9721" s="207"/>
    </row>
    <row r="9722" spans="1:33">
      <c r="N9722" s="234" t="s">
        <v>642</v>
      </c>
      <c r="O9722" s="235" t="s">
        <v>789</v>
      </c>
      <c r="P9722" s="305"/>
      <c r="Q9722" s="328"/>
      <c r="R9722" s="259"/>
      <c r="S9722" s="259"/>
      <c r="T9722" s="262"/>
      <c r="U9722" s="259"/>
      <c r="V9722" s="259"/>
      <c r="W9722" s="262"/>
      <c r="X9722" s="259"/>
      <c r="Y9722" s="259"/>
      <c r="Z9722" s="262"/>
      <c r="AA9722" s="259"/>
      <c r="AB9722" s="259"/>
      <c r="AC9722" s="262"/>
      <c r="AD9722" s="259"/>
      <c r="AE9722" s="259"/>
      <c r="AF9722" s="262"/>
      <c r="AG9722" s="330"/>
    </row>
    <row r="9723" spans="1:33">
      <c r="N9723" s="234" t="s">
        <v>790</v>
      </c>
      <c r="O9723" s="224" t="s">
        <v>791</v>
      </c>
      <c r="P9723" s="305"/>
      <c r="Q9723" s="328"/>
      <c r="R9723" s="259"/>
      <c r="S9723" s="259"/>
      <c r="T9723" s="262"/>
      <c r="U9723" s="259"/>
      <c r="V9723" s="259"/>
      <c r="W9723" s="262"/>
      <c r="X9723" s="259"/>
      <c r="Y9723" s="259"/>
      <c r="Z9723" s="262"/>
      <c r="AA9723" s="259"/>
      <c r="AB9723" s="259"/>
      <c r="AC9723" s="262"/>
      <c r="AD9723" s="259"/>
      <c r="AE9723" s="259"/>
      <c r="AF9723" s="262"/>
      <c r="AG9723" s="330"/>
    </row>
    <row r="9724" spans="1:33">
      <c r="N9724" s="236" t="s">
        <v>792</v>
      </c>
      <c r="O9724" s="237" t="s">
        <v>793</v>
      </c>
      <c r="P9724" s="305"/>
      <c r="Q9724" s="328"/>
      <c r="R9724" s="259"/>
      <c r="S9724" s="259"/>
      <c r="T9724" s="262"/>
      <c r="U9724" s="259"/>
      <c r="V9724" s="259"/>
      <c r="W9724" s="262"/>
      <c r="X9724" s="259"/>
      <c r="Y9724" s="259"/>
      <c r="Z9724" s="262"/>
      <c r="AA9724" s="259"/>
      <c r="AB9724" s="259"/>
      <c r="AC9724" s="262"/>
      <c r="AD9724" s="259"/>
      <c r="AE9724" s="259"/>
      <c r="AF9724" s="262"/>
      <c r="AG9724" s="330"/>
    </row>
    <row r="9725" spans="1:33">
      <c r="N9725" s="234"/>
      <c r="O9725" s="238"/>
      <c r="P9725" s="287"/>
      <c r="Q9725" s="328"/>
      <c r="R9725" s="259"/>
      <c r="S9725" s="259"/>
      <c r="T9725" s="260"/>
      <c r="U9725" s="259"/>
      <c r="V9725" s="259"/>
      <c r="W9725" s="260"/>
      <c r="X9725" s="259"/>
      <c r="Y9725" s="259"/>
      <c r="Z9725" s="260"/>
      <c r="AA9725" s="259"/>
      <c r="AB9725" s="259"/>
      <c r="AC9725" s="260"/>
      <c r="AD9725" s="259"/>
      <c r="AE9725" s="259"/>
      <c r="AF9725" s="260"/>
      <c r="AG9725" s="330"/>
    </row>
    <row r="9726" spans="1:33">
      <c r="N9726" s="234"/>
      <c r="O9726" s="238"/>
      <c r="P9726" s="287"/>
      <c r="Q9726" s="328"/>
      <c r="R9726" s="259"/>
      <c r="S9726" s="259"/>
      <c r="T9726" s="260"/>
      <c r="U9726" s="259"/>
      <c r="V9726" s="259"/>
      <c r="W9726" s="260"/>
      <c r="X9726" s="259"/>
      <c r="Y9726" s="259"/>
      <c r="Z9726" s="260"/>
      <c r="AA9726" s="259"/>
      <c r="AB9726" s="259"/>
      <c r="AC9726" s="260"/>
      <c r="AD9726" s="259"/>
      <c r="AE9726" s="259"/>
      <c r="AF9726" s="260"/>
      <c r="AG9726" s="330"/>
    </row>
    <row r="9727" spans="1:33" ht="22.5">
      <c r="N9727" s="236" t="s">
        <v>63</v>
      </c>
      <c r="O9727" s="237" t="s">
        <v>64</v>
      </c>
      <c r="P9727" s="305"/>
      <c r="Q9727" s="328"/>
      <c r="R9727" s="259"/>
      <c r="S9727" s="259"/>
      <c r="T9727" s="262"/>
      <c r="U9727" s="259"/>
      <c r="V9727" s="259"/>
      <c r="W9727" s="262"/>
      <c r="X9727" s="259"/>
      <c r="Y9727" s="259"/>
      <c r="Z9727" s="262"/>
      <c r="AA9727" s="259"/>
      <c r="AB9727" s="259"/>
      <c r="AC9727" s="262"/>
      <c r="AD9727" s="259"/>
      <c r="AE9727" s="259"/>
      <c r="AF9727" s="262"/>
      <c r="AG9727" s="330"/>
    </row>
    <row r="9728" spans="1:33">
      <c r="N9728" s="234" t="s">
        <v>751</v>
      </c>
      <c r="O9728" s="235" t="s">
        <v>65</v>
      </c>
      <c r="P9728" s="305"/>
      <c r="Q9728" s="328"/>
      <c r="R9728" s="259"/>
      <c r="S9728" s="259"/>
      <c r="T9728" s="262"/>
      <c r="U9728" s="259"/>
      <c r="V9728" s="259"/>
      <c r="W9728" s="262"/>
      <c r="X9728" s="259"/>
      <c r="Y9728" s="259"/>
      <c r="Z9728" s="262"/>
      <c r="AA9728" s="259"/>
      <c r="AB9728" s="259"/>
      <c r="AC9728" s="262"/>
      <c r="AD9728" s="259"/>
      <c r="AE9728" s="259"/>
      <c r="AF9728" s="262"/>
      <c r="AG9728" s="330"/>
    </row>
    <row r="9729" spans="13:33">
      <c r="N9729" s="234" t="s">
        <v>66</v>
      </c>
      <c r="O9729" s="237" t="s">
        <v>67</v>
      </c>
      <c r="P9729" s="305"/>
      <c r="Q9729" s="328"/>
      <c r="R9729" s="259"/>
      <c r="S9729" s="259"/>
      <c r="T9729" s="262"/>
      <c r="U9729" s="259"/>
      <c r="V9729" s="259"/>
      <c r="W9729" s="262"/>
      <c r="X9729" s="259"/>
      <c r="Y9729" s="259"/>
      <c r="Z9729" s="262"/>
      <c r="AA9729" s="259"/>
      <c r="AB9729" s="259"/>
      <c r="AC9729" s="262"/>
      <c r="AD9729" s="259"/>
      <c r="AE9729" s="259"/>
      <c r="AF9729" s="262"/>
      <c r="AG9729" s="330"/>
    </row>
    <row r="9730" spans="13:33">
      <c r="N9730" s="234" t="s">
        <v>69</v>
      </c>
      <c r="O9730" s="237" t="s">
        <v>70</v>
      </c>
      <c r="P9730" s="305"/>
      <c r="Q9730" s="328"/>
      <c r="R9730" s="259"/>
      <c r="S9730" s="259"/>
      <c r="T9730" s="262"/>
      <c r="U9730" s="259"/>
      <c r="V9730" s="259"/>
      <c r="W9730" s="262"/>
      <c r="X9730" s="259"/>
      <c r="Y9730" s="259"/>
      <c r="Z9730" s="262"/>
      <c r="AA9730" s="259"/>
      <c r="AB9730" s="259"/>
      <c r="AC9730" s="262"/>
      <c r="AD9730" s="259"/>
      <c r="AE9730" s="259"/>
      <c r="AF9730" s="262"/>
      <c r="AG9730" s="330"/>
    </row>
    <row r="9731" spans="13:33">
      <c r="N9731" s="234" t="s">
        <v>72</v>
      </c>
      <c r="O9731" s="237" t="s">
        <v>73</v>
      </c>
      <c r="P9731" s="305"/>
      <c r="Q9731" s="328"/>
      <c r="R9731" s="259"/>
      <c r="S9731" s="259"/>
      <c r="T9731" s="262"/>
      <c r="U9731" s="259"/>
      <c r="V9731" s="259"/>
      <c r="W9731" s="262"/>
      <c r="X9731" s="259"/>
      <c r="Y9731" s="259"/>
      <c r="Z9731" s="262"/>
      <c r="AA9731" s="259"/>
      <c r="AB9731" s="259"/>
      <c r="AC9731" s="262"/>
      <c r="AD9731" s="259"/>
      <c r="AE9731" s="259"/>
      <c r="AF9731" s="262"/>
      <c r="AG9731" s="330"/>
    </row>
    <row r="9732" spans="13:33">
      <c r="N9732" s="234" t="s">
        <v>752</v>
      </c>
      <c r="O9732" s="235" t="s">
        <v>74</v>
      </c>
      <c r="P9732" s="305"/>
      <c r="Q9732" s="328"/>
      <c r="R9732" s="259"/>
      <c r="S9732" s="259"/>
      <c r="T9732" s="262"/>
      <c r="U9732" s="259"/>
      <c r="V9732" s="259"/>
      <c r="W9732" s="262"/>
      <c r="X9732" s="259"/>
      <c r="Y9732" s="259"/>
      <c r="Z9732" s="262"/>
      <c r="AA9732" s="259"/>
      <c r="AB9732" s="259"/>
      <c r="AC9732" s="262"/>
      <c r="AD9732" s="259"/>
      <c r="AE9732" s="259"/>
      <c r="AF9732" s="262"/>
      <c r="AG9732" s="330"/>
    </row>
    <row r="9733" spans="13:33">
      <c r="M9733"/>
      <c r="N9733" s="236" t="s">
        <v>760</v>
      </c>
      <c r="O9733" s="237" t="s">
        <v>76</v>
      </c>
      <c r="P9733" s="305"/>
      <c r="Q9733" s="328"/>
      <c r="R9733" s="259"/>
      <c r="S9733" s="259"/>
      <c r="T9733" s="262"/>
      <c r="U9733" s="259"/>
      <c r="V9733" s="259"/>
      <c r="W9733" s="262"/>
      <c r="X9733" s="259"/>
      <c r="Y9733" s="259"/>
      <c r="Z9733" s="262"/>
      <c r="AA9733" s="259"/>
      <c r="AB9733" s="259"/>
      <c r="AC9733" s="262"/>
      <c r="AD9733" s="259"/>
      <c r="AE9733" s="259"/>
      <c r="AF9733" s="262"/>
      <c r="AG9733" s="330"/>
    </row>
    <row r="9734" spans="13:33" ht="22.5">
      <c r="M9734"/>
      <c r="N9734" s="234" t="s">
        <v>753</v>
      </c>
      <c r="O9734" s="233" t="s">
        <v>211</v>
      </c>
      <c r="P9734" s="305"/>
      <c r="Q9734" s="320"/>
      <c r="R9734" s="259"/>
      <c r="S9734" s="259"/>
      <c r="T9734" s="262"/>
      <c r="U9734" s="260"/>
      <c r="V9734" s="260"/>
      <c r="W9734" s="262"/>
      <c r="X9734" s="259"/>
      <c r="Y9734" s="259"/>
      <c r="Z9734" s="262"/>
      <c r="AA9734" s="260"/>
      <c r="AB9734" s="260"/>
      <c r="AC9734" s="262"/>
      <c r="AD9734" s="259"/>
      <c r="AE9734" s="259"/>
      <c r="AF9734" s="262"/>
      <c r="AG9734" s="321"/>
    </row>
    <row r="9735" spans="13:33">
      <c r="M9735"/>
      <c r="N9735" s="451" t="s">
        <v>766</v>
      </c>
      <c r="O9735" s="453" t="s">
        <v>78</v>
      </c>
      <c r="P9735" s="305"/>
      <c r="Q9735" s="320"/>
      <c r="R9735" s="260"/>
      <c r="S9735" s="260"/>
      <c r="T9735" s="260"/>
      <c r="U9735" s="260"/>
      <c r="V9735" s="260"/>
      <c r="W9735" s="260"/>
      <c r="X9735" s="259"/>
      <c r="Y9735" s="259"/>
      <c r="Z9735" s="262"/>
      <c r="AA9735" s="260"/>
      <c r="AB9735" s="260"/>
      <c r="AC9735" s="260"/>
      <c r="AD9735" s="259"/>
      <c r="AE9735" s="259"/>
      <c r="AF9735" s="262"/>
      <c r="AG9735" s="321"/>
    </row>
    <row r="9736" spans="13:33">
      <c r="M9736"/>
      <c r="N9736" s="451" t="s">
        <v>768</v>
      </c>
      <c r="O9736" s="454" t="s">
        <v>212</v>
      </c>
      <c r="P9736" s="305"/>
      <c r="Q9736" s="320"/>
      <c r="R9736" s="260"/>
      <c r="S9736" s="260"/>
      <c r="T9736" s="260"/>
      <c r="U9736" s="260"/>
      <c r="V9736" s="260"/>
      <c r="W9736" s="260"/>
      <c r="X9736" s="259"/>
      <c r="Y9736" s="259"/>
      <c r="Z9736" s="262"/>
      <c r="AA9736" s="260"/>
      <c r="AB9736" s="260"/>
      <c r="AC9736" s="260"/>
      <c r="AD9736" s="259"/>
      <c r="AE9736" s="259"/>
      <c r="AF9736" s="262"/>
      <c r="AG9736" s="321"/>
    </row>
    <row r="9737" spans="13:33">
      <c r="M9737"/>
      <c r="N9737" s="451" t="s">
        <v>132</v>
      </c>
      <c r="O9737" s="455" t="s">
        <v>79</v>
      </c>
      <c r="P9737" s="305"/>
      <c r="Q9737" s="320"/>
      <c r="R9737" s="260"/>
      <c r="S9737" s="260"/>
      <c r="T9737" s="260"/>
      <c r="U9737" s="260"/>
      <c r="V9737" s="260"/>
      <c r="W9737" s="260"/>
      <c r="X9737" s="259"/>
      <c r="Y9737" s="259"/>
      <c r="Z9737" s="262"/>
      <c r="AA9737" s="260"/>
      <c r="AB9737" s="260"/>
      <c r="AC9737" s="260"/>
      <c r="AD9737" s="259"/>
      <c r="AE9737" s="259"/>
      <c r="AF9737" s="262"/>
      <c r="AG9737" s="321"/>
    </row>
    <row r="9738" spans="13:33" hidden="1">
      <c r="M9738"/>
      <c r="N9738" s="451"/>
      <c r="O9738" s="455"/>
      <c r="P9738" s="287"/>
      <c r="Q9738" s="320"/>
      <c r="R9738" s="260"/>
      <c r="S9738" s="260"/>
      <c r="T9738" s="260"/>
      <c r="U9738" s="260"/>
      <c r="V9738" s="260"/>
      <c r="W9738" s="260"/>
      <c r="X9738" s="259"/>
      <c r="Y9738" s="259"/>
      <c r="Z9738" s="260"/>
      <c r="AA9738" s="260"/>
      <c r="AB9738" s="260"/>
      <c r="AC9738" s="260"/>
      <c r="AD9738" s="259"/>
      <c r="AE9738" s="259"/>
      <c r="AF9738" s="260"/>
      <c r="AG9738" s="321"/>
    </row>
    <row r="9739" spans="13:33" hidden="1">
      <c r="M9739"/>
      <c r="N9739" s="451"/>
      <c r="O9739" s="455"/>
      <c r="P9739" s="287"/>
      <c r="Q9739" s="320"/>
      <c r="R9739" s="260"/>
      <c r="S9739" s="260"/>
      <c r="T9739" s="260"/>
      <c r="U9739" s="260"/>
      <c r="V9739" s="260"/>
      <c r="W9739" s="260"/>
      <c r="X9739" s="259"/>
      <c r="Y9739" s="259"/>
      <c r="Z9739" s="260"/>
      <c r="AA9739" s="260"/>
      <c r="AB9739" s="260"/>
      <c r="AC9739" s="260"/>
      <c r="AD9739" s="259"/>
      <c r="AE9739" s="259"/>
      <c r="AF9739" s="260"/>
      <c r="AG9739" s="321"/>
    </row>
    <row r="9740" spans="13:33" hidden="1">
      <c r="M9740"/>
      <c r="N9740" s="451"/>
      <c r="O9740" s="455"/>
      <c r="P9740" s="287"/>
      <c r="Q9740" s="320"/>
      <c r="R9740" s="260"/>
      <c r="S9740" s="260"/>
      <c r="T9740" s="260"/>
      <c r="U9740" s="260"/>
      <c r="V9740" s="260"/>
      <c r="W9740" s="260"/>
      <c r="X9740" s="259"/>
      <c r="Y9740" s="259"/>
      <c r="Z9740" s="260"/>
      <c r="AA9740" s="260"/>
      <c r="AB9740" s="260"/>
      <c r="AC9740" s="260"/>
      <c r="AD9740" s="259"/>
      <c r="AE9740" s="259"/>
      <c r="AF9740" s="260"/>
      <c r="AG9740" s="321"/>
    </row>
    <row r="9741" spans="13:33" hidden="1">
      <c r="M9741"/>
      <c r="N9741" s="451"/>
      <c r="O9741" s="455"/>
      <c r="P9741" s="287"/>
      <c r="Q9741" s="320"/>
      <c r="R9741" s="260"/>
      <c r="S9741" s="260"/>
      <c r="T9741" s="260"/>
      <c r="U9741" s="260"/>
      <c r="V9741" s="260"/>
      <c r="W9741" s="260"/>
      <c r="X9741" s="259"/>
      <c r="Y9741" s="259"/>
      <c r="Z9741" s="260"/>
      <c r="AA9741" s="260"/>
      <c r="AB9741" s="260"/>
      <c r="AC9741" s="260"/>
      <c r="AD9741" s="259"/>
      <c r="AE9741" s="259"/>
      <c r="AF9741" s="260"/>
      <c r="AG9741" s="321"/>
    </row>
    <row r="9742" spans="13:33" hidden="1">
      <c r="M9742"/>
      <c r="N9742" s="451"/>
      <c r="O9742" s="455"/>
      <c r="P9742" s="287"/>
      <c r="Q9742" s="320"/>
      <c r="R9742" s="260"/>
      <c r="S9742" s="260"/>
      <c r="T9742" s="260"/>
      <c r="U9742" s="260"/>
      <c r="V9742" s="260"/>
      <c r="W9742" s="260"/>
      <c r="X9742" s="259"/>
      <c r="Y9742" s="259"/>
      <c r="Z9742" s="260"/>
      <c r="AA9742" s="260"/>
      <c r="AB9742" s="260"/>
      <c r="AC9742" s="260"/>
      <c r="AD9742" s="259"/>
      <c r="AE9742" s="259"/>
      <c r="AF9742" s="260"/>
      <c r="AG9742" s="321"/>
    </row>
    <row r="9743" spans="13:33" hidden="1">
      <c r="M9743"/>
      <c r="N9743" s="451"/>
      <c r="O9743" s="455"/>
      <c r="P9743" s="287"/>
      <c r="Q9743" s="320"/>
      <c r="R9743" s="260"/>
      <c r="S9743" s="260"/>
      <c r="T9743" s="260"/>
      <c r="U9743" s="260"/>
      <c r="V9743" s="260"/>
      <c r="W9743" s="260"/>
      <c r="X9743" s="259"/>
      <c r="Y9743" s="259"/>
      <c r="Z9743" s="260"/>
      <c r="AA9743" s="260"/>
      <c r="AB9743" s="260"/>
      <c r="AC9743" s="260"/>
      <c r="AD9743" s="259"/>
      <c r="AE9743" s="259"/>
      <c r="AF9743" s="260"/>
      <c r="AG9743" s="321"/>
    </row>
    <row r="9744" spans="13:33" hidden="1">
      <c r="M9744"/>
      <c r="N9744" s="451"/>
      <c r="O9744" s="455"/>
      <c r="P9744" s="287"/>
      <c r="Q9744" s="320"/>
      <c r="R9744" s="260"/>
      <c r="S9744" s="260"/>
      <c r="T9744" s="260"/>
      <c r="U9744" s="260"/>
      <c r="V9744" s="260"/>
      <c r="W9744" s="260"/>
      <c r="X9744" s="259"/>
      <c r="Y9744" s="259"/>
      <c r="Z9744" s="260"/>
      <c r="AA9744" s="260"/>
      <c r="AB9744" s="260"/>
      <c r="AC9744" s="260"/>
      <c r="AD9744" s="259"/>
      <c r="AE9744" s="259"/>
      <c r="AF9744" s="260"/>
      <c r="AG9744" s="321"/>
    </row>
    <row r="9745" spans="13:33">
      <c r="M9745"/>
      <c r="N9745" s="451" t="s">
        <v>80</v>
      </c>
      <c r="O9745" s="455" t="s">
        <v>81</v>
      </c>
      <c r="P9745" s="305"/>
      <c r="Q9745" s="320"/>
      <c r="R9745" s="260"/>
      <c r="S9745" s="260"/>
      <c r="T9745" s="260"/>
      <c r="U9745" s="260"/>
      <c r="V9745" s="260"/>
      <c r="W9745" s="260"/>
      <c r="X9745" s="259"/>
      <c r="Y9745" s="259"/>
      <c r="Z9745" s="262"/>
      <c r="AA9745" s="260"/>
      <c r="AB9745" s="260"/>
      <c r="AC9745" s="260"/>
      <c r="AD9745" s="259"/>
      <c r="AE9745" s="259"/>
      <c r="AF9745" s="262"/>
      <c r="AG9745" s="321"/>
    </row>
    <row r="9746" spans="13:33" hidden="1">
      <c r="M9746"/>
      <c r="N9746" s="451"/>
      <c r="O9746" s="455"/>
      <c r="P9746" s="287"/>
      <c r="Q9746" s="320"/>
      <c r="R9746" s="260"/>
      <c r="S9746" s="260"/>
      <c r="T9746" s="260"/>
      <c r="U9746" s="260"/>
      <c r="V9746" s="260"/>
      <c r="W9746" s="260"/>
      <c r="X9746" s="259"/>
      <c r="Y9746" s="259"/>
      <c r="Z9746" s="260"/>
      <c r="AA9746" s="260"/>
      <c r="AB9746" s="260"/>
      <c r="AC9746" s="260"/>
      <c r="AD9746" s="259"/>
      <c r="AE9746" s="259"/>
      <c r="AF9746" s="260"/>
      <c r="AG9746" s="321"/>
    </row>
    <row r="9747" spans="13:33" hidden="1">
      <c r="M9747"/>
      <c r="N9747" s="451"/>
      <c r="O9747" s="455"/>
      <c r="P9747" s="287"/>
      <c r="Q9747" s="320"/>
      <c r="R9747" s="260"/>
      <c r="S9747" s="260"/>
      <c r="T9747" s="260"/>
      <c r="U9747" s="260"/>
      <c r="V9747" s="260"/>
      <c r="W9747" s="260"/>
      <c r="X9747" s="259"/>
      <c r="Y9747" s="259"/>
      <c r="Z9747" s="260"/>
      <c r="AA9747" s="260"/>
      <c r="AB9747" s="260"/>
      <c r="AC9747" s="260"/>
      <c r="AD9747" s="259"/>
      <c r="AE9747" s="259"/>
      <c r="AF9747" s="260"/>
      <c r="AG9747" s="321"/>
    </row>
    <row r="9748" spans="13:33" hidden="1">
      <c r="M9748"/>
      <c r="N9748" s="451"/>
      <c r="O9748" s="455"/>
      <c r="P9748" s="287"/>
      <c r="Q9748" s="320"/>
      <c r="R9748" s="260"/>
      <c r="S9748" s="260"/>
      <c r="T9748" s="260"/>
      <c r="U9748" s="260"/>
      <c r="V9748" s="260"/>
      <c r="W9748" s="260"/>
      <c r="X9748" s="259"/>
      <c r="Y9748" s="259"/>
      <c r="Z9748" s="260"/>
      <c r="AA9748" s="260"/>
      <c r="AB9748" s="260"/>
      <c r="AC9748" s="260"/>
      <c r="AD9748" s="259"/>
      <c r="AE9748" s="259"/>
      <c r="AF9748" s="260"/>
      <c r="AG9748" s="321"/>
    </row>
    <row r="9749" spans="13:33" hidden="1">
      <c r="M9749"/>
      <c r="N9749" s="451"/>
      <c r="O9749" s="455"/>
      <c r="P9749" s="287"/>
      <c r="Q9749" s="320"/>
      <c r="R9749" s="260"/>
      <c r="S9749" s="260"/>
      <c r="T9749" s="260"/>
      <c r="U9749" s="260"/>
      <c r="V9749" s="260"/>
      <c r="W9749" s="260"/>
      <c r="X9749" s="259"/>
      <c r="Y9749" s="259"/>
      <c r="Z9749" s="260"/>
      <c r="AA9749" s="260"/>
      <c r="AB9749" s="260"/>
      <c r="AC9749" s="260"/>
      <c r="AD9749" s="259"/>
      <c r="AE9749" s="259"/>
      <c r="AF9749" s="260"/>
      <c r="AG9749" s="321"/>
    </row>
    <row r="9750" spans="13:33" hidden="1">
      <c r="M9750"/>
      <c r="N9750" s="451"/>
      <c r="O9750" s="455"/>
      <c r="P9750" s="287"/>
      <c r="Q9750" s="320"/>
      <c r="R9750" s="260"/>
      <c r="S9750" s="260"/>
      <c r="T9750" s="260"/>
      <c r="U9750" s="260"/>
      <c r="V9750" s="260"/>
      <c r="W9750" s="260"/>
      <c r="X9750" s="259"/>
      <c r="Y9750" s="259"/>
      <c r="Z9750" s="260"/>
      <c r="AA9750" s="260"/>
      <c r="AB9750" s="260"/>
      <c r="AC9750" s="260"/>
      <c r="AD9750" s="259"/>
      <c r="AE9750" s="259"/>
      <c r="AF9750" s="260"/>
      <c r="AG9750" s="321"/>
    </row>
    <row r="9751" spans="13:33" hidden="1">
      <c r="M9751"/>
      <c r="N9751" s="451"/>
      <c r="O9751" s="455"/>
      <c r="P9751" s="287"/>
      <c r="Q9751" s="320"/>
      <c r="R9751" s="260"/>
      <c r="S9751" s="260"/>
      <c r="T9751" s="260"/>
      <c r="U9751" s="260"/>
      <c r="V9751" s="260"/>
      <c r="W9751" s="260"/>
      <c r="X9751" s="259"/>
      <c r="Y9751" s="259"/>
      <c r="Z9751" s="260"/>
      <c r="AA9751" s="260"/>
      <c r="AB9751" s="260"/>
      <c r="AC9751" s="260"/>
      <c r="AD9751" s="259"/>
      <c r="AE9751" s="259"/>
      <c r="AF9751" s="260"/>
      <c r="AG9751" s="321"/>
    </row>
    <row r="9752" spans="13:33" hidden="1">
      <c r="M9752"/>
      <c r="N9752" s="451"/>
      <c r="O9752" s="455"/>
      <c r="P9752" s="287"/>
      <c r="Q9752" s="320"/>
      <c r="R9752" s="260"/>
      <c r="S9752" s="260"/>
      <c r="T9752" s="260"/>
      <c r="U9752" s="260"/>
      <c r="V9752" s="260"/>
      <c r="W9752" s="260"/>
      <c r="X9752" s="259"/>
      <c r="Y9752" s="259"/>
      <c r="Z9752" s="260"/>
      <c r="AA9752" s="260"/>
      <c r="AB9752" s="260"/>
      <c r="AC9752" s="260"/>
      <c r="AD9752" s="259"/>
      <c r="AE9752" s="259"/>
      <c r="AF9752" s="260"/>
      <c r="AG9752" s="321"/>
    </row>
    <row r="9753" spans="13:33">
      <c r="M9753"/>
      <c r="N9753" s="451" t="s">
        <v>82</v>
      </c>
      <c r="O9753" s="455" t="s">
        <v>83</v>
      </c>
      <c r="P9753" s="305"/>
      <c r="Q9753" s="320"/>
      <c r="R9753" s="260"/>
      <c r="S9753" s="260"/>
      <c r="T9753" s="260"/>
      <c r="U9753" s="260"/>
      <c r="V9753" s="260"/>
      <c r="W9753" s="260"/>
      <c r="X9753" s="259"/>
      <c r="Y9753" s="259"/>
      <c r="Z9753" s="262"/>
      <c r="AA9753" s="260"/>
      <c r="AB9753" s="260"/>
      <c r="AC9753" s="260"/>
      <c r="AD9753" s="259"/>
      <c r="AE9753" s="259"/>
      <c r="AF9753" s="262"/>
      <c r="AG9753" s="321"/>
    </row>
    <row r="9754" spans="13:33">
      <c r="M9754"/>
      <c r="N9754" s="451" t="s">
        <v>84</v>
      </c>
      <c r="O9754" s="457" t="s">
        <v>85</v>
      </c>
      <c r="P9754" s="305"/>
      <c r="Q9754" s="320"/>
      <c r="R9754" s="260"/>
      <c r="S9754" s="260"/>
      <c r="T9754" s="260"/>
      <c r="U9754" s="260"/>
      <c r="V9754" s="260"/>
      <c r="W9754" s="260"/>
      <c r="X9754" s="259"/>
      <c r="Y9754" s="259"/>
      <c r="Z9754" s="262"/>
      <c r="AA9754" s="260"/>
      <c r="AB9754" s="260"/>
      <c r="AC9754" s="260"/>
      <c r="AD9754" s="259"/>
      <c r="AE9754" s="259"/>
      <c r="AF9754" s="262"/>
      <c r="AG9754" s="321"/>
    </row>
    <row r="9755" spans="13:33">
      <c r="M9755"/>
      <c r="N9755" s="451" t="s">
        <v>86</v>
      </c>
      <c r="O9755" s="457" t="s">
        <v>87</v>
      </c>
      <c r="P9755" s="305"/>
      <c r="Q9755" s="320"/>
      <c r="R9755" s="260"/>
      <c r="S9755" s="260"/>
      <c r="T9755" s="260"/>
      <c r="U9755" s="260"/>
      <c r="V9755" s="260"/>
      <c r="W9755" s="260"/>
      <c r="X9755" s="259"/>
      <c r="Y9755" s="259"/>
      <c r="Z9755" s="262"/>
      <c r="AA9755" s="260"/>
      <c r="AB9755" s="260"/>
      <c r="AC9755" s="260"/>
      <c r="AD9755" s="259"/>
      <c r="AE9755" s="259"/>
      <c r="AF9755" s="262"/>
      <c r="AG9755" s="321"/>
    </row>
    <row r="9756" spans="13:33">
      <c r="M9756"/>
      <c r="N9756" s="451" t="s">
        <v>88</v>
      </c>
      <c r="O9756" s="457" t="s">
        <v>89</v>
      </c>
      <c r="P9756" s="305"/>
      <c r="Q9756" s="320"/>
      <c r="R9756" s="260"/>
      <c r="S9756" s="260"/>
      <c r="T9756" s="260"/>
      <c r="U9756" s="260"/>
      <c r="V9756" s="260"/>
      <c r="W9756" s="260"/>
      <c r="X9756" s="259"/>
      <c r="Y9756" s="259"/>
      <c r="Z9756" s="262"/>
      <c r="AA9756" s="260"/>
      <c r="AB9756" s="260"/>
      <c r="AC9756" s="260"/>
      <c r="AD9756" s="259"/>
      <c r="AE9756" s="259"/>
      <c r="AF9756" s="262"/>
      <c r="AG9756" s="321"/>
    </row>
    <row r="9757" spans="13:33">
      <c r="M9757"/>
      <c r="N9757" s="451" t="s">
        <v>90</v>
      </c>
      <c r="O9757" s="457" t="s">
        <v>91</v>
      </c>
      <c r="P9757" s="305"/>
      <c r="Q9757" s="320"/>
      <c r="R9757" s="260"/>
      <c r="S9757" s="260"/>
      <c r="T9757" s="260"/>
      <c r="U9757" s="260"/>
      <c r="V9757" s="260"/>
      <c r="W9757" s="260"/>
      <c r="X9757" s="259"/>
      <c r="Y9757" s="259"/>
      <c r="Z9757" s="262"/>
      <c r="AA9757" s="260"/>
      <c r="AB9757" s="260"/>
      <c r="AC9757" s="260"/>
      <c r="AD9757" s="259"/>
      <c r="AE9757" s="259"/>
      <c r="AF9757" s="262"/>
      <c r="AG9757" s="321"/>
    </row>
    <row r="9758" spans="13:33">
      <c r="M9758"/>
      <c r="N9758" s="451" t="s">
        <v>92</v>
      </c>
      <c r="O9758" s="457" t="s">
        <v>93</v>
      </c>
      <c r="P9758" s="305"/>
      <c r="Q9758" s="320"/>
      <c r="R9758" s="260"/>
      <c r="S9758" s="260"/>
      <c r="T9758" s="260"/>
      <c r="U9758" s="260"/>
      <c r="V9758" s="260"/>
      <c r="W9758" s="260"/>
      <c r="X9758" s="259"/>
      <c r="Y9758" s="259"/>
      <c r="Z9758" s="262"/>
      <c r="AA9758" s="260"/>
      <c r="AB9758" s="260"/>
      <c r="AC9758" s="260"/>
      <c r="AD9758" s="259"/>
      <c r="AE9758" s="259"/>
      <c r="AF9758" s="262"/>
      <c r="AG9758" s="321"/>
    </row>
    <row r="9759" spans="13:33">
      <c r="M9759"/>
      <c r="N9759" s="451" t="s">
        <v>94</v>
      </c>
      <c r="O9759" s="457" t="s">
        <v>95</v>
      </c>
      <c r="P9759" s="305"/>
      <c r="Q9759" s="320"/>
      <c r="R9759" s="260"/>
      <c r="S9759" s="260"/>
      <c r="T9759" s="260"/>
      <c r="U9759" s="260"/>
      <c r="V9759" s="260"/>
      <c r="W9759" s="260"/>
      <c r="X9759" s="259"/>
      <c r="Y9759" s="259"/>
      <c r="Z9759" s="262"/>
      <c r="AA9759" s="260"/>
      <c r="AB9759" s="260"/>
      <c r="AC9759" s="260"/>
      <c r="AD9759" s="259"/>
      <c r="AE9759" s="259"/>
      <c r="AF9759" s="262"/>
      <c r="AG9759" s="321"/>
    </row>
    <row r="9760" spans="13:33">
      <c r="M9760"/>
      <c r="N9760" s="451" t="s">
        <v>2975</v>
      </c>
      <c r="O9760" s="457" t="s">
        <v>2976</v>
      </c>
      <c r="P9760" s="305"/>
      <c r="Q9760" s="320"/>
      <c r="R9760" s="260"/>
      <c r="S9760" s="260"/>
      <c r="T9760" s="260"/>
      <c r="U9760" s="260"/>
      <c r="V9760" s="260"/>
      <c r="W9760" s="260"/>
      <c r="X9760" s="259"/>
      <c r="Y9760" s="259"/>
      <c r="Z9760" s="262"/>
      <c r="AA9760" s="260"/>
      <c r="AB9760" s="260"/>
      <c r="AC9760" s="260"/>
      <c r="AD9760" s="259"/>
      <c r="AE9760" s="259"/>
      <c r="AF9760" s="262"/>
      <c r="AG9760" s="321"/>
    </row>
    <row r="9761" spans="13:33">
      <c r="M9761"/>
      <c r="N9761" s="451" t="s">
        <v>2977</v>
      </c>
      <c r="O9761" s="457" t="s">
        <v>2978</v>
      </c>
      <c r="P9761" s="305"/>
      <c r="Q9761" s="320"/>
      <c r="R9761" s="260"/>
      <c r="S9761" s="260"/>
      <c r="T9761" s="260"/>
      <c r="U9761" s="260"/>
      <c r="V9761" s="260"/>
      <c r="W9761" s="260"/>
      <c r="X9761" s="259"/>
      <c r="Y9761" s="259"/>
      <c r="Z9761" s="262"/>
      <c r="AA9761" s="260"/>
      <c r="AB9761" s="260"/>
      <c r="AC9761" s="260"/>
      <c r="AD9761" s="259"/>
      <c r="AE9761" s="259"/>
      <c r="AF9761" s="262"/>
      <c r="AG9761" s="321"/>
    </row>
    <row r="9762" spans="13:33">
      <c r="M9762"/>
      <c r="N9762" s="451" t="s">
        <v>2979</v>
      </c>
      <c r="O9762" s="457" t="s">
        <v>2980</v>
      </c>
      <c r="P9762" s="305"/>
      <c r="Q9762" s="320"/>
      <c r="R9762" s="260"/>
      <c r="S9762" s="260"/>
      <c r="T9762" s="260"/>
      <c r="U9762" s="260"/>
      <c r="V9762" s="260"/>
      <c r="W9762" s="260"/>
      <c r="X9762" s="259"/>
      <c r="Y9762" s="259"/>
      <c r="Z9762" s="262"/>
      <c r="AA9762" s="260"/>
      <c r="AB9762" s="260"/>
      <c r="AC9762" s="260"/>
      <c r="AD9762" s="259"/>
      <c r="AE9762" s="259"/>
      <c r="AF9762" s="262"/>
      <c r="AG9762" s="321"/>
    </row>
    <row r="9763" spans="13:33">
      <c r="M9763"/>
      <c r="N9763" s="451" t="s">
        <v>2981</v>
      </c>
      <c r="O9763" s="457" t="s">
        <v>2982</v>
      </c>
      <c r="P9763" s="305"/>
      <c r="Q9763" s="320"/>
      <c r="R9763" s="260"/>
      <c r="S9763" s="260"/>
      <c r="T9763" s="260"/>
      <c r="U9763" s="260"/>
      <c r="V9763" s="260"/>
      <c r="W9763" s="260"/>
      <c r="X9763" s="259"/>
      <c r="Y9763" s="259"/>
      <c r="Z9763" s="262"/>
      <c r="AA9763" s="260"/>
      <c r="AB9763" s="260"/>
      <c r="AC9763" s="260"/>
      <c r="AD9763" s="259"/>
      <c r="AE9763" s="259"/>
      <c r="AF9763" s="262"/>
      <c r="AG9763" s="321"/>
    </row>
    <row r="9764" spans="13:33">
      <c r="M9764"/>
      <c r="N9764" s="451" t="s">
        <v>2983</v>
      </c>
      <c r="O9764" s="224" t="s">
        <v>2984</v>
      </c>
      <c r="P9764" s="305"/>
      <c r="Q9764" s="320"/>
      <c r="R9764" s="260"/>
      <c r="S9764" s="260"/>
      <c r="T9764" s="260"/>
      <c r="U9764" s="260"/>
      <c r="V9764" s="260"/>
      <c r="W9764" s="260"/>
      <c r="X9764" s="259"/>
      <c r="Y9764" s="259"/>
      <c r="Z9764" s="262"/>
      <c r="AA9764" s="260"/>
      <c r="AB9764" s="260"/>
      <c r="AC9764" s="260"/>
      <c r="AD9764" s="259"/>
      <c r="AE9764" s="259"/>
      <c r="AF9764" s="262"/>
      <c r="AG9764" s="321"/>
    </row>
    <row r="9765" spans="13:33">
      <c r="M9765"/>
      <c r="N9765" s="451" t="s">
        <v>2989</v>
      </c>
      <c r="O9765" s="224" t="s">
        <v>2990</v>
      </c>
      <c r="P9765" s="305"/>
      <c r="Q9765" s="320"/>
      <c r="R9765" s="260"/>
      <c r="S9765" s="260"/>
      <c r="T9765" s="260"/>
      <c r="U9765" s="260"/>
      <c r="V9765" s="260"/>
      <c r="W9765" s="260"/>
      <c r="X9765" s="259"/>
      <c r="Y9765" s="259"/>
      <c r="Z9765" s="262"/>
      <c r="AA9765" s="260"/>
      <c r="AB9765" s="260"/>
      <c r="AC9765" s="260"/>
      <c r="AD9765" s="259"/>
      <c r="AE9765" s="259"/>
      <c r="AF9765" s="262"/>
      <c r="AG9765" s="321"/>
    </row>
    <row r="9766" spans="13:33">
      <c r="M9766"/>
      <c r="N9766" s="451" t="s">
        <v>292</v>
      </c>
      <c r="O9766" s="442" t="s">
        <v>291</v>
      </c>
      <c r="P9766" s="305"/>
      <c r="Q9766" s="320"/>
      <c r="R9766" s="260"/>
      <c r="S9766" s="260"/>
      <c r="T9766" s="260"/>
      <c r="U9766" s="260"/>
      <c r="V9766" s="260"/>
      <c r="W9766" s="260"/>
      <c r="X9766" s="259"/>
      <c r="Y9766" s="259"/>
      <c r="Z9766" s="262"/>
      <c r="AA9766" s="260"/>
      <c r="AB9766" s="260"/>
      <c r="AC9766" s="260"/>
      <c r="AD9766" s="259"/>
      <c r="AE9766" s="259"/>
      <c r="AF9766" s="262"/>
      <c r="AG9766" s="321"/>
    </row>
    <row r="9767" spans="13:33" hidden="1">
      <c r="M9767"/>
      <c r="N9767" s="239"/>
      <c r="O9767" s="225"/>
      <c r="P9767" s="287"/>
      <c r="Q9767" s="320"/>
      <c r="R9767" s="260"/>
      <c r="S9767" s="260"/>
      <c r="T9767" s="260"/>
      <c r="U9767" s="260"/>
      <c r="V9767" s="260"/>
      <c r="W9767" s="260"/>
      <c r="X9767" s="259"/>
      <c r="Y9767" s="259"/>
      <c r="Z9767" s="260"/>
      <c r="AA9767" s="260"/>
      <c r="AB9767" s="260"/>
      <c r="AC9767" s="260"/>
      <c r="AD9767" s="259"/>
      <c r="AE9767" s="259"/>
      <c r="AF9767" s="260"/>
      <c r="AG9767" s="321"/>
    </row>
    <row r="9768" spans="13:33" hidden="1">
      <c r="M9768"/>
      <c r="N9768" s="239"/>
      <c r="O9768" s="225"/>
      <c r="P9768" s="287"/>
      <c r="Q9768" s="320"/>
      <c r="R9768" s="260"/>
      <c r="S9768" s="260"/>
      <c r="T9768" s="260"/>
      <c r="U9768" s="260"/>
      <c r="V9768" s="260"/>
      <c r="W9768" s="260"/>
      <c r="X9768" s="259"/>
      <c r="Y9768" s="259"/>
      <c r="Z9768" s="260"/>
      <c r="AA9768" s="260"/>
      <c r="AB9768" s="260"/>
      <c r="AC9768" s="260"/>
      <c r="AD9768" s="259"/>
      <c r="AE9768" s="259"/>
      <c r="AF9768" s="260"/>
      <c r="AG9768" s="321"/>
    </row>
    <row r="9769" spans="13:33" hidden="1">
      <c r="M9769"/>
      <c r="N9769" s="239"/>
      <c r="O9769" s="225"/>
      <c r="P9769" s="287"/>
      <c r="Q9769" s="320"/>
      <c r="R9769" s="260"/>
      <c r="S9769" s="260"/>
      <c r="T9769" s="260"/>
      <c r="U9769" s="260"/>
      <c r="V9769" s="260"/>
      <c r="W9769" s="260"/>
      <c r="X9769" s="259"/>
      <c r="Y9769" s="259"/>
      <c r="Z9769" s="260"/>
      <c r="AA9769" s="260"/>
      <c r="AB9769" s="260"/>
      <c r="AC9769" s="260"/>
      <c r="AD9769" s="259"/>
      <c r="AE9769" s="259"/>
      <c r="AF9769" s="260"/>
      <c r="AG9769" s="321"/>
    </row>
    <row r="9770" spans="13:33" hidden="1">
      <c r="M9770"/>
      <c r="N9770" s="239"/>
      <c r="O9770" s="225"/>
      <c r="P9770" s="287"/>
      <c r="Q9770" s="320"/>
      <c r="R9770" s="260"/>
      <c r="S9770" s="260"/>
      <c r="T9770" s="260"/>
      <c r="U9770" s="260"/>
      <c r="V9770" s="260"/>
      <c r="W9770" s="260"/>
      <c r="X9770" s="259"/>
      <c r="Y9770" s="259"/>
      <c r="Z9770" s="260"/>
      <c r="AA9770" s="260"/>
      <c r="AB9770" s="260"/>
      <c r="AC9770" s="260"/>
      <c r="AD9770" s="259"/>
      <c r="AE9770" s="259"/>
      <c r="AF9770" s="260"/>
      <c r="AG9770" s="321"/>
    </row>
    <row r="9771" spans="13:33" hidden="1">
      <c r="M9771"/>
      <c r="N9771" s="239"/>
      <c r="O9771" s="225"/>
      <c r="P9771" s="287"/>
      <c r="Q9771" s="320"/>
      <c r="R9771" s="260"/>
      <c r="S9771" s="260"/>
      <c r="T9771" s="260"/>
      <c r="U9771" s="260"/>
      <c r="V9771" s="260"/>
      <c r="W9771" s="260"/>
      <c r="X9771" s="259"/>
      <c r="Y9771" s="259"/>
      <c r="Z9771" s="260"/>
      <c r="AA9771" s="260"/>
      <c r="AB9771" s="260"/>
      <c r="AC9771" s="260"/>
      <c r="AD9771" s="259"/>
      <c r="AE9771" s="259"/>
      <c r="AF9771" s="260"/>
      <c r="AG9771" s="321"/>
    </row>
    <row r="9772" spans="13:33" hidden="1">
      <c r="M9772"/>
      <c r="N9772" s="239"/>
      <c r="O9772" s="225"/>
      <c r="P9772" s="287"/>
      <c r="Q9772" s="320"/>
      <c r="R9772" s="260"/>
      <c r="S9772" s="260"/>
      <c r="T9772" s="260"/>
      <c r="U9772" s="260"/>
      <c r="V9772" s="260"/>
      <c r="W9772" s="260"/>
      <c r="X9772" s="259"/>
      <c r="Y9772" s="259"/>
      <c r="Z9772" s="260"/>
      <c r="AA9772" s="260"/>
      <c r="AB9772" s="260"/>
      <c r="AC9772" s="260"/>
      <c r="AD9772" s="259"/>
      <c r="AE9772" s="259"/>
      <c r="AF9772" s="260"/>
      <c r="AG9772" s="321"/>
    </row>
    <row r="9773" spans="13:33" hidden="1">
      <c r="M9773"/>
      <c r="N9773" s="239"/>
      <c r="O9773" s="225"/>
      <c r="P9773" s="287"/>
      <c r="Q9773" s="320"/>
      <c r="R9773" s="260"/>
      <c r="S9773" s="260"/>
      <c r="T9773" s="260"/>
      <c r="U9773" s="260"/>
      <c r="V9773" s="260"/>
      <c r="W9773" s="260"/>
      <c r="X9773" s="259"/>
      <c r="Y9773" s="259"/>
      <c r="Z9773" s="260"/>
      <c r="AA9773" s="260"/>
      <c r="AB9773" s="260"/>
      <c r="AC9773" s="260"/>
      <c r="AD9773" s="259"/>
      <c r="AE9773" s="259"/>
      <c r="AF9773" s="260"/>
      <c r="AG9773" s="321"/>
    </row>
    <row r="9774" spans="13:33" hidden="1">
      <c r="M9774"/>
      <c r="N9774" s="239"/>
      <c r="O9774" s="225"/>
      <c r="P9774" s="287"/>
      <c r="Q9774" s="320"/>
      <c r="R9774" s="260"/>
      <c r="S9774" s="260"/>
      <c r="T9774" s="260"/>
      <c r="U9774" s="260"/>
      <c r="V9774" s="260"/>
      <c r="W9774" s="260"/>
      <c r="X9774" s="259"/>
      <c r="Y9774" s="259"/>
      <c r="Z9774" s="260"/>
      <c r="AA9774" s="260"/>
      <c r="AB9774" s="260"/>
      <c r="AC9774" s="260"/>
      <c r="AD9774" s="259"/>
      <c r="AE9774" s="259"/>
      <c r="AF9774" s="260"/>
      <c r="AG9774" s="321"/>
    </row>
    <row r="9775" spans="13:33" hidden="1">
      <c r="M9775"/>
      <c r="N9775" s="239"/>
      <c r="O9775" s="225"/>
      <c r="P9775" s="287"/>
      <c r="Q9775" s="320"/>
      <c r="R9775" s="260"/>
      <c r="S9775" s="260"/>
      <c r="T9775" s="260"/>
      <c r="U9775" s="260"/>
      <c r="V9775" s="260"/>
      <c r="W9775" s="260"/>
      <c r="X9775" s="259"/>
      <c r="Y9775" s="259"/>
      <c r="Z9775" s="260"/>
      <c r="AA9775" s="260"/>
      <c r="AB9775" s="260"/>
      <c r="AC9775" s="260"/>
      <c r="AD9775" s="259"/>
      <c r="AE9775" s="259"/>
      <c r="AF9775" s="260"/>
      <c r="AG9775" s="321"/>
    </row>
    <row r="9776" spans="13:33" hidden="1">
      <c r="M9776"/>
      <c r="N9776" s="239"/>
      <c r="O9776" s="225"/>
      <c r="P9776" s="287"/>
      <c r="Q9776" s="320"/>
      <c r="R9776" s="260"/>
      <c r="S9776" s="260"/>
      <c r="T9776" s="260"/>
      <c r="U9776" s="260"/>
      <c r="V9776" s="260"/>
      <c r="W9776" s="260"/>
      <c r="X9776" s="259"/>
      <c r="Y9776" s="259"/>
      <c r="Z9776" s="260"/>
      <c r="AA9776" s="260"/>
      <c r="AB9776" s="260"/>
      <c r="AC9776" s="260"/>
      <c r="AD9776" s="259"/>
      <c r="AE9776" s="259"/>
      <c r="AF9776" s="260"/>
      <c r="AG9776" s="321"/>
    </row>
    <row r="9777" spans="13:33" hidden="1">
      <c r="M9777"/>
      <c r="N9777" s="239"/>
      <c r="O9777" s="225"/>
      <c r="P9777" s="287"/>
      <c r="Q9777" s="320"/>
      <c r="R9777" s="260"/>
      <c r="S9777" s="260"/>
      <c r="T9777" s="260"/>
      <c r="U9777" s="260"/>
      <c r="V9777" s="260"/>
      <c r="W9777" s="260"/>
      <c r="X9777" s="259"/>
      <c r="Y9777" s="259"/>
      <c r="Z9777" s="260"/>
      <c r="AA9777" s="260"/>
      <c r="AB9777" s="260"/>
      <c r="AC9777" s="260"/>
      <c r="AD9777" s="259"/>
      <c r="AE9777" s="259"/>
      <c r="AF9777" s="260"/>
      <c r="AG9777" s="321"/>
    </row>
    <row r="9778" spans="13:33" hidden="1">
      <c r="M9778"/>
      <c r="N9778" s="239"/>
      <c r="O9778" s="225"/>
      <c r="P9778" s="287"/>
      <c r="Q9778" s="320"/>
      <c r="R9778" s="260"/>
      <c r="S9778" s="260"/>
      <c r="T9778" s="260"/>
      <c r="U9778" s="260"/>
      <c r="V9778" s="260"/>
      <c r="W9778" s="260"/>
      <c r="X9778" s="259"/>
      <c r="Y9778" s="259"/>
      <c r="Z9778" s="260"/>
      <c r="AA9778" s="260"/>
      <c r="AB9778" s="260"/>
      <c r="AC9778" s="260"/>
      <c r="AD9778" s="259"/>
      <c r="AE9778" s="259"/>
      <c r="AF9778" s="260"/>
      <c r="AG9778" s="321"/>
    </row>
    <row r="9779" spans="13:33" hidden="1">
      <c r="M9779"/>
      <c r="N9779" s="239"/>
      <c r="O9779" s="225"/>
      <c r="P9779" s="287"/>
      <c r="Q9779" s="320"/>
      <c r="R9779" s="260"/>
      <c r="S9779" s="260"/>
      <c r="T9779" s="260"/>
      <c r="U9779" s="260"/>
      <c r="V9779" s="260"/>
      <c r="W9779" s="260"/>
      <c r="X9779" s="259"/>
      <c r="Y9779" s="259"/>
      <c r="Z9779" s="260"/>
      <c r="AA9779" s="260"/>
      <c r="AB9779" s="260"/>
      <c r="AC9779" s="260"/>
      <c r="AD9779" s="259"/>
      <c r="AE9779" s="259"/>
      <c r="AF9779" s="260"/>
      <c r="AG9779" s="321"/>
    </row>
    <row r="9780" spans="13:33" hidden="1">
      <c r="M9780"/>
      <c r="N9780" s="239"/>
      <c r="O9780" s="225"/>
      <c r="P9780" s="287"/>
      <c r="Q9780" s="320"/>
      <c r="R9780" s="260"/>
      <c r="S9780" s="260"/>
      <c r="T9780" s="260"/>
      <c r="U9780" s="260"/>
      <c r="V9780" s="260"/>
      <c r="W9780" s="260"/>
      <c r="X9780" s="259"/>
      <c r="Y9780" s="259"/>
      <c r="Z9780" s="260"/>
      <c r="AA9780" s="260"/>
      <c r="AB9780" s="260"/>
      <c r="AC9780" s="260"/>
      <c r="AD9780" s="259"/>
      <c r="AE9780" s="259"/>
      <c r="AF9780" s="260"/>
      <c r="AG9780" s="321"/>
    </row>
    <row r="9781" spans="13:33" hidden="1">
      <c r="M9781"/>
      <c r="N9781" s="239"/>
      <c r="O9781" s="225"/>
      <c r="P9781" s="287"/>
      <c r="Q9781" s="320"/>
      <c r="R9781" s="260"/>
      <c r="S9781" s="260"/>
      <c r="T9781" s="260"/>
      <c r="U9781" s="260"/>
      <c r="V9781" s="260"/>
      <c r="W9781" s="260"/>
      <c r="X9781" s="259"/>
      <c r="Y9781" s="259"/>
      <c r="Z9781" s="260"/>
      <c r="AA9781" s="260"/>
      <c r="AB9781" s="260"/>
      <c r="AC9781" s="260"/>
      <c r="AD9781" s="259"/>
      <c r="AE9781" s="259"/>
      <c r="AF9781" s="260"/>
      <c r="AG9781" s="321"/>
    </row>
    <row r="9782" spans="13:33" hidden="1">
      <c r="M9782"/>
      <c r="N9782" s="239"/>
      <c r="O9782" s="225"/>
      <c r="P9782" s="287"/>
      <c r="Q9782" s="320"/>
      <c r="R9782" s="260"/>
      <c r="S9782" s="260"/>
      <c r="T9782" s="260"/>
      <c r="U9782" s="260"/>
      <c r="V9782" s="260"/>
      <c r="W9782" s="260"/>
      <c r="X9782" s="259"/>
      <c r="Y9782" s="259"/>
      <c r="Z9782" s="260"/>
      <c r="AA9782" s="260"/>
      <c r="AB9782" s="260"/>
      <c r="AC9782" s="260"/>
      <c r="AD9782" s="259"/>
      <c r="AE9782" s="259"/>
      <c r="AF9782" s="260"/>
      <c r="AG9782" s="321"/>
    </row>
    <row r="9783" spans="13:33" hidden="1">
      <c r="M9783"/>
      <c r="N9783" s="239"/>
      <c r="O9783" s="225"/>
      <c r="P9783" s="287"/>
      <c r="Q9783" s="320"/>
      <c r="R9783" s="260"/>
      <c r="S9783" s="260"/>
      <c r="T9783" s="260"/>
      <c r="U9783" s="260"/>
      <c r="V9783" s="260"/>
      <c r="W9783" s="260"/>
      <c r="X9783" s="259"/>
      <c r="Y9783" s="259"/>
      <c r="Z9783" s="260"/>
      <c r="AA9783" s="260"/>
      <c r="AB9783" s="260"/>
      <c r="AC9783" s="260"/>
      <c r="AD9783" s="259"/>
      <c r="AE9783" s="259"/>
      <c r="AF9783" s="260"/>
      <c r="AG9783" s="321"/>
    </row>
    <row r="9784" spans="13:33" hidden="1">
      <c r="M9784"/>
      <c r="N9784" s="239"/>
      <c r="O9784" s="225"/>
      <c r="P9784" s="287"/>
      <c r="Q9784" s="320"/>
      <c r="R9784" s="260"/>
      <c r="S9784" s="260"/>
      <c r="T9784" s="260"/>
      <c r="U9784" s="260"/>
      <c r="V9784" s="260"/>
      <c r="W9784" s="260"/>
      <c r="X9784" s="259"/>
      <c r="Y9784" s="259"/>
      <c r="Z9784" s="260"/>
      <c r="AA9784" s="260"/>
      <c r="AB9784" s="260"/>
      <c r="AC9784" s="260"/>
      <c r="AD9784" s="259"/>
      <c r="AE9784" s="259"/>
      <c r="AF9784" s="260"/>
      <c r="AG9784" s="321"/>
    </row>
    <row r="9785" spans="13:33" hidden="1">
      <c r="M9785"/>
      <c r="N9785" s="239"/>
      <c r="O9785" s="225"/>
      <c r="P9785" s="287"/>
      <c r="Q9785" s="320"/>
      <c r="R9785" s="260"/>
      <c r="S9785" s="260"/>
      <c r="T9785" s="260"/>
      <c r="U9785" s="260"/>
      <c r="V9785" s="260"/>
      <c r="W9785" s="260"/>
      <c r="X9785" s="259"/>
      <c r="Y9785" s="259"/>
      <c r="Z9785" s="260"/>
      <c r="AA9785" s="260"/>
      <c r="AB9785" s="260"/>
      <c r="AC9785" s="260"/>
      <c r="AD9785" s="259"/>
      <c r="AE9785" s="259"/>
      <c r="AF9785" s="260"/>
      <c r="AG9785" s="321"/>
    </row>
    <row r="9786" spans="13:33" hidden="1">
      <c r="M9786"/>
      <c r="N9786" s="239"/>
      <c r="O9786" s="225"/>
      <c r="P9786" s="287"/>
      <c r="Q9786" s="320"/>
      <c r="R9786" s="260"/>
      <c r="S9786" s="260"/>
      <c r="T9786" s="260"/>
      <c r="U9786" s="260"/>
      <c r="V9786" s="260"/>
      <c r="W9786" s="260"/>
      <c r="X9786" s="259"/>
      <c r="Y9786" s="259"/>
      <c r="Z9786" s="260"/>
      <c r="AA9786" s="260"/>
      <c r="AB9786" s="260"/>
      <c r="AC9786" s="260"/>
      <c r="AD9786" s="259"/>
      <c r="AE9786" s="259"/>
      <c r="AF9786" s="260"/>
      <c r="AG9786" s="321"/>
    </row>
    <row r="9787" spans="13:33" hidden="1">
      <c r="M9787"/>
      <c r="N9787" s="239"/>
      <c r="O9787" s="225"/>
      <c r="P9787" s="287"/>
      <c r="Q9787" s="320"/>
      <c r="R9787" s="260"/>
      <c r="S9787" s="260"/>
      <c r="T9787" s="260"/>
      <c r="U9787" s="260"/>
      <c r="V9787" s="260"/>
      <c r="W9787" s="260"/>
      <c r="X9787" s="259"/>
      <c r="Y9787" s="259"/>
      <c r="Z9787" s="260"/>
      <c r="AA9787" s="260"/>
      <c r="AB9787" s="260"/>
      <c r="AC9787" s="260"/>
      <c r="AD9787" s="259"/>
      <c r="AE9787" s="259"/>
      <c r="AF9787" s="260"/>
      <c r="AG9787" s="321"/>
    </row>
    <row r="9788" spans="13:33" hidden="1">
      <c r="M9788"/>
      <c r="N9788" s="239"/>
      <c r="O9788" s="225"/>
      <c r="P9788" s="287"/>
      <c r="Q9788" s="320"/>
      <c r="R9788" s="260"/>
      <c r="S9788" s="260"/>
      <c r="T9788" s="260"/>
      <c r="U9788" s="260"/>
      <c r="V9788" s="260"/>
      <c r="W9788" s="260"/>
      <c r="X9788" s="259"/>
      <c r="Y9788" s="259"/>
      <c r="Z9788" s="260"/>
      <c r="AA9788" s="260"/>
      <c r="AB9788" s="260"/>
      <c r="AC9788" s="260"/>
      <c r="AD9788" s="259"/>
      <c r="AE9788" s="259"/>
      <c r="AF9788" s="260"/>
      <c r="AG9788" s="321"/>
    </row>
    <row r="9789" spans="13:33" hidden="1">
      <c r="M9789"/>
      <c r="N9789" s="239"/>
      <c r="O9789" s="225"/>
      <c r="P9789" s="287"/>
      <c r="Q9789" s="320"/>
      <c r="R9789" s="260"/>
      <c r="S9789" s="260"/>
      <c r="T9789" s="260"/>
      <c r="U9789" s="260"/>
      <c r="V9789" s="260"/>
      <c r="W9789" s="260"/>
      <c r="X9789" s="259"/>
      <c r="Y9789" s="259"/>
      <c r="Z9789" s="260"/>
      <c r="AA9789" s="260"/>
      <c r="AB9789" s="260"/>
      <c r="AC9789" s="260"/>
      <c r="AD9789" s="259"/>
      <c r="AE9789" s="259"/>
      <c r="AF9789" s="260"/>
      <c r="AG9789" s="321"/>
    </row>
    <row r="9790" spans="13:33" hidden="1">
      <c r="M9790"/>
      <c r="N9790" s="239"/>
      <c r="O9790" s="225"/>
      <c r="P9790" s="287"/>
      <c r="Q9790" s="320"/>
      <c r="R9790" s="260"/>
      <c r="S9790" s="260"/>
      <c r="T9790" s="260"/>
      <c r="U9790" s="260"/>
      <c r="V9790" s="260"/>
      <c r="W9790" s="260"/>
      <c r="X9790" s="259"/>
      <c r="Y9790" s="259"/>
      <c r="Z9790" s="260"/>
      <c r="AA9790" s="260"/>
      <c r="AB9790" s="260"/>
      <c r="AC9790" s="260"/>
      <c r="AD9790" s="259"/>
      <c r="AE9790" s="259"/>
      <c r="AF9790" s="260"/>
      <c r="AG9790" s="321"/>
    </row>
    <row r="9791" spans="13:33" hidden="1">
      <c r="M9791"/>
      <c r="N9791" s="239"/>
      <c r="O9791" s="225"/>
      <c r="P9791" s="287"/>
      <c r="Q9791" s="320"/>
      <c r="R9791" s="260"/>
      <c r="S9791" s="260"/>
      <c r="T9791" s="260"/>
      <c r="U9791" s="260"/>
      <c r="V9791" s="260"/>
      <c r="W9791" s="260"/>
      <c r="X9791" s="259"/>
      <c r="Y9791" s="259"/>
      <c r="Z9791" s="260"/>
      <c r="AA9791" s="260"/>
      <c r="AB9791" s="260"/>
      <c r="AC9791" s="260"/>
      <c r="AD9791" s="259"/>
      <c r="AE9791" s="259"/>
      <c r="AF9791" s="260"/>
      <c r="AG9791" s="321"/>
    </row>
    <row r="9792" spans="13:33" hidden="1">
      <c r="M9792"/>
      <c r="N9792" s="239"/>
      <c r="O9792" s="225"/>
      <c r="P9792" s="287"/>
      <c r="Q9792" s="320"/>
      <c r="R9792" s="260"/>
      <c r="S9792" s="260"/>
      <c r="T9792" s="260"/>
      <c r="U9792" s="260"/>
      <c r="V9792" s="260"/>
      <c r="W9792" s="260"/>
      <c r="X9792" s="259"/>
      <c r="Y9792" s="259"/>
      <c r="Z9792" s="260"/>
      <c r="AA9792" s="260"/>
      <c r="AB9792" s="260"/>
      <c r="AC9792" s="260"/>
      <c r="AD9792" s="259"/>
      <c r="AE9792" s="259"/>
      <c r="AF9792" s="260"/>
      <c r="AG9792" s="321"/>
    </row>
    <row r="9793" spans="13:33" hidden="1">
      <c r="M9793"/>
      <c r="N9793" s="239"/>
      <c r="O9793" s="225"/>
      <c r="P9793" s="287"/>
      <c r="Q9793" s="320"/>
      <c r="R9793" s="260"/>
      <c r="S9793" s="260"/>
      <c r="T9793" s="260"/>
      <c r="U9793" s="260"/>
      <c r="V9793" s="260"/>
      <c r="W9793" s="260"/>
      <c r="X9793" s="259"/>
      <c r="Y9793" s="259"/>
      <c r="Z9793" s="260"/>
      <c r="AA9793" s="260"/>
      <c r="AB9793" s="260"/>
      <c r="AC9793" s="260"/>
      <c r="AD9793" s="259"/>
      <c r="AE9793" s="259"/>
      <c r="AF9793" s="260"/>
      <c r="AG9793" s="321"/>
    </row>
    <row r="9794" spans="13:33" hidden="1">
      <c r="M9794"/>
      <c r="N9794" s="239"/>
      <c r="O9794" s="225"/>
      <c r="P9794" s="287"/>
      <c r="Q9794" s="320"/>
      <c r="R9794" s="260"/>
      <c r="S9794" s="260"/>
      <c r="T9794" s="260"/>
      <c r="U9794" s="260"/>
      <c r="V9794" s="260"/>
      <c r="W9794" s="260"/>
      <c r="X9794" s="259"/>
      <c r="Y9794" s="259"/>
      <c r="Z9794" s="260"/>
      <c r="AA9794" s="260"/>
      <c r="AB9794" s="260"/>
      <c r="AC9794" s="260"/>
      <c r="AD9794" s="259"/>
      <c r="AE9794" s="259"/>
      <c r="AF9794" s="260"/>
      <c r="AG9794" s="321"/>
    </row>
    <row r="9795" spans="13:33" hidden="1">
      <c r="M9795"/>
      <c r="N9795" s="239"/>
      <c r="O9795" s="225"/>
      <c r="P9795" s="287"/>
      <c r="Q9795" s="320"/>
      <c r="R9795" s="260"/>
      <c r="S9795" s="260"/>
      <c r="T9795" s="260"/>
      <c r="U9795" s="260"/>
      <c r="V9795" s="260"/>
      <c r="W9795" s="260"/>
      <c r="X9795" s="259"/>
      <c r="Y9795" s="259"/>
      <c r="Z9795" s="260"/>
      <c r="AA9795" s="260"/>
      <c r="AB9795" s="260"/>
      <c r="AC9795" s="260"/>
      <c r="AD9795" s="259"/>
      <c r="AE9795" s="259"/>
      <c r="AF9795" s="260"/>
      <c r="AG9795" s="321"/>
    </row>
    <row r="9796" spans="13:33" hidden="1">
      <c r="M9796"/>
      <c r="N9796" s="239"/>
      <c r="O9796" s="225"/>
      <c r="P9796" s="287"/>
      <c r="Q9796" s="320"/>
      <c r="R9796" s="260"/>
      <c r="S9796" s="260"/>
      <c r="T9796" s="260"/>
      <c r="U9796" s="260"/>
      <c r="V9796" s="260"/>
      <c r="W9796" s="260"/>
      <c r="X9796" s="259"/>
      <c r="Y9796" s="259"/>
      <c r="Z9796" s="260"/>
      <c r="AA9796" s="260"/>
      <c r="AB9796" s="260"/>
      <c r="AC9796" s="260"/>
      <c r="AD9796" s="259"/>
      <c r="AE9796" s="259"/>
      <c r="AF9796" s="260"/>
      <c r="AG9796" s="321"/>
    </row>
    <row r="9797" spans="13:33" hidden="1">
      <c r="M9797"/>
      <c r="N9797" s="239"/>
      <c r="O9797" s="225"/>
      <c r="P9797" s="287"/>
      <c r="Q9797" s="320"/>
      <c r="R9797" s="260"/>
      <c r="S9797" s="260"/>
      <c r="T9797" s="260"/>
      <c r="U9797" s="260"/>
      <c r="V9797" s="260"/>
      <c r="W9797" s="260"/>
      <c r="X9797" s="259"/>
      <c r="Y9797" s="259"/>
      <c r="Z9797" s="260"/>
      <c r="AA9797" s="260"/>
      <c r="AB9797" s="260"/>
      <c r="AC9797" s="260"/>
      <c r="AD9797" s="259"/>
      <c r="AE9797" s="259"/>
      <c r="AF9797" s="260"/>
      <c r="AG9797" s="321"/>
    </row>
    <row r="9798" spans="13:33" hidden="1">
      <c r="M9798"/>
      <c r="N9798" s="239"/>
      <c r="O9798" s="225"/>
      <c r="P9798" s="287"/>
      <c r="Q9798" s="320"/>
      <c r="R9798" s="260"/>
      <c r="S9798" s="260"/>
      <c r="T9798" s="260"/>
      <c r="U9798" s="260"/>
      <c r="V9798" s="260"/>
      <c r="W9798" s="260"/>
      <c r="X9798" s="259"/>
      <c r="Y9798" s="259"/>
      <c r="Z9798" s="260"/>
      <c r="AA9798" s="260"/>
      <c r="AB9798" s="260"/>
      <c r="AC9798" s="260"/>
      <c r="AD9798" s="259"/>
      <c r="AE9798" s="259"/>
      <c r="AF9798" s="260"/>
      <c r="AG9798" s="321"/>
    </row>
    <row r="9799" spans="13:33" hidden="1">
      <c r="M9799"/>
      <c r="N9799" s="239"/>
      <c r="O9799" s="225"/>
      <c r="P9799" s="287"/>
      <c r="Q9799" s="320"/>
      <c r="R9799" s="260"/>
      <c r="S9799" s="260"/>
      <c r="T9799" s="260"/>
      <c r="U9799" s="260"/>
      <c r="V9799" s="260"/>
      <c r="W9799" s="260"/>
      <c r="X9799" s="259"/>
      <c r="Y9799" s="259"/>
      <c r="Z9799" s="260"/>
      <c r="AA9799" s="260"/>
      <c r="AB9799" s="260"/>
      <c r="AC9799" s="260"/>
      <c r="AD9799" s="259"/>
      <c r="AE9799" s="259"/>
      <c r="AF9799" s="260"/>
      <c r="AG9799" s="321"/>
    </row>
    <row r="9800" spans="13:33" hidden="1">
      <c r="M9800"/>
      <c r="N9800" s="239"/>
      <c r="O9800" s="225"/>
      <c r="P9800" s="287"/>
      <c r="Q9800" s="320"/>
      <c r="R9800" s="260"/>
      <c r="S9800" s="260"/>
      <c r="T9800" s="260"/>
      <c r="U9800" s="260"/>
      <c r="V9800" s="260"/>
      <c r="W9800" s="260"/>
      <c r="X9800" s="259"/>
      <c r="Y9800" s="259"/>
      <c r="Z9800" s="260"/>
      <c r="AA9800" s="260"/>
      <c r="AB9800" s="260"/>
      <c r="AC9800" s="260"/>
      <c r="AD9800" s="259"/>
      <c r="AE9800" s="259"/>
      <c r="AF9800" s="260"/>
      <c r="AG9800" s="321"/>
    </row>
    <row r="9801" spans="13:33" hidden="1">
      <c r="M9801"/>
      <c r="N9801" s="239"/>
      <c r="O9801" s="225"/>
      <c r="P9801" s="287"/>
      <c r="Q9801" s="320"/>
      <c r="R9801" s="260"/>
      <c r="S9801" s="260"/>
      <c r="T9801" s="260"/>
      <c r="U9801" s="260"/>
      <c r="V9801" s="260"/>
      <c r="W9801" s="260"/>
      <c r="X9801" s="259"/>
      <c r="Y9801" s="259"/>
      <c r="Z9801" s="260"/>
      <c r="AA9801" s="260"/>
      <c r="AB9801" s="260"/>
      <c r="AC9801" s="260"/>
      <c r="AD9801" s="259"/>
      <c r="AE9801" s="259"/>
      <c r="AF9801" s="260"/>
      <c r="AG9801" s="321"/>
    </row>
    <row r="9802" spans="13:33" hidden="1">
      <c r="M9802"/>
      <c r="N9802" s="239"/>
      <c r="O9802" s="225"/>
      <c r="P9802" s="287"/>
      <c r="Q9802" s="320"/>
      <c r="R9802" s="260"/>
      <c r="S9802" s="260"/>
      <c r="T9802" s="260"/>
      <c r="U9802" s="260"/>
      <c r="V9802" s="260"/>
      <c r="W9802" s="260"/>
      <c r="X9802" s="259"/>
      <c r="Y9802" s="259"/>
      <c r="Z9802" s="260"/>
      <c r="AA9802" s="260"/>
      <c r="AB9802" s="260"/>
      <c r="AC9802" s="260"/>
      <c r="AD9802" s="259"/>
      <c r="AE9802" s="259"/>
      <c r="AF9802" s="260"/>
      <c r="AG9802" s="321"/>
    </row>
    <row r="9803" spans="13:33" hidden="1">
      <c r="M9803"/>
      <c r="N9803" s="239"/>
      <c r="O9803" s="225"/>
      <c r="P9803" s="287"/>
      <c r="Q9803" s="320"/>
      <c r="R9803" s="260"/>
      <c r="S9803" s="260"/>
      <c r="T9803" s="260"/>
      <c r="U9803" s="260"/>
      <c r="V9803" s="260"/>
      <c r="W9803" s="260"/>
      <c r="X9803" s="259"/>
      <c r="Y9803" s="259"/>
      <c r="Z9803" s="260"/>
      <c r="AA9803" s="260"/>
      <c r="AB9803" s="260"/>
      <c r="AC9803" s="260"/>
      <c r="AD9803" s="259"/>
      <c r="AE9803" s="259"/>
      <c r="AF9803" s="260"/>
      <c r="AG9803" s="321"/>
    </row>
    <row r="9804" spans="13:33" hidden="1">
      <c r="M9804"/>
      <c r="N9804" s="239"/>
      <c r="O9804" s="225"/>
      <c r="P9804" s="287"/>
      <c r="Q9804" s="320"/>
      <c r="R9804" s="260"/>
      <c r="S9804" s="260"/>
      <c r="T9804" s="260"/>
      <c r="U9804" s="260"/>
      <c r="V9804" s="260"/>
      <c r="W9804" s="260"/>
      <c r="X9804" s="259"/>
      <c r="Y9804" s="259"/>
      <c r="Z9804" s="260"/>
      <c r="AA9804" s="260"/>
      <c r="AB9804" s="260"/>
      <c r="AC9804" s="260"/>
      <c r="AD9804" s="259"/>
      <c r="AE9804" s="259"/>
      <c r="AF9804" s="260"/>
      <c r="AG9804" s="321"/>
    </row>
    <row r="9805" spans="13:33" hidden="1">
      <c r="M9805"/>
      <c r="N9805" s="239"/>
      <c r="O9805" s="225"/>
      <c r="P9805" s="287"/>
      <c r="Q9805" s="320"/>
      <c r="R9805" s="260"/>
      <c r="S9805" s="260"/>
      <c r="T9805" s="260"/>
      <c r="U9805" s="260"/>
      <c r="V9805" s="260"/>
      <c r="W9805" s="260"/>
      <c r="X9805" s="259"/>
      <c r="Y9805" s="259"/>
      <c r="Z9805" s="260"/>
      <c r="AA9805" s="260"/>
      <c r="AB9805" s="260"/>
      <c r="AC9805" s="260"/>
      <c r="AD9805" s="259"/>
      <c r="AE9805" s="259"/>
      <c r="AF9805" s="260"/>
      <c r="AG9805" s="321"/>
    </row>
    <row r="9806" spans="13:33" hidden="1">
      <c r="M9806"/>
      <c r="N9806" s="239"/>
      <c r="O9806" s="225"/>
      <c r="P9806" s="287"/>
      <c r="Q9806" s="320"/>
      <c r="R9806" s="260"/>
      <c r="S9806" s="260"/>
      <c r="T9806" s="260"/>
      <c r="U9806" s="260"/>
      <c r="V9806" s="260"/>
      <c r="W9806" s="260"/>
      <c r="X9806" s="259"/>
      <c r="Y9806" s="259"/>
      <c r="Z9806" s="260"/>
      <c r="AA9806" s="260"/>
      <c r="AB9806" s="260"/>
      <c r="AC9806" s="260"/>
      <c r="AD9806" s="259"/>
      <c r="AE9806" s="259"/>
      <c r="AF9806" s="260"/>
      <c r="AG9806" s="321"/>
    </row>
    <row r="9807" spans="13:33" hidden="1">
      <c r="M9807"/>
      <c r="N9807" s="239"/>
      <c r="O9807" s="225"/>
      <c r="P9807" s="287"/>
      <c r="Q9807" s="320"/>
      <c r="R9807" s="260"/>
      <c r="S9807" s="260"/>
      <c r="T9807" s="260"/>
      <c r="U9807" s="260"/>
      <c r="V9807" s="260"/>
      <c r="W9807" s="260"/>
      <c r="X9807" s="259"/>
      <c r="Y9807" s="259"/>
      <c r="Z9807" s="260"/>
      <c r="AA9807" s="260"/>
      <c r="AB9807" s="260"/>
      <c r="AC9807" s="260"/>
      <c r="AD9807" s="259"/>
      <c r="AE9807" s="259"/>
      <c r="AF9807" s="260"/>
      <c r="AG9807" s="321"/>
    </row>
    <row r="9808" spans="13:33" hidden="1">
      <c r="M9808"/>
      <c r="N9808" s="239"/>
      <c r="O9808" s="225"/>
      <c r="P9808" s="287"/>
      <c r="Q9808" s="320"/>
      <c r="R9808" s="260"/>
      <c r="S9808" s="260"/>
      <c r="T9808" s="260"/>
      <c r="U9808" s="260"/>
      <c r="V9808" s="260"/>
      <c r="W9808" s="260"/>
      <c r="X9808" s="259"/>
      <c r="Y9808" s="259"/>
      <c r="Z9808" s="260"/>
      <c r="AA9808" s="260"/>
      <c r="AB9808" s="260"/>
      <c r="AC9808" s="260"/>
      <c r="AD9808" s="259"/>
      <c r="AE9808" s="259"/>
      <c r="AF9808" s="260"/>
      <c r="AG9808" s="321"/>
    </row>
    <row r="9809" spans="13:33" hidden="1">
      <c r="M9809"/>
      <c r="N9809" s="239"/>
      <c r="O9809" s="225"/>
      <c r="P9809" s="287"/>
      <c r="Q9809" s="320"/>
      <c r="R9809" s="260"/>
      <c r="S9809" s="260"/>
      <c r="T9809" s="260"/>
      <c r="U9809" s="260"/>
      <c r="V9809" s="260"/>
      <c r="W9809" s="260"/>
      <c r="X9809" s="259"/>
      <c r="Y9809" s="259"/>
      <c r="Z9809" s="260"/>
      <c r="AA9809" s="260"/>
      <c r="AB9809" s="260"/>
      <c r="AC9809" s="260"/>
      <c r="AD9809" s="259"/>
      <c r="AE9809" s="259"/>
      <c r="AF9809" s="260"/>
      <c r="AG9809" s="321"/>
    </row>
    <row r="9810" spans="13:33" hidden="1">
      <c r="M9810"/>
      <c r="N9810" s="239"/>
      <c r="O9810" s="225"/>
      <c r="P9810" s="287"/>
      <c r="Q9810" s="320"/>
      <c r="R9810" s="260"/>
      <c r="S9810" s="260"/>
      <c r="T9810" s="260"/>
      <c r="U9810" s="260"/>
      <c r="V9810" s="260"/>
      <c r="W9810" s="260"/>
      <c r="X9810" s="259"/>
      <c r="Y9810" s="259"/>
      <c r="Z9810" s="260"/>
      <c r="AA9810" s="260"/>
      <c r="AB9810" s="260"/>
      <c r="AC9810" s="260"/>
      <c r="AD9810" s="259"/>
      <c r="AE9810" s="259"/>
      <c r="AF9810" s="260"/>
      <c r="AG9810" s="321"/>
    </row>
    <row r="9811" spans="13:33" hidden="1">
      <c r="M9811"/>
      <c r="N9811" s="239"/>
      <c r="O9811" s="225"/>
      <c r="P9811" s="287"/>
      <c r="Q9811" s="320"/>
      <c r="R9811" s="260"/>
      <c r="S9811" s="260"/>
      <c r="T9811" s="260"/>
      <c r="U9811" s="260"/>
      <c r="V9811" s="260"/>
      <c r="W9811" s="260"/>
      <c r="X9811" s="259"/>
      <c r="Y9811" s="259"/>
      <c r="Z9811" s="260"/>
      <c r="AA9811" s="260"/>
      <c r="AB9811" s="260"/>
      <c r="AC9811" s="260"/>
      <c r="AD9811" s="259"/>
      <c r="AE9811" s="259"/>
      <c r="AF9811" s="260"/>
      <c r="AG9811" s="321"/>
    </row>
    <row r="9812" spans="13:33" hidden="1">
      <c r="M9812"/>
      <c r="N9812" s="239"/>
      <c r="O9812" s="225"/>
      <c r="P9812" s="287"/>
      <c r="Q9812" s="320"/>
      <c r="R9812" s="260"/>
      <c r="S9812" s="260"/>
      <c r="T9812" s="260"/>
      <c r="U9812" s="260"/>
      <c r="V9812" s="260"/>
      <c r="W9812" s="260"/>
      <c r="X9812" s="259"/>
      <c r="Y9812" s="259"/>
      <c r="Z9812" s="260"/>
      <c r="AA9812" s="260"/>
      <c r="AB9812" s="260"/>
      <c r="AC9812" s="260"/>
      <c r="AD9812" s="259"/>
      <c r="AE9812" s="259"/>
      <c r="AF9812" s="260"/>
      <c r="AG9812" s="321"/>
    </row>
    <row r="9813" spans="13:33" hidden="1">
      <c r="M9813"/>
      <c r="N9813" s="239"/>
      <c r="O9813" s="225"/>
      <c r="P9813" s="287"/>
      <c r="Q9813" s="320"/>
      <c r="R9813" s="260"/>
      <c r="S9813" s="260"/>
      <c r="T9813" s="260"/>
      <c r="U9813" s="260"/>
      <c r="V9813" s="260"/>
      <c r="W9813" s="260"/>
      <c r="X9813" s="259"/>
      <c r="Y9813" s="259"/>
      <c r="Z9813" s="260"/>
      <c r="AA9813" s="260"/>
      <c r="AB9813" s="260"/>
      <c r="AC9813" s="260"/>
      <c r="AD9813" s="259"/>
      <c r="AE9813" s="259"/>
      <c r="AF9813" s="260"/>
      <c r="AG9813" s="321"/>
    </row>
    <row r="9814" spans="13:33" hidden="1">
      <c r="M9814"/>
      <c r="N9814" s="239"/>
      <c r="O9814" s="225"/>
      <c r="P9814" s="287"/>
      <c r="Q9814" s="320"/>
      <c r="R9814" s="260"/>
      <c r="S9814" s="260"/>
      <c r="T9814" s="260"/>
      <c r="U9814" s="260"/>
      <c r="V9814" s="260"/>
      <c r="W9814" s="260"/>
      <c r="X9814" s="259"/>
      <c r="Y9814" s="259"/>
      <c r="Z9814" s="260"/>
      <c r="AA9814" s="260"/>
      <c r="AB9814" s="260"/>
      <c r="AC9814" s="260"/>
      <c r="AD9814" s="259"/>
      <c r="AE9814" s="259"/>
      <c r="AF9814" s="260"/>
      <c r="AG9814" s="321"/>
    </row>
    <row r="9815" spans="13:33" hidden="1">
      <c r="M9815"/>
      <c r="N9815" s="239"/>
      <c r="O9815" s="225"/>
      <c r="P9815" s="287"/>
      <c r="Q9815" s="320"/>
      <c r="R9815" s="260"/>
      <c r="S9815" s="260"/>
      <c r="T9815" s="260"/>
      <c r="U9815" s="260"/>
      <c r="V9815" s="260"/>
      <c r="W9815" s="260"/>
      <c r="X9815" s="259"/>
      <c r="Y9815" s="259"/>
      <c r="Z9815" s="260"/>
      <c r="AA9815" s="260"/>
      <c r="AB9815" s="260"/>
      <c r="AC9815" s="260"/>
      <c r="AD9815" s="259"/>
      <c r="AE9815" s="259"/>
      <c r="AF9815" s="260"/>
      <c r="AG9815" s="321"/>
    </row>
    <row r="9816" spans="13:33" hidden="1">
      <c r="M9816"/>
      <c r="N9816" s="239"/>
      <c r="O9816" s="225"/>
      <c r="P9816" s="287"/>
      <c r="Q9816" s="320"/>
      <c r="R9816" s="260"/>
      <c r="S9816" s="260"/>
      <c r="T9816" s="260"/>
      <c r="U9816" s="260"/>
      <c r="V9816" s="260"/>
      <c r="W9816" s="260"/>
      <c r="X9816" s="259"/>
      <c r="Y9816" s="259"/>
      <c r="Z9816" s="260"/>
      <c r="AA9816" s="260"/>
      <c r="AB9816" s="260"/>
      <c r="AC9816" s="260"/>
      <c r="AD9816" s="259"/>
      <c r="AE9816" s="259"/>
      <c r="AF9816" s="260"/>
      <c r="AG9816" s="321"/>
    </row>
    <row r="9817" spans="13:33" hidden="1">
      <c r="M9817"/>
      <c r="N9817" s="239"/>
      <c r="O9817" s="225"/>
      <c r="P9817" s="287"/>
      <c r="Q9817" s="320"/>
      <c r="R9817" s="260"/>
      <c r="S9817" s="260"/>
      <c r="T9817" s="260"/>
      <c r="U9817" s="260"/>
      <c r="V9817" s="260"/>
      <c r="W9817" s="260"/>
      <c r="X9817" s="259"/>
      <c r="Y9817" s="259"/>
      <c r="Z9817" s="260"/>
      <c r="AA9817" s="260"/>
      <c r="AB9817" s="260"/>
      <c r="AC9817" s="260"/>
      <c r="AD9817" s="259"/>
      <c r="AE9817" s="259"/>
      <c r="AF9817" s="260"/>
      <c r="AG9817" s="321"/>
    </row>
    <row r="9818" spans="13:33" hidden="1">
      <c r="M9818"/>
      <c r="N9818" s="239"/>
      <c r="O9818" s="225"/>
      <c r="P9818" s="287"/>
      <c r="Q9818" s="320"/>
      <c r="R9818" s="260"/>
      <c r="S9818" s="260"/>
      <c r="T9818" s="260"/>
      <c r="U9818" s="260"/>
      <c r="V9818" s="260"/>
      <c r="W9818" s="260"/>
      <c r="X9818" s="259"/>
      <c r="Y9818" s="259"/>
      <c r="Z9818" s="260"/>
      <c r="AA9818" s="260"/>
      <c r="AB9818" s="260"/>
      <c r="AC9818" s="260"/>
      <c r="AD9818" s="259"/>
      <c r="AE9818" s="259"/>
      <c r="AF9818" s="260"/>
      <c r="AG9818" s="321"/>
    </row>
    <row r="9819" spans="13:33" hidden="1">
      <c r="M9819"/>
      <c r="N9819" s="239"/>
      <c r="O9819" s="225"/>
      <c r="P9819" s="287"/>
      <c r="Q9819" s="320"/>
      <c r="R9819" s="260"/>
      <c r="S9819" s="260"/>
      <c r="T9819" s="260"/>
      <c r="U9819" s="260"/>
      <c r="V9819" s="260"/>
      <c r="W9819" s="260"/>
      <c r="X9819" s="259"/>
      <c r="Y9819" s="259"/>
      <c r="Z9819" s="260"/>
      <c r="AA9819" s="260"/>
      <c r="AB9819" s="260"/>
      <c r="AC9819" s="260"/>
      <c r="AD9819" s="259"/>
      <c r="AE9819" s="259"/>
      <c r="AF9819" s="260"/>
      <c r="AG9819" s="321"/>
    </row>
    <row r="9820" spans="13:33" hidden="1">
      <c r="M9820"/>
      <c r="N9820" s="239"/>
      <c r="O9820" s="225"/>
      <c r="P9820" s="287"/>
      <c r="Q9820" s="320"/>
      <c r="R9820" s="260"/>
      <c r="S9820" s="260"/>
      <c r="T9820" s="260"/>
      <c r="U9820" s="260"/>
      <c r="V9820" s="260"/>
      <c r="W9820" s="260"/>
      <c r="X9820" s="259"/>
      <c r="Y9820" s="259"/>
      <c r="Z9820" s="260"/>
      <c r="AA9820" s="260"/>
      <c r="AB9820" s="260"/>
      <c r="AC9820" s="260"/>
      <c r="AD9820" s="259"/>
      <c r="AE9820" s="259"/>
      <c r="AF9820" s="260"/>
      <c r="AG9820" s="321"/>
    </row>
    <row r="9821" spans="13:33" hidden="1">
      <c r="M9821"/>
      <c r="N9821" s="239"/>
      <c r="O9821" s="225"/>
      <c r="P9821" s="287"/>
      <c r="Q9821" s="320"/>
      <c r="R9821" s="260"/>
      <c r="S9821" s="260"/>
      <c r="T9821" s="260"/>
      <c r="U9821" s="260"/>
      <c r="V9821" s="260"/>
      <c r="W9821" s="260"/>
      <c r="X9821" s="259"/>
      <c r="Y9821" s="259"/>
      <c r="Z9821" s="260"/>
      <c r="AA9821" s="260"/>
      <c r="AB9821" s="260"/>
      <c r="AC9821" s="260"/>
      <c r="AD9821" s="259"/>
      <c r="AE9821" s="259"/>
      <c r="AF9821" s="260"/>
      <c r="AG9821" s="321"/>
    </row>
    <row r="9822" spans="13:33" hidden="1">
      <c r="M9822"/>
      <c r="N9822" s="239"/>
      <c r="O9822" s="225"/>
      <c r="P9822" s="287"/>
      <c r="Q9822" s="320"/>
      <c r="R9822" s="260"/>
      <c r="S9822" s="260"/>
      <c r="T9822" s="260"/>
      <c r="U9822" s="260"/>
      <c r="V9822" s="260"/>
      <c r="W9822" s="260"/>
      <c r="X9822" s="259"/>
      <c r="Y9822" s="259"/>
      <c r="Z9822" s="260"/>
      <c r="AA9822" s="260"/>
      <c r="AB9822" s="260"/>
      <c r="AC9822" s="260"/>
      <c r="AD9822" s="259"/>
      <c r="AE9822" s="259"/>
      <c r="AF9822" s="260"/>
      <c r="AG9822" s="321"/>
    </row>
    <row r="9823" spans="13:33" hidden="1">
      <c r="M9823"/>
      <c r="N9823" s="239"/>
      <c r="O9823" s="225"/>
      <c r="P9823" s="287"/>
      <c r="Q9823" s="320"/>
      <c r="R9823" s="260"/>
      <c r="S9823" s="260"/>
      <c r="T9823" s="260"/>
      <c r="U9823" s="260"/>
      <c r="V9823" s="260"/>
      <c r="W9823" s="260"/>
      <c r="X9823" s="259"/>
      <c r="Y9823" s="259"/>
      <c r="Z9823" s="260"/>
      <c r="AA9823" s="260"/>
      <c r="AB9823" s="260"/>
      <c r="AC9823" s="260"/>
      <c r="AD9823" s="259"/>
      <c r="AE9823" s="259"/>
      <c r="AF9823" s="260"/>
      <c r="AG9823" s="321"/>
    </row>
    <row r="9824" spans="13:33" hidden="1">
      <c r="M9824"/>
      <c r="N9824" s="239"/>
      <c r="O9824" s="225"/>
      <c r="P9824" s="287"/>
      <c r="Q9824" s="320"/>
      <c r="R9824" s="260"/>
      <c r="S9824" s="260"/>
      <c r="T9824" s="260"/>
      <c r="U9824" s="260"/>
      <c r="V9824" s="260"/>
      <c r="W9824" s="260"/>
      <c r="X9824" s="259"/>
      <c r="Y9824" s="259"/>
      <c r="Z9824" s="260"/>
      <c r="AA9824" s="260"/>
      <c r="AB9824" s="260"/>
      <c r="AC9824" s="260"/>
      <c r="AD9824" s="259"/>
      <c r="AE9824" s="259"/>
      <c r="AF9824" s="260"/>
      <c r="AG9824" s="321"/>
    </row>
    <row r="9825" spans="13:33" hidden="1">
      <c r="M9825"/>
      <c r="N9825" s="239"/>
      <c r="O9825" s="225"/>
      <c r="P9825" s="287"/>
      <c r="Q9825" s="320"/>
      <c r="R9825" s="260"/>
      <c r="S9825" s="260"/>
      <c r="T9825" s="260"/>
      <c r="U9825" s="260"/>
      <c r="V9825" s="260"/>
      <c r="W9825" s="260"/>
      <c r="X9825" s="259"/>
      <c r="Y9825" s="259"/>
      <c r="Z9825" s="260"/>
      <c r="AA9825" s="260"/>
      <c r="AB9825" s="260"/>
      <c r="AC9825" s="260"/>
      <c r="AD9825" s="259"/>
      <c r="AE9825" s="259"/>
      <c r="AF9825" s="260"/>
      <c r="AG9825" s="321"/>
    </row>
    <row r="9826" spans="13:33" hidden="1">
      <c r="M9826"/>
      <c r="N9826" s="239"/>
      <c r="O9826" s="225"/>
      <c r="P9826" s="287"/>
      <c r="Q9826" s="320"/>
      <c r="R9826" s="260"/>
      <c r="S9826" s="260"/>
      <c r="T9826" s="260"/>
      <c r="U9826" s="260"/>
      <c r="V9826" s="260"/>
      <c r="W9826" s="260"/>
      <c r="X9826" s="259"/>
      <c r="Y9826" s="259"/>
      <c r="Z9826" s="260"/>
      <c r="AA9826" s="260"/>
      <c r="AB9826" s="260"/>
      <c r="AC9826" s="260"/>
      <c r="AD9826" s="259"/>
      <c r="AE9826" s="259"/>
      <c r="AF9826" s="260"/>
      <c r="AG9826" s="321"/>
    </row>
    <row r="9827" spans="13:33" hidden="1">
      <c r="M9827"/>
      <c r="N9827" s="239"/>
      <c r="O9827" s="225"/>
      <c r="P9827" s="287"/>
      <c r="Q9827" s="320"/>
      <c r="R9827" s="260"/>
      <c r="S9827" s="260"/>
      <c r="T9827" s="260"/>
      <c r="U9827" s="260"/>
      <c r="V9827" s="260"/>
      <c r="W9827" s="260"/>
      <c r="X9827" s="259"/>
      <c r="Y9827" s="259"/>
      <c r="Z9827" s="260"/>
      <c r="AA9827" s="260"/>
      <c r="AB9827" s="260"/>
      <c r="AC9827" s="260"/>
      <c r="AD9827" s="259"/>
      <c r="AE9827" s="259"/>
      <c r="AF9827" s="260"/>
      <c r="AG9827" s="321"/>
    </row>
    <row r="9828" spans="13:33" hidden="1">
      <c r="M9828"/>
      <c r="N9828" s="239"/>
      <c r="O9828" s="225"/>
      <c r="P9828" s="287"/>
      <c r="Q9828" s="320"/>
      <c r="R9828" s="260"/>
      <c r="S9828" s="260"/>
      <c r="T9828" s="260"/>
      <c r="U9828" s="260"/>
      <c r="V9828" s="260"/>
      <c r="W9828" s="260"/>
      <c r="X9828" s="259"/>
      <c r="Y9828" s="259"/>
      <c r="Z9828" s="260"/>
      <c r="AA9828" s="260"/>
      <c r="AB9828" s="260"/>
      <c r="AC9828" s="260"/>
      <c r="AD9828" s="259"/>
      <c r="AE9828" s="259"/>
      <c r="AF9828" s="260"/>
      <c r="AG9828" s="321"/>
    </row>
    <row r="9829" spans="13:33" hidden="1">
      <c r="M9829"/>
      <c r="N9829" s="239"/>
      <c r="O9829" s="225"/>
      <c r="P9829" s="287"/>
      <c r="Q9829" s="320"/>
      <c r="R9829" s="260"/>
      <c r="S9829" s="260"/>
      <c r="T9829" s="260"/>
      <c r="U9829" s="260"/>
      <c r="V9829" s="260"/>
      <c r="W9829" s="260"/>
      <c r="X9829" s="259"/>
      <c r="Y9829" s="259"/>
      <c r="Z9829" s="260"/>
      <c r="AA9829" s="260"/>
      <c r="AB9829" s="260"/>
      <c r="AC9829" s="260"/>
      <c r="AD9829" s="259"/>
      <c r="AE9829" s="259"/>
      <c r="AF9829" s="260"/>
      <c r="AG9829" s="321"/>
    </row>
    <row r="9830" spans="13:33" hidden="1">
      <c r="M9830"/>
      <c r="N9830" s="239"/>
      <c r="O9830" s="225"/>
      <c r="P9830" s="287"/>
      <c r="Q9830" s="320"/>
      <c r="R9830" s="260"/>
      <c r="S9830" s="260"/>
      <c r="T9830" s="260"/>
      <c r="U9830" s="260"/>
      <c r="V9830" s="260"/>
      <c r="W9830" s="260"/>
      <c r="X9830" s="259"/>
      <c r="Y9830" s="259"/>
      <c r="Z9830" s="260"/>
      <c r="AA9830" s="260"/>
      <c r="AB9830" s="260"/>
      <c r="AC9830" s="260"/>
      <c r="AD9830" s="259"/>
      <c r="AE9830" s="259"/>
      <c r="AF9830" s="260"/>
      <c r="AG9830" s="321"/>
    </row>
    <row r="9831" spans="13:33" hidden="1">
      <c r="M9831"/>
      <c r="N9831" s="239"/>
      <c r="O9831" s="225"/>
      <c r="P9831" s="287"/>
      <c r="Q9831" s="320"/>
      <c r="R9831" s="260"/>
      <c r="S9831" s="260"/>
      <c r="T9831" s="260"/>
      <c r="U9831" s="260"/>
      <c r="V9831" s="260"/>
      <c r="W9831" s="260"/>
      <c r="X9831" s="259"/>
      <c r="Y9831" s="259"/>
      <c r="Z9831" s="260"/>
      <c r="AA9831" s="260"/>
      <c r="AB9831" s="260"/>
      <c r="AC9831" s="260"/>
      <c r="AD9831" s="259"/>
      <c r="AE9831" s="259"/>
      <c r="AF9831" s="260"/>
      <c r="AG9831" s="321"/>
    </row>
    <row r="9832" spans="13:33" hidden="1">
      <c r="M9832"/>
      <c r="N9832" s="239"/>
      <c r="O9832" s="225"/>
      <c r="P9832" s="287"/>
      <c r="Q9832" s="320"/>
      <c r="R9832" s="260"/>
      <c r="S9832" s="260"/>
      <c r="T9832" s="260"/>
      <c r="U9832" s="260"/>
      <c r="V9832" s="260"/>
      <c r="W9832" s="260"/>
      <c r="X9832" s="259"/>
      <c r="Y9832" s="259"/>
      <c r="Z9832" s="260"/>
      <c r="AA9832" s="260"/>
      <c r="AB9832" s="260"/>
      <c r="AC9832" s="260"/>
      <c r="AD9832" s="259"/>
      <c r="AE9832" s="259"/>
      <c r="AF9832" s="260"/>
      <c r="AG9832" s="321"/>
    </row>
    <row r="9833" spans="13:33" hidden="1">
      <c r="M9833"/>
      <c r="N9833" s="239"/>
      <c r="O9833" s="225"/>
      <c r="P9833" s="287"/>
      <c r="Q9833" s="320"/>
      <c r="R9833" s="260"/>
      <c r="S9833" s="260"/>
      <c r="T9833" s="260"/>
      <c r="U9833" s="260"/>
      <c r="V9833" s="260"/>
      <c r="W9833" s="260"/>
      <c r="X9833" s="259"/>
      <c r="Y9833" s="259"/>
      <c r="Z9833" s="260"/>
      <c r="AA9833" s="260"/>
      <c r="AB9833" s="260"/>
      <c r="AC9833" s="260"/>
      <c r="AD9833" s="259"/>
      <c r="AE9833" s="259"/>
      <c r="AF9833" s="260"/>
      <c r="AG9833" s="321"/>
    </row>
    <row r="9834" spans="13:33" hidden="1">
      <c r="M9834"/>
      <c r="N9834" s="239"/>
      <c r="O9834" s="225"/>
      <c r="P9834" s="287"/>
      <c r="Q9834" s="320"/>
      <c r="R9834" s="260"/>
      <c r="S9834" s="260"/>
      <c r="T9834" s="260"/>
      <c r="U9834" s="260"/>
      <c r="V9834" s="260"/>
      <c r="W9834" s="260"/>
      <c r="X9834" s="259"/>
      <c r="Y9834" s="259"/>
      <c r="Z9834" s="260"/>
      <c r="AA9834" s="260"/>
      <c r="AB9834" s="260"/>
      <c r="AC9834" s="260"/>
      <c r="AD9834" s="259"/>
      <c r="AE9834" s="259"/>
      <c r="AF9834" s="260"/>
      <c r="AG9834" s="321"/>
    </row>
    <row r="9835" spans="13:33" hidden="1">
      <c r="M9835"/>
      <c r="N9835" s="239"/>
      <c r="O9835" s="225"/>
      <c r="P9835" s="287"/>
      <c r="Q9835" s="320"/>
      <c r="R9835" s="260"/>
      <c r="S9835" s="260"/>
      <c r="T9835" s="260"/>
      <c r="U9835" s="260"/>
      <c r="V9835" s="260"/>
      <c r="W9835" s="260"/>
      <c r="X9835" s="259"/>
      <c r="Y9835" s="259"/>
      <c r="Z9835" s="260"/>
      <c r="AA9835" s="260"/>
      <c r="AB9835" s="260"/>
      <c r="AC9835" s="260"/>
      <c r="AD9835" s="259"/>
      <c r="AE9835" s="259"/>
      <c r="AF9835" s="260"/>
      <c r="AG9835" s="321"/>
    </row>
    <row r="9836" spans="13:33" hidden="1">
      <c r="M9836"/>
      <c r="N9836" s="239"/>
      <c r="O9836" s="225"/>
      <c r="P9836" s="287"/>
      <c r="Q9836" s="320"/>
      <c r="R9836" s="260"/>
      <c r="S9836" s="260"/>
      <c r="T9836" s="260"/>
      <c r="U9836" s="260"/>
      <c r="V9836" s="260"/>
      <c r="W9836" s="260"/>
      <c r="X9836" s="259"/>
      <c r="Y9836" s="259"/>
      <c r="Z9836" s="260"/>
      <c r="AA9836" s="260"/>
      <c r="AB9836" s="260"/>
      <c r="AC9836" s="260"/>
      <c r="AD9836" s="259"/>
      <c r="AE9836" s="259"/>
      <c r="AF9836" s="260"/>
      <c r="AG9836" s="321"/>
    </row>
    <row r="9837" spans="13:33" hidden="1">
      <c r="M9837"/>
      <c r="N9837" s="239"/>
      <c r="O9837" s="225"/>
      <c r="P9837" s="287"/>
      <c r="Q9837" s="320"/>
      <c r="R9837" s="260"/>
      <c r="S9837" s="260"/>
      <c r="T9837" s="260"/>
      <c r="U9837" s="260"/>
      <c r="V9837" s="260"/>
      <c r="W9837" s="260"/>
      <c r="X9837" s="259"/>
      <c r="Y9837" s="259"/>
      <c r="Z9837" s="260"/>
      <c r="AA9837" s="260"/>
      <c r="AB9837" s="260"/>
      <c r="AC9837" s="260"/>
      <c r="AD9837" s="259"/>
      <c r="AE9837" s="259"/>
      <c r="AF9837" s="260"/>
      <c r="AG9837" s="321"/>
    </row>
    <row r="9838" spans="13:33" hidden="1">
      <c r="M9838"/>
      <c r="N9838" s="239"/>
      <c r="O9838" s="225"/>
      <c r="P9838" s="287"/>
      <c r="Q9838" s="320"/>
      <c r="R9838" s="260"/>
      <c r="S9838" s="260"/>
      <c r="T9838" s="260"/>
      <c r="U9838" s="260"/>
      <c r="V9838" s="260"/>
      <c r="W9838" s="260"/>
      <c r="X9838" s="259"/>
      <c r="Y9838" s="259"/>
      <c r="Z9838" s="260"/>
      <c r="AA9838" s="260"/>
      <c r="AB9838" s="260"/>
      <c r="AC9838" s="260"/>
      <c r="AD9838" s="259"/>
      <c r="AE9838" s="259"/>
      <c r="AF9838" s="260"/>
      <c r="AG9838" s="321"/>
    </row>
    <row r="9839" spans="13:33" hidden="1">
      <c r="M9839"/>
      <c r="N9839" s="239"/>
      <c r="O9839" s="225"/>
      <c r="P9839" s="287"/>
      <c r="Q9839" s="320"/>
      <c r="R9839" s="260"/>
      <c r="S9839" s="260"/>
      <c r="T9839" s="260"/>
      <c r="U9839" s="260"/>
      <c r="V9839" s="260"/>
      <c r="W9839" s="260"/>
      <c r="X9839" s="259"/>
      <c r="Y9839" s="259"/>
      <c r="Z9839" s="260"/>
      <c r="AA9839" s="260"/>
      <c r="AB9839" s="260"/>
      <c r="AC9839" s="260"/>
      <c r="AD9839" s="259"/>
      <c r="AE9839" s="259"/>
      <c r="AF9839" s="260"/>
      <c r="AG9839" s="321"/>
    </row>
    <row r="9840" spans="13:33" hidden="1">
      <c r="M9840"/>
      <c r="N9840" s="239"/>
      <c r="O9840" s="225"/>
      <c r="P9840" s="287"/>
      <c r="Q9840" s="320"/>
      <c r="R9840" s="260"/>
      <c r="S9840" s="260"/>
      <c r="T9840" s="260"/>
      <c r="U9840" s="260"/>
      <c r="V9840" s="260"/>
      <c r="W9840" s="260"/>
      <c r="X9840" s="259"/>
      <c r="Y9840" s="259"/>
      <c r="Z9840" s="260"/>
      <c r="AA9840" s="260"/>
      <c r="AB9840" s="260"/>
      <c r="AC9840" s="260"/>
      <c r="AD9840" s="259"/>
      <c r="AE9840" s="259"/>
      <c r="AF9840" s="260"/>
      <c r="AG9840" s="321"/>
    </row>
    <row r="9841" spans="13:33" hidden="1">
      <c r="M9841"/>
      <c r="N9841" s="239"/>
      <c r="O9841" s="225"/>
      <c r="P9841" s="287"/>
      <c r="Q9841" s="320"/>
      <c r="R9841" s="260"/>
      <c r="S9841" s="260"/>
      <c r="T9841" s="260"/>
      <c r="U9841" s="260"/>
      <c r="V9841" s="260"/>
      <c r="W9841" s="260"/>
      <c r="X9841" s="259"/>
      <c r="Y9841" s="259"/>
      <c r="Z9841" s="260"/>
      <c r="AA9841" s="260"/>
      <c r="AB9841" s="260"/>
      <c r="AC9841" s="260"/>
      <c r="AD9841" s="259"/>
      <c r="AE9841" s="259"/>
      <c r="AF9841" s="260"/>
      <c r="AG9841" s="321"/>
    </row>
    <row r="9842" spans="13:33" hidden="1">
      <c r="M9842"/>
      <c r="N9842" s="239"/>
      <c r="O9842" s="225"/>
      <c r="P9842" s="287"/>
      <c r="Q9842" s="320"/>
      <c r="R9842" s="260"/>
      <c r="S9842" s="260"/>
      <c r="T9842" s="260"/>
      <c r="U9842" s="260"/>
      <c r="V9842" s="260"/>
      <c r="W9842" s="260"/>
      <c r="X9842" s="259"/>
      <c r="Y9842" s="259"/>
      <c r="Z9842" s="260"/>
      <c r="AA9842" s="260"/>
      <c r="AB9842" s="260"/>
      <c r="AC9842" s="260"/>
      <c r="AD9842" s="259"/>
      <c r="AE9842" s="259"/>
      <c r="AF9842" s="260"/>
      <c r="AG9842" s="321"/>
    </row>
    <row r="9843" spans="13:33" hidden="1">
      <c r="M9843"/>
      <c r="N9843" s="239"/>
      <c r="O9843" s="225"/>
      <c r="P9843" s="287"/>
      <c r="Q9843" s="320"/>
      <c r="R9843" s="260"/>
      <c r="S9843" s="260"/>
      <c r="T9843" s="260"/>
      <c r="U9843" s="260"/>
      <c r="V9843" s="260"/>
      <c r="W9843" s="260"/>
      <c r="X9843" s="259"/>
      <c r="Y9843" s="259"/>
      <c r="Z9843" s="260"/>
      <c r="AA9843" s="260"/>
      <c r="AB9843" s="260"/>
      <c r="AC9843" s="260"/>
      <c r="AD9843" s="259"/>
      <c r="AE9843" s="259"/>
      <c r="AF9843" s="260"/>
      <c r="AG9843" s="321"/>
    </row>
    <row r="9844" spans="13:33" hidden="1">
      <c r="M9844"/>
      <c r="N9844" s="239"/>
      <c r="O9844" s="225"/>
      <c r="P9844" s="287"/>
      <c r="Q9844" s="320"/>
      <c r="R9844" s="260"/>
      <c r="S9844" s="260"/>
      <c r="T9844" s="260"/>
      <c r="U9844" s="260"/>
      <c r="V9844" s="260"/>
      <c r="W9844" s="260"/>
      <c r="X9844" s="259"/>
      <c r="Y9844" s="259"/>
      <c r="Z9844" s="260"/>
      <c r="AA9844" s="260"/>
      <c r="AB9844" s="260"/>
      <c r="AC9844" s="260"/>
      <c r="AD9844" s="259"/>
      <c r="AE9844" s="259"/>
      <c r="AF9844" s="260"/>
      <c r="AG9844" s="321"/>
    </row>
    <row r="9845" spans="13:33" hidden="1">
      <c r="M9845"/>
      <c r="N9845" s="239"/>
      <c r="O9845" s="225"/>
      <c r="P9845" s="287"/>
      <c r="Q9845" s="320"/>
      <c r="R9845" s="260"/>
      <c r="S9845" s="260"/>
      <c r="T9845" s="260"/>
      <c r="U9845" s="260"/>
      <c r="V9845" s="260"/>
      <c r="W9845" s="260"/>
      <c r="X9845" s="259"/>
      <c r="Y9845" s="259"/>
      <c r="Z9845" s="260"/>
      <c r="AA9845" s="260"/>
      <c r="AB9845" s="260"/>
      <c r="AC9845" s="260"/>
      <c r="AD9845" s="259"/>
      <c r="AE9845" s="259"/>
      <c r="AF9845" s="260"/>
      <c r="AG9845" s="321"/>
    </row>
    <row r="9846" spans="13:33" hidden="1">
      <c r="M9846"/>
      <c r="N9846" s="239"/>
      <c r="O9846" s="225"/>
      <c r="P9846" s="287"/>
      <c r="Q9846" s="320"/>
      <c r="R9846" s="260"/>
      <c r="S9846" s="260"/>
      <c r="T9846" s="260"/>
      <c r="U9846" s="260"/>
      <c r="V9846" s="260"/>
      <c r="W9846" s="260"/>
      <c r="X9846" s="259"/>
      <c r="Y9846" s="259"/>
      <c r="Z9846" s="260"/>
      <c r="AA9846" s="260"/>
      <c r="AB9846" s="260"/>
      <c r="AC9846" s="260"/>
      <c r="AD9846" s="259"/>
      <c r="AE9846" s="259"/>
      <c r="AF9846" s="260"/>
      <c r="AG9846" s="321"/>
    </row>
    <row r="9847" spans="13:33" hidden="1">
      <c r="M9847"/>
      <c r="N9847" s="239"/>
      <c r="O9847" s="225"/>
      <c r="P9847" s="287"/>
      <c r="Q9847" s="320"/>
      <c r="R9847" s="260"/>
      <c r="S9847" s="260"/>
      <c r="T9847" s="260"/>
      <c r="U9847" s="260"/>
      <c r="V9847" s="260"/>
      <c r="W9847" s="260"/>
      <c r="X9847" s="259"/>
      <c r="Y9847" s="259"/>
      <c r="Z9847" s="260"/>
      <c r="AA9847" s="260"/>
      <c r="AB9847" s="260"/>
      <c r="AC9847" s="260"/>
      <c r="AD9847" s="259"/>
      <c r="AE9847" s="259"/>
      <c r="AF9847" s="260"/>
      <c r="AG9847" s="321"/>
    </row>
    <row r="9848" spans="13:33" hidden="1">
      <c r="M9848"/>
      <c r="N9848" s="239"/>
      <c r="O9848" s="225"/>
      <c r="P9848" s="287"/>
      <c r="Q9848" s="320"/>
      <c r="R9848" s="260"/>
      <c r="S9848" s="260"/>
      <c r="T9848" s="260"/>
      <c r="U9848" s="260"/>
      <c r="V9848" s="260"/>
      <c r="W9848" s="260"/>
      <c r="X9848" s="259"/>
      <c r="Y9848" s="259"/>
      <c r="Z9848" s="260"/>
      <c r="AA9848" s="260"/>
      <c r="AB9848" s="260"/>
      <c r="AC9848" s="260"/>
      <c r="AD9848" s="259"/>
      <c r="AE9848" s="259"/>
      <c r="AF9848" s="260"/>
      <c r="AG9848" s="321"/>
    </row>
    <row r="9849" spans="13:33" hidden="1">
      <c r="M9849"/>
      <c r="N9849" s="239"/>
      <c r="O9849" s="225"/>
      <c r="P9849" s="287"/>
      <c r="Q9849" s="320"/>
      <c r="R9849" s="260"/>
      <c r="S9849" s="260"/>
      <c r="T9849" s="260"/>
      <c r="U9849" s="260"/>
      <c r="V9849" s="260"/>
      <c r="W9849" s="260"/>
      <c r="X9849" s="259"/>
      <c r="Y9849" s="259"/>
      <c r="Z9849" s="260"/>
      <c r="AA9849" s="260"/>
      <c r="AB9849" s="260"/>
      <c r="AC9849" s="260"/>
      <c r="AD9849" s="259"/>
      <c r="AE9849" s="259"/>
      <c r="AF9849" s="260"/>
      <c r="AG9849" s="321"/>
    </row>
    <row r="9850" spans="13:33" hidden="1">
      <c r="M9850"/>
      <c r="N9850" s="239"/>
      <c r="O9850" s="225"/>
      <c r="P9850" s="287"/>
      <c r="Q9850" s="320"/>
      <c r="R9850" s="260"/>
      <c r="S9850" s="260"/>
      <c r="T9850" s="260"/>
      <c r="U9850" s="260"/>
      <c r="V9850" s="260"/>
      <c r="W9850" s="260"/>
      <c r="X9850" s="259"/>
      <c r="Y9850" s="259"/>
      <c r="Z9850" s="260"/>
      <c r="AA9850" s="260"/>
      <c r="AB9850" s="260"/>
      <c r="AC9850" s="260"/>
      <c r="AD9850" s="259"/>
      <c r="AE9850" s="259"/>
      <c r="AF9850" s="260"/>
      <c r="AG9850" s="321"/>
    </row>
    <row r="9851" spans="13:33" hidden="1">
      <c r="M9851"/>
      <c r="N9851" s="239"/>
      <c r="O9851" s="225"/>
      <c r="P9851" s="287"/>
      <c r="Q9851" s="320"/>
      <c r="R9851" s="260"/>
      <c r="S9851" s="260"/>
      <c r="T9851" s="260"/>
      <c r="U9851" s="260"/>
      <c r="V9851" s="260"/>
      <c r="W9851" s="260"/>
      <c r="X9851" s="259"/>
      <c r="Y9851" s="259"/>
      <c r="Z9851" s="260"/>
      <c r="AA9851" s="260"/>
      <c r="AB9851" s="260"/>
      <c r="AC9851" s="260"/>
      <c r="AD9851" s="259"/>
      <c r="AE9851" s="259"/>
      <c r="AF9851" s="260"/>
      <c r="AG9851" s="321"/>
    </row>
    <row r="9852" spans="13:33" hidden="1">
      <c r="M9852"/>
      <c r="N9852" s="239"/>
      <c r="O9852" s="225"/>
      <c r="P9852" s="287"/>
      <c r="Q9852" s="320"/>
      <c r="R9852" s="260"/>
      <c r="S9852" s="260"/>
      <c r="T9852" s="260"/>
      <c r="U9852" s="260"/>
      <c r="V9852" s="260"/>
      <c r="W9852" s="260"/>
      <c r="X9852" s="259"/>
      <c r="Y9852" s="259"/>
      <c r="Z9852" s="260"/>
      <c r="AA9852" s="260"/>
      <c r="AB9852" s="260"/>
      <c r="AC9852" s="260"/>
      <c r="AD9852" s="259"/>
      <c r="AE9852" s="259"/>
      <c r="AF9852" s="260"/>
      <c r="AG9852" s="321"/>
    </row>
    <row r="9853" spans="13:33" hidden="1">
      <c r="M9853"/>
      <c r="N9853" s="239"/>
      <c r="O9853" s="225"/>
      <c r="P9853" s="287"/>
      <c r="Q9853" s="320"/>
      <c r="R9853" s="260"/>
      <c r="S9853" s="260"/>
      <c r="T9853" s="260"/>
      <c r="U9853" s="260"/>
      <c r="V9853" s="260"/>
      <c r="W9853" s="260"/>
      <c r="X9853" s="259"/>
      <c r="Y9853" s="259"/>
      <c r="Z9853" s="260"/>
      <c r="AA9853" s="260"/>
      <c r="AB9853" s="260"/>
      <c r="AC9853" s="260"/>
      <c r="AD9853" s="259"/>
      <c r="AE9853" s="259"/>
      <c r="AF9853" s="260"/>
      <c r="AG9853" s="321"/>
    </row>
    <row r="9854" spans="13:33" hidden="1">
      <c r="M9854"/>
      <c r="N9854" s="239"/>
      <c r="O9854" s="225"/>
      <c r="P9854" s="287"/>
      <c r="Q9854" s="320"/>
      <c r="R9854" s="260"/>
      <c r="S9854" s="260"/>
      <c r="T9854" s="260"/>
      <c r="U9854" s="260"/>
      <c r="V9854" s="260"/>
      <c r="W9854" s="260"/>
      <c r="X9854" s="259"/>
      <c r="Y9854" s="259"/>
      <c r="Z9854" s="260"/>
      <c r="AA9854" s="260"/>
      <c r="AB9854" s="260"/>
      <c r="AC9854" s="260"/>
      <c r="AD9854" s="259"/>
      <c r="AE9854" s="259"/>
      <c r="AF9854" s="260"/>
      <c r="AG9854" s="321"/>
    </row>
    <row r="9855" spans="13:33" hidden="1">
      <c r="M9855"/>
      <c r="N9855" s="239"/>
      <c r="O9855" s="225"/>
      <c r="P9855" s="287"/>
      <c r="Q9855" s="320"/>
      <c r="R9855" s="260"/>
      <c r="S9855" s="260"/>
      <c r="T9855" s="260"/>
      <c r="U9855" s="260"/>
      <c r="V9855" s="260"/>
      <c r="W9855" s="260"/>
      <c r="X9855" s="259"/>
      <c r="Y9855" s="259"/>
      <c r="Z9855" s="260"/>
      <c r="AA9855" s="260"/>
      <c r="AB9855" s="260"/>
      <c r="AC9855" s="260"/>
      <c r="AD9855" s="259"/>
      <c r="AE9855" s="259"/>
      <c r="AF9855" s="260"/>
      <c r="AG9855" s="321"/>
    </row>
    <row r="9856" spans="13:33" hidden="1">
      <c r="M9856"/>
      <c r="N9856" s="239"/>
      <c r="O9856" s="225"/>
      <c r="P9856" s="287"/>
      <c r="Q9856" s="320"/>
      <c r="R9856" s="260"/>
      <c r="S9856" s="260"/>
      <c r="T9856" s="260"/>
      <c r="U9856" s="260"/>
      <c r="V9856" s="260"/>
      <c r="W9856" s="260"/>
      <c r="X9856" s="259"/>
      <c r="Y9856" s="259"/>
      <c r="Z9856" s="260"/>
      <c r="AA9856" s="260"/>
      <c r="AB9856" s="260"/>
      <c r="AC9856" s="260"/>
      <c r="AD9856" s="259"/>
      <c r="AE9856" s="259"/>
      <c r="AF9856" s="260"/>
      <c r="AG9856" s="321"/>
    </row>
    <row r="9857" spans="13:33" hidden="1">
      <c r="M9857"/>
      <c r="N9857" s="239"/>
      <c r="O9857" s="225"/>
      <c r="P9857" s="287"/>
      <c r="Q9857" s="320"/>
      <c r="R9857" s="260"/>
      <c r="S9857" s="260"/>
      <c r="T9857" s="260"/>
      <c r="U9857" s="260"/>
      <c r="V9857" s="260"/>
      <c r="W9857" s="260"/>
      <c r="X9857" s="259"/>
      <c r="Y9857" s="259"/>
      <c r="Z9857" s="260"/>
      <c r="AA9857" s="260"/>
      <c r="AB9857" s="260"/>
      <c r="AC9857" s="260"/>
      <c r="AD9857" s="259"/>
      <c r="AE9857" s="259"/>
      <c r="AF9857" s="260"/>
      <c r="AG9857" s="321"/>
    </row>
    <row r="9858" spans="13:33" hidden="1">
      <c r="M9858"/>
      <c r="N9858" s="239"/>
      <c r="O9858" s="225"/>
      <c r="P9858" s="287"/>
      <c r="Q9858" s="320"/>
      <c r="R9858" s="260"/>
      <c r="S9858" s="260"/>
      <c r="T9858" s="260"/>
      <c r="U9858" s="260"/>
      <c r="V9858" s="260"/>
      <c r="W9858" s="260"/>
      <c r="X9858" s="259"/>
      <c r="Y9858" s="259"/>
      <c r="Z9858" s="260"/>
      <c r="AA9858" s="260"/>
      <c r="AB9858" s="260"/>
      <c r="AC9858" s="260"/>
      <c r="AD9858" s="259"/>
      <c r="AE9858" s="259"/>
      <c r="AF9858" s="260"/>
      <c r="AG9858" s="321"/>
    </row>
    <row r="9859" spans="13:33" hidden="1">
      <c r="M9859"/>
      <c r="N9859" s="239"/>
      <c r="O9859" s="225"/>
      <c r="P9859" s="287"/>
      <c r="Q9859" s="320"/>
      <c r="R9859" s="260"/>
      <c r="S9859" s="260"/>
      <c r="T9859" s="260"/>
      <c r="U9859" s="260"/>
      <c r="V9859" s="260"/>
      <c r="W9859" s="260"/>
      <c r="X9859" s="259"/>
      <c r="Y9859" s="259"/>
      <c r="Z9859" s="260"/>
      <c r="AA9859" s="260"/>
      <c r="AB9859" s="260"/>
      <c r="AC9859" s="260"/>
      <c r="AD9859" s="259"/>
      <c r="AE9859" s="259"/>
      <c r="AF9859" s="260"/>
      <c r="AG9859" s="321"/>
    </row>
    <row r="9860" spans="13:33" hidden="1">
      <c r="M9860"/>
      <c r="N9860" s="239"/>
      <c r="O9860" s="225"/>
      <c r="P9860" s="287"/>
      <c r="Q9860" s="320"/>
      <c r="R9860" s="260"/>
      <c r="S9860" s="260"/>
      <c r="T9860" s="260"/>
      <c r="U9860" s="260"/>
      <c r="V9860" s="260"/>
      <c r="W9860" s="260"/>
      <c r="X9860" s="259"/>
      <c r="Y9860" s="259"/>
      <c r="Z9860" s="260"/>
      <c r="AA9860" s="260"/>
      <c r="AB9860" s="260"/>
      <c r="AC9860" s="260"/>
      <c r="AD9860" s="259"/>
      <c r="AE9860" s="259"/>
      <c r="AF9860" s="260"/>
      <c r="AG9860" s="321"/>
    </row>
    <row r="9861" spans="13:33" hidden="1">
      <c r="M9861"/>
      <c r="N9861" s="239"/>
      <c r="O9861" s="225"/>
      <c r="P9861" s="287"/>
      <c r="Q9861" s="320"/>
      <c r="R9861" s="260"/>
      <c r="S9861" s="260"/>
      <c r="T9861" s="260"/>
      <c r="U9861" s="260"/>
      <c r="V9861" s="260"/>
      <c r="W9861" s="260"/>
      <c r="X9861" s="259"/>
      <c r="Y9861" s="259"/>
      <c r="Z9861" s="260"/>
      <c r="AA9861" s="260"/>
      <c r="AB9861" s="260"/>
      <c r="AC9861" s="260"/>
      <c r="AD9861" s="259"/>
      <c r="AE9861" s="259"/>
      <c r="AF9861" s="260"/>
      <c r="AG9861" s="321"/>
    </row>
    <row r="9862" spans="13:33" hidden="1">
      <c r="M9862"/>
      <c r="N9862" s="239"/>
      <c r="O9862" s="225"/>
      <c r="P9862" s="287"/>
      <c r="Q9862" s="320"/>
      <c r="R9862" s="260"/>
      <c r="S9862" s="260"/>
      <c r="T9862" s="260"/>
      <c r="U9862" s="260"/>
      <c r="V9862" s="260"/>
      <c r="W9862" s="260"/>
      <c r="X9862" s="259"/>
      <c r="Y9862" s="259"/>
      <c r="Z9862" s="260"/>
      <c r="AA9862" s="260"/>
      <c r="AB9862" s="260"/>
      <c r="AC9862" s="260"/>
      <c r="AD9862" s="259"/>
      <c r="AE9862" s="259"/>
      <c r="AF9862" s="260"/>
      <c r="AG9862" s="321"/>
    </row>
    <row r="9863" spans="13:33" hidden="1">
      <c r="M9863"/>
      <c r="N9863" s="239"/>
      <c r="O9863" s="225"/>
      <c r="P9863" s="287"/>
      <c r="Q9863" s="320"/>
      <c r="R9863" s="260"/>
      <c r="S9863" s="260"/>
      <c r="T9863" s="260"/>
      <c r="U9863" s="260"/>
      <c r="V9863" s="260"/>
      <c r="W9863" s="260"/>
      <c r="X9863" s="259"/>
      <c r="Y9863" s="259"/>
      <c r="Z9863" s="260"/>
      <c r="AA9863" s="260"/>
      <c r="AB9863" s="260"/>
      <c r="AC9863" s="260"/>
      <c r="AD9863" s="259"/>
      <c r="AE9863" s="259"/>
      <c r="AF9863" s="260"/>
      <c r="AG9863" s="321"/>
    </row>
    <row r="9864" spans="13:33" hidden="1">
      <c r="M9864"/>
      <c r="N9864" s="239"/>
      <c r="O9864" s="225"/>
      <c r="P9864" s="287"/>
      <c r="Q9864" s="320"/>
      <c r="R9864" s="260"/>
      <c r="S9864" s="260"/>
      <c r="T9864" s="260"/>
      <c r="U9864" s="260"/>
      <c r="V9864" s="260"/>
      <c r="W9864" s="260"/>
      <c r="X9864" s="259"/>
      <c r="Y9864" s="259"/>
      <c r="Z9864" s="260"/>
      <c r="AA9864" s="260"/>
      <c r="AB9864" s="260"/>
      <c r="AC9864" s="260"/>
      <c r="AD9864" s="259"/>
      <c r="AE9864" s="259"/>
      <c r="AF9864" s="260"/>
      <c r="AG9864" s="321"/>
    </row>
    <row r="9865" spans="13:33" hidden="1">
      <c r="M9865"/>
      <c r="N9865" s="239"/>
      <c r="O9865" s="225"/>
      <c r="P9865" s="287"/>
      <c r="Q9865" s="320"/>
      <c r="R9865" s="260"/>
      <c r="S9865" s="260"/>
      <c r="T9865" s="260"/>
      <c r="U9865" s="260"/>
      <c r="V9865" s="260"/>
      <c r="W9865" s="260"/>
      <c r="X9865" s="259"/>
      <c r="Y9865" s="259"/>
      <c r="Z9865" s="260"/>
      <c r="AA9865" s="260"/>
      <c r="AB9865" s="260"/>
      <c r="AC9865" s="260"/>
      <c r="AD9865" s="259"/>
      <c r="AE9865" s="259"/>
      <c r="AF9865" s="260"/>
      <c r="AG9865" s="321"/>
    </row>
    <row r="9866" spans="13:33" hidden="1">
      <c r="M9866"/>
      <c r="N9866" s="239"/>
      <c r="O9866" s="225"/>
      <c r="P9866" s="287"/>
      <c r="Q9866" s="320"/>
      <c r="R9866" s="260"/>
      <c r="S9866" s="260"/>
      <c r="T9866" s="260"/>
      <c r="U9866" s="260"/>
      <c r="V9866" s="260"/>
      <c r="W9866" s="260"/>
      <c r="X9866" s="259"/>
      <c r="Y9866" s="259"/>
      <c r="Z9866" s="260"/>
      <c r="AA9866" s="260"/>
      <c r="AB9866" s="260"/>
      <c r="AC9866" s="260"/>
      <c r="AD9866" s="259"/>
      <c r="AE9866" s="259"/>
      <c r="AF9866" s="260"/>
      <c r="AG9866" s="321"/>
    </row>
    <row r="9867" spans="13:33" hidden="1">
      <c r="M9867"/>
      <c r="N9867" s="239"/>
      <c r="O9867" s="225"/>
      <c r="P9867" s="287"/>
      <c r="Q9867" s="320"/>
      <c r="R9867" s="260"/>
      <c r="S9867" s="260"/>
      <c r="T9867" s="260"/>
      <c r="U9867" s="260"/>
      <c r="V9867" s="260"/>
      <c r="W9867" s="260"/>
      <c r="X9867" s="259"/>
      <c r="Y9867" s="259"/>
      <c r="Z9867" s="260"/>
      <c r="AA9867" s="260"/>
      <c r="AB9867" s="260"/>
      <c r="AC9867" s="260"/>
      <c r="AD9867" s="259"/>
      <c r="AE9867" s="259"/>
      <c r="AF9867" s="260"/>
      <c r="AG9867" s="321"/>
    </row>
    <row r="9868" spans="13:33" hidden="1">
      <c r="M9868"/>
      <c r="N9868" s="239"/>
      <c r="O9868" s="225"/>
      <c r="P9868" s="287"/>
      <c r="Q9868" s="320"/>
      <c r="R9868" s="260"/>
      <c r="S9868" s="260"/>
      <c r="T9868" s="260"/>
      <c r="U9868" s="260"/>
      <c r="V9868" s="260"/>
      <c r="W9868" s="260"/>
      <c r="X9868" s="259"/>
      <c r="Y9868" s="259"/>
      <c r="Z9868" s="260"/>
      <c r="AA9868" s="260"/>
      <c r="AB9868" s="260"/>
      <c r="AC9868" s="260"/>
      <c r="AD9868" s="259"/>
      <c r="AE9868" s="259"/>
      <c r="AF9868" s="260"/>
      <c r="AG9868" s="321"/>
    </row>
    <row r="9869" spans="13:33" hidden="1">
      <c r="M9869"/>
      <c r="N9869" s="239"/>
      <c r="O9869" s="225"/>
      <c r="P9869" s="287"/>
      <c r="Q9869" s="320"/>
      <c r="R9869" s="260"/>
      <c r="S9869" s="260"/>
      <c r="T9869" s="260"/>
      <c r="U9869" s="260"/>
      <c r="V9869" s="260"/>
      <c r="W9869" s="260"/>
      <c r="X9869" s="259"/>
      <c r="Y9869" s="259"/>
      <c r="Z9869" s="260"/>
      <c r="AA9869" s="260"/>
      <c r="AB9869" s="260"/>
      <c r="AC9869" s="260"/>
      <c r="AD9869" s="259"/>
      <c r="AE9869" s="259"/>
      <c r="AF9869" s="260"/>
      <c r="AG9869" s="321"/>
    </row>
    <row r="9870" spans="13:33" hidden="1">
      <c r="M9870"/>
      <c r="N9870" s="239"/>
      <c r="O9870" s="225"/>
      <c r="P9870" s="287"/>
      <c r="Q9870" s="320"/>
      <c r="R9870" s="260"/>
      <c r="S9870" s="260"/>
      <c r="T9870" s="260"/>
      <c r="U9870" s="260"/>
      <c r="V9870" s="260"/>
      <c r="W9870" s="260"/>
      <c r="X9870" s="259"/>
      <c r="Y9870" s="259"/>
      <c r="Z9870" s="260"/>
      <c r="AA9870" s="260"/>
      <c r="AB9870" s="260"/>
      <c r="AC9870" s="260"/>
      <c r="AD9870" s="259"/>
      <c r="AE9870" s="259"/>
      <c r="AF9870" s="260"/>
      <c r="AG9870" s="321"/>
    </row>
    <row r="9871" spans="13:33" hidden="1">
      <c r="M9871"/>
      <c r="N9871" s="239"/>
      <c r="O9871" s="225"/>
      <c r="P9871" s="287"/>
      <c r="Q9871" s="320"/>
      <c r="R9871" s="260"/>
      <c r="S9871" s="260"/>
      <c r="T9871" s="260"/>
      <c r="U9871" s="260"/>
      <c r="V9871" s="260"/>
      <c r="W9871" s="260"/>
      <c r="X9871" s="259"/>
      <c r="Y9871" s="259"/>
      <c r="Z9871" s="260"/>
      <c r="AA9871" s="260"/>
      <c r="AB9871" s="260"/>
      <c r="AC9871" s="260"/>
      <c r="AD9871" s="259"/>
      <c r="AE9871" s="259"/>
      <c r="AF9871" s="260"/>
      <c r="AG9871" s="321"/>
    </row>
    <row r="9872" spans="13:33" hidden="1">
      <c r="M9872"/>
      <c r="N9872" s="239"/>
      <c r="O9872" s="225"/>
      <c r="P9872" s="287"/>
      <c r="Q9872" s="320"/>
      <c r="R9872" s="260"/>
      <c r="S9872" s="260"/>
      <c r="T9872" s="260"/>
      <c r="U9872" s="260"/>
      <c r="V9872" s="260"/>
      <c r="W9872" s="260"/>
      <c r="X9872" s="259"/>
      <c r="Y9872" s="259"/>
      <c r="Z9872" s="260"/>
      <c r="AA9872" s="260"/>
      <c r="AB9872" s="260"/>
      <c r="AC9872" s="260"/>
      <c r="AD9872" s="259"/>
      <c r="AE9872" s="259"/>
      <c r="AF9872" s="260"/>
      <c r="AG9872" s="321"/>
    </row>
    <row r="9873" spans="13:33" hidden="1">
      <c r="M9873"/>
      <c r="N9873" s="239"/>
      <c r="O9873" s="225"/>
      <c r="P9873" s="287"/>
      <c r="Q9873" s="320"/>
      <c r="R9873" s="260"/>
      <c r="S9873" s="260"/>
      <c r="T9873" s="260"/>
      <c r="U9873" s="260"/>
      <c r="V9873" s="260"/>
      <c r="W9873" s="260"/>
      <c r="X9873" s="259"/>
      <c r="Y9873" s="259"/>
      <c r="Z9873" s="260"/>
      <c r="AA9873" s="260"/>
      <c r="AB9873" s="260"/>
      <c r="AC9873" s="260"/>
      <c r="AD9873" s="259"/>
      <c r="AE9873" s="259"/>
      <c r="AF9873" s="260"/>
      <c r="AG9873" s="321"/>
    </row>
    <row r="9874" spans="13:33" hidden="1">
      <c r="M9874"/>
      <c r="N9874" s="239"/>
      <c r="O9874" s="225"/>
      <c r="P9874" s="287"/>
      <c r="Q9874" s="320"/>
      <c r="R9874" s="260"/>
      <c r="S9874" s="260"/>
      <c r="T9874" s="260"/>
      <c r="U9874" s="260"/>
      <c r="V9874" s="260"/>
      <c r="W9874" s="260"/>
      <c r="X9874" s="259"/>
      <c r="Y9874" s="259"/>
      <c r="Z9874" s="260"/>
      <c r="AA9874" s="260"/>
      <c r="AB9874" s="260"/>
      <c r="AC9874" s="260"/>
      <c r="AD9874" s="259"/>
      <c r="AE9874" s="259"/>
      <c r="AF9874" s="260"/>
      <c r="AG9874" s="321"/>
    </row>
    <row r="9875" spans="13:33" hidden="1">
      <c r="M9875"/>
      <c r="N9875" s="239"/>
      <c r="O9875" s="225"/>
      <c r="P9875" s="287"/>
      <c r="Q9875" s="320"/>
      <c r="R9875" s="260"/>
      <c r="S9875" s="260"/>
      <c r="T9875" s="260"/>
      <c r="U9875" s="260"/>
      <c r="V9875" s="260"/>
      <c r="W9875" s="260"/>
      <c r="X9875" s="259"/>
      <c r="Y9875" s="259"/>
      <c r="Z9875" s="260"/>
      <c r="AA9875" s="260"/>
      <c r="AB9875" s="260"/>
      <c r="AC9875" s="260"/>
      <c r="AD9875" s="259"/>
      <c r="AE9875" s="259"/>
      <c r="AF9875" s="260"/>
      <c r="AG9875" s="321"/>
    </row>
    <row r="9876" spans="13:33" hidden="1">
      <c r="M9876"/>
      <c r="N9876" s="239"/>
      <c r="O9876" s="225"/>
      <c r="P9876" s="287"/>
      <c r="Q9876" s="320"/>
      <c r="R9876" s="260"/>
      <c r="S9876" s="260"/>
      <c r="T9876" s="260"/>
      <c r="U9876" s="260"/>
      <c r="V9876" s="260"/>
      <c r="W9876" s="260"/>
      <c r="X9876" s="259"/>
      <c r="Y9876" s="259"/>
      <c r="Z9876" s="260"/>
      <c r="AA9876" s="260"/>
      <c r="AB9876" s="260"/>
      <c r="AC9876" s="260"/>
      <c r="AD9876" s="259"/>
      <c r="AE9876" s="259"/>
      <c r="AF9876" s="260"/>
      <c r="AG9876" s="321"/>
    </row>
    <row r="9877" spans="13:33" hidden="1">
      <c r="M9877"/>
      <c r="N9877" s="239"/>
      <c r="O9877" s="225"/>
      <c r="P9877" s="287"/>
      <c r="Q9877" s="320"/>
      <c r="R9877" s="260"/>
      <c r="S9877" s="260"/>
      <c r="T9877" s="260"/>
      <c r="U9877" s="260"/>
      <c r="V9877" s="260"/>
      <c r="W9877" s="260"/>
      <c r="X9877" s="259"/>
      <c r="Y9877" s="259"/>
      <c r="Z9877" s="260"/>
      <c r="AA9877" s="260"/>
      <c r="AB9877" s="260"/>
      <c r="AC9877" s="260"/>
      <c r="AD9877" s="259"/>
      <c r="AE9877" s="259"/>
      <c r="AF9877" s="260"/>
      <c r="AG9877" s="321"/>
    </row>
    <row r="9878" spans="13:33" hidden="1">
      <c r="M9878"/>
      <c r="N9878" s="239"/>
      <c r="O9878" s="225"/>
      <c r="P9878" s="287"/>
      <c r="Q9878" s="320"/>
      <c r="R9878" s="260"/>
      <c r="S9878" s="260"/>
      <c r="T9878" s="260"/>
      <c r="U9878" s="260"/>
      <c r="V9878" s="260"/>
      <c r="W9878" s="260"/>
      <c r="X9878" s="259"/>
      <c r="Y9878" s="259"/>
      <c r="Z9878" s="260"/>
      <c r="AA9878" s="260"/>
      <c r="AB9878" s="260"/>
      <c r="AC9878" s="260"/>
      <c r="AD9878" s="259"/>
      <c r="AE9878" s="259"/>
      <c r="AF9878" s="260"/>
      <c r="AG9878" s="321"/>
    </row>
    <row r="9879" spans="13:33" hidden="1">
      <c r="M9879"/>
      <c r="N9879" s="239"/>
      <c r="O9879" s="225"/>
      <c r="P9879" s="287"/>
      <c r="Q9879" s="320"/>
      <c r="R9879" s="260"/>
      <c r="S9879" s="260"/>
      <c r="T9879" s="260"/>
      <c r="U9879" s="260"/>
      <c r="V9879" s="260"/>
      <c r="W9879" s="260"/>
      <c r="X9879" s="259"/>
      <c r="Y9879" s="259"/>
      <c r="Z9879" s="260"/>
      <c r="AA9879" s="260"/>
      <c r="AB9879" s="260"/>
      <c r="AC9879" s="260"/>
      <c r="AD9879" s="259"/>
      <c r="AE9879" s="259"/>
      <c r="AF9879" s="260"/>
      <c r="AG9879" s="321"/>
    </row>
    <row r="9880" spans="13:33" hidden="1">
      <c r="M9880"/>
      <c r="N9880" s="239"/>
      <c r="O9880" s="225"/>
      <c r="P9880" s="287"/>
      <c r="Q9880" s="320"/>
      <c r="R9880" s="260"/>
      <c r="S9880" s="260"/>
      <c r="T9880" s="260"/>
      <c r="U9880" s="260"/>
      <c r="V9880" s="260"/>
      <c r="W9880" s="260"/>
      <c r="X9880" s="259"/>
      <c r="Y9880" s="259"/>
      <c r="Z9880" s="260"/>
      <c r="AA9880" s="260"/>
      <c r="AB9880" s="260"/>
      <c r="AC9880" s="260"/>
      <c r="AD9880" s="259"/>
      <c r="AE9880" s="259"/>
      <c r="AF9880" s="260"/>
      <c r="AG9880" s="321"/>
    </row>
    <row r="9881" spans="13:33" hidden="1">
      <c r="M9881"/>
      <c r="N9881" s="239"/>
      <c r="O9881" s="225"/>
      <c r="P9881" s="287"/>
      <c r="Q9881" s="320"/>
      <c r="R9881" s="260"/>
      <c r="S9881" s="260"/>
      <c r="T9881" s="260"/>
      <c r="U9881" s="260"/>
      <c r="V9881" s="260"/>
      <c r="W9881" s="260"/>
      <c r="X9881" s="259"/>
      <c r="Y9881" s="259"/>
      <c r="Z9881" s="260"/>
      <c r="AA9881" s="260"/>
      <c r="AB9881" s="260"/>
      <c r="AC9881" s="260"/>
      <c r="AD9881" s="259"/>
      <c r="AE9881" s="259"/>
      <c r="AF9881" s="260"/>
      <c r="AG9881" s="321"/>
    </row>
    <row r="9882" spans="13:33" hidden="1">
      <c r="M9882"/>
      <c r="N9882" s="239"/>
      <c r="O9882" s="225"/>
      <c r="P9882" s="287"/>
      <c r="Q9882" s="320"/>
      <c r="R9882" s="260"/>
      <c r="S9882" s="260"/>
      <c r="T9882" s="260"/>
      <c r="U9882" s="260"/>
      <c r="V9882" s="260"/>
      <c r="W9882" s="260"/>
      <c r="X9882" s="259"/>
      <c r="Y9882" s="259"/>
      <c r="Z9882" s="260"/>
      <c r="AA9882" s="260"/>
      <c r="AB9882" s="260"/>
      <c r="AC9882" s="260"/>
      <c r="AD9882" s="259"/>
      <c r="AE9882" s="259"/>
      <c r="AF9882" s="260"/>
      <c r="AG9882" s="321"/>
    </row>
    <row r="9883" spans="13:33" hidden="1">
      <c r="M9883"/>
      <c r="N9883" s="239"/>
      <c r="O9883" s="225"/>
      <c r="P9883" s="287"/>
      <c r="Q9883" s="320"/>
      <c r="R9883" s="260"/>
      <c r="S9883" s="260"/>
      <c r="T9883" s="260"/>
      <c r="U9883" s="260"/>
      <c r="V9883" s="260"/>
      <c r="W9883" s="260"/>
      <c r="X9883" s="259"/>
      <c r="Y9883" s="259"/>
      <c r="Z9883" s="260"/>
      <c r="AA9883" s="260"/>
      <c r="AB9883" s="260"/>
      <c r="AC9883" s="260"/>
      <c r="AD9883" s="259"/>
      <c r="AE9883" s="259"/>
      <c r="AF9883" s="260"/>
      <c r="AG9883" s="321"/>
    </row>
    <row r="9884" spans="13:33" hidden="1">
      <c r="M9884"/>
      <c r="N9884" s="239"/>
      <c r="O9884" s="225"/>
      <c r="P9884" s="287"/>
      <c r="Q9884" s="320"/>
      <c r="R9884" s="260"/>
      <c r="S9884" s="260"/>
      <c r="T9884" s="260"/>
      <c r="U9884" s="260"/>
      <c r="V9884" s="260"/>
      <c r="W9884" s="260"/>
      <c r="X9884" s="259"/>
      <c r="Y9884" s="259"/>
      <c r="Z9884" s="260"/>
      <c r="AA9884" s="260"/>
      <c r="AB9884" s="260"/>
      <c r="AC9884" s="260"/>
      <c r="AD9884" s="259"/>
      <c r="AE9884" s="259"/>
      <c r="AF9884" s="260"/>
      <c r="AG9884" s="321"/>
    </row>
    <row r="9885" spans="13:33" hidden="1">
      <c r="M9885"/>
      <c r="N9885" s="239"/>
      <c r="O9885" s="225"/>
      <c r="P9885" s="287"/>
      <c r="Q9885" s="320"/>
      <c r="R9885" s="260"/>
      <c r="S9885" s="260"/>
      <c r="T9885" s="260"/>
      <c r="U9885" s="260"/>
      <c r="V9885" s="260"/>
      <c r="W9885" s="260"/>
      <c r="X9885" s="259"/>
      <c r="Y9885" s="259"/>
      <c r="Z9885" s="260"/>
      <c r="AA9885" s="260"/>
      <c r="AB9885" s="260"/>
      <c r="AC9885" s="260"/>
      <c r="AD9885" s="259"/>
      <c r="AE9885" s="259"/>
      <c r="AF9885" s="260"/>
      <c r="AG9885" s="321"/>
    </row>
    <row r="9886" spans="13:33" hidden="1">
      <c r="M9886"/>
      <c r="N9886" s="239"/>
      <c r="O9886" s="225"/>
      <c r="P9886" s="287"/>
      <c r="Q9886" s="320"/>
      <c r="R9886" s="260"/>
      <c r="S9886" s="260"/>
      <c r="T9886" s="260"/>
      <c r="U9886" s="260"/>
      <c r="V9886" s="260"/>
      <c r="W9886" s="260"/>
      <c r="X9886" s="259"/>
      <c r="Y9886" s="259"/>
      <c r="Z9886" s="260"/>
      <c r="AA9886" s="260"/>
      <c r="AB9886" s="260"/>
      <c r="AC9886" s="260"/>
      <c r="AD9886" s="259"/>
      <c r="AE9886" s="259"/>
      <c r="AF9886" s="260"/>
      <c r="AG9886" s="321"/>
    </row>
    <row r="9887" spans="13:33" hidden="1">
      <c r="M9887"/>
      <c r="N9887" s="239"/>
      <c r="O9887" s="225"/>
      <c r="P9887" s="287"/>
      <c r="Q9887" s="320"/>
      <c r="R9887" s="260"/>
      <c r="S9887" s="260"/>
      <c r="T9887" s="260"/>
      <c r="U9887" s="260"/>
      <c r="V9887" s="260"/>
      <c r="W9887" s="260"/>
      <c r="X9887" s="259"/>
      <c r="Y9887" s="259"/>
      <c r="Z9887" s="260"/>
      <c r="AA9887" s="260"/>
      <c r="AB9887" s="260"/>
      <c r="AC9887" s="260"/>
      <c r="AD9887" s="259"/>
      <c r="AE9887" s="259"/>
      <c r="AF9887" s="260"/>
      <c r="AG9887" s="321"/>
    </row>
    <row r="9888" spans="13:33" hidden="1">
      <c r="M9888"/>
      <c r="N9888" s="239"/>
      <c r="O9888" s="225"/>
      <c r="P9888" s="287"/>
      <c r="Q9888" s="320"/>
      <c r="R9888" s="260"/>
      <c r="S9888" s="260"/>
      <c r="T9888" s="260"/>
      <c r="U9888" s="260"/>
      <c r="V9888" s="260"/>
      <c r="W9888" s="260"/>
      <c r="X9888" s="259"/>
      <c r="Y9888" s="259"/>
      <c r="Z9888" s="260"/>
      <c r="AA9888" s="260"/>
      <c r="AB9888" s="260"/>
      <c r="AC9888" s="260"/>
      <c r="AD9888" s="259"/>
      <c r="AE9888" s="259"/>
      <c r="AF9888" s="260"/>
      <c r="AG9888" s="321"/>
    </row>
    <row r="9889" spans="13:33" hidden="1">
      <c r="M9889"/>
      <c r="N9889" s="239"/>
      <c r="O9889" s="225"/>
      <c r="P9889" s="287"/>
      <c r="Q9889" s="320"/>
      <c r="R9889" s="260"/>
      <c r="S9889" s="260"/>
      <c r="T9889" s="260"/>
      <c r="U9889" s="260"/>
      <c r="V9889" s="260"/>
      <c r="W9889" s="260"/>
      <c r="X9889" s="259"/>
      <c r="Y9889" s="259"/>
      <c r="Z9889" s="260"/>
      <c r="AA9889" s="260"/>
      <c r="AB9889" s="260"/>
      <c r="AC9889" s="260"/>
      <c r="AD9889" s="259"/>
      <c r="AE9889" s="259"/>
      <c r="AF9889" s="260"/>
      <c r="AG9889" s="321"/>
    </row>
    <row r="9890" spans="13:33" hidden="1">
      <c r="M9890"/>
      <c r="N9890" s="239"/>
      <c r="O9890" s="225"/>
      <c r="P9890" s="287"/>
      <c r="Q9890" s="320"/>
      <c r="R9890" s="260"/>
      <c r="S9890" s="260"/>
      <c r="T9890" s="260"/>
      <c r="U9890" s="260"/>
      <c r="V9890" s="260"/>
      <c r="W9890" s="260"/>
      <c r="X9890" s="259"/>
      <c r="Y9890" s="259"/>
      <c r="Z9890" s="260"/>
      <c r="AA9890" s="260"/>
      <c r="AB9890" s="260"/>
      <c r="AC9890" s="260"/>
      <c r="AD9890" s="259"/>
      <c r="AE9890" s="259"/>
      <c r="AF9890" s="260"/>
      <c r="AG9890" s="321"/>
    </row>
    <row r="9891" spans="13:33" hidden="1">
      <c r="M9891"/>
      <c r="N9891" s="239"/>
      <c r="O9891" s="225"/>
      <c r="P9891" s="287"/>
      <c r="Q9891" s="320"/>
      <c r="R9891" s="260"/>
      <c r="S9891" s="260"/>
      <c r="T9891" s="260"/>
      <c r="U9891" s="260"/>
      <c r="V9891" s="260"/>
      <c r="W9891" s="260"/>
      <c r="X9891" s="259"/>
      <c r="Y9891" s="259"/>
      <c r="Z9891" s="260"/>
      <c r="AA9891" s="260"/>
      <c r="AB9891" s="260"/>
      <c r="AC9891" s="260"/>
      <c r="AD9891" s="259"/>
      <c r="AE9891" s="259"/>
      <c r="AF9891" s="260"/>
      <c r="AG9891" s="321"/>
    </row>
    <row r="9892" spans="13:33" hidden="1">
      <c r="M9892"/>
      <c r="N9892" s="239"/>
      <c r="O9892" s="225"/>
      <c r="P9892" s="287"/>
      <c r="Q9892" s="320"/>
      <c r="R9892" s="260"/>
      <c r="S9892" s="260"/>
      <c r="T9892" s="260"/>
      <c r="U9892" s="260"/>
      <c r="V9892" s="260"/>
      <c r="W9892" s="260"/>
      <c r="X9892" s="259"/>
      <c r="Y9892" s="259"/>
      <c r="Z9892" s="260"/>
      <c r="AA9892" s="260"/>
      <c r="AB9892" s="260"/>
      <c r="AC9892" s="260"/>
      <c r="AD9892" s="259"/>
      <c r="AE9892" s="259"/>
      <c r="AF9892" s="260"/>
      <c r="AG9892" s="321"/>
    </row>
    <row r="9893" spans="13:33" hidden="1">
      <c r="M9893"/>
      <c r="N9893" s="239"/>
      <c r="O9893" s="225"/>
      <c r="P9893" s="287"/>
      <c r="Q9893" s="320"/>
      <c r="R9893" s="260"/>
      <c r="S9893" s="260"/>
      <c r="T9893" s="260"/>
      <c r="U9893" s="260"/>
      <c r="V9893" s="260"/>
      <c r="W9893" s="260"/>
      <c r="X9893" s="259"/>
      <c r="Y9893" s="259"/>
      <c r="Z9893" s="260"/>
      <c r="AA9893" s="260"/>
      <c r="AB9893" s="260"/>
      <c r="AC9893" s="260"/>
      <c r="AD9893" s="259"/>
      <c r="AE9893" s="259"/>
      <c r="AF9893" s="260"/>
      <c r="AG9893" s="321"/>
    </row>
    <row r="9894" spans="13:33" hidden="1">
      <c r="M9894"/>
      <c r="N9894" s="239"/>
      <c r="O9894" s="225"/>
      <c r="P9894" s="287"/>
      <c r="Q9894" s="320"/>
      <c r="R9894" s="260"/>
      <c r="S9894" s="260"/>
      <c r="T9894" s="260"/>
      <c r="U9894" s="260"/>
      <c r="V9894" s="260"/>
      <c r="W9894" s="260"/>
      <c r="X9894" s="259"/>
      <c r="Y9894" s="259"/>
      <c r="Z9894" s="260"/>
      <c r="AA9894" s="260"/>
      <c r="AB9894" s="260"/>
      <c r="AC9894" s="260"/>
      <c r="AD9894" s="259"/>
      <c r="AE9894" s="259"/>
      <c r="AF9894" s="260"/>
      <c r="AG9894" s="321"/>
    </row>
    <row r="9895" spans="13:33" hidden="1">
      <c r="M9895"/>
      <c r="N9895" s="239"/>
      <c r="O9895" s="225"/>
      <c r="P9895" s="287"/>
      <c r="Q9895" s="320"/>
      <c r="R9895" s="260"/>
      <c r="S9895" s="260"/>
      <c r="T9895" s="260"/>
      <c r="U9895" s="260"/>
      <c r="V9895" s="260"/>
      <c r="W9895" s="260"/>
      <c r="X9895" s="259"/>
      <c r="Y9895" s="259"/>
      <c r="Z9895" s="260"/>
      <c r="AA9895" s="260"/>
      <c r="AB9895" s="260"/>
      <c r="AC9895" s="260"/>
      <c r="AD9895" s="259"/>
      <c r="AE9895" s="259"/>
      <c r="AF9895" s="260"/>
      <c r="AG9895" s="321"/>
    </row>
    <row r="9896" spans="13:33" hidden="1">
      <c r="M9896"/>
      <c r="N9896" s="239"/>
      <c r="O9896" s="225"/>
      <c r="P9896" s="287"/>
      <c r="Q9896" s="320"/>
      <c r="R9896" s="260"/>
      <c r="S9896" s="260"/>
      <c r="T9896" s="260"/>
      <c r="U9896" s="260"/>
      <c r="V9896" s="260"/>
      <c r="W9896" s="260"/>
      <c r="X9896" s="259"/>
      <c r="Y9896" s="259"/>
      <c r="Z9896" s="260"/>
      <c r="AA9896" s="260"/>
      <c r="AB9896" s="260"/>
      <c r="AC9896" s="260"/>
      <c r="AD9896" s="259"/>
      <c r="AE9896" s="259"/>
      <c r="AF9896" s="260"/>
      <c r="AG9896" s="321"/>
    </row>
    <row r="9897" spans="13:33" hidden="1">
      <c r="M9897"/>
      <c r="N9897" s="239"/>
      <c r="O9897" s="225"/>
      <c r="P9897" s="287"/>
      <c r="Q9897" s="320"/>
      <c r="R9897" s="260"/>
      <c r="S9897" s="260"/>
      <c r="T9897" s="260"/>
      <c r="U9897" s="260"/>
      <c r="V9897" s="260"/>
      <c r="W9897" s="260"/>
      <c r="X9897" s="259"/>
      <c r="Y9897" s="259"/>
      <c r="Z9897" s="260"/>
      <c r="AA9897" s="260"/>
      <c r="AB9897" s="260"/>
      <c r="AC9897" s="260"/>
      <c r="AD9897" s="259"/>
      <c r="AE9897" s="259"/>
      <c r="AF9897" s="260"/>
      <c r="AG9897" s="321"/>
    </row>
    <row r="9898" spans="13:33" hidden="1">
      <c r="M9898"/>
      <c r="N9898" s="239"/>
      <c r="O9898" s="225"/>
      <c r="P9898" s="287"/>
      <c r="Q9898" s="320"/>
      <c r="R9898" s="260"/>
      <c r="S9898" s="260"/>
      <c r="T9898" s="260"/>
      <c r="U9898" s="260"/>
      <c r="V9898" s="260"/>
      <c r="W9898" s="260"/>
      <c r="X9898" s="259"/>
      <c r="Y9898" s="259"/>
      <c r="Z9898" s="260"/>
      <c r="AA9898" s="260"/>
      <c r="AB9898" s="260"/>
      <c r="AC9898" s="260"/>
      <c r="AD9898" s="259"/>
      <c r="AE9898" s="259"/>
      <c r="AF9898" s="260"/>
      <c r="AG9898" s="321"/>
    </row>
    <row r="9899" spans="13:33" hidden="1">
      <c r="M9899"/>
      <c r="N9899" s="239"/>
      <c r="O9899" s="225"/>
      <c r="P9899" s="287"/>
      <c r="Q9899" s="320"/>
      <c r="R9899" s="260"/>
      <c r="S9899" s="260"/>
      <c r="T9899" s="260"/>
      <c r="U9899" s="260"/>
      <c r="V9899" s="260"/>
      <c r="W9899" s="260"/>
      <c r="X9899" s="259"/>
      <c r="Y9899" s="259"/>
      <c r="Z9899" s="260"/>
      <c r="AA9899" s="260"/>
      <c r="AB9899" s="260"/>
      <c r="AC9899" s="260"/>
      <c r="AD9899" s="259"/>
      <c r="AE9899" s="259"/>
      <c r="AF9899" s="260"/>
      <c r="AG9899" s="321"/>
    </row>
    <row r="9900" spans="13:33" hidden="1">
      <c r="M9900"/>
      <c r="N9900" s="239"/>
      <c r="O9900" s="225"/>
      <c r="P9900" s="287"/>
      <c r="Q9900" s="320"/>
      <c r="R9900" s="260"/>
      <c r="S9900" s="260"/>
      <c r="T9900" s="260"/>
      <c r="U9900" s="260"/>
      <c r="V9900" s="260"/>
      <c r="W9900" s="260"/>
      <c r="X9900" s="259"/>
      <c r="Y9900" s="259"/>
      <c r="Z9900" s="260"/>
      <c r="AA9900" s="260"/>
      <c r="AB9900" s="260"/>
      <c r="AC9900" s="260"/>
      <c r="AD9900" s="259"/>
      <c r="AE9900" s="259"/>
      <c r="AF9900" s="260"/>
      <c r="AG9900" s="321"/>
    </row>
    <row r="9901" spans="13:33" hidden="1">
      <c r="M9901"/>
      <c r="N9901" s="239"/>
      <c r="O9901" s="225"/>
      <c r="P9901" s="287"/>
      <c r="Q9901" s="320"/>
      <c r="R9901" s="260"/>
      <c r="S9901" s="260"/>
      <c r="T9901" s="260"/>
      <c r="U9901" s="260"/>
      <c r="V9901" s="260"/>
      <c r="W9901" s="260"/>
      <c r="X9901" s="259"/>
      <c r="Y9901" s="259"/>
      <c r="Z9901" s="260"/>
      <c r="AA9901" s="260"/>
      <c r="AB9901" s="260"/>
      <c r="AC9901" s="260"/>
      <c r="AD9901" s="259"/>
      <c r="AE9901" s="259"/>
      <c r="AF9901" s="260"/>
      <c r="AG9901" s="321"/>
    </row>
    <row r="9902" spans="13:33" hidden="1">
      <c r="M9902"/>
      <c r="N9902" s="239"/>
      <c r="O9902" s="225"/>
      <c r="P9902" s="287"/>
      <c r="Q9902" s="320"/>
      <c r="R9902" s="260"/>
      <c r="S9902" s="260"/>
      <c r="T9902" s="260"/>
      <c r="U9902" s="260"/>
      <c r="V9902" s="260"/>
      <c r="W9902" s="260"/>
      <c r="X9902" s="259"/>
      <c r="Y9902" s="259"/>
      <c r="Z9902" s="260"/>
      <c r="AA9902" s="260"/>
      <c r="AB9902" s="260"/>
      <c r="AC9902" s="260"/>
      <c r="AD9902" s="259"/>
      <c r="AE9902" s="259"/>
      <c r="AF9902" s="260"/>
      <c r="AG9902" s="321"/>
    </row>
    <row r="9903" spans="13:33" hidden="1">
      <c r="M9903"/>
      <c r="N9903" s="239"/>
      <c r="O9903" s="225"/>
      <c r="P9903" s="287"/>
      <c r="Q9903" s="320"/>
      <c r="R9903" s="260"/>
      <c r="S9903" s="260"/>
      <c r="T9903" s="260"/>
      <c r="U9903" s="260"/>
      <c r="V9903" s="260"/>
      <c r="W9903" s="260"/>
      <c r="X9903" s="259"/>
      <c r="Y9903" s="259"/>
      <c r="Z9903" s="260"/>
      <c r="AA9903" s="260"/>
      <c r="AB9903" s="260"/>
      <c r="AC9903" s="260"/>
      <c r="AD9903" s="259"/>
      <c r="AE9903" s="259"/>
      <c r="AF9903" s="260"/>
      <c r="AG9903" s="321"/>
    </row>
    <row r="9904" spans="13:33" hidden="1">
      <c r="M9904"/>
      <c r="N9904" s="239"/>
      <c r="O9904" s="225"/>
      <c r="P9904" s="287"/>
      <c r="Q9904" s="320"/>
      <c r="R9904" s="260"/>
      <c r="S9904" s="260"/>
      <c r="T9904" s="260"/>
      <c r="U9904" s="260"/>
      <c r="V9904" s="260"/>
      <c r="W9904" s="260"/>
      <c r="X9904" s="259"/>
      <c r="Y9904" s="259"/>
      <c r="Z9904" s="260"/>
      <c r="AA9904" s="260"/>
      <c r="AB9904" s="260"/>
      <c r="AC9904" s="260"/>
      <c r="AD9904" s="259"/>
      <c r="AE9904" s="259"/>
      <c r="AF9904" s="260"/>
      <c r="AG9904" s="321"/>
    </row>
    <row r="9905" spans="13:33" hidden="1">
      <c r="M9905"/>
      <c r="N9905" s="239"/>
      <c r="O9905" s="225"/>
      <c r="P9905" s="287"/>
      <c r="Q9905" s="320"/>
      <c r="R9905" s="260"/>
      <c r="S9905" s="260"/>
      <c r="T9905" s="260"/>
      <c r="U9905" s="260"/>
      <c r="V9905" s="260"/>
      <c r="W9905" s="260"/>
      <c r="X9905" s="259"/>
      <c r="Y9905" s="259"/>
      <c r="Z9905" s="260"/>
      <c r="AA9905" s="260"/>
      <c r="AB9905" s="260"/>
      <c r="AC9905" s="260"/>
      <c r="AD9905" s="259"/>
      <c r="AE9905" s="259"/>
      <c r="AF9905" s="260"/>
      <c r="AG9905" s="321"/>
    </row>
    <row r="9906" spans="13:33" hidden="1">
      <c r="M9906"/>
      <c r="N9906" s="239"/>
      <c r="O9906" s="225"/>
      <c r="P9906" s="287"/>
      <c r="Q9906" s="320"/>
      <c r="R9906" s="260"/>
      <c r="S9906" s="260"/>
      <c r="T9906" s="260"/>
      <c r="U9906" s="260"/>
      <c r="V9906" s="260"/>
      <c r="W9906" s="260"/>
      <c r="X9906" s="259"/>
      <c r="Y9906" s="259"/>
      <c r="Z9906" s="260"/>
      <c r="AA9906" s="260"/>
      <c r="AB9906" s="260"/>
      <c r="AC9906" s="260"/>
      <c r="AD9906" s="259"/>
      <c r="AE9906" s="259"/>
      <c r="AF9906" s="260"/>
      <c r="AG9906" s="321"/>
    </row>
    <row r="9907" spans="13:33" hidden="1">
      <c r="M9907"/>
      <c r="N9907" s="239"/>
      <c r="O9907" s="225"/>
      <c r="P9907" s="287"/>
      <c r="Q9907" s="320"/>
      <c r="R9907" s="260"/>
      <c r="S9907" s="260"/>
      <c r="T9907" s="260"/>
      <c r="U9907" s="260"/>
      <c r="V9907" s="260"/>
      <c r="W9907" s="260"/>
      <c r="X9907" s="259"/>
      <c r="Y9907" s="259"/>
      <c r="Z9907" s="260"/>
      <c r="AA9907" s="260"/>
      <c r="AB9907" s="260"/>
      <c r="AC9907" s="260"/>
      <c r="AD9907" s="259"/>
      <c r="AE9907" s="259"/>
      <c r="AF9907" s="260"/>
      <c r="AG9907" s="321"/>
    </row>
    <row r="9908" spans="13:33" hidden="1">
      <c r="M9908"/>
      <c r="N9908" s="239"/>
      <c r="O9908" s="225"/>
      <c r="P9908" s="287"/>
      <c r="Q9908" s="320"/>
      <c r="R9908" s="260"/>
      <c r="S9908" s="260"/>
      <c r="T9908" s="260"/>
      <c r="U9908" s="260"/>
      <c r="V9908" s="260"/>
      <c r="W9908" s="260"/>
      <c r="X9908" s="259"/>
      <c r="Y9908" s="259"/>
      <c r="Z9908" s="260"/>
      <c r="AA9908" s="260"/>
      <c r="AB9908" s="260"/>
      <c r="AC9908" s="260"/>
      <c r="AD9908" s="259"/>
      <c r="AE9908" s="259"/>
      <c r="AF9908" s="260"/>
      <c r="AG9908" s="321"/>
    </row>
    <row r="9909" spans="13:33" hidden="1">
      <c r="M9909"/>
      <c r="N9909" s="239"/>
      <c r="O9909" s="225"/>
      <c r="P9909" s="287"/>
      <c r="Q9909" s="320"/>
      <c r="R9909" s="260"/>
      <c r="S9909" s="260"/>
      <c r="T9909" s="260"/>
      <c r="U9909" s="260"/>
      <c r="V9909" s="260"/>
      <c r="W9909" s="260"/>
      <c r="X9909" s="259"/>
      <c r="Y9909" s="259"/>
      <c r="Z9909" s="260"/>
      <c r="AA9909" s="260"/>
      <c r="AB9909" s="260"/>
      <c r="AC9909" s="260"/>
      <c r="AD9909" s="259"/>
      <c r="AE9909" s="259"/>
      <c r="AF9909" s="260"/>
      <c r="AG9909" s="321"/>
    </row>
    <row r="9910" spans="13:33" hidden="1">
      <c r="M9910"/>
      <c r="N9910" s="239"/>
      <c r="O9910" s="225"/>
      <c r="P9910" s="287"/>
      <c r="Q9910" s="320"/>
      <c r="R9910" s="260"/>
      <c r="S9910" s="260"/>
      <c r="T9910" s="260"/>
      <c r="U9910" s="260"/>
      <c r="V9910" s="260"/>
      <c r="W9910" s="260"/>
      <c r="X9910" s="259"/>
      <c r="Y9910" s="259"/>
      <c r="Z9910" s="260"/>
      <c r="AA9910" s="260"/>
      <c r="AB9910" s="260"/>
      <c r="AC9910" s="260"/>
      <c r="AD9910" s="259"/>
      <c r="AE9910" s="259"/>
      <c r="AF9910" s="260"/>
      <c r="AG9910" s="321"/>
    </row>
    <row r="9911" spans="13:33" hidden="1">
      <c r="M9911"/>
      <c r="N9911" s="239"/>
      <c r="O9911" s="225"/>
      <c r="P9911" s="287"/>
      <c r="Q9911" s="320"/>
      <c r="R9911" s="260"/>
      <c r="S9911" s="260"/>
      <c r="T9911" s="260"/>
      <c r="U9911" s="260"/>
      <c r="V9911" s="260"/>
      <c r="W9911" s="260"/>
      <c r="X9911" s="259"/>
      <c r="Y9911" s="259"/>
      <c r="Z9911" s="260"/>
      <c r="AA9911" s="260"/>
      <c r="AB9911" s="260"/>
      <c r="AC9911" s="260"/>
      <c r="AD9911" s="259"/>
      <c r="AE9911" s="259"/>
      <c r="AF9911" s="260"/>
      <c r="AG9911" s="321"/>
    </row>
    <row r="9912" spans="13:33" hidden="1">
      <c r="M9912"/>
      <c r="N9912" s="239"/>
      <c r="O9912" s="225"/>
      <c r="P9912" s="287"/>
      <c r="Q9912" s="320"/>
      <c r="R9912" s="260"/>
      <c r="S9912" s="260"/>
      <c r="T9912" s="260"/>
      <c r="U9912" s="260"/>
      <c r="V9912" s="260"/>
      <c r="W9912" s="260"/>
      <c r="X9912" s="259"/>
      <c r="Y9912" s="259"/>
      <c r="Z9912" s="260"/>
      <c r="AA9912" s="260"/>
      <c r="AB9912" s="260"/>
      <c r="AC9912" s="260"/>
      <c r="AD9912" s="259"/>
      <c r="AE9912" s="259"/>
      <c r="AF9912" s="260"/>
      <c r="AG9912" s="321"/>
    </row>
    <row r="9913" spans="13:33" hidden="1">
      <c r="M9913"/>
      <c r="N9913" s="239"/>
      <c r="O9913" s="225"/>
      <c r="P9913" s="287"/>
      <c r="Q9913" s="320"/>
      <c r="R9913" s="260"/>
      <c r="S9913" s="260"/>
      <c r="T9913" s="260"/>
      <c r="U9913" s="260"/>
      <c r="V9913" s="260"/>
      <c r="W9913" s="260"/>
      <c r="X9913" s="259"/>
      <c r="Y9913" s="259"/>
      <c r="Z9913" s="260"/>
      <c r="AA9913" s="260"/>
      <c r="AB9913" s="260"/>
      <c r="AC9913" s="260"/>
      <c r="AD9913" s="259"/>
      <c r="AE9913" s="259"/>
      <c r="AF9913" s="260"/>
      <c r="AG9913" s="321"/>
    </row>
    <row r="9914" spans="13:33" hidden="1">
      <c r="M9914"/>
      <c r="N9914" s="239"/>
      <c r="O9914" s="225"/>
      <c r="P9914" s="287"/>
      <c r="Q9914" s="320"/>
      <c r="R9914" s="260"/>
      <c r="S9914" s="260"/>
      <c r="T9914" s="260"/>
      <c r="U9914" s="260"/>
      <c r="V9914" s="260"/>
      <c r="W9914" s="260"/>
      <c r="X9914" s="259"/>
      <c r="Y9914" s="259"/>
      <c r="Z9914" s="260"/>
      <c r="AA9914" s="260"/>
      <c r="AB9914" s="260"/>
      <c r="AC9914" s="260"/>
      <c r="AD9914" s="259"/>
      <c r="AE9914" s="259"/>
      <c r="AF9914" s="260"/>
      <c r="AG9914" s="321"/>
    </row>
    <row r="9915" spans="13:33" hidden="1">
      <c r="M9915"/>
      <c r="N9915" s="239"/>
      <c r="O9915" s="225"/>
      <c r="P9915" s="287"/>
      <c r="Q9915" s="320"/>
      <c r="R9915" s="260"/>
      <c r="S9915" s="260"/>
      <c r="T9915" s="260"/>
      <c r="U9915" s="260"/>
      <c r="V9915" s="260"/>
      <c r="W9915" s="260"/>
      <c r="X9915" s="259"/>
      <c r="Y9915" s="259"/>
      <c r="Z9915" s="260"/>
      <c r="AA9915" s="260"/>
      <c r="AB9915" s="260"/>
      <c r="AC9915" s="260"/>
      <c r="AD9915" s="259"/>
      <c r="AE9915" s="259"/>
      <c r="AF9915" s="260"/>
      <c r="AG9915" s="321"/>
    </row>
    <row r="9916" spans="13:33" hidden="1">
      <c r="M9916"/>
      <c r="N9916" s="239"/>
      <c r="O9916" s="225"/>
      <c r="P9916" s="287"/>
      <c r="Q9916" s="320"/>
      <c r="R9916" s="260"/>
      <c r="S9916" s="260"/>
      <c r="T9916" s="260"/>
      <c r="U9916" s="260"/>
      <c r="V9916" s="260"/>
      <c r="W9916" s="260"/>
      <c r="X9916" s="259"/>
      <c r="Y9916" s="259"/>
      <c r="Z9916" s="260"/>
      <c r="AA9916" s="260"/>
      <c r="AB9916" s="260"/>
      <c r="AC9916" s="260"/>
      <c r="AD9916" s="259"/>
      <c r="AE9916" s="259"/>
      <c r="AF9916" s="260"/>
      <c r="AG9916" s="321"/>
    </row>
    <row r="9917" spans="13:33" hidden="1">
      <c r="M9917"/>
      <c r="N9917" s="239"/>
      <c r="O9917" s="225"/>
      <c r="P9917" s="287"/>
      <c r="Q9917" s="320"/>
      <c r="R9917" s="260"/>
      <c r="S9917" s="260"/>
      <c r="T9917" s="260"/>
      <c r="U9917" s="260"/>
      <c r="V9917" s="260"/>
      <c r="W9917" s="260"/>
      <c r="X9917" s="259"/>
      <c r="Y9917" s="259"/>
      <c r="Z9917" s="260"/>
      <c r="AA9917" s="260"/>
      <c r="AB9917" s="260"/>
      <c r="AC9917" s="260"/>
      <c r="AD9917" s="259"/>
      <c r="AE9917" s="259"/>
      <c r="AF9917" s="260"/>
      <c r="AG9917" s="321"/>
    </row>
    <row r="9918" spans="13:33" hidden="1">
      <c r="M9918"/>
      <c r="N9918" s="239"/>
      <c r="O9918" s="225"/>
      <c r="P9918" s="287"/>
      <c r="Q9918" s="320"/>
      <c r="R9918" s="260"/>
      <c r="S9918" s="260"/>
      <c r="T9918" s="260"/>
      <c r="U9918" s="260"/>
      <c r="V9918" s="260"/>
      <c r="W9918" s="260"/>
      <c r="X9918" s="259"/>
      <c r="Y9918" s="259"/>
      <c r="Z9918" s="260"/>
      <c r="AA9918" s="260"/>
      <c r="AB9918" s="260"/>
      <c r="AC9918" s="260"/>
      <c r="AD9918" s="259"/>
      <c r="AE9918" s="259"/>
      <c r="AF9918" s="260"/>
      <c r="AG9918" s="321"/>
    </row>
    <row r="9919" spans="13:33" hidden="1">
      <c r="M9919"/>
      <c r="N9919" s="239"/>
      <c r="O9919" s="225"/>
      <c r="P9919" s="287"/>
      <c r="Q9919" s="320"/>
      <c r="R9919" s="260"/>
      <c r="S9919" s="260"/>
      <c r="T9919" s="260"/>
      <c r="U9919" s="260"/>
      <c r="V9919" s="260"/>
      <c r="W9919" s="260"/>
      <c r="X9919" s="259"/>
      <c r="Y9919" s="259"/>
      <c r="Z9919" s="260"/>
      <c r="AA9919" s="260"/>
      <c r="AB9919" s="260"/>
      <c r="AC9919" s="260"/>
      <c r="AD9919" s="259"/>
      <c r="AE9919" s="259"/>
      <c r="AF9919" s="260"/>
      <c r="AG9919" s="321"/>
    </row>
    <row r="9920" spans="13:33" hidden="1">
      <c r="M9920"/>
      <c r="N9920" s="239"/>
      <c r="O9920" s="225"/>
      <c r="P9920" s="287"/>
      <c r="Q9920" s="320"/>
      <c r="R9920" s="260"/>
      <c r="S9920" s="260"/>
      <c r="T9920" s="260"/>
      <c r="U9920" s="260"/>
      <c r="V9920" s="260"/>
      <c r="W9920" s="260"/>
      <c r="X9920" s="259"/>
      <c r="Y9920" s="259"/>
      <c r="Z9920" s="260"/>
      <c r="AA9920" s="260"/>
      <c r="AB9920" s="260"/>
      <c r="AC9920" s="260"/>
      <c r="AD9920" s="259"/>
      <c r="AE9920" s="259"/>
      <c r="AF9920" s="260"/>
      <c r="AG9920" s="321"/>
    </row>
    <row r="9921" spans="13:33" hidden="1">
      <c r="M9921"/>
      <c r="N9921" s="239"/>
      <c r="O9921" s="225"/>
      <c r="P9921" s="287"/>
      <c r="Q9921" s="320"/>
      <c r="R9921" s="260"/>
      <c r="S9921" s="260"/>
      <c r="T9921" s="260"/>
      <c r="U9921" s="260"/>
      <c r="V9921" s="260"/>
      <c r="W9921" s="260"/>
      <c r="X9921" s="259"/>
      <c r="Y9921" s="259"/>
      <c r="Z9921" s="260"/>
      <c r="AA9921" s="260"/>
      <c r="AB9921" s="260"/>
      <c r="AC9921" s="260"/>
      <c r="AD9921" s="259"/>
      <c r="AE9921" s="259"/>
      <c r="AF9921" s="260"/>
      <c r="AG9921" s="321"/>
    </row>
    <row r="9922" spans="13:33" hidden="1">
      <c r="M9922"/>
      <c r="N9922" s="239"/>
      <c r="O9922" s="225"/>
      <c r="P9922" s="287"/>
      <c r="Q9922" s="320"/>
      <c r="R9922" s="260"/>
      <c r="S9922" s="260"/>
      <c r="T9922" s="260"/>
      <c r="U9922" s="260"/>
      <c r="V9922" s="260"/>
      <c r="W9922" s="260"/>
      <c r="X9922" s="259"/>
      <c r="Y9922" s="259"/>
      <c r="Z9922" s="260"/>
      <c r="AA9922" s="260"/>
      <c r="AB9922" s="260"/>
      <c r="AC9922" s="260"/>
      <c r="AD9922" s="259"/>
      <c r="AE9922" s="259"/>
      <c r="AF9922" s="260"/>
      <c r="AG9922" s="321"/>
    </row>
    <row r="9923" spans="13:33" hidden="1">
      <c r="M9923"/>
      <c r="N9923" s="239"/>
      <c r="O9923" s="225"/>
      <c r="P9923" s="287"/>
      <c r="Q9923" s="320"/>
      <c r="R9923" s="260"/>
      <c r="S9923" s="260"/>
      <c r="T9923" s="260"/>
      <c r="U9923" s="260"/>
      <c r="V9923" s="260"/>
      <c r="W9923" s="260"/>
      <c r="X9923" s="259"/>
      <c r="Y9923" s="259"/>
      <c r="Z9923" s="260"/>
      <c r="AA9923" s="260"/>
      <c r="AB9923" s="260"/>
      <c r="AC9923" s="260"/>
      <c r="AD9923" s="259"/>
      <c r="AE9923" s="259"/>
      <c r="AF9923" s="260"/>
      <c r="AG9923" s="321"/>
    </row>
    <row r="9924" spans="13:33" hidden="1">
      <c r="M9924"/>
      <c r="N9924" s="239"/>
      <c r="O9924" s="225"/>
      <c r="P9924" s="287"/>
      <c r="Q9924" s="320"/>
      <c r="R9924" s="260"/>
      <c r="S9924" s="260"/>
      <c r="T9924" s="260"/>
      <c r="U9924" s="260"/>
      <c r="V9924" s="260"/>
      <c r="W9924" s="260"/>
      <c r="X9924" s="259"/>
      <c r="Y9924" s="259"/>
      <c r="Z9924" s="260"/>
      <c r="AA9924" s="260"/>
      <c r="AB9924" s="260"/>
      <c r="AC9924" s="260"/>
      <c r="AD9924" s="259"/>
      <c r="AE9924" s="259"/>
      <c r="AF9924" s="260"/>
      <c r="AG9924" s="321"/>
    </row>
    <row r="9925" spans="13:33" hidden="1">
      <c r="M9925"/>
      <c r="N9925" s="239"/>
      <c r="O9925" s="225"/>
      <c r="P9925" s="287"/>
      <c r="Q9925" s="320"/>
      <c r="R9925" s="260"/>
      <c r="S9925" s="260"/>
      <c r="T9925" s="260"/>
      <c r="U9925" s="260"/>
      <c r="V9925" s="260"/>
      <c r="W9925" s="260"/>
      <c r="X9925" s="259"/>
      <c r="Y9925" s="259"/>
      <c r="Z9925" s="260"/>
      <c r="AA9925" s="260"/>
      <c r="AB9925" s="260"/>
      <c r="AC9925" s="260"/>
      <c r="AD9925" s="259"/>
      <c r="AE9925" s="259"/>
      <c r="AF9925" s="260"/>
      <c r="AG9925" s="321"/>
    </row>
    <row r="9926" spans="13:33" hidden="1">
      <c r="M9926"/>
      <c r="N9926" s="239"/>
      <c r="O9926" s="225"/>
      <c r="P9926" s="287"/>
      <c r="Q9926" s="320"/>
      <c r="R9926" s="260"/>
      <c r="S9926" s="260"/>
      <c r="T9926" s="260"/>
      <c r="U9926" s="260"/>
      <c r="V9926" s="260"/>
      <c r="W9926" s="260"/>
      <c r="X9926" s="259"/>
      <c r="Y9926" s="259"/>
      <c r="Z9926" s="260"/>
      <c r="AA9926" s="260"/>
      <c r="AB9926" s="260"/>
      <c r="AC9926" s="260"/>
      <c r="AD9926" s="259"/>
      <c r="AE9926" s="259"/>
      <c r="AF9926" s="260"/>
      <c r="AG9926" s="321"/>
    </row>
    <row r="9927" spans="13:33" hidden="1">
      <c r="M9927"/>
      <c r="N9927" s="239"/>
      <c r="O9927" s="225"/>
      <c r="P9927" s="287"/>
      <c r="Q9927" s="320"/>
      <c r="R9927" s="260"/>
      <c r="S9927" s="260"/>
      <c r="T9927" s="260"/>
      <c r="U9927" s="260"/>
      <c r="V9927" s="260"/>
      <c r="W9927" s="260"/>
      <c r="X9927" s="259"/>
      <c r="Y9927" s="259"/>
      <c r="Z9927" s="260"/>
      <c r="AA9927" s="260"/>
      <c r="AB9927" s="260"/>
      <c r="AC9927" s="260"/>
      <c r="AD9927" s="259"/>
      <c r="AE9927" s="259"/>
      <c r="AF9927" s="260"/>
      <c r="AG9927" s="321"/>
    </row>
    <row r="9928" spans="13:33" hidden="1">
      <c r="M9928"/>
      <c r="N9928" s="239"/>
      <c r="O9928" s="225"/>
      <c r="P9928" s="287"/>
      <c r="Q9928" s="320"/>
      <c r="R9928" s="260"/>
      <c r="S9928" s="260"/>
      <c r="T9928" s="260"/>
      <c r="U9928" s="260"/>
      <c r="V9928" s="260"/>
      <c r="W9928" s="260"/>
      <c r="X9928" s="259"/>
      <c r="Y9928" s="259"/>
      <c r="Z9928" s="260"/>
      <c r="AA9928" s="260"/>
      <c r="AB9928" s="260"/>
      <c r="AC9928" s="260"/>
      <c r="AD9928" s="259"/>
      <c r="AE9928" s="259"/>
      <c r="AF9928" s="260"/>
      <c r="AG9928" s="321"/>
    </row>
    <row r="9929" spans="13:33" hidden="1">
      <c r="M9929"/>
      <c r="N9929" s="239"/>
      <c r="O9929" s="225"/>
      <c r="P9929" s="287"/>
      <c r="Q9929" s="320"/>
      <c r="R9929" s="260"/>
      <c r="S9929" s="260"/>
      <c r="T9929" s="260"/>
      <c r="U9929" s="260"/>
      <c r="V9929" s="260"/>
      <c r="W9929" s="260"/>
      <c r="X9929" s="259"/>
      <c r="Y9929" s="259"/>
      <c r="Z9929" s="260"/>
      <c r="AA9929" s="260"/>
      <c r="AB9929" s="260"/>
      <c r="AC9929" s="260"/>
      <c r="AD9929" s="259"/>
      <c r="AE9929" s="259"/>
      <c r="AF9929" s="260"/>
      <c r="AG9929" s="321"/>
    </row>
    <row r="9930" spans="13:33" hidden="1">
      <c r="M9930"/>
      <c r="N9930" s="239"/>
      <c r="O9930" s="225"/>
      <c r="P9930" s="287"/>
      <c r="Q9930" s="320"/>
      <c r="R9930" s="260"/>
      <c r="S9930" s="260"/>
      <c r="T9930" s="260"/>
      <c r="U9930" s="260"/>
      <c r="V9930" s="260"/>
      <c r="W9930" s="260"/>
      <c r="X9930" s="259"/>
      <c r="Y9930" s="259"/>
      <c r="Z9930" s="260"/>
      <c r="AA9930" s="260"/>
      <c r="AB9930" s="260"/>
      <c r="AC9930" s="260"/>
      <c r="AD9930" s="259"/>
      <c r="AE9930" s="259"/>
      <c r="AF9930" s="260"/>
      <c r="AG9930" s="321"/>
    </row>
    <row r="9931" spans="13:33" hidden="1">
      <c r="M9931"/>
      <c r="N9931" s="239"/>
      <c r="O9931" s="225"/>
      <c r="P9931" s="287"/>
      <c r="Q9931" s="320"/>
      <c r="R9931" s="260"/>
      <c r="S9931" s="260"/>
      <c r="T9931" s="260"/>
      <c r="U9931" s="260"/>
      <c r="V9931" s="260"/>
      <c r="W9931" s="260"/>
      <c r="X9931" s="259"/>
      <c r="Y9931" s="259"/>
      <c r="Z9931" s="260"/>
      <c r="AA9931" s="260"/>
      <c r="AB9931" s="260"/>
      <c r="AC9931" s="260"/>
      <c r="AD9931" s="259"/>
      <c r="AE9931" s="259"/>
      <c r="AF9931" s="260"/>
      <c r="AG9931" s="321"/>
    </row>
    <row r="9932" spans="13:33" hidden="1">
      <c r="M9932"/>
      <c r="N9932" s="239"/>
      <c r="O9932" s="225"/>
      <c r="P9932" s="287"/>
      <c r="Q9932" s="320"/>
      <c r="R9932" s="260"/>
      <c r="S9932" s="260"/>
      <c r="T9932" s="260"/>
      <c r="U9932" s="260"/>
      <c r="V9932" s="260"/>
      <c r="W9932" s="260"/>
      <c r="X9932" s="259"/>
      <c r="Y9932" s="259"/>
      <c r="Z9932" s="260"/>
      <c r="AA9932" s="260"/>
      <c r="AB9932" s="260"/>
      <c r="AC9932" s="260"/>
      <c r="AD9932" s="259"/>
      <c r="AE9932" s="259"/>
      <c r="AF9932" s="260"/>
      <c r="AG9932" s="321"/>
    </row>
    <row r="9933" spans="13:33" hidden="1">
      <c r="M9933"/>
      <c r="N9933" s="239"/>
      <c r="O9933" s="225"/>
      <c r="P9933" s="287"/>
      <c r="Q9933" s="320"/>
      <c r="R9933" s="260"/>
      <c r="S9933" s="260"/>
      <c r="T9933" s="260"/>
      <c r="U9933" s="260"/>
      <c r="V9933" s="260"/>
      <c r="W9933" s="260"/>
      <c r="X9933" s="259"/>
      <c r="Y9933" s="259"/>
      <c r="Z9933" s="260"/>
      <c r="AA9933" s="260"/>
      <c r="AB9933" s="260"/>
      <c r="AC9933" s="260"/>
      <c r="AD9933" s="259"/>
      <c r="AE9933" s="259"/>
      <c r="AF9933" s="260"/>
      <c r="AG9933" s="321"/>
    </row>
    <row r="9934" spans="13:33" hidden="1">
      <c r="M9934"/>
      <c r="N9934" s="239"/>
      <c r="O9934" s="225"/>
      <c r="P9934" s="260"/>
      <c r="Q9934" s="320"/>
      <c r="R9934" s="260"/>
      <c r="S9934" s="260"/>
      <c r="T9934" s="260"/>
      <c r="U9934" s="260"/>
      <c r="V9934" s="260"/>
      <c r="W9934" s="260"/>
      <c r="X9934" s="259"/>
      <c r="Y9934" s="259"/>
      <c r="Z9934" s="260"/>
      <c r="AA9934" s="260"/>
      <c r="AB9934" s="260"/>
      <c r="AC9934" s="260"/>
      <c r="AD9934" s="259"/>
      <c r="AE9934" s="259"/>
      <c r="AF9934" s="260"/>
      <c r="AG9934" s="321"/>
    </row>
    <row r="9935" spans="13:33" hidden="1">
      <c r="M9935"/>
      <c r="N9935" s="239"/>
      <c r="O9935" s="225"/>
      <c r="P9935" s="260"/>
      <c r="Q9935" s="320"/>
      <c r="R9935" s="260"/>
      <c r="S9935" s="260"/>
      <c r="T9935" s="260"/>
      <c r="U9935" s="260"/>
      <c r="V9935" s="260"/>
      <c r="W9935" s="260"/>
      <c r="X9935" s="259"/>
      <c r="Y9935" s="259"/>
      <c r="Z9935" s="260"/>
      <c r="AA9935" s="260"/>
      <c r="AB9935" s="260"/>
      <c r="AC9935" s="260"/>
      <c r="AD9935" s="259"/>
      <c r="AE9935" s="259"/>
      <c r="AF9935" s="260"/>
      <c r="AG9935" s="321"/>
    </row>
    <row r="9936" spans="13:33" hidden="1">
      <c r="M9936"/>
      <c r="N9936" s="239"/>
      <c r="O9936" s="225"/>
      <c r="P9936" s="260"/>
      <c r="Q9936" s="320"/>
      <c r="R9936" s="260"/>
      <c r="S9936" s="260"/>
      <c r="T9936" s="260"/>
      <c r="U9936" s="260"/>
      <c r="V9936" s="260"/>
      <c r="W9936" s="260"/>
      <c r="X9936" s="259"/>
      <c r="Y9936" s="259"/>
      <c r="Z9936" s="260"/>
      <c r="AA9936" s="260"/>
      <c r="AB9936" s="260"/>
      <c r="AC9936" s="260"/>
      <c r="AD9936" s="259"/>
      <c r="AE9936" s="259"/>
      <c r="AF9936" s="260"/>
      <c r="AG9936" s="321"/>
    </row>
    <row r="9937" spans="13:33" hidden="1">
      <c r="M9937"/>
      <c r="N9937" s="239"/>
      <c r="O9937" s="225"/>
      <c r="P9937" s="260"/>
      <c r="Q9937" s="320"/>
      <c r="R9937" s="260"/>
      <c r="S9937" s="260"/>
      <c r="T9937" s="260"/>
      <c r="U9937" s="260"/>
      <c r="V9937" s="260"/>
      <c r="W9937" s="260"/>
      <c r="X9937" s="259"/>
      <c r="Y9937" s="259"/>
      <c r="Z9937" s="260"/>
      <c r="AA9937" s="260"/>
      <c r="AB9937" s="260"/>
      <c r="AC9937" s="260"/>
      <c r="AD9937" s="259"/>
      <c r="AE9937" s="259"/>
      <c r="AF9937" s="260"/>
      <c r="AG9937" s="321"/>
    </row>
    <row r="9938" spans="13:33" hidden="1">
      <c r="M9938"/>
      <c r="N9938" s="239"/>
      <c r="O9938" s="225"/>
      <c r="P9938" s="260"/>
      <c r="Q9938" s="320"/>
      <c r="R9938" s="260"/>
      <c r="S9938" s="260"/>
      <c r="T9938" s="260"/>
      <c r="U9938" s="260"/>
      <c r="V9938" s="260"/>
      <c r="W9938" s="260"/>
      <c r="X9938" s="259"/>
      <c r="Y9938" s="259"/>
      <c r="Z9938" s="260"/>
      <c r="AA9938" s="260"/>
      <c r="AB9938" s="260"/>
      <c r="AC9938" s="260"/>
      <c r="AD9938" s="259"/>
      <c r="AE9938" s="259"/>
      <c r="AF9938" s="260"/>
      <c r="AG9938" s="321"/>
    </row>
    <row r="9939" spans="13:33" hidden="1">
      <c r="M9939"/>
      <c r="N9939" s="239"/>
      <c r="O9939" s="225"/>
      <c r="P9939" s="260"/>
      <c r="Q9939" s="320"/>
      <c r="R9939" s="260"/>
      <c r="S9939" s="260"/>
      <c r="T9939" s="260"/>
      <c r="U9939" s="260"/>
      <c r="V9939" s="260"/>
      <c r="W9939" s="260"/>
      <c r="X9939" s="259"/>
      <c r="Y9939" s="259"/>
      <c r="Z9939" s="260"/>
      <c r="AA9939" s="260"/>
      <c r="AB9939" s="260"/>
      <c r="AC9939" s="260"/>
      <c r="AD9939" s="259"/>
      <c r="AE9939" s="259"/>
      <c r="AF9939" s="260"/>
      <c r="AG9939" s="321"/>
    </row>
    <row r="9940" spans="13:33" hidden="1">
      <c r="M9940"/>
      <c r="N9940" s="239"/>
      <c r="O9940" s="225"/>
      <c r="P9940" s="260"/>
      <c r="Q9940" s="320"/>
      <c r="R9940" s="260"/>
      <c r="S9940" s="260"/>
      <c r="T9940" s="260"/>
      <c r="U9940" s="260"/>
      <c r="V9940" s="260"/>
      <c r="W9940" s="260"/>
      <c r="X9940" s="259"/>
      <c r="Y9940" s="259"/>
      <c r="Z9940" s="260"/>
      <c r="AA9940" s="260"/>
      <c r="AB9940" s="260"/>
      <c r="AC9940" s="260"/>
      <c r="AD9940" s="259"/>
      <c r="AE9940" s="259"/>
      <c r="AF9940" s="260"/>
      <c r="AG9940" s="321"/>
    </row>
    <row r="9941" spans="13:33" hidden="1">
      <c r="M9941"/>
      <c r="N9941" s="239"/>
      <c r="O9941" s="225"/>
      <c r="P9941" s="260"/>
      <c r="Q9941" s="328"/>
      <c r="R9941" s="260"/>
      <c r="S9941" s="260"/>
      <c r="T9941" s="260"/>
      <c r="U9941" s="260"/>
      <c r="V9941" s="260"/>
      <c r="W9941" s="260"/>
      <c r="X9941" s="259"/>
      <c r="Y9941" s="259"/>
      <c r="Z9941" s="260"/>
      <c r="AA9941" s="260"/>
      <c r="AB9941" s="260"/>
      <c r="AC9941" s="260"/>
      <c r="AD9941" s="259"/>
      <c r="AE9941" s="259"/>
      <c r="AF9941" s="260"/>
      <c r="AG9941" s="330"/>
    </row>
    <row r="9942" spans="13:33" hidden="1">
      <c r="N9942" s="239"/>
      <c r="O9942" s="225"/>
      <c r="P9942" s="260"/>
      <c r="Q9942" s="328"/>
      <c r="R9942" s="260"/>
      <c r="S9942" s="260"/>
      <c r="T9942" s="260"/>
      <c r="U9942" s="260"/>
      <c r="V9942" s="260"/>
      <c r="W9942" s="260"/>
      <c r="X9942" s="259"/>
      <c r="Y9942" s="259"/>
      <c r="Z9942" s="260"/>
      <c r="AA9942" s="260"/>
      <c r="AB9942" s="260"/>
      <c r="AC9942" s="260"/>
      <c r="AD9942" s="259"/>
      <c r="AE9942" s="259"/>
      <c r="AF9942" s="260"/>
      <c r="AG9942" s="330"/>
    </row>
    <row r="9943" spans="13:33" hidden="1">
      <c r="N9943" s="239"/>
      <c r="O9943" s="225"/>
      <c r="P9943" s="260"/>
      <c r="Q9943" s="328"/>
      <c r="R9943" s="260"/>
      <c r="S9943" s="260"/>
      <c r="T9943" s="260"/>
      <c r="U9943" s="260"/>
      <c r="V9943" s="260"/>
      <c r="W9943" s="260"/>
      <c r="X9943" s="259"/>
      <c r="Y9943" s="259"/>
      <c r="Z9943" s="260"/>
      <c r="AA9943" s="260"/>
      <c r="AB9943" s="260"/>
      <c r="AC9943" s="260"/>
      <c r="AD9943" s="259"/>
      <c r="AE9943" s="259"/>
      <c r="AF9943" s="260"/>
      <c r="AG9943" s="330"/>
    </row>
    <row r="9944" spans="13:33" hidden="1">
      <c r="N9944" s="239"/>
      <c r="O9944" s="225"/>
      <c r="P9944" s="260"/>
      <c r="Q9944" s="328"/>
      <c r="R9944" s="260"/>
      <c r="S9944" s="260"/>
      <c r="T9944" s="260"/>
      <c r="U9944" s="260"/>
      <c r="V9944" s="260"/>
      <c r="W9944" s="260"/>
      <c r="X9944" s="259"/>
      <c r="Y9944" s="259"/>
      <c r="Z9944" s="260"/>
      <c r="AA9944" s="260"/>
      <c r="AB9944" s="260"/>
      <c r="AC9944" s="260"/>
      <c r="AD9944" s="259"/>
      <c r="AE9944" s="259"/>
      <c r="AF9944" s="260"/>
      <c r="AG9944" s="330"/>
    </row>
    <row r="9945" spans="13:33" hidden="1">
      <c r="N9945" s="239"/>
      <c r="O9945" s="225"/>
      <c r="P9945" s="260"/>
      <c r="Q9945" s="328"/>
      <c r="R9945" s="260"/>
      <c r="S9945" s="260"/>
      <c r="T9945" s="260"/>
      <c r="U9945" s="260"/>
      <c r="V9945" s="260"/>
      <c r="W9945" s="260"/>
      <c r="X9945" s="259"/>
      <c r="Y9945" s="259"/>
      <c r="Z9945" s="260"/>
      <c r="AA9945" s="260"/>
      <c r="AB9945" s="260"/>
      <c r="AC9945" s="260"/>
      <c r="AD9945" s="259"/>
      <c r="AE9945" s="259"/>
      <c r="AF9945" s="260"/>
      <c r="AG9945" s="330"/>
    </row>
    <row r="9946" spans="13:33" hidden="1">
      <c r="N9946" s="239"/>
      <c r="O9946" s="225"/>
      <c r="P9946" s="260"/>
      <c r="Q9946" s="328"/>
      <c r="R9946" s="260"/>
      <c r="S9946" s="260"/>
      <c r="T9946" s="260"/>
      <c r="U9946" s="260"/>
      <c r="V9946" s="260"/>
      <c r="W9946" s="260"/>
      <c r="X9946" s="259"/>
      <c r="Y9946" s="259"/>
      <c r="Z9946" s="260"/>
      <c r="AA9946" s="260"/>
      <c r="AB9946" s="260"/>
      <c r="AC9946" s="260"/>
      <c r="AD9946" s="259"/>
      <c r="AE9946" s="259"/>
      <c r="AF9946" s="260"/>
      <c r="AG9946" s="330"/>
    </row>
    <row r="9947" spans="13:33" hidden="1">
      <c r="N9947" s="239"/>
      <c r="O9947" s="225"/>
      <c r="P9947" s="260"/>
      <c r="Q9947" s="328"/>
      <c r="R9947" s="260"/>
      <c r="S9947" s="260"/>
      <c r="T9947" s="260"/>
      <c r="U9947" s="260"/>
      <c r="V9947" s="260"/>
      <c r="W9947" s="260"/>
      <c r="X9947" s="259"/>
      <c r="Y9947" s="259"/>
      <c r="Z9947" s="260"/>
      <c r="AA9947" s="260"/>
      <c r="AB9947" s="260"/>
      <c r="AC9947" s="260"/>
      <c r="AD9947" s="259"/>
      <c r="AE9947" s="259"/>
      <c r="AF9947" s="260"/>
      <c r="AG9947" s="330"/>
    </row>
    <row r="9948" spans="13:33" hidden="1">
      <c r="N9948" s="239"/>
      <c r="O9948" s="225"/>
      <c r="P9948" s="260"/>
      <c r="Q9948" s="328"/>
      <c r="R9948" s="260"/>
      <c r="S9948" s="260"/>
      <c r="T9948" s="260"/>
      <c r="U9948" s="260"/>
      <c r="V9948" s="260"/>
      <c r="W9948" s="260"/>
      <c r="X9948" s="259"/>
      <c r="Y9948" s="259"/>
      <c r="Z9948" s="260"/>
      <c r="AA9948" s="260"/>
      <c r="AB9948" s="260"/>
      <c r="AC9948" s="260"/>
      <c r="AD9948" s="259"/>
      <c r="AE9948" s="259"/>
      <c r="AF9948" s="260"/>
      <c r="AG9948" s="330"/>
    </row>
    <row r="9949" spans="13:33" hidden="1">
      <c r="N9949" s="239"/>
      <c r="O9949" s="225"/>
      <c r="P9949" s="260"/>
      <c r="Q9949" s="328"/>
      <c r="R9949" s="260"/>
      <c r="S9949" s="260"/>
      <c r="T9949" s="260"/>
      <c r="U9949" s="260"/>
      <c r="V9949" s="260"/>
      <c r="W9949" s="260"/>
      <c r="X9949" s="259"/>
      <c r="Y9949" s="259"/>
      <c r="Z9949" s="260"/>
      <c r="AA9949" s="260"/>
      <c r="AB9949" s="260"/>
      <c r="AC9949" s="260"/>
      <c r="AD9949" s="259"/>
      <c r="AE9949" s="259"/>
      <c r="AF9949" s="260"/>
      <c r="AG9949" s="330"/>
    </row>
    <row r="9950" spans="13:33" hidden="1">
      <c r="N9950" s="239"/>
      <c r="O9950" s="225"/>
      <c r="P9950" s="260"/>
      <c r="Q9950" s="328"/>
      <c r="R9950" s="260"/>
      <c r="S9950" s="260"/>
      <c r="T9950" s="260"/>
      <c r="U9950" s="260"/>
      <c r="V9950" s="260"/>
      <c r="W9950" s="260"/>
      <c r="X9950" s="259"/>
      <c r="Y9950" s="259"/>
      <c r="Z9950" s="260"/>
      <c r="AA9950" s="260"/>
      <c r="AB9950" s="260"/>
      <c r="AC9950" s="260"/>
      <c r="AD9950" s="259"/>
      <c r="AE9950" s="259"/>
      <c r="AF9950" s="260"/>
      <c r="AG9950" s="330"/>
    </row>
    <row r="9951" spans="13:33" hidden="1">
      <c r="N9951" s="239"/>
      <c r="O9951" s="225"/>
      <c r="P9951" s="260"/>
      <c r="Q9951" s="328"/>
      <c r="R9951" s="260"/>
      <c r="S9951" s="260"/>
      <c r="T9951" s="260"/>
      <c r="U9951" s="260"/>
      <c r="V9951" s="260"/>
      <c r="W9951" s="260"/>
      <c r="X9951" s="259"/>
      <c r="Y9951" s="259"/>
      <c r="Z9951" s="260"/>
      <c r="AA9951" s="260"/>
      <c r="AB9951" s="260"/>
      <c r="AC9951" s="260"/>
      <c r="AD9951" s="259"/>
      <c r="AE9951" s="259"/>
      <c r="AF9951" s="260"/>
      <c r="AG9951" s="330"/>
    </row>
    <row r="9952" spans="13:33" hidden="1">
      <c r="N9952" s="239"/>
      <c r="O9952" s="225"/>
      <c r="P9952" s="260"/>
      <c r="Q9952" s="328"/>
      <c r="R9952" s="260"/>
      <c r="S9952" s="260"/>
      <c r="T9952" s="260"/>
      <c r="U9952" s="260"/>
      <c r="V9952" s="260"/>
      <c r="W9952" s="260"/>
      <c r="X9952" s="259"/>
      <c r="Y9952" s="259"/>
      <c r="Z9952" s="260"/>
      <c r="AA9952" s="260"/>
      <c r="AB9952" s="260"/>
      <c r="AC9952" s="260"/>
      <c r="AD9952" s="259"/>
      <c r="AE9952" s="259"/>
      <c r="AF9952" s="260"/>
      <c r="AG9952" s="330"/>
    </row>
    <row r="9953" spans="14:33" hidden="1">
      <c r="N9953" s="239"/>
      <c r="O9953" s="225"/>
      <c r="P9953" s="260"/>
      <c r="Q9953" s="328"/>
      <c r="R9953" s="260"/>
      <c r="S9953" s="260"/>
      <c r="T9953" s="260"/>
      <c r="U9953" s="260"/>
      <c r="V9953" s="260"/>
      <c r="W9953" s="260"/>
      <c r="X9953" s="259"/>
      <c r="Y9953" s="259"/>
      <c r="Z9953" s="260"/>
      <c r="AA9953" s="260"/>
      <c r="AB9953" s="260"/>
      <c r="AC9953" s="260"/>
      <c r="AD9953" s="259"/>
      <c r="AE9953" s="259"/>
      <c r="AF9953" s="260"/>
      <c r="AG9953" s="330"/>
    </row>
    <row r="9954" spans="14:33" hidden="1">
      <c r="N9954" s="239"/>
      <c r="O9954" s="225"/>
      <c r="P9954" s="260"/>
      <c r="Q9954" s="328"/>
      <c r="R9954" s="260"/>
      <c r="S9954" s="260"/>
      <c r="T9954" s="260"/>
      <c r="U9954" s="260"/>
      <c r="V9954" s="260"/>
      <c r="W9954" s="260"/>
      <c r="X9954" s="259"/>
      <c r="Y9954" s="259"/>
      <c r="Z9954" s="260"/>
      <c r="AA9954" s="260"/>
      <c r="AB9954" s="260"/>
      <c r="AC9954" s="260"/>
      <c r="AD9954" s="259"/>
      <c r="AE9954" s="259"/>
      <c r="AF9954" s="260"/>
      <c r="AG9954" s="330"/>
    </row>
    <row r="9955" spans="14:33" hidden="1">
      <c r="N9955" s="239"/>
      <c r="O9955" s="225"/>
      <c r="P9955" s="260"/>
      <c r="Q9955" s="328"/>
      <c r="R9955" s="260"/>
      <c r="S9955" s="260"/>
      <c r="T9955" s="260"/>
      <c r="U9955" s="260"/>
      <c r="V9955" s="260"/>
      <c r="W9955" s="260"/>
      <c r="X9955" s="259"/>
      <c r="Y9955" s="259"/>
      <c r="Z9955" s="260"/>
      <c r="AA9955" s="260"/>
      <c r="AB9955" s="260"/>
      <c r="AC9955" s="260"/>
      <c r="AD9955" s="259"/>
      <c r="AE9955" s="259"/>
      <c r="AF9955" s="260"/>
      <c r="AG9955" s="330"/>
    </row>
    <row r="9956" spans="14:33" hidden="1">
      <c r="N9956" s="239"/>
      <c r="O9956" s="225"/>
      <c r="P9956" s="260"/>
      <c r="Q9956" s="328"/>
      <c r="R9956" s="260"/>
      <c r="S9956" s="260"/>
      <c r="T9956" s="260"/>
      <c r="U9956" s="260"/>
      <c r="V9956" s="260"/>
      <c r="W9956" s="260"/>
      <c r="X9956" s="259"/>
      <c r="Y9956" s="259"/>
      <c r="Z9956" s="260"/>
      <c r="AA9956" s="260"/>
      <c r="AB9956" s="260"/>
      <c r="AC9956" s="260"/>
      <c r="AD9956" s="259"/>
      <c r="AE9956" s="259"/>
      <c r="AF9956" s="260"/>
      <c r="AG9956" s="330"/>
    </row>
    <row r="9957" spans="14:33" hidden="1">
      <c r="N9957" s="239"/>
      <c r="O9957" s="225"/>
      <c r="P9957" s="260"/>
      <c r="Q9957" s="328"/>
      <c r="R9957" s="260"/>
      <c r="S9957" s="260"/>
      <c r="T9957" s="260"/>
      <c r="U9957" s="260"/>
      <c r="V9957" s="260"/>
      <c r="W9957" s="260"/>
      <c r="X9957" s="259"/>
      <c r="Y9957" s="259"/>
      <c r="Z9957" s="260"/>
      <c r="AA9957" s="260"/>
      <c r="AB9957" s="260"/>
      <c r="AC9957" s="260"/>
      <c r="AD9957" s="259"/>
      <c r="AE9957" s="259"/>
      <c r="AF9957" s="260"/>
      <c r="AG9957" s="330"/>
    </row>
    <row r="9958" spans="14:33" hidden="1">
      <c r="N9958" s="239"/>
      <c r="O9958" s="225"/>
      <c r="P9958" s="260"/>
      <c r="Q9958" s="328"/>
      <c r="R9958" s="260"/>
      <c r="S9958" s="260"/>
      <c r="T9958" s="260"/>
      <c r="U9958" s="260"/>
      <c r="V9958" s="260"/>
      <c r="W9958" s="260"/>
      <c r="X9958" s="259"/>
      <c r="Y9958" s="259"/>
      <c r="Z9958" s="260"/>
      <c r="AA9958" s="260"/>
      <c r="AB9958" s="260"/>
      <c r="AC9958" s="260"/>
      <c r="AD9958" s="259"/>
      <c r="AE9958" s="259"/>
      <c r="AF9958" s="260"/>
      <c r="AG9958" s="330"/>
    </row>
    <row r="9959" spans="14:33" hidden="1">
      <c r="N9959" s="239"/>
      <c r="O9959" s="225"/>
      <c r="P9959" s="260"/>
      <c r="Q9959" s="328"/>
      <c r="R9959" s="260"/>
      <c r="S9959" s="260"/>
      <c r="T9959" s="260"/>
      <c r="U9959" s="260"/>
      <c r="V9959" s="260"/>
      <c r="W9959" s="260"/>
      <c r="X9959" s="259"/>
      <c r="Y9959" s="259"/>
      <c r="Z9959" s="260"/>
      <c r="AA9959" s="260"/>
      <c r="AB9959" s="260"/>
      <c r="AC9959" s="260"/>
      <c r="AD9959" s="259"/>
      <c r="AE9959" s="259"/>
      <c r="AF9959" s="260"/>
      <c r="AG9959" s="330"/>
    </row>
    <row r="9960" spans="14:33" hidden="1">
      <c r="N9960" s="239"/>
      <c r="O9960" s="225"/>
      <c r="P9960" s="260"/>
      <c r="Q9960" s="328"/>
      <c r="R9960" s="260"/>
      <c r="S9960" s="260"/>
      <c r="T9960" s="260"/>
      <c r="U9960" s="260"/>
      <c r="V9960" s="260"/>
      <c r="W9960" s="260"/>
      <c r="X9960" s="259"/>
      <c r="Y9960" s="259"/>
      <c r="Z9960" s="260"/>
      <c r="AA9960" s="260"/>
      <c r="AB9960" s="260"/>
      <c r="AC9960" s="260"/>
      <c r="AD9960" s="259"/>
      <c r="AE9960" s="259"/>
      <c r="AF9960" s="260"/>
      <c r="AG9960" s="330"/>
    </row>
    <row r="9961" spans="14:33" hidden="1">
      <c r="N9961" s="239"/>
      <c r="O9961" s="225"/>
      <c r="P9961" s="260"/>
      <c r="Q9961" s="328"/>
      <c r="R9961" s="260"/>
      <c r="S9961" s="260"/>
      <c r="T9961" s="260"/>
      <c r="U9961" s="260"/>
      <c r="V9961" s="260"/>
      <c r="W9961" s="260"/>
      <c r="X9961" s="259"/>
      <c r="Y9961" s="259"/>
      <c r="Z9961" s="260"/>
      <c r="AA9961" s="260"/>
      <c r="AB9961" s="260"/>
      <c r="AC9961" s="260"/>
      <c r="AD9961" s="259"/>
      <c r="AE9961" s="259"/>
      <c r="AF9961" s="260"/>
      <c r="AG9961" s="330"/>
    </row>
    <row r="9962" spans="14:33" hidden="1">
      <c r="N9962" s="239"/>
      <c r="O9962" s="225"/>
      <c r="P9962" s="260"/>
      <c r="Q9962" s="328"/>
      <c r="R9962" s="260"/>
      <c r="S9962" s="260"/>
      <c r="T9962" s="260"/>
      <c r="U9962" s="260"/>
      <c r="V9962" s="260"/>
      <c r="W9962" s="260"/>
      <c r="X9962" s="259"/>
      <c r="Y9962" s="259"/>
      <c r="Z9962" s="260"/>
      <c r="AA9962" s="260"/>
      <c r="AB9962" s="260"/>
      <c r="AC9962" s="260"/>
      <c r="AD9962" s="259"/>
      <c r="AE9962" s="259"/>
      <c r="AF9962" s="260"/>
      <c r="AG9962" s="330"/>
    </row>
    <row r="9963" spans="14:33" hidden="1">
      <c r="N9963" s="239"/>
      <c r="O9963" s="225"/>
      <c r="P9963" s="260"/>
      <c r="Q9963" s="328"/>
      <c r="R9963" s="260"/>
      <c r="S9963" s="260"/>
      <c r="T9963" s="260"/>
      <c r="U9963" s="260"/>
      <c r="V9963" s="260"/>
      <c r="W9963" s="260"/>
      <c r="X9963" s="259"/>
      <c r="Y9963" s="259"/>
      <c r="Z9963" s="260"/>
      <c r="AA9963" s="260"/>
      <c r="AB9963" s="260"/>
      <c r="AC9963" s="260"/>
      <c r="AD9963" s="259"/>
      <c r="AE9963" s="259"/>
      <c r="AF9963" s="260"/>
      <c r="AG9963" s="330"/>
    </row>
    <row r="9964" spans="14:33" hidden="1">
      <c r="N9964" s="239"/>
      <c r="O9964" s="225"/>
      <c r="P9964" s="260"/>
      <c r="Q9964" s="328"/>
      <c r="R9964" s="260"/>
      <c r="S9964" s="260"/>
      <c r="T9964" s="260"/>
      <c r="U9964" s="260"/>
      <c r="V9964" s="260"/>
      <c r="W9964" s="260"/>
      <c r="X9964" s="259"/>
      <c r="Y9964" s="259"/>
      <c r="Z9964" s="260"/>
      <c r="AA9964" s="260"/>
      <c r="AB9964" s="260"/>
      <c r="AC9964" s="260"/>
      <c r="AD9964" s="259"/>
      <c r="AE9964" s="259"/>
      <c r="AF9964" s="260"/>
      <c r="AG9964" s="330"/>
    </row>
    <row r="9965" spans="14:33" hidden="1">
      <c r="N9965" s="239"/>
      <c r="O9965" s="225"/>
      <c r="P9965" s="260"/>
      <c r="Q9965" s="328"/>
      <c r="R9965" s="260"/>
      <c r="S9965" s="260"/>
      <c r="T9965" s="260"/>
      <c r="U9965" s="260"/>
      <c r="V9965" s="260"/>
      <c r="W9965" s="260"/>
      <c r="X9965" s="259"/>
      <c r="Y9965" s="259"/>
      <c r="Z9965" s="260"/>
      <c r="AA9965" s="260"/>
      <c r="AB9965" s="260"/>
      <c r="AC9965" s="260"/>
      <c r="AD9965" s="259"/>
      <c r="AE9965" s="259"/>
      <c r="AF9965" s="260"/>
      <c r="AG9965" s="330"/>
    </row>
    <row r="9966" spans="14:33" hidden="1">
      <c r="N9966" s="239"/>
      <c r="O9966" s="225"/>
      <c r="P9966" s="260"/>
      <c r="Q9966" s="328"/>
      <c r="R9966" s="260"/>
      <c r="S9966" s="260"/>
      <c r="T9966" s="260"/>
      <c r="U9966" s="260"/>
      <c r="V9966" s="260"/>
      <c r="W9966" s="260"/>
      <c r="X9966" s="259"/>
      <c r="Y9966" s="259"/>
      <c r="Z9966" s="260"/>
      <c r="AA9966" s="260"/>
      <c r="AB9966" s="260"/>
      <c r="AC9966" s="260"/>
      <c r="AD9966" s="259"/>
      <c r="AE9966" s="259"/>
      <c r="AF9966" s="260"/>
      <c r="AG9966" s="330"/>
    </row>
    <row r="9967" spans="14:33" hidden="1">
      <c r="N9967" s="239"/>
      <c r="O9967" s="225"/>
      <c r="P9967" s="260"/>
      <c r="Q9967" s="328"/>
      <c r="R9967" s="260"/>
      <c r="S9967" s="260"/>
      <c r="T9967" s="260"/>
      <c r="U9967" s="260"/>
      <c r="V9967" s="260"/>
      <c r="W9967" s="260"/>
      <c r="X9967" s="259"/>
      <c r="Y9967" s="259"/>
      <c r="Z9967" s="260"/>
      <c r="AA9967" s="260"/>
      <c r="AB9967" s="260"/>
      <c r="AC9967" s="260"/>
      <c r="AD9967" s="259"/>
      <c r="AE9967" s="259"/>
      <c r="AF9967" s="260"/>
      <c r="AG9967" s="330"/>
    </row>
    <row r="9968" spans="14:33" hidden="1">
      <c r="N9968" s="239"/>
      <c r="O9968" s="225"/>
      <c r="P9968" s="260"/>
      <c r="Q9968" s="328"/>
      <c r="R9968" s="260"/>
      <c r="S9968" s="260"/>
      <c r="T9968" s="260"/>
      <c r="U9968" s="260"/>
      <c r="V9968" s="260"/>
      <c r="W9968" s="260"/>
      <c r="X9968" s="259"/>
      <c r="Y9968" s="259"/>
      <c r="Z9968" s="260"/>
      <c r="AA9968" s="260"/>
      <c r="AB9968" s="260"/>
      <c r="AC9968" s="260"/>
      <c r="AD9968" s="259"/>
      <c r="AE9968" s="259"/>
      <c r="AF9968" s="260"/>
      <c r="AG9968" s="330"/>
    </row>
    <row r="9969" spans="14:33" hidden="1">
      <c r="N9969" s="239"/>
      <c r="O9969" s="225"/>
      <c r="P9969" s="260"/>
      <c r="Q9969" s="328"/>
      <c r="R9969" s="260"/>
      <c r="S9969" s="260"/>
      <c r="T9969" s="260"/>
      <c r="U9969" s="260"/>
      <c r="V9969" s="260"/>
      <c r="W9969" s="260"/>
      <c r="X9969" s="259"/>
      <c r="Y9969" s="259"/>
      <c r="Z9969" s="260"/>
      <c r="AA9969" s="260"/>
      <c r="AB9969" s="260"/>
      <c r="AC9969" s="260"/>
      <c r="AD9969" s="259"/>
      <c r="AE9969" s="259"/>
      <c r="AF9969" s="260"/>
      <c r="AG9969" s="330"/>
    </row>
    <row r="9970" spans="14:33" hidden="1">
      <c r="N9970" s="239"/>
      <c r="O9970" s="225"/>
      <c r="P9970" s="260"/>
      <c r="Q9970" s="328"/>
      <c r="R9970" s="260"/>
      <c r="S9970" s="260"/>
      <c r="T9970" s="260"/>
      <c r="U9970" s="260"/>
      <c r="V9970" s="260"/>
      <c r="W9970" s="260"/>
      <c r="X9970" s="259"/>
      <c r="Y9970" s="259"/>
      <c r="Z9970" s="260"/>
      <c r="AA9970" s="260"/>
      <c r="AB9970" s="260"/>
      <c r="AC9970" s="260"/>
      <c r="AD9970" s="259"/>
      <c r="AE9970" s="259"/>
      <c r="AF9970" s="260"/>
      <c r="AG9970" s="330"/>
    </row>
    <row r="9971" spans="14:33" hidden="1">
      <c r="N9971" s="239"/>
      <c r="O9971" s="225"/>
      <c r="P9971" s="260"/>
      <c r="Q9971" s="328"/>
      <c r="R9971" s="260"/>
      <c r="S9971" s="260"/>
      <c r="T9971" s="260"/>
      <c r="U9971" s="260"/>
      <c r="V9971" s="260"/>
      <c r="W9971" s="260"/>
      <c r="X9971" s="259"/>
      <c r="Y9971" s="259"/>
      <c r="Z9971" s="260"/>
      <c r="AA9971" s="260"/>
      <c r="AB9971" s="260"/>
      <c r="AC9971" s="260"/>
      <c r="AD9971" s="259"/>
      <c r="AE9971" s="259"/>
      <c r="AF9971" s="260"/>
      <c r="AG9971" s="330"/>
    </row>
    <row r="9972" spans="14:33" hidden="1">
      <c r="N9972" s="239"/>
      <c r="O9972" s="225"/>
      <c r="P9972" s="260"/>
      <c r="Q9972" s="328"/>
      <c r="R9972" s="260"/>
      <c r="S9972" s="260"/>
      <c r="T9972" s="260"/>
      <c r="U9972" s="260"/>
      <c r="V9972" s="260"/>
      <c r="W9972" s="260"/>
      <c r="X9972" s="259"/>
      <c r="Y9972" s="259"/>
      <c r="Z9972" s="260"/>
      <c r="AA9972" s="260"/>
      <c r="AB9972" s="260"/>
      <c r="AC9972" s="260"/>
      <c r="AD9972" s="259"/>
      <c r="AE9972" s="259"/>
      <c r="AF9972" s="260"/>
      <c r="AG9972" s="330"/>
    </row>
    <row r="9973" spans="14:33" hidden="1">
      <c r="N9973" s="239"/>
      <c r="O9973" s="225"/>
      <c r="P9973" s="260"/>
      <c r="Q9973" s="328"/>
      <c r="R9973" s="260"/>
      <c r="S9973" s="260"/>
      <c r="T9973" s="260"/>
      <c r="U9973" s="260"/>
      <c r="V9973" s="260"/>
      <c r="W9973" s="260"/>
      <c r="X9973" s="259"/>
      <c r="Y9973" s="259"/>
      <c r="Z9973" s="260"/>
      <c r="AA9973" s="260"/>
      <c r="AB9973" s="260"/>
      <c r="AC9973" s="260"/>
      <c r="AD9973" s="259"/>
      <c r="AE9973" s="259"/>
      <c r="AF9973" s="260"/>
      <c r="AG9973" s="330"/>
    </row>
    <row r="9974" spans="14:33" hidden="1">
      <c r="N9974" s="239"/>
      <c r="O9974" s="225"/>
      <c r="P9974" s="260"/>
      <c r="Q9974" s="328"/>
      <c r="R9974" s="260"/>
      <c r="S9974" s="260"/>
      <c r="T9974" s="260"/>
      <c r="U9974" s="260"/>
      <c r="V9974" s="260"/>
      <c r="W9974" s="260"/>
      <c r="X9974" s="259"/>
      <c r="Y9974" s="259"/>
      <c r="Z9974" s="260"/>
      <c r="AA9974" s="260"/>
      <c r="AB9974" s="260"/>
      <c r="AC9974" s="260"/>
      <c r="AD9974" s="259"/>
      <c r="AE9974" s="259"/>
      <c r="AF9974" s="260"/>
      <c r="AG9974" s="330"/>
    </row>
    <row r="9975" spans="14:33" hidden="1">
      <c r="N9975" s="239"/>
      <c r="O9975" s="225"/>
      <c r="P9975" s="260"/>
      <c r="Q9975" s="328"/>
      <c r="R9975" s="260"/>
      <c r="S9975" s="260"/>
      <c r="T9975" s="260"/>
      <c r="U9975" s="260"/>
      <c r="V9975" s="260"/>
      <c r="W9975" s="260"/>
      <c r="X9975" s="259"/>
      <c r="Y9975" s="259"/>
      <c r="Z9975" s="260"/>
      <c r="AA9975" s="260"/>
      <c r="AB9975" s="260"/>
      <c r="AC9975" s="260"/>
      <c r="AD9975" s="259"/>
      <c r="AE9975" s="259"/>
      <c r="AF9975" s="260"/>
      <c r="AG9975" s="330"/>
    </row>
    <row r="9976" spans="14:33" hidden="1">
      <c r="N9976" s="239"/>
      <c r="O9976" s="225"/>
      <c r="P9976" s="260"/>
      <c r="Q9976" s="328"/>
      <c r="R9976" s="260"/>
      <c r="S9976" s="260"/>
      <c r="T9976" s="260"/>
      <c r="U9976" s="260"/>
      <c r="V9976" s="260"/>
      <c r="W9976" s="260"/>
      <c r="X9976" s="259"/>
      <c r="Y9976" s="259"/>
      <c r="Z9976" s="260"/>
      <c r="AA9976" s="260"/>
      <c r="AB9976" s="260"/>
      <c r="AC9976" s="260"/>
      <c r="AD9976" s="259"/>
      <c r="AE9976" s="259"/>
      <c r="AF9976" s="260"/>
      <c r="AG9976" s="330"/>
    </row>
    <row r="9977" spans="14:33" hidden="1">
      <c r="N9977" s="239"/>
      <c r="O9977" s="225"/>
      <c r="P9977" s="260"/>
      <c r="Q9977" s="328"/>
      <c r="R9977" s="260"/>
      <c r="S9977" s="260"/>
      <c r="T9977" s="260"/>
      <c r="U9977" s="260"/>
      <c r="V9977" s="260"/>
      <c r="W9977" s="260"/>
      <c r="X9977" s="259"/>
      <c r="Y9977" s="259"/>
      <c r="Z9977" s="260"/>
      <c r="AA9977" s="260"/>
      <c r="AB9977" s="260"/>
      <c r="AC9977" s="260"/>
      <c r="AD9977" s="259"/>
      <c r="AE9977" s="259"/>
      <c r="AF9977" s="260"/>
      <c r="AG9977" s="330"/>
    </row>
    <row r="9978" spans="14:33" hidden="1">
      <c r="N9978" s="239"/>
      <c r="O9978" s="225"/>
      <c r="P9978" s="260"/>
      <c r="Q9978" s="328"/>
      <c r="R9978" s="260"/>
      <c r="S9978" s="260"/>
      <c r="T9978" s="260"/>
      <c r="U9978" s="260"/>
      <c r="V9978" s="260"/>
      <c r="W9978" s="260"/>
      <c r="X9978" s="259"/>
      <c r="Y9978" s="259"/>
      <c r="Z9978" s="260"/>
      <c r="AA9978" s="260"/>
      <c r="AB9978" s="260"/>
      <c r="AC9978" s="260"/>
      <c r="AD9978" s="259"/>
      <c r="AE9978" s="259"/>
      <c r="AF9978" s="260"/>
      <c r="AG9978" s="330"/>
    </row>
    <row r="9979" spans="14:33" hidden="1">
      <c r="N9979" s="239"/>
      <c r="O9979" s="225"/>
      <c r="P9979" s="260"/>
      <c r="Q9979" s="328"/>
      <c r="R9979" s="260"/>
      <c r="S9979" s="260"/>
      <c r="T9979" s="260"/>
      <c r="U9979" s="260"/>
      <c r="V9979" s="260"/>
      <c r="W9979" s="260"/>
      <c r="X9979" s="259"/>
      <c r="Y9979" s="259"/>
      <c r="Z9979" s="260"/>
      <c r="AA9979" s="260"/>
      <c r="AB9979" s="260"/>
      <c r="AC9979" s="260"/>
      <c r="AD9979" s="259"/>
      <c r="AE9979" s="259"/>
      <c r="AF9979" s="260"/>
      <c r="AG9979" s="330"/>
    </row>
    <row r="9980" spans="14:33" hidden="1">
      <c r="N9980" s="239"/>
      <c r="O9980" s="225"/>
      <c r="P9980" s="260"/>
      <c r="Q9980" s="328"/>
      <c r="R9980" s="260"/>
      <c r="S9980" s="260"/>
      <c r="T9980" s="260"/>
      <c r="U9980" s="260"/>
      <c r="V9980" s="260"/>
      <c r="W9980" s="260"/>
      <c r="X9980" s="259"/>
      <c r="Y9980" s="259"/>
      <c r="Z9980" s="260"/>
      <c r="AA9980" s="260"/>
      <c r="AB9980" s="260"/>
      <c r="AC9980" s="260"/>
      <c r="AD9980" s="259"/>
      <c r="AE9980" s="259"/>
      <c r="AF9980" s="260"/>
      <c r="AG9980" s="330"/>
    </row>
    <row r="9981" spans="14:33" hidden="1">
      <c r="N9981" s="239"/>
      <c r="O9981" s="225"/>
      <c r="P9981" s="260"/>
      <c r="Q9981" s="328"/>
      <c r="R9981" s="260"/>
      <c r="S9981" s="260"/>
      <c r="T9981" s="260"/>
      <c r="U9981" s="260"/>
      <c r="V9981" s="260"/>
      <c r="W9981" s="260"/>
      <c r="X9981" s="259"/>
      <c r="Y9981" s="259"/>
      <c r="Z9981" s="260"/>
      <c r="AA9981" s="260"/>
      <c r="AB9981" s="260"/>
      <c r="AC9981" s="260"/>
      <c r="AD9981" s="259"/>
      <c r="AE9981" s="259"/>
      <c r="AF9981" s="260"/>
      <c r="AG9981" s="330"/>
    </row>
    <row r="9982" spans="14:33" hidden="1">
      <c r="N9982" s="239"/>
      <c r="O9982" s="225"/>
      <c r="P9982" s="260"/>
      <c r="Q9982" s="328"/>
      <c r="R9982" s="260"/>
      <c r="S9982" s="260"/>
      <c r="T9982" s="260"/>
      <c r="U9982" s="260"/>
      <c r="V9982" s="260"/>
      <c r="W9982" s="260"/>
      <c r="X9982" s="259"/>
      <c r="Y9982" s="259"/>
      <c r="Z9982" s="260"/>
      <c r="AA9982" s="260"/>
      <c r="AB9982" s="260"/>
      <c r="AC9982" s="260"/>
      <c r="AD9982" s="259"/>
      <c r="AE9982" s="259"/>
      <c r="AF9982" s="260"/>
      <c r="AG9982" s="330"/>
    </row>
    <row r="9983" spans="14:33" hidden="1">
      <c r="N9983" s="239"/>
      <c r="O9983" s="225"/>
      <c r="P9983" s="260"/>
      <c r="Q9983" s="328"/>
      <c r="R9983" s="260"/>
      <c r="S9983" s="260"/>
      <c r="T9983" s="260"/>
      <c r="U9983" s="260"/>
      <c r="V9983" s="260"/>
      <c r="W9983" s="260"/>
      <c r="X9983" s="259"/>
      <c r="Y9983" s="259"/>
      <c r="Z9983" s="260"/>
      <c r="AA9983" s="260"/>
      <c r="AB9983" s="260"/>
      <c r="AC9983" s="260"/>
      <c r="AD9983" s="259"/>
      <c r="AE9983" s="259"/>
      <c r="AF9983" s="260"/>
      <c r="AG9983" s="330"/>
    </row>
    <row r="9984" spans="14:33" hidden="1">
      <c r="N9984" s="239"/>
      <c r="O9984" s="225"/>
      <c r="P9984" s="260"/>
      <c r="Q9984" s="328"/>
      <c r="R9984" s="260"/>
      <c r="S9984" s="260"/>
      <c r="T9984" s="260"/>
      <c r="U9984" s="260"/>
      <c r="V9984" s="260"/>
      <c r="W9984" s="260"/>
      <c r="X9984" s="259"/>
      <c r="Y9984" s="259"/>
      <c r="Z9984" s="260"/>
      <c r="AA9984" s="260"/>
      <c r="AB9984" s="260"/>
      <c r="AC9984" s="260"/>
      <c r="AD9984" s="259"/>
      <c r="AE9984" s="259"/>
      <c r="AF9984" s="260"/>
      <c r="AG9984" s="330"/>
    </row>
    <row r="9985" spans="14:33" hidden="1">
      <c r="N9985" s="239"/>
      <c r="O9985" s="225"/>
      <c r="P9985" s="260"/>
      <c r="Q9985" s="328"/>
      <c r="R9985" s="260"/>
      <c r="S9985" s="260"/>
      <c r="T9985" s="260"/>
      <c r="U9985" s="260"/>
      <c r="V9985" s="260"/>
      <c r="W9985" s="260"/>
      <c r="X9985" s="259"/>
      <c r="Y9985" s="259"/>
      <c r="Z9985" s="260"/>
      <c r="AA9985" s="260"/>
      <c r="AB9985" s="260"/>
      <c r="AC9985" s="260"/>
      <c r="AD9985" s="259"/>
      <c r="AE9985" s="259"/>
      <c r="AF9985" s="260"/>
      <c r="AG9985" s="330"/>
    </row>
    <row r="9986" spans="14:33" hidden="1">
      <c r="N9986" s="239"/>
      <c r="O9986" s="225"/>
      <c r="P9986" s="260"/>
      <c r="Q9986" s="328"/>
      <c r="R9986" s="260"/>
      <c r="S9986" s="260"/>
      <c r="T9986" s="260"/>
      <c r="U9986" s="260"/>
      <c r="V9986" s="260"/>
      <c r="W9986" s="260"/>
      <c r="X9986" s="259"/>
      <c r="Y9986" s="259"/>
      <c r="Z9986" s="260"/>
      <c r="AA9986" s="260"/>
      <c r="AB9986" s="260"/>
      <c r="AC9986" s="260"/>
      <c r="AD9986" s="259"/>
      <c r="AE9986" s="259"/>
      <c r="AF9986" s="260"/>
      <c r="AG9986" s="330"/>
    </row>
    <row r="9987" spans="14:33" hidden="1">
      <c r="N9987" s="239"/>
      <c r="O9987" s="225"/>
      <c r="P9987" s="260"/>
      <c r="Q9987" s="328"/>
      <c r="R9987" s="260"/>
      <c r="S9987" s="260"/>
      <c r="T9987" s="260"/>
      <c r="U9987" s="260"/>
      <c r="V9987" s="260"/>
      <c r="W9987" s="260"/>
      <c r="X9987" s="259"/>
      <c r="Y9987" s="259"/>
      <c r="Z9987" s="260"/>
      <c r="AA9987" s="260"/>
      <c r="AB9987" s="260"/>
      <c r="AC9987" s="260"/>
      <c r="AD9987" s="259"/>
      <c r="AE9987" s="259"/>
      <c r="AF9987" s="260"/>
      <c r="AG9987" s="330"/>
    </row>
    <row r="9988" spans="14:33" hidden="1">
      <c r="N9988" s="239"/>
      <c r="O9988" s="225"/>
      <c r="P9988" s="260"/>
      <c r="Q9988" s="328"/>
      <c r="R9988" s="260"/>
      <c r="S9988" s="260"/>
      <c r="T9988" s="260"/>
      <c r="U9988" s="260"/>
      <c r="V9988" s="260"/>
      <c r="W9988" s="260"/>
      <c r="X9988" s="259"/>
      <c r="Y9988" s="259"/>
      <c r="Z9988" s="260"/>
      <c r="AA9988" s="260"/>
      <c r="AB9988" s="260"/>
      <c r="AC9988" s="260"/>
      <c r="AD9988" s="259"/>
      <c r="AE9988" s="259"/>
      <c r="AF9988" s="260"/>
      <c r="AG9988" s="330"/>
    </row>
    <row r="9989" spans="14:33" hidden="1">
      <c r="N9989" s="239"/>
      <c r="O9989" s="225"/>
      <c r="P9989" s="260"/>
      <c r="Q9989" s="328"/>
      <c r="R9989" s="260"/>
      <c r="S9989" s="260"/>
      <c r="T9989" s="260"/>
      <c r="U9989" s="260"/>
      <c r="V9989" s="260"/>
      <c r="W9989" s="260"/>
      <c r="X9989" s="259"/>
      <c r="Y9989" s="259"/>
      <c r="Z9989" s="260"/>
      <c r="AA9989" s="260"/>
      <c r="AB9989" s="260"/>
      <c r="AC9989" s="260"/>
      <c r="AD9989" s="259"/>
      <c r="AE9989" s="259"/>
      <c r="AF9989" s="260"/>
      <c r="AG9989" s="330"/>
    </row>
    <row r="9990" spans="14:33" hidden="1">
      <c r="N9990" s="239"/>
      <c r="O9990" s="225"/>
      <c r="P9990" s="260"/>
      <c r="Q9990" s="328"/>
      <c r="R9990" s="260"/>
      <c r="S9990" s="260"/>
      <c r="T9990" s="260"/>
      <c r="U9990" s="260"/>
      <c r="V9990" s="260"/>
      <c r="W9990" s="260"/>
      <c r="X9990" s="259"/>
      <c r="Y9990" s="259"/>
      <c r="Z9990" s="260"/>
      <c r="AA9990" s="260"/>
      <c r="AB9990" s="260"/>
      <c r="AC9990" s="260"/>
      <c r="AD9990" s="259"/>
      <c r="AE9990" s="259"/>
      <c r="AF9990" s="260"/>
      <c r="AG9990" s="330"/>
    </row>
    <row r="9991" spans="14:33" hidden="1">
      <c r="N9991" s="239"/>
      <c r="O9991" s="225"/>
      <c r="P9991" s="260"/>
      <c r="Q9991" s="328"/>
      <c r="R9991" s="260"/>
      <c r="S9991" s="260"/>
      <c r="T9991" s="260"/>
      <c r="U9991" s="260"/>
      <c r="V9991" s="260"/>
      <c r="W9991" s="260"/>
      <c r="X9991" s="259"/>
      <c r="Y9991" s="259"/>
      <c r="Z9991" s="260"/>
      <c r="AA9991" s="260"/>
      <c r="AB9991" s="260"/>
      <c r="AC9991" s="260"/>
      <c r="AD9991" s="259"/>
      <c r="AE9991" s="259"/>
      <c r="AF9991" s="260"/>
      <c r="AG9991" s="330"/>
    </row>
    <row r="9992" spans="14:33" hidden="1">
      <c r="N9992" s="239"/>
      <c r="O9992" s="225"/>
      <c r="P9992" s="260"/>
      <c r="Q9992" s="328"/>
      <c r="R9992" s="260"/>
      <c r="S9992" s="260"/>
      <c r="T9992" s="260"/>
      <c r="U9992" s="260"/>
      <c r="V9992" s="260"/>
      <c r="W9992" s="260"/>
      <c r="X9992" s="259"/>
      <c r="Y9992" s="259"/>
      <c r="Z9992" s="260"/>
      <c r="AA9992" s="260"/>
      <c r="AB9992" s="260"/>
      <c r="AC9992" s="260"/>
      <c r="AD9992" s="259"/>
      <c r="AE9992" s="259"/>
      <c r="AF9992" s="260"/>
      <c r="AG9992" s="330"/>
    </row>
    <row r="9993" spans="14:33" hidden="1">
      <c r="N9993" s="239"/>
      <c r="O9993" s="225"/>
      <c r="P9993" s="260"/>
      <c r="Q9993" s="328"/>
      <c r="R9993" s="260"/>
      <c r="S9993" s="260"/>
      <c r="T9993" s="260"/>
      <c r="U9993" s="260"/>
      <c r="V9993" s="260"/>
      <c r="W9993" s="260"/>
      <c r="X9993" s="259"/>
      <c r="Y9993" s="259"/>
      <c r="Z9993" s="260"/>
      <c r="AA9993" s="260"/>
      <c r="AB9993" s="260"/>
      <c r="AC9993" s="260"/>
      <c r="AD9993" s="259"/>
      <c r="AE9993" s="259"/>
      <c r="AF9993" s="260"/>
      <c r="AG9993" s="330"/>
    </row>
    <row r="9994" spans="14:33" hidden="1">
      <c r="N9994" s="239"/>
      <c r="O9994" s="225"/>
      <c r="P9994" s="260"/>
      <c r="Q9994" s="328"/>
      <c r="R9994" s="260"/>
      <c r="S9994" s="260"/>
      <c r="T9994" s="260"/>
      <c r="U9994" s="260"/>
      <c r="V9994" s="260"/>
      <c r="W9994" s="260"/>
      <c r="X9994" s="259"/>
      <c r="Y9994" s="259"/>
      <c r="Z9994" s="260"/>
      <c r="AA9994" s="260"/>
      <c r="AB9994" s="260"/>
      <c r="AC9994" s="260"/>
      <c r="AD9994" s="259"/>
      <c r="AE9994" s="259"/>
      <c r="AF9994" s="260"/>
      <c r="AG9994" s="330"/>
    </row>
    <row r="9995" spans="14:33" hidden="1">
      <c r="N9995" s="239"/>
      <c r="O9995" s="225"/>
      <c r="P9995" s="260"/>
      <c r="Q9995" s="328"/>
      <c r="R9995" s="260"/>
      <c r="S9995" s="260"/>
      <c r="T9995" s="260"/>
      <c r="U9995" s="260"/>
      <c r="V9995" s="260"/>
      <c r="W9995" s="260"/>
      <c r="X9995" s="259"/>
      <c r="Y9995" s="259"/>
      <c r="Z9995" s="260"/>
      <c r="AA9995" s="260"/>
      <c r="AB9995" s="260"/>
      <c r="AC9995" s="260"/>
      <c r="AD9995" s="259"/>
      <c r="AE9995" s="259"/>
      <c r="AF9995" s="260"/>
      <c r="AG9995" s="330"/>
    </row>
    <row r="9996" spans="14:33" hidden="1">
      <c r="N9996" s="239"/>
      <c r="O9996" s="225"/>
      <c r="P9996" s="260"/>
      <c r="Q9996" s="328"/>
      <c r="R9996" s="260"/>
      <c r="S9996" s="260"/>
      <c r="T9996" s="260"/>
      <c r="U9996" s="260"/>
      <c r="V9996" s="260"/>
      <c r="W9996" s="260"/>
      <c r="X9996" s="259"/>
      <c r="Y9996" s="259"/>
      <c r="Z9996" s="260"/>
      <c r="AA9996" s="260"/>
      <c r="AB9996" s="260"/>
      <c r="AC9996" s="260"/>
      <c r="AD9996" s="259"/>
      <c r="AE9996" s="259"/>
      <c r="AF9996" s="260"/>
      <c r="AG9996" s="330"/>
    </row>
    <row r="9997" spans="14:33" hidden="1">
      <c r="N9997" s="239"/>
      <c r="O9997" s="225"/>
      <c r="P9997" s="260"/>
      <c r="Q9997" s="328"/>
      <c r="R9997" s="260"/>
      <c r="S9997" s="260"/>
      <c r="T9997" s="260"/>
      <c r="U9997" s="260"/>
      <c r="V9997" s="260"/>
      <c r="W9997" s="260"/>
      <c r="X9997" s="259"/>
      <c r="Y9997" s="259"/>
      <c r="Z9997" s="260"/>
      <c r="AA9997" s="260"/>
      <c r="AB9997" s="260"/>
      <c r="AC9997" s="260"/>
      <c r="AD9997" s="259"/>
      <c r="AE9997" s="259"/>
      <c r="AF9997" s="260"/>
      <c r="AG9997" s="330"/>
    </row>
    <row r="9998" spans="14:33" hidden="1">
      <c r="N9998" s="239"/>
      <c r="O9998" s="225"/>
      <c r="P9998" s="260"/>
      <c r="Q9998" s="328"/>
      <c r="R9998" s="260"/>
      <c r="S9998" s="260"/>
      <c r="T9998" s="260"/>
      <c r="U9998" s="260"/>
      <c r="V9998" s="260"/>
      <c r="W9998" s="260"/>
      <c r="X9998" s="259"/>
      <c r="Y9998" s="259"/>
      <c r="Z9998" s="260"/>
      <c r="AA9998" s="260"/>
      <c r="AB9998" s="260"/>
      <c r="AC9998" s="260"/>
      <c r="AD9998" s="259"/>
      <c r="AE9998" s="259"/>
      <c r="AF9998" s="260"/>
      <c r="AG9998" s="330"/>
    </row>
    <row r="9999" spans="14:33" hidden="1">
      <c r="N9999" s="239"/>
      <c r="O9999" s="225"/>
      <c r="P9999" s="260"/>
      <c r="Q9999" s="328"/>
      <c r="R9999" s="260"/>
      <c r="S9999" s="260"/>
      <c r="T9999" s="260"/>
      <c r="U9999" s="260"/>
      <c r="V9999" s="260"/>
      <c r="W9999" s="260"/>
      <c r="X9999" s="259"/>
      <c r="Y9999" s="259"/>
      <c r="Z9999" s="260"/>
      <c r="AA9999" s="260"/>
      <c r="AB9999" s="260"/>
      <c r="AC9999" s="260"/>
      <c r="AD9999" s="259"/>
      <c r="AE9999" s="259"/>
      <c r="AF9999" s="260"/>
      <c r="AG9999" s="330"/>
    </row>
    <row r="10000" spans="14:33" hidden="1">
      <c r="N10000" s="239"/>
      <c r="O10000" s="225"/>
      <c r="P10000" s="260"/>
      <c r="Q10000" s="328"/>
      <c r="R10000" s="260"/>
      <c r="S10000" s="260"/>
      <c r="T10000" s="260"/>
      <c r="U10000" s="260"/>
      <c r="V10000" s="260"/>
      <c r="W10000" s="260"/>
      <c r="X10000" s="259"/>
      <c r="Y10000" s="259"/>
      <c r="Z10000" s="260"/>
      <c r="AA10000" s="260"/>
      <c r="AB10000" s="260"/>
      <c r="AC10000" s="260"/>
      <c r="AD10000" s="259"/>
      <c r="AE10000" s="259"/>
      <c r="AF10000" s="260"/>
      <c r="AG10000" s="330"/>
    </row>
    <row r="10001" spans="14:33" hidden="1">
      <c r="N10001" s="239"/>
      <c r="O10001" s="225"/>
      <c r="P10001" s="260"/>
      <c r="Q10001" s="328"/>
      <c r="R10001" s="260"/>
      <c r="S10001" s="260"/>
      <c r="T10001" s="260"/>
      <c r="U10001" s="260"/>
      <c r="V10001" s="260"/>
      <c r="W10001" s="260"/>
      <c r="X10001" s="259"/>
      <c r="Y10001" s="259"/>
      <c r="Z10001" s="260"/>
      <c r="AA10001" s="260"/>
      <c r="AB10001" s="260"/>
      <c r="AC10001" s="260"/>
      <c r="AD10001" s="259"/>
      <c r="AE10001" s="259"/>
      <c r="AF10001" s="260"/>
      <c r="AG10001" s="330"/>
    </row>
    <row r="10002" spans="14:33" hidden="1">
      <c r="N10002" s="239"/>
      <c r="O10002" s="225"/>
      <c r="P10002" s="260"/>
      <c r="Q10002" s="328"/>
      <c r="R10002" s="260"/>
      <c r="S10002" s="260"/>
      <c r="T10002" s="260"/>
      <c r="U10002" s="260"/>
      <c r="V10002" s="260"/>
      <c r="W10002" s="260"/>
      <c r="X10002" s="259"/>
      <c r="Y10002" s="259"/>
      <c r="Z10002" s="260"/>
      <c r="AA10002" s="260"/>
      <c r="AB10002" s="260"/>
      <c r="AC10002" s="260"/>
      <c r="AD10002" s="259"/>
      <c r="AE10002" s="259"/>
      <c r="AF10002" s="260"/>
      <c r="AG10002" s="330"/>
    </row>
    <row r="10003" spans="14:33" hidden="1">
      <c r="N10003" s="239"/>
      <c r="O10003" s="225"/>
      <c r="P10003" s="260"/>
      <c r="Q10003" s="328"/>
      <c r="R10003" s="260"/>
      <c r="S10003" s="260"/>
      <c r="T10003" s="260"/>
      <c r="U10003" s="260"/>
      <c r="V10003" s="260"/>
      <c r="W10003" s="260"/>
      <c r="X10003" s="259"/>
      <c r="Y10003" s="259"/>
      <c r="Z10003" s="260"/>
      <c r="AA10003" s="260"/>
      <c r="AB10003" s="260"/>
      <c r="AC10003" s="260"/>
      <c r="AD10003" s="259"/>
      <c r="AE10003" s="259"/>
      <c r="AF10003" s="260"/>
      <c r="AG10003" s="330"/>
    </row>
    <row r="10004" spans="14:33" hidden="1">
      <c r="N10004" s="239"/>
      <c r="O10004" s="225"/>
      <c r="P10004" s="260"/>
      <c r="Q10004" s="328"/>
      <c r="R10004" s="260"/>
      <c r="S10004" s="260"/>
      <c r="T10004" s="260"/>
      <c r="U10004" s="260"/>
      <c r="V10004" s="260"/>
      <c r="W10004" s="260"/>
      <c r="X10004" s="259"/>
      <c r="Y10004" s="259"/>
      <c r="Z10004" s="260"/>
      <c r="AA10004" s="260"/>
      <c r="AB10004" s="260"/>
      <c r="AC10004" s="260"/>
      <c r="AD10004" s="259"/>
      <c r="AE10004" s="259"/>
      <c r="AF10004" s="260"/>
      <c r="AG10004" s="330"/>
    </row>
    <row r="10005" spans="14:33" hidden="1">
      <c r="N10005" s="239"/>
      <c r="O10005" s="225"/>
      <c r="P10005" s="260"/>
      <c r="Q10005" s="328"/>
      <c r="R10005" s="260"/>
      <c r="S10005" s="260"/>
      <c r="T10005" s="260"/>
      <c r="U10005" s="260"/>
      <c r="V10005" s="260"/>
      <c r="W10005" s="260"/>
      <c r="X10005" s="259"/>
      <c r="Y10005" s="259"/>
      <c r="Z10005" s="260"/>
      <c r="AA10005" s="260"/>
      <c r="AB10005" s="260"/>
      <c r="AC10005" s="260"/>
      <c r="AD10005" s="259"/>
      <c r="AE10005" s="259"/>
      <c r="AF10005" s="260"/>
      <c r="AG10005" s="330"/>
    </row>
    <row r="10006" spans="14:33" hidden="1">
      <c r="N10006" s="239"/>
      <c r="O10006" s="225"/>
      <c r="P10006" s="260"/>
      <c r="Q10006" s="328"/>
      <c r="R10006" s="260"/>
      <c r="S10006" s="260"/>
      <c r="T10006" s="260"/>
      <c r="U10006" s="260"/>
      <c r="V10006" s="260"/>
      <c r="W10006" s="260"/>
      <c r="X10006" s="259"/>
      <c r="Y10006" s="259"/>
      <c r="Z10006" s="260"/>
      <c r="AA10006" s="260"/>
      <c r="AB10006" s="260"/>
      <c r="AC10006" s="260"/>
      <c r="AD10006" s="259"/>
      <c r="AE10006" s="259"/>
      <c r="AF10006" s="260"/>
      <c r="AG10006" s="330"/>
    </row>
    <row r="10007" spans="14:33" hidden="1">
      <c r="N10007" s="239"/>
      <c r="O10007" s="225"/>
      <c r="P10007" s="260"/>
      <c r="Q10007" s="328"/>
      <c r="R10007" s="260"/>
      <c r="S10007" s="260"/>
      <c r="T10007" s="260"/>
      <c r="U10007" s="260"/>
      <c r="V10007" s="260"/>
      <c r="W10007" s="260"/>
      <c r="X10007" s="259"/>
      <c r="Y10007" s="259"/>
      <c r="Z10007" s="260"/>
      <c r="AA10007" s="260"/>
      <c r="AB10007" s="260"/>
      <c r="AC10007" s="260"/>
      <c r="AD10007" s="259"/>
      <c r="AE10007" s="259"/>
      <c r="AF10007" s="260"/>
      <c r="AG10007" s="330"/>
    </row>
    <row r="10008" spans="14:33" hidden="1">
      <c r="N10008" s="239"/>
      <c r="O10008" s="225"/>
      <c r="P10008" s="260"/>
      <c r="Q10008" s="328"/>
      <c r="R10008" s="260"/>
      <c r="S10008" s="260"/>
      <c r="T10008" s="260"/>
      <c r="U10008" s="260"/>
      <c r="V10008" s="260"/>
      <c r="W10008" s="260"/>
      <c r="X10008" s="259"/>
      <c r="Y10008" s="259"/>
      <c r="Z10008" s="260"/>
      <c r="AA10008" s="260"/>
      <c r="AB10008" s="260"/>
      <c r="AC10008" s="260"/>
      <c r="AD10008" s="259"/>
      <c r="AE10008" s="259"/>
      <c r="AF10008" s="260"/>
      <c r="AG10008" s="330"/>
    </row>
    <row r="10009" spans="14:33" hidden="1">
      <c r="N10009" s="239"/>
      <c r="O10009" s="225"/>
      <c r="P10009" s="260"/>
      <c r="Q10009" s="328"/>
      <c r="R10009" s="260"/>
      <c r="S10009" s="260"/>
      <c r="T10009" s="260"/>
      <c r="U10009" s="260"/>
      <c r="V10009" s="260"/>
      <c r="W10009" s="260"/>
      <c r="X10009" s="259"/>
      <c r="Y10009" s="259"/>
      <c r="Z10009" s="260"/>
      <c r="AA10009" s="260"/>
      <c r="AB10009" s="260"/>
      <c r="AC10009" s="260"/>
      <c r="AD10009" s="259"/>
      <c r="AE10009" s="259"/>
      <c r="AF10009" s="260"/>
      <c r="AG10009" s="330"/>
    </row>
    <row r="10010" spans="14:33" hidden="1">
      <c r="N10010" s="239"/>
      <c r="O10010" s="225"/>
      <c r="P10010" s="260"/>
      <c r="Q10010" s="328"/>
      <c r="R10010" s="260"/>
      <c r="S10010" s="260"/>
      <c r="T10010" s="260"/>
      <c r="U10010" s="260"/>
      <c r="V10010" s="260"/>
      <c r="W10010" s="260"/>
      <c r="X10010" s="259"/>
      <c r="Y10010" s="259"/>
      <c r="Z10010" s="260"/>
      <c r="AA10010" s="260"/>
      <c r="AB10010" s="260"/>
      <c r="AC10010" s="260"/>
      <c r="AD10010" s="259"/>
      <c r="AE10010" s="259"/>
      <c r="AF10010" s="260"/>
      <c r="AG10010" s="330"/>
    </row>
    <row r="10011" spans="14:33" hidden="1">
      <c r="N10011" s="239"/>
      <c r="O10011" s="225"/>
      <c r="P10011" s="260"/>
      <c r="Q10011" s="328"/>
      <c r="R10011" s="260"/>
      <c r="S10011" s="260"/>
      <c r="T10011" s="260"/>
      <c r="U10011" s="260"/>
      <c r="V10011" s="260"/>
      <c r="W10011" s="260"/>
      <c r="X10011" s="259"/>
      <c r="Y10011" s="259"/>
      <c r="Z10011" s="260"/>
      <c r="AA10011" s="260"/>
      <c r="AB10011" s="260"/>
      <c r="AC10011" s="260"/>
      <c r="AD10011" s="259"/>
      <c r="AE10011" s="259"/>
      <c r="AF10011" s="260"/>
      <c r="AG10011" s="330"/>
    </row>
    <row r="10012" spans="14:33" hidden="1">
      <c r="N10012" s="239"/>
      <c r="O10012" s="225"/>
      <c r="P10012" s="260"/>
      <c r="Q10012" s="328"/>
      <c r="R10012" s="260"/>
      <c r="S10012" s="260"/>
      <c r="T10012" s="260"/>
      <c r="U10012" s="260"/>
      <c r="V10012" s="260"/>
      <c r="W10012" s="260"/>
      <c r="X10012" s="259"/>
      <c r="Y10012" s="259"/>
      <c r="Z10012" s="260"/>
      <c r="AA10012" s="260"/>
      <c r="AB10012" s="260"/>
      <c r="AC10012" s="260"/>
      <c r="AD10012" s="259"/>
      <c r="AE10012" s="259"/>
      <c r="AF10012" s="260"/>
      <c r="AG10012" s="330"/>
    </row>
    <row r="10013" spans="14:33" hidden="1">
      <c r="N10013" s="239"/>
      <c r="O10013" s="225"/>
      <c r="P10013" s="260"/>
      <c r="Q10013" s="328"/>
      <c r="R10013" s="260"/>
      <c r="S10013" s="260"/>
      <c r="T10013" s="260"/>
      <c r="U10013" s="260"/>
      <c r="V10013" s="260"/>
      <c r="W10013" s="260"/>
      <c r="X10013" s="259"/>
      <c r="Y10013" s="259"/>
      <c r="Z10013" s="260"/>
      <c r="AA10013" s="260"/>
      <c r="AB10013" s="260"/>
      <c r="AC10013" s="260"/>
      <c r="AD10013" s="259"/>
      <c r="AE10013" s="259"/>
      <c r="AF10013" s="260"/>
      <c r="AG10013" s="330"/>
    </row>
    <row r="10014" spans="14:33" hidden="1">
      <c r="N10014" s="239"/>
      <c r="O10014" s="225"/>
      <c r="P10014" s="260"/>
      <c r="Q10014" s="328"/>
      <c r="R10014" s="260"/>
      <c r="S10014" s="260"/>
      <c r="T10014" s="260"/>
      <c r="U10014" s="260"/>
      <c r="V10014" s="260"/>
      <c r="W10014" s="260"/>
      <c r="X10014" s="259"/>
      <c r="Y10014" s="259"/>
      <c r="Z10014" s="260"/>
      <c r="AA10014" s="260"/>
      <c r="AB10014" s="260"/>
      <c r="AC10014" s="260"/>
      <c r="AD10014" s="259"/>
      <c r="AE10014" s="259"/>
      <c r="AF10014" s="260"/>
      <c r="AG10014" s="330"/>
    </row>
    <row r="10015" spans="14:33" hidden="1">
      <c r="N10015" s="239"/>
      <c r="O10015" s="225"/>
      <c r="P10015" s="260"/>
      <c r="Q10015" s="328"/>
      <c r="R10015" s="260"/>
      <c r="S10015" s="260"/>
      <c r="T10015" s="260"/>
      <c r="U10015" s="260"/>
      <c r="V10015" s="260"/>
      <c r="W10015" s="260"/>
      <c r="X10015" s="259"/>
      <c r="Y10015" s="259"/>
      <c r="Z10015" s="260"/>
      <c r="AA10015" s="260"/>
      <c r="AB10015" s="260"/>
      <c r="AC10015" s="260"/>
      <c r="AD10015" s="259"/>
      <c r="AE10015" s="259"/>
      <c r="AF10015" s="260"/>
      <c r="AG10015" s="330"/>
    </row>
    <row r="10016" spans="14:33" hidden="1">
      <c r="N10016" s="239"/>
      <c r="O10016" s="225"/>
      <c r="P10016" s="260"/>
      <c r="Q10016" s="328"/>
      <c r="R10016" s="260"/>
      <c r="S10016" s="260"/>
      <c r="T10016" s="260"/>
      <c r="U10016" s="260"/>
      <c r="V10016" s="260"/>
      <c r="W10016" s="260"/>
      <c r="X10016" s="259"/>
      <c r="Y10016" s="259"/>
      <c r="Z10016" s="260"/>
      <c r="AA10016" s="260"/>
      <c r="AB10016" s="260"/>
      <c r="AC10016" s="260"/>
      <c r="AD10016" s="259"/>
      <c r="AE10016" s="259"/>
      <c r="AF10016" s="260"/>
      <c r="AG10016" s="330"/>
    </row>
    <row r="10017" spans="14:33" hidden="1">
      <c r="N10017" s="239"/>
      <c r="O10017" s="225"/>
      <c r="P10017" s="260"/>
      <c r="Q10017" s="328"/>
      <c r="R10017" s="260"/>
      <c r="S10017" s="260"/>
      <c r="T10017" s="260"/>
      <c r="U10017" s="260"/>
      <c r="V10017" s="260"/>
      <c r="W10017" s="260"/>
      <c r="X10017" s="259"/>
      <c r="Y10017" s="259"/>
      <c r="Z10017" s="260"/>
      <c r="AA10017" s="260"/>
      <c r="AB10017" s="260"/>
      <c r="AC10017" s="260"/>
      <c r="AD10017" s="259"/>
      <c r="AE10017" s="259"/>
      <c r="AF10017" s="260"/>
      <c r="AG10017" s="330"/>
    </row>
    <row r="10018" spans="14:33" hidden="1">
      <c r="N10018" s="239"/>
      <c r="O10018" s="225"/>
      <c r="P10018" s="260"/>
      <c r="Q10018" s="328"/>
      <c r="R10018" s="260"/>
      <c r="S10018" s="260"/>
      <c r="T10018" s="260"/>
      <c r="U10018" s="260"/>
      <c r="V10018" s="260"/>
      <c r="W10018" s="260"/>
      <c r="X10018" s="259"/>
      <c r="Y10018" s="259"/>
      <c r="Z10018" s="260"/>
      <c r="AA10018" s="260"/>
      <c r="AB10018" s="260"/>
      <c r="AC10018" s="260"/>
      <c r="AD10018" s="259"/>
      <c r="AE10018" s="259"/>
      <c r="AF10018" s="260"/>
      <c r="AG10018" s="330"/>
    </row>
    <row r="10019" spans="14:33" hidden="1">
      <c r="N10019" s="239"/>
      <c r="O10019" s="225"/>
      <c r="P10019" s="260"/>
      <c r="Q10019" s="328"/>
      <c r="R10019" s="260"/>
      <c r="S10019" s="260"/>
      <c r="T10019" s="260"/>
      <c r="U10019" s="260"/>
      <c r="V10019" s="260"/>
      <c r="W10019" s="260"/>
      <c r="X10019" s="259"/>
      <c r="Y10019" s="259"/>
      <c r="Z10019" s="260"/>
      <c r="AA10019" s="260"/>
      <c r="AB10019" s="260"/>
      <c r="AC10019" s="260"/>
      <c r="AD10019" s="259"/>
      <c r="AE10019" s="259"/>
      <c r="AF10019" s="260"/>
      <c r="AG10019" s="330"/>
    </row>
    <row r="10020" spans="14:33" hidden="1">
      <c r="N10020" s="239"/>
      <c r="O10020" s="225"/>
      <c r="P10020" s="260"/>
      <c r="Q10020" s="328"/>
      <c r="R10020" s="260"/>
      <c r="S10020" s="260"/>
      <c r="T10020" s="260"/>
      <c r="U10020" s="260"/>
      <c r="V10020" s="260"/>
      <c r="W10020" s="260"/>
      <c r="X10020" s="259"/>
      <c r="Y10020" s="259"/>
      <c r="Z10020" s="260"/>
      <c r="AA10020" s="260"/>
      <c r="AB10020" s="260"/>
      <c r="AC10020" s="260"/>
      <c r="AD10020" s="259"/>
      <c r="AE10020" s="259"/>
      <c r="AF10020" s="260"/>
      <c r="AG10020" s="330"/>
    </row>
    <row r="10021" spans="14:33" hidden="1">
      <c r="N10021" s="239"/>
      <c r="O10021" s="225"/>
      <c r="P10021" s="260"/>
      <c r="Q10021" s="328"/>
      <c r="R10021" s="260"/>
      <c r="S10021" s="260"/>
      <c r="T10021" s="260"/>
      <c r="U10021" s="260"/>
      <c r="V10021" s="260"/>
      <c r="W10021" s="260"/>
      <c r="X10021" s="259"/>
      <c r="Y10021" s="259"/>
      <c r="Z10021" s="260"/>
      <c r="AA10021" s="260"/>
      <c r="AB10021" s="260"/>
      <c r="AC10021" s="260"/>
      <c r="AD10021" s="259"/>
      <c r="AE10021" s="259"/>
      <c r="AF10021" s="260"/>
      <c r="AG10021" s="330"/>
    </row>
    <row r="10022" spans="14:33" hidden="1">
      <c r="N10022" s="239"/>
      <c r="O10022" s="225"/>
      <c r="P10022" s="260"/>
      <c r="Q10022" s="328"/>
      <c r="R10022" s="260"/>
      <c r="S10022" s="260"/>
      <c r="T10022" s="260"/>
      <c r="U10022" s="260"/>
      <c r="V10022" s="260"/>
      <c r="W10022" s="260"/>
      <c r="X10022" s="259"/>
      <c r="Y10022" s="259"/>
      <c r="Z10022" s="260"/>
      <c r="AA10022" s="260"/>
      <c r="AB10022" s="260"/>
      <c r="AC10022" s="260"/>
      <c r="AD10022" s="259"/>
      <c r="AE10022" s="259"/>
      <c r="AF10022" s="260"/>
      <c r="AG10022" s="330"/>
    </row>
    <row r="10023" spans="14:33" hidden="1">
      <c r="N10023" s="239"/>
      <c r="O10023" s="225"/>
      <c r="P10023" s="260"/>
      <c r="Q10023" s="328"/>
      <c r="R10023" s="260"/>
      <c r="S10023" s="260"/>
      <c r="T10023" s="260"/>
      <c r="U10023" s="260"/>
      <c r="V10023" s="260"/>
      <c r="W10023" s="260"/>
      <c r="X10023" s="259"/>
      <c r="Y10023" s="259"/>
      <c r="Z10023" s="260"/>
      <c r="AA10023" s="260"/>
      <c r="AB10023" s="260"/>
      <c r="AC10023" s="260"/>
      <c r="AD10023" s="259"/>
      <c r="AE10023" s="259"/>
      <c r="AF10023" s="260"/>
      <c r="AG10023" s="330"/>
    </row>
    <row r="10024" spans="14:33" hidden="1">
      <c r="N10024" s="239"/>
      <c r="O10024" s="225"/>
      <c r="P10024" s="260"/>
      <c r="Q10024" s="328"/>
      <c r="R10024" s="260"/>
      <c r="S10024" s="260"/>
      <c r="T10024" s="260"/>
      <c r="U10024" s="260"/>
      <c r="V10024" s="260"/>
      <c r="W10024" s="260"/>
      <c r="X10024" s="259"/>
      <c r="Y10024" s="259"/>
      <c r="Z10024" s="260"/>
      <c r="AA10024" s="260"/>
      <c r="AB10024" s="260"/>
      <c r="AC10024" s="260"/>
      <c r="AD10024" s="259"/>
      <c r="AE10024" s="259"/>
      <c r="AF10024" s="260"/>
      <c r="AG10024" s="330"/>
    </row>
    <row r="10025" spans="14:33" hidden="1">
      <c r="N10025" s="239"/>
      <c r="O10025" s="225"/>
      <c r="P10025" s="260"/>
      <c r="Q10025" s="328"/>
      <c r="R10025" s="260"/>
      <c r="S10025" s="260"/>
      <c r="T10025" s="260"/>
      <c r="U10025" s="260"/>
      <c r="V10025" s="260"/>
      <c r="W10025" s="260"/>
      <c r="X10025" s="259"/>
      <c r="Y10025" s="259"/>
      <c r="Z10025" s="260"/>
      <c r="AA10025" s="260"/>
      <c r="AB10025" s="260"/>
      <c r="AC10025" s="260"/>
      <c r="AD10025" s="259"/>
      <c r="AE10025" s="259"/>
      <c r="AF10025" s="260"/>
      <c r="AG10025" s="330"/>
    </row>
    <row r="10026" spans="14:33" hidden="1">
      <c r="N10026" s="239"/>
      <c r="O10026" s="225"/>
      <c r="P10026" s="260"/>
      <c r="Q10026" s="328"/>
      <c r="R10026" s="260"/>
      <c r="S10026" s="260"/>
      <c r="T10026" s="260"/>
      <c r="U10026" s="260"/>
      <c r="V10026" s="260"/>
      <c r="W10026" s="260"/>
      <c r="X10026" s="259"/>
      <c r="Y10026" s="259"/>
      <c r="Z10026" s="260"/>
      <c r="AA10026" s="260"/>
      <c r="AB10026" s="260"/>
      <c r="AC10026" s="260"/>
      <c r="AD10026" s="259"/>
      <c r="AE10026" s="259"/>
      <c r="AF10026" s="260"/>
      <c r="AG10026" s="330"/>
    </row>
    <row r="10027" spans="14:33" hidden="1">
      <c r="N10027" s="239"/>
      <c r="O10027" s="225"/>
      <c r="P10027" s="260"/>
      <c r="Q10027" s="328"/>
      <c r="R10027" s="260"/>
      <c r="S10027" s="260"/>
      <c r="T10027" s="260"/>
      <c r="U10027" s="260"/>
      <c r="V10027" s="260"/>
      <c r="W10027" s="260"/>
      <c r="X10027" s="259"/>
      <c r="Y10027" s="259"/>
      <c r="Z10027" s="260"/>
      <c r="AA10027" s="260"/>
      <c r="AB10027" s="260"/>
      <c r="AC10027" s="260"/>
      <c r="AD10027" s="259"/>
      <c r="AE10027" s="259"/>
      <c r="AF10027" s="260"/>
      <c r="AG10027" s="330"/>
    </row>
    <row r="10028" spans="14:33" hidden="1">
      <c r="N10028" s="239"/>
      <c r="O10028" s="225"/>
      <c r="P10028" s="260"/>
      <c r="Q10028" s="328"/>
      <c r="R10028" s="260"/>
      <c r="S10028" s="260"/>
      <c r="T10028" s="260"/>
      <c r="U10028" s="260"/>
      <c r="V10028" s="260"/>
      <c r="W10028" s="260"/>
      <c r="X10028" s="259"/>
      <c r="Y10028" s="259"/>
      <c r="Z10028" s="260"/>
      <c r="AA10028" s="260"/>
      <c r="AB10028" s="260"/>
      <c r="AC10028" s="260"/>
      <c r="AD10028" s="259"/>
      <c r="AE10028" s="259"/>
      <c r="AF10028" s="260"/>
      <c r="AG10028" s="330"/>
    </row>
    <row r="10029" spans="14:33" hidden="1">
      <c r="N10029" s="239"/>
      <c r="O10029" s="225"/>
      <c r="P10029" s="260"/>
      <c r="Q10029" s="328"/>
      <c r="R10029" s="260"/>
      <c r="S10029" s="260"/>
      <c r="T10029" s="260"/>
      <c r="U10029" s="260"/>
      <c r="V10029" s="260"/>
      <c r="W10029" s="260"/>
      <c r="X10029" s="259"/>
      <c r="Y10029" s="259"/>
      <c r="Z10029" s="260"/>
      <c r="AA10029" s="260"/>
      <c r="AB10029" s="260"/>
      <c r="AC10029" s="260"/>
      <c r="AD10029" s="259"/>
      <c r="AE10029" s="259"/>
      <c r="AF10029" s="260"/>
      <c r="AG10029" s="330"/>
    </row>
    <row r="10030" spans="14:33" hidden="1">
      <c r="N10030" s="239"/>
      <c r="O10030" s="225"/>
      <c r="P10030" s="260"/>
      <c r="Q10030" s="328"/>
      <c r="R10030" s="260"/>
      <c r="S10030" s="260"/>
      <c r="T10030" s="260"/>
      <c r="U10030" s="260"/>
      <c r="V10030" s="260"/>
      <c r="W10030" s="260"/>
      <c r="X10030" s="259"/>
      <c r="Y10030" s="259"/>
      <c r="Z10030" s="260"/>
      <c r="AA10030" s="260"/>
      <c r="AB10030" s="260"/>
      <c r="AC10030" s="260"/>
      <c r="AD10030" s="259"/>
      <c r="AE10030" s="259"/>
      <c r="AF10030" s="260"/>
      <c r="AG10030" s="330"/>
    </row>
    <row r="10031" spans="14:33" hidden="1">
      <c r="N10031" s="239"/>
      <c r="O10031" s="225"/>
      <c r="P10031" s="260"/>
      <c r="Q10031" s="328"/>
      <c r="R10031" s="260"/>
      <c r="S10031" s="260"/>
      <c r="T10031" s="260"/>
      <c r="U10031" s="260"/>
      <c r="V10031" s="260"/>
      <c r="W10031" s="260"/>
      <c r="X10031" s="259"/>
      <c r="Y10031" s="259"/>
      <c r="Z10031" s="260"/>
      <c r="AA10031" s="260"/>
      <c r="AB10031" s="260"/>
      <c r="AC10031" s="260"/>
      <c r="AD10031" s="259"/>
      <c r="AE10031" s="259"/>
      <c r="AF10031" s="260"/>
      <c r="AG10031" s="330"/>
    </row>
    <row r="10032" spans="14:33" hidden="1">
      <c r="N10032" s="239"/>
      <c r="O10032" s="225"/>
      <c r="P10032" s="260"/>
      <c r="Q10032" s="328"/>
      <c r="R10032" s="260"/>
      <c r="S10032" s="260"/>
      <c r="T10032" s="260"/>
      <c r="U10032" s="260"/>
      <c r="V10032" s="260"/>
      <c r="W10032" s="260"/>
      <c r="X10032" s="259"/>
      <c r="Y10032" s="259"/>
      <c r="Z10032" s="260"/>
      <c r="AA10032" s="260"/>
      <c r="AB10032" s="260"/>
      <c r="AC10032" s="260"/>
      <c r="AD10032" s="259"/>
      <c r="AE10032" s="259"/>
      <c r="AF10032" s="260"/>
      <c r="AG10032" s="330"/>
    </row>
    <row r="10033" spans="14:33" hidden="1">
      <c r="N10033" s="239"/>
      <c r="O10033" s="225"/>
      <c r="P10033" s="260"/>
      <c r="Q10033" s="328"/>
      <c r="R10033" s="260"/>
      <c r="S10033" s="260"/>
      <c r="T10033" s="260"/>
      <c r="U10033" s="260"/>
      <c r="V10033" s="260"/>
      <c r="W10033" s="260"/>
      <c r="X10033" s="259"/>
      <c r="Y10033" s="259"/>
      <c r="Z10033" s="260"/>
      <c r="AA10033" s="260"/>
      <c r="AB10033" s="260"/>
      <c r="AC10033" s="260"/>
      <c r="AD10033" s="259"/>
      <c r="AE10033" s="259"/>
      <c r="AF10033" s="260"/>
      <c r="AG10033" s="330"/>
    </row>
    <row r="10034" spans="14:33" hidden="1">
      <c r="N10034" s="239"/>
      <c r="O10034" s="225"/>
      <c r="P10034" s="260"/>
      <c r="Q10034" s="328"/>
      <c r="R10034" s="260"/>
      <c r="S10034" s="260"/>
      <c r="T10034" s="260"/>
      <c r="U10034" s="260"/>
      <c r="V10034" s="260"/>
      <c r="W10034" s="260"/>
      <c r="X10034" s="259"/>
      <c r="Y10034" s="259"/>
      <c r="Z10034" s="260"/>
      <c r="AA10034" s="260"/>
      <c r="AB10034" s="260"/>
      <c r="AC10034" s="260"/>
      <c r="AD10034" s="259"/>
      <c r="AE10034" s="259"/>
      <c r="AF10034" s="260"/>
      <c r="AG10034" s="330"/>
    </row>
    <row r="10035" spans="14:33" hidden="1">
      <c r="N10035" s="239"/>
      <c r="O10035" s="225"/>
      <c r="P10035" s="260"/>
      <c r="Q10035" s="328"/>
      <c r="R10035" s="260"/>
      <c r="S10035" s="260"/>
      <c r="T10035" s="260"/>
      <c r="U10035" s="260"/>
      <c r="V10035" s="260"/>
      <c r="W10035" s="260"/>
      <c r="X10035" s="259"/>
      <c r="Y10035" s="259"/>
      <c r="Z10035" s="260"/>
      <c r="AA10035" s="260"/>
      <c r="AB10035" s="260"/>
      <c r="AC10035" s="260"/>
      <c r="AD10035" s="259"/>
      <c r="AE10035" s="259"/>
      <c r="AF10035" s="260"/>
      <c r="AG10035" s="330"/>
    </row>
    <row r="10036" spans="14:33" hidden="1">
      <c r="N10036" s="239"/>
      <c r="O10036" s="225"/>
      <c r="P10036" s="260"/>
      <c r="Q10036" s="328"/>
      <c r="R10036" s="260"/>
      <c r="S10036" s="260"/>
      <c r="T10036" s="260"/>
      <c r="U10036" s="260"/>
      <c r="V10036" s="260"/>
      <c r="W10036" s="260"/>
      <c r="X10036" s="259"/>
      <c r="Y10036" s="259"/>
      <c r="Z10036" s="260"/>
      <c r="AA10036" s="260"/>
      <c r="AB10036" s="260"/>
      <c r="AC10036" s="260"/>
      <c r="AD10036" s="259"/>
      <c r="AE10036" s="259"/>
      <c r="AF10036" s="260"/>
      <c r="AG10036" s="330"/>
    </row>
    <row r="10037" spans="14:33" hidden="1">
      <c r="N10037" s="239"/>
      <c r="O10037" s="225"/>
      <c r="P10037" s="260"/>
      <c r="Q10037" s="328"/>
      <c r="R10037" s="260"/>
      <c r="S10037" s="260"/>
      <c r="T10037" s="260"/>
      <c r="U10037" s="260"/>
      <c r="V10037" s="260"/>
      <c r="W10037" s="260"/>
      <c r="X10037" s="259"/>
      <c r="Y10037" s="259"/>
      <c r="Z10037" s="260"/>
      <c r="AA10037" s="260"/>
      <c r="AB10037" s="260"/>
      <c r="AC10037" s="260"/>
      <c r="AD10037" s="259"/>
      <c r="AE10037" s="259"/>
      <c r="AF10037" s="260"/>
      <c r="AG10037" s="330"/>
    </row>
    <row r="10038" spans="14:33" hidden="1">
      <c r="N10038" s="239"/>
      <c r="O10038" s="225"/>
      <c r="P10038" s="260"/>
      <c r="Q10038" s="328"/>
      <c r="R10038" s="260"/>
      <c r="S10038" s="260"/>
      <c r="T10038" s="260"/>
      <c r="U10038" s="260"/>
      <c r="V10038" s="260"/>
      <c r="W10038" s="260"/>
      <c r="X10038" s="259"/>
      <c r="Y10038" s="259"/>
      <c r="Z10038" s="260"/>
      <c r="AA10038" s="260"/>
      <c r="AB10038" s="260"/>
      <c r="AC10038" s="260"/>
      <c r="AD10038" s="259"/>
      <c r="AE10038" s="259"/>
      <c r="AF10038" s="260"/>
      <c r="AG10038" s="330"/>
    </row>
    <row r="10039" spans="14:33" hidden="1">
      <c r="N10039" s="239"/>
      <c r="O10039" s="225"/>
      <c r="P10039" s="260"/>
      <c r="Q10039" s="328"/>
      <c r="R10039" s="260"/>
      <c r="S10039" s="260"/>
      <c r="T10039" s="260"/>
      <c r="U10039" s="260"/>
      <c r="V10039" s="260"/>
      <c r="W10039" s="260"/>
      <c r="X10039" s="259"/>
      <c r="Y10039" s="259"/>
      <c r="Z10039" s="260"/>
      <c r="AA10039" s="260"/>
      <c r="AB10039" s="260"/>
      <c r="AC10039" s="260"/>
      <c r="AD10039" s="259"/>
      <c r="AE10039" s="259"/>
      <c r="AF10039" s="260"/>
      <c r="AG10039" s="330"/>
    </row>
    <row r="10040" spans="14:33" hidden="1">
      <c r="N10040" s="239"/>
      <c r="O10040" s="225"/>
      <c r="P10040" s="260"/>
      <c r="Q10040" s="328"/>
      <c r="R10040" s="260"/>
      <c r="S10040" s="260"/>
      <c r="T10040" s="260"/>
      <c r="U10040" s="260"/>
      <c r="V10040" s="260"/>
      <c r="W10040" s="260"/>
      <c r="X10040" s="259"/>
      <c r="Y10040" s="259"/>
      <c r="Z10040" s="260"/>
      <c r="AA10040" s="260"/>
      <c r="AB10040" s="260"/>
      <c r="AC10040" s="260"/>
      <c r="AD10040" s="259"/>
      <c r="AE10040" s="259"/>
      <c r="AF10040" s="260"/>
      <c r="AG10040" s="330"/>
    </row>
    <row r="10041" spans="14:33" hidden="1">
      <c r="N10041" s="239"/>
      <c r="O10041" s="225"/>
      <c r="P10041" s="260"/>
      <c r="Q10041" s="328"/>
      <c r="R10041" s="260"/>
      <c r="S10041" s="260"/>
      <c r="T10041" s="260"/>
      <c r="U10041" s="260"/>
      <c r="V10041" s="260"/>
      <c r="W10041" s="260"/>
      <c r="X10041" s="259"/>
      <c r="Y10041" s="259"/>
      <c r="Z10041" s="260"/>
      <c r="AA10041" s="260"/>
      <c r="AB10041" s="260"/>
      <c r="AC10041" s="260"/>
      <c r="AD10041" s="259"/>
      <c r="AE10041" s="259"/>
      <c r="AF10041" s="260"/>
      <c r="AG10041" s="330"/>
    </row>
    <row r="10042" spans="14:33" hidden="1">
      <c r="N10042" s="239"/>
      <c r="O10042" s="225"/>
      <c r="P10042" s="260"/>
      <c r="Q10042" s="328"/>
      <c r="R10042" s="260"/>
      <c r="S10042" s="260"/>
      <c r="T10042" s="260"/>
      <c r="U10042" s="260"/>
      <c r="V10042" s="260"/>
      <c r="W10042" s="260"/>
      <c r="X10042" s="259"/>
      <c r="Y10042" s="259"/>
      <c r="Z10042" s="260"/>
      <c r="AA10042" s="260"/>
      <c r="AB10042" s="260"/>
      <c r="AC10042" s="260"/>
      <c r="AD10042" s="259"/>
      <c r="AE10042" s="259"/>
      <c r="AF10042" s="260"/>
      <c r="AG10042" s="330"/>
    </row>
    <row r="10043" spans="14:33" hidden="1">
      <c r="N10043" s="239"/>
      <c r="O10043" s="225"/>
      <c r="P10043" s="260"/>
      <c r="Q10043" s="328"/>
      <c r="R10043" s="260"/>
      <c r="S10043" s="260"/>
      <c r="T10043" s="260"/>
      <c r="U10043" s="260"/>
      <c r="V10043" s="260"/>
      <c r="W10043" s="260"/>
      <c r="X10043" s="259"/>
      <c r="Y10043" s="259"/>
      <c r="Z10043" s="260"/>
      <c r="AA10043" s="260"/>
      <c r="AB10043" s="260"/>
      <c r="AC10043" s="260"/>
      <c r="AD10043" s="259"/>
      <c r="AE10043" s="259"/>
      <c r="AF10043" s="260"/>
      <c r="AG10043" s="330"/>
    </row>
    <row r="10044" spans="14:33" hidden="1">
      <c r="N10044" s="239"/>
      <c r="O10044" s="225"/>
      <c r="P10044" s="260"/>
      <c r="Q10044" s="328"/>
      <c r="R10044" s="260"/>
      <c r="S10044" s="260"/>
      <c r="T10044" s="260"/>
      <c r="U10044" s="260"/>
      <c r="V10044" s="260"/>
      <c r="W10044" s="260"/>
      <c r="X10044" s="259"/>
      <c r="Y10044" s="259"/>
      <c r="Z10044" s="260"/>
      <c r="AA10044" s="260"/>
      <c r="AB10044" s="260"/>
      <c r="AC10044" s="260"/>
      <c r="AD10044" s="259"/>
      <c r="AE10044" s="259"/>
      <c r="AF10044" s="260"/>
      <c r="AG10044" s="330"/>
    </row>
    <row r="10045" spans="14:33" hidden="1">
      <c r="N10045" s="239"/>
      <c r="O10045" s="225"/>
      <c r="P10045" s="260"/>
      <c r="Q10045" s="328"/>
      <c r="R10045" s="260"/>
      <c r="S10045" s="260"/>
      <c r="T10045" s="260"/>
      <c r="U10045" s="260"/>
      <c r="V10045" s="260"/>
      <c r="W10045" s="260"/>
      <c r="X10045" s="259"/>
      <c r="Y10045" s="259"/>
      <c r="Z10045" s="260"/>
      <c r="AA10045" s="260"/>
      <c r="AB10045" s="260"/>
      <c r="AC10045" s="260"/>
      <c r="AD10045" s="259"/>
      <c r="AE10045" s="259"/>
      <c r="AF10045" s="260"/>
      <c r="AG10045" s="330"/>
    </row>
    <row r="10046" spans="14:33" hidden="1">
      <c r="N10046" s="239"/>
      <c r="O10046" s="225"/>
      <c r="P10046" s="260"/>
      <c r="Q10046" s="328"/>
      <c r="R10046" s="260"/>
      <c r="S10046" s="260"/>
      <c r="T10046" s="260"/>
      <c r="U10046" s="260"/>
      <c r="V10046" s="260"/>
      <c r="W10046" s="260"/>
      <c r="X10046" s="259"/>
      <c r="Y10046" s="259"/>
      <c r="Z10046" s="260"/>
      <c r="AA10046" s="260"/>
      <c r="AB10046" s="260"/>
      <c r="AC10046" s="260"/>
      <c r="AD10046" s="259"/>
      <c r="AE10046" s="259"/>
      <c r="AF10046" s="260"/>
      <c r="AG10046" s="330"/>
    </row>
    <row r="10047" spans="14:33" hidden="1">
      <c r="N10047" s="239"/>
      <c r="O10047" s="225"/>
      <c r="P10047" s="260"/>
      <c r="Q10047" s="328"/>
      <c r="R10047" s="260"/>
      <c r="S10047" s="260"/>
      <c r="T10047" s="260"/>
      <c r="U10047" s="260"/>
      <c r="V10047" s="260"/>
      <c r="W10047" s="260"/>
      <c r="X10047" s="259"/>
      <c r="Y10047" s="259"/>
      <c r="Z10047" s="260"/>
      <c r="AA10047" s="260"/>
      <c r="AB10047" s="260"/>
      <c r="AC10047" s="260"/>
      <c r="AD10047" s="259"/>
      <c r="AE10047" s="259"/>
      <c r="AF10047" s="260"/>
      <c r="AG10047" s="330"/>
    </row>
    <row r="10048" spans="14:33" hidden="1">
      <c r="N10048" s="239"/>
      <c r="O10048" s="225"/>
      <c r="P10048" s="260"/>
      <c r="Q10048" s="328"/>
      <c r="R10048" s="260"/>
      <c r="S10048" s="260"/>
      <c r="T10048" s="260"/>
      <c r="U10048" s="260"/>
      <c r="V10048" s="260"/>
      <c r="W10048" s="260"/>
      <c r="X10048" s="259"/>
      <c r="Y10048" s="259"/>
      <c r="Z10048" s="260"/>
      <c r="AA10048" s="260"/>
      <c r="AB10048" s="260"/>
      <c r="AC10048" s="260"/>
      <c r="AD10048" s="259"/>
      <c r="AE10048" s="259"/>
      <c r="AF10048" s="260"/>
      <c r="AG10048" s="330"/>
    </row>
    <row r="10049" spans="14:33" hidden="1">
      <c r="N10049" s="239"/>
      <c r="O10049" s="225"/>
      <c r="P10049" s="260"/>
      <c r="Q10049" s="328"/>
      <c r="R10049" s="260"/>
      <c r="S10049" s="260"/>
      <c r="T10049" s="260"/>
      <c r="U10049" s="260"/>
      <c r="V10049" s="260"/>
      <c r="W10049" s="260"/>
      <c r="X10049" s="259"/>
      <c r="Y10049" s="259"/>
      <c r="Z10049" s="260"/>
      <c r="AA10049" s="260"/>
      <c r="AB10049" s="260"/>
      <c r="AC10049" s="260"/>
      <c r="AD10049" s="259"/>
      <c r="AE10049" s="259"/>
      <c r="AF10049" s="260"/>
      <c r="AG10049" s="330"/>
    </row>
    <row r="10050" spans="14:33" hidden="1">
      <c r="N10050" s="239"/>
      <c r="O10050" s="225"/>
      <c r="P10050" s="260"/>
      <c r="Q10050" s="328"/>
      <c r="R10050" s="260"/>
      <c r="S10050" s="260"/>
      <c r="T10050" s="260"/>
      <c r="U10050" s="260"/>
      <c r="V10050" s="260"/>
      <c r="W10050" s="260"/>
      <c r="X10050" s="259"/>
      <c r="Y10050" s="259"/>
      <c r="Z10050" s="260"/>
      <c r="AA10050" s="260"/>
      <c r="AB10050" s="260"/>
      <c r="AC10050" s="260"/>
      <c r="AD10050" s="259"/>
      <c r="AE10050" s="259"/>
      <c r="AF10050" s="260"/>
      <c r="AG10050" s="330"/>
    </row>
    <row r="10051" spans="14:33" hidden="1">
      <c r="N10051" s="239"/>
      <c r="O10051" s="225"/>
      <c r="P10051" s="260"/>
      <c r="Q10051" s="328"/>
      <c r="R10051" s="260"/>
      <c r="S10051" s="260"/>
      <c r="T10051" s="260"/>
      <c r="U10051" s="260"/>
      <c r="V10051" s="260"/>
      <c r="W10051" s="260"/>
      <c r="X10051" s="259"/>
      <c r="Y10051" s="259"/>
      <c r="Z10051" s="260"/>
      <c r="AA10051" s="260"/>
      <c r="AB10051" s="260"/>
      <c r="AC10051" s="260"/>
      <c r="AD10051" s="259"/>
      <c r="AE10051" s="259"/>
      <c r="AF10051" s="260"/>
      <c r="AG10051" s="330"/>
    </row>
    <row r="10052" spans="14:33" hidden="1">
      <c r="N10052" s="239"/>
      <c r="O10052" s="225"/>
      <c r="P10052" s="260"/>
      <c r="Q10052" s="328"/>
      <c r="R10052" s="260"/>
      <c r="S10052" s="260"/>
      <c r="T10052" s="260"/>
      <c r="U10052" s="260"/>
      <c r="V10052" s="260"/>
      <c r="W10052" s="260"/>
      <c r="X10052" s="259"/>
      <c r="Y10052" s="259"/>
      <c r="Z10052" s="260"/>
      <c r="AA10052" s="260"/>
      <c r="AB10052" s="260"/>
      <c r="AC10052" s="260"/>
      <c r="AD10052" s="259"/>
      <c r="AE10052" s="259"/>
      <c r="AF10052" s="260"/>
      <c r="AG10052" s="330"/>
    </row>
    <row r="10053" spans="14:33" hidden="1">
      <c r="N10053" s="239"/>
      <c r="O10053" s="225"/>
      <c r="P10053" s="260"/>
      <c r="Q10053" s="328"/>
      <c r="R10053" s="260"/>
      <c r="S10053" s="260"/>
      <c r="T10053" s="260"/>
      <c r="U10053" s="260"/>
      <c r="V10053" s="260"/>
      <c r="W10053" s="260"/>
      <c r="X10053" s="259"/>
      <c r="Y10053" s="259"/>
      <c r="Z10053" s="260"/>
      <c r="AA10053" s="260"/>
      <c r="AB10053" s="260"/>
      <c r="AC10053" s="260"/>
      <c r="AD10053" s="259"/>
      <c r="AE10053" s="259"/>
      <c r="AF10053" s="260"/>
      <c r="AG10053" s="330"/>
    </row>
    <row r="10054" spans="14:33" hidden="1">
      <c r="N10054" s="239"/>
      <c r="O10054" s="225"/>
      <c r="P10054" s="260"/>
      <c r="Q10054" s="328"/>
      <c r="R10054" s="260"/>
      <c r="S10054" s="260"/>
      <c r="T10054" s="260"/>
      <c r="U10054" s="260"/>
      <c r="V10054" s="260"/>
      <c r="W10054" s="260"/>
      <c r="X10054" s="259"/>
      <c r="Y10054" s="259"/>
      <c r="Z10054" s="260"/>
      <c r="AA10054" s="260"/>
      <c r="AB10054" s="260"/>
      <c r="AC10054" s="260"/>
      <c r="AD10054" s="259"/>
      <c r="AE10054" s="259"/>
      <c r="AF10054" s="260"/>
      <c r="AG10054" s="330"/>
    </row>
    <row r="10055" spans="14:33" hidden="1">
      <c r="N10055" s="239"/>
      <c r="O10055" s="225"/>
      <c r="P10055" s="260"/>
      <c r="Q10055" s="328"/>
      <c r="R10055" s="260"/>
      <c r="S10055" s="260"/>
      <c r="T10055" s="260"/>
      <c r="U10055" s="260"/>
      <c r="V10055" s="260"/>
      <c r="W10055" s="260"/>
      <c r="X10055" s="259"/>
      <c r="Y10055" s="259"/>
      <c r="Z10055" s="260"/>
      <c r="AA10055" s="260"/>
      <c r="AB10055" s="260"/>
      <c r="AC10055" s="260"/>
      <c r="AD10055" s="259"/>
      <c r="AE10055" s="259"/>
      <c r="AF10055" s="260"/>
      <c r="AG10055" s="330"/>
    </row>
    <row r="10056" spans="14:33" hidden="1">
      <c r="N10056" s="239"/>
      <c r="O10056" s="225"/>
      <c r="P10056" s="260"/>
      <c r="Q10056" s="328"/>
      <c r="R10056" s="260"/>
      <c r="S10056" s="260"/>
      <c r="T10056" s="260"/>
      <c r="U10056" s="260"/>
      <c r="V10056" s="260"/>
      <c r="W10056" s="260"/>
      <c r="X10056" s="259"/>
      <c r="Y10056" s="259"/>
      <c r="Z10056" s="260"/>
      <c r="AA10056" s="260"/>
      <c r="AB10056" s="260"/>
      <c r="AC10056" s="260"/>
      <c r="AD10056" s="259"/>
      <c r="AE10056" s="259"/>
      <c r="AF10056" s="260"/>
      <c r="AG10056" s="330"/>
    </row>
    <row r="10057" spans="14:33" hidden="1">
      <c r="N10057" s="239"/>
      <c r="O10057" s="225"/>
      <c r="P10057" s="260"/>
      <c r="Q10057" s="328"/>
      <c r="R10057" s="260"/>
      <c r="S10057" s="260"/>
      <c r="T10057" s="260"/>
      <c r="U10057" s="260"/>
      <c r="V10057" s="260"/>
      <c r="W10057" s="260"/>
      <c r="X10057" s="259"/>
      <c r="Y10057" s="259"/>
      <c r="Z10057" s="260"/>
      <c r="AA10057" s="260"/>
      <c r="AB10057" s="260"/>
      <c r="AC10057" s="260"/>
      <c r="AD10057" s="259"/>
      <c r="AE10057" s="259"/>
      <c r="AF10057" s="260"/>
      <c r="AG10057" s="330"/>
    </row>
    <row r="10058" spans="14:33" hidden="1">
      <c r="N10058" s="239"/>
      <c r="O10058" s="225"/>
      <c r="P10058" s="260"/>
      <c r="Q10058" s="328"/>
      <c r="R10058" s="260"/>
      <c r="S10058" s="260"/>
      <c r="T10058" s="260"/>
      <c r="U10058" s="260"/>
      <c r="V10058" s="260"/>
      <c r="W10058" s="260"/>
      <c r="X10058" s="259"/>
      <c r="Y10058" s="259"/>
      <c r="Z10058" s="260"/>
      <c r="AA10058" s="260"/>
      <c r="AB10058" s="260"/>
      <c r="AC10058" s="260"/>
      <c r="AD10058" s="259"/>
      <c r="AE10058" s="259"/>
      <c r="AF10058" s="260"/>
      <c r="AG10058" s="330"/>
    </row>
    <row r="10059" spans="14:33" hidden="1">
      <c r="N10059" s="239"/>
      <c r="O10059" s="225"/>
      <c r="P10059" s="260"/>
      <c r="Q10059" s="328"/>
      <c r="R10059" s="260"/>
      <c r="S10059" s="260"/>
      <c r="T10059" s="260"/>
      <c r="U10059" s="260"/>
      <c r="V10059" s="260"/>
      <c r="W10059" s="260"/>
      <c r="X10059" s="259"/>
      <c r="Y10059" s="259"/>
      <c r="Z10059" s="260"/>
      <c r="AA10059" s="260"/>
      <c r="AB10059" s="260"/>
      <c r="AC10059" s="260"/>
      <c r="AD10059" s="259"/>
      <c r="AE10059" s="259"/>
      <c r="AF10059" s="260"/>
      <c r="AG10059" s="330"/>
    </row>
    <row r="10060" spans="14:33" hidden="1">
      <c r="N10060" s="239"/>
      <c r="O10060" s="225"/>
      <c r="P10060" s="260"/>
      <c r="Q10060" s="328"/>
      <c r="R10060" s="260"/>
      <c r="S10060" s="260"/>
      <c r="T10060" s="260"/>
      <c r="U10060" s="260"/>
      <c r="V10060" s="260"/>
      <c r="W10060" s="260"/>
      <c r="X10060" s="259"/>
      <c r="Y10060" s="259"/>
      <c r="Z10060" s="260"/>
      <c r="AA10060" s="260"/>
      <c r="AB10060" s="260"/>
      <c r="AC10060" s="260"/>
      <c r="AD10060" s="259"/>
      <c r="AE10060" s="259"/>
      <c r="AF10060" s="260"/>
      <c r="AG10060" s="330"/>
    </row>
    <row r="10061" spans="14:33" hidden="1">
      <c r="N10061" s="239"/>
      <c r="O10061" s="225"/>
      <c r="P10061" s="260"/>
      <c r="Q10061" s="328"/>
      <c r="R10061" s="260"/>
      <c r="S10061" s="260"/>
      <c r="T10061" s="260"/>
      <c r="U10061" s="260"/>
      <c r="V10061" s="260"/>
      <c r="W10061" s="260"/>
      <c r="X10061" s="259"/>
      <c r="Y10061" s="259"/>
      <c r="Z10061" s="260"/>
      <c r="AA10061" s="260"/>
      <c r="AB10061" s="260"/>
      <c r="AC10061" s="260"/>
      <c r="AD10061" s="259"/>
      <c r="AE10061" s="259"/>
      <c r="AF10061" s="260"/>
      <c r="AG10061" s="330"/>
    </row>
    <row r="10062" spans="14:33" hidden="1">
      <c r="N10062" s="239"/>
      <c r="O10062" s="225"/>
      <c r="P10062" s="260"/>
      <c r="Q10062" s="328"/>
      <c r="R10062" s="260"/>
      <c r="S10062" s="260"/>
      <c r="T10062" s="260"/>
      <c r="U10062" s="260"/>
      <c r="V10062" s="260"/>
      <c r="W10062" s="260"/>
      <c r="X10062" s="259"/>
      <c r="Y10062" s="259"/>
      <c r="Z10062" s="260"/>
      <c r="AA10062" s="260"/>
      <c r="AB10062" s="260"/>
      <c r="AC10062" s="260"/>
      <c r="AD10062" s="259"/>
      <c r="AE10062" s="259"/>
      <c r="AF10062" s="260"/>
      <c r="AG10062" s="330"/>
    </row>
    <row r="10063" spans="14:33" hidden="1">
      <c r="N10063" s="239"/>
      <c r="O10063" s="225"/>
      <c r="P10063" s="260"/>
      <c r="Q10063" s="328"/>
      <c r="R10063" s="260"/>
      <c r="S10063" s="260"/>
      <c r="T10063" s="260"/>
      <c r="U10063" s="260"/>
      <c r="V10063" s="260"/>
      <c r="W10063" s="260"/>
      <c r="X10063" s="259"/>
      <c r="Y10063" s="259"/>
      <c r="Z10063" s="260"/>
      <c r="AA10063" s="260"/>
      <c r="AB10063" s="260"/>
      <c r="AC10063" s="260"/>
      <c r="AD10063" s="259"/>
      <c r="AE10063" s="259"/>
      <c r="AF10063" s="260"/>
      <c r="AG10063" s="330"/>
    </row>
    <row r="10064" spans="14:33" hidden="1">
      <c r="N10064" s="239"/>
      <c r="O10064" s="225"/>
      <c r="P10064" s="260"/>
      <c r="Q10064" s="328"/>
      <c r="R10064" s="260"/>
      <c r="S10064" s="260"/>
      <c r="T10064" s="260"/>
      <c r="U10064" s="260"/>
      <c r="V10064" s="260"/>
      <c r="W10064" s="260"/>
      <c r="X10064" s="259"/>
      <c r="Y10064" s="259"/>
      <c r="Z10064" s="260"/>
      <c r="AA10064" s="260"/>
      <c r="AB10064" s="260"/>
      <c r="AC10064" s="260"/>
      <c r="AD10064" s="259"/>
      <c r="AE10064" s="259"/>
      <c r="AF10064" s="260"/>
      <c r="AG10064" s="330"/>
    </row>
    <row r="10065" spans="14:33" hidden="1">
      <c r="N10065" s="239"/>
      <c r="O10065" s="225"/>
      <c r="P10065" s="260"/>
      <c r="Q10065" s="328"/>
      <c r="R10065" s="260"/>
      <c r="S10065" s="260"/>
      <c r="T10065" s="260"/>
      <c r="U10065" s="260"/>
      <c r="V10065" s="260"/>
      <c r="W10065" s="260"/>
      <c r="X10065" s="259"/>
      <c r="Y10065" s="259"/>
      <c r="Z10065" s="260"/>
      <c r="AA10065" s="260"/>
      <c r="AB10065" s="260"/>
      <c r="AC10065" s="260"/>
      <c r="AD10065" s="259"/>
      <c r="AE10065" s="259"/>
      <c r="AF10065" s="260"/>
      <c r="AG10065" s="330"/>
    </row>
    <row r="10066" spans="14:33" hidden="1">
      <c r="N10066" s="239"/>
      <c r="O10066" s="225"/>
      <c r="P10066" s="260"/>
      <c r="Q10066" s="328"/>
      <c r="R10066" s="260"/>
      <c r="S10066" s="260"/>
      <c r="T10066" s="260"/>
      <c r="U10066" s="260"/>
      <c r="V10066" s="260"/>
      <c r="W10066" s="260"/>
      <c r="X10066" s="259"/>
      <c r="Y10066" s="259"/>
      <c r="Z10066" s="260"/>
      <c r="AA10066" s="260"/>
      <c r="AB10066" s="260"/>
      <c r="AC10066" s="260"/>
      <c r="AD10066" s="259"/>
      <c r="AE10066" s="259"/>
      <c r="AF10066" s="260"/>
      <c r="AG10066" s="330"/>
    </row>
    <row r="10067" spans="14:33" hidden="1">
      <c r="N10067" s="239"/>
      <c r="O10067" s="225"/>
      <c r="P10067" s="260"/>
      <c r="Q10067" s="328"/>
      <c r="R10067" s="260"/>
      <c r="S10067" s="260"/>
      <c r="T10067" s="260"/>
      <c r="U10067" s="260"/>
      <c r="V10067" s="260"/>
      <c r="W10067" s="260"/>
      <c r="X10067" s="259"/>
      <c r="Y10067" s="259"/>
      <c r="Z10067" s="260"/>
      <c r="AA10067" s="260"/>
      <c r="AB10067" s="260"/>
      <c r="AC10067" s="260"/>
      <c r="AD10067" s="259"/>
      <c r="AE10067" s="259"/>
      <c r="AF10067" s="260"/>
      <c r="AG10067" s="330"/>
    </row>
    <row r="10068" spans="14:33" hidden="1">
      <c r="N10068" s="239"/>
      <c r="O10068" s="225"/>
      <c r="P10068" s="260"/>
      <c r="Q10068" s="328"/>
      <c r="R10068" s="260"/>
      <c r="S10068" s="260"/>
      <c r="T10068" s="260"/>
      <c r="U10068" s="260"/>
      <c r="V10068" s="260"/>
      <c r="W10068" s="260"/>
      <c r="X10068" s="259"/>
      <c r="Y10068" s="259"/>
      <c r="Z10068" s="260"/>
      <c r="AA10068" s="260"/>
      <c r="AB10068" s="260"/>
      <c r="AC10068" s="260"/>
      <c r="AD10068" s="259"/>
      <c r="AE10068" s="259"/>
      <c r="AF10068" s="260"/>
      <c r="AG10068" s="330"/>
    </row>
    <row r="10069" spans="14:33" hidden="1">
      <c r="N10069" s="239"/>
      <c r="O10069" s="225"/>
      <c r="P10069" s="260"/>
      <c r="Q10069" s="328"/>
      <c r="R10069" s="260"/>
      <c r="S10069" s="260"/>
      <c r="T10069" s="260"/>
      <c r="U10069" s="260"/>
      <c r="V10069" s="260"/>
      <c r="W10069" s="260"/>
      <c r="X10069" s="259"/>
      <c r="Y10069" s="259"/>
      <c r="Z10069" s="260"/>
      <c r="AA10069" s="260"/>
      <c r="AB10069" s="260"/>
      <c r="AC10069" s="260"/>
      <c r="AD10069" s="259"/>
      <c r="AE10069" s="259"/>
      <c r="AF10069" s="260"/>
      <c r="AG10069" s="330"/>
    </row>
    <row r="10070" spans="14:33" hidden="1">
      <c r="N10070" s="239"/>
      <c r="O10070" s="225"/>
      <c r="P10070" s="260"/>
      <c r="Q10070" s="328"/>
      <c r="R10070" s="260"/>
      <c r="S10070" s="260"/>
      <c r="T10070" s="260"/>
      <c r="U10070" s="260"/>
      <c r="V10070" s="260"/>
      <c r="W10070" s="260"/>
      <c r="X10070" s="259"/>
      <c r="Y10070" s="259"/>
      <c r="Z10070" s="260"/>
      <c r="AA10070" s="260"/>
      <c r="AB10070" s="260"/>
      <c r="AC10070" s="260"/>
      <c r="AD10070" s="259"/>
      <c r="AE10070" s="259"/>
      <c r="AF10070" s="260"/>
      <c r="AG10070" s="330"/>
    </row>
    <row r="10071" spans="14:33" hidden="1">
      <c r="N10071" s="239"/>
      <c r="O10071" s="225"/>
      <c r="P10071" s="260"/>
      <c r="Q10071" s="328"/>
      <c r="R10071" s="260"/>
      <c r="S10071" s="260"/>
      <c r="T10071" s="260"/>
      <c r="U10071" s="260"/>
      <c r="V10071" s="260"/>
      <c r="W10071" s="260"/>
      <c r="X10071" s="259"/>
      <c r="Y10071" s="259"/>
      <c r="Z10071" s="260"/>
      <c r="AA10071" s="260"/>
      <c r="AB10071" s="260"/>
      <c r="AC10071" s="260"/>
      <c r="AD10071" s="259"/>
      <c r="AE10071" s="259"/>
      <c r="AF10071" s="260"/>
      <c r="AG10071" s="330"/>
    </row>
    <row r="10072" spans="14:33" hidden="1">
      <c r="N10072" s="239"/>
      <c r="O10072" s="225"/>
      <c r="P10072" s="260"/>
      <c r="Q10072" s="328"/>
      <c r="R10072" s="260"/>
      <c r="S10072" s="260"/>
      <c r="T10072" s="260"/>
      <c r="U10072" s="260"/>
      <c r="V10072" s="260"/>
      <c r="W10072" s="260"/>
      <c r="X10072" s="259"/>
      <c r="Y10072" s="259"/>
      <c r="Z10072" s="260"/>
      <c r="AA10072" s="260"/>
      <c r="AB10072" s="260"/>
      <c r="AC10072" s="260"/>
      <c r="AD10072" s="259"/>
      <c r="AE10072" s="259"/>
      <c r="AF10072" s="260"/>
      <c r="AG10072" s="330"/>
    </row>
    <row r="10073" spans="14:33" hidden="1">
      <c r="N10073" s="239"/>
      <c r="O10073" s="225"/>
      <c r="P10073" s="260"/>
      <c r="Q10073" s="328"/>
      <c r="R10073" s="260"/>
      <c r="S10073" s="260"/>
      <c r="T10073" s="260"/>
      <c r="U10073" s="260"/>
      <c r="V10073" s="260"/>
      <c r="W10073" s="260"/>
      <c r="X10073" s="259"/>
      <c r="Y10073" s="259"/>
      <c r="Z10073" s="260"/>
      <c r="AA10073" s="260"/>
      <c r="AB10073" s="260"/>
      <c r="AC10073" s="260"/>
      <c r="AD10073" s="259"/>
      <c r="AE10073" s="259"/>
      <c r="AF10073" s="260"/>
      <c r="AG10073" s="330"/>
    </row>
    <row r="10074" spans="14:33" hidden="1">
      <c r="N10074" s="239"/>
      <c r="O10074" s="225"/>
      <c r="P10074" s="260"/>
      <c r="Q10074" s="328"/>
      <c r="R10074" s="260"/>
      <c r="S10074" s="260"/>
      <c r="T10074" s="260"/>
      <c r="U10074" s="260"/>
      <c r="V10074" s="260"/>
      <c r="W10074" s="260"/>
      <c r="X10074" s="259"/>
      <c r="Y10074" s="259"/>
      <c r="Z10074" s="260"/>
      <c r="AA10074" s="260"/>
      <c r="AB10074" s="260"/>
      <c r="AC10074" s="260"/>
      <c r="AD10074" s="259"/>
      <c r="AE10074" s="259"/>
      <c r="AF10074" s="260"/>
      <c r="AG10074" s="330"/>
    </row>
    <row r="10075" spans="14:33" hidden="1">
      <c r="N10075" s="239"/>
      <c r="O10075" s="225"/>
      <c r="P10075" s="260"/>
      <c r="Q10075" s="328"/>
      <c r="R10075" s="260"/>
      <c r="S10075" s="260"/>
      <c r="T10075" s="260"/>
      <c r="U10075" s="260"/>
      <c r="V10075" s="260"/>
      <c r="W10075" s="260"/>
      <c r="X10075" s="259"/>
      <c r="Y10075" s="259"/>
      <c r="Z10075" s="260"/>
      <c r="AA10075" s="260"/>
      <c r="AB10075" s="260"/>
      <c r="AC10075" s="260"/>
      <c r="AD10075" s="259"/>
      <c r="AE10075" s="259"/>
      <c r="AF10075" s="260"/>
      <c r="AG10075" s="330"/>
    </row>
    <row r="10076" spans="14:33" hidden="1">
      <c r="N10076" s="239"/>
      <c r="O10076" s="225"/>
      <c r="P10076" s="260"/>
      <c r="Q10076" s="328"/>
      <c r="R10076" s="260"/>
      <c r="S10076" s="260"/>
      <c r="T10076" s="260"/>
      <c r="U10076" s="260"/>
      <c r="V10076" s="260"/>
      <c r="W10076" s="260"/>
      <c r="X10076" s="259"/>
      <c r="Y10076" s="259"/>
      <c r="Z10076" s="260"/>
      <c r="AA10076" s="260"/>
      <c r="AB10076" s="260"/>
      <c r="AC10076" s="260"/>
      <c r="AD10076" s="259"/>
      <c r="AE10076" s="259"/>
      <c r="AF10076" s="260"/>
      <c r="AG10076" s="330"/>
    </row>
    <row r="10077" spans="14:33" hidden="1">
      <c r="N10077" s="239"/>
      <c r="O10077" s="225"/>
      <c r="P10077" s="260"/>
      <c r="Q10077" s="328"/>
      <c r="R10077" s="260"/>
      <c r="S10077" s="260"/>
      <c r="T10077" s="260"/>
      <c r="U10077" s="260"/>
      <c r="V10077" s="260"/>
      <c r="W10077" s="260"/>
      <c r="X10077" s="259"/>
      <c r="Y10077" s="259"/>
      <c r="Z10077" s="260"/>
      <c r="AA10077" s="260"/>
      <c r="AB10077" s="260"/>
      <c r="AC10077" s="260"/>
      <c r="AD10077" s="259"/>
      <c r="AE10077" s="259"/>
      <c r="AF10077" s="260"/>
      <c r="AG10077" s="330"/>
    </row>
    <row r="10078" spans="14:33" hidden="1">
      <c r="N10078" s="239"/>
      <c r="O10078" s="225"/>
      <c r="P10078" s="260"/>
      <c r="Q10078" s="328"/>
      <c r="R10078" s="260"/>
      <c r="S10078" s="260"/>
      <c r="T10078" s="260"/>
      <c r="U10078" s="260"/>
      <c r="V10078" s="260"/>
      <c r="W10078" s="260"/>
      <c r="X10078" s="259"/>
      <c r="Y10078" s="259"/>
      <c r="Z10078" s="260"/>
      <c r="AA10078" s="260"/>
      <c r="AB10078" s="260"/>
      <c r="AC10078" s="260"/>
      <c r="AD10078" s="259"/>
      <c r="AE10078" s="259"/>
      <c r="AF10078" s="260"/>
      <c r="AG10078" s="330"/>
    </row>
    <row r="10079" spans="14:33" hidden="1">
      <c r="N10079" s="239"/>
      <c r="O10079" s="225"/>
      <c r="P10079" s="260"/>
      <c r="Q10079" s="328"/>
      <c r="R10079" s="260"/>
      <c r="S10079" s="260"/>
      <c r="T10079" s="260"/>
      <c r="U10079" s="260"/>
      <c r="V10079" s="260"/>
      <c r="W10079" s="260"/>
      <c r="X10079" s="259"/>
      <c r="Y10079" s="259"/>
      <c r="Z10079" s="260"/>
      <c r="AA10079" s="260"/>
      <c r="AB10079" s="260"/>
      <c r="AC10079" s="260"/>
      <c r="AD10079" s="259"/>
      <c r="AE10079" s="259"/>
      <c r="AF10079" s="260"/>
      <c r="AG10079" s="330"/>
    </row>
    <row r="10080" spans="14:33" hidden="1">
      <c r="N10080" s="239"/>
      <c r="O10080" s="225"/>
      <c r="P10080" s="260"/>
      <c r="Q10080" s="328"/>
      <c r="R10080" s="260"/>
      <c r="S10080" s="260"/>
      <c r="T10080" s="260"/>
      <c r="U10080" s="260"/>
      <c r="V10080" s="260"/>
      <c r="W10080" s="260"/>
      <c r="X10080" s="259"/>
      <c r="Y10080" s="259"/>
      <c r="Z10080" s="260"/>
      <c r="AA10080" s="260"/>
      <c r="AB10080" s="260"/>
      <c r="AC10080" s="260"/>
      <c r="AD10080" s="259"/>
      <c r="AE10080" s="259"/>
      <c r="AF10080" s="260"/>
      <c r="AG10080" s="330"/>
    </row>
    <row r="10081" spans="14:33" hidden="1">
      <c r="N10081" s="239"/>
      <c r="O10081" s="225"/>
      <c r="P10081" s="260"/>
      <c r="Q10081" s="328"/>
      <c r="R10081" s="260"/>
      <c r="S10081" s="260"/>
      <c r="T10081" s="260"/>
      <c r="U10081" s="260"/>
      <c r="V10081" s="260"/>
      <c r="W10081" s="260"/>
      <c r="X10081" s="259"/>
      <c r="Y10081" s="259"/>
      <c r="Z10081" s="260"/>
      <c r="AA10081" s="260"/>
      <c r="AB10081" s="260"/>
      <c r="AC10081" s="260"/>
      <c r="AD10081" s="259"/>
      <c r="AE10081" s="259"/>
      <c r="AF10081" s="260"/>
      <c r="AG10081" s="330"/>
    </row>
    <row r="10082" spans="14:33" hidden="1">
      <c r="N10082" s="239"/>
      <c r="O10082" s="225"/>
      <c r="P10082" s="260"/>
      <c r="Q10082" s="328"/>
      <c r="R10082" s="260"/>
      <c r="S10082" s="260"/>
      <c r="T10082" s="260"/>
      <c r="U10082" s="260"/>
      <c r="V10082" s="260"/>
      <c r="W10082" s="260"/>
      <c r="X10082" s="259"/>
      <c r="Y10082" s="259"/>
      <c r="Z10082" s="260"/>
      <c r="AA10082" s="260"/>
      <c r="AB10082" s="260"/>
      <c r="AC10082" s="260"/>
      <c r="AD10082" s="259"/>
      <c r="AE10082" s="259"/>
      <c r="AF10082" s="260"/>
      <c r="AG10082" s="330"/>
    </row>
    <row r="10083" spans="14:33" hidden="1">
      <c r="N10083" s="239"/>
      <c r="O10083" s="225"/>
      <c r="P10083" s="260"/>
      <c r="Q10083" s="328"/>
      <c r="R10083" s="260"/>
      <c r="S10083" s="260"/>
      <c r="T10083" s="260"/>
      <c r="U10083" s="260"/>
      <c r="V10083" s="260"/>
      <c r="W10083" s="260"/>
      <c r="X10083" s="259"/>
      <c r="Y10083" s="259"/>
      <c r="Z10083" s="260"/>
      <c r="AA10083" s="260"/>
      <c r="AB10083" s="260"/>
      <c r="AC10083" s="260"/>
      <c r="AD10083" s="259"/>
      <c r="AE10083" s="259"/>
      <c r="AF10083" s="260"/>
      <c r="AG10083" s="330"/>
    </row>
    <row r="10084" spans="14:33" hidden="1">
      <c r="N10084" s="239"/>
      <c r="O10084" s="225"/>
      <c r="P10084" s="260"/>
      <c r="Q10084" s="328"/>
      <c r="R10084" s="260"/>
      <c r="S10084" s="260"/>
      <c r="T10084" s="260"/>
      <c r="U10084" s="260"/>
      <c r="V10084" s="260"/>
      <c r="W10084" s="260"/>
      <c r="X10084" s="259"/>
      <c r="Y10084" s="259"/>
      <c r="Z10084" s="260"/>
      <c r="AA10084" s="260"/>
      <c r="AB10084" s="260"/>
      <c r="AC10084" s="260"/>
      <c r="AD10084" s="259"/>
      <c r="AE10084" s="259"/>
      <c r="AF10084" s="260"/>
      <c r="AG10084" s="330"/>
    </row>
    <row r="10085" spans="14:33" hidden="1">
      <c r="N10085" s="239"/>
      <c r="O10085" s="225"/>
      <c r="P10085" s="260"/>
      <c r="Q10085" s="328"/>
      <c r="R10085" s="260"/>
      <c r="S10085" s="260"/>
      <c r="T10085" s="260"/>
      <c r="U10085" s="260"/>
      <c r="V10085" s="260"/>
      <c r="W10085" s="260"/>
      <c r="X10085" s="259"/>
      <c r="Y10085" s="259"/>
      <c r="Z10085" s="260"/>
      <c r="AA10085" s="260"/>
      <c r="AB10085" s="260"/>
      <c r="AC10085" s="260"/>
      <c r="AD10085" s="259"/>
      <c r="AE10085" s="259"/>
      <c r="AF10085" s="260"/>
      <c r="AG10085" s="330"/>
    </row>
    <row r="10086" spans="14:33" hidden="1">
      <c r="N10086" s="239"/>
      <c r="O10086" s="225"/>
      <c r="P10086" s="260"/>
      <c r="Q10086" s="328"/>
      <c r="R10086" s="260"/>
      <c r="S10086" s="260"/>
      <c r="T10086" s="260"/>
      <c r="U10086" s="260"/>
      <c r="V10086" s="260"/>
      <c r="W10086" s="260"/>
      <c r="X10086" s="259"/>
      <c r="Y10086" s="259"/>
      <c r="Z10086" s="260"/>
      <c r="AA10086" s="260"/>
      <c r="AB10086" s="260"/>
      <c r="AC10086" s="260"/>
      <c r="AD10086" s="259"/>
      <c r="AE10086" s="259"/>
      <c r="AF10086" s="260"/>
      <c r="AG10086" s="330"/>
    </row>
    <row r="10087" spans="14:33" hidden="1">
      <c r="N10087" s="239"/>
      <c r="O10087" s="225"/>
      <c r="P10087" s="260"/>
      <c r="Q10087" s="328"/>
      <c r="R10087" s="260"/>
      <c r="S10087" s="260"/>
      <c r="T10087" s="260"/>
      <c r="U10087" s="260"/>
      <c r="V10087" s="260"/>
      <c r="W10087" s="260"/>
      <c r="X10087" s="259"/>
      <c r="Y10087" s="259"/>
      <c r="Z10087" s="260"/>
      <c r="AA10087" s="260"/>
      <c r="AB10087" s="260"/>
      <c r="AC10087" s="260"/>
      <c r="AD10087" s="259"/>
      <c r="AE10087" s="259"/>
      <c r="AF10087" s="260"/>
      <c r="AG10087" s="330"/>
    </row>
    <row r="10088" spans="14:33" hidden="1">
      <c r="N10088" s="239"/>
      <c r="O10088" s="225"/>
      <c r="P10088" s="260"/>
      <c r="Q10088" s="328"/>
      <c r="R10088" s="260"/>
      <c r="S10088" s="260"/>
      <c r="T10088" s="260"/>
      <c r="U10088" s="260"/>
      <c r="V10088" s="260"/>
      <c r="W10088" s="260"/>
      <c r="X10088" s="259"/>
      <c r="Y10088" s="259"/>
      <c r="Z10088" s="260"/>
      <c r="AA10088" s="260"/>
      <c r="AB10088" s="260"/>
      <c r="AC10088" s="260"/>
      <c r="AD10088" s="259"/>
      <c r="AE10088" s="259"/>
      <c r="AF10088" s="260"/>
      <c r="AG10088" s="330"/>
    </row>
    <row r="10089" spans="14:33" hidden="1">
      <c r="N10089" s="239"/>
      <c r="O10089" s="225"/>
      <c r="P10089" s="260"/>
      <c r="Q10089" s="328"/>
      <c r="R10089" s="260"/>
      <c r="S10089" s="260"/>
      <c r="T10089" s="260"/>
      <c r="U10089" s="260"/>
      <c r="V10089" s="260"/>
      <c r="W10089" s="260"/>
      <c r="X10089" s="259"/>
      <c r="Y10089" s="259"/>
      <c r="Z10089" s="260"/>
      <c r="AA10089" s="260"/>
      <c r="AB10089" s="260"/>
      <c r="AC10089" s="260"/>
      <c r="AD10089" s="259"/>
      <c r="AE10089" s="259"/>
      <c r="AF10089" s="260"/>
      <c r="AG10089" s="330"/>
    </row>
    <row r="10090" spans="14:33" hidden="1">
      <c r="N10090" s="239"/>
      <c r="O10090" s="225"/>
      <c r="P10090" s="260"/>
      <c r="Q10090" s="328"/>
      <c r="R10090" s="260"/>
      <c r="S10090" s="260"/>
      <c r="T10090" s="260"/>
      <c r="U10090" s="260"/>
      <c r="V10090" s="260"/>
      <c r="W10090" s="260"/>
      <c r="X10090" s="259"/>
      <c r="Y10090" s="259"/>
      <c r="Z10090" s="260"/>
      <c r="AA10090" s="260"/>
      <c r="AB10090" s="260"/>
      <c r="AC10090" s="260"/>
      <c r="AD10090" s="259"/>
      <c r="AE10090" s="259"/>
      <c r="AF10090" s="260"/>
      <c r="AG10090" s="330"/>
    </row>
    <row r="10091" spans="14:33" hidden="1">
      <c r="N10091" s="239"/>
      <c r="O10091" s="225"/>
      <c r="P10091" s="260"/>
      <c r="Q10091" s="328"/>
      <c r="R10091" s="260"/>
      <c r="S10091" s="260"/>
      <c r="T10091" s="260"/>
      <c r="U10091" s="260"/>
      <c r="V10091" s="260"/>
      <c r="W10091" s="260"/>
      <c r="X10091" s="259"/>
      <c r="Y10091" s="259"/>
      <c r="Z10091" s="260"/>
      <c r="AA10091" s="260"/>
      <c r="AB10091" s="260"/>
      <c r="AC10091" s="260"/>
      <c r="AD10091" s="259"/>
      <c r="AE10091" s="259"/>
      <c r="AF10091" s="260"/>
      <c r="AG10091" s="330"/>
    </row>
    <row r="10092" spans="14:33" hidden="1">
      <c r="N10092" s="239"/>
      <c r="O10092" s="225"/>
      <c r="P10092" s="260"/>
      <c r="Q10092" s="328"/>
      <c r="R10092" s="260"/>
      <c r="S10092" s="260"/>
      <c r="T10092" s="260"/>
      <c r="U10092" s="260"/>
      <c r="V10092" s="260"/>
      <c r="W10092" s="260"/>
      <c r="X10092" s="259"/>
      <c r="Y10092" s="259"/>
      <c r="Z10092" s="260"/>
      <c r="AA10092" s="260"/>
      <c r="AB10092" s="260"/>
      <c r="AC10092" s="260"/>
      <c r="AD10092" s="259"/>
      <c r="AE10092" s="259"/>
      <c r="AF10092" s="260"/>
      <c r="AG10092" s="330"/>
    </row>
    <row r="10093" spans="14:33" hidden="1">
      <c r="N10093" s="239"/>
      <c r="O10093" s="225"/>
      <c r="P10093" s="260"/>
      <c r="Q10093" s="328"/>
      <c r="R10093" s="260"/>
      <c r="S10093" s="260"/>
      <c r="T10093" s="260"/>
      <c r="U10093" s="260"/>
      <c r="V10093" s="260"/>
      <c r="W10093" s="260"/>
      <c r="X10093" s="259"/>
      <c r="Y10093" s="259"/>
      <c r="Z10093" s="260"/>
      <c r="AA10093" s="260"/>
      <c r="AB10093" s="260"/>
      <c r="AC10093" s="260"/>
      <c r="AD10093" s="259"/>
      <c r="AE10093" s="259"/>
      <c r="AF10093" s="260"/>
      <c r="AG10093" s="330"/>
    </row>
    <row r="10094" spans="14:33" hidden="1">
      <c r="N10094" s="239"/>
      <c r="O10094" s="225"/>
      <c r="P10094" s="260"/>
      <c r="Q10094" s="328"/>
      <c r="R10094" s="260"/>
      <c r="S10094" s="260"/>
      <c r="T10094" s="260"/>
      <c r="U10094" s="260"/>
      <c r="V10094" s="260"/>
      <c r="W10094" s="260"/>
      <c r="X10094" s="259"/>
      <c r="Y10094" s="259"/>
      <c r="Z10094" s="260"/>
      <c r="AA10094" s="260"/>
      <c r="AB10094" s="260"/>
      <c r="AC10094" s="260"/>
      <c r="AD10094" s="259"/>
      <c r="AE10094" s="259"/>
      <c r="AF10094" s="260"/>
      <c r="AG10094" s="330"/>
    </row>
    <row r="10095" spans="14:33" hidden="1">
      <c r="N10095" s="239"/>
      <c r="O10095" s="225"/>
      <c r="P10095" s="260"/>
      <c r="Q10095" s="328"/>
      <c r="R10095" s="260"/>
      <c r="S10095" s="260"/>
      <c r="T10095" s="260"/>
      <c r="U10095" s="260"/>
      <c r="V10095" s="260"/>
      <c r="W10095" s="260"/>
      <c r="X10095" s="259"/>
      <c r="Y10095" s="259"/>
      <c r="Z10095" s="260"/>
      <c r="AA10095" s="260"/>
      <c r="AB10095" s="260"/>
      <c r="AC10095" s="260"/>
      <c r="AD10095" s="259"/>
      <c r="AE10095" s="259"/>
      <c r="AF10095" s="260"/>
      <c r="AG10095" s="330"/>
    </row>
    <row r="10096" spans="14:33" hidden="1">
      <c r="N10096" s="239"/>
      <c r="O10096" s="225"/>
      <c r="P10096" s="260"/>
      <c r="Q10096" s="328"/>
      <c r="R10096" s="260"/>
      <c r="S10096" s="260"/>
      <c r="T10096" s="260"/>
      <c r="U10096" s="260"/>
      <c r="V10096" s="260"/>
      <c r="W10096" s="260"/>
      <c r="X10096" s="259"/>
      <c r="Y10096" s="259"/>
      <c r="Z10096" s="260"/>
      <c r="AA10096" s="260"/>
      <c r="AB10096" s="260"/>
      <c r="AC10096" s="260"/>
      <c r="AD10096" s="259"/>
      <c r="AE10096" s="259"/>
      <c r="AF10096" s="260"/>
      <c r="AG10096" s="330"/>
    </row>
    <row r="10097" spans="14:33" hidden="1">
      <c r="N10097" s="239"/>
      <c r="O10097" s="225"/>
      <c r="P10097" s="260"/>
      <c r="Q10097" s="328"/>
      <c r="R10097" s="260"/>
      <c r="S10097" s="260"/>
      <c r="T10097" s="260"/>
      <c r="U10097" s="260"/>
      <c r="V10097" s="260"/>
      <c r="W10097" s="260"/>
      <c r="X10097" s="259"/>
      <c r="Y10097" s="259"/>
      <c r="Z10097" s="260"/>
      <c r="AA10097" s="260"/>
      <c r="AB10097" s="260"/>
      <c r="AC10097" s="260"/>
      <c r="AD10097" s="259"/>
      <c r="AE10097" s="259"/>
      <c r="AF10097" s="260"/>
      <c r="AG10097" s="330"/>
    </row>
    <row r="10098" spans="14:33" hidden="1">
      <c r="N10098" s="239"/>
      <c r="O10098" s="225"/>
      <c r="P10098" s="260"/>
      <c r="Q10098" s="328"/>
      <c r="R10098" s="260"/>
      <c r="S10098" s="260"/>
      <c r="T10098" s="260"/>
      <c r="U10098" s="260"/>
      <c r="V10098" s="260"/>
      <c r="W10098" s="260"/>
      <c r="X10098" s="259"/>
      <c r="Y10098" s="259"/>
      <c r="Z10098" s="260"/>
      <c r="AA10098" s="260"/>
      <c r="AB10098" s="260"/>
      <c r="AC10098" s="260"/>
      <c r="AD10098" s="259"/>
      <c r="AE10098" s="259"/>
      <c r="AF10098" s="260"/>
      <c r="AG10098" s="330"/>
    </row>
    <row r="10099" spans="14:33" hidden="1">
      <c r="N10099" s="239"/>
      <c r="O10099" s="225"/>
      <c r="P10099" s="260"/>
      <c r="Q10099" s="328"/>
      <c r="R10099" s="260"/>
      <c r="S10099" s="260"/>
      <c r="T10099" s="260"/>
      <c r="U10099" s="260"/>
      <c r="V10099" s="260"/>
      <c r="W10099" s="260"/>
      <c r="X10099" s="259"/>
      <c r="Y10099" s="259"/>
      <c r="Z10099" s="260"/>
      <c r="AA10099" s="260"/>
      <c r="AB10099" s="260"/>
      <c r="AC10099" s="260"/>
      <c r="AD10099" s="259"/>
      <c r="AE10099" s="259"/>
      <c r="AF10099" s="260"/>
      <c r="AG10099" s="330"/>
    </row>
    <row r="10100" spans="14:33" hidden="1">
      <c r="N10100" s="239"/>
      <c r="O10100" s="225"/>
      <c r="P10100" s="260"/>
      <c r="Q10100" s="328"/>
      <c r="R10100" s="260"/>
      <c r="S10100" s="260"/>
      <c r="T10100" s="260"/>
      <c r="U10100" s="260"/>
      <c r="V10100" s="260"/>
      <c r="W10100" s="260"/>
      <c r="X10100" s="259"/>
      <c r="Y10100" s="259"/>
      <c r="Z10100" s="260"/>
      <c r="AA10100" s="260"/>
      <c r="AB10100" s="260"/>
      <c r="AC10100" s="260"/>
      <c r="AD10100" s="259"/>
      <c r="AE10100" s="259"/>
      <c r="AF10100" s="260"/>
      <c r="AG10100" s="330"/>
    </row>
    <row r="10101" spans="14:33" hidden="1">
      <c r="N10101" s="239"/>
      <c r="O10101" s="225"/>
      <c r="P10101" s="260"/>
      <c r="Q10101" s="328"/>
      <c r="R10101" s="260"/>
      <c r="S10101" s="260"/>
      <c r="T10101" s="260"/>
      <c r="U10101" s="260"/>
      <c r="V10101" s="260"/>
      <c r="W10101" s="260"/>
      <c r="X10101" s="259"/>
      <c r="Y10101" s="259"/>
      <c r="Z10101" s="260"/>
      <c r="AA10101" s="260"/>
      <c r="AB10101" s="260"/>
      <c r="AC10101" s="260"/>
      <c r="AD10101" s="259"/>
      <c r="AE10101" s="259"/>
      <c r="AF10101" s="260"/>
      <c r="AG10101" s="330"/>
    </row>
    <row r="10102" spans="14:33" hidden="1">
      <c r="N10102" s="239"/>
      <c r="O10102" s="225"/>
      <c r="P10102" s="260"/>
      <c r="Q10102" s="328"/>
      <c r="R10102" s="260"/>
      <c r="S10102" s="260"/>
      <c r="T10102" s="260"/>
      <c r="U10102" s="260"/>
      <c r="V10102" s="260"/>
      <c r="W10102" s="260"/>
      <c r="X10102" s="259"/>
      <c r="Y10102" s="259"/>
      <c r="Z10102" s="260"/>
      <c r="AA10102" s="260"/>
      <c r="AB10102" s="260"/>
      <c r="AC10102" s="260"/>
      <c r="AD10102" s="259"/>
      <c r="AE10102" s="259"/>
      <c r="AF10102" s="260"/>
      <c r="AG10102" s="330"/>
    </row>
    <row r="10103" spans="14:33" hidden="1">
      <c r="N10103" s="239"/>
      <c r="O10103" s="225"/>
      <c r="P10103" s="260"/>
      <c r="Q10103" s="328"/>
      <c r="R10103" s="260"/>
      <c r="S10103" s="260"/>
      <c r="T10103" s="260"/>
      <c r="U10103" s="260"/>
      <c r="V10103" s="260"/>
      <c r="W10103" s="260"/>
      <c r="X10103" s="259"/>
      <c r="Y10103" s="259"/>
      <c r="Z10103" s="260"/>
      <c r="AA10103" s="260"/>
      <c r="AB10103" s="260"/>
      <c r="AC10103" s="260"/>
      <c r="AD10103" s="259"/>
      <c r="AE10103" s="259"/>
      <c r="AF10103" s="260"/>
      <c r="AG10103" s="330"/>
    </row>
    <row r="10104" spans="14:33" hidden="1">
      <c r="N10104" s="239"/>
      <c r="O10104" s="225"/>
      <c r="P10104" s="260"/>
      <c r="Q10104" s="328"/>
      <c r="R10104" s="260"/>
      <c r="S10104" s="260"/>
      <c r="T10104" s="260"/>
      <c r="U10104" s="260"/>
      <c r="V10104" s="260"/>
      <c r="W10104" s="260"/>
      <c r="X10104" s="259"/>
      <c r="Y10104" s="259"/>
      <c r="Z10104" s="260"/>
      <c r="AA10104" s="260"/>
      <c r="AB10104" s="260"/>
      <c r="AC10104" s="260"/>
      <c r="AD10104" s="259"/>
      <c r="AE10104" s="259"/>
      <c r="AF10104" s="260"/>
      <c r="AG10104" s="330"/>
    </row>
    <row r="10105" spans="14:33" hidden="1">
      <c r="N10105" s="239"/>
      <c r="O10105" s="225"/>
      <c r="P10105" s="260"/>
      <c r="Q10105" s="328"/>
      <c r="R10105" s="260"/>
      <c r="S10105" s="260"/>
      <c r="T10105" s="260"/>
      <c r="U10105" s="260"/>
      <c r="V10105" s="260"/>
      <c r="W10105" s="260"/>
      <c r="X10105" s="259"/>
      <c r="Y10105" s="259"/>
      <c r="Z10105" s="260"/>
      <c r="AA10105" s="260"/>
      <c r="AB10105" s="260"/>
      <c r="AC10105" s="260"/>
      <c r="AD10105" s="259"/>
      <c r="AE10105" s="259"/>
      <c r="AF10105" s="260"/>
      <c r="AG10105" s="330"/>
    </row>
    <row r="10106" spans="14:33" hidden="1">
      <c r="N10106" s="239"/>
      <c r="O10106" s="225"/>
      <c r="P10106" s="260"/>
      <c r="Q10106" s="328"/>
      <c r="R10106" s="260"/>
      <c r="S10106" s="260"/>
      <c r="T10106" s="260"/>
      <c r="U10106" s="260"/>
      <c r="V10106" s="260"/>
      <c r="W10106" s="260"/>
      <c r="X10106" s="259"/>
      <c r="Y10106" s="259"/>
      <c r="Z10106" s="260"/>
      <c r="AA10106" s="260"/>
      <c r="AB10106" s="260"/>
      <c r="AC10106" s="260"/>
      <c r="AD10106" s="259"/>
      <c r="AE10106" s="259"/>
      <c r="AF10106" s="260"/>
      <c r="AG10106" s="330"/>
    </row>
    <row r="10107" spans="14:33" hidden="1">
      <c r="N10107" s="239"/>
      <c r="O10107" s="225"/>
      <c r="P10107" s="260"/>
      <c r="Q10107" s="328"/>
      <c r="R10107" s="260"/>
      <c r="S10107" s="260"/>
      <c r="T10107" s="260"/>
      <c r="U10107" s="260"/>
      <c r="V10107" s="260"/>
      <c r="W10107" s="260"/>
      <c r="X10107" s="259"/>
      <c r="Y10107" s="259"/>
      <c r="Z10107" s="260"/>
      <c r="AA10107" s="260"/>
      <c r="AB10107" s="260"/>
      <c r="AC10107" s="260"/>
      <c r="AD10107" s="259"/>
      <c r="AE10107" s="259"/>
      <c r="AF10107" s="260"/>
      <c r="AG10107" s="330"/>
    </row>
    <row r="10108" spans="14:33" hidden="1">
      <c r="N10108" s="239"/>
      <c r="O10108" s="225"/>
      <c r="P10108" s="260"/>
      <c r="Q10108" s="328"/>
      <c r="R10108" s="260"/>
      <c r="S10108" s="260"/>
      <c r="T10108" s="260"/>
      <c r="U10108" s="260"/>
      <c r="V10108" s="260"/>
      <c r="W10108" s="260"/>
      <c r="X10108" s="259"/>
      <c r="Y10108" s="259"/>
      <c r="Z10108" s="260"/>
      <c r="AA10108" s="260"/>
      <c r="AB10108" s="260"/>
      <c r="AC10108" s="260"/>
      <c r="AD10108" s="259"/>
      <c r="AE10108" s="259"/>
      <c r="AF10108" s="260"/>
      <c r="AG10108" s="330"/>
    </row>
    <row r="10109" spans="14:33" hidden="1">
      <c r="N10109" s="239"/>
      <c r="O10109" s="225"/>
      <c r="P10109" s="260"/>
      <c r="Q10109" s="328"/>
      <c r="R10109" s="260"/>
      <c r="S10109" s="260"/>
      <c r="T10109" s="260"/>
      <c r="U10109" s="260"/>
      <c r="V10109" s="260"/>
      <c r="W10109" s="260"/>
      <c r="X10109" s="259"/>
      <c r="Y10109" s="259"/>
      <c r="Z10109" s="260"/>
      <c r="AA10109" s="260"/>
      <c r="AB10109" s="260"/>
      <c r="AC10109" s="260"/>
      <c r="AD10109" s="259"/>
      <c r="AE10109" s="259"/>
      <c r="AF10109" s="260"/>
      <c r="AG10109" s="330"/>
    </row>
    <row r="10110" spans="14:33" hidden="1">
      <c r="N10110" s="239"/>
      <c r="O10110" s="225"/>
      <c r="P10110" s="260"/>
      <c r="Q10110" s="328"/>
      <c r="R10110" s="260"/>
      <c r="S10110" s="260"/>
      <c r="T10110" s="260"/>
      <c r="U10110" s="260"/>
      <c r="V10110" s="260"/>
      <c r="W10110" s="260"/>
      <c r="X10110" s="259"/>
      <c r="Y10110" s="259"/>
      <c r="Z10110" s="260"/>
      <c r="AA10110" s="260"/>
      <c r="AB10110" s="260"/>
      <c r="AC10110" s="260"/>
      <c r="AD10110" s="259"/>
      <c r="AE10110" s="259"/>
      <c r="AF10110" s="260"/>
      <c r="AG10110" s="330"/>
    </row>
    <row r="10111" spans="14:33" hidden="1">
      <c r="N10111" s="239"/>
      <c r="O10111" s="225"/>
      <c r="P10111" s="260"/>
      <c r="Q10111" s="328"/>
      <c r="R10111" s="260"/>
      <c r="S10111" s="260"/>
      <c r="T10111" s="260"/>
      <c r="U10111" s="260"/>
      <c r="V10111" s="260"/>
      <c r="W10111" s="260"/>
      <c r="X10111" s="259"/>
      <c r="Y10111" s="259"/>
      <c r="Z10111" s="260"/>
      <c r="AA10111" s="260"/>
      <c r="AB10111" s="260"/>
      <c r="AC10111" s="260"/>
      <c r="AD10111" s="259"/>
      <c r="AE10111" s="259"/>
      <c r="AF10111" s="260"/>
      <c r="AG10111" s="330"/>
    </row>
    <row r="10112" spans="14:33" hidden="1">
      <c r="N10112" s="239"/>
      <c r="O10112" s="225"/>
      <c r="P10112" s="260"/>
      <c r="Q10112" s="328"/>
      <c r="R10112" s="260"/>
      <c r="S10112" s="260"/>
      <c r="T10112" s="260"/>
      <c r="U10112" s="260"/>
      <c r="V10112" s="260"/>
      <c r="W10112" s="260"/>
      <c r="X10112" s="259"/>
      <c r="Y10112" s="259"/>
      <c r="Z10112" s="260"/>
      <c r="AA10112" s="260"/>
      <c r="AB10112" s="260"/>
      <c r="AC10112" s="260"/>
      <c r="AD10112" s="259"/>
      <c r="AE10112" s="259"/>
      <c r="AF10112" s="260"/>
      <c r="AG10112" s="330"/>
    </row>
    <row r="10113" spans="14:33" hidden="1">
      <c r="N10113" s="239"/>
      <c r="O10113" s="225"/>
      <c r="P10113" s="260"/>
      <c r="Q10113" s="328"/>
      <c r="R10113" s="260"/>
      <c r="S10113" s="260"/>
      <c r="T10113" s="260"/>
      <c r="U10113" s="260"/>
      <c r="V10113" s="260"/>
      <c r="W10113" s="260"/>
      <c r="X10113" s="259"/>
      <c r="Y10113" s="259"/>
      <c r="Z10113" s="260"/>
      <c r="AA10113" s="260"/>
      <c r="AB10113" s="260"/>
      <c r="AC10113" s="260"/>
      <c r="AD10113" s="259"/>
      <c r="AE10113" s="259"/>
      <c r="AF10113" s="260"/>
      <c r="AG10113" s="330"/>
    </row>
    <row r="10114" spans="14:33" hidden="1">
      <c r="N10114" s="239"/>
      <c r="O10114" s="225"/>
      <c r="P10114" s="260"/>
      <c r="Q10114" s="328"/>
      <c r="R10114" s="260"/>
      <c r="S10114" s="260"/>
      <c r="T10114" s="260"/>
      <c r="U10114" s="260"/>
      <c r="V10114" s="260"/>
      <c r="W10114" s="260"/>
      <c r="X10114" s="259"/>
      <c r="Y10114" s="259"/>
      <c r="Z10114" s="260"/>
      <c r="AA10114" s="260"/>
      <c r="AB10114" s="260"/>
      <c r="AC10114" s="260"/>
      <c r="AD10114" s="259"/>
      <c r="AE10114" s="259"/>
      <c r="AF10114" s="260"/>
      <c r="AG10114" s="330"/>
    </row>
    <row r="10115" spans="14:33" hidden="1">
      <c r="N10115" s="239"/>
      <c r="O10115" s="225"/>
      <c r="P10115" s="260"/>
      <c r="Q10115" s="328"/>
      <c r="R10115" s="260"/>
      <c r="S10115" s="260"/>
      <c r="T10115" s="260"/>
      <c r="U10115" s="260"/>
      <c r="V10115" s="260"/>
      <c r="W10115" s="260"/>
      <c r="X10115" s="259"/>
      <c r="Y10115" s="259"/>
      <c r="Z10115" s="260"/>
      <c r="AA10115" s="260"/>
      <c r="AB10115" s="260"/>
      <c r="AC10115" s="260"/>
      <c r="AD10115" s="259"/>
      <c r="AE10115" s="259"/>
      <c r="AF10115" s="260"/>
      <c r="AG10115" s="330"/>
    </row>
    <row r="10116" spans="14:33" hidden="1">
      <c r="N10116" s="239"/>
      <c r="O10116" s="225"/>
      <c r="P10116" s="260"/>
      <c r="Q10116" s="328"/>
      <c r="R10116" s="260"/>
      <c r="S10116" s="260"/>
      <c r="T10116" s="260"/>
      <c r="U10116" s="260"/>
      <c r="V10116" s="260"/>
      <c r="W10116" s="260"/>
      <c r="X10116" s="259"/>
      <c r="Y10116" s="259"/>
      <c r="Z10116" s="260"/>
      <c r="AA10116" s="260"/>
      <c r="AB10116" s="260"/>
      <c r="AC10116" s="260"/>
      <c r="AD10116" s="259"/>
      <c r="AE10116" s="259"/>
      <c r="AF10116" s="260"/>
      <c r="AG10116" s="330"/>
    </row>
    <row r="10117" spans="14:33" hidden="1">
      <c r="N10117" s="239"/>
      <c r="O10117" s="225"/>
      <c r="P10117" s="260"/>
      <c r="Q10117" s="328"/>
      <c r="R10117" s="260"/>
      <c r="S10117" s="260"/>
      <c r="T10117" s="260"/>
      <c r="U10117" s="260"/>
      <c r="V10117" s="260"/>
      <c r="W10117" s="260"/>
      <c r="X10117" s="259"/>
      <c r="Y10117" s="259"/>
      <c r="Z10117" s="260"/>
      <c r="AA10117" s="260"/>
      <c r="AB10117" s="260"/>
      <c r="AC10117" s="260"/>
      <c r="AD10117" s="259"/>
      <c r="AE10117" s="259"/>
      <c r="AF10117" s="260"/>
      <c r="AG10117" s="330"/>
    </row>
    <row r="10118" spans="14:33" hidden="1">
      <c r="N10118" s="239"/>
      <c r="O10118" s="225"/>
      <c r="P10118" s="260"/>
      <c r="Q10118" s="328"/>
      <c r="R10118" s="260"/>
      <c r="S10118" s="260"/>
      <c r="T10118" s="260"/>
      <c r="U10118" s="260"/>
      <c r="V10118" s="260"/>
      <c r="W10118" s="260"/>
      <c r="X10118" s="259"/>
      <c r="Y10118" s="259"/>
      <c r="Z10118" s="260"/>
      <c r="AA10118" s="260"/>
      <c r="AB10118" s="260"/>
      <c r="AC10118" s="260"/>
      <c r="AD10118" s="259"/>
      <c r="AE10118" s="259"/>
      <c r="AF10118" s="260"/>
      <c r="AG10118" s="330"/>
    </row>
    <row r="10119" spans="14:33" hidden="1">
      <c r="N10119" s="239"/>
      <c r="O10119" s="225"/>
      <c r="P10119" s="260"/>
      <c r="Q10119" s="328"/>
      <c r="R10119" s="260"/>
      <c r="S10119" s="260"/>
      <c r="T10119" s="260"/>
      <c r="U10119" s="260"/>
      <c r="V10119" s="260"/>
      <c r="W10119" s="260"/>
      <c r="X10119" s="259"/>
      <c r="Y10119" s="259"/>
      <c r="Z10119" s="260"/>
      <c r="AA10119" s="260"/>
      <c r="AB10119" s="260"/>
      <c r="AC10119" s="260"/>
      <c r="AD10119" s="259"/>
      <c r="AE10119" s="259"/>
      <c r="AF10119" s="260"/>
      <c r="AG10119" s="330"/>
    </row>
    <row r="10120" spans="14:33" hidden="1">
      <c r="N10120" s="239"/>
      <c r="O10120" s="225"/>
      <c r="P10120" s="260"/>
      <c r="Q10120" s="328"/>
      <c r="R10120" s="260"/>
      <c r="S10120" s="260"/>
      <c r="T10120" s="260"/>
      <c r="U10120" s="260"/>
      <c r="V10120" s="260"/>
      <c r="W10120" s="260"/>
      <c r="X10120" s="259"/>
      <c r="Y10120" s="259"/>
      <c r="Z10120" s="260"/>
      <c r="AA10120" s="260"/>
      <c r="AB10120" s="260"/>
      <c r="AC10120" s="260"/>
      <c r="AD10120" s="259"/>
      <c r="AE10120" s="259"/>
      <c r="AF10120" s="260"/>
      <c r="AG10120" s="330"/>
    </row>
    <row r="10121" spans="14:33" hidden="1">
      <c r="N10121" s="239"/>
      <c r="O10121" s="225"/>
      <c r="P10121" s="260"/>
      <c r="Q10121" s="328"/>
      <c r="R10121" s="260"/>
      <c r="S10121" s="260"/>
      <c r="T10121" s="260"/>
      <c r="U10121" s="260"/>
      <c r="V10121" s="260"/>
      <c r="W10121" s="260"/>
      <c r="X10121" s="259"/>
      <c r="Y10121" s="259"/>
      <c r="Z10121" s="260"/>
      <c r="AA10121" s="260"/>
      <c r="AB10121" s="260"/>
      <c r="AC10121" s="260"/>
      <c r="AD10121" s="259"/>
      <c r="AE10121" s="259"/>
      <c r="AF10121" s="260"/>
      <c r="AG10121" s="330"/>
    </row>
    <row r="10122" spans="14:33" hidden="1">
      <c r="N10122" s="239"/>
      <c r="O10122" s="225"/>
      <c r="P10122" s="260"/>
      <c r="Q10122" s="328"/>
      <c r="R10122" s="260"/>
      <c r="S10122" s="260"/>
      <c r="T10122" s="260"/>
      <c r="U10122" s="260"/>
      <c r="V10122" s="260"/>
      <c r="W10122" s="260"/>
      <c r="X10122" s="259"/>
      <c r="Y10122" s="259"/>
      <c r="Z10122" s="260"/>
      <c r="AA10122" s="260"/>
      <c r="AB10122" s="260"/>
      <c r="AC10122" s="260"/>
      <c r="AD10122" s="259"/>
      <c r="AE10122" s="259"/>
      <c r="AF10122" s="260"/>
      <c r="AG10122" s="330"/>
    </row>
    <row r="10123" spans="14:33" hidden="1">
      <c r="N10123" s="239"/>
      <c r="O10123" s="225"/>
      <c r="P10123" s="260"/>
      <c r="Q10123" s="328"/>
      <c r="R10123" s="260"/>
      <c r="S10123" s="260"/>
      <c r="T10123" s="260"/>
      <c r="U10123" s="260"/>
      <c r="V10123" s="260"/>
      <c r="W10123" s="260"/>
      <c r="X10123" s="259"/>
      <c r="Y10123" s="259"/>
      <c r="Z10123" s="260"/>
      <c r="AA10123" s="260"/>
      <c r="AB10123" s="260"/>
      <c r="AC10123" s="260"/>
      <c r="AD10123" s="259"/>
      <c r="AE10123" s="259"/>
      <c r="AF10123" s="260"/>
      <c r="AG10123" s="330"/>
    </row>
    <row r="10124" spans="14:33" hidden="1">
      <c r="N10124" s="239"/>
      <c r="O10124" s="225"/>
      <c r="P10124" s="260"/>
      <c r="Q10124" s="328"/>
      <c r="R10124" s="260"/>
      <c r="S10124" s="260"/>
      <c r="T10124" s="260"/>
      <c r="U10124" s="260"/>
      <c r="V10124" s="260"/>
      <c r="W10124" s="260"/>
      <c r="X10124" s="259"/>
      <c r="Y10124" s="259"/>
      <c r="Z10124" s="260"/>
      <c r="AA10124" s="260"/>
      <c r="AB10124" s="260"/>
      <c r="AC10124" s="260"/>
      <c r="AD10124" s="259"/>
      <c r="AE10124" s="259"/>
      <c r="AF10124" s="260"/>
      <c r="AG10124" s="330"/>
    </row>
    <row r="10125" spans="14:33" hidden="1">
      <c r="N10125" s="239"/>
      <c r="O10125" s="225"/>
      <c r="P10125" s="260"/>
      <c r="Q10125" s="328"/>
      <c r="R10125" s="260"/>
      <c r="S10125" s="260"/>
      <c r="T10125" s="260"/>
      <c r="U10125" s="260"/>
      <c r="V10125" s="260"/>
      <c r="W10125" s="260"/>
      <c r="X10125" s="259"/>
      <c r="Y10125" s="259"/>
      <c r="Z10125" s="260"/>
      <c r="AA10125" s="260"/>
      <c r="AB10125" s="260"/>
      <c r="AC10125" s="260"/>
      <c r="AD10125" s="259"/>
      <c r="AE10125" s="259"/>
      <c r="AF10125" s="260"/>
      <c r="AG10125" s="330"/>
    </row>
    <row r="10126" spans="14:33" hidden="1">
      <c r="N10126" s="239"/>
      <c r="O10126" s="225"/>
      <c r="P10126" s="260"/>
      <c r="Q10126" s="328"/>
      <c r="R10126" s="260"/>
      <c r="S10126" s="260"/>
      <c r="T10126" s="260"/>
      <c r="U10126" s="260"/>
      <c r="V10126" s="260"/>
      <c r="W10126" s="260"/>
      <c r="X10126" s="259"/>
      <c r="Y10126" s="259"/>
      <c r="Z10126" s="260"/>
      <c r="AA10126" s="260"/>
      <c r="AB10126" s="260"/>
      <c r="AC10126" s="260"/>
      <c r="AD10126" s="259"/>
      <c r="AE10126" s="259"/>
      <c r="AF10126" s="260"/>
      <c r="AG10126" s="330"/>
    </row>
    <row r="10127" spans="14:33" hidden="1">
      <c r="N10127" s="239"/>
      <c r="O10127" s="225"/>
      <c r="P10127" s="260"/>
      <c r="Q10127" s="328"/>
      <c r="R10127" s="260"/>
      <c r="S10127" s="260"/>
      <c r="T10127" s="260"/>
      <c r="U10127" s="260"/>
      <c r="V10127" s="260"/>
      <c r="W10127" s="260"/>
      <c r="X10127" s="259"/>
      <c r="Y10127" s="259"/>
      <c r="Z10127" s="260"/>
      <c r="AA10127" s="260"/>
      <c r="AB10127" s="260"/>
      <c r="AC10127" s="260"/>
      <c r="AD10127" s="259"/>
      <c r="AE10127" s="259"/>
      <c r="AF10127" s="260"/>
      <c r="AG10127" s="330"/>
    </row>
    <row r="10128" spans="14:33" hidden="1">
      <c r="N10128" s="239"/>
      <c r="O10128" s="225"/>
      <c r="P10128" s="260"/>
      <c r="Q10128" s="328"/>
      <c r="R10128" s="260"/>
      <c r="S10128" s="260"/>
      <c r="T10128" s="260"/>
      <c r="U10128" s="260"/>
      <c r="V10128" s="260"/>
      <c r="W10128" s="260"/>
      <c r="X10128" s="259"/>
      <c r="Y10128" s="259"/>
      <c r="Z10128" s="260"/>
      <c r="AA10128" s="260"/>
      <c r="AB10128" s="260"/>
      <c r="AC10128" s="260"/>
      <c r="AD10128" s="259"/>
      <c r="AE10128" s="259"/>
      <c r="AF10128" s="260"/>
      <c r="AG10128" s="330"/>
    </row>
    <row r="10129" spans="14:33" hidden="1">
      <c r="N10129" s="239"/>
      <c r="O10129" s="225"/>
      <c r="P10129" s="260"/>
      <c r="Q10129" s="328"/>
      <c r="R10129" s="260"/>
      <c r="S10129" s="260"/>
      <c r="T10129" s="260"/>
      <c r="U10129" s="260"/>
      <c r="V10129" s="260"/>
      <c r="W10129" s="260"/>
      <c r="X10129" s="259"/>
      <c r="Y10129" s="259"/>
      <c r="Z10129" s="260"/>
      <c r="AA10129" s="260"/>
      <c r="AB10129" s="260"/>
      <c r="AC10129" s="260"/>
      <c r="AD10129" s="259"/>
      <c r="AE10129" s="259"/>
      <c r="AF10129" s="260"/>
      <c r="AG10129" s="330"/>
    </row>
    <row r="10130" spans="14:33" hidden="1">
      <c r="N10130" s="239"/>
      <c r="O10130" s="225"/>
      <c r="P10130" s="260"/>
      <c r="Q10130" s="328"/>
      <c r="R10130" s="260"/>
      <c r="S10130" s="260"/>
      <c r="T10130" s="260"/>
      <c r="U10130" s="260"/>
      <c r="V10130" s="260"/>
      <c r="W10130" s="260"/>
      <c r="X10130" s="259"/>
      <c r="Y10130" s="259"/>
      <c r="Z10130" s="260"/>
      <c r="AA10130" s="260"/>
      <c r="AB10130" s="260"/>
      <c r="AC10130" s="260"/>
      <c r="AD10130" s="259"/>
      <c r="AE10130" s="259"/>
      <c r="AF10130" s="260"/>
      <c r="AG10130" s="330"/>
    </row>
    <row r="10131" spans="14:33" hidden="1">
      <c r="N10131" s="239"/>
      <c r="O10131" s="225"/>
      <c r="P10131" s="260"/>
      <c r="Q10131" s="328"/>
      <c r="R10131" s="260"/>
      <c r="S10131" s="260"/>
      <c r="T10131" s="260"/>
      <c r="U10131" s="260"/>
      <c r="V10131" s="260"/>
      <c r="W10131" s="260"/>
      <c r="X10131" s="259"/>
      <c r="Y10131" s="259"/>
      <c r="Z10131" s="260"/>
      <c r="AA10131" s="260"/>
      <c r="AB10131" s="260"/>
      <c r="AC10131" s="260"/>
      <c r="AD10131" s="259"/>
      <c r="AE10131" s="259"/>
      <c r="AF10131" s="260"/>
      <c r="AG10131" s="330"/>
    </row>
    <row r="10132" spans="14:33" hidden="1">
      <c r="N10132" s="239"/>
      <c r="O10132" s="225"/>
      <c r="P10132" s="260"/>
      <c r="Q10132" s="328"/>
      <c r="R10132" s="260"/>
      <c r="S10132" s="260"/>
      <c r="T10132" s="260"/>
      <c r="U10132" s="260"/>
      <c r="V10132" s="260"/>
      <c r="W10132" s="260"/>
      <c r="X10132" s="259"/>
      <c r="Y10132" s="259"/>
      <c r="Z10132" s="260"/>
      <c r="AA10132" s="260"/>
      <c r="AB10132" s="260"/>
      <c r="AC10132" s="260"/>
      <c r="AD10132" s="259"/>
      <c r="AE10132" s="259"/>
      <c r="AF10132" s="260"/>
      <c r="AG10132" s="330"/>
    </row>
    <row r="10133" spans="14:33" hidden="1">
      <c r="N10133" s="239"/>
      <c r="O10133" s="225"/>
      <c r="P10133" s="260"/>
      <c r="Q10133" s="328"/>
      <c r="R10133" s="260"/>
      <c r="S10133" s="260"/>
      <c r="T10133" s="260"/>
      <c r="U10133" s="260"/>
      <c r="V10133" s="260"/>
      <c r="W10133" s="260"/>
      <c r="X10133" s="259"/>
      <c r="Y10133" s="259"/>
      <c r="Z10133" s="260"/>
      <c r="AA10133" s="260"/>
      <c r="AB10133" s="260"/>
      <c r="AC10133" s="260"/>
      <c r="AD10133" s="259"/>
      <c r="AE10133" s="259"/>
      <c r="AF10133" s="260"/>
      <c r="AG10133" s="330"/>
    </row>
    <row r="10134" spans="14:33" hidden="1">
      <c r="N10134" s="239"/>
      <c r="O10134" s="225"/>
      <c r="P10134" s="260"/>
      <c r="Q10134" s="328"/>
      <c r="R10134" s="260"/>
      <c r="S10134" s="260"/>
      <c r="T10134" s="260"/>
      <c r="U10134" s="260"/>
      <c r="V10134" s="260"/>
      <c r="W10134" s="260"/>
      <c r="X10134" s="259"/>
      <c r="Y10134" s="259"/>
      <c r="Z10134" s="260"/>
      <c r="AA10134" s="260"/>
      <c r="AB10134" s="260"/>
      <c r="AC10134" s="260"/>
      <c r="AD10134" s="259"/>
      <c r="AE10134" s="259"/>
      <c r="AF10134" s="260"/>
      <c r="AG10134" s="330"/>
    </row>
    <row r="10135" spans="14:33" hidden="1">
      <c r="N10135" s="239"/>
      <c r="O10135" s="225"/>
      <c r="P10135" s="260"/>
      <c r="Q10135" s="328"/>
      <c r="R10135" s="260"/>
      <c r="S10135" s="260"/>
      <c r="T10135" s="260"/>
      <c r="U10135" s="260"/>
      <c r="V10135" s="260"/>
      <c r="W10135" s="260"/>
      <c r="X10135" s="259"/>
      <c r="Y10135" s="259"/>
      <c r="Z10135" s="260"/>
      <c r="AA10135" s="260"/>
      <c r="AB10135" s="260"/>
      <c r="AC10135" s="260"/>
      <c r="AD10135" s="259"/>
      <c r="AE10135" s="259"/>
      <c r="AF10135" s="260"/>
      <c r="AG10135" s="330"/>
    </row>
    <row r="10136" spans="14:33" hidden="1">
      <c r="N10136" s="239"/>
      <c r="O10136" s="225"/>
      <c r="P10136" s="260"/>
      <c r="Q10136" s="328"/>
      <c r="R10136" s="260"/>
      <c r="S10136" s="260"/>
      <c r="T10136" s="260"/>
      <c r="U10136" s="260"/>
      <c r="V10136" s="260"/>
      <c r="W10136" s="260"/>
      <c r="X10136" s="259"/>
      <c r="Y10136" s="259"/>
      <c r="Z10136" s="260"/>
      <c r="AA10136" s="260"/>
      <c r="AB10136" s="260"/>
      <c r="AC10136" s="260"/>
      <c r="AD10136" s="259"/>
      <c r="AE10136" s="259"/>
      <c r="AF10136" s="260"/>
      <c r="AG10136" s="330"/>
    </row>
    <row r="10137" spans="14:33" hidden="1">
      <c r="N10137" s="239"/>
      <c r="O10137" s="225"/>
      <c r="P10137" s="260"/>
      <c r="Q10137" s="328"/>
      <c r="R10137" s="260"/>
      <c r="S10137" s="260"/>
      <c r="T10137" s="260"/>
      <c r="U10137" s="260"/>
      <c r="V10137" s="260"/>
      <c r="W10137" s="260"/>
      <c r="X10137" s="259"/>
      <c r="Y10137" s="259"/>
      <c r="Z10137" s="260"/>
      <c r="AA10137" s="260"/>
      <c r="AB10137" s="260"/>
      <c r="AC10137" s="260"/>
      <c r="AD10137" s="259"/>
      <c r="AE10137" s="259"/>
      <c r="AF10137" s="260"/>
      <c r="AG10137" s="330"/>
    </row>
    <row r="10138" spans="14:33" hidden="1">
      <c r="N10138" s="239"/>
      <c r="O10138" s="225"/>
      <c r="P10138" s="260"/>
      <c r="Q10138" s="328"/>
      <c r="R10138" s="260"/>
      <c r="S10138" s="260"/>
      <c r="T10138" s="260"/>
      <c r="U10138" s="260"/>
      <c r="V10138" s="260"/>
      <c r="W10138" s="260"/>
      <c r="X10138" s="259"/>
      <c r="Y10138" s="259"/>
      <c r="Z10138" s="260"/>
      <c r="AA10138" s="260"/>
      <c r="AB10138" s="260"/>
      <c r="AC10138" s="260"/>
      <c r="AD10138" s="259"/>
      <c r="AE10138" s="259"/>
      <c r="AF10138" s="260"/>
      <c r="AG10138" s="330"/>
    </row>
    <row r="10139" spans="14:33" hidden="1">
      <c r="N10139" s="239"/>
      <c r="O10139" s="225"/>
      <c r="P10139" s="260"/>
      <c r="Q10139" s="328"/>
      <c r="R10139" s="260"/>
      <c r="S10139" s="260"/>
      <c r="T10139" s="260"/>
      <c r="U10139" s="260"/>
      <c r="V10139" s="260"/>
      <c r="W10139" s="260"/>
      <c r="X10139" s="259"/>
      <c r="Y10139" s="259"/>
      <c r="Z10139" s="260"/>
      <c r="AA10139" s="260"/>
      <c r="AB10139" s="260"/>
      <c r="AC10139" s="260"/>
      <c r="AD10139" s="259"/>
      <c r="AE10139" s="259"/>
      <c r="AF10139" s="260"/>
      <c r="AG10139" s="330"/>
    </row>
    <row r="10140" spans="14:33" hidden="1">
      <c r="N10140" s="239"/>
      <c r="O10140" s="225"/>
      <c r="P10140" s="260"/>
      <c r="Q10140" s="328"/>
      <c r="R10140" s="260"/>
      <c r="S10140" s="260"/>
      <c r="T10140" s="260"/>
      <c r="U10140" s="260"/>
      <c r="V10140" s="260"/>
      <c r="W10140" s="260"/>
      <c r="X10140" s="259"/>
      <c r="Y10140" s="259"/>
      <c r="Z10140" s="260"/>
      <c r="AA10140" s="260"/>
      <c r="AB10140" s="260"/>
      <c r="AC10140" s="260"/>
      <c r="AD10140" s="259"/>
      <c r="AE10140" s="259"/>
      <c r="AF10140" s="260"/>
      <c r="AG10140" s="330"/>
    </row>
    <row r="10141" spans="14:33" hidden="1">
      <c r="N10141" s="239"/>
      <c r="O10141" s="225"/>
      <c r="P10141" s="260"/>
      <c r="Q10141" s="328"/>
      <c r="R10141" s="260"/>
      <c r="S10141" s="260"/>
      <c r="T10141" s="260"/>
      <c r="U10141" s="260"/>
      <c r="V10141" s="260"/>
      <c r="W10141" s="260"/>
      <c r="X10141" s="259"/>
      <c r="Y10141" s="259"/>
      <c r="Z10141" s="260"/>
      <c r="AA10141" s="260"/>
      <c r="AB10141" s="260"/>
      <c r="AC10141" s="260"/>
      <c r="AD10141" s="259"/>
      <c r="AE10141" s="259"/>
      <c r="AF10141" s="260"/>
      <c r="AG10141" s="330"/>
    </row>
    <row r="10142" spans="14:33" hidden="1">
      <c r="N10142" s="239"/>
      <c r="O10142" s="225"/>
      <c r="P10142" s="260"/>
      <c r="Q10142" s="328"/>
      <c r="R10142" s="260"/>
      <c r="S10142" s="260"/>
      <c r="T10142" s="260"/>
      <c r="U10142" s="260"/>
      <c r="V10142" s="260"/>
      <c r="W10142" s="260"/>
      <c r="X10142" s="259"/>
      <c r="Y10142" s="259"/>
      <c r="Z10142" s="260"/>
      <c r="AA10142" s="260"/>
      <c r="AB10142" s="260"/>
      <c r="AC10142" s="260"/>
      <c r="AD10142" s="259"/>
      <c r="AE10142" s="259"/>
      <c r="AF10142" s="260"/>
      <c r="AG10142" s="330"/>
    </row>
    <row r="10143" spans="14:33" hidden="1">
      <c r="N10143" s="239"/>
      <c r="O10143" s="225"/>
      <c r="P10143" s="260"/>
      <c r="Q10143" s="328"/>
      <c r="R10143" s="260"/>
      <c r="S10143" s="260"/>
      <c r="T10143" s="260"/>
      <c r="U10143" s="260"/>
      <c r="V10143" s="260"/>
      <c r="W10143" s="260"/>
      <c r="X10143" s="259"/>
      <c r="Y10143" s="259"/>
      <c r="Z10143" s="260"/>
      <c r="AA10143" s="260"/>
      <c r="AB10143" s="260"/>
      <c r="AC10143" s="260"/>
      <c r="AD10143" s="259"/>
      <c r="AE10143" s="259"/>
      <c r="AF10143" s="260"/>
      <c r="AG10143" s="330"/>
    </row>
    <row r="10144" spans="14:33" hidden="1">
      <c r="N10144" s="239"/>
      <c r="O10144" s="225"/>
      <c r="P10144" s="260"/>
      <c r="Q10144" s="328"/>
      <c r="R10144" s="260"/>
      <c r="S10144" s="260"/>
      <c r="T10144" s="260"/>
      <c r="U10144" s="260"/>
      <c r="V10144" s="260"/>
      <c r="W10144" s="260"/>
      <c r="X10144" s="259"/>
      <c r="Y10144" s="259"/>
      <c r="Z10144" s="260"/>
      <c r="AA10144" s="260"/>
      <c r="AB10144" s="260"/>
      <c r="AC10144" s="260"/>
      <c r="AD10144" s="259"/>
      <c r="AE10144" s="259"/>
      <c r="AF10144" s="260"/>
      <c r="AG10144" s="330"/>
    </row>
    <row r="10145" spans="14:33" hidden="1">
      <c r="N10145" s="239"/>
      <c r="O10145" s="225"/>
      <c r="P10145" s="260"/>
      <c r="Q10145" s="328"/>
      <c r="R10145" s="260"/>
      <c r="S10145" s="260"/>
      <c r="T10145" s="260"/>
      <c r="U10145" s="260"/>
      <c r="V10145" s="260"/>
      <c r="W10145" s="260"/>
      <c r="X10145" s="259"/>
      <c r="Y10145" s="259"/>
      <c r="Z10145" s="260"/>
      <c r="AA10145" s="260"/>
      <c r="AB10145" s="260"/>
      <c r="AC10145" s="260"/>
      <c r="AD10145" s="259"/>
      <c r="AE10145" s="259"/>
      <c r="AF10145" s="260"/>
      <c r="AG10145" s="330"/>
    </row>
    <row r="10146" spans="14:33" hidden="1">
      <c r="N10146" s="239"/>
      <c r="O10146" s="225"/>
      <c r="P10146" s="260"/>
      <c r="Q10146" s="328"/>
      <c r="R10146" s="260"/>
      <c r="S10146" s="260"/>
      <c r="T10146" s="260"/>
      <c r="U10146" s="260"/>
      <c r="V10146" s="260"/>
      <c r="W10146" s="260"/>
      <c r="X10146" s="259"/>
      <c r="Y10146" s="259"/>
      <c r="Z10146" s="260"/>
      <c r="AA10146" s="260"/>
      <c r="AB10146" s="260"/>
      <c r="AC10146" s="260"/>
      <c r="AD10146" s="259"/>
      <c r="AE10146" s="259"/>
      <c r="AF10146" s="260"/>
      <c r="AG10146" s="330"/>
    </row>
    <row r="10147" spans="14:33" hidden="1">
      <c r="N10147" s="239"/>
      <c r="O10147" s="225"/>
      <c r="P10147" s="260"/>
      <c r="Q10147" s="328"/>
      <c r="R10147" s="260"/>
      <c r="S10147" s="260"/>
      <c r="T10147" s="260"/>
      <c r="U10147" s="260"/>
      <c r="V10147" s="260"/>
      <c r="W10147" s="260"/>
      <c r="X10147" s="259"/>
      <c r="Y10147" s="259"/>
      <c r="Z10147" s="260"/>
      <c r="AA10147" s="260"/>
      <c r="AB10147" s="260"/>
      <c r="AC10147" s="260"/>
      <c r="AD10147" s="259"/>
      <c r="AE10147" s="259"/>
      <c r="AF10147" s="260"/>
      <c r="AG10147" s="330"/>
    </row>
    <row r="10148" spans="14:33" hidden="1">
      <c r="N10148" s="239"/>
      <c r="O10148" s="225"/>
      <c r="P10148" s="260"/>
      <c r="Q10148" s="328"/>
      <c r="R10148" s="260"/>
      <c r="S10148" s="260"/>
      <c r="T10148" s="260"/>
      <c r="U10148" s="260"/>
      <c r="V10148" s="260"/>
      <c r="W10148" s="260"/>
      <c r="X10148" s="259"/>
      <c r="Y10148" s="259"/>
      <c r="Z10148" s="260"/>
      <c r="AA10148" s="260"/>
      <c r="AB10148" s="260"/>
      <c r="AC10148" s="260"/>
      <c r="AD10148" s="259"/>
      <c r="AE10148" s="259"/>
      <c r="AF10148" s="260"/>
      <c r="AG10148" s="330"/>
    </row>
    <row r="10149" spans="14:33" hidden="1">
      <c r="N10149" s="239"/>
      <c r="O10149" s="225"/>
      <c r="P10149" s="260"/>
      <c r="Q10149" s="328"/>
      <c r="R10149" s="260"/>
      <c r="S10149" s="260"/>
      <c r="T10149" s="260"/>
      <c r="U10149" s="260"/>
      <c r="V10149" s="260"/>
      <c r="W10149" s="260"/>
      <c r="X10149" s="259"/>
      <c r="Y10149" s="259"/>
      <c r="Z10149" s="260"/>
      <c r="AA10149" s="260"/>
      <c r="AB10149" s="260"/>
      <c r="AC10149" s="260"/>
      <c r="AD10149" s="259"/>
      <c r="AE10149" s="259"/>
      <c r="AF10149" s="260"/>
      <c r="AG10149" s="330"/>
    </row>
    <row r="10150" spans="14:33" hidden="1">
      <c r="N10150" s="239"/>
      <c r="O10150" s="225"/>
      <c r="P10150" s="260"/>
      <c r="Q10150" s="328"/>
      <c r="R10150" s="260"/>
      <c r="S10150" s="260"/>
      <c r="T10150" s="260"/>
      <c r="U10150" s="260"/>
      <c r="V10150" s="260"/>
      <c r="W10150" s="260"/>
      <c r="X10150" s="259"/>
      <c r="Y10150" s="259"/>
      <c r="Z10150" s="260"/>
      <c r="AA10150" s="260"/>
      <c r="AB10150" s="260"/>
      <c r="AC10150" s="260"/>
      <c r="AD10150" s="259"/>
      <c r="AE10150" s="259"/>
      <c r="AF10150" s="260"/>
      <c r="AG10150" s="330"/>
    </row>
    <row r="10151" spans="14:33" hidden="1">
      <c r="N10151" s="239"/>
      <c r="O10151" s="225"/>
      <c r="P10151" s="260"/>
      <c r="Q10151" s="328"/>
      <c r="R10151" s="260"/>
      <c r="S10151" s="260"/>
      <c r="T10151" s="260"/>
      <c r="U10151" s="260"/>
      <c r="V10151" s="260"/>
      <c r="W10151" s="260"/>
      <c r="X10151" s="259"/>
      <c r="Y10151" s="259"/>
      <c r="Z10151" s="260"/>
      <c r="AA10151" s="260"/>
      <c r="AB10151" s="260"/>
      <c r="AC10151" s="260"/>
      <c r="AD10151" s="259"/>
      <c r="AE10151" s="259"/>
      <c r="AF10151" s="260"/>
      <c r="AG10151" s="330"/>
    </row>
    <row r="10152" spans="14:33" hidden="1">
      <c r="N10152" s="239"/>
      <c r="O10152" s="225"/>
      <c r="P10152" s="260"/>
      <c r="Q10152" s="328"/>
      <c r="R10152" s="260"/>
      <c r="S10152" s="260"/>
      <c r="T10152" s="260"/>
      <c r="U10152" s="260"/>
      <c r="V10152" s="260"/>
      <c r="W10152" s="260"/>
      <c r="X10152" s="259"/>
      <c r="Y10152" s="259"/>
      <c r="Z10152" s="260"/>
      <c r="AA10152" s="260"/>
      <c r="AB10152" s="260"/>
      <c r="AC10152" s="260"/>
      <c r="AD10152" s="259"/>
      <c r="AE10152" s="259"/>
      <c r="AF10152" s="260"/>
      <c r="AG10152" s="330"/>
    </row>
    <row r="10153" spans="14:33" hidden="1">
      <c r="N10153" s="239"/>
      <c r="O10153" s="225"/>
      <c r="P10153" s="260"/>
      <c r="Q10153" s="328"/>
      <c r="R10153" s="260"/>
      <c r="S10153" s="260"/>
      <c r="T10153" s="260"/>
      <c r="U10153" s="260"/>
      <c r="V10153" s="260"/>
      <c r="W10153" s="260"/>
      <c r="X10153" s="259"/>
      <c r="Y10153" s="259"/>
      <c r="Z10153" s="260"/>
      <c r="AA10153" s="260"/>
      <c r="AB10153" s="260"/>
      <c r="AC10153" s="260"/>
      <c r="AD10153" s="259"/>
      <c r="AE10153" s="259"/>
      <c r="AF10153" s="260"/>
      <c r="AG10153" s="330"/>
    </row>
    <row r="10154" spans="14:33" hidden="1">
      <c r="N10154" s="239"/>
      <c r="O10154" s="225"/>
      <c r="P10154" s="260"/>
      <c r="Q10154" s="328"/>
      <c r="R10154" s="260"/>
      <c r="S10154" s="260"/>
      <c r="T10154" s="260"/>
      <c r="U10154" s="260"/>
      <c r="V10154" s="260"/>
      <c r="W10154" s="260"/>
      <c r="X10154" s="259"/>
      <c r="Y10154" s="259"/>
      <c r="Z10154" s="260"/>
      <c r="AA10154" s="260"/>
      <c r="AB10154" s="260"/>
      <c r="AC10154" s="260"/>
      <c r="AD10154" s="259"/>
      <c r="AE10154" s="259"/>
      <c r="AF10154" s="260"/>
      <c r="AG10154" s="330"/>
    </row>
    <row r="10155" spans="14:33" hidden="1">
      <c r="N10155" s="239"/>
      <c r="O10155" s="225"/>
      <c r="P10155" s="260"/>
      <c r="Q10155" s="328"/>
      <c r="R10155" s="260"/>
      <c r="S10155" s="260"/>
      <c r="T10155" s="260"/>
      <c r="U10155" s="260"/>
      <c r="V10155" s="260"/>
      <c r="W10155" s="260"/>
      <c r="X10155" s="259"/>
      <c r="Y10155" s="259"/>
      <c r="Z10155" s="260"/>
      <c r="AA10155" s="260"/>
      <c r="AB10155" s="260"/>
      <c r="AC10155" s="260"/>
      <c r="AD10155" s="259"/>
      <c r="AE10155" s="259"/>
      <c r="AF10155" s="260"/>
      <c r="AG10155" s="330"/>
    </row>
    <row r="10156" spans="14:33" hidden="1">
      <c r="N10156" s="239"/>
      <c r="O10156" s="225"/>
      <c r="P10156" s="260"/>
      <c r="Q10156" s="328"/>
      <c r="R10156" s="260"/>
      <c r="S10156" s="260"/>
      <c r="T10156" s="260"/>
      <c r="U10156" s="260"/>
      <c r="V10156" s="260"/>
      <c r="W10156" s="260"/>
      <c r="X10156" s="259"/>
      <c r="Y10156" s="259"/>
      <c r="Z10156" s="260"/>
      <c r="AA10156" s="260"/>
      <c r="AB10156" s="260"/>
      <c r="AC10156" s="260"/>
      <c r="AD10156" s="259"/>
      <c r="AE10156" s="259"/>
      <c r="AF10156" s="260"/>
      <c r="AG10156" s="330"/>
    </row>
    <row r="10157" spans="14:33" hidden="1">
      <c r="N10157" s="239"/>
      <c r="O10157" s="225"/>
      <c r="P10157" s="260"/>
      <c r="Q10157" s="328"/>
      <c r="R10157" s="260"/>
      <c r="S10157" s="260"/>
      <c r="T10157" s="260"/>
      <c r="U10157" s="260"/>
      <c r="V10157" s="260"/>
      <c r="W10157" s="260"/>
      <c r="X10157" s="259"/>
      <c r="Y10157" s="259"/>
      <c r="Z10157" s="260"/>
      <c r="AA10157" s="260"/>
      <c r="AB10157" s="260"/>
      <c r="AC10157" s="260"/>
      <c r="AD10157" s="259"/>
      <c r="AE10157" s="259"/>
      <c r="AF10157" s="260"/>
      <c r="AG10157" s="330"/>
    </row>
    <row r="10158" spans="14:33" hidden="1">
      <c r="N10158" s="239"/>
      <c r="O10158" s="225"/>
      <c r="P10158" s="260"/>
      <c r="Q10158" s="328"/>
      <c r="R10158" s="260"/>
      <c r="S10158" s="260"/>
      <c r="T10158" s="260"/>
      <c r="U10158" s="260"/>
      <c r="V10158" s="260"/>
      <c r="W10158" s="260"/>
      <c r="X10158" s="259"/>
      <c r="Y10158" s="259"/>
      <c r="Z10158" s="260"/>
      <c r="AA10158" s="260"/>
      <c r="AB10158" s="260"/>
      <c r="AC10158" s="260"/>
      <c r="AD10158" s="259"/>
      <c r="AE10158" s="259"/>
      <c r="AF10158" s="260"/>
      <c r="AG10158" s="330"/>
    </row>
    <row r="10159" spans="14:33" hidden="1">
      <c r="N10159" s="239"/>
      <c r="O10159" s="225"/>
      <c r="P10159" s="260"/>
      <c r="Q10159" s="328"/>
      <c r="R10159" s="260"/>
      <c r="S10159" s="260"/>
      <c r="T10159" s="260"/>
      <c r="U10159" s="260"/>
      <c r="V10159" s="260"/>
      <c r="W10159" s="260"/>
      <c r="X10159" s="259"/>
      <c r="Y10159" s="259"/>
      <c r="Z10159" s="260"/>
      <c r="AA10159" s="260"/>
      <c r="AB10159" s="260"/>
      <c r="AC10159" s="260"/>
      <c r="AD10159" s="259"/>
      <c r="AE10159" s="259"/>
      <c r="AF10159" s="260"/>
      <c r="AG10159" s="330"/>
    </row>
    <row r="10160" spans="14:33" hidden="1">
      <c r="N10160" s="239"/>
      <c r="O10160" s="225"/>
      <c r="P10160" s="260"/>
      <c r="Q10160" s="328"/>
      <c r="R10160" s="260"/>
      <c r="S10160" s="260"/>
      <c r="T10160" s="260"/>
      <c r="U10160" s="260"/>
      <c r="V10160" s="260"/>
      <c r="W10160" s="260"/>
      <c r="X10160" s="259"/>
      <c r="Y10160" s="259"/>
      <c r="Z10160" s="260"/>
      <c r="AA10160" s="260"/>
      <c r="AB10160" s="260"/>
      <c r="AC10160" s="260"/>
      <c r="AD10160" s="259"/>
      <c r="AE10160" s="259"/>
      <c r="AF10160" s="260"/>
      <c r="AG10160" s="330"/>
    </row>
    <row r="10161" spans="14:33" hidden="1">
      <c r="N10161" s="239"/>
      <c r="O10161" s="225"/>
      <c r="P10161" s="260"/>
      <c r="Q10161" s="328"/>
      <c r="R10161" s="260"/>
      <c r="S10161" s="260"/>
      <c r="T10161" s="260"/>
      <c r="U10161" s="260"/>
      <c r="V10161" s="260"/>
      <c r="W10161" s="260"/>
      <c r="X10161" s="259"/>
      <c r="Y10161" s="259"/>
      <c r="Z10161" s="260"/>
      <c r="AA10161" s="260"/>
      <c r="AB10161" s="260"/>
      <c r="AC10161" s="260"/>
      <c r="AD10161" s="259"/>
      <c r="AE10161" s="259"/>
      <c r="AF10161" s="260"/>
      <c r="AG10161" s="330"/>
    </row>
    <row r="10162" spans="14:33" hidden="1">
      <c r="N10162" s="239"/>
      <c r="O10162" s="225"/>
      <c r="P10162" s="260"/>
      <c r="Q10162" s="328"/>
      <c r="R10162" s="260"/>
      <c r="S10162" s="260"/>
      <c r="T10162" s="260"/>
      <c r="U10162" s="260"/>
      <c r="V10162" s="260"/>
      <c r="W10162" s="260"/>
      <c r="X10162" s="259"/>
      <c r="Y10162" s="259"/>
      <c r="Z10162" s="260"/>
      <c r="AA10162" s="260"/>
      <c r="AB10162" s="260"/>
      <c r="AC10162" s="260"/>
      <c r="AD10162" s="259"/>
      <c r="AE10162" s="259"/>
      <c r="AF10162" s="260"/>
      <c r="AG10162" s="330"/>
    </row>
    <row r="10163" spans="14:33" hidden="1">
      <c r="N10163" s="239"/>
      <c r="O10163" s="225"/>
      <c r="P10163" s="260"/>
      <c r="Q10163" s="328"/>
      <c r="R10163" s="260"/>
      <c r="S10163" s="260"/>
      <c r="T10163" s="260"/>
      <c r="U10163" s="260"/>
      <c r="V10163" s="260"/>
      <c r="W10163" s="260"/>
      <c r="X10163" s="259"/>
      <c r="Y10163" s="259"/>
      <c r="Z10163" s="260"/>
      <c r="AA10163" s="260"/>
      <c r="AB10163" s="260"/>
      <c r="AC10163" s="260"/>
      <c r="AD10163" s="259"/>
      <c r="AE10163" s="259"/>
      <c r="AF10163" s="260"/>
      <c r="AG10163" s="330"/>
    </row>
    <row r="10164" spans="14:33" hidden="1">
      <c r="N10164" s="239"/>
      <c r="O10164" s="225"/>
      <c r="P10164" s="260"/>
      <c r="Q10164" s="328"/>
      <c r="R10164" s="260"/>
      <c r="S10164" s="260"/>
      <c r="T10164" s="260"/>
      <c r="U10164" s="260"/>
      <c r="V10164" s="260"/>
      <c r="W10164" s="260"/>
      <c r="X10164" s="259"/>
      <c r="Y10164" s="259"/>
      <c r="Z10164" s="260"/>
      <c r="AA10164" s="260"/>
      <c r="AB10164" s="260"/>
      <c r="AC10164" s="260"/>
      <c r="AD10164" s="259"/>
      <c r="AE10164" s="259"/>
      <c r="AF10164" s="260"/>
      <c r="AG10164" s="330"/>
    </row>
    <row r="10165" spans="14:33" hidden="1">
      <c r="N10165" s="239"/>
      <c r="O10165" s="225"/>
      <c r="P10165" s="260"/>
      <c r="Q10165" s="328"/>
      <c r="R10165" s="260"/>
      <c r="S10165" s="260"/>
      <c r="T10165" s="260"/>
      <c r="U10165" s="260"/>
      <c r="V10165" s="260"/>
      <c r="W10165" s="260"/>
      <c r="X10165" s="259"/>
      <c r="Y10165" s="259"/>
      <c r="Z10165" s="260"/>
      <c r="AA10165" s="260"/>
      <c r="AB10165" s="260"/>
      <c r="AC10165" s="260"/>
      <c r="AD10165" s="259"/>
      <c r="AE10165" s="259"/>
      <c r="AF10165" s="260"/>
      <c r="AG10165" s="330"/>
    </row>
    <row r="10166" spans="14:33" hidden="1">
      <c r="N10166" s="239"/>
      <c r="O10166" s="225"/>
      <c r="P10166" s="260"/>
      <c r="Q10166" s="328"/>
      <c r="R10166" s="260"/>
      <c r="S10166" s="260"/>
      <c r="T10166" s="260"/>
      <c r="U10166" s="260"/>
      <c r="V10166" s="260"/>
      <c r="W10166" s="260"/>
      <c r="X10166" s="259"/>
      <c r="Y10166" s="259"/>
      <c r="Z10166" s="260"/>
      <c r="AA10166" s="260"/>
      <c r="AB10166" s="260"/>
      <c r="AC10166" s="260"/>
      <c r="AD10166" s="259"/>
      <c r="AE10166" s="259"/>
      <c r="AF10166" s="260"/>
      <c r="AG10166" s="330"/>
    </row>
    <row r="10167" spans="14:33" hidden="1">
      <c r="N10167" s="239"/>
      <c r="O10167" s="225"/>
      <c r="P10167" s="260"/>
      <c r="Q10167" s="328"/>
      <c r="R10167" s="260"/>
      <c r="S10167" s="260"/>
      <c r="T10167" s="260"/>
      <c r="U10167" s="260"/>
      <c r="V10167" s="260"/>
      <c r="W10167" s="260"/>
      <c r="X10167" s="259"/>
      <c r="Y10167" s="259"/>
      <c r="Z10167" s="260"/>
      <c r="AA10167" s="260"/>
      <c r="AB10167" s="260"/>
      <c r="AC10167" s="260"/>
      <c r="AD10167" s="259"/>
      <c r="AE10167" s="259"/>
      <c r="AF10167" s="260"/>
      <c r="AG10167" s="330"/>
    </row>
    <row r="10168" spans="14:33" hidden="1">
      <c r="N10168" s="239"/>
      <c r="O10168" s="225"/>
      <c r="P10168" s="260"/>
      <c r="Q10168" s="328"/>
      <c r="R10168" s="260"/>
      <c r="S10168" s="260"/>
      <c r="T10168" s="260"/>
      <c r="U10168" s="260"/>
      <c r="V10168" s="260"/>
      <c r="W10168" s="260"/>
      <c r="X10168" s="259"/>
      <c r="Y10168" s="259"/>
      <c r="Z10168" s="260"/>
      <c r="AA10168" s="260"/>
      <c r="AB10168" s="260"/>
      <c r="AC10168" s="260"/>
      <c r="AD10168" s="259"/>
      <c r="AE10168" s="259"/>
      <c r="AF10168" s="260"/>
      <c r="AG10168" s="330"/>
    </row>
    <row r="10169" spans="14:33" hidden="1">
      <c r="N10169" s="239"/>
      <c r="O10169" s="225"/>
      <c r="P10169" s="260"/>
      <c r="Q10169" s="328"/>
      <c r="R10169" s="260"/>
      <c r="S10169" s="260"/>
      <c r="T10169" s="260"/>
      <c r="U10169" s="260"/>
      <c r="V10169" s="260"/>
      <c r="W10169" s="260"/>
      <c r="X10169" s="259"/>
      <c r="Y10169" s="259"/>
      <c r="Z10169" s="260"/>
      <c r="AA10169" s="260"/>
      <c r="AB10169" s="260"/>
      <c r="AC10169" s="260"/>
      <c r="AD10169" s="259"/>
      <c r="AE10169" s="259"/>
      <c r="AF10169" s="260"/>
      <c r="AG10169" s="330"/>
    </row>
    <row r="10170" spans="14:33" hidden="1">
      <c r="N10170" s="239"/>
      <c r="O10170" s="225"/>
      <c r="P10170" s="260"/>
      <c r="Q10170" s="328"/>
      <c r="R10170" s="260"/>
      <c r="S10170" s="260"/>
      <c r="T10170" s="260"/>
      <c r="U10170" s="260"/>
      <c r="V10170" s="260"/>
      <c r="W10170" s="260"/>
      <c r="X10170" s="259"/>
      <c r="Y10170" s="259"/>
      <c r="Z10170" s="260"/>
      <c r="AA10170" s="260"/>
      <c r="AB10170" s="260"/>
      <c r="AC10170" s="260"/>
      <c r="AD10170" s="259"/>
      <c r="AE10170" s="259"/>
      <c r="AF10170" s="260"/>
      <c r="AG10170" s="330"/>
    </row>
    <row r="10171" spans="14:33" hidden="1">
      <c r="N10171" s="239"/>
      <c r="O10171" s="225"/>
      <c r="P10171" s="260"/>
      <c r="Q10171" s="328"/>
      <c r="R10171" s="260"/>
      <c r="S10171" s="260"/>
      <c r="T10171" s="260"/>
      <c r="U10171" s="260"/>
      <c r="V10171" s="260"/>
      <c r="W10171" s="260"/>
      <c r="X10171" s="259"/>
      <c r="Y10171" s="259"/>
      <c r="Z10171" s="260"/>
      <c r="AA10171" s="260"/>
      <c r="AB10171" s="260"/>
      <c r="AC10171" s="260"/>
      <c r="AD10171" s="259"/>
      <c r="AE10171" s="259"/>
      <c r="AF10171" s="260"/>
      <c r="AG10171" s="330"/>
    </row>
    <row r="10172" spans="14:33" hidden="1">
      <c r="N10172" s="239"/>
      <c r="O10172" s="225"/>
      <c r="P10172" s="260"/>
      <c r="Q10172" s="328"/>
      <c r="R10172" s="260"/>
      <c r="S10172" s="260"/>
      <c r="T10172" s="260"/>
      <c r="U10172" s="260"/>
      <c r="V10172" s="260"/>
      <c r="W10172" s="260"/>
      <c r="X10172" s="259"/>
      <c r="Y10172" s="259"/>
      <c r="Z10172" s="260"/>
      <c r="AA10172" s="260"/>
      <c r="AB10172" s="260"/>
      <c r="AC10172" s="260"/>
      <c r="AD10172" s="259"/>
      <c r="AE10172" s="259"/>
      <c r="AF10172" s="260"/>
      <c r="AG10172" s="330"/>
    </row>
    <row r="10173" spans="14:33" hidden="1">
      <c r="N10173" s="239"/>
      <c r="O10173" s="225"/>
      <c r="P10173" s="260"/>
      <c r="Q10173" s="328"/>
      <c r="R10173" s="260"/>
      <c r="S10173" s="260"/>
      <c r="T10173" s="260"/>
      <c r="U10173" s="260"/>
      <c r="V10173" s="260"/>
      <c r="W10173" s="260"/>
      <c r="X10173" s="259"/>
      <c r="Y10173" s="259"/>
      <c r="Z10173" s="260"/>
      <c r="AA10173" s="260"/>
      <c r="AB10173" s="260"/>
      <c r="AC10173" s="260"/>
      <c r="AD10173" s="259"/>
      <c r="AE10173" s="259"/>
      <c r="AF10173" s="260"/>
      <c r="AG10173" s="330"/>
    </row>
    <row r="10174" spans="14:33" hidden="1">
      <c r="N10174" s="239"/>
      <c r="O10174" s="225"/>
      <c r="P10174" s="260"/>
      <c r="Q10174" s="328"/>
      <c r="R10174" s="260"/>
      <c r="S10174" s="260"/>
      <c r="T10174" s="260"/>
      <c r="U10174" s="260"/>
      <c r="V10174" s="260"/>
      <c r="W10174" s="260"/>
      <c r="X10174" s="259"/>
      <c r="Y10174" s="259"/>
      <c r="Z10174" s="260"/>
      <c r="AA10174" s="260"/>
      <c r="AB10174" s="260"/>
      <c r="AC10174" s="260"/>
      <c r="AD10174" s="259"/>
      <c r="AE10174" s="259"/>
      <c r="AF10174" s="260"/>
      <c r="AG10174" s="330"/>
    </row>
    <row r="10175" spans="14:33" hidden="1">
      <c r="N10175" s="239"/>
      <c r="O10175" s="225"/>
      <c r="P10175" s="260"/>
      <c r="Q10175" s="328"/>
      <c r="R10175" s="260"/>
      <c r="S10175" s="260"/>
      <c r="T10175" s="260"/>
      <c r="U10175" s="260"/>
      <c r="V10175" s="260"/>
      <c r="W10175" s="260"/>
      <c r="X10175" s="259"/>
      <c r="Y10175" s="259"/>
      <c r="Z10175" s="260"/>
      <c r="AA10175" s="260"/>
      <c r="AB10175" s="260"/>
      <c r="AC10175" s="260"/>
      <c r="AD10175" s="259"/>
      <c r="AE10175" s="259"/>
      <c r="AF10175" s="260"/>
      <c r="AG10175" s="330"/>
    </row>
    <row r="10176" spans="14:33" hidden="1">
      <c r="N10176" s="239"/>
      <c r="O10176" s="225"/>
      <c r="P10176" s="260"/>
      <c r="Q10176" s="328"/>
      <c r="R10176" s="260"/>
      <c r="S10176" s="260"/>
      <c r="T10176" s="260"/>
      <c r="U10176" s="260"/>
      <c r="V10176" s="260"/>
      <c r="W10176" s="260"/>
      <c r="X10176" s="259"/>
      <c r="Y10176" s="259"/>
      <c r="Z10176" s="260"/>
      <c r="AA10176" s="260"/>
      <c r="AB10176" s="260"/>
      <c r="AC10176" s="260"/>
      <c r="AD10176" s="259"/>
      <c r="AE10176" s="259"/>
      <c r="AF10176" s="260"/>
      <c r="AG10176" s="330"/>
    </row>
    <row r="10177" spans="14:33" hidden="1">
      <c r="N10177" s="239"/>
      <c r="O10177" s="225"/>
      <c r="P10177" s="260"/>
      <c r="Q10177" s="328"/>
      <c r="R10177" s="260"/>
      <c r="S10177" s="260"/>
      <c r="T10177" s="260"/>
      <c r="U10177" s="260"/>
      <c r="V10177" s="260"/>
      <c r="W10177" s="260"/>
      <c r="X10177" s="259"/>
      <c r="Y10177" s="259"/>
      <c r="Z10177" s="260"/>
      <c r="AA10177" s="260"/>
      <c r="AB10177" s="260"/>
      <c r="AC10177" s="260"/>
      <c r="AD10177" s="259"/>
      <c r="AE10177" s="259"/>
      <c r="AF10177" s="260"/>
      <c r="AG10177" s="330"/>
    </row>
    <row r="10178" spans="14:33" hidden="1">
      <c r="N10178" s="239"/>
      <c r="O10178" s="225"/>
      <c r="P10178" s="260"/>
      <c r="Q10178" s="328"/>
      <c r="R10178" s="260"/>
      <c r="S10178" s="260"/>
      <c r="T10178" s="260"/>
      <c r="U10178" s="260"/>
      <c r="V10178" s="260"/>
      <c r="W10178" s="260"/>
      <c r="X10178" s="259"/>
      <c r="Y10178" s="259"/>
      <c r="Z10178" s="260"/>
      <c r="AA10178" s="260"/>
      <c r="AB10178" s="260"/>
      <c r="AC10178" s="260"/>
      <c r="AD10178" s="259"/>
      <c r="AE10178" s="259"/>
      <c r="AF10178" s="260"/>
      <c r="AG10178" s="330"/>
    </row>
    <row r="10179" spans="14:33" hidden="1">
      <c r="N10179" s="239"/>
      <c r="O10179" s="225"/>
      <c r="P10179" s="260"/>
      <c r="Q10179" s="328"/>
      <c r="R10179" s="260"/>
      <c r="S10179" s="260"/>
      <c r="T10179" s="260"/>
      <c r="U10179" s="260"/>
      <c r="V10179" s="260"/>
      <c r="W10179" s="260"/>
      <c r="X10179" s="259"/>
      <c r="Y10179" s="259"/>
      <c r="Z10179" s="260"/>
      <c r="AA10179" s="260"/>
      <c r="AB10179" s="260"/>
      <c r="AC10179" s="260"/>
      <c r="AD10179" s="259"/>
      <c r="AE10179" s="259"/>
      <c r="AF10179" s="260"/>
      <c r="AG10179" s="330"/>
    </row>
    <row r="10180" spans="14:33" hidden="1">
      <c r="N10180" s="239"/>
      <c r="O10180" s="225"/>
      <c r="P10180" s="260"/>
      <c r="Q10180" s="328"/>
      <c r="R10180" s="260"/>
      <c r="S10180" s="260"/>
      <c r="T10180" s="260"/>
      <c r="U10180" s="260"/>
      <c r="V10180" s="260"/>
      <c r="W10180" s="260"/>
      <c r="X10180" s="259"/>
      <c r="Y10180" s="259"/>
      <c r="Z10180" s="260"/>
      <c r="AA10180" s="260"/>
      <c r="AB10180" s="260"/>
      <c r="AC10180" s="260"/>
      <c r="AD10180" s="259"/>
      <c r="AE10180" s="259"/>
      <c r="AF10180" s="260"/>
      <c r="AG10180" s="330"/>
    </row>
    <row r="10181" spans="14:33" hidden="1">
      <c r="N10181" s="239"/>
      <c r="O10181" s="225"/>
      <c r="P10181" s="260"/>
      <c r="Q10181" s="328"/>
      <c r="R10181" s="260"/>
      <c r="S10181" s="260"/>
      <c r="T10181" s="260"/>
      <c r="U10181" s="260"/>
      <c r="V10181" s="260"/>
      <c r="W10181" s="260"/>
      <c r="X10181" s="259"/>
      <c r="Y10181" s="259"/>
      <c r="Z10181" s="260"/>
      <c r="AA10181" s="260"/>
      <c r="AB10181" s="260"/>
      <c r="AC10181" s="260"/>
      <c r="AD10181" s="259"/>
      <c r="AE10181" s="259"/>
      <c r="AF10181" s="260"/>
      <c r="AG10181" s="330"/>
    </row>
    <row r="10182" spans="14:33" hidden="1">
      <c r="N10182" s="239"/>
      <c r="O10182" s="225"/>
      <c r="P10182" s="260"/>
      <c r="Q10182" s="328"/>
      <c r="R10182" s="260"/>
      <c r="S10182" s="260"/>
      <c r="T10182" s="260"/>
      <c r="U10182" s="260"/>
      <c r="V10182" s="260"/>
      <c r="W10182" s="260"/>
      <c r="X10182" s="259"/>
      <c r="Y10182" s="259"/>
      <c r="Z10182" s="260"/>
      <c r="AA10182" s="260"/>
      <c r="AB10182" s="260"/>
      <c r="AC10182" s="260"/>
      <c r="AD10182" s="259"/>
      <c r="AE10182" s="259"/>
      <c r="AF10182" s="260"/>
      <c r="AG10182" s="330"/>
    </row>
    <row r="10183" spans="14:33" hidden="1">
      <c r="N10183" s="239"/>
      <c r="O10183" s="225"/>
      <c r="P10183" s="260"/>
      <c r="Q10183" s="328"/>
      <c r="R10183" s="260"/>
      <c r="S10183" s="260"/>
      <c r="T10183" s="260"/>
      <c r="U10183" s="260"/>
      <c r="V10183" s="260"/>
      <c r="W10183" s="260"/>
      <c r="X10183" s="259"/>
      <c r="Y10183" s="259"/>
      <c r="Z10183" s="260"/>
      <c r="AA10183" s="260"/>
      <c r="AB10183" s="260"/>
      <c r="AC10183" s="260"/>
      <c r="AD10183" s="259"/>
      <c r="AE10183" s="259"/>
      <c r="AF10183" s="260"/>
      <c r="AG10183" s="330"/>
    </row>
    <row r="10184" spans="14:33" hidden="1">
      <c r="N10184" s="239"/>
      <c r="O10184" s="225"/>
      <c r="P10184" s="260"/>
      <c r="Q10184" s="328"/>
      <c r="R10184" s="260"/>
      <c r="S10184" s="260"/>
      <c r="T10184" s="260"/>
      <c r="U10184" s="260"/>
      <c r="V10184" s="260"/>
      <c r="W10184" s="260"/>
      <c r="X10184" s="259"/>
      <c r="Y10184" s="259"/>
      <c r="Z10184" s="260"/>
      <c r="AA10184" s="260"/>
      <c r="AB10184" s="260"/>
      <c r="AC10184" s="260"/>
      <c r="AD10184" s="259"/>
      <c r="AE10184" s="259"/>
      <c r="AF10184" s="260"/>
      <c r="AG10184" s="330"/>
    </row>
    <row r="10185" spans="14:33" hidden="1">
      <c r="N10185" s="239"/>
      <c r="O10185" s="225"/>
      <c r="P10185" s="260"/>
      <c r="Q10185" s="328"/>
      <c r="R10185" s="260"/>
      <c r="S10185" s="260"/>
      <c r="T10185" s="260"/>
      <c r="U10185" s="260"/>
      <c r="V10185" s="260"/>
      <c r="W10185" s="260"/>
      <c r="X10185" s="259"/>
      <c r="Y10185" s="259"/>
      <c r="Z10185" s="260"/>
      <c r="AA10185" s="260"/>
      <c r="AB10185" s="260"/>
      <c r="AC10185" s="260"/>
      <c r="AD10185" s="259"/>
      <c r="AE10185" s="259"/>
      <c r="AF10185" s="260"/>
      <c r="AG10185" s="330"/>
    </row>
    <row r="10186" spans="14:33" hidden="1">
      <c r="N10186" s="239"/>
      <c r="O10186" s="225"/>
      <c r="P10186" s="260"/>
      <c r="Q10186" s="328"/>
      <c r="R10186" s="260"/>
      <c r="S10186" s="260"/>
      <c r="T10186" s="260"/>
      <c r="U10186" s="260"/>
      <c r="V10186" s="260"/>
      <c r="W10186" s="260"/>
      <c r="X10186" s="259"/>
      <c r="Y10186" s="259"/>
      <c r="Z10186" s="260"/>
      <c r="AA10186" s="260"/>
      <c r="AB10186" s="260"/>
      <c r="AC10186" s="260"/>
      <c r="AD10186" s="259"/>
      <c r="AE10186" s="259"/>
      <c r="AF10186" s="260"/>
      <c r="AG10186" s="330"/>
    </row>
    <row r="10187" spans="14:33" hidden="1">
      <c r="N10187" s="239"/>
      <c r="O10187" s="225"/>
      <c r="P10187" s="260"/>
      <c r="Q10187" s="328"/>
      <c r="R10187" s="260"/>
      <c r="S10187" s="260"/>
      <c r="T10187" s="260"/>
      <c r="U10187" s="260"/>
      <c r="V10187" s="260"/>
      <c r="W10187" s="260"/>
      <c r="X10187" s="259"/>
      <c r="Y10187" s="259"/>
      <c r="Z10187" s="260"/>
      <c r="AA10187" s="260"/>
      <c r="AB10187" s="260"/>
      <c r="AC10187" s="260"/>
      <c r="AD10187" s="259"/>
      <c r="AE10187" s="259"/>
      <c r="AF10187" s="260"/>
      <c r="AG10187" s="330"/>
    </row>
    <row r="10188" spans="14:33" hidden="1">
      <c r="N10188" s="239"/>
      <c r="O10188" s="225"/>
      <c r="P10188" s="260"/>
      <c r="Q10188" s="328"/>
      <c r="R10188" s="260"/>
      <c r="S10188" s="260"/>
      <c r="T10188" s="260"/>
      <c r="U10188" s="260"/>
      <c r="V10188" s="260"/>
      <c r="W10188" s="260"/>
      <c r="X10188" s="259"/>
      <c r="Y10188" s="259"/>
      <c r="Z10188" s="260"/>
      <c r="AA10188" s="260"/>
      <c r="AB10188" s="260"/>
      <c r="AC10188" s="260"/>
      <c r="AD10188" s="259"/>
      <c r="AE10188" s="259"/>
      <c r="AF10188" s="260"/>
      <c r="AG10188" s="330"/>
    </row>
    <row r="10189" spans="14:33" hidden="1">
      <c r="N10189" s="239"/>
      <c r="O10189" s="225"/>
      <c r="P10189" s="260"/>
      <c r="Q10189" s="328"/>
      <c r="R10189" s="260"/>
      <c r="S10189" s="260"/>
      <c r="T10189" s="260"/>
      <c r="U10189" s="260"/>
      <c r="V10189" s="260"/>
      <c r="W10189" s="260"/>
      <c r="X10189" s="259"/>
      <c r="Y10189" s="259"/>
      <c r="Z10189" s="260"/>
      <c r="AA10189" s="260"/>
      <c r="AB10189" s="260"/>
      <c r="AC10189" s="260"/>
      <c r="AD10189" s="259"/>
      <c r="AE10189" s="259"/>
      <c r="AF10189" s="260"/>
      <c r="AG10189" s="330"/>
    </row>
    <row r="10190" spans="14:33" hidden="1">
      <c r="N10190" s="239"/>
      <c r="O10190" s="225"/>
      <c r="P10190" s="260"/>
      <c r="Q10190" s="328"/>
      <c r="R10190" s="260"/>
      <c r="S10190" s="260"/>
      <c r="T10190" s="260"/>
      <c r="U10190" s="260"/>
      <c r="V10190" s="260"/>
      <c r="W10190" s="260"/>
      <c r="X10190" s="259"/>
      <c r="Y10190" s="259"/>
      <c r="Z10190" s="260"/>
      <c r="AA10190" s="260"/>
      <c r="AB10190" s="260"/>
      <c r="AC10190" s="260"/>
      <c r="AD10190" s="259"/>
      <c r="AE10190" s="259"/>
      <c r="AF10190" s="260"/>
      <c r="AG10190" s="330"/>
    </row>
    <row r="10191" spans="14:33" hidden="1">
      <c r="N10191" s="239"/>
      <c r="O10191" s="225"/>
      <c r="P10191" s="260"/>
      <c r="Q10191" s="328"/>
      <c r="R10191" s="260"/>
      <c r="S10191" s="260"/>
      <c r="T10191" s="260"/>
      <c r="U10191" s="260"/>
      <c r="V10191" s="260"/>
      <c r="W10191" s="260"/>
      <c r="X10191" s="259"/>
      <c r="Y10191" s="259"/>
      <c r="Z10191" s="260"/>
      <c r="AA10191" s="260"/>
      <c r="AB10191" s="260"/>
      <c r="AC10191" s="260"/>
      <c r="AD10191" s="259"/>
      <c r="AE10191" s="259"/>
      <c r="AF10191" s="260"/>
      <c r="AG10191" s="330"/>
    </row>
    <row r="10192" spans="14:33" hidden="1">
      <c r="N10192" s="239"/>
      <c r="O10192" s="225"/>
      <c r="P10192" s="260"/>
      <c r="Q10192" s="328"/>
      <c r="R10192" s="260"/>
      <c r="S10192" s="260"/>
      <c r="T10192" s="260"/>
      <c r="U10192" s="260"/>
      <c r="V10192" s="260"/>
      <c r="W10192" s="260"/>
      <c r="X10192" s="259"/>
      <c r="Y10192" s="259"/>
      <c r="Z10192" s="260"/>
      <c r="AA10192" s="260"/>
      <c r="AB10192" s="260"/>
      <c r="AC10192" s="260"/>
      <c r="AD10192" s="259"/>
      <c r="AE10192" s="259"/>
      <c r="AF10192" s="260"/>
      <c r="AG10192" s="330"/>
    </row>
    <row r="10193" spans="14:33" hidden="1">
      <c r="N10193" s="239"/>
      <c r="O10193" s="225"/>
      <c r="P10193" s="260"/>
      <c r="Q10193" s="328"/>
      <c r="R10193" s="260"/>
      <c r="S10193" s="260"/>
      <c r="T10193" s="260"/>
      <c r="U10193" s="260"/>
      <c r="V10193" s="260"/>
      <c r="W10193" s="260"/>
      <c r="X10193" s="259"/>
      <c r="Y10193" s="259"/>
      <c r="Z10193" s="260"/>
      <c r="AA10193" s="260"/>
      <c r="AB10193" s="260"/>
      <c r="AC10193" s="260"/>
      <c r="AD10193" s="259"/>
      <c r="AE10193" s="259"/>
      <c r="AF10193" s="260"/>
      <c r="AG10193" s="330"/>
    </row>
    <row r="10194" spans="14:33" hidden="1">
      <c r="N10194" s="239"/>
      <c r="O10194" s="225"/>
      <c r="P10194" s="260"/>
      <c r="Q10194" s="328"/>
      <c r="R10194" s="260"/>
      <c r="S10194" s="260"/>
      <c r="T10194" s="260"/>
      <c r="U10194" s="260"/>
      <c r="V10194" s="260"/>
      <c r="W10194" s="260"/>
      <c r="X10194" s="259"/>
      <c r="Y10194" s="259"/>
      <c r="Z10194" s="260"/>
      <c r="AA10194" s="260"/>
      <c r="AB10194" s="260"/>
      <c r="AC10194" s="260"/>
      <c r="AD10194" s="259"/>
      <c r="AE10194" s="259"/>
      <c r="AF10194" s="260"/>
      <c r="AG10194" s="330"/>
    </row>
    <row r="10195" spans="14:33" hidden="1">
      <c r="N10195" s="239"/>
      <c r="O10195" s="225"/>
      <c r="P10195" s="260"/>
      <c r="Q10195" s="328"/>
      <c r="R10195" s="260"/>
      <c r="S10195" s="260"/>
      <c r="T10195" s="260"/>
      <c r="U10195" s="260"/>
      <c r="V10195" s="260"/>
      <c r="W10195" s="260"/>
      <c r="X10195" s="259"/>
      <c r="Y10195" s="259"/>
      <c r="Z10195" s="260"/>
      <c r="AA10195" s="260"/>
      <c r="AB10195" s="260"/>
      <c r="AC10195" s="260"/>
      <c r="AD10195" s="259"/>
      <c r="AE10195" s="259"/>
      <c r="AF10195" s="260"/>
      <c r="AG10195" s="330"/>
    </row>
    <row r="10196" spans="14:33" hidden="1">
      <c r="N10196" s="239"/>
      <c r="O10196" s="225"/>
      <c r="P10196" s="260"/>
      <c r="Q10196" s="328"/>
      <c r="R10196" s="260"/>
      <c r="S10196" s="260"/>
      <c r="T10196" s="260"/>
      <c r="U10196" s="260"/>
      <c r="V10196" s="260"/>
      <c r="W10196" s="260"/>
      <c r="X10196" s="259"/>
      <c r="Y10196" s="259"/>
      <c r="Z10196" s="260"/>
      <c r="AA10196" s="260"/>
      <c r="AB10196" s="260"/>
      <c r="AC10196" s="260"/>
      <c r="AD10196" s="259"/>
      <c r="AE10196" s="259"/>
      <c r="AF10196" s="260"/>
      <c r="AG10196" s="330"/>
    </row>
    <row r="10197" spans="14:33" hidden="1">
      <c r="N10197" s="239"/>
      <c r="O10197" s="225"/>
      <c r="P10197" s="260"/>
      <c r="Q10197" s="328"/>
      <c r="R10197" s="260"/>
      <c r="S10197" s="260"/>
      <c r="T10197" s="260"/>
      <c r="U10197" s="260"/>
      <c r="V10197" s="260"/>
      <c r="W10197" s="260"/>
      <c r="X10197" s="259"/>
      <c r="Y10197" s="259"/>
      <c r="Z10197" s="260"/>
      <c r="AA10197" s="260"/>
      <c r="AB10197" s="260"/>
      <c r="AC10197" s="260"/>
      <c r="AD10197" s="259"/>
      <c r="AE10197" s="259"/>
      <c r="AF10197" s="260"/>
      <c r="AG10197" s="330"/>
    </row>
    <row r="10198" spans="14:33" hidden="1">
      <c r="N10198" s="239"/>
      <c r="O10198" s="225"/>
      <c r="P10198" s="260"/>
      <c r="Q10198" s="328"/>
      <c r="R10198" s="260"/>
      <c r="S10198" s="260"/>
      <c r="T10198" s="260"/>
      <c r="U10198" s="260"/>
      <c r="V10198" s="260"/>
      <c r="W10198" s="260"/>
      <c r="X10198" s="259"/>
      <c r="Y10198" s="259"/>
      <c r="Z10198" s="260"/>
      <c r="AA10198" s="260"/>
      <c r="AB10198" s="260"/>
      <c r="AC10198" s="260"/>
      <c r="AD10198" s="259"/>
      <c r="AE10198" s="259"/>
      <c r="AF10198" s="260"/>
      <c r="AG10198" s="330"/>
    </row>
    <row r="10199" spans="14:33" hidden="1">
      <c r="N10199" s="239"/>
      <c r="O10199" s="225"/>
      <c r="P10199" s="260"/>
      <c r="Q10199" s="328"/>
      <c r="R10199" s="260"/>
      <c r="S10199" s="260"/>
      <c r="T10199" s="260"/>
      <c r="U10199" s="260"/>
      <c r="V10199" s="260"/>
      <c r="W10199" s="260"/>
      <c r="X10199" s="259"/>
      <c r="Y10199" s="259"/>
      <c r="Z10199" s="260"/>
      <c r="AA10199" s="260"/>
      <c r="AB10199" s="260"/>
      <c r="AC10199" s="260"/>
      <c r="AD10199" s="259"/>
      <c r="AE10199" s="259"/>
      <c r="AF10199" s="260"/>
      <c r="AG10199" s="330"/>
    </row>
    <row r="10200" spans="14:33" hidden="1">
      <c r="N10200" s="239"/>
      <c r="O10200" s="225"/>
      <c r="P10200" s="260"/>
      <c r="Q10200" s="328"/>
      <c r="R10200" s="260"/>
      <c r="S10200" s="260"/>
      <c r="T10200" s="260"/>
      <c r="U10200" s="260"/>
      <c r="V10200" s="260"/>
      <c r="W10200" s="260"/>
      <c r="X10200" s="259"/>
      <c r="Y10200" s="259"/>
      <c r="Z10200" s="260"/>
      <c r="AA10200" s="260"/>
      <c r="AB10200" s="260"/>
      <c r="AC10200" s="260"/>
      <c r="AD10200" s="259"/>
      <c r="AE10200" s="259"/>
      <c r="AF10200" s="260"/>
      <c r="AG10200" s="330"/>
    </row>
    <row r="10201" spans="14:33" hidden="1">
      <c r="N10201" s="239"/>
      <c r="O10201" s="225"/>
      <c r="P10201" s="260"/>
      <c r="Q10201" s="328"/>
      <c r="R10201" s="260"/>
      <c r="S10201" s="260"/>
      <c r="T10201" s="260"/>
      <c r="U10201" s="260"/>
      <c r="V10201" s="260"/>
      <c r="W10201" s="260"/>
      <c r="X10201" s="259"/>
      <c r="Y10201" s="259"/>
      <c r="Z10201" s="260"/>
      <c r="AA10201" s="260"/>
      <c r="AB10201" s="260"/>
      <c r="AC10201" s="260"/>
      <c r="AD10201" s="259"/>
      <c r="AE10201" s="259"/>
      <c r="AF10201" s="260"/>
      <c r="AG10201" s="330"/>
    </row>
    <row r="10202" spans="14:33" hidden="1">
      <c r="N10202" s="239"/>
      <c r="O10202" s="225"/>
      <c r="P10202" s="260"/>
      <c r="Q10202" s="328"/>
      <c r="R10202" s="260"/>
      <c r="S10202" s="260"/>
      <c r="T10202" s="260"/>
      <c r="U10202" s="260"/>
      <c r="V10202" s="260"/>
      <c r="W10202" s="260"/>
      <c r="X10202" s="259"/>
      <c r="Y10202" s="259"/>
      <c r="Z10202" s="260"/>
      <c r="AA10202" s="260"/>
      <c r="AB10202" s="260"/>
      <c r="AC10202" s="260"/>
      <c r="AD10202" s="259"/>
      <c r="AE10202" s="259"/>
      <c r="AF10202" s="260"/>
      <c r="AG10202" s="330"/>
    </row>
    <row r="10203" spans="14:33" hidden="1">
      <c r="N10203" s="239"/>
      <c r="O10203" s="225"/>
      <c r="P10203" s="260"/>
      <c r="Q10203" s="328"/>
      <c r="R10203" s="260"/>
      <c r="S10203" s="260"/>
      <c r="T10203" s="260"/>
      <c r="U10203" s="260"/>
      <c r="V10203" s="260"/>
      <c r="W10203" s="260"/>
      <c r="X10203" s="259"/>
      <c r="Y10203" s="259"/>
      <c r="Z10203" s="260"/>
      <c r="AA10203" s="260"/>
      <c r="AB10203" s="260"/>
      <c r="AC10203" s="260"/>
      <c r="AD10203" s="259"/>
      <c r="AE10203" s="259"/>
      <c r="AF10203" s="260"/>
      <c r="AG10203" s="330"/>
    </row>
    <row r="10204" spans="14:33" hidden="1">
      <c r="N10204" s="239"/>
      <c r="O10204" s="225"/>
      <c r="P10204" s="260"/>
      <c r="Q10204" s="328"/>
      <c r="R10204" s="260"/>
      <c r="S10204" s="260"/>
      <c r="T10204" s="260"/>
      <c r="U10204" s="260"/>
      <c r="V10204" s="260"/>
      <c r="W10204" s="260"/>
      <c r="X10204" s="259"/>
      <c r="Y10204" s="259"/>
      <c r="Z10204" s="260"/>
      <c r="AA10204" s="260"/>
      <c r="AB10204" s="260"/>
      <c r="AC10204" s="260"/>
      <c r="AD10204" s="259"/>
      <c r="AE10204" s="259"/>
      <c r="AF10204" s="260"/>
      <c r="AG10204" s="330"/>
    </row>
    <row r="10205" spans="14:33" hidden="1">
      <c r="N10205" s="239"/>
      <c r="O10205" s="225"/>
      <c r="P10205" s="260"/>
      <c r="Q10205" s="328"/>
      <c r="R10205" s="260"/>
      <c r="S10205" s="260"/>
      <c r="T10205" s="260"/>
      <c r="U10205" s="260"/>
      <c r="V10205" s="260"/>
      <c r="W10205" s="260"/>
      <c r="X10205" s="259"/>
      <c r="Y10205" s="259"/>
      <c r="Z10205" s="260"/>
      <c r="AA10205" s="260"/>
      <c r="AB10205" s="260"/>
      <c r="AC10205" s="260"/>
      <c r="AD10205" s="259"/>
      <c r="AE10205" s="259"/>
      <c r="AF10205" s="260"/>
      <c r="AG10205" s="330"/>
    </row>
    <row r="10206" spans="14:33" hidden="1">
      <c r="N10206" s="239"/>
      <c r="O10206" s="225"/>
      <c r="P10206" s="260"/>
      <c r="Q10206" s="328"/>
      <c r="R10206" s="260"/>
      <c r="S10206" s="260"/>
      <c r="T10206" s="260"/>
      <c r="U10206" s="260"/>
      <c r="V10206" s="260"/>
      <c r="W10206" s="260"/>
      <c r="X10206" s="259"/>
      <c r="Y10206" s="259"/>
      <c r="Z10206" s="260"/>
      <c r="AA10206" s="260"/>
      <c r="AB10206" s="260"/>
      <c r="AC10206" s="260"/>
      <c r="AD10206" s="259"/>
      <c r="AE10206" s="259"/>
      <c r="AF10206" s="260"/>
      <c r="AG10206" s="330"/>
    </row>
    <row r="10207" spans="14:33" hidden="1">
      <c r="N10207" s="239"/>
      <c r="O10207" s="225"/>
      <c r="P10207" s="260"/>
      <c r="Q10207" s="328"/>
      <c r="R10207" s="260"/>
      <c r="S10207" s="260"/>
      <c r="T10207" s="260"/>
      <c r="U10207" s="260"/>
      <c r="V10207" s="260"/>
      <c r="W10207" s="260"/>
      <c r="X10207" s="259"/>
      <c r="Y10207" s="259"/>
      <c r="Z10207" s="260"/>
      <c r="AA10207" s="260"/>
      <c r="AB10207" s="260"/>
      <c r="AC10207" s="260"/>
      <c r="AD10207" s="259"/>
      <c r="AE10207" s="259"/>
      <c r="AF10207" s="260"/>
      <c r="AG10207" s="330"/>
    </row>
    <row r="10208" spans="14:33" hidden="1">
      <c r="N10208" s="239"/>
      <c r="O10208" s="225"/>
      <c r="P10208" s="260"/>
      <c r="Q10208" s="328"/>
      <c r="R10208" s="260"/>
      <c r="S10208" s="260"/>
      <c r="T10208" s="260"/>
      <c r="U10208" s="260"/>
      <c r="V10208" s="260"/>
      <c r="W10208" s="260"/>
      <c r="X10208" s="259"/>
      <c r="Y10208" s="259"/>
      <c r="Z10208" s="260"/>
      <c r="AA10208" s="260"/>
      <c r="AB10208" s="260"/>
      <c r="AC10208" s="260"/>
      <c r="AD10208" s="259"/>
      <c r="AE10208" s="259"/>
      <c r="AF10208" s="260"/>
      <c r="AG10208" s="330"/>
    </row>
    <row r="10209" spans="14:33" hidden="1">
      <c r="N10209" s="239"/>
      <c r="O10209" s="225"/>
      <c r="P10209" s="260"/>
      <c r="Q10209" s="328"/>
      <c r="R10209" s="260"/>
      <c r="S10209" s="260"/>
      <c r="T10209" s="260"/>
      <c r="U10209" s="260"/>
      <c r="V10209" s="260"/>
      <c r="W10209" s="260"/>
      <c r="X10209" s="259"/>
      <c r="Y10209" s="259"/>
      <c r="Z10209" s="260"/>
      <c r="AA10209" s="260"/>
      <c r="AB10209" s="260"/>
      <c r="AC10209" s="260"/>
      <c r="AD10209" s="259"/>
      <c r="AE10209" s="259"/>
      <c r="AF10209" s="260"/>
      <c r="AG10209" s="330"/>
    </row>
    <row r="10210" spans="14:33" hidden="1">
      <c r="N10210" s="239"/>
      <c r="O10210" s="225"/>
      <c r="P10210" s="260"/>
      <c r="Q10210" s="328"/>
      <c r="R10210" s="260"/>
      <c r="S10210" s="260"/>
      <c r="T10210" s="260"/>
      <c r="U10210" s="260"/>
      <c r="V10210" s="260"/>
      <c r="W10210" s="260"/>
      <c r="X10210" s="259"/>
      <c r="Y10210" s="259"/>
      <c r="Z10210" s="260"/>
      <c r="AA10210" s="260"/>
      <c r="AB10210" s="260"/>
      <c r="AC10210" s="260"/>
      <c r="AD10210" s="259"/>
      <c r="AE10210" s="259"/>
      <c r="AF10210" s="260"/>
      <c r="AG10210" s="330"/>
    </row>
    <row r="10211" spans="14:33" hidden="1">
      <c r="N10211" s="239"/>
      <c r="O10211" s="225"/>
      <c r="P10211" s="260"/>
      <c r="Q10211" s="328"/>
      <c r="R10211" s="260"/>
      <c r="S10211" s="260"/>
      <c r="T10211" s="260"/>
      <c r="U10211" s="260"/>
      <c r="V10211" s="260"/>
      <c r="W10211" s="260"/>
      <c r="X10211" s="259"/>
      <c r="Y10211" s="259"/>
      <c r="Z10211" s="260"/>
      <c r="AA10211" s="260"/>
      <c r="AB10211" s="260"/>
      <c r="AC10211" s="260"/>
      <c r="AD10211" s="259"/>
      <c r="AE10211" s="259"/>
      <c r="AF10211" s="260"/>
      <c r="AG10211" s="330"/>
    </row>
    <row r="10212" spans="14:33" hidden="1">
      <c r="N10212" s="239"/>
      <c r="O10212" s="225"/>
      <c r="P10212" s="260"/>
      <c r="Q10212" s="328"/>
      <c r="R10212" s="260"/>
      <c r="S10212" s="260"/>
      <c r="T10212" s="260"/>
      <c r="U10212" s="260"/>
      <c r="V10212" s="260"/>
      <c r="W10212" s="260"/>
      <c r="X10212" s="259"/>
      <c r="Y10212" s="259"/>
      <c r="Z10212" s="260"/>
      <c r="AA10212" s="260"/>
      <c r="AB10212" s="260"/>
      <c r="AC10212" s="260"/>
      <c r="AD10212" s="259"/>
      <c r="AE10212" s="259"/>
      <c r="AF10212" s="260"/>
      <c r="AG10212" s="330"/>
    </row>
    <row r="10213" spans="14:33" hidden="1">
      <c r="N10213" s="239"/>
      <c r="O10213" s="225"/>
      <c r="P10213" s="260"/>
      <c r="Q10213" s="328"/>
      <c r="R10213" s="260"/>
      <c r="S10213" s="260"/>
      <c r="T10213" s="260"/>
      <c r="U10213" s="260"/>
      <c r="V10213" s="260"/>
      <c r="W10213" s="260"/>
      <c r="X10213" s="259"/>
      <c r="Y10213" s="259"/>
      <c r="Z10213" s="260"/>
      <c r="AA10213" s="260"/>
      <c r="AB10213" s="260"/>
      <c r="AC10213" s="260"/>
      <c r="AD10213" s="259"/>
      <c r="AE10213" s="259"/>
      <c r="AF10213" s="260"/>
      <c r="AG10213" s="330"/>
    </row>
    <row r="10214" spans="14:33" hidden="1">
      <c r="N10214" s="239"/>
      <c r="O10214" s="225"/>
      <c r="P10214" s="260"/>
      <c r="Q10214" s="328"/>
      <c r="R10214" s="260"/>
      <c r="S10214" s="260"/>
      <c r="T10214" s="260"/>
      <c r="U10214" s="260"/>
      <c r="V10214" s="260"/>
      <c r="W10214" s="260"/>
      <c r="X10214" s="259"/>
      <c r="Y10214" s="259"/>
      <c r="Z10214" s="260"/>
      <c r="AA10214" s="260"/>
      <c r="AB10214" s="260"/>
      <c r="AC10214" s="260"/>
      <c r="AD10214" s="259"/>
      <c r="AE10214" s="259"/>
      <c r="AF10214" s="260"/>
      <c r="AG10214" s="330"/>
    </row>
    <row r="10215" spans="14:33" hidden="1">
      <c r="N10215" s="239"/>
      <c r="O10215" s="225"/>
      <c r="P10215" s="260"/>
      <c r="Q10215" s="328"/>
      <c r="R10215" s="260"/>
      <c r="S10215" s="260"/>
      <c r="T10215" s="260"/>
      <c r="U10215" s="260"/>
      <c r="V10215" s="260"/>
      <c r="W10215" s="260"/>
      <c r="X10215" s="259"/>
      <c r="Y10215" s="259"/>
      <c r="Z10215" s="260"/>
      <c r="AA10215" s="260"/>
      <c r="AB10215" s="260"/>
      <c r="AC10215" s="260"/>
      <c r="AD10215" s="259"/>
      <c r="AE10215" s="259"/>
      <c r="AF10215" s="260"/>
      <c r="AG10215" s="330"/>
    </row>
    <row r="10216" spans="14:33" hidden="1">
      <c r="N10216" s="239"/>
      <c r="O10216" s="225"/>
      <c r="P10216" s="260"/>
      <c r="Q10216" s="328"/>
      <c r="R10216" s="260"/>
      <c r="S10216" s="260"/>
      <c r="T10216" s="260"/>
      <c r="U10216" s="260"/>
      <c r="V10216" s="260"/>
      <c r="W10216" s="260"/>
      <c r="X10216" s="259"/>
      <c r="Y10216" s="259"/>
      <c r="Z10216" s="260"/>
      <c r="AA10216" s="260"/>
      <c r="AB10216" s="260"/>
      <c r="AC10216" s="260"/>
      <c r="AD10216" s="259"/>
      <c r="AE10216" s="259"/>
      <c r="AF10216" s="260"/>
      <c r="AG10216" s="330"/>
    </row>
    <row r="10217" spans="14:33" hidden="1">
      <c r="N10217" s="239"/>
      <c r="O10217" s="225"/>
      <c r="P10217" s="260"/>
      <c r="Q10217" s="328"/>
      <c r="R10217" s="260"/>
      <c r="S10217" s="260"/>
      <c r="T10217" s="260"/>
      <c r="U10217" s="260"/>
      <c r="V10217" s="260"/>
      <c r="W10217" s="260"/>
      <c r="X10217" s="259"/>
      <c r="Y10217" s="259"/>
      <c r="Z10217" s="260"/>
      <c r="AA10217" s="260"/>
      <c r="AB10217" s="260"/>
      <c r="AC10217" s="260"/>
      <c r="AD10217" s="259"/>
      <c r="AE10217" s="259"/>
      <c r="AF10217" s="260"/>
      <c r="AG10217" s="330"/>
    </row>
    <row r="10218" spans="14:33" hidden="1">
      <c r="N10218" s="239"/>
      <c r="O10218" s="225"/>
      <c r="P10218" s="260"/>
      <c r="Q10218" s="328"/>
      <c r="R10218" s="260"/>
      <c r="S10218" s="260"/>
      <c r="T10218" s="260"/>
      <c r="U10218" s="260"/>
      <c r="V10218" s="260"/>
      <c r="W10218" s="260"/>
      <c r="X10218" s="259"/>
      <c r="Y10218" s="259"/>
      <c r="Z10218" s="260"/>
      <c r="AA10218" s="260"/>
      <c r="AB10218" s="260"/>
      <c r="AC10218" s="260"/>
      <c r="AD10218" s="259"/>
      <c r="AE10218" s="259"/>
      <c r="AF10218" s="260"/>
      <c r="AG10218" s="330"/>
    </row>
    <row r="10219" spans="14:33" hidden="1">
      <c r="N10219" s="239"/>
      <c r="O10219" s="225"/>
      <c r="P10219" s="260"/>
      <c r="Q10219" s="328"/>
      <c r="R10219" s="260"/>
      <c r="S10219" s="260"/>
      <c r="T10219" s="260"/>
      <c r="U10219" s="260"/>
      <c r="V10219" s="260"/>
      <c r="W10219" s="260"/>
      <c r="X10219" s="259"/>
      <c r="Y10219" s="259"/>
      <c r="Z10219" s="260"/>
      <c r="AA10219" s="260"/>
      <c r="AB10219" s="260"/>
      <c r="AC10219" s="260"/>
      <c r="AD10219" s="259"/>
      <c r="AE10219" s="259"/>
      <c r="AF10219" s="260"/>
      <c r="AG10219" s="330"/>
    </row>
    <row r="10220" spans="14:33" hidden="1">
      <c r="N10220" s="239"/>
      <c r="O10220" s="225"/>
      <c r="P10220" s="260"/>
      <c r="Q10220" s="328"/>
      <c r="R10220" s="260"/>
      <c r="S10220" s="260"/>
      <c r="T10220" s="260"/>
      <c r="U10220" s="260"/>
      <c r="V10220" s="260"/>
      <c r="W10220" s="260"/>
      <c r="X10220" s="259"/>
      <c r="Y10220" s="259"/>
      <c r="Z10220" s="260"/>
      <c r="AA10220" s="260"/>
      <c r="AB10220" s="260"/>
      <c r="AC10220" s="260"/>
      <c r="AD10220" s="259"/>
      <c r="AE10220" s="259"/>
      <c r="AF10220" s="260"/>
      <c r="AG10220" s="330"/>
    </row>
    <row r="10221" spans="14:33" hidden="1">
      <c r="N10221" s="239"/>
      <c r="O10221" s="225"/>
      <c r="P10221" s="260"/>
      <c r="Q10221" s="328"/>
      <c r="R10221" s="260"/>
      <c r="S10221" s="260"/>
      <c r="T10221" s="260"/>
      <c r="U10221" s="260"/>
      <c r="V10221" s="260"/>
      <c r="W10221" s="260"/>
      <c r="X10221" s="259"/>
      <c r="Y10221" s="259"/>
      <c r="Z10221" s="260"/>
      <c r="AA10221" s="260"/>
      <c r="AB10221" s="260"/>
      <c r="AC10221" s="260"/>
      <c r="AD10221" s="259"/>
      <c r="AE10221" s="259"/>
      <c r="AF10221" s="260"/>
      <c r="AG10221" s="330"/>
    </row>
    <row r="10222" spans="14:33" hidden="1">
      <c r="N10222" s="239"/>
      <c r="O10222" s="225"/>
      <c r="P10222" s="260"/>
      <c r="Q10222" s="328"/>
      <c r="R10222" s="260"/>
      <c r="S10222" s="260"/>
      <c r="T10222" s="260"/>
      <c r="U10222" s="260"/>
      <c r="V10222" s="260"/>
      <c r="W10222" s="260"/>
      <c r="X10222" s="259"/>
      <c r="Y10222" s="259"/>
      <c r="Z10222" s="260"/>
      <c r="AA10222" s="260"/>
      <c r="AB10222" s="260"/>
      <c r="AC10222" s="260"/>
      <c r="AD10222" s="259"/>
      <c r="AE10222" s="259"/>
      <c r="AF10222" s="260"/>
      <c r="AG10222" s="330"/>
    </row>
    <row r="10223" spans="14:33" hidden="1">
      <c r="N10223" s="239"/>
      <c r="O10223" s="225"/>
      <c r="P10223" s="260"/>
      <c r="Q10223" s="328"/>
      <c r="R10223" s="260"/>
      <c r="S10223" s="260"/>
      <c r="T10223" s="260"/>
      <c r="U10223" s="260"/>
      <c r="V10223" s="260"/>
      <c r="W10223" s="260"/>
      <c r="X10223" s="259"/>
      <c r="Y10223" s="259"/>
      <c r="Z10223" s="260"/>
      <c r="AA10223" s="260"/>
      <c r="AB10223" s="260"/>
      <c r="AC10223" s="260"/>
      <c r="AD10223" s="259"/>
      <c r="AE10223" s="259"/>
      <c r="AF10223" s="260"/>
      <c r="AG10223" s="330"/>
    </row>
    <row r="10224" spans="14:33" hidden="1">
      <c r="N10224" s="239"/>
      <c r="O10224" s="225"/>
      <c r="P10224" s="260"/>
      <c r="Q10224" s="328"/>
      <c r="R10224" s="260"/>
      <c r="S10224" s="260"/>
      <c r="T10224" s="260"/>
      <c r="U10224" s="260"/>
      <c r="V10224" s="260"/>
      <c r="W10224" s="260"/>
      <c r="X10224" s="259"/>
      <c r="Y10224" s="259"/>
      <c r="Z10224" s="260"/>
      <c r="AA10224" s="260"/>
      <c r="AB10224" s="260"/>
      <c r="AC10224" s="260"/>
      <c r="AD10224" s="259"/>
      <c r="AE10224" s="259"/>
      <c r="AF10224" s="260"/>
      <c r="AG10224" s="330"/>
    </row>
    <row r="10225" spans="14:33" hidden="1">
      <c r="N10225" s="239"/>
      <c r="O10225" s="225"/>
      <c r="P10225" s="260"/>
      <c r="Q10225" s="328"/>
      <c r="R10225" s="260"/>
      <c r="S10225" s="260"/>
      <c r="T10225" s="260"/>
      <c r="U10225" s="260"/>
      <c r="V10225" s="260"/>
      <c r="W10225" s="260"/>
      <c r="X10225" s="259"/>
      <c r="Y10225" s="259"/>
      <c r="Z10225" s="260"/>
      <c r="AA10225" s="260"/>
      <c r="AB10225" s="260"/>
      <c r="AC10225" s="260"/>
      <c r="AD10225" s="259"/>
      <c r="AE10225" s="259"/>
      <c r="AF10225" s="260"/>
      <c r="AG10225" s="330"/>
    </row>
    <row r="10226" spans="14:33" hidden="1">
      <c r="N10226" s="239"/>
      <c r="O10226" s="225"/>
      <c r="P10226" s="260"/>
      <c r="Q10226" s="328"/>
      <c r="R10226" s="260"/>
      <c r="S10226" s="260"/>
      <c r="T10226" s="260"/>
      <c r="U10226" s="260"/>
      <c r="V10226" s="260"/>
      <c r="W10226" s="260"/>
      <c r="X10226" s="259"/>
      <c r="Y10226" s="259"/>
      <c r="Z10226" s="260"/>
      <c r="AA10226" s="260"/>
      <c r="AB10226" s="260"/>
      <c r="AC10226" s="260"/>
      <c r="AD10226" s="259"/>
      <c r="AE10226" s="259"/>
      <c r="AF10226" s="260"/>
      <c r="AG10226" s="330"/>
    </row>
    <row r="10227" spans="14:33" hidden="1">
      <c r="N10227" s="239"/>
      <c r="O10227" s="225"/>
      <c r="P10227" s="260"/>
      <c r="Q10227" s="328"/>
      <c r="R10227" s="260"/>
      <c r="S10227" s="260"/>
      <c r="T10227" s="260"/>
      <c r="U10227" s="260"/>
      <c r="V10227" s="260"/>
      <c r="W10227" s="260"/>
      <c r="X10227" s="259"/>
      <c r="Y10227" s="259"/>
      <c r="Z10227" s="260"/>
      <c r="AA10227" s="260"/>
      <c r="AB10227" s="260"/>
      <c r="AC10227" s="260"/>
      <c r="AD10227" s="259"/>
      <c r="AE10227" s="259"/>
      <c r="AF10227" s="260"/>
      <c r="AG10227" s="330"/>
    </row>
    <row r="10228" spans="14:33" hidden="1">
      <c r="N10228" s="239"/>
      <c r="O10228" s="225"/>
      <c r="P10228" s="260"/>
      <c r="Q10228" s="328"/>
      <c r="R10228" s="260"/>
      <c r="S10228" s="260"/>
      <c r="T10228" s="260"/>
      <c r="U10228" s="260"/>
      <c r="V10228" s="260"/>
      <c r="W10228" s="260"/>
      <c r="X10228" s="259"/>
      <c r="Y10228" s="259"/>
      <c r="Z10228" s="260"/>
      <c r="AA10228" s="260"/>
      <c r="AB10228" s="260"/>
      <c r="AC10228" s="260"/>
      <c r="AD10228" s="259"/>
      <c r="AE10228" s="259"/>
      <c r="AF10228" s="260"/>
      <c r="AG10228" s="330"/>
    </row>
    <row r="10229" spans="14:33" hidden="1">
      <c r="N10229" s="239"/>
      <c r="O10229" s="225"/>
      <c r="P10229" s="260"/>
      <c r="Q10229" s="328"/>
      <c r="R10229" s="260"/>
      <c r="S10229" s="260"/>
      <c r="T10229" s="260"/>
      <c r="U10229" s="260"/>
      <c r="V10229" s="260"/>
      <c r="W10229" s="260"/>
      <c r="X10229" s="259"/>
      <c r="Y10229" s="259"/>
      <c r="Z10229" s="260"/>
      <c r="AA10229" s="260"/>
      <c r="AB10229" s="260"/>
      <c r="AC10229" s="260"/>
      <c r="AD10229" s="259"/>
      <c r="AE10229" s="259"/>
      <c r="AF10229" s="260"/>
      <c r="AG10229" s="330"/>
    </row>
    <row r="10230" spans="14:33" hidden="1">
      <c r="N10230" s="239"/>
      <c r="O10230" s="225"/>
      <c r="P10230" s="260"/>
      <c r="Q10230" s="328"/>
      <c r="R10230" s="260"/>
      <c r="S10230" s="260"/>
      <c r="T10230" s="260"/>
      <c r="U10230" s="260"/>
      <c r="V10230" s="260"/>
      <c r="W10230" s="260"/>
      <c r="X10230" s="259"/>
      <c r="Y10230" s="259"/>
      <c r="Z10230" s="260"/>
      <c r="AA10230" s="260"/>
      <c r="AB10230" s="260"/>
      <c r="AC10230" s="260"/>
      <c r="AD10230" s="259"/>
      <c r="AE10230" s="259"/>
      <c r="AF10230" s="260"/>
      <c r="AG10230" s="330"/>
    </row>
    <row r="10231" spans="14:33" hidden="1">
      <c r="N10231" s="239"/>
      <c r="O10231" s="225"/>
      <c r="P10231" s="260"/>
      <c r="Q10231" s="328"/>
      <c r="R10231" s="260"/>
      <c r="S10231" s="260"/>
      <c r="T10231" s="260"/>
      <c r="U10231" s="260"/>
      <c r="V10231" s="260"/>
      <c r="W10231" s="260"/>
      <c r="X10231" s="259"/>
      <c r="Y10231" s="259"/>
      <c r="Z10231" s="260"/>
      <c r="AA10231" s="260"/>
      <c r="AB10231" s="260"/>
      <c r="AC10231" s="260"/>
      <c r="AD10231" s="259"/>
      <c r="AE10231" s="259"/>
      <c r="AF10231" s="260"/>
      <c r="AG10231" s="330"/>
    </row>
    <row r="10232" spans="14:33" hidden="1">
      <c r="N10232" s="239"/>
      <c r="O10232" s="225"/>
      <c r="P10232" s="260"/>
      <c r="Q10232" s="328"/>
      <c r="R10232" s="260"/>
      <c r="S10232" s="260"/>
      <c r="T10232" s="260"/>
      <c r="U10232" s="260"/>
      <c r="V10232" s="260"/>
      <c r="W10232" s="260"/>
      <c r="X10232" s="259"/>
      <c r="Y10232" s="259"/>
      <c r="Z10232" s="260"/>
      <c r="AA10232" s="260"/>
      <c r="AB10232" s="260"/>
      <c r="AC10232" s="260"/>
      <c r="AD10232" s="259"/>
      <c r="AE10232" s="259"/>
      <c r="AF10232" s="260"/>
      <c r="AG10232" s="330"/>
    </row>
    <row r="10233" spans="14:33" hidden="1">
      <c r="N10233" s="239"/>
      <c r="O10233" s="225"/>
      <c r="P10233" s="260"/>
      <c r="Q10233" s="328"/>
      <c r="R10233" s="260"/>
      <c r="S10233" s="260"/>
      <c r="T10233" s="260"/>
      <c r="U10233" s="260"/>
      <c r="V10233" s="260"/>
      <c r="W10233" s="260"/>
      <c r="X10233" s="259"/>
      <c r="Y10233" s="259"/>
      <c r="Z10233" s="260"/>
      <c r="AA10233" s="260"/>
      <c r="AB10233" s="260"/>
      <c r="AC10233" s="260"/>
      <c r="AD10233" s="259"/>
      <c r="AE10233" s="259"/>
      <c r="AF10233" s="260"/>
      <c r="AG10233" s="330"/>
    </row>
    <row r="10234" spans="14:33" hidden="1">
      <c r="N10234" s="239"/>
      <c r="O10234" s="225"/>
      <c r="P10234" s="260"/>
      <c r="Q10234" s="328"/>
      <c r="R10234" s="260"/>
      <c r="S10234" s="260"/>
      <c r="T10234" s="260"/>
      <c r="U10234" s="260"/>
      <c r="V10234" s="260"/>
      <c r="W10234" s="260"/>
      <c r="X10234" s="259"/>
      <c r="Y10234" s="259"/>
      <c r="Z10234" s="260"/>
      <c r="AA10234" s="260"/>
      <c r="AB10234" s="260"/>
      <c r="AC10234" s="260"/>
      <c r="AD10234" s="259"/>
      <c r="AE10234" s="259"/>
      <c r="AF10234" s="260"/>
      <c r="AG10234" s="330"/>
    </row>
    <row r="10235" spans="14:33" hidden="1">
      <c r="N10235" s="239"/>
      <c r="O10235" s="225"/>
      <c r="P10235" s="260"/>
      <c r="Q10235" s="328"/>
      <c r="R10235" s="260"/>
      <c r="S10235" s="260"/>
      <c r="T10235" s="260"/>
      <c r="U10235" s="260"/>
      <c r="V10235" s="260"/>
      <c r="W10235" s="260"/>
      <c r="X10235" s="259"/>
      <c r="Y10235" s="259"/>
      <c r="Z10235" s="260"/>
      <c r="AA10235" s="260"/>
      <c r="AB10235" s="260"/>
      <c r="AC10235" s="260"/>
      <c r="AD10235" s="259"/>
      <c r="AE10235" s="259"/>
      <c r="AF10235" s="260"/>
      <c r="AG10235" s="330"/>
    </row>
    <row r="10236" spans="14:33" hidden="1">
      <c r="N10236" s="239"/>
      <c r="O10236" s="225"/>
      <c r="P10236" s="260"/>
      <c r="Q10236" s="328"/>
      <c r="R10236" s="260"/>
      <c r="S10236" s="260"/>
      <c r="T10236" s="260"/>
      <c r="U10236" s="260"/>
      <c r="V10236" s="260"/>
      <c r="W10236" s="260"/>
      <c r="X10236" s="259"/>
      <c r="Y10236" s="259"/>
      <c r="Z10236" s="260"/>
      <c r="AA10236" s="260"/>
      <c r="AB10236" s="260"/>
      <c r="AC10236" s="260"/>
      <c r="AD10236" s="259"/>
      <c r="AE10236" s="259"/>
      <c r="AF10236" s="260"/>
      <c r="AG10236" s="330"/>
    </row>
    <row r="10237" spans="14:33" hidden="1">
      <c r="N10237" s="239"/>
      <c r="O10237" s="225"/>
      <c r="P10237" s="260"/>
      <c r="Q10237" s="328"/>
      <c r="R10237" s="260"/>
      <c r="S10237" s="260"/>
      <c r="T10237" s="260"/>
      <c r="U10237" s="260"/>
      <c r="V10237" s="260"/>
      <c r="W10237" s="260"/>
      <c r="X10237" s="259"/>
      <c r="Y10237" s="259"/>
      <c r="Z10237" s="260"/>
      <c r="AA10237" s="260"/>
      <c r="AB10237" s="260"/>
      <c r="AC10237" s="260"/>
      <c r="AD10237" s="259"/>
      <c r="AE10237" s="259"/>
      <c r="AF10237" s="260"/>
      <c r="AG10237" s="330"/>
    </row>
    <row r="10238" spans="14:33" hidden="1">
      <c r="N10238" s="239"/>
      <c r="O10238" s="225"/>
      <c r="P10238" s="260"/>
      <c r="Q10238" s="328"/>
      <c r="R10238" s="260"/>
      <c r="S10238" s="260"/>
      <c r="T10238" s="260"/>
      <c r="U10238" s="260"/>
      <c r="V10238" s="260"/>
      <c r="W10238" s="260"/>
      <c r="X10238" s="259"/>
      <c r="Y10238" s="259"/>
      <c r="Z10238" s="260"/>
      <c r="AA10238" s="260"/>
      <c r="AB10238" s="260"/>
      <c r="AC10238" s="260"/>
      <c r="AD10238" s="259"/>
      <c r="AE10238" s="259"/>
      <c r="AF10238" s="260"/>
      <c r="AG10238" s="330"/>
    </row>
    <row r="10239" spans="14:33" hidden="1">
      <c r="N10239" s="239"/>
      <c r="O10239" s="225"/>
      <c r="P10239" s="260"/>
      <c r="Q10239" s="328"/>
      <c r="R10239" s="260"/>
      <c r="S10239" s="260"/>
      <c r="T10239" s="260"/>
      <c r="U10239" s="260"/>
      <c r="V10239" s="260"/>
      <c r="W10239" s="260"/>
      <c r="X10239" s="259"/>
      <c r="Y10239" s="259"/>
      <c r="Z10239" s="260"/>
      <c r="AA10239" s="260"/>
      <c r="AB10239" s="260"/>
      <c r="AC10239" s="260"/>
      <c r="AD10239" s="259"/>
      <c r="AE10239" s="259"/>
      <c r="AF10239" s="260"/>
      <c r="AG10239" s="330"/>
    </row>
    <row r="10240" spans="14:33" hidden="1">
      <c r="N10240" s="239"/>
      <c r="O10240" s="225"/>
      <c r="P10240" s="260"/>
      <c r="Q10240" s="328"/>
      <c r="R10240" s="260"/>
      <c r="S10240" s="260"/>
      <c r="T10240" s="260"/>
      <c r="U10240" s="260"/>
      <c r="V10240" s="260"/>
      <c r="W10240" s="260"/>
      <c r="X10240" s="259"/>
      <c r="Y10240" s="259"/>
      <c r="Z10240" s="260"/>
      <c r="AA10240" s="260"/>
      <c r="AB10240" s="260"/>
      <c r="AC10240" s="260"/>
      <c r="AD10240" s="259"/>
      <c r="AE10240" s="259"/>
      <c r="AF10240" s="260"/>
      <c r="AG10240" s="330"/>
    </row>
    <row r="10241" spans="14:33" hidden="1">
      <c r="N10241" s="239"/>
      <c r="O10241" s="225"/>
      <c r="P10241" s="260"/>
      <c r="Q10241" s="328"/>
      <c r="R10241" s="260"/>
      <c r="S10241" s="260"/>
      <c r="T10241" s="260"/>
      <c r="U10241" s="260"/>
      <c r="V10241" s="260"/>
      <c r="W10241" s="260"/>
      <c r="X10241" s="259"/>
      <c r="Y10241" s="259"/>
      <c r="Z10241" s="260"/>
      <c r="AA10241" s="260"/>
      <c r="AB10241" s="260"/>
      <c r="AC10241" s="260"/>
      <c r="AD10241" s="259"/>
      <c r="AE10241" s="259"/>
      <c r="AF10241" s="260"/>
      <c r="AG10241" s="330"/>
    </row>
    <row r="10242" spans="14:33" hidden="1">
      <c r="N10242" s="239"/>
      <c r="O10242" s="225"/>
      <c r="P10242" s="260"/>
      <c r="Q10242" s="328"/>
      <c r="R10242" s="260"/>
      <c r="S10242" s="260"/>
      <c r="T10242" s="260"/>
      <c r="U10242" s="260"/>
      <c r="V10242" s="260"/>
      <c r="W10242" s="260"/>
      <c r="X10242" s="259"/>
      <c r="Y10242" s="259"/>
      <c r="Z10242" s="260"/>
      <c r="AA10242" s="260"/>
      <c r="AB10242" s="260"/>
      <c r="AC10242" s="260"/>
      <c r="AD10242" s="259"/>
      <c r="AE10242" s="259"/>
      <c r="AF10242" s="260"/>
      <c r="AG10242" s="330"/>
    </row>
    <row r="10243" spans="14:33" hidden="1">
      <c r="N10243" s="239"/>
      <c r="O10243" s="225"/>
      <c r="P10243" s="260"/>
      <c r="Q10243" s="328"/>
      <c r="R10243" s="260"/>
      <c r="S10243" s="260"/>
      <c r="T10243" s="260"/>
      <c r="U10243" s="260"/>
      <c r="V10243" s="260"/>
      <c r="W10243" s="260"/>
      <c r="X10243" s="259"/>
      <c r="Y10243" s="259"/>
      <c r="Z10243" s="260"/>
      <c r="AA10243" s="260"/>
      <c r="AB10243" s="260"/>
      <c r="AC10243" s="260"/>
      <c r="AD10243" s="259"/>
      <c r="AE10243" s="259"/>
      <c r="AF10243" s="260"/>
      <c r="AG10243" s="330"/>
    </row>
    <row r="10244" spans="14:33" hidden="1">
      <c r="N10244" s="239"/>
      <c r="O10244" s="225"/>
      <c r="P10244" s="260"/>
      <c r="Q10244" s="328"/>
      <c r="R10244" s="260"/>
      <c r="S10244" s="260"/>
      <c r="T10244" s="260"/>
      <c r="U10244" s="260"/>
      <c r="V10244" s="260"/>
      <c r="W10244" s="260"/>
      <c r="X10244" s="259"/>
      <c r="Y10244" s="259"/>
      <c r="Z10244" s="260"/>
      <c r="AA10244" s="260"/>
      <c r="AB10244" s="260"/>
      <c r="AC10244" s="260"/>
      <c r="AD10244" s="259"/>
      <c r="AE10244" s="259"/>
      <c r="AF10244" s="260"/>
      <c r="AG10244" s="330"/>
    </row>
    <row r="10245" spans="14:33" hidden="1">
      <c r="N10245" s="239"/>
      <c r="O10245" s="225"/>
      <c r="P10245" s="260"/>
      <c r="Q10245" s="328"/>
      <c r="R10245" s="260"/>
      <c r="S10245" s="260"/>
      <c r="T10245" s="260"/>
      <c r="U10245" s="260"/>
      <c r="V10245" s="260"/>
      <c r="W10245" s="260"/>
      <c r="X10245" s="259"/>
      <c r="Y10245" s="259"/>
      <c r="Z10245" s="260"/>
      <c r="AA10245" s="260"/>
      <c r="AB10245" s="260"/>
      <c r="AC10245" s="260"/>
      <c r="AD10245" s="259"/>
      <c r="AE10245" s="259"/>
      <c r="AF10245" s="260"/>
      <c r="AG10245" s="330"/>
    </row>
    <row r="10246" spans="14:33" hidden="1">
      <c r="N10246" s="239"/>
      <c r="O10246" s="225"/>
      <c r="P10246" s="260"/>
      <c r="Q10246" s="328"/>
      <c r="R10246" s="260"/>
      <c r="S10246" s="260"/>
      <c r="T10246" s="260"/>
      <c r="U10246" s="260"/>
      <c r="V10246" s="260"/>
      <c r="W10246" s="260"/>
      <c r="X10246" s="259"/>
      <c r="Y10246" s="259"/>
      <c r="Z10246" s="260"/>
      <c r="AA10246" s="260"/>
      <c r="AB10246" s="260"/>
      <c r="AC10246" s="260"/>
      <c r="AD10246" s="259"/>
      <c r="AE10246" s="259"/>
      <c r="AF10246" s="260"/>
      <c r="AG10246" s="330"/>
    </row>
    <row r="10247" spans="14:33" hidden="1">
      <c r="N10247" s="239"/>
      <c r="O10247" s="225"/>
      <c r="P10247" s="260"/>
      <c r="Q10247" s="328"/>
      <c r="R10247" s="260"/>
      <c r="S10247" s="260"/>
      <c r="T10247" s="260"/>
      <c r="U10247" s="260"/>
      <c r="V10247" s="260"/>
      <c r="W10247" s="260"/>
      <c r="X10247" s="259"/>
      <c r="Y10247" s="259"/>
      <c r="Z10247" s="260"/>
      <c r="AA10247" s="260"/>
      <c r="AB10247" s="260"/>
      <c r="AC10247" s="260"/>
      <c r="AD10247" s="259"/>
      <c r="AE10247" s="259"/>
      <c r="AF10247" s="260"/>
      <c r="AG10247" s="330"/>
    </row>
    <row r="10248" spans="14:33" hidden="1">
      <c r="N10248" s="239"/>
      <c r="O10248" s="225"/>
      <c r="P10248" s="260"/>
      <c r="Q10248" s="328"/>
      <c r="R10248" s="260"/>
      <c r="S10248" s="260"/>
      <c r="T10248" s="260"/>
      <c r="U10248" s="260"/>
      <c r="V10248" s="260"/>
      <c r="W10248" s="260"/>
      <c r="X10248" s="259"/>
      <c r="Y10248" s="259"/>
      <c r="Z10248" s="260"/>
      <c r="AA10248" s="260"/>
      <c r="AB10248" s="260"/>
      <c r="AC10248" s="260"/>
      <c r="AD10248" s="259"/>
      <c r="AE10248" s="259"/>
      <c r="AF10248" s="260"/>
      <c r="AG10248" s="330"/>
    </row>
    <row r="10249" spans="14:33" hidden="1">
      <c r="N10249" s="239"/>
      <c r="O10249" s="225"/>
      <c r="P10249" s="260"/>
      <c r="Q10249" s="328"/>
      <c r="R10249" s="260"/>
      <c r="S10249" s="260"/>
      <c r="T10249" s="260"/>
      <c r="U10249" s="260"/>
      <c r="V10249" s="260"/>
      <c r="W10249" s="260"/>
      <c r="X10249" s="259"/>
      <c r="Y10249" s="259"/>
      <c r="Z10249" s="260"/>
      <c r="AA10249" s="260"/>
      <c r="AB10249" s="260"/>
      <c r="AC10249" s="260"/>
      <c r="AD10249" s="259"/>
      <c r="AE10249" s="259"/>
      <c r="AF10249" s="260"/>
      <c r="AG10249" s="330"/>
    </row>
    <row r="10250" spans="14:33" hidden="1">
      <c r="N10250" s="239"/>
      <c r="O10250" s="225"/>
      <c r="P10250" s="260"/>
      <c r="Q10250" s="328"/>
      <c r="R10250" s="260"/>
      <c r="S10250" s="260"/>
      <c r="T10250" s="260"/>
      <c r="U10250" s="260"/>
      <c r="V10250" s="260"/>
      <c r="W10250" s="260"/>
      <c r="X10250" s="259"/>
      <c r="Y10250" s="259"/>
      <c r="Z10250" s="260"/>
      <c r="AA10250" s="260"/>
      <c r="AB10250" s="260"/>
      <c r="AC10250" s="260"/>
      <c r="AD10250" s="259"/>
      <c r="AE10250" s="259"/>
      <c r="AF10250" s="260"/>
      <c r="AG10250" s="330"/>
    </row>
    <row r="10251" spans="14:33" hidden="1">
      <c r="N10251" s="239"/>
      <c r="O10251" s="225"/>
      <c r="P10251" s="260"/>
      <c r="Q10251" s="328"/>
      <c r="R10251" s="260"/>
      <c r="S10251" s="260"/>
      <c r="T10251" s="260"/>
      <c r="U10251" s="260"/>
      <c r="V10251" s="260"/>
      <c r="W10251" s="260"/>
      <c r="X10251" s="259"/>
      <c r="Y10251" s="259"/>
      <c r="Z10251" s="260"/>
      <c r="AA10251" s="260"/>
      <c r="AB10251" s="260"/>
      <c r="AC10251" s="260"/>
      <c r="AD10251" s="259"/>
      <c r="AE10251" s="259"/>
      <c r="AF10251" s="260"/>
      <c r="AG10251" s="330"/>
    </row>
    <row r="10252" spans="14:33" hidden="1">
      <c r="N10252" s="239"/>
      <c r="O10252" s="225"/>
      <c r="P10252" s="260"/>
      <c r="Q10252" s="328"/>
      <c r="R10252" s="260"/>
      <c r="S10252" s="260"/>
      <c r="T10252" s="260"/>
      <c r="U10252" s="260"/>
      <c r="V10252" s="260"/>
      <c r="W10252" s="260"/>
      <c r="X10252" s="259"/>
      <c r="Y10252" s="259"/>
      <c r="Z10252" s="260"/>
      <c r="AA10252" s="260"/>
      <c r="AB10252" s="260"/>
      <c r="AC10252" s="260"/>
      <c r="AD10252" s="259"/>
      <c r="AE10252" s="259"/>
      <c r="AF10252" s="260"/>
      <c r="AG10252" s="330"/>
    </row>
    <row r="10253" spans="14:33" hidden="1">
      <c r="N10253" s="239"/>
      <c r="O10253" s="225"/>
      <c r="P10253" s="260"/>
      <c r="Q10253" s="328"/>
      <c r="R10253" s="260"/>
      <c r="S10253" s="260"/>
      <c r="T10253" s="260"/>
      <c r="U10253" s="260"/>
      <c r="V10253" s="260"/>
      <c r="W10253" s="260"/>
      <c r="X10253" s="259"/>
      <c r="Y10253" s="259"/>
      <c r="Z10253" s="260"/>
      <c r="AA10253" s="260"/>
      <c r="AB10253" s="260"/>
      <c r="AC10253" s="260"/>
      <c r="AD10253" s="259"/>
      <c r="AE10253" s="259"/>
      <c r="AF10253" s="260"/>
      <c r="AG10253" s="330"/>
    </row>
    <row r="10254" spans="14:33" hidden="1">
      <c r="N10254" s="239"/>
      <c r="O10254" s="225"/>
      <c r="P10254" s="260"/>
      <c r="Q10254" s="328"/>
      <c r="R10254" s="260"/>
      <c r="S10254" s="260"/>
      <c r="T10254" s="260"/>
      <c r="U10254" s="260"/>
      <c r="V10254" s="260"/>
      <c r="W10254" s="260"/>
      <c r="X10254" s="259"/>
      <c r="Y10254" s="259"/>
      <c r="Z10254" s="260"/>
      <c r="AA10254" s="260"/>
      <c r="AB10254" s="260"/>
      <c r="AC10254" s="260"/>
      <c r="AD10254" s="259"/>
      <c r="AE10254" s="259"/>
      <c r="AF10254" s="260"/>
      <c r="AG10254" s="330"/>
    </row>
    <row r="10255" spans="14:33" hidden="1">
      <c r="N10255" s="239"/>
      <c r="O10255" s="225"/>
      <c r="P10255" s="260"/>
      <c r="Q10255" s="328"/>
      <c r="R10255" s="260"/>
      <c r="S10255" s="260"/>
      <c r="T10255" s="260"/>
      <c r="U10255" s="260"/>
      <c r="V10255" s="260"/>
      <c r="W10255" s="260"/>
      <c r="X10255" s="259"/>
      <c r="Y10255" s="259"/>
      <c r="Z10255" s="260"/>
      <c r="AA10255" s="260"/>
      <c r="AB10255" s="260"/>
      <c r="AC10255" s="260"/>
      <c r="AD10255" s="259"/>
      <c r="AE10255" s="259"/>
      <c r="AF10255" s="260"/>
      <c r="AG10255" s="330"/>
    </row>
    <row r="10256" spans="14:33" hidden="1">
      <c r="N10256" s="239"/>
      <c r="O10256" s="225"/>
      <c r="P10256" s="260"/>
      <c r="Q10256" s="328"/>
      <c r="R10256" s="260"/>
      <c r="S10256" s="260"/>
      <c r="T10256" s="260"/>
      <c r="U10256" s="260"/>
      <c r="V10256" s="260"/>
      <c r="W10256" s="260"/>
      <c r="X10256" s="259"/>
      <c r="Y10256" s="259"/>
      <c r="Z10256" s="260"/>
      <c r="AA10256" s="260"/>
      <c r="AB10256" s="260"/>
      <c r="AC10256" s="260"/>
      <c r="AD10256" s="259"/>
      <c r="AE10256" s="259"/>
      <c r="AF10256" s="260"/>
      <c r="AG10256" s="330"/>
    </row>
    <row r="10257" spans="14:33" hidden="1">
      <c r="N10257" s="239"/>
      <c r="O10257" s="225"/>
      <c r="P10257" s="260"/>
      <c r="Q10257" s="328"/>
      <c r="R10257" s="260"/>
      <c r="S10257" s="260"/>
      <c r="T10257" s="260"/>
      <c r="U10257" s="260"/>
      <c r="V10257" s="260"/>
      <c r="W10257" s="260"/>
      <c r="X10257" s="259"/>
      <c r="Y10257" s="259"/>
      <c r="Z10257" s="260"/>
      <c r="AA10257" s="260"/>
      <c r="AB10257" s="260"/>
      <c r="AC10257" s="260"/>
      <c r="AD10257" s="259"/>
      <c r="AE10257" s="259"/>
      <c r="AF10257" s="260"/>
      <c r="AG10257" s="330"/>
    </row>
    <row r="10258" spans="14:33" hidden="1">
      <c r="N10258" s="239"/>
      <c r="O10258" s="225"/>
      <c r="P10258" s="260"/>
      <c r="Q10258" s="328"/>
      <c r="R10258" s="260"/>
      <c r="S10258" s="260"/>
      <c r="T10258" s="260"/>
      <c r="U10258" s="260"/>
      <c r="V10258" s="260"/>
      <c r="W10258" s="260"/>
      <c r="X10258" s="259"/>
      <c r="Y10258" s="259"/>
      <c r="Z10258" s="260"/>
      <c r="AA10258" s="260"/>
      <c r="AB10258" s="260"/>
      <c r="AC10258" s="260"/>
      <c r="AD10258" s="259"/>
      <c r="AE10258" s="259"/>
      <c r="AF10258" s="260"/>
      <c r="AG10258" s="330"/>
    </row>
    <row r="10259" spans="14:33" hidden="1">
      <c r="N10259" s="239"/>
      <c r="O10259" s="225"/>
      <c r="P10259" s="260"/>
      <c r="Q10259" s="328"/>
      <c r="R10259" s="260"/>
      <c r="S10259" s="260"/>
      <c r="T10259" s="260"/>
      <c r="U10259" s="260"/>
      <c r="V10259" s="260"/>
      <c r="W10259" s="260"/>
      <c r="X10259" s="259"/>
      <c r="Y10259" s="259"/>
      <c r="Z10259" s="260"/>
      <c r="AA10259" s="260"/>
      <c r="AB10259" s="260"/>
      <c r="AC10259" s="260"/>
      <c r="AD10259" s="259"/>
      <c r="AE10259" s="259"/>
      <c r="AF10259" s="260"/>
      <c r="AG10259" s="330"/>
    </row>
    <row r="10260" spans="14:33" hidden="1">
      <c r="N10260" s="239"/>
      <c r="O10260" s="225"/>
      <c r="P10260" s="260"/>
      <c r="Q10260" s="328"/>
      <c r="R10260" s="260"/>
      <c r="S10260" s="260"/>
      <c r="T10260" s="260"/>
      <c r="U10260" s="260"/>
      <c r="V10260" s="260"/>
      <c r="W10260" s="260"/>
      <c r="X10260" s="259"/>
      <c r="Y10260" s="259"/>
      <c r="Z10260" s="260"/>
      <c r="AA10260" s="260"/>
      <c r="AB10260" s="260"/>
      <c r="AC10260" s="260"/>
      <c r="AD10260" s="259"/>
      <c r="AE10260" s="259"/>
      <c r="AF10260" s="260"/>
      <c r="AG10260" s="330"/>
    </row>
    <row r="10261" spans="14:33" hidden="1">
      <c r="N10261" s="239"/>
      <c r="O10261" s="225"/>
      <c r="P10261" s="260"/>
      <c r="Q10261" s="328"/>
      <c r="R10261" s="260"/>
      <c r="S10261" s="260"/>
      <c r="T10261" s="260"/>
      <c r="U10261" s="260"/>
      <c r="V10261" s="260"/>
      <c r="W10261" s="260"/>
      <c r="X10261" s="259"/>
      <c r="Y10261" s="259"/>
      <c r="Z10261" s="260"/>
      <c r="AA10261" s="260"/>
      <c r="AB10261" s="260"/>
      <c r="AC10261" s="260"/>
      <c r="AD10261" s="259"/>
      <c r="AE10261" s="259"/>
      <c r="AF10261" s="260"/>
      <c r="AG10261" s="330"/>
    </row>
    <row r="10262" spans="14:33" hidden="1">
      <c r="N10262" s="239"/>
      <c r="O10262" s="225"/>
      <c r="P10262" s="260"/>
      <c r="Q10262" s="328"/>
      <c r="R10262" s="260"/>
      <c r="S10262" s="260"/>
      <c r="T10262" s="260"/>
      <c r="U10262" s="260"/>
      <c r="V10262" s="260"/>
      <c r="W10262" s="260"/>
      <c r="X10262" s="259"/>
      <c r="Y10262" s="259"/>
      <c r="Z10262" s="260"/>
      <c r="AA10262" s="260"/>
      <c r="AB10262" s="260"/>
      <c r="AC10262" s="260"/>
      <c r="AD10262" s="259"/>
      <c r="AE10262" s="259"/>
      <c r="AF10262" s="260"/>
      <c r="AG10262" s="330"/>
    </row>
    <row r="10263" spans="14:33" hidden="1">
      <c r="N10263" s="239"/>
      <c r="O10263" s="225"/>
      <c r="P10263" s="260"/>
      <c r="Q10263" s="328"/>
      <c r="R10263" s="260"/>
      <c r="S10263" s="260"/>
      <c r="T10263" s="260"/>
      <c r="U10263" s="260"/>
      <c r="V10263" s="260"/>
      <c r="W10263" s="260"/>
      <c r="X10263" s="259"/>
      <c r="Y10263" s="259"/>
      <c r="Z10263" s="260"/>
      <c r="AA10263" s="260"/>
      <c r="AB10263" s="260"/>
      <c r="AC10263" s="260"/>
      <c r="AD10263" s="259"/>
      <c r="AE10263" s="259"/>
      <c r="AF10263" s="260"/>
      <c r="AG10263" s="330"/>
    </row>
    <row r="10264" spans="14:33" hidden="1">
      <c r="N10264" s="239"/>
      <c r="O10264" s="225"/>
      <c r="P10264" s="260"/>
      <c r="Q10264" s="328"/>
      <c r="R10264" s="260"/>
      <c r="S10264" s="260"/>
      <c r="T10264" s="260"/>
      <c r="U10264" s="260"/>
      <c r="V10264" s="260"/>
      <c r="W10264" s="260"/>
      <c r="X10264" s="259"/>
      <c r="Y10264" s="259"/>
      <c r="Z10264" s="260"/>
      <c r="AA10264" s="260"/>
      <c r="AB10264" s="260"/>
      <c r="AC10264" s="260"/>
      <c r="AD10264" s="259"/>
      <c r="AE10264" s="259"/>
      <c r="AF10264" s="260"/>
      <c r="AG10264" s="330"/>
    </row>
    <row r="10265" spans="14:33" hidden="1">
      <c r="N10265" s="239"/>
      <c r="O10265" s="225"/>
      <c r="P10265" s="260"/>
      <c r="Q10265" s="328"/>
      <c r="R10265" s="260"/>
      <c r="S10265" s="260"/>
      <c r="T10265" s="260"/>
      <c r="U10265" s="260"/>
      <c r="V10265" s="260"/>
      <c r="W10265" s="260"/>
      <c r="X10265" s="259"/>
      <c r="Y10265" s="259"/>
      <c r="Z10265" s="260"/>
      <c r="AA10265" s="260"/>
      <c r="AB10265" s="260"/>
      <c r="AC10265" s="260"/>
      <c r="AD10265" s="259"/>
      <c r="AE10265" s="259"/>
      <c r="AF10265" s="260"/>
      <c r="AG10265" s="330"/>
    </row>
    <row r="10266" spans="14:33" hidden="1">
      <c r="N10266" s="239"/>
      <c r="O10266" s="225"/>
      <c r="P10266" s="260"/>
      <c r="Q10266" s="328"/>
      <c r="R10266" s="260"/>
      <c r="S10266" s="260"/>
      <c r="T10266" s="260"/>
      <c r="U10266" s="260"/>
      <c r="V10266" s="260"/>
      <c r="W10266" s="260"/>
      <c r="X10266" s="259"/>
      <c r="Y10266" s="259"/>
      <c r="Z10266" s="260"/>
      <c r="AA10266" s="260"/>
      <c r="AB10266" s="260"/>
      <c r="AC10266" s="260"/>
      <c r="AD10266" s="259"/>
      <c r="AE10266" s="259"/>
      <c r="AF10266" s="260"/>
      <c r="AG10266" s="330"/>
    </row>
    <row r="10267" spans="14:33" hidden="1">
      <c r="N10267" s="239"/>
      <c r="O10267" s="225"/>
      <c r="P10267" s="260"/>
      <c r="Q10267" s="328"/>
      <c r="R10267" s="260"/>
      <c r="S10267" s="260"/>
      <c r="T10267" s="260"/>
      <c r="U10267" s="260"/>
      <c r="V10267" s="260"/>
      <c r="W10267" s="260"/>
      <c r="X10267" s="259"/>
      <c r="Y10267" s="259"/>
      <c r="Z10267" s="260"/>
      <c r="AA10267" s="260"/>
      <c r="AB10267" s="260"/>
      <c r="AC10267" s="260"/>
      <c r="AD10267" s="259"/>
      <c r="AE10267" s="259"/>
      <c r="AF10267" s="260"/>
      <c r="AG10267" s="330"/>
    </row>
    <row r="10268" spans="14:33" hidden="1">
      <c r="N10268" s="239"/>
      <c r="O10268" s="225"/>
      <c r="P10268" s="260"/>
      <c r="Q10268" s="328"/>
      <c r="R10268" s="260"/>
      <c r="S10268" s="260"/>
      <c r="T10268" s="260"/>
      <c r="U10268" s="260"/>
      <c r="V10268" s="260"/>
      <c r="W10268" s="260"/>
      <c r="X10268" s="259"/>
      <c r="Y10268" s="259"/>
      <c r="Z10268" s="260"/>
      <c r="AA10268" s="260"/>
      <c r="AB10268" s="260"/>
      <c r="AC10268" s="260"/>
      <c r="AD10268" s="259"/>
      <c r="AE10268" s="259"/>
      <c r="AF10268" s="260"/>
      <c r="AG10268" s="330"/>
    </row>
    <row r="10269" spans="14:33" hidden="1">
      <c r="N10269" s="239"/>
      <c r="O10269" s="225"/>
      <c r="P10269" s="260"/>
      <c r="Q10269" s="328"/>
      <c r="R10269" s="260"/>
      <c r="S10269" s="260"/>
      <c r="T10269" s="260"/>
      <c r="U10269" s="260"/>
      <c r="V10269" s="260"/>
      <c r="W10269" s="260"/>
      <c r="X10269" s="259"/>
      <c r="Y10269" s="259"/>
      <c r="Z10269" s="260"/>
      <c r="AA10269" s="260"/>
      <c r="AB10269" s="260"/>
      <c r="AC10269" s="260"/>
      <c r="AD10269" s="259"/>
      <c r="AE10269" s="259"/>
      <c r="AF10269" s="260"/>
      <c r="AG10269" s="330"/>
    </row>
    <row r="10270" spans="14:33" hidden="1">
      <c r="N10270" s="239"/>
      <c r="O10270" s="225"/>
      <c r="P10270" s="260"/>
      <c r="Q10270" s="328"/>
      <c r="R10270" s="260"/>
      <c r="S10270" s="260"/>
      <c r="T10270" s="260"/>
      <c r="U10270" s="260"/>
      <c r="V10270" s="260"/>
      <c r="W10270" s="260"/>
      <c r="X10270" s="259"/>
      <c r="Y10270" s="259"/>
      <c r="Z10270" s="260"/>
      <c r="AA10270" s="260"/>
      <c r="AB10270" s="260"/>
      <c r="AC10270" s="260"/>
      <c r="AD10270" s="259"/>
      <c r="AE10270" s="259"/>
      <c r="AF10270" s="260"/>
      <c r="AG10270" s="330"/>
    </row>
    <row r="10271" spans="14:33" hidden="1">
      <c r="N10271" s="239"/>
      <c r="O10271" s="225"/>
      <c r="P10271" s="260"/>
      <c r="Q10271" s="328"/>
      <c r="R10271" s="260"/>
      <c r="S10271" s="260"/>
      <c r="T10271" s="260"/>
      <c r="U10271" s="260"/>
      <c r="V10271" s="260"/>
      <c r="W10271" s="260"/>
      <c r="X10271" s="259"/>
      <c r="Y10271" s="259"/>
      <c r="Z10271" s="260"/>
      <c r="AA10271" s="260"/>
      <c r="AB10271" s="260"/>
      <c r="AC10271" s="260"/>
      <c r="AD10271" s="259"/>
      <c r="AE10271" s="259"/>
      <c r="AF10271" s="260"/>
      <c r="AG10271" s="330"/>
    </row>
    <row r="10272" spans="14:33" hidden="1">
      <c r="N10272" s="239"/>
      <c r="O10272" s="225"/>
      <c r="P10272" s="260"/>
      <c r="Q10272" s="328"/>
      <c r="R10272" s="260"/>
      <c r="S10272" s="260"/>
      <c r="T10272" s="260"/>
      <c r="U10272" s="260"/>
      <c r="V10272" s="260"/>
      <c r="W10272" s="260"/>
      <c r="X10272" s="259"/>
      <c r="Y10272" s="259"/>
      <c r="Z10272" s="260"/>
      <c r="AA10272" s="260"/>
      <c r="AB10272" s="260"/>
      <c r="AC10272" s="260"/>
      <c r="AD10272" s="259"/>
      <c r="AE10272" s="259"/>
      <c r="AF10272" s="260"/>
      <c r="AG10272" s="330"/>
    </row>
    <row r="10273" spans="14:33" hidden="1">
      <c r="N10273" s="239"/>
      <c r="O10273" s="225"/>
      <c r="P10273" s="260"/>
      <c r="Q10273" s="328"/>
      <c r="R10273" s="260"/>
      <c r="S10273" s="260"/>
      <c r="T10273" s="260"/>
      <c r="U10273" s="260"/>
      <c r="V10273" s="260"/>
      <c r="W10273" s="260"/>
      <c r="X10273" s="259"/>
      <c r="Y10273" s="259"/>
      <c r="Z10273" s="260"/>
      <c r="AA10273" s="260"/>
      <c r="AB10273" s="260"/>
      <c r="AC10273" s="260"/>
      <c r="AD10273" s="259"/>
      <c r="AE10273" s="259"/>
      <c r="AF10273" s="260"/>
      <c r="AG10273" s="330"/>
    </row>
    <row r="10274" spans="14:33" hidden="1">
      <c r="N10274" s="239"/>
      <c r="O10274" s="225"/>
      <c r="P10274" s="260"/>
      <c r="Q10274" s="328"/>
      <c r="R10274" s="260"/>
      <c r="S10274" s="260"/>
      <c r="T10274" s="260"/>
      <c r="U10274" s="260"/>
      <c r="V10274" s="260"/>
      <c r="W10274" s="260"/>
      <c r="X10274" s="259"/>
      <c r="Y10274" s="259"/>
      <c r="Z10274" s="260"/>
      <c r="AA10274" s="260"/>
      <c r="AB10274" s="260"/>
      <c r="AC10274" s="260"/>
      <c r="AD10274" s="259"/>
      <c r="AE10274" s="259"/>
      <c r="AF10274" s="260"/>
      <c r="AG10274" s="330"/>
    </row>
    <row r="10275" spans="14:33" hidden="1">
      <c r="N10275" s="239"/>
      <c r="O10275" s="225"/>
      <c r="P10275" s="260"/>
      <c r="Q10275" s="328"/>
      <c r="R10275" s="260"/>
      <c r="S10275" s="260"/>
      <c r="T10275" s="260"/>
      <c r="U10275" s="260"/>
      <c r="V10275" s="260"/>
      <c r="W10275" s="260"/>
      <c r="X10275" s="259"/>
      <c r="Y10275" s="259"/>
      <c r="Z10275" s="260"/>
      <c r="AA10275" s="260"/>
      <c r="AB10275" s="260"/>
      <c r="AC10275" s="260"/>
      <c r="AD10275" s="259"/>
      <c r="AE10275" s="259"/>
      <c r="AF10275" s="260"/>
      <c r="AG10275" s="330"/>
    </row>
    <row r="10276" spans="14:33" hidden="1">
      <c r="N10276" s="239"/>
      <c r="O10276" s="225"/>
      <c r="P10276" s="260"/>
      <c r="Q10276" s="328"/>
      <c r="R10276" s="260"/>
      <c r="S10276" s="260"/>
      <c r="T10276" s="260"/>
      <c r="U10276" s="260"/>
      <c r="V10276" s="260"/>
      <c r="W10276" s="260"/>
      <c r="X10276" s="259"/>
      <c r="Y10276" s="259"/>
      <c r="Z10276" s="260"/>
      <c r="AA10276" s="260"/>
      <c r="AB10276" s="260"/>
      <c r="AC10276" s="260"/>
      <c r="AD10276" s="259"/>
      <c r="AE10276" s="259"/>
      <c r="AF10276" s="260"/>
      <c r="AG10276" s="330"/>
    </row>
    <row r="10277" spans="14:33" hidden="1">
      <c r="N10277" s="239"/>
      <c r="O10277" s="225"/>
      <c r="P10277" s="260"/>
      <c r="Q10277" s="328"/>
      <c r="R10277" s="260"/>
      <c r="S10277" s="260"/>
      <c r="T10277" s="260"/>
      <c r="U10277" s="260"/>
      <c r="V10277" s="260"/>
      <c r="W10277" s="260"/>
      <c r="X10277" s="259"/>
      <c r="Y10277" s="259"/>
      <c r="Z10277" s="260"/>
      <c r="AA10277" s="260"/>
      <c r="AB10277" s="260"/>
      <c r="AC10277" s="260"/>
      <c r="AD10277" s="259"/>
      <c r="AE10277" s="259"/>
      <c r="AF10277" s="260"/>
      <c r="AG10277" s="330"/>
    </row>
    <row r="10278" spans="14:33" hidden="1">
      <c r="N10278" s="239"/>
      <c r="O10278" s="225"/>
      <c r="P10278" s="260"/>
      <c r="Q10278" s="328"/>
      <c r="R10278" s="260"/>
      <c r="S10278" s="260"/>
      <c r="T10278" s="260"/>
      <c r="U10278" s="260"/>
      <c r="V10278" s="260"/>
      <c r="W10278" s="260"/>
      <c r="X10278" s="259"/>
      <c r="Y10278" s="259"/>
      <c r="Z10278" s="260"/>
      <c r="AA10278" s="260"/>
      <c r="AB10278" s="260"/>
      <c r="AC10278" s="260"/>
      <c r="AD10278" s="259"/>
      <c r="AE10278" s="259"/>
      <c r="AF10278" s="260"/>
      <c r="AG10278" s="330"/>
    </row>
    <row r="10279" spans="14:33" hidden="1">
      <c r="N10279" s="239"/>
      <c r="O10279" s="225"/>
      <c r="P10279" s="260"/>
      <c r="Q10279" s="328"/>
      <c r="R10279" s="260"/>
      <c r="S10279" s="260"/>
      <c r="T10279" s="260"/>
      <c r="U10279" s="260"/>
      <c r="V10279" s="260"/>
      <c r="W10279" s="260"/>
      <c r="X10279" s="259"/>
      <c r="Y10279" s="259"/>
      <c r="Z10279" s="260"/>
      <c r="AA10279" s="260"/>
      <c r="AB10279" s="260"/>
      <c r="AC10279" s="260"/>
      <c r="AD10279" s="259"/>
      <c r="AE10279" s="259"/>
      <c r="AF10279" s="260"/>
      <c r="AG10279" s="330"/>
    </row>
    <row r="10280" spans="14:33" hidden="1">
      <c r="N10280" s="239"/>
      <c r="O10280" s="225"/>
      <c r="P10280" s="260"/>
      <c r="Q10280" s="328"/>
      <c r="R10280" s="260"/>
      <c r="S10280" s="260"/>
      <c r="T10280" s="260"/>
      <c r="U10280" s="260"/>
      <c r="V10280" s="260"/>
      <c r="W10280" s="260"/>
      <c r="X10280" s="259"/>
      <c r="Y10280" s="259"/>
      <c r="Z10280" s="260"/>
      <c r="AA10280" s="260"/>
      <c r="AB10280" s="260"/>
      <c r="AC10280" s="260"/>
      <c r="AD10280" s="259"/>
      <c r="AE10280" s="259"/>
      <c r="AF10280" s="260"/>
      <c r="AG10280" s="330"/>
    </row>
    <row r="10281" spans="14:33" hidden="1">
      <c r="N10281" s="239"/>
      <c r="O10281" s="225"/>
      <c r="P10281" s="260"/>
      <c r="Q10281" s="328"/>
      <c r="R10281" s="260"/>
      <c r="S10281" s="260"/>
      <c r="T10281" s="260"/>
      <c r="U10281" s="260"/>
      <c r="V10281" s="260"/>
      <c r="W10281" s="260"/>
      <c r="X10281" s="259"/>
      <c r="Y10281" s="259"/>
      <c r="Z10281" s="260"/>
      <c r="AA10281" s="260"/>
      <c r="AB10281" s="260"/>
      <c r="AC10281" s="260"/>
      <c r="AD10281" s="259"/>
      <c r="AE10281" s="259"/>
      <c r="AF10281" s="260"/>
      <c r="AG10281" s="330"/>
    </row>
    <row r="10282" spans="14:33" hidden="1">
      <c r="N10282" s="239"/>
      <c r="O10282" s="225"/>
      <c r="P10282" s="260"/>
      <c r="Q10282" s="328"/>
      <c r="R10282" s="260"/>
      <c r="S10282" s="260"/>
      <c r="T10282" s="260"/>
      <c r="U10282" s="260"/>
      <c r="V10282" s="260"/>
      <c r="W10282" s="260"/>
      <c r="X10282" s="259"/>
      <c r="Y10282" s="259"/>
      <c r="Z10282" s="260"/>
      <c r="AA10282" s="260"/>
      <c r="AB10282" s="260"/>
      <c r="AC10282" s="260"/>
      <c r="AD10282" s="259"/>
      <c r="AE10282" s="259"/>
      <c r="AF10282" s="260"/>
      <c r="AG10282" s="330"/>
    </row>
    <row r="10283" spans="14:33" hidden="1">
      <c r="N10283" s="239"/>
      <c r="O10283" s="225"/>
      <c r="P10283" s="260"/>
      <c r="Q10283" s="328"/>
      <c r="R10283" s="260"/>
      <c r="S10283" s="260"/>
      <c r="T10283" s="260"/>
      <c r="U10283" s="260"/>
      <c r="V10283" s="260"/>
      <c r="W10283" s="260"/>
      <c r="X10283" s="259"/>
      <c r="Y10283" s="259"/>
      <c r="Z10283" s="260"/>
      <c r="AA10283" s="260"/>
      <c r="AB10283" s="260"/>
      <c r="AC10283" s="260"/>
      <c r="AD10283" s="259"/>
      <c r="AE10283" s="259"/>
      <c r="AF10283" s="260"/>
      <c r="AG10283" s="330"/>
    </row>
    <row r="10284" spans="14:33" hidden="1">
      <c r="N10284" s="239"/>
      <c r="O10284" s="225"/>
      <c r="P10284" s="260"/>
      <c r="Q10284" s="328"/>
      <c r="R10284" s="260"/>
      <c r="S10284" s="260"/>
      <c r="T10284" s="260"/>
      <c r="U10284" s="260"/>
      <c r="V10284" s="260"/>
      <c r="W10284" s="260"/>
      <c r="X10284" s="259"/>
      <c r="Y10284" s="259"/>
      <c r="Z10284" s="260"/>
      <c r="AA10284" s="260"/>
      <c r="AB10284" s="260"/>
      <c r="AC10284" s="260"/>
      <c r="AD10284" s="259"/>
      <c r="AE10284" s="259"/>
      <c r="AF10284" s="260"/>
      <c r="AG10284" s="330"/>
    </row>
    <row r="10285" spans="14:33" hidden="1">
      <c r="N10285" s="239"/>
      <c r="O10285" s="225"/>
      <c r="P10285" s="260"/>
      <c r="Q10285" s="328"/>
      <c r="R10285" s="260"/>
      <c r="S10285" s="260"/>
      <c r="T10285" s="260"/>
      <c r="U10285" s="260"/>
      <c r="V10285" s="260"/>
      <c r="W10285" s="260"/>
      <c r="X10285" s="259"/>
      <c r="Y10285" s="259"/>
      <c r="Z10285" s="260"/>
      <c r="AA10285" s="260"/>
      <c r="AB10285" s="260"/>
      <c r="AC10285" s="260"/>
      <c r="AD10285" s="259"/>
      <c r="AE10285" s="259"/>
      <c r="AF10285" s="260"/>
      <c r="AG10285" s="330"/>
    </row>
    <row r="10286" spans="14:33" hidden="1">
      <c r="N10286" s="239"/>
      <c r="O10286" s="225"/>
      <c r="P10286" s="260"/>
      <c r="Q10286" s="328"/>
      <c r="R10286" s="260"/>
      <c r="S10286" s="260"/>
      <c r="T10286" s="260"/>
      <c r="U10286" s="260"/>
      <c r="V10286" s="260"/>
      <c r="W10286" s="260"/>
      <c r="X10286" s="259"/>
      <c r="Y10286" s="259"/>
      <c r="Z10286" s="260"/>
      <c r="AA10286" s="260"/>
      <c r="AB10286" s="260"/>
      <c r="AC10286" s="260"/>
      <c r="AD10286" s="259"/>
      <c r="AE10286" s="259"/>
      <c r="AF10286" s="260"/>
      <c r="AG10286" s="330"/>
    </row>
    <row r="10287" spans="14:33" hidden="1">
      <c r="N10287" s="239"/>
      <c r="O10287" s="225"/>
      <c r="P10287" s="260"/>
      <c r="Q10287" s="328"/>
      <c r="R10287" s="260"/>
      <c r="S10287" s="260"/>
      <c r="T10287" s="260"/>
      <c r="U10287" s="260"/>
      <c r="V10287" s="260"/>
      <c r="W10287" s="260"/>
      <c r="X10287" s="259"/>
      <c r="Y10287" s="259"/>
      <c r="Z10287" s="260"/>
      <c r="AA10287" s="260"/>
      <c r="AB10287" s="260"/>
      <c r="AC10287" s="260"/>
      <c r="AD10287" s="259"/>
      <c r="AE10287" s="259"/>
      <c r="AF10287" s="260"/>
      <c r="AG10287" s="330"/>
    </row>
    <row r="10288" spans="14:33" hidden="1">
      <c r="N10288" s="239"/>
      <c r="O10288" s="225"/>
      <c r="P10288" s="260"/>
      <c r="Q10288" s="328"/>
      <c r="R10288" s="260"/>
      <c r="S10288" s="260"/>
      <c r="T10288" s="260"/>
      <c r="U10288" s="260"/>
      <c r="V10288" s="260"/>
      <c r="W10288" s="260"/>
      <c r="X10288" s="259"/>
      <c r="Y10288" s="259"/>
      <c r="Z10288" s="260"/>
      <c r="AA10288" s="260"/>
      <c r="AB10288" s="260"/>
      <c r="AC10288" s="260"/>
      <c r="AD10288" s="259"/>
      <c r="AE10288" s="259"/>
      <c r="AF10288" s="260"/>
      <c r="AG10288" s="330"/>
    </row>
    <row r="10289" spans="14:33" hidden="1">
      <c r="N10289" s="239"/>
      <c r="O10289" s="225"/>
      <c r="P10289" s="260"/>
      <c r="Q10289" s="328"/>
      <c r="R10289" s="260"/>
      <c r="S10289" s="260"/>
      <c r="T10289" s="260"/>
      <c r="U10289" s="260"/>
      <c r="V10289" s="260"/>
      <c r="W10289" s="260"/>
      <c r="X10289" s="259"/>
      <c r="Y10289" s="259"/>
      <c r="Z10289" s="260"/>
      <c r="AA10289" s="260"/>
      <c r="AB10289" s="260"/>
      <c r="AC10289" s="260"/>
      <c r="AD10289" s="259"/>
      <c r="AE10289" s="259"/>
      <c r="AF10289" s="260"/>
      <c r="AG10289" s="330"/>
    </row>
    <row r="10290" spans="14:33" hidden="1">
      <c r="N10290" s="239"/>
      <c r="O10290" s="225"/>
      <c r="P10290" s="260"/>
      <c r="Q10290" s="328"/>
      <c r="R10290" s="260"/>
      <c r="S10290" s="260"/>
      <c r="T10290" s="260"/>
      <c r="U10290" s="260"/>
      <c r="V10290" s="260"/>
      <c r="W10290" s="260"/>
      <c r="X10290" s="259"/>
      <c r="Y10290" s="259"/>
      <c r="Z10290" s="260"/>
      <c r="AA10290" s="260"/>
      <c r="AB10290" s="260"/>
      <c r="AC10290" s="260"/>
      <c r="AD10290" s="259"/>
      <c r="AE10290" s="259"/>
      <c r="AF10290" s="260"/>
      <c r="AG10290" s="330"/>
    </row>
    <row r="10291" spans="14:33" hidden="1">
      <c r="N10291" s="239"/>
      <c r="O10291" s="225"/>
      <c r="P10291" s="260"/>
      <c r="Q10291" s="328"/>
      <c r="R10291" s="260"/>
      <c r="S10291" s="260"/>
      <c r="T10291" s="260"/>
      <c r="U10291" s="260"/>
      <c r="V10291" s="260"/>
      <c r="W10291" s="260"/>
      <c r="X10291" s="259"/>
      <c r="Y10291" s="259"/>
      <c r="Z10291" s="260"/>
      <c r="AA10291" s="260"/>
      <c r="AB10291" s="260"/>
      <c r="AC10291" s="260"/>
      <c r="AD10291" s="259"/>
      <c r="AE10291" s="259"/>
      <c r="AF10291" s="260"/>
      <c r="AG10291" s="330"/>
    </row>
    <row r="10292" spans="14:33" hidden="1">
      <c r="N10292" s="239"/>
      <c r="O10292" s="225"/>
      <c r="P10292" s="260"/>
      <c r="Q10292" s="328"/>
      <c r="R10292" s="260"/>
      <c r="S10292" s="260"/>
      <c r="T10292" s="260"/>
      <c r="U10292" s="260"/>
      <c r="V10292" s="260"/>
      <c r="W10292" s="260"/>
      <c r="X10292" s="259"/>
      <c r="Y10292" s="259"/>
      <c r="Z10292" s="260"/>
      <c r="AA10292" s="260"/>
      <c r="AB10292" s="260"/>
      <c r="AC10292" s="260"/>
      <c r="AD10292" s="259"/>
      <c r="AE10292" s="259"/>
      <c r="AF10292" s="260"/>
      <c r="AG10292" s="330"/>
    </row>
    <row r="10293" spans="14:33" hidden="1">
      <c r="N10293" s="239"/>
      <c r="O10293" s="225"/>
      <c r="P10293" s="260"/>
      <c r="Q10293" s="328"/>
      <c r="R10293" s="260"/>
      <c r="S10293" s="260"/>
      <c r="T10293" s="260"/>
      <c r="U10293" s="260"/>
      <c r="V10293" s="260"/>
      <c r="W10293" s="260"/>
      <c r="X10293" s="259"/>
      <c r="Y10293" s="259"/>
      <c r="Z10293" s="260"/>
      <c r="AA10293" s="260"/>
      <c r="AB10293" s="260"/>
      <c r="AC10293" s="260"/>
      <c r="AD10293" s="259"/>
      <c r="AE10293" s="259"/>
      <c r="AF10293" s="260"/>
      <c r="AG10293" s="330"/>
    </row>
    <row r="10294" spans="14:33" hidden="1">
      <c r="N10294" s="239"/>
      <c r="O10294" s="225"/>
      <c r="P10294" s="260"/>
      <c r="Q10294" s="328"/>
      <c r="R10294" s="260"/>
      <c r="S10294" s="260"/>
      <c r="T10294" s="260"/>
      <c r="U10294" s="260"/>
      <c r="V10294" s="260"/>
      <c r="W10294" s="260"/>
      <c r="X10294" s="259"/>
      <c r="Y10294" s="259"/>
      <c r="Z10294" s="260"/>
      <c r="AA10294" s="260"/>
      <c r="AB10294" s="260"/>
      <c r="AC10294" s="260"/>
      <c r="AD10294" s="259"/>
      <c r="AE10294" s="259"/>
      <c r="AF10294" s="260"/>
      <c r="AG10294" s="330"/>
    </row>
    <row r="10295" spans="14:33" hidden="1">
      <c r="N10295" s="239"/>
      <c r="O10295" s="225"/>
      <c r="P10295" s="260"/>
      <c r="Q10295" s="328"/>
      <c r="R10295" s="260"/>
      <c r="S10295" s="260"/>
      <c r="T10295" s="260"/>
      <c r="U10295" s="260"/>
      <c r="V10295" s="260"/>
      <c r="W10295" s="260"/>
      <c r="X10295" s="259"/>
      <c r="Y10295" s="259"/>
      <c r="Z10295" s="260"/>
      <c r="AA10295" s="260"/>
      <c r="AB10295" s="260"/>
      <c r="AC10295" s="260"/>
      <c r="AD10295" s="259"/>
      <c r="AE10295" s="259"/>
      <c r="AF10295" s="260"/>
      <c r="AG10295" s="330"/>
    </row>
    <row r="10296" spans="14:33" hidden="1">
      <c r="N10296" s="239"/>
      <c r="O10296" s="225"/>
      <c r="P10296" s="260"/>
      <c r="Q10296" s="328"/>
      <c r="R10296" s="260"/>
      <c r="S10296" s="260"/>
      <c r="T10296" s="260"/>
      <c r="U10296" s="260"/>
      <c r="V10296" s="260"/>
      <c r="W10296" s="260"/>
      <c r="X10296" s="259"/>
      <c r="Y10296" s="259"/>
      <c r="Z10296" s="260"/>
      <c r="AA10296" s="260"/>
      <c r="AB10296" s="260"/>
      <c r="AC10296" s="260"/>
      <c r="AD10296" s="259"/>
      <c r="AE10296" s="259"/>
      <c r="AF10296" s="260"/>
      <c r="AG10296" s="330"/>
    </row>
    <row r="10297" spans="14:33" hidden="1">
      <c r="N10297" s="239"/>
      <c r="O10297" s="225"/>
      <c r="P10297" s="260"/>
      <c r="Q10297" s="328"/>
      <c r="R10297" s="260"/>
      <c r="S10297" s="260"/>
      <c r="T10297" s="260"/>
      <c r="U10297" s="260"/>
      <c r="V10297" s="260"/>
      <c r="W10297" s="260"/>
      <c r="X10297" s="259"/>
      <c r="Y10297" s="259"/>
      <c r="Z10297" s="260"/>
      <c r="AA10297" s="260"/>
      <c r="AB10297" s="260"/>
      <c r="AC10297" s="260"/>
      <c r="AD10297" s="259"/>
      <c r="AE10297" s="259"/>
      <c r="AF10297" s="260"/>
      <c r="AG10297" s="330"/>
    </row>
    <row r="10298" spans="14:33" hidden="1">
      <c r="N10298" s="239"/>
      <c r="O10298" s="225"/>
      <c r="P10298" s="260"/>
      <c r="Q10298" s="328"/>
      <c r="R10298" s="260"/>
      <c r="S10298" s="260"/>
      <c r="T10298" s="260"/>
      <c r="U10298" s="260"/>
      <c r="V10298" s="260"/>
      <c r="W10298" s="260"/>
      <c r="X10298" s="259"/>
      <c r="Y10298" s="259"/>
      <c r="Z10298" s="260"/>
      <c r="AA10298" s="260"/>
      <c r="AB10298" s="260"/>
      <c r="AC10298" s="260"/>
      <c r="AD10298" s="259"/>
      <c r="AE10298" s="259"/>
      <c r="AF10298" s="260"/>
      <c r="AG10298" s="330"/>
    </row>
    <row r="10299" spans="14:33" hidden="1">
      <c r="N10299" s="239"/>
      <c r="O10299" s="225"/>
      <c r="P10299" s="260"/>
      <c r="Q10299" s="328"/>
      <c r="R10299" s="260"/>
      <c r="S10299" s="260"/>
      <c r="T10299" s="260"/>
      <c r="U10299" s="260"/>
      <c r="V10299" s="260"/>
      <c r="W10299" s="260"/>
      <c r="X10299" s="259"/>
      <c r="Y10299" s="259"/>
      <c r="Z10299" s="260"/>
      <c r="AA10299" s="260"/>
      <c r="AB10299" s="260"/>
      <c r="AC10299" s="260"/>
      <c r="AD10299" s="259"/>
      <c r="AE10299" s="259"/>
      <c r="AF10299" s="260"/>
      <c r="AG10299" s="330"/>
    </row>
    <row r="10300" spans="14:33" hidden="1">
      <c r="N10300" s="239"/>
      <c r="O10300" s="225"/>
      <c r="P10300" s="260"/>
      <c r="Q10300" s="328"/>
      <c r="R10300" s="260"/>
      <c r="S10300" s="260"/>
      <c r="T10300" s="260"/>
      <c r="U10300" s="260"/>
      <c r="V10300" s="260"/>
      <c r="W10300" s="260"/>
      <c r="X10300" s="259"/>
      <c r="Y10300" s="259"/>
      <c r="Z10300" s="260"/>
      <c r="AA10300" s="260"/>
      <c r="AB10300" s="260"/>
      <c r="AC10300" s="260"/>
      <c r="AD10300" s="259"/>
      <c r="AE10300" s="259"/>
      <c r="AF10300" s="260"/>
      <c r="AG10300" s="330"/>
    </row>
    <row r="10301" spans="14:33" hidden="1">
      <c r="N10301" s="239"/>
      <c r="O10301" s="225"/>
      <c r="P10301" s="260"/>
      <c r="Q10301" s="328"/>
      <c r="R10301" s="260"/>
      <c r="S10301" s="260"/>
      <c r="T10301" s="260"/>
      <c r="U10301" s="260"/>
      <c r="V10301" s="260"/>
      <c r="W10301" s="260"/>
      <c r="X10301" s="259"/>
      <c r="Y10301" s="259"/>
      <c r="Z10301" s="260"/>
      <c r="AA10301" s="260"/>
      <c r="AB10301" s="260"/>
      <c r="AC10301" s="260"/>
      <c r="AD10301" s="259"/>
      <c r="AE10301" s="259"/>
      <c r="AF10301" s="260"/>
      <c r="AG10301" s="330"/>
    </row>
    <row r="10302" spans="14:33" hidden="1">
      <c r="N10302" s="239"/>
      <c r="O10302" s="225"/>
      <c r="P10302" s="260"/>
      <c r="Q10302" s="328"/>
      <c r="R10302" s="260"/>
      <c r="S10302" s="260"/>
      <c r="T10302" s="260"/>
      <c r="U10302" s="260"/>
      <c r="V10302" s="260"/>
      <c r="W10302" s="260"/>
      <c r="X10302" s="259"/>
      <c r="Y10302" s="259"/>
      <c r="Z10302" s="260"/>
      <c r="AA10302" s="260"/>
      <c r="AB10302" s="260"/>
      <c r="AC10302" s="260"/>
      <c r="AD10302" s="259"/>
      <c r="AE10302" s="259"/>
      <c r="AF10302" s="260"/>
      <c r="AG10302" s="330"/>
    </row>
    <row r="10303" spans="14:33" hidden="1">
      <c r="N10303" s="239"/>
      <c r="O10303" s="225"/>
      <c r="P10303" s="260"/>
      <c r="Q10303" s="328"/>
      <c r="R10303" s="260"/>
      <c r="S10303" s="260"/>
      <c r="T10303" s="260"/>
      <c r="U10303" s="260"/>
      <c r="V10303" s="260"/>
      <c r="W10303" s="260"/>
      <c r="X10303" s="259"/>
      <c r="Y10303" s="259"/>
      <c r="Z10303" s="260"/>
      <c r="AA10303" s="260"/>
      <c r="AB10303" s="260"/>
      <c r="AC10303" s="260"/>
      <c r="AD10303" s="259"/>
      <c r="AE10303" s="259"/>
      <c r="AF10303" s="260"/>
      <c r="AG10303" s="330"/>
    </row>
    <row r="10304" spans="14:33" hidden="1">
      <c r="N10304" s="239"/>
      <c r="O10304" s="225"/>
      <c r="P10304" s="260"/>
      <c r="Q10304" s="328"/>
      <c r="R10304" s="260"/>
      <c r="S10304" s="260"/>
      <c r="T10304" s="260"/>
      <c r="U10304" s="260"/>
      <c r="V10304" s="260"/>
      <c r="W10304" s="260"/>
      <c r="X10304" s="259"/>
      <c r="Y10304" s="259"/>
      <c r="Z10304" s="260"/>
      <c r="AA10304" s="260"/>
      <c r="AB10304" s="260"/>
      <c r="AC10304" s="260"/>
      <c r="AD10304" s="259"/>
      <c r="AE10304" s="259"/>
      <c r="AF10304" s="260"/>
      <c r="AG10304" s="330"/>
    </row>
    <row r="10305" spans="14:33" hidden="1">
      <c r="N10305" s="239"/>
      <c r="O10305" s="225"/>
      <c r="P10305" s="260"/>
      <c r="Q10305" s="328"/>
      <c r="R10305" s="260"/>
      <c r="S10305" s="260"/>
      <c r="T10305" s="260"/>
      <c r="U10305" s="260"/>
      <c r="V10305" s="260"/>
      <c r="W10305" s="260"/>
      <c r="X10305" s="259"/>
      <c r="Y10305" s="259"/>
      <c r="Z10305" s="260"/>
      <c r="AA10305" s="260"/>
      <c r="AB10305" s="260"/>
      <c r="AC10305" s="260"/>
      <c r="AD10305" s="259"/>
      <c r="AE10305" s="259"/>
      <c r="AF10305" s="260"/>
      <c r="AG10305" s="330"/>
    </row>
    <row r="10306" spans="14:33" hidden="1">
      <c r="N10306" s="239"/>
      <c r="O10306" s="225"/>
      <c r="P10306" s="260"/>
      <c r="Q10306" s="328"/>
      <c r="R10306" s="260"/>
      <c r="S10306" s="260"/>
      <c r="T10306" s="260"/>
      <c r="U10306" s="260"/>
      <c r="V10306" s="260"/>
      <c r="W10306" s="260"/>
      <c r="X10306" s="259"/>
      <c r="Y10306" s="259"/>
      <c r="Z10306" s="260"/>
      <c r="AA10306" s="260"/>
      <c r="AB10306" s="260"/>
      <c r="AC10306" s="260"/>
      <c r="AD10306" s="259"/>
      <c r="AE10306" s="259"/>
      <c r="AF10306" s="260"/>
      <c r="AG10306" s="330"/>
    </row>
    <row r="10307" spans="14:33" hidden="1">
      <c r="N10307" s="239"/>
      <c r="O10307" s="225"/>
      <c r="P10307" s="260"/>
      <c r="Q10307" s="328"/>
      <c r="R10307" s="260"/>
      <c r="S10307" s="260"/>
      <c r="T10307" s="260"/>
      <c r="U10307" s="260"/>
      <c r="V10307" s="260"/>
      <c r="W10307" s="260"/>
      <c r="X10307" s="259"/>
      <c r="Y10307" s="259"/>
      <c r="Z10307" s="260"/>
      <c r="AA10307" s="260"/>
      <c r="AB10307" s="260"/>
      <c r="AC10307" s="260"/>
      <c r="AD10307" s="259"/>
      <c r="AE10307" s="259"/>
      <c r="AF10307" s="260"/>
      <c r="AG10307" s="330"/>
    </row>
    <row r="10308" spans="14:33" hidden="1">
      <c r="N10308" s="239"/>
      <c r="O10308" s="225"/>
      <c r="P10308" s="260"/>
      <c r="Q10308" s="328"/>
      <c r="R10308" s="260"/>
      <c r="S10308" s="260"/>
      <c r="T10308" s="260"/>
      <c r="U10308" s="260"/>
      <c r="V10308" s="260"/>
      <c r="W10308" s="260"/>
      <c r="X10308" s="259"/>
      <c r="Y10308" s="259"/>
      <c r="Z10308" s="260"/>
      <c r="AA10308" s="260"/>
      <c r="AB10308" s="260"/>
      <c r="AC10308" s="260"/>
      <c r="AD10308" s="259"/>
      <c r="AE10308" s="259"/>
      <c r="AF10308" s="260"/>
      <c r="AG10308" s="330"/>
    </row>
    <row r="10309" spans="14:33" hidden="1">
      <c r="N10309" s="239"/>
      <c r="O10309" s="225"/>
      <c r="P10309" s="260"/>
      <c r="Q10309" s="328"/>
      <c r="R10309" s="260"/>
      <c r="S10309" s="260"/>
      <c r="T10309" s="260"/>
      <c r="U10309" s="260"/>
      <c r="V10309" s="260"/>
      <c r="W10309" s="260"/>
      <c r="X10309" s="259"/>
      <c r="Y10309" s="259"/>
      <c r="Z10309" s="260"/>
      <c r="AA10309" s="260"/>
      <c r="AB10309" s="260"/>
      <c r="AC10309" s="260"/>
      <c r="AD10309" s="259"/>
      <c r="AE10309" s="259"/>
      <c r="AF10309" s="260"/>
      <c r="AG10309" s="330"/>
    </row>
    <row r="10310" spans="14:33" hidden="1">
      <c r="N10310" s="239"/>
      <c r="O10310" s="225"/>
      <c r="P10310" s="260"/>
      <c r="Q10310" s="328"/>
      <c r="R10310" s="260"/>
      <c r="S10310" s="260"/>
      <c r="T10310" s="260"/>
      <c r="U10310" s="260"/>
      <c r="V10310" s="260"/>
      <c r="W10310" s="260"/>
      <c r="X10310" s="259"/>
      <c r="Y10310" s="259"/>
      <c r="Z10310" s="260"/>
      <c r="AA10310" s="260"/>
      <c r="AB10310" s="260"/>
      <c r="AC10310" s="260"/>
      <c r="AD10310" s="259"/>
      <c r="AE10310" s="259"/>
      <c r="AF10310" s="260"/>
      <c r="AG10310" s="330"/>
    </row>
    <row r="10311" spans="14:33" hidden="1">
      <c r="N10311" s="239"/>
      <c r="O10311" s="225"/>
      <c r="P10311" s="260"/>
      <c r="Q10311" s="328"/>
      <c r="R10311" s="260"/>
      <c r="S10311" s="260"/>
      <c r="T10311" s="260"/>
      <c r="U10311" s="260"/>
      <c r="V10311" s="260"/>
      <c r="W10311" s="260"/>
      <c r="X10311" s="259"/>
      <c r="Y10311" s="259"/>
      <c r="Z10311" s="260"/>
      <c r="AA10311" s="260"/>
      <c r="AB10311" s="260"/>
      <c r="AC10311" s="260"/>
      <c r="AD10311" s="259"/>
      <c r="AE10311" s="259"/>
      <c r="AF10311" s="260"/>
      <c r="AG10311" s="330"/>
    </row>
    <row r="10312" spans="14:33" hidden="1">
      <c r="N10312" s="239"/>
      <c r="O10312" s="225"/>
      <c r="P10312" s="260"/>
      <c r="Q10312" s="328"/>
      <c r="R10312" s="260"/>
      <c r="S10312" s="260"/>
      <c r="T10312" s="260"/>
      <c r="U10312" s="260"/>
      <c r="V10312" s="260"/>
      <c r="W10312" s="260"/>
      <c r="X10312" s="259"/>
      <c r="Y10312" s="259"/>
      <c r="Z10312" s="260"/>
      <c r="AA10312" s="260"/>
      <c r="AB10312" s="260"/>
      <c r="AC10312" s="260"/>
      <c r="AD10312" s="259"/>
      <c r="AE10312" s="259"/>
      <c r="AF10312" s="260"/>
      <c r="AG10312" s="330"/>
    </row>
    <row r="10313" spans="14:33" hidden="1">
      <c r="N10313" s="239"/>
      <c r="O10313" s="225"/>
      <c r="P10313" s="260"/>
      <c r="Q10313" s="328"/>
      <c r="R10313" s="260"/>
      <c r="S10313" s="260"/>
      <c r="T10313" s="260"/>
      <c r="U10313" s="260"/>
      <c r="V10313" s="260"/>
      <c r="W10313" s="260"/>
      <c r="X10313" s="259"/>
      <c r="Y10313" s="259"/>
      <c r="Z10313" s="260"/>
      <c r="AA10313" s="260"/>
      <c r="AB10313" s="260"/>
      <c r="AC10313" s="260"/>
      <c r="AD10313" s="259"/>
      <c r="AE10313" s="259"/>
      <c r="AF10313" s="260"/>
      <c r="AG10313" s="330"/>
    </row>
    <row r="10314" spans="14:33" hidden="1">
      <c r="N10314" s="239"/>
      <c r="O10314" s="225"/>
      <c r="P10314" s="260"/>
      <c r="Q10314" s="328"/>
      <c r="R10314" s="260"/>
      <c r="S10314" s="260"/>
      <c r="T10314" s="260"/>
      <c r="U10314" s="260"/>
      <c r="V10314" s="260"/>
      <c r="W10314" s="260"/>
      <c r="X10314" s="259"/>
      <c r="Y10314" s="259"/>
      <c r="Z10314" s="260"/>
      <c r="AA10314" s="260"/>
      <c r="AB10314" s="260"/>
      <c r="AC10314" s="260"/>
      <c r="AD10314" s="259"/>
      <c r="AE10314" s="259"/>
      <c r="AF10314" s="260"/>
      <c r="AG10314" s="330"/>
    </row>
    <row r="10315" spans="14:33" hidden="1">
      <c r="N10315" s="239"/>
      <c r="O10315" s="225"/>
      <c r="P10315" s="260"/>
      <c r="Q10315" s="328"/>
      <c r="R10315" s="260"/>
      <c r="S10315" s="260"/>
      <c r="T10315" s="260"/>
      <c r="U10315" s="260"/>
      <c r="V10315" s="260"/>
      <c r="W10315" s="260"/>
      <c r="X10315" s="259"/>
      <c r="Y10315" s="259"/>
      <c r="Z10315" s="260"/>
      <c r="AA10315" s="260"/>
      <c r="AB10315" s="260"/>
      <c r="AC10315" s="260"/>
      <c r="AD10315" s="259"/>
      <c r="AE10315" s="259"/>
      <c r="AF10315" s="260"/>
      <c r="AG10315" s="330"/>
    </row>
    <row r="10316" spans="14:33" hidden="1">
      <c r="N10316" s="239"/>
      <c r="O10316" s="225"/>
      <c r="P10316" s="260"/>
      <c r="Q10316" s="328"/>
      <c r="R10316" s="260"/>
      <c r="S10316" s="260"/>
      <c r="T10316" s="260"/>
      <c r="U10316" s="260"/>
      <c r="V10316" s="260"/>
      <c r="W10316" s="260"/>
      <c r="X10316" s="259"/>
      <c r="Y10316" s="259"/>
      <c r="Z10316" s="260"/>
      <c r="AA10316" s="260"/>
      <c r="AB10316" s="260"/>
      <c r="AC10316" s="260"/>
      <c r="AD10316" s="259"/>
      <c r="AE10316" s="259"/>
      <c r="AF10316" s="260"/>
      <c r="AG10316" s="330"/>
    </row>
    <row r="10317" spans="14:33" hidden="1">
      <c r="N10317" s="239"/>
      <c r="O10317" s="225"/>
      <c r="P10317" s="260"/>
      <c r="Q10317" s="328"/>
      <c r="R10317" s="260"/>
      <c r="S10317" s="260"/>
      <c r="T10317" s="260"/>
      <c r="U10317" s="260"/>
      <c r="V10317" s="260"/>
      <c r="W10317" s="260"/>
      <c r="X10317" s="259"/>
      <c r="Y10317" s="259"/>
      <c r="Z10317" s="260"/>
      <c r="AA10317" s="260"/>
      <c r="AB10317" s="260"/>
      <c r="AC10317" s="260"/>
      <c r="AD10317" s="259"/>
      <c r="AE10317" s="259"/>
      <c r="AF10317" s="260"/>
      <c r="AG10317" s="330"/>
    </row>
    <row r="10318" spans="14:33" hidden="1">
      <c r="N10318" s="239"/>
      <c r="O10318" s="225"/>
      <c r="P10318" s="260"/>
      <c r="Q10318" s="328"/>
      <c r="R10318" s="260"/>
      <c r="S10318" s="260"/>
      <c r="T10318" s="260"/>
      <c r="U10318" s="260"/>
      <c r="V10318" s="260"/>
      <c r="W10318" s="260"/>
      <c r="X10318" s="259"/>
      <c r="Y10318" s="259"/>
      <c r="Z10318" s="260"/>
      <c r="AA10318" s="260"/>
      <c r="AB10318" s="260"/>
      <c r="AC10318" s="260"/>
      <c r="AD10318" s="259"/>
      <c r="AE10318" s="259"/>
      <c r="AF10318" s="260"/>
      <c r="AG10318" s="330"/>
    </row>
    <row r="10319" spans="14:33" hidden="1">
      <c r="N10319" s="239"/>
      <c r="O10319" s="225"/>
      <c r="P10319" s="260"/>
      <c r="Q10319" s="328"/>
      <c r="R10319" s="260"/>
      <c r="S10319" s="260"/>
      <c r="T10319" s="260"/>
      <c r="U10319" s="260"/>
      <c r="V10319" s="260"/>
      <c r="W10319" s="260"/>
      <c r="X10319" s="259"/>
      <c r="Y10319" s="259"/>
      <c r="Z10319" s="260"/>
      <c r="AA10319" s="260"/>
      <c r="AB10319" s="260"/>
      <c r="AC10319" s="260"/>
      <c r="AD10319" s="259"/>
      <c r="AE10319" s="259"/>
      <c r="AF10319" s="260"/>
      <c r="AG10319" s="330"/>
    </row>
    <row r="10320" spans="14:33" hidden="1">
      <c r="N10320" s="239"/>
      <c r="O10320" s="225"/>
      <c r="P10320" s="260"/>
      <c r="Q10320" s="328"/>
      <c r="R10320" s="260"/>
      <c r="S10320" s="260"/>
      <c r="T10320" s="260"/>
      <c r="U10320" s="260"/>
      <c r="V10320" s="260"/>
      <c r="W10320" s="260"/>
      <c r="X10320" s="259"/>
      <c r="Y10320" s="259"/>
      <c r="Z10320" s="260"/>
      <c r="AA10320" s="260"/>
      <c r="AB10320" s="260"/>
      <c r="AC10320" s="260"/>
      <c r="AD10320" s="259"/>
      <c r="AE10320" s="259"/>
      <c r="AF10320" s="260"/>
      <c r="AG10320" s="330"/>
    </row>
    <row r="10321" spans="14:33" hidden="1">
      <c r="N10321" s="239"/>
      <c r="O10321" s="225"/>
      <c r="P10321" s="260"/>
      <c r="Q10321" s="328"/>
      <c r="R10321" s="260"/>
      <c r="S10321" s="260"/>
      <c r="T10321" s="260"/>
      <c r="U10321" s="260"/>
      <c r="V10321" s="260"/>
      <c r="W10321" s="260"/>
      <c r="X10321" s="259"/>
      <c r="Y10321" s="259"/>
      <c r="Z10321" s="260"/>
      <c r="AA10321" s="260"/>
      <c r="AB10321" s="260"/>
      <c r="AC10321" s="260"/>
      <c r="AD10321" s="259"/>
      <c r="AE10321" s="259"/>
      <c r="AF10321" s="260"/>
      <c r="AG10321" s="330"/>
    </row>
    <row r="10322" spans="14:33" hidden="1">
      <c r="N10322" s="239"/>
      <c r="O10322" s="225"/>
      <c r="P10322" s="260"/>
      <c r="Q10322" s="328"/>
      <c r="R10322" s="260"/>
      <c r="S10322" s="260"/>
      <c r="T10322" s="260"/>
      <c r="U10322" s="260"/>
      <c r="V10322" s="260"/>
      <c r="W10322" s="260"/>
      <c r="X10322" s="259"/>
      <c r="Y10322" s="259"/>
      <c r="Z10322" s="260"/>
      <c r="AA10322" s="260"/>
      <c r="AB10322" s="260"/>
      <c r="AC10322" s="260"/>
      <c r="AD10322" s="259"/>
      <c r="AE10322" s="259"/>
      <c r="AF10322" s="260"/>
      <c r="AG10322" s="330"/>
    </row>
    <row r="10323" spans="14:33" hidden="1">
      <c r="N10323" s="239"/>
      <c r="O10323" s="225"/>
      <c r="P10323" s="260"/>
      <c r="Q10323" s="328"/>
      <c r="R10323" s="260"/>
      <c r="S10323" s="260"/>
      <c r="T10323" s="260"/>
      <c r="U10323" s="260"/>
      <c r="V10323" s="260"/>
      <c r="W10323" s="260"/>
      <c r="X10323" s="259"/>
      <c r="Y10323" s="259"/>
      <c r="Z10323" s="260"/>
      <c r="AA10323" s="260"/>
      <c r="AB10323" s="260"/>
      <c r="AC10323" s="260"/>
      <c r="AD10323" s="259"/>
      <c r="AE10323" s="259"/>
      <c r="AF10323" s="260"/>
      <c r="AG10323" s="330"/>
    </row>
    <row r="10324" spans="14:33" hidden="1">
      <c r="N10324" s="239"/>
      <c r="O10324" s="225"/>
      <c r="P10324" s="260"/>
      <c r="Q10324" s="328"/>
      <c r="R10324" s="260"/>
      <c r="S10324" s="260"/>
      <c r="T10324" s="260"/>
      <c r="U10324" s="260"/>
      <c r="V10324" s="260"/>
      <c r="W10324" s="260"/>
      <c r="X10324" s="259"/>
      <c r="Y10324" s="259"/>
      <c r="Z10324" s="260"/>
      <c r="AA10324" s="260"/>
      <c r="AB10324" s="260"/>
      <c r="AC10324" s="260"/>
      <c r="AD10324" s="259"/>
      <c r="AE10324" s="259"/>
      <c r="AF10324" s="260"/>
      <c r="AG10324" s="330"/>
    </row>
    <row r="10325" spans="14:33" hidden="1">
      <c r="N10325" s="239"/>
      <c r="O10325" s="225"/>
      <c r="P10325" s="260"/>
      <c r="Q10325" s="328"/>
      <c r="R10325" s="260"/>
      <c r="S10325" s="260"/>
      <c r="T10325" s="260"/>
      <c r="U10325" s="260"/>
      <c r="V10325" s="260"/>
      <c r="W10325" s="260"/>
      <c r="X10325" s="259"/>
      <c r="Y10325" s="259"/>
      <c r="Z10325" s="260"/>
      <c r="AA10325" s="260"/>
      <c r="AB10325" s="260"/>
      <c r="AC10325" s="260"/>
      <c r="AD10325" s="259"/>
      <c r="AE10325" s="259"/>
      <c r="AF10325" s="260"/>
      <c r="AG10325" s="330"/>
    </row>
    <row r="10326" spans="14:33" hidden="1">
      <c r="N10326" s="239"/>
      <c r="O10326" s="225"/>
      <c r="P10326" s="260"/>
      <c r="Q10326" s="328"/>
      <c r="R10326" s="260"/>
      <c r="S10326" s="260"/>
      <c r="T10326" s="260"/>
      <c r="U10326" s="260"/>
      <c r="V10326" s="260"/>
      <c r="W10326" s="260"/>
      <c r="X10326" s="259"/>
      <c r="Y10326" s="259"/>
      <c r="Z10326" s="260"/>
      <c r="AA10326" s="260"/>
      <c r="AB10326" s="260"/>
      <c r="AC10326" s="260"/>
      <c r="AD10326" s="259"/>
      <c r="AE10326" s="259"/>
      <c r="AF10326" s="260"/>
      <c r="AG10326" s="330"/>
    </row>
    <row r="10327" spans="14:33" hidden="1">
      <c r="N10327" s="239"/>
      <c r="O10327" s="225"/>
      <c r="P10327" s="260"/>
      <c r="Q10327" s="328"/>
      <c r="R10327" s="260"/>
      <c r="S10327" s="260"/>
      <c r="T10327" s="260"/>
      <c r="U10327" s="260"/>
      <c r="V10327" s="260"/>
      <c r="W10327" s="260"/>
      <c r="X10327" s="259"/>
      <c r="Y10327" s="259"/>
      <c r="Z10327" s="260"/>
      <c r="AA10327" s="260"/>
      <c r="AB10327" s="260"/>
      <c r="AC10327" s="260"/>
      <c r="AD10327" s="259"/>
      <c r="AE10327" s="259"/>
      <c r="AF10327" s="260"/>
      <c r="AG10327" s="330"/>
    </row>
    <row r="10328" spans="14:33" hidden="1">
      <c r="N10328" s="239"/>
      <c r="O10328" s="225"/>
      <c r="P10328" s="260"/>
      <c r="Q10328" s="328"/>
      <c r="R10328" s="260"/>
      <c r="S10328" s="260"/>
      <c r="T10328" s="260"/>
      <c r="U10328" s="260"/>
      <c r="V10328" s="260"/>
      <c r="W10328" s="260"/>
      <c r="X10328" s="259"/>
      <c r="Y10328" s="259"/>
      <c r="Z10328" s="260"/>
      <c r="AA10328" s="260"/>
      <c r="AB10328" s="260"/>
      <c r="AC10328" s="260"/>
      <c r="AD10328" s="259"/>
      <c r="AE10328" s="259"/>
      <c r="AF10328" s="260"/>
      <c r="AG10328" s="330"/>
    </row>
    <row r="10329" spans="14:33" hidden="1">
      <c r="N10329" s="239"/>
      <c r="O10329" s="225"/>
      <c r="P10329" s="260"/>
      <c r="Q10329" s="328"/>
      <c r="R10329" s="260"/>
      <c r="S10329" s="260"/>
      <c r="T10329" s="260"/>
      <c r="U10329" s="260"/>
      <c r="V10329" s="260"/>
      <c r="W10329" s="260"/>
      <c r="X10329" s="259"/>
      <c r="Y10329" s="259"/>
      <c r="Z10329" s="260"/>
      <c r="AA10329" s="260"/>
      <c r="AB10329" s="260"/>
      <c r="AC10329" s="260"/>
      <c r="AD10329" s="259"/>
      <c r="AE10329" s="259"/>
      <c r="AF10329" s="260"/>
      <c r="AG10329" s="330"/>
    </row>
    <row r="10330" spans="14:33" hidden="1">
      <c r="N10330" s="239"/>
      <c r="O10330" s="225"/>
      <c r="P10330" s="260"/>
      <c r="Q10330" s="328"/>
      <c r="R10330" s="260"/>
      <c r="S10330" s="260"/>
      <c r="T10330" s="260"/>
      <c r="U10330" s="260"/>
      <c r="V10330" s="260"/>
      <c r="W10330" s="260"/>
      <c r="X10330" s="259"/>
      <c r="Y10330" s="259"/>
      <c r="Z10330" s="260"/>
      <c r="AA10330" s="260"/>
      <c r="AB10330" s="260"/>
      <c r="AC10330" s="260"/>
      <c r="AD10330" s="259"/>
      <c r="AE10330" s="259"/>
      <c r="AF10330" s="260"/>
      <c r="AG10330" s="330"/>
    </row>
    <row r="10331" spans="14:33" hidden="1">
      <c r="N10331" s="239"/>
      <c r="O10331" s="225"/>
      <c r="P10331" s="260"/>
      <c r="Q10331" s="328"/>
      <c r="R10331" s="260"/>
      <c r="S10331" s="260"/>
      <c r="T10331" s="260"/>
      <c r="U10331" s="260"/>
      <c r="V10331" s="260"/>
      <c r="W10331" s="260"/>
      <c r="X10331" s="259"/>
      <c r="Y10331" s="259"/>
      <c r="Z10331" s="260"/>
      <c r="AA10331" s="260"/>
      <c r="AB10331" s="260"/>
      <c r="AC10331" s="260"/>
      <c r="AD10331" s="259"/>
      <c r="AE10331" s="259"/>
      <c r="AF10331" s="260"/>
      <c r="AG10331" s="330"/>
    </row>
    <row r="10332" spans="14:33" hidden="1">
      <c r="N10332" s="239"/>
      <c r="O10332" s="225"/>
      <c r="P10332" s="260"/>
      <c r="Q10332" s="328"/>
      <c r="R10332" s="260"/>
      <c r="S10332" s="260"/>
      <c r="T10332" s="260"/>
      <c r="U10332" s="260"/>
      <c r="V10332" s="260"/>
      <c r="W10332" s="260"/>
      <c r="X10332" s="259"/>
      <c r="Y10332" s="259"/>
      <c r="Z10332" s="260"/>
      <c r="AA10332" s="260"/>
      <c r="AB10332" s="260"/>
      <c r="AC10332" s="260"/>
      <c r="AD10332" s="259"/>
      <c r="AE10332" s="259"/>
      <c r="AF10332" s="260"/>
      <c r="AG10332" s="330"/>
    </row>
    <row r="10333" spans="14:33" hidden="1">
      <c r="N10333" s="239"/>
      <c r="O10333" s="225"/>
      <c r="P10333" s="260"/>
      <c r="Q10333" s="328"/>
      <c r="R10333" s="260"/>
      <c r="S10333" s="260"/>
      <c r="T10333" s="260"/>
      <c r="U10333" s="260"/>
      <c r="V10333" s="260"/>
      <c r="W10333" s="260"/>
      <c r="X10333" s="259"/>
      <c r="Y10333" s="259"/>
      <c r="Z10333" s="260"/>
      <c r="AA10333" s="260"/>
      <c r="AB10333" s="260"/>
      <c r="AC10333" s="260"/>
      <c r="AD10333" s="259"/>
      <c r="AE10333" s="259"/>
      <c r="AF10333" s="260"/>
      <c r="AG10333" s="330"/>
    </row>
    <row r="10334" spans="14:33" hidden="1">
      <c r="N10334" s="239"/>
      <c r="O10334" s="225"/>
      <c r="P10334" s="260"/>
      <c r="Q10334" s="328"/>
      <c r="R10334" s="260"/>
      <c r="S10334" s="260"/>
      <c r="T10334" s="260"/>
      <c r="U10334" s="260"/>
      <c r="V10334" s="260"/>
      <c r="W10334" s="260"/>
      <c r="X10334" s="259"/>
      <c r="Y10334" s="259"/>
      <c r="Z10334" s="260"/>
      <c r="AA10334" s="260"/>
      <c r="AB10334" s="260"/>
      <c r="AC10334" s="260"/>
      <c r="AD10334" s="259"/>
      <c r="AE10334" s="259"/>
      <c r="AF10334" s="260"/>
      <c r="AG10334" s="330"/>
    </row>
    <row r="10335" spans="14:33" hidden="1">
      <c r="N10335" s="239"/>
      <c r="O10335" s="225"/>
      <c r="P10335" s="260"/>
      <c r="Q10335" s="328"/>
      <c r="R10335" s="260"/>
      <c r="S10335" s="260"/>
      <c r="T10335" s="260"/>
      <c r="U10335" s="260"/>
      <c r="V10335" s="260"/>
      <c r="W10335" s="260"/>
      <c r="X10335" s="259"/>
      <c r="Y10335" s="259"/>
      <c r="Z10335" s="260"/>
      <c r="AA10335" s="260"/>
      <c r="AB10335" s="260"/>
      <c r="AC10335" s="260"/>
      <c r="AD10335" s="259"/>
      <c r="AE10335" s="259"/>
      <c r="AF10335" s="260"/>
      <c r="AG10335" s="330"/>
    </row>
    <row r="10336" spans="14:33" hidden="1">
      <c r="N10336" s="239"/>
      <c r="O10336" s="225"/>
      <c r="P10336" s="260"/>
      <c r="Q10336" s="328"/>
      <c r="R10336" s="260"/>
      <c r="S10336" s="260"/>
      <c r="T10336" s="260"/>
      <c r="U10336" s="260"/>
      <c r="V10336" s="260"/>
      <c r="W10336" s="260"/>
      <c r="X10336" s="259"/>
      <c r="Y10336" s="259"/>
      <c r="Z10336" s="260"/>
      <c r="AA10336" s="260"/>
      <c r="AB10336" s="260"/>
      <c r="AC10336" s="260"/>
      <c r="AD10336" s="259"/>
      <c r="AE10336" s="259"/>
      <c r="AF10336" s="260"/>
      <c r="AG10336" s="330"/>
    </row>
    <row r="10337" spans="14:33" hidden="1">
      <c r="N10337" s="239"/>
      <c r="O10337" s="225"/>
      <c r="P10337" s="260"/>
      <c r="Q10337" s="328"/>
      <c r="R10337" s="260"/>
      <c r="S10337" s="260"/>
      <c r="T10337" s="260"/>
      <c r="U10337" s="260"/>
      <c r="V10337" s="260"/>
      <c r="W10337" s="260"/>
      <c r="X10337" s="259"/>
      <c r="Y10337" s="259"/>
      <c r="Z10337" s="260"/>
      <c r="AA10337" s="260"/>
      <c r="AB10337" s="260"/>
      <c r="AC10337" s="260"/>
      <c r="AD10337" s="259"/>
      <c r="AE10337" s="259"/>
      <c r="AF10337" s="260"/>
      <c r="AG10337" s="330"/>
    </row>
    <row r="10338" spans="14:33" hidden="1">
      <c r="N10338" s="239"/>
      <c r="O10338" s="225"/>
      <c r="P10338" s="260"/>
      <c r="Q10338" s="328"/>
      <c r="R10338" s="260"/>
      <c r="S10338" s="260"/>
      <c r="T10338" s="260"/>
      <c r="U10338" s="260"/>
      <c r="V10338" s="260"/>
      <c r="W10338" s="260"/>
      <c r="X10338" s="259"/>
      <c r="Y10338" s="259"/>
      <c r="Z10338" s="260"/>
      <c r="AA10338" s="260"/>
      <c r="AB10338" s="260"/>
      <c r="AC10338" s="260"/>
      <c r="AD10338" s="259"/>
      <c r="AE10338" s="259"/>
      <c r="AF10338" s="260"/>
      <c r="AG10338" s="330"/>
    </row>
    <row r="10339" spans="14:33" hidden="1">
      <c r="N10339" s="239"/>
      <c r="O10339" s="225"/>
      <c r="P10339" s="260"/>
      <c r="Q10339" s="328"/>
      <c r="R10339" s="260"/>
      <c r="S10339" s="260"/>
      <c r="T10339" s="260"/>
      <c r="U10339" s="260"/>
      <c r="V10339" s="260"/>
      <c r="W10339" s="260"/>
      <c r="X10339" s="259"/>
      <c r="Y10339" s="259"/>
      <c r="Z10339" s="260"/>
      <c r="AA10339" s="260"/>
      <c r="AB10339" s="260"/>
      <c r="AC10339" s="260"/>
      <c r="AD10339" s="259"/>
      <c r="AE10339" s="259"/>
      <c r="AF10339" s="260"/>
      <c r="AG10339" s="330"/>
    </row>
    <row r="10340" spans="14:33" hidden="1">
      <c r="N10340" s="239"/>
      <c r="O10340" s="225"/>
      <c r="P10340" s="260"/>
      <c r="Q10340" s="328"/>
      <c r="R10340" s="260"/>
      <c r="S10340" s="260"/>
      <c r="T10340" s="260"/>
      <c r="U10340" s="260"/>
      <c r="V10340" s="260"/>
      <c r="W10340" s="260"/>
      <c r="X10340" s="259"/>
      <c r="Y10340" s="259"/>
      <c r="Z10340" s="260"/>
      <c r="AA10340" s="260"/>
      <c r="AB10340" s="260"/>
      <c r="AC10340" s="260"/>
      <c r="AD10340" s="259"/>
      <c r="AE10340" s="259"/>
      <c r="AF10340" s="260"/>
      <c r="AG10340" s="330"/>
    </row>
    <row r="10341" spans="14:33" hidden="1">
      <c r="N10341" s="239"/>
      <c r="O10341" s="225"/>
      <c r="P10341" s="260"/>
      <c r="Q10341" s="328"/>
      <c r="R10341" s="260"/>
      <c r="S10341" s="260"/>
      <c r="T10341" s="260"/>
      <c r="U10341" s="260"/>
      <c r="V10341" s="260"/>
      <c r="W10341" s="260"/>
      <c r="X10341" s="259"/>
      <c r="Y10341" s="259"/>
      <c r="Z10341" s="260"/>
      <c r="AA10341" s="260"/>
      <c r="AB10341" s="260"/>
      <c r="AC10341" s="260"/>
      <c r="AD10341" s="259"/>
      <c r="AE10341" s="259"/>
      <c r="AF10341" s="260"/>
      <c r="AG10341" s="330"/>
    </row>
    <row r="10342" spans="14:33" hidden="1">
      <c r="N10342" s="239"/>
      <c r="O10342" s="225"/>
      <c r="P10342" s="260"/>
      <c r="Q10342" s="328"/>
      <c r="R10342" s="260"/>
      <c r="S10342" s="260"/>
      <c r="T10342" s="260"/>
      <c r="U10342" s="260"/>
      <c r="V10342" s="260"/>
      <c r="W10342" s="260"/>
      <c r="X10342" s="259"/>
      <c r="Y10342" s="259"/>
      <c r="Z10342" s="260"/>
      <c r="AA10342" s="260"/>
      <c r="AB10342" s="260"/>
      <c r="AC10342" s="260"/>
      <c r="AD10342" s="259"/>
      <c r="AE10342" s="259"/>
      <c r="AF10342" s="260"/>
      <c r="AG10342" s="330"/>
    </row>
    <row r="10343" spans="14:33" hidden="1">
      <c r="N10343" s="239"/>
      <c r="O10343" s="225"/>
      <c r="P10343" s="260"/>
      <c r="Q10343" s="328"/>
      <c r="R10343" s="260"/>
      <c r="S10343" s="260"/>
      <c r="T10343" s="260"/>
      <c r="U10343" s="260"/>
      <c r="V10343" s="260"/>
      <c r="W10343" s="260"/>
      <c r="X10343" s="259"/>
      <c r="Y10343" s="259"/>
      <c r="Z10343" s="260"/>
      <c r="AA10343" s="260"/>
      <c r="AB10343" s="260"/>
      <c r="AC10343" s="260"/>
      <c r="AD10343" s="259"/>
      <c r="AE10343" s="259"/>
      <c r="AF10343" s="260"/>
      <c r="AG10343" s="330"/>
    </row>
    <row r="10344" spans="14:33" hidden="1">
      <c r="N10344" s="239"/>
      <c r="O10344" s="225"/>
      <c r="P10344" s="260"/>
      <c r="Q10344" s="328"/>
      <c r="R10344" s="260"/>
      <c r="S10344" s="260"/>
      <c r="T10344" s="260"/>
      <c r="U10344" s="260"/>
      <c r="V10344" s="260"/>
      <c r="W10344" s="260"/>
      <c r="X10344" s="259"/>
      <c r="Y10344" s="259"/>
      <c r="Z10344" s="260"/>
      <c r="AA10344" s="260"/>
      <c r="AB10344" s="260"/>
      <c r="AC10344" s="260"/>
      <c r="AD10344" s="259"/>
      <c r="AE10344" s="259"/>
      <c r="AF10344" s="260"/>
      <c r="AG10344" s="330"/>
    </row>
    <row r="10345" spans="14:33" hidden="1">
      <c r="N10345" s="239"/>
      <c r="O10345" s="225"/>
      <c r="P10345" s="260"/>
      <c r="Q10345" s="328"/>
      <c r="R10345" s="260"/>
      <c r="S10345" s="260"/>
      <c r="T10345" s="260"/>
      <c r="U10345" s="260"/>
      <c r="V10345" s="260"/>
      <c r="W10345" s="260"/>
      <c r="X10345" s="259"/>
      <c r="Y10345" s="259"/>
      <c r="Z10345" s="260"/>
      <c r="AA10345" s="260"/>
      <c r="AB10345" s="260"/>
      <c r="AC10345" s="260"/>
      <c r="AD10345" s="259"/>
      <c r="AE10345" s="259"/>
      <c r="AF10345" s="260"/>
      <c r="AG10345" s="330"/>
    </row>
    <row r="10346" spans="14:33" hidden="1">
      <c r="N10346" s="239"/>
      <c r="O10346" s="225"/>
      <c r="P10346" s="260"/>
      <c r="Q10346" s="328"/>
      <c r="R10346" s="260"/>
      <c r="S10346" s="260"/>
      <c r="T10346" s="260"/>
      <c r="U10346" s="260"/>
      <c r="V10346" s="260"/>
      <c r="W10346" s="260"/>
      <c r="X10346" s="259"/>
      <c r="Y10346" s="259"/>
      <c r="Z10346" s="260"/>
      <c r="AA10346" s="260"/>
      <c r="AB10346" s="260"/>
      <c r="AC10346" s="260"/>
      <c r="AD10346" s="259"/>
      <c r="AE10346" s="259"/>
      <c r="AF10346" s="260"/>
      <c r="AG10346" s="330"/>
    </row>
    <row r="10347" spans="14:33" hidden="1">
      <c r="N10347" s="239"/>
      <c r="O10347" s="225"/>
      <c r="P10347" s="260"/>
      <c r="Q10347" s="328"/>
      <c r="R10347" s="260"/>
      <c r="S10347" s="260"/>
      <c r="T10347" s="260"/>
      <c r="U10347" s="260"/>
      <c r="V10347" s="260"/>
      <c r="W10347" s="260"/>
      <c r="X10347" s="259"/>
      <c r="Y10347" s="259"/>
      <c r="Z10347" s="260"/>
      <c r="AA10347" s="260"/>
      <c r="AB10347" s="260"/>
      <c r="AC10347" s="260"/>
      <c r="AD10347" s="259"/>
      <c r="AE10347" s="259"/>
      <c r="AF10347" s="260"/>
      <c r="AG10347" s="330"/>
    </row>
    <row r="10348" spans="14:33" hidden="1">
      <c r="N10348" s="239"/>
      <c r="O10348" s="225"/>
      <c r="P10348" s="260"/>
      <c r="Q10348" s="328"/>
      <c r="R10348" s="260"/>
      <c r="S10348" s="260"/>
      <c r="T10348" s="260"/>
      <c r="U10348" s="260"/>
      <c r="V10348" s="260"/>
      <c r="W10348" s="260"/>
      <c r="X10348" s="259"/>
      <c r="Y10348" s="259"/>
      <c r="Z10348" s="260"/>
      <c r="AA10348" s="260"/>
      <c r="AB10348" s="260"/>
      <c r="AC10348" s="260"/>
      <c r="AD10348" s="259"/>
      <c r="AE10348" s="259"/>
      <c r="AF10348" s="260"/>
      <c r="AG10348" s="330"/>
    </row>
    <row r="10349" spans="14:33" hidden="1">
      <c r="N10349" s="239"/>
      <c r="O10349" s="225"/>
      <c r="P10349" s="260"/>
      <c r="Q10349" s="328"/>
      <c r="R10349" s="260"/>
      <c r="S10349" s="260"/>
      <c r="T10349" s="260"/>
      <c r="U10349" s="260"/>
      <c r="V10349" s="260"/>
      <c r="W10349" s="260"/>
      <c r="X10349" s="259"/>
      <c r="Y10349" s="259"/>
      <c r="Z10349" s="260"/>
      <c r="AA10349" s="260"/>
      <c r="AB10349" s="260"/>
      <c r="AC10349" s="260"/>
      <c r="AD10349" s="259"/>
      <c r="AE10349" s="259"/>
      <c r="AF10349" s="260"/>
      <c r="AG10349" s="330"/>
    </row>
    <row r="10350" spans="14:33" hidden="1">
      <c r="N10350" s="239"/>
      <c r="O10350" s="225"/>
      <c r="P10350" s="260"/>
      <c r="Q10350" s="328"/>
      <c r="R10350" s="260"/>
      <c r="S10350" s="260"/>
      <c r="T10350" s="260"/>
      <c r="U10350" s="260"/>
      <c r="V10350" s="260"/>
      <c r="W10350" s="260"/>
      <c r="X10350" s="259"/>
      <c r="Y10350" s="259"/>
      <c r="Z10350" s="260"/>
      <c r="AA10350" s="260"/>
      <c r="AB10350" s="260"/>
      <c r="AC10350" s="260"/>
      <c r="AD10350" s="259"/>
      <c r="AE10350" s="259"/>
      <c r="AF10350" s="260"/>
      <c r="AG10350" s="330"/>
    </row>
    <row r="10351" spans="14:33" hidden="1">
      <c r="N10351" s="239"/>
      <c r="O10351" s="225"/>
      <c r="P10351" s="260"/>
      <c r="Q10351" s="328"/>
      <c r="R10351" s="260"/>
      <c r="S10351" s="260"/>
      <c r="T10351" s="260"/>
      <c r="U10351" s="260"/>
      <c r="V10351" s="260"/>
      <c r="W10351" s="260"/>
      <c r="X10351" s="259"/>
      <c r="Y10351" s="259"/>
      <c r="Z10351" s="260"/>
      <c r="AA10351" s="260"/>
      <c r="AB10351" s="260"/>
      <c r="AC10351" s="260"/>
      <c r="AD10351" s="259"/>
      <c r="AE10351" s="259"/>
      <c r="AF10351" s="260"/>
      <c r="AG10351" s="330"/>
    </row>
    <row r="10352" spans="14:33" hidden="1">
      <c r="N10352" s="239"/>
      <c r="O10352" s="225"/>
      <c r="P10352" s="260"/>
      <c r="Q10352" s="328"/>
      <c r="R10352" s="260"/>
      <c r="S10352" s="260"/>
      <c r="T10352" s="260"/>
      <c r="U10352" s="260"/>
      <c r="V10352" s="260"/>
      <c r="W10352" s="260"/>
      <c r="X10352" s="259"/>
      <c r="Y10352" s="259"/>
      <c r="Z10352" s="260"/>
      <c r="AA10352" s="260"/>
      <c r="AB10352" s="260"/>
      <c r="AC10352" s="260"/>
      <c r="AD10352" s="259"/>
      <c r="AE10352" s="259"/>
      <c r="AF10352" s="260"/>
      <c r="AG10352" s="330"/>
    </row>
    <row r="10353" spans="14:33" hidden="1">
      <c r="N10353" s="239"/>
      <c r="O10353" s="225"/>
      <c r="P10353" s="260"/>
      <c r="Q10353" s="328"/>
      <c r="R10353" s="260"/>
      <c r="S10353" s="260"/>
      <c r="T10353" s="260"/>
      <c r="U10353" s="260"/>
      <c r="V10353" s="260"/>
      <c r="W10353" s="260"/>
      <c r="X10353" s="259"/>
      <c r="Y10353" s="259"/>
      <c r="Z10353" s="260"/>
      <c r="AA10353" s="260"/>
      <c r="AB10353" s="260"/>
      <c r="AC10353" s="260"/>
      <c r="AD10353" s="259"/>
      <c r="AE10353" s="259"/>
      <c r="AF10353" s="260"/>
      <c r="AG10353" s="330"/>
    </row>
    <row r="10354" spans="14:33" hidden="1">
      <c r="N10354" s="239"/>
      <c r="O10354" s="225"/>
      <c r="P10354" s="260"/>
      <c r="Q10354" s="328"/>
      <c r="R10354" s="260"/>
      <c r="S10354" s="260"/>
      <c r="T10354" s="260"/>
      <c r="U10354" s="260"/>
      <c r="V10354" s="260"/>
      <c r="W10354" s="260"/>
      <c r="X10354" s="259"/>
      <c r="Y10354" s="259"/>
      <c r="Z10354" s="260"/>
      <c r="AA10354" s="260"/>
      <c r="AB10354" s="260"/>
      <c r="AC10354" s="260"/>
      <c r="AD10354" s="259"/>
      <c r="AE10354" s="259"/>
      <c r="AF10354" s="260"/>
      <c r="AG10354" s="330"/>
    </row>
    <row r="10355" spans="14:33" hidden="1">
      <c r="N10355" s="239"/>
      <c r="O10355" s="225"/>
      <c r="P10355" s="260"/>
      <c r="Q10355" s="328"/>
      <c r="R10355" s="260"/>
      <c r="S10355" s="260"/>
      <c r="T10355" s="260"/>
      <c r="U10355" s="260"/>
      <c r="V10355" s="260"/>
      <c r="W10355" s="260"/>
      <c r="X10355" s="259"/>
      <c r="Y10355" s="259"/>
      <c r="Z10355" s="260"/>
      <c r="AA10355" s="260"/>
      <c r="AB10355" s="260"/>
      <c r="AC10355" s="260"/>
      <c r="AD10355" s="259"/>
      <c r="AE10355" s="259"/>
      <c r="AF10355" s="260"/>
      <c r="AG10355" s="330"/>
    </row>
    <row r="10356" spans="14:33" hidden="1">
      <c r="N10356" s="239"/>
      <c r="O10356" s="225"/>
      <c r="P10356" s="260"/>
      <c r="Q10356" s="328"/>
      <c r="R10356" s="260"/>
      <c r="S10356" s="260"/>
      <c r="T10356" s="260"/>
      <c r="U10356" s="260"/>
      <c r="V10356" s="260"/>
      <c r="W10356" s="260"/>
      <c r="X10356" s="259"/>
      <c r="Y10356" s="259"/>
      <c r="Z10356" s="260"/>
      <c r="AA10356" s="260"/>
      <c r="AB10356" s="260"/>
      <c r="AC10356" s="260"/>
      <c r="AD10356" s="259"/>
      <c r="AE10356" s="259"/>
      <c r="AF10356" s="260"/>
      <c r="AG10356" s="330"/>
    </row>
    <row r="10357" spans="14:33" hidden="1">
      <c r="N10357" s="239"/>
      <c r="O10357" s="225"/>
      <c r="P10357" s="260"/>
      <c r="Q10357" s="328"/>
      <c r="R10357" s="260"/>
      <c r="S10357" s="260"/>
      <c r="T10357" s="260"/>
      <c r="U10357" s="260"/>
      <c r="V10357" s="260"/>
      <c r="W10357" s="260"/>
      <c r="X10357" s="259"/>
      <c r="Y10357" s="259"/>
      <c r="Z10357" s="260"/>
      <c r="AA10357" s="260"/>
      <c r="AB10357" s="260"/>
      <c r="AC10357" s="260"/>
      <c r="AD10357" s="259"/>
      <c r="AE10357" s="259"/>
      <c r="AF10357" s="260"/>
      <c r="AG10357" s="330"/>
    </row>
    <row r="10358" spans="14:33" hidden="1">
      <c r="N10358" s="239"/>
      <c r="O10358" s="225"/>
      <c r="P10358" s="260"/>
      <c r="Q10358" s="328"/>
      <c r="R10358" s="260"/>
      <c r="S10358" s="260"/>
      <c r="T10358" s="260"/>
      <c r="U10358" s="260"/>
      <c r="V10358" s="260"/>
      <c r="W10358" s="260"/>
      <c r="X10358" s="259"/>
      <c r="Y10358" s="259"/>
      <c r="Z10358" s="260"/>
      <c r="AA10358" s="260"/>
      <c r="AB10358" s="260"/>
      <c r="AC10358" s="260"/>
      <c r="AD10358" s="259"/>
      <c r="AE10358" s="259"/>
      <c r="AF10358" s="260"/>
      <c r="AG10358" s="330"/>
    </row>
    <row r="10359" spans="14:33" hidden="1">
      <c r="N10359" s="239"/>
      <c r="O10359" s="225"/>
      <c r="P10359" s="260"/>
      <c r="Q10359" s="328"/>
      <c r="R10359" s="260"/>
      <c r="S10359" s="260"/>
      <c r="T10359" s="260"/>
      <c r="U10359" s="260"/>
      <c r="V10359" s="260"/>
      <c r="W10359" s="260"/>
      <c r="X10359" s="259"/>
      <c r="Y10359" s="259"/>
      <c r="Z10359" s="260"/>
      <c r="AA10359" s="260"/>
      <c r="AB10359" s="260"/>
      <c r="AC10359" s="260"/>
      <c r="AD10359" s="259"/>
      <c r="AE10359" s="259"/>
      <c r="AF10359" s="260"/>
      <c r="AG10359" s="330"/>
    </row>
    <row r="10360" spans="14:33" hidden="1">
      <c r="N10360" s="239"/>
      <c r="O10360" s="225"/>
      <c r="P10360" s="260"/>
      <c r="Q10360" s="328"/>
      <c r="R10360" s="260"/>
      <c r="S10360" s="260"/>
      <c r="T10360" s="260"/>
      <c r="U10360" s="260"/>
      <c r="V10360" s="260"/>
      <c r="W10360" s="260"/>
      <c r="X10360" s="259"/>
      <c r="Y10360" s="259"/>
      <c r="Z10360" s="260"/>
      <c r="AA10360" s="260"/>
      <c r="AB10360" s="260"/>
      <c r="AC10360" s="260"/>
      <c r="AD10360" s="259"/>
      <c r="AE10360" s="259"/>
      <c r="AF10360" s="260"/>
      <c r="AG10360" s="330"/>
    </row>
    <row r="10361" spans="14:33" hidden="1">
      <c r="N10361" s="239"/>
      <c r="O10361" s="225"/>
      <c r="P10361" s="260"/>
      <c r="Q10361" s="328"/>
      <c r="R10361" s="260"/>
      <c r="S10361" s="260"/>
      <c r="T10361" s="260"/>
      <c r="U10361" s="260"/>
      <c r="V10361" s="260"/>
      <c r="W10361" s="260"/>
      <c r="X10361" s="259"/>
      <c r="Y10361" s="259"/>
      <c r="Z10361" s="260"/>
      <c r="AA10361" s="260"/>
      <c r="AB10361" s="260"/>
      <c r="AC10361" s="260"/>
      <c r="AD10361" s="259"/>
      <c r="AE10361" s="259"/>
      <c r="AF10361" s="260"/>
      <c r="AG10361" s="330"/>
    </row>
    <row r="10362" spans="14:33" hidden="1">
      <c r="N10362" s="239"/>
      <c r="O10362" s="225"/>
      <c r="P10362" s="260"/>
      <c r="Q10362" s="328"/>
      <c r="R10362" s="260"/>
      <c r="S10362" s="260"/>
      <c r="T10362" s="260"/>
      <c r="U10362" s="260"/>
      <c r="V10362" s="260"/>
      <c r="W10362" s="260"/>
      <c r="X10362" s="259"/>
      <c r="Y10362" s="259"/>
      <c r="Z10362" s="260"/>
      <c r="AA10362" s="260"/>
      <c r="AB10362" s="260"/>
      <c r="AC10362" s="260"/>
      <c r="AD10362" s="259"/>
      <c r="AE10362" s="259"/>
      <c r="AF10362" s="260"/>
      <c r="AG10362" s="330"/>
    </row>
    <row r="10363" spans="14:33" hidden="1">
      <c r="N10363" s="239"/>
      <c r="O10363" s="225"/>
      <c r="P10363" s="260"/>
      <c r="Q10363" s="328"/>
      <c r="R10363" s="260"/>
      <c r="S10363" s="260"/>
      <c r="T10363" s="260"/>
      <c r="U10363" s="260"/>
      <c r="V10363" s="260"/>
      <c r="W10363" s="260"/>
      <c r="X10363" s="259"/>
      <c r="Y10363" s="259"/>
      <c r="Z10363" s="260"/>
      <c r="AA10363" s="260"/>
      <c r="AB10363" s="260"/>
      <c r="AC10363" s="260"/>
      <c r="AD10363" s="259"/>
      <c r="AE10363" s="259"/>
      <c r="AF10363" s="260"/>
      <c r="AG10363" s="330"/>
    </row>
    <row r="10364" spans="14:33" hidden="1">
      <c r="N10364" s="239"/>
      <c r="O10364" s="225"/>
      <c r="P10364" s="260"/>
      <c r="Q10364" s="328"/>
      <c r="R10364" s="260"/>
      <c r="S10364" s="260"/>
      <c r="T10364" s="260"/>
      <c r="U10364" s="260"/>
      <c r="V10364" s="260"/>
      <c r="W10364" s="260"/>
      <c r="X10364" s="259"/>
      <c r="Y10364" s="259"/>
      <c r="Z10364" s="260"/>
      <c r="AA10364" s="260"/>
      <c r="AB10364" s="260"/>
      <c r="AC10364" s="260"/>
      <c r="AD10364" s="259"/>
      <c r="AE10364" s="259"/>
      <c r="AF10364" s="260"/>
      <c r="AG10364" s="330"/>
    </row>
    <row r="10365" spans="14:33" hidden="1">
      <c r="N10365" s="239"/>
      <c r="O10365" s="225"/>
      <c r="P10365" s="260"/>
      <c r="Q10365" s="328"/>
      <c r="R10365" s="260"/>
      <c r="S10365" s="260"/>
      <c r="T10365" s="260"/>
      <c r="U10365" s="260"/>
      <c r="V10365" s="260"/>
      <c r="W10365" s="260"/>
      <c r="X10365" s="259"/>
      <c r="Y10365" s="259"/>
      <c r="Z10365" s="260"/>
      <c r="AA10365" s="260"/>
      <c r="AB10365" s="260"/>
      <c r="AC10365" s="260"/>
      <c r="AD10365" s="259"/>
      <c r="AE10365" s="259"/>
      <c r="AF10365" s="260"/>
      <c r="AG10365" s="330"/>
    </row>
    <row r="10366" spans="14:33" hidden="1">
      <c r="N10366" s="239"/>
      <c r="O10366" s="225"/>
      <c r="P10366" s="260"/>
      <c r="Q10366" s="328"/>
      <c r="R10366" s="260"/>
      <c r="S10366" s="260"/>
      <c r="T10366" s="260"/>
      <c r="U10366" s="260"/>
      <c r="V10366" s="260"/>
      <c r="W10366" s="260"/>
      <c r="X10366" s="259"/>
      <c r="Y10366" s="259"/>
      <c r="Z10366" s="260"/>
      <c r="AA10366" s="260"/>
      <c r="AB10366" s="260"/>
      <c r="AC10366" s="260"/>
      <c r="AD10366" s="259"/>
      <c r="AE10366" s="259"/>
      <c r="AF10366" s="260"/>
      <c r="AG10366" s="330"/>
    </row>
    <row r="10367" spans="14:33" hidden="1">
      <c r="N10367" s="239"/>
      <c r="O10367" s="225"/>
      <c r="P10367" s="260"/>
      <c r="Q10367" s="328"/>
      <c r="R10367" s="260"/>
      <c r="S10367" s="260"/>
      <c r="T10367" s="260"/>
      <c r="U10367" s="260"/>
      <c r="V10367" s="260"/>
      <c r="W10367" s="260"/>
      <c r="X10367" s="259"/>
      <c r="Y10367" s="259"/>
      <c r="Z10367" s="260"/>
      <c r="AA10367" s="260"/>
      <c r="AB10367" s="260"/>
      <c r="AC10367" s="260"/>
      <c r="AD10367" s="259"/>
      <c r="AE10367" s="259"/>
      <c r="AF10367" s="260"/>
      <c r="AG10367" s="330"/>
    </row>
    <row r="10368" spans="14:33" hidden="1">
      <c r="N10368" s="239"/>
      <c r="O10368" s="225"/>
      <c r="P10368" s="260"/>
      <c r="Q10368" s="328"/>
      <c r="R10368" s="260"/>
      <c r="S10368" s="260"/>
      <c r="T10368" s="260"/>
      <c r="U10368" s="260"/>
      <c r="V10368" s="260"/>
      <c r="W10368" s="260"/>
      <c r="X10368" s="259"/>
      <c r="Y10368" s="259"/>
      <c r="Z10368" s="260"/>
      <c r="AA10368" s="260"/>
      <c r="AB10368" s="260"/>
      <c r="AC10368" s="260"/>
      <c r="AD10368" s="259"/>
      <c r="AE10368" s="259"/>
      <c r="AF10368" s="260"/>
      <c r="AG10368" s="330"/>
    </row>
    <row r="10369" spans="14:33" hidden="1">
      <c r="N10369" s="239"/>
      <c r="O10369" s="225"/>
      <c r="P10369" s="260"/>
      <c r="Q10369" s="328"/>
      <c r="R10369" s="260"/>
      <c r="S10369" s="260"/>
      <c r="T10369" s="260"/>
      <c r="U10369" s="260"/>
      <c r="V10369" s="260"/>
      <c r="W10369" s="260"/>
      <c r="X10369" s="259"/>
      <c r="Y10369" s="259"/>
      <c r="Z10369" s="260"/>
      <c r="AA10369" s="260"/>
      <c r="AB10369" s="260"/>
      <c r="AC10369" s="260"/>
      <c r="AD10369" s="259"/>
      <c r="AE10369" s="259"/>
      <c r="AF10369" s="260"/>
      <c r="AG10369" s="330"/>
    </row>
    <row r="10370" spans="14:33" hidden="1">
      <c r="N10370" s="239"/>
      <c r="O10370" s="225"/>
      <c r="P10370" s="260"/>
      <c r="Q10370" s="328"/>
      <c r="R10370" s="260"/>
      <c r="S10370" s="260"/>
      <c r="T10370" s="260"/>
      <c r="U10370" s="260"/>
      <c r="V10370" s="260"/>
      <c r="W10370" s="260"/>
      <c r="X10370" s="259"/>
      <c r="Y10370" s="259"/>
      <c r="Z10370" s="260"/>
      <c r="AA10370" s="260"/>
      <c r="AB10370" s="260"/>
      <c r="AC10370" s="260"/>
      <c r="AD10370" s="259"/>
      <c r="AE10370" s="259"/>
      <c r="AF10370" s="260"/>
      <c r="AG10370" s="330"/>
    </row>
    <row r="10371" spans="14:33" hidden="1">
      <c r="N10371" s="239"/>
      <c r="O10371" s="225"/>
      <c r="P10371" s="260"/>
      <c r="Q10371" s="328"/>
      <c r="R10371" s="260"/>
      <c r="S10371" s="260"/>
      <c r="T10371" s="260"/>
      <c r="U10371" s="260"/>
      <c r="V10371" s="260"/>
      <c r="W10371" s="260"/>
      <c r="X10371" s="259"/>
      <c r="Y10371" s="259"/>
      <c r="Z10371" s="260"/>
      <c r="AA10371" s="260"/>
      <c r="AB10371" s="260"/>
      <c r="AC10371" s="260"/>
      <c r="AD10371" s="259"/>
      <c r="AE10371" s="259"/>
      <c r="AF10371" s="260"/>
      <c r="AG10371" s="330"/>
    </row>
    <row r="10372" spans="14:33" hidden="1">
      <c r="N10372" s="239"/>
      <c r="O10372" s="225"/>
      <c r="P10372" s="260"/>
      <c r="Q10372" s="328"/>
      <c r="R10372" s="260"/>
      <c r="S10372" s="260"/>
      <c r="T10372" s="260"/>
      <c r="U10372" s="260"/>
      <c r="V10372" s="260"/>
      <c r="W10372" s="260"/>
      <c r="X10372" s="259"/>
      <c r="Y10372" s="259"/>
      <c r="Z10372" s="260"/>
      <c r="AA10372" s="260"/>
      <c r="AB10372" s="260"/>
      <c r="AC10372" s="260"/>
      <c r="AD10372" s="259"/>
      <c r="AE10372" s="259"/>
      <c r="AF10372" s="260"/>
      <c r="AG10372" s="330"/>
    </row>
    <row r="10373" spans="14:33" hidden="1">
      <c r="N10373" s="239"/>
      <c r="O10373" s="225"/>
      <c r="P10373" s="260"/>
      <c r="Q10373" s="328"/>
      <c r="R10373" s="260"/>
      <c r="S10373" s="260"/>
      <c r="T10373" s="260"/>
      <c r="U10373" s="260"/>
      <c r="V10373" s="260"/>
      <c r="W10373" s="260"/>
      <c r="X10373" s="259"/>
      <c r="Y10373" s="259"/>
      <c r="Z10373" s="260"/>
      <c r="AA10373" s="260"/>
      <c r="AB10373" s="260"/>
      <c r="AC10373" s="260"/>
      <c r="AD10373" s="259"/>
      <c r="AE10373" s="259"/>
      <c r="AF10373" s="260"/>
      <c r="AG10373" s="330"/>
    </row>
    <row r="10374" spans="14:33" hidden="1">
      <c r="N10374" s="239"/>
      <c r="O10374" s="225"/>
      <c r="P10374" s="260"/>
      <c r="Q10374" s="328"/>
      <c r="R10374" s="260"/>
      <c r="S10374" s="260"/>
      <c r="T10374" s="260"/>
      <c r="U10374" s="260"/>
      <c r="V10374" s="260"/>
      <c r="W10374" s="260"/>
      <c r="X10374" s="259"/>
      <c r="Y10374" s="259"/>
      <c r="Z10374" s="260"/>
      <c r="AA10374" s="260"/>
      <c r="AB10374" s="260"/>
      <c r="AC10374" s="260"/>
      <c r="AD10374" s="259"/>
      <c r="AE10374" s="259"/>
      <c r="AF10374" s="260"/>
      <c r="AG10374" s="330"/>
    </row>
    <row r="10375" spans="14:33" hidden="1">
      <c r="N10375" s="239"/>
      <c r="O10375" s="225"/>
      <c r="P10375" s="260"/>
      <c r="Q10375" s="328"/>
      <c r="R10375" s="260"/>
      <c r="S10375" s="260"/>
      <c r="T10375" s="260"/>
      <c r="U10375" s="260"/>
      <c r="V10375" s="260"/>
      <c r="W10375" s="260"/>
      <c r="X10375" s="259"/>
      <c r="Y10375" s="259"/>
      <c r="Z10375" s="260"/>
      <c r="AA10375" s="260"/>
      <c r="AB10375" s="260"/>
      <c r="AC10375" s="260"/>
      <c r="AD10375" s="259"/>
      <c r="AE10375" s="259"/>
      <c r="AF10375" s="260"/>
      <c r="AG10375" s="330"/>
    </row>
    <row r="10376" spans="14:33" hidden="1">
      <c r="N10376" s="239"/>
      <c r="O10376" s="225"/>
      <c r="P10376" s="260"/>
      <c r="Q10376" s="328"/>
      <c r="R10376" s="260"/>
      <c r="S10376" s="260"/>
      <c r="T10376" s="260"/>
      <c r="U10376" s="260"/>
      <c r="V10376" s="260"/>
      <c r="W10376" s="260"/>
      <c r="X10376" s="259"/>
      <c r="Y10376" s="259"/>
      <c r="Z10376" s="260"/>
      <c r="AA10376" s="260"/>
      <c r="AB10376" s="260"/>
      <c r="AC10376" s="260"/>
      <c r="AD10376" s="259"/>
      <c r="AE10376" s="259"/>
      <c r="AF10376" s="260"/>
      <c r="AG10376" s="330"/>
    </row>
    <row r="10377" spans="14:33" hidden="1">
      <c r="N10377" s="239"/>
      <c r="O10377" s="225"/>
      <c r="P10377" s="260"/>
      <c r="Q10377" s="328"/>
      <c r="R10377" s="260"/>
      <c r="S10377" s="260"/>
      <c r="T10377" s="260"/>
      <c r="U10377" s="260"/>
      <c r="V10377" s="260"/>
      <c r="W10377" s="260"/>
      <c r="X10377" s="259"/>
      <c r="Y10377" s="259"/>
      <c r="Z10377" s="260"/>
      <c r="AA10377" s="260"/>
      <c r="AB10377" s="260"/>
      <c r="AC10377" s="260"/>
      <c r="AD10377" s="259"/>
      <c r="AE10377" s="259"/>
      <c r="AF10377" s="260"/>
      <c r="AG10377" s="330"/>
    </row>
    <row r="10378" spans="14:33" hidden="1">
      <c r="N10378" s="239"/>
      <c r="O10378" s="225"/>
      <c r="P10378" s="260"/>
      <c r="Q10378" s="328"/>
      <c r="R10378" s="260"/>
      <c r="S10378" s="260"/>
      <c r="T10378" s="260"/>
      <c r="U10378" s="260"/>
      <c r="V10378" s="260"/>
      <c r="W10378" s="260"/>
      <c r="X10378" s="259"/>
      <c r="Y10378" s="259"/>
      <c r="Z10378" s="260"/>
      <c r="AA10378" s="260"/>
      <c r="AB10378" s="260"/>
      <c r="AC10378" s="260"/>
      <c r="AD10378" s="259"/>
      <c r="AE10378" s="259"/>
      <c r="AF10378" s="260"/>
      <c r="AG10378" s="330"/>
    </row>
    <row r="10379" spans="14:33" hidden="1">
      <c r="N10379" s="239"/>
      <c r="O10379" s="225"/>
      <c r="P10379" s="260"/>
      <c r="Q10379" s="328"/>
      <c r="R10379" s="260"/>
      <c r="S10379" s="260"/>
      <c r="T10379" s="260"/>
      <c r="U10379" s="260"/>
      <c r="V10379" s="260"/>
      <c r="W10379" s="260"/>
      <c r="X10379" s="259"/>
      <c r="Y10379" s="259"/>
      <c r="Z10379" s="260"/>
      <c r="AA10379" s="260"/>
      <c r="AB10379" s="260"/>
      <c r="AC10379" s="260"/>
      <c r="AD10379" s="259"/>
      <c r="AE10379" s="259"/>
      <c r="AF10379" s="260"/>
      <c r="AG10379" s="330"/>
    </row>
    <row r="10380" spans="14:33" hidden="1">
      <c r="N10380" s="239"/>
      <c r="O10380" s="225"/>
      <c r="P10380" s="260"/>
      <c r="Q10380" s="328"/>
      <c r="R10380" s="260"/>
      <c r="S10380" s="260"/>
      <c r="T10380" s="260"/>
      <c r="U10380" s="260"/>
      <c r="V10380" s="260"/>
      <c r="W10380" s="260"/>
      <c r="X10380" s="259"/>
      <c r="Y10380" s="259"/>
      <c r="Z10380" s="260"/>
      <c r="AA10380" s="260"/>
      <c r="AB10380" s="260"/>
      <c r="AC10380" s="260"/>
      <c r="AD10380" s="259"/>
      <c r="AE10380" s="259"/>
      <c r="AF10380" s="260"/>
      <c r="AG10380" s="330"/>
    </row>
    <row r="10381" spans="14:33" hidden="1">
      <c r="N10381" s="239"/>
      <c r="O10381" s="225"/>
      <c r="P10381" s="260"/>
      <c r="Q10381" s="328"/>
      <c r="R10381" s="260"/>
      <c r="S10381" s="260"/>
      <c r="T10381" s="260"/>
      <c r="U10381" s="260"/>
      <c r="V10381" s="260"/>
      <c r="W10381" s="260"/>
      <c r="X10381" s="259"/>
      <c r="Y10381" s="259"/>
      <c r="Z10381" s="260"/>
      <c r="AA10381" s="260"/>
      <c r="AB10381" s="260"/>
      <c r="AC10381" s="260"/>
      <c r="AD10381" s="259"/>
      <c r="AE10381" s="259"/>
      <c r="AF10381" s="260"/>
      <c r="AG10381" s="330"/>
    </row>
    <row r="10382" spans="14:33" hidden="1">
      <c r="N10382" s="239"/>
      <c r="O10382" s="225"/>
      <c r="P10382" s="260"/>
      <c r="Q10382" s="328"/>
      <c r="R10382" s="260"/>
      <c r="S10382" s="260"/>
      <c r="T10382" s="260"/>
      <c r="U10382" s="260"/>
      <c r="V10382" s="260"/>
      <c r="W10382" s="260"/>
      <c r="X10382" s="259"/>
      <c r="Y10382" s="259"/>
      <c r="Z10382" s="260"/>
      <c r="AA10382" s="260"/>
      <c r="AB10382" s="260"/>
      <c r="AC10382" s="260"/>
      <c r="AD10382" s="259"/>
      <c r="AE10382" s="259"/>
      <c r="AF10382" s="260"/>
      <c r="AG10382" s="330"/>
    </row>
    <row r="10383" spans="14:33" hidden="1">
      <c r="N10383" s="239"/>
      <c r="O10383" s="225"/>
      <c r="P10383" s="260"/>
      <c r="Q10383" s="328"/>
      <c r="R10383" s="260"/>
      <c r="S10383" s="260"/>
      <c r="T10383" s="260"/>
      <c r="U10383" s="260"/>
      <c r="V10383" s="260"/>
      <c r="W10383" s="260"/>
      <c r="X10383" s="259"/>
      <c r="Y10383" s="259"/>
      <c r="Z10383" s="260"/>
      <c r="AA10383" s="260"/>
      <c r="AB10383" s="260"/>
      <c r="AC10383" s="260"/>
      <c r="AD10383" s="259"/>
      <c r="AE10383" s="259"/>
      <c r="AF10383" s="260"/>
      <c r="AG10383" s="330"/>
    </row>
    <row r="10384" spans="14:33" hidden="1">
      <c r="N10384" s="239"/>
      <c r="O10384" s="225"/>
      <c r="P10384" s="260"/>
      <c r="Q10384" s="328"/>
      <c r="R10384" s="260"/>
      <c r="S10384" s="260"/>
      <c r="T10384" s="260"/>
      <c r="U10384" s="260"/>
      <c r="V10384" s="260"/>
      <c r="W10384" s="260"/>
      <c r="X10384" s="259"/>
      <c r="Y10384" s="259"/>
      <c r="Z10384" s="260"/>
      <c r="AA10384" s="260"/>
      <c r="AB10384" s="260"/>
      <c r="AC10384" s="260"/>
      <c r="AD10384" s="259"/>
      <c r="AE10384" s="259"/>
      <c r="AF10384" s="260"/>
      <c r="AG10384" s="330"/>
    </row>
    <row r="10385" spans="14:33" hidden="1">
      <c r="N10385" s="239"/>
      <c r="O10385" s="225"/>
      <c r="P10385" s="260"/>
      <c r="Q10385" s="328"/>
      <c r="R10385" s="260"/>
      <c r="S10385" s="260"/>
      <c r="T10385" s="260"/>
      <c r="U10385" s="260"/>
      <c r="V10385" s="260"/>
      <c r="W10385" s="260"/>
      <c r="X10385" s="259"/>
      <c r="Y10385" s="259"/>
      <c r="Z10385" s="260"/>
      <c r="AA10385" s="260"/>
      <c r="AB10385" s="260"/>
      <c r="AC10385" s="260"/>
      <c r="AD10385" s="259"/>
      <c r="AE10385" s="259"/>
      <c r="AF10385" s="260"/>
      <c r="AG10385" s="330"/>
    </row>
    <row r="10386" spans="14:33" hidden="1">
      <c r="N10386" s="239"/>
      <c r="O10386" s="225"/>
      <c r="P10386" s="260"/>
      <c r="Q10386" s="328"/>
      <c r="R10386" s="260"/>
      <c r="S10386" s="260"/>
      <c r="T10386" s="260"/>
      <c r="U10386" s="260"/>
      <c r="V10386" s="260"/>
      <c r="W10386" s="260"/>
      <c r="X10386" s="259"/>
      <c r="Y10386" s="259"/>
      <c r="Z10386" s="260"/>
      <c r="AA10386" s="260"/>
      <c r="AB10386" s="260"/>
      <c r="AC10386" s="260"/>
      <c r="AD10386" s="259"/>
      <c r="AE10386" s="259"/>
      <c r="AF10386" s="260"/>
      <c r="AG10386" s="330"/>
    </row>
    <row r="10387" spans="14:33" hidden="1">
      <c r="N10387" s="239"/>
      <c r="O10387" s="225"/>
      <c r="P10387" s="260"/>
      <c r="Q10387" s="328"/>
      <c r="R10387" s="260"/>
      <c r="S10387" s="260"/>
      <c r="T10387" s="260"/>
      <c r="U10387" s="260"/>
      <c r="V10387" s="260"/>
      <c r="W10387" s="260"/>
      <c r="X10387" s="259"/>
      <c r="Y10387" s="259"/>
      <c r="Z10387" s="260"/>
      <c r="AA10387" s="260"/>
      <c r="AB10387" s="260"/>
      <c r="AC10387" s="260"/>
      <c r="AD10387" s="259"/>
      <c r="AE10387" s="259"/>
      <c r="AF10387" s="260"/>
      <c r="AG10387" s="330"/>
    </row>
    <row r="10388" spans="14:33" hidden="1">
      <c r="N10388" s="239"/>
      <c r="O10388" s="225"/>
      <c r="P10388" s="260"/>
      <c r="Q10388" s="328"/>
      <c r="R10388" s="260"/>
      <c r="S10388" s="260"/>
      <c r="T10388" s="260"/>
      <c r="U10388" s="260"/>
      <c r="V10388" s="260"/>
      <c r="W10388" s="260"/>
      <c r="X10388" s="259"/>
      <c r="Y10388" s="259"/>
      <c r="Z10388" s="260"/>
      <c r="AA10388" s="260"/>
      <c r="AB10388" s="260"/>
      <c r="AC10388" s="260"/>
      <c r="AD10388" s="259"/>
      <c r="AE10388" s="259"/>
      <c r="AF10388" s="260"/>
      <c r="AG10388" s="330"/>
    </row>
    <row r="10389" spans="14:33" hidden="1">
      <c r="N10389" s="239"/>
      <c r="O10389" s="225"/>
      <c r="P10389" s="260"/>
      <c r="Q10389" s="328"/>
      <c r="R10389" s="260"/>
      <c r="S10389" s="260"/>
      <c r="T10389" s="260"/>
      <c r="U10389" s="260"/>
      <c r="V10389" s="260"/>
      <c r="W10389" s="260"/>
      <c r="X10389" s="259"/>
      <c r="Y10389" s="259"/>
      <c r="Z10389" s="260"/>
      <c r="AA10389" s="260"/>
      <c r="AB10389" s="260"/>
      <c r="AC10389" s="260"/>
      <c r="AD10389" s="259"/>
      <c r="AE10389" s="259"/>
      <c r="AF10389" s="260"/>
      <c r="AG10389" s="330"/>
    </row>
    <row r="10390" spans="14:33" hidden="1">
      <c r="N10390" s="239"/>
      <c r="O10390" s="225"/>
      <c r="P10390" s="260"/>
      <c r="Q10390" s="328"/>
      <c r="R10390" s="260"/>
      <c r="S10390" s="260"/>
      <c r="T10390" s="260"/>
      <c r="U10390" s="260"/>
      <c r="V10390" s="260"/>
      <c r="W10390" s="260"/>
      <c r="X10390" s="259"/>
      <c r="Y10390" s="259"/>
      <c r="Z10390" s="260"/>
      <c r="AA10390" s="260"/>
      <c r="AB10390" s="260"/>
      <c r="AC10390" s="260"/>
      <c r="AD10390" s="259"/>
      <c r="AE10390" s="259"/>
      <c r="AF10390" s="260"/>
      <c r="AG10390" s="330"/>
    </row>
    <row r="10391" spans="14:33" hidden="1">
      <c r="N10391" s="239"/>
      <c r="O10391" s="225"/>
      <c r="P10391" s="260"/>
      <c r="Q10391" s="328"/>
      <c r="R10391" s="260"/>
      <c r="S10391" s="260"/>
      <c r="T10391" s="260"/>
      <c r="U10391" s="260"/>
      <c r="V10391" s="260"/>
      <c r="W10391" s="260"/>
      <c r="X10391" s="259"/>
      <c r="Y10391" s="259"/>
      <c r="Z10391" s="260"/>
      <c r="AA10391" s="260"/>
      <c r="AB10391" s="260"/>
      <c r="AC10391" s="260"/>
      <c r="AD10391" s="259"/>
      <c r="AE10391" s="259"/>
      <c r="AF10391" s="260"/>
      <c r="AG10391" s="330"/>
    </row>
    <row r="10392" spans="14:33" hidden="1">
      <c r="N10392" s="239"/>
      <c r="O10392" s="225"/>
      <c r="P10392" s="260"/>
      <c r="Q10392" s="328"/>
      <c r="R10392" s="260"/>
      <c r="S10392" s="260"/>
      <c r="T10392" s="260"/>
      <c r="U10392" s="260"/>
      <c r="V10392" s="260"/>
      <c r="W10392" s="260"/>
      <c r="X10392" s="259"/>
      <c r="Y10392" s="259"/>
      <c r="Z10392" s="260"/>
      <c r="AA10392" s="260"/>
      <c r="AB10392" s="260"/>
      <c r="AC10392" s="260"/>
      <c r="AD10392" s="259"/>
      <c r="AE10392" s="259"/>
      <c r="AF10392" s="260"/>
      <c r="AG10392" s="330"/>
    </row>
    <row r="10393" spans="14:33" hidden="1">
      <c r="N10393" s="239"/>
      <c r="O10393" s="225"/>
      <c r="P10393" s="260"/>
      <c r="Q10393" s="328"/>
      <c r="R10393" s="260"/>
      <c r="S10393" s="260"/>
      <c r="T10393" s="260"/>
      <c r="U10393" s="260"/>
      <c r="V10393" s="260"/>
      <c r="W10393" s="260"/>
      <c r="X10393" s="259"/>
      <c r="Y10393" s="259"/>
      <c r="Z10393" s="260"/>
      <c r="AA10393" s="260"/>
      <c r="AB10393" s="260"/>
      <c r="AC10393" s="260"/>
      <c r="AD10393" s="259"/>
      <c r="AE10393" s="259"/>
      <c r="AF10393" s="260"/>
      <c r="AG10393" s="330"/>
    </row>
    <row r="10394" spans="14:33" hidden="1">
      <c r="N10394" s="239"/>
      <c r="O10394" s="225"/>
      <c r="P10394" s="260"/>
      <c r="Q10394" s="328"/>
      <c r="R10394" s="260"/>
      <c r="S10394" s="260"/>
      <c r="T10394" s="260"/>
      <c r="U10394" s="260"/>
      <c r="V10394" s="260"/>
      <c r="W10394" s="260"/>
      <c r="X10394" s="259"/>
      <c r="Y10394" s="259"/>
      <c r="Z10394" s="260"/>
      <c r="AA10394" s="260"/>
      <c r="AB10394" s="260"/>
      <c r="AC10394" s="260"/>
      <c r="AD10394" s="259"/>
      <c r="AE10394" s="259"/>
      <c r="AF10394" s="260"/>
      <c r="AG10394" s="330"/>
    </row>
    <row r="10395" spans="14:33" hidden="1">
      <c r="N10395" s="239"/>
      <c r="O10395" s="225"/>
      <c r="P10395" s="260"/>
      <c r="Q10395" s="328"/>
      <c r="R10395" s="260"/>
      <c r="S10395" s="260"/>
      <c r="T10395" s="260"/>
      <c r="U10395" s="260"/>
      <c r="V10395" s="260"/>
      <c r="W10395" s="260"/>
      <c r="X10395" s="259"/>
      <c r="Y10395" s="259"/>
      <c r="Z10395" s="260"/>
      <c r="AA10395" s="260"/>
      <c r="AB10395" s="260"/>
      <c r="AC10395" s="260"/>
      <c r="AD10395" s="259"/>
      <c r="AE10395" s="259"/>
      <c r="AF10395" s="260"/>
      <c r="AG10395" s="330"/>
    </row>
    <row r="10396" spans="14:33" hidden="1">
      <c r="N10396" s="239"/>
      <c r="O10396" s="225"/>
      <c r="P10396" s="260"/>
      <c r="Q10396" s="328"/>
      <c r="R10396" s="260"/>
      <c r="S10396" s="260"/>
      <c r="T10396" s="260"/>
      <c r="U10396" s="260"/>
      <c r="V10396" s="260"/>
      <c r="W10396" s="260"/>
      <c r="X10396" s="259"/>
      <c r="Y10396" s="259"/>
      <c r="Z10396" s="260"/>
      <c r="AA10396" s="260"/>
      <c r="AB10396" s="260"/>
      <c r="AC10396" s="260"/>
      <c r="AD10396" s="259"/>
      <c r="AE10396" s="259"/>
      <c r="AF10396" s="260"/>
      <c r="AG10396" s="330"/>
    </row>
    <row r="10397" spans="14:33" hidden="1">
      <c r="N10397" s="239"/>
      <c r="O10397" s="225"/>
      <c r="P10397" s="260"/>
      <c r="Q10397" s="328"/>
      <c r="R10397" s="260"/>
      <c r="S10397" s="260"/>
      <c r="T10397" s="260"/>
      <c r="U10397" s="260"/>
      <c r="V10397" s="260"/>
      <c r="W10397" s="260"/>
      <c r="X10397" s="259"/>
      <c r="Y10397" s="259"/>
      <c r="Z10397" s="260"/>
      <c r="AA10397" s="260"/>
      <c r="AB10397" s="260"/>
      <c r="AC10397" s="260"/>
      <c r="AD10397" s="259"/>
      <c r="AE10397" s="259"/>
      <c r="AF10397" s="260"/>
      <c r="AG10397" s="330"/>
    </row>
    <row r="10398" spans="14:33" hidden="1">
      <c r="N10398" s="239"/>
      <c r="O10398" s="225"/>
      <c r="P10398" s="260"/>
      <c r="Q10398" s="328"/>
      <c r="R10398" s="260"/>
      <c r="S10398" s="260"/>
      <c r="T10398" s="260"/>
      <c r="U10398" s="260"/>
      <c r="V10398" s="260"/>
      <c r="W10398" s="260"/>
      <c r="X10398" s="259"/>
      <c r="Y10398" s="259"/>
      <c r="Z10398" s="260"/>
      <c r="AA10398" s="260"/>
      <c r="AB10398" s="260"/>
      <c r="AC10398" s="260"/>
      <c r="AD10398" s="259"/>
      <c r="AE10398" s="259"/>
      <c r="AF10398" s="260"/>
      <c r="AG10398" s="330"/>
    </row>
    <row r="10399" spans="14:33" hidden="1">
      <c r="N10399" s="239"/>
      <c r="O10399" s="225"/>
      <c r="P10399" s="260"/>
      <c r="Q10399" s="328"/>
      <c r="R10399" s="260"/>
      <c r="S10399" s="260"/>
      <c r="T10399" s="260"/>
      <c r="U10399" s="260"/>
      <c r="V10399" s="260"/>
      <c r="W10399" s="260"/>
      <c r="X10399" s="259"/>
      <c r="Y10399" s="259"/>
      <c r="Z10399" s="260"/>
      <c r="AA10399" s="260"/>
      <c r="AB10399" s="260"/>
      <c r="AC10399" s="260"/>
      <c r="AD10399" s="259"/>
      <c r="AE10399" s="259"/>
      <c r="AF10399" s="260"/>
      <c r="AG10399" s="330"/>
    </row>
    <row r="10400" spans="14:33" hidden="1">
      <c r="N10400" s="239"/>
      <c r="O10400" s="225"/>
      <c r="P10400" s="260"/>
      <c r="Q10400" s="328"/>
      <c r="R10400" s="260"/>
      <c r="S10400" s="260"/>
      <c r="T10400" s="260"/>
      <c r="U10400" s="260"/>
      <c r="V10400" s="260"/>
      <c r="W10400" s="260"/>
      <c r="X10400" s="259"/>
      <c r="Y10400" s="259"/>
      <c r="Z10400" s="260"/>
      <c r="AA10400" s="260"/>
      <c r="AB10400" s="260"/>
      <c r="AC10400" s="260"/>
      <c r="AD10400" s="259"/>
      <c r="AE10400" s="259"/>
      <c r="AF10400" s="260"/>
      <c r="AG10400" s="330"/>
    </row>
    <row r="10401" spans="14:33" hidden="1">
      <c r="N10401" s="239"/>
      <c r="O10401" s="225"/>
      <c r="P10401" s="260"/>
      <c r="Q10401" s="328"/>
      <c r="R10401" s="260"/>
      <c r="S10401" s="260"/>
      <c r="T10401" s="260"/>
      <c r="U10401" s="260"/>
      <c r="V10401" s="260"/>
      <c r="W10401" s="260"/>
      <c r="X10401" s="259"/>
      <c r="Y10401" s="259"/>
      <c r="Z10401" s="260"/>
      <c r="AA10401" s="260"/>
      <c r="AB10401" s="260"/>
      <c r="AC10401" s="260"/>
      <c r="AD10401" s="259"/>
      <c r="AE10401" s="259"/>
      <c r="AF10401" s="260"/>
      <c r="AG10401" s="330"/>
    </row>
    <row r="10402" spans="14:33" hidden="1">
      <c r="N10402" s="239"/>
      <c r="O10402" s="225"/>
      <c r="P10402" s="260"/>
      <c r="Q10402" s="328"/>
      <c r="R10402" s="260"/>
      <c r="S10402" s="260"/>
      <c r="T10402" s="260"/>
      <c r="U10402" s="260"/>
      <c r="V10402" s="260"/>
      <c r="W10402" s="260"/>
      <c r="X10402" s="259"/>
      <c r="Y10402" s="259"/>
      <c r="Z10402" s="260"/>
      <c r="AA10402" s="260"/>
      <c r="AB10402" s="260"/>
      <c r="AC10402" s="260"/>
      <c r="AD10402" s="259"/>
      <c r="AE10402" s="259"/>
      <c r="AF10402" s="260"/>
      <c r="AG10402" s="330"/>
    </row>
    <row r="10403" spans="14:33" hidden="1">
      <c r="N10403" s="239"/>
      <c r="O10403" s="225"/>
      <c r="P10403" s="260"/>
      <c r="Q10403" s="328"/>
      <c r="R10403" s="260"/>
      <c r="S10403" s="260"/>
      <c r="T10403" s="260"/>
      <c r="U10403" s="260"/>
      <c r="V10403" s="260"/>
      <c r="W10403" s="260"/>
      <c r="X10403" s="259"/>
      <c r="Y10403" s="259"/>
      <c r="Z10403" s="260"/>
      <c r="AA10403" s="260"/>
      <c r="AB10403" s="260"/>
      <c r="AC10403" s="260"/>
      <c r="AD10403" s="259"/>
      <c r="AE10403" s="259"/>
      <c r="AF10403" s="260"/>
      <c r="AG10403" s="330"/>
    </row>
    <row r="10404" spans="14:33" hidden="1">
      <c r="N10404" s="239"/>
      <c r="O10404" s="225"/>
      <c r="P10404" s="260"/>
      <c r="Q10404" s="328"/>
      <c r="R10404" s="260"/>
      <c r="S10404" s="260"/>
      <c r="T10404" s="260"/>
      <c r="U10404" s="260"/>
      <c r="V10404" s="260"/>
      <c r="W10404" s="260"/>
      <c r="X10404" s="259"/>
      <c r="Y10404" s="259"/>
      <c r="Z10404" s="260"/>
      <c r="AA10404" s="260"/>
      <c r="AB10404" s="260"/>
      <c r="AC10404" s="260"/>
      <c r="AD10404" s="259"/>
      <c r="AE10404" s="259"/>
      <c r="AF10404" s="260"/>
      <c r="AG10404" s="330"/>
    </row>
    <row r="10405" spans="14:33" hidden="1">
      <c r="N10405" s="239"/>
      <c r="O10405" s="225"/>
      <c r="P10405" s="260"/>
      <c r="Q10405" s="328"/>
      <c r="R10405" s="260"/>
      <c r="S10405" s="260"/>
      <c r="T10405" s="260"/>
      <c r="U10405" s="260"/>
      <c r="V10405" s="260"/>
      <c r="W10405" s="260"/>
      <c r="X10405" s="259"/>
      <c r="Y10405" s="259"/>
      <c r="Z10405" s="260"/>
      <c r="AA10405" s="260"/>
      <c r="AB10405" s="260"/>
      <c r="AC10405" s="260"/>
      <c r="AD10405" s="259"/>
      <c r="AE10405" s="259"/>
      <c r="AF10405" s="260"/>
      <c r="AG10405" s="330"/>
    </row>
    <row r="10406" spans="14:33" hidden="1">
      <c r="N10406" s="239"/>
      <c r="O10406" s="225"/>
      <c r="P10406" s="260"/>
      <c r="Q10406" s="328"/>
      <c r="R10406" s="260"/>
      <c r="S10406" s="260"/>
      <c r="T10406" s="260"/>
      <c r="U10406" s="260"/>
      <c r="V10406" s="260"/>
      <c r="W10406" s="260"/>
      <c r="X10406" s="259"/>
      <c r="Y10406" s="259"/>
      <c r="Z10406" s="260"/>
      <c r="AA10406" s="260"/>
      <c r="AB10406" s="260"/>
      <c r="AC10406" s="260"/>
      <c r="AD10406" s="259"/>
      <c r="AE10406" s="259"/>
      <c r="AF10406" s="260"/>
      <c r="AG10406" s="330"/>
    </row>
    <row r="10407" spans="14:33">
      <c r="N10407" s="236" t="s">
        <v>2985</v>
      </c>
      <c r="O10407" s="225" t="s">
        <v>2972</v>
      </c>
      <c r="P10407" s="257"/>
      <c r="Q10407" s="328"/>
      <c r="R10407" s="260"/>
      <c r="S10407" s="260"/>
      <c r="T10407" s="260"/>
      <c r="U10407" s="260"/>
      <c r="V10407" s="260"/>
      <c r="W10407" s="260"/>
      <c r="X10407" s="259"/>
      <c r="Y10407" s="259"/>
      <c r="Z10407" s="262"/>
      <c r="AA10407" s="260"/>
      <c r="AB10407" s="260"/>
      <c r="AC10407" s="260"/>
      <c r="AD10407" s="259"/>
      <c r="AE10407" s="259"/>
      <c r="AF10407" s="262"/>
      <c r="AG10407" s="321"/>
    </row>
    <row r="10408" spans="14:33">
      <c r="N10408" s="236" t="s">
        <v>2987</v>
      </c>
      <c r="O10408" s="225" t="s">
        <v>2988</v>
      </c>
      <c r="P10408" s="257"/>
      <c r="Q10408" s="328"/>
      <c r="R10408" s="260"/>
      <c r="S10408" s="260"/>
      <c r="T10408" s="260"/>
      <c r="U10408" s="260"/>
      <c r="V10408" s="260"/>
      <c r="W10408" s="260"/>
      <c r="X10408" s="259"/>
      <c r="Y10408" s="259"/>
      <c r="Z10408" s="262"/>
      <c r="AA10408" s="260"/>
      <c r="AB10408" s="260"/>
      <c r="AC10408" s="260"/>
      <c r="AD10408" s="259"/>
      <c r="AE10408" s="259"/>
      <c r="AF10408" s="262"/>
      <c r="AG10408" s="321"/>
    </row>
    <row r="10409" spans="14:33" hidden="1">
      <c r="N10409" s="239"/>
      <c r="O10409" s="226"/>
      <c r="P10409" s="260"/>
      <c r="Q10409" s="328"/>
      <c r="R10409" s="260"/>
      <c r="S10409" s="260"/>
      <c r="T10409" s="260"/>
      <c r="U10409" s="260"/>
      <c r="V10409" s="260"/>
      <c r="W10409" s="260"/>
      <c r="X10409" s="259"/>
      <c r="Y10409" s="259"/>
      <c r="Z10409" s="260"/>
      <c r="AA10409" s="260"/>
      <c r="AB10409" s="260"/>
      <c r="AC10409" s="260"/>
      <c r="AD10409" s="259"/>
      <c r="AE10409" s="259"/>
      <c r="AF10409" s="260"/>
      <c r="AG10409" s="330"/>
    </row>
    <row r="10410" spans="14:33" hidden="1">
      <c r="N10410" s="239"/>
      <c r="O10410" s="227"/>
      <c r="P10410" s="260"/>
      <c r="Q10410" s="328"/>
      <c r="R10410" s="260"/>
      <c r="S10410" s="260"/>
      <c r="T10410" s="260"/>
      <c r="U10410" s="260"/>
      <c r="V10410" s="260"/>
      <c r="W10410" s="260"/>
      <c r="X10410" s="259"/>
      <c r="Y10410" s="259"/>
      <c r="Z10410" s="260"/>
      <c r="AA10410" s="260"/>
      <c r="AB10410" s="260"/>
      <c r="AC10410" s="260"/>
      <c r="AD10410" s="259"/>
      <c r="AE10410" s="259"/>
      <c r="AF10410" s="260"/>
      <c r="AG10410" s="330"/>
    </row>
    <row r="10411" spans="14:33" hidden="1">
      <c r="N10411" s="239"/>
      <c r="O10411" s="227"/>
      <c r="P10411" s="260"/>
      <c r="Q10411" s="328"/>
      <c r="R10411" s="260"/>
      <c r="S10411" s="260"/>
      <c r="T10411" s="260"/>
      <c r="U10411" s="260"/>
      <c r="V10411" s="260"/>
      <c r="W10411" s="260"/>
      <c r="X10411" s="259"/>
      <c r="Y10411" s="259"/>
      <c r="Z10411" s="260"/>
      <c r="AA10411" s="260"/>
      <c r="AB10411" s="260"/>
      <c r="AC10411" s="260"/>
      <c r="AD10411" s="259"/>
      <c r="AE10411" s="259"/>
      <c r="AF10411" s="260"/>
      <c r="AG10411" s="330"/>
    </row>
    <row r="10412" spans="14:33" hidden="1">
      <c r="N10412" s="239"/>
      <c r="O10412" s="226"/>
      <c r="P10412" s="260"/>
      <c r="Q10412" s="328"/>
      <c r="R10412" s="260"/>
      <c r="S10412" s="260"/>
      <c r="T10412" s="260"/>
      <c r="U10412" s="260"/>
      <c r="V10412" s="260"/>
      <c r="W10412" s="260"/>
      <c r="X10412" s="259"/>
      <c r="Y10412" s="259"/>
      <c r="Z10412" s="260"/>
      <c r="AA10412" s="260"/>
      <c r="AB10412" s="260"/>
      <c r="AC10412" s="260"/>
      <c r="AD10412" s="259"/>
      <c r="AE10412" s="259"/>
      <c r="AF10412" s="260"/>
      <c r="AG10412" s="330"/>
    </row>
    <row r="10413" spans="14:33" hidden="1">
      <c r="N10413" s="239"/>
      <c r="O10413" s="227"/>
      <c r="P10413" s="260"/>
      <c r="Q10413" s="328"/>
      <c r="R10413" s="260"/>
      <c r="S10413" s="260"/>
      <c r="T10413" s="260"/>
      <c r="U10413" s="260"/>
      <c r="V10413" s="260"/>
      <c r="W10413" s="260"/>
      <c r="X10413" s="259"/>
      <c r="Y10413" s="259"/>
      <c r="Z10413" s="260"/>
      <c r="AA10413" s="260"/>
      <c r="AB10413" s="260"/>
      <c r="AC10413" s="260"/>
      <c r="AD10413" s="259"/>
      <c r="AE10413" s="259"/>
      <c r="AF10413" s="260"/>
      <c r="AG10413" s="330"/>
    </row>
    <row r="10414" spans="14:33" hidden="1">
      <c r="N10414" s="239"/>
      <c r="O10414" s="227"/>
      <c r="P10414" s="260"/>
      <c r="Q10414" s="328"/>
      <c r="R10414" s="260"/>
      <c r="S10414" s="260"/>
      <c r="T10414" s="260"/>
      <c r="U10414" s="260"/>
      <c r="V10414" s="260"/>
      <c r="W10414" s="260"/>
      <c r="X10414" s="259"/>
      <c r="Y10414" s="259"/>
      <c r="Z10414" s="260"/>
      <c r="AA10414" s="260"/>
      <c r="AB10414" s="260"/>
      <c r="AC10414" s="260"/>
      <c r="AD10414" s="259"/>
      <c r="AE10414" s="259"/>
      <c r="AF10414" s="260"/>
      <c r="AG10414" s="330"/>
    </row>
    <row r="10415" spans="14:33" hidden="1">
      <c r="N10415" s="239"/>
      <c r="O10415" s="226"/>
      <c r="P10415" s="260"/>
      <c r="Q10415" s="328"/>
      <c r="R10415" s="260"/>
      <c r="S10415" s="260"/>
      <c r="T10415" s="260"/>
      <c r="U10415" s="260"/>
      <c r="V10415" s="260"/>
      <c r="W10415" s="260"/>
      <c r="X10415" s="259"/>
      <c r="Y10415" s="259"/>
      <c r="Z10415" s="260"/>
      <c r="AA10415" s="260"/>
      <c r="AB10415" s="260"/>
      <c r="AC10415" s="260"/>
      <c r="AD10415" s="259"/>
      <c r="AE10415" s="259"/>
      <c r="AF10415" s="260"/>
      <c r="AG10415" s="330"/>
    </row>
    <row r="10416" spans="14:33" hidden="1">
      <c r="N10416" s="239"/>
      <c r="O10416" s="225"/>
      <c r="P10416" s="260"/>
      <c r="Q10416" s="328"/>
      <c r="R10416" s="260"/>
      <c r="S10416" s="260"/>
      <c r="T10416" s="260"/>
      <c r="U10416" s="260"/>
      <c r="V10416" s="260"/>
      <c r="W10416" s="260"/>
      <c r="X10416" s="259"/>
      <c r="Y10416" s="259"/>
      <c r="Z10416" s="260"/>
      <c r="AA10416" s="260"/>
      <c r="AB10416" s="260"/>
      <c r="AC10416" s="260"/>
      <c r="AD10416" s="259"/>
      <c r="AE10416" s="259"/>
      <c r="AF10416" s="260"/>
      <c r="AG10416" s="330"/>
    </row>
    <row r="10417" spans="14:33" hidden="1">
      <c r="N10417" s="239"/>
      <c r="O10417" s="225"/>
      <c r="P10417" s="260"/>
      <c r="Q10417" s="328"/>
      <c r="R10417" s="260"/>
      <c r="S10417" s="260"/>
      <c r="T10417" s="260"/>
      <c r="U10417" s="260"/>
      <c r="V10417" s="260"/>
      <c r="W10417" s="260"/>
      <c r="X10417" s="259"/>
      <c r="Y10417" s="259"/>
      <c r="Z10417" s="260"/>
      <c r="AA10417" s="260"/>
      <c r="AB10417" s="260"/>
      <c r="AC10417" s="260"/>
      <c r="AD10417" s="259"/>
      <c r="AE10417" s="259"/>
      <c r="AF10417" s="260"/>
      <c r="AG10417" s="330"/>
    </row>
    <row r="10418" spans="14:33" customFormat="1" hidden="1">
      <c r="N10418" s="239"/>
      <c r="O10418" s="225"/>
      <c r="P10418" s="260"/>
      <c r="Q10418" s="328"/>
      <c r="R10418" s="260"/>
      <c r="S10418" s="260"/>
      <c r="T10418" s="260"/>
      <c r="U10418" s="260"/>
      <c r="V10418" s="260"/>
      <c r="W10418" s="260"/>
      <c r="X10418" s="259"/>
      <c r="Y10418" s="259"/>
      <c r="Z10418" s="260"/>
      <c r="AA10418" s="260"/>
      <c r="AB10418" s="260"/>
      <c r="AC10418" s="260"/>
      <c r="AD10418" s="259"/>
      <c r="AE10418" s="259"/>
      <c r="AF10418" s="260"/>
      <c r="AG10418" s="330"/>
    </row>
    <row r="10419" spans="14:33" customFormat="1" hidden="1">
      <c r="N10419" s="239"/>
      <c r="O10419" s="225"/>
      <c r="P10419" s="260"/>
      <c r="Q10419" s="328"/>
      <c r="R10419" s="260"/>
      <c r="S10419" s="260"/>
      <c r="T10419" s="260"/>
      <c r="U10419" s="260"/>
      <c r="V10419" s="260"/>
      <c r="W10419" s="260"/>
      <c r="X10419" s="259"/>
      <c r="Y10419" s="259"/>
      <c r="Z10419" s="260"/>
      <c r="AA10419" s="260"/>
      <c r="AB10419" s="260"/>
      <c r="AC10419" s="260"/>
      <c r="AD10419" s="259"/>
      <c r="AE10419" s="259"/>
      <c r="AF10419" s="260"/>
      <c r="AG10419" s="330"/>
    </row>
    <row r="10420" spans="14:33" hidden="1">
      <c r="N10420" s="239"/>
      <c r="O10420" s="225"/>
      <c r="P10420" s="260"/>
      <c r="Q10420" s="328"/>
      <c r="R10420" s="260"/>
      <c r="S10420" s="260"/>
      <c r="T10420" s="260"/>
      <c r="U10420" s="260"/>
      <c r="V10420" s="260"/>
      <c r="W10420" s="260"/>
      <c r="X10420" s="259"/>
      <c r="Y10420" s="259"/>
      <c r="Z10420" s="260"/>
      <c r="AA10420" s="260"/>
      <c r="AB10420" s="260"/>
      <c r="AC10420" s="260"/>
      <c r="AD10420" s="259"/>
      <c r="AE10420" s="259"/>
      <c r="AF10420" s="260"/>
      <c r="AG10420" s="330"/>
    </row>
    <row r="10421" spans="14:33" hidden="1">
      <c r="N10421" s="239"/>
      <c r="O10421" s="225"/>
      <c r="P10421" s="260"/>
      <c r="Q10421" s="328"/>
      <c r="R10421" s="260"/>
      <c r="S10421" s="260"/>
      <c r="T10421" s="260"/>
      <c r="U10421" s="260"/>
      <c r="V10421" s="260"/>
      <c r="W10421" s="260"/>
      <c r="X10421" s="259"/>
      <c r="Y10421" s="259"/>
      <c r="Z10421" s="260"/>
      <c r="AA10421" s="260"/>
      <c r="AB10421" s="260"/>
      <c r="AC10421" s="260"/>
      <c r="AD10421" s="259"/>
      <c r="AE10421" s="259"/>
      <c r="AF10421" s="260"/>
      <c r="AG10421" s="330"/>
    </row>
    <row r="10422" spans="14:33" hidden="1">
      <c r="N10422" s="239"/>
      <c r="O10422" s="225"/>
      <c r="P10422" s="260"/>
      <c r="Q10422" s="328"/>
      <c r="R10422" s="260"/>
      <c r="S10422" s="260"/>
      <c r="T10422" s="260"/>
      <c r="U10422" s="260"/>
      <c r="V10422" s="260"/>
      <c r="W10422" s="260"/>
      <c r="X10422" s="259"/>
      <c r="Y10422" s="259"/>
      <c r="Z10422" s="260"/>
      <c r="AA10422" s="260"/>
      <c r="AB10422" s="260"/>
      <c r="AC10422" s="260"/>
      <c r="AD10422" s="259"/>
      <c r="AE10422" s="259"/>
      <c r="AF10422" s="260"/>
      <c r="AG10422" s="330"/>
    </row>
    <row r="10423" spans="14:33" hidden="1">
      <c r="N10423" s="239"/>
      <c r="O10423" s="225"/>
      <c r="P10423" s="260"/>
      <c r="Q10423" s="328"/>
      <c r="R10423" s="260"/>
      <c r="S10423" s="260"/>
      <c r="T10423" s="260"/>
      <c r="U10423" s="260"/>
      <c r="V10423" s="260"/>
      <c r="W10423" s="260"/>
      <c r="X10423" s="259"/>
      <c r="Y10423" s="259"/>
      <c r="Z10423" s="260"/>
      <c r="AA10423" s="260"/>
      <c r="AB10423" s="260"/>
      <c r="AC10423" s="260"/>
      <c r="AD10423" s="259"/>
      <c r="AE10423" s="259"/>
      <c r="AF10423" s="260"/>
      <c r="AG10423" s="330"/>
    </row>
    <row r="10424" spans="14:33" hidden="1">
      <c r="N10424" s="239"/>
      <c r="O10424" s="225"/>
      <c r="P10424" s="260"/>
      <c r="Q10424" s="328"/>
      <c r="R10424" s="260"/>
      <c r="S10424" s="260"/>
      <c r="T10424" s="260"/>
      <c r="U10424" s="260"/>
      <c r="V10424" s="260"/>
      <c r="W10424" s="260"/>
      <c r="X10424" s="259"/>
      <c r="Y10424" s="259"/>
      <c r="Z10424" s="260"/>
      <c r="AA10424" s="260"/>
      <c r="AB10424" s="260"/>
      <c r="AC10424" s="260"/>
      <c r="AD10424" s="259"/>
      <c r="AE10424" s="259"/>
      <c r="AF10424" s="260"/>
      <c r="AG10424" s="330"/>
    </row>
    <row r="10425" spans="14:33" hidden="1">
      <c r="N10425" s="239"/>
      <c r="O10425" s="225"/>
      <c r="P10425" s="260"/>
      <c r="Q10425" s="328"/>
      <c r="R10425" s="260"/>
      <c r="S10425" s="260"/>
      <c r="T10425" s="260"/>
      <c r="U10425" s="260"/>
      <c r="V10425" s="260"/>
      <c r="W10425" s="260"/>
      <c r="X10425" s="259"/>
      <c r="Y10425" s="259"/>
      <c r="Z10425" s="260"/>
      <c r="AA10425" s="260"/>
      <c r="AB10425" s="260"/>
      <c r="AC10425" s="260"/>
      <c r="AD10425" s="259"/>
      <c r="AE10425" s="259"/>
      <c r="AF10425" s="260"/>
      <c r="AG10425" s="330"/>
    </row>
    <row r="10426" spans="14:33" hidden="1">
      <c r="N10426" s="239"/>
      <c r="O10426" s="225"/>
      <c r="P10426" s="260"/>
      <c r="Q10426" s="328"/>
      <c r="R10426" s="260"/>
      <c r="S10426" s="260"/>
      <c r="T10426" s="260"/>
      <c r="U10426" s="260"/>
      <c r="V10426" s="260"/>
      <c r="W10426" s="260"/>
      <c r="X10426" s="259"/>
      <c r="Y10426" s="259"/>
      <c r="Z10426" s="260"/>
      <c r="AA10426" s="260"/>
      <c r="AB10426" s="260"/>
      <c r="AC10426" s="260"/>
      <c r="AD10426" s="259"/>
      <c r="AE10426" s="259"/>
      <c r="AF10426" s="260"/>
      <c r="AG10426" s="330"/>
    </row>
    <row r="10427" spans="14:33" hidden="1">
      <c r="N10427" s="239"/>
      <c r="O10427" s="225"/>
      <c r="P10427" s="260"/>
      <c r="Q10427" s="328"/>
      <c r="R10427" s="260"/>
      <c r="S10427" s="260"/>
      <c r="T10427" s="260"/>
      <c r="U10427" s="260"/>
      <c r="V10427" s="260"/>
      <c r="W10427" s="260"/>
      <c r="X10427" s="259"/>
      <c r="Y10427" s="259"/>
      <c r="Z10427" s="260"/>
      <c r="AA10427" s="260"/>
      <c r="AB10427" s="260"/>
      <c r="AC10427" s="260"/>
      <c r="AD10427" s="259"/>
      <c r="AE10427" s="259"/>
      <c r="AF10427" s="260"/>
      <c r="AG10427" s="330"/>
    </row>
    <row r="10428" spans="14:33" hidden="1">
      <c r="N10428" s="239"/>
      <c r="O10428" s="225"/>
      <c r="P10428" s="260"/>
      <c r="Q10428" s="328"/>
      <c r="R10428" s="260"/>
      <c r="S10428" s="260"/>
      <c r="T10428" s="260"/>
      <c r="U10428" s="260"/>
      <c r="V10428" s="260"/>
      <c r="W10428" s="260"/>
      <c r="X10428" s="259"/>
      <c r="Y10428" s="259"/>
      <c r="Z10428" s="260"/>
      <c r="AA10428" s="260"/>
      <c r="AB10428" s="260"/>
      <c r="AC10428" s="260"/>
      <c r="AD10428" s="259"/>
      <c r="AE10428" s="259"/>
      <c r="AF10428" s="260"/>
      <c r="AG10428" s="330"/>
    </row>
    <row r="10429" spans="14:33" hidden="1">
      <c r="N10429" s="239"/>
      <c r="O10429" s="225"/>
      <c r="P10429" s="260"/>
      <c r="Q10429" s="328"/>
      <c r="R10429" s="260"/>
      <c r="S10429" s="260"/>
      <c r="T10429" s="260"/>
      <c r="U10429" s="260"/>
      <c r="V10429" s="260"/>
      <c r="W10429" s="260"/>
      <c r="X10429" s="259"/>
      <c r="Y10429" s="259"/>
      <c r="Z10429" s="260"/>
      <c r="AA10429" s="260"/>
      <c r="AB10429" s="260"/>
      <c r="AC10429" s="260"/>
      <c r="AD10429" s="259"/>
      <c r="AE10429" s="259"/>
      <c r="AF10429" s="260"/>
      <c r="AG10429" s="330"/>
    </row>
    <row r="10430" spans="14:33" hidden="1">
      <c r="N10430" s="239"/>
      <c r="O10430" s="225"/>
      <c r="P10430" s="260"/>
      <c r="Q10430" s="328"/>
      <c r="R10430" s="260"/>
      <c r="S10430" s="260"/>
      <c r="T10430" s="260"/>
      <c r="U10430" s="260"/>
      <c r="V10430" s="260"/>
      <c r="W10430" s="260"/>
      <c r="X10430" s="259"/>
      <c r="Y10430" s="259"/>
      <c r="Z10430" s="260"/>
      <c r="AA10430" s="260"/>
      <c r="AB10430" s="260"/>
      <c r="AC10430" s="260"/>
      <c r="AD10430" s="259"/>
      <c r="AE10430" s="259"/>
      <c r="AF10430" s="260"/>
      <c r="AG10430" s="330"/>
    </row>
    <row r="10431" spans="14:33" hidden="1">
      <c r="N10431" s="239"/>
      <c r="O10431" s="225"/>
      <c r="P10431" s="260"/>
      <c r="Q10431" s="328"/>
      <c r="R10431" s="260"/>
      <c r="S10431" s="260"/>
      <c r="T10431" s="260"/>
      <c r="U10431" s="260"/>
      <c r="V10431" s="260"/>
      <c r="W10431" s="260"/>
      <c r="X10431" s="259"/>
      <c r="Y10431" s="259"/>
      <c r="Z10431" s="260"/>
      <c r="AA10431" s="260"/>
      <c r="AB10431" s="260"/>
      <c r="AC10431" s="260"/>
      <c r="AD10431" s="259"/>
      <c r="AE10431" s="259"/>
      <c r="AF10431" s="260"/>
      <c r="AG10431" s="330"/>
    </row>
    <row r="10432" spans="14:33" hidden="1">
      <c r="N10432" s="239"/>
      <c r="O10432" s="225"/>
      <c r="P10432" s="260"/>
      <c r="Q10432" s="328"/>
      <c r="R10432" s="260"/>
      <c r="S10432" s="260"/>
      <c r="T10432" s="260"/>
      <c r="U10432" s="260"/>
      <c r="V10432" s="260"/>
      <c r="W10432" s="260"/>
      <c r="X10432" s="259"/>
      <c r="Y10432" s="259"/>
      <c r="Z10432" s="260"/>
      <c r="AA10432" s="260"/>
      <c r="AB10432" s="260"/>
      <c r="AC10432" s="260"/>
      <c r="AD10432" s="259"/>
      <c r="AE10432" s="259"/>
      <c r="AF10432" s="260"/>
      <c r="AG10432" s="330"/>
    </row>
    <row r="10433" spans="14:33">
      <c r="N10433" s="239"/>
      <c r="O10433" s="225"/>
      <c r="P10433" s="260"/>
      <c r="Q10433" s="328"/>
      <c r="R10433" s="260"/>
      <c r="S10433" s="260"/>
      <c r="T10433" s="260"/>
      <c r="U10433" s="260"/>
      <c r="V10433" s="260"/>
      <c r="W10433" s="260"/>
      <c r="X10433" s="259"/>
      <c r="Y10433" s="259"/>
      <c r="Z10433" s="260"/>
      <c r="AA10433" s="260"/>
      <c r="AB10433" s="260"/>
      <c r="AC10433" s="260"/>
      <c r="AD10433" s="259"/>
      <c r="AE10433" s="259"/>
      <c r="AF10433" s="260"/>
      <c r="AG10433" s="330"/>
    </row>
    <row r="10434" spans="14:33">
      <c r="N10434" s="234" t="s">
        <v>769</v>
      </c>
      <c r="O10434" s="235" t="s">
        <v>2991</v>
      </c>
      <c r="P10434" s="257"/>
      <c r="Q10434" s="328"/>
      <c r="R10434" s="259"/>
      <c r="S10434" s="259"/>
      <c r="T10434" s="262"/>
      <c r="U10434" s="259"/>
      <c r="V10434" s="259"/>
      <c r="W10434" s="262"/>
      <c r="X10434" s="259"/>
      <c r="Y10434" s="259"/>
      <c r="Z10434" s="262"/>
      <c r="AA10434" s="259"/>
      <c r="AB10434" s="259"/>
      <c r="AC10434" s="262"/>
      <c r="AD10434" s="259"/>
      <c r="AE10434" s="259"/>
      <c r="AF10434" s="262"/>
      <c r="AG10434" s="321"/>
    </row>
    <row r="10435" spans="14:33">
      <c r="N10435" s="234" t="s">
        <v>770</v>
      </c>
      <c r="O10435" s="442" t="s">
        <v>2992</v>
      </c>
      <c r="P10435" s="257"/>
      <c r="Q10435" s="328"/>
      <c r="R10435" s="259"/>
      <c r="S10435" s="259"/>
      <c r="T10435" s="262"/>
      <c r="U10435" s="259"/>
      <c r="V10435" s="259"/>
      <c r="W10435" s="262"/>
      <c r="X10435" s="259"/>
      <c r="Y10435" s="259"/>
      <c r="Z10435" s="262"/>
      <c r="AA10435" s="259"/>
      <c r="AB10435" s="259"/>
      <c r="AC10435" s="262"/>
      <c r="AD10435" s="259"/>
      <c r="AE10435" s="259"/>
      <c r="AF10435" s="262"/>
      <c r="AG10435" s="321"/>
    </row>
    <row r="10436" spans="14:33">
      <c r="N10436" s="236" t="s">
        <v>2993</v>
      </c>
      <c r="O10436" s="225" t="s">
        <v>2994</v>
      </c>
      <c r="P10436" s="257"/>
      <c r="Q10436" s="328"/>
      <c r="R10436" s="259"/>
      <c r="S10436" s="259"/>
      <c r="T10436" s="262"/>
      <c r="U10436" s="259"/>
      <c r="V10436" s="259"/>
      <c r="W10436" s="262"/>
      <c r="X10436" s="259"/>
      <c r="Y10436" s="259"/>
      <c r="Z10436" s="262"/>
      <c r="AA10436" s="259"/>
      <c r="AB10436" s="259"/>
      <c r="AC10436" s="262"/>
      <c r="AD10436" s="259"/>
      <c r="AE10436" s="259"/>
      <c r="AF10436" s="262"/>
      <c r="AG10436" s="321"/>
    </row>
    <row r="10437" spans="14:33">
      <c r="N10437" s="236" t="s">
        <v>2995</v>
      </c>
      <c r="O10437" s="482" t="s">
        <v>2791</v>
      </c>
      <c r="P10437" s="257"/>
      <c r="Q10437" s="328"/>
      <c r="R10437" s="259"/>
      <c r="S10437" s="259"/>
      <c r="T10437" s="262"/>
      <c r="U10437" s="259"/>
      <c r="V10437" s="259"/>
      <c r="W10437" s="262"/>
      <c r="X10437" s="259"/>
      <c r="Y10437" s="259"/>
      <c r="Z10437" s="262"/>
      <c r="AA10437" s="259"/>
      <c r="AB10437" s="259"/>
      <c r="AC10437" s="262"/>
      <c r="AD10437" s="259"/>
      <c r="AE10437" s="259"/>
      <c r="AF10437" s="262"/>
      <c r="AG10437" s="321"/>
    </row>
    <row r="10438" spans="14:33">
      <c r="N10438" s="594" t="str">
        <f>IF(TEMPLATE_CLAIM="P","5.1.1.1.1","")</f>
        <v/>
      </c>
      <c r="O10438" s="593" t="str">
        <f>IF(TEMPLATE_CLAIM="P","от станций с мощностью производства &gt;= 25 МВт","")</f>
        <v/>
      </c>
      <c r="P10438" s="257"/>
      <c r="Q10438" s="328"/>
      <c r="R10438" s="259"/>
      <c r="S10438" s="259"/>
      <c r="T10438" s="262"/>
      <c r="U10438" s="259"/>
      <c r="V10438" s="259"/>
      <c r="W10438" s="262"/>
      <c r="X10438" s="259"/>
      <c r="Y10438" s="259"/>
      <c r="Z10438" s="262"/>
      <c r="AA10438" s="259"/>
      <c r="AB10438" s="259"/>
      <c r="AC10438" s="262"/>
      <c r="AD10438" s="259"/>
      <c r="AE10438" s="259"/>
      <c r="AF10438" s="262"/>
      <c r="AG10438" s="321"/>
    </row>
    <row r="10439" spans="14:33">
      <c r="N10439" s="594" t="str">
        <f>IF(TEMPLATE_CLAIM="P","5.1.1.1.2","")</f>
        <v/>
      </c>
      <c r="O10439" s="593" t="str">
        <f>IF(TEMPLATE_CLAIM="P","от станций с мощностью производства &lt; 25 МВт","")</f>
        <v/>
      </c>
      <c r="P10439" s="257"/>
      <c r="Q10439" s="328"/>
      <c r="R10439" s="259"/>
      <c r="S10439" s="259"/>
      <c r="T10439" s="262"/>
      <c r="U10439" s="259"/>
      <c r="V10439" s="259"/>
      <c r="W10439" s="262"/>
      <c r="X10439" s="259"/>
      <c r="Y10439" s="259"/>
      <c r="Z10439" s="262"/>
      <c r="AA10439" s="259"/>
      <c r="AB10439" s="259"/>
      <c r="AC10439" s="262"/>
      <c r="AD10439" s="259"/>
      <c r="AE10439" s="259"/>
      <c r="AF10439" s="262"/>
      <c r="AG10439" s="321"/>
    </row>
    <row r="10440" spans="14:33">
      <c r="N10440" s="236"/>
      <c r="O10440" s="243"/>
      <c r="P10440" s="260"/>
      <c r="Q10440" s="328"/>
      <c r="R10440" s="259"/>
      <c r="S10440" s="259"/>
      <c r="T10440" s="260"/>
      <c r="U10440" s="259"/>
      <c r="V10440" s="259"/>
      <c r="W10440" s="260"/>
      <c r="X10440" s="259"/>
      <c r="Y10440" s="259"/>
      <c r="Z10440" s="260"/>
      <c r="AA10440" s="259"/>
      <c r="AB10440" s="259"/>
      <c r="AC10440" s="260"/>
      <c r="AD10440" s="259"/>
      <c r="AE10440" s="259"/>
      <c r="AF10440" s="260"/>
      <c r="AG10440" s="330"/>
    </row>
    <row r="10441" spans="14:33">
      <c r="N10441" s="236" t="s">
        <v>2998</v>
      </c>
      <c r="O10441" s="482" t="s">
        <v>755</v>
      </c>
      <c r="P10441" s="257"/>
      <c r="Q10441" s="328"/>
      <c r="R10441" s="259"/>
      <c r="S10441" s="259"/>
      <c r="T10441" s="262"/>
      <c r="U10441" s="259"/>
      <c r="V10441" s="259"/>
      <c r="W10441" s="262"/>
      <c r="X10441" s="259"/>
      <c r="Y10441" s="259"/>
      <c r="Z10441" s="262"/>
      <c r="AA10441" s="259"/>
      <c r="AB10441" s="259"/>
      <c r="AC10441" s="262"/>
      <c r="AD10441" s="259"/>
      <c r="AE10441" s="259"/>
      <c r="AF10441" s="262"/>
      <c r="AG10441" s="321"/>
    </row>
    <row r="10442" spans="14:33">
      <c r="N10442" s="594" t="str">
        <f>IF(TEMPLATE_CLAIM="P","5.1.1.2.1","")</f>
        <v/>
      </c>
      <c r="O10442" s="593" t="str">
        <f>IF(TEMPLATE_CLAIM="P","от станций с мощностью производства &gt;= 25 МВт","")</f>
        <v/>
      </c>
      <c r="P10442" s="257"/>
      <c r="Q10442" s="328"/>
      <c r="R10442" s="259"/>
      <c r="S10442" s="259"/>
      <c r="T10442" s="262"/>
      <c r="U10442" s="259"/>
      <c r="V10442" s="259"/>
      <c r="W10442" s="262"/>
      <c r="X10442" s="259"/>
      <c r="Y10442" s="259"/>
      <c r="Z10442" s="262"/>
      <c r="AA10442" s="259"/>
      <c r="AB10442" s="259"/>
      <c r="AC10442" s="262"/>
      <c r="AD10442" s="259"/>
      <c r="AE10442" s="259"/>
      <c r="AF10442" s="262"/>
      <c r="AG10442" s="321"/>
    </row>
    <row r="10443" spans="14:33">
      <c r="N10443" s="594" t="str">
        <f>IF(TEMPLATE_CLAIM="P","5.1.1.2.2","")</f>
        <v/>
      </c>
      <c r="O10443" s="593" t="str">
        <f>IF(TEMPLATE_CLAIM="P","от станций с мощностью производства &lt; 25 МВт","")</f>
        <v/>
      </c>
      <c r="P10443" s="257"/>
      <c r="Q10443" s="328"/>
      <c r="R10443" s="259"/>
      <c r="S10443" s="259"/>
      <c r="T10443" s="262"/>
      <c r="U10443" s="259"/>
      <c r="V10443" s="259"/>
      <c r="W10443" s="262"/>
      <c r="X10443" s="259"/>
      <c r="Y10443" s="259"/>
      <c r="Z10443" s="262"/>
      <c r="AA10443" s="259"/>
      <c r="AB10443" s="259"/>
      <c r="AC10443" s="262"/>
      <c r="AD10443" s="259"/>
      <c r="AE10443" s="259"/>
      <c r="AF10443" s="262"/>
      <c r="AG10443" s="321"/>
    </row>
    <row r="10444" spans="14:33">
      <c r="N10444" s="436"/>
      <c r="O10444" s="243"/>
      <c r="P10444" s="260"/>
      <c r="Q10444" s="328"/>
      <c r="R10444" s="259"/>
      <c r="S10444" s="259"/>
      <c r="T10444" s="260"/>
      <c r="U10444" s="259"/>
      <c r="V10444" s="259"/>
      <c r="W10444" s="260"/>
      <c r="X10444" s="259"/>
      <c r="Y10444" s="259"/>
      <c r="Z10444" s="260"/>
      <c r="AA10444" s="259"/>
      <c r="AB10444" s="259"/>
      <c r="AC10444" s="260"/>
      <c r="AD10444" s="259"/>
      <c r="AE10444" s="259"/>
      <c r="AF10444" s="260"/>
      <c r="AG10444" s="330"/>
    </row>
    <row r="10445" spans="14:33">
      <c r="N10445" s="236" t="s">
        <v>2999</v>
      </c>
      <c r="O10445" s="482" t="s">
        <v>2792</v>
      </c>
      <c r="P10445" s="257"/>
      <c r="Q10445" s="328"/>
      <c r="R10445" s="259"/>
      <c r="S10445" s="259"/>
      <c r="T10445" s="262"/>
      <c r="U10445" s="259"/>
      <c r="V10445" s="259"/>
      <c r="W10445" s="262"/>
      <c r="X10445" s="259"/>
      <c r="Y10445" s="259"/>
      <c r="Z10445" s="262"/>
      <c r="AA10445" s="259"/>
      <c r="AB10445" s="259"/>
      <c r="AC10445" s="262"/>
      <c r="AD10445" s="259"/>
      <c r="AE10445" s="259"/>
      <c r="AF10445" s="262"/>
      <c r="AG10445" s="321"/>
    </row>
    <row r="10446" spans="14:33">
      <c r="N10446" s="594" t="str">
        <f>IF(TEMPLATE_CLAIM="P","5.1.1.3.1","")</f>
        <v/>
      </c>
      <c r="O10446" s="593" t="str">
        <f>IF(TEMPLATE_CLAIM="P","от станций с мощностью производства &gt;= 25 МВт","")</f>
        <v/>
      </c>
      <c r="P10446" s="257"/>
      <c r="Q10446" s="328"/>
      <c r="R10446" s="259"/>
      <c r="S10446" s="259"/>
      <c r="T10446" s="262"/>
      <c r="U10446" s="259"/>
      <c r="V10446" s="259"/>
      <c r="W10446" s="262"/>
      <c r="X10446" s="259"/>
      <c r="Y10446" s="259"/>
      <c r="Z10446" s="262"/>
      <c r="AA10446" s="259"/>
      <c r="AB10446" s="259"/>
      <c r="AC10446" s="262"/>
      <c r="AD10446" s="259"/>
      <c r="AE10446" s="259"/>
      <c r="AF10446" s="262"/>
      <c r="AG10446" s="321"/>
    </row>
    <row r="10447" spans="14:33">
      <c r="N10447" s="594" t="str">
        <f>IF(TEMPLATE_CLAIM="P","5.1.1.3.2","")</f>
        <v/>
      </c>
      <c r="O10447" s="593" t="str">
        <f>IF(TEMPLATE_CLAIM="P","от станций с мощностью производства &lt; 25 МВт","")</f>
        <v/>
      </c>
      <c r="P10447" s="257"/>
      <c r="Q10447" s="328"/>
      <c r="R10447" s="259"/>
      <c r="S10447" s="259"/>
      <c r="T10447" s="262"/>
      <c r="U10447" s="259"/>
      <c r="V10447" s="259"/>
      <c r="W10447" s="262"/>
      <c r="X10447" s="259"/>
      <c r="Y10447" s="259"/>
      <c r="Z10447" s="262"/>
      <c r="AA10447" s="259"/>
      <c r="AB10447" s="259"/>
      <c r="AC10447" s="262"/>
      <c r="AD10447" s="259"/>
      <c r="AE10447" s="259"/>
      <c r="AF10447" s="262"/>
      <c r="AG10447" s="321"/>
    </row>
    <row r="10448" spans="14:33">
      <c r="N10448" s="594" t="str">
        <f>IF(TEMPLATE_CLAIM="P","5.1.1.3.3","")</f>
        <v/>
      </c>
      <c r="O10448" s="593" t="str">
        <f>IF(TEMPLATE_CLAIM="P","от котельных (некомбинированная выработка)","")</f>
        <v/>
      </c>
      <c r="P10448" s="257"/>
      <c r="Q10448" s="328"/>
      <c r="R10448" s="259"/>
      <c r="S10448" s="259"/>
      <c r="T10448" s="262"/>
      <c r="U10448" s="259"/>
      <c r="V10448" s="259"/>
      <c r="W10448" s="262"/>
      <c r="X10448" s="259"/>
      <c r="Y10448" s="259"/>
      <c r="Z10448" s="262"/>
      <c r="AA10448" s="259"/>
      <c r="AB10448" s="259"/>
      <c r="AC10448" s="262"/>
      <c r="AD10448" s="259"/>
      <c r="AE10448" s="259"/>
      <c r="AF10448" s="262"/>
      <c r="AG10448" s="321"/>
    </row>
    <row r="10449" spans="14:33">
      <c r="N10449" s="236" t="s">
        <v>3002</v>
      </c>
      <c r="O10449" s="482" t="s">
        <v>756</v>
      </c>
      <c r="P10449" s="257"/>
      <c r="Q10449" s="328"/>
      <c r="R10449" s="259"/>
      <c r="S10449" s="259"/>
      <c r="T10449" s="262"/>
      <c r="U10449" s="259"/>
      <c r="V10449" s="259"/>
      <c r="W10449" s="262"/>
      <c r="X10449" s="259"/>
      <c r="Y10449" s="259"/>
      <c r="Z10449" s="262"/>
      <c r="AA10449" s="259"/>
      <c r="AB10449" s="259"/>
      <c r="AC10449" s="262"/>
      <c r="AD10449" s="259"/>
      <c r="AE10449" s="259"/>
      <c r="AF10449" s="262"/>
      <c r="AG10449" s="321"/>
    </row>
    <row r="10450" spans="14:33">
      <c r="N10450" s="594" t="str">
        <f>IF(TEMPLATE_CLAIM="P","5.1.1.4.1","")</f>
        <v/>
      </c>
      <c r="O10450" s="593" t="str">
        <f>IF(TEMPLATE_CLAIM="P","от станций с мощностью производства &gt;= 25 МВт","")</f>
        <v/>
      </c>
      <c r="P10450" s="257"/>
      <c r="Q10450" s="328"/>
      <c r="R10450" s="259"/>
      <c r="S10450" s="259"/>
      <c r="T10450" s="262"/>
      <c r="U10450" s="259"/>
      <c r="V10450" s="259"/>
      <c r="W10450" s="262"/>
      <c r="X10450" s="259"/>
      <c r="Y10450" s="259"/>
      <c r="Z10450" s="262"/>
      <c r="AA10450" s="259"/>
      <c r="AB10450" s="259"/>
      <c r="AC10450" s="262"/>
      <c r="AD10450" s="259"/>
      <c r="AE10450" s="259"/>
      <c r="AF10450" s="262"/>
      <c r="AG10450" s="321"/>
    </row>
    <row r="10451" spans="14:33">
      <c r="N10451" s="594" t="str">
        <f>IF(TEMPLATE_CLAIM="P","5.1.1.4.2","")</f>
        <v/>
      </c>
      <c r="O10451" s="593" t="str">
        <f>IF(TEMPLATE_CLAIM="P","от станций с мощностью производства &lt; 25 МВт","")</f>
        <v/>
      </c>
      <c r="P10451" s="257"/>
      <c r="Q10451" s="328"/>
      <c r="R10451" s="259"/>
      <c r="S10451" s="259"/>
      <c r="T10451" s="262"/>
      <c r="U10451" s="259"/>
      <c r="V10451" s="259"/>
      <c r="W10451" s="262"/>
      <c r="X10451" s="259"/>
      <c r="Y10451" s="259"/>
      <c r="Z10451" s="262"/>
      <c r="AA10451" s="259"/>
      <c r="AB10451" s="259"/>
      <c r="AC10451" s="262"/>
      <c r="AD10451" s="259"/>
      <c r="AE10451" s="259"/>
      <c r="AF10451" s="262"/>
      <c r="AG10451" s="321"/>
    </row>
    <row r="10452" spans="14:33">
      <c r="N10452" s="594" t="str">
        <f>IF(TEMPLATE_CLAIM="P","5.1.1.4.3","")</f>
        <v/>
      </c>
      <c r="O10452" s="593" t="str">
        <f>IF(TEMPLATE_CLAIM="P","от котельных (некомбинированная выработка)","")</f>
        <v/>
      </c>
      <c r="P10452" s="257"/>
      <c r="Q10452" s="328"/>
      <c r="R10452" s="259"/>
      <c r="S10452" s="259"/>
      <c r="T10452" s="262"/>
      <c r="U10452" s="259"/>
      <c r="V10452" s="259"/>
      <c r="W10452" s="262"/>
      <c r="X10452" s="259"/>
      <c r="Y10452" s="259"/>
      <c r="Z10452" s="262"/>
      <c r="AA10452" s="259"/>
      <c r="AB10452" s="259"/>
      <c r="AC10452" s="262"/>
      <c r="AD10452" s="259"/>
      <c r="AE10452" s="259"/>
      <c r="AF10452" s="262"/>
      <c r="AG10452" s="321"/>
    </row>
    <row r="10453" spans="14:33">
      <c r="N10453" s="234" t="s">
        <v>3003</v>
      </c>
      <c r="O10453" s="225" t="s">
        <v>3004</v>
      </c>
      <c r="P10453" s="257"/>
      <c r="Q10453" s="328"/>
      <c r="R10453" s="259"/>
      <c r="S10453" s="259"/>
      <c r="T10453" s="262"/>
      <c r="U10453" s="259"/>
      <c r="V10453" s="259"/>
      <c r="W10453" s="262"/>
      <c r="X10453" s="259"/>
      <c r="Y10453" s="259"/>
      <c r="Z10453" s="262"/>
      <c r="AA10453" s="259"/>
      <c r="AB10453" s="259"/>
      <c r="AC10453" s="262"/>
      <c r="AD10453" s="259"/>
      <c r="AE10453" s="259"/>
      <c r="AF10453" s="262"/>
      <c r="AG10453" s="321"/>
    </row>
    <row r="10454" spans="14:33" ht="22.5">
      <c r="N10454" s="234" t="s">
        <v>3006</v>
      </c>
      <c r="O10454" s="225" t="s">
        <v>3007</v>
      </c>
      <c r="P10454" s="257"/>
      <c r="Q10454" s="328"/>
      <c r="R10454" s="259"/>
      <c r="S10454" s="259"/>
      <c r="T10454" s="262"/>
      <c r="U10454" s="259"/>
      <c r="V10454" s="259"/>
      <c r="W10454" s="262"/>
      <c r="X10454" s="259"/>
      <c r="Y10454" s="259"/>
      <c r="Z10454" s="262"/>
      <c r="AA10454" s="259"/>
      <c r="AB10454" s="259"/>
      <c r="AC10454" s="262"/>
      <c r="AD10454" s="259"/>
      <c r="AE10454" s="259"/>
      <c r="AF10454" s="262"/>
      <c r="AG10454" s="321"/>
    </row>
    <row r="10455" spans="14:33">
      <c r="N10455" s="236" t="s">
        <v>3008</v>
      </c>
      <c r="O10455" s="242" t="s">
        <v>2972</v>
      </c>
      <c r="P10455" s="257"/>
      <c r="Q10455" s="328"/>
      <c r="R10455" s="259"/>
      <c r="S10455" s="259"/>
      <c r="T10455" s="262"/>
      <c r="U10455" s="259"/>
      <c r="V10455" s="259"/>
      <c r="W10455" s="262"/>
      <c r="X10455" s="259"/>
      <c r="Y10455" s="259"/>
      <c r="Z10455" s="262"/>
      <c r="AA10455" s="259"/>
      <c r="AB10455" s="259"/>
      <c r="AC10455" s="262"/>
      <c r="AD10455" s="259"/>
      <c r="AE10455" s="259"/>
      <c r="AF10455" s="262"/>
      <c r="AG10455" s="321"/>
    </row>
    <row r="10456" spans="14:33">
      <c r="N10456" s="236" t="s">
        <v>3009</v>
      </c>
      <c r="O10456" s="242" t="s">
        <v>2988</v>
      </c>
      <c r="P10456" s="257"/>
      <c r="Q10456" s="328"/>
      <c r="R10456" s="259"/>
      <c r="S10456" s="259"/>
      <c r="T10456" s="262"/>
      <c r="U10456" s="259"/>
      <c r="V10456" s="259"/>
      <c r="W10456" s="262"/>
      <c r="X10456" s="259"/>
      <c r="Y10456" s="259"/>
      <c r="Z10456" s="262"/>
      <c r="AA10456" s="259"/>
      <c r="AB10456" s="259"/>
      <c r="AC10456" s="262"/>
      <c r="AD10456" s="259"/>
      <c r="AE10456" s="259"/>
      <c r="AF10456" s="262"/>
      <c r="AG10456" s="321"/>
    </row>
    <row r="10457" spans="14:33" hidden="1">
      <c r="N10457" s="236"/>
      <c r="O10457" s="242"/>
      <c r="P10457" s="260"/>
      <c r="Q10457" s="328"/>
      <c r="R10457" s="259"/>
      <c r="S10457" s="259"/>
      <c r="T10457" s="260"/>
      <c r="U10457" s="259"/>
      <c r="V10457" s="259"/>
      <c r="W10457" s="260"/>
      <c r="X10457" s="259"/>
      <c r="Y10457" s="259"/>
      <c r="Z10457" s="260"/>
      <c r="AA10457" s="259"/>
      <c r="AB10457" s="259"/>
      <c r="AC10457" s="260"/>
      <c r="AD10457" s="259"/>
      <c r="AE10457" s="259"/>
      <c r="AF10457" s="260"/>
      <c r="AG10457" s="330"/>
    </row>
    <row r="10458" spans="14:33" hidden="1">
      <c r="N10458" s="236"/>
      <c r="O10458" s="244"/>
      <c r="P10458" s="260"/>
      <c r="Q10458" s="328"/>
      <c r="R10458" s="259"/>
      <c r="S10458" s="259"/>
      <c r="T10458" s="260"/>
      <c r="U10458" s="259"/>
      <c r="V10458" s="259"/>
      <c r="W10458" s="260"/>
      <c r="X10458" s="259"/>
      <c r="Y10458" s="259"/>
      <c r="Z10458" s="260"/>
      <c r="AA10458" s="259"/>
      <c r="AB10458" s="259"/>
      <c r="AC10458" s="260"/>
      <c r="AD10458" s="259"/>
      <c r="AE10458" s="259"/>
      <c r="AF10458" s="260"/>
      <c r="AG10458" s="330"/>
    </row>
    <row r="10459" spans="14:33" hidden="1">
      <c r="N10459" s="236"/>
      <c r="O10459" s="244"/>
      <c r="P10459" s="260"/>
      <c r="Q10459" s="328"/>
      <c r="R10459" s="259"/>
      <c r="S10459" s="259"/>
      <c r="T10459" s="260"/>
      <c r="U10459" s="259"/>
      <c r="V10459" s="259"/>
      <c r="W10459" s="260"/>
      <c r="X10459" s="259"/>
      <c r="Y10459" s="259"/>
      <c r="Z10459" s="260"/>
      <c r="AA10459" s="259"/>
      <c r="AB10459" s="259"/>
      <c r="AC10459" s="260"/>
      <c r="AD10459" s="259"/>
      <c r="AE10459" s="259"/>
      <c r="AF10459" s="260"/>
      <c r="AG10459" s="330"/>
    </row>
    <row r="10460" spans="14:33" hidden="1">
      <c r="N10460" s="236"/>
      <c r="O10460" s="245"/>
      <c r="P10460" s="260"/>
      <c r="Q10460" s="328"/>
      <c r="R10460" s="259"/>
      <c r="S10460" s="259"/>
      <c r="T10460" s="260"/>
      <c r="U10460" s="259"/>
      <c r="V10460" s="259"/>
      <c r="W10460" s="260"/>
      <c r="X10460" s="259"/>
      <c r="Y10460" s="259"/>
      <c r="Z10460" s="260"/>
      <c r="AA10460" s="259"/>
      <c r="AB10460" s="259"/>
      <c r="AC10460" s="260"/>
      <c r="AD10460" s="259"/>
      <c r="AE10460" s="259"/>
      <c r="AF10460" s="260"/>
      <c r="AG10460" s="330"/>
    </row>
    <row r="10461" spans="14:33" hidden="1">
      <c r="N10461" s="236"/>
      <c r="O10461" s="244"/>
      <c r="P10461" s="260"/>
      <c r="Q10461" s="328"/>
      <c r="R10461" s="259"/>
      <c r="S10461" s="259"/>
      <c r="T10461" s="260"/>
      <c r="U10461" s="259"/>
      <c r="V10461" s="259"/>
      <c r="W10461" s="260"/>
      <c r="X10461" s="259"/>
      <c r="Y10461" s="259"/>
      <c r="Z10461" s="260"/>
      <c r="AA10461" s="259"/>
      <c r="AB10461" s="259"/>
      <c r="AC10461" s="260"/>
      <c r="AD10461" s="259"/>
      <c r="AE10461" s="259"/>
      <c r="AF10461" s="260"/>
      <c r="AG10461" s="330"/>
    </row>
    <row r="10462" spans="14:33" hidden="1">
      <c r="N10462" s="236"/>
      <c r="O10462" s="244"/>
      <c r="P10462" s="260"/>
      <c r="Q10462" s="328"/>
      <c r="R10462" s="259"/>
      <c r="S10462" s="259"/>
      <c r="T10462" s="260"/>
      <c r="U10462" s="259"/>
      <c r="V10462" s="259"/>
      <c r="W10462" s="260"/>
      <c r="X10462" s="259"/>
      <c r="Y10462" s="259"/>
      <c r="Z10462" s="260"/>
      <c r="AA10462" s="259"/>
      <c r="AB10462" s="259"/>
      <c r="AC10462" s="260"/>
      <c r="AD10462" s="259"/>
      <c r="AE10462" s="259"/>
      <c r="AF10462" s="260"/>
      <c r="AG10462" s="330"/>
    </row>
    <row r="10463" spans="14:33" hidden="1">
      <c r="N10463" s="236"/>
      <c r="O10463" s="242"/>
      <c r="P10463" s="260"/>
      <c r="Q10463" s="328"/>
      <c r="R10463" s="259"/>
      <c r="S10463" s="259"/>
      <c r="T10463" s="260"/>
      <c r="U10463" s="259"/>
      <c r="V10463" s="259"/>
      <c r="W10463" s="260"/>
      <c r="X10463" s="259"/>
      <c r="Y10463" s="259"/>
      <c r="Z10463" s="260"/>
      <c r="AA10463" s="259"/>
      <c r="AB10463" s="259"/>
      <c r="AC10463" s="260"/>
      <c r="AD10463" s="259"/>
      <c r="AE10463" s="259"/>
      <c r="AF10463" s="260"/>
      <c r="AG10463" s="330"/>
    </row>
    <row r="10464" spans="14:33" hidden="1">
      <c r="N10464" s="236"/>
      <c r="O10464" s="244"/>
      <c r="P10464" s="260"/>
      <c r="Q10464" s="328"/>
      <c r="R10464" s="259"/>
      <c r="S10464" s="259"/>
      <c r="T10464" s="260"/>
      <c r="U10464" s="259"/>
      <c r="V10464" s="259"/>
      <c r="W10464" s="260"/>
      <c r="X10464" s="259"/>
      <c r="Y10464" s="259"/>
      <c r="Z10464" s="260"/>
      <c r="AA10464" s="259"/>
      <c r="AB10464" s="259"/>
      <c r="AC10464" s="260"/>
      <c r="AD10464" s="259"/>
      <c r="AE10464" s="259"/>
      <c r="AF10464" s="260"/>
      <c r="AG10464" s="330"/>
    </row>
    <row r="10465" spans="13:33" hidden="1">
      <c r="N10465" s="236"/>
      <c r="O10465" s="244"/>
      <c r="P10465" s="260"/>
      <c r="Q10465" s="328"/>
      <c r="R10465" s="259"/>
      <c r="S10465" s="259"/>
      <c r="T10465" s="260"/>
      <c r="U10465" s="259"/>
      <c r="V10465" s="259"/>
      <c r="W10465" s="260"/>
      <c r="X10465" s="259"/>
      <c r="Y10465" s="259"/>
      <c r="Z10465" s="260"/>
      <c r="AA10465" s="259"/>
      <c r="AB10465" s="259"/>
      <c r="AC10465" s="260"/>
      <c r="AD10465" s="259"/>
      <c r="AE10465" s="259"/>
      <c r="AF10465" s="260"/>
      <c r="AG10465" s="330"/>
    </row>
    <row r="10466" spans="13:33" hidden="1">
      <c r="N10466" s="236"/>
      <c r="O10466" s="245"/>
      <c r="P10466" s="260"/>
      <c r="Q10466" s="328"/>
      <c r="R10466" s="259"/>
      <c r="S10466" s="259"/>
      <c r="T10466" s="260"/>
      <c r="U10466" s="259"/>
      <c r="V10466" s="259"/>
      <c r="W10466" s="260"/>
      <c r="X10466" s="259"/>
      <c r="Y10466" s="259"/>
      <c r="Z10466" s="260"/>
      <c r="AA10466" s="259"/>
      <c r="AB10466" s="259"/>
      <c r="AC10466" s="260"/>
      <c r="AD10466" s="259"/>
      <c r="AE10466" s="259"/>
      <c r="AF10466" s="260"/>
      <c r="AG10466" s="330"/>
    </row>
    <row r="10467" spans="13:33" hidden="1">
      <c r="N10467" s="236"/>
      <c r="O10467" s="244"/>
      <c r="P10467" s="260"/>
      <c r="Q10467" s="328"/>
      <c r="R10467" s="259"/>
      <c r="S10467" s="259"/>
      <c r="T10467" s="260"/>
      <c r="U10467" s="259"/>
      <c r="V10467" s="259"/>
      <c r="W10467" s="260"/>
      <c r="X10467" s="259"/>
      <c r="Y10467" s="259"/>
      <c r="Z10467" s="260"/>
      <c r="AA10467" s="259"/>
      <c r="AB10467" s="259"/>
      <c r="AC10467" s="260"/>
      <c r="AD10467" s="259"/>
      <c r="AE10467" s="259"/>
      <c r="AF10467" s="260"/>
      <c r="AG10467" s="330"/>
    </row>
    <row r="10468" spans="13:33" hidden="1">
      <c r="N10468" s="236"/>
      <c r="O10468" s="244"/>
      <c r="P10468" s="260"/>
      <c r="Q10468" s="328"/>
      <c r="R10468" s="259"/>
      <c r="S10468" s="259"/>
      <c r="T10468" s="260"/>
      <c r="U10468" s="259"/>
      <c r="V10468" s="259"/>
      <c r="W10468" s="260"/>
      <c r="X10468" s="259"/>
      <c r="Y10468" s="259"/>
      <c r="Z10468" s="260"/>
      <c r="AA10468" s="259"/>
      <c r="AB10468" s="259"/>
      <c r="AC10468" s="260"/>
      <c r="AD10468" s="259"/>
      <c r="AE10468" s="259"/>
      <c r="AF10468" s="260"/>
      <c r="AG10468" s="330"/>
    </row>
    <row r="10469" spans="13:33" hidden="1">
      <c r="N10469" s="236"/>
      <c r="O10469" s="242"/>
      <c r="P10469" s="260"/>
      <c r="Q10469" s="328"/>
      <c r="R10469" s="259"/>
      <c r="S10469" s="259"/>
      <c r="T10469" s="260"/>
      <c r="U10469" s="259"/>
      <c r="V10469" s="259"/>
      <c r="W10469" s="260"/>
      <c r="X10469" s="259"/>
      <c r="Y10469" s="259"/>
      <c r="Z10469" s="260"/>
      <c r="AA10469" s="259"/>
      <c r="AB10469" s="259"/>
      <c r="AC10469" s="260"/>
      <c r="AD10469" s="259"/>
      <c r="AE10469" s="259"/>
      <c r="AF10469" s="260"/>
      <c r="AG10469" s="330"/>
    </row>
    <row r="10470" spans="13:33" hidden="1">
      <c r="N10470" s="236"/>
      <c r="O10470" s="244"/>
      <c r="P10470" s="260"/>
      <c r="Q10470" s="328"/>
      <c r="R10470" s="259"/>
      <c r="S10470" s="259"/>
      <c r="T10470" s="260"/>
      <c r="U10470" s="259"/>
      <c r="V10470" s="259"/>
      <c r="W10470" s="260"/>
      <c r="X10470" s="259"/>
      <c r="Y10470" s="259"/>
      <c r="Z10470" s="260"/>
      <c r="AA10470" s="259"/>
      <c r="AB10470" s="259"/>
      <c r="AC10470" s="260"/>
      <c r="AD10470" s="259"/>
      <c r="AE10470" s="259"/>
      <c r="AF10470" s="260"/>
      <c r="AG10470" s="330"/>
    </row>
    <row r="10471" spans="13:33" hidden="1">
      <c r="M10471"/>
      <c r="N10471" s="236"/>
      <c r="O10471" s="244"/>
      <c r="P10471" s="260"/>
      <c r="Q10471" s="328"/>
      <c r="R10471" s="259"/>
      <c r="S10471" s="259"/>
      <c r="T10471" s="260"/>
      <c r="U10471" s="259"/>
      <c r="V10471" s="259"/>
      <c r="W10471" s="260"/>
      <c r="X10471" s="259"/>
      <c r="Y10471" s="259"/>
      <c r="Z10471" s="260"/>
      <c r="AA10471" s="259"/>
      <c r="AB10471" s="259"/>
      <c r="AC10471" s="260"/>
      <c r="AD10471" s="259"/>
      <c r="AE10471" s="259"/>
      <c r="AF10471" s="260"/>
      <c r="AG10471" s="330"/>
    </row>
    <row r="10472" spans="13:33" hidden="1">
      <c r="M10472"/>
      <c r="N10472" s="236"/>
      <c r="O10472" s="245"/>
      <c r="P10472" s="260"/>
      <c r="Q10472" s="328"/>
      <c r="R10472" s="259"/>
      <c r="S10472" s="259"/>
      <c r="T10472" s="260"/>
      <c r="U10472" s="259"/>
      <c r="V10472" s="259"/>
      <c r="W10472" s="260"/>
      <c r="X10472" s="259"/>
      <c r="Y10472" s="259"/>
      <c r="Z10472" s="260"/>
      <c r="AA10472" s="259"/>
      <c r="AB10472" s="259"/>
      <c r="AC10472" s="260"/>
      <c r="AD10472" s="259"/>
      <c r="AE10472" s="259"/>
      <c r="AF10472" s="260"/>
      <c r="AG10472" s="330"/>
    </row>
    <row r="10473" spans="13:33" hidden="1">
      <c r="M10473"/>
      <c r="N10473" s="236"/>
      <c r="O10473" s="244"/>
      <c r="P10473" s="260"/>
      <c r="Q10473" s="328"/>
      <c r="R10473" s="259"/>
      <c r="S10473" s="259"/>
      <c r="T10473" s="260"/>
      <c r="U10473" s="259"/>
      <c r="V10473" s="259"/>
      <c r="W10473" s="260"/>
      <c r="X10473" s="259"/>
      <c r="Y10473" s="259"/>
      <c r="Z10473" s="260"/>
      <c r="AA10473" s="259"/>
      <c r="AB10473" s="259"/>
      <c r="AC10473" s="260"/>
      <c r="AD10473" s="259"/>
      <c r="AE10473" s="259"/>
      <c r="AF10473" s="260"/>
      <c r="AG10473" s="330"/>
    </row>
    <row r="10474" spans="13:33" hidden="1">
      <c r="M10474"/>
      <c r="N10474" s="236"/>
      <c r="O10474" s="244"/>
      <c r="P10474" s="260"/>
      <c r="Q10474" s="328"/>
      <c r="R10474" s="259"/>
      <c r="S10474" s="259"/>
      <c r="T10474" s="260"/>
      <c r="U10474" s="259"/>
      <c r="V10474" s="259"/>
      <c r="W10474" s="260"/>
      <c r="X10474" s="259"/>
      <c r="Y10474" s="259"/>
      <c r="Z10474" s="260"/>
      <c r="AA10474" s="259"/>
      <c r="AB10474" s="259"/>
      <c r="AC10474" s="260"/>
      <c r="AD10474" s="259"/>
      <c r="AE10474" s="259"/>
      <c r="AF10474" s="260"/>
      <c r="AG10474" s="330"/>
    </row>
    <row r="10475" spans="13:33" hidden="1">
      <c r="M10475"/>
      <c r="N10475" s="236"/>
      <c r="O10475" s="242"/>
      <c r="P10475" s="260"/>
      <c r="Q10475" s="328"/>
      <c r="R10475" s="259"/>
      <c r="S10475" s="259"/>
      <c r="T10475" s="260"/>
      <c r="U10475" s="259"/>
      <c r="V10475" s="259"/>
      <c r="W10475" s="260"/>
      <c r="X10475" s="259"/>
      <c r="Y10475" s="259"/>
      <c r="Z10475" s="260"/>
      <c r="AA10475" s="259"/>
      <c r="AB10475" s="259"/>
      <c r="AC10475" s="260"/>
      <c r="AD10475" s="259"/>
      <c r="AE10475" s="259"/>
      <c r="AF10475" s="260"/>
      <c r="AG10475" s="330"/>
    </row>
    <row r="10476" spans="13:33" hidden="1">
      <c r="M10476"/>
      <c r="N10476" s="236"/>
      <c r="O10476" s="244"/>
      <c r="P10476" s="260"/>
      <c r="Q10476" s="328"/>
      <c r="R10476" s="259"/>
      <c r="S10476" s="259"/>
      <c r="T10476" s="260"/>
      <c r="U10476" s="259"/>
      <c r="V10476" s="259"/>
      <c r="W10476" s="260"/>
      <c r="X10476" s="259"/>
      <c r="Y10476" s="259"/>
      <c r="Z10476" s="260"/>
      <c r="AA10476" s="259"/>
      <c r="AB10476" s="259"/>
      <c r="AC10476" s="260"/>
      <c r="AD10476" s="259"/>
      <c r="AE10476" s="259"/>
      <c r="AF10476" s="260"/>
      <c r="AG10476" s="330"/>
    </row>
    <row r="10477" spans="13:33" hidden="1">
      <c r="M10477"/>
      <c r="N10477" s="236"/>
      <c r="O10477" s="244"/>
      <c r="P10477" s="260"/>
      <c r="Q10477" s="328"/>
      <c r="R10477" s="259"/>
      <c r="S10477" s="259"/>
      <c r="T10477" s="260"/>
      <c r="U10477" s="259"/>
      <c r="V10477" s="259"/>
      <c r="W10477" s="260"/>
      <c r="X10477" s="259"/>
      <c r="Y10477" s="259"/>
      <c r="Z10477" s="260"/>
      <c r="AA10477" s="259"/>
      <c r="AB10477" s="259"/>
      <c r="AC10477" s="260"/>
      <c r="AD10477" s="259"/>
      <c r="AE10477" s="259"/>
      <c r="AF10477" s="260"/>
      <c r="AG10477" s="330"/>
    </row>
    <row r="10478" spans="13:33" hidden="1">
      <c r="M10478"/>
      <c r="N10478" s="236"/>
      <c r="O10478" s="245"/>
      <c r="P10478" s="260"/>
      <c r="Q10478" s="328"/>
      <c r="R10478" s="259"/>
      <c r="S10478" s="259"/>
      <c r="T10478" s="260"/>
      <c r="U10478" s="259"/>
      <c r="V10478" s="259"/>
      <c r="W10478" s="260"/>
      <c r="X10478" s="259"/>
      <c r="Y10478" s="259"/>
      <c r="Z10478" s="260"/>
      <c r="AA10478" s="259"/>
      <c r="AB10478" s="259"/>
      <c r="AC10478" s="260"/>
      <c r="AD10478" s="259"/>
      <c r="AE10478" s="259"/>
      <c r="AF10478" s="260"/>
      <c r="AG10478" s="330"/>
    </row>
    <row r="10479" spans="13:33" hidden="1">
      <c r="M10479"/>
      <c r="N10479" s="236"/>
      <c r="O10479" s="244"/>
      <c r="P10479" s="260"/>
      <c r="Q10479" s="328"/>
      <c r="R10479" s="259"/>
      <c r="S10479" s="259"/>
      <c r="T10479" s="260"/>
      <c r="U10479" s="259"/>
      <c r="V10479" s="259"/>
      <c r="W10479" s="260"/>
      <c r="X10479" s="259"/>
      <c r="Y10479" s="259"/>
      <c r="Z10479" s="260"/>
      <c r="AA10479" s="259"/>
      <c r="AB10479" s="259"/>
      <c r="AC10479" s="260"/>
      <c r="AD10479" s="259"/>
      <c r="AE10479" s="259"/>
      <c r="AF10479" s="260"/>
      <c r="AG10479" s="330"/>
    </row>
    <row r="10480" spans="13:33" hidden="1">
      <c r="M10480"/>
      <c r="N10480" s="236"/>
      <c r="O10480" s="244"/>
      <c r="P10480" s="260"/>
      <c r="Q10480" s="328"/>
      <c r="R10480" s="259"/>
      <c r="S10480" s="259"/>
      <c r="T10480" s="260"/>
      <c r="U10480" s="259"/>
      <c r="V10480" s="259"/>
      <c r="W10480" s="260"/>
      <c r="X10480" s="259"/>
      <c r="Y10480" s="259"/>
      <c r="Z10480" s="260"/>
      <c r="AA10480" s="259"/>
      <c r="AB10480" s="259"/>
      <c r="AC10480" s="260"/>
      <c r="AD10480" s="259"/>
      <c r="AE10480" s="259"/>
      <c r="AF10480" s="260"/>
      <c r="AG10480" s="330"/>
    </row>
    <row r="10481" spans="13:33">
      <c r="M10481"/>
      <c r="N10481" s="436" t="s">
        <v>771</v>
      </c>
      <c r="O10481" s="591" t="s">
        <v>3043</v>
      </c>
      <c r="P10481" s="257"/>
      <c r="Q10481" s="328"/>
      <c r="R10481" s="259"/>
      <c r="S10481" s="259"/>
      <c r="T10481" s="262"/>
      <c r="U10481" s="259"/>
      <c r="V10481" s="259"/>
      <c r="W10481" s="262"/>
      <c r="X10481" s="259"/>
      <c r="Y10481" s="259"/>
      <c r="Z10481" s="262"/>
      <c r="AA10481" s="259"/>
      <c r="AB10481" s="259"/>
      <c r="AC10481" s="262"/>
      <c r="AD10481" s="259"/>
      <c r="AE10481" s="259"/>
      <c r="AF10481" s="262"/>
      <c r="AG10481" s="321"/>
    </row>
    <row r="10482" spans="13:33">
      <c r="M10482"/>
      <c r="N10482" s="436" t="s">
        <v>772</v>
      </c>
      <c r="O10482" s="592" t="s">
        <v>3044</v>
      </c>
      <c r="P10482" s="257"/>
      <c r="Q10482" s="328"/>
      <c r="R10482" s="259"/>
      <c r="S10482" s="259"/>
      <c r="T10482" s="262"/>
      <c r="U10482" s="259"/>
      <c r="V10482" s="259"/>
      <c r="W10482" s="262"/>
      <c r="X10482" s="259"/>
      <c r="Y10482" s="259"/>
      <c r="Z10482" s="262"/>
      <c r="AA10482" s="259"/>
      <c r="AB10482" s="259"/>
      <c r="AC10482" s="262"/>
      <c r="AD10482" s="259"/>
      <c r="AE10482" s="259"/>
      <c r="AF10482" s="262"/>
      <c r="AG10482" s="321"/>
    </row>
    <row r="10483" spans="13:33">
      <c r="M10483"/>
      <c r="N10483" s="236" t="s">
        <v>773</v>
      </c>
      <c r="O10483" s="248" t="s">
        <v>3045</v>
      </c>
      <c r="P10483" s="257"/>
      <c r="Q10483" s="328"/>
      <c r="R10483" s="259"/>
      <c r="S10483" s="259"/>
      <c r="T10483" s="262"/>
      <c r="U10483" s="259"/>
      <c r="V10483" s="259"/>
      <c r="W10483" s="262"/>
      <c r="X10483" s="259"/>
      <c r="Y10483" s="259"/>
      <c r="Z10483" s="262"/>
      <c r="AA10483" s="259"/>
      <c r="AB10483" s="259"/>
      <c r="AC10483" s="262"/>
      <c r="AD10483" s="259"/>
      <c r="AE10483" s="259"/>
      <c r="AF10483" s="262"/>
      <c r="AG10483" s="321"/>
    </row>
    <row r="10484" spans="13:33">
      <c r="M10484"/>
      <c r="N10484" s="236" t="s">
        <v>3046</v>
      </c>
      <c r="O10484" s="242" t="s">
        <v>2972</v>
      </c>
      <c r="P10484" s="257"/>
      <c r="Q10484" s="328"/>
      <c r="R10484" s="259"/>
      <c r="S10484" s="259"/>
      <c r="T10484" s="262"/>
      <c r="U10484" s="259"/>
      <c r="V10484" s="259"/>
      <c r="W10484" s="262"/>
      <c r="X10484" s="259"/>
      <c r="Y10484" s="259"/>
      <c r="Z10484" s="262"/>
      <c r="AA10484" s="259"/>
      <c r="AB10484" s="259"/>
      <c r="AC10484" s="262"/>
      <c r="AD10484" s="259"/>
      <c r="AE10484" s="259"/>
      <c r="AF10484" s="262"/>
      <c r="AG10484" s="321"/>
    </row>
    <row r="10485" spans="13:33" ht="11.25" customHeight="1">
      <c r="M10485"/>
      <c r="N10485" s="236" t="s">
        <v>3047</v>
      </c>
      <c r="O10485" s="242" t="s">
        <v>2988</v>
      </c>
      <c r="P10485" s="257"/>
      <c r="Q10485" s="328"/>
      <c r="R10485" s="259"/>
      <c r="S10485" s="259"/>
      <c r="T10485" s="262"/>
      <c r="U10485" s="259"/>
      <c r="V10485" s="259"/>
      <c r="W10485" s="262"/>
      <c r="X10485" s="259"/>
      <c r="Y10485" s="259"/>
      <c r="Z10485" s="262"/>
      <c r="AA10485" s="259"/>
      <c r="AB10485" s="259"/>
      <c r="AC10485" s="262"/>
      <c r="AD10485" s="259"/>
      <c r="AE10485" s="259"/>
      <c r="AF10485" s="262"/>
      <c r="AG10485" s="321"/>
    </row>
    <row r="10486" spans="13:33" ht="11.25" hidden="1" customHeight="1">
      <c r="M10486"/>
      <c r="N10486" s="236"/>
      <c r="O10486" s="242"/>
      <c r="P10486" s="260"/>
      <c r="Q10486" s="328"/>
      <c r="R10486" s="259"/>
      <c r="S10486" s="259"/>
      <c r="T10486" s="260"/>
      <c r="U10486" s="259"/>
      <c r="V10486" s="259"/>
      <c r="W10486" s="260"/>
      <c r="X10486" s="259"/>
      <c r="Y10486" s="259"/>
      <c r="Z10486" s="260"/>
      <c r="AA10486" s="259"/>
      <c r="AB10486" s="259"/>
      <c r="AC10486" s="260"/>
      <c r="AD10486" s="259"/>
      <c r="AE10486" s="259"/>
      <c r="AF10486" s="260"/>
      <c r="AG10486" s="330"/>
    </row>
    <row r="10487" spans="13:33" ht="11.25" hidden="1" customHeight="1">
      <c r="M10487"/>
      <c r="N10487" s="236"/>
      <c r="O10487" s="244"/>
      <c r="P10487" s="260"/>
      <c r="Q10487" s="328"/>
      <c r="R10487" s="259"/>
      <c r="S10487" s="259"/>
      <c r="T10487" s="260"/>
      <c r="U10487" s="259"/>
      <c r="V10487" s="259"/>
      <c r="W10487" s="260"/>
      <c r="X10487" s="259"/>
      <c r="Y10487" s="259"/>
      <c r="Z10487" s="260"/>
      <c r="AA10487" s="259"/>
      <c r="AB10487" s="259"/>
      <c r="AC10487" s="260"/>
      <c r="AD10487" s="259"/>
      <c r="AE10487" s="259"/>
      <c r="AF10487" s="260"/>
      <c r="AG10487" s="330"/>
    </row>
    <row r="10488" spans="13:33" ht="11.25" hidden="1" customHeight="1">
      <c r="M10488"/>
      <c r="N10488" s="236"/>
      <c r="O10488" s="244"/>
      <c r="P10488" s="260"/>
      <c r="Q10488" s="328"/>
      <c r="R10488" s="259"/>
      <c r="S10488" s="259"/>
      <c r="T10488" s="260"/>
      <c r="U10488" s="259"/>
      <c r="V10488" s="259"/>
      <c r="W10488" s="260"/>
      <c r="X10488" s="259"/>
      <c r="Y10488" s="259"/>
      <c r="Z10488" s="260"/>
      <c r="AA10488" s="259"/>
      <c r="AB10488" s="259"/>
      <c r="AC10488" s="260"/>
      <c r="AD10488" s="259"/>
      <c r="AE10488" s="259"/>
      <c r="AF10488" s="260"/>
      <c r="AG10488" s="330"/>
    </row>
    <row r="10489" spans="13:33" ht="11.25" hidden="1" customHeight="1">
      <c r="M10489"/>
      <c r="N10489" s="236"/>
      <c r="O10489" s="245"/>
      <c r="P10489" s="260"/>
      <c r="Q10489" s="328"/>
      <c r="R10489" s="259"/>
      <c r="S10489" s="259"/>
      <c r="T10489" s="260"/>
      <c r="U10489" s="259"/>
      <c r="V10489" s="259"/>
      <c r="W10489" s="260"/>
      <c r="X10489" s="259"/>
      <c r="Y10489" s="259"/>
      <c r="Z10489" s="260"/>
      <c r="AA10489" s="259"/>
      <c r="AB10489" s="259"/>
      <c r="AC10489" s="260"/>
      <c r="AD10489" s="259"/>
      <c r="AE10489" s="259"/>
      <c r="AF10489" s="260"/>
      <c r="AG10489" s="330"/>
    </row>
    <row r="10490" spans="13:33" ht="11.25" hidden="1" customHeight="1">
      <c r="M10490"/>
      <c r="N10490" s="236"/>
      <c r="O10490" s="244"/>
      <c r="P10490" s="260"/>
      <c r="Q10490" s="328"/>
      <c r="R10490" s="259"/>
      <c r="S10490" s="259"/>
      <c r="T10490" s="260"/>
      <c r="U10490" s="259"/>
      <c r="V10490" s="259"/>
      <c r="W10490" s="260"/>
      <c r="X10490" s="259"/>
      <c r="Y10490" s="259"/>
      <c r="Z10490" s="260"/>
      <c r="AA10490" s="259"/>
      <c r="AB10490" s="259"/>
      <c r="AC10490" s="260"/>
      <c r="AD10490" s="259"/>
      <c r="AE10490" s="259"/>
      <c r="AF10490" s="260"/>
      <c r="AG10490" s="330"/>
    </row>
    <row r="10491" spans="13:33" ht="11.25" hidden="1" customHeight="1">
      <c r="M10491"/>
      <c r="N10491" s="236"/>
      <c r="O10491" s="244"/>
      <c r="P10491" s="260"/>
      <c r="Q10491" s="328"/>
      <c r="R10491" s="259"/>
      <c r="S10491" s="259"/>
      <c r="T10491" s="260"/>
      <c r="U10491" s="259"/>
      <c r="V10491" s="259"/>
      <c r="W10491" s="260"/>
      <c r="X10491" s="259"/>
      <c r="Y10491" s="259"/>
      <c r="Z10491" s="260"/>
      <c r="AA10491" s="259"/>
      <c r="AB10491" s="259"/>
      <c r="AC10491" s="260"/>
      <c r="AD10491" s="259"/>
      <c r="AE10491" s="259"/>
      <c r="AF10491" s="260"/>
      <c r="AG10491" s="330"/>
    </row>
    <row r="10492" spans="13:33" ht="11.25" hidden="1" customHeight="1">
      <c r="M10492"/>
      <c r="N10492" s="236"/>
      <c r="O10492" s="242"/>
      <c r="P10492" s="260"/>
      <c r="Q10492" s="328"/>
      <c r="R10492" s="259"/>
      <c r="S10492" s="259"/>
      <c r="T10492" s="260"/>
      <c r="U10492" s="259"/>
      <c r="V10492" s="259"/>
      <c r="W10492" s="260"/>
      <c r="X10492" s="259"/>
      <c r="Y10492" s="259"/>
      <c r="Z10492" s="260"/>
      <c r="AA10492" s="259"/>
      <c r="AB10492" s="259"/>
      <c r="AC10492" s="260"/>
      <c r="AD10492" s="259"/>
      <c r="AE10492" s="259"/>
      <c r="AF10492" s="260"/>
      <c r="AG10492" s="330"/>
    </row>
    <row r="10493" spans="13:33" ht="11.25" hidden="1" customHeight="1">
      <c r="M10493"/>
      <c r="N10493" s="236"/>
      <c r="O10493" s="244"/>
      <c r="P10493" s="260"/>
      <c r="Q10493" s="328"/>
      <c r="R10493" s="259"/>
      <c r="S10493" s="259"/>
      <c r="T10493" s="260"/>
      <c r="U10493" s="259"/>
      <c r="V10493" s="259"/>
      <c r="W10493" s="260"/>
      <c r="X10493" s="259"/>
      <c r="Y10493" s="259"/>
      <c r="Z10493" s="260"/>
      <c r="AA10493" s="259"/>
      <c r="AB10493" s="259"/>
      <c r="AC10493" s="260"/>
      <c r="AD10493" s="259"/>
      <c r="AE10493" s="259"/>
      <c r="AF10493" s="260"/>
      <c r="AG10493" s="330"/>
    </row>
    <row r="10494" spans="13:33" ht="11.25" hidden="1" customHeight="1">
      <c r="M10494"/>
      <c r="N10494" s="236"/>
      <c r="O10494" s="244"/>
      <c r="P10494" s="260"/>
      <c r="Q10494" s="328"/>
      <c r="R10494" s="259"/>
      <c r="S10494" s="259"/>
      <c r="T10494" s="260"/>
      <c r="U10494" s="259"/>
      <c r="V10494" s="259"/>
      <c r="W10494" s="260"/>
      <c r="X10494" s="259"/>
      <c r="Y10494" s="259"/>
      <c r="Z10494" s="260"/>
      <c r="AA10494" s="259"/>
      <c r="AB10494" s="259"/>
      <c r="AC10494" s="260"/>
      <c r="AD10494" s="259"/>
      <c r="AE10494" s="259"/>
      <c r="AF10494" s="260"/>
      <c r="AG10494" s="330"/>
    </row>
    <row r="10495" spans="13:33" ht="11.25" hidden="1" customHeight="1">
      <c r="M10495"/>
      <c r="N10495" s="236"/>
      <c r="O10495" s="245"/>
      <c r="P10495" s="260"/>
      <c r="Q10495" s="328"/>
      <c r="R10495" s="259"/>
      <c r="S10495" s="259"/>
      <c r="T10495" s="260"/>
      <c r="U10495" s="259"/>
      <c r="V10495" s="259"/>
      <c r="W10495" s="260"/>
      <c r="X10495" s="259"/>
      <c r="Y10495" s="259"/>
      <c r="Z10495" s="260"/>
      <c r="AA10495" s="259"/>
      <c r="AB10495" s="259"/>
      <c r="AC10495" s="260"/>
      <c r="AD10495" s="259"/>
      <c r="AE10495" s="259"/>
      <c r="AF10495" s="260"/>
      <c r="AG10495" s="330"/>
    </row>
    <row r="10496" spans="13:33" ht="11.25" hidden="1" customHeight="1">
      <c r="M10496"/>
      <c r="N10496" s="236"/>
      <c r="O10496" s="244"/>
      <c r="P10496" s="260"/>
      <c r="Q10496" s="328"/>
      <c r="R10496" s="259"/>
      <c r="S10496" s="259"/>
      <c r="T10496" s="260"/>
      <c r="U10496" s="259"/>
      <c r="V10496" s="259"/>
      <c r="W10496" s="260"/>
      <c r="X10496" s="259"/>
      <c r="Y10496" s="259"/>
      <c r="Z10496" s="260"/>
      <c r="AA10496" s="259"/>
      <c r="AB10496" s="259"/>
      <c r="AC10496" s="260"/>
      <c r="AD10496" s="259"/>
      <c r="AE10496" s="259"/>
      <c r="AF10496" s="260"/>
      <c r="AG10496" s="330"/>
    </row>
    <row r="10497" spans="13:34" ht="11.25" hidden="1" customHeight="1">
      <c r="M10497"/>
      <c r="N10497" s="236"/>
      <c r="O10497" s="244"/>
      <c r="P10497" s="260"/>
      <c r="Q10497" s="328"/>
      <c r="R10497" s="259"/>
      <c r="S10497" s="259"/>
      <c r="T10497" s="260"/>
      <c r="U10497" s="259"/>
      <c r="V10497" s="259"/>
      <c r="W10497" s="260"/>
      <c r="X10497" s="259"/>
      <c r="Y10497" s="259"/>
      <c r="Z10497" s="260"/>
      <c r="AA10497" s="259"/>
      <c r="AB10497" s="259"/>
      <c r="AC10497" s="260"/>
      <c r="AD10497" s="259"/>
      <c r="AE10497" s="259"/>
      <c r="AF10497" s="260"/>
      <c r="AG10497" s="330"/>
    </row>
    <row r="10498" spans="13:34" hidden="1">
      <c r="M10498"/>
      <c r="N10498" s="236"/>
      <c r="O10498" s="242"/>
      <c r="P10498" s="260"/>
      <c r="Q10498" s="328"/>
      <c r="R10498" s="259"/>
      <c r="S10498" s="259"/>
      <c r="T10498" s="260"/>
      <c r="U10498" s="259"/>
      <c r="V10498" s="259"/>
      <c r="W10498" s="260"/>
      <c r="X10498" s="259"/>
      <c r="Y10498" s="259"/>
      <c r="Z10498" s="260"/>
      <c r="AA10498" s="259"/>
      <c r="AB10498" s="259"/>
      <c r="AC10498" s="260"/>
      <c r="AD10498" s="259"/>
      <c r="AE10498" s="259"/>
      <c r="AF10498" s="260"/>
      <c r="AG10498" s="330"/>
    </row>
    <row r="10499" spans="13:34" hidden="1">
      <c r="M10499"/>
      <c r="N10499" s="236"/>
      <c r="O10499" s="244"/>
      <c r="P10499" s="260"/>
      <c r="Q10499" s="328"/>
      <c r="R10499" s="259"/>
      <c r="S10499" s="259"/>
      <c r="T10499" s="260"/>
      <c r="U10499" s="259"/>
      <c r="V10499" s="259"/>
      <c r="W10499" s="260"/>
      <c r="X10499" s="259"/>
      <c r="Y10499" s="259"/>
      <c r="Z10499" s="260"/>
      <c r="AA10499" s="259"/>
      <c r="AB10499" s="259"/>
      <c r="AC10499" s="260"/>
      <c r="AD10499" s="259"/>
      <c r="AE10499" s="259"/>
      <c r="AF10499" s="260"/>
      <c r="AG10499" s="330"/>
    </row>
    <row r="10500" spans="13:34" hidden="1">
      <c r="M10500"/>
      <c r="N10500" s="236"/>
      <c r="O10500" s="244"/>
      <c r="P10500" s="260"/>
      <c r="Q10500" s="328"/>
      <c r="R10500" s="259"/>
      <c r="S10500" s="259"/>
      <c r="T10500" s="260"/>
      <c r="U10500" s="259"/>
      <c r="V10500" s="259"/>
      <c r="W10500" s="260"/>
      <c r="X10500" s="259"/>
      <c r="Y10500" s="259"/>
      <c r="Z10500" s="260"/>
      <c r="AA10500" s="259"/>
      <c r="AB10500" s="259"/>
      <c r="AC10500" s="260"/>
      <c r="AD10500" s="259"/>
      <c r="AE10500" s="259"/>
      <c r="AF10500" s="260"/>
      <c r="AG10500" s="330"/>
    </row>
    <row r="10501" spans="13:34" hidden="1">
      <c r="M10501"/>
      <c r="N10501" s="236"/>
      <c r="O10501" s="245"/>
      <c r="P10501" s="260"/>
      <c r="Q10501" s="328"/>
      <c r="R10501" s="259"/>
      <c r="S10501" s="259"/>
      <c r="T10501" s="260"/>
      <c r="U10501" s="259"/>
      <c r="V10501" s="259"/>
      <c r="W10501" s="260"/>
      <c r="X10501" s="259"/>
      <c r="Y10501" s="259"/>
      <c r="Z10501" s="260"/>
      <c r="AA10501" s="259"/>
      <c r="AB10501" s="259"/>
      <c r="AC10501" s="260"/>
      <c r="AD10501" s="259"/>
      <c r="AE10501" s="259"/>
      <c r="AF10501" s="260"/>
      <c r="AG10501" s="330"/>
    </row>
    <row r="10502" spans="13:34" hidden="1">
      <c r="M10502"/>
      <c r="N10502" s="236"/>
      <c r="O10502" s="244"/>
      <c r="P10502" s="260"/>
      <c r="Q10502" s="328"/>
      <c r="R10502" s="259"/>
      <c r="S10502" s="259"/>
      <c r="T10502" s="260"/>
      <c r="U10502" s="259"/>
      <c r="V10502" s="259"/>
      <c r="W10502" s="260"/>
      <c r="X10502" s="259"/>
      <c r="Y10502" s="259"/>
      <c r="Z10502" s="260"/>
      <c r="AA10502" s="259"/>
      <c r="AB10502" s="259"/>
      <c r="AC10502" s="260"/>
      <c r="AD10502" s="259"/>
      <c r="AE10502" s="259"/>
      <c r="AF10502" s="260"/>
      <c r="AG10502" s="330"/>
    </row>
    <row r="10503" spans="13:34" hidden="1">
      <c r="N10503" s="236"/>
      <c r="O10503" s="244"/>
      <c r="P10503" s="260"/>
      <c r="Q10503" s="328"/>
      <c r="R10503" s="259"/>
      <c r="S10503" s="259"/>
      <c r="T10503" s="260"/>
      <c r="U10503" s="259"/>
      <c r="V10503" s="259"/>
      <c r="W10503" s="260"/>
      <c r="X10503" s="259"/>
      <c r="Y10503" s="259"/>
      <c r="Z10503" s="260"/>
      <c r="AA10503" s="259"/>
      <c r="AB10503" s="259"/>
      <c r="AC10503" s="260"/>
      <c r="AD10503" s="259"/>
      <c r="AE10503" s="259"/>
      <c r="AF10503" s="260"/>
      <c r="AG10503" s="330"/>
    </row>
    <row r="10504" spans="13:34" hidden="1">
      <c r="N10504" s="236"/>
      <c r="O10504" s="242"/>
      <c r="P10504" s="260"/>
      <c r="Q10504" s="328"/>
      <c r="R10504" s="259"/>
      <c r="S10504" s="259"/>
      <c r="T10504" s="332"/>
      <c r="U10504" s="259"/>
      <c r="V10504" s="259"/>
      <c r="W10504" s="332"/>
      <c r="X10504" s="259"/>
      <c r="Y10504" s="259"/>
      <c r="Z10504" s="332"/>
      <c r="AA10504" s="259"/>
      <c r="AB10504" s="259"/>
      <c r="AC10504" s="332"/>
      <c r="AD10504" s="259"/>
      <c r="AE10504" s="259"/>
      <c r="AF10504" s="332"/>
      <c r="AG10504" s="330"/>
    </row>
    <row r="10505" spans="13:34" hidden="1">
      <c r="N10505" s="236"/>
      <c r="O10505" s="244"/>
      <c r="P10505" s="260"/>
      <c r="Q10505" s="328"/>
      <c r="R10505" s="259"/>
      <c r="S10505" s="259"/>
      <c r="T10505" s="332"/>
      <c r="U10505" s="259"/>
      <c r="V10505" s="259"/>
      <c r="W10505" s="332"/>
      <c r="X10505" s="259"/>
      <c r="Y10505" s="259"/>
      <c r="Z10505" s="332"/>
      <c r="AA10505" s="259"/>
      <c r="AB10505" s="259"/>
      <c r="AC10505" s="332"/>
      <c r="AD10505" s="259"/>
      <c r="AE10505" s="259"/>
      <c r="AF10505" s="332"/>
      <c r="AG10505" s="330"/>
    </row>
    <row r="10506" spans="13:34" hidden="1">
      <c r="N10506" s="236"/>
      <c r="O10506" s="244"/>
      <c r="P10506" s="260"/>
      <c r="Q10506" s="328"/>
      <c r="R10506" s="259"/>
      <c r="S10506" s="259"/>
      <c r="T10506" s="332"/>
      <c r="U10506" s="259"/>
      <c r="V10506" s="259"/>
      <c r="W10506" s="332"/>
      <c r="X10506" s="259"/>
      <c r="Y10506" s="259"/>
      <c r="Z10506" s="332"/>
      <c r="AA10506" s="259"/>
      <c r="AB10506" s="259"/>
      <c r="AC10506" s="332"/>
      <c r="AD10506" s="259"/>
      <c r="AE10506" s="259"/>
      <c r="AF10506" s="332"/>
      <c r="AG10506" s="330"/>
    </row>
    <row r="10507" spans="13:34" customFormat="1" hidden="1">
      <c r="N10507" s="236"/>
      <c r="O10507" s="245"/>
      <c r="P10507" s="260"/>
      <c r="Q10507" s="328"/>
      <c r="R10507" s="259"/>
      <c r="S10507" s="259"/>
      <c r="T10507" s="285"/>
      <c r="U10507" s="259"/>
      <c r="V10507" s="259"/>
      <c r="W10507" s="285"/>
      <c r="X10507" s="259"/>
      <c r="Y10507" s="259"/>
      <c r="Z10507" s="285"/>
      <c r="AA10507" s="259"/>
      <c r="AB10507" s="259"/>
      <c r="AC10507" s="285"/>
      <c r="AD10507" s="259"/>
      <c r="AE10507" s="259"/>
      <c r="AF10507" s="285"/>
      <c r="AG10507" s="330"/>
    </row>
    <row r="10508" spans="13:34" customFormat="1" hidden="1">
      <c r="N10508" s="236"/>
      <c r="O10508" s="244"/>
      <c r="P10508" s="260"/>
      <c r="Q10508" s="328"/>
      <c r="R10508" s="259"/>
      <c r="S10508" s="259"/>
      <c r="T10508" s="285"/>
      <c r="U10508" s="259"/>
      <c r="V10508" s="259"/>
      <c r="W10508" s="285"/>
      <c r="X10508" s="259"/>
      <c r="Y10508" s="259"/>
      <c r="Z10508" s="285"/>
      <c r="AA10508" s="259"/>
      <c r="AB10508" s="259"/>
      <c r="AC10508" s="285"/>
      <c r="AD10508" s="259"/>
      <c r="AE10508" s="259"/>
      <c r="AF10508" s="285"/>
      <c r="AG10508" s="330"/>
    </row>
    <row r="10509" spans="13:34" customFormat="1" hidden="1">
      <c r="N10509" s="236"/>
      <c r="O10509" s="244"/>
      <c r="P10509" s="260"/>
      <c r="Q10509" s="328"/>
      <c r="R10509" s="259"/>
      <c r="S10509" s="259"/>
      <c r="T10509" s="285"/>
      <c r="U10509" s="259"/>
      <c r="V10509" s="259"/>
      <c r="W10509" s="285"/>
      <c r="X10509" s="259"/>
      <c r="Y10509" s="259"/>
      <c r="Z10509" s="285"/>
      <c r="AA10509" s="259"/>
      <c r="AB10509" s="259"/>
      <c r="AC10509" s="285"/>
      <c r="AD10509" s="259"/>
      <c r="AE10509" s="259"/>
      <c r="AF10509" s="285"/>
      <c r="AG10509" s="330"/>
    </row>
    <row r="10510" spans="13:34" customFormat="1">
      <c r="N10510" s="234" t="s">
        <v>3072</v>
      </c>
      <c r="O10510" s="235" t="s">
        <v>799</v>
      </c>
      <c r="P10510" s="257"/>
      <c r="Q10510" s="328"/>
      <c r="R10510" s="259"/>
      <c r="S10510" s="259"/>
      <c r="T10510" s="262"/>
      <c r="U10510" s="259"/>
      <c r="V10510" s="259"/>
      <c r="W10510" s="262"/>
      <c r="X10510" s="259"/>
      <c r="Y10510" s="259"/>
      <c r="Z10510" s="262"/>
      <c r="AA10510" s="259"/>
      <c r="AB10510" s="259"/>
      <c r="AC10510" s="262"/>
      <c r="AD10510" s="259"/>
      <c r="AE10510" s="259"/>
      <c r="AF10510" s="262"/>
      <c r="AG10510" s="321"/>
      <c r="AH10510" s="1"/>
    </row>
    <row r="10511" spans="13:34" customFormat="1" hidden="1">
      <c r="N10511" s="234"/>
      <c r="O10511" s="235"/>
      <c r="P10511" s="260"/>
      <c r="Q10511" s="328"/>
      <c r="R10511" s="259"/>
      <c r="S10511" s="259"/>
      <c r="T10511" s="285"/>
      <c r="U10511" s="259"/>
      <c r="V10511" s="259"/>
      <c r="W10511" s="285"/>
      <c r="X10511" s="259"/>
      <c r="Y10511" s="259"/>
      <c r="Z10511" s="285"/>
      <c r="AA10511" s="259"/>
      <c r="AB10511" s="259"/>
      <c r="AC10511" s="285"/>
      <c r="AD10511" s="259"/>
      <c r="AE10511" s="259"/>
      <c r="AF10511" s="285"/>
      <c r="AG10511" s="330"/>
    </row>
    <row r="10512" spans="13:34" customFormat="1" hidden="1">
      <c r="N10512" s="234"/>
      <c r="O10512" s="235"/>
      <c r="P10512" s="260"/>
      <c r="Q10512" s="328"/>
      <c r="R10512" s="259"/>
      <c r="S10512" s="259"/>
      <c r="T10512" s="285"/>
      <c r="U10512" s="259"/>
      <c r="V10512" s="259"/>
      <c r="W10512" s="285"/>
      <c r="X10512" s="259"/>
      <c r="Y10512" s="259"/>
      <c r="Z10512" s="285"/>
      <c r="AA10512" s="259"/>
      <c r="AB10512" s="259"/>
      <c r="AC10512" s="285"/>
      <c r="AD10512" s="259"/>
      <c r="AE10512" s="259"/>
      <c r="AF10512" s="285"/>
      <c r="AG10512" s="330"/>
    </row>
    <row r="10513" spans="14:34" customFormat="1" hidden="1">
      <c r="N10513" s="234"/>
      <c r="O10513" s="235"/>
      <c r="P10513" s="260"/>
      <c r="Q10513" s="328"/>
      <c r="R10513" s="259"/>
      <c r="S10513" s="259"/>
      <c r="T10513" s="285"/>
      <c r="U10513" s="259"/>
      <c r="V10513" s="259"/>
      <c r="W10513" s="285"/>
      <c r="X10513" s="259"/>
      <c r="Y10513" s="259"/>
      <c r="Z10513" s="285"/>
      <c r="AA10513" s="259"/>
      <c r="AB10513" s="259"/>
      <c r="AC10513" s="285"/>
      <c r="AD10513" s="259"/>
      <c r="AE10513" s="259"/>
      <c r="AF10513" s="285"/>
      <c r="AG10513" s="330"/>
    </row>
    <row r="10514" spans="14:34" customFormat="1">
      <c r="N10514" s="236" t="s">
        <v>75</v>
      </c>
      <c r="O10514" s="224" t="s">
        <v>1832</v>
      </c>
      <c r="P10514" s="257"/>
      <c r="Q10514" s="328"/>
      <c r="R10514" s="259"/>
      <c r="S10514" s="259"/>
      <c r="T10514" s="262"/>
      <c r="U10514" s="259"/>
      <c r="V10514" s="259"/>
      <c r="W10514" s="262"/>
      <c r="X10514" s="259"/>
      <c r="Y10514" s="259"/>
      <c r="Z10514" s="262"/>
      <c r="AA10514" s="259"/>
      <c r="AB10514" s="259"/>
      <c r="AC10514" s="262"/>
      <c r="AD10514" s="259"/>
      <c r="AE10514" s="259"/>
      <c r="AF10514" s="262"/>
      <c r="AG10514" s="321"/>
      <c r="AH10514" s="1"/>
    </row>
    <row r="10515" spans="14:34" customFormat="1" hidden="1">
      <c r="N10515" s="236"/>
      <c r="O10515" s="225"/>
      <c r="P10515" s="255"/>
      <c r="Q10515" s="328"/>
      <c r="R10515" s="259"/>
      <c r="S10515" s="259"/>
      <c r="T10515" s="285"/>
      <c r="U10515" s="259"/>
      <c r="V10515" s="259"/>
      <c r="W10515" s="285"/>
      <c r="X10515" s="259"/>
      <c r="Y10515" s="259"/>
      <c r="Z10515" s="285"/>
      <c r="AA10515" s="259"/>
      <c r="AB10515" s="259"/>
      <c r="AC10515" s="285"/>
      <c r="AD10515" s="259"/>
      <c r="AE10515" s="259"/>
      <c r="AF10515" s="285"/>
      <c r="AG10515" s="330"/>
    </row>
    <row r="10516" spans="14:34" customFormat="1" hidden="1">
      <c r="N10516" s="236"/>
      <c r="O10516" s="225"/>
      <c r="P10516" s="260"/>
      <c r="Q10516" s="328"/>
      <c r="R10516" s="259"/>
      <c r="S10516" s="259"/>
      <c r="T10516" s="285"/>
      <c r="U10516" s="259"/>
      <c r="V10516" s="259"/>
      <c r="W10516" s="285"/>
      <c r="X10516" s="259"/>
      <c r="Y10516" s="259"/>
      <c r="Z10516" s="285"/>
      <c r="AA10516" s="259"/>
      <c r="AB10516" s="259"/>
      <c r="AC10516" s="285"/>
      <c r="AD10516" s="259"/>
      <c r="AE10516" s="259"/>
      <c r="AF10516" s="285"/>
      <c r="AG10516" s="330"/>
    </row>
    <row r="10517" spans="14:34" customFormat="1" hidden="1">
      <c r="N10517" s="236"/>
      <c r="O10517" s="225"/>
      <c r="P10517" s="260"/>
      <c r="Q10517" s="328"/>
      <c r="R10517" s="259"/>
      <c r="S10517" s="259"/>
      <c r="T10517" s="285"/>
      <c r="U10517" s="259"/>
      <c r="V10517" s="259"/>
      <c r="W10517" s="285"/>
      <c r="X10517" s="259"/>
      <c r="Y10517" s="259"/>
      <c r="Z10517" s="285"/>
      <c r="AA10517" s="259"/>
      <c r="AB10517" s="259"/>
      <c r="AC10517" s="285"/>
      <c r="AD10517" s="259"/>
      <c r="AE10517" s="259"/>
      <c r="AF10517" s="285"/>
      <c r="AG10517" s="330"/>
    </row>
    <row r="10518" spans="14:34" customFormat="1" hidden="1">
      <c r="N10518" s="236"/>
      <c r="O10518" s="225"/>
      <c r="P10518" s="260"/>
      <c r="Q10518" s="328"/>
      <c r="R10518" s="259"/>
      <c r="S10518" s="259"/>
      <c r="T10518" s="285"/>
      <c r="U10518" s="259"/>
      <c r="V10518" s="259"/>
      <c r="W10518" s="285"/>
      <c r="X10518" s="259"/>
      <c r="Y10518" s="259"/>
      <c r="Z10518" s="285"/>
      <c r="AA10518" s="259"/>
      <c r="AB10518" s="259"/>
      <c r="AC10518" s="285"/>
      <c r="AD10518" s="259"/>
      <c r="AE10518" s="259"/>
      <c r="AF10518" s="285"/>
      <c r="AG10518" s="330"/>
    </row>
    <row r="10519" spans="14:34" customFormat="1" hidden="1">
      <c r="N10519" s="236"/>
      <c r="O10519" s="225"/>
      <c r="P10519" s="260"/>
      <c r="Q10519" s="328"/>
      <c r="R10519" s="259"/>
      <c r="S10519" s="259"/>
      <c r="T10519" s="285"/>
      <c r="U10519" s="259"/>
      <c r="V10519" s="259"/>
      <c r="W10519" s="285"/>
      <c r="X10519" s="259"/>
      <c r="Y10519" s="259"/>
      <c r="Z10519" s="285"/>
      <c r="AA10519" s="259"/>
      <c r="AB10519" s="259"/>
      <c r="AC10519" s="285"/>
      <c r="AD10519" s="259"/>
      <c r="AE10519" s="259"/>
      <c r="AF10519" s="285"/>
      <c r="AG10519" s="330"/>
    </row>
    <row r="10520" spans="14:34" customFormat="1">
      <c r="N10520" s="236" t="s">
        <v>62</v>
      </c>
      <c r="O10520" s="224" t="s">
        <v>1838</v>
      </c>
      <c r="P10520" s="257"/>
      <c r="Q10520" s="328"/>
      <c r="R10520" s="259"/>
      <c r="S10520" s="259"/>
      <c r="T10520" s="262"/>
      <c r="U10520" s="259"/>
      <c r="V10520" s="259"/>
      <c r="W10520" s="262"/>
      <c r="X10520" s="259"/>
      <c r="Y10520" s="259"/>
      <c r="Z10520" s="262"/>
      <c r="AA10520" s="259"/>
      <c r="AB10520" s="259"/>
      <c r="AC10520" s="262"/>
      <c r="AD10520" s="259"/>
      <c r="AE10520" s="259"/>
      <c r="AF10520" s="262"/>
      <c r="AG10520" s="321"/>
      <c r="AH10520" s="1"/>
    </row>
    <row r="10521" spans="14:34" customFormat="1" hidden="1">
      <c r="N10521" s="236"/>
      <c r="O10521" s="228"/>
      <c r="P10521" s="255"/>
      <c r="Q10521" s="328"/>
      <c r="R10521" s="259"/>
      <c r="S10521" s="259"/>
      <c r="T10521" s="285"/>
      <c r="U10521" s="259"/>
      <c r="V10521" s="259"/>
      <c r="W10521" s="285"/>
      <c r="X10521" s="259"/>
      <c r="Y10521" s="259"/>
      <c r="Z10521" s="285"/>
      <c r="AA10521" s="259"/>
      <c r="AB10521" s="259"/>
      <c r="AC10521" s="285"/>
      <c r="AD10521" s="259"/>
      <c r="AE10521" s="259"/>
      <c r="AF10521" s="285"/>
      <c r="AG10521" s="330"/>
    </row>
    <row r="10522" spans="14:34" customFormat="1" hidden="1">
      <c r="N10522" s="236"/>
      <c r="O10522" s="228"/>
      <c r="P10522" s="260"/>
      <c r="Q10522" s="328"/>
      <c r="R10522" s="259"/>
      <c r="S10522" s="259"/>
      <c r="T10522" s="285"/>
      <c r="U10522" s="259"/>
      <c r="V10522" s="259"/>
      <c r="W10522" s="285"/>
      <c r="X10522" s="259"/>
      <c r="Y10522" s="259"/>
      <c r="Z10522" s="285"/>
      <c r="AA10522" s="259"/>
      <c r="AB10522" s="259"/>
      <c r="AC10522" s="285"/>
      <c r="AD10522" s="259"/>
      <c r="AE10522" s="259"/>
      <c r="AF10522" s="285"/>
      <c r="AG10522" s="330"/>
    </row>
    <row r="10523" spans="14:34" customFormat="1" hidden="1">
      <c r="N10523" s="236"/>
      <c r="O10523" s="228"/>
      <c r="P10523" s="260"/>
      <c r="Q10523" s="328"/>
      <c r="R10523" s="259"/>
      <c r="S10523" s="259"/>
      <c r="T10523" s="285"/>
      <c r="U10523" s="259"/>
      <c r="V10523" s="259"/>
      <c r="W10523" s="285"/>
      <c r="X10523" s="259"/>
      <c r="Y10523" s="259"/>
      <c r="Z10523" s="285"/>
      <c r="AA10523" s="259"/>
      <c r="AB10523" s="259"/>
      <c r="AC10523" s="285"/>
      <c r="AD10523" s="259"/>
      <c r="AE10523" s="259"/>
      <c r="AF10523" s="285"/>
      <c r="AG10523" s="330"/>
    </row>
    <row r="10524" spans="14:34" customFormat="1" hidden="1">
      <c r="N10524" s="236"/>
      <c r="O10524" s="228"/>
      <c r="P10524" s="260"/>
      <c r="Q10524" s="328"/>
      <c r="R10524" s="259"/>
      <c r="S10524" s="259"/>
      <c r="T10524" s="285"/>
      <c r="U10524" s="259"/>
      <c r="V10524" s="259"/>
      <c r="W10524" s="285"/>
      <c r="X10524" s="259"/>
      <c r="Y10524" s="259"/>
      <c r="Z10524" s="285"/>
      <c r="AA10524" s="259"/>
      <c r="AB10524" s="259"/>
      <c r="AC10524" s="285"/>
      <c r="AD10524" s="259"/>
      <c r="AE10524" s="259"/>
      <c r="AF10524" s="285"/>
      <c r="AG10524" s="330"/>
    </row>
    <row r="10525" spans="14:34" customFormat="1" hidden="1">
      <c r="N10525" s="236"/>
      <c r="O10525" s="228"/>
      <c r="P10525" s="260"/>
      <c r="Q10525" s="328"/>
      <c r="R10525" s="259"/>
      <c r="S10525" s="259"/>
      <c r="T10525" s="285"/>
      <c r="U10525" s="259"/>
      <c r="V10525" s="259"/>
      <c r="W10525" s="285"/>
      <c r="X10525" s="259"/>
      <c r="Y10525" s="259"/>
      <c r="Z10525" s="285"/>
      <c r="AA10525" s="259"/>
      <c r="AB10525" s="259"/>
      <c r="AC10525" s="285"/>
      <c r="AD10525" s="259"/>
      <c r="AE10525" s="259"/>
      <c r="AF10525" s="285"/>
      <c r="AG10525" s="330"/>
    </row>
    <row r="10526" spans="14:34" customFormat="1">
      <c r="N10526" s="236" t="s">
        <v>68</v>
      </c>
      <c r="O10526" s="224" t="s">
        <v>1843</v>
      </c>
      <c r="P10526" s="257"/>
      <c r="Q10526" s="328"/>
      <c r="R10526" s="259"/>
      <c r="S10526" s="259"/>
      <c r="T10526" s="262"/>
      <c r="U10526" s="259"/>
      <c r="V10526" s="259"/>
      <c r="W10526" s="262"/>
      <c r="X10526" s="259"/>
      <c r="Y10526" s="259"/>
      <c r="Z10526" s="262"/>
      <c r="AA10526" s="259"/>
      <c r="AB10526" s="259"/>
      <c r="AC10526" s="262"/>
      <c r="AD10526" s="259"/>
      <c r="AE10526" s="259"/>
      <c r="AF10526" s="262"/>
      <c r="AG10526" s="321"/>
      <c r="AH10526" s="1"/>
    </row>
    <row r="10527" spans="14:34" customFormat="1" hidden="1">
      <c r="N10527" s="236"/>
      <c r="O10527" s="228"/>
      <c r="P10527" s="255"/>
      <c r="Q10527" s="328"/>
      <c r="R10527" s="259"/>
      <c r="S10527" s="259"/>
      <c r="T10527" s="285"/>
      <c r="U10527" s="259"/>
      <c r="V10527" s="259"/>
      <c r="W10527" s="285"/>
      <c r="X10527" s="259"/>
      <c r="Y10527" s="259"/>
      <c r="Z10527" s="285"/>
      <c r="AA10527" s="259"/>
      <c r="AB10527" s="259"/>
      <c r="AC10527" s="285"/>
      <c r="AD10527" s="259"/>
      <c r="AE10527" s="259"/>
      <c r="AF10527" s="285"/>
      <c r="AG10527" s="330"/>
    </row>
    <row r="10528" spans="14:34" customFormat="1" hidden="1">
      <c r="N10528" s="236"/>
      <c r="O10528" s="228"/>
      <c r="P10528" s="260"/>
      <c r="Q10528" s="328"/>
      <c r="R10528" s="259"/>
      <c r="S10528" s="259"/>
      <c r="T10528" s="285"/>
      <c r="U10528" s="259"/>
      <c r="V10528" s="259"/>
      <c r="W10528" s="285"/>
      <c r="X10528" s="259"/>
      <c r="Y10528" s="259"/>
      <c r="Z10528" s="285"/>
      <c r="AA10528" s="259"/>
      <c r="AB10528" s="259"/>
      <c r="AC10528" s="285"/>
      <c r="AD10528" s="259"/>
      <c r="AE10528" s="259"/>
      <c r="AF10528" s="285"/>
      <c r="AG10528" s="330"/>
    </row>
    <row r="10529" spans="14:34" customFormat="1">
      <c r="N10529" s="236" t="s">
        <v>1848</v>
      </c>
      <c r="O10529" s="224" t="s">
        <v>1849</v>
      </c>
      <c r="P10529" s="257"/>
      <c r="Q10529" s="328"/>
      <c r="R10529" s="259"/>
      <c r="S10529" s="259"/>
      <c r="T10529" s="262"/>
      <c r="U10529" s="259"/>
      <c r="V10529" s="259"/>
      <c r="W10529" s="262"/>
      <c r="X10529" s="259"/>
      <c r="Y10529" s="259"/>
      <c r="Z10529" s="262"/>
      <c r="AA10529" s="259"/>
      <c r="AB10529" s="259"/>
      <c r="AC10529" s="262"/>
      <c r="AD10529" s="259"/>
      <c r="AE10529" s="259"/>
      <c r="AF10529" s="262"/>
      <c r="AG10529" s="321"/>
      <c r="AH10529" s="1"/>
    </row>
    <row r="10530" spans="14:34" customFormat="1" hidden="1">
      <c r="N10530" s="236"/>
      <c r="O10530" s="228"/>
      <c r="P10530" s="255"/>
      <c r="Q10530" s="328"/>
      <c r="R10530" s="259"/>
      <c r="S10530" s="259"/>
      <c r="T10530" s="285"/>
      <c r="U10530" s="259"/>
      <c r="V10530" s="259"/>
      <c r="W10530" s="285"/>
      <c r="X10530" s="259"/>
      <c r="Y10530" s="259"/>
      <c r="Z10530" s="285"/>
      <c r="AA10530" s="259"/>
      <c r="AB10530" s="259"/>
      <c r="AC10530" s="285"/>
      <c r="AD10530" s="259"/>
      <c r="AE10530" s="259"/>
      <c r="AF10530" s="285"/>
      <c r="AG10530" s="330"/>
    </row>
    <row r="10531" spans="14:34" customFormat="1" hidden="1">
      <c r="N10531" s="236"/>
      <c r="O10531" s="225"/>
      <c r="P10531" s="260"/>
      <c r="Q10531" s="328"/>
      <c r="R10531" s="259"/>
      <c r="S10531" s="259"/>
      <c r="T10531" s="285"/>
      <c r="U10531" s="259"/>
      <c r="V10531" s="259"/>
      <c r="W10531" s="285"/>
      <c r="X10531" s="259"/>
      <c r="Y10531" s="259"/>
      <c r="Z10531" s="285"/>
      <c r="AA10531" s="259"/>
      <c r="AB10531" s="259"/>
      <c r="AC10531" s="285"/>
      <c r="AD10531" s="259"/>
      <c r="AE10531" s="259"/>
      <c r="AF10531" s="285"/>
      <c r="AG10531" s="330"/>
    </row>
    <row r="10532" spans="14:34" customFormat="1" ht="22.5">
      <c r="N10532" s="236" t="s">
        <v>1855</v>
      </c>
      <c r="O10532" s="224" t="s">
        <v>1856</v>
      </c>
      <c r="P10532" s="257"/>
      <c r="Q10532" s="328"/>
      <c r="R10532" s="259"/>
      <c r="S10532" s="259"/>
      <c r="T10532" s="262"/>
      <c r="U10532" s="259"/>
      <c r="V10532" s="259"/>
      <c r="W10532" s="262"/>
      <c r="X10532" s="259"/>
      <c r="Y10532" s="259"/>
      <c r="Z10532" s="262"/>
      <c r="AA10532" s="259"/>
      <c r="AB10532" s="259"/>
      <c r="AC10532" s="262"/>
      <c r="AD10532" s="259"/>
      <c r="AE10532" s="259"/>
      <c r="AF10532" s="262"/>
      <c r="AG10532" s="321"/>
      <c r="AH10532" s="1"/>
    </row>
    <row r="10533" spans="14:34" customFormat="1" hidden="1">
      <c r="N10533" s="236"/>
      <c r="O10533" s="228"/>
      <c r="P10533" s="255"/>
      <c r="Q10533" s="328"/>
      <c r="R10533" s="259"/>
      <c r="S10533" s="259"/>
      <c r="T10533" s="285"/>
      <c r="U10533" s="259"/>
      <c r="V10533" s="259"/>
      <c r="W10533" s="285"/>
      <c r="X10533" s="259"/>
      <c r="Y10533" s="259"/>
      <c r="Z10533" s="285"/>
      <c r="AA10533" s="259"/>
      <c r="AB10533" s="259"/>
      <c r="AC10533" s="285"/>
      <c r="AD10533" s="259"/>
      <c r="AE10533" s="259"/>
      <c r="AF10533" s="285"/>
      <c r="AG10533" s="330"/>
    </row>
    <row r="10534" spans="14:34" customFormat="1" hidden="1">
      <c r="N10534" s="236"/>
      <c r="O10534" s="225"/>
      <c r="P10534" s="260"/>
      <c r="Q10534" s="328"/>
      <c r="R10534" s="259"/>
      <c r="S10534" s="259"/>
      <c r="T10534" s="285"/>
      <c r="U10534" s="259"/>
      <c r="V10534" s="259"/>
      <c r="W10534" s="285"/>
      <c r="X10534" s="259"/>
      <c r="Y10534" s="259"/>
      <c r="Z10534" s="285"/>
      <c r="AA10534" s="259"/>
      <c r="AB10534" s="259"/>
      <c r="AC10534" s="285"/>
      <c r="AD10534" s="259"/>
      <c r="AE10534" s="259"/>
      <c r="AF10534" s="285"/>
      <c r="AG10534" s="330"/>
    </row>
    <row r="10535" spans="14:34" customFormat="1">
      <c r="N10535" s="234" t="s">
        <v>2412</v>
      </c>
      <c r="O10535" s="235" t="s">
        <v>2413</v>
      </c>
      <c r="P10535" s="257"/>
      <c r="Q10535" s="328"/>
      <c r="R10535" s="259"/>
      <c r="S10535" s="259"/>
      <c r="T10535" s="262"/>
      <c r="U10535" s="259"/>
      <c r="V10535" s="259"/>
      <c r="W10535" s="262"/>
      <c r="X10535" s="259"/>
      <c r="Y10535" s="259"/>
      <c r="Z10535" s="262"/>
      <c r="AA10535" s="259"/>
      <c r="AB10535" s="259"/>
      <c r="AC10535" s="262"/>
      <c r="AD10535" s="259"/>
      <c r="AE10535" s="259"/>
      <c r="AF10535" s="262"/>
      <c r="AG10535" s="321"/>
      <c r="AH10535" s="1"/>
    </row>
    <row r="10536" spans="14:34" customFormat="1" ht="22.5">
      <c r="N10536" s="236" t="s">
        <v>2414</v>
      </c>
      <c r="O10536" s="224" t="s">
        <v>2415</v>
      </c>
      <c r="P10536" s="257"/>
      <c r="Q10536" s="328"/>
      <c r="R10536" s="259"/>
      <c r="S10536" s="259"/>
      <c r="T10536" s="262"/>
      <c r="U10536" s="259"/>
      <c r="V10536" s="259"/>
      <c r="W10536" s="262"/>
      <c r="X10536" s="259"/>
      <c r="Y10536" s="259"/>
      <c r="Z10536" s="262"/>
      <c r="AA10536" s="259"/>
      <c r="AB10536" s="259"/>
      <c r="AC10536" s="262"/>
      <c r="AD10536" s="259"/>
      <c r="AE10536" s="259"/>
      <c r="AF10536" s="262"/>
      <c r="AG10536" s="321"/>
      <c r="AH10536" s="1"/>
    </row>
    <row r="10537" spans="14:34" customFormat="1">
      <c r="N10537" s="236" t="s">
        <v>2416</v>
      </c>
      <c r="O10537" s="224" t="s">
        <v>2417</v>
      </c>
      <c r="P10537" s="257"/>
      <c r="Q10537" s="328"/>
      <c r="R10537" s="259"/>
      <c r="S10537" s="259"/>
      <c r="T10537" s="262"/>
      <c r="U10537" s="259"/>
      <c r="V10537" s="259"/>
      <c r="W10537" s="262"/>
      <c r="X10537" s="259"/>
      <c r="Y10537" s="259"/>
      <c r="Z10537" s="262"/>
      <c r="AA10537" s="259"/>
      <c r="AB10537" s="259"/>
      <c r="AC10537" s="262"/>
      <c r="AD10537" s="259"/>
      <c r="AE10537" s="259"/>
      <c r="AF10537" s="262"/>
      <c r="AG10537" s="321"/>
      <c r="AH10537" s="1"/>
    </row>
    <row r="10538" spans="14:34" customFormat="1">
      <c r="N10538" s="236" t="s">
        <v>2419</v>
      </c>
      <c r="O10538" s="224" t="s">
        <v>2420</v>
      </c>
      <c r="P10538" s="257"/>
      <c r="Q10538" s="328"/>
      <c r="R10538" s="259"/>
      <c r="S10538" s="259"/>
      <c r="T10538" s="262"/>
      <c r="U10538" s="259"/>
      <c r="V10538" s="259"/>
      <c r="W10538" s="262"/>
      <c r="X10538" s="259"/>
      <c r="Y10538" s="259"/>
      <c r="Z10538" s="262"/>
      <c r="AA10538" s="259"/>
      <c r="AB10538" s="259"/>
      <c r="AC10538" s="262"/>
      <c r="AD10538" s="259"/>
      <c r="AE10538" s="259"/>
      <c r="AF10538" s="262"/>
      <c r="AG10538" s="321"/>
      <c r="AH10538" s="1"/>
    </row>
    <row r="10539" spans="14:34" customFormat="1">
      <c r="N10539" s="236" t="s">
        <v>2422</v>
      </c>
      <c r="O10539" s="224" t="s">
        <v>2423</v>
      </c>
      <c r="P10539" s="257"/>
      <c r="Q10539" s="328"/>
      <c r="R10539" s="259"/>
      <c r="S10539" s="259"/>
      <c r="T10539" s="262"/>
      <c r="U10539" s="259"/>
      <c r="V10539" s="259"/>
      <c r="W10539" s="262"/>
      <c r="X10539" s="259"/>
      <c r="Y10539" s="259"/>
      <c r="Z10539" s="262"/>
      <c r="AA10539" s="259"/>
      <c r="AB10539" s="259"/>
      <c r="AC10539" s="262"/>
      <c r="AD10539" s="259"/>
      <c r="AE10539" s="259"/>
      <c r="AF10539" s="262"/>
      <c r="AG10539" s="321"/>
      <c r="AH10539" s="1"/>
    </row>
    <row r="10540" spans="14:34" customFormat="1">
      <c r="N10540" s="236" t="s">
        <v>2425</v>
      </c>
      <c r="O10540" s="224" t="s">
        <v>2426</v>
      </c>
      <c r="P10540" s="257"/>
      <c r="Q10540" s="328"/>
      <c r="R10540" s="259"/>
      <c r="S10540" s="259"/>
      <c r="T10540" s="262"/>
      <c r="U10540" s="259"/>
      <c r="V10540" s="259"/>
      <c r="W10540" s="262"/>
      <c r="X10540" s="259"/>
      <c r="Y10540" s="259"/>
      <c r="Z10540" s="262"/>
      <c r="AA10540" s="259"/>
      <c r="AB10540" s="259"/>
      <c r="AC10540" s="262"/>
      <c r="AD10540" s="259"/>
      <c r="AE10540" s="259"/>
      <c r="AF10540" s="262"/>
      <c r="AG10540" s="321"/>
      <c r="AH10540" s="1"/>
    </row>
    <row r="10541" spans="14:34" customFormat="1">
      <c r="N10541" s="236" t="s">
        <v>2427</v>
      </c>
      <c r="O10541" s="235" t="s">
        <v>2428</v>
      </c>
      <c r="P10541" s="257"/>
      <c r="Q10541" s="328"/>
      <c r="R10541" s="259"/>
      <c r="S10541" s="259"/>
      <c r="T10541" s="262"/>
      <c r="U10541" s="259"/>
      <c r="V10541" s="259"/>
      <c r="W10541" s="262"/>
      <c r="X10541" s="259"/>
      <c r="Y10541" s="259"/>
      <c r="Z10541" s="262"/>
      <c r="AA10541" s="259"/>
      <c r="AB10541" s="259"/>
      <c r="AC10541" s="262"/>
      <c r="AD10541" s="259"/>
      <c r="AE10541" s="259"/>
      <c r="AF10541" s="262"/>
      <c r="AG10541" s="321"/>
      <c r="AH10541" s="1"/>
    </row>
    <row r="10542" spans="14:34" customFormat="1" ht="33.75">
      <c r="N10542" s="234" t="s">
        <v>2429</v>
      </c>
      <c r="O10542" s="224" t="s">
        <v>2430</v>
      </c>
      <c r="P10542" s="257"/>
      <c r="Q10542" s="328"/>
      <c r="R10542" s="259"/>
      <c r="S10542" s="259"/>
      <c r="T10542" s="262"/>
      <c r="U10542" s="259"/>
      <c r="V10542" s="259"/>
      <c r="W10542" s="262"/>
      <c r="X10542" s="259"/>
      <c r="Y10542" s="259"/>
      <c r="Z10542" s="262"/>
      <c r="AA10542" s="259"/>
      <c r="AB10542" s="259"/>
      <c r="AC10542" s="262"/>
      <c r="AD10542" s="259"/>
      <c r="AE10542" s="259"/>
      <c r="AF10542" s="262"/>
      <c r="AG10542" s="321"/>
      <c r="AH10542" s="1"/>
    </row>
    <row r="10543" spans="14:34" customFormat="1">
      <c r="N10543" s="234" t="s">
        <v>2431</v>
      </c>
      <c r="O10543" s="235" t="s">
        <v>2432</v>
      </c>
      <c r="P10543" s="257"/>
      <c r="Q10543" s="328"/>
      <c r="R10543" s="259"/>
      <c r="S10543" s="259"/>
      <c r="T10543" s="262"/>
      <c r="U10543" s="259"/>
      <c r="V10543" s="259"/>
      <c r="W10543" s="262"/>
      <c r="X10543" s="259"/>
      <c r="Y10543" s="259"/>
      <c r="Z10543" s="262"/>
      <c r="AA10543" s="259"/>
      <c r="AB10543" s="259"/>
      <c r="AC10543" s="262"/>
      <c r="AD10543" s="259"/>
      <c r="AE10543" s="259"/>
      <c r="AF10543" s="262"/>
      <c r="AG10543" s="321"/>
      <c r="AH10543" s="1"/>
    </row>
    <row r="10544" spans="14:34" customFormat="1" ht="22.5">
      <c r="N10544" s="236" t="s">
        <v>1842</v>
      </c>
      <c r="O10544" s="224" t="s">
        <v>2433</v>
      </c>
      <c r="P10544" s="257"/>
      <c r="Q10544" s="328"/>
      <c r="R10544" s="259"/>
      <c r="S10544" s="259"/>
      <c r="T10544" s="262"/>
      <c r="U10544" s="259"/>
      <c r="V10544" s="259"/>
      <c r="W10544" s="262"/>
      <c r="X10544" s="259"/>
      <c r="Y10544" s="259"/>
      <c r="Z10544" s="262"/>
      <c r="AA10544" s="259"/>
      <c r="AB10544" s="259"/>
      <c r="AC10544" s="262"/>
      <c r="AD10544" s="259"/>
      <c r="AE10544" s="259"/>
      <c r="AF10544" s="262"/>
      <c r="AG10544" s="321"/>
      <c r="AH10544" s="1"/>
    </row>
    <row r="10545" spans="14:34" customFormat="1">
      <c r="N10545" s="236" t="s">
        <v>2418</v>
      </c>
      <c r="O10545" s="224" t="s">
        <v>2434</v>
      </c>
      <c r="P10545" s="257"/>
      <c r="Q10545" s="328"/>
      <c r="R10545" s="259"/>
      <c r="S10545" s="259"/>
      <c r="T10545" s="262"/>
      <c r="U10545" s="259"/>
      <c r="V10545" s="259"/>
      <c r="W10545" s="262"/>
      <c r="X10545" s="259"/>
      <c r="Y10545" s="259"/>
      <c r="Z10545" s="262"/>
      <c r="AA10545" s="259"/>
      <c r="AB10545" s="259"/>
      <c r="AC10545" s="262"/>
      <c r="AD10545" s="259"/>
      <c r="AE10545" s="259"/>
      <c r="AF10545" s="262"/>
      <c r="AG10545" s="321"/>
      <c r="AH10545" s="1"/>
    </row>
    <row r="10546" spans="14:34" customFormat="1">
      <c r="N10546" s="236" t="s">
        <v>2435</v>
      </c>
      <c r="O10546" s="224" t="s">
        <v>2436</v>
      </c>
      <c r="P10546" s="257"/>
      <c r="Q10546" s="328"/>
      <c r="R10546" s="259"/>
      <c r="S10546" s="259"/>
      <c r="T10546" s="262"/>
      <c r="U10546" s="259"/>
      <c r="V10546" s="259"/>
      <c r="W10546" s="262"/>
      <c r="X10546" s="259"/>
      <c r="Y10546" s="259"/>
      <c r="Z10546" s="262"/>
      <c r="AA10546" s="259"/>
      <c r="AB10546" s="259"/>
      <c r="AC10546" s="262"/>
      <c r="AD10546" s="259"/>
      <c r="AE10546" s="259"/>
      <c r="AF10546" s="262"/>
      <c r="AG10546" s="321"/>
      <c r="AH10546" s="1"/>
    </row>
    <row r="10547" spans="14:34" customFormat="1" ht="22.5">
      <c r="N10547" s="236" t="s">
        <v>2437</v>
      </c>
      <c r="O10547" s="224" t="s">
        <v>2438</v>
      </c>
      <c r="P10547" s="257"/>
      <c r="Q10547" s="328"/>
      <c r="R10547" s="259"/>
      <c r="S10547" s="259"/>
      <c r="T10547" s="262"/>
      <c r="U10547" s="259"/>
      <c r="V10547" s="259"/>
      <c r="W10547" s="262"/>
      <c r="X10547" s="259"/>
      <c r="Y10547" s="259"/>
      <c r="Z10547" s="262"/>
      <c r="AA10547" s="259"/>
      <c r="AB10547" s="259"/>
      <c r="AC10547" s="262"/>
      <c r="AD10547" s="259"/>
      <c r="AE10547" s="259"/>
      <c r="AF10547" s="262"/>
      <c r="AG10547" s="321"/>
      <c r="AH10547" s="1"/>
    </row>
    <row r="10548" spans="14:34" customFormat="1">
      <c r="N10548" s="236" t="s">
        <v>2439</v>
      </c>
      <c r="O10548" s="224" t="s">
        <v>2440</v>
      </c>
      <c r="P10548" s="257"/>
      <c r="Q10548" s="328"/>
      <c r="R10548" s="259"/>
      <c r="S10548" s="259"/>
      <c r="T10548" s="262"/>
      <c r="U10548" s="259"/>
      <c r="V10548" s="259"/>
      <c r="W10548" s="262"/>
      <c r="X10548" s="259"/>
      <c r="Y10548" s="259"/>
      <c r="Z10548" s="262"/>
      <c r="AA10548" s="259"/>
      <c r="AB10548" s="259"/>
      <c r="AC10548" s="262"/>
      <c r="AD10548" s="259"/>
      <c r="AE10548" s="259"/>
      <c r="AF10548" s="262"/>
      <c r="AG10548" s="321"/>
      <c r="AH10548" s="1"/>
    </row>
    <row r="10549" spans="14:34" customFormat="1">
      <c r="N10549" s="236" t="s">
        <v>2441</v>
      </c>
      <c r="O10549" s="224" t="s">
        <v>2442</v>
      </c>
      <c r="P10549" s="257"/>
      <c r="Q10549" s="328"/>
      <c r="R10549" s="259"/>
      <c r="S10549" s="259"/>
      <c r="T10549" s="262"/>
      <c r="U10549" s="259"/>
      <c r="V10549" s="259"/>
      <c r="W10549" s="262"/>
      <c r="X10549" s="259"/>
      <c r="Y10549" s="259"/>
      <c r="Z10549" s="262"/>
      <c r="AA10549" s="259"/>
      <c r="AB10549" s="259"/>
      <c r="AC10549" s="262"/>
      <c r="AD10549" s="259"/>
      <c r="AE10549" s="259"/>
      <c r="AF10549" s="262"/>
      <c r="AG10549" s="321"/>
      <c r="AH10549" s="1"/>
    </row>
    <row r="10550" spans="14:34" customFormat="1">
      <c r="N10550" s="236" t="s">
        <v>2443</v>
      </c>
      <c r="O10550" s="224" t="s">
        <v>2444</v>
      </c>
      <c r="P10550" s="257"/>
      <c r="Q10550" s="328"/>
      <c r="R10550" s="259"/>
      <c r="S10550" s="259"/>
      <c r="T10550" s="262"/>
      <c r="U10550" s="259"/>
      <c r="V10550" s="259"/>
      <c r="W10550" s="262"/>
      <c r="X10550" s="259"/>
      <c r="Y10550" s="259"/>
      <c r="Z10550" s="262"/>
      <c r="AA10550" s="259"/>
      <c r="AB10550" s="259"/>
      <c r="AC10550" s="262"/>
      <c r="AD10550" s="259"/>
      <c r="AE10550" s="259"/>
      <c r="AF10550" s="262"/>
      <c r="AG10550" s="321"/>
      <c r="AH10550" s="1"/>
    </row>
    <row r="10551" spans="14:34" customFormat="1">
      <c r="N10551" s="236" t="s">
        <v>842</v>
      </c>
      <c r="O10551" s="224" t="s">
        <v>843</v>
      </c>
      <c r="P10551" s="257"/>
      <c r="Q10551" s="328"/>
      <c r="R10551" s="259"/>
      <c r="S10551" s="259"/>
      <c r="T10551" s="262"/>
      <c r="U10551" s="259"/>
      <c r="V10551" s="259"/>
      <c r="W10551" s="262"/>
      <c r="X10551" s="259"/>
      <c r="Y10551" s="259"/>
      <c r="Z10551" s="262"/>
      <c r="AA10551" s="259"/>
      <c r="AB10551" s="259"/>
      <c r="AC10551" s="262"/>
      <c r="AD10551" s="259"/>
      <c r="AE10551" s="259"/>
      <c r="AF10551" s="262"/>
      <c r="AG10551" s="321"/>
      <c r="AH10551" s="1"/>
    </row>
    <row r="10552" spans="14:34" ht="12" customHeight="1">
      <c r="N10552" s="236"/>
      <c r="O10552" s="224"/>
      <c r="P10552" s="260"/>
      <c r="Q10552" s="258"/>
      <c r="R10552" s="260"/>
      <c r="S10552" s="260"/>
      <c r="T10552" s="260"/>
      <c r="U10552" s="260"/>
      <c r="V10552" s="260"/>
      <c r="W10552" s="260"/>
      <c r="X10552" s="260"/>
      <c r="Y10552" s="260"/>
      <c r="Z10552" s="260"/>
      <c r="AA10552" s="260"/>
      <c r="AB10552" s="260"/>
      <c r="AC10552" s="260"/>
      <c r="AD10552" s="260"/>
      <c r="AE10552" s="260"/>
      <c r="AF10552" s="260"/>
      <c r="AG10552" s="258"/>
    </row>
    <row r="10553" spans="14:34" ht="12" customHeight="1">
      <c r="N10553" s="236"/>
      <c r="O10553" s="224"/>
      <c r="P10553" s="260"/>
      <c r="Q10553" s="258"/>
      <c r="R10553" s="260"/>
      <c r="S10553" s="260"/>
      <c r="T10553" s="260"/>
      <c r="U10553" s="260"/>
      <c r="V10553" s="260"/>
      <c r="W10553" s="260"/>
      <c r="X10553" s="260"/>
      <c r="Y10553" s="260"/>
      <c r="Z10553" s="260"/>
      <c r="AA10553" s="260"/>
      <c r="AB10553" s="260"/>
      <c r="AC10553" s="260"/>
      <c r="AD10553" s="260"/>
      <c r="AE10553" s="260"/>
      <c r="AF10553" s="260"/>
      <c r="AG10553" s="258"/>
    </row>
    <row r="10554" spans="14:34" ht="12" customHeight="1">
      <c r="N10554" s="236"/>
      <c r="O10554" s="224"/>
      <c r="P10554" s="260"/>
      <c r="Q10554" s="258"/>
      <c r="R10554" s="260"/>
      <c r="S10554" s="260"/>
      <c r="T10554" s="260"/>
      <c r="U10554" s="260"/>
      <c r="V10554" s="260"/>
      <c r="W10554" s="260"/>
      <c r="X10554" s="260"/>
      <c r="Y10554" s="260"/>
      <c r="Z10554" s="260"/>
      <c r="AA10554" s="260"/>
      <c r="AB10554" s="260"/>
      <c r="AC10554" s="260"/>
      <c r="AD10554" s="260"/>
      <c r="AE10554" s="260"/>
      <c r="AF10554" s="260"/>
      <c r="AG10554" s="258"/>
    </row>
    <row r="10555" spans="14:34" ht="12" customHeight="1">
      <c r="N10555" s="236"/>
      <c r="O10555" s="224"/>
      <c r="P10555" s="260"/>
      <c r="Q10555" s="258"/>
      <c r="R10555" s="260"/>
      <c r="S10555" s="260"/>
      <c r="T10555" s="260"/>
      <c r="U10555" s="260"/>
      <c r="V10555" s="260"/>
      <c r="W10555" s="260"/>
      <c r="X10555" s="260"/>
      <c r="Y10555" s="260"/>
      <c r="Z10555" s="260"/>
      <c r="AA10555" s="260"/>
      <c r="AB10555" s="260"/>
      <c r="AC10555" s="260"/>
      <c r="AD10555" s="260"/>
      <c r="AE10555" s="260"/>
      <c r="AF10555" s="260"/>
      <c r="AG10555" s="258"/>
    </row>
    <row r="10556" spans="14:34" ht="12" customHeight="1">
      <c r="N10556" s="236"/>
      <c r="O10556" s="224"/>
      <c r="P10556" s="260"/>
      <c r="Q10556" s="258"/>
      <c r="R10556" s="260"/>
      <c r="S10556" s="260"/>
      <c r="T10556" s="260"/>
      <c r="U10556" s="260"/>
      <c r="V10556" s="260"/>
      <c r="W10556" s="260"/>
      <c r="X10556" s="260"/>
      <c r="Y10556" s="260"/>
      <c r="Z10556" s="260"/>
      <c r="AA10556" s="260"/>
      <c r="AB10556" s="260"/>
      <c r="AC10556" s="260"/>
      <c r="AD10556" s="260"/>
      <c r="AE10556" s="260"/>
      <c r="AF10556" s="260"/>
      <c r="AG10556" s="258"/>
    </row>
    <row r="10557" spans="14:34" ht="12" customHeight="1">
      <c r="N10557" s="236"/>
      <c r="O10557" s="224"/>
      <c r="P10557" s="260"/>
      <c r="Q10557" s="258"/>
      <c r="R10557" s="260"/>
      <c r="S10557" s="260"/>
      <c r="T10557" s="260"/>
      <c r="U10557" s="260"/>
      <c r="V10557" s="260"/>
      <c r="W10557" s="260"/>
      <c r="X10557" s="260"/>
      <c r="Y10557" s="260"/>
      <c r="Z10557" s="260"/>
      <c r="AA10557" s="260"/>
      <c r="AB10557" s="260"/>
      <c r="AC10557" s="260"/>
      <c r="AD10557" s="260"/>
      <c r="AE10557" s="260"/>
      <c r="AF10557" s="260"/>
      <c r="AG10557" s="258"/>
    </row>
    <row r="10558" spans="14:34" customFormat="1">
      <c r="N10558" s="236"/>
      <c r="O10558" s="224"/>
      <c r="P10558" s="224"/>
      <c r="Q10558" s="328"/>
      <c r="R10558" s="259"/>
      <c r="S10558" s="259"/>
      <c r="T10558" s="285"/>
      <c r="U10558" s="259"/>
      <c r="V10558" s="259"/>
      <c r="W10558" s="285"/>
      <c r="X10558" s="259"/>
      <c r="Y10558" s="259"/>
      <c r="Z10558" s="285"/>
      <c r="AA10558" s="259"/>
      <c r="AB10558" s="259"/>
      <c r="AC10558" s="285"/>
      <c r="AD10558" s="259"/>
      <c r="AE10558" s="259"/>
      <c r="AF10558" s="285"/>
      <c r="AG10558" s="330"/>
    </row>
    <row r="10559" spans="14:34" customFormat="1">
      <c r="N10559" s="236"/>
      <c r="O10559" s="224"/>
      <c r="P10559" s="224"/>
      <c r="Q10559" s="328"/>
      <c r="R10559" s="259"/>
      <c r="S10559" s="259"/>
      <c r="T10559" s="285"/>
      <c r="U10559" s="259"/>
      <c r="V10559" s="259"/>
      <c r="W10559" s="285"/>
      <c r="X10559" s="259"/>
      <c r="Y10559" s="259"/>
      <c r="Z10559" s="285"/>
      <c r="AA10559" s="259"/>
      <c r="AB10559" s="259"/>
      <c r="AC10559" s="285"/>
      <c r="AD10559" s="259"/>
      <c r="AE10559" s="259"/>
      <c r="AF10559" s="285"/>
      <c r="AG10559" s="330"/>
    </row>
    <row r="10560" spans="14:34" customFormat="1">
      <c r="N10560" s="236" t="s">
        <v>844</v>
      </c>
      <c r="O10560" s="235" t="s">
        <v>853</v>
      </c>
      <c r="P10560" s="257"/>
      <c r="Q10560" s="328"/>
      <c r="R10560" s="259"/>
      <c r="S10560" s="259"/>
      <c r="T10560" s="262"/>
      <c r="U10560" s="259"/>
      <c r="V10560" s="259"/>
      <c r="W10560" s="262"/>
      <c r="X10560" s="259"/>
      <c r="Y10560" s="259"/>
      <c r="Z10560" s="262"/>
      <c r="AA10560" s="259"/>
      <c r="AB10560" s="259"/>
      <c r="AC10560" s="262"/>
      <c r="AD10560" s="259"/>
      <c r="AE10560" s="259"/>
      <c r="AF10560" s="262"/>
      <c r="AG10560" s="321"/>
      <c r="AH10560" s="1"/>
    </row>
    <row r="10561" spans="14:41" customFormat="1">
      <c r="N10561" s="234" t="s">
        <v>854</v>
      </c>
      <c r="O10561" s="205" t="s">
        <v>76</v>
      </c>
      <c r="P10561" s="257"/>
      <c r="Q10561" s="328"/>
      <c r="R10561" s="259"/>
      <c r="S10561" s="259"/>
      <c r="T10561" s="262"/>
      <c r="U10561" s="259"/>
      <c r="V10561" s="259"/>
      <c r="W10561" s="262"/>
      <c r="X10561" s="259"/>
      <c r="Y10561" s="259"/>
      <c r="Z10561" s="262"/>
      <c r="AA10561" s="259"/>
      <c r="AB10561" s="259"/>
      <c r="AC10561" s="262"/>
      <c r="AD10561" s="259"/>
      <c r="AE10561" s="259"/>
      <c r="AF10561" s="262"/>
      <c r="AG10561" s="321"/>
      <c r="AH10561" s="1"/>
    </row>
    <row r="10562" spans="14:41" customFormat="1">
      <c r="N10562" s="236" t="s">
        <v>850</v>
      </c>
      <c r="O10562" s="723" t="s">
        <v>2726</v>
      </c>
      <c r="P10562" s="257"/>
      <c r="Q10562" s="328"/>
      <c r="R10562" s="259"/>
      <c r="S10562" s="259"/>
      <c r="T10562" s="262"/>
      <c r="U10562" s="259"/>
      <c r="V10562" s="259"/>
      <c r="W10562" s="262"/>
      <c r="X10562" s="259"/>
      <c r="Y10562" s="259"/>
      <c r="Z10562" s="262"/>
      <c r="AA10562" s="259"/>
      <c r="AB10562" s="259"/>
      <c r="AC10562" s="262"/>
      <c r="AD10562" s="259"/>
      <c r="AE10562" s="259"/>
      <c r="AF10562" s="262"/>
      <c r="AG10562" s="321"/>
      <c r="AH10562" s="1"/>
    </row>
    <row r="10563" spans="14:41" customFormat="1">
      <c r="N10563" s="236" t="s">
        <v>858</v>
      </c>
      <c r="O10563" s="205" t="s">
        <v>859</v>
      </c>
      <c r="P10563" s="257"/>
      <c r="Q10563" s="328"/>
      <c r="R10563" s="259"/>
      <c r="S10563" s="259"/>
      <c r="T10563" s="262"/>
      <c r="U10563" s="259"/>
      <c r="V10563" s="259"/>
      <c r="W10563" s="262"/>
      <c r="X10563" s="259"/>
      <c r="Y10563" s="259"/>
      <c r="Z10563" s="262"/>
      <c r="AA10563" s="259"/>
      <c r="AB10563" s="259"/>
      <c r="AC10563" s="262"/>
      <c r="AD10563" s="259"/>
      <c r="AE10563" s="259"/>
      <c r="AF10563" s="262"/>
      <c r="AG10563" s="321"/>
      <c r="AH10563" s="1"/>
    </row>
    <row r="10564" spans="14:41" customFormat="1">
      <c r="N10564" s="236" t="s">
        <v>861</v>
      </c>
      <c r="O10564" s="205" t="s">
        <v>862</v>
      </c>
      <c r="P10564" s="257"/>
      <c r="Q10564" s="328"/>
      <c r="R10564" s="259"/>
      <c r="S10564" s="259"/>
      <c r="T10564" s="262"/>
      <c r="U10564" s="259"/>
      <c r="V10564" s="259"/>
      <c r="W10564" s="262"/>
      <c r="X10564" s="259"/>
      <c r="Y10564" s="259"/>
      <c r="Z10564" s="262"/>
      <c r="AA10564" s="259"/>
      <c r="AB10564" s="259"/>
      <c r="AC10564" s="262"/>
      <c r="AD10564" s="259"/>
      <c r="AE10564" s="259"/>
      <c r="AF10564" s="262"/>
      <c r="AG10564" s="321"/>
      <c r="AH10564" s="1"/>
    </row>
    <row r="10565" spans="14:41" customFormat="1">
      <c r="N10565" s="236" t="s">
        <v>863</v>
      </c>
      <c r="O10565" s="205" t="s">
        <v>864</v>
      </c>
      <c r="P10565" s="257"/>
      <c r="Q10565" s="328"/>
      <c r="R10565" s="259"/>
      <c r="S10565" s="259"/>
      <c r="T10565" s="262"/>
      <c r="U10565" s="259"/>
      <c r="V10565" s="259"/>
      <c r="W10565" s="262"/>
      <c r="X10565" s="259"/>
      <c r="Y10565" s="259"/>
      <c r="Z10565" s="262"/>
      <c r="AA10565" s="259"/>
      <c r="AB10565" s="259"/>
      <c r="AC10565" s="262"/>
      <c r="AD10565" s="259"/>
      <c r="AE10565" s="259"/>
      <c r="AF10565" s="262"/>
      <c r="AG10565" s="321"/>
      <c r="AH10565" s="1"/>
    </row>
    <row r="10566" spans="14:41" customFormat="1">
      <c r="N10566" s="236" t="s">
        <v>865</v>
      </c>
      <c r="O10566" s="205" t="s">
        <v>866</v>
      </c>
      <c r="P10566" s="257"/>
      <c r="Q10566" s="328"/>
      <c r="R10566" s="259"/>
      <c r="S10566" s="259"/>
      <c r="T10566" s="262"/>
      <c r="U10566" s="259"/>
      <c r="V10566" s="259"/>
      <c r="W10566" s="262"/>
      <c r="X10566" s="259"/>
      <c r="Y10566" s="259"/>
      <c r="Z10566" s="262"/>
      <c r="AA10566" s="259"/>
      <c r="AB10566" s="259"/>
      <c r="AC10566" s="262"/>
      <c r="AD10566" s="259"/>
      <c r="AE10566" s="259"/>
      <c r="AF10566" s="262"/>
      <c r="AG10566" s="321"/>
      <c r="AH10566" s="1"/>
    </row>
    <row r="10567" spans="14:41" customFormat="1">
      <c r="N10567" s="236" t="s">
        <v>867</v>
      </c>
      <c r="O10567" s="205" t="s">
        <v>868</v>
      </c>
      <c r="P10567" s="257"/>
      <c r="Q10567" s="328"/>
      <c r="R10567" s="259"/>
      <c r="S10567" s="259"/>
      <c r="T10567" s="262"/>
      <c r="U10567" s="259"/>
      <c r="V10567" s="259"/>
      <c r="W10567" s="262"/>
      <c r="X10567" s="259"/>
      <c r="Y10567" s="259"/>
      <c r="Z10567" s="262"/>
      <c r="AA10567" s="259"/>
      <c r="AB10567" s="259"/>
      <c r="AC10567" s="262"/>
      <c r="AD10567" s="259"/>
      <c r="AE10567" s="259"/>
      <c r="AF10567" s="262"/>
      <c r="AG10567" s="321"/>
      <c r="AH10567" s="1"/>
    </row>
    <row r="10568" spans="14:41" customFormat="1">
      <c r="N10568" s="236" t="s">
        <v>869</v>
      </c>
      <c r="O10568" s="229" t="s">
        <v>870</v>
      </c>
      <c r="P10568" s="257"/>
      <c r="Q10568" s="328"/>
      <c r="R10568" s="259"/>
      <c r="S10568" s="259"/>
      <c r="T10568" s="262"/>
      <c r="U10568" s="259"/>
      <c r="V10568" s="259"/>
      <c r="W10568" s="262"/>
      <c r="X10568" s="259"/>
      <c r="Y10568" s="259"/>
      <c r="Z10568" s="262"/>
      <c r="AA10568" s="259"/>
      <c r="AB10568" s="259"/>
      <c r="AC10568" s="262"/>
      <c r="AD10568" s="259"/>
      <c r="AE10568" s="259"/>
      <c r="AF10568" s="262"/>
      <c r="AG10568" s="321"/>
      <c r="AH10568" s="1"/>
    </row>
    <row r="10569" spans="14:41" customFormat="1">
      <c r="N10569" s="236" t="s">
        <v>871</v>
      </c>
      <c r="O10569" s="229" t="s">
        <v>872</v>
      </c>
      <c r="P10569" s="257"/>
      <c r="Q10569" s="328"/>
      <c r="R10569" s="259"/>
      <c r="S10569" s="259"/>
      <c r="T10569" s="262"/>
      <c r="U10569" s="259"/>
      <c r="V10569" s="259"/>
      <c r="W10569" s="262"/>
      <c r="X10569" s="259"/>
      <c r="Y10569" s="259"/>
      <c r="Z10569" s="262"/>
      <c r="AA10569" s="259"/>
      <c r="AB10569" s="259"/>
      <c r="AC10569" s="262"/>
      <c r="AD10569" s="259"/>
      <c r="AE10569" s="259"/>
      <c r="AF10569" s="262"/>
      <c r="AG10569" s="321"/>
      <c r="AH10569" s="1"/>
    </row>
    <row r="10570" spans="14:41" customFormat="1">
      <c r="N10570" s="236" t="s">
        <v>873</v>
      </c>
      <c r="O10570" s="229" t="s">
        <v>874</v>
      </c>
      <c r="P10570" s="257"/>
      <c r="Q10570" s="328"/>
      <c r="R10570" s="259"/>
      <c r="S10570" s="259"/>
      <c r="T10570" s="262"/>
      <c r="U10570" s="259"/>
      <c r="V10570" s="259"/>
      <c r="W10570" s="262"/>
      <c r="X10570" s="259"/>
      <c r="Y10570" s="259"/>
      <c r="Z10570" s="262"/>
      <c r="AA10570" s="259"/>
      <c r="AB10570" s="259"/>
      <c r="AC10570" s="262"/>
      <c r="AD10570" s="259"/>
      <c r="AE10570" s="259"/>
      <c r="AF10570" s="262"/>
      <c r="AG10570" s="321"/>
      <c r="AH10570" s="1"/>
    </row>
    <row r="10571" spans="14:41" customFormat="1">
      <c r="N10571" s="725" t="s">
        <v>852</v>
      </c>
      <c r="O10571" s="724" t="s">
        <v>2727</v>
      </c>
      <c r="P10571" s="257"/>
      <c r="Q10571" s="328"/>
      <c r="R10571" s="259"/>
      <c r="S10571" s="259"/>
      <c r="T10571" s="262"/>
      <c r="U10571" s="259"/>
      <c r="V10571" s="259"/>
      <c r="W10571" s="262"/>
      <c r="X10571" s="259"/>
      <c r="Y10571" s="259"/>
      <c r="Z10571" s="262"/>
      <c r="AA10571" s="259"/>
      <c r="AB10571" s="259"/>
      <c r="AC10571" s="262"/>
      <c r="AD10571" s="259"/>
      <c r="AE10571" s="259"/>
      <c r="AF10571" s="262"/>
      <c r="AG10571" s="321"/>
      <c r="AH10571" s="1"/>
      <c r="AI10571" s="1"/>
      <c r="AJ10571" s="259"/>
      <c r="AK10571" s="259"/>
      <c r="AL10571" s="262"/>
      <c r="AM10571" s="1"/>
      <c r="AN10571" s="1"/>
      <c r="AO10571" s="1"/>
    </row>
    <row r="10572" spans="14:41" customFormat="1">
      <c r="N10572" s="236"/>
      <c r="O10572" s="205"/>
      <c r="P10572" s="285"/>
      <c r="Q10572" s="328"/>
      <c r="R10572" s="285"/>
      <c r="S10572" s="285"/>
      <c r="T10572" s="285"/>
      <c r="U10572" s="285"/>
      <c r="V10572" s="285"/>
      <c r="W10572" s="285"/>
      <c r="X10572" s="285"/>
      <c r="Y10572" s="285"/>
      <c r="Z10572" s="285"/>
      <c r="AA10572" s="285"/>
      <c r="AB10572" s="285"/>
      <c r="AC10572" s="285"/>
      <c r="AD10572" s="285"/>
      <c r="AE10572" s="285"/>
      <c r="AF10572" s="285"/>
      <c r="AG10572" s="321"/>
      <c r="AH10572" s="1"/>
      <c r="AI10572" s="1"/>
      <c r="AJ10572" s="259"/>
      <c r="AK10572" s="259"/>
      <c r="AL10572" s="285"/>
      <c r="AM10572" s="1"/>
      <c r="AN10572" s="1"/>
      <c r="AO10572" s="1"/>
    </row>
    <row r="10573" spans="14:41" customFormat="1">
      <c r="N10573" s="236"/>
      <c r="O10573" s="205"/>
      <c r="P10573" s="285"/>
      <c r="Q10573" s="328"/>
      <c r="R10573" s="285"/>
      <c r="S10573" s="285"/>
      <c r="T10573" s="285"/>
      <c r="U10573" s="285"/>
      <c r="V10573" s="285"/>
      <c r="W10573" s="285"/>
      <c r="X10573" s="285"/>
      <c r="Y10573" s="285"/>
      <c r="Z10573" s="285"/>
      <c r="AA10573" s="285"/>
      <c r="AB10573" s="285"/>
      <c r="AC10573" s="285"/>
      <c r="AD10573" s="285"/>
      <c r="AE10573" s="285"/>
      <c r="AF10573" s="285"/>
      <c r="AG10573" s="321"/>
      <c r="AH10573" s="1"/>
      <c r="AI10573" s="1"/>
      <c r="AJ10573" s="259"/>
      <c r="AK10573" s="259"/>
      <c r="AL10573" s="285"/>
      <c r="AM10573" s="1"/>
      <c r="AN10573" s="1"/>
      <c r="AO10573" s="1"/>
    </row>
    <row r="10574" spans="14:41" customFormat="1">
      <c r="N10574" s="236"/>
      <c r="O10574" s="250"/>
      <c r="P10574" s="285"/>
      <c r="Q10574" s="328"/>
      <c r="R10574" s="285"/>
      <c r="S10574" s="285"/>
      <c r="T10574" s="285"/>
      <c r="U10574" s="285"/>
      <c r="V10574" s="285"/>
      <c r="W10574" s="285"/>
      <c r="X10574" s="285"/>
      <c r="Y10574" s="285"/>
      <c r="Z10574" s="285"/>
      <c r="AA10574" s="285"/>
      <c r="AB10574" s="285"/>
      <c r="AC10574" s="285"/>
      <c r="AD10574" s="285"/>
      <c r="AE10574" s="285"/>
      <c r="AF10574" s="285"/>
      <c r="AG10574" s="321"/>
      <c r="AH10574" s="1"/>
      <c r="AI10574" s="1"/>
      <c r="AJ10574" s="259"/>
      <c r="AK10574" s="259"/>
      <c r="AL10574" s="285"/>
      <c r="AM10574" s="1"/>
      <c r="AN10574" s="1"/>
      <c r="AO10574" s="1"/>
    </row>
    <row r="10575" spans="14:41" customFormat="1">
      <c r="N10575" s="236"/>
      <c r="O10575" s="250"/>
      <c r="P10575" s="285"/>
      <c r="Q10575" s="328"/>
      <c r="R10575" s="285"/>
      <c r="S10575" s="285"/>
      <c r="T10575" s="285"/>
      <c r="U10575" s="285"/>
      <c r="V10575" s="285"/>
      <c r="W10575" s="285"/>
      <c r="X10575" s="285"/>
      <c r="Y10575" s="285"/>
      <c r="Z10575" s="285"/>
      <c r="AA10575" s="285"/>
      <c r="AB10575" s="285"/>
      <c r="AC10575" s="285"/>
      <c r="AD10575" s="285"/>
      <c r="AE10575" s="285"/>
      <c r="AF10575" s="285"/>
      <c r="AG10575" s="321"/>
      <c r="AH10575" s="1"/>
      <c r="AI10575" s="1"/>
      <c r="AJ10575" s="259"/>
      <c r="AK10575" s="259"/>
      <c r="AL10575" s="285"/>
      <c r="AM10575" s="1"/>
      <c r="AN10575" s="1"/>
      <c r="AO10575" s="1"/>
    </row>
    <row r="10576" spans="14:41" customFormat="1">
      <c r="N10576" s="236"/>
      <c r="O10576" s="250"/>
      <c r="P10576" s="285"/>
      <c r="Q10576" s="328"/>
      <c r="R10576" s="285"/>
      <c r="S10576" s="285"/>
      <c r="T10576" s="285"/>
      <c r="U10576" s="285"/>
      <c r="V10576" s="285"/>
      <c r="W10576" s="285"/>
      <c r="X10576" s="285"/>
      <c r="Y10576" s="285"/>
      <c r="Z10576" s="285"/>
      <c r="AA10576" s="285"/>
      <c r="AB10576" s="285"/>
      <c r="AC10576" s="285"/>
      <c r="AD10576" s="285"/>
      <c r="AE10576" s="285"/>
      <c r="AF10576" s="285"/>
      <c r="AG10576" s="321"/>
      <c r="AH10576" s="1"/>
      <c r="AI10576" s="1"/>
      <c r="AJ10576" s="259"/>
      <c r="AK10576" s="259"/>
      <c r="AL10576" s="285"/>
      <c r="AM10576" s="1"/>
      <c r="AN10576" s="1"/>
      <c r="AO10576" s="1"/>
    </row>
    <row r="10577" spans="1:41" customFormat="1">
      <c r="N10577" s="236"/>
      <c r="O10577" s="205"/>
      <c r="P10577" s="285"/>
      <c r="Q10577" s="328"/>
      <c r="R10577" s="285"/>
      <c r="S10577" s="285"/>
      <c r="T10577" s="285"/>
      <c r="U10577" s="285"/>
      <c r="V10577" s="285"/>
      <c r="W10577" s="285"/>
      <c r="X10577" s="285"/>
      <c r="Y10577" s="285"/>
      <c r="Z10577" s="285"/>
      <c r="AA10577" s="285"/>
      <c r="AB10577" s="285"/>
      <c r="AC10577" s="285"/>
      <c r="AD10577" s="285"/>
      <c r="AE10577" s="285"/>
      <c r="AF10577" s="285"/>
      <c r="AG10577" s="330"/>
      <c r="AI10577" s="1"/>
      <c r="AJ10577" s="259"/>
      <c r="AK10577" s="259"/>
      <c r="AL10577" s="285"/>
      <c r="AM10577" s="1"/>
      <c r="AN10577" s="1"/>
      <c r="AO10577" s="1"/>
    </row>
    <row r="10578" spans="1:41" customFormat="1">
      <c r="A10578" t="s">
        <v>2598</v>
      </c>
      <c r="N10578" s="236"/>
      <c r="O10578" s="250"/>
      <c r="P10578" s="285"/>
      <c r="Q10578" s="328"/>
      <c r="R10578" s="285"/>
      <c r="S10578" s="285"/>
      <c r="T10578" s="285"/>
      <c r="U10578" s="285"/>
      <c r="V10578" s="285"/>
      <c r="W10578" s="285"/>
      <c r="X10578" s="285"/>
      <c r="Y10578" s="285"/>
      <c r="Z10578" s="285"/>
      <c r="AA10578" s="285"/>
      <c r="AB10578" s="285"/>
      <c r="AC10578" s="285"/>
      <c r="AD10578" s="285"/>
      <c r="AE10578" s="285"/>
      <c r="AF10578" s="285"/>
      <c r="AG10578" s="321"/>
      <c r="AH10578" s="1"/>
      <c r="AI10578" s="1"/>
      <c r="AJ10578" s="259"/>
      <c r="AK10578" s="259"/>
      <c r="AL10578" s="285"/>
      <c r="AM10578" s="1"/>
      <c r="AN10578" s="1"/>
      <c r="AO10578" s="1"/>
    </row>
    <row r="10579" spans="1:41" customFormat="1">
      <c r="N10579" s="236"/>
      <c r="O10579" s="325"/>
      <c r="P10579" s="285"/>
      <c r="Q10579" s="328"/>
      <c r="R10579" s="285"/>
      <c r="S10579" s="285"/>
      <c r="T10579" s="285"/>
      <c r="U10579" s="285"/>
      <c r="V10579" s="285"/>
      <c r="W10579" s="285"/>
      <c r="X10579" s="285"/>
      <c r="Y10579" s="285"/>
      <c r="Z10579" s="285"/>
      <c r="AA10579" s="285"/>
      <c r="AB10579" s="285"/>
      <c r="AC10579" s="285"/>
      <c r="AD10579" s="285"/>
      <c r="AE10579" s="285"/>
      <c r="AF10579" s="285"/>
      <c r="AG10579" s="330"/>
      <c r="AI10579" s="1"/>
      <c r="AJ10579" s="259"/>
      <c r="AK10579" s="259"/>
      <c r="AL10579" s="285"/>
      <c r="AM10579" s="1"/>
      <c r="AN10579" s="1"/>
      <c r="AO10579" s="1"/>
    </row>
    <row r="10580" spans="1:41" customFormat="1">
      <c r="N10580" s="236"/>
      <c r="O10580" s="483"/>
      <c r="P10580" s="285"/>
      <c r="Q10580" s="328"/>
      <c r="R10580" s="285"/>
      <c r="S10580" s="285"/>
      <c r="T10580" s="285"/>
      <c r="U10580" s="285"/>
      <c r="V10580" s="285"/>
      <c r="W10580" s="285"/>
      <c r="X10580" s="285"/>
      <c r="Y10580" s="285"/>
      <c r="Z10580" s="285"/>
      <c r="AA10580" s="285"/>
      <c r="AB10580" s="285"/>
      <c r="AC10580" s="285"/>
      <c r="AD10580" s="285"/>
      <c r="AE10580" s="285"/>
      <c r="AF10580" s="285"/>
      <c r="AG10580" s="330"/>
      <c r="AI10580" s="1"/>
      <c r="AJ10580" s="259"/>
      <c r="AK10580" s="259"/>
      <c r="AL10580" s="285"/>
      <c r="AM10580" s="1"/>
      <c r="AN10580" s="1"/>
      <c r="AO10580" s="1"/>
    </row>
    <row r="10581" spans="1:41" customFormat="1">
      <c r="N10581" s="236"/>
      <c r="O10581" s="235"/>
      <c r="P10581" s="285"/>
      <c r="Q10581" s="328"/>
      <c r="R10581" s="285"/>
      <c r="S10581" s="285"/>
      <c r="T10581" s="285"/>
      <c r="U10581" s="285"/>
      <c r="V10581" s="285"/>
      <c r="W10581" s="285"/>
      <c r="X10581" s="285"/>
      <c r="Y10581" s="285"/>
      <c r="Z10581" s="285"/>
      <c r="AA10581" s="285"/>
      <c r="AB10581" s="285"/>
      <c r="AC10581" s="285"/>
      <c r="AD10581" s="285"/>
      <c r="AE10581" s="285"/>
      <c r="AF10581" s="285"/>
      <c r="AG10581" s="330"/>
      <c r="AI10581" s="1"/>
      <c r="AJ10581" s="259"/>
      <c r="AK10581" s="259"/>
      <c r="AL10581" s="285"/>
      <c r="AM10581" s="1"/>
      <c r="AN10581" s="1"/>
      <c r="AO10581" s="1"/>
    </row>
    <row r="10582" spans="1:41" customFormat="1">
      <c r="N10582" s="436"/>
      <c r="O10582" s="485"/>
      <c r="P10582" s="285"/>
      <c r="Q10582" s="328"/>
      <c r="R10582" s="285"/>
      <c r="S10582" s="285"/>
      <c r="T10582" s="285"/>
      <c r="U10582" s="285"/>
      <c r="V10582" s="285"/>
      <c r="W10582" s="285"/>
      <c r="X10582" s="285"/>
      <c r="Y10582" s="285"/>
      <c r="Z10582" s="285"/>
      <c r="AA10582" s="285"/>
      <c r="AB10582" s="285"/>
      <c r="AC10582" s="285"/>
      <c r="AD10582" s="285"/>
      <c r="AE10582" s="285"/>
      <c r="AF10582" s="285"/>
      <c r="AG10582" s="330"/>
      <c r="AI10582" s="1"/>
      <c r="AJ10582" s="259"/>
      <c r="AK10582" s="259"/>
      <c r="AL10582" s="285"/>
      <c r="AM10582" s="1"/>
      <c r="AN10582" s="1"/>
      <c r="AO10582" s="1"/>
    </row>
    <row r="10583" spans="1:41" customFormat="1">
      <c r="N10583" s="236"/>
      <c r="O10583" s="235"/>
      <c r="P10583" s="285"/>
      <c r="Q10583" s="328"/>
      <c r="R10583" s="285"/>
      <c r="S10583" s="285"/>
      <c r="T10583" s="285"/>
      <c r="U10583" s="285"/>
      <c r="V10583" s="285"/>
      <c r="W10583" s="285"/>
      <c r="X10583" s="285"/>
      <c r="Y10583" s="285"/>
      <c r="Z10583" s="285"/>
      <c r="AA10583" s="285"/>
      <c r="AB10583" s="285"/>
      <c r="AC10583" s="285"/>
      <c r="AD10583" s="285"/>
      <c r="AE10583" s="285"/>
      <c r="AF10583" s="285"/>
      <c r="AG10583" s="330"/>
      <c r="AI10583" s="1"/>
      <c r="AJ10583" s="259"/>
      <c r="AK10583" s="259"/>
      <c r="AL10583" s="285"/>
      <c r="AM10583" s="1"/>
      <c r="AN10583" s="1"/>
      <c r="AO10583" s="1"/>
    </row>
    <row r="10584" spans="1:41" customFormat="1">
      <c r="N10584" s="236"/>
      <c r="O10584" s="205"/>
      <c r="P10584" s="285"/>
      <c r="Q10584" s="328"/>
      <c r="R10584" s="285"/>
      <c r="S10584" s="285"/>
      <c r="T10584" s="285"/>
      <c r="U10584" s="285"/>
      <c r="V10584" s="285"/>
      <c r="W10584" s="285"/>
      <c r="X10584" s="285"/>
      <c r="Y10584" s="285"/>
      <c r="Z10584" s="285"/>
      <c r="AA10584" s="285"/>
      <c r="AB10584" s="285"/>
      <c r="AC10584" s="285"/>
      <c r="AD10584" s="285"/>
      <c r="AE10584" s="285"/>
      <c r="AF10584" s="285"/>
      <c r="AG10584" s="330"/>
      <c r="AI10584" s="1"/>
      <c r="AJ10584" s="259"/>
      <c r="AK10584" s="259"/>
      <c r="AL10584" s="285"/>
      <c r="AM10584" s="1"/>
      <c r="AN10584" s="1"/>
      <c r="AO10584" s="1"/>
    </row>
    <row r="10585" spans="1:41" customFormat="1" hidden="1">
      <c r="N10585" s="236"/>
      <c r="O10585" s="205"/>
      <c r="P10585" s="285"/>
      <c r="Q10585" s="328"/>
      <c r="R10585" s="285"/>
      <c r="S10585" s="285"/>
      <c r="T10585" s="285"/>
      <c r="U10585" s="285"/>
      <c r="V10585" s="285"/>
      <c r="W10585" s="285"/>
      <c r="X10585" s="285"/>
      <c r="Y10585" s="285"/>
      <c r="Z10585" s="285"/>
      <c r="AA10585" s="285"/>
      <c r="AB10585" s="285"/>
      <c r="AC10585" s="285"/>
      <c r="AD10585" s="285"/>
      <c r="AE10585" s="285"/>
      <c r="AF10585" s="285"/>
      <c r="AG10585" s="330"/>
      <c r="AI10585" s="1"/>
      <c r="AJ10585" s="259"/>
      <c r="AK10585" s="259"/>
      <c r="AL10585" s="285"/>
      <c r="AM10585" s="1"/>
      <c r="AN10585" s="1"/>
      <c r="AO10585" s="1"/>
    </row>
    <row r="10586" spans="1:41" customFormat="1" hidden="1">
      <c r="N10586" s="236"/>
      <c r="O10586" s="205"/>
      <c r="P10586" s="285"/>
      <c r="Q10586" s="328"/>
      <c r="R10586" s="285"/>
      <c r="S10586" s="285"/>
      <c r="T10586" s="285"/>
      <c r="U10586" s="285"/>
      <c r="V10586" s="285"/>
      <c r="W10586" s="285"/>
      <c r="X10586" s="285"/>
      <c r="Y10586" s="285"/>
      <c r="Z10586" s="285"/>
      <c r="AA10586" s="285"/>
      <c r="AB10586" s="285"/>
      <c r="AC10586" s="285"/>
      <c r="AD10586" s="285"/>
      <c r="AE10586" s="285"/>
      <c r="AF10586" s="285"/>
      <c r="AG10586" s="330"/>
      <c r="AI10586" s="1"/>
      <c r="AJ10586" s="259"/>
      <c r="AK10586" s="259"/>
      <c r="AL10586" s="285"/>
      <c r="AM10586" s="1"/>
      <c r="AN10586" s="1"/>
      <c r="AO10586" s="1"/>
    </row>
    <row r="10587" spans="1:41" customFormat="1" hidden="1">
      <c r="N10587" s="236"/>
      <c r="O10587" s="205"/>
      <c r="P10587" s="285"/>
      <c r="Q10587" s="328"/>
      <c r="R10587" s="285"/>
      <c r="S10587" s="285"/>
      <c r="T10587" s="285"/>
      <c r="U10587" s="285"/>
      <c r="V10587" s="285"/>
      <c r="W10587" s="285"/>
      <c r="X10587" s="285"/>
      <c r="Y10587" s="285"/>
      <c r="Z10587" s="285"/>
      <c r="AA10587" s="285"/>
      <c r="AB10587" s="285"/>
      <c r="AC10587" s="285"/>
      <c r="AD10587" s="285"/>
      <c r="AE10587" s="285"/>
      <c r="AF10587" s="285"/>
      <c r="AG10587" s="330"/>
      <c r="AI10587" s="1"/>
      <c r="AJ10587" s="259"/>
      <c r="AK10587" s="259"/>
      <c r="AL10587" s="285"/>
      <c r="AM10587" s="1"/>
      <c r="AN10587" s="1"/>
      <c r="AO10587" s="1"/>
    </row>
    <row r="10588" spans="1:41" customFormat="1" hidden="1">
      <c r="N10588" s="236"/>
      <c r="O10588" s="205"/>
      <c r="P10588" s="285"/>
      <c r="Q10588" s="328"/>
      <c r="R10588" s="285"/>
      <c r="S10588" s="285"/>
      <c r="T10588" s="285"/>
      <c r="U10588" s="285"/>
      <c r="V10588" s="285"/>
      <c r="W10588" s="285"/>
      <c r="X10588" s="285"/>
      <c r="Y10588" s="285"/>
      <c r="Z10588" s="285"/>
      <c r="AA10588" s="285"/>
      <c r="AB10588" s="285"/>
      <c r="AC10588" s="285"/>
      <c r="AD10588" s="285"/>
      <c r="AE10588" s="285"/>
      <c r="AF10588" s="285"/>
      <c r="AG10588" s="330"/>
      <c r="AI10588" s="1"/>
      <c r="AJ10588" s="259"/>
      <c r="AK10588" s="259"/>
      <c r="AL10588" s="285"/>
      <c r="AM10588" s="1"/>
      <c r="AN10588" s="1"/>
      <c r="AO10588" s="1"/>
    </row>
    <row r="10589" spans="1:41" customFormat="1" hidden="1">
      <c r="N10589" s="236"/>
      <c r="O10589" s="205"/>
      <c r="P10589" s="285"/>
      <c r="Q10589" s="328"/>
      <c r="R10589" s="285"/>
      <c r="S10589" s="285"/>
      <c r="T10589" s="285"/>
      <c r="U10589" s="285"/>
      <c r="V10589" s="285"/>
      <c r="W10589" s="285"/>
      <c r="X10589" s="285"/>
      <c r="Y10589" s="285"/>
      <c r="Z10589" s="285"/>
      <c r="AA10589" s="285"/>
      <c r="AB10589" s="285"/>
      <c r="AC10589" s="285"/>
      <c r="AD10589" s="285"/>
      <c r="AE10589" s="285"/>
      <c r="AF10589" s="285"/>
      <c r="AG10589" s="330"/>
      <c r="AI10589" s="1"/>
      <c r="AJ10589" s="259"/>
      <c r="AK10589" s="259"/>
      <c r="AL10589" s="285"/>
      <c r="AM10589" s="1"/>
      <c r="AN10589" s="1"/>
      <c r="AO10589" s="1"/>
    </row>
    <row r="10590" spans="1:41" customFormat="1" hidden="1">
      <c r="N10590" s="236"/>
      <c r="O10590" s="205"/>
      <c r="P10590" s="285"/>
      <c r="Q10590" s="328"/>
      <c r="R10590" s="285"/>
      <c r="S10590" s="285"/>
      <c r="T10590" s="285"/>
      <c r="U10590" s="285"/>
      <c r="V10590" s="285"/>
      <c r="W10590" s="285"/>
      <c r="X10590" s="285"/>
      <c r="Y10590" s="285"/>
      <c r="Z10590" s="285"/>
      <c r="AA10590" s="285"/>
      <c r="AB10590" s="285"/>
      <c r="AC10590" s="285"/>
      <c r="AD10590" s="285"/>
      <c r="AE10590" s="285"/>
      <c r="AF10590" s="285"/>
      <c r="AG10590" s="330"/>
      <c r="AI10590" s="1"/>
      <c r="AJ10590" s="259"/>
      <c r="AK10590" s="259"/>
      <c r="AL10590" s="285"/>
      <c r="AM10590" s="1"/>
      <c r="AN10590" s="1"/>
      <c r="AO10590" s="1"/>
    </row>
    <row r="10591" spans="1:41" customFormat="1" hidden="1">
      <c r="N10591" s="236"/>
      <c r="O10591" s="205"/>
      <c r="P10591" s="285"/>
      <c r="Q10591" s="328"/>
      <c r="R10591" s="285"/>
      <c r="S10591" s="285"/>
      <c r="T10591" s="285"/>
      <c r="U10591" s="285"/>
      <c r="V10591" s="285"/>
      <c r="W10591" s="285"/>
      <c r="X10591" s="285"/>
      <c r="Y10591" s="285"/>
      <c r="Z10591" s="285"/>
      <c r="AA10591" s="285"/>
      <c r="AB10591" s="285"/>
      <c r="AC10591" s="285"/>
      <c r="AD10591" s="285"/>
      <c r="AE10591" s="285"/>
      <c r="AF10591" s="285"/>
      <c r="AG10591" s="330"/>
      <c r="AI10591" s="1"/>
      <c r="AJ10591" s="259"/>
      <c r="AK10591" s="259"/>
      <c r="AL10591" s="285"/>
      <c r="AM10591" s="1"/>
      <c r="AN10591" s="1"/>
      <c r="AO10591" s="1"/>
    </row>
    <row r="10592" spans="1:41" customFormat="1" hidden="1">
      <c r="N10592" s="236"/>
      <c r="O10592" s="205"/>
      <c r="P10592" s="285"/>
      <c r="Q10592" s="328"/>
      <c r="R10592" s="285"/>
      <c r="S10592" s="285"/>
      <c r="T10592" s="285"/>
      <c r="U10592" s="285"/>
      <c r="V10592" s="285"/>
      <c r="W10592" s="285"/>
      <c r="X10592" s="285"/>
      <c r="Y10592" s="285"/>
      <c r="Z10592" s="285"/>
      <c r="AA10592" s="285"/>
      <c r="AB10592" s="285"/>
      <c r="AC10592" s="285"/>
      <c r="AD10592" s="285"/>
      <c r="AE10592" s="285"/>
      <c r="AF10592" s="285"/>
      <c r="AG10592" s="330"/>
      <c r="AI10592" s="1"/>
      <c r="AJ10592" s="259"/>
      <c r="AK10592" s="259"/>
      <c r="AL10592" s="285"/>
      <c r="AM10592" s="1"/>
      <c r="AN10592" s="1"/>
      <c r="AO10592" s="1"/>
    </row>
    <row r="10593" spans="14:41" customFormat="1" hidden="1">
      <c r="N10593" s="236"/>
      <c r="O10593" s="205"/>
      <c r="P10593" s="285"/>
      <c r="Q10593" s="328"/>
      <c r="R10593" s="285"/>
      <c r="S10593" s="285"/>
      <c r="T10593" s="285"/>
      <c r="U10593" s="285"/>
      <c r="V10593" s="285"/>
      <c r="W10593" s="285"/>
      <c r="X10593" s="285"/>
      <c r="Y10593" s="285"/>
      <c r="Z10593" s="285"/>
      <c r="AA10593" s="285"/>
      <c r="AB10593" s="285"/>
      <c r="AC10593" s="285"/>
      <c r="AD10593" s="285"/>
      <c r="AE10593" s="285"/>
      <c r="AF10593" s="285"/>
      <c r="AG10593" s="330"/>
      <c r="AI10593" s="1"/>
      <c r="AJ10593" s="259"/>
      <c r="AK10593" s="259"/>
      <c r="AL10593" s="285"/>
      <c r="AM10593" s="1"/>
      <c r="AN10593" s="1"/>
      <c r="AO10593" s="1"/>
    </row>
    <row r="10594" spans="14:41" customFormat="1" hidden="1">
      <c r="N10594" s="236"/>
      <c r="O10594" s="205"/>
      <c r="P10594" s="285"/>
      <c r="Q10594" s="328"/>
      <c r="R10594" s="285"/>
      <c r="S10594" s="285"/>
      <c r="T10594" s="285"/>
      <c r="U10594" s="285"/>
      <c r="V10594" s="285"/>
      <c r="W10594" s="285"/>
      <c r="X10594" s="285"/>
      <c r="Y10594" s="285"/>
      <c r="Z10594" s="285"/>
      <c r="AA10594" s="285"/>
      <c r="AB10594" s="285"/>
      <c r="AC10594" s="285"/>
      <c r="AD10594" s="285"/>
      <c r="AE10594" s="285"/>
      <c r="AF10594" s="285"/>
      <c r="AG10594" s="330"/>
      <c r="AI10594" s="1"/>
      <c r="AJ10594" s="259"/>
      <c r="AK10594" s="259"/>
      <c r="AL10594" s="285"/>
      <c r="AM10594" s="1"/>
      <c r="AN10594" s="1"/>
      <c r="AO10594" s="1"/>
    </row>
    <row r="10595" spans="14:41" customFormat="1" hidden="1">
      <c r="N10595" s="236"/>
      <c r="O10595" s="205"/>
      <c r="P10595" s="285"/>
      <c r="Q10595" s="328"/>
      <c r="R10595" s="285"/>
      <c r="S10595" s="285"/>
      <c r="T10595" s="285"/>
      <c r="U10595" s="285"/>
      <c r="V10595" s="285"/>
      <c r="W10595" s="285"/>
      <c r="X10595" s="285"/>
      <c r="Y10595" s="285"/>
      <c r="Z10595" s="285"/>
      <c r="AA10595" s="285"/>
      <c r="AB10595" s="285"/>
      <c r="AC10595" s="285"/>
      <c r="AD10595" s="285"/>
      <c r="AE10595" s="285"/>
      <c r="AF10595" s="285"/>
      <c r="AG10595" s="330"/>
      <c r="AI10595" s="1"/>
      <c r="AJ10595" s="259"/>
      <c r="AK10595" s="259"/>
      <c r="AL10595" s="285"/>
      <c r="AM10595" s="1"/>
      <c r="AN10595" s="1"/>
      <c r="AO10595" s="1"/>
    </row>
    <row r="10596" spans="14:41" customFormat="1" hidden="1">
      <c r="N10596" s="236"/>
      <c r="O10596" s="205"/>
      <c r="P10596" s="285"/>
      <c r="Q10596" s="328"/>
      <c r="R10596" s="285"/>
      <c r="S10596" s="285"/>
      <c r="T10596" s="285"/>
      <c r="U10596" s="285"/>
      <c r="V10596" s="285"/>
      <c r="W10596" s="285"/>
      <c r="X10596" s="285"/>
      <c r="Y10596" s="285"/>
      <c r="Z10596" s="285"/>
      <c r="AA10596" s="285"/>
      <c r="AB10596" s="285"/>
      <c r="AC10596" s="285"/>
      <c r="AD10596" s="285"/>
      <c r="AE10596" s="285"/>
      <c r="AF10596" s="285"/>
      <c r="AG10596" s="330"/>
      <c r="AI10596" s="1"/>
      <c r="AJ10596" s="259"/>
      <c r="AK10596" s="259"/>
      <c r="AL10596" s="285"/>
      <c r="AM10596" s="1"/>
      <c r="AN10596" s="1"/>
      <c r="AO10596" s="1"/>
    </row>
    <row r="10597" spans="14:41" customFormat="1" hidden="1">
      <c r="N10597" s="236"/>
      <c r="O10597" s="205"/>
      <c r="P10597" s="285"/>
      <c r="Q10597" s="328"/>
      <c r="R10597" s="285"/>
      <c r="S10597" s="285"/>
      <c r="T10597" s="285"/>
      <c r="U10597" s="285"/>
      <c r="V10597" s="285"/>
      <c r="W10597" s="285"/>
      <c r="X10597" s="285"/>
      <c r="Y10597" s="285"/>
      <c r="Z10597" s="285"/>
      <c r="AA10597" s="285"/>
      <c r="AB10597" s="285"/>
      <c r="AC10597" s="285"/>
      <c r="AD10597" s="285"/>
      <c r="AE10597" s="285"/>
      <c r="AF10597" s="285"/>
      <c r="AG10597" s="330"/>
      <c r="AI10597" s="1"/>
      <c r="AJ10597" s="259"/>
      <c r="AK10597" s="259"/>
      <c r="AL10597" s="285"/>
      <c r="AM10597" s="1"/>
      <c r="AN10597" s="1"/>
      <c r="AO10597" s="1"/>
    </row>
    <row r="10598" spans="14:41" customFormat="1">
      <c r="N10598" s="236"/>
      <c r="O10598" s="205"/>
      <c r="P10598" s="285"/>
      <c r="Q10598" s="328"/>
      <c r="R10598" s="285"/>
      <c r="S10598" s="285"/>
      <c r="T10598" s="285"/>
      <c r="U10598" s="285"/>
      <c r="V10598" s="285"/>
      <c r="W10598" s="285"/>
      <c r="X10598" s="285"/>
      <c r="Y10598" s="285"/>
      <c r="Z10598" s="285"/>
      <c r="AA10598" s="285"/>
      <c r="AB10598" s="285"/>
      <c r="AC10598" s="285"/>
      <c r="AD10598" s="285"/>
      <c r="AE10598" s="285"/>
      <c r="AF10598" s="285"/>
      <c r="AG10598" s="330"/>
      <c r="AI10598" s="1"/>
      <c r="AJ10598" s="259"/>
      <c r="AK10598" s="259"/>
      <c r="AL10598" s="285"/>
      <c r="AM10598" s="1"/>
      <c r="AN10598" s="1"/>
      <c r="AO10598" s="1"/>
    </row>
    <row r="10599" spans="14:41" customFormat="1">
      <c r="N10599" s="236" t="s">
        <v>2487</v>
      </c>
      <c r="O10599" s="235" t="s">
        <v>333</v>
      </c>
      <c r="P10599" s="257"/>
      <c r="Q10599" s="328"/>
      <c r="R10599" s="260"/>
      <c r="S10599" s="260"/>
      <c r="T10599" s="285"/>
      <c r="U10599" s="259"/>
      <c r="V10599" s="259"/>
      <c r="W10599" s="631">
        <f>SUMIF(ТС.БПр!$BF$129:$BF$130,W9716 &amp; "-I",ТС.БПр!$L$129:$L$130)-SUMIF(ТС.БПр!$BF$129:$BF$130,W9716 &amp; "-I",ТС.БПр!$Y$129:$Y$130)+SUMIF(ТС.БПр!$BF$129:$BF$130,W9716 &amp; "-I",ТС.БПр!$AR$129:$AR$130)</f>
        <v>0</v>
      </c>
      <c r="X10599" s="259"/>
      <c r="Y10599" s="259"/>
      <c r="Z10599" s="631">
        <f>SUMIF(ТС.БПр!$BF$129:$BF$130,Z9716 &amp; "-I",ТС.БПр!$L$129:$L$130)-SUMIF(ТС.БПр!$BF$129:$BF$130,Z9716 &amp; "-I",ТС.БПр!$Y$129:$Y$130)+SUMIF(ТС.БПр!$BF$129:$BF$130,Z9716 &amp; "-I",ТС.БПр!$AR$129:$AR$130)</f>
        <v>0</v>
      </c>
      <c r="AA10599" s="259"/>
      <c r="AB10599" s="259"/>
      <c r="AC10599" s="631">
        <f>SUMIF('ТС.ТМ1 01.01 - 30.06'!$C$21:$C$22,AC9716,'ТС.ТМ1 01.01 - 30.06'!$AE$21:$AE$22)*IF(TARIFF_SETUP_METHOD_CODE="BY_PSEUDO_YEARS",SUMIF(ТС.БТр!$BF$129:$BF$130,AC$9 &amp; "-I",ТС.БТр!$DD$129:$DD$130),1)</f>
        <v>0</v>
      </c>
      <c r="AD10599" s="259"/>
      <c r="AE10599" s="259"/>
      <c r="AF10599" s="631">
        <f>SUMIF(ТС.БПр!$BF$129:$BF$130,AF9716 &amp; "-I",ТС.БПр!$L$129:$L$130)</f>
        <v>0</v>
      </c>
      <c r="AG10599" s="330"/>
      <c r="AI10599" s="1"/>
      <c r="AJ10599" s="259"/>
      <c r="AK10599" s="259"/>
      <c r="AL10599" s="631">
        <f>SUMIF('ТС.ТМ1 01.01 - 30.06'!$C$21:$C$22,AL9716,'ТС.ТМ1 01.01 - 30.06'!$AE$21:$AE$22)</f>
        <v>0</v>
      </c>
      <c r="AM10599" s="1"/>
      <c r="AN10599" s="1"/>
      <c r="AO10599" s="1"/>
    </row>
    <row r="10600" spans="14:41" customFormat="1">
      <c r="N10600" s="236" t="s">
        <v>2488</v>
      </c>
      <c r="O10600" s="483" t="str">
        <f>IF(TEMPLATE_CLAIM="U","Полезный отпуск продукции 01.07 - 31.08 всего (Гкал)","Полезный отпуск продукции 01.07 - 31.12 всего (Гкал)")</f>
        <v>Полезный отпуск продукции 01.07 - 31.08 всего (Гкал)</v>
      </c>
      <c r="P10600" s="257"/>
      <c r="Q10600" s="328"/>
      <c r="R10600" s="260"/>
      <c r="S10600" s="260"/>
      <c r="T10600" s="285"/>
      <c r="U10600" s="259"/>
      <c r="V10600" s="259"/>
      <c r="W10600" s="631">
        <f>SUMIF(ТС.БПр!$BF$129:$BF$130,W9716 &amp; "-II",ТС.БПр!$L$129:$L$130)-SUMIF(ТС.БПр!$BF$129:$BF$130,W9716 &amp; "-II",ТС.БПр!$Y$129:$Y$130)+SUMIF(ТС.БПр!$BF$129:$BF$130,W9716 &amp; "-II",ТС.БПр!$AR$129:$AR$130)</f>
        <v>0</v>
      </c>
      <c r="X10600" s="259"/>
      <c r="Y10600" s="259"/>
      <c r="Z10600" s="631">
        <f>SUMIF(ТС.БПр!$BF$129:$BF$130,Z9716 &amp; "-II",ТС.БПр!$L$129:$L$130)-SUMIF(ТС.БПр!$BF$129:$BF$130,Z9716 &amp; "-II",ТС.БПр!$Y$129:$Y$130)+SUMIF(ТС.БПр!$BF$129:$BF$130,Z9716 &amp; "-II",ТС.БПр!$AR$129:$AR$130)</f>
        <v>0</v>
      </c>
      <c r="AA10600" s="259"/>
      <c r="AB10600" s="259"/>
      <c r="AC10600" s="631">
        <f>SUMIF('ТС.ТМ1 01.07 - 31.08'!$C$21:$C$22,AC9716,'ТС.ТМ1 01.07 - 31.08'!$AE$21:$AE$22)*IF(TARIFF_SETUP_METHOD_CODE="BY_PSEUDO_YEARS",SUMIF(ТС.БТр!$BF$129:$BF$130,AC$9 &amp; "-II",ТС.БТр!$DD$129:$DD$130),1)</f>
        <v>0</v>
      </c>
      <c r="AD10600" s="259"/>
      <c r="AE10600" s="259"/>
      <c r="AF10600" s="631">
        <f>SUMIF(ТС.БПр!$BF$129:$BF$130,AF9716 &amp; "-II",ТС.БПр!$L$129:$L$130)</f>
        <v>0</v>
      </c>
      <c r="AG10600" s="330"/>
      <c r="AI10600" s="1"/>
      <c r="AJ10600" s="259"/>
      <c r="AK10600" s="259"/>
      <c r="AL10600" s="631">
        <f>SUMIF('ТС.ТМ1 01.07 - 31.08'!$C$21:$C$22,AL9716,'ТС.ТМ1 01.07 - 31.08'!$AE$21:$AE$22)</f>
        <v>0</v>
      </c>
      <c r="AM10600" s="1"/>
      <c r="AN10600" s="1"/>
      <c r="AO10600" s="1"/>
    </row>
    <row r="10601" spans="14:41" customFormat="1">
      <c r="N10601" s="496" t="str">
        <f>IF(TEMPLATE_CLAIM="U","19.3","")</f>
        <v>19.3</v>
      </c>
      <c r="O10601" s="483" t="str">
        <f>IF(TEMPLATE_CLAIM="U","Полезный отпуск продукции 01.09 - 31.12 всего (Гкал)","")</f>
        <v>Полезный отпуск продукции 01.09 - 31.12 всего (Гкал)</v>
      </c>
      <c r="P10601" s="280"/>
      <c r="Q10601" s="328"/>
      <c r="R10601" s="260"/>
      <c r="S10601" s="260"/>
      <c r="T10601" s="285"/>
      <c r="U10601" s="259"/>
      <c r="V10601" s="259"/>
      <c r="W10601" s="631">
        <f>IF(TEMPLATE_CLAIM="U",SUMIF(ТС.БПр!$BF$129:$BF$130,W9716 &amp; "-III",ТС.БПр!$L$129:$L$130)-SUMIF(ТС.БПр!$BF$129:$BF$130,W9716 &amp; "-III",ТС.БПр!$Y$129:$Y$130)+SUMIF(ТС.БПр!$BF$129:$BF$130,W9716 &amp; "-III",ТС.БПр!$AR$129:$AR$130),"")</f>
        <v>0</v>
      </c>
      <c r="X10601" s="259"/>
      <c r="Y10601" s="259"/>
      <c r="Z10601" s="631">
        <f>IF(TEMPLATE_CLAIM="U",SUMIF(ТС.БПр!$BF$129:$BF$130,Z9716 &amp; "-III",ТС.БПр!$L$129:$L$130)-SUMIF(ТС.БПр!$BF$129:$BF$130,Z9716 &amp; "-III",ТС.БПр!$Y$129:$Y$130)+SUMIF(ТС.БПр!$BF$129:$BF$130,Z9716 &amp; "-III",ТС.БПр!$AR$129:$AR$130),"")</f>
        <v>0</v>
      </c>
      <c r="AA10601" s="259"/>
      <c r="AB10601" s="259"/>
      <c r="AC10601" s="631">
        <f>IF(TEMPLATE_CLAIM="U",SUMIF('ТС.ТМ1 01.09 - 31.12'!$C$21:$C$22,AC9716,'ТС.ТМ1 01.09 - 31.12'!$AE$21:$AE$22)*IF(TARIFF_SETUP_METHOD_CODE="BY_PSEUDO_YEARS",SUMIF(ТС.БТр!$BF$129:$BF$130,AC$9 &amp; "-III",ТС.БТр!$DD$129:$DD$130),1),"")</f>
        <v>0</v>
      </c>
      <c r="AD10601" s="259"/>
      <c r="AE10601" s="259"/>
      <c r="AF10601" s="631">
        <f>IF(TEMPLATE_CLAIM="U",SUMIF(ТС.БПр!$BF$129:$BF$130,AF9716 &amp; "-III",ТС.БПр!$L$129:$L$130),"")</f>
        <v>0</v>
      </c>
      <c r="AG10601" s="330"/>
      <c r="AI10601" s="1"/>
      <c r="AJ10601" s="259"/>
      <c r="AK10601" s="259"/>
      <c r="AL10601" s="631">
        <f>IF(TEMPLATE_CLAIM="U",SUMIF('ТС.ТМ1 01.09 - 31.12'!$C$21:$C$22,AL9716,'ТС.ТМ1 01.09 - 31.12'!$AE$21:$AE$22),"")</f>
        <v>0</v>
      </c>
      <c r="AM10601" s="1"/>
      <c r="AN10601" s="1"/>
      <c r="AO10601" s="1"/>
    </row>
    <row r="10602" spans="14:41" customFormat="1">
      <c r="N10602" s="298"/>
      <c r="O10602" s="299"/>
      <c r="P10602" s="282"/>
      <c r="Q10602" s="328"/>
      <c r="R10602" s="259"/>
      <c r="S10602" s="259"/>
      <c r="T10602" s="285"/>
      <c r="U10602" s="259"/>
      <c r="V10602" s="259"/>
      <c r="W10602" s="285"/>
      <c r="X10602" s="259"/>
      <c r="Y10602" s="259"/>
      <c r="Z10602" s="285"/>
      <c r="AA10602" s="259"/>
      <c r="AB10602" s="259"/>
      <c r="AC10602" s="285"/>
      <c r="AD10602" s="259"/>
      <c r="AE10602" s="259"/>
      <c r="AF10602" s="285"/>
      <c r="AG10602" s="330"/>
      <c r="AI10602" s="1"/>
      <c r="AJ10602" s="259"/>
      <c r="AK10602" s="259"/>
      <c r="AL10602" s="285"/>
      <c r="AM10602" s="1"/>
      <c r="AN10602" s="1"/>
      <c r="AO10602" s="1"/>
    </row>
    <row r="10603" spans="14:41" customFormat="1" hidden="1">
      <c r="N10603" s="298"/>
      <c r="O10603" s="299"/>
      <c r="P10603" s="282"/>
      <c r="Q10603" s="328"/>
      <c r="R10603" s="259"/>
      <c r="S10603" s="259"/>
      <c r="T10603" s="285"/>
      <c r="U10603" s="259"/>
      <c r="V10603" s="259"/>
      <c r="W10603" s="285"/>
      <c r="X10603" s="259"/>
      <c r="Y10603" s="259"/>
      <c r="Z10603" s="285"/>
      <c r="AA10603" s="259"/>
      <c r="AB10603" s="259"/>
      <c r="AC10603" s="285"/>
      <c r="AD10603" s="259"/>
      <c r="AE10603" s="259"/>
      <c r="AF10603" s="285"/>
      <c r="AG10603" s="330"/>
      <c r="AI10603" s="1"/>
      <c r="AJ10603" s="259"/>
      <c r="AK10603" s="259"/>
      <c r="AL10603" s="285"/>
      <c r="AM10603" s="1"/>
      <c r="AN10603" s="1"/>
      <c r="AO10603" s="1"/>
    </row>
    <row r="10604" spans="14:41" customFormat="1" hidden="1">
      <c r="N10604" s="300"/>
      <c r="O10604" s="301"/>
      <c r="P10604" s="285"/>
      <c r="Q10604" s="328"/>
      <c r="R10604" s="259"/>
      <c r="S10604" s="259"/>
      <c r="T10604" s="285"/>
      <c r="U10604" s="259"/>
      <c r="V10604" s="259"/>
      <c r="W10604" s="285"/>
      <c r="X10604" s="259"/>
      <c r="Y10604" s="259"/>
      <c r="Z10604" s="285"/>
      <c r="AA10604" s="259"/>
      <c r="AB10604" s="259"/>
      <c r="AC10604" s="285"/>
      <c r="AD10604" s="259"/>
      <c r="AE10604" s="259"/>
      <c r="AF10604" s="285"/>
      <c r="AG10604" s="330"/>
      <c r="AI10604" s="1"/>
      <c r="AJ10604" s="259"/>
      <c r="AK10604" s="259"/>
      <c r="AL10604" s="285"/>
      <c r="AM10604" s="1"/>
      <c r="AN10604" s="1"/>
      <c r="AO10604" s="1"/>
    </row>
    <row r="10605" spans="14:41" customFormat="1" hidden="1">
      <c r="N10605" s="300"/>
      <c r="O10605" s="301"/>
      <c r="P10605" s="285"/>
      <c r="Q10605" s="328"/>
      <c r="R10605" s="259"/>
      <c r="S10605" s="259"/>
      <c r="T10605" s="285"/>
      <c r="U10605" s="259"/>
      <c r="V10605" s="259"/>
      <c r="W10605" s="285"/>
      <c r="X10605" s="259"/>
      <c r="Y10605" s="259"/>
      <c r="Z10605" s="285"/>
      <c r="AA10605" s="259"/>
      <c r="AB10605" s="259"/>
      <c r="AC10605" s="285"/>
      <c r="AD10605" s="259"/>
      <c r="AE10605" s="259"/>
      <c r="AF10605" s="285"/>
      <c r="AG10605" s="330"/>
      <c r="AI10605" s="1"/>
      <c r="AJ10605" s="259"/>
      <c r="AK10605" s="259"/>
      <c r="AL10605" s="285"/>
      <c r="AM10605" s="1"/>
      <c r="AN10605" s="1"/>
      <c r="AO10605" s="1"/>
    </row>
    <row r="10606" spans="14:41" customFormat="1" hidden="1">
      <c r="N10606" s="300"/>
      <c r="O10606" s="301"/>
      <c r="P10606" s="285"/>
      <c r="Q10606" s="328"/>
      <c r="R10606" s="259"/>
      <c r="S10606" s="259"/>
      <c r="T10606" s="285"/>
      <c r="U10606" s="259"/>
      <c r="V10606" s="259"/>
      <c r="W10606" s="285"/>
      <c r="X10606" s="259"/>
      <c r="Y10606" s="259"/>
      <c r="Z10606" s="285"/>
      <c r="AA10606" s="259"/>
      <c r="AB10606" s="259"/>
      <c r="AC10606" s="285"/>
      <c r="AD10606" s="259"/>
      <c r="AE10606" s="259"/>
      <c r="AF10606" s="285"/>
      <c r="AG10606" s="330"/>
      <c r="AI10606" s="1"/>
      <c r="AJ10606" s="259"/>
      <c r="AK10606" s="259"/>
      <c r="AL10606" s="285"/>
      <c r="AM10606" s="1"/>
      <c r="AN10606" s="1"/>
      <c r="AO10606" s="1"/>
    </row>
    <row r="10607" spans="14:41" customFormat="1" hidden="1">
      <c r="N10607" s="300"/>
      <c r="O10607" s="301"/>
      <c r="P10607" s="285"/>
      <c r="Q10607" s="328"/>
      <c r="R10607" s="259"/>
      <c r="S10607" s="259"/>
      <c r="T10607" s="285"/>
      <c r="U10607" s="259"/>
      <c r="V10607" s="259"/>
      <c r="W10607" s="285"/>
      <c r="X10607" s="259"/>
      <c r="Y10607" s="259"/>
      <c r="Z10607" s="285"/>
      <c r="AA10607" s="259"/>
      <c r="AB10607" s="259"/>
      <c r="AC10607" s="285"/>
      <c r="AD10607" s="259"/>
      <c r="AE10607" s="259"/>
      <c r="AF10607" s="285"/>
      <c r="AG10607" s="330"/>
      <c r="AI10607" s="1"/>
      <c r="AJ10607" s="259"/>
      <c r="AK10607" s="259"/>
      <c r="AL10607" s="285"/>
      <c r="AM10607" s="1"/>
      <c r="AN10607" s="1"/>
      <c r="AO10607" s="1"/>
    </row>
    <row r="10608" spans="14:41" customFormat="1" hidden="1">
      <c r="N10608" s="300"/>
      <c r="O10608" s="301"/>
      <c r="P10608" s="285"/>
      <c r="Q10608" s="328"/>
      <c r="R10608" s="259"/>
      <c r="S10608" s="259"/>
      <c r="T10608" s="285"/>
      <c r="U10608" s="259"/>
      <c r="V10608" s="259"/>
      <c r="W10608" s="285"/>
      <c r="X10608" s="259"/>
      <c r="Y10608" s="259"/>
      <c r="Z10608" s="285"/>
      <c r="AA10608" s="259"/>
      <c r="AB10608" s="259"/>
      <c r="AC10608" s="285"/>
      <c r="AD10608" s="259"/>
      <c r="AE10608" s="259"/>
      <c r="AF10608" s="285"/>
      <c r="AG10608" s="330"/>
      <c r="AI10608" s="1"/>
      <c r="AJ10608" s="259"/>
      <c r="AK10608" s="259"/>
      <c r="AL10608" s="285"/>
      <c r="AM10608" s="1"/>
      <c r="AN10608" s="1"/>
      <c r="AO10608" s="1"/>
    </row>
    <row r="10609" spans="14:41" customFormat="1" hidden="1">
      <c r="N10609" s="300"/>
      <c r="O10609" s="301"/>
      <c r="P10609" s="285"/>
      <c r="Q10609" s="328"/>
      <c r="R10609" s="259"/>
      <c r="S10609" s="259"/>
      <c r="T10609" s="285"/>
      <c r="U10609" s="259"/>
      <c r="V10609" s="259"/>
      <c r="W10609" s="285"/>
      <c r="X10609" s="259"/>
      <c r="Y10609" s="259"/>
      <c r="Z10609" s="285"/>
      <c r="AA10609" s="259"/>
      <c r="AB10609" s="259"/>
      <c r="AC10609" s="285"/>
      <c r="AD10609" s="259"/>
      <c r="AE10609" s="259"/>
      <c r="AF10609" s="285"/>
      <c r="AG10609" s="330"/>
      <c r="AI10609" s="1"/>
      <c r="AJ10609" s="259"/>
      <c r="AK10609" s="259"/>
      <c r="AL10609" s="285"/>
      <c r="AM10609" s="1"/>
      <c r="AN10609" s="1"/>
      <c r="AO10609" s="1"/>
    </row>
    <row r="10610" spans="14:41" customFormat="1" hidden="1">
      <c r="N10610" s="300"/>
      <c r="O10610" s="301"/>
      <c r="P10610" s="285"/>
      <c r="Q10610" s="328"/>
      <c r="R10610" s="259"/>
      <c r="S10610" s="259"/>
      <c r="T10610" s="285"/>
      <c r="U10610" s="259"/>
      <c r="V10610" s="259"/>
      <c r="W10610" s="285"/>
      <c r="X10610" s="259"/>
      <c r="Y10610" s="259"/>
      <c r="Z10610" s="285"/>
      <c r="AA10610" s="259"/>
      <c r="AB10610" s="259"/>
      <c r="AC10610" s="285"/>
      <c r="AD10610" s="259"/>
      <c r="AE10610" s="259"/>
      <c r="AF10610" s="285"/>
      <c r="AG10610" s="330"/>
      <c r="AI10610" s="1"/>
      <c r="AJ10610" s="259"/>
      <c r="AK10610" s="259"/>
      <c r="AL10610" s="285"/>
      <c r="AM10610" s="1"/>
      <c r="AN10610" s="1"/>
      <c r="AO10610" s="1"/>
    </row>
    <row r="10611" spans="14:41" customFormat="1" hidden="1">
      <c r="N10611" s="300"/>
      <c r="O10611" s="301"/>
      <c r="P10611" s="285"/>
      <c r="Q10611" s="328"/>
      <c r="R10611" s="259"/>
      <c r="S10611" s="259"/>
      <c r="T10611" s="285"/>
      <c r="U10611" s="259"/>
      <c r="V10611" s="259"/>
      <c r="W10611" s="285"/>
      <c r="X10611" s="259"/>
      <c r="Y10611" s="259"/>
      <c r="Z10611" s="285"/>
      <c r="AA10611" s="259"/>
      <c r="AB10611" s="259"/>
      <c r="AC10611" s="285"/>
      <c r="AD10611" s="259"/>
      <c r="AE10611" s="259"/>
      <c r="AF10611" s="285"/>
      <c r="AG10611" s="330"/>
      <c r="AI10611" s="1"/>
      <c r="AJ10611" s="259"/>
      <c r="AK10611" s="259"/>
      <c r="AL10611" s="285"/>
      <c r="AM10611" s="1"/>
      <c r="AN10611" s="1"/>
      <c r="AO10611" s="1"/>
    </row>
    <row r="10612" spans="14:41" customFormat="1" hidden="1">
      <c r="N10612" s="300"/>
      <c r="O10612" s="301"/>
      <c r="P10612" s="285"/>
      <c r="Q10612" s="328"/>
      <c r="R10612" s="259"/>
      <c r="S10612" s="259"/>
      <c r="T10612" s="285"/>
      <c r="U10612" s="259"/>
      <c r="V10612" s="259"/>
      <c r="W10612" s="285"/>
      <c r="X10612" s="259"/>
      <c r="Y10612" s="259"/>
      <c r="Z10612" s="285"/>
      <c r="AA10612" s="259"/>
      <c r="AB10612" s="259"/>
      <c r="AC10612" s="285"/>
      <c r="AD10612" s="259"/>
      <c r="AE10612" s="259"/>
      <c r="AF10612" s="285"/>
      <c r="AG10612" s="330"/>
      <c r="AI10612" s="1"/>
      <c r="AJ10612" s="259"/>
      <c r="AK10612" s="259"/>
      <c r="AL10612" s="285"/>
      <c r="AM10612" s="1"/>
      <c r="AN10612" s="1"/>
      <c r="AO10612" s="1"/>
    </row>
    <row r="10613" spans="14:41" customFormat="1" hidden="1">
      <c r="N10613" s="300"/>
      <c r="O10613" s="301"/>
      <c r="P10613" s="285"/>
      <c r="Q10613" s="328"/>
      <c r="R10613" s="259"/>
      <c r="S10613" s="259"/>
      <c r="T10613" s="285"/>
      <c r="U10613" s="259"/>
      <c r="V10613" s="259"/>
      <c r="W10613" s="285"/>
      <c r="X10613" s="259"/>
      <c r="Y10613" s="259"/>
      <c r="Z10613" s="285"/>
      <c r="AA10613" s="259"/>
      <c r="AB10613" s="259"/>
      <c r="AC10613" s="285"/>
      <c r="AD10613" s="259"/>
      <c r="AE10613" s="259"/>
      <c r="AF10613" s="285"/>
      <c r="AG10613" s="330"/>
      <c r="AI10613" s="1"/>
      <c r="AJ10613" s="259"/>
      <c r="AK10613" s="259"/>
      <c r="AL10613" s="285"/>
      <c r="AM10613" s="1"/>
      <c r="AN10613" s="1"/>
      <c r="AO10613" s="1"/>
    </row>
    <row r="10614" spans="14:41" customFormat="1" hidden="1">
      <c r="N10614" s="300"/>
      <c r="O10614" s="301"/>
      <c r="P10614" s="285"/>
      <c r="Q10614" s="328"/>
      <c r="R10614" s="259"/>
      <c r="S10614" s="259"/>
      <c r="T10614" s="285"/>
      <c r="U10614" s="259"/>
      <c r="V10614" s="259"/>
      <c r="W10614" s="285"/>
      <c r="X10614" s="259"/>
      <c r="Y10614" s="259"/>
      <c r="Z10614" s="285"/>
      <c r="AA10614" s="259"/>
      <c r="AB10614" s="259"/>
      <c r="AC10614" s="285"/>
      <c r="AD10614" s="259"/>
      <c r="AE10614" s="259"/>
      <c r="AF10614" s="285"/>
      <c r="AG10614" s="330"/>
      <c r="AI10614" s="1"/>
      <c r="AJ10614" s="259"/>
      <c r="AK10614" s="259"/>
      <c r="AL10614" s="285"/>
      <c r="AM10614" s="1"/>
      <c r="AN10614" s="1"/>
      <c r="AO10614" s="1"/>
    </row>
    <row r="10615" spans="14:41" customFormat="1" hidden="1">
      <c r="N10615" s="300"/>
      <c r="O10615" s="301"/>
      <c r="P10615" s="285"/>
      <c r="Q10615" s="328"/>
      <c r="R10615" s="259"/>
      <c r="S10615" s="259"/>
      <c r="T10615" s="285"/>
      <c r="U10615" s="259"/>
      <c r="V10615" s="259"/>
      <c r="W10615" s="285"/>
      <c r="X10615" s="259"/>
      <c r="Y10615" s="259"/>
      <c r="Z10615" s="285"/>
      <c r="AA10615" s="259"/>
      <c r="AB10615" s="259"/>
      <c r="AC10615" s="285"/>
      <c r="AD10615" s="259"/>
      <c r="AE10615" s="259"/>
      <c r="AF10615" s="285"/>
      <c r="AG10615" s="330"/>
      <c r="AI10615" s="1"/>
      <c r="AJ10615" s="259"/>
      <c r="AK10615" s="259"/>
      <c r="AL10615" s="285"/>
      <c r="AM10615" s="1"/>
      <c r="AN10615" s="1"/>
      <c r="AO10615" s="1"/>
    </row>
    <row r="10616" spans="14:41" customFormat="1" hidden="1">
      <c r="N10616" s="300"/>
      <c r="O10616" s="301"/>
      <c r="P10616" s="285"/>
      <c r="Q10616" s="328"/>
      <c r="R10616" s="259"/>
      <c r="S10616" s="259"/>
      <c r="T10616" s="285"/>
      <c r="U10616" s="259"/>
      <c r="V10616" s="259"/>
      <c r="W10616" s="285"/>
      <c r="X10616" s="259"/>
      <c r="Y10616" s="259"/>
      <c r="Z10616" s="285"/>
      <c r="AA10616" s="259"/>
      <c r="AB10616" s="259"/>
      <c r="AC10616" s="285"/>
      <c r="AD10616" s="259"/>
      <c r="AE10616" s="259"/>
      <c r="AF10616" s="285"/>
      <c r="AG10616" s="330"/>
      <c r="AI10616" s="1"/>
      <c r="AJ10616" s="259"/>
      <c r="AK10616" s="259"/>
      <c r="AL10616" s="285"/>
      <c r="AM10616" s="1"/>
      <c r="AN10616" s="1"/>
      <c r="AO10616" s="1"/>
    </row>
    <row r="10617" spans="14:41" customFormat="1" hidden="1">
      <c r="N10617" s="300"/>
      <c r="O10617" s="301"/>
      <c r="P10617" s="285"/>
      <c r="Q10617" s="328"/>
      <c r="R10617" s="259"/>
      <c r="S10617" s="259"/>
      <c r="T10617" s="285"/>
      <c r="U10617" s="259"/>
      <c r="V10617" s="259"/>
      <c r="W10617" s="285"/>
      <c r="X10617" s="259"/>
      <c r="Y10617" s="259"/>
      <c r="Z10617" s="285"/>
      <c r="AA10617" s="259"/>
      <c r="AB10617" s="259"/>
      <c r="AC10617" s="285"/>
      <c r="AD10617" s="259"/>
      <c r="AE10617" s="259"/>
      <c r="AF10617" s="285"/>
      <c r="AG10617" s="330"/>
      <c r="AI10617" s="1"/>
      <c r="AJ10617" s="259"/>
      <c r="AK10617" s="259"/>
      <c r="AL10617" s="285"/>
      <c r="AM10617" s="1"/>
      <c r="AN10617" s="1"/>
      <c r="AO10617" s="1"/>
    </row>
    <row r="10618" spans="14:41" customFormat="1" hidden="1">
      <c r="N10618" s="300"/>
      <c r="O10618" s="301"/>
      <c r="P10618" s="285"/>
      <c r="Q10618" s="328"/>
      <c r="R10618" s="259"/>
      <c r="S10618" s="259"/>
      <c r="T10618" s="285"/>
      <c r="U10618" s="259"/>
      <c r="V10618" s="259"/>
      <c r="W10618" s="285"/>
      <c r="X10618" s="259"/>
      <c r="Y10618" s="259"/>
      <c r="Z10618" s="285"/>
      <c r="AA10618" s="259"/>
      <c r="AB10618" s="259"/>
      <c r="AC10618" s="285"/>
      <c r="AD10618" s="259"/>
      <c r="AE10618" s="259"/>
      <c r="AF10618" s="285"/>
      <c r="AG10618" s="330"/>
      <c r="AI10618" s="1"/>
      <c r="AJ10618" s="259"/>
      <c r="AK10618" s="259"/>
      <c r="AL10618" s="285"/>
      <c r="AM10618" s="1"/>
      <c r="AN10618" s="1"/>
      <c r="AO10618" s="1"/>
    </row>
    <row r="10619" spans="14:41" customFormat="1" hidden="1">
      <c r="N10619" s="300"/>
      <c r="O10619" s="301"/>
      <c r="P10619" s="285"/>
      <c r="Q10619" s="328"/>
      <c r="R10619" s="259"/>
      <c r="S10619" s="259"/>
      <c r="T10619" s="285"/>
      <c r="U10619" s="259"/>
      <c r="V10619" s="259"/>
      <c r="W10619" s="285"/>
      <c r="X10619" s="259"/>
      <c r="Y10619" s="259"/>
      <c r="Z10619" s="285"/>
      <c r="AA10619" s="259"/>
      <c r="AB10619" s="259"/>
      <c r="AC10619" s="285"/>
      <c r="AD10619" s="259"/>
      <c r="AE10619" s="259"/>
      <c r="AF10619" s="285"/>
      <c r="AG10619" s="330"/>
      <c r="AI10619" s="1"/>
      <c r="AJ10619" s="259"/>
      <c r="AK10619" s="259"/>
      <c r="AL10619" s="285"/>
      <c r="AM10619" s="1"/>
      <c r="AN10619" s="1"/>
      <c r="AO10619" s="1"/>
    </row>
    <row r="10620" spans="14:41" customFormat="1" hidden="1">
      <c r="N10620" s="300"/>
      <c r="O10620" s="301"/>
      <c r="P10620" s="285"/>
      <c r="Q10620" s="328"/>
      <c r="R10620" s="259"/>
      <c r="S10620" s="259"/>
      <c r="T10620" s="285"/>
      <c r="U10620" s="259"/>
      <c r="V10620" s="259"/>
      <c r="W10620" s="285"/>
      <c r="X10620" s="259"/>
      <c r="Y10620" s="259"/>
      <c r="Z10620" s="285"/>
      <c r="AA10620" s="259"/>
      <c r="AB10620" s="259"/>
      <c r="AC10620" s="285"/>
      <c r="AD10620" s="259"/>
      <c r="AE10620" s="259"/>
      <c r="AF10620" s="285"/>
      <c r="AG10620" s="330"/>
      <c r="AI10620" s="1"/>
      <c r="AJ10620" s="259"/>
      <c r="AK10620" s="259"/>
      <c r="AL10620" s="285"/>
      <c r="AM10620" s="1"/>
      <c r="AN10620" s="1"/>
      <c r="AO10620" s="1"/>
    </row>
    <row r="10621" spans="14:41" customFormat="1" hidden="1">
      <c r="N10621" s="300"/>
      <c r="O10621" s="301"/>
      <c r="P10621" s="285"/>
      <c r="Q10621" s="328"/>
      <c r="R10621" s="259"/>
      <c r="S10621" s="259"/>
      <c r="T10621" s="285"/>
      <c r="U10621" s="259"/>
      <c r="V10621" s="259"/>
      <c r="W10621" s="285"/>
      <c r="X10621" s="259"/>
      <c r="Y10621" s="259"/>
      <c r="Z10621" s="285"/>
      <c r="AA10621" s="259"/>
      <c r="AB10621" s="259"/>
      <c r="AC10621" s="285"/>
      <c r="AD10621" s="259"/>
      <c r="AE10621" s="259"/>
      <c r="AF10621" s="285"/>
      <c r="AG10621" s="330"/>
      <c r="AI10621" s="1"/>
      <c r="AJ10621" s="259"/>
      <c r="AK10621" s="259"/>
      <c r="AL10621" s="285"/>
      <c r="AM10621" s="1"/>
      <c r="AN10621" s="1"/>
      <c r="AO10621" s="1"/>
    </row>
    <row r="10622" spans="14:41" customFormat="1" hidden="1">
      <c r="N10622" s="300"/>
      <c r="O10622" s="301"/>
      <c r="P10622" s="285"/>
      <c r="Q10622" s="328"/>
      <c r="R10622" s="259"/>
      <c r="S10622" s="259"/>
      <c r="T10622" s="285"/>
      <c r="U10622" s="259"/>
      <c r="V10622" s="259"/>
      <c r="W10622" s="285"/>
      <c r="X10622" s="259"/>
      <c r="Y10622" s="259"/>
      <c r="Z10622" s="285"/>
      <c r="AA10622" s="259"/>
      <c r="AB10622" s="259"/>
      <c r="AC10622" s="285"/>
      <c r="AD10622" s="259"/>
      <c r="AE10622" s="259"/>
      <c r="AF10622" s="285"/>
      <c r="AG10622" s="330"/>
      <c r="AI10622" s="1"/>
      <c r="AJ10622" s="259"/>
      <c r="AK10622" s="259"/>
      <c r="AL10622" s="285"/>
      <c r="AM10622" s="1"/>
      <c r="AN10622" s="1"/>
      <c r="AO10622" s="1"/>
    </row>
    <row r="10623" spans="14:41" customFormat="1" hidden="1">
      <c r="N10623" s="300"/>
      <c r="O10623" s="301"/>
      <c r="P10623" s="285"/>
      <c r="Q10623" s="328"/>
      <c r="R10623" s="259"/>
      <c r="S10623" s="259"/>
      <c r="T10623" s="285"/>
      <c r="U10623" s="259"/>
      <c r="V10623" s="259"/>
      <c r="W10623" s="285"/>
      <c r="X10623" s="259"/>
      <c r="Y10623" s="259"/>
      <c r="Z10623" s="285"/>
      <c r="AA10623" s="259"/>
      <c r="AB10623" s="259"/>
      <c r="AC10623" s="285"/>
      <c r="AD10623" s="259"/>
      <c r="AE10623" s="259"/>
      <c r="AF10623" s="285"/>
      <c r="AG10623" s="330"/>
      <c r="AI10623" s="1"/>
      <c r="AJ10623" s="259"/>
      <c r="AK10623" s="259"/>
      <c r="AL10623" s="285"/>
      <c r="AM10623" s="1"/>
      <c r="AN10623" s="1"/>
      <c r="AO10623" s="1"/>
    </row>
    <row r="10624" spans="14:41" customFormat="1">
      <c r="N10624" s="300"/>
      <c r="O10624" s="301"/>
      <c r="P10624" s="285"/>
      <c r="Q10624" s="328"/>
      <c r="R10624" s="259"/>
      <c r="S10624" s="259"/>
      <c r="T10624" s="285"/>
      <c r="U10624" s="259"/>
      <c r="V10624" s="259"/>
      <c r="W10624" s="285"/>
      <c r="X10624" s="259"/>
      <c r="Y10624" s="259"/>
      <c r="Z10624" s="285"/>
      <c r="AA10624" s="259"/>
      <c r="AB10624" s="259"/>
      <c r="AC10624" s="285"/>
      <c r="AD10624" s="259"/>
      <c r="AE10624" s="259"/>
      <c r="AF10624" s="285"/>
      <c r="AG10624" s="330"/>
      <c r="AI10624" s="1"/>
      <c r="AJ10624" s="259"/>
      <c r="AK10624" s="259"/>
      <c r="AL10624" s="285"/>
      <c r="AM10624" s="1"/>
      <c r="AN10624" s="1"/>
      <c r="AO10624" s="1"/>
    </row>
    <row r="10625" spans="14:41" customFormat="1">
      <c r="N10625" s="492" t="str">
        <f>IF(TEMPLATE_CLAIM="P","30.1","")</f>
        <v/>
      </c>
      <c r="O10625" s="493" t="str">
        <f>IF(TEMPLATE_CLAIM="P","Базовый уровень операционных расходов, тыс.руб.","")</f>
        <v/>
      </c>
      <c r="P10625" s="254"/>
      <c r="Q10625" s="328"/>
      <c r="R10625" s="259"/>
      <c r="S10625" s="259"/>
      <c r="T10625" s="285"/>
      <c r="U10625" s="259"/>
      <c r="V10625" s="259"/>
      <c r="W10625" s="285"/>
      <c r="X10625" s="259"/>
      <c r="Y10625" s="259"/>
      <c r="Z10625" s="285"/>
      <c r="AA10625" s="259"/>
      <c r="AB10625" s="259"/>
      <c r="AC10625" s="285"/>
      <c r="AD10625" s="259"/>
      <c r="AE10625" s="259"/>
      <c r="AF10625" s="285"/>
      <c r="AG10625" s="330"/>
      <c r="AI10625" s="1"/>
      <c r="AJ10625" s="259"/>
      <c r="AK10625" s="259"/>
      <c r="AL10625" s="484"/>
      <c r="AM10625" s="1"/>
      <c r="AN10625" s="1"/>
      <c r="AO10625" s="1"/>
    </row>
    <row r="10626" spans="14:41" customFormat="1">
      <c r="N10626" s="492" t="str">
        <f>IF(TEMPLATE_CLAIM="P","30.2","")</f>
        <v/>
      </c>
      <c r="O10626" s="493" t="str">
        <f>IF(TEMPLATE_CLAIM="P","Индекс эффективности операционных расходов, %","")</f>
        <v/>
      </c>
      <c r="P10626" s="254"/>
      <c r="Q10626" s="328"/>
      <c r="R10626" s="259"/>
      <c r="S10626" s="259"/>
      <c r="T10626" s="285"/>
      <c r="U10626" s="259"/>
      <c r="V10626" s="259"/>
      <c r="W10626" s="285"/>
      <c r="X10626" s="259"/>
      <c r="Y10626" s="259"/>
      <c r="Z10626" s="285"/>
      <c r="AA10626" s="259"/>
      <c r="AB10626" s="259"/>
      <c r="AC10626" s="285"/>
      <c r="AD10626" s="259"/>
      <c r="AE10626" s="259"/>
      <c r="AF10626" s="285"/>
      <c r="AG10626" s="330"/>
      <c r="AI10626" s="1"/>
      <c r="AJ10626" s="259"/>
      <c r="AK10626" s="259"/>
      <c r="AL10626" s="484"/>
      <c r="AM10626" s="1"/>
      <c r="AN10626" s="1"/>
      <c r="AO10626" s="1"/>
    </row>
    <row r="10627" spans="14:41" customFormat="1">
      <c r="N10627" s="492" t="str">
        <f>IF(TEMPLATE_CLAIM="P","30.3","")</f>
        <v/>
      </c>
      <c r="O10627" s="493" t="str">
        <f>IF(TEMPLATE_CLAIM="P","Размер инвестированного капитала, тыс.руб.","")</f>
        <v/>
      </c>
      <c r="P10627" s="254"/>
      <c r="Q10627" s="328"/>
      <c r="R10627" s="259"/>
      <c r="S10627" s="259"/>
      <c r="T10627" s="285"/>
      <c r="U10627" s="259"/>
      <c r="V10627" s="259"/>
      <c r="W10627" s="285"/>
      <c r="X10627" s="259"/>
      <c r="Y10627" s="259"/>
      <c r="Z10627" s="285"/>
      <c r="AA10627" s="259"/>
      <c r="AB10627" s="259"/>
      <c r="AC10627" s="285"/>
      <c r="AD10627" s="259"/>
      <c r="AE10627" s="259"/>
      <c r="AF10627" s="285"/>
      <c r="AG10627" s="330"/>
      <c r="AI10627" s="1"/>
      <c r="AJ10627" s="259"/>
      <c r="AK10627" s="259"/>
      <c r="AL10627" s="484"/>
      <c r="AM10627" s="1"/>
      <c r="AN10627" s="1"/>
      <c r="AO10627" s="1"/>
    </row>
    <row r="10628" spans="14:41" customFormat="1">
      <c r="N10628" s="492" t="str">
        <f>IF(TEMPLATE_CLAIM="P","30.4","")</f>
        <v/>
      </c>
      <c r="O10628" s="493" t="str">
        <f>IF(TEMPLATE_CLAIM="P","Чистый оборотный капитал, тыс.руб.","")</f>
        <v/>
      </c>
      <c r="P10628" s="254"/>
      <c r="Q10628" s="328"/>
      <c r="R10628" s="259"/>
      <c r="S10628" s="259"/>
      <c r="T10628" s="285"/>
      <c r="U10628" s="259"/>
      <c r="V10628" s="259"/>
      <c r="W10628" s="285"/>
      <c r="X10628" s="259"/>
      <c r="Y10628" s="259"/>
      <c r="Z10628" s="285"/>
      <c r="AA10628" s="259"/>
      <c r="AB10628" s="259"/>
      <c r="AC10628" s="285"/>
      <c r="AD10628" s="259"/>
      <c r="AE10628" s="259"/>
      <c r="AF10628" s="285"/>
      <c r="AG10628" s="330"/>
      <c r="AI10628" s="1"/>
      <c r="AJ10628" s="259"/>
      <c r="AK10628" s="259"/>
      <c r="AL10628" s="484"/>
      <c r="AM10628" s="1"/>
      <c r="AN10628" s="1"/>
      <c r="AO10628" s="1"/>
    </row>
    <row r="10629" spans="14:41" customFormat="1">
      <c r="N10629" s="492" t="str">
        <f>IF(TEMPLATE_CLAIM="P","30.5","")</f>
        <v/>
      </c>
      <c r="O10629" s="493" t="str">
        <f>IF(TEMPLATE_CLAIM="P","Норма доходности на инвестированный капитал (НДi), %","")</f>
        <v/>
      </c>
      <c r="P10629" s="254"/>
      <c r="Q10629" s="328"/>
      <c r="R10629" s="259"/>
      <c r="S10629" s="259"/>
      <c r="T10629" s="285"/>
      <c r="U10629" s="259"/>
      <c r="V10629" s="259"/>
      <c r="W10629" s="285"/>
      <c r="X10629" s="259"/>
      <c r="Y10629" s="259"/>
      <c r="Z10629" s="285"/>
      <c r="AA10629" s="259"/>
      <c r="AB10629" s="259"/>
      <c r="AC10629" s="285"/>
      <c r="AD10629" s="259"/>
      <c r="AE10629" s="259"/>
      <c r="AF10629" s="285"/>
      <c r="AG10629" s="330"/>
      <c r="AI10629" s="1"/>
      <c r="AJ10629" s="259"/>
      <c r="AK10629" s="259"/>
      <c r="AL10629" s="484"/>
      <c r="AM10629" s="1"/>
      <c r="AN10629" s="1"/>
      <c r="AO10629" s="1"/>
    </row>
    <row r="10630" spans="14:41" customFormat="1">
      <c r="N10630" s="492" t="str">
        <f>IF(TEMPLATE_CLAIM="P","30.6","")</f>
        <v/>
      </c>
      <c r="O10630" s="493" t="str">
        <f>IF(TEMPLATE_CLAIM="P","Норма доходности (НДi), %","")</f>
        <v/>
      </c>
      <c r="P10630" s="254"/>
      <c r="Q10630" s="328"/>
      <c r="R10630" s="259"/>
      <c r="S10630" s="259"/>
      <c r="T10630" s="285"/>
      <c r="U10630" s="259"/>
      <c r="V10630" s="259"/>
      <c r="W10630" s="285"/>
      <c r="X10630" s="259"/>
      <c r="Y10630" s="259"/>
      <c r="Z10630" s="285"/>
      <c r="AA10630" s="259"/>
      <c r="AB10630" s="259"/>
      <c r="AC10630" s="285"/>
      <c r="AD10630" s="259"/>
      <c r="AE10630" s="259"/>
      <c r="AF10630" s="285"/>
      <c r="AG10630" s="330"/>
      <c r="AI10630" s="1"/>
      <c r="AJ10630" s="259"/>
      <c r="AK10630" s="259"/>
      <c r="AL10630" s="484"/>
      <c r="AM10630" s="1"/>
      <c r="AN10630" s="1"/>
      <c r="AO10630" s="1"/>
    </row>
    <row r="10631" spans="14:41" customFormat="1">
      <c r="N10631" s="492" t="str">
        <f>IF(TEMPLATE_CLAIM="P","30.7","")</f>
        <v/>
      </c>
      <c r="O10631" s="493" t="str">
        <f>IF(TEMPLATE_CLAIM="P","Срок возврата инвестированного капитала, лет","")</f>
        <v/>
      </c>
      <c r="P10631" s="254"/>
      <c r="Q10631" s="328"/>
      <c r="R10631" s="259"/>
      <c r="S10631" s="259"/>
      <c r="T10631" s="285"/>
      <c r="U10631" s="259"/>
      <c r="V10631" s="259"/>
      <c r="W10631" s="285"/>
      <c r="X10631" s="259"/>
      <c r="Y10631" s="259"/>
      <c r="Z10631" s="285"/>
      <c r="AA10631" s="259"/>
      <c r="AB10631" s="259"/>
      <c r="AC10631" s="285"/>
      <c r="AD10631" s="259"/>
      <c r="AE10631" s="259"/>
      <c r="AF10631" s="285"/>
      <c r="AG10631" s="330"/>
      <c r="AI10631" s="1"/>
      <c r="AJ10631" s="259"/>
      <c r="AK10631" s="259"/>
      <c r="AL10631" s="484"/>
      <c r="AM10631" s="1"/>
      <c r="AN10631" s="1"/>
      <c r="AO10631" s="1"/>
    </row>
    <row r="10632" spans="14:41" customFormat="1">
      <c r="N10632" s="492" t="str">
        <f>IF(TEMPLATE_CLAIM="P","30.8","")</f>
        <v/>
      </c>
      <c r="O10632" s="494" t="str">
        <f>IF(TEMPLATE_CLAIM="P","Уровень надежности и качества реализуемых товаров (услуг)","")</f>
        <v/>
      </c>
      <c r="P10632" s="254"/>
      <c r="Q10632" s="328"/>
      <c r="R10632" s="259"/>
      <c r="S10632" s="259"/>
      <c r="T10632" s="285"/>
      <c r="U10632" s="259"/>
      <c r="V10632" s="259"/>
      <c r="W10632" s="285"/>
      <c r="X10632" s="259"/>
      <c r="Y10632" s="259"/>
      <c r="Z10632" s="285"/>
      <c r="AA10632" s="259"/>
      <c r="AB10632" s="259"/>
      <c r="AC10632" s="285"/>
      <c r="AD10632" s="259"/>
      <c r="AE10632" s="259"/>
      <c r="AF10632" s="285"/>
      <c r="AG10632" s="330"/>
      <c r="AI10632" s="1"/>
      <c r="AJ10632" s="259"/>
      <c r="AK10632" s="259"/>
      <c r="AL10632" s="484"/>
      <c r="AM10632" s="1"/>
      <c r="AN10632" s="1"/>
      <c r="AO10632" s="1"/>
    </row>
    <row r="10633" spans="14:41" customFormat="1">
      <c r="N10633" s="302"/>
      <c r="O10633" s="303"/>
      <c r="P10633" s="285"/>
      <c r="Q10633" s="328"/>
      <c r="R10633" s="259"/>
      <c r="S10633" s="259"/>
      <c r="T10633" s="285"/>
      <c r="U10633" s="259"/>
      <c r="V10633" s="259"/>
      <c r="W10633" s="285"/>
      <c r="X10633" s="259"/>
      <c r="Y10633" s="259"/>
      <c r="Z10633" s="285"/>
      <c r="AA10633" s="259"/>
      <c r="AB10633" s="259"/>
      <c r="AC10633" s="285"/>
      <c r="AD10633" s="259"/>
      <c r="AE10633" s="259"/>
      <c r="AF10633" s="285"/>
      <c r="AG10633" s="330"/>
      <c r="AI10633" s="1"/>
      <c r="AJ10633" s="259"/>
      <c r="AK10633" s="259"/>
      <c r="AL10633" s="285"/>
      <c r="AM10633" s="1"/>
      <c r="AN10633" s="1"/>
      <c r="AO10633" s="1"/>
    </row>
    <row r="10634" spans="14:41" customFormat="1" hidden="1">
      <c r="N10634" s="302"/>
      <c r="O10634" s="303"/>
      <c r="P10634" s="285"/>
      <c r="Q10634" s="328"/>
      <c r="R10634" s="259"/>
      <c r="S10634" s="259"/>
      <c r="T10634" s="285"/>
      <c r="U10634" s="259"/>
      <c r="V10634" s="259"/>
      <c r="W10634" s="285"/>
      <c r="X10634" s="259"/>
      <c r="Y10634" s="259"/>
      <c r="Z10634" s="285"/>
      <c r="AA10634" s="259"/>
      <c r="AB10634" s="259"/>
      <c r="AC10634" s="285"/>
      <c r="AD10634" s="259"/>
      <c r="AE10634" s="259"/>
      <c r="AF10634" s="285"/>
      <c r="AG10634" s="330"/>
      <c r="AI10634" s="1"/>
      <c r="AJ10634" s="259"/>
      <c r="AK10634" s="259"/>
      <c r="AL10634" s="285"/>
      <c r="AM10634" s="1"/>
      <c r="AN10634" s="1"/>
      <c r="AO10634" s="1"/>
    </row>
    <row r="10635" spans="14:41" customFormat="1" hidden="1">
      <c r="N10635" s="302"/>
      <c r="O10635" s="303"/>
      <c r="P10635" s="285"/>
      <c r="Q10635" s="328"/>
      <c r="R10635" s="259"/>
      <c r="S10635" s="259"/>
      <c r="T10635" s="285"/>
      <c r="U10635" s="259"/>
      <c r="V10635" s="259"/>
      <c r="W10635" s="285"/>
      <c r="X10635" s="259"/>
      <c r="Y10635" s="259"/>
      <c r="Z10635" s="285"/>
      <c r="AA10635" s="259"/>
      <c r="AB10635" s="259"/>
      <c r="AC10635" s="285"/>
      <c r="AD10635" s="259"/>
      <c r="AE10635" s="259"/>
      <c r="AF10635" s="285"/>
      <c r="AG10635" s="330"/>
      <c r="AI10635" s="1"/>
      <c r="AJ10635" s="259"/>
      <c r="AK10635" s="259"/>
      <c r="AL10635" s="285"/>
      <c r="AM10635" s="1"/>
      <c r="AN10635" s="1"/>
      <c r="AO10635" s="1"/>
    </row>
    <row r="10636" spans="14:41" customFormat="1" hidden="1">
      <c r="N10636" s="302"/>
      <c r="O10636" s="303"/>
      <c r="P10636" s="285"/>
      <c r="Q10636" s="328"/>
      <c r="R10636" s="259"/>
      <c r="S10636" s="259"/>
      <c r="T10636" s="285"/>
      <c r="U10636" s="259"/>
      <c r="V10636" s="259"/>
      <c r="W10636" s="285"/>
      <c r="X10636" s="259"/>
      <c r="Y10636" s="259"/>
      <c r="Z10636" s="285"/>
      <c r="AA10636" s="259"/>
      <c r="AB10636" s="259"/>
      <c r="AC10636" s="285"/>
      <c r="AD10636" s="259"/>
      <c r="AE10636" s="259"/>
      <c r="AF10636" s="285"/>
      <c r="AG10636" s="330"/>
      <c r="AI10636" s="1"/>
      <c r="AJ10636" s="259"/>
      <c r="AK10636" s="259"/>
      <c r="AL10636" s="285"/>
      <c r="AM10636" s="1"/>
      <c r="AN10636" s="1"/>
      <c r="AO10636" s="1"/>
    </row>
    <row r="10637" spans="14:41" customFormat="1" hidden="1">
      <c r="N10637" s="302"/>
      <c r="O10637" s="303"/>
      <c r="P10637" s="285"/>
      <c r="Q10637" s="328"/>
      <c r="R10637" s="259"/>
      <c r="S10637" s="259"/>
      <c r="T10637" s="285"/>
      <c r="U10637" s="259"/>
      <c r="V10637" s="259"/>
      <c r="W10637" s="285"/>
      <c r="X10637" s="259"/>
      <c r="Y10637" s="259"/>
      <c r="Z10637" s="285"/>
      <c r="AA10637" s="259"/>
      <c r="AB10637" s="259"/>
      <c r="AC10637" s="285"/>
      <c r="AD10637" s="259"/>
      <c r="AE10637" s="259"/>
      <c r="AF10637" s="285"/>
      <c r="AG10637" s="330"/>
      <c r="AI10637" s="1"/>
      <c r="AJ10637" s="259"/>
      <c r="AK10637" s="259"/>
      <c r="AL10637" s="285"/>
      <c r="AM10637" s="1"/>
      <c r="AN10637" s="1"/>
      <c r="AO10637" s="1"/>
    </row>
    <row r="10638" spans="14:41" customFormat="1" hidden="1">
      <c r="N10638" s="302"/>
      <c r="O10638" s="303"/>
      <c r="P10638" s="285"/>
      <c r="Q10638" s="328"/>
      <c r="R10638" s="259"/>
      <c r="S10638" s="259"/>
      <c r="T10638" s="285"/>
      <c r="U10638" s="259"/>
      <c r="V10638" s="259"/>
      <c r="W10638" s="285"/>
      <c r="X10638" s="259"/>
      <c r="Y10638" s="259"/>
      <c r="Z10638" s="285"/>
      <c r="AA10638" s="259"/>
      <c r="AB10638" s="259"/>
      <c r="AC10638" s="285"/>
      <c r="AD10638" s="259"/>
      <c r="AE10638" s="259"/>
      <c r="AF10638" s="285"/>
      <c r="AG10638" s="330"/>
      <c r="AI10638" s="1"/>
      <c r="AJ10638" s="259"/>
      <c r="AK10638" s="259"/>
      <c r="AL10638" s="285"/>
      <c r="AM10638" s="1"/>
      <c r="AN10638" s="1"/>
      <c r="AO10638" s="1"/>
    </row>
    <row r="10639" spans="14:41" customFormat="1" hidden="1">
      <c r="N10639" s="302"/>
      <c r="O10639" s="303"/>
      <c r="P10639" s="285"/>
      <c r="Q10639" s="328"/>
      <c r="R10639" s="259"/>
      <c r="S10639" s="259"/>
      <c r="T10639" s="285"/>
      <c r="U10639" s="259"/>
      <c r="V10639" s="259"/>
      <c r="W10639" s="285"/>
      <c r="X10639" s="259"/>
      <c r="Y10639" s="259"/>
      <c r="Z10639" s="285"/>
      <c r="AA10639" s="259"/>
      <c r="AB10639" s="259"/>
      <c r="AC10639" s="285"/>
      <c r="AD10639" s="259"/>
      <c r="AE10639" s="259"/>
      <c r="AF10639" s="285"/>
      <c r="AG10639" s="330"/>
      <c r="AI10639" s="1"/>
      <c r="AJ10639" s="259"/>
      <c r="AK10639" s="259"/>
      <c r="AL10639" s="285"/>
      <c r="AM10639" s="1"/>
      <c r="AN10639" s="1"/>
      <c r="AO10639" s="1"/>
    </row>
    <row r="10640" spans="14:41" customFormat="1" hidden="1">
      <c r="N10640" s="302"/>
      <c r="O10640" s="303"/>
      <c r="P10640" s="285"/>
      <c r="Q10640" s="328"/>
      <c r="R10640" s="259"/>
      <c r="S10640" s="259"/>
      <c r="T10640" s="285"/>
      <c r="U10640" s="259"/>
      <c r="V10640" s="259"/>
      <c r="W10640" s="285"/>
      <c r="X10640" s="259"/>
      <c r="Y10640" s="259"/>
      <c r="Z10640" s="285"/>
      <c r="AA10640" s="259"/>
      <c r="AB10640" s="259"/>
      <c r="AC10640" s="285"/>
      <c r="AD10640" s="259"/>
      <c r="AE10640" s="259"/>
      <c r="AF10640" s="285"/>
      <c r="AG10640" s="330"/>
      <c r="AI10640" s="1"/>
      <c r="AJ10640" s="259"/>
      <c r="AK10640" s="259"/>
      <c r="AL10640" s="285"/>
      <c r="AM10640" s="1"/>
      <c r="AN10640" s="1"/>
      <c r="AO10640" s="1"/>
    </row>
    <row r="10641" spans="14:41" customFormat="1" hidden="1">
      <c r="N10641" s="302"/>
      <c r="O10641" s="303"/>
      <c r="P10641" s="285"/>
      <c r="Q10641" s="328"/>
      <c r="R10641" s="259"/>
      <c r="S10641" s="259"/>
      <c r="T10641" s="285"/>
      <c r="U10641" s="259"/>
      <c r="V10641" s="259"/>
      <c r="W10641" s="285"/>
      <c r="X10641" s="259"/>
      <c r="Y10641" s="259"/>
      <c r="Z10641" s="285"/>
      <c r="AA10641" s="259"/>
      <c r="AB10641" s="259"/>
      <c r="AC10641" s="285"/>
      <c r="AD10641" s="259"/>
      <c r="AE10641" s="259"/>
      <c r="AF10641" s="285"/>
      <c r="AG10641" s="330"/>
      <c r="AI10641" s="1"/>
      <c r="AJ10641" s="259"/>
      <c r="AK10641" s="259"/>
      <c r="AL10641" s="285"/>
      <c r="AM10641" s="1"/>
      <c r="AN10641" s="1"/>
      <c r="AO10641" s="1"/>
    </row>
    <row r="10642" spans="14:41" customFormat="1" hidden="1">
      <c r="N10642" s="302"/>
      <c r="O10642" s="303"/>
      <c r="P10642" s="285"/>
      <c r="Q10642" s="328"/>
      <c r="R10642" s="259"/>
      <c r="S10642" s="259"/>
      <c r="T10642" s="285"/>
      <c r="U10642" s="259"/>
      <c r="V10642" s="259"/>
      <c r="W10642" s="285"/>
      <c r="X10642" s="259"/>
      <c r="Y10642" s="259"/>
      <c r="Z10642" s="285"/>
      <c r="AA10642" s="259"/>
      <c r="AB10642" s="259"/>
      <c r="AC10642" s="285"/>
      <c r="AD10642" s="259"/>
      <c r="AE10642" s="259"/>
      <c r="AF10642" s="285"/>
      <c r="AG10642" s="330"/>
      <c r="AI10642" s="1"/>
      <c r="AJ10642" s="259"/>
      <c r="AK10642" s="259"/>
      <c r="AL10642" s="285"/>
      <c r="AM10642" s="1"/>
      <c r="AN10642" s="1"/>
      <c r="AO10642" s="1"/>
    </row>
    <row r="10643" spans="14:41" customFormat="1" hidden="1">
      <c r="N10643" s="302"/>
      <c r="O10643" s="303"/>
      <c r="P10643" s="285"/>
      <c r="Q10643" s="328"/>
      <c r="R10643" s="259"/>
      <c r="S10643" s="259"/>
      <c r="T10643" s="285"/>
      <c r="U10643" s="259"/>
      <c r="V10643" s="259"/>
      <c r="W10643" s="285"/>
      <c r="X10643" s="259"/>
      <c r="Y10643" s="259"/>
      <c r="Z10643" s="285"/>
      <c r="AA10643" s="259"/>
      <c r="AB10643" s="259"/>
      <c r="AC10643" s="285"/>
      <c r="AD10643" s="259"/>
      <c r="AE10643" s="259"/>
      <c r="AF10643" s="285"/>
      <c r="AG10643" s="330"/>
      <c r="AI10643" s="1"/>
      <c r="AJ10643" s="259"/>
      <c r="AK10643" s="259"/>
      <c r="AL10643" s="285"/>
      <c r="AM10643" s="1"/>
      <c r="AN10643" s="1"/>
      <c r="AO10643" s="1"/>
    </row>
    <row r="10644" spans="14:41" customFormat="1" hidden="1">
      <c r="N10644" s="302"/>
      <c r="O10644" s="303"/>
      <c r="P10644" s="285"/>
      <c r="Q10644" s="328"/>
      <c r="R10644" s="259"/>
      <c r="S10644" s="259"/>
      <c r="T10644" s="285"/>
      <c r="U10644" s="259"/>
      <c r="V10644" s="259"/>
      <c r="W10644" s="285"/>
      <c r="X10644" s="259"/>
      <c r="Y10644" s="259"/>
      <c r="Z10644" s="285"/>
      <c r="AA10644" s="259"/>
      <c r="AB10644" s="259"/>
      <c r="AC10644" s="285"/>
      <c r="AD10644" s="259"/>
      <c r="AE10644" s="259"/>
      <c r="AF10644" s="285"/>
      <c r="AG10644" s="330"/>
      <c r="AI10644" s="1"/>
      <c r="AJ10644" s="259"/>
      <c r="AK10644" s="259"/>
      <c r="AL10644" s="285"/>
      <c r="AM10644" s="1"/>
      <c r="AN10644" s="1"/>
      <c r="AO10644" s="1"/>
    </row>
    <row r="10645" spans="14:41" customFormat="1" hidden="1">
      <c r="N10645" s="302"/>
      <c r="O10645" s="303"/>
      <c r="P10645" s="285"/>
      <c r="Q10645" s="328"/>
      <c r="R10645" s="259"/>
      <c r="S10645" s="259"/>
      <c r="T10645" s="285"/>
      <c r="U10645" s="259"/>
      <c r="V10645" s="259"/>
      <c r="W10645" s="285"/>
      <c r="X10645" s="259"/>
      <c r="Y10645" s="259"/>
      <c r="Z10645" s="285"/>
      <c r="AA10645" s="259"/>
      <c r="AB10645" s="259"/>
      <c r="AC10645" s="285"/>
      <c r="AD10645" s="259"/>
      <c r="AE10645" s="259"/>
      <c r="AF10645" s="285"/>
      <c r="AG10645" s="330"/>
      <c r="AI10645" s="1"/>
      <c r="AJ10645" s="259"/>
      <c r="AK10645" s="259"/>
      <c r="AL10645" s="285"/>
      <c r="AM10645" s="1"/>
      <c r="AN10645" s="1"/>
      <c r="AO10645" s="1"/>
    </row>
    <row r="10646" spans="14:41" customFormat="1" hidden="1">
      <c r="N10646" s="302"/>
      <c r="O10646" s="303"/>
      <c r="P10646" s="285"/>
      <c r="Q10646" s="328"/>
      <c r="R10646" s="259"/>
      <c r="S10646" s="259"/>
      <c r="T10646" s="285"/>
      <c r="U10646" s="259"/>
      <c r="V10646" s="259"/>
      <c r="W10646" s="285"/>
      <c r="X10646" s="259"/>
      <c r="Y10646" s="259"/>
      <c r="Z10646" s="285"/>
      <c r="AA10646" s="259"/>
      <c r="AB10646" s="259"/>
      <c r="AC10646" s="285"/>
      <c r="AD10646" s="259"/>
      <c r="AE10646" s="259"/>
      <c r="AF10646" s="285"/>
      <c r="AG10646" s="330"/>
      <c r="AI10646" s="1"/>
      <c r="AJ10646" s="259"/>
      <c r="AK10646" s="259"/>
      <c r="AL10646" s="285"/>
      <c r="AM10646" s="1"/>
      <c r="AN10646" s="1"/>
      <c r="AO10646" s="1"/>
    </row>
    <row r="10647" spans="14:41" customFormat="1" hidden="1">
      <c r="N10647" s="302"/>
      <c r="O10647" s="303"/>
      <c r="P10647" s="285"/>
      <c r="Q10647" s="328"/>
      <c r="R10647" s="259"/>
      <c r="S10647" s="259"/>
      <c r="T10647" s="285"/>
      <c r="U10647" s="259"/>
      <c r="V10647" s="259"/>
      <c r="W10647" s="285"/>
      <c r="X10647" s="259"/>
      <c r="Y10647" s="259"/>
      <c r="Z10647" s="285"/>
      <c r="AA10647" s="259"/>
      <c r="AB10647" s="259"/>
      <c r="AC10647" s="285"/>
      <c r="AD10647" s="259"/>
      <c r="AE10647" s="259"/>
      <c r="AF10647" s="285"/>
      <c r="AG10647" s="330"/>
      <c r="AI10647" s="1"/>
      <c r="AJ10647" s="259"/>
      <c r="AK10647" s="259"/>
      <c r="AL10647" s="285"/>
      <c r="AM10647" s="1"/>
      <c r="AN10647" s="1"/>
      <c r="AO10647" s="1"/>
    </row>
    <row r="10648" spans="14:41" customFormat="1" hidden="1">
      <c r="N10648" s="302"/>
      <c r="O10648" s="303"/>
      <c r="P10648" s="285"/>
      <c r="Q10648" s="328"/>
      <c r="R10648" s="259"/>
      <c r="S10648" s="259"/>
      <c r="T10648" s="285"/>
      <c r="U10648" s="259"/>
      <c r="V10648" s="259"/>
      <c r="W10648" s="285"/>
      <c r="X10648" s="259"/>
      <c r="Y10648" s="259"/>
      <c r="Z10648" s="285"/>
      <c r="AA10648" s="259"/>
      <c r="AB10648" s="259"/>
      <c r="AC10648" s="285"/>
      <c r="AD10648" s="259"/>
      <c r="AE10648" s="259"/>
      <c r="AF10648" s="285"/>
      <c r="AG10648" s="330"/>
      <c r="AI10648" s="1"/>
      <c r="AJ10648" s="259"/>
      <c r="AK10648" s="259"/>
      <c r="AL10648" s="285"/>
      <c r="AM10648" s="1"/>
      <c r="AN10648" s="1"/>
      <c r="AO10648" s="1"/>
    </row>
    <row r="10649" spans="14:41" customFormat="1" hidden="1">
      <c r="N10649" s="302"/>
      <c r="O10649" s="303"/>
      <c r="P10649" s="285"/>
      <c r="Q10649" s="328"/>
      <c r="R10649" s="259"/>
      <c r="S10649" s="259"/>
      <c r="T10649" s="285"/>
      <c r="U10649" s="259"/>
      <c r="V10649" s="259"/>
      <c r="W10649" s="285"/>
      <c r="X10649" s="259"/>
      <c r="Y10649" s="259"/>
      <c r="Z10649" s="285"/>
      <c r="AA10649" s="259"/>
      <c r="AB10649" s="259"/>
      <c r="AC10649" s="285"/>
      <c r="AD10649" s="259"/>
      <c r="AE10649" s="259"/>
      <c r="AF10649" s="285"/>
      <c r="AG10649" s="330"/>
      <c r="AI10649" s="1"/>
      <c r="AJ10649" s="259"/>
      <c r="AK10649" s="259"/>
      <c r="AL10649" s="285"/>
      <c r="AM10649" s="1"/>
      <c r="AN10649" s="1"/>
      <c r="AO10649" s="1"/>
    </row>
    <row r="10650" spans="14:41" customFormat="1" hidden="1">
      <c r="N10650" s="302"/>
      <c r="O10650" s="303"/>
      <c r="P10650" s="285"/>
      <c r="Q10650" s="328"/>
      <c r="R10650" s="259"/>
      <c r="S10650" s="259"/>
      <c r="T10650" s="285"/>
      <c r="U10650" s="259"/>
      <c r="V10650" s="259"/>
      <c r="W10650" s="285"/>
      <c r="X10650" s="259"/>
      <c r="Y10650" s="259"/>
      <c r="Z10650" s="285"/>
      <c r="AA10650" s="259"/>
      <c r="AB10650" s="259"/>
      <c r="AC10650" s="285"/>
      <c r="AD10650" s="259"/>
      <c r="AE10650" s="259"/>
      <c r="AF10650" s="285"/>
      <c r="AG10650" s="330"/>
      <c r="AI10650" s="1"/>
      <c r="AJ10650" s="259"/>
      <c r="AK10650" s="259"/>
      <c r="AL10650" s="285"/>
      <c r="AM10650" s="1"/>
      <c r="AN10650" s="1"/>
      <c r="AO10650" s="1"/>
    </row>
    <row r="10651" spans="14:41" customFormat="1" hidden="1">
      <c r="N10651" s="302"/>
      <c r="O10651" s="303"/>
      <c r="P10651" s="285"/>
      <c r="Q10651" s="328"/>
      <c r="R10651" s="259"/>
      <c r="S10651" s="259"/>
      <c r="T10651" s="285"/>
      <c r="U10651" s="259"/>
      <c r="V10651" s="259"/>
      <c r="W10651" s="285"/>
      <c r="X10651" s="259"/>
      <c r="Y10651" s="259"/>
      <c r="Z10651" s="285"/>
      <c r="AA10651" s="259"/>
      <c r="AB10651" s="259"/>
      <c r="AC10651" s="285"/>
      <c r="AD10651" s="259"/>
      <c r="AE10651" s="259"/>
      <c r="AF10651" s="285"/>
      <c r="AG10651" s="330"/>
      <c r="AI10651" s="1"/>
      <c r="AJ10651" s="259"/>
      <c r="AK10651" s="259"/>
      <c r="AL10651" s="285"/>
      <c r="AM10651" s="1"/>
      <c r="AN10651" s="1"/>
      <c r="AO10651" s="1"/>
    </row>
    <row r="10652" spans="14:41" hidden="1">
      <c r="N10652" s="302"/>
      <c r="O10652" s="303"/>
      <c r="P10652" s="285"/>
      <c r="Q10652" s="328"/>
      <c r="R10652" s="259"/>
      <c r="S10652" s="259"/>
      <c r="T10652" s="333"/>
      <c r="U10652" s="259"/>
      <c r="V10652" s="259"/>
      <c r="W10652" s="332"/>
      <c r="X10652" s="259"/>
      <c r="Y10652" s="259"/>
      <c r="Z10652" s="332"/>
      <c r="AA10652" s="259"/>
      <c r="AB10652" s="259"/>
      <c r="AC10652" s="332"/>
      <c r="AD10652" s="259"/>
      <c r="AE10652" s="259"/>
      <c r="AF10652" s="332"/>
      <c r="AG10652" s="330"/>
      <c r="AJ10652" s="259"/>
      <c r="AK10652" s="259"/>
      <c r="AL10652" s="332"/>
    </row>
    <row r="10653" spans="14:41" hidden="1">
      <c r="N10653" s="302"/>
      <c r="O10653" s="303"/>
      <c r="P10653" s="285"/>
      <c r="Q10653" s="328"/>
      <c r="R10653" s="259"/>
      <c r="S10653" s="259"/>
      <c r="T10653" s="332"/>
      <c r="U10653" s="259"/>
      <c r="V10653" s="259"/>
      <c r="W10653" s="332"/>
      <c r="X10653" s="259"/>
      <c r="Y10653" s="259"/>
      <c r="Z10653" s="332"/>
      <c r="AA10653" s="259"/>
      <c r="AB10653" s="259"/>
      <c r="AC10653" s="332"/>
      <c r="AD10653" s="259"/>
      <c r="AE10653" s="259"/>
      <c r="AF10653" s="332"/>
      <c r="AG10653" s="330"/>
      <c r="AJ10653" s="259"/>
      <c r="AK10653" s="259"/>
      <c r="AL10653" s="332"/>
    </row>
    <row r="10654" spans="14:41" hidden="1">
      <c r="N10654" s="302"/>
      <c r="O10654" s="303"/>
      <c r="P10654" s="285"/>
      <c r="Q10654" s="328"/>
      <c r="R10654" s="259"/>
      <c r="S10654" s="259"/>
      <c r="T10654" s="332"/>
      <c r="U10654" s="259"/>
      <c r="V10654" s="259"/>
      <c r="W10654" s="332"/>
      <c r="X10654" s="259"/>
      <c r="Y10654" s="259"/>
      <c r="Z10654" s="332"/>
      <c r="AA10654" s="259"/>
      <c r="AB10654" s="259"/>
      <c r="AC10654" s="332"/>
      <c r="AD10654" s="259"/>
      <c r="AE10654" s="259"/>
      <c r="AF10654" s="332"/>
      <c r="AG10654" s="330"/>
      <c r="AJ10654" s="259"/>
      <c r="AK10654" s="259"/>
      <c r="AL10654" s="332"/>
    </row>
    <row r="10655" spans="14:41" hidden="1">
      <c r="N10655" s="302"/>
      <c r="O10655" s="303"/>
      <c r="P10655" s="285"/>
      <c r="Q10655" s="328"/>
      <c r="R10655" s="259"/>
      <c r="S10655" s="259"/>
      <c r="T10655" s="332"/>
      <c r="U10655" s="259"/>
      <c r="V10655" s="259"/>
      <c r="W10655" s="332"/>
      <c r="X10655" s="259"/>
      <c r="Y10655" s="259"/>
      <c r="Z10655" s="332"/>
      <c r="AA10655" s="259"/>
      <c r="AB10655" s="259"/>
      <c r="AC10655" s="332"/>
      <c r="AD10655" s="259"/>
      <c r="AE10655" s="259"/>
      <c r="AF10655" s="332"/>
      <c r="AG10655" s="330"/>
      <c r="AJ10655" s="259"/>
      <c r="AK10655" s="259"/>
      <c r="AL10655" s="332"/>
    </row>
    <row r="10656" spans="14:41" hidden="1">
      <c r="N10656" s="302"/>
      <c r="O10656" s="303"/>
      <c r="P10656" s="285"/>
      <c r="Q10656" s="328"/>
      <c r="R10656" s="259"/>
      <c r="S10656" s="259"/>
      <c r="T10656" s="332"/>
      <c r="U10656" s="259"/>
      <c r="V10656" s="259"/>
      <c r="W10656" s="332"/>
      <c r="X10656" s="259"/>
      <c r="Y10656" s="259"/>
      <c r="Z10656" s="332"/>
      <c r="AA10656" s="259"/>
      <c r="AB10656" s="259"/>
      <c r="AC10656" s="332"/>
      <c r="AD10656" s="259"/>
      <c r="AE10656" s="259"/>
      <c r="AF10656" s="332"/>
      <c r="AG10656" s="330"/>
      <c r="AJ10656" s="259"/>
      <c r="AK10656" s="259"/>
      <c r="AL10656" s="332"/>
    </row>
    <row r="10657" spans="14:38" hidden="1">
      <c r="N10657" s="302"/>
      <c r="O10657" s="303"/>
      <c r="P10657" s="285"/>
      <c r="Q10657" s="328"/>
      <c r="R10657" s="259"/>
      <c r="S10657" s="259"/>
      <c r="T10657" s="332"/>
      <c r="U10657" s="259"/>
      <c r="V10657" s="259"/>
      <c r="W10657" s="332"/>
      <c r="X10657" s="259"/>
      <c r="Y10657" s="259"/>
      <c r="Z10657" s="332"/>
      <c r="AA10657" s="259"/>
      <c r="AB10657" s="259"/>
      <c r="AC10657" s="332"/>
      <c r="AD10657" s="259"/>
      <c r="AE10657" s="259"/>
      <c r="AF10657" s="332"/>
      <c r="AG10657" s="330"/>
      <c r="AJ10657" s="259"/>
      <c r="AK10657" s="259"/>
      <c r="AL10657" s="332"/>
    </row>
    <row r="10658" spans="14:38" hidden="1">
      <c r="N10658" s="302"/>
      <c r="O10658" s="303"/>
      <c r="P10658" s="285"/>
      <c r="Q10658" s="328"/>
      <c r="R10658" s="259"/>
      <c r="S10658" s="259"/>
      <c r="T10658" s="332"/>
      <c r="U10658" s="259"/>
      <c r="V10658" s="259"/>
      <c r="W10658" s="332"/>
      <c r="X10658" s="259"/>
      <c r="Y10658" s="259"/>
      <c r="Z10658" s="332"/>
      <c r="AA10658" s="259"/>
      <c r="AB10658" s="259"/>
      <c r="AC10658" s="332"/>
      <c r="AD10658" s="259"/>
      <c r="AE10658" s="259"/>
      <c r="AF10658" s="332"/>
      <c r="AG10658" s="330"/>
      <c r="AJ10658" s="259"/>
      <c r="AK10658" s="259"/>
      <c r="AL10658" s="332"/>
    </row>
    <row r="10659" spans="14:38" hidden="1">
      <c r="N10659" s="302"/>
      <c r="O10659" s="303"/>
      <c r="P10659" s="285"/>
      <c r="Q10659" s="328"/>
      <c r="R10659" s="259"/>
      <c r="S10659" s="259"/>
      <c r="T10659" s="332"/>
      <c r="U10659" s="259"/>
      <c r="V10659" s="259"/>
      <c r="W10659" s="332"/>
      <c r="X10659" s="259"/>
      <c r="Y10659" s="259"/>
      <c r="Z10659" s="332"/>
      <c r="AA10659" s="259"/>
      <c r="AB10659" s="259"/>
      <c r="AC10659" s="332"/>
      <c r="AD10659" s="259"/>
      <c r="AE10659" s="259"/>
      <c r="AF10659" s="332"/>
      <c r="AG10659" s="330"/>
      <c r="AJ10659" s="259"/>
      <c r="AK10659" s="259"/>
      <c r="AL10659" s="332"/>
    </row>
    <row r="10660" spans="14:38" hidden="1">
      <c r="N10660" s="302"/>
      <c r="O10660" s="303"/>
      <c r="P10660" s="285"/>
      <c r="Q10660" s="328"/>
      <c r="R10660" s="259"/>
      <c r="S10660" s="259"/>
      <c r="T10660" s="332"/>
      <c r="U10660" s="259"/>
      <c r="V10660" s="259"/>
      <c r="W10660" s="332"/>
      <c r="X10660" s="259"/>
      <c r="Y10660" s="259"/>
      <c r="Z10660" s="332"/>
      <c r="AA10660" s="259"/>
      <c r="AB10660" s="259"/>
      <c r="AC10660" s="332"/>
      <c r="AD10660" s="259"/>
      <c r="AE10660" s="259"/>
      <c r="AF10660" s="332"/>
      <c r="AG10660" s="330"/>
      <c r="AJ10660" s="259"/>
      <c r="AK10660" s="259"/>
      <c r="AL10660" s="332"/>
    </row>
    <row r="10661" spans="14:38" hidden="1">
      <c r="N10661" s="302"/>
      <c r="O10661" s="303"/>
      <c r="P10661" s="285"/>
      <c r="Q10661" s="328"/>
      <c r="R10661" s="259"/>
      <c r="S10661" s="259"/>
      <c r="T10661" s="332"/>
      <c r="U10661" s="259"/>
      <c r="V10661" s="259"/>
      <c r="W10661" s="332"/>
      <c r="X10661" s="259"/>
      <c r="Y10661" s="259"/>
      <c r="Z10661" s="332"/>
      <c r="AA10661" s="259"/>
      <c r="AB10661" s="259"/>
      <c r="AC10661" s="332"/>
      <c r="AD10661" s="259"/>
      <c r="AE10661" s="259"/>
      <c r="AF10661" s="332"/>
      <c r="AG10661" s="330"/>
      <c r="AJ10661" s="259"/>
      <c r="AK10661" s="259"/>
      <c r="AL10661" s="332"/>
    </row>
    <row r="10662" spans="14:38" hidden="1">
      <c r="N10662" s="302"/>
      <c r="O10662" s="303"/>
      <c r="P10662" s="285"/>
      <c r="Q10662" s="328"/>
      <c r="R10662" s="259"/>
      <c r="S10662" s="259"/>
      <c r="T10662" s="332"/>
      <c r="U10662" s="259"/>
      <c r="V10662" s="259"/>
      <c r="W10662" s="332"/>
      <c r="X10662" s="259"/>
      <c r="Y10662" s="259"/>
      <c r="Z10662" s="332"/>
      <c r="AA10662" s="259"/>
      <c r="AB10662" s="259"/>
      <c r="AC10662" s="332"/>
      <c r="AD10662" s="259"/>
      <c r="AE10662" s="259"/>
      <c r="AF10662" s="332"/>
      <c r="AG10662" s="330"/>
      <c r="AJ10662" s="259"/>
      <c r="AK10662" s="259"/>
      <c r="AL10662" s="332"/>
    </row>
    <row r="10663" spans="14:38" hidden="1">
      <c r="N10663" s="302"/>
      <c r="O10663" s="303"/>
      <c r="P10663" s="285"/>
      <c r="Q10663" s="328"/>
      <c r="R10663" s="259"/>
      <c r="S10663" s="259"/>
      <c r="T10663" s="332"/>
      <c r="U10663" s="259"/>
      <c r="V10663" s="259"/>
      <c r="W10663" s="332"/>
      <c r="X10663" s="259"/>
      <c r="Y10663" s="259"/>
      <c r="Z10663" s="332"/>
      <c r="AA10663" s="259"/>
      <c r="AB10663" s="259"/>
      <c r="AC10663" s="332"/>
      <c r="AD10663" s="259"/>
      <c r="AE10663" s="259"/>
      <c r="AF10663" s="332"/>
      <c r="AG10663" s="330"/>
      <c r="AJ10663" s="259"/>
      <c r="AK10663" s="259"/>
      <c r="AL10663" s="332"/>
    </row>
    <row r="10664" spans="14:38" hidden="1">
      <c r="N10664" s="302"/>
      <c r="O10664" s="303"/>
      <c r="P10664" s="285"/>
      <c r="Q10664" s="328"/>
      <c r="R10664" s="259"/>
      <c r="S10664" s="259"/>
      <c r="T10664" s="332"/>
      <c r="U10664" s="259"/>
      <c r="V10664" s="259"/>
      <c r="W10664" s="332"/>
      <c r="X10664" s="259"/>
      <c r="Y10664" s="259"/>
      <c r="Z10664" s="332"/>
      <c r="AA10664" s="259"/>
      <c r="AB10664" s="259"/>
      <c r="AC10664" s="332"/>
      <c r="AD10664" s="259"/>
      <c r="AE10664" s="259"/>
      <c r="AF10664" s="332"/>
      <c r="AG10664" s="330"/>
      <c r="AJ10664" s="259"/>
      <c r="AK10664" s="259"/>
      <c r="AL10664" s="332"/>
    </row>
    <row r="10665" spans="14:38" hidden="1">
      <c r="N10665" s="302"/>
      <c r="O10665" s="303"/>
      <c r="P10665" s="285"/>
      <c r="Q10665" s="328"/>
      <c r="R10665" s="259"/>
      <c r="S10665" s="259"/>
      <c r="T10665" s="332"/>
      <c r="U10665" s="259"/>
      <c r="V10665" s="259"/>
      <c r="W10665" s="332"/>
      <c r="X10665" s="259"/>
      <c r="Y10665" s="259"/>
      <c r="Z10665" s="332"/>
      <c r="AA10665" s="259"/>
      <c r="AB10665" s="259"/>
      <c r="AC10665" s="332"/>
      <c r="AD10665" s="259"/>
      <c r="AE10665" s="259"/>
      <c r="AF10665" s="332"/>
      <c r="AG10665" s="330"/>
      <c r="AJ10665" s="259"/>
      <c r="AK10665" s="259"/>
      <c r="AL10665" s="332"/>
    </row>
    <row r="10666" spans="14:38" hidden="1">
      <c r="N10666" s="302"/>
      <c r="O10666" s="303"/>
      <c r="P10666" s="285"/>
      <c r="Q10666" s="328"/>
      <c r="R10666" s="259"/>
      <c r="S10666" s="259"/>
      <c r="T10666" s="332"/>
      <c r="U10666" s="259"/>
      <c r="V10666" s="259"/>
      <c r="W10666" s="332"/>
      <c r="X10666" s="259"/>
      <c r="Y10666" s="259"/>
      <c r="Z10666" s="332"/>
      <c r="AA10666" s="259"/>
      <c r="AB10666" s="259"/>
      <c r="AC10666" s="332"/>
      <c r="AD10666" s="259"/>
      <c r="AE10666" s="259"/>
      <c r="AF10666" s="332"/>
      <c r="AG10666" s="330"/>
      <c r="AJ10666" s="259"/>
      <c r="AK10666" s="259"/>
      <c r="AL10666" s="332"/>
    </row>
    <row r="10667" spans="14:38" hidden="1">
      <c r="N10667" s="302"/>
      <c r="O10667" s="303"/>
      <c r="P10667" s="285"/>
      <c r="Q10667" s="328"/>
      <c r="R10667" s="259"/>
      <c r="S10667" s="259"/>
      <c r="T10667" s="332"/>
      <c r="U10667" s="259"/>
      <c r="V10667" s="259"/>
      <c r="W10667" s="332"/>
      <c r="X10667" s="259"/>
      <c r="Y10667" s="259"/>
      <c r="Z10667" s="332"/>
      <c r="AA10667" s="259"/>
      <c r="AB10667" s="259"/>
      <c r="AC10667" s="332"/>
      <c r="AD10667" s="259"/>
      <c r="AE10667" s="259"/>
      <c r="AF10667" s="332"/>
      <c r="AG10667" s="330"/>
      <c r="AJ10667" s="259"/>
      <c r="AK10667" s="259"/>
      <c r="AL10667" s="332"/>
    </row>
    <row r="10668" spans="14:38" hidden="1">
      <c r="N10668" s="302"/>
      <c r="O10668" s="303"/>
      <c r="P10668" s="285"/>
      <c r="Q10668" s="328"/>
      <c r="R10668" s="259"/>
      <c r="S10668" s="259"/>
      <c r="T10668" s="332"/>
      <c r="U10668" s="259"/>
      <c r="V10668" s="259"/>
      <c r="W10668" s="332"/>
      <c r="X10668" s="259"/>
      <c r="Y10668" s="259"/>
      <c r="Z10668" s="332"/>
      <c r="AA10668" s="259"/>
      <c r="AB10668" s="259"/>
      <c r="AC10668" s="332"/>
      <c r="AD10668" s="259"/>
      <c r="AE10668" s="259"/>
      <c r="AF10668" s="332"/>
      <c r="AG10668" s="330"/>
      <c r="AJ10668" s="259"/>
      <c r="AK10668" s="259"/>
      <c r="AL10668" s="332"/>
    </row>
    <row r="10669" spans="14:38" hidden="1">
      <c r="N10669" s="302"/>
      <c r="O10669" s="303"/>
      <c r="P10669" s="285"/>
      <c r="Q10669" s="328"/>
      <c r="R10669" s="259"/>
      <c r="S10669" s="259"/>
      <c r="T10669" s="332"/>
      <c r="U10669" s="259"/>
      <c r="V10669" s="259"/>
      <c r="W10669" s="332"/>
      <c r="X10669" s="259"/>
      <c r="Y10669" s="259"/>
      <c r="Z10669" s="332"/>
      <c r="AA10669" s="259"/>
      <c r="AB10669" s="259"/>
      <c r="AC10669" s="332"/>
      <c r="AD10669" s="259"/>
      <c r="AE10669" s="259"/>
      <c r="AF10669" s="332"/>
      <c r="AG10669" s="330"/>
      <c r="AJ10669" s="259"/>
      <c r="AK10669" s="259"/>
      <c r="AL10669" s="332"/>
    </row>
    <row r="10670" spans="14:38" hidden="1">
      <c r="N10670" s="302"/>
      <c r="O10670" s="303"/>
      <c r="P10670" s="285"/>
      <c r="Q10670" s="328"/>
      <c r="R10670" s="259"/>
      <c r="S10670" s="259"/>
      <c r="T10670" s="332"/>
      <c r="U10670" s="259"/>
      <c r="V10670" s="259"/>
      <c r="W10670" s="332"/>
      <c r="X10670" s="259"/>
      <c r="Y10670" s="259"/>
      <c r="Z10670" s="332"/>
      <c r="AA10670" s="259"/>
      <c r="AB10670" s="259"/>
      <c r="AC10670" s="332"/>
      <c r="AD10670" s="259"/>
      <c r="AE10670" s="259"/>
      <c r="AF10670" s="332"/>
      <c r="AG10670" s="330"/>
      <c r="AJ10670" s="259"/>
      <c r="AK10670" s="259"/>
      <c r="AL10670" s="332"/>
    </row>
    <row r="10671" spans="14:38" hidden="1">
      <c r="N10671" s="302"/>
      <c r="O10671" s="303"/>
      <c r="P10671" s="285"/>
      <c r="Q10671" s="328"/>
      <c r="R10671" s="259"/>
      <c r="S10671" s="259"/>
      <c r="T10671" s="332"/>
      <c r="U10671" s="259"/>
      <c r="V10671" s="259"/>
      <c r="W10671" s="332"/>
      <c r="X10671" s="259"/>
      <c r="Y10671" s="259"/>
      <c r="Z10671" s="332"/>
      <c r="AA10671" s="259"/>
      <c r="AB10671" s="259"/>
      <c r="AC10671" s="332"/>
      <c r="AD10671" s="259"/>
      <c r="AE10671" s="259"/>
      <c r="AF10671" s="332"/>
      <c r="AG10671" s="330"/>
      <c r="AJ10671" s="259"/>
      <c r="AK10671" s="259"/>
      <c r="AL10671" s="332"/>
    </row>
    <row r="10672" spans="14:38" hidden="1">
      <c r="N10672" s="302"/>
      <c r="O10672" s="303"/>
      <c r="P10672" s="285"/>
      <c r="Q10672" s="328"/>
      <c r="R10672" s="259"/>
      <c r="S10672" s="259"/>
      <c r="T10672" s="332"/>
      <c r="U10672" s="259"/>
      <c r="V10672" s="259"/>
      <c r="W10672" s="332"/>
      <c r="X10672" s="259"/>
      <c r="Y10672" s="259"/>
      <c r="Z10672" s="332"/>
      <c r="AA10672" s="259"/>
      <c r="AB10672" s="259"/>
      <c r="AC10672" s="332"/>
      <c r="AD10672" s="259"/>
      <c r="AE10672" s="259"/>
      <c r="AF10672" s="332"/>
      <c r="AG10672" s="330"/>
      <c r="AJ10672" s="259"/>
      <c r="AK10672" s="259"/>
      <c r="AL10672" s="332"/>
    </row>
    <row r="10673" spans="14:38" hidden="1">
      <c r="N10673" s="302"/>
      <c r="O10673" s="303"/>
      <c r="P10673" s="285"/>
      <c r="Q10673" s="328"/>
      <c r="R10673" s="259"/>
      <c r="S10673" s="259"/>
      <c r="T10673" s="332"/>
      <c r="U10673" s="259"/>
      <c r="V10673" s="259"/>
      <c r="W10673" s="332"/>
      <c r="X10673" s="259"/>
      <c r="Y10673" s="259"/>
      <c r="Z10673" s="332"/>
      <c r="AA10673" s="259"/>
      <c r="AB10673" s="259"/>
      <c r="AC10673" s="332"/>
      <c r="AD10673" s="259"/>
      <c r="AE10673" s="259"/>
      <c r="AF10673" s="332"/>
      <c r="AG10673" s="330"/>
      <c r="AJ10673" s="259"/>
      <c r="AK10673" s="259"/>
      <c r="AL10673" s="332"/>
    </row>
    <row r="10674" spans="14:38" hidden="1">
      <c r="N10674" s="302"/>
      <c r="O10674" s="303"/>
      <c r="P10674" s="285"/>
      <c r="Q10674" s="328"/>
      <c r="R10674" s="259"/>
      <c r="S10674" s="259"/>
      <c r="T10674" s="332"/>
      <c r="U10674" s="259"/>
      <c r="V10674" s="259"/>
      <c r="W10674" s="332"/>
      <c r="X10674" s="259"/>
      <c r="Y10674" s="259"/>
      <c r="Z10674" s="332"/>
      <c r="AA10674" s="259"/>
      <c r="AB10674" s="259"/>
      <c r="AC10674" s="332"/>
      <c r="AD10674" s="259"/>
      <c r="AE10674" s="259"/>
      <c r="AF10674" s="332"/>
      <c r="AG10674" s="330"/>
      <c r="AJ10674" s="259"/>
      <c r="AK10674" s="259"/>
      <c r="AL10674" s="332"/>
    </row>
    <row r="10675" spans="14:38" hidden="1">
      <c r="N10675" s="302"/>
      <c r="O10675" s="303"/>
      <c r="P10675" s="285"/>
      <c r="Q10675" s="328"/>
      <c r="R10675" s="259"/>
      <c r="S10675" s="259"/>
      <c r="T10675" s="332"/>
      <c r="U10675" s="259"/>
      <c r="V10675" s="259"/>
      <c r="W10675" s="332"/>
      <c r="X10675" s="259"/>
      <c r="Y10675" s="259"/>
      <c r="Z10675" s="332"/>
      <c r="AA10675" s="259"/>
      <c r="AB10675" s="259"/>
      <c r="AC10675" s="332"/>
      <c r="AD10675" s="259"/>
      <c r="AE10675" s="259"/>
      <c r="AF10675" s="332"/>
      <c r="AG10675" s="330"/>
      <c r="AJ10675" s="259"/>
      <c r="AK10675" s="259"/>
      <c r="AL10675" s="332"/>
    </row>
    <row r="10676" spans="14:38" hidden="1">
      <c r="N10676" s="302"/>
      <c r="O10676" s="303"/>
      <c r="P10676" s="285"/>
      <c r="Q10676" s="328"/>
      <c r="R10676" s="259"/>
      <c r="S10676" s="259"/>
      <c r="T10676" s="332"/>
      <c r="U10676" s="259"/>
      <c r="V10676" s="259"/>
      <c r="W10676" s="332"/>
      <c r="X10676" s="259"/>
      <c r="Y10676" s="259"/>
      <c r="Z10676" s="332"/>
      <c r="AA10676" s="259"/>
      <c r="AB10676" s="259"/>
      <c r="AC10676" s="332"/>
      <c r="AD10676" s="259"/>
      <c r="AE10676" s="259"/>
      <c r="AF10676" s="332"/>
      <c r="AG10676" s="330"/>
      <c r="AJ10676" s="259"/>
      <c r="AK10676" s="259"/>
      <c r="AL10676" s="332"/>
    </row>
    <row r="10677" spans="14:38" hidden="1">
      <c r="N10677" s="302"/>
      <c r="O10677" s="303"/>
      <c r="P10677" s="285"/>
      <c r="Q10677" s="328"/>
      <c r="R10677" s="259"/>
      <c r="S10677" s="259"/>
      <c r="T10677" s="332"/>
      <c r="U10677" s="259"/>
      <c r="V10677" s="259"/>
      <c r="W10677" s="332"/>
      <c r="X10677" s="259"/>
      <c r="Y10677" s="259"/>
      <c r="Z10677" s="332"/>
      <c r="AA10677" s="259"/>
      <c r="AB10677" s="259"/>
      <c r="AC10677" s="332"/>
      <c r="AD10677" s="259"/>
      <c r="AE10677" s="259"/>
      <c r="AF10677" s="332"/>
      <c r="AG10677" s="330"/>
      <c r="AJ10677" s="259"/>
      <c r="AK10677" s="259"/>
      <c r="AL10677" s="332"/>
    </row>
    <row r="10678" spans="14:38" hidden="1">
      <c r="N10678" s="302"/>
      <c r="O10678" s="303"/>
      <c r="P10678" s="285"/>
      <c r="Q10678" s="328"/>
      <c r="R10678" s="259"/>
      <c r="S10678" s="259"/>
      <c r="T10678" s="332"/>
      <c r="U10678" s="259"/>
      <c r="V10678" s="259"/>
      <c r="W10678" s="332"/>
      <c r="X10678" s="259"/>
      <c r="Y10678" s="259"/>
      <c r="Z10678" s="332"/>
      <c r="AA10678" s="259"/>
      <c r="AB10678" s="259"/>
      <c r="AC10678" s="332"/>
      <c r="AD10678" s="259"/>
      <c r="AE10678" s="259"/>
      <c r="AF10678" s="332"/>
      <c r="AG10678" s="330"/>
      <c r="AJ10678" s="259"/>
      <c r="AK10678" s="259"/>
      <c r="AL10678" s="332"/>
    </row>
    <row r="10679" spans="14:38" hidden="1">
      <c r="N10679" s="302"/>
      <c r="O10679" s="303"/>
      <c r="P10679" s="285"/>
      <c r="Q10679" s="328"/>
      <c r="R10679" s="259"/>
      <c r="S10679" s="259"/>
      <c r="T10679" s="332"/>
      <c r="U10679" s="259"/>
      <c r="V10679" s="259"/>
      <c r="W10679" s="332"/>
      <c r="X10679" s="259"/>
      <c r="Y10679" s="259"/>
      <c r="Z10679" s="332"/>
      <c r="AA10679" s="259"/>
      <c r="AB10679" s="259"/>
      <c r="AC10679" s="332"/>
      <c r="AD10679" s="259"/>
      <c r="AE10679" s="259"/>
      <c r="AF10679" s="332"/>
      <c r="AG10679" s="330"/>
      <c r="AJ10679" s="259"/>
      <c r="AK10679" s="259"/>
      <c r="AL10679" s="332"/>
    </row>
    <row r="10680" spans="14:38" hidden="1">
      <c r="N10680" s="302"/>
      <c r="O10680" s="303"/>
      <c r="P10680" s="285"/>
      <c r="Q10680" s="328"/>
      <c r="R10680" s="259"/>
      <c r="S10680" s="259"/>
      <c r="T10680" s="332"/>
      <c r="U10680" s="259"/>
      <c r="V10680" s="259"/>
      <c r="W10680" s="332"/>
      <c r="X10680" s="259"/>
      <c r="Y10680" s="259"/>
      <c r="Z10680" s="332"/>
      <c r="AA10680" s="259"/>
      <c r="AB10680" s="259"/>
      <c r="AC10680" s="332"/>
      <c r="AD10680" s="259"/>
      <c r="AE10680" s="259"/>
      <c r="AF10680" s="332"/>
      <c r="AG10680" s="330"/>
      <c r="AJ10680" s="259"/>
      <c r="AK10680" s="259"/>
      <c r="AL10680" s="332"/>
    </row>
    <row r="10681" spans="14:38" hidden="1">
      <c r="N10681" s="302"/>
      <c r="O10681" s="303"/>
      <c r="P10681" s="285"/>
      <c r="Q10681" s="328"/>
      <c r="R10681" s="259"/>
      <c r="S10681" s="259"/>
      <c r="T10681" s="332"/>
      <c r="U10681" s="259"/>
      <c r="V10681" s="259"/>
      <c r="W10681" s="332"/>
      <c r="X10681" s="259"/>
      <c r="Y10681" s="259"/>
      <c r="Z10681" s="332"/>
      <c r="AA10681" s="259"/>
      <c r="AB10681" s="259"/>
      <c r="AC10681" s="332"/>
      <c r="AD10681" s="259"/>
      <c r="AE10681" s="259"/>
      <c r="AF10681" s="332"/>
      <c r="AG10681" s="330"/>
      <c r="AJ10681" s="259"/>
      <c r="AK10681" s="259"/>
      <c r="AL10681" s="332"/>
    </row>
    <row r="10682" spans="14:38" hidden="1">
      <c r="N10682" s="302"/>
      <c r="O10682" s="303"/>
      <c r="P10682" s="285"/>
      <c r="Q10682" s="328"/>
      <c r="R10682" s="259"/>
      <c r="S10682" s="259"/>
      <c r="T10682" s="332"/>
      <c r="U10682" s="259"/>
      <c r="V10682" s="259"/>
      <c r="W10682" s="332"/>
      <c r="X10682" s="259"/>
      <c r="Y10682" s="259"/>
      <c r="Z10682" s="332"/>
      <c r="AA10682" s="259"/>
      <c r="AB10682" s="259"/>
      <c r="AC10682" s="332"/>
      <c r="AD10682" s="259"/>
      <c r="AE10682" s="259"/>
      <c r="AF10682" s="332"/>
      <c r="AG10682" s="330"/>
      <c r="AJ10682" s="259"/>
      <c r="AK10682" s="259"/>
      <c r="AL10682" s="332"/>
    </row>
    <row r="10683" spans="14:38" hidden="1">
      <c r="N10683" s="302"/>
      <c r="O10683" s="303"/>
      <c r="P10683" s="285"/>
      <c r="Q10683" s="328"/>
      <c r="R10683" s="259"/>
      <c r="S10683" s="259"/>
      <c r="T10683" s="332"/>
      <c r="U10683" s="259"/>
      <c r="V10683" s="259"/>
      <c r="W10683" s="332"/>
      <c r="X10683" s="259"/>
      <c r="Y10683" s="259"/>
      <c r="Z10683" s="332"/>
      <c r="AA10683" s="259"/>
      <c r="AB10683" s="259"/>
      <c r="AC10683" s="332"/>
      <c r="AD10683" s="259"/>
      <c r="AE10683" s="259"/>
      <c r="AF10683" s="332"/>
      <c r="AG10683" s="330"/>
      <c r="AJ10683" s="259"/>
      <c r="AK10683" s="259"/>
      <c r="AL10683" s="332"/>
    </row>
    <row r="10684" spans="14:38" hidden="1">
      <c r="N10684" s="302"/>
      <c r="O10684" s="303"/>
      <c r="P10684" s="285"/>
      <c r="Q10684" s="328"/>
      <c r="R10684" s="259"/>
      <c r="S10684" s="259"/>
      <c r="T10684" s="332"/>
      <c r="U10684" s="259"/>
      <c r="V10684" s="259"/>
      <c r="W10684" s="332"/>
      <c r="X10684" s="259"/>
      <c r="Y10684" s="259"/>
      <c r="Z10684" s="332"/>
      <c r="AA10684" s="259"/>
      <c r="AB10684" s="259"/>
      <c r="AC10684" s="332"/>
      <c r="AD10684" s="259"/>
      <c r="AE10684" s="259"/>
      <c r="AF10684" s="332"/>
      <c r="AG10684" s="330"/>
      <c r="AJ10684" s="259"/>
      <c r="AK10684" s="259"/>
      <c r="AL10684" s="332"/>
    </row>
    <row r="10685" spans="14:38" hidden="1">
      <c r="N10685" s="302"/>
      <c r="O10685" s="303"/>
      <c r="P10685" s="285"/>
      <c r="Q10685" s="328"/>
      <c r="R10685" s="259"/>
      <c r="S10685" s="259"/>
      <c r="T10685" s="332"/>
      <c r="U10685" s="259"/>
      <c r="V10685" s="259"/>
      <c r="W10685" s="332"/>
      <c r="X10685" s="259"/>
      <c r="Y10685" s="259"/>
      <c r="Z10685" s="332"/>
      <c r="AA10685" s="259"/>
      <c r="AB10685" s="259"/>
      <c r="AC10685" s="332"/>
      <c r="AD10685" s="259"/>
      <c r="AE10685" s="259"/>
      <c r="AF10685" s="332"/>
      <c r="AG10685" s="330"/>
      <c r="AJ10685" s="259"/>
      <c r="AK10685" s="259"/>
      <c r="AL10685" s="332"/>
    </row>
    <row r="10686" spans="14:38" hidden="1">
      <c r="N10686" s="302"/>
      <c r="O10686" s="303"/>
      <c r="P10686" s="285"/>
      <c r="Q10686" s="328"/>
      <c r="R10686" s="259"/>
      <c r="S10686" s="259"/>
      <c r="T10686" s="332"/>
      <c r="U10686" s="259"/>
      <c r="V10686" s="259"/>
      <c r="W10686" s="332"/>
      <c r="X10686" s="259"/>
      <c r="Y10686" s="259"/>
      <c r="Z10686" s="332"/>
      <c r="AA10686" s="259"/>
      <c r="AB10686" s="259"/>
      <c r="AC10686" s="332"/>
      <c r="AD10686" s="259"/>
      <c r="AE10686" s="259"/>
      <c r="AF10686" s="332"/>
      <c r="AG10686" s="330"/>
      <c r="AJ10686" s="259"/>
      <c r="AK10686" s="259"/>
      <c r="AL10686" s="332"/>
    </row>
    <row r="10687" spans="14:38" hidden="1">
      <c r="N10687" s="302"/>
      <c r="O10687" s="303"/>
      <c r="P10687" s="285"/>
      <c r="Q10687" s="328"/>
      <c r="R10687" s="259"/>
      <c r="S10687" s="259"/>
      <c r="T10687" s="332"/>
      <c r="U10687" s="259"/>
      <c r="V10687" s="259"/>
      <c r="W10687" s="332"/>
      <c r="X10687" s="259"/>
      <c r="Y10687" s="259"/>
      <c r="Z10687" s="332"/>
      <c r="AA10687" s="259"/>
      <c r="AB10687" s="259"/>
      <c r="AC10687" s="332"/>
      <c r="AD10687" s="259"/>
      <c r="AE10687" s="259"/>
      <c r="AF10687" s="332"/>
      <c r="AG10687" s="330"/>
      <c r="AJ10687" s="259"/>
      <c r="AK10687" s="259"/>
      <c r="AL10687" s="332"/>
    </row>
    <row r="10688" spans="14:38" hidden="1">
      <c r="N10688" s="302"/>
      <c r="O10688" s="303"/>
      <c r="P10688" s="285"/>
      <c r="Q10688" s="328"/>
      <c r="R10688" s="259"/>
      <c r="S10688" s="259"/>
      <c r="T10688" s="332"/>
      <c r="U10688" s="259"/>
      <c r="V10688" s="259"/>
      <c r="W10688" s="332"/>
      <c r="X10688" s="259"/>
      <c r="Y10688" s="259"/>
      <c r="Z10688" s="332"/>
      <c r="AA10688" s="259"/>
      <c r="AB10688" s="259"/>
      <c r="AC10688" s="332"/>
      <c r="AD10688" s="259"/>
      <c r="AE10688" s="259"/>
      <c r="AF10688" s="332"/>
      <c r="AG10688" s="330"/>
      <c r="AJ10688" s="259"/>
      <c r="AK10688" s="259"/>
      <c r="AL10688" s="332"/>
    </row>
    <row r="10689" spans="14:38" hidden="1">
      <c r="N10689" s="302"/>
      <c r="O10689" s="303"/>
      <c r="P10689" s="285"/>
      <c r="Q10689" s="328"/>
      <c r="R10689" s="259"/>
      <c r="S10689" s="259"/>
      <c r="T10689" s="332"/>
      <c r="U10689" s="259"/>
      <c r="V10689" s="259"/>
      <c r="W10689" s="332"/>
      <c r="X10689" s="259"/>
      <c r="Y10689" s="259"/>
      <c r="Z10689" s="332"/>
      <c r="AA10689" s="259"/>
      <c r="AB10689" s="259"/>
      <c r="AC10689" s="332"/>
      <c r="AD10689" s="259"/>
      <c r="AE10689" s="259"/>
      <c r="AF10689" s="332"/>
      <c r="AG10689" s="330"/>
      <c r="AJ10689" s="259"/>
      <c r="AK10689" s="259"/>
      <c r="AL10689" s="332"/>
    </row>
    <row r="10690" spans="14:38" hidden="1">
      <c r="N10690" s="302"/>
      <c r="O10690" s="303"/>
      <c r="P10690" s="285"/>
      <c r="Q10690" s="328"/>
      <c r="R10690" s="259"/>
      <c r="S10690" s="259"/>
      <c r="T10690" s="332"/>
      <c r="U10690" s="259"/>
      <c r="V10690" s="259"/>
      <c r="W10690" s="332"/>
      <c r="X10690" s="259"/>
      <c r="Y10690" s="259"/>
      <c r="Z10690" s="332"/>
      <c r="AA10690" s="259"/>
      <c r="AB10690" s="259"/>
      <c r="AC10690" s="332"/>
      <c r="AD10690" s="259"/>
      <c r="AE10690" s="259"/>
      <c r="AF10690" s="332"/>
      <c r="AG10690" s="330"/>
      <c r="AJ10690" s="259"/>
      <c r="AK10690" s="259"/>
      <c r="AL10690" s="332"/>
    </row>
    <row r="10691" spans="14:38" hidden="1">
      <c r="N10691" s="302"/>
      <c r="O10691" s="303"/>
      <c r="P10691" s="285"/>
      <c r="Q10691" s="328"/>
      <c r="R10691" s="259"/>
      <c r="S10691" s="259"/>
      <c r="T10691" s="332"/>
      <c r="U10691" s="259"/>
      <c r="V10691" s="259"/>
      <c r="W10691" s="332"/>
      <c r="X10691" s="259"/>
      <c r="Y10691" s="259"/>
      <c r="Z10691" s="332"/>
      <c r="AA10691" s="259"/>
      <c r="AB10691" s="259"/>
      <c r="AC10691" s="332"/>
      <c r="AD10691" s="259"/>
      <c r="AE10691" s="259"/>
      <c r="AF10691" s="332"/>
      <c r="AG10691" s="330"/>
      <c r="AJ10691" s="259"/>
      <c r="AK10691" s="259"/>
      <c r="AL10691" s="332"/>
    </row>
    <row r="10692" spans="14:38" hidden="1">
      <c r="N10692" s="302"/>
      <c r="O10692" s="303"/>
      <c r="P10692" s="285"/>
      <c r="Q10692" s="328"/>
      <c r="R10692" s="259"/>
      <c r="S10692" s="259"/>
      <c r="T10692" s="332"/>
      <c r="U10692" s="259"/>
      <c r="V10692" s="259"/>
      <c r="W10692" s="332"/>
      <c r="X10692" s="259"/>
      <c r="Y10692" s="259"/>
      <c r="Z10692" s="332"/>
      <c r="AA10692" s="259"/>
      <c r="AB10692" s="259"/>
      <c r="AC10692" s="332"/>
      <c r="AD10692" s="259"/>
      <c r="AE10692" s="259"/>
      <c r="AF10692" s="332"/>
      <c r="AG10692" s="330"/>
      <c r="AJ10692" s="259"/>
      <c r="AK10692" s="259"/>
      <c r="AL10692" s="332"/>
    </row>
    <row r="10693" spans="14:38" hidden="1">
      <c r="N10693" s="302"/>
      <c r="O10693" s="303"/>
      <c r="P10693" s="285"/>
      <c r="Q10693" s="328"/>
      <c r="R10693" s="259"/>
      <c r="S10693" s="259"/>
      <c r="T10693" s="332"/>
      <c r="U10693" s="259"/>
      <c r="V10693" s="259"/>
      <c r="W10693" s="332"/>
      <c r="X10693" s="259"/>
      <c r="Y10693" s="259"/>
      <c r="Z10693" s="332"/>
      <c r="AA10693" s="259"/>
      <c r="AB10693" s="259"/>
      <c r="AC10693" s="332"/>
      <c r="AD10693" s="259"/>
      <c r="AE10693" s="259"/>
      <c r="AF10693" s="332"/>
      <c r="AG10693" s="330"/>
      <c r="AJ10693" s="259"/>
      <c r="AK10693" s="259"/>
      <c r="AL10693" s="332"/>
    </row>
    <row r="10694" spans="14:38" hidden="1">
      <c r="N10694" s="302"/>
      <c r="O10694" s="303"/>
      <c r="P10694" s="285"/>
      <c r="Q10694" s="328"/>
      <c r="R10694" s="259"/>
      <c r="S10694" s="259"/>
      <c r="T10694" s="332"/>
      <c r="U10694" s="259"/>
      <c r="V10694" s="259"/>
      <c r="W10694" s="332"/>
      <c r="X10694" s="259"/>
      <c r="Y10694" s="259"/>
      <c r="Z10694" s="332"/>
      <c r="AA10694" s="259"/>
      <c r="AB10694" s="259"/>
      <c r="AC10694" s="332"/>
      <c r="AD10694" s="259"/>
      <c r="AE10694" s="259"/>
      <c r="AF10694" s="332"/>
      <c r="AG10694" s="330"/>
      <c r="AJ10694" s="259"/>
      <c r="AK10694" s="259"/>
      <c r="AL10694" s="332"/>
    </row>
    <row r="10695" spans="14:38" hidden="1">
      <c r="N10695" s="302"/>
      <c r="O10695" s="303"/>
      <c r="P10695" s="285"/>
      <c r="Q10695" s="328"/>
      <c r="R10695" s="259"/>
      <c r="S10695" s="259"/>
      <c r="T10695" s="332"/>
      <c r="U10695" s="259"/>
      <c r="V10695" s="259"/>
      <c r="W10695" s="332"/>
      <c r="X10695" s="259"/>
      <c r="Y10695" s="259"/>
      <c r="Z10695" s="332"/>
      <c r="AA10695" s="259"/>
      <c r="AB10695" s="259"/>
      <c r="AC10695" s="332"/>
      <c r="AD10695" s="259"/>
      <c r="AE10695" s="259"/>
      <c r="AF10695" s="332"/>
      <c r="AG10695" s="330"/>
      <c r="AJ10695" s="259"/>
      <c r="AK10695" s="259"/>
      <c r="AL10695" s="332"/>
    </row>
    <row r="10696" spans="14:38" hidden="1">
      <c r="N10696" s="302"/>
      <c r="O10696" s="303"/>
      <c r="P10696" s="285"/>
      <c r="Q10696" s="328"/>
      <c r="R10696" s="259"/>
      <c r="S10696" s="259"/>
      <c r="T10696" s="332"/>
      <c r="U10696" s="259"/>
      <c r="V10696" s="259"/>
      <c r="W10696" s="332"/>
      <c r="X10696" s="259"/>
      <c r="Y10696" s="259"/>
      <c r="Z10696" s="332"/>
      <c r="AA10696" s="259"/>
      <c r="AB10696" s="259"/>
      <c r="AC10696" s="332"/>
      <c r="AD10696" s="259"/>
      <c r="AE10696" s="259"/>
      <c r="AF10696" s="332"/>
      <c r="AG10696" s="330"/>
      <c r="AJ10696" s="259"/>
      <c r="AK10696" s="259"/>
      <c r="AL10696" s="332"/>
    </row>
    <row r="10697" spans="14:38" hidden="1">
      <c r="N10697" s="302"/>
      <c r="O10697" s="303"/>
      <c r="P10697" s="285"/>
      <c r="Q10697" s="328"/>
      <c r="R10697" s="259"/>
      <c r="S10697" s="259"/>
      <c r="T10697" s="332"/>
      <c r="U10697" s="259"/>
      <c r="V10697" s="259"/>
      <c r="W10697" s="332"/>
      <c r="X10697" s="259"/>
      <c r="Y10697" s="259"/>
      <c r="Z10697" s="332"/>
      <c r="AA10697" s="259"/>
      <c r="AB10697" s="259"/>
      <c r="AC10697" s="332"/>
      <c r="AD10697" s="259"/>
      <c r="AE10697" s="259"/>
      <c r="AF10697" s="332"/>
      <c r="AG10697" s="330"/>
      <c r="AJ10697" s="259"/>
      <c r="AK10697" s="259"/>
      <c r="AL10697" s="332"/>
    </row>
    <row r="10698" spans="14:38" hidden="1">
      <c r="N10698" s="302"/>
      <c r="O10698" s="303"/>
      <c r="P10698" s="285"/>
      <c r="Q10698" s="328"/>
      <c r="R10698" s="259"/>
      <c r="S10698" s="259"/>
      <c r="T10698" s="332"/>
      <c r="U10698" s="259"/>
      <c r="V10698" s="259"/>
      <c r="W10698" s="332"/>
      <c r="X10698" s="259"/>
      <c r="Y10698" s="259"/>
      <c r="Z10698" s="332"/>
      <c r="AA10698" s="259"/>
      <c r="AB10698" s="259"/>
      <c r="AC10698" s="332"/>
      <c r="AD10698" s="259"/>
      <c r="AE10698" s="259"/>
      <c r="AF10698" s="332"/>
      <c r="AG10698" s="330"/>
      <c r="AJ10698" s="259"/>
      <c r="AK10698" s="259"/>
      <c r="AL10698" s="332"/>
    </row>
    <row r="10699" spans="14:38" hidden="1">
      <c r="N10699" s="302"/>
      <c r="O10699" s="303"/>
      <c r="P10699" s="285"/>
      <c r="Q10699" s="328"/>
      <c r="R10699" s="259"/>
      <c r="S10699" s="259"/>
      <c r="T10699" s="332"/>
      <c r="U10699" s="259"/>
      <c r="V10699" s="259"/>
      <c r="W10699" s="332"/>
      <c r="X10699" s="259"/>
      <c r="Y10699" s="259"/>
      <c r="Z10699" s="332"/>
      <c r="AA10699" s="259"/>
      <c r="AB10699" s="259"/>
      <c r="AC10699" s="332"/>
      <c r="AD10699" s="259"/>
      <c r="AE10699" s="259"/>
      <c r="AF10699" s="332"/>
      <c r="AG10699" s="330"/>
      <c r="AJ10699" s="259"/>
      <c r="AK10699" s="259"/>
      <c r="AL10699" s="332"/>
    </row>
    <row r="10700" spans="14:38" hidden="1">
      <c r="N10700" s="302"/>
      <c r="O10700" s="303"/>
      <c r="P10700" s="285"/>
      <c r="Q10700" s="328"/>
      <c r="R10700" s="259"/>
      <c r="S10700" s="259"/>
      <c r="T10700" s="332"/>
      <c r="U10700" s="259"/>
      <c r="V10700" s="259"/>
      <c r="W10700" s="332"/>
      <c r="X10700" s="259"/>
      <c r="Y10700" s="259"/>
      <c r="Z10700" s="332"/>
      <c r="AA10700" s="259"/>
      <c r="AB10700" s="259"/>
      <c r="AC10700" s="332"/>
      <c r="AD10700" s="259"/>
      <c r="AE10700" s="259"/>
      <c r="AF10700" s="332"/>
      <c r="AG10700" s="330"/>
      <c r="AJ10700" s="259"/>
      <c r="AK10700" s="259"/>
      <c r="AL10700" s="332"/>
    </row>
    <row r="10701" spans="14:38" hidden="1">
      <c r="N10701" s="302"/>
      <c r="O10701" s="303"/>
      <c r="P10701" s="285"/>
      <c r="Q10701" s="328"/>
      <c r="R10701" s="259"/>
      <c r="S10701" s="259"/>
      <c r="T10701" s="332"/>
      <c r="U10701" s="259"/>
      <c r="V10701" s="259"/>
      <c r="W10701" s="332"/>
      <c r="X10701" s="259"/>
      <c r="Y10701" s="259"/>
      <c r="Z10701" s="332"/>
      <c r="AA10701" s="259"/>
      <c r="AB10701" s="259"/>
      <c r="AC10701" s="332"/>
      <c r="AD10701" s="259"/>
      <c r="AE10701" s="259"/>
      <c r="AF10701" s="332"/>
      <c r="AG10701" s="330"/>
      <c r="AJ10701" s="259"/>
      <c r="AK10701" s="259"/>
      <c r="AL10701" s="332"/>
    </row>
    <row r="10702" spans="14:38" hidden="1">
      <c r="N10702" s="302"/>
      <c r="O10702" s="303"/>
      <c r="P10702" s="285"/>
      <c r="Q10702" s="328"/>
      <c r="R10702" s="259"/>
      <c r="S10702" s="259"/>
      <c r="T10702" s="332"/>
      <c r="U10702" s="259"/>
      <c r="V10702" s="259"/>
      <c r="W10702" s="332"/>
      <c r="X10702" s="259"/>
      <c r="Y10702" s="259"/>
      <c r="Z10702" s="332"/>
      <c r="AA10702" s="259"/>
      <c r="AB10702" s="259"/>
      <c r="AC10702" s="332"/>
      <c r="AD10702" s="259"/>
      <c r="AE10702" s="259"/>
      <c r="AF10702" s="332"/>
      <c r="AG10702" s="330"/>
      <c r="AJ10702" s="259"/>
      <c r="AK10702" s="259"/>
      <c r="AL10702" s="332"/>
    </row>
    <row r="10703" spans="14:38" hidden="1">
      <c r="N10703" s="302"/>
      <c r="O10703" s="303"/>
      <c r="P10703" s="285"/>
      <c r="Q10703" s="328"/>
      <c r="R10703" s="259"/>
      <c r="S10703" s="259"/>
      <c r="T10703" s="332"/>
      <c r="U10703" s="259"/>
      <c r="V10703" s="259"/>
      <c r="W10703" s="332"/>
      <c r="X10703" s="259"/>
      <c r="Y10703" s="259"/>
      <c r="Z10703" s="332"/>
      <c r="AA10703" s="259"/>
      <c r="AB10703" s="259"/>
      <c r="AC10703" s="332"/>
      <c r="AD10703" s="259"/>
      <c r="AE10703" s="259"/>
      <c r="AF10703" s="332"/>
      <c r="AG10703" s="330"/>
      <c r="AJ10703" s="259"/>
      <c r="AK10703" s="259"/>
      <c r="AL10703" s="332"/>
    </row>
    <row r="10704" spans="14:38" hidden="1">
      <c r="N10704" s="302"/>
      <c r="O10704" s="303"/>
      <c r="P10704" s="285"/>
      <c r="Q10704" s="328"/>
      <c r="R10704" s="259"/>
      <c r="S10704" s="259"/>
      <c r="T10704" s="332"/>
      <c r="U10704" s="259"/>
      <c r="V10704" s="259"/>
      <c r="W10704" s="332"/>
      <c r="X10704" s="259"/>
      <c r="Y10704" s="259"/>
      <c r="Z10704" s="332"/>
      <c r="AA10704" s="259"/>
      <c r="AB10704" s="259"/>
      <c r="AC10704" s="332"/>
      <c r="AD10704" s="259"/>
      <c r="AE10704" s="259"/>
      <c r="AF10704" s="332"/>
      <c r="AG10704" s="330"/>
      <c r="AJ10704" s="259"/>
      <c r="AK10704" s="259"/>
      <c r="AL10704" s="332"/>
    </row>
    <row r="10705" spans="14:38" hidden="1">
      <c r="N10705" s="302"/>
      <c r="O10705" s="303"/>
      <c r="P10705" s="285"/>
      <c r="Q10705" s="328"/>
      <c r="R10705" s="259"/>
      <c r="S10705" s="259"/>
      <c r="T10705" s="332"/>
      <c r="U10705" s="259"/>
      <c r="V10705" s="259"/>
      <c r="W10705" s="332"/>
      <c r="X10705" s="259"/>
      <c r="Y10705" s="259"/>
      <c r="Z10705" s="332"/>
      <c r="AA10705" s="259"/>
      <c r="AB10705" s="259"/>
      <c r="AC10705" s="332"/>
      <c r="AD10705" s="259"/>
      <c r="AE10705" s="259"/>
      <c r="AF10705" s="332"/>
      <c r="AG10705" s="330"/>
      <c r="AJ10705" s="259"/>
      <c r="AK10705" s="259"/>
      <c r="AL10705" s="332"/>
    </row>
    <row r="10706" spans="14:38">
      <c r="N10706" s="302"/>
      <c r="O10706" s="303"/>
      <c r="P10706" s="285"/>
      <c r="Q10706" s="328"/>
      <c r="R10706" s="259"/>
      <c r="S10706" s="259"/>
      <c r="T10706" s="332"/>
      <c r="U10706" s="259"/>
      <c r="V10706" s="259"/>
      <c r="W10706" s="332"/>
      <c r="X10706" s="259"/>
      <c r="Y10706" s="259"/>
      <c r="Z10706" s="332"/>
      <c r="AA10706" s="259"/>
      <c r="AB10706" s="259"/>
      <c r="AC10706" s="332"/>
      <c r="AD10706" s="259"/>
      <c r="AE10706" s="259"/>
      <c r="AF10706" s="332"/>
      <c r="AG10706" s="330"/>
      <c r="AJ10706" s="259"/>
      <c r="AK10706" s="259"/>
      <c r="AL10706" s="332"/>
    </row>
    <row r="10707" spans="14:38" ht="12" customHeight="1">
      <c r="N10707" s="283"/>
      <c r="O10707" s="215"/>
      <c r="P10707" s="286"/>
      <c r="Q10707" s="329"/>
      <c r="R10707" s="259"/>
      <c r="S10707" s="259"/>
      <c r="T10707" s="332"/>
      <c r="U10707" s="259"/>
      <c r="V10707" s="259"/>
      <c r="W10707" s="332"/>
      <c r="X10707" s="259"/>
      <c r="Y10707" s="259"/>
      <c r="Z10707" s="332"/>
      <c r="AA10707" s="259"/>
      <c r="AB10707" s="259"/>
      <c r="AC10707" s="332"/>
      <c r="AD10707" s="259"/>
      <c r="AE10707" s="259"/>
      <c r="AF10707" s="332"/>
      <c r="AG10707" s="331"/>
      <c r="AJ10707" s="259"/>
      <c r="AK10707" s="259"/>
      <c r="AL10707" s="332"/>
    </row>
    <row r="10708" spans="14:38">
      <c r="N10708" s="199"/>
      <c r="O10708" s="48"/>
      <c r="P10708" s="121"/>
      <c r="Q10708" s="54"/>
      <c r="R10708" s="54"/>
      <c r="S10708" s="54"/>
      <c r="U10708" s="54"/>
      <c r="V10708" s="54"/>
      <c r="X10708" s="54"/>
      <c r="Y10708" s="54"/>
      <c r="AA10708" s="54"/>
      <c r="AB10708" s="54"/>
      <c r="AD10708" s="54"/>
      <c r="AE10708" s="54"/>
      <c r="AG10708" s="54"/>
      <c r="AJ10708" s="54"/>
      <c r="AK10708" s="54"/>
    </row>
    <row r="10709" spans="14:38" ht="26.25" customHeight="1">
      <c r="R10709"/>
      <c r="S10709"/>
      <c r="T10709"/>
      <c r="U10709" s="815" t="s">
        <v>2593</v>
      </c>
      <c r="V10709" s="815"/>
      <c r="W10709" s="815"/>
      <c r="X10709" s="815" t="s">
        <v>2594</v>
      </c>
      <c r="Y10709" s="815"/>
      <c r="Z10709" s="815"/>
      <c r="AA10709" s="815" t="s">
        <v>2595</v>
      </c>
      <c r="AB10709" s="815"/>
      <c r="AC10709" s="815"/>
      <c r="AD10709" s="815" t="s">
        <v>2596</v>
      </c>
      <c r="AE10709" s="815"/>
      <c r="AF10709" s="815"/>
      <c r="AJ10709" s="815" t="s">
        <v>2597</v>
      </c>
      <c r="AK10709" s="815"/>
      <c r="AL10709" s="815"/>
    </row>
    <row r="10740" spans="1:39">
      <c r="R10740" s="795" t="s">
        <v>2622</v>
      </c>
      <c r="S10740" s="795"/>
      <c r="T10740" s="795"/>
      <c r="U10740" s="795" t="s">
        <v>2623</v>
      </c>
      <c r="V10740" s="795"/>
      <c r="W10740" s="795"/>
      <c r="X10740" s="795" t="s">
        <v>2624</v>
      </c>
      <c r="Y10740" s="795"/>
      <c r="Z10740" s="795"/>
      <c r="AA10740" s="795" t="s">
        <v>2625</v>
      </c>
      <c r="AB10740" s="795"/>
      <c r="AC10740" s="795"/>
      <c r="AD10740" s="795" t="s">
        <v>2626</v>
      </c>
      <c r="AE10740" s="795"/>
      <c r="AF10740" s="795"/>
      <c r="AG10740" s="795" t="s">
        <v>2627</v>
      </c>
      <c r="AH10740" s="795"/>
      <c r="AI10740" s="795"/>
      <c r="AJ10740" s="795" t="s">
        <v>2628</v>
      </c>
      <c r="AK10740" s="795"/>
      <c r="AL10740" s="795"/>
    </row>
    <row r="10741" spans="1:39">
      <c r="Q10741" s="316"/>
      <c r="R10741" s="795" t="s">
        <v>2629</v>
      </c>
      <c r="S10741" s="795"/>
      <c r="T10741" s="795"/>
      <c r="U10741" s="795" t="s">
        <v>2630</v>
      </c>
      <c r="V10741" s="795"/>
      <c r="W10741" s="795"/>
      <c r="X10741" s="795" t="s">
        <v>2631</v>
      </c>
      <c r="Y10741" s="795"/>
      <c r="Z10741" s="795"/>
      <c r="AA10741" s="795" t="s">
        <v>2632</v>
      </c>
      <c r="AB10741" s="795"/>
      <c r="AC10741" s="795"/>
    </row>
    <row r="10742" spans="1:39" ht="11.25" customHeight="1">
      <c r="N10742" s="430" t="s">
        <v>1742</v>
      </c>
      <c r="O10742" s="315"/>
      <c r="P10742" s="309"/>
      <c r="Q10742" s="311"/>
      <c r="R10742" s="624"/>
      <c r="S10742" s="624"/>
      <c r="T10742" s="624"/>
      <c r="U10742" s="624"/>
      <c r="V10742" s="624"/>
      <c r="W10742" s="624"/>
      <c r="X10742" s="624"/>
      <c r="Y10742" s="624"/>
      <c r="Z10742" s="624"/>
      <c r="AA10742" s="624"/>
      <c r="AB10742" s="624"/>
      <c r="AC10742" s="624"/>
      <c r="AD10742"/>
      <c r="AE10742"/>
      <c r="AF10742"/>
      <c r="AG10742"/>
      <c r="AH10742"/>
      <c r="AI10742"/>
    </row>
    <row r="10743" spans="1:39" ht="11.25" customHeight="1">
      <c r="N10743" s="811"/>
      <c r="O10743" s="812"/>
      <c r="P10743" s="813"/>
      <c r="Q10743" s="317"/>
      <c r="R10743" s="625" t="str">
        <f>R10745 &amp; ".1"</f>
        <v>.1</v>
      </c>
      <c r="S10743" s="625" t="str">
        <f>R10745 &amp; ".2"</f>
        <v>.2</v>
      </c>
      <c r="T10743" s="625" t="str">
        <f>R10745 &amp; ".0"</f>
        <v>.0</v>
      </c>
      <c r="U10743" s="625" t="str">
        <f>U10745 &amp; ".1"</f>
        <v>.1</v>
      </c>
      <c r="V10743" s="625" t="str">
        <f>U10745 &amp; ".2"</f>
        <v>.2</v>
      </c>
      <c r="W10743" s="625" t="str">
        <f>U10745 &amp; ".0"</f>
        <v>.0</v>
      </c>
      <c r="X10743" s="625" t="str">
        <f>X10745 &amp; ".1"</f>
        <v>.1</v>
      </c>
      <c r="Y10743" s="625" t="str">
        <f>X10745 &amp; ".2"</f>
        <v>.2</v>
      </c>
      <c r="Z10743" s="625" t="str">
        <f>X10745 &amp; ".0"</f>
        <v>.0</v>
      </c>
      <c r="AA10743" s="625" t="str">
        <f>AA10745 &amp; ".1"</f>
        <v>.1</v>
      </c>
      <c r="AB10743" s="625" t="str">
        <f>AA10745 &amp; ".2"</f>
        <v>.2</v>
      </c>
      <c r="AC10743" s="625" t="str">
        <f>AA10745 &amp; ".0"</f>
        <v>.0</v>
      </c>
      <c r="AD10743"/>
      <c r="AE10743"/>
      <c r="AF10743"/>
      <c r="AG10743"/>
      <c r="AH10743"/>
      <c r="AI10743"/>
    </row>
    <row r="10744" spans="1:39" ht="11.25" customHeight="1">
      <c r="N10744" s="430" t="s">
        <v>1742</v>
      </c>
      <c r="O10744" s="221"/>
      <c r="P10744" s="122" t="s">
        <v>786</v>
      </c>
      <c r="Q10744" s="201"/>
      <c r="R10744" s="814" t="s">
        <v>719</v>
      </c>
      <c r="S10744" s="814"/>
      <c r="T10744" s="814"/>
      <c r="U10744" s="814" t="s">
        <v>719</v>
      </c>
      <c r="V10744" s="814"/>
      <c r="W10744" s="814"/>
      <c r="X10744" s="814" t="s">
        <v>719</v>
      </c>
      <c r="Y10744" s="814"/>
      <c r="Z10744" s="814"/>
      <c r="AA10744" s="814" t="s">
        <v>719</v>
      </c>
      <c r="AB10744" s="814"/>
      <c r="AC10744" s="814"/>
      <c r="AD10744"/>
      <c r="AE10744"/>
      <c r="AF10744"/>
      <c r="AG10744"/>
      <c r="AH10744"/>
      <c r="AI10744"/>
    </row>
    <row r="10745" spans="1:39" ht="11.25" customHeight="1">
      <c r="N10745" s="802" t="s">
        <v>641</v>
      </c>
      <c r="O10745" s="804" t="s">
        <v>787</v>
      </c>
      <c r="P10745" s="806" t="s">
        <v>778</v>
      </c>
      <c r="Q10745" s="206">
        <v>0</v>
      </c>
      <c r="R10745" s="808"/>
      <c r="S10745" s="809"/>
      <c r="T10745" s="810"/>
      <c r="U10745" s="808"/>
      <c r="V10745" s="809"/>
      <c r="W10745" s="810"/>
      <c r="X10745" s="808"/>
      <c r="Y10745" s="809"/>
      <c r="Z10745" s="810"/>
      <c r="AA10745" s="808"/>
      <c r="AB10745" s="809"/>
      <c r="AC10745" s="810"/>
      <c r="AD10745"/>
      <c r="AE10745"/>
      <c r="AF10745"/>
      <c r="AG10745"/>
      <c r="AH10745"/>
      <c r="AI10745"/>
    </row>
    <row r="10746" spans="1:39" ht="12" customHeight="1">
      <c r="N10746" s="803"/>
      <c r="O10746" s="805"/>
      <c r="P10746" s="807"/>
      <c r="Q10746" s="207"/>
      <c r="R10746" s="796"/>
      <c r="S10746" s="797"/>
      <c r="T10746" s="798"/>
      <c r="U10746" s="796"/>
      <c r="V10746" s="797"/>
      <c r="W10746" s="798"/>
      <c r="X10746" s="796"/>
      <c r="Y10746" s="797"/>
      <c r="Z10746" s="798"/>
      <c r="AA10746" s="796"/>
      <c r="AB10746" s="797"/>
      <c r="AC10746" s="798"/>
      <c r="AD10746"/>
      <c r="AE10746"/>
      <c r="AF10746"/>
      <c r="AG10746"/>
      <c r="AH10746"/>
      <c r="AI10746"/>
    </row>
    <row r="10747" spans="1:39" ht="12" customHeight="1">
      <c r="N10747" s="222"/>
      <c r="O10747" s="501" t="s">
        <v>788</v>
      </c>
      <c r="P10747" s="542"/>
      <c r="Q10747" s="207"/>
      <c r="R10747" s="799"/>
      <c r="S10747" s="800"/>
      <c r="T10747" s="801"/>
      <c r="U10747" s="799"/>
      <c r="V10747" s="800"/>
      <c r="W10747" s="801"/>
      <c r="X10747" s="799"/>
      <c r="Y10747" s="800"/>
      <c r="Z10747" s="801"/>
      <c r="AA10747" s="799"/>
      <c r="AB10747" s="800"/>
      <c r="AC10747" s="801"/>
      <c r="AD10747"/>
      <c r="AE10747"/>
      <c r="AF10747"/>
      <c r="AG10747"/>
      <c r="AH10747"/>
      <c r="AI10747"/>
    </row>
    <row r="10748" spans="1:39" ht="12" customHeight="1">
      <c r="N10748" s="222"/>
      <c r="O10748" s="556" t="str">
        <f>IF(CALC_IDENTIFIER="","",CALC_IDENTIFIER)</f>
        <v/>
      </c>
      <c r="P10748" s="557" t="s">
        <v>745</v>
      </c>
      <c r="Q10748" s="328"/>
      <c r="R10748" s="568"/>
      <c r="S10748" s="568"/>
      <c r="T10748" s="568"/>
      <c r="U10748" s="568"/>
      <c r="V10748" s="568" t="s">
        <v>349</v>
      </c>
      <c r="W10748" s="568" t="s">
        <v>745</v>
      </c>
      <c r="X10748" s="569" t="s">
        <v>350</v>
      </c>
      <c r="Y10748" s="568"/>
      <c r="Z10748" s="568" t="s">
        <v>745</v>
      </c>
      <c r="AA10748" s="569" t="s">
        <v>350</v>
      </c>
      <c r="AB10748" s="568" t="s">
        <v>349</v>
      </c>
      <c r="AC10748" s="568" t="s">
        <v>745</v>
      </c>
      <c r="AD10748" s="568"/>
      <c r="AE10748" s="568" t="s">
        <v>349</v>
      </c>
      <c r="AF10748" s="568" t="s">
        <v>745</v>
      </c>
      <c r="AG10748" s="569" t="s">
        <v>350</v>
      </c>
      <c r="AH10748" s="568"/>
      <c r="AI10748" s="568" t="s">
        <v>745</v>
      </c>
      <c r="AJ10748" s="569" t="s">
        <v>350</v>
      </c>
      <c r="AK10748" s="568" t="s">
        <v>349</v>
      </c>
      <c r="AL10748" s="568" t="s">
        <v>745</v>
      </c>
    </row>
    <row r="10749" spans="1:39" s="47" customFormat="1">
      <c r="A10749" s="121"/>
      <c r="B10749" s="121"/>
      <c r="C10749" s="121"/>
      <c r="D10749" s="121"/>
      <c r="E10749" s="121"/>
      <c r="F10749" s="121"/>
      <c r="G10749" s="121"/>
      <c r="H10749" s="121"/>
      <c r="I10749" s="121"/>
      <c r="J10749" s="121"/>
      <c r="K10749" s="121"/>
      <c r="L10749" s="121"/>
      <c r="M10749" s="121"/>
      <c r="N10749" s="524"/>
      <c r="O10749" s="530"/>
      <c r="P10749" s="260"/>
      <c r="Q10749" s="321"/>
      <c r="R10749" s="260"/>
      <c r="S10749" s="260"/>
      <c r="T10749" s="260"/>
      <c r="U10749" s="260"/>
      <c r="V10749" s="260"/>
      <c r="W10749" s="260"/>
      <c r="X10749" s="260"/>
      <c r="Y10749" s="260"/>
      <c r="Z10749" s="260"/>
      <c r="AA10749" s="260"/>
      <c r="AB10749" s="260"/>
      <c r="AC10749" s="260"/>
      <c r="AD10749" s="260"/>
      <c r="AE10749" s="260"/>
      <c r="AF10749" s="260"/>
      <c r="AG10749" s="260"/>
      <c r="AH10749" s="260"/>
      <c r="AI10749" s="260"/>
      <c r="AJ10749" s="260"/>
      <c r="AK10749" s="260"/>
      <c r="AL10749" s="260"/>
      <c r="AM10749" s="816" t="s">
        <v>351</v>
      </c>
    </row>
    <row r="10750" spans="1:39" s="47" customFormat="1">
      <c r="A10750" s="121"/>
      <c r="B10750" s="121"/>
      <c r="C10750" s="121"/>
      <c r="D10750" s="121"/>
      <c r="E10750" s="121"/>
      <c r="F10750" s="121"/>
      <c r="G10750" s="121"/>
      <c r="H10750" s="121"/>
      <c r="I10750" s="121"/>
      <c r="J10750" s="121"/>
      <c r="K10750" s="121"/>
      <c r="L10750" s="121"/>
      <c r="M10750" s="121"/>
      <c r="N10750" s="524"/>
      <c r="O10750" s="530"/>
      <c r="P10750" s="260"/>
      <c r="Q10750" s="321"/>
      <c r="R10750" s="260"/>
      <c r="S10750" s="260"/>
      <c r="T10750" s="260"/>
      <c r="U10750" s="260"/>
      <c r="V10750" s="260"/>
      <c r="W10750" s="260"/>
      <c r="X10750" s="260"/>
      <c r="Y10750" s="260"/>
      <c r="Z10750" s="260"/>
      <c r="AA10750" s="260"/>
      <c r="AB10750" s="260"/>
      <c r="AC10750" s="260"/>
      <c r="AD10750" s="260"/>
      <c r="AE10750" s="260"/>
      <c r="AF10750" s="260"/>
      <c r="AG10750" s="260"/>
      <c r="AH10750" s="260"/>
      <c r="AI10750" s="260"/>
      <c r="AJ10750" s="260"/>
      <c r="AK10750" s="260"/>
      <c r="AL10750" s="260"/>
      <c r="AM10750" s="816"/>
    </row>
    <row r="10751" spans="1:39" s="47" customFormat="1">
      <c r="A10751" s="121"/>
      <c r="B10751" s="121"/>
      <c r="C10751" s="121"/>
      <c r="D10751" s="121"/>
      <c r="E10751" s="121"/>
      <c r="F10751" s="121"/>
      <c r="G10751" s="121"/>
      <c r="H10751" s="121"/>
      <c r="I10751" s="121"/>
      <c r="J10751" s="121"/>
      <c r="K10751" s="121"/>
      <c r="L10751" s="121"/>
      <c r="M10751" s="121"/>
      <c r="N10751" s="504" t="s">
        <v>751</v>
      </c>
      <c r="O10751" s="526" t="s">
        <v>2814</v>
      </c>
      <c r="P10751" s="257"/>
      <c r="Q10751" s="321"/>
      <c r="R10751" s="260"/>
      <c r="S10751" s="260"/>
      <c r="T10751" s="260"/>
      <c r="U10751" s="260"/>
      <c r="V10751" s="257">
        <f>V10752+V10781+V10782+V10783+V10787+V10788+V10789+V10814+V10820+V10824+V10825+V10826+V10827+V10830+V10831+V10832+V10833+V10843</f>
        <v>0</v>
      </c>
      <c r="W10751" s="548">
        <f>U10751+V10751</f>
        <v>0</v>
      </c>
      <c r="X10751" s="257">
        <f>X10752+X10781+X10782+X10783+X10787+X10788+X10789+X10814+X10820+X10824+X10825+X10826+X10827+X10830+X10831+X10832+X10833+X10843</f>
        <v>0</v>
      </c>
      <c r="Y10751" s="260"/>
      <c r="Z10751" s="548">
        <f>X10751+Y10751</f>
        <v>0</v>
      </c>
      <c r="AA10751" s="257">
        <f>AA10752+AA10781+AA10782+AA10783+AA10787+AA10788+AA10789+AA10814+AA10820+AA10824+AA10825+AA10826+AA10827+AA10830+AA10831+AA10832+AA10833+AA10843</f>
        <v>0</v>
      </c>
      <c r="AB10751" s="257">
        <f>AB10752+AB10781+AB10782+AB10783+AB10787+AB10788+AB10789+AB10814+AB10820+AB10824+AB10825+AB10826+AB10827+AB10830+AB10831+AB10832+AB10833+AB10843</f>
        <v>0</v>
      </c>
      <c r="AC10751" s="548">
        <f>AA10751+AB10751</f>
        <v>0</v>
      </c>
      <c r="AD10751" s="57"/>
      <c r="AE10751" s="57"/>
      <c r="AF10751" s="57"/>
      <c r="AG10751" s="57"/>
      <c r="AH10751" s="57"/>
      <c r="AI10751" s="57"/>
      <c r="AJ10751" s="57"/>
      <c r="AK10751" s="57"/>
      <c r="AL10751" s="57"/>
      <c r="AM10751" s="385"/>
    </row>
    <row r="10752" spans="1:39" s="47" customFormat="1">
      <c r="A10752" s="121"/>
      <c r="B10752" s="121"/>
      <c r="C10752" s="121"/>
      <c r="D10752" s="121"/>
      <c r="E10752" s="121"/>
      <c r="F10752" s="121"/>
      <c r="G10752" s="121"/>
      <c r="H10752" s="121"/>
      <c r="I10752" s="121"/>
      <c r="J10752" s="121"/>
      <c r="K10752" s="121"/>
      <c r="L10752" s="121"/>
      <c r="M10752" s="121"/>
      <c r="N10752" s="504" t="s">
        <v>66</v>
      </c>
      <c r="O10752" s="527" t="s">
        <v>2815</v>
      </c>
      <c r="P10752" s="257"/>
      <c r="Q10752" s="321"/>
      <c r="R10752" s="260"/>
      <c r="S10752" s="260"/>
      <c r="T10752" s="260"/>
      <c r="U10752" s="260"/>
      <c r="V10752" s="257">
        <f>V10753+V10780</f>
        <v>0</v>
      </c>
      <c r="W10752" s="548">
        <f>U10752+V10752</f>
        <v>0</v>
      </c>
      <c r="X10752" s="257">
        <f>X10753+X10780</f>
        <v>0</v>
      </c>
      <c r="Y10752" s="260"/>
      <c r="Z10752" s="548">
        <f>X10752+Y10752</f>
        <v>0</v>
      </c>
      <c r="AA10752" s="257">
        <f>AA10753+AA10780</f>
        <v>0</v>
      </c>
      <c r="AB10752" s="257">
        <f>AB10753+AB10780</f>
        <v>0</v>
      </c>
      <c r="AC10752" s="548">
        <f>AA10752+AB10752</f>
        <v>0</v>
      </c>
      <c r="AD10752" s="57"/>
      <c r="AE10752" s="57"/>
      <c r="AF10752" s="57"/>
      <c r="AG10752" s="57"/>
      <c r="AH10752" s="57"/>
      <c r="AI10752" s="57"/>
      <c r="AJ10752" s="57"/>
      <c r="AK10752" s="57"/>
      <c r="AL10752" s="57"/>
      <c r="AM10752" s="385"/>
    </row>
    <row r="10753" spans="1:39" s="47" customFormat="1">
      <c r="A10753" s="121"/>
      <c r="B10753" s="121"/>
      <c r="C10753" s="121"/>
      <c r="D10753" s="121"/>
      <c r="E10753" s="121"/>
      <c r="F10753" s="121"/>
      <c r="G10753" s="121"/>
      <c r="H10753" s="121"/>
      <c r="I10753" s="121"/>
      <c r="J10753" s="121"/>
      <c r="K10753" s="121"/>
      <c r="L10753" s="121"/>
      <c r="M10753" s="121"/>
      <c r="N10753" s="504" t="s">
        <v>632</v>
      </c>
      <c r="O10753" s="528" t="s">
        <v>2816</v>
      </c>
      <c r="P10753" s="257"/>
      <c r="Q10753" s="321"/>
      <c r="R10753" s="260"/>
      <c r="S10753" s="260"/>
      <c r="T10753" s="260"/>
      <c r="U10753" s="260"/>
      <c r="V10753" s="262">
        <f>IF($AP$8="I",'ВС.РО 01.01 - 30.06'!V10753,IF($AP$8="II",'ВС.РО 01.07 - 31.08'!V10753,IF($AP$8="III",'ВС.РО 01.09 - 31.12'!V10753,0)))*V10877</f>
        <v>0</v>
      </c>
      <c r="W10753" s="548">
        <f>U10753+V10753</f>
        <v>0</v>
      </c>
      <c r="X10753" s="262">
        <f>IF($AP$8="I",'ВС.РО 01.01 - 30.06'!X10753,IF($AP$8="II",'ВС.РО 01.07 - 31.08'!X10753,IF($AP$8="III",'ВС.РО 01.09 - 31.12'!X10753,0)))*X10877</f>
        <v>0</v>
      </c>
      <c r="Y10753" s="260"/>
      <c r="Z10753" s="548">
        <f>X10753+Y10753</f>
        <v>0</v>
      </c>
      <c r="AA10753" s="262">
        <f>IF($AP$8="I",'ВС.РО 01.01 - 30.06'!AA10753,IF($AP$8="II",'ВС.РО 01.07 - 31.08'!AA10753,IF($AP$8="III",'ВС.РО 01.09 - 31.12'!AA10753,0)))*AA10877</f>
        <v>0</v>
      </c>
      <c r="AB10753" s="262">
        <f>IF($AP$8="I",'ВС.РО 01.01 - 30.06'!AB10753,IF($AP$8="II",'ВС.РО 01.07 - 31.08'!AB10753,IF($AP$8="III",'ВС.РО 01.09 - 31.12'!AB10753,0)))*AB10877</f>
        <v>0</v>
      </c>
      <c r="AC10753" s="548">
        <f>AA10753+AB10753</f>
        <v>0</v>
      </c>
      <c r="AD10753" s="57"/>
      <c r="AE10753" s="57"/>
      <c r="AF10753" s="57"/>
      <c r="AG10753" s="57"/>
      <c r="AH10753" s="57"/>
      <c r="AI10753" s="57"/>
      <c r="AJ10753" s="57"/>
      <c r="AK10753" s="57"/>
      <c r="AL10753" s="57"/>
      <c r="AM10753" s="385"/>
    </row>
    <row r="10754" spans="1:39" s="47" customFormat="1">
      <c r="A10754" s="121"/>
      <c r="B10754" s="121"/>
      <c r="C10754" s="121"/>
      <c r="D10754" s="121"/>
      <c r="E10754" s="121"/>
      <c r="F10754" s="121"/>
      <c r="G10754" s="121"/>
      <c r="H10754" s="121"/>
      <c r="I10754" s="121"/>
      <c r="J10754" s="121"/>
      <c r="K10754" s="121"/>
      <c r="L10754" s="121"/>
      <c r="M10754" s="121"/>
      <c r="N10754" s="223" t="s">
        <v>2817</v>
      </c>
      <c r="O10754" s="529" t="s">
        <v>2972</v>
      </c>
      <c r="P10754" s="257"/>
      <c r="Q10754" s="321"/>
      <c r="R10754" s="260"/>
      <c r="S10754" s="260"/>
      <c r="T10754" s="260"/>
      <c r="U10754" s="260"/>
      <c r="V10754" s="262">
        <f>IF($AP$8="I",'ВС.РО 01.01 - 30.06'!V10754,IF($AP$8="II",'ВС.РО 01.07 - 31.08'!V10754,IF($AP$8="III",'ВС.РО 01.09 - 31.12'!V10754,0)))*V10877</f>
        <v>0</v>
      </c>
      <c r="W10754" s="548">
        <f>U10754+V10754</f>
        <v>0</v>
      </c>
      <c r="X10754" s="262">
        <f>IF($AP$8="I",'ВС.РО 01.01 - 30.06'!X10754,IF($AP$8="II",'ВС.РО 01.07 - 31.08'!X10754,IF($AP$8="III",'ВС.РО 01.09 - 31.12'!X10754,0)))*X10877</f>
        <v>0</v>
      </c>
      <c r="Y10754" s="260"/>
      <c r="Z10754" s="548">
        <f>X10754+Y10754</f>
        <v>0</v>
      </c>
      <c r="AA10754" s="262">
        <f>IF($AP$8="I",'ВС.РО 01.01 - 30.06'!AA10754,IF($AP$8="II",'ВС.РО 01.07 - 31.08'!AA10754,IF($AP$8="III",'ВС.РО 01.09 - 31.12'!AA10754,0)))*AA10877</f>
        <v>0</v>
      </c>
      <c r="AB10754" s="262">
        <f>IF($AP$8="I",'ВС.РО 01.01 - 30.06'!AB10754,IF($AP$8="II",'ВС.РО 01.07 - 31.08'!AB10754,IF($AP$8="III",'ВС.РО 01.09 - 31.12'!AB10754,0)))*AB10877</f>
        <v>0</v>
      </c>
      <c r="AC10754" s="548">
        <f>AA10754+AB10754</f>
        <v>0</v>
      </c>
      <c r="AD10754" s="57"/>
      <c r="AE10754" s="57"/>
      <c r="AF10754" s="57"/>
      <c r="AG10754" s="57"/>
      <c r="AH10754" s="57"/>
      <c r="AI10754" s="57"/>
      <c r="AJ10754" s="57"/>
      <c r="AK10754" s="57"/>
      <c r="AL10754" s="57"/>
      <c r="AM10754" s="385"/>
    </row>
    <row r="10755" spans="1:39" s="47" customFormat="1">
      <c r="A10755" s="121"/>
      <c r="B10755" s="121"/>
      <c r="C10755" s="121"/>
      <c r="D10755" s="121"/>
      <c r="E10755" s="121"/>
      <c r="F10755" s="121"/>
      <c r="G10755" s="121"/>
      <c r="H10755" s="121"/>
      <c r="I10755" s="121"/>
      <c r="J10755" s="121"/>
      <c r="K10755" s="121"/>
      <c r="L10755" s="121"/>
      <c r="M10755" s="121"/>
      <c r="N10755" s="223" t="s">
        <v>2818</v>
      </c>
      <c r="O10755" s="529" t="s">
        <v>2988</v>
      </c>
      <c r="P10755" s="257"/>
      <c r="Q10755" s="321"/>
      <c r="R10755" s="260"/>
      <c r="S10755" s="260"/>
      <c r="T10755" s="260"/>
      <c r="U10755" s="260"/>
      <c r="V10755" s="262">
        <f>IF($AP$8="I",'ВС.РО 01.01 - 30.06'!V10755,IF($AP$8="II",'ВС.РО 01.07 - 31.08'!V10755,IF($AP$8="III",'ВС.РО 01.09 - 31.12'!V10755,0)))*V10877</f>
        <v>0</v>
      </c>
      <c r="W10755" s="548">
        <f>U10755+V10755</f>
        <v>0</v>
      </c>
      <c r="X10755" s="262">
        <f>IF($AP$8="I",'ВС.РО 01.01 - 30.06'!X10755,IF($AP$8="II",'ВС.РО 01.07 - 31.08'!X10755,IF($AP$8="III",'ВС.РО 01.09 - 31.12'!X10755,0)))*X10877</f>
        <v>0</v>
      </c>
      <c r="Y10755" s="260"/>
      <c r="Z10755" s="548">
        <f>X10755+Y10755</f>
        <v>0</v>
      </c>
      <c r="AA10755" s="262">
        <f>IF($AP$8="I",'ВС.РО 01.01 - 30.06'!AA10755,IF($AP$8="II",'ВС.РО 01.07 - 31.08'!AA10755,IF($AP$8="III",'ВС.РО 01.09 - 31.12'!AA10755,0)))*AA10877</f>
        <v>0</v>
      </c>
      <c r="AB10755" s="262">
        <f>IF($AP$8="I",'ВС.РО 01.01 - 30.06'!AB10755,IF($AP$8="II",'ВС.РО 01.07 - 31.08'!AB10755,IF($AP$8="III",'ВС.РО 01.09 - 31.12'!AB10755,0)))*AB10877</f>
        <v>0</v>
      </c>
      <c r="AC10755" s="548">
        <f>AA10755+AB10755</f>
        <v>0</v>
      </c>
      <c r="AD10755" s="57"/>
      <c r="AE10755" s="57"/>
      <c r="AF10755" s="57"/>
      <c r="AG10755" s="57"/>
      <c r="AH10755" s="57"/>
      <c r="AI10755" s="57"/>
      <c r="AJ10755" s="57"/>
      <c r="AK10755" s="57"/>
      <c r="AL10755" s="57"/>
      <c r="AM10755" s="385"/>
    </row>
    <row r="10756" spans="1:39" s="47" customFormat="1" hidden="1">
      <c r="A10756" s="121"/>
      <c r="B10756" s="121"/>
      <c r="C10756" s="121"/>
      <c r="D10756" s="121"/>
      <c r="E10756" s="121"/>
      <c r="F10756" s="121"/>
      <c r="G10756" s="121"/>
      <c r="H10756" s="121"/>
      <c r="I10756" s="121"/>
      <c r="J10756" s="121"/>
      <c r="K10756" s="121"/>
      <c r="L10756" s="121"/>
      <c r="M10756" s="121"/>
      <c r="N10756" s="223"/>
      <c r="O10756" s="529"/>
      <c r="P10756" s="260"/>
      <c r="Q10756" s="321"/>
      <c r="R10756" s="260"/>
      <c r="S10756" s="260"/>
      <c r="T10756" s="260"/>
      <c r="U10756" s="260"/>
      <c r="V10756" s="260"/>
      <c r="W10756" s="260"/>
      <c r="X10756" s="260"/>
      <c r="Y10756" s="260"/>
      <c r="Z10756" s="260"/>
      <c r="AA10756" s="260"/>
      <c r="AB10756" s="260"/>
      <c r="AC10756" s="260"/>
      <c r="AD10756" s="57"/>
      <c r="AE10756" s="57"/>
      <c r="AF10756" s="57"/>
      <c r="AG10756" s="57"/>
      <c r="AH10756" s="57"/>
      <c r="AI10756" s="57"/>
      <c r="AJ10756" s="57"/>
      <c r="AK10756" s="57"/>
      <c r="AL10756" s="57"/>
      <c r="AM10756" s="385"/>
    </row>
    <row r="10757" spans="1:39" s="47" customFormat="1" hidden="1">
      <c r="A10757" s="121"/>
      <c r="B10757" s="121"/>
      <c r="C10757" s="121"/>
      <c r="D10757" s="121"/>
      <c r="E10757" s="121"/>
      <c r="F10757" s="121"/>
      <c r="G10757" s="121"/>
      <c r="H10757" s="121"/>
      <c r="I10757" s="121"/>
      <c r="J10757" s="121"/>
      <c r="K10757" s="121"/>
      <c r="L10757" s="121"/>
      <c r="M10757" s="121"/>
      <c r="N10757" s="524"/>
      <c r="O10757" s="530"/>
      <c r="P10757" s="260"/>
      <c r="Q10757" s="321"/>
      <c r="R10757" s="260"/>
      <c r="S10757" s="260"/>
      <c r="T10757" s="260"/>
      <c r="U10757" s="260"/>
      <c r="V10757" s="260"/>
      <c r="W10757" s="260"/>
      <c r="X10757" s="260"/>
      <c r="Y10757" s="260"/>
      <c r="Z10757" s="260"/>
      <c r="AA10757" s="260"/>
      <c r="AB10757" s="260"/>
      <c r="AC10757" s="260"/>
      <c r="AD10757" s="57"/>
      <c r="AE10757" s="57"/>
      <c r="AF10757" s="57"/>
      <c r="AG10757" s="57"/>
      <c r="AH10757" s="57"/>
      <c r="AI10757" s="57"/>
      <c r="AJ10757" s="57"/>
      <c r="AK10757" s="57"/>
      <c r="AL10757" s="57"/>
      <c r="AM10757" s="385"/>
    </row>
    <row r="10758" spans="1:39" s="47" customFormat="1" hidden="1">
      <c r="A10758" s="121"/>
      <c r="B10758" s="121"/>
      <c r="C10758" s="121"/>
      <c r="D10758" s="121"/>
      <c r="E10758" s="121"/>
      <c r="F10758" s="121"/>
      <c r="G10758" s="121"/>
      <c r="H10758" s="121"/>
      <c r="I10758" s="121"/>
      <c r="J10758" s="121"/>
      <c r="K10758" s="121"/>
      <c r="L10758" s="121"/>
      <c r="M10758" s="121"/>
      <c r="N10758" s="524"/>
      <c r="O10758" s="530"/>
      <c r="P10758" s="260"/>
      <c r="Q10758" s="321"/>
      <c r="R10758" s="260"/>
      <c r="S10758" s="260"/>
      <c r="T10758" s="260"/>
      <c r="U10758" s="260"/>
      <c r="V10758" s="260"/>
      <c r="W10758" s="260"/>
      <c r="X10758" s="260"/>
      <c r="Y10758" s="260"/>
      <c r="Z10758" s="260"/>
      <c r="AA10758" s="260"/>
      <c r="AB10758" s="260"/>
      <c r="AC10758" s="260"/>
      <c r="AD10758" s="57"/>
      <c r="AE10758" s="57"/>
      <c r="AF10758" s="57"/>
      <c r="AG10758" s="57"/>
      <c r="AH10758" s="57"/>
      <c r="AI10758" s="57"/>
      <c r="AJ10758" s="57"/>
      <c r="AK10758" s="57"/>
      <c r="AL10758" s="57"/>
      <c r="AM10758" s="385"/>
    </row>
    <row r="10759" spans="1:39" s="47" customFormat="1" hidden="1">
      <c r="A10759" s="121"/>
      <c r="B10759" s="121"/>
      <c r="C10759" s="121"/>
      <c r="D10759" s="121"/>
      <c r="E10759" s="121"/>
      <c r="F10759" s="121"/>
      <c r="G10759" s="121"/>
      <c r="H10759" s="121"/>
      <c r="I10759" s="121"/>
      <c r="J10759" s="121"/>
      <c r="K10759" s="121"/>
      <c r="L10759" s="121"/>
      <c r="M10759" s="121"/>
      <c r="N10759" s="223"/>
      <c r="O10759" s="531"/>
      <c r="P10759" s="260"/>
      <c r="Q10759" s="321"/>
      <c r="R10759" s="260"/>
      <c r="S10759" s="260"/>
      <c r="T10759" s="260"/>
      <c r="U10759" s="260"/>
      <c r="V10759" s="260"/>
      <c r="W10759" s="260"/>
      <c r="X10759" s="260"/>
      <c r="Y10759" s="260"/>
      <c r="Z10759" s="260"/>
      <c r="AA10759" s="260"/>
      <c r="AB10759" s="260"/>
      <c r="AC10759" s="260"/>
      <c r="AD10759" s="57"/>
      <c r="AE10759" s="57"/>
      <c r="AF10759" s="57"/>
      <c r="AG10759" s="57"/>
      <c r="AH10759" s="57"/>
      <c r="AI10759" s="57"/>
      <c r="AJ10759" s="57"/>
      <c r="AK10759" s="57"/>
      <c r="AL10759" s="57"/>
      <c r="AM10759" s="385"/>
    </row>
    <row r="10760" spans="1:39" s="47" customFormat="1" hidden="1">
      <c r="A10760" s="121"/>
      <c r="B10760" s="121"/>
      <c r="C10760" s="121"/>
      <c r="D10760" s="121"/>
      <c r="E10760" s="121"/>
      <c r="F10760" s="121"/>
      <c r="G10760" s="121"/>
      <c r="H10760" s="121"/>
      <c r="I10760" s="121"/>
      <c r="J10760" s="121"/>
      <c r="K10760" s="121"/>
      <c r="L10760" s="121"/>
      <c r="M10760" s="121"/>
      <c r="N10760" s="524"/>
      <c r="O10760" s="530"/>
      <c r="P10760" s="260"/>
      <c r="Q10760" s="321"/>
      <c r="R10760" s="260"/>
      <c r="S10760" s="260"/>
      <c r="T10760" s="260"/>
      <c r="U10760" s="260"/>
      <c r="V10760" s="260"/>
      <c r="W10760" s="260"/>
      <c r="X10760" s="260"/>
      <c r="Y10760" s="260"/>
      <c r="Z10760" s="260"/>
      <c r="AA10760" s="260"/>
      <c r="AB10760" s="260"/>
      <c r="AC10760" s="260"/>
      <c r="AD10760" s="57"/>
      <c r="AE10760" s="57"/>
      <c r="AF10760" s="57"/>
      <c r="AG10760" s="57"/>
      <c r="AH10760" s="57"/>
      <c r="AI10760" s="57"/>
      <c r="AJ10760" s="57"/>
      <c r="AK10760" s="57"/>
      <c r="AL10760" s="57"/>
      <c r="AM10760" s="385"/>
    </row>
    <row r="10761" spans="1:39" s="47" customFormat="1" hidden="1">
      <c r="A10761" s="121"/>
      <c r="B10761" s="121"/>
      <c r="C10761" s="121"/>
      <c r="D10761" s="121"/>
      <c r="E10761" s="121"/>
      <c r="F10761" s="121"/>
      <c r="G10761" s="121"/>
      <c r="H10761" s="121"/>
      <c r="I10761" s="121"/>
      <c r="J10761" s="121"/>
      <c r="K10761" s="121"/>
      <c r="L10761" s="121"/>
      <c r="M10761" s="121"/>
      <c r="N10761" s="524"/>
      <c r="O10761" s="530"/>
      <c r="P10761" s="260"/>
      <c r="Q10761" s="321"/>
      <c r="R10761" s="260"/>
      <c r="S10761" s="260"/>
      <c r="T10761" s="260"/>
      <c r="U10761" s="260"/>
      <c r="V10761" s="260"/>
      <c r="W10761" s="260"/>
      <c r="X10761" s="260"/>
      <c r="Y10761" s="260"/>
      <c r="Z10761" s="260"/>
      <c r="AA10761" s="260"/>
      <c r="AB10761" s="260"/>
      <c r="AC10761" s="260"/>
      <c r="AD10761" s="57"/>
      <c r="AE10761" s="57"/>
      <c r="AF10761" s="57"/>
      <c r="AG10761" s="57"/>
      <c r="AH10761" s="57"/>
      <c r="AI10761" s="57"/>
      <c r="AJ10761" s="57"/>
      <c r="AK10761" s="57"/>
      <c r="AL10761" s="57"/>
      <c r="AM10761" s="385"/>
    </row>
    <row r="10762" spans="1:39" s="47" customFormat="1" hidden="1">
      <c r="A10762" s="121"/>
      <c r="B10762" s="121"/>
      <c r="C10762" s="121"/>
      <c r="D10762" s="121"/>
      <c r="E10762" s="121"/>
      <c r="F10762" s="121"/>
      <c r="G10762" s="121"/>
      <c r="H10762" s="121"/>
      <c r="I10762" s="121"/>
      <c r="J10762" s="121"/>
      <c r="K10762" s="121"/>
      <c r="L10762" s="121"/>
      <c r="M10762" s="121"/>
      <c r="N10762" s="223"/>
      <c r="O10762" s="529"/>
      <c r="P10762" s="260"/>
      <c r="Q10762" s="321"/>
      <c r="R10762" s="260"/>
      <c r="S10762" s="260"/>
      <c r="T10762" s="260"/>
      <c r="U10762" s="260"/>
      <c r="V10762" s="260"/>
      <c r="W10762" s="260"/>
      <c r="X10762" s="260"/>
      <c r="Y10762" s="260"/>
      <c r="Z10762" s="260"/>
      <c r="AA10762" s="260"/>
      <c r="AB10762" s="260"/>
      <c r="AC10762" s="260"/>
      <c r="AD10762" s="57"/>
      <c r="AE10762" s="57"/>
      <c r="AF10762" s="57"/>
      <c r="AG10762" s="57"/>
      <c r="AH10762" s="57"/>
      <c r="AI10762" s="57"/>
      <c r="AJ10762" s="57"/>
      <c r="AK10762" s="57"/>
      <c r="AL10762" s="57"/>
      <c r="AM10762" s="385"/>
    </row>
    <row r="10763" spans="1:39" s="47" customFormat="1" hidden="1">
      <c r="A10763" s="121"/>
      <c r="B10763" s="121"/>
      <c r="C10763" s="121"/>
      <c r="D10763" s="121"/>
      <c r="E10763" s="121"/>
      <c r="F10763" s="121"/>
      <c r="G10763" s="121"/>
      <c r="H10763" s="121"/>
      <c r="I10763" s="121"/>
      <c r="J10763" s="121"/>
      <c r="K10763" s="121"/>
      <c r="L10763" s="121"/>
      <c r="M10763" s="121"/>
      <c r="N10763" s="524"/>
      <c r="O10763" s="530"/>
      <c r="P10763" s="260"/>
      <c r="Q10763" s="321"/>
      <c r="R10763" s="260"/>
      <c r="S10763" s="260"/>
      <c r="T10763" s="260"/>
      <c r="U10763" s="260"/>
      <c r="V10763" s="260"/>
      <c r="W10763" s="260"/>
      <c r="X10763" s="260"/>
      <c r="Y10763" s="260"/>
      <c r="Z10763" s="260"/>
      <c r="AA10763" s="260"/>
      <c r="AB10763" s="260"/>
      <c r="AC10763" s="260"/>
      <c r="AD10763" s="57"/>
      <c r="AE10763" s="57"/>
      <c r="AF10763" s="57"/>
      <c r="AG10763" s="57"/>
      <c r="AH10763" s="57"/>
      <c r="AI10763" s="57"/>
      <c r="AJ10763" s="57"/>
      <c r="AK10763" s="57"/>
      <c r="AL10763" s="57"/>
      <c r="AM10763" s="385"/>
    </row>
    <row r="10764" spans="1:39" s="47" customFormat="1" hidden="1">
      <c r="A10764" s="121"/>
      <c r="B10764" s="121"/>
      <c r="C10764" s="121"/>
      <c r="D10764" s="121"/>
      <c r="E10764" s="121"/>
      <c r="F10764" s="121"/>
      <c r="G10764" s="121"/>
      <c r="H10764" s="121"/>
      <c r="I10764" s="121"/>
      <c r="J10764" s="121"/>
      <c r="K10764" s="121"/>
      <c r="L10764" s="121"/>
      <c r="M10764" s="121"/>
      <c r="N10764" s="524"/>
      <c r="O10764" s="530"/>
      <c r="P10764" s="260"/>
      <c r="Q10764" s="321"/>
      <c r="R10764" s="260"/>
      <c r="S10764" s="260"/>
      <c r="T10764" s="260"/>
      <c r="U10764" s="260"/>
      <c r="V10764" s="260"/>
      <c r="W10764" s="260"/>
      <c r="X10764" s="260"/>
      <c r="Y10764" s="260"/>
      <c r="Z10764" s="260"/>
      <c r="AA10764" s="260"/>
      <c r="AB10764" s="260"/>
      <c r="AC10764" s="260"/>
      <c r="AD10764" s="57"/>
      <c r="AE10764" s="57"/>
      <c r="AF10764" s="57"/>
      <c r="AG10764" s="57"/>
      <c r="AH10764" s="57"/>
      <c r="AI10764" s="57"/>
      <c r="AJ10764" s="57"/>
      <c r="AK10764" s="57"/>
      <c r="AL10764" s="57"/>
      <c r="AM10764" s="385"/>
    </row>
    <row r="10765" spans="1:39" s="47" customFormat="1" hidden="1">
      <c r="A10765" s="121"/>
      <c r="B10765" s="121"/>
      <c r="C10765" s="121"/>
      <c r="D10765" s="121"/>
      <c r="E10765" s="121"/>
      <c r="F10765" s="121"/>
      <c r="G10765" s="121"/>
      <c r="H10765" s="121"/>
      <c r="I10765" s="121"/>
      <c r="J10765" s="121"/>
      <c r="K10765" s="121"/>
      <c r="L10765" s="121"/>
      <c r="M10765" s="121"/>
      <c r="N10765" s="223"/>
      <c r="O10765" s="531"/>
      <c r="P10765" s="260"/>
      <c r="Q10765" s="321"/>
      <c r="R10765" s="260"/>
      <c r="S10765" s="260"/>
      <c r="T10765" s="260"/>
      <c r="U10765" s="260"/>
      <c r="V10765" s="260"/>
      <c r="W10765" s="260"/>
      <c r="X10765" s="260"/>
      <c r="Y10765" s="260"/>
      <c r="Z10765" s="260"/>
      <c r="AA10765" s="260"/>
      <c r="AB10765" s="260"/>
      <c r="AC10765" s="260"/>
      <c r="AD10765" s="57"/>
      <c r="AE10765" s="57"/>
      <c r="AF10765" s="57"/>
      <c r="AG10765" s="57"/>
      <c r="AH10765" s="57"/>
      <c r="AI10765" s="57"/>
      <c r="AJ10765" s="57"/>
      <c r="AK10765" s="57"/>
      <c r="AL10765" s="57"/>
      <c r="AM10765" s="385"/>
    </row>
    <row r="10766" spans="1:39" s="47" customFormat="1" hidden="1">
      <c r="A10766" s="121"/>
      <c r="B10766" s="121"/>
      <c r="C10766" s="121"/>
      <c r="D10766" s="121"/>
      <c r="E10766" s="121"/>
      <c r="F10766" s="121"/>
      <c r="G10766" s="121"/>
      <c r="H10766" s="121"/>
      <c r="I10766" s="121"/>
      <c r="J10766" s="121"/>
      <c r="K10766" s="121"/>
      <c r="L10766" s="121"/>
      <c r="M10766" s="121"/>
      <c r="N10766" s="524"/>
      <c r="O10766" s="530"/>
      <c r="P10766" s="260"/>
      <c r="Q10766" s="321"/>
      <c r="R10766" s="260"/>
      <c r="S10766" s="260"/>
      <c r="T10766" s="260"/>
      <c r="U10766" s="260"/>
      <c r="V10766" s="260"/>
      <c r="W10766" s="260"/>
      <c r="X10766" s="260"/>
      <c r="Y10766" s="260"/>
      <c r="Z10766" s="260"/>
      <c r="AA10766" s="260"/>
      <c r="AB10766" s="260"/>
      <c r="AC10766" s="260"/>
      <c r="AD10766" s="57"/>
      <c r="AE10766" s="57"/>
      <c r="AF10766" s="57"/>
      <c r="AG10766" s="57"/>
      <c r="AH10766" s="57"/>
      <c r="AI10766" s="57"/>
      <c r="AJ10766" s="57"/>
      <c r="AK10766" s="57"/>
      <c r="AL10766" s="57"/>
      <c r="AM10766" s="385"/>
    </row>
    <row r="10767" spans="1:39" s="47" customFormat="1" hidden="1">
      <c r="A10767" s="121"/>
      <c r="B10767" s="121"/>
      <c r="C10767" s="121"/>
      <c r="D10767" s="121"/>
      <c r="E10767" s="121"/>
      <c r="F10767" s="121"/>
      <c r="G10767" s="121"/>
      <c r="H10767" s="121"/>
      <c r="I10767" s="121"/>
      <c r="J10767" s="121"/>
      <c r="K10767" s="121"/>
      <c r="L10767" s="121"/>
      <c r="M10767" s="121"/>
      <c r="N10767" s="524"/>
      <c r="O10767" s="530"/>
      <c r="P10767" s="260"/>
      <c r="Q10767" s="321"/>
      <c r="R10767" s="260"/>
      <c r="S10767" s="260"/>
      <c r="T10767" s="260"/>
      <c r="U10767" s="260"/>
      <c r="V10767" s="260"/>
      <c r="W10767" s="260"/>
      <c r="X10767" s="260"/>
      <c r="Y10767" s="260"/>
      <c r="Z10767" s="260"/>
      <c r="AA10767" s="260"/>
      <c r="AB10767" s="260"/>
      <c r="AC10767" s="260"/>
      <c r="AD10767" s="57"/>
      <c r="AE10767" s="57"/>
      <c r="AF10767" s="57"/>
      <c r="AG10767" s="57"/>
      <c r="AH10767" s="57"/>
      <c r="AI10767" s="57"/>
      <c r="AJ10767" s="57"/>
      <c r="AK10767" s="57"/>
      <c r="AL10767" s="57"/>
      <c r="AM10767" s="385"/>
    </row>
    <row r="10768" spans="1:39" s="47" customFormat="1" hidden="1">
      <c r="A10768" s="121"/>
      <c r="B10768" s="121"/>
      <c r="C10768" s="121"/>
      <c r="D10768" s="121"/>
      <c r="E10768" s="121"/>
      <c r="F10768" s="121"/>
      <c r="G10768" s="121"/>
      <c r="H10768" s="121"/>
      <c r="I10768" s="121"/>
      <c r="J10768" s="121"/>
      <c r="K10768" s="121"/>
      <c r="L10768" s="121"/>
      <c r="M10768" s="121"/>
      <c r="N10768" s="223"/>
      <c r="O10768" s="529"/>
      <c r="P10768" s="260"/>
      <c r="Q10768" s="321"/>
      <c r="R10768" s="260"/>
      <c r="S10768" s="260"/>
      <c r="T10768" s="260"/>
      <c r="U10768" s="260"/>
      <c r="V10768" s="260"/>
      <c r="W10768" s="260"/>
      <c r="X10768" s="260"/>
      <c r="Y10768" s="260"/>
      <c r="Z10768" s="260"/>
      <c r="AA10768" s="260"/>
      <c r="AB10768" s="260"/>
      <c r="AC10768" s="260"/>
      <c r="AD10768" s="57"/>
      <c r="AE10768" s="57"/>
      <c r="AF10768" s="57"/>
      <c r="AG10768" s="57"/>
      <c r="AH10768" s="57"/>
      <c r="AI10768" s="57"/>
      <c r="AJ10768" s="57"/>
      <c r="AK10768" s="57"/>
      <c r="AL10768" s="57"/>
      <c r="AM10768" s="385"/>
    </row>
    <row r="10769" spans="1:39" s="47" customFormat="1" hidden="1">
      <c r="A10769" s="121"/>
      <c r="B10769" s="121"/>
      <c r="C10769" s="121"/>
      <c r="D10769" s="121"/>
      <c r="E10769" s="121"/>
      <c r="F10769" s="121"/>
      <c r="G10769" s="121"/>
      <c r="H10769" s="121"/>
      <c r="I10769" s="121"/>
      <c r="J10769" s="121"/>
      <c r="K10769" s="121"/>
      <c r="L10769" s="121"/>
      <c r="M10769" s="121"/>
      <c r="N10769" s="524"/>
      <c r="O10769" s="530"/>
      <c r="P10769" s="260"/>
      <c r="Q10769" s="321"/>
      <c r="R10769" s="260"/>
      <c r="S10769" s="260"/>
      <c r="T10769" s="260"/>
      <c r="U10769" s="260"/>
      <c r="V10769" s="260"/>
      <c r="W10769" s="260"/>
      <c r="X10769" s="260"/>
      <c r="Y10769" s="260"/>
      <c r="Z10769" s="260"/>
      <c r="AA10769" s="260"/>
      <c r="AB10769" s="260"/>
      <c r="AC10769" s="260"/>
      <c r="AD10769" s="57"/>
      <c r="AE10769" s="57"/>
      <c r="AF10769" s="57"/>
      <c r="AG10769" s="57"/>
      <c r="AH10769" s="57"/>
      <c r="AI10769" s="57"/>
      <c r="AJ10769" s="57"/>
      <c r="AK10769" s="57"/>
      <c r="AL10769" s="57"/>
      <c r="AM10769" s="385"/>
    </row>
    <row r="10770" spans="1:39" s="47" customFormat="1" hidden="1">
      <c r="A10770" s="121"/>
      <c r="B10770" s="121"/>
      <c r="C10770" s="121"/>
      <c r="D10770" s="121"/>
      <c r="E10770" s="121"/>
      <c r="F10770" s="121"/>
      <c r="G10770" s="121"/>
      <c r="H10770" s="121"/>
      <c r="I10770" s="121"/>
      <c r="J10770" s="121"/>
      <c r="K10770" s="121"/>
      <c r="L10770" s="121"/>
      <c r="M10770" s="121"/>
      <c r="N10770" s="524"/>
      <c r="O10770" s="530"/>
      <c r="P10770" s="260"/>
      <c r="Q10770" s="321"/>
      <c r="R10770" s="260"/>
      <c r="S10770" s="260"/>
      <c r="T10770" s="260"/>
      <c r="U10770" s="260"/>
      <c r="V10770" s="260"/>
      <c r="W10770" s="260"/>
      <c r="X10770" s="260"/>
      <c r="Y10770" s="260"/>
      <c r="Z10770" s="260"/>
      <c r="AA10770" s="260"/>
      <c r="AB10770" s="260"/>
      <c r="AC10770" s="260"/>
      <c r="AD10770" s="57"/>
      <c r="AE10770" s="57"/>
      <c r="AF10770" s="57"/>
      <c r="AG10770" s="57"/>
      <c r="AH10770" s="57"/>
      <c r="AI10770" s="57"/>
      <c r="AJ10770" s="57"/>
      <c r="AK10770" s="57"/>
      <c r="AL10770" s="57"/>
      <c r="AM10770" s="385"/>
    </row>
    <row r="10771" spans="1:39" s="47" customFormat="1" hidden="1">
      <c r="A10771" s="121"/>
      <c r="B10771" s="121"/>
      <c r="C10771" s="121"/>
      <c r="D10771" s="121"/>
      <c r="E10771" s="121"/>
      <c r="F10771" s="121"/>
      <c r="G10771" s="121"/>
      <c r="H10771" s="121"/>
      <c r="I10771" s="121"/>
      <c r="J10771" s="121"/>
      <c r="K10771" s="121"/>
      <c r="L10771" s="121"/>
      <c r="M10771" s="121"/>
      <c r="N10771" s="223"/>
      <c r="O10771" s="531"/>
      <c r="P10771" s="260"/>
      <c r="Q10771" s="321"/>
      <c r="R10771" s="260"/>
      <c r="S10771" s="260"/>
      <c r="T10771" s="260"/>
      <c r="U10771" s="260"/>
      <c r="V10771" s="260"/>
      <c r="W10771" s="260"/>
      <c r="X10771" s="260"/>
      <c r="Y10771" s="260"/>
      <c r="Z10771" s="260"/>
      <c r="AA10771" s="260"/>
      <c r="AB10771" s="260"/>
      <c r="AC10771" s="260"/>
      <c r="AD10771" s="57"/>
      <c r="AE10771" s="57"/>
      <c r="AF10771" s="57"/>
      <c r="AG10771" s="57"/>
      <c r="AH10771" s="57"/>
      <c r="AI10771" s="57"/>
      <c r="AJ10771" s="57"/>
      <c r="AK10771" s="57"/>
      <c r="AL10771" s="57"/>
      <c r="AM10771" s="385"/>
    </row>
    <row r="10772" spans="1:39" s="47" customFormat="1" hidden="1">
      <c r="A10772" s="121"/>
      <c r="B10772" s="121"/>
      <c r="C10772" s="121"/>
      <c r="D10772" s="121"/>
      <c r="E10772" s="121"/>
      <c r="F10772" s="121"/>
      <c r="G10772" s="121"/>
      <c r="H10772" s="121"/>
      <c r="I10772" s="121"/>
      <c r="J10772" s="121"/>
      <c r="K10772" s="121"/>
      <c r="L10772" s="121"/>
      <c r="M10772" s="121"/>
      <c r="N10772" s="524"/>
      <c r="O10772" s="530"/>
      <c r="P10772" s="260"/>
      <c r="Q10772" s="321"/>
      <c r="R10772" s="260"/>
      <c r="S10772" s="260"/>
      <c r="T10772" s="260"/>
      <c r="U10772" s="260"/>
      <c r="V10772" s="260"/>
      <c r="W10772" s="260"/>
      <c r="X10772" s="260"/>
      <c r="Y10772" s="260"/>
      <c r="Z10772" s="260"/>
      <c r="AA10772" s="260"/>
      <c r="AB10772" s="260"/>
      <c r="AC10772" s="260"/>
      <c r="AD10772" s="57"/>
      <c r="AE10772" s="57"/>
      <c r="AF10772" s="57"/>
      <c r="AG10772" s="57"/>
      <c r="AH10772" s="57"/>
      <c r="AI10772" s="57"/>
      <c r="AJ10772" s="57"/>
      <c r="AK10772" s="57"/>
      <c r="AL10772" s="57"/>
      <c r="AM10772" s="385"/>
    </row>
    <row r="10773" spans="1:39" s="47" customFormat="1" hidden="1">
      <c r="A10773" s="121"/>
      <c r="B10773" s="121"/>
      <c r="C10773" s="121"/>
      <c r="D10773" s="121"/>
      <c r="E10773" s="121"/>
      <c r="F10773" s="121"/>
      <c r="G10773" s="121"/>
      <c r="H10773" s="121"/>
      <c r="I10773" s="121"/>
      <c r="J10773" s="121"/>
      <c r="K10773" s="121"/>
      <c r="L10773" s="121"/>
      <c r="M10773" s="121"/>
      <c r="N10773" s="524"/>
      <c r="O10773" s="530"/>
      <c r="P10773" s="260"/>
      <c r="Q10773" s="321"/>
      <c r="R10773" s="260"/>
      <c r="S10773" s="260"/>
      <c r="T10773" s="260"/>
      <c r="U10773" s="260"/>
      <c r="V10773" s="260"/>
      <c r="W10773" s="260"/>
      <c r="X10773" s="260"/>
      <c r="Y10773" s="260"/>
      <c r="Z10773" s="260"/>
      <c r="AA10773" s="260"/>
      <c r="AB10773" s="260"/>
      <c r="AC10773" s="260"/>
      <c r="AD10773" s="57"/>
      <c r="AE10773" s="57"/>
      <c r="AF10773" s="57"/>
      <c r="AG10773" s="57"/>
      <c r="AH10773" s="57"/>
      <c r="AI10773" s="57"/>
      <c r="AJ10773" s="57"/>
      <c r="AK10773" s="57"/>
      <c r="AL10773" s="57"/>
      <c r="AM10773" s="385"/>
    </row>
    <row r="10774" spans="1:39" s="47" customFormat="1" hidden="1">
      <c r="A10774" s="121"/>
      <c r="B10774" s="121"/>
      <c r="C10774" s="121"/>
      <c r="D10774" s="121"/>
      <c r="E10774" s="121"/>
      <c r="F10774" s="121"/>
      <c r="G10774" s="121"/>
      <c r="H10774" s="121"/>
      <c r="I10774" s="121"/>
      <c r="J10774" s="121"/>
      <c r="K10774" s="121"/>
      <c r="L10774" s="121"/>
      <c r="M10774" s="121"/>
      <c r="N10774" s="223"/>
      <c r="O10774" s="529"/>
      <c r="P10774" s="260"/>
      <c r="Q10774" s="321"/>
      <c r="R10774" s="260"/>
      <c r="S10774" s="260"/>
      <c r="T10774" s="260"/>
      <c r="U10774" s="260"/>
      <c r="V10774" s="260"/>
      <c r="W10774" s="260"/>
      <c r="X10774" s="260"/>
      <c r="Y10774" s="260"/>
      <c r="Z10774" s="260"/>
      <c r="AA10774" s="260"/>
      <c r="AB10774" s="260"/>
      <c r="AC10774" s="260"/>
      <c r="AD10774" s="57"/>
      <c r="AE10774" s="57"/>
      <c r="AF10774" s="57"/>
      <c r="AG10774" s="57"/>
      <c r="AH10774" s="57"/>
      <c r="AI10774" s="57"/>
      <c r="AJ10774" s="57"/>
      <c r="AK10774" s="57"/>
      <c r="AL10774" s="57"/>
      <c r="AM10774" s="385"/>
    </row>
    <row r="10775" spans="1:39" s="47" customFormat="1" hidden="1">
      <c r="A10775" s="121"/>
      <c r="B10775" s="121"/>
      <c r="C10775" s="121"/>
      <c r="D10775" s="121"/>
      <c r="E10775" s="121"/>
      <c r="F10775" s="121"/>
      <c r="G10775" s="121"/>
      <c r="H10775" s="121"/>
      <c r="I10775" s="121"/>
      <c r="J10775" s="121"/>
      <c r="K10775" s="121"/>
      <c r="L10775" s="121"/>
      <c r="M10775" s="121"/>
      <c r="N10775" s="524"/>
      <c r="O10775" s="530"/>
      <c r="P10775" s="260"/>
      <c r="Q10775" s="321"/>
      <c r="R10775" s="260"/>
      <c r="S10775" s="260"/>
      <c r="T10775" s="260"/>
      <c r="U10775" s="260"/>
      <c r="V10775" s="260"/>
      <c r="W10775" s="260"/>
      <c r="X10775" s="260"/>
      <c r="Y10775" s="260"/>
      <c r="Z10775" s="260"/>
      <c r="AA10775" s="260"/>
      <c r="AB10775" s="260"/>
      <c r="AC10775" s="260"/>
      <c r="AD10775" s="57"/>
      <c r="AE10775" s="57"/>
      <c r="AF10775" s="57"/>
      <c r="AG10775" s="57"/>
      <c r="AH10775" s="57"/>
      <c r="AI10775" s="57"/>
      <c r="AJ10775" s="57"/>
      <c r="AK10775" s="57"/>
      <c r="AL10775" s="57"/>
      <c r="AM10775" s="385"/>
    </row>
    <row r="10776" spans="1:39" s="47" customFormat="1" hidden="1">
      <c r="A10776" s="121"/>
      <c r="B10776" s="121"/>
      <c r="C10776" s="121"/>
      <c r="D10776" s="121"/>
      <c r="E10776" s="121"/>
      <c r="F10776" s="121"/>
      <c r="G10776" s="121"/>
      <c r="H10776" s="121"/>
      <c r="I10776" s="121"/>
      <c r="J10776" s="121"/>
      <c r="K10776" s="121"/>
      <c r="L10776" s="121"/>
      <c r="M10776" s="121"/>
      <c r="N10776" s="524"/>
      <c r="O10776" s="530"/>
      <c r="P10776" s="260"/>
      <c r="Q10776" s="321"/>
      <c r="R10776" s="260"/>
      <c r="S10776" s="260"/>
      <c r="T10776" s="260"/>
      <c r="U10776" s="260"/>
      <c r="V10776" s="260"/>
      <c r="W10776" s="260"/>
      <c r="X10776" s="260"/>
      <c r="Y10776" s="260"/>
      <c r="Z10776" s="260"/>
      <c r="AA10776" s="260"/>
      <c r="AB10776" s="260"/>
      <c r="AC10776" s="260"/>
      <c r="AD10776" s="57"/>
      <c r="AE10776" s="57"/>
      <c r="AF10776" s="57"/>
      <c r="AG10776" s="57"/>
      <c r="AH10776" s="57"/>
      <c r="AI10776" s="57"/>
      <c r="AJ10776" s="57"/>
      <c r="AK10776" s="57"/>
      <c r="AL10776" s="57"/>
      <c r="AM10776" s="385"/>
    </row>
    <row r="10777" spans="1:39" s="47" customFormat="1" hidden="1">
      <c r="A10777" s="121"/>
      <c r="B10777" s="121"/>
      <c r="C10777" s="121"/>
      <c r="D10777" s="121"/>
      <c r="E10777" s="121"/>
      <c r="F10777" s="121"/>
      <c r="G10777" s="121"/>
      <c r="H10777" s="121"/>
      <c r="I10777" s="121"/>
      <c r="J10777" s="121"/>
      <c r="K10777" s="121"/>
      <c r="L10777" s="121"/>
      <c r="M10777" s="121"/>
      <c r="N10777" s="223"/>
      <c r="O10777" s="531"/>
      <c r="P10777" s="260"/>
      <c r="Q10777" s="321"/>
      <c r="R10777" s="260"/>
      <c r="S10777" s="260"/>
      <c r="T10777" s="260"/>
      <c r="U10777" s="260"/>
      <c r="V10777" s="260"/>
      <c r="W10777" s="260"/>
      <c r="X10777" s="260"/>
      <c r="Y10777" s="260"/>
      <c r="Z10777" s="260"/>
      <c r="AA10777" s="260"/>
      <c r="AB10777" s="260"/>
      <c r="AC10777" s="260"/>
      <c r="AD10777" s="57"/>
      <c r="AE10777" s="57"/>
      <c r="AF10777" s="57"/>
      <c r="AG10777" s="57"/>
      <c r="AH10777" s="57"/>
      <c r="AI10777" s="57"/>
      <c r="AJ10777" s="57"/>
      <c r="AK10777" s="57"/>
      <c r="AL10777" s="57"/>
      <c r="AM10777" s="385"/>
    </row>
    <row r="10778" spans="1:39" s="47" customFormat="1" hidden="1">
      <c r="A10778" s="121"/>
      <c r="B10778" s="121"/>
      <c r="C10778" s="121"/>
      <c r="D10778" s="121"/>
      <c r="E10778" s="121"/>
      <c r="F10778" s="121"/>
      <c r="G10778" s="121"/>
      <c r="H10778" s="121"/>
      <c r="I10778" s="121"/>
      <c r="J10778" s="121"/>
      <c r="K10778" s="121"/>
      <c r="L10778" s="121"/>
      <c r="M10778" s="121"/>
      <c r="N10778" s="524"/>
      <c r="O10778" s="530"/>
      <c r="P10778" s="260"/>
      <c r="Q10778" s="321"/>
      <c r="R10778" s="260"/>
      <c r="S10778" s="260"/>
      <c r="T10778" s="260"/>
      <c r="U10778" s="260"/>
      <c r="V10778" s="260"/>
      <c r="W10778" s="260"/>
      <c r="X10778" s="260"/>
      <c r="Y10778" s="260"/>
      <c r="Z10778" s="260"/>
      <c r="AA10778" s="260"/>
      <c r="AB10778" s="260"/>
      <c r="AC10778" s="260"/>
      <c r="AD10778" s="57"/>
      <c r="AE10778" s="57"/>
      <c r="AF10778" s="57"/>
      <c r="AG10778" s="57"/>
      <c r="AH10778" s="57"/>
      <c r="AI10778" s="57"/>
      <c r="AJ10778" s="57"/>
      <c r="AK10778" s="57"/>
      <c r="AL10778" s="57"/>
      <c r="AM10778" s="385"/>
    </row>
    <row r="10779" spans="1:39" s="47" customFormat="1" hidden="1">
      <c r="A10779" s="121"/>
      <c r="B10779" s="121"/>
      <c r="C10779" s="121"/>
      <c r="D10779" s="121"/>
      <c r="E10779" s="121"/>
      <c r="F10779" s="121"/>
      <c r="G10779" s="121"/>
      <c r="H10779" s="121"/>
      <c r="I10779" s="121"/>
      <c r="J10779" s="121"/>
      <c r="K10779" s="121"/>
      <c r="L10779" s="121"/>
      <c r="M10779" s="121"/>
      <c r="N10779" s="524"/>
      <c r="O10779" s="530"/>
      <c r="P10779" s="260"/>
      <c r="Q10779" s="321"/>
      <c r="R10779" s="260"/>
      <c r="S10779" s="260"/>
      <c r="T10779" s="260"/>
      <c r="U10779" s="260"/>
      <c r="V10779" s="260"/>
      <c r="W10779" s="260"/>
      <c r="X10779" s="260"/>
      <c r="Y10779" s="260"/>
      <c r="Z10779" s="260"/>
      <c r="AA10779" s="260"/>
      <c r="AB10779" s="260"/>
      <c r="AC10779" s="260"/>
      <c r="AD10779" s="57"/>
      <c r="AE10779" s="57"/>
      <c r="AF10779" s="57"/>
      <c r="AG10779" s="57"/>
      <c r="AH10779" s="57"/>
      <c r="AI10779" s="57"/>
      <c r="AJ10779" s="57"/>
      <c r="AK10779" s="57"/>
      <c r="AL10779" s="57"/>
      <c r="AM10779" s="385"/>
    </row>
    <row r="10780" spans="1:39" s="47" customFormat="1">
      <c r="A10780" s="121"/>
      <c r="B10780" s="121"/>
      <c r="C10780" s="121"/>
      <c r="D10780" s="121"/>
      <c r="E10780" s="121"/>
      <c r="F10780" s="121"/>
      <c r="G10780" s="121"/>
      <c r="H10780" s="121"/>
      <c r="I10780" s="121"/>
      <c r="J10780" s="121"/>
      <c r="K10780" s="121"/>
      <c r="L10780" s="121"/>
      <c r="M10780" s="121"/>
      <c r="N10780" s="504" t="s">
        <v>633</v>
      </c>
      <c r="O10780" s="532" t="s">
        <v>2819</v>
      </c>
      <c r="P10780" s="257"/>
      <c r="Q10780" s="321"/>
      <c r="R10780" s="260"/>
      <c r="S10780" s="260"/>
      <c r="T10780" s="260"/>
      <c r="U10780" s="260"/>
      <c r="V10780" s="262">
        <f>IF($AP$8="I",'ВС.РО 01.01 - 30.06'!V10780,IF($AP$8="II",'ВС.РО 01.07 - 31.08'!V10780,IF($AP$8="III",'ВС.РО 01.09 - 31.12'!V10780,0)))*V10877</f>
        <v>0</v>
      </c>
      <c r="W10780" s="548">
        <f t="shared" ref="W10780:W10789" si="55">U10780+V10780</f>
        <v>0</v>
      </c>
      <c r="X10780" s="262">
        <f>IF($AP$8="I",'ВС.РО 01.01 - 30.06'!X10780,IF($AP$8="II",'ВС.РО 01.07 - 31.08'!X10780,IF($AP$8="III",'ВС.РО 01.09 - 31.12'!X10780,0)))*X10877</f>
        <v>0</v>
      </c>
      <c r="Y10780" s="260"/>
      <c r="Z10780" s="548">
        <f t="shared" ref="Z10780:Z10789" si="56">X10780+Y10780</f>
        <v>0</v>
      </c>
      <c r="AA10780" s="262">
        <f>IF($AP$8="I",'ВС.РО 01.01 - 30.06'!AA10780,IF($AP$8="II",'ВС.РО 01.07 - 31.08'!AA10780,IF($AP$8="III",'ВС.РО 01.09 - 31.12'!AA10780,0)))*AA10877</f>
        <v>0</v>
      </c>
      <c r="AB10780" s="262">
        <f>IF($AP$8="I",'ВС.РО 01.01 - 30.06'!AB10780,IF($AP$8="II",'ВС.РО 01.07 - 31.08'!AB10780,IF($AP$8="III",'ВС.РО 01.09 - 31.12'!AB10780,0)))*AB10877</f>
        <v>0</v>
      </c>
      <c r="AC10780" s="548">
        <f t="shared" ref="AC10780:AC10789" si="57">AA10780+AB10780</f>
        <v>0</v>
      </c>
      <c r="AD10780" s="57"/>
      <c r="AE10780" s="57"/>
      <c r="AF10780" s="57"/>
      <c r="AG10780" s="57"/>
      <c r="AH10780" s="57"/>
      <c r="AI10780" s="57"/>
      <c r="AJ10780" s="57"/>
      <c r="AK10780" s="57"/>
      <c r="AL10780" s="57"/>
      <c r="AM10780" s="385"/>
    </row>
    <row r="10781" spans="1:39" s="47" customFormat="1">
      <c r="A10781" s="121"/>
      <c r="B10781" s="121"/>
      <c r="C10781" s="121"/>
      <c r="D10781" s="121"/>
      <c r="E10781" s="121"/>
      <c r="F10781" s="121"/>
      <c r="G10781" s="121"/>
      <c r="H10781" s="121"/>
      <c r="I10781" s="121"/>
      <c r="J10781" s="121"/>
      <c r="K10781" s="121"/>
      <c r="L10781" s="121"/>
      <c r="M10781" s="121"/>
      <c r="N10781" s="504" t="s">
        <v>69</v>
      </c>
      <c r="O10781" s="527" t="s">
        <v>2820</v>
      </c>
      <c r="P10781" s="257"/>
      <c r="Q10781" s="321"/>
      <c r="R10781" s="260"/>
      <c r="S10781" s="260"/>
      <c r="T10781" s="260"/>
      <c r="U10781" s="260"/>
      <c r="V10781" s="262">
        <f>IF($AP$8="I",'ВС.РО 01.01 - 30.06'!V10781,IF($AP$8="II",'ВС.РО 01.07 - 31.08'!V10781,IF($AP$8="III",'ВС.РО 01.09 - 31.12'!V10781,0)))*V10877</f>
        <v>0</v>
      </c>
      <c r="W10781" s="548">
        <f t="shared" si="55"/>
        <v>0</v>
      </c>
      <c r="X10781" s="262">
        <f>IF($AP$8="I",'ВС.РО 01.01 - 30.06'!X10781,IF($AP$8="II",'ВС.РО 01.07 - 31.08'!X10781,IF($AP$8="III",'ВС.РО 01.09 - 31.12'!X10781,0)))*X10877</f>
        <v>0</v>
      </c>
      <c r="Y10781" s="260"/>
      <c r="Z10781" s="548">
        <f t="shared" si="56"/>
        <v>0</v>
      </c>
      <c r="AA10781" s="262">
        <f>IF($AP$8="I",'ВС.РО 01.01 - 30.06'!AA10781,IF($AP$8="II",'ВС.РО 01.07 - 31.08'!AA10781,IF($AP$8="III",'ВС.РО 01.09 - 31.12'!AA10781,0)))*AA10877</f>
        <v>0</v>
      </c>
      <c r="AB10781" s="262">
        <f>IF($AP$8="I",'ВС.РО 01.01 - 30.06'!AB10781,IF($AP$8="II",'ВС.РО 01.07 - 31.08'!AB10781,IF($AP$8="III",'ВС.РО 01.09 - 31.12'!AB10781,0)))*AB10877</f>
        <v>0</v>
      </c>
      <c r="AC10781" s="548">
        <f t="shared" si="57"/>
        <v>0</v>
      </c>
      <c r="AD10781" s="57"/>
      <c r="AE10781" s="57"/>
      <c r="AF10781" s="57"/>
      <c r="AG10781" s="57"/>
      <c r="AH10781" s="57"/>
      <c r="AI10781" s="57"/>
      <c r="AJ10781" s="57"/>
      <c r="AK10781" s="57"/>
      <c r="AL10781" s="57"/>
      <c r="AM10781" s="385"/>
    </row>
    <row r="10782" spans="1:39" s="47" customFormat="1">
      <c r="A10782" s="121"/>
      <c r="B10782" s="121"/>
      <c r="C10782" s="121"/>
      <c r="D10782" s="121"/>
      <c r="E10782" s="121"/>
      <c r="F10782" s="121"/>
      <c r="G10782" s="121"/>
      <c r="H10782" s="121"/>
      <c r="I10782" s="121"/>
      <c r="J10782" s="121"/>
      <c r="K10782" s="121"/>
      <c r="L10782" s="121"/>
      <c r="M10782" s="121"/>
      <c r="N10782" s="504" t="s">
        <v>72</v>
      </c>
      <c r="O10782" s="527" t="s">
        <v>2471</v>
      </c>
      <c r="P10782" s="257"/>
      <c r="Q10782" s="321"/>
      <c r="R10782" s="260"/>
      <c r="S10782" s="260"/>
      <c r="T10782" s="260"/>
      <c r="U10782" s="260"/>
      <c r="V10782" s="262">
        <f>IF($AP$8="I",'ВС.РО 01.01 - 30.06'!V10782,IF($AP$8="II",'ВС.РО 01.07 - 31.08'!V10782,IF($AP$8="III",'ВС.РО 01.09 - 31.12'!V10782,0)))*V10877</f>
        <v>0</v>
      </c>
      <c r="W10782" s="548">
        <f t="shared" si="55"/>
        <v>0</v>
      </c>
      <c r="X10782" s="262">
        <f>IF($AP$8="I",'ВС.РО 01.01 - 30.06'!X10782,IF($AP$8="II",'ВС.РО 01.07 - 31.08'!X10782,IF($AP$8="III",'ВС.РО 01.09 - 31.12'!X10782,0)))*X10877</f>
        <v>0</v>
      </c>
      <c r="Y10782" s="260"/>
      <c r="Z10782" s="548">
        <f t="shared" si="56"/>
        <v>0</v>
      </c>
      <c r="AA10782" s="262">
        <f>IF($AP$8="I",'ВС.РО 01.01 - 30.06'!AA10782,IF($AP$8="II",'ВС.РО 01.07 - 31.08'!AA10782,IF($AP$8="III",'ВС.РО 01.09 - 31.12'!AA10782,0)))*AA10877</f>
        <v>0</v>
      </c>
      <c r="AB10782" s="262">
        <f>IF($AP$8="I",'ВС.РО 01.01 - 30.06'!AB10782,IF($AP$8="II",'ВС.РО 01.07 - 31.08'!AB10782,IF($AP$8="III",'ВС.РО 01.09 - 31.12'!AB10782,0)))*AB10877</f>
        <v>0</v>
      </c>
      <c r="AC10782" s="548">
        <f t="shared" si="57"/>
        <v>0</v>
      </c>
      <c r="AD10782" s="57"/>
      <c r="AE10782" s="57"/>
      <c r="AF10782" s="57"/>
      <c r="AG10782" s="57"/>
      <c r="AH10782" s="57"/>
      <c r="AI10782" s="57"/>
      <c r="AJ10782" s="57"/>
      <c r="AK10782" s="57"/>
      <c r="AL10782" s="57"/>
      <c r="AM10782" s="385"/>
    </row>
    <row r="10783" spans="1:39" s="47" customFormat="1">
      <c r="A10783" s="121"/>
      <c r="B10783" s="121"/>
      <c r="C10783" s="121"/>
      <c r="D10783" s="121"/>
      <c r="E10783" s="121"/>
      <c r="F10783" s="121"/>
      <c r="G10783" s="121"/>
      <c r="H10783" s="121"/>
      <c r="I10783" s="121"/>
      <c r="J10783" s="121"/>
      <c r="K10783" s="121"/>
      <c r="L10783" s="121"/>
      <c r="M10783" s="121"/>
      <c r="N10783" s="504" t="s">
        <v>2821</v>
      </c>
      <c r="O10783" s="527" t="s">
        <v>2822</v>
      </c>
      <c r="P10783" s="257"/>
      <c r="Q10783" s="321"/>
      <c r="R10783" s="260"/>
      <c r="S10783" s="260"/>
      <c r="T10783" s="260"/>
      <c r="U10783" s="260"/>
      <c r="V10783" s="257">
        <f>SUM(V10784:V10786)</f>
        <v>0</v>
      </c>
      <c r="W10783" s="548">
        <f t="shared" si="55"/>
        <v>0</v>
      </c>
      <c r="X10783" s="257">
        <f>SUM(X10784:X10786)</f>
        <v>0</v>
      </c>
      <c r="Y10783" s="260"/>
      <c r="Z10783" s="548">
        <f t="shared" si="56"/>
        <v>0</v>
      </c>
      <c r="AA10783" s="257">
        <f>SUM(AA10784:AA10786)</f>
        <v>0</v>
      </c>
      <c r="AB10783" s="257">
        <f>SUM(AB10784:AB10786)</f>
        <v>0</v>
      </c>
      <c r="AC10783" s="548">
        <f t="shared" si="57"/>
        <v>0</v>
      </c>
      <c r="AD10783" s="57"/>
      <c r="AE10783" s="57"/>
      <c r="AF10783" s="57"/>
      <c r="AG10783" s="57"/>
      <c r="AH10783" s="57"/>
      <c r="AI10783" s="57"/>
      <c r="AJ10783" s="57"/>
      <c r="AK10783" s="57"/>
      <c r="AL10783" s="57"/>
      <c r="AM10783" s="385"/>
    </row>
    <row r="10784" spans="1:39" s="47" customFormat="1">
      <c r="A10784" s="121"/>
      <c r="B10784" s="121"/>
      <c r="C10784" s="121"/>
      <c r="D10784" s="121"/>
      <c r="E10784" s="121"/>
      <c r="F10784" s="121"/>
      <c r="G10784" s="121"/>
      <c r="H10784" s="121"/>
      <c r="I10784" s="121"/>
      <c r="J10784" s="121"/>
      <c r="K10784" s="121"/>
      <c r="L10784" s="121"/>
      <c r="M10784" s="121"/>
      <c r="N10784" s="504" t="s">
        <v>888</v>
      </c>
      <c r="O10784" s="528" t="s">
        <v>2823</v>
      </c>
      <c r="P10784" s="257"/>
      <c r="Q10784" s="321"/>
      <c r="R10784" s="260"/>
      <c r="S10784" s="260"/>
      <c r="T10784" s="260"/>
      <c r="U10784" s="260"/>
      <c r="V10784" s="262">
        <f>IF($AP$8="I",'ВС.РО 01.01 - 30.06'!V10784,IF($AP$8="II",'ВС.РО 01.07 - 31.08'!V10784,IF($AP$8="III",'ВС.РО 01.09 - 31.12'!V10784,0)))*V10877</f>
        <v>0</v>
      </c>
      <c r="W10784" s="548">
        <f t="shared" si="55"/>
        <v>0</v>
      </c>
      <c r="X10784" s="262">
        <f>IF($AP$8="I",'ВС.РО 01.01 - 30.06'!X10784,IF($AP$8="II",'ВС.РО 01.07 - 31.08'!X10784,IF($AP$8="III",'ВС.РО 01.09 - 31.12'!X10784,0)))*X10877</f>
        <v>0</v>
      </c>
      <c r="Y10784" s="260"/>
      <c r="Z10784" s="548">
        <f t="shared" si="56"/>
        <v>0</v>
      </c>
      <c r="AA10784" s="262">
        <f>IF($AP$8="I",'ВС.РО 01.01 - 30.06'!AA10784,IF($AP$8="II",'ВС.РО 01.07 - 31.08'!AA10784,IF($AP$8="III",'ВС.РО 01.09 - 31.12'!AA10784,0)))*AA10877</f>
        <v>0</v>
      </c>
      <c r="AB10784" s="262">
        <f>IF($AP$8="I",'ВС.РО 01.01 - 30.06'!AB10784,IF($AP$8="II",'ВС.РО 01.07 - 31.08'!AB10784,IF($AP$8="III",'ВС.РО 01.09 - 31.12'!AB10784,0)))*AB10877</f>
        <v>0</v>
      </c>
      <c r="AC10784" s="548">
        <f t="shared" si="57"/>
        <v>0</v>
      </c>
      <c r="AD10784" s="57"/>
      <c r="AE10784" s="57"/>
      <c r="AF10784" s="57"/>
      <c r="AG10784" s="57"/>
      <c r="AH10784" s="57"/>
      <c r="AI10784" s="57"/>
      <c r="AJ10784" s="57"/>
      <c r="AK10784" s="57"/>
      <c r="AL10784" s="57"/>
      <c r="AM10784" s="385"/>
    </row>
    <row r="10785" spans="1:39" s="47" customFormat="1">
      <c r="A10785" s="121"/>
      <c r="B10785" s="121"/>
      <c r="C10785" s="121"/>
      <c r="D10785" s="121"/>
      <c r="E10785" s="121"/>
      <c r="F10785" s="121"/>
      <c r="G10785" s="121"/>
      <c r="H10785" s="121"/>
      <c r="I10785" s="121"/>
      <c r="J10785" s="121"/>
      <c r="K10785" s="121"/>
      <c r="L10785" s="121"/>
      <c r="M10785" s="121"/>
      <c r="N10785" s="504" t="s">
        <v>889</v>
      </c>
      <c r="O10785" s="528" t="s">
        <v>2824</v>
      </c>
      <c r="P10785" s="257"/>
      <c r="Q10785" s="321"/>
      <c r="R10785" s="260"/>
      <c r="S10785" s="260"/>
      <c r="T10785" s="260"/>
      <c r="U10785" s="260"/>
      <c r="V10785" s="262">
        <f>IF($AP$8="I",'ВС.РО 01.01 - 30.06'!V10785,IF($AP$8="II",'ВС.РО 01.07 - 31.08'!V10785,IF($AP$8="III",'ВС.РО 01.09 - 31.12'!V10785,0)))*V10877</f>
        <v>0</v>
      </c>
      <c r="W10785" s="548">
        <f t="shared" si="55"/>
        <v>0</v>
      </c>
      <c r="X10785" s="262">
        <f>IF($AP$8="I",'ВС.РО 01.01 - 30.06'!X10785,IF($AP$8="II",'ВС.РО 01.07 - 31.08'!X10785,IF($AP$8="III",'ВС.РО 01.09 - 31.12'!X10785,0)))*X10877</f>
        <v>0</v>
      </c>
      <c r="Y10785" s="260"/>
      <c r="Z10785" s="548">
        <f t="shared" si="56"/>
        <v>0</v>
      </c>
      <c r="AA10785" s="262">
        <f>IF($AP$8="I",'ВС.РО 01.01 - 30.06'!AA10785,IF($AP$8="II",'ВС.РО 01.07 - 31.08'!AA10785,IF($AP$8="III",'ВС.РО 01.09 - 31.12'!AA10785,0)))*AA10877</f>
        <v>0</v>
      </c>
      <c r="AB10785" s="262">
        <f>IF($AP$8="I",'ВС.РО 01.01 - 30.06'!AB10785,IF($AP$8="II",'ВС.РО 01.07 - 31.08'!AB10785,IF($AP$8="III",'ВС.РО 01.09 - 31.12'!AB10785,0)))*AB10877</f>
        <v>0</v>
      </c>
      <c r="AC10785" s="548">
        <f t="shared" si="57"/>
        <v>0</v>
      </c>
      <c r="AD10785" s="57"/>
      <c r="AE10785" s="57"/>
      <c r="AF10785" s="57"/>
      <c r="AG10785" s="57"/>
      <c r="AH10785" s="57"/>
      <c r="AI10785" s="57"/>
      <c r="AJ10785" s="57"/>
      <c r="AK10785" s="57"/>
      <c r="AL10785" s="57"/>
      <c r="AM10785" s="385"/>
    </row>
    <row r="10786" spans="1:39" s="47" customFormat="1">
      <c r="A10786" s="121"/>
      <c r="B10786" s="121"/>
      <c r="C10786" s="121"/>
      <c r="D10786" s="121"/>
      <c r="E10786" s="121"/>
      <c r="F10786" s="121"/>
      <c r="G10786" s="121"/>
      <c r="H10786" s="121"/>
      <c r="I10786" s="121"/>
      <c r="J10786" s="121"/>
      <c r="K10786" s="121"/>
      <c r="L10786" s="121"/>
      <c r="M10786" s="121"/>
      <c r="N10786" s="504" t="s">
        <v>890</v>
      </c>
      <c r="O10786" s="528" t="s">
        <v>2825</v>
      </c>
      <c r="P10786" s="257"/>
      <c r="Q10786" s="321"/>
      <c r="R10786" s="260"/>
      <c r="S10786" s="260"/>
      <c r="T10786" s="260"/>
      <c r="U10786" s="260"/>
      <c r="V10786" s="262">
        <f>IF($AP$8="I",'ВС.РО 01.01 - 30.06'!V10786,IF($AP$8="II",'ВС.РО 01.07 - 31.08'!V10786,IF($AP$8="III",'ВС.РО 01.09 - 31.12'!V10786,0)))*V10877</f>
        <v>0</v>
      </c>
      <c r="W10786" s="548">
        <f t="shared" si="55"/>
        <v>0</v>
      </c>
      <c r="X10786" s="262">
        <f>IF($AP$8="I",'ВС.РО 01.01 - 30.06'!X10786,IF($AP$8="II",'ВС.РО 01.07 - 31.08'!X10786,IF($AP$8="III",'ВС.РО 01.09 - 31.12'!X10786,0)))*X10877</f>
        <v>0</v>
      </c>
      <c r="Y10786" s="260"/>
      <c r="Z10786" s="548">
        <f t="shared" si="56"/>
        <v>0</v>
      </c>
      <c r="AA10786" s="262">
        <f>IF($AP$8="I",'ВС.РО 01.01 - 30.06'!AA10786,IF($AP$8="II",'ВС.РО 01.07 - 31.08'!AA10786,IF($AP$8="III",'ВС.РО 01.09 - 31.12'!AA10786,0)))*AA10877</f>
        <v>0</v>
      </c>
      <c r="AB10786" s="262">
        <f>IF($AP$8="I",'ВС.РО 01.01 - 30.06'!AB10786,IF($AP$8="II",'ВС.РО 01.07 - 31.08'!AB10786,IF($AP$8="III",'ВС.РО 01.09 - 31.12'!AB10786,0)))*AB10877</f>
        <v>0</v>
      </c>
      <c r="AC10786" s="548">
        <f t="shared" si="57"/>
        <v>0</v>
      </c>
      <c r="AD10786" s="57"/>
      <c r="AE10786" s="57"/>
      <c r="AF10786" s="57"/>
      <c r="AG10786" s="57"/>
      <c r="AH10786" s="57"/>
      <c r="AI10786" s="57"/>
      <c r="AJ10786" s="57"/>
      <c r="AK10786" s="57"/>
      <c r="AL10786" s="57"/>
      <c r="AM10786" s="385"/>
    </row>
    <row r="10787" spans="1:39" s="47" customFormat="1">
      <c r="A10787" s="121"/>
      <c r="B10787" s="121"/>
      <c r="C10787" s="121"/>
      <c r="D10787" s="121"/>
      <c r="E10787" s="121"/>
      <c r="F10787" s="121"/>
      <c r="G10787" s="121"/>
      <c r="H10787" s="121"/>
      <c r="I10787" s="121"/>
      <c r="J10787" s="121"/>
      <c r="K10787" s="121"/>
      <c r="L10787" s="121"/>
      <c r="M10787" s="121"/>
      <c r="N10787" s="504" t="s">
        <v>2826</v>
      </c>
      <c r="O10787" s="527" t="s">
        <v>2827</v>
      </c>
      <c r="P10787" s="257"/>
      <c r="Q10787" s="321"/>
      <c r="R10787" s="260"/>
      <c r="S10787" s="260"/>
      <c r="T10787" s="260"/>
      <c r="U10787" s="260"/>
      <c r="V10787" s="262">
        <f>IF($AP$8="I",'ВС.РО 01.01 - 30.06'!V10787,IF($AP$8="II",'ВС.РО 01.07 - 31.08'!V10787,IF($AP$8="III",'ВС.РО 01.09 - 31.12'!V10787,0)))*V10877</f>
        <v>0</v>
      </c>
      <c r="W10787" s="548">
        <f t="shared" si="55"/>
        <v>0</v>
      </c>
      <c r="X10787" s="262">
        <f>IF($AP$8="I",'ВС.РО 01.01 - 30.06'!X10787,IF($AP$8="II",'ВС.РО 01.07 - 31.08'!X10787,IF($AP$8="III",'ВС.РО 01.09 - 31.12'!X10787,0)))*X10877</f>
        <v>0</v>
      </c>
      <c r="Y10787" s="260"/>
      <c r="Z10787" s="548">
        <f t="shared" si="56"/>
        <v>0</v>
      </c>
      <c r="AA10787" s="262">
        <f>IF($AP$8="I",'ВС.РО 01.01 - 30.06'!AA10787,IF($AP$8="II",'ВС.РО 01.07 - 31.08'!AA10787,IF($AP$8="III",'ВС.РО 01.09 - 31.12'!AA10787,0)))*AA10877</f>
        <v>0</v>
      </c>
      <c r="AB10787" s="262">
        <f>IF($AP$8="I",'ВС.РО 01.01 - 30.06'!AB10787,IF($AP$8="II",'ВС.РО 01.07 - 31.08'!AB10787,IF($AP$8="III",'ВС.РО 01.09 - 31.12'!AB10787,0)))*AB10877</f>
        <v>0</v>
      </c>
      <c r="AC10787" s="548">
        <f t="shared" si="57"/>
        <v>0</v>
      </c>
      <c r="AD10787" s="57"/>
      <c r="AE10787" s="57"/>
      <c r="AF10787" s="57"/>
      <c r="AG10787" s="57"/>
      <c r="AH10787" s="57"/>
      <c r="AI10787" s="57"/>
      <c r="AJ10787" s="57"/>
      <c r="AK10787" s="57"/>
      <c r="AL10787" s="57"/>
      <c r="AM10787" s="385"/>
    </row>
    <row r="10788" spans="1:39" s="47" customFormat="1">
      <c r="A10788" s="121"/>
      <c r="B10788" s="121"/>
      <c r="C10788" s="121"/>
      <c r="D10788" s="121"/>
      <c r="E10788" s="121"/>
      <c r="F10788" s="121"/>
      <c r="G10788" s="121"/>
      <c r="H10788" s="121"/>
      <c r="I10788" s="121"/>
      <c r="J10788" s="121"/>
      <c r="K10788" s="121"/>
      <c r="L10788" s="121"/>
      <c r="M10788" s="121"/>
      <c r="N10788" s="504" t="s">
        <v>2828</v>
      </c>
      <c r="O10788" s="527" t="s">
        <v>2829</v>
      </c>
      <c r="P10788" s="257"/>
      <c r="Q10788" s="321"/>
      <c r="R10788" s="260"/>
      <c r="S10788" s="260"/>
      <c r="T10788" s="260"/>
      <c r="U10788" s="260"/>
      <c r="V10788" s="262">
        <f>IF($AP$8="I",'ВС.РО 01.01 - 30.06'!V10788,IF($AP$8="II",'ВС.РО 01.07 - 31.08'!V10788,IF($AP$8="III",'ВС.РО 01.09 - 31.12'!V10788,0)))*V10877</f>
        <v>0</v>
      </c>
      <c r="W10788" s="548">
        <f t="shared" si="55"/>
        <v>0</v>
      </c>
      <c r="X10788" s="262">
        <f>IF($AP$8="I",'ВС.РО 01.01 - 30.06'!X10788,IF($AP$8="II",'ВС.РО 01.07 - 31.08'!X10788,IF($AP$8="III",'ВС.РО 01.09 - 31.12'!X10788,0)))*X10877</f>
        <v>0</v>
      </c>
      <c r="Y10788" s="260"/>
      <c r="Z10788" s="548">
        <f t="shared" si="56"/>
        <v>0</v>
      </c>
      <c r="AA10788" s="262">
        <f>IF($AP$8="I",'ВС.РО 01.01 - 30.06'!AA10788,IF($AP$8="II",'ВС.РО 01.07 - 31.08'!AA10788,IF($AP$8="III",'ВС.РО 01.09 - 31.12'!AA10788,0)))*AA10877</f>
        <v>0</v>
      </c>
      <c r="AB10788" s="262">
        <f>IF($AP$8="I",'ВС.РО 01.01 - 30.06'!AB10788,IF($AP$8="II",'ВС.РО 01.07 - 31.08'!AB10788,IF($AP$8="III",'ВС.РО 01.09 - 31.12'!AB10788,0)))*AB10877</f>
        <v>0</v>
      </c>
      <c r="AC10788" s="548">
        <f t="shared" si="57"/>
        <v>0</v>
      </c>
      <c r="AD10788" s="57"/>
      <c r="AE10788" s="57"/>
      <c r="AF10788" s="57"/>
      <c r="AG10788" s="57"/>
      <c r="AH10788" s="57"/>
      <c r="AI10788" s="57"/>
      <c r="AJ10788" s="57"/>
      <c r="AK10788" s="57"/>
      <c r="AL10788" s="57"/>
      <c r="AM10788" s="385"/>
    </row>
    <row r="10789" spans="1:39" s="47" customFormat="1">
      <c r="A10789" s="121"/>
      <c r="B10789" s="121"/>
      <c r="C10789" s="121"/>
      <c r="D10789" s="121"/>
      <c r="E10789" s="121"/>
      <c r="F10789" s="121"/>
      <c r="G10789" s="121"/>
      <c r="H10789" s="121"/>
      <c r="I10789" s="121"/>
      <c r="J10789" s="121"/>
      <c r="K10789" s="121"/>
      <c r="L10789" s="121"/>
      <c r="M10789" s="121"/>
      <c r="N10789" s="504" t="s">
        <v>2830</v>
      </c>
      <c r="O10789" s="527" t="s">
        <v>2831</v>
      </c>
      <c r="P10789" s="257"/>
      <c r="Q10789" s="321"/>
      <c r="R10789" s="260"/>
      <c r="S10789" s="260"/>
      <c r="T10789" s="260"/>
      <c r="U10789" s="260"/>
      <c r="V10789" s="257">
        <f>SUM(V10793,V10799,V10805,V10808,V10811)</f>
        <v>0</v>
      </c>
      <c r="W10789" s="548">
        <f t="shared" si="55"/>
        <v>0</v>
      </c>
      <c r="X10789" s="257">
        <f>SUM(X10793,X10799,X10805,X10808,X10811)</f>
        <v>0</v>
      </c>
      <c r="Y10789" s="260"/>
      <c r="Z10789" s="548">
        <f t="shared" si="56"/>
        <v>0</v>
      </c>
      <c r="AA10789" s="257">
        <f>SUM(AA10793,AA10799,AA10805,AA10808,AA10811)</f>
        <v>0</v>
      </c>
      <c r="AB10789" s="257">
        <f>SUM(AB10793,AB10799,AB10805,AB10808,AB10811)</f>
        <v>0</v>
      </c>
      <c r="AC10789" s="548">
        <f t="shared" si="57"/>
        <v>0</v>
      </c>
      <c r="AD10789" s="57"/>
      <c r="AE10789" s="57"/>
      <c r="AF10789" s="57"/>
      <c r="AG10789" s="57"/>
      <c r="AH10789" s="57"/>
      <c r="AI10789" s="57"/>
      <c r="AJ10789" s="57"/>
      <c r="AK10789" s="57"/>
      <c r="AL10789" s="57"/>
      <c r="AM10789" s="385"/>
    </row>
    <row r="10790" spans="1:39" s="47" customFormat="1" hidden="1">
      <c r="A10790" s="121"/>
      <c r="B10790" s="121"/>
      <c r="C10790" s="121"/>
      <c r="D10790" s="121"/>
      <c r="E10790" s="121"/>
      <c r="F10790" s="121"/>
      <c r="G10790" s="121"/>
      <c r="H10790" s="121"/>
      <c r="I10790" s="121"/>
      <c r="J10790" s="121"/>
      <c r="K10790" s="121"/>
      <c r="L10790" s="121"/>
      <c r="M10790" s="121"/>
      <c r="N10790" s="279"/>
      <c r="O10790" s="558"/>
      <c r="P10790" s="260"/>
      <c r="Q10790" s="321"/>
      <c r="R10790" s="260"/>
      <c r="S10790" s="260"/>
      <c r="T10790" s="260"/>
      <c r="U10790" s="260"/>
      <c r="V10790" s="260"/>
      <c r="W10790" s="260"/>
      <c r="X10790" s="260"/>
      <c r="Y10790" s="260"/>
      <c r="Z10790" s="260"/>
      <c r="AA10790" s="260"/>
      <c r="AB10790" s="260"/>
      <c r="AC10790" s="260"/>
      <c r="AD10790" s="57"/>
      <c r="AE10790" s="57"/>
      <c r="AF10790" s="57"/>
      <c r="AG10790" s="57"/>
      <c r="AH10790" s="57"/>
      <c r="AI10790" s="57"/>
      <c r="AJ10790" s="57"/>
      <c r="AK10790" s="57"/>
      <c r="AL10790" s="57"/>
      <c r="AM10790" s="385"/>
    </row>
    <row r="10791" spans="1:39" s="47" customFormat="1" hidden="1">
      <c r="A10791" s="121"/>
      <c r="B10791" s="121"/>
      <c r="C10791" s="121"/>
      <c r="D10791" s="121"/>
      <c r="E10791" s="121"/>
      <c r="F10791" s="121"/>
      <c r="G10791" s="121"/>
      <c r="H10791" s="121"/>
      <c r="I10791" s="121"/>
      <c r="J10791" s="121"/>
      <c r="K10791" s="121"/>
      <c r="L10791" s="121"/>
      <c r="M10791" s="121"/>
      <c r="N10791" s="279"/>
      <c r="O10791" s="558"/>
      <c r="P10791" s="260"/>
      <c r="Q10791" s="321"/>
      <c r="R10791" s="260"/>
      <c r="S10791" s="260"/>
      <c r="T10791" s="260"/>
      <c r="U10791" s="260"/>
      <c r="V10791" s="260"/>
      <c r="W10791" s="260"/>
      <c r="X10791" s="260"/>
      <c r="Y10791" s="260"/>
      <c r="Z10791" s="260"/>
      <c r="AA10791" s="260"/>
      <c r="AB10791" s="260"/>
      <c r="AC10791" s="260"/>
      <c r="AD10791" s="57"/>
      <c r="AE10791" s="57"/>
      <c r="AF10791" s="57"/>
      <c r="AG10791" s="57"/>
      <c r="AH10791" s="57"/>
      <c r="AI10791" s="57"/>
      <c r="AJ10791" s="57"/>
      <c r="AK10791" s="57"/>
      <c r="AL10791" s="57"/>
      <c r="AM10791" s="385"/>
    </row>
    <row r="10792" spans="1:39" s="47" customFormat="1" hidden="1">
      <c r="A10792" s="121"/>
      <c r="B10792" s="121"/>
      <c r="C10792" s="121"/>
      <c r="D10792" s="121"/>
      <c r="E10792" s="121"/>
      <c r="F10792" s="121"/>
      <c r="G10792" s="121"/>
      <c r="H10792" s="121"/>
      <c r="I10792" s="121"/>
      <c r="J10792" s="121"/>
      <c r="K10792" s="121"/>
      <c r="L10792" s="121"/>
      <c r="M10792" s="121"/>
      <c r="N10792" s="279"/>
      <c r="O10792" s="558"/>
      <c r="P10792" s="260"/>
      <c r="Q10792" s="321"/>
      <c r="R10792" s="260"/>
      <c r="S10792" s="260"/>
      <c r="T10792" s="260"/>
      <c r="U10792" s="260"/>
      <c r="V10792" s="260"/>
      <c r="W10792" s="260"/>
      <c r="X10792" s="260"/>
      <c r="Y10792" s="260"/>
      <c r="Z10792" s="260"/>
      <c r="AA10792" s="260"/>
      <c r="AB10792" s="260"/>
      <c r="AC10792" s="260"/>
      <c r="AD10792" s="57"/>
      <c r="AE10792" s="57"/>
      <c r="AF10792" s="57"/>
      <c r="AG10792" s="57"/>
      <c r="AH10792" s="57"/>
      <c r="AI10792" s="57"/>
      <c r="AJ10792" s="57"/>
      <c r="AK10792" s="57"/>
      <c r="AL10792" s="57"/>
      <c r="AM10792" s="385"/>
    </row>
    <row r="10793" spans="1:39" s="47" customFormat="1">
      <c r="A10793" s="121"/>
      <c r="B10793" s="121"/>
      <c r="C10793" s="121"/>
      <c r="D10793" s="121"/>
      <c r="E10793" s="121"/>
      <c r="F10793" s="121"/>
      <c r="G10793" s="121"/>
      <c r="H10793" s="121"/>
      <c r="I10793" s="121"/>
      <c r="J10793" s="121"/>
      <c r="K10793" s="121"/>
      <c r="L10793" s="121"/>
      <c r="M10793" s="121"/>
      <c r="N10793" s="222" t="s">
        <v>2832</v>
      </c>
      <c r="O10793" s="533" t="s">
        <v>1832</v>
      </c>
      <c r="P10793" s="257"/>
      <c r="Q10793" s="321"/>
      <c r="R10793" s="260"/>
      <c r="S10793" s="260"/>
      <c r="T10793" s="260"/>
      <c r="U10793" s="260"/>
      <c r="V10793" s="262">
        <f>IF($AP$8="I",'ВС.РО 01.01 - 30.06'!V10793,IF($AP$8="II",'ВС.РО 01.07 - 31.08'!V10793,IF($AP$8="III",'ВС.РО 01.09 - 31.12'!V10793,0)))*V10877</f>
        <v>0</v>
      </c>
      <c r="W10793" s="548">
        <f>U10793+V10793</f>
        <v>0</v>
      </c>
      <c r="X10793" s="262">
        <f>IF($AP$8="I",'ВС.РО 01.01 - 30.06'!X10793,IF($AP$8="II",'ВС.РО 01.07 - 31.08'!X10793,IF($AP$8="III",'ВС.РО 01.09 - 31.12'!X10793,0)))*X10877</f>
        <v>0</v>
      </c>
      <c r="Y10793" s="260"/>
      <c r="Z10793" s="548">
        <f>X10793+Y10793</f>
        <v>0</v>
      </c>
      <c r="AA10793" s="262">
        <f>IF($AP$8="I",'ВС.РО 01.01 - 30.06'!AA10793,IF($AP$8="II",'ВС.РО 01.07 - 31.08'!AA10793,IF($AP$8="III",'ВС.РО 01.09 - 31.12'!AA10793,0)))*AA10877</f>
        <v>0</v>
      </c>
      <c r="AB10793" s="262">
        <f>IF($AP$8="I",'ВС.РО 01.01 - 30.06'!AB10793,IF($AP$8="II",'ВС.РО 01.07 - 31.08'!AB10793,IF($AP$8="III",'ВС.РО 01.09 - 31.12'!AB10793,0)))*AB10877</f>
        <v>0</v>
      </c>
      <c r="AC10793" s="548">
        <f>AA10793+AB10793</f>
        <v>0</v>
      </c>
      <c r="AD10793" s="57"/>
      <c r="AE10793" s="57"/>
      <c r="AF10793" s="57"/>
      <c r="AG10793" s="57"/>
      <c r="AH10793" s="57"/>
      <c r="AI10793" s="57"/>
      <c r="AJ10793" s="57"/>
      <c r="AK10793" s="57"/>
      <c r="AL10793" s="57"/>
      <c r="AM10793" s="385"/>
    </row>
    <row r="10794" spans="1:39" s="47" customFormat="1" hidden="1">
      <c r="A10794" s="121"/>
      <c r="B10794" s="121"/>
      <c r="C10794" s="121"/>
      <c r="D10794" s="121"/>
      <c r="E10794" s="121"/>
      <c r="F10794" s="121"/>
      <c r="G10794" s="121"/>
      <c r="H10794" s="121"/>
      <c r="I10794" s="121"/>
      <c r="J10794" s="121"/>
      <c r="K10794" s="121"/>
      <c r="L10794" s="121"/>
      <c r="M10794" s="121"/>
      <c r="N10794" s="222"/>
      <c r="O10794" s="529"/>
      <c r="P10794" s="260"/>
      <c r="Q10794" s="321"/>
      <c r="R10794" s="260"/>
      <c r="S10794" s="260"/>
      <c r="T10794" s="260"/>
      <c r="U10794" s="260"/>
      <c r="V10794" s="260"/>
      <c r="W10794" s="260"/>
      <c r="X10794" s="260"/>
      <c r="Y10794" s="260"/>
      <c r="Z10794" s="260"/>
      <c r="AA10794" s="260"/>
      <c r="AB10794" s="260"/>
      <c r="AC10794" s="260"/>
      <c r="AD10794" s="57"/>
      <c r="AE10794" s="57"/>
      <c r="AF10794" s="57"/>
      <c r="AG10794" s="57"/>
      <c r="AH10794" s="57"/>
      <c r="AI10794" s="57"/>
      <c r="AJ10794" s="57"/>
      <c r="AK10794" s="57"/>
      <c r="AL10794" s="57"/>
      <c r="AM10794" s="385"/>
    </row>
    <row r="10795" spans="1:39" s="47" customFormat="1" hidden="1">
      <c r="A10795" s="121"/>
      <c r="B10795" s="121"/>
      <c r="C10795" s="121"/>
      <c r="D10795" s="121"/>
      <c r="E10795" s="121"/>
      <c r="F10795" s="121"/>
      <c r="G10795" s="121"/>
      <c r="H10795" s="121"/>
      <c r="I10795" s="121"/>
      <c r="J10795" s="121"/>
      <c r="K10795" s="121"/>
      <c r="L10795" s="121"/>
      <c r="M10795" s="121"/>
      <c r="N10795" s="222"/>
      <c r="O10795" s="529"/>
      <c r="P10795" s="260"/>
      <c r="Q10795" s="321"/>
      <c r="R10795" s="260"/>
      <c r="S10795" s="260"/>
      <c r="T10795" s="260"/>
      <c r="U10795" s="260"/>
      <c r="V10795" s="260"/>
      <c r="W10795" s="260"/>
      <c r="X10795" s="260"/>
      <c r="Y10795" s="260"/>
      <c r="Z10795" s="260"/>
      <c r="AA10795" s="260"/>
      <c r="AB10795" s="260"/>
      <c r="AC10795" s="260"/>
      <c r="AD10795" s="57"/>
      <c r="AE10795" s="57"/>
      <c r="AF10795" s="57"/>
      <c r="AG10795" s="57"/>
      <c r="AH10795" s="57"/>
      <c r="AI10795" s="57"/>
      <c r="AJ10795" s="57"/>
      <c r="AK10795" s="57"/>
      <c r="AL10795" s="57"/>
      <c r="AM10795" s="385"/>
    </row>
    <row r="10796" spans="1:39" s="47" customFormat="1" hidden="1">
      <c r="A10796" s="121"/>
      <c r="B10796" s="121"/>
      <c r="C10796" s="121"/>
      <c r="D10796" s="121"/>
      <c r="E10796" s="121"/>
      <c r="F10796" s="121"/>
      <c r="G10796" s="121"/>
      <c r="H10796" s="121"/>
      <c r="I10796" s="121"/>
      <c r="J10796" s="121"/>
      <c r="K10796" s="121"/>
      <c r="L10796" s="121"/>
      <c r="M10796" s="121"/>
      <c r="N10796" s="222"/>
      <c r="O10796" s="558"/>
      <c r="P10796" s="260"/>
      <c r="Q10796" s="321"/>
      <c r="R10796" s="260"/>
      <c r="S10796" s="260"/>
      <c r="T10796" s="260"/>
      <c r="U10796" s="260"/>
      <c r="V10796" s="260"/>
      <c r="W10796" s="260"/>
      <c r="X10796" s="260"/>
      <c r="Y10796" s="260"/>
      <c r="Z10796" s="260"/>
      <c r="AA10796" s="260"/>
      <c r="AB10796" s="260"/>
      <c r="AC10796" s="260"/>
      <c r="AD10796" s="57"/>
      <c r="AE10796" s="57"/>
      <c r="AF10796" s="57"/>
      <c r="AG10796" s="57"/>
      <c r="AH10796" s="57"/>
      <c r="AI10796" s="57"/>
      <c r="AJ10796" s="57"/>
      <c r="AK10796" s="57"/>
      <c r="AL10796" s="57"/>
      <c r="AM10796" s="385"/>
    </row>
    <row r="10797" spans="1:39" s="47" customFormat="1" hidden="1">
      <c r="A10797" s="121"/>
      <c r="B10797" s="121"/>
      <c r="C10797" s="121"/>
      <c r="D10797" s="121"/>
      <c r="E10797" s="121"/>
      <c r="F10797" s="121"/>
      <c r="G10797" s="121"/>
      <c r="H10797" s="121"/>
      <c r="I10797" s="121"/>
      <c r="J10797" s="121"/>
      <c r="K10797" s="121"/>
      <c r="L10797" s="121"/>
      <c r="M10797" s="121"/>
      <c r="N10797" s="222"/>
      <c r="O10797" s="558"/>
      <c r="P10797" s="260"/>
      <c r="Q10797" s="321"/>
      <c r="R10797" s="260"/>
      <c r="S10797" s="260"/>
      <c r="T10797" s="260"/>
      <c r="U10797" s="260"/>
      <c r="V10797" s="260"/>
      <c r="W10797" s="260"/>
      <c r="X10797" s="260"/>
      <c r="Y10797" s="260"/>
      <c r="Z10797" s="260"/>
      <c r="AA10797" s="260"/>
      <c r="AB10797" s="260"/>
      <c r="AC10797" s="260"/>
      <c r="AD10797" s="57"/>
      <c r="AE10797" s="57"/>
      <c r="AF10797" s="57"/>
      <c r="AG10797" s="57"/>
      <c r="AH10797" s="57"/>
      <c r="AI10797" s="57"/>
      <c r="AJ10797" s="57"/>
      <c r="AK10797" s="57"/>
      <c r="AL10797" s="57"/>
      <c r="AM10797" s="385"/>
    </row>
    <row r="10798" spans="1:39" s="47" customFormat="1" hidden="1">
      <c r="A10798" s="121"/>
      <c r="B10798" s="121"/>
      <c r="C10798" s="121"/>
      <c r="D10798" s="121"/>
      <c r="E10798" s="121"/>
      <c r="F10798" s="121"/>
      <c r="G10798" s="121"/>
      <c r="H10798" s="121"/>
      <c r="I10798" s="121"/>
      <c r="J10798" s="121"/>
      <c r="K10798" s="121"/>
      <c r="L10798" s="121"/>
      <c r="M10798" s="121"/>
      <c r="N10798" s="222"/>
      <c r="O10798" s="558"/>
      <c r="P10798" s="260"/>
      <c r="Q10798" s="321"/>
      <c r="R10798" s="260"/>
      <c r="S10798" s="260"/>
      <c r="T10798" s="260"/>
      <c r="U10798" s="260"/>
      <c r="V10798" s="260"/>
      <c r="W10798" s="260"/>
      <c r="X10798" s="260"/>
      <c r="Y10798" s="260"/>
      <c r="Z10798" s="260"/>
      <c r="AA10798" s="260"/>
      <c r="AB10798" s="260"/>
      <c r="AC10798" s="260"/>
      <c r="AD10798" s="57"/>
      <c r="AE10798" s="57"/>
      <c r="AF10798" s="57"/>
      <c r="AG10798" s="57"/>
      <c r="AH10798" s="57"/>
      <c r="AI10798" s="57"/>
      <c r="AJ10798" s="57"/>
      <c r="AK10798" s="57"/>
      <c r="AL10798" s="57"/>
      <c r="AM10798" s="385"/>
    </row>
    <row r="10799" spans="1:39" s="47" customFormat="1">
      <c r="A10799" s="121"/>
      <c r="B10799" s="121"/>
      <c r="C10799" s="121"/>
      <c r="D10799" s="121"/>
      <c r="E10799" s="121"/>
      <c r="F10799" s="121"/>
      <c r="G10799" s="121"/>
      <c r="H10799" s="121"/>
      <c r="I10799" s="121"/>
      <c r="J10799" s="121"/>
      <c r="K10799" s="121"/>
      <c r="L10799" s="121"/>
      <c r="M10799" s="121"/>
      <c r="N10799" s="222" t="s">
        <v>2835</v>
      </c>
      <c r="O10799" s="533" t="s">
        <v>1838</v>
      </c>
      <c r="P10799" s="257"/>
      <c r="Q10799" s="321"/>
      <c r="R10799" s="260"/>
      <c r="S10799" s="260"/>
      <c r="T10799" s="260"/>
      <c r="U10799" s="260"/>
      <c r="V10799" s="262">
        <f>IF($AP$8="I",'ВС.РО 01.01 - 30.06'!V10799,IF($AP$8="II",'ВС.РО 01.07 - 31.08'!V10799,IF($AP$8="III",'ВС.РО 01.09 - 31.12'!V10799,0)))*V10877</f>
        <v>0</v>
      </c>
      <c r="W10799" s="548">
        <f>U10799+V10799</f>
        <v>0</v>
      </c>
      <c r="X10799" s="262">
        <f>IF($AP$8="I",'ВС.РО 01.01 - 30.06'!X10799,IF($AP$8="II",'ВС.РО 01.07 - 31.08'!X10799,IF($AP$8="III",'ВС.РО 01.09 - 31.12'!X10799,0)))*X10877</f>
        <v>0</v>
      </c>
      <c r="Y10799" s="260"/>
      <c r="Z10799" s="548">
        <f>X10799+Y10799</f>
        <v>0</v>
      </c>
      <c r="AA10799" s="262">
        <f>IF($AP$8="I",'ВС.РО 01.01 - 30.06'!AA10799,IF($AP$8="II",'ВС.РО 01.07 - 31.08'!AA10799,IF($AP$8="III",'ВС.РО 01.09 - 31.12'!AA10799,0)))*AA10877</f>
        <v>0</v>
      </c>
      <c r="AB10799" s="262">
        <f>IF($AP$8="I",'ВС.РО 01.01 - 30.06'!AB10799,IF($AP$8="II",'ВС.РО 01.07 - 31.08'!AB10799,IF($AP$8="III",'ВС.РО 01.09 - 31.12'!AB10799,0)))*AB10877</f>
        <v>0</v>
      </c>
      <c r="AC10799" s="548">
        <f>AA10799+AB10799</f>
        <v>0</v>
      </c>
      <c r="AD10799" s="57"/>
      <c r="AE10799" s="57"/>
      <c r="AF10799" s="57"/>
      <c r="AG10799" s="57"/>
      <c r="AH10799" s="57"/>
      <c r="AI10799" s="57"/>
      <c r="AJ10799" s="57"/>
      <c r="AK10799" s="57"/>
      <c r="AL10799" s="57"/>
      <c r="AM10799" s="385"/>
    </row>
    <row r="10800" spans="1:39" s="47" customFormat="1" hidden="1">
      <c r="A10800" s="121"/>
      <c r="B10800" s="121"/>
      <c r="C10800" s="121"/>
      <c r="D10800" s="121"/>
      <c r="E10800" s="121"/>
      <c r="F10800" s="121"/>
      <c r="G10800" s="121"/>
      <c r="H10800" s="121"/>
      <c r="I10800" s="121"/>
      <c r="J10800" s="121"/>
      <c r="K10800" s="121"/>
      <c r="L10800" s="121"/>
      <c r="M10800" s="121"/>
      <c r="N10800" s="222"/>
      <c r="O10800" s="534"/>
      <c r="P10800" s="260"/>
      <c r="Q10800" s="321"/>
      <c r="R10800" s="260"/>
      <c r="S10800" s="260"/>
      <c r="T10800" s="260"/>
      <c r="U10800" s="260"/>
      <c r="V10800" s="260"/>
      <c r="W10800" s="260"/>
      <c r="X10800" s="260"/>
      <c r="Y10800" s="260"/>
      <c r="Z10800" s="260"/>
      <c r="AA10800" s="260"/>
      <c r="AB10800" s="260"/>
      <c r="AC10800" s="260"/>
      <c r="AD10800" s="57"/>
      <c r="AE10800" s="57"/>
      <c r="AF10800" s="57"/>
      <c r="AG10800" s="57"/>
      <c r="AH10800" s="57"/>
      <c r="AI10800" s="57"/>
      <c r="AJ10800" s="57"/>
      <c r="AK10800" s="57"/>
      <c r="AL10800" s="57"/>
      <c r="AM10800" s="385"/>
    </row>
    <row r="10801" spans="1:39" s="47" customFormat="1" hidden="1">
      <c r="A10801" s="121"/>
      <c r="B10801" s="121"/>
      <c r="C10801" s="121"/>
      <c r="D10801" s="121"/>
      <c r="E10801" s="121"/>
      <c r="F10801" s="121"/>
      <c r="G10801" s="121"/>
      <c r="H10801" s="121"/>
      <c r="I10801" s="121"/>
      <c r="J10801" s="121"/>
      <c r="K10801" s="121"/>
      <c r="L10801" s="121"/>
      <c r="M10801" s="121"/>
      <c r="N10801" s="222"/>
      <c r="O10801" s="534"/>
      <c r="P10801" s="260"/>
      <c r="Q10801" s="321"/>
      <c r="R10801" s="260"/>
      <c r="S10801" s="260"/>
      <c r="T10801" s="260"/>
      <c r="U10801" s="260"/>
      <c r="V10801" s="260"/>
      <c r="W10801" s="260"/>
      <c r="X10801" s="260"/>
      <c r="Y10801" s="260"/>
      <c r="Z10801" s="260"/>
      <c r="AA10801" s="260"/>
      <c r="AB10801" s="260"/>
      <c r="AC10801" s="260"/>
      <c r="AD10801" s="57"/>
      <c r="AE10801" s="57"/>
      <c r="AF10801" s="57"/>
      <c r="AG10801" s="57"/>
      <c r="AH10801" s="57"/>
      <c r="AI10801" s="57"/>
      <c r="AJ10801" s="57"/>
      <c r="AK10801" s="57"/>
      <c r="AL10801" s="57"/>
      <c r="AM10801" s="385"/>
    </row>
    <row r="10802" spans="1:39" s="47" customFormat="1" hidden="1">
      <c r="A10802" s="121"/>
      <c r="B10802" s="121"/>
      <c r="C10802" s="121"/>
      <c r="D10802" s="121"/>
      <c r="E10802" s="121"/>
      <c r="F10802" s="121"/>
      <c r="G10802" s="121"/>
      <c r="H10802" s="121"/>
      <c r="I10802" s="121"/>
      <c r="J10802" s="121"/>
      <c r="K10802" s="121"/>
      <c r="L10802" s="121"/>
      <c r="M10802" s="121"/>
      <c r="N10802" s="222"/>
      <c r="O10802" s="558"/>
      <c r="P10802" s="260"/>
      <c r="Q10802" s="321"/>
      <c r="R10802" s="260"/>
      <c r="S10802" s="260"/>
      <c r="T10802" s="260"/>
      <c r="U10802" s="260"/>
      <c r="V10802" s="260"/>
      <c r="W10802" s="260"/>
      <c r="X10802" s="260"/>
      <c r="Y10802" s="260"/>
      <c r="Z10802" s="260"/>
      <c r="AA10802" s="260"/>
      <c r="AB10802" s="260"/>
      <c r="AC10802" s="260"/>
      <c r="AD10802" s="57"/>
      <c r="AE10802" s="57"/>
      <c r="AF10802" s="57"/>
      <c r="AG10802" s="57"/>
      <c r="AH10802" s="57"/>
      <c r="AI10802" s="57"/>
      <c r="AJ10802" s="57"/>
      <c r="AK10802" s="57"/>
      <c r="AL10802" s="57"/>
      <c r="AM10802" s="385"/>
    </row>
    <row r="10803" spans="1:39" s="47" customFormat="1" hidden="1">
      <c r="A10803" s="121"/>
      <c r="B10803" s="121"/>
      <c r="C10803" s="121"/>
      <c r="D10803" s="121"/>
      <c r="E10803" s="121"/>
      <c r="F10803" s="121"/>
      <c r="G10803" s="121"/>
      <c r="H10803" s="121"/>
      <c r="I10803" s="121"/>
      <c r="J10803" s="121"/>
      <c r="K10803" s="121"/>
      <c r="L10803" s="121"/>
      <c r="M10803" s="121"/>
      <c r="N10803" s="222"/>
      <c r="O10803" s="558"/>
      <c r="P10803" s="260"/>
      <c r="Q10803" s="321"/>
      <c r="R10803" s="260"/>
      <c r="S10803" s="260"/>
      <c r="T10803" s="260"/>
      <c r="U10803" s="260"/>
      <c r="V10803" s="260"/>
      <c r="W10803" s="260"/>
      <c r="X10803" s="260"/>
      <c r="Y10803" s="260"/>
      <c r="Z10803" s="260"/>
      <c r="AA10803" s="260"/>
      <c r="AB10803" s="260"/>
      <c r="AC10803" s="260"/>
      <c r="AD10803" s="57"/>
      <c r="AE10803" s="57"/>
      <c r="AF10803" s="57"/>
      <c r="AG10803" s="57"/>
      <c r="AH10803" s="57"/>
      <c r="AI10803" s="57"/>
      <c r="AJ10803" s="57"/>
      <c r="AK10803" s="57"/>
      <c r="AL10803" s="57"/>
      <c r="AM10803" s="385"/>
    </row>
    <row r="10804" spans="1:39" s="47" customFormat="1" hidden="1">
      <c r="A10804" s="121"/>
      <c r="B10804" s="121"/>
      <c r="C10804" s="121"/>
      <c r="D10804" s="121"/>
      <c r="E10804" s="121"/>
      <c r="F10804" s="121"/>
      <c r="G10804" s="121"/>
      <c r="H10804" s="121"/>
      <c r="I10804" s="121"/>
      <c r="J10804" s="121"/>
      <c r="K10804" s="121"/>
      <c r="L10804" s="121"/>
      <c r="M10804" s="121"/>
      <c r="N10804" s="222"/>
      <c r="O10804" s="558"/>
      <c r="P10804" s="260"/>
      <c r="Q10804" s="321"/>
      <c r="R10804" s="260"/>
      <c r="S10804" s="260"/>
      <c r="T10804" s="260"/>
      <c r="U10804" s="260"/>
      <c r="V10804" s="260"/>
      <c r="W10804" s="260"/>
      <c r="X10804" s="260"/>
      <c r="Y10804" s="260"/>
      <c r="Z10804" s="260"/>
      <c r="AA10804" s="260"/>
      <c r="AB10804" s="260"/>
      <c r="AC10804" s="260"/>
      <c r="AD10804" s="57"/>
      <c r="AE10804" s="57"/>
      <c r="AF10804" s="57"/>
      <c r="AG10804" s="57"/>
      <c r="AH10804" s="57"/>
      <c r="AI10804" s="57"/>
      <c r="AJ10804" s="57"/>
      <c r="AK10804" s="57"/>
      <c r="AL10804" s="57"/>
      <c r="AM10804" s="385"/>
    </row>
    <row r="10805" spans="1:39" s="47" customFormat="1">
      <c r="A10805" s="121"/>
      <c r="B10805" s="121"/>
      <c r="C10805" s="121"/>
      <c r="D10805" s="121"/>
      <c r="E10805" s="121"/>
      <c r="F10805" s="121"/>
      <c r="G10805" s="121"/>
      <c r="H10805" s="121"/>
      <c r="I10805" s="121"/>
      <c r="J10805" s="121"/>
      <c r="K10805" s="121"/>
      <c r="L10805" s="121"/>
      <c r="M10805" s="121"/>
      <c r="N10805" s="222" t="s">
        <v>2838</v>
      </c>
      <c r="O10805" s="533" t="s">
        <v>1843</v>
      </c>
      <c r="P10805" s="257"/>
      <c r="Q10805" s="321"/>
      <c r="R10805" s="260"/>
      <c r="S10805" s="260"/>
      <c r="T10805" s="260"/>
      <c r="U10805" s="260"/>
      <c r="V10805" s="262">
        <f>IF($AP$8="I",'ВС.РО 01.01 - 30.06'!V10805,IF($AP$8="II",'ВС.РО 01.07 - 31.08'!V10805,IF($AP$8="III",'ВС.РО 01.09 - 31.12'!V10805,0)))*V10877</f>
        <v>0</v>
      </c>
      <c r="W10805" s="548">
        <f>U10805+V10805</f>
        <v>0</v>
      </c>
      <c r="X10805" s="262">
        <f>IF($AP$8="I",'ВС.РО 01.01 - 30.06'!X10805,IF($AP$8="II",'ВС.РО 01.07 - 31.08'!X10805,IF($AP$8="III",'ВС.РО 01.09 - 31.12'!X10805,0)))*X10877</f>
        <v>0</v>
      </c>
      <c r="Y10805" s="260"/>
      <c r="Z10805" s="548">
        <f>X10805+Y10805</f>
        <v>0</v>
      </c>
      <c r="AA10805" s="262">
        <f>IF($AP$8="I",'ВС.РО 01.01 - 30.06'!AA10805,IF($AP$8="II",'ВС.РО 01.07 - 31.08'!AA10805,IF($AP$8="III",'ВС.РО 01.09 - 31.12'!AA10805,0)))*AA10877</f>
        <v>0</v>
      </c>
      <c r="AB10805" s="262">
        <f>IF($AP$8="I",'ВС.РО 01.01 - 30.06'!AB10805,IF($AP$8="II",'ВС.РО 01.07 - 31.08'!AB10805,IF($AP$8="III",'ВС.РО 01.09 - 31.12'!AB10805,0)))*AB10877</f>
        <v>0</v>
      </c>
      <c r="AC10805" s="548">
        <f>AA10805+AB10805</f>
        <v>0</v>
      </c>
      <c r="AD10805" s="57"/>
      <c r="AE10805" s="57"/>
      <c r="AF10805" s="57"/>
      <c r="AG10805" s="57"/>
      <c r="AH10805" s="57"/>
      <c r="AI10805" s="57"/>
      <c r="AJ10805" s="57"/>
      <c r="AK10805" s="57"/>
      <c r="AL10805" s="57"/>
      <c r="AM10805" s="385"/>
    </row>
    <row r="10806" spans="1:39" s="47" customFormat="1" hidden="1">
      <c r="A10806" s="121"/>
      <c r="B10806" s="121"/>
      <c r="C10806" s="121"/>
      <c r="D10806" s="121"/>
      <c r="E10806" s="121"/>
      <c r="F10806" s="121"/>
      <c r="G10806" s="121"/>
      <c r="H10806" s="121"/>
      <c r="I10806" s="121"/>
      <c r="J10806" s="121"/>
      <c r="K10806" s="121"/>
      <c r="L10806" s="121"/>
      <c r="M10806" s="121"/>
      <c r="N10806" s="222"/>
      <c r="O10806" s="534"/>
      <c r="P10806" s="260"/>
      <c r="Q10806" s="321"/>
      <c r="R10806" s="260"/>
      <c r="S10806" s="260"/>
      <c r="T10806" s="260"/>
      <c r="U10806" s="260"/>
      <c r="V10806" s="260"/>
      <c r="W10806" s="260"/>
      <c r="X10806" s="260"/>
      <c r="Y10806" s="260"/>
      <c r="Z10806" s="260"/>
      <c r="AA10806" s="260"/>
      <c r="AB10806" s="260"/>
      <c r="AC10806" s="260"/>
      <c r="AD10806" s="57"/>
      <c r="AE10806" s="57"/>
      <c r="AF10806" s="57"/>
      <c r="AG10806" s="57"/>
      <c r="AH10806" s="57"/>
      <c r="AI10806" s="57"/>
      <c r="AJ10806" s="57"/>
      <c r="AK10806" s="57"/>
      <c r="AL10806" s="57"/>
      <c r="AM10806" s="385"/>
    </row>
    <row r="10807" spans="1:39" s="47" customFormat="1" hidden="1">
      <c r="A10807" s="121"/>
      <c r="B10807" s="121"/>
      <c r="C10807" s="121"/>
      <c r="D10807" s="121"/>
      <c r="E10807" s="121"/>
      <c r="F10807" s="121"/>
      <c r="G10807" s="121"/>
      <c r="H10807" s="121"/>
      <c r="I10807" s="121"/>
      <c r="J10807" s="121"/>
      <c r="K10807" s="121"/>
      <c r="L10807" s="121"/>
      <c r="M10807" s="121"/>
      <c r="N10807" s="222"/>
      <c r="O10807" s="534"/>
      <c r="P10807" s="260"/>
      <c r="Q10807" s="321"/>
      <c r="R10807" s="260"/>
      <c r="S10807" s="260"/>
      <c r="T10807" s="260"/>
      <c r="U10807" s="260"/>
      <c r="V10807" s="260"/>
      <c r="W10807" s="260"/>
      <c r="X10807" s="260"/>
      <c r="Y10807" s="260"/>
      <c r="Z10807" s="260"/>
      <c r="AA10807" s="260"/>
      <c r="AB10807" s="260"/>
      <c r="AC10807" s="260"/>
      <c r="AD10807" s="57"/>
      <c r="AE10807" s="57"/>
      <c r="AF10807" s="57"/>
      <c r="AG10807" s="57"/>
      <c r="AH10807" s="57"/>
      <c r="AI10807" s="57"/>
      <c r="AJ10807" s="57"/>
      <c r="AK10807" s="57"/>
      <c r="AL10807" s="57"/>
      <c r="AM10807" s="385"/>
    </row>
    <row r="10808" spans="1:39" s="47" customFormat="1">
      <c r="A10808" s="121"/>
      <c r="B10808" s="121"/>
      <c r="C10808" s="121"/>
      <c r="D10808" s="121"/>
      <c r="E10808" s="121"/>
      <c r="F10808" s="121"/>
      <c r="G10808" s="121"/>
      <c r="H10808" s="121"/>
      <c r="I10808" s="121"/>
      <c r="J10808" s="121"/>
      <c r="K10808" s="121"/>
      <c r="L10808" s="121"/>
      <c r="M10808" s="121"/>
      <c r="N10808" s="222" t="s">
        <v>2841</v>
      </c>
      <c r="O10808" s="533" t="s">
        <v>1849</v>
      </c>
      <c r="P10808" s="257"/>
      <c r="Q10808" s="321"/>
      <c r="R10808" s="260"/>
      <c r="S10808" s="260"/>
      <c r="T10808" s="260"/>
      <c r="U10808" s="260"/>
      <c r="V10808" s="262">
        <f>IF($AP$8="I",'ВС.РО 01.01 - 30.06'!V10808,IF($AP$8="II",'ВС.РО 01.07 - 31.08'!V10808,IF($AP$8="III",'ВС.РО 01.09 - 31.12'!V10808,0)))*V10877</f>
        <v>0</v>
      </c>
      <c r="W10808" s="548">
        <f>U10808+V10808</f>
        <v>0</v>
      </c>
      <c r="X10808" s="262">
        <f>IF($AP$8="I",'ВС.РО 01.01 - 30.06'!X10808,IF($AP$8="II",'ВС.РО 01.07 - 31.08'!X10808,IF($AP$8="III",'ВС.РО 01.09 - 31.12'!X10808,0)))*X10877</f>
        <v>0</v>
      </c>
      <c r="Y10808" s="260"/>
      <c r="Z10808" s="548">
        <f>X10808+Y10808</f>
        <v>0</v>
      </c>
      <c r="AA10808" s="262">
        <f>IF($AP$8="I",'ВС.РО 01.01 - 30.06'!AA10808,IF($AP$8="II",'ВС.РО 01.07 - 31.08'!AA10808,IF($AP$8="III",'ВС.РО 01.09 - 31.12'!AA10808,0)))*AA10877</f>
        <v>0</v>
      </c>
      <c r="AB10808" s="262">
        <f>IF($AP$8="I",'ВС.РО 01.01 - 30.06'!AB10808,IF($AP$8="II",'ВС.РО 01.07 - 31.08'!AB10808,IF($AP$8="III",'ВС.РО 01.09 - 31.12'!AB10808,0)))*AB10877</f>
        <v>0</v>
      </c>
      <c r="AC10808" s="548">
        <f>AA10808+AB10808</f>
        <v>0</v>
      </c>
      <c r="AD10808" s="57"/>
      <c r="AE10808" s="57"/>
      <c r="AF10808" s="57"/>
      <c r="AG10808" s="57"/>
      <c r="AH10808" s="57"/>
      <c r="AI10808" s="57"/>
      <c r="AJ10808" s="57"/>
      <c r="AK10808" s="57"/>
      <c r="AL10808" s="57"/>
      <c r="AM10808" s="385"/>
    </row>
    <row r="10809" spans="1:39" s="47" customFormat="1" hidden="1">
      <c r="A10809" s="121"/>
      <c r="B10809" s="121"/>
      <c r="C10809" s="121"/>
      <c r="D10809" s="121"/>
      <c r="E10809" s="121"/>
      <c r="F10809" s="121"/>
      <c r="G10809" s="121"/>
      <c r="H10809" s="121"/>
      <c r="I10809" s="121"/>
      <c r="J10809" s="121"/>
      <c r="K10809" s="121"/>
      <c r="L10809" s="121"/>
      <c r="M10809" s="121"/>
      <c r="N10809" s="222"/>
      <c r="O10809" s="534"/>
      <c r="P10809" s="260"/>
      <c r="Q10809" s="321"/>
      <c r="R10809" s="260"/>
      <c r="S10809" s="260"/>
      <c r="T10809" s="260"/>
      <c r="U10809" s="260"/>
      <c r="V10809" s="260"/>
      <c r="W10809" s="260"/>
      <c r="X10809" s="260"/>
      <c r="Y10809" s="260"/>
      <c r="Z10809" s="260"/>
      <c r="AA10809" s="260"/>
      <c r="AB10809" s="260"/>
      <c r="AC10809" s="260"/>
      <c r="AD10809" s="57"/>
      <c r="AE10809" s="57"/>
      <c r="AF10809" s="57"/>
      <c r="AG10809" s="57"/>
      <c r="AH10809" s="57"/>
      <c r="AI10809" s="57"/>
      <c r="AJ10809" s="57"/>
      <c r="AK10809" s="57"/>
      <c r="AL10809" s="57"/>
      <c r="AM10809" s="385"/>
    </row>
    <row r="10810" spans="1:39" s="47" customFormat="1" hidden="1">
      <c r="A10810" s="121"/>
      <c r="B10810" s="121"/>
      <c r="C10810" s="121"/>
      <c r="D10810" s="121"/>
      <c r="E10810" s="121"/>
      <c r="F10810" s="121"/>
      <c r="G10810" s="121"/>
      <c r="H10810" s="121"/>
      <c r="I10810" s="121"/>
      <c r="J10810" s="121"/>
      <c r="K10810" s="121"/>
      <c r="L10810" s="121"/>
      <c r="M10810" s="121"/>
      <c r="N10810" s="222"/>
      <c r="O10810" s="529"/>
      <c r="P10810" s="260"/>
      <c r="Q10810" s="321"/>
      <c r="R10810" s="260"/>
      <c r="S10810" s="260"/>
      <c r="T10810" s="260"/>
      <c r="U10810" s="260"/>
      <c r="V10810" s="260"/>
      <c r="W10810" s="260"/>
      <c r="X10810" s="260"/>
      <c r="Y10810" s="260"/>
      <c r="Z10810" s="260"/>
      <c r="AA10810" s="260"/>
      <c r="AB10810" s="260"/>
      <c r="AC10810" s="260"/>
      <c r="AD10810" s="57"/>
      <c r="AE10810" s="57"/>
      <c r="AF10810" s="57"/>
      <c r="AG10810" s="57"/>
      <c r="AH10810" s="57"/>
      <c r="AI10810" s="57"/>
      <c r="AJ10810" s="57"/>
      <c r="AK10810" s="57"/>
      <c r="AL10810" s="57"/>
      <c r="AM10810" s="385"/>
    </row>
    <row r="10811" spans="1:39" s="47" customFormat="1" ht="22.5">
      <c r="A10811" s="121"/>
      <c r="B10811" s="121"/>
      <c r="C10811" s="121"/>
      <c r="D10811" s="121"/>
      <c r="E10811" s="121"/>
      <c r="F10811" s="121"/>
      <c r="G10811" s="121"/>
      <c r="H10811" s="121"/>
      <c r="I10811" s="121"/>
      <c r="J10811" s="121"/>
      <c r="K10811" s="121"/>
      <c r="L10811" s="121"/>
      <c r="M10811" s="121"/>
      <c r="N10811" s="222" t="s">
        <v>2844</v>
      </c>
      <c r="O10811" s="533" t="s">
        <v>1856</v>
      </c>
      <c r="P10811" s="257"/>
      <c r="Q10811" s="321"/>
      <c r="R10811" s="260"/>
      <c r="S10811" s="260"/>
      <c r="T10811" s="260"/>
      <c r="U10811" s="260"/>
      <c r="V10811" s="262">
        <f>IF($AP$8="I",'ВС.РО 01.01 - 30.06'!V10811,IF($AP$8="II",'ВС.РО 01.07 - 31.08'!V10811,IF($AP$8="III",'ВС.РО 01.09 - 31.12'!V10811,0)))*V10877</f>
        <v>0</v>
      </c>
      <c r="W10811" s="548">
        <f>U10811+V10811</f>
        <v>0</v>
      </c>
      <c r="X10811" s="262">
        <f>IF($AP$8="I",'ВС.РО 01.01 - 30.06'!X10811,IF($AP$8="II",'ВС.РО 01.07 - 31.08'!X10811,IF($AP$8="III",'ВС.РО 01.09 - 31.12'!X10811,0)))*X10877</f>
        <v>0</v>
      </c>
      <c r="Y10811" s="260"/>
      <c r="Z10811" s="548">
        <f>X10811+Y10811</f>
        <v>0</v>
      </c>
      <c r="AA10811" s="262">
        <f>IF($AP$8="I",'ВС.РО 01.01 - 30.06'!AA10811,IF($AP$8="II",'ВС.РО 01.07 - 31.08'!AA10811,IF($AP$8="III",'ВС.РО 01.09 - 31.12'!AA10811,0)))*AA10877</f>
        <v>0</v>
      </c>
      <c r="AB10811" s="262">
        <f>IF($AP$8="I",'ВС.РО 01.01 - 30.06'!AB10811,IF($AP$8="II",'ВС.РО 01.07 - 31.08'!AB10811,IF($AP$8="III",'ВС.РО 01.09 - 31.12'!AB10811,0)))*AB10877</f>
        <v>0</v>
      </c>
      <c r="AC10811" s="548">
        <f>AA10811+AB10811</f>
        <v>0</v>
      </c>
      <c r="AD10811" s="57"/>
      <c r="AE10811" s="57"/>
      <c r="AF10811" s="57"/>
      <c r="AG10811" s="57"/>
      <c r="AH10811" s="57"/>
      <c r="AI10811" s="57"/>
      <c r="AJ10811" s="57"/>
      <c r="AK10811" s="57"/>
      <c r="AL10811" s="57"/>
      <c r="AM10811" s="385"/>
    </row>
    <row r="10812" spans="1:39" s="47" customFormat="1" hidden="1">
      <c r="A10812" s="121"/>
      <c r="B10812" s="121"/>
      <c r="C10812" s="121"/>
      <c r="D10812" s="121"/>
      <c r="E10812" s="121"/>
      <c r="F10812" s="121"/>
      <c r="G10812" s="121"/>
      <c r="H10812" s="121"/>
      <c r="I10812" s="121"/>
      <c r="J10812" s="121"/>
      <c r="K10812" s="121"/>
      <c r="L10812" s="121"/>
      <c r="M10812" s="121"/>
      <c r="N10812" s="222"/>
      <c r="O10812" s="534"/>
      <c r="P10812" s="260"/>
      <c r="Q10812" s="321"/>
      <c r="R10812" s="260"/>
      <c r="S10812" s="260"/>
      <c r="T10812" s="260"/>
      <c r="U10812" s="260"/>
      <c r="V10812" s="260"/>
      <c r="W10812" s="260"/>
      <c r="X10812" s="260"/>
      <c r="Y10812" s="260"/>
      <c r="Z10812" s="260"/>
      <c r="AA10812" s="260"/>
      <c r="AB10812" s="260"/>
      <c r="AC10812" s="260"/>
      <c r="AD10812" s="57"/>
      <c r="AE10812" s="57"/>
      <c r="AF10812" s="57"/>
      <c r="AG10812" s="57"/>
      <c r="AH10812" s="57"/>
      <c r="AI10812" s="57"/>
      <c r="AJ10812" s="57"/>
      <c r="AK10812" s="57"/>
      <c r="AL10812" s="57"/>
      <c r="AM10812" s="385"/>
    </row>
    <row r="10813" spans="1:39" s="47" customFormat="1" hidden="1">
      <c r="A10813" s="121"/>
      <c r="B10813" s="121"/>
      <c r="C10813" s="121"/>
      <c r="D10813" s="121"/>
      <c r="E10813" s="121"/>
      <c r="F10813" s="121"/>
      <c r="G10813" s="121"/>
      <c r="H10813" s="121"/>
      <c r="I10813" s="121"/>
      <c r="J10813" s="121"/>
      <c r="K10813" s="121"/>
      <c r="L10813" s="121"/>
      <c r="M10813" s="121"/>
      <c r="N10813" s="222"/>
      <c r="O10813" s="529"/>
      <c r="P10813" s="260"/>
      <c r="Q10813" s="321"/>
      <c r="R10813" s="260"/>
      <c r="S10813" s="260"/>
      <c r="T10813" s="260"/>
      <c r="U10813" s="260"/>
      <c r="V10813" s="260"/>
      <c r="W10813" s="260"/>
      <c r="X10813" s="260"/>
      <c r="Y10813" s="260"/>
      <c r="Z10813" s="260"/>
      <c r="AA10813" s="260"/>
      <c r="AB10813" s="260"/>
      <c r="AC10813" s="260"/>
      <c r="AD10813" s="57"/>
      <c r="AE10813" s="57"/>
      <c r="AF10813" s="57"/>
      <c r="AG10813" s="57"/>
      <c r="AH10813" s="57"/>
      <c r="AI10813" s="57"/>
      <c r="AJ10813" s="57"/>
      <c r="AK10813" s="57"/>
      <c r="AL10813" s="57"/>
      <c r="AM10813" s="385"/>
    </row>
    <row r="10814" spans="1:39" s="47" customFormat="1">
      <c r="A10814" s="121"/>
      <c r="B10814" s="121"/>
      <c r="C10814" s="121"/>
      <c r="D10814" s="121"/>
      <c r="E10814" s="121"/>
      <c r="F10814" s="121"/>
      <c r="G10814" s="121"/>
      <c r="H10814" s="121"/>
      <c r="I10814" s="121"/>
      <c r="J10814" s="121"/>
      <c r="K10814" s="121"/>
      <c r="L10814" s="121"/>
      <c r="M10814" s="121"/>
      <c r="N10814" s="504" t="s">
        <v>2847</v>
      </c>
      <c r="O10814" s="535" t="s">
        <v>2848</v>
      </c>
      <c r="P10814" s="257"/>
      <c r="Q10814" s="321"/>
      <c r="R10814" s="260"/>
      <c r="S10814" s="260"/>
      <c r="T10814" s="260"/>
      <c r="U10814" s="260"/>
      <c r="V10814" s="257">
        <f>SUM(V10815:V10819)</f>
        <v>0</v>
      </c>
      <c r="W10814" s="548">
        <f t="shared" ref="W10814:W10858" si="58">U10814+V10814</f>
        <v>0</v>
      </c>
      <c r="X10814" s="257">
        <f>SUM(X10815:X10819)</f>
        <v>0</v>
      </c>
      <c r="Y10814" s="260"/>
      <c r="Z10814" s="548">
        <f t="shared" ref="Z10814:Z10850" si="59">X10814+Y10814</f>
        <v>0</v>
      </c>
      <c r="AA10814" s="257">
        <f>SUM(AA10815:AA10819)</f>
        <v>0</v>
      </c>
      <c r="AB10814" s="257">
        <f>SUM(AB10815:AB10819)</f>
        <v>0</v>
      </c>
      <c r="AC10814" s="548">
        <f t="shared" ref="AC10814:AC10850" si="60">AA10814+AB10814</f>
        <v>0</v>
      </c>
      <c r="AD10814" s="57"/>
      <c r="AE10814" s="57"/>
      <c r="AF10814" s="57"/>
      <c r="AG10814" s="57"/>
      <c r="AH10814" s="57"/>
      <c r="AI10814" s="57"/>
      <c r="AJ10814" s="57"/>
      <c r="AK10814" s="57"/>
      <c r="AL10814" s="57"/>
      <c r="AM10814" s="385"/>
    </row>
    <row r="10815" spans="1:39" s="47" customFormat="1" ht="22.5">
      <c r="A10815" s="121"/>
      <c r="B10815" s="121"/>
      <c r="C10815" s="121"/>
      <c r="D10815" s="121"/>
      <c r="E10815" s="121"/>
      <c r="F10815" s="121"/>
      <c r="G10815" s="121"/>
      <c r="H10815" s="121"/>
      <c r="I10815" s="121"/>
      <c r="J10815" s="121"/>
      <c r="K10815" s="121"/>
      <c r="L10815" s="121"/>
      <c r="M10815" s="121"/>
      <c r="N10815" s="504" t="s">
        <v>2849</v>
      </c>
      <c r="O10815" s="533" t="s">
        <v>2415</v>
      </c>
      <c r="P10815" s="257"/>
      <c r="Q10815" s="321"/>
      <c r="R10815" s="260"/>
      <c r="S10815" s="260"/>
      <c r="T10815" s="260"/>
      <c r="U10815" s="260"/>
      <c r="V10815" s="262">
        <f>IF($AP$8="I",'ВС.РО 01.01 - 30.06'!V10815,IF($AP$8="II",'ВС.РО 01.07 - 31.08'!V10815,IF($AP$8="III",'ВС.РО 01.09 - 31.12'!V10815,0)))*V10877</f>
        <v>0</v>
      </c>
      <c r="W10815" s="548">
        <f t="shared" si="58"/>
        <v>0</v>
      </c>
      <c r="X10815" s="262">
        <f>IF($AP$8="I",'ВС.РО 01.01 - 30.06'!X10815,IF($AP$8="II",'ВС.РО 01.07 - 31.08'!X10815,IF($AP$8="III",'ВС.РО 01.09 - 31.12'!X10815,0)))*X10877</f>
        <v>0</v>
      </c>
      <c r="Y10815" s="260"/>
      <c r="Z10815" s="548">
        <f t="shared" si="59"/>
        <v>0</v>
      </c>
      <c r="AA10815" s="262">
        <f>IF($AP$8="I",'ВС.РО 01.01 - 30.06'!AA10815,IF($AP$8="II",'ВС.РО 01.07 - 31.08'!AA10815,IF($AP$8="III",'ВС.РО 01.09 - 31.12'!AA10815,0)))*AA10877</f>
        <v>0</v>
      </c>
      <c r="AB10815" s="262">
        <f>IF($AP$8="I",'ВС.РО 01.01 - 30.06'!AB10815,IF($AP$8="II",'ВС.РО 01.07 - 31.08'!AB10815,IF($AP$8="III",'ВС.РО 01.09 - 31.12'!AB10815,0)))*AB10877</f>
        <v>0</v>
      </c>
      <c r="AC10815" s="548">
        <f t="shared" si="60"/>
        <v>0</v>
      </c>
      <c r="AD10815" s="57"/>
      <c r="AE10815" s="57"/>
      <c r="AF10815" s="57"/>
      <c r="AG10815" s="57"/>
      <c r="AH10815" s="57"/>
      <c r="AI10815" s="57"/>
      <c r="AJ10815" s="57"/>
      <c r="AK10815" s="57"/>
      <c r="AL10815" s="57"/>
      <c r="AM10815" s="385"/>
    </row>
    <row r="10816" spans="1:39" s="47" customFormat="1" ht="22.5">
      <c r="A10816" s="121"/>
      <c r="B10816" s="121"/>
      <c r="C10816" s="121"/>
      <c r="D10816" s="121"/>
      <c r="E10816" s="121"/>
      <c r="F10816" s="121"/>
      <c r="G10816" s="121"/>
      <c r="H10816" s="121"/>
      <c r="I10816" s="121"/>
      <c r="J10816" s="121"/>
      <c r="K10816" s="121"/>
      <c r="L10816" s="121"/>
      <c r="M10816" s="121"/>
      <c r="N10816" s="504" t="s">
        <v>2850</v>
      </c>
      <c r="O10816" s="533" t="s">
        <v>2417</v>
      </c>
      <c r="P10816" s="257"/>
      <c r="Q10816" s="321"/>
      <c r="R10816" s="260"/>
      <c r="S10816" s="260"/>
      <c r="T10816" s="260"/>
      <c r="U10816" s="260"/>
      <c r="V10816" s="262">
        <f>IF($AP$8="I",'ВС.РО 01.01 - 30.06'!V10816,IF($AP$8="II",'ВС.РО 01.07 - 31.08'!V10816,IF($AP$8="III",'ВС.РО 01.09 - 31.12'!V10816,0)))*V10877</f>
        <v>0</v>
      </c>
      <c r="W10816" s="548">
        <f t="shared" si="58"/>
        <v>0</v>
      </c>
      <c r="X10816" s="262">
        <f>IF($AP$8="I",'ВС.РО 01.01 - 30.06'!X10816,IF($AP$8="II",'ВС.РО 01.07 - 31.08'!X10816,IF($AP$8="III",'ВС.РО 01.09 - 31.12'!X10816,0)))*X10877</f>
        <v>0</v>
      </c>
      <c r="Y10816" s="260"/>
      <c r="Z10816" s="548">
        <f t="shared" si="59"/>
        <v>0</v>
      </c>
      <c r="AA10816" s="262">
        <f>IF($AP$8="I",'ВС.РО 01.01 - 30.06'!AA10816,IF($AP$8="II",'ВС.РО 01.07 - 31.08'!AA10816,IF($AP$8="III",'ВС.РО 01.09 - 31.12'!AA10816,0)))*AA10877</f>
        <v>0</v>
      </c>
      <c r="AB10816" s="262">
        <f>IF($AP$8="I",'ВС.РО 01.01 - 30.06'!AB10816,IF($AP$8="II",'ВС.РО 01.07 - 31.08'!AB10816,IF($AP$8="III",'ВС.РО 01.09 - 31.12'!AB10816,0)))*AB10877</f>
        <v>0</v>
      </c>
      <c r="AC10816" s="548">
        <f t="shared" si="60"/>
        <v>0</v>
      </c>
      <c r="AD10816" s="57"/>
      <c r="AE10816" s="57"/>
      <c r="AF10816" s="57"/>
      <c r="AG10816" s="57"/>
      <c r="AH10816" s="57"/>
      <c r="AI10816" s="57"/>
      <c r="AJ10816" s="57"/>
      <c r="AK10816" s="57"/>
      <c r="AL10816" s="57"/>
      <c r="AM10816" s="385"/>
    </row>
    <row r="10817" spans="1:39" s="47" customFormat="1">
      <c r="A10817" s="121"/>
      <c r="B10817" s="121"/>
      <c r="C10817" s="121"/>
      <c r="D10817" s="121"/>
      <c r="E10817" s="121"/>
      <c r="F10817" s="121"/>
      <c r="G10817" s="121"/>
      <c r="H10817" s="121"/>
      <c r="I10817" s="121"/>
      <c r="J10817" s="121"/>
      <c r="K10817" s="121"/>
      <c r="L10817" s="121"/>
      <c r="M10817" s="121"/>
      <c r="N10817" s="504" t="s">
        <v>2316</v>
      </c>
      <c r="O10817" s="533" t="s">
        <v>2420</v>
      </c>
      <c r="P10817" s="257"/>
      <c r="Q10817" s="321"/>
      <c r="R10817" s="260"/>
      <c r="S10817" s="260"/>
      <c r="T10817" s="260"/>
      <c r="U10817" s="260"/>
      <c r="V10817" s="262">
        <f>IF($AP$8="I",'ВС.РО 01.01 - 30.06'!V10817,IF($AP$8="II",'ВС.РО 01.07 - 31.08'!V10817,IF($AP$8="III",'ВС.РО 01.09 - 31.12'!V10817,0)))*V10877</f>
        <v>0</v>
      </c>
      <c r="W10817" s="548">
        <f t="shared" si="58"/>
        <v>0</v>
      </c>
      <c r="X10817" s="262">
        <f>IF($AP$8="I",'ВС.РО 01.01 - 30.06'!X10817,IF($AP$8="II",'ВС.РО 01.07 - 31.08'!X10817,IF($AP$8="III",'ВС.РО 01.09 - 31.12'!X10817,0)))*X10877</f>
        <v>0</v>
      </c>
      <c r="Y10817" s="260"/>
      <c r="Z10817" s="548">
        <f t="shared" si="59"/>
        <v>0</v>
      </c>
      <c r="AA10817" s="262">
        <f>IF($AP$8="I",'ВС.РО 01.01 - 30.06'!AA10817,IF($AP$8="II",'ВС.РО 01.07 - 31.08'!AA10817,IF($AP$8="III",'ВС.РО 01.09 - 31.12'!AA10817,0)))*AA10877</f>
        <v>0</v>
      </c>
      <c r="AB10817" s="262">
        <f>IF($AP$8="I",'ВС.РО 01.01 - 30.06'!AB10817,IF($AP$8="II",'ВС.РО 01.07 - 31.08'!AB10817,IF($AP$8="III",'ВС.РО 01.09 - 31.12'!AB10817,0)))*AB10877</f>
        <v>0</v>
      </c>
      <c r="AC10817" s="548">
        <f t="shared" si="60"/>
        <v>0</v>
      </c>
      <c r="AD10817" s="57"/>
      <c r="AE10817" s="57"/>
      <c r="AF10817" s="57"/>
      <c r="AG10817" s="57"/>
      <c r="AH10817" s="57"/>
      <c r="AI10817" s="57"/>
      <c r="AJ10817" s="57"/>
      <c r="AK10817" s="57"/>
      <c r="AL10817" s="57"/>
      <c r="AM10817" s="385"/>
    </row>
    <row r="10818" spans="1:39" s="47" customFormat="1">
      <c r="A10818" s="121"/>
      <c r="B10818" s="121"/>
      <c r="C10818" s="121"/>
      <c r="D10818" s="121"/>
      <c r="E10818" s="121"/>
      <c r="F10818" s="121"/>
      <c r="G10818" s="121"/>
      <c r="H10818" s="121"/>
      <c r="I10818" s="121"/>
      <c r="J10818" s="121"/>
      <c r="K10818" s="121"/>
      <c r="L10818" s="121"/>
      <c r="M10818" s="121"/>
      <c r="N10818" s="504" t="s">
        <v>2317</v>
      </c>
      <c r="O10818" s="533" t="s">
        <v>2423</v>
      </c>
      <c r="P10818" s="257"/>
      <c r="Q10818" s="321"/>
      <c r="R10818" s="260"/>
      <c r="S10818" s="260"/>
      <c r="T10818" s="260"/>
      <c r="U10818" s="260"/>
      <c r="V10818" s="262">
        <f>IF($AP$8="I",'ВС.РО 01.01 - 30.06'!V10818,IF($AP$8="II",'ВС.РО 01.07 - 31.08'!V10818,IF($AP$8="III",'ВС.РО 01.09 - 31.12'!V10818,0)))*V10877</f>
        <v>0</v>
      </c>
      <c r="W10818" s="548">
        <f t="shared" si="58"/>
        <v>0</v>
      </c>
      <c r="X10818" s="262">
        <f>IF($AP$8="I",'ВС.РО 01.01 - 30.06'!X10818,IF($AP$8="II",'ВС.РО 01.07 - 31.08'!X10818,IF($AP$8="III",'ВС.РО 01.09 - 31.12'!X10818,0)))*X10877</f>
        <v>0</v>
      </c>
      <c r="Y10818" s="260"/>
      <c r="Z10818" s="548">
        <f t="shared" si="59"/>
        <v>0</v>
      </c>
      <c r="AA10818" s="262">
        <f>IF($AP$8="I",'ВС.РО 01.01 - 30.06'!AA10818,IF($AP$8="II",'ВС.РО 01.07 - 31.08'!AA10818,IF($AP$8="III",'ВС.РО 01.09 - 31.12'!AA10818,0)))*AA10877</f>
        <v>0</v>
      </c>
      <c r="AB10818" s="262">
        <f>IF($AP$8="I",'ВС.РО 01.01 - 30.06'!AB10818,IF($AP$8="II",'ВС.РО 01.07 - 31.08'!AB10818,IF($AP$8="III",'ВС.РО 01.09 - 31.12'!AB10818,0)))*AB10877</f>
        <v>0</v>
      </c>
      <c r="AC10818" s="548">
        <f t="shared" si="60"/>
        <v>0</v>
      </c>
      <c r="AD10818" s="57"/>
      <c r="AE10818" s="57"/>
      <c r="AF10818" s="57"/>
      <c r="AG10818" s="57"/>
      <c r="AH10818" s="57"/>
      <c r="AI10818" s="57"/>
      <c r="AJ10818" s="57"/>
      <c r="AK10818" s="57"/>
      <c r="AL10818" s="57"/>
      <c r="AM10818" s="385"/>
    </row>
    <row r="10819" spans="1:39" s="47" customFormat="1">
      <c r="A10819" s="121"/>
      <c r="B10819" s="121"/>
      <c r="C10819" s="121"/>
      <c r="D10819" s="121"/>
      <c r="E10819" s="121"/>
      <c r="F10819" s="121"/>
      <c r="G10819" s="121"/>
      <c r="H10819" s="121"/>
      <c r="I10819" s="121"/>
      <c r="J10819" s="121"/>
      <c r="K10819" s="121"/>
      <c r="L10819" s="121"/>
      <c r="M10819" s="121"/>
      <c r="N10819" s="504" t="s">
        <v>2318</v>
      </c>
      <c r="O10819" s="533" t="s">
        <v>2426</v>
      </c>
      <c r="P10819" s="257"/>
      <c r="Q10819" s="321"/>
      <c r="R10819" s="260"/>
      <c r="S10819" s="260"/>
      <c r="T10819" s="260"/>
      <c r="U10819" s="260"/>
      <c r="V10819" s="262">
        <f>IF($AP$8="I",'ВС.РО 01.01 - 30.06'!V10819,IF($AP$8="II",'ВС.РО 01.07 - 31.08'!V10819,IF($AP$8="III",'ВС.РО 01.09 - 31.12'!V10819,0)))*V10877</f>
        <v>0</v>
      </c>
      <c r="W10819" s="548">
        <f t="shared" si="58"/>
        <v>0</v>
      </c>
      <c r="X10819" s="262">
        <f>IF($AP$8="I",'ВС.РО 01.01 - 30.06'!X10819,IF($AP$8="II",'ВС.РО 01.07 - 31.08'!X10819,IF($AP$8="III",'ВС.РО 01.09 - 31.12'!X10819,0)))*X10877</f>
        <v>0</v>
      </c>
      <c r="Y10819" s="260"/>
      <c r="Z10819" s="548">
        <f t="shared" si="59"/>
        <v>0</v>
      </c>
      <c r="AA10819" s="262">
        <f>IF($AP$8="I",'ВС.РО 01.01 - 30.06'!AA10819,IF($AP$8="II",'ВС.РО 01.07 - 31.08'!AA10819,IF($AP$8="III",'ВС.РО 01.09 - 31.12'!AA10819,0)))*AA10877</f>
        <v>0</v>
      </c>
      <c r="AB10819" s="262">
        <f>IF($AP$8="I",'ВС.РО 01.01 - 30.06'!AB10819,IF($AP$8="II",'ВС.РО 01.07 - 31.08'!AB10819,IF($AP$8="III",'ВС.РО 01.09 - 31.12'!AB10819,0)))*AB10877</f>
        <v>0</v>
      </c>
      <c r="AC10819" s="548">
        <f t="shared" si="60"/>
        <v>0</v>
      </c>
      <c r="AD10819" s="57"/>
      <c r="AE10819" s="57"/>
      <c r="AF10819" s="57"/>
      <c r="AG10819" s="57"/>
      <c r="AH10819" s="57"/>
      <c r="AI10819" s="57"/>
      <c r="AJ10819" s="57"/>
      <c r="AK10819" s="57"/>
      <c r="AL10819" s="57"/>
      <c r="AM10819" s="385"/>
    </row>
    <row r="10820" spans="1:39" s="47" customFormat="1">
      <c r="A10820" s="121"/>
      <c r="B10820" s="121"/>
      <c r="C10820" s="121"/>
      <c r="D10820" s="121"/>
      <c r="E10820" s="121"/>
      <c r="F10820" s="121"/>
      <c r="G10820" s="121"/>
      <c r="H10820" s="121"/>
      <c r="I10820" s="121"/>
      <c r="J10820" s="121"/>
      <c r="K10820" s="121"/>
      <c r="L10820" s="121"/>
      <c r="M10820" s="121"/>
      <c r="N10820" s="560" t="str">
        <f>IF(TEMPLATE_SPHERE="водоснабжения","2.9","")</f>
        <v/>
      </c>
      <c r="O10820" s="561" t="str">
        <f>IF(TEMPLATE_SPHERE="водоснабжения","Покупная вода","")</f>
        <v/>
      </c>
      <c r="P10820" s="257"/>
      <c r="Q10820" s="321"/>
      <c r="R10820" s="260"/>
      <c r="S10820" s="260"/>
      <c r="T10820" s="260"/>
      <c r="U10820" s="260"/>
      <c r="V10820" s="257">
        <f>V10821*V10822+V10823</f>
        <v>0</v>
      </c>
      <c r="W10820" s="548">
        <f t="shared" si="58"/>
        <v>0</v>
      </c>
      <c r="X10820" s="257">
        <f>X10821*X10822+X10823</f>
        <v>0</v>
      </c>
      <c r="Y10820" s="260"/>
      <c r="Z10820" s="548">
        <f t="shared" si="59"/>
        <v>0</v>
      </c>
      <c r="AA10820" s="257">
        <f>AA10821*AA10822+AA10823</f>
        <v>0</v>
      </c>
      <c r="AB10820" s="257">
        <f>AB10821*AB10822+AB10823</f>
        <v>0</v>
      </c>
      <c r="AC10820" s="548">
        <f t="shared" si="60"/>
        <v>0</v>
      </c>
      <c r="AD10820" s="57"/>
      <c r="AE10820" s="57"/>
      <c r="AF10820" s="57"/>
      <c r="AG10820" s="57"/>
      <c r="AH10820" s="57"/>
      <c r="AI10820" s="57"/>
      <c r="AJ10820" s="57"/>
      <c r="AK10820" s="57"/>
      <c r="AL10820" s="57"/>
      <c r="AM10820" s="385"/>
    </row>
    <row r="10821" spans="1:39" s="47" customFormat="1" hidden="1">
      <c r="A10821" s="121"/>
      <c r="B10821" s="121"/>
      <c r="C10821" s="121"/>
      <c r="D10821" s="121"/>
      <c r="E10821" s="121"/>
      <c r="F10821" s="121"/>
      <c r="G10821" s="121"/>
      <c r="H10821" s="121"/>
      <c r="I10821" s="121"/>
      <c r="J10821" s="121"/>
      <c r="K10821" s="121"/>
      <c r="L10821" s="121"/>
      <c r="M10821" s="121"/>
      <c r="N10821" s="560"/>
      <c r="O10821" s="562"/>
      <c r="P10821" s="260"/>
      <c r="Q10821" s="321"/>
      <c r="R10821" s="260"/>
      <c r="S10821" s="260"/>
      <c r="T10821" s="260"/>
      <c r="U10821" s="260"/>
      <c r="V10821" s="260"/>
      <c r="W10821" s="260"/>
      <c r="X10821" s="260"/>
      <c r="Y10821" s="260"/>
      <c r="Z10821" s="260"/>
      <c r="AA10821" s="260"/>
      <c r="AB10821" s="260"/>
      <c r="AC10821" s="260"/>
      <c r="AD10821" s="57"/>
      <c r="AE10821" s="57"/>
      <c r="AF10821" s="57"/>
      <c r="AG10821" s="57"/>
      <c r="AH10821" s="57"/>
      <c r="AI10821" s="57"/>
      <c r="AJ10821" s="57"/>
      <c r="AK10821" s="57"/>
      <c r="AL10821" s="57"/>
      <c r="AM10821" s="385"/>
    </row>
    <row r="10822" spans="1:39" s="47" customFormat="1" hidden="1">
      <c r="A10822" s="121"/>
      <c r="B10822" s="121"/>
      <c r="C10822" s="121"/>
      <c r="D10822" s="121"/>
      <c r="E10822" s="121"/>
      <c r="F10822" s="121"/>
      <c r="G10822" s="121"/>
      <c r="H10822" s="121"/>
      <c r="I10822" s="121"/>
      <c r="J10822" s="121"/>
      <c r="K10822" s="121"/>
      <c r="L10822" s="121"/>
      <c r="M10822" s="121"/>
      <c r="N10822" s="560"/>
      <c r="O10822" s="562"/>
      <c r="P10822" s="260"/>
      <c r="Q10822" s="321"/>
      <c r="R10822" s="260"/>
      <c r="S10822" s="260"/>
      <c r="T10822" s="260"/>
      <c r="U10822" s="260"/>
      <c r="V10822" s="260"/>
      <c r="W10822" s="260"/>
      <c r="X10822" s="260"/>
      <c r="Y10822" s="260"/>
      <c r="Z10822" s="260"/>
      <c r="AA10822" s="260"/>
      <c r="AB10822" s="260"/>
      <c r="AC10822" s="260"/>
      <c r="AD10822" s="57"/>
      <c r="AE10822" s="57"/>
      <c r="AF10822" s="57"/>
      <c r="AG10822" s="57"/>
      <c r="AH10822" s="57"/>
      <c r="AI10822" s="57"/>
      <c r="AJ10822" s="57"/>
      <c r="AK10822" s="57"/>
      <c r="AL10822" s="57"/>
      <c r="AM10822" s="385"/>
    </row>
    <row r="10823" spans="1:39" s="47" customFormat="1" hidden="1">
      <c r="A10823" s="121"/>
      <c r="B10823" s="121"/>
      <c r="C10823" s="121"/>
      <c r="D10823" s="121"/>
      <c r="E10823" s="121"/>
      <c r="F10823" s="121"/>
      <c r="G10823" s="121"/>
      <c r="H10823" s="121"/>
      <c r="I10823" s="121"/>
      <c r="J10823" s="121"/>
      <c r="K10823" s="121"/>
      <c r="L10823" s="121"/>
      <c r="M10823" s="121"/>
      <c r="N10823" s="560"/>
      <c r="O10823" s="562"/>
      <c r="P10823" s="260"/>
      <c r="Q10823" s="321"/>
      <c r="R10823" s="260"/>
      <c r="S10823" s="260"/>
      <c r="T10823" s="260"/>
      <c r="U10823" s="260"/>
      <c r="V10823" s="260"/>
      <c r="W10823" s="260"/>
      <c r="X10823" s="260"/>
      <c r="Y10823" s="260"/>
      <c r="Z10823" s="260"/>
      <c r="AA10823" s="260"/>
      <c r="AB10823" s="260"/>
      <c r="AC10823" s="260"/>
      <c r="AD10823" s="57"/>
      <c r="AE10823" s="57"/>
      <c r="AF10823" s="57"/>
      <c r="AG10823" s="57"/>
      <c r="AH10823" s="57"/>
      <c r="AI10823" s="57"/>
      <c r="AJ10823" s="57"/>
      <c r="AK10823" s="57"/>
      <c r="AL10823" s="57"/>
      <c r="AM10823" s="385"/>
    </row>
    <row r="10824" spans="1:39" s="47" customFormat="1" ht="22.5">
      <c r="A10824" s="121"/>
      <c r="B10824" s="121"/>
      <c r="C10824" s="121"/>
      <c r="D10824" s="121"/>
      <c r="E10824" s="121"/>
      <c r="F10824" s="121"/>
      <c r="G10824" s="121"/>
      <c r="H10824" s="121"/>
      <c r="I10824" s="121"/>
      <c r="J10824" s="121"/>
      <c r="K10824" s="121"/>
      <c r="L10824" s="121"/>
      <c r="M10824" s="121"/>
      <c r="N10824" s="504" t="s">
        <v>2323</v>
      </c>
      <c r="O10824"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P10824" s="257"/>
      <c r="Q10824" s="321"/>
      <c r="R10824" s="260"/>
      <c r="S10824" s="260"/>
      <c r="T10824" s="260"/>
      <c r="U10824" s="260"/>
      <c r="V10824" s="262">
        <f>IF($AP$8="I",'ВС.РО 01.01 - 30.06'!V10824,IF($AP$8="II",'ВС.РО 01.07 - 31.08'!V10824,IF($AP$8="III",'ВС.РО 01.09 - 31.12'!V10824,0)))*V10877</f>
        <v>0</v>
      </c>
      <c r="W10824" s="548">
        <f t="shared" si="58"/>
        <v>0</v>
      </c>
      <c r="X10824" s="262">
        <f>IF($AP$8="I",'ВС.РО 01.01 - 30.06'!X10824,IF($AP$8="II",'ВС.РО 01.07 - 31.08'!X10824,IF($AP$8="III",'ВС.РО 01.09 - 31.12'!X10824,0)))*X10877</f>
        <v>0</v>
      </c>
      <c r="Y10824" s="260"/>
      <c r="Z10824" s="548">
        <f t="shared" si="59"/>
        <v>0</v>
      </c>
      <c r="AA10824" s="262">
        <f>IF($AP$8="I",'ВС.РО 01.01 - 30.06'!AA10824,IF($AP$8="II",'ВС.РО 01.07 - 31.08'!AA10824,IF($AP$8="III",'ВС.РО 01.09 - 31.12'!AA10824,0)))*AA10877</f>
        <v>0</v>
      </c>
      <c r="AB10824" s="262">
        <f>IF($AP$8="I",'ВС.РО 01.01 - 30.06'!AB10824,IF($AP$8="II",'ВС.РО 01.07 - 31.08'!AB10824,IF($AP$8="III",'ВС.РО 01.09 - 31.12'!AB10824,0)))*AB10877</f>
        <v>0</v>
      </c>
      <c r="AC10824" s="548">
        <f t="shared" si="60"/>
        <v>0</v>
      </c>
      <c r="AD10824" s="57"/>
      <c r="AE10824" s="57"/>
      <c r="AF10824" s="57"/>
      <c r="AG10824" s="57"/>
      <c r="AH10824" s="57"/>
      <c r="AI10824" s="57"/>
      <c r="AJ10824" s="57"/>
      <c r="AK10824" s="57"/>
      <c r="AL10824" s="57"/>
      <c r="AM10824" s="385"/>
    </row>
    <row r="10825" spans="1:39" s="47" customFormat="1" ht="22.5">
      <c r="A10825" s="121"/>
      <c r="B10825" s="121"/>
      <c r="C10825" s="121"/>
      <c r="D10825" s="121"/>
      <c r="E10825" s="121"/>
      <c r="F10825" s="121"/>
      <c r="G10825" s="121"/>
      <c r="H10825" s="121"/>
      <c r="I10825" s="121"/>
      <c r="J10825" s="121"/>
      <c r="K10825" s="121"/>
      <c r="L10825" s="121"/>
      <c r="M10825" s="121"/>
      <c r="N10825" s="504" t="s">
        <v>2324</v>
      </c>
      <c r="O10825"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P10825" s="257"/>
      <c r="Q10825" s="321"/>
      <c r="R10825" s="260"/>
      <c r="S10825" s="260"/>
      <c r="T10825" s="260"/>
      <c r="U10825" s="260"/>
      <c r="V10825" s="262">
        <f>IF($AP$8="I",'ВС.РО 01.01 - 30.06'!V10825,IF($AP$8="II",'ВС.РО 01.07 - 31.08'!V10825,IF($AP$8="III",'ВС.РО 01.09 - 31.12'!V10825,0)))*V10877</f>
        <v>0</v>
      </c>
      <c r="W10825" s="548">
        <f t="shared" si="58"/>
        <v>0</v>
      </c>
      <c r="X10825" s="262">
        <f>IF($AP$8="I",'ВС.РО 01.01 - 30.06'!X10825,IF($AP$8="II",'ВС.РО 01.07 - 31.08'!X10825,IF($AP$8="III",'ВС.РО 01.09 - 31.12'!X10825,0)))*X10877</f>
        <v>0</v>
      </c>
      <c r="Y10825" s="260"/>
      <c r="Z10825" s="548">
        <f t="shared" si="59"/>
        <v>0</v>
      </c>
      <c r="AA10825" s="262">
        <f>IF($AP$8="I",'ВС.РО 01.01 - 30.06'!AA10825,IF($AP$8="II",'ВС.РО 01.07 - 31.08'!AA10825,IF($AP$8="III",'ВС.РО 01.09 - 31.12'!AA10825,0)))*AA10877</f>
        <v>0</v>
      </c>
      <c r="AB10825" s="262">
        <f>IF($AP$8="I",'ВС.РО 01.01 - 30.06'!AB10825,IF($AP$8="II",'ВС.РО 01.07 - 31.08'!AB10825,IF($AP$8="III",'ВС.РО 01.09 - 31.12'!AB10825,0)))*AB10877</f>
        <v>0</v>
      </c>
      <c r="AC10825" s="548">
        <f t="shared" si="60"/>
        <v>0</v>
      </c>
      <c r="AD10825" s="57"/>
      <c r="AE10825" s="57"/>
      <c r="AF10825" s="57"/>
      <c r="AG10825" s="57"/>
      <c r="AH10825" s="57"/>
      <c r="AI10825" s="57"/>
      <c r="AJ10825" s="57"/>
      <c r="AK10825" s="57"/>
      <c r="AL10825" s="57"/>
      <c r="AM10825" s="385"/>
    </row>
    <row r="10826" spans="1:39" s="47" customFormat="1">
      <c r="A10826" s="121"/>
      <c r="B10826" s="121"/>
      <c r="C10826" s="121"/>
      <c r="D10826" s="121"/>
      <c r="E10826" s="121"/>
      <c r="F10826" s="121"/>
      <c r="G10826" s="121"/>
      <c r="H10826" s="121"/>
      <c r="I10826" s="121"/>
      <c r="J10826" s="121"/>
      <c r="K10826" s="121"/>
      <c r="L10826" s="121"/>
      <c r="M10826" s="121"/>
      <c r="N10826" s="504" t="s">
        <v>2325</v>
      </c>
      <c r="O10826"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P10826" s="257"/>
      <c r="Q10826" s="321"/>
      <c r="R10826" s="260"/>
      <c r="S10826" s="260"/>
      <c r="T10826" s="260"/>
      <c r="U10826" s="260"/>
      <c r="V10826" s="262">
        <f>IF($AP$8="I",'ВС.РО 01.01 - 30.06'!V10826,IF($AP$8="II",'ВС.РО 01.07 - 31.08'!V10826,IF($AP$8="III",'ВС.РО 01.09 - 31.12'!V10826,0)))*V10877</f>
        <v>0</v>
      </c>
      <c r="W10826" s="548">
        <f t="shared" si="58"/>
        <v>0</v>
      </c>
      <c r="X10826" s="262">
        <f>IF($AP$8="I",'ВС.РО 01.01 - 30.06'!X10826,IF($AP$8="II",'ВС.РО 01.07 - 31.08'!X10826,IF($AP$8="III",'ВС.РО 01.09 - 31.12'!X10826,0)))*X10877</f>
        <v>0</v>
      </c>
      <c r="Y10826" s="260"/>
      <c r="Z10826" s="548">
        <f t="shared" si="59"/>
        <v>0</v>
      </c>
      <c r="AA10826" s="262">
        <f>IF($AP$8="I",'ВС.РО 01.01 - 30.06'!AA10826,IF($AP$8="II",'ВС.РО 01.07 - 31.08'!AA10826,IF($AP$8="III",'ВС.РО 01.09 - 31.12'!AA10826,0)))*AA10877</f>
        <v>0</v>
      </c>
      <c r="AB10826" s="262">
        <f>IF($AP$8="I",'ВС.РО 01.01 - 30.06'!AB10826,IF($AP$8="II",'ВС.РО 01.07 - 31.08'!AB10826,IF($AP$8="III",'ВС.РО 01.09 - 31.12'!AB10826,0)))*AB10877</f>
        <v>0</v>
      </c>
      <c r="AC10826" s="548">
        <f t="shared" si="60"/>
        <v>0</v>
      </c>
      <c r="AD10826" s="57"/>
      <c r="AE10826" s="57"/>
      <c r="AF10826" s="57"/>
      <c r="AG10826" s="57"/>
      <c r="AH10826" s="57"/>
      <c r="AI10826" s="57"/>
      <c r="AJ10826" s="57"/>
      <c r="AK10826" s="57"/>
      <c r="AL10826" s="57"/>
      <c r="AM10826" s="385"/>
    </row>
    <row r="10827" spans="1:39" s="47" customFormat="1">
      <c r="A10827" s="121"/>
      <c r="B10827" s="121"/>
      <c r="C10827" s="121"/>
      <c r="D10827" s="121"/>
      <c r="E10827" s="121"/>
      <c r="F10827" s="121"/>
      <c r="G10827" s="121"/>
      <c r="H10827" s="121"/>
      <c r="I10827" s="121"/>
      <c r="J10827" s="121"/>
      <c r="K10827" s="121"/>
      <c r="L10827" s="121"/>
      <c r="M10827" s="121"/>
      <c r="N10827" s="504" t="s">
        <v>2326</v>
      </c>
      <c r="O10827" s="527" t="s">
        <v>2327</v>
      </c>
      <c r="P10827" s="257"/>
      <c r="Q10827" s="321"/>
      <c r="R10827" s="260"/>
      <c r="S10827" s="260"/>
      <c r="T10827" s="260"/>
      <c r="U10827" s="260"/>
      <c r="V10827" s="257">
        <f>SUM(V10828:V10829)</f>
        <v>0</v>
      </c>
      <c r="W10827" s="548">
        <f t="shared" si="58"/>
        <v>0</v>
      </c>
      <c r="X10827" s="257">
        <f>SUM(X10828:X10829)</f>
        <v>0</v>
      </c>
      <c r="Y10827" s="260"/>
      <c r="Z10827" s="548">
        <f t="shared" si="59"/>
        <v>0</v>
      </c>
      <c r="AA10827" s="257">
        <f>SUM(AA10828:AA10829)</f>
        <v>0</v>
      </c>
      <c r="AB10827" s="257">
        <f>SUM(AB10828:AB10829)</f>
        <v>0</v>
      </c>
      <c r="AC10827" s="548">
        <f t="shared" si="60"/>
        <v>0</v>
      </c>
      <c r="AD10827" s="57"/>
      <c r="AE10827" s="57"/>
      <c r="AF10827" s="57"/>
      <c r="AG10827" s="57"/>
      <c r="AH10827" s="57"/>
      <c r="AI10827" s="57"/>
      <c r="AJ10827" s="57"/>
      <c r="AK10827" s="57"/>
      <c r="AL10827" s="57"/>
      <c r="AM10827" s="385"/>
    </row>
    <row r="10828" spans="1:39" s="47" customFormat="1">
      <c r="A10828" s="121"/>
      <c r="B10828" s="121"/>
      <c r="C10828" s="121"/>
      <c r="D10828" s="121"/>
      <c r="E10828" s="121"/>
      <c r="F10828" s="121"/>
      <c r="G10828" s="121"/>
      <c r="H10828" s="121"/>
      <c r="I10828" s="121"/>
      <c r="J10828" s="121"/>
      <c r="K10828" s="121"/>
      <c r="L10828" s="121"/>
      <c r="M10828" s="121"/>
      <c r="N10828" s="504" t="s">
        <v>2328</v>
      </c>
      <c r="O10828" s="528" t="s">
        <v>2329</v>
      </c>
      <c r="P10828" s="257"/>
      <c r="Q10828" s="321"/>
      <c r="R10828" s="260"/>
      <c r="S10828" s="260"/>
      <c r="T10828" s="260"/>
      <c r="U10828" s="260"/>
      <c r="V10828" s="262">
        <f>IF($AP$8="I",'ВС.РО 01.01 - 30.06'!V10828,IF($AP$8="II",'ВС.РО 01.07 - 31.08'!V10828,IF($AP$8="III",'ВС.РО 01.09 - 31.12'!V10828,0)))*V10877</f>
        <v>0</v>
      </c>
      <c r="W10828" s="548">
        <f t="shared" si="58"/>
        <v>0</v>
      </c>
      <c r="X10828" s="262">
        <f>IF($AP$8="I",'ВС.РО 01.01 - 30.06'!X10828,IF($AP$8="II",'ВС.РО 01.07 - 31.08'!X10828,IF($AP$8="III",'ВС.РО 01.09 - 31.12'!X10828,0)))*X10877</f>
        <v>0</v>
      </c>
      <c r="Y10828" s="260"/>
      <c r="Z10828" s="548">
        <f t="shared" si="59"/>
        <v>0</v>
      </c>
      <c r="AA10828" s="262">
        <f>IF($AP$8="I",'ВС.РО 01.01 - 30.06'!AA10828,IF($AP$8="II",'ВС.РО 01.07 - 31.08'!AA10828,IF($AP$8="III",'ВС.РО 01.09 - 31.12'!AA10828,0)))*AA10877</f>
        <v>0</v>
      </c>
      <c r="AB10828" s="262">
        <f>IF($AP$8="I",'ВС.РО 01.01 - 30.06'!AB10828,IF($AP$8="II",'ВС.РО 01.07 - 31.08'!AB10828,IF($AP$8="III",'ВС.РО 01.09 - 31.12'!AB10828,0)))*AB10877</f>
        <v>0</v>
      </c>
      <c r="AC10828" s="548">
        <f t="shared" si="60"/>
        <v>0</v>
      </c>
      <c r="AD10828" s="57"/>
      <c r="AE10828" s="57"/>
      <c r="AF10828" s="57"/>
      <c r="AG10828" s="57"/>
      <c r="AH10828" s="57"/>
      <c r="AI10828" s="57"/>
      <c r="AJ10828" s="57"/>
      <c r="AK10828" s="57"/>
      <c r="AL10828" s="57"/>
      <c r="AM10828" s="385"/>
    </row>
    <row r="10829" spans="1:39" s="47" customFormat="1">
      <c r="A10829" s="121"/>
      <c r="B10829" s="121"/>
      <c r="C10829" s="121"/>
      <c r="D10829" s="121"/>
      <c r="E10829" s="121"/>
      <c r="F10829" s="121"/>
      <c r="G10829" s="121"/>
      <c r="H10829" s="121"/>
      <c r="I10829" s="121"/>
      <c r="J10829" s="121"/>
      <c r="K10829" s="121"/>
      <c r="L10829" s="121"/>
      <c r="M10829" s="121"/>
      <c r="N10829" s="504" t="s">
        <v>2330</v>
      </c>
      <c r="O10829" s="528" t="s">
        <v>2331</v>
      </c>
      <c r="P10829" s="257"/>
      <c r="Q10829" s="321"/>
      <c r="R10829" s="260"/>
      <c r="S10829" s="260"/>
      <c r="T10829" s="260"/>
      <c r="U10829" s="260"/>
      <c r="V10829" s="262">
        <f>IF($AP$8="I",'ВС.РО 01.01 - 30.06'!V10829,IF($AP$8="II",'ВС.РО 01.07 - 31.08'!V10829,IF($AP$8="III",'ВС.РО 01.09 - 31.12'!V10829,0)))*V10877</f>
        <v>0</v>
      </c>
      <c r="W10829" s="548">
        <f t="shared" si="58"/>
        <v>0</v>
      </c>
      <c r="X10829" s="262">
        <f>IF($AP$8="I",'ВС.РО 01.01 - 30.06'!X10829,IF($AP$8="II",'ВС.РО 01.07 - 31.08'!X10829,IF($AP$8="III",'ВС.РО 01.09 - 31.12'!X10829,0)))*X10877</f>
        <v>0</v>
      </c>
      <c r="Y10829" s="260"/>
      <c r="Z10829" s="548">
        <f t="shared" si="59"/>
        <v>0</v>
      </c>
      <c r="AA10829" s="262">
        <f>IF($AP$8="I",'ВС.РО 01.01 - 30.06'!AA10829,IF($AP$8="II",'ВС.РО 01.07 - 31.08'!AA10829,IF($AP$8="III",'ВС.РО 01.09 - 31.12'!AA10829,0)))*AA10877</f>
        <v>0</v>
      </c>
      <c r="AB10829" s="262">
        <f>IF($AP$8="I",'ВС.РО 01.01 - 30.06'!AB10829,IF($AP$8="II",'ВС.РО 01.07 - 31.08'!AB10829,IF($AP$8="III",'ВС.РО 01.09 - 31.12'!AB10829,0)))*AB10877</f>
        <v>0</v>
      </c>
      <c r="AC10829" s="548">
        <f t="shared" si="60"/>
        <v>0</v>
      </c>
      <c r="AD10829" s="57"/>
      <c r="AE10829" s="57"/>
      <c r="AF10829" s="57"/>
      <c r="AG10829" s="57"/>
      <c r="AH10829" s="57"/>
      <c r="AI10829" s="57"/>
      <c r="AJ10829" s="57"/>
      <c r="AK10829" s="57"/>
      <c r="AL10829" s="57"/>
      <c r="AM10829" s="385"/>
    </row>
    <row r="10830" spans="1:39" s="47" customFormat="1">
      <c r="A10830" s="121"/>
      <c r="B10830" s="121"/>
      <c r="C10830" s="121"/>
      <c r="D10830" s="121"/>
      <c r="E10830" s="121"/>
      <c r="F10830" s="121"/>
      <c r="G10830" s="121"/>
      <c r="H10830" s="121"/>
      <c r="I10830" s="121"/>
      <c r="J10830" s="121"/>
      <c r="K10830" s="121"/>
      <c r="L10830" s="121"/>
      <c r="M10830" s="121"/>
      <c r="N10830" s="504" t="s">
        <v>2332</v>
      </c>
      <c r="O10830" s="527" t="s">
        <v>2333</v>
      </c>
      <c r="P10830" s="257"/>
      <c r="Q10830" s="321"/>
      <c r="R10830" s="260"/>
      <c r="S10830" s="260"/>
      <c r="T10830" s="260"/>
      <c r="U10830" s="260"/>
      <c r="V10830" s="262">
        <f>IF($AP$8="I",'ВС.РО 01.01 - 30.06'!V10830,IF($AP$8="II",'ВС.РО 01.07 - 31.08'!V10830,IF($AP$8="III",'ВС.РО 01.09 - 31.12'!V10830,0)))*V10877</f>
        <v>0</v>
      </c>
      <c r="W10830" s="548">
        <f t="shared" si="58"/>
        <v>0</v>
      </c>
      <c r="X10830" s="262">
        <f>IF($AP$8="I",'ВС.РО 01.01 - 30.06'!X10830,IF($AP$8="II",'ВС.РО 01.07 - 31.08'!X10830,IF($AP$8="III",'ВС.РО 01.09 - 31.12'!X10830,0)))*X10877</f>
        <v>0</v>
      </c>
      <c r="Y10830" s="260"/>
      <c r="Z10830" s="548">
        <f t="shared" si="59"/>
        <v>0</v>
      </c>
      <c r="AA10830" s="262">
        <f>IF($AP$8="I",'ВС.РО 01.01 - 30.06'!AA10830,IF($AP$8="II",'ВС.РО 01.07 - 31.08'!AA10830,IF($AP$8="III",'ВС.РО 01.09 - 31.12'!AA10830,0)))*AA10877</f>
        <v>0</v>
      </c>
      <c r="AB10830" s="262">
        <f>IF($AP$8="I",'ВС.РО 01.01 - 30.06'!AB10830,IF($AP$8="II",'ВС.РО 01.07 - 31.08'!AB10830,IF($AP$8="III",'ВС.РО 01.09 - 31.12'!AB10830,0)))*AB10877</f>
        <v>0</v>
      </c>
      <c r="AC10830" s="548">
        <f t="shared" si="60"/>
        <v>0</v>
      </c>
      <c r="AD10830" s="57"/>
      <c r="AE10830" s="57"/>
      <c r="AF10830" s="57"/>
      <c r="AG10830" s="57"/>
      <c r="AH10830" s="57"/>
      <c r="AI10830" s="57"/>
      <c r="AJ10830" s="57"/>
      <c r="AK10830" s="57"/>
      <c r="AL10830" s="57"/>
      <c r="AM10830" s="385"/>
    </row>
    <row r="10831" spans="1:39" s="47" customFormat="1">
      <c r="A10831" s="121"/>
      <c r="B10831" s="121"/>
      <c r="C10831" s="121"/>
      <c r="D10831" s="121"/>
      <c r="E10831" s="121"/>
      <c r="F10831" s="121"/>
      <c r="G10831" s="121"/>
      <c r="H10831" s="121"/>
      <c r="I10831" s="121"/>
      <c r="J10831" s="121"/>
      <c r="K10831" s="121"/>
      <c r="L10831" s="121"/>
      <c r="M10831" s="121"/>
      <c r="N10831" s="504" t="s">
        <v>2334</v>
      </c>
      <c r="O10831" s="527" t="s">
        <v>2335</v>
      </c>
      <c r="P10831" s="257"/>
      <c r="Q10831" s="321"/>
      <c r="R10831" s="260"/>
      <c r="S10831" s="260"/>
      <c r="T10831" s="260"/>
      <c r="U10831" s="260"/>
      <c r="V10831" s="262">
        <f>IF($AP$8="I",'ВС.РО 01.01 - 30.06'!V10831,IF($AP$8="II",'ВС.РО 01.07 - 31.08'!V10831,IF($AP$8="III",'ВС.РО 01.09 - 31.12'!V10831,0)))*V10877</f>
        <v>0</v>
      </c>
      <c r="W10831" s="548">
        <f t="shared" si="58"/>
        <v>0</v>
      </c>
      <c r="X10831" s="262">
        <f>IF($AP$8="I",'ВС.РО 01.01 - 30.06'!X10831,IF($AP$8="II",'ВС.РО 01.07 - 31.08'!X10831,IF($AP$8="III",'ВС.РО 01.09 - 31.12'!X10831,0)))*X10877</f>
        <v>0</v>
      </c>
      <c r="Y10831" s="260"/>
      <c r="Z10831" s="548">
        <f t="shared" si="59"/>
        <v>0</v>
      </c>
      <c r="AA10831" s="262">
        <f>IF($AP$8="I",'ВС.РО 01.01 - 30.06'!AA10831,IF($AP$8="II",'ВС.РО 01.07 - 31.08'!AA10831,IF($AP$8="III",'ВС.РО 01.09 - 31.12'!AA10831,0)))*AA10877</f>
        <v>0</v>
      </c>
      <c r="AB10831" s="262">
        <f>IF($AP$8="I",'ВС.РО 01.01 - 30.06'!AB10831,IF($AP$8="II",'ВС.РО 01.07 - 31.08'!AB10831,IF($AP$8="III",'ВС.РО 01.09 - 31.12'!AB10831,0)))*AB10877</f>
        <v>0</v>
      </c>
      <c r="AC10831" s="548">
        <f t="shared" si="60"/>
        <v>0</v>
      </c>
      <c r="AD10831" s="57"/>
      <c r="AE10831" s="57"/>
      <c r="AF10831" s="57"/>
      <c r="AG10831" s="57"/>
      <c r="AH10831" s="57"/>
      <c r="AI10831" s="57"/>
      <c r="AJ10831" s="57"/>
      <c r="AK10831" s="57"/>
      <c r="AL10831" s="57"/>
      <c r="AM10831" s="385"/>
    </row>
    <row r="10832" spans="1:39" s="47" customFormat="1" ht="22.5">
      <c r="A10832" s="121"/>
      <c r="B10832" s="121"/>
      <c r="C10832" s="121"/>
      <c r="D10832" s="121"/>
      <c r="E10832" s="121"/>
      <c r="F10832" s="121"/>
      <c r="G10832" s="121"/>
      <c r="H10832" s="121"/>
      <c r="I10832" s="121"/>
      <c r="J10832" s="121"/>
      <c r="K10832" s="121"/>
      <c r="L10832" s="121"/>
      <c r="M10832" s="121"/>
      <c r="N10832" s="504" t="s">
        <v>2336</v>
      </c>
      <c r="O10832" s="527" t="s">
        <v>2337</v>
      </c>
      <c r="P10832" s="257"/>
      <c r="Q10832" s="321"/>
      <c r="R10832" s="260"/>
      <c r="S10832" s="260"/>
      <c r="T10832" s="260"/>
      <c r="U10832" s="260"/>
      <c r="V10832" s="262">
        <f>IF($AP$8="I",'ВС.РО 01.01 - 30.06'!V10832,IF($AP$8="II",'ВС.РО 01.07 - 31.08'!V10832,IF($AP$8="III",'ВС.РО 01.09 - 31.12'!V10832,0)))*V10877</f>
        <v>0</v>
      </c>
      <c r="W10832" s="548">
        <f t="shared" si="58"/>
        <v>0</v>
      </c>
      <c r="X10832" s="262">
        <f>IF($AP$8="I",'ВС.РО 01.01 - 30.06'!X10832,IF($AP$8="II",'ВС.РО 01.07 - 31.08'!X10832,IF($AP$8="III",'ВС.РО 01.09 - 31.12'!X10832,0)))*X10877</f>
        <v>0</v>
      </c>
      <c r="Y10832" s="260"/>
      <c r="Z10832" s="548">
        <f t="shared" si="59"/>
        <v>0</v>
      </c>
      <c r="AA10832" s="262">
        <f>IF($AP$8="I",'ВС.РО 01.01 - 30.06'!AA10832,IF($AP$8="II",'ВС.РО 01.07 - 31.08'!AA10832,IF($AP$8="III",'ВС.РО 01.09 - 31.12'!AA10832,0)))*AA10877</f>
        <v>0</v>
      </c>
      <c r="AB10832" s="262">
        <f>IF($AP$8="I",'ВС.РО 01.01 - 30.06'!AB10832,IF($AP$8="II",'ВС.РО 01.07 - 31.08'!AB10832,IF($AP$8="III",'ВС.РО 01.09 - 31.12'!AB10832,0)))*AB10877</f>
        <v>0</v>
      </c>
      <c r="AC10832" s="548">
        <f t="shared" si="60"/>
        <v>0</v>
      </c>
      <c r="AD10832" s="57"/>
      <c r="AE10832" s="57"/>
      <c r="AF10832" s="57"/>
      <c r="AG10832" s="57"/>
      <c r="AH10832" s="57"/>
      <c r="AI10832" s="57"/>
      <c r="AJ10832" s="57"/>
      <c r="AK10832" s="57"/>
      <c r="AL10832" s="57"/>
      <c r="AM10832" s="385"/>
    </row>
    <row r="10833" spans="1:39" s="47" customFormat="1">
      <c r="A10833" s="121"/>
      <c r="B10833" s="121"/>
      <c r="C10833" s="121"/>
      <c r="D10833" s="121"/>
      <c r="E10833" s="121"/>
      <c r="F10833" s="121"/>
      <c r="G10833" s="121"/>
      <c r="H10833" s="121"/>
      <c r="I10833" s="121"/>
      <c r="J10833" s="121"/>
      <c r="K10833" s="121"/>
      <c r="L10833" s="121"/>
      <c r="M10833" s="121"/>
      <c r="N10833" s="504" t="s">
        <v>2338</v>
      </c>
      <c r="O10833" s="527" t="s">
        <v>2339</v>
      </c>
      <c r="P10833" s="257"/>
      <c r="Q10833" s="321"/>
      <c r="R10833" s="260"/>
      <c r="S10833" s="260"/>
      <c r="T10833" s="260"/>
      <c r="U10833" s="260"/>
      <c r="V10833" s="257">
        <f>SUM(V10834:V10842)</f>
        <v>0</v>
      </c>
      <c r="W10833" s="548">
        <f t="shared" si="58"/>
        <v>0</v>
      </c>
      <c r="X10833" s="257">
        <f>SUM(X10834:X10842)</f>
        <v>0</v>
      </c>
      <c r="Y10833" s="260"/>
      <c r="Z10833" s="548">
        <f t="shared" si="59"/>
        <v>0</v>
      </c>
      <c r="AA10833" s="257">
        <f>SUM(AA10834:AA10842)</f>
        <v>0</v>
      </c>
      <c r="AB10833" s="257">
        <f>SUM(AB10834:AB10842)</f>
        <v>0</v>
      </c>
      <c r="AC10833" s="548">
        <f t="shared" si="60"/>
        <v>0</v>
      </c>
      <c r="AD10833" s="57"/>
      <c r="AE10833" s="57"/>
      <c r="AF10833" s="57"/>
      <c r="AG10833" s="57"/>
      <c r="AH10833" s="57"/>
      <c r="AI10833" s="57"/>
      <c r="AJ10833" s="57"/>
      <c r="AK10833" s="57"/>
      <c r="AL10833" s="57"/>
      <c r="AM10833" s="385"/>
    </row>
    <row r="10834" spans="1:39" s="47" customFormat="1">
      <c r="A10834" s="121"/>
      <c r="B10834" s="121"/>
      <c r="C10834" s="121"/>
      <c r="D10834" s="121"/>
      <c r="E10834" s="121"/>
      <c r="F10834" s="121"/>
      <c r="G10834" s="121"/>
      <c r="H10834" s="121"/>
      <c r="I10834" s="121"/>
      <c r="J10834" s="121"/>
      <c r="K10834" s="121"/>
      <c r="L10834" s="121"/>
      <c r="M10834" s="121"/>
      <c r="N10834" s="504" t="s">
        <v>2340</v>
      </c>
      <c r="O10834" s="528" t="s">
        <v>2341</v>
      </c>
      <c r="P10834" s="257"/>
      <c r="Q10834" s="321"/>
      <c r="R10834" s="260"/>
      <c r="S10834" s="260"/>
      <c r="T10834" s="260"/>
      <c r="U10834" s="260"/>
      <c r="V10834" s="262">
        <f>IF($AP$8="I",'ВС.РО 01.01 - 30.06'!V10834,IF($AP$8="II",'ВС.РО 01.07 - 31.08'!V10834,IF($AP$8="III",'ВС.РО 01.09 - 31.12'!V10834,0)))*V10877</f>
        <v>0</v>
      </c>
      <c r="W10834" s="548">
        <f t="shared" si="58"/>
        <v>0</v>
      </c>
      <c r="X10834" s="262">
        <f>IF($AP$8="I",'ВС.РО 01.01 - 30.06'!X10834,IF($AP$8="II",'ВС.РО 01.07 - 31.08'!X10834,IF($AP$8="III",'ВС.РО 01.09 - 31.12'!X10834,0)))*X10877</f>
        <v>0</v>
      </c>
      <c r="Y10834" s="260"/>
      <c r="Z10834" s="548">
        <f t="shared" si="59"/>
        <v>0</v>
      </c>
      <c r="AA10834" s="262">
        <f>IF($AP$8="I",'ВС.РО 01.01 - 30.06'!AA10834,IF($AP$8="II",'ВС.РО 01.07 - 31.08'!AA10834,IF($AP$8="III",'ВС.РО 01.09 - 31.12'!AA10834,0)))*AA10877</f>
        <v>0</v>
      </c>
      <c r="AB10834" s="262">
        <f>IF($AP$8="I",'ВС.РО 01.01 - 30.06'!AB10834,IF($AP$8="II",'ВС.РО 01.07 - 31.08'!AB10834,IF($AP$8="III",'ВС.РО 01.09 - 31.12'!AB10834,0)))*AB10877</f>
        <v>0</v>
      </c>
      <c r="AC10834" s="548">
        <f t="shared" si="60"/>
        <v>0</v>
      </c>
      <c r="AD10834" s="57"/>
      <c r="AE10834" s="57"/>
      <c r="AF10834" s="57"/>
      <c r="AG10834" s="57"/>
      <c r="AH10834" s="57"/>
      <c r="AI10834" s="57"/>
      <c r="AJ10834" s="57"/>
      <c r="AK10834" s="57"/>
      <c r="AL10834" s="57"/>
      <c r="AM10834" s="385"/>
    </row>
    <row r="10835" spans="1:39" s="47" customFormat="1">
      <c r="A10835" s="121"/>
      <c r="B10835" s="121"/>
      <c r="C10835" s="121"/>
      <c r="D10835" s="121"/>
      <c r="E10835" s="121"/>
      <c r="F10835" s="121"/>
      <c r="G10835" s="121"/>
      <c r="H10835" s="121"/>
      <c r="I10835" s="121"/>
      <c r="J10835" s="121"/>
      <c r="K10835" s="121"/>
      <c r="L10835" s="121"/>
      <c r="M10835" s="121"/>
      <c r="N10835" s="504" t="s">
        <v>2342</v>
      </c>
      <c r="O10835" s="528" t="s">
        <v>2343</v>
      </c>
      <c r="P10835" s="257"/>
      <c r="Q10835" s="321"/>
      <c r="R10835" s="260"/>
      <c r="S10835" s="260"/>
      <c r="T10835" s="260"/>
      <c r="U10835" s="260"/>
      <c r="V10835" s="262">
        <f>IF($AP$8="I",'ВС.РО 01.01 - 30.06'!V10835,IF($AP$8="II",'ВС.РО 01.07 - 31.08'!V10835,IF($AP$8="III",'ВС.РО 01.09 - 31.12'!V10835,0)))*V10877</f>
        <v>0</v>
      </c>
      <c r="W10835" s="548">
        <f t="shared" si="58"/>
        <v>0</v>
      </c>
      <c r="X10835" s="262">
        <f>IF($AP$8="I",'ВС.РО 01.01 - 30.06'!X10835,IF($AP$8="II",'ВС.РО 01.07 - 31.08'!X10835,IF($AP$8="III",'ВС.РО 01.09 - 31.12'!X10835,0)))*X10877</f>
        <v>0</v>
      </c>
      <c r="Y10835" s="260"/>
      <c r="Z10835" s="548">
        <f t="shared" si="59"/>
        <v>0</v>
      </c>
      <c r="AA10835" s="262">
        <f>IF($AP$8="I",'ВС.РО 01.01 - 30.06'!AA10835,IF($AP$8="II",'ВС.РО 01.07 - 31.08'!AA10835,IF($AP$8="III",'ВС.РО 01.09 - 31.12'!AA10835,0)))*AA10877</f>
        <v>0</v>
      </c>
      <c r="AB10835" s="262">
        <f>IF($AP$8="I",'ВС.РО 01.01 - 30.06'!AB10835,IF($AP$8="II",'ВС.РО 01.07 - 31.08'!AB10835,IF($AP$8="III",'ВС.РО 01.09 - 31.12'!AB10835,0)))*AB10877</f>
        <v>0</v>
      </c>
      <c r="AC10835" s="548">
        <f t="shared" si="60"/>
        <v>0</v>
      </c>
      <c r="AD10835" s="57"/>
      <c r="AE10835" s="57"/>
      <c r="AF10835" s="57"/>
      <c r="AG10835" s="57"/>
      <c r="AH10835" s="57"/>
      <c r="AI10835" s="57"/>
      <c r="AJ10835" s="57"/>
      <c r="AK10835" s="57"/>
      <c r="AL10835" s="57"/>
      <c r="AM10835" s="385"/>
    </row>
    <row r="10836" spans="1:39" s="47" customFormat="1">
      <c r="A10836" s="121"/>
      <c r="B10836" s="121"/>
      <c r="C10836" s="121"/>
      <c r="D10836" s="121"/>
      <c r="E10836" s="121"/>
      <c r="F10836" s="121"/>
      <c r="G10836" s="121"/>
      <c r="H10836" s="121"/>
      <c r="I10836" s="121"/>
      <c r="J10836" s="121"/>
      <c r="K10836" s="121"/>
      <c r="L10836" s="121"/>
      <c r="M10836" s="121"/>
      <c r="N10836" s="504" t="s">
        <v>2344</v>
      </c>
      <c r="O10836" s="528" t="s">
        <v>2345</v>
      </c>
      <c r="P10836" s="257"/>
      <c r="Q10836" s="321"/>
      <c r="R10836" s="260"/>
      <c r="S10836" s="260"/>
      <c r="T10836" s="260"/>
      <c r="U10836" s="260"/>
      <c r="V10836" s="262">
        <f>IF($AP$8="I",'ВС.РО 01.01 - 30.06'!V10836,IF($AP$8="II",'ВС.РО 01.07 - 31.08'!V10836,IF($AP$8="III",'ВС.РО 01.09 - 31.12'!V10836,0)))*V10877</f>
        <v>0</v>
      </c>
      <c r="W10836" s="548">
        <f t="shared" si="58"/>
        <v>0</v>
      </c>
      <c r="X10836" s="262">
        <f>IF($AP$8="I",'ВС.РО 01.01 - 30.06'!X10836,IF($AP$8="II",'ВС.РО 01.07 - 31.08'!X10836,IF($AP$8="III",'ВС.РО 01.09 - 31.12'!X10836,0)))*X10877</f>
        <v>0</v>
      </c>
      <c r="Y10836" s="260"/>
      <c r="Z10836" s="548">
        <f t="shared" si="59"/>
        <v>0</v>
      </c>
      <c r="AA10836" s="262">
        <f>IF($AP$8="I",'ВС.РО 01.01 - 30.06'!AA10836,IF($AP$8="II",'ВС.РО 01.07 - 31.08'!AA10836,IF($AP$8="III",'ВС.РО 01.09 - 31.12'!AA10836,0)))*AA10877</f>
        <v>0</v>
      </c>
      <c r="AB10836" s="262">
        <f>IF($AP$8="I",'ВС.РО 01.01 - 30.06'!AB10836,IF($AP$8="II",'ВС.РО 01.07 - 31.08'!AB10836,IF($AP$8="III",'ВС.РО 01.09 - 31.12'!AB10836,0)))*AB10877</f>
        <v>0</v>
      </c>
      <c r="AC10836" s="548">
        <f t="shared" si="60"/>
        <v>0</v>
      </c>
      <c r="AD10836" s="57"/>
      <c r="AE10836" s="57"/>
      <c r="AF10836" s="57"/>
      <c r="AG10836" s="57"/>
      <c r="AH10836" s="57"/>
      <c r="AI10836" s="57"/>
      <c r="AJ10836" s="57"/>
      <c r="AK10836" s="57"/>
      <c r="AL10836" s="57"/>
      <c r="AM10836" s="385"/>
    </row>
    <row r="10837" spans="1:39" s="47" customFormat="1">
      <c r="A10837" s="121"/>
      <c r="B10837" s="121"/>
      <c r="C10837" s="121"/>
      <c r="D10837" s="121"/>
      <c r="E10837" s="121"/>
      <c r="F10837" s="121"/>
      <c r="G10837" s="121"/>
      <c r="H10837" s="121"/>
      <c r="I10837" s="121"/>
      <c r="J10837" s="121"/>
      <c r="K10837" s="121"/>
      <c r="L10837" s="121"/>
      <c r="M10837" s="121"/>
      <c r="N10837" s="504" t="s">
        <v>2346</v>
      </c>
      <c r="O10837" s="528" t="s">
        <v>2347</v>
      </c>
      <c r="P10837" s="257"/>
      <c r="Q10837" s="321"/>
      <c r="R10837" s="260"/>
      <c r="S10837" s="260"/>
      <c r="T10837" s="260"/>
      <c r="U10837" s="260"/>
      <c r="V10837" s="262">
        <f>IF($AP$8="I",'ВС.РО 01.01 - 30.06'!V10837,IF($AP$8="II",'ВС.РО 01.07 - 31.08'!V10837,IF($AP$8="III",'ВС.РО 01.09 - 31.12'!V10837,0)))*V10877</f>
        <v>0</v>
      </c>
      <c r="W10837" s="548">
        <f t="shared" si="58"/>
        <v>0</v>
      </c>
      <c r="X10837" s="262">
        <f>IF($AP$8="I",'ВС.РО 01.01 - 30.06'!X10837,IF($AP$8="II",'ВС.РО 01.07 - 31.08'!X10837,IF($AP$8="III",'ВС.РО 01.09 - 31.12'!X10837,0)))*X10877</f>
        <v>0</v>
      </c>
      <c r="Y10837" s="260"/>
      <c r="Z10837" s="548">
        <f t="shared" si="59"/>
        <v>0</v>
      </c>
      <c r="AA10837" s="262">
        <f>IF($AP$8="I",'ВС.РО 01.01 - 30.06'!AA10837,IF($AP$8="II",'ВС.РО 01.07 - 31.08'!AA10837,IF($AP$8="III",'ВС.РО 01.09 - 31.12'!AA10837,0)))*AA10877</f>
        <v>0</v>
      </c>
      <c r="AB10837" s="262">
        <f>IF($AP$8="I",'ВС.РО 01.01 - 30.06'!AB10837,IF($AP$8="II",'ВС.РО 01.07 - 31.08'!AB10837,IF($AP$8="III",'ВС.РО 01.09 - 31.12'!AB10837,0)))*AB10877</f>
        <v>0</v>
      </c>
      <c r="AC10837" s="548">
        <f t="shared" si="60"/>
        <v>0</v>
      </c>
      <c r="AD10837" s="57"/>
      <c r="AE10837" s="57"/>
      <c r="AF10837" s="57"/>
      <c r="AG10837" s="57"/>
      <c r="AH10837" s="57"/>
      <c r="AI10837" s="57"/>
      <c r="AJ10837" s="57"/>
      <c r="AK10837" s="57"/>
      <c r="AL10837" s="57"/>
      <c r="AM10837" s="385"/>
    </row>
    <row r="10838" spans="1:39" s="47" customFormat="1">
      <c r="A10838" s="121"/>
      <c r="B10838" s="121"/>
      <c r="C10838" s="121"/>
      <c r="D10838" s="121"/>
      <c r="E10838" s="121"/>
      <c r="F10838" s="121"/>
      <c r="G10838" s="121"/>
      <c r="H10838" s="121"/>
      <c r="I10838" s="121"/>
      <c r="J10838" s="121"/>
      <c r="K10838" s="121"/>
      <c r="L10838" s="121"/>
      <c r="M10838" s="121"/>
      <c r="N10838" s="504" t="s">
        <v>2348</v>
      </c>
      <c r="O10838" s="528" t="s">
        <v>2349</v>
      </c>
      <c r="P10838" s="257"/>
      <c r="Q10838" s="321"/>
      <c r="R10838" s="260"/>
      <c r="S10838" s="260"/>
      <c r="T10838" s="260"/>
      <c r="U10838" s="260"/>
      <c r="V10838" s="262">
        <f>IF($AP$8="I",'ВС.РО 01.01 - 30.06'!V10838,IF($AP$8="II",'ВС.РО 01.07 - 31.08'!V10838,IF($AP$8="III",'ВС.РО 01.09 - 31.12'!V10838,0)))*V10877</f>
        <v>0</v>
      </c>
      <c r="W10838" s="548">
        <f t="shared" si="58"/>
        <v>0</v>
      </c>
      <c r="X10838" s="262">
        <f>IF($AP$8="I",'ВС.РО 01.01 - 30.06'!X10838,IF($AP$8="II",'ВС.РО 01.07 - 31.08'!X10838,IF($AP$8="III",'ВС.РО 01.09 - 31.12'!X10838,0)))*X10877</f>
        <v>0</v>
      </c>
      <c r="Y10838" s="260"/>
      <c r="Z10838" s="548">
        <f t="shared" si="59"/>
        <v>0</v>
      </c>
      <c r="AA10838" s="262">
        <f>IF($AP$8="I",'ВС.РО 01.01 - 30.06'!AA10838,IF($AP$8="II",'ВС.РО 01.07 - 31.08'!AA10838,IF($AP$8="III",'ВС.РО 01.09 - 31.12'!AA10838,0)))*AA10877</f>
        <v>0</v>
      </c>
      <c r="AB10838" s="262">
        <f>IF($AP$8="I",'ВС.РО 01.01 - 30.06'!AB10838,IF($AP$8="II",'ВС.РО 01.07 - 31.08'!AB10838,IF($AP$8="III",'ВС.РО 01.09 - 31.12'!AB10838,0)))*AB10877</f>
        <v>0</v>
      </c>
      <c r="AC10838" s="548">
        <f t="shared" si="60"/>
        <v>0</v>
      </c>
      <c r="AD10838" s="57"/>
      <c r="AE10838" s="57"/>
      <c r="AF10838" s="57"/>
      <c r="AG10838" s="57"/>
      <c r="AH10838" s="57"/>
      <c r="AI10838" s="57"/>
      <c r="AJ10838" s="57"/>
      <c r="AK10838" s="57"/>
      <c r="AL10838" s="57"/>
      <c r="AM10838" s="385"/>
    </row>
    <row r="10839" spans="1:39" s="47" customFormat="1">
      <c r="A10839" s="121"/>
      <c r="B10839" s="121"/>
      <c r="C10839" s="121"/>
      <c r="D10839" s="121"/>
      <c r="E10839" s="121"/>
      <c r="F10839" s="121"/>
      <c r="G10839" s="121"/>
      <c r="H10839" s="121"/>
      <c r="I10839" s="121"/>
      <c r="J10839" s="121"/>
      <c r="K10839" s="121"/>
      <c r="L10839" s="121"/>
      <c r="M10839" s="121"/>
      <c r="N10839" s="504" t="s">
        <v>2350</v>
      </c>
      <c r="O10839" s="528" t="s">
        <v>2351</v>
      </c>
      <c r="P10839" s="257"/>
      <c r="Q10839" s="321"/>
      <c r="R10839" s="260"/>
      <c r="S10839" s="260"/>
      <c r="T10839" s="260"/>
      <c r="U10839" s="260"/>
      <c r="V10839" s="262">
        <f>IF($AP$8="I",'ВС.РО 01.01 - 30.06'!V10839,IF($AP$8="II",'ВС.РО 01.07 - 31.08'!V10839,IF($AP$8="III",'ВС.РО 01.09 - 31.12'!V10839,0)))*V10877</f>
        <v>0</v>
      </c>
      <c r="W10839" s="548">
        <f t="shared" si="58"/>
        <v>0</v>
      </c>
      <c r="X10839" s="262">
        <f>IF($AP$8="I",'ВС.РО 01.01 - 30.06'!X10839,IF($AP$8="II",'ВС.РО 01.07 - 31.08'!X10839,IF($AP$8="III",'ВС.РО 01.09 - 31.12'!X10839,0)))*X10877</f>
        <v>0</v>
      </c>
      <c r="Y10839" s="260"/>
      <c r="Z10839" s="548">
        <f t="shared" si="59"/>
        <v>0</v>
      </c>
      <c r="AA10839" s="262">
        <f>IF($AP$8="I",'ВС.РО 01.01 - 30.06'!AA10839,IF($AP$8="II",'ВС.РО 01.07 - 31.08'!AA10839,IF($AP$8="III",'ВС.РО 01.09 - 31.12'!AA10839,0)))*AA10877</f>
        <v>0</v>
      </c>
      <c r="AB10839" s="262">
        <f>IF($AP$8="I",'ВС.РО 01.01 - 30.06'!AB10839,IF($AP$8="II",'ВС.РО 01.07 - 31.08'!AB10839,IF($AP$8="III",'ВС.РО 01.09 - 31.12'!AB10839,0)))*AB10877</f>
        <v>0</v>
      </c>
      <c r="AC10839" s="548">
        <f t="shared" si="60"/>
        <v>0</v>
      </c>
      <c r="AD10839" s="57"/>
      <c r="AE10839" s="57"/>
      <c r="AF10839" s="57"/>
      <c r="AG10839" s="57"/>
      <c r="AH10839" s="57"/>
      <c r="AI10839" s="57"/>
      <c r="AJ10839" s="57"/>
      <c r="AK10839" s="57"/>
      <c r="AL10839" s="57"/>
      <c r="AM10839" s="385"/>
    </row>
    <row r="10840" spans="1:39" s="47" customFormat="1">
      <c r="A10840" s="121"/>
      <c r="B10840" s="121"/>
      <c r="C10840" s="121"/>
      <c r="D10840" s="121"/>
      <c r="E10840" s="121"/>
      <c r="F10840" s="121"/>
      <c r="G10840" s="121"/>
      <c r="H10840" s="121"/>
      <c r="I10840" s="121"/>
      <c r="J10840" s="121"/>
      <c r="K10840" s="121"/>
      <c r="L10840" s="121"/>
      <c r="M10840" s="121"/>
      <c r="N10840" s="504" t="s">
        <v>2352</v>
      </c>
      <c r="O10840" s="528" t="s">
        <v>2353</v>
      </c>
      <c r="P10840" s="257"/>
      <c r="Q10840" s="321"/>
      <c r="R10840" s="260"/>
      <c r="S10840" s="260"/>
      <c r="T10840" s="260"/>
      <c r="U10840" s="260"/>
      <c r="V10840" s="262">
        <f>IF($AP$8="I",'ВС.РО 01.01 - 30.06'!V10840,IF($AP$8="II",'ВС.РО 01.07 - 31.08'!V10840,IF($AP$8="III",'ВС.РО 01.09 - 31.12'!V10840,0)))*V10877</f>
        <v>0</v>
      </c>
      <c r="W10840" s="548">
        <f t="shared" si="58"/>
        <v>0</v>
      </c>
      <c r="X10840" s="262">
        <f>IF($AP$8="I",'ВС.РО 01.01 - 30.06'!X10840,IF($AP$8="II",'ВС.РО 01.07 - 31.08'!X10840,IF($AP$8="III",'ВС.РО 01.09 - 31.12'!X10840,0)))*X10877</f>
        <v>0</v>
      </c>
      <c r="Y10840" s="260"/>
      <c r="Z10840" s="548">
        <f t="shared" si="59"/>
        <v>0</v>
      </c>
      <c r="AA10840" s="262">
        <f>IF($AP$8="I",'ВС.РО 01.01 - 30.06'!AA10840,IF($AP$8="II",'ВС.РО 01.07 - 31.08'!AA10840,IF($AP$8="III",'ВС.РО 01.09 - 31.12'!AA10840,0)))*AA10877</f>
        <v>0</v>
      </c>
      <c r="AB10840" s="262">
        <f>IF($AP$8="I",'ВС.РО 01.01 - 30.06'!AB10840,IF($AP$8="II",'ВС.РО 01.07 - 31.08'!AB10840,IF($AP$8="III",'ВС.РО 01.09 - 31.12'!AB10840,0)))*AB10877</f>
        <v>0</v>
      </c>
      <c r="AC10840" s="548">
        <f t="shared" si="60"/>
        <v>0</v>
      </c>
      <c r="AD10840" s="57"/>
      <c r="AE10840" s="57"/>
      <c r="AF10840" s="57"/>
      <c r="AG10840" s="57"/>
      <c r="AH10840" s="57"/>
      <c r="AI10840" s="57"/>
      <c r="AJ10840" s="57"/>
      <c r="AK10840" s="57"/>
      <c r="AL10840" s="57"/>
      <c r="AM10840" s="385"/>
    </row>
    <row r="10841" spans="1:39" s="47" customFormat="1">
      <c r="A10841" s="121"/>
      <c r="B10841" s="121"/>
      <c r="C10841" s="121"/>
      <c r="D10841" s="121"/>
      <c r="E10841" s="121"/>
      <c r="F10841" s="121"/>
      <c r="G10841" s="121"/>
      <c r="H10841" s="121"/>
      <c r="I10841" s="121"/>
      <c r="J10841" s="121"/>
      <c r="K10841" s="121"/>
      <c r="L10841" s="121"/>
      <c r="M10841" s="121"/>
      <c r="N10841" s="504" t="s">
        <v>2354</v>
      </c>
      <c r="O10841" s="528" t="s">
        <v>2355</v>
      </c>
      <c r="P10841" s="257"/>
      <c r="Q10841" s="321"/>
      <c r="R10841" s="260"/>
      <c r="S10841" s="260"/>
      <c r="T10841" s="260"/>
      <c r="U10841" s="260"/>
      <c r="V10841" s="262">
        <f>IF($AP$8="I",'ВС.РО 01.01 - 30.06'!V10841,IF($AP$8="II",'ВС.РО 01.07 - 31.08'!V10841,IF($AP$8="III",'ВС.РО 01.09 - 31.12'!V10841,0)))*V10877</f>
        <v>0</v>
      </c>
      <c r="W10841" s="548">
        <f t="shared" si="58"/>
        <v>0</v>
      </c>
      <c r="X10841" s="262">
        <f>IF($AP$8="I",'ВС.РО 01.01 - 30.06'!X10841,IF($AP$8="II",'ВС.РО 01.07 - 31.08'!X10841,IF($AP$8="III",'ВС.РО 01.09 - 31.12'!X10841,0)))*X10877</f>
        <v>0</v>
      </c>
      <c r="Y10841" s="260"/>
      <c r="Z10841" s="548">
        <f t="shared" si="59"/>
        <v>0</v>
      </c>
      <c r="AA10841" s="262">
        <f>IF($AP$8="I",'ВС.РО 01.01 - 30.06'!AA10841,IF($AP$8="II",'ВС.РО 01.07 - 31.08'!AA10841,IF($AP$8="III",'ВС.РО 01.09 - 31.12'!AA10841,0)))*AA10877</f>
        <v>0</v>
      </c>
      <c r="AB10841" s="262">
        <f>IF($AP$8="I",'ВС.РО 01.01 - 30.06'!AB10841,IF($AP$8="II",'ВС.РО 01.07 - 31.08'!AB10841,IF($AP$8="III",'ВС.РО 01.09 - 31.12'!AB10841,0)))*AB10877</f>
        <v>0</v>
      </c>
      <c r="AC10841" s="548">
        <f t="shared" si="60"/>
        <v>0</v>
      </c>
      <c r="AD10841" s="57"/>
      <c r="AE10841" s="57"/>
      <c r="AF10841" s="57"/>
      <c r="AG10841" s="57"/>
      <c r="AH10841" s="57"/>
      <c r="AI10841" s="57"/>
      <c r="AJ10841" s="57"/>
      <c r="AK10841" s="57"/>
      <c r="AL10841" s="57"/>
      <c r="AM10841" s="385"/>
    </row>
    <row r="10842" spans="1:39" s="47" customFormat="1">
      <c r="A10842" s="121"/>
      <c r="B10842" s="121"/>
      <c r="C10842" s="121"/>
      <c r="D10842" s="121"/>
      <c r="E10842" s="121"/>
      <c r="F10842" s="121"/>
      <c r="G10842" s="121"/>
      <c r="H10842" s="121"/>
      <c r="I10842" s="121"/>
      <c r="J10842" s="121"/>
      <c r="K10842" s="121"/>
      <c r="L10842" s="121"/>
      <c r="M10842" s="121"/>
      <c r="N10842" s="504" t="s">
        <v>2356</v>
      </c>
      <c r="O10842" s="528" t="s">
        <v>2357</v>
      </c>
      <c r="P10842" s="257"/>
      <c r="Q10842" s="321"/>
      <c r="R10842" s="260"/>
      <c r="S10842" s="260"/>
      <c r="T10842" s="260"/>
      <c r="U10842" s="260"/>
      <c r="V10842" s="262">
        <f>IF($AP$8="I",'ВС.РО 01.01 - 30.06'!V10842,IF($AP$8="II",'ВС.РО 01.07 - 31.08'!V10842,IF($AP$8="III",'ВС.РО 01.09 - 31.12'!V10842,0)))*V10877</f>
        <v>0</v>
      </c>
      <c r="W10842" s="548">
        <f t="shared" si="58"/>
        <v>0</v>
      </c>
      <c r="X10842" s="262">
        <f>IF($AP$8="I",'ВС.РО 01.01 - 30.06'!X10842,IF($AP$8="II",'ВС.РО 01.07 - 31.08'!X10842,IF($AP$8="III",'ВС.РО 01.09 - 31.12'!X10842,0)))*X10877</f>
        <v>0</v>
      </c>
      <c r="Y10842" s="260"/>
      <c r="Z10842" s="548">
        <f t="shared" si="59"/>
        <v>0</v>
      </c>
      <c r="AA10842" s="262">
        <f>IF($AP$8="I",'ВС.РО 01.01 - 30.06'!AA10842,IF($AP$8="II",'ВС.РО 01.07 - 31.08'!AA10842,IF($AP$8="III",'ВС.РО 01.09 - 31.12'!AA10842,0)))*AA10877</f>
        <v>0</v>
      </c>
      <c r="AB10842" s="262">
        <f>IF($AP$8="I",'ВС.РО 01.01 - 30.06'!AB10842,IF($AP$8="II",'ВС.РО 01.07 - 31.08'!AB10842,IF($AP$8="III",'ВС.РО 01.09 - 31.12'!AB10842,0)))*AB10877</f>
        <v>0</v>
      </c>
      <c r="AC10842" s="548">
        <f t="shared" si="60"/>
        <v>0</v>
      </c>
      <c r="AD10842" s="57"/>
      <c r="AE10842" s="57"/>
      <c r="AF10842" s="57"/>
      <c r="AG10842" s="57"/>
      <c r="AH10842" s="57"/>
      <c r="AI10842" s="57"/>
      <c r="AJ10842" s="57"/>
      <c r="AK10842" s="57"/>
      <c r="AL10842" s="57"/>
      <c r="AM10842" s="385"/>
    </row>
    <row r="10843" spans="1:39" s="47" customFormat="1">
      <c r="A10843" s="121"/>
      <c r="B10843" s="121"/>
      <c r="C10843" s="121"/>
      <c r="D10843" s="121"/>
      <c r="E10843" s="121"/>
      <c r="F10843" s="121"/>
      <c r="G10843" s="121"/>
      <c r="H10843" s="121"/>
      <c r="I10843" s="121"/>
      <c r="J10843" s="121"/>
      <c r="K10843" s="121"/>
      <c r="L10843" s="121"/>
      <c r="M10843" s="121"/>
      <c r="N10843" s="504" t="s">
        <v>2358</v>
      </c>
      <c r="O10843" s="536" t="s">
        <v>2359</v>
      </c>
      <c r="P10843" s="257"/>
      <c r="Q10843" s="321"/>
      <c r="R10843" s="260"/>
      <c r="S10843" s="260"/>
      <c r="T10843" s="260"/>
      <c r="U10843" s="260"/>
      <c r="V10843" s="257">
        <f>SUM(V10844:V10848)</f>
        <v>0</v>
      </c>
      <c r="W10843" s="548">
        <f t="shared" si="58"/>
        <v>0</v>
      </c>
      <c r="X10843" s="257">
        <f>SUM(X10844:X10848)</f>
        <v>0</v>
      </c>
      <c r="Y10843" s="260"/>
      <c r="Z10843" s="548">
        <f t="shared" si="59"/>
        <v>0</v>
      </c>
      <c r="AA10843" s="257">
        <f>SUM(AA10844:AA10848)</f>
        <v>0</v>
      </c>
      <c r="AB10843" s="257">
        <f>SUM(AB10844:AB10848)</f>
        <v>0</v>
      </c>
      <c r="AC10843" s="548">
        <f t="shared" si="60"/>
        <v>0</v>
      </c>
      <c r="AD10843" s="57"/>
      <c r="AE10843" s="57"/>
      <c r="AF10843" s="57"/>
      <c r="AG10843" s="57"/>
      <c r="AH10843" s="57"/>
      <c r="AI10843" s="57"/>
      <c r="AJ10843" s="57"/>
      <c r="AK10843" s="57"/>
      <c r="AL10843" s="57"/>
      <c r="AM10843" s="385"/>
    </row>
    <row r="10844" spans="1:39" s="47" customFormat="1">
      <c r="A10844" s="121"/>
      <c r="B10844" s="121"/>
      <c r="C10844" s="121"/>
      <c r="D10844" s="121"/>
      <c r="E10844" s="121"/>
      <c r="F10844" s="121"/>
      <c r="G10844" s="121"/>
      <c r="H10844" s="121"/>
      <c r="I10844" s="121"/>
      <c r="J10844" s="121"/>
      <c r="K10844" s="121"/>
      <c r="L10844" s="121"/>
      <c r="M10844" s="121"/>
      <c r="N10844" s="504" t="s">
        <v>2360</v>
      </c>
      <c r="O10844" s="537" t="s">
        <v>2444</v>
      </c>
      <c r="P10844" s="257"/>
      <c r="Q10844" s="321"/>
      <c r="R10844" s="260"/>
      <c r="S10844" s="260"/>
      <c r="T10844" s="260"/>
      <c r="U10844" s="260"/>
      <c r="V10844" s="262">
        <f>IF($AP$8="I",'ВС.РО 01.01 - 30.06'!V10844,IF($AP$8="II",'ВС.РО 01.07 - 31.08'!V10844,IF($AP$8="III",'ВС.РО 01.09 - 31.12'!V10844,0)))*V10877</f>
        <v>0</v>
      </c>
      <c r="W10844" s="548">
        <f t="shared" si="58"/>
        <v>0</v>
      </c>
      <c r="X10844" s="262">
        <f>IF($AP$8="I",'ВС.РО 01.01 - 30.06'!X10844,IF($AP$8="II",'ВС.РО 01.07 - 31.08'!X10844,IF($AP$8="III",'ВС.РО 01.09 - 31.12'!X10844,0)))*X10877</f>
        <v>0</v>
      </c>
      <c r="Y10844" s="260"/>
      <c r="Z10844" s="548">
        <f t="shared" si="59"/>
        <v>0</v>
      </c>
      <c r="AA10844" s="262">
        <f>IF($AP$8="I",'ВС.РО 01.01 - 30.06'!AA10844,IF($AP$8="II",'ВС.РО 01.07 - 31.08'!AA10844,IF($AP$8="III",'ВС.РО 01.09 - 31.12'!AA10844,0)))*AA10877</f>
        <v>0</v>
      </c>
      <c r="AB10844" s="262">
        <f>IF($AP$8="I",'ВС.РО 01.01 - 30.06'!AB10844,IF($AP$8="II",'ВС.РО 01.07 - 31.08'!AB10844,IF($AP$8="III",'ВС.РО 01.09 - 31.12'!AB10844,0)))*AB10877</f>
        <v>0</v>
      </c>
      <c r="AC10844" s="548">
        <f t="shared" si="60"/>
        <v>0</v>
      </c>
      <c r="AD10844" s="57"/>
      <c r="AE10844" s="57"/>
      <c r="AF10844" s="57"/>
      <c r="AG10844" s="57"/>
      <c r="AH10844" s="57"/>
      <c r="AI10844" s="57"/>
      <c r="AJ10844" s="57"/>
      <c r="AK10844" s="57"/>
      <c r="AL10844" s="57"/>
      <c r="AM10844" s="385"/>
    </row>
    <row r="10845" spans="1:39" s="47" customFormat="1">
      <c r="A10845" s="121"/>
      <c r="B10845" s="121"/>
      <c r="C10845" s="121"/>
      <c r="D10845" s="121"/>
      <c r="E10845" s="121"/>
      <c r="F10845" s="121"/>
      <c r="G10845" s="121"/>
      <c r="H10845" s="121"/>
      <c r="I10845" s="121"/>
      <c r="J10845" s="121"/>
      <c r="K10845" s="121"/>
      <c r="L10845" s="121"/>
      <c r="M10845" s="121"/>
      <c r="N10845" s="504" t="s">
        <v>2361</v>
      </c>
      <c r="O10845" s="537" t="s">
        <v>2362</v>
      </c>
      <c r="P10845" s="257"/>
      <c r="Q10845" s="321"/>
      <c r="R10845" s="260"/>
      <c r="S10845" s="260"/>
      <c r="T10845" s="260"/>
      <c r="U10845" s="260"/>
      <c r="V10845" s="262">
        <f>IF($AP$8="I",'ВС.РО 01.01 - 30.06'!V10845,IF($AP$8="II",'ВС.РО 01.07 - 31.08'!V10845,IF($AP$8="III",'ВС.РО 01.09 - 31.12'!V10845,0)))*V10877</f>
        <v>0</v>
      </c>
      <c r="W10845" s="548">
        <f t="shared" si="58"/>
        <v>0</v>
      </c>
      <c r="X10845" s="262">
        <f>IF($AP$8="I",'ВС.РО 01.01 - 30.06'!X10845,IF($AP$8="II",'ВС.РО 01.07 - 31.08'!X10845,IF($AP$8="III",'ВС.РО 01.09 - 31.12'!X10845,0)))*X10877</f>
        <v>0</v>
      </c>
      <c r="Y10845" s="260"/>
      <c r="Z10845" s="548">
        <f t="shared" si="59"/>
        <v>0</v>
      </c>
      <c r="AA10845" s="262">
        <f>IF($AP$8="I",'ВС.РО 01.01 - 30.06'!AA10845,IF($AP$8="II",'ВС.РО 01.07 - 31.08'!AA10845,IF($AP$8="III",'ВС.РО 01.09 - 31.12'!AA10845,0)))*AA10877</f>
        <v>0</v>
      </c>
      <c r="AB10845" s="262">
        <f>IF($AP$8="I",'ВС.РО 01.01 - 30.06'!AB10845,IF($AP$8="II",'ВС.РО 01.07 - 31.08'!AB10845,IF($AP$8="III",'ВС.РО 01.09 - 31.12'!AB10845,0)))*AB10877</f>
        <v>0</v>
      </c>
      <c r="AC10845" s="548">
        <f t="shared" si="60"/>
        <v>0</v>
      </c>
      <c r="AD10845" s="57"/>
      <c r="AE10845" s="57"/>
      <c r="AF10845" s="57"/>
      <c r="AG10845" s="57"/>
      <c r="AH10845" s="57"/>
      <c r="AI10845" s="57"/>
      <c r="AJ10845" s="57"/>
      <c r="AK10845" s="57"/>
      <c r="AL10845" s="57"/>
      <c r="AM10845" s="385"/>
    </row>
    <row r="10846" spans="1:39" s="47" customFormat="1">
      <c r="A10846" s="121"/>
      <c r="B10846" s="121"/>
      <c r="C10846" s="121"/>
      <c r="D10846" s="121"/>
      <c r="E10846" s="121"/>
      <c r="F10846" s="121"/>
      <c r="G10846" s="121"/>
      <c r="H10846" s="121"/>
      <c r="I10846" s="121"/>
      <c r="J10846" s="121"/>
      <c r="K10846" s="121"/>
      <c r="L10846" s="121"/>
      <c r="M10846" s="121"/>
      <c r="N10846" s="504" t="s">
        <v>2363</v>
      </c>
      <c r="O10846" s="528" t="s">
        <v>872</v>
      </c>
      <c r="P10846" s="257"/>
      <c r="Q10846" s="321"/>
      <c r="R10846" s="260"/>
      <c r="S10846" s="260"/>
      <c r="T10846" s="260"/>
      <c r="U10846" s="260"/>
      <c r="V10846" s="262">
        <f>IF($AP$8="I",'ВС.РО 01.01 - 30.06'!V10846,IF($AP$8="II",'ВС.РО 01.07 - 31.08'!V10846,IF($AP$8="III",'ВС.РО 01.09 - 31.12'!V10846,0)))*V10877</f>
        <v>0</v>
      </c>
      <c r="W10846" s="548">
        <f t="shared" si="58"/>
        <v>0</v>
      </c>
      <c r="X10846" s="262">
        <f>IF($AP$8="I",'ВС.РО 01.01 - 30.06'!X10846,IF($AP$8="II",'ВС.РО 01.07 - 31.08'!X10846,IF($AP$8="III",'ВС.РО 01.09 - 31.12'!X10846,0)))*X10877</f>
        <v>0</v>
      </c>
      <c r="Y10846" s="260"/>
      <c r="Z10846" s="548">
        <f t="shared" si="59"/>
        <v>0</v>
      </c>
      <c r="AA10846" s="262">
        <f>IF($AP$8="I",'ВС.РО 01.01 - 30.06'!AA10846,IF($AP$8="II",'ВС.РО 01.07 - 31.08'!AA10846,IF($AP$8="III",'ВС.РО 01.09 - 31.12'!AA10846,0)))*AA10877</f>
        <v>0</v>
      </c>
      <c r="AB10846" s="262">
        <f>IF($AP$8="I",'ВС.РО 01.01 - 30.06'!AB10846,IF($AP$8="II",'ВС.РО 01.07 - 31.08'!AB10846,IF($AP$8="III",'ВС.РО 01.09 - 31.12'!AB10846,0)))*AB10877</f>
        <v>0</v>
      </c>
      <c r="AC10846" s="548">
        <f t="shared" si="60"/>
        <v>0</v>
      </c>
      <c r="AD10846" s="57"/>
      <c r="AE10846" s="57"/>
      <c r="AF10846" s="57"/>
      <c r="AG10846" s="57"/>
      <c r="AH10846" s="57"/>
      <c r="AI10846" s="57"/>
      <c r="AJ10846" s="57"/>
      <c r="AK10846" s="57"/>
      <c r="AL10846" s="57"/>
      <c r="AM10846" s="385"/>
    </row>
    <row r="10847" spans="1:39" s="47" customFormat="1" ht="22.5">
      <c r="A10847" s="121"/>
      <c r="B10847" s="121"/>
      <c r="C10847" s="121"/>
      <c r="D10847" s="121"/>
      <c r="E10847" s="121"/>
      <c r="F10847" s="121"/>
      <c r="G10847" s="121"/>
      <c r="H10847" s="121"/>
      <c r="I10847" s="121"/>
      <c r="J10847" s="121"/>
      <c r="K10847" s="121"/>
      <c r="L10847" s="121"/>
      <c r="M10847" s="121"/>
      <c r="N10847" s="504" t="s">
        <v>2364</v>
      </c>
      <c r="O10847" s="528" t="s">
        <v>2365</v>
      </c>
      <c r="P10847" s="257"/>
      <c r="Q10847" s="321"/>
      <c r="R10847" s="260"/>
      <c r="S10847" s="260"/>
      <c r="T10847" s="260"/>
      <c r="U10847" s="260"/>
      <c r="V10847" s="262">
        <f>IF($AP$8="I",'ВС.РО 01.01 - 30.06'!V10847,IF($AP$8="II",'ВС.РО 01.07 - 31.08'!V10847,IF($AP$8="III",'ВС.РО 01.09 - 31.12'!V10847,0)))*V10877</f>
        <v>0</v>
      </c>
      <c r="W10847" s="548">
        <f t="shared" si="58"/>
        <v>0</v>
      </c>
      <c r="X10847" s="262">
        <f>IF($AP$8="I",'ВС.РО 01.01 - 30.06'!X10847,IF($AP$8="II",'ВС.РО 01.07 - 31.08'!X10847,IF($AP$8="III",'ВС.РО 01.09 - 31.12'!X10847,0)))*X10877</f>
        <v>0</v>
      </c>
      <c r="Y10847" s="260"/>
      <c r="Z10847" s="548">
        <f t="shared" si="59"/>
        <v>0</v>
      </c>
      <c r="AA10847" s="262">
        <f>IF($AP$8="I",'ВС.РО 01.01 - 30.06'!AA10847,IF($AP$8="II",'ВС.РО 01.07 - 31.08'!AA10847,IF($AP$8="III",'ВС.РО 01.09 - 31.12'!AA10847,0)))*AA10877</f>
        <v>0</v>
      </c>
      <c r="AB10847" s="262">
        <f>IF($AP$8="I",'ВС.РО 01.01 - 30.06'!AB10847,IF($AP$8="II",'ВС.РО 01.07 - 31.08'!AB10847,IF($AP$8="III",'ВС.РО 01.09 - 31.12'!AB10847,0)))*AB10877</f>
        <v>0</v>
      </c>
      <c r="AC10847" s="548">
        <f t="shared" si="60"/>
        <v>0</v>
      </c>
      <c r="AD10847" s="57"/>
      <c r="AE10847" s="57"/>
      <c r="AF10847" s="57"/>
      <c r="AG10847" s="57"/>
      <c r="AH10847" s="57"/>
      <c r="AI10847" s="57"/>
      <c r="AJ10847" s="57"/>
      <c r="AK10847" s="57"/>
      <c r="AL10847" s="57"/>
      <c r="AM10847" s="385"/>
    </row>
    <row r="10848" spans="1:39" s="47" customFormat="1">
      <c r="A10848" s="121"/>
      <c r="B10848" s="121"/>
      <c r="C10848" s="121"/>
      <c r="D10848" s="121"/>
      <c r="E10848" s="121"/>
      <c r="F10848" s="121"/>
      <c r="G10848" s="121"/>
      <c r="H10848" s="121"/>
      <c r="I10848" s="121"/>
      <c r="J10848" s="121"/>
      <c r="K10848" s="121"/>
      <c r="L10848" s="121"/>
      <c r="M10848" s="121"/>
      <c r="N10848" s="504" t="s">
        <v>2366</v>
      </c>
      <c r="O10848" s="528" t="s">
        <v>2367</v>
      </c>
      <c r="P10848" s="257"/>
      <c r="Q10848" s="321"/>
      <c r="R10848" s="260"/>
      <c r="S10848" s="260"/>
      <c r="T10848" s="260"/>
      <c r="U10848" s="260"/>
      <c r="V10848" s="262">
        <f>IF($AP$8="I",'ВС.РО 01.01 - 30.06'!V10848,IF($AP$8="II",'ВС.РО 01.07 - 31.08'!V10848,IF($AP$8="III",'ВС.РО 01.09 - 31.12'!V10848,0)))*V10877</f>
        <v>0</v>
      </c>
      <c r="W10848" s="548">
        <f t="shared" si="58"/>
        <v>0</v>
      </c>
      <c r="X10848" s="262">
        <f>IF($AP$8="I",'ВС.РО 01.01 - 30.06'!X10848,IF($AP$8="II",'ВС.РО 01.07 - 31.08'!X10848,IF($AP$8="III",'ВС.РО 01.09 - 31.12'!X10848,0)))*X10877</f>
        <v>0</v>
      </c>
      <c r="Y10848" s="260"/>
      <c r="Z10848" s="548">
        <f t="shared" si="59"/>
        <v>0</v>
      </c>
      <c r="AA10848" s="262">
        <f>IF($AP$8="I",'ВС.РО 01.01 - 30.06'!AA10848,IF($AP$8="II",'ВС.РО 01.07 - 31.08'!AA10848,IF($AP$8="III",'ВС.РО 01.09 - 31.12'!AA10848,0)))*AA10877</f>
        <v>0</v>
      </c>
      <c r="AB10848" s="262">
        <f>IF($AP$8="I",'ВС.РО 01.01 - 30.06'!AB10848,IF($AP$8="II",'ВС.РО 01.07 - 31.08'!AB10848,IF($AP$8="III",'ВС.РО 01.09 - 31.12'!AB10848,0)))*AB10877</f>
        <v>0</v>
      </c>
      <c r="AC10848" s="548">
        <f t="shared" si="60"/>
        <v>0</v>
      </c>
      <c r="AD10848" s="57"/>
      <c r="AE10848" s="57"/>
      <c r="AF10848" s="57"/>
      <c r="AG10848" s="57"/>
      <c r="AH10848" s="57"/>
      <c r="AI10848" s="57"/>
      <c r="AJ10848" s="57"/>
      <c r="AK10848" s="57"/>
      <c r="AL10848" s="57"/>
      <c r="AM10848" s="385"/>
    </row>
    <row r="10849" spans="1:39" s="47" customFormat="1">
      <c r="A10849" s="121"/>
      <c r="B10849" s="121"/>
      <c r="C10849" s="121"/>
      <c r="D10849" s="121"/>
      <c r="E10849" s="121"/>
      <c r="F10849" s="121"/>
      <c r="G10849" s="121"/>
      <c r="H10849" s="121"/>
      <c r="I10849" s="121"/>
      <c r="J10849" s="121"/>
      <c r="K10849" s="121"/>
      <c r="L10849" s="121"/>
      <c r="M10849" s="121"/>
      <c r="N10849" s="504" t="s">
        <v>752</v>
      </c>
      <c r="O10849" s="723" t="s">
        <v>2726</v>
      </c>
      <c r="P10849" s="257"/>
      <c r="Q10849" s="321"/>
      <c r="R10849" s="260"/>
      <c r="S10849" s="260"/>
      <c r="T10849" s="260"/>
      <c r="U10849" s="260"/>
      <c r="V10849" s="257">
        <f>SUM(V10850,V10852:V10855)</f>
        <v>0</v>
      </c>
      <c r="W10849" s="548">
        <f t="shared" si="58"/>
        <v>0</v>
      </c>
      <c r="X10849" s="257">
        <f>SUM(X10850,X10852:X10855)</f>
        <v>0</v>
      </c>
      <c r="Y10849" s="260"/>
      <c r="Z10849" s="548">
        <f t="shared" si="59"/>
        <v>0</v>
      </c>
      <c r="AA10849" s="257">
        <f>SUM(AA10850,AA10852:AA10855)</f>
        <v>0</v>
      </c>
      <c r="AB10849" s="257">
        <f>SUM(AB10850,AB10852:AB10855)</f>
        <v>0</v>
      </c>
      <c r="AC10849" s="548">
        <f t="shared" si="60"/>
        <v>0</v>
      </c>
      <c r="AD10849" s="57"/>
      <c r="AE10849" s="57"/>
      <c r="AF10849" s="57"/>
      <c r="AG10849" s="57"/>
      <c r="AH10849" s="57"/>
      <c r="AI10849" s="57"/>
      <c r="AJ10849" s="57"/>
      <c r="AK10849" s="57"/>
      <c r="AL10849" s="57"/>
      <c r="AM10849" s="385"/>
    </row>
    <row r="10850" spans="1:39" s="47" customFormat="1">
      <c r="A10850" s="121"/>
      <c r="B10850" s="121"/>
      <c r="C10850" s="121"/>
      <c r="D10850" s="121"/>
      <c r="E10850" s="121"/>
      <c r="F10850" s="121"/>
      <c r="G10850" s="121"/>
      <c r="H10850" s="121"/>
      <c r="I10850" s="121"/>
      <c r="J10850" s="121"/>
      <c r="K10850" s="121"/>
      <c r="L10850" s="121"/>
      <c r="M10850" s="121"/>
      <c r="N10850" s="504" t="s">
        <v>760</v>
      </c>
      <c r="O10850" s="527" t="s">
        <v>2368</v>
      </c>
      <c r="P10850" s="257"/>
      <c r="Q10850" s="321"/>
      <c r="R10850" s="260"/>
      <c r="S10850" s="260"/>
      <c r="T10850" s="260"/>
      <c r="U10850" s="260"/>
      <c r="V10850" s="261"/>
      <c r="W10850" s="548">
        <f t="shared" si="58"/>
        <v>0</v>
      </c>
      <c r="X10850" s="261"/>
      <c r="Y10850" s="260"/>
      <c r="Z10850" s="548">
        <f t="shared" si="59"/>
        <v>0</v>
      </c>
      <c r="AA10850" s="261"/>
      <c r="AB10850" s="261"/>
      <c r="AC10850" s="548">
        <f t="shared" si="60"/>
        <v>0</v>
      </c>
      <c r="AD10850" s="57"/>
      <c r="AE10850" s="57"/>
      <c r="AF10850" s="57"/>
      <c r="AG10850" s="57"/>
      <c r="AH10850" s="57"/>
      <c r="AI10850" s="57"/>
      <c r="AJ10850" s="57"/>
      <c r="AK10850" s="57"/>
      <c r="AL10850" s="57"/>
      <c r="AM10850" s="385"/>
    </row>
    <row r="10851" spans="1:39" s="47" customFormat="1">
      <c r="A10851" s="121"/>
      <c r="B10851" s="121"/>
      <c r="C10851" s="121"/>
      <c r="D10851" s="121"/>
      <c r="E10851" s="121"/>
      <c r="F10851" s="121"/>
      <c r="G10851" s="121"/>
      <c r="H10851" s="121"/>
      <c r="I10851" s="121"/>
      <c r="J10851" s="121"/>
      <c r="K10851" s="121"/>
      <c r="L10851" s="121"/>
      <c r="M10851" s="121"/>
      <c r="N10851" s="504" t="s">
        <v>917</v>
      </c>
      <c r="O10851" s="528" t="s">
        <v>2369</v>
      </c>
      <c r="P10851" s="257"/>
      <c r="Q10851" s="321"/>
      <c r="R10851" s="260"/>
      <c r="S10851" s="260"/>
      <c r="T10851" s="260"/>
      <c r="U10851" s="260"/>
      <c r="V10851" s="261"/>
      <c r="W10851" s="548">
        <f t="shared" si="58"/>
        <v>0</v>
      </c>
      <c r="X10851" s="261"/>
      <c r="Y10851" s="260"/>
      <c r="Z10851" s="548">
        <f t="shared" ref="Z10851:Z10866" si="61">X10851+Y10851</f>
        <v>0</v>
      </c>
      <c r="AA10851" s="261"/>
      <c r="AB10851" s="261"/>
      <c r="AC10851" s="548">
        <f t="shared" ref="AC10851:AC10866" si="62">AA10851+AB10851</f>
        <v>0</v>
      </c>
      <c r="AD10851" s="57"/>
      <c r="AE10851" s="57"/>
      <c r="AF10851" s="57"/>
      <c r="AG10851" s="57"/>
      <c r="AH10851" s="57"/>
      <c r="AI10851" s="57"/>
      <c r="AJ10851" s="57"/>
      <c r="AK10851" s="57"/>
      <c r="AL10851" s="57"/>
      <c r="AM10851" s="385"/>
    </row>
    <row r="10852" spans="1:39" s="47" customFormat="1">
      <c r="A10852" s="121"/>
      <c r="B10852" s="121"/>
      <c r="C10852" s="121"/>
      <c r="D10852" s="121"/>
      <c r="E10852" s="121"/>
      <c r="F10852" s="121"/>
      <c r="G10852" s="121"/>
      <c r="H10852" s="121"/>
      <c r="I10852" s="121"/>
      <c r="J10852" s="121"/>
      <c r="K10852" s="121"/>
      <c r="L10852" s="121"/>
      <c r="M10852" s="121"/>
      <c r="N10852" s="504" t="s">
        <v>761</v>
      </c>
      <c r="O10852" s="527" t="s">
        <v>862</v>
      </c>
      <c r="P10852" s="257"/>
      <c r="Q10852" s="321"/>
      <c r="R10852" s="260"/>
      <c r="S10852" s="260"/>
      <c r="T10852" s="260"/>
      <c r="U10852" s="260"/>
      <c r="V10852" s="261"/>
      <c r="W10852" s="548">
        <f t="shared" si="58"/>
        <v>0</v>
      </c>
      <c r="X10852" s="261"/>
      <c r="Y10852" s="260"/>
      <c r="Z10852" s="548">
        <f t="shared" si="61"/>
        <v>0</v>
      </c>
      <c r="AA10852" s="261"/>
      <c r="AB10852" s="261"/>
      <c r="AC10852" s="548">
        <f t="shared" si="62"/>
        <v>0</v>
      </c>
      <c r="AD10852" s="57"/>
      <c r="AE10852" s="57"/>
      <c r="AF10852" s="57"/>
      <c r="AG10852" s="57"/>
      <c r="AH10852" s="57"/>
      <c r="AI10852" s="57"/>
      <c r="AJ10852" s="57"/>
      <c r="AK10852" s="57"/>
      <c r="AL10852" s="57"/>
      <c r="AM10852" s="385"/>
    </row>
    <row r="10853" spans="1:39" s="47" customFormat="1">
      <c r="A10853" s="121"/>
      <c r="B10853" s="121"/>
      <c r="C10853" s="121"/>
      <c r="D10853" s="121"/>
      <c r="E10853" s="121"/>
      <c r="F10853" s="121"/>
      <c r="G10853" s="121"/>
      <c r="H10853" s="121"/>
      <c r="I10853" s="121"/>
      <c r="J10853" s="121"/>
      <c r="K10853" s="121"/>
      <c r="L10853" s="121"/>
      <c r="M10853" s="121"/>
      <c r="N10853" s="504" t="s">
        <v>762</v>
      </c>
      <c r="O10853" s="527" t="s">
        <v>864</v>
      </c>
      <c r="P10853" s="257"/>
      <c r="Q10853" s="321"/>
      <c r="R10853" s="260"/>
      <c r="S10853" s="260"/>
      <c r="T10853" s="260"/>
      <c r="U10853" s="260"/>
      <c r="V10853" s="261"/>
      <c r="W10853" s="548">
        <f t="shared" si="58"/>
        <v>0</v>
      </c>
      <c r="X10853" s="261"/>
      <c r="Y10853" s="260"/>
      <c r="Z10853" s="548">
        <f t="shared" si="61"/>
        <v>0</v>
      </c>
      <c r="AA10853" s="261"/>
      <c r="AB10853" s="261"/>
      <c r="AC10853" s="548">
        <f t="shared" si="62"/>
        <v>0</v>
      </c>
      <c r="AD10853" s="57"/>
      <c r="AE10853" s="57"/>
      <c r="AF10853" s="57"/>
      <c r="AG10853" s="57"/>
      <c r="AH10853" s="57"/>
      <c r="AI10853" s="57"/>
      <c r="AJ10853" s="57"/>
      <c r="AK10853" s="57"/>
      <c r="AL10853" s="57"/>
      <c r="AM10853" s="57"/>
    </row>
    <row r="10854" spans="1:39" s="47" customFormat="1">
      <c r="A10854" s="121"/>
      <c r="B10854" s="121"/>
      <c r="C10854" s="121"/>
      <c r="D10854" s="121"/>
      <c r="E10854" s="121"/>
      <c r="F10854" s="121"/>
      <c r="G10854" s="121"/>
      <c r="H10854" s="121"/>
      <c r="I10854" s="121"/>
      <c r="J10854" s="121"/>
      <c r="K10854" s="121"/>
      <c r="L10854" s="121"/>
      <c r="M10854" s="121"/>
      <c r="N10854" s="504" t="s">
        <v>763</v>
      </c>
      <c r="O10854" s="527" t="s">
        <v>866</v>
      </c>
      <c r="P10854" s="257"/>
      <c r="Q10854" s="321"/>
      <c r="R10854" s="260"/>
      <c r="S10854" s="260"/>
      <c r="T10854" s="260"/>
      <c r="U10854" s="260"/>
      <c r="V10854" s="261"/>
      <c r="W10854" s="548">
        <f t="shared" si="58"/>
        <v>0</v>
      </c>
      <c r="X10854" s="261"/>
      <c r="Y10854" s="260"/>
      <c r="Z10854" s="548">
        <f t="shared" si="61"/>
        <v>0</v>
      </c>
      <c r="AA10854" s="261"/>
      <c r="AB10854" s="261"/>
      <c r="AC10854" s="548">
        <f t="shared" si="62"/>
        <v>0</v>
      </c>
      <c r="AD10854" s="385"/>
      <c r="AE10854" s="385"/>
      <c r="AF10854" s="385"/>
      <c r="AG10854" s="385"/>
      <c r="AH10854" s="385"/>
      <c r="AI10854" s="385"/>
      <c r="AJ10854" s="385"/>
      <c r="AK10854" s="385"/>
      <c r="AL10854" s="385"/>
      <c r="AM10854" s="385"/>
    </row>
    <row r="10855" spans="1:39" s="47" customFormat="1">
      <c r="A10855" s="121"/>
      <c r="B10855" s="121"/>
      <c r="C10855" s="121"/>
      <c r="D10855" s="121"/>
      <c r="E10855" s="121"/>
      <c r="F10855" s="121"/>
      <c r="G10855" s="121"/>
      <c r="H10855" s="121"/>
      <c r="I10855" s="121"/>
      <c r="J10855" s="121"/>
      <c r="K10855" s="121"/>
      <c r="L10855" s="121"/>
      <c r="M10855" s="121"/>
      <c r="N10855" s="504" t="s">
        <v>764</v>
      </c>
      <c r="O10855" s="527" t="s">
        <v>2370</v>
      </c>
      <c r="P10855" s="257"/>
      <c r="Q10855" s="321"/>
      <c r="R10855" s="260"/>
      <c r="S10855" s="260"/>
      <c r="T10855" s="260"/>
      <c r="U10855" s="260"/>
      <c r="V10855" s="257">
        <f>SUM(V10856,V10858)</f>
        <v>0</v>
      </c>
      <c r="W10855" s="548">
        <f t="shared" si="58"/>
        <v>0</v>
      </c>
      <c r="X10855" s="257">
        <f>SUM(X10856,X10858)</f>
        <v>0</v>
      </c>
      <c r="Y10855" s="260"/>
      <c r="Z10855" s="548">
        <f t="shared" si="61"/>
        <v>0</v>
      </c>
      <c r="AA10855" s="257">
        <f>SUM(AA10856,AA10858)</f>
        <v>0</v>
      </c>
      <c r="AB10855" s="257">
        <f>SUM(AB10856,AB10858)</f>
        <v>0</v>
      </c>
      <c r="AC10855" s="548">
        <f t="shared" si="62"/>
        <v>0</v>
      </c>
      <c r="AD10855" s="385"/>
      <c r="AE10855" s="385"/>
      <c r="AF10855" s="385"/>
      <c r="AG10855" s="385"/>
      <c r="AH10855" s="385"/>
      <c r="AI10855" s="385"/>
      <c r="AJ10855" s="385"/>
      <c r="AK10855" s="385"/>
      <c r="AL10855" s="385"/>
      <c r="AM10855" s="385"/>
    </row>
    <row r="10856" spans="1:39" s="47" customFormat="1">
      <c r="A10856" s="121"/>
      <c r="B10856" s="121"/>
      <c r="C10856" s="121"/>
      <c r="D10856" s="121"/>
      <c r="E10856" s="121"/>
      <c r="F10856" s="121"/>
      <c r="G10856" s="121"/>
      <c r="H10856" s="121"/>
      <c r="I10856" s="121"/>
      <c r="J10856" s="121"/>
      <c r="K10856" s="121"/>
      <c r="L10856" s="121"/>
      <c r="M10856" s="121"/>
      <c r="N10856" s="504" t="s">
        <v>2371</v>
      </c>
      <c r="O10856" s="528" t="s">
        <v>2372</v>
      </c>
      <c r="P10856" s="257"/>
      <c r="Q10856" s="321"/>
      <c r="R10856" s="260"/>
      <c r="S10856" s="260"/>
      <c r="T10856" s="260"/>
      <c r="U10856" s="260"/>
      <c r="V10856" s="261"/>
      <c r="W10856" s="548">
        <f t="shared" si="58"/>
        <v>0</v>
      </c>
      <c r="X10856" s="261"/>
      <c r="Y10856" s="260"/>
      <c r="Z10856" s="548">
        <f t="shared" si="61"/>
        <v>0</v>
      </c>
      <c r="AA10856" s="261"/>
      <c r="AB10856" s="261"/>
      <c r="AC10856" s="548">
        <f t="shared" si="62"/>
        <v>0</v>
      </c>
      <c r="AD10856" s="385"/>
      <c r="AE10856" s="385"/>
      <c r="AF10856" s="385"/>
      <c r="AG10856" s="385"/>
      <c r="AH10856" s="385"/>
      <c r="AI10856" s="385"/>
      <c r="AJ10856" s="385"/>
      <c r="AK10856" s="385"/>
      <c r="AL10856" s="385"/>
      <c r="AM10856" s="385"/>
    </row>
    <row r="10857" spans="1:39" s="47" customFormat="1">
      <c r="A10857" s="121"/>
      <c r="B10857" s="121"/>
      <c r="C10857" s="121"/>
      <c r="D10857" s="121"/>
      <c r="E10857" s="121"/>
      <c r="F10857" s="121"/>
      <c r="G10857" s="121"/>
      <c r="H10857" s="121"/>
      <c r="I10857" s="121"/>
      <c r="J10857" s="121"/>
      <c r="K10857" s="121"/>
      <c r="L10857" s="121"/>
      <c r="M10857" s="121"/>
      <c r="N10857" s="504" t="s">
        <v>2373</v>
      </c>
      <c r="O10857" s="538" t="s">
        <v>2374</v>
      </c>
      <c r="P10857" s="257"/>
      <c r="Q10857" s="321"/>
      <c r="R10857" s="260"/>
      <c r="S10857" s="260"/>
      <c r="T10857" s="260"/>
      <c r="U10857" s="260"/>
      <c r="V10857" s="261"/>
      <c r="W10857" s="548">
        <f t="shared" si="58"/>
        <v>0</v>
      </c>
      <c r="X10857" s="261"/>
      <c r="Y10857" s="260"/>
      <c r="Z10857" s="548">
        <f t="shared" si="61"/>
        <v>0</v>
      </c>
      <c r="AA10857" s="261"/>
      <c r="AB10857" s="261"/>
      <c r="AC10857" s="548">
        <f t="shared" si="62"/>
        <v>0</v>
      </c>
      <c r="AD10857" s="385"/>
      <c r="AE10857" s="385"/>
      <c r="AF10857" s="385"/>
      <c r="AG10857" s="385"/>
      <c r="AH10857" s="385"/>
      <c r="AI10857" s="385"/>
      <c r="AJ10857" s="385"/>
      <c r="AK10857" s="385"/>
      <c r="AL10857" s="385"/>
      <c r="AM10857" s="385"/>
    </row>
    <row r="10858" spans="1:39" s="47" customFormat="1">
      <c r="A10858" s="121"/>
      <c r="B10858" s="121"/>
      <c r="C10858" s="121"/>
      <c r="D10858" s="121"/>
      <c r="E10858" s="121"/>
      <c r="F10858" s="121"/>
      <c r="G10858" s="121"/>
      <c r="H10858" s="121"/>
      <c r="I10858" s="121"/>
      <c r="J10858" s="121"/>
      <c r="K10858" s="121"/>
      <c r="L10858" s="121"/>
      <c r="M10858" s="121"/>
      <c r="N10858" s="504" t="s">
        <v>2375</v>
      </c>
      <c r="O10858" s="528" t="s">
        <v>2376</v>
      </c>
      <c r="P10858" s="257"/>
      <c r="Q10858" s="321"/>
      <c r="R10858" s="260"/>
      <c r="S10858" s="260"/>
      <c r="T10858" s="260"/>
      <c r="U10858" s="260"/>
      <c r="V10858" s="261"/>
      <c r="W10858" s="548">
        <f t="shared" si="58"/>
        <v>0</v>
      </c>
      <c r="X10858" s="261"/>
      <c r="Y10858" s="260"/>
      <c r="Z10858" s="548">
        <f t="shared" si="61"/>
        <v>0</v>
      </c>
      <c r="AA10858" s="261"/>
      <c r="AB10858" s="261"/>
      <c r="AC10858" s="548">
        <f t="shared" si="62"/>
        <v>0</v>
      </c>
      <c r="AD10858" s="385"/>
      <c r="AE10858" s="385"/>
      <c r="AF10858" s="385"/>
      <c r="AG10858" s="385"/>
      <c r="AH10858" s="385"/>
      <c r="AI10858" s="385"/>
      <c r="AJ10858" s="385"/>
      <c r="AK10858" s="385"/>
      <c r="AL10858" s="385"/>
      <c r="AM10858" s="385"/>
    </row>
    <row r="10859" spans="1:39" s="47" customFormat="1">
      <c r="A10859" s="121"/>
      <c r="B10859" s="121"/>
      <c r="C10859" s="121"/>
      <c r="D10859" s="121"/>
      <c r="E10859" s="121"/>
      <c r="F10859" s="121"/>
      <c r="G10859" s="121"/>
      <c r="H10859" s="121"/>
      <c r="I10859" s="121"/>
      <c r="J10859" s="121"/>
      <c r="K10859" s="121"/>
      <c r="L10859" s="121"/>
      <c r="M10859" s="121"/>
      <c r="N10859" s="504"/>
      <c r="O10859" s="526"/>
      <c r="P10859" s="260"/>
      <c r="Q10859" s="321"/>
      <c r="R10859" s="260"/>
      <c r="S10859" s="260"/>
      <c r="T10859" s="260"/>
      <c r="U10859" s="260"/>
      <c r="V10859" s="260"/>
      <c r="W10859" s="260"/>
      <c r="X10859" s="260"/>
      <c r="Y10859" s="260"/>
      <c r="Z10859" s="260"/>
      <c r="AA10859" s="260"/>
      <c r="AB10859" s="260"/>
      <c r="AC10859" s="260"/>
      <c r="AD10859" s="57"/>
      <c r="AE10859" s="57"/>
      <c r="AF10859" s="57"/>
      <c r="AG10859" s="57"/>
      <c r="AH10859" s="57"/>
      <c r="AI10859" s="57"/>
      <c r="AJ10859" s="57"/>
      <c r="AK10859" s="57"/>
      <c r="AL10859" s="57"/>
      <c r="AM10859" s="57"/>
    </row>
    <row r="10860" spans="1:39" s="47" customFormat="1">
      <c r="A10860" s="121"/>
      <c r="B10860" s="121"/>
      <c r="C10860" s="121"/>
      <c r="D10860" s="121"/>
      <c r="E10860" s="121"/>
      <c r="F10860" s="121"/>
      <c r="G10860" s="121"/>
      <c r="H10860" s="121"/>
      <c r="I10860" s="121"/>
      <c r="J10860" s="121"/>
      <c r="K10860" s="121"/>
      <c r="L10860" s="121"/>
      <c r="M10860" s="121"/>
      <c r="N10860" s="504"/>
      <c r="O10860" s="526"/>
      <c r="P10860" s="260"/>
      <c r="Q10860" s="321"/>
      <c r="R10860" s="260"/>
      <c r="S10860" s="260"/>
      <c r="T10860" s="260"/>
      <c r="U10860" s="260"/>
      <c r="V10860" s="260"/>
      <c r="W10860" s="260"/>
      <c r="X10860" s="260"/>
      <c r="Y10860" s="260"/>
      <c r="Z10860" s="260"/>
      <c r="AA10860" s="260"/>
      <c r="AB10860" s="260"/>
      <c r="AC10860" s="260"/>
      <c r="AD10860" s="57"/>
      <c r="AE10860" s="57"/>
      <c r="AF10860" s="57"/>
      <c r="AG10860" s="57"/>
      <c r="AH10860" s="57"/>
      <c r="AI10860" s="57"/>
      <c r="AJ10860" s="57"/>
      <c r="AK10860" s="57"/>
      <c r="AL10860" s="57"/>
      <c r="AM10860" s="57"/>
    </row>
    <row r="10861" spans="1:39" s="47" customFormat="1">
      <c r="A10861" s="121"/>
      <c r="B10861" s="121"/>
      <c r="C10861" s="121"/>
      <c r="D10861" s="121"/>
      <c r="E10861" s="121"/>
      <c r="F10861" s="121"/>
      <c r="G10861" s="121"/>
      <c r="H10861" s="121"/>
      <c r="I10861" s="121"/>
      <c r="J10861" s="121"/>
      <c r="K10861" s="121"/>
      <c r="L10861" s="121"/>
      <c r="M10861" s="121"/>
      <c r="N10861" s="504"/>
      <c r="O10861" s="526"/>
      <c r="P10861" s="260"/>
      <c r="Q10861" s="321"/>
      <c r="R10861" s="260"/>
      <c r="S10861" s="260"/>
      <c r="T10861" s="260"/>
      <c r="U10861" s="260"/>
      <c r="V10861" s="260"/>
      <c r="W10861" s="260"/>
      <c r="X10861" s="260"/>
      <c r="Y10861" s="260"/>
      <c r="Z10861" s="260"/>
      <c r="AA10861" s="260"/>
      <c r="AB10861" s="260"/>
      <c r="AC10861" s="260"/>
      <c r="AD10861" s="57"/>
      <c r="AE10861" s="57"/>
      <c r="AF10861" s="57"/>
      <c r="AG10861" s="57"/>
      <c r="AH10861" s="57"/>
      <c r="AI10861" s="57"/>
      <c r="AJ10861" s="57"/>
      <c r="AK10861" s="57"/>
      <c r="AL10861" s="57"/>
      <c r="AM10861" s="57"/>
    </row>
    <row r="10862" spans="1:39" s="47" customFormat="1">
      <c r="A10862" s="121"/>
      <c r="B10862" s="121"/>
      <c r="C10862" s="121"/>
      <c r="D10862" s="121"/>
      <c r="E10862" s="121"/>
      <c r="F10862" s="121"/>
      <c r="G10862" s="121"/>
      <c r="H10862" s="121"/>
      <c r="I10862" s="121"/>
      <c r="J10862" s="121"/>
      <c r="K10862" s="121"/>
      <c r="L10862" s="121"/>
      <c r="M10862" s="121"/>
      <c r="N10862" s="504"/>
      <c r="O10862" s="526"/>
      <c r="P10862" s="260"/>
      <c r="Q10862" s="321"/>
      <c r="R10862" s="260"/>
      <c r="S10862" s="260"/>
      <c r="T10862" s="260"/>
      <c r="U10862" s="260"/>
      <c r="V10862" s="260"/>
      <c r="W10862" s="260"/>
      <c r="X10862" s="260"/>
      <c r="Y10862" s="260"/>
      <c r="Z10862" s="260"/>
      <c r="AA10862" s="260"/>
      <c r="AB10862" s="260"/>
      <c r="AC10862" s="260"/>
      <c r="AD10862" s="57"/>
      <c r="AE10862" s="57"/>
      <c r="AF10862" s="57"/>
      <c r="AG10862" s="57"/>
      <c r="AH10862" s="57"/>
      <c r="AI10862" s="57"/>
      <c r="AJ10862" s="57"/>
      <c r="AK10862" s="57"/>
      <c r="AL10862" s="57"/>
      <c r="AM10862" s="57"/>
    </row>
    <row r="10863" spans="1:39" s="47" customFormat="1">
      <c r="A10863" s="121"/>
      <c r="B10863" s="121"/>
      <c r="C10863" s="121"/>
      <c r="D10863" s="121"/>
      <c r="E10863" s="121"/>
      <c r="F10863" s="121"/>
      <c r="G10863" s="121"/>
      <c r="H10863" s="121"/>
      <c r="I10863" s="121"/>
      <c r="J10863" s="121"/>
      <c r="K10863" s="121"/>
      <c r="L10863" s="121"/>
      <c r="M10863" s="121"/>
      <c r="N10863" s="504"/>
      <c r="O10863" s="526"/>
      <c r="P10863" s="260"/>
      <c r="Q10863" s="321"/>
      <c r="R10863" s="260"/>
      <c r="S10863" s="260"/>
      <c r="T10863" s="260"/>
      <c r="U10863" s="260"/>
      <c r="V10863" s="260"/>
      <c r="W10863" s="260"/>
      <c r="X10863" s="260"/>
      <c r="Y10863" s="260"/>
      <c r="Z10863" s="260"/>
      <c r="AA10863" s="260"/>
      <c r="AB10863" s="260"/>
      <c r="AC10863" s="260"/>
      <c r="AD10863" s="57"/>
      <c r="AE10863" s="57"/>
      <c r="AF10863" s="57"/>
      <c r="AG10863" s="57"/>
      <c r="AH10863" s="57"/>
      <c r="AI10863" s="57"/>
      <c r="AJ10863" s="57"/>
      <c r="AK10863" s="57"/>
      <c r="AL10863" s="57"/>
      <c r="AM10863" s="57"/>
    </row>
    <row r="10864" spans="1:39" s="47" customFormat="1">
      <c r="A10864" s="121"/>
      <c r="B10864" s="121"/>
      <c r="C10864" s="121"/>
      <c r="D10864" s="121"/>
      <c r="E10864" s="121"/>
      <c r="F10864" s="121"/>
      <c r="G10864" s="121"/>
      <c r="H10864" s="121"/>
      <c r="I10864" s="121"/>
      <c r="J10864" s="121"/>
      <c r="K10864" s="121"/>
      <c r="L10864" s="121"/>
      <c r="M10864" s="121"/>
      <c r="N10864" s="504"/>
      <c r="O10864" s="526"/>
      <c r="P10864" s="260"/>
      <c r="Q10864" s="321"/>
      <c r="R10864" s="260"/>
      <c r="S10864" s="260"/>
      <c r="T10864" s="260"/>
      <c r="U10864" s="260"/>
      <c r="V10864" s="260"/>
      <c r="W10864" s="260"/>
      <c r="X10864" s="260"/>
      <c r="Y10864" s="260"/>
      <c r="Z10864" s="260"/>
      <c r="AA10864" s="260"/>
      <c r="AB10864" s="260"/>
      <c r="AC10864" s="260"/>
      <c r="AD10864" s="57"/>
      <c r="AE10864" s="57"/>
      <c r="AF10864" s="57"/>
      <c r="AG10864" s="57"/>
      <c r="AH10864" s="57"/>
      <c r="AI10864" s="57"/>
      <c r="AJ10864" s="57"/>
      <c r="AK10864" s="57"/>
      <c r="AL10864" s="57"/>
      <c r="AM10864" s="57"/>
    </row>
    <row r="10865" spans="1:39" s="47" customFormat="1">
      <c r="A10865" s="121"/>
      <c r="B10865" s="121"/>
      <c r="C10865" s="121"/>
      <c r="D10865" s="121"/>
      <c r="E10865" s="121"/>
      <c r="F10865" s="121"/>
      <c r="G10865" s="121"/>
      <c r="H10865" s="121"/>
      <c r="I10865" s="121"/>
      <c r="J10865" s="121"/>
      <c r="K10865" s="121"/>
      <c r="L10865" s="121"/>
      <c r="M10865" s="121"/>
      <c r="N10865" s="725" t="s">
        <v>3072</v>
      </c>
      <c r="O10865" s="724" t="s">
        <v>2727</v>
      </c>
      <c r="P10865" s="257"/>
      <c r="Q10865" s="321"/>
      <c r="R10865" s="260"/>
      <c r="S10865" s="260"/>
      <c r="T10865" s="260"/>
      <c r="U10865" s="260"/>
      <c r="V10865" s="261"/>
      <c r="W10865" s="548">
        <f>U10865+V10865</f>
        <v>0</v>
      </c>
      <c r="X10865" s="261"/>
      <c r="Y10865" s="260"/>
      <c r="Z10865" s="548">
        <f t="shared" si="61"/>
        <v>0</v>
      </c>
      <c r="AA10865" s="261"/>
      <c r="AB10865" s="261"/>
      <c r="AC10865" s="548">
        <f t="shared" si="62"/>
        <v>0</v>
      </c>
      <c r="AD10865" s="60"/>
      <c r="AE10865" s="60"/>
      <c r="AF10865" s="60"/>
      <c r="AG10865" s="60"/>
      <c r="AH10865" s="60"/>
      <c r="AI10865" s="60"/>
      <c r="AJ10865" s="60"/>
      <c r="AK10865" s="60"/>
      <c r="AL10865" s="60"/>
      <c r="AM10865" s="60"/>
    </row>
    <row r="10866" spans="1:39" s="47" customFormat="1">
      <c r="A10866" s="121"/>
      <c r="B10866" s="121"/>
      <c r="C10866" s="121"/>
      <c r="D10866" s="121"/>
      <c r="E10866" s="121"/>
      <c r="F10866" s="121"/>
      <c r="G10866" s="121"/>
      <c r="H10866" s="121"/>
      <c r="I10866" s="121"/>
      <c r="J10866" s="121"/>
      <c r="K10866" s="121"/>
      <c r="L10866" s="121"/>
      <c r="M10866" s="121"/>
      <c r="N10866" s="504" t="s">
        <v>2427</v>
      </c>
      <c r="O10866" s="723" t="s">
        <v>2616</v>
      </c>
      <c r="P10866" s="257"/>
      <c r="Q10866" s="321"/>
      <c r="R10866" s="260"/>
      <c r="S10866" s="260"/>
      <c r="T10866" s="260"/>
      <c r="U10866" s="260"/>
      <c r="V10866" s="257">
        <f>V10869*V10867/1000</f>
        <v>0</v>
      </c>
      <c r="W10866" s="548">
        <f>U10866+V10866</f>
        <v>0</v>
      </c>
      <c r="X10866" s="257">
        <f>X10869*X10867/1000</f>
        <v>0</v>
      </c>
      <c r="Y10866" s="260"/>
      <c r="Z10866" s="548">
        <f t="shared" si="61"/>
        <v>0</v>
      </c>
      <c r="AA10866" s="257">
        <f>AA10869*AA10867/1000</f>
        <v>0</v>
      </c>
      <c r="AB10866" s="257">
        <f>AB10869*AB10867/1000</f>
        <v>0</v>
      </c>
      <c r="AC10866" s="548">
        <f t="shared" si="62"/>
        <v>0</v>
      </c>
      <c r="AD10866" s="60"/>
      <c r="AE10866" s="60"/>
      <c r="AF10866" s="60"/>
      <c r="AG10866" s="60"/>
      <c r="AH10866" s="60"/>
      <c r="AI10866" s="60"/>
      <c r="AJ10866" s="60"/>
      <c r="AK10866" s="60"/>
      <c r="AL10866" s="60"/>
      <c r="AM10866" s="60"/>
    </row>
    <row r="10867" spans="1:39" s="47" customFormat="1" ht="22.5">
      <c r="A10867" s="121"/>
      <c r="B10867" s="121"/>
      <c r="C10867" s="121"/>
      <c r="D10867" s="121"/>
      <c r="E10867" s="121"/>
      <c r="F10867" s="121"/>
      <c r="G10867" s="121"/>
      <c r="H10867" s="121"/>
      <c r="I10867" s="121"/>
      <c r="J10867" s="121"/>
      <c r="K10867" s="121"/>
      <c r="L10867" s="121"/>
      <c r="M10867" s="121"/>
      <c r="N10867" s="504" t="s">
        <v>2429</v>
      </c>
      <c r="O10867" s="727" t="s">
        <v>2619</v>
      </c>
      <c r="P10867" s="257"/>
      <c r="Q10867" s="321"/>
      <c r="R10867" s="260"/>
      <c r="S10867" s="260"/>
      <c r="T10867" s="260"/>
      <c r="U10867" s="260"/>
      <c r="V10867" s="261"/>
      <c r="W10867" s="548">
        <f>U10867+V10867</f>
        <v>0</v>
      </c>
      <c r="X10867" s="261"/>
      <c r="Y10867" s="260"/>
      <c r="Z10867" s="548">
        <f>X10867+Y10867</f>
        <v>0</v>
      </c>
      <c r="AA10867" s="261"/>
      <c r="AB10867" s="261"/>
      <c r="AC10867" s="548">
        <f>AA10867+AB10867</f>
        <v>0</v>
      </c>
      <c r="AD10867" s="60"/>
      <c r="AE10867" s="60"/>
      <c r="AF10867" s="60"/>
      <c r="AG10867" s="60"/>
      <c r="AH10867" s="60"/>
      <c r="AI10867" s="60"/>
      <c r="AJ10867" s="60"/>
      <c r="AK10867" s="60"/>
      <c r="AL10867" s="60"/>
      <c r="AM10867" s="60"/>
    </row>
    <row r="10868" spans="1:39" s="47" customFormat="1">
      <c r="A10868" s="121"/>
      <c r="B10868" s="121"/>
      <c r="C10868" s="121"/>
      <c r="D10868" s="121"/>
      <c r="E10868" s="121"/>
      <c r="F10868" s="121"/>
      <c r="G10868" s="121"/>
      <c r="H10868" s="121"/>
      <c r="I10868" s="121"/>
      <c r="J10868" s="121"/>
      <c r="K10868" s="121"/>
      <c r="L10868" s="121"/>
      <c r="M10868" s="121"/>
      <c r="N10868" s="504" t="s">
        <v>2617</v>
      </c>
      <c r="O10868" s="727" t="s">
        <v>2620</v>
      </c>
      <c r="P10868" s="257"/>
      <c r="Q10868" s="321"/>
      <c r="R10868" s="260"/>
      <c r="S10868" s="260"/>
      <c r="T10868" s="260"/>
      <c r="U10868" s="260"/>
      <c r="V10868" s="261"/>
      <c r="W10868" s="548">
        <f>U10868+V10868</f>
        <v>0</v>
      </c>
      <c r="X10868" s="261"/>
      <c r="Y10868" s="260"/>
      <c r="Z10868" s="548">
        <f>X10868+Y10868</f>
        <v>0</v>
      </c>
      <c r="AA10868" s="261"/>
      <c r="AB10868" s="261"/>
      <c r="AC10868" s="548">
        <f>AA10868+AB10868</f>
        <v>0</v>
      </c>
      <c r="AD10868" s="60"/>
      <c r="AE10868" s="60"/>
      <c r="AF10868" s="60"/>
      <c r="AG10868" s="60"/>
      <c r="AH10868" s="60"/>
      <c r="AI10868" s="60"/>
      <c r="AJ10868" s="60"/>
      <c r="AK10868" s="60"/>
      <c r="AL10868" s="60"/>
      <c r="AM10868" s="57"/>
    </row>
    <row r="10869" spans="1:39" s="47" customFormat="1">
      <c r="A10869" s="121"/>
      <c r="B10869" s="121"/>
      <c r="C10869" s="121"/>
      <c r="D10869" s="121"/>
      <c r="E10869" s="121"/>
      <c r="F10869" s="121"/>
      <c r="G10869" s="121"/>
      <c r="H10869" s="121"/>
      <c r="I10869" s="121"/>
      <c r="J10869" s="121"/>
      <c r="K10869" s="121"/>
      <c r="L10869" s="121"/>
      <c r="M10869" s="121"/>
      <c r="N10869" s="504" t="s">
        <v>2618</v>
      </c>
      <c r="O10869" s="727" t="s">
        <v>2621</v>
      </c>
      <c r="P10869" s="257"/>
      <c r="Q10869" s="321"/>
      <c r="R10869" s="260"/>
      <c r="S10869" s="260"/>
      <c r="T10869" s="260"/>
      <c r="U10869" s="260"/>
      <c r="V10869" s="257">
        <f>IF(U$13="да",V10868*1.18,V10868)</f>
        <v>0</v>
      </c>
      <c r="W10869" s="548">
        <f>U10869+V10869</f>
        <v>0</v>
      </c>
      <c r="X10869" s="257">
        <f>IF(X$13="да",X10868*1.18,X10868)</f>
        <v>0</v>
      </c>
      <c r="Y10869" s="260"/>
      <c r="Z10869" s="548">
        <f>X10869+Y10869</f>
        <v>0</v>
      </c>
      <c r="AA10869" s="257">
        <f>IF(AA$13="да",AA10868*1.18,AA10868)</f>
        <v>0</v>
      </c>
      <c r="AB10869" s="257">
        <f>IF(AA$13="да",AB10868*1.18,AB10868)</f>
        <v>0</v>
      </c>
      <c r="AC10869" s="548">
        <f>AA10869+AB10869</f>
        <v>0</v>
      </c>
      <c r="AD10869" s="60"/>
      <c r="AE10869" s="60"/>
      <c r="AF10869" s="60"/>
      <c r="AG10869" s="60"/>
      <c r="AH10869" s="60"/>
      <c r="AI10869" s="60"/>
      <c r="AJ10869" s="60"/>
      <c r="AK10869" s="60"/>
      <c r="AL10869" s="60"/>
      <c r="AM10869" s="57"/>
    </row>
    <row r="10870" spans="1:39" s="47" customFormat="1">
      <c r="A10870" s="121"/>
      <c r="B10870" s="121"/>
      <c r="C10870" s="121"/>
      <c r="D10870" s="121"/>
      <c r="E10870" s="121"/>
      <c r="F10870" s="121"/>
      <c r="G10870" s="121"/>
      <c r="H10870" s="121"/>
      <c r="I10870" s="121"/>
      <c r="J10870" s="121"/>
      <c r="K10870" s="121"/>
      <c r="L10870" s="121"/>
      <c r="M10870" s="121"/>
      <c r="N10870" s="504"/>
      <c r="O10870" s="526"/>
      <c r="P10870" s="260"/>
      <c r="Q10870" s="321"/>
      <c r="R10870" s="260"/>
      <c r="S10870" s="260"/>
      <c r="T10870" s="260"/>
      <c r="U10870" s="260"/>
      <c r="V10870" s="260"/>
      <c r="W10870" s="260"/>
      <c r="X10870" s="260"/>
      <c r="Y10870" s="260"/>
      <c r="Z10870" s="260"/>
      <c r="AA10870" s="260"/>
      <c r="AB10870" s="260"/>
      <c r="AC10870" s="260"/>
      <c r="AD10870" s="57"/>
      <c r="AE10870" s="57"/>
      <c r="AF10870" s="57"/>
      <c r="AG10870" s="57"/>
      <c r="AH10870" s="57"/>
      <c r="AI10870" s="57"/>
      <c r="AJ10870" s="57"/>
      <c r="AK10870" s="57"/>
      <c r="AL10870" s="57"/>
      <c r="AM10870" s="57"/>
    </row>
    <row r="10871" spans="1:39" s="47" customFormat="1">
      <c r="A10871" s="121"/>
      <c r="B10871" s="121"/>
      <c r="C10871" s="121"/>
      <c r="D10871" s="121"/>
      <c r="E10871" s="121"/>
      <c r="F10871" s="121"/>
      <c r="G10871" s="121"/>
      <c r="H10871" s="121"/>
      <c r="I10871" s="121"/>
      <c r="J10871" s="121"/>
      <c r="K10871" s="121"/>
      <c r="L10871" s="121"/>
      <c r="M10871" s="121"/>
      <c r="N10871" s="504"/>
      <c r="O10871" s="526"/>
      <c r="P10871" s="260"/>
      <c r="Q10871" s="321"/>
      <c r="R10871" s="260"/>
      <c r="S10871" s="260"/>
      <c r="T10871" s="260"/>
      <c r="U10871" s="260"/>
      <c r="V10871" s="260"/>
      <c r="W10871" s="260"/>
      <c r="X10871" s="260"/>
      <c r="Y10871" s="260"/>
      <c r="Z10871" s="260"/>
      <c r="AA10871" s="260"/>
      <c r="AB10871" s="260"/>
      <c r="AC10871" s="260"/>
      <c r="AD10871" s="57"/>
      <c r="AE10871" s="57"/>
      <c r="AF10871" s="57"/>
      <c r="AG10871" s="57"/>
      <c r="AH10871" s="57"/>
      <c r="AI10871" s="57"/>
      <c r="AJ10871" s="57"/>
      <c r="AK10871" s="57"/>
      <c r="AL10871" s="57"/>
      <c r="AM10871" s="57"/>
    </row>
    <row r="10872" spans="1:39" s="47" customFormat="1">
      <c r="A10872" s="121"/>
      <c r="B10872" s="121"/>
      <c r="C10872" s="121"/>
      <c r="D10872" s="121"/>
      <c r="E10872" s="121"/>
      <c r="F10872" s="121"/>
      <c r="G10872" s="121"/>
      <c r="H10872" s="121"/>
      <c r="I10872" s="121"/>
      <c r="J10872" s="121"/>
      <c r="K10872" s="121"/>
      <c r="L10872" s="121"/>
      <c r="M10872" s="121"/>
      <c r="N10872" s="504"/>
      <c r="O10872" s="526"/>
      <c r="P10872" s="260"/>
      <c r="Q10872" s="321"/>
      <c r="R10872" s="260"/>
      <c r="S10872" s="260"/>
      <c r="T10872" s="260"/>
      <c r="U10872" s="260"/>
      <c r="V10872" s="260"/>
      <c r="W10872" s="260"/>
      <c r="X10872" s="260"/>
      <c r="Y10872" s="260"/>
      <c r="Z10872" s="260"/>
      <c r="AA10872" s="260"/>
      <c r="AB10872" s="260"/>
      <c r="AC10872" s="260"/>
      <c r="AD10872" s="57"/>
      <c r="AE10872" s="57"/>
      <c r="AF10872" s="57"/>
      <c r="AG10872" s="57"/>
      <c r="AH10872" s="57"/>
      <c r="AI10872" s="57"/>
      <c r="AJ10872" s="57"/>
      <c r="AK10872" s="57"/>
      <c r="AL10872" s="57"/>
      <c r="AM10872" s="57"/>
    </row>
    <row r="10873" spans="1:39" s="47" customFormat="1">
      <c r="A10873" s="121"/>
      <c r="B10873" s="121"/>
      <c r="C10873" s="121"/>
      <c r="D10873" s="121"/>
      <c r="E10873" s="121"/>
      <c r="F10873" s="121"/>
      <c r="G10873" s="121"/>
      <c r="H10873" s="121"/>
      <c r="I10873" s="121"/>
      <c r="J10873" s="121"/>
      <c r="K10873" s="121"/>
      <c r="L10873" s="121"/>
      <c r="M10873" s="121"/>
      <c r="N10873" s="504"/>
      <c r="O10873" s="526"/>
      <c r="P10873" s="260"/>
      <c r="Q10873" s="321"/>
      <c r="R10873" s="260"/>
      <c r="S10873" s="260"/>
      <c r="T10873" s="260"/>
      <c r="U10873" s="260"/>
      <c r="V10873" s="260"/>
      <c r="W10873" s="260"/>
      <c r="X10873" s="260"/>
      <c r="Y10873" s="260"/>
      <c r="Z10873" s="260"/>
      <c r="AA10873" s="260"/>
      <c r="AB10873" s="260"/>
      <c r="AC10873" s="260"/>
      <c r="AD10873" s="57"/>
      <c r="AE10873" s="57"/>
      <c r="AF10873" s="57"/>
      <c r="AG10873" s="57"/>
      <c r="AH10873" s="57"/>
      <c r="AI10873" s="57"/>
      <c r="AJ10873" s="57"/>
      <c r="AK10873" s="57"/>
      <c r="AL10873" s="57"/>
      <c r="AM10873" s="57"/>
    </row>
    <row r="10874" spans="1:39" s="47" customFormat="1">
      <c r="A10874" s="121"/>
      <c r="B10874" s="121"/>
      <c r="C10874" s="121"/>
      <c r="D10874" s="121"/>
      <c r="E10874" s="121"/>
      <c r="F10874" s="121"/>
      <c r="G10874" s="121"/>
      <c r="H10874" s="121"/>
      <c r="I10874" s="121"/>
      <c r="J10874" s="121"/>
      <c r="K10874" s="121"/>
      <c r="L10874" s="121"/>
      <c r="M10874" s="121"/>
      <c r="N10874" s="504"/>
      <c r="O10874" s="526"/>
      <c r="P10874" s="260"/>
      <c r="Q10874" s="321"/>
      <c r="R10874" s="260"/>
      <c r="S10874" s="260"/>
      <c r="T10874" s="260"/>
      <c r="U10874" s="260"/>
      <c r="V10874" s="260"/>
      <c r="W10874" s="260"/>
      <c r="X10874" s="260"/>
      <c r="Y10874" s="260"/>
      <c r="Z10874" s="260"/>
      <c r="AA10874" s="260"/>
      <c r="AB10874" s="260"/>
      <c r="AC10874" s="260"/>
      <c r="AD10874" s="57"/>
      <c r="AE10874" s="57"/>
      <c r="AF10874" s="57"/>
      <c r="AG10874" s="57"/>
      <c r="AH10874" s="57"/>
      <c r="AI10874" s="57"/>
      <c r="AJ10874" s="57"/>
      <c r="AK10874" s="57"/>
      <c r="AL10874" s="57"/>
      <c r="AM10874" s="57"/>
    </row>
    <row r="10875" spans="1:39" s="47" customFormat="1" ht="57" customHeight="1">
      <c r="A10875" s="121"/>
      <c r="B10875" s="121"/>
      <c r="C10875" s="121"/>
      <c r="D10875" s="121"/>
      <c r="E10875" s="121"/>
      <c r="F10875" s="121"/>
      <c r="G10875" s="121"/>
      <c r="H10875" s="121"/>
      <c r="I10875" s="121"/>
      <c r="J10875" s="121"/>
      <c r="K10875" s="121"/>
      <c r="L10875" s="121"/>
      <c r="M10875" s="121"/>
      <c r="N10875" s="504" t="s">
        <v>855</v>
      </c>
      <c r="O10875" s="526" t="s">
        <v>370</v>
      </c>
      <c r="P10875" s="257"/>
      <c r="Q10875" s="321"/>
      <c r="R10875" s="323"/>
      <c r="S10875" s="323"/>
      <c r="T10875" s="323"/>
      <c r="U10875" s="323"/>
      <c r="V10875" s="629">
        <f>SUMIF(ВС.БПр!$F$129:$F$130,V$9&amp;".0",ВС.БПр!$P$129:$P$130)/1000</f>
        <v>0</v>
      </c>
      <c r="W10875" s="548">
        <f>U10875+V10875</f>
        <v>0</v>
      </c>
      <c r="X10875" s="629">
        <f>SUMIF(ВС.БПр!$F$129:$F$130,X$9&amp;".0",ВС.БПр!$P$129:$P$130)/1000</f>
        <v>0</v>
      </c>
      <c r="Y10875" s="260"/>
      <c r="Z10875" s="548">
        <f>X10875+Y10875</f>
        <v>0</v>
      </c>
      <c r="AA10875" s="629">
        <f>SUMIF(ВС.БПр!$F$129:$F$130,AA$9&amp;".0",ВС.БПр!$P$129:$P$130)/1000</f>
        <v>0</v>
      </c>
      <c r="AB10875" s="629">
        <f>SUMIF(ВС.БПр!$F$129:$F$130,AB$9&amp;".0",ВС.БПр!$P$129:$P$130)/1000</f>
        <v>0</v>
      </c>
      <c r="AC10875" s="548">
        <f>AA10875+AB10875</f>
        <v>0</v>
      </c>
      <c r="AD10875" s="260"/>
      <c r="AE10875" s="629">
        <f>SUMIF(ВС.БТр!$F$129:$F$130,AE$9&amp;".0",ВС.БТр!$L$129:$L$130)/1000</f>
        <v>0</v>
      </c>
      <c r="AF10875" s="548">
        <f>AD10875+AE10875</f>
        <v>0</v>
      </c>
      <c r="AG10875" s="629">
        <f>SUMIF(ВС.БТр!$F$129:$F$130,AG$9&amp;".0",ВС.БТр!$L$129:$L$130)/1000</f>
        <v>0</v>
      </c>
      <c r="AH10875" s="260"/>
      <c r="AI10875" s="548">
        <f>AG10875+AH10875</f>
        <v>0</v>
      </c>
      <c r="AJ10875" s="629">
        <f>SUMIF(ВС.БТр!$F$129:$F$130,AJ$9&amp;".0",ВС.БТр!$L$129:$L$130)/1000</f>
        <v>0</v>
      </c>
      <c r="AK10875" s="629">
        <f>SUMIF(ВС.БТр!$F$129:$F$130,AK$9&amp;".0",ВС.БТр!$L$129:$L$130)/1000</f>
        <v>0</v>
      </c>
      <c r="AL10875" s="548">
        <f>AJ10875+AK10875</f>
        <v>0</v>
      </c>
      <c r="AM10875" s="816" t="s">
        <v>351</v>
      </c>
    </row>
    <row r="10876" spans="1:39" s="47" customFormat="1" ht="57" customHeight="1">
      <c r="A10876" s="121"/>
      <c r="B10876" s="121"/>
      <c r="C10876" s="121"/>
      <c r="D10876" s="121"/>
      <c r="E10876" s="121"/>
      <c r="F10876" s="121"/>
      <c r="G10876" s="121"/>
      <c r="H10876" s="121"/>
      <c r="I10876" s="121"/>
      <c r="J10876" s="121"/>
      <c r="K10876" s="121"/>
      <c r="L10876" s="121"/>
      <c r="M10876" s="121"/>
      <c r="N10876" s="504" t="s">
        <v>876</v>
      </c>
      <c r="O10876" s="526" t="s">
        <v>371</v>
      </c>
      <c r="P10876" s="257"/>
      <c r="Q10876" s="321"/>
      <c r="R10876" s="260"/>
      <c r="S10876" s="260"/>
      <c r="T10876" s="260"/>
      <c r="U10876" s="260"/>
      <c r="V10876" s="629">
        <f>SUMIF(ВС.БПр!$F$129:$F$130,V$9&amp;".0",ВС.БПр!$U$129:$U$130)/1000+SUMIF(ВС.БПр!$F$129:$F$130,V10743&amp;".0",ВС.БПр!$Z$129:$Z$130)/1000</f>
        <v>0</v>
      </c>
      <c r="W10876" s="548">
        <f>U10876+V10876</f>
        <v>0</v>
      </c>
      <c r="X10876" s="629">
        <f>SUMIF(ВС.БПр!$F$129:$F$130,X$9&amp;".0",ВС.БПр!$U$129:$U$130)/1000+SUMIF(ВС.БПр!$F$129:$F$130,X10743&amp;".0",ВС.БПр!$Z$129:$Z$130)/1000</f>
        <v>0</v>
      </c>
      <c r="Y10876" s="260"/>
      <c r="Z10876" s="548">
        <f>X10876+Y10876</f>
        <v>0</v>
      </c>
      <c r="AA10876" s="629">
        <f>SUMIF(ВС.БПр!$F$129:$F$130,AA$9&amp;".0",ВС.БПр!$U$129:$U$130)/1000+SUMIF(ВС.БПр!$F$129:$F$130,AA10743&amp;".0",ВС.БПр!$Z$129:$Z$130)/1000</f>
        <v>0</v>
      </c>
      <c r="AB10876" s="629">
        <f>SUMIF(ВС.БПр!$F$129:$F$130,AB$9&amp;".0",ВС.БПр!$U$129:$U$130)/1000+SUMIF(ВС.БПр!$F$129:$F$130,AB10743&amp;".0",ВС.БПр!$Z$129:$Z$130)/1000</f>
        <v>0</v>
      </c>
      <c r="AC10876" s="548">
        <f>AA10876+AB10876</f>
        <v>0</v>
      </c>
      <c r="AD10876" s="260"/>
      <c r="AE10876" s="629">
        <f>SUMIF(ВС.БТр!$F$129:$F$130,AE$9&amp;".0",ВС.БТр!$L$129:$L$130)/1000-SUMIF(ВС.БТр!$F$129:$F$130,AE$9&amp;".0",ВС.БТр!$M$129:$M$130)/1000</f>
        <v>0</v>
      </c>
      <c r="AF10876" s="548">
        <f>AD10876+AE10876</f>
        <v>0</v>
      </c>
      <c r="AG10876" s="629">
        <f>SUMIF(ВС.БТр!$F$129:$F$130,AG$9&amp;".0",ВС.БТр!$L$129:$L$130)/1000-SUMIF(ВС.БТр!$F$129:$F$130,AG$9&amp;".0",ВС.БТр!$M$129:$M$130)/1000</f>
        <v>0</v>
      </c>
      <c r="AH10876" s="260"/>
      <c r="AI10876" s="548">
        <f>AG10876+AH10876</f>
        <v>0</v>
      </c>
      <c r="AJ10876" s="629">
        <f>SUMIF(ВС.БТр!$F$129:$F$130,AJ$9&amp;".0",ВС.БТр!$L$129:$L$130)/1000-SUMIF(ВС.БТр!$F$129:$F$130,AJ$9&amp;".0",ВС.БТр!$M$129:$M$130)/1000</f>
        <v>0</v>
      </c>
      <c r="AK10876" s="629">
        <f>SUMIF(ВС.БТр!$F$129:$F$130,AK$9&amp;".0",ВС.БТр!$L$129:$L$130)/1000-SUMIF(ВС.БТр!$F$129:$F$130,AK$9&amp;".0",ВС.БТр!$M$129:$M$130)/1000</f>
        <v>0</v>
      </c>
      <c r="AL10876" s="548">
        <f>AJ10876+AK10876</f>
        <v>0</v>
      </c>
      <c r="AM10876" s="816"/>
    </row>
    <row r="10877" spans="1:39" s="47" customFormat="1">
      <c r="A10877" s="121"/>
      <c r="B10877" s="121"/>
      <c r="C10877" s="121"/>
      <c r="D10877" s="121"/>
      <c r="E10877" s="121"/>
      <c r="F10877" s="121"/>
      <c r="G10877" s="121"/>
      <c r="H10877" s="121"/>
      <c r="I10877" s="121"/>
      <c r="J10877" s="121"/>
      <c r="K10877" s="121"/>
      <c r="L10877" s="121"/>
      <c r="M10877" s="121"/>
      <c r="N10877" s="504" t="s">
        <v>881</v>
      </c>
      <c r="O10877" s="526" t="s">
        <v>2967</v>
      </c>
      <c r="P10877" s="254"/>
      <c r="Q10877" s="321"/>
      <c r="R10877" s="260"/>
      <c r="S10877" s="260"/>
      <c r="T10877" s="260"/>
      <c r="U10877" s="260"/>
      <c r="V10877" s="257">
        <f>IF(V10875=0,0,V10876/V10875)</f>
        <v>0</v>
      </c>
      <c r="W10877" s="254"/>
      <c r="X10877" s="257">
        <f>IF(X10875=0,0,X10876/X10875)</f>
        <v>0</v>
      </c>
      <c r="Y10877" s="260"/>
      <c r="Z10877" s="254"/>
      <c r="AA10877" s="257">
        <f>IF(AA10875=0,0,AA10876/AA10875)</f>
        <v>0</v>
      </c>
      <c r="AB10877" s="257">
        <f>IF(AB10875=0,0,AB10876/AB10875)</f>
        <v>0</v>
      </c>
      <c r="AC10877" s="254"/>
      <c r="AD10877" s="260"/>
      <c r="AE10877" s="257">
        <f>IF(AE10875=0,0,AE10876/AE10875)</f>
        <v>0</v>
      </c>
      <c r="AF10877" s="254"/>
      <c r="AG10877" s="257">
        <f>IF(AG10875=0,0,AG10876/AG10875)</f>
        <v>0</v>
      </c>
      <c r="AH10877" s="260"/>
      <c r="AI10877" s="254"/>
      <c r="AJ10877" s="257">
        <f>IF(AJ10875=0,0,AJ10876/AJ10875)</f>
        <v>0</v>
      </c>
      <c r="AK10877" s="257">
        <f>IF(AK10875=0,0,AK10876/AK10875)</f>
        <v>0</v>
      </c>
      <c r="AL10877" s="254"/>
      <c r="AM10877" s="816"/>
    </row>
    <row r="10878" spans="1:39" s="47" customFormat="1" ht="57" customHeight="1">
      <c r="A10878" s="121"/>
      <c r="B10878" s="121"/>
      <c r="C10878" s="121"/>
      <c r="D10878" s="121"/>
      <c r="E10878" s="121"/>
      <c r="F10878" s="121"/>
      <c r="G10878" s="121"/>
      <c r="H10878" s="121"/>
      <c r="I10878" s="121"/>
      <c r="J10878" s="121"/>
      <c r="K10878" s="121"/>
      <c r="L10878" s="121"/>
      <c r="M10878" s="121"/>
      <c r="N10878" s="559" t="s">
        <v>362</v>
      </c>
      <c r="O10878" s="604" t="s">
        <v>2722</v>
      </c>
      <c r="P10878" s="257"/>
      <c r="Q10878" s="321"/>
      <c r="R10878" s="260"/>
      <c r="S10878" s="260"/>
      <c r="T10878" s="260"/>
      <c r="U10878" s="260"/>
      <c r="V10878" s="629">
        <f>SUMIF(ВС.БПр!$F$129:$F$130,V$9&amp;".0",ВС.БПр!$Z$129:$Z$130)/1000</f>
        <v>0</v>
      </c>
      <c r="W10878" s="548">
        <f>U10878+V10878</f>
        <v>0</v>
      </c>
      <c r="X10878" s="629">
        <f>SUMIF(ВС.БПр!$F$129:$F$130,X$9&amp;".0",ВС.БПр!$Z$129:$Z$130)/1000</f>
        <v>0</v>
      </c>
      <c r="Y10878" s="260"/>
      <c r="Z10878" s="548">
        <f>X10878+Y10878</f>
        <v>0</v>
      </c>
      <c r="AA10878" s="629">
        <f>SUMIF(ВС.БПр!$F$129:$F$130,AA$9&amp;".0",ВС.БПр!$Z$129:$Z$130)/1000</f>
        <v>0</v>
      </c>
      <c r="AB10878" s="629">
        <f>SUMIF(ВС.БПр!$F$129:$F$130,AB$9&amp;".0",ВС.БПр!$Z$129:$Z$130)/1000</f>
        <v>0</v>
      </c>
      <c r="AC10878" s="548">
        <f>AA10878+AB10878</f>
        <v>0</v>
      </c>
      <c r="AD10878" s="260"/>
      <c r="AE10878" s="629">
        <f>SUMIF(ВС.БТр!$F$129:$F$130,AE$9&amp;".0",ВС.БТр!$L$129:$L$130)/1000-SUMIF(ВС.БТр!$F$129:$F$130,AE$9&amp;".0",ВС.БТр!$M$129:$M$130)/1000-SUMIF(ВС.БТр!$F$129:$F$130,AE$9&amp;".0",ВС.БТр!$N$129:$N$130)/1000</f>
        <v>0</v>
      </c>
      <c r="AF10878" s="548">
        <f>AD10878+AE10878</f>
        <v>0</v>
      </c>
      <c r="AG10878" s="629">
        <f>SUMIF(ВС.БТр!$F$129:$F$130,AG$9&amp;".0",ВС.БТр!$L$129:$L$130)/1000-SUMIF(ВС.БТр!$F$129:$F$130,AG$9&amp;".0",ВС.БТр!$M$129:$M$130)/1000-SUMIF(ВС.БТр!$F$129:$F$130,AG$9&amp;".0",ВС.БТр!$N$129:$N$130)/1000</f>
        <v>0</v>
      </c>
      <c r="AH10878" s="260"/>
      <c r="AI10878" s="548">
        <f>AG10878+AH10878</f>
        <v>0</v>
      </c>
      <c r="AJ10878" s="629">
        <f>SUMIF(ВС.БТр!$F$129:$F$130,AJ$9&amp;".0",ВС.БТр!$L$129:$L$130)/1000-SUMIF(ВС.БТр!$F$129:$F$130,AJ$9&amp;".0",ВС.БТр!$M$129:$M$130)/1000-SUMIF(ВС.БТр!$F$129:$F$130,AJ$9&amp;".0",ВС.БТр!$N$129:$N$130)/1000</f>
        <v>0</v>
      </c>
      <c r="AK10878" s="629">
        <f>SUMIF(ВС.БТр!$F$129:$F$130,AK$9&amp;".0",ВС.БТр!$L$129:$L$130)/1000-SUMIF(ВС.БТр!$F$129:$F$130,AK$9&amp;".0",ВС.БТр!$M$129:$M$130)/1000-SUMIF(ВС.БТр!$F$129:$F$130,AK$9&amp;".0",ВС.БТр!$N$129:$N$130)/1000</f>
        <v>0</v>
      </c>
      <c r="AL10878" s="548">
        <f>AJ10878+AK10878</f>
        <v>0</v>
      </c>
      <c r="AM10878" s="816"/>
    </row>
    <row r="10879" spans="1:39" s="121" customFormat="1">
      <c r="N10879" s="504"/>
      <c r="O10879" s="526"/>
      <c r="P10879" s="260"/>
      <c r="Q10879" s="321"/>
      <c r="R10879" s="260"/>
      <c r="S10879" s="260"/>
      <c r="T10879" s="260"/>
      <c r="U10879" s="260"/>
      <c r="V10879" s="260"/>
      <c r="W10879" s="260"/>
      <c r="X10879" s="260"/>
      <c r="Y10879" s="260"/>
      <c r="Z10879" s="260"/>
      <c r="AA10879" s="260"/>
      <c r="AB10879" s="260"/>
      <c r="AC10879" s="260"/>
      <c r="AD10879" s="260"/>
      <c r="AE10879" s="260"/>
      <c r="AF10879" s="260"/>
      <c r="AG10879" s="260"/>
      <c r="AH10879" s="260"/>
      <c r="AI10879" s="260"/>
      <c r="AJ10879" s="260"/>
      <c r="AK10879" s="260"/>
      <c r="AL10879" s="260"/>
      <c r="AM10879" s="816"/>
    </row>
    <row r="10880" spans="1:39" s="121" customFormat="1" ht="22.5">
      <c r="N10880" s="222" t="s">
        <v>32</v>
      </c>
      <c r="O10880" s="721" t="str">
        <f>"Общий доход организации от реализации потребителям без учёта НДС, исходя из утверждённых тарифов на " &amp; N10744</f>
        <v>Общий доход организации от реализации потребителям без учёта НДС, исходя из утверждённых тарифов на TBD</v>
      </c>
      <c r="P10880" s="257"/>
      <c r="Q10880" s="321"/>
      <c r="R10880" s="260"/>
      <c r="S10880" s="260"/>
      <c r="T10880" s="260"/>
      <c r="U10880" s="260"/>
      <c r="V10880" s="257">
        <f>V10882+V10885+V10888+V10891+V10895</f>
        <v>0</v>
      </c>
      <c r="W10880" s="548">
        <f>U10880+V10880</f>
        <v>0</v>
      </c>
      <c r="X10880" s="257">
        <f>X10882+X10885+X10888+X10891+X10895</f>
        <v>0</v>
      </c>
      <c r="Y10880" s="260"/>
      <c r="Z10880" s="548">
        <f>X10880+Y10880</f>
        <v>0</v>
      </c>
      <c r="AA10880" s="257">
        <f>AA10882+AA10885+AA10888+AA10891+AA10895</f>
        <v>0</v>
      </c>
      <c r="AB10880" s="257">
        <f>AB10882+AB10885+AB10888+AB10891+AB10895</f>
        <v>0</v>
      </c>
      <c r="AC10880" s="548">
        <f>AA10880+AB10880</f>
        <v>0</v>
      </c>
      <c r="AD10880" s="260"/>
      <c r="AE10880" s="257">
        <f>AE10882+AE10885+AE10888+AE10891+AE10895</f>
        <v>0</v>
      </c>
      <c r="AF10880" s="548">
        <f>AD10880+AE10880</f>
        <v>0</v>
      </c>
      <c r="AG10880" s="257">
        <f>AG10882+AG10885+AG10888+AG10891+AG10895</f>
        <v>0</v>
      </c>
      <c r="AH10880" s="260"/>
      <c r="AI10880" s="548">
        <f>AG10880+AH10880</f>
        <v>0</v>
      </c>
      <c r="AJ10880" s="257">
        <f>AJ10882+AJ10885+AJ10888+AJ10891+AJ10895</f>
        <v>0</v>
      </c>
      <c r="AK10880" s="257">
        <f>AK10882+AK10885+AK10888+AK10891+AK10895</f>
        <v>0</v>
      </c>
      <c r="AL10880" s="548">
        <f>AJ10880+AK10880</f>
        <v>0</v>
      </c>
      <c r="AM10880" s="816"/>
    </row>
    <row r="10881" spans="1:39" s="121" customFormat="1" ht="11.25" customHeight="1">
      <c r="N10881" s="222" t="s">
        <v>33</v>
      </c>
      <c r="O10881" s="540" t="str">
        <f>"Полезный отпуск продукции на реализацию потребителям (тыс. куб.м) на " &amp; N10744</f>
        <v>Полезный отпуск продукции на реализацию потребителям (тыс. куб.м) на TBD</v>
      </c>
      <c r="P10881" s="257"/>
      <c r="Q10881" s="321"/>
      <c r="R10881" s="260"/>
      <c r="S10881" s="260"/>
      <c r="T10881" s="260"/>
      <c r="U10881" s="260"/>
      <c r="V10881" s="257">
        <f>V10884+V10887+V10890+V10893</f>
        <v>0</v>
      </c>
      <c r="W10881" s="548">
        <f>U10881+V10881</f>
        <v>0</v>
      </c>
      <c r="X10881" s="257">
        <f>X10884+X10887+X10890+X10893</f>
        <v>0</v>
      </c>
      <c r="Y10881" s="260"/>
      <c r="Z10881" s="548">
        <f>X10881+Y10881</f>
        <v>0</v>
      </c>
      <c r="AA10881" s="257">
        <f>AA10884+AA10887+AA10890+AA10893</f>
        <v>0</v>
      </c>
      <c r="AB10881" s="257">
        <f>AB10884+AB10887+AB10890+AB10893</f>
        <v>0</v>
      </c>
      <c r="AC10881" s="548">
        <f>AA10881+AB10881</f>
        <v>0</v>
      </c>
      <c r="AD10881" s="260"/>
      <c r="AE10881" s="257">
        <f>AE10884+AE10887+AE10890+AE10893</f>
        <v>0</v>
      </c>
      <c r="AF10881" s="548">
        <f>AD10881+AE10881</f>
        <v>0</v>
      </c>
      <c r="AG10881" s="257">
        <f>AG10884+AG10887+AG10890+AG10893</f>
        <v>0</v>
      </c>
      <c r="AH10881" s="260"/>
      <c r="AI10881" s="548">
        <f>AG10881+AH10881</f>
        <v>0</v>
      </c>
      <c r="AJ10881" s="257">
        <f>AJ10884+AJ10887+AJ10890+AJ10893</f>
        <v>0</v>
      </c>
      <c r="AK10881" s="257">
        <f>AK10884+AK10887+AK10890+AK10893</f>
        <v>0</v>
      </c>
      <c r="AL10881" s="548">
        <f>AJ10881+AK10881</f>
        <v>0</v>
      </c>
      <c r="AM10881" s="816"/>
    </row>
    <row r="10882" spans="1:39" s="121" customFormat="1">
      <c r="N10882" s="222" t="s">
        <v>2455</v>
      </c>
      <c r="O10882" s="541" t="str">
        <f>"Организации-перепродавцы на " &amp; N10744</f>
        <v>Организации-перепродавцы на TBD</v>
      </c>
      <c r="P10882" s="257"/>
      <c r="Q10882" s="321"/>
      <c r="R10882" s="260"/>
      <c r="S10882" s="260"/>
      <c r="T10882" s="260"/>
      <c r="U10882" s="260"/>
      <c r="V10882" s="545">
        <f>V10883*V10884</f>
        <v>0</v>
      </c>
      <c r="W10882" s="549">
        <f>U10882+V10882</f>
        <v>0</v>
      </c>
      <c r="X10882" s="545">
        <f>X10883*X10884</f>
        <v>0</v>
      </c>
      <c r="Y10882" s="546"/>
      <c r="Z10882" s="549">
        <f>X10882+Y10882</f>
        <v>0</v>
      </c>
      <c r="AA10882" s="545">
        <f>AA10883*AA10884</f>
        <v>0</v>
      </c>
      <c r="AB10882" s="545">
        <f>AB10883*AB10884</f>
        <v>0</v>
      </c>
      <c r="AC10882" s="549">
        <f>AA10882+AB10882</f>
        <v>0</v>
      </c>
      <c r="AD10882" s="260"/>
      <c r="AE10882" s="545">
        <f>AE10883*AE10884</f>
        <v>0</v>
      </c>
      <c r="AF10882" s="549">
        <f>AD10882+AE10882</f>
        <v>0</v>
      </c>
      <c r="AG10882" s="545">
        <f>AG10883*AG10884</f>
        <v>0</v>
      </c>
      <c r="AH10882" s="546"/>
      <c r="AI10882" s="549">
        <f>AG10882+AH10882</f>
        <v>0</v>
      </c>
      <c r="AJ10882" s="545">
        <f>AJ10883*AJ10884</f>
        <v>0</v>
      </c>
      <c r="AK10882" s="545">
        <f>AK10883*AK10884</f>
        <v>0</v>
      </c>
      <c r="AL10882" s="549">
        <f>AJ10882+AK10882</f>
        <v>0</v>
      </c>
      <c r="AM10882" s="816"/>
    </row>
    <row r="10883" spans="1:39" s="47" customFormat="1" ht="12.75">
      <c r="A10883" s="121"/>
      <c r="B10883" s="121"/>
      <c r="C10883" s="121"/>
      <c r="D10883" s="121"/>
      <c r="E10883" s="121"/>
      <c r="F10883" s="121"/>
      <c r="G10883" s="121"/>
      <c r="H10883" s="121"/>
      <c r="I10883" s="121"/>
      <c r="J10883" s="121"/>
      <c r="K10883" s="121"/>
      <c r="L10883" s="121"/>
      <c r="M10883" s="121"/>
      <c r="N10883" s="222" t="s">
        <v>34</v>
      </c>
      <c r="O10883" s="502" t="s">
        <v>348</v>
      </c>
      <c r="P10883" s="254"/>
      <c r="Q10883" s="321"/>
      <c r="R10883" s="260"/>
      <c r="S10883" s="260"/>
      <c r="T10883" s="260"/>
      <c r="U10883" s="260"/>
      <c r="V10883" s="629">
        <f>IF($AP$8="I",SUMIF('ВС.ТМ2 01.01 - 30.06'!$C$21:$C$22,V$9,'ВС.ТМ2 01.01 - 30.06'!$AM$21:$AM$22),IF($AP$8="II",SUMIF('ВС.ТМ2 01.07 - 31.08'!$C$21:$C$22,V$9,'ВС.ТМ2 01.07 - 31.08'!$AM$21:$AM$22),IF($AP$8="III",SUMIF('ВС.ТМ2 01.09 - 31.12'!$C$21:$C$22,V$9,'ВС.ТМ2 01.09 - 31.12'!$AM$21:$AM$22),0)))</f>
        <v>0</v>
      </c>
      <c r="W10883" s="550"/>
      <c r="X10883" s="629">
        <f>IF($AP$8="I",SUMIF('ВС.ТМ2 01.01 - 30.06'!$C$21:$C$22,X$9,'ВС.ТМ2 01.01 - 30.06'!$AM$21:$AM$22),IF($AP$8="II",SUMIF('ВС.ТМ2 01.07 - 31.08'!$C$21:$C$22,X$9,'ВС.ТМ2 01.07 - 31.08'!$AM$21:$AM$22),IF($AP$8="III",SUMIF('ВС.ТМ2 01.09 - 31.12'!$C$21:$C$22,X$9,'ВС.ТМ2 01.09 - 31.12'!$AM$21:$AM$22),0)))</f>
        <v>0</v>
      </c>
      <c r="Y10883" s="546"/>
      <c r="Z10883" s="550"/>
      <c r="AA10883" s="629">
        <f>IF($AP$8="I",SUMIF('ВС.ТМ2 01.01 - 30.06'!$C$21:$C$22,AA$9,'ВС.ТМ2 01.01 - 30.06'!$AM$21:$AM$22),IF($AP$8="II",SUMIF('ВС.ТМ2 01.07 - 31.08'!$C$21:$C$22,AA$9,'ВС.ТМ2 01.07 - 31.08'!$AM$21:$AM$22),IF($AP$8="III",SUMIF('ВС.ТМ2 01.09 - 31.12'!$C$21:$C$22,AA$9,'ВС.ТМ2 01.09 - 31.12'!$AM$21:$AM$22),0)))</f>
        <v>0</v>
      </c>
      <c r="AB10883" s="629">
        <f>IF($AP$8="I",SUMIF('ВС.ТМ2 01.01 - 30.06'!$C$21:$C$22,AB$9,'ВС.ТМ2 01.01 - 30.06'!$AM$21:$AM$22),IF($AP$8="II",SUMIF('ВС.ТМ2 01.07 - 31.08'!$C$21:$C$22,AB$9,'ВС.ТМ2 01.07 - 31.08'!$AM$21:$AM$22),IF($AP$8="III",SUMIF('ВС.ТМ2 01.09 - 31.12'!$C$21:$C$22,AB$9,'ВС.ТМ2 01.09 - 31.12'!$AM$21:$AM$22),0)))</f>
        <v>0</v>
      </c>
      <c r="AC10883" s="550"/>
      <c r="AD10883" s="260"/>
      <c r="AE10883" s="630">
        <f>IF($AP$8="I",SUMIF('ВС.ТМ1 01.01 - 30.06'!$C$21:$C$22,AE$9,'ВС.ТМ1 01.01 - 30.06'!$AN$21:$AN$22),IF($AP$8="II",SUMIF('ВС.ТМ1 01.07 - 31.08'!$C$21:$C$22,AE$9,'ВС.ТМ1 01.07 - 31.08'!$AN$21:$AN$22),IF($AP$8="III",SUMIF('ВС.ТМ1 01.09 - 31.12'!$C$21:$C$22,AE$9,'ВС.ТМ1 01.09 - 31.12'!$AN$21:$AN$22),0)))</f>
        <v>0</v>
      </c>
      <c r="AF10883" s="550"/>
      <c r="AG10883" s="630">
        <f>IF($AP$8="I",SUMIF('ВС.ТМ1 01.01 - 30.06'!$C$21:$C$22,AG$9,'ВС.ТМ1 01.01 - 30.06'!$AN$21:$AN$22),IF($AP$8="II",SUMIF('ВС.ТМ1 01.07 - 31.08'!$C$21:$C$22,AG$9,'ВС.ТМ1 01.07 - 31.08'!$AN$21:$AN$22),IF($AP$8="III",SUMIF('ВС.ТМ1 01.09 - 31.12'!$C$21:$C$22,AG$9,'ВС.ТМ1 01.09 - 31.12'!$AN$21:$AN$22),0)))</f>
        <v>0</v>
      </c>
      <c r="AH10883" s="546"/>
      <c r="AI10883" s="550"/>
      <c r="AJ10883" s="630">
        <f>IF($AP$8="I",SUMIF('ВС.ТМ1 01.01 - 30.06'!$C$21:$C$22,AJ$9,'ВС.ТМ1 01.01 - 30.06'!$AN$21:$AN$22),IF($AP$8="II",SUMIF('ВС.ТМ1 01.07 - 31.08'!$C$21:$C$22,AJ$9,'ВС.ТМ1 01.07 - 31.08'!$AN$21:$AN$22),IF($AP$8="III",SUMIF('ВС.ТМ1 01.09 - 31.12'!$C$21:$C$22,AJ$9,'ВС.ТМ1 01.09 - 31.12'!$AN$21:$AN$22),0)))</f>
        <v>0</v>
      </c>
      <c r="AK10883" s="630">
        <f>IF($AP$8="I",SUMIF('ВС.ТМ1 01.01 - 30.06'!$C$21:$C$22,AK$9,'ВС.ТМ1 01.01 - 30.06'!$AN$21:$AN$22),IF($AP$8="II",SUMIF('ВС.ТМ1 01.07 - 31.08'!$C$21:$C$22,AK$9,'ВС.ТМ1 01.07 - 31.08'!$AN$21:$AN$22),IF($AP$8="III",SUMIF('ВС.ТМ1 01.09 - 31.12'!$C$21:$C$22,AK$9,'ВС.ТМ1 01.09 - 31.12'!$AN$21:$AN$22),0)))</f>
        <v>0</v>
      </c>
      <c r="AL10883" s="550"/>
      <c r="AM10883" s="816"/>
    </row>
    <row r="10884" spans="1:39" s="47" customFormat="1">
      <c r="A10884" s="121"/>
      <c r="B10884" s="121"/>
      <c r="C10884" s="121"/>
      <c r="D10884" s="121"/>
      <c r="E10884" s="121"/>
      <c r="F10884" s="121"/>
      <c r="G10884" s="121"/>
      <c r="H10884" s="121"/>
      <c r="I10884" s="121"/>
      <c r="J10884" s="121"/>
      <c r="K10884" s="121"/>
      <c r="L10884" s="121"/>
      <c r="M10884" s="121"/>
      <c r="N10884" s="222" t="s">
        <v>35</v>
      </c>
      <c r="O10884" s="502" t="s">
        <v>372</v>
      </c>
      <c r="P10884" s="257"/>
      <c r="Q10884" s="321"/>
      <c r="R10884" s="260"/>
      <c r="S10884" s="260"/>
      <c r="T10884" s="260"/>
      <c r="U10884" s="260"/>
      <c r="V10884" s="629">
        <f>SUMIF(ВС.БПр!$BF$129:$BF$130,V$9&amp;"-"&amp;$AP$8,ВС.БПр!$U$129:$U$130)/1000</f>
        <v>0</v>
      </c>
      <c r="W10884" s="548">
        <f>U10884+V10884</f>
        <v>0</v>
      </c>
      <c r="X10884" s="629">
        <f>SUMIF(ВС.БПр!$BF$129:$BF$130,X$9&amp;"-"&amp;$AP$8,ВС.БПр!$U$129:$U$130)/1000</f>
        <v>0</v>
      </c>
      <c r="Y10884" s="260"/>
      <c r="Z10884" s="548">
        <f>X10884+Y10884</f>
        <v>0</v>
      </c>
      <c r="AA10884" s="629">
        <f>SUMIF(ВС.БПр!$BF$129:$BF$130,AA$9&amp;"-"&amp;$AP$8,ВС.БПр!$U$129:$U$130)/1000</f>
        <v>0</v>
      </c>
      <c r="AB10884" s="629">
        <f>SUMIF(ВС.БПр!$BF$129:$BF$130,AB$9&amp;"-"&amp;$AP$8,ВС.БПр!$U$129:$U$130)/1000</f>
        <v>0</v>
      </c>
      <c r="AC10884" s="548">
        <f>AA10884+AB10884</f>
        <v>0</v>
      </c>
      <c r="AD10884" s="260"/>
      <c r="AE10884" s="629">
        <f>SUMIF(ВС.БТр!$BF$129:$BF$130,AE$9&amp;"-"&amp;$AP$8,ВС.БТр!$N$129:$N$130)/1000</f>
        <v>0</v>
      </c>
      <c r="AF10884" s="548">
        <f>AD10884+AE10884</f>
        <v>0</v>
      </c>
      <c r="AG10884" s="629">
        <f>SUMIF(ВС.БТр!$BF$129:$BF$130,AG$9&amp;"-"&amp;$AP$8,ВС.БТр!$N$129:$N$130)/1000</f>
        <v>0</v>
      </c>
      <c r="AH10884" s="260"/>
      <c r="AI10884" s="548">
        <f>AG10884+AH10884</f>
        <v>0</v>
      </c>
      <c r="AJ10884" s="629">
        <f>SUMIF(ВС.БТр!$BF$129:$BF$130,AJ$9&amp;"-"&amp;$AP$8,ВС.БТр!$N$129:$N$130)/1000</f>
        <v>0</v>
      </c>
      <c r="AK10884" s="629">
        <f>SUMIF(ВС.БТр!$BF$129:$BF$130,AK$9&amp;"-"&amp;$AP$8,ВС.БТр!$N$129:$N$130)/1000</f>
        <v>0</v>
      </c>
      <c r="AL10884" s="548">
        <f>AJ10884+AK10884</f>
        <v>0</v>
      </c>
      <c r="AM10884" s="816"/>
    </row>
    <row r="10885" spans="1:39" s="121" customFormat="1">
      <c r="N10885" s="222" t="s">
        <v>2456</v>
      </c>
      <c r="O10885" s="540" t="str">
        <f>"Бюджетные потребители на " &amp; N10744</f>
        <v>Бюджетные потребители на TBD</v>
      </c>
      <c r="P10885" s="257"/>
      <c r="Q10885" s="321"/>
      <c r="R10885" s="260"/>
      <c r="S10885" s="260"/>
      <c r="T10885" s="260"/>
      <c r="U10885" s="260"/>
      <c r="V10885" s="545">
        <f>V10886*V10887</f>
        <v>0</v>
      </c>
      <c r="W10885" s="549">
        <f>U10885+V10885</f>
        <v>0</v>
      </c>
      <c r="X10885" s="545">
        <f>X10886*X10887</f>
        <v>0</v>
      </c>
      <c r="Y10885" s="546"/>
      <c r="Z10885" s="549">
        <f>X10885+Y10885</f>
        <v>0</v>
      </c>
      <c r="AA10885" s="545">
        <f>AA10886*AA10887</f>
        <v>0</v>
      </c>
      <c r="AB10885" s="545">
        <f>AB10886*AB10887</f>
        <v>0</v>
      </c>
      <c r="AC10885" s="549">
        <f>AA10885+AB10885</f>
        <v>0</v>
      </c>
      <c r="AD10885" s="260"/>
      <c r="AE10885" s="545">
        <f>AE10886*AE10887</f>
        <v>0</v>
      </c>
      <c r="AF10885" s="549">
        <f>AD10885+AE10885</f>
        <v>0</v>
      </c>
      <c r="AG10885" s="545">
        <f>AG10886*AG10887</f>
        <v>0</v>
      </c>
      <c r="AH10885" s="546"/>
      <c r="AI10885" s="549">
        <f>AG10885+AH10885</f>
        <v>0</v>
      </c>
      <c r="AJ10885" s="545">
        <f>AJ10886*AJ10887</f>
        <v>0</v>
      </c>
      <c r="AK10885" s="545">
        <f>AK10886*AK10887</f>
        <v>0</v>
      </c>
      <c r="AL10885" s="549">
        <f>AJ10885+AK10885</f>
        <v>0</v>
      </c>
      <c r="AM10885" s="816"/>
    </row>
    <row r="10886" spans="1:39" s="121" customFormat="1" ht="12.75">
      <c r="N10886" s="222" t="s">
        <v>36</v>
      </c>
      <c r="O10886" s="502" t="s">
        <v>348</v>
      </c>
      <c r="P10886" s="254"/>
      <c r="Q10886" s="321"/>
      <c r="R10886" s="260"/>
      <c r="S10886" s="260"/>
      <c r="T10886" s="260"/>
      <c r="U10886" s="260"/>
      <c r="V10886" s="629">
        <f>IF($AP$8="I",SUMIF('ВС.ТМ2 01.01 - 30.06'!$C$21:$C$22,V$9,'ВС.ТМ2 01.01 - 30.06'!$ET$21:$ET$22),IF($AP$8="II",SUMIF('ВС.ТМ2 01.07 - 31.08'!$C$21:$C$22,V$9,'ВС.ТМ2 01.07 - 31.08'!$ET$21:$ET$22),IF($AP$8="III",SUMIF('ВС.ТМ2 01.09 - 31.12'!$C$21:$C$22,V$9,'ВС.ТМ2 01.09 - 31.12'!$ET$21:$ET$22),0)))</f>
        <v>0</v>
      </c>
      <c r="W10886" s="550"/>
      <c r="X10886" s="629">
        <f>IF($AP$8="I",SUMIF('ВС.ТМ2 01.01 - 30.06'!$C$21:$C$22,X$9,'ВС.ТМ2 01.01 - 30.06'!$ET$21:$ET$22),IF($AP$8="II",SUMIF('ВС.ТМ2 01.07 - 31.08'!$C$21:$C$22,X$9,'ВС.ТМ2 01.07 - 31.08'!$ET$21:$ET$22),IF($AP$8="III",SUMIF('ВС.ТМ2 01.09 - 31.12'!$C$21:$C$22,X$9,'ВС.ТМ2 01.09 - 31.12'!$ET$21:$ET$22),0)))</f>
        <v>0</v>
      </c>
      <c r="Y10886" s="546"/>
      <c r="Z10886" s="550"/>
      <c r="AA10886" s="629">
        <f>IF($AP$8="I",SUMIF('ВС.ТМ2 01.01 - 30.06'!$C$21:$C$22,AA$9,'ВС.ТМ2 01.01 - 30.06'!$ET$21:$ET$22),IF($AP$8="II",SUMIF('ВС.ТМ2 01.07 - 31.08'!$C$21:$C$22,AA$9,'ВС.ТМ2 01.07 - 31.08'!$ET$21:$ET$22),IF($AP$8="III",SUMIF('ВС.ТМ2 01.09 - 31.12'!$C$21:$C$22,AA$9,'ВС.ТМ2 01.09 - 31.12'!$ET$21:$ET$22),0)))</f>
        <v>0</v>
      </c>
      <c r="AB10886" s="629">
        <f>IF($AP$8="I",SUMIF('ВС.ТМ2 01.01 - 30.06'!$C$21:$C$22,AB$9,'ВС.ТМ2 01.01 - 30.06'!$ET$21:$ET$22),IF($AP$8="II",SUMIF('ВС.ТМ2 01.07 - 31.08'!$C$21:$C$22,AB$9,'ВС.ТМ2 01.07 - 31.08'!$ET$21:$ET$22),IF($AP$8="III",SUMIF('ВС.ТМ2 01.09 - 31.12'!$C$21:$C$22,AB$9,'ВС.ТМ2 01.09 - 31.12'!$ET$21:$ET$22),0)))</f>
        <v>0</v>
      </c>
      <c r="AC10886" s="550"/>
      <c r="AD10886" s="260"/>
      <c r="AE10886" s="630">
        <f>IF($AP$8="I",SUMIF('ВС.ТМ1 01.01 - 30.06'!$C$21:$C$22,AE$9,'ВС.ТМ1 01.01 - 30.06'!$AQ$21:$AQ$22),IF($AP$8="II",SUMIF('ВС.ТМ1 01.07 - 31.08'!$C$21:$C$22,AE$9,'ВС.ТМ1 01.07 - 31.08'!$AQ$21:$AQ$22),IF($AP$8="III",SUMIF('ВС.ТМ1 01.09 - 31.12'!$C$21:$C$22,AE$9,'ВС.ТМ1 01.09 - 31.12'!$AQ$21:$AQ$22),0)))</f>
        <v>0</v>
      </c>
      <c r="AF10886" s="550"/>
      <c r="AG10886" s="630">
        <f>IF($AP$8="I",SUMIF('ВС.ТМ1 01.01 - 30.06'!$C$21:$C$22,AG$9,'ВС.ТМ1 01.01 - 30.06'!$AQ$21:$AQ$22),IF($AP$8="II",SUMIF('ВС.ТМ1 01.07 - 31.08'!$C$21:$C$22,AG$9,'ВС.ТМ1 01.07 - 31.08'!$AQ$21:$AQ$22),IF($AP$8="III",SUMIF('ВС.ТМ1 01.09 - 31.12'!$C$21:$C$22,AG$9,'ВС.ТМ1 01.09 - 31.12'!$AQ$21:$AQ$22),0)))</f>
        <v>0</v>
      </c>
      <c r="AH10886" s="546"/>
      <c r="AI10886" s="550"/>
      <c r="AJ10886" s="630">
        <f>IF($AP$8="I",SUMIF('ВС.ТМ1 01.01 - 30.06'!$C$21:$C$22,AJ$9,'ВС.ТМ1 01.01 - 30.06'!$AQ$21:$AQ$22),IF($AP$8="II",SUMIF('ВС.ТМ1 01.07 - 31.08'!$C$21:$C$22,AJ$9,'ВС.ТМ1 01.07 - 31.08'!$AQ$21:$AQ$22),IF($AP$8="III",SUMIF('ВС.ТМ1 01.09 - 31.12'!$C$21:$C$22,AJ$9,'ВС.ТМ1 01.09 - 31.12'!$AQ$21:$AQ$22),0)))</f>
        <v>0</v>
      </c>
      <c r="AK10886" s="630">
        <f>IF($AP$8="I",SUMIF('ВС.ТМ1 01.01 - 30.06'!$C$21:$C$22,AK$9,'ВС.ТМ1 01.01 - 30.06'!$AQ$21:$AQ$22),IF($AP$8="II",SUMIF('ВС.ТМ1 01.07 - 31.08'!$C$21:$C$22,AK$9,'ВС.ТМ1 01.07 - 31.08'!$AQ$21:$AQ$22),IF($AP$8="III",SUMIF('ВС.ТМ1 01.09 - 31.12'!$C$21:$C$22,AK$9,'ВС.ТМ1 01.09 - 31.12'!$AQ$21:$AQ$22),0)))</f>
        <v>0</v>
      </c>
      <c r="AL10886" s="550"/>
      <c r="AM10886" s="816"/>
    </row>
    <row r="10887" spans="1:39" s="121" customFormat="1">
      <c r="N10887" s="222" t="s">
        <v>37</v>
      </c>
      <c r="O10887" s="502" t="s">
        <v>372</v>
      </c>
      <c r="P10887" s="257"/>
      <c r="Q10887" s="321"/>
      <c r="R10887" s="260"/>
      <c r="S10887" s="260"/>
      <c r="T10887" s="260"/>
      <c r="U10887" s="260"/>
      <c r="V10887" s="629">
        <f>SUMIF(ВС.БПр!$BF$129:$BF$130,V$9&amp;"-"&amp;$AP$8,ВС.БПр!$AA$129:$AA$130)/1000</f>
        <v>0</v>
      </c>
      <c r="W10887" s="548">
        <f>U10887+V10887</f>
        <v>0</v>
      </c>
      <c r="X10887" s="629">
        <f>SUMIF(ВС.БПр!$BF$129:$BF$130,X$9&amp;"-"&amp;$AP$8,ВС.БПр!$AA$129:$AA$130)/1000</f>
        <v>0</v>
      </c>
      <c r="Y10887" s="260"/>
      <c r="Z10887" s="548">
        <f>X10887+Y10887</f>
        <v>0</v>
      </c>
      <c r="AA10887" s="629">
        <f>SUMIF(ВС.БПр!$BF$129:$BF$130,AA$9&amp;"-"&amp;$AP$8,ВС.БПр!$AA$129:$AA$130)/1000</f>
        <v>0</v>
      </c>
      <c r="AB10887" s="629">
        <f>SUMIF(ВС.БПр!$BF$129:$BF$130,AB$9&amp;"-"&amp;$AP$8,ВС.БПр!$AA$129:$AA$130)/1000</f>
        <v>0</v>
      </c>
      <c r="AC10887" s="548">
        <f>AA10887+AB10887</f>
        <v>0</v>
      </c>
      <c r="AD10887" s="260"/>
      <c r="AE10887" s="629">
        <f>SUMIF(ВС.БТр!$BF$129:$BF$130,AE$9&amp;"-"&amp;$AP$8,ВС.БТр!$O$129:$O$130)/1000</f>
        <v>0</v>
      </c>
      <c r="AF10887" s="548">
        <f>AD10887+AE10887</f>
        <v>0</v>
      </c>
      <c r="AG10887" s="629">
        <f>SUMIF(ВС.БТр!$BF$129:$BF$130,AG$9&amp;"-"&amp;$AP$8,ВС.БТр!$O$129:$O$130)/1000</f>
        <v>0</v>
      </c>
      <c r="AH10887" s="260"/>
      <c r="AI10887" s="548">
        <f>AG10887+AH10887</f>
        <v>0</v>
      </c>
      <c r="AJ10887" s="629">
        <f>SUMIF(ВС.БТр!$BF$129:$BF$130,AJ$9&amp;"-"&amp;$AP$8,ВС.БТр!$O$129:$O$130)/1000</f>
        <v>0</v>
      </c>
      <c r="AK10887" s="629">
        <f>SUMIF(ВС.БТр!$BF$129:$BF$130,AK$9&amp;"-"&amp;$AP$8,ВС.БТр!$O$129:$O$130)/1000</f>
        <v>0</v>
      </c>
      <c r="AL10887" s="548">
        <f>AJ10887+AK10887</f>
        <v>0</v>
      </c>
      <c r="AM10887" s="816"/>
    </row>
    <row r="10888" spans="1:39" s="121" customFormat="1">
      <c r="N10888" s="222" t="s">
        <v>2457</v>
      </c>
      <c r="O10888" s="540" t="str">
        <f>"Население на " &amp; N10744</f>
        <v>Население на TBD</v>
      </c>
      <c r="P10888" s="257"/>
      <c r="Q10888" s="321"/>
      <c r="R10888" s="260"/>
      <c r="S10888" s="260"/>
      <c r="T10888" s="260"/>
      <c r="U10888" s="260"/>
      <c r="V10888" s="545">
        <f>V10889*V10890</f>
        <v>0</v>
      </c>
      <c r="W10888" s="549">
        <f>U10888+V10888</f>
        <v>0</v>
      </c>
      <c r="X10888" s="545">
        <f>X10889*X10890</f>
        <v>0</v>
      </c>
      <c r="Y10888" s="546"/>
      <c r="Z10888" s="549">
        <f>X10888+Y10888</f>
        <v>0</v>
      </c>
      <c r="AA10888" s="545">
        <f>AA10889*AA10890</f>
        <v>0</v>
      </c>
      <c r="AB10888" s="545">
        <f>AB10889*AB10890</f>
        <v>0</v>
      </c>
      <c r="AC10888" s="549">
        <f>AA10888+AB10888</f>
        <v>0</v>
      </c>
      <c r="AD10888" s="260"/>
      <c r="AE10888" s="545">
        <f>AE10889*AE10890</f>
        <v>0</v>
      </c>
      <c r="AF10888" s="549">
        <f>AD10888+AE10888</f>
        <v>0</v>
      </c>
      <c r="AG10888" s="545">
        <f>AG10889*AG10890</f>
        <v>0</v>
      </c>
      <c r="AH10888" s="546"/>
      <c r="AI10888" s="549">
        <f>AG10888+AH10888</f>
        <v>0</v>
      </c>
      <c r="AJ10888" s="545">
        <f>AJ10889*AJ10890</f>
        <v>0</v>
      </c>
      <c r="AK10888" s="545">
        <f>AK10889*AK10890</f>
        <v>0</v>
      </c>
      <c r="AL10888" s="549">
        <f>AJ10888+AK10888</f>
        <v>0</v>
      </c>
      <c r="AM10888" s="816"/>
    </row>
    <row r="10889" spans="1:39" s="121" customFormat="1" ht="12.75">
      <c r="N10889" s="222" t="s">
        <v>38</v>
      </c>
      <c r="O10889" s="502" t="s">
        <v>348</v>
      </c>
      <c r="P10889" s="254"/>
      <c r="Q10889" s="321"/>
      <c r="R10889" s="260"/>
      <c r="S10889" s="260"/>
      <c r="T10889" s="260"/>
      <c r="U10889" s="260"/>
      <c r="V10889" s="629">
        <f>IF($AP$8="I",SUMIF('ВС.ТМ2 01.01 - 30.06'!$C$21:$C$22,V$9,'ВС.ТМ2 01.01 - 30.06'!$EU$21:$EU$22),IF($AP$8="II",SUMIF('ВС.ТМ2 01.07 - 31.08'!$C$21:$C$22,V$9,'ВС.ТМ2 01.07 - 31.08'!$EU$21:$EU$22),IF($AP$8="III",SUMIF('ВС.ТМ2 01.09 - 31.12'!$C$21:$C$22,V$9,'ВС.ТМ2 01.09 - 31.12'!$EU$21:$EU$22),0)))</f>
        <v>0</v>
      </c>
      <c r="W10889" s="550"/>
      <c r="X10889" s="629">
        <f>IF($AP$8="I",SUMIF('ВС.ТМ2 01.01 - 30.06'!$C$21:$C$22,X$9,'ВС.ТМ2 01.01 - 30.06'!$EU$21:$EU$22),IF($AP$8="II",SUMIF('ВС.ТМ2 01.07 - 31.08'!$C$21:$C$22,X$9,'ВС.ТМ2 01.07 - 31.08'!$EU$21:$EU$22),IF($AP$8="III",SUMIF('ВС.ТМ2 01.09 - 31.12'!$C$21:$C$22,X$9,'ВС.ТМ2 01.09 - 31.12'!$EU$21:$EU$22),0)))</f>
        <v>0</v>
      </c>
      <c r="Y10889" s="546"/>
      <c r="Z10889" s="550"/>
      <c r="AA10889" s="629">
        <f>IF($AP$8="I",SUMIF('ВС.ТМ2 01.01 - 30.06'!$C$21:$C$22,AA$9,'ВС.ТМ2 01.01 - 30.06'!$EU$21:$EU$22),IF($AP$8="II",SUMIF('ВС.ТМ2 01.07 - 31.08'!$C$21:$C$22,AA$9,'ВС.ТМ2 01.07 - 31.08'!$EU$21:$EU$22),IF($AP$8="III",SUMIF('ВС.ТМ2 01.09 - 31.12'!$C$21:$C$22,AA$9,'ВС.ТМ2 01.09 - 31.12'!$EU$21:$EU$22),0)))</f>
        <v>0</v>
      </c>
      <c r="AB10889" s="629">
        <f>IF($AP$8="I",SUMIF('ВС.ТМ2 01.01 - 30.06'!$C$21:$C$22,AB$9,'ВС.ТМ2 01.01 - 30.06'!$EU$21:$EU$22),IF($AP$8="II",SUMIF('ВС.ТМ2 01.07 - 31.08'!$C$21:$C$22,AB$9,'ВС.ТМ2 01.07 - 31.08'!$EU$21:$EU$22),IF($AP$8="III",SUMIF('ВС.ТМ2 01.09 - 31.12'!$C$21:$C$22,AB$9,'ВС.ТМ2 01.09 - 31.12'!$EU$21:$EU$22),0)))</f>
        <v>0</v>
      </c>
      <c r="AC10889" s="550"/>
      <c r="AD10889" s="260"/>
      <c r="AE10889" s="630">
        <f>IF($AP$8="I",SUMIF('ВС.ТМ1 01.01 - 30.06'!$C$21:$C$22,AE$9,'ВС.ТМ1 01.01 - 30.06'!$AT$21:$AT$22),IF($AP$8="II",SUMIF('ВС.ТМ1 01.07 - 31.08'!$C$21:$C$22,AE$9,'ВС.ТМ1 01.07 - 31.08'!$AT$21:$AT$22),IF($AP$8="III",SUMIF('ВС.ТМ1 01.09 - 31.12'!$C$21:$C$22,AE$9,'ВС.ТМ1 01.09 - 31.12'!$AT$21:$AT$22),0)))</f>
        <v>0</v>
      </c>
      <c r="AF10889" s="550"/>
      <c r="AG10889" s="630">
        <f>IF($AP$8="I",SUMIF('ВС.ТМ1 01.01 - 30.06'!$C$21:$C$22,AG$9,'ВС.ТМ1 01.01 - 30.06'!$AT$21:$AT$22),IF($AP$8="II",SUMIF('ВС.ТМ1 01.07 - 31.08'!$C$21:$C$22,AG$9,'ВС.ТМ1 01.07 - 31.08'!$AT$21:$AT$22),IF($AP$8="III",SUMIF('ВС.ТМ1 01.09 - 31.12'!$C$21:$C$22,AG$9,'ВС.ТМ1 01.09 - 31.12'!$AT$21:$AT$22),0)))</f>
        <v>0</v>
      </c>
      <c r="AH10889" s="546"/>
      <c r="AI10889" s="550"/>
      <c r="AJ10889" s="630">
        <f>IF($AP$8="I",SUMIF('ВС.ТМ1 01.01 - 30.06'!$C$21:$C$22,AJ$9,'ВС.ТМ1 01.01 - 30.06'!$AT$21:$AT$22),IF($AP$8="II",SUMIF('ВС.ТМ1 01.07 - 31.08'!$C$21:$C$22,AJ$9,'ВС.ТМ1 01.07 - 31.08'!$AT$21:$AT$22),IF($AP$8="III",SUMIF('ВС.ТМ1 01.09 - 31.12'!$C$21:$C$22,AJ$9,'ВС.ТМ1 01.09 - 31.12'!$AT$21:$AT$22),0)))</f>
        <v>0</v>
      </c>
      <c r="AK10889" s="630">
        <f>IF($AP$8="I",SUMIF('ВС.ТМ1 01.01 - 30.06'!$C$21:$C$22,AK$9,'ВС.ТМ1 01.01 - 30.06'!$AT$21:$AT$22),IF($AP$8="II",SUMIF('ВС.ТМ1 01.07 - 31.08'!$C$21:$C$22,AK$9,'ВС.ТМ1 01.07 - 31.08'!$AT$21:$AT$22),IF($AP$8="III",SUMIF('ВС.ТМ1 01.09 - 31.12'!$C$21:$C$22,AK$9,'ВС.ТМ1 01.09 - 31.12'!$AT$21:$AT$22),0)))</f>
        <v>0</v>
      </c>
      <c r="AL10889" s="550"/>
      <c r="AM10889" s="816"/>
    </row>
    <row r="10890" spans="1:39" s="121" customFormat="1">
      <c r="N10890" s="222" t="s">
        <v>39</v>
      </c>
      <c r="O10890" s="502" t="s">
        <v>372</v>
      </c>
      <c r="P10890" s="257"/>
      <c r="Q10890" s="321"/>
      <c r="R10890" s="260"/>
      <c r="S10890" s="260"/>
      <c r="T10890" s="260"/>
      <c r="U10890" s="260"/>
      <c r="V10890" s="629">
        <f>SUMIF(ВС.БПр!$BF$129:$BF$130,V$9&amp;"-"&amp;$AP$8,ВС.БПр!$AB$129:$AB$130)/1000</f>
        <v>0</v>
      </c>
      <c r="W10890" s="548">
        <f>U10890+V10890</f>
        <v>0</v>
      </c>
      <c r="X10890" s="629">
        <f>SUMIF(ВС.БПр!$BF$129:$BF$130,X$9&amp;"-"&amp;$AP$8,ВС.БПр!$AB$129:$AB$130)/1000</f>
        <v>0</v>
      </c>
      <c r="Y10890" s="260"/>
      <c r="Z10890" s="548">
        <f>X10890+Y10890</f>
        <v>0</v>
      </c>
      <c r="AA10890" s="629">
        <f>SUMIF(ВС.БПр!$BF$129:$BF$130,AA$9&amp;"-"&amp;$AP$8,ВС.БПр!$AB$129:$AB$130)/1000</f>
        <v>0</v>
      </c>
      <c r="AB10890" s="629">
        <f>SUMIF(ВС.БПр!$BF$129:$BF$130,AB$9&amp;"-"&amp;$AP$8,ВС.БПр!$AB$129:$AB$130)/1000</f>
        <v>0</v>
      </c>
      <c r="AC10890" s="548">
        <f>AA10890+AB10890</f>
        <v>0</v>
      </c>
      <c r="AD10890" s="260"/>
      <c r="AE10890" s="629">
        <f>SUMIF(ВС.БТр!$BF$129:$BF$130,AE$9&amp;"-"&amp;$AP$8,ВС.БТр!$P$129:$P$130)/1000</f>
        <v>0</v>
      </c>
      <c r="AF10890" s="548">
        <f>AD10890+AE10890</f>
        <v>0</v>
      </c>
      <c r="AG10890" s="629">
        <f>SUMIF(ВС.БТр!$BF$129:$BF$130,AG$9&amp;"-"&amp;$AP$8,ВС.БТр!$P$129:$P$130)/1000</f>
        <v>0</v>
      </c>
      <c r="AH10890" s="260"/>
      <c r="AI10890" s="548">
        <f>AG10890+AH10890</f>
        <v>0</v>
      </c>
      <c r="AJ10890" s="629">
        <f>SUMIF(ВС.БТр!$BF$129:$BF$130,AJ$9&amp;"-"&amp;$AP$8,ВС.БТр!$P$129:$P$130)/1000</f>
        <v>0</v>
      </c>
      <c r="AK10890" s="629">
        <f>SUMIF(ВС.БТр!$BF$129:$BF$130,AK$9&amp;"-"&amp;$AP$8,ВС.БТр!$P$129:$P$130)/1000</f>
        <v>0</v>
      </c>
      <c r="AL10890" s="548">
        <f>AJ10890+AK10890</f>
        <v>0</v>
      </c>
      <c r="AM10890" s="816"/>
    </row>
    <row r="10891" spans="1:39" s="47" customFormat="1">
      <c r="A10891" s="121"/>
      <c r="B10891" s="121"/>
      <c r="C10891" s="121"/>
      <c r="D10891" s="121"/>
      <c r="E10891" s="121"/>
      <c r="F10891" s="121"/>
      <c r="G10891" s="121"/>
      <c r="H10891" s="121"/>
      <c r="I10891" s="121"/>
      <c r="J10891" s="121"/>
      <c r="K10891" s="121"/>
      <c r="L10891" s="121"/>
      <c r="M10891" s="121"/>
      <c r="N10891" s="222" t="s">
        <v>2458</v>
      </c>
      <c r="O10891" s="540" t="str">
        <f>"Прочие на " &amp; N10744</f>
        <v>Прочие на TBD</v>
      </c>
      <c r="P10891" s="257"/>
      <c r="Q10891" s="321"/>
      <c r="R10891" s="260"/>
      <c r="S10891" s="260"/>
      <c r="T10891" s="260"/>
      <c r="U10891" s="260"/>
      <c r="V10891" s="545">
        <f>V10892*V10893</f>
        <v>0</v>
      </c>
      <c r="W10891" s="549">
        <f>U10891+V10891</f>
        <v>0</v>
      </c>
      <c r="X10891" s="545">
        <f>X10892*X10893</f>
        <v>0</v>
      </c>
      <c r="Y10891" s="546"/>
      <c r="Z10891" s="549">
        <f>X10891+Y10891</f>
        <v>0</v>
      </c>
      <c r="AA10891" s="545">
        <f>AA10892*AA10893</f>
        <v>0</v>
      </c>
      <c r="AB10891" s="545">
        <f>AB10892*AB10893</f>
        <v>0</v>
      </c>
      <c r="AC10891" s="549">
        <f>AA10891+AB10891</f>
        <v>0</v>
      </c>
      <c r="AD10891" s="260"/>
      <c r="AE10891" s="545">
        <f>AE10892*AE10893</f>
        <v>0</v>
      </c>
      <c r="AF10891" s="549">
        <f>AD10891+AE10891</f>
        <v>0</v>
      </c>
      <c r="AG10891" s="545">
        <f>AG10892*AG10893</f>
        <v>0</v>
      </c>
      <c r="AH10891" s="546"/>
      <c r="AI10891" s="549">
        <f>AG10891+AH10891</f>
        <v>0</v>
      </c>
      <c r="AJ10891" s="545">
        <f>AJ10892*AJ10893</f>
        <v>0</v>
      </c>
      <c r="AK10891" s="545">
        <f>AK10892*AK10893</f>
        <v>0</v>
      </c>
      <c r="AL10891" s="549">
        <f>AJ10891+AK10891</f>
        <v>0</v>
      </c>
      <c r="AM10891" s="816"/>
    </row>
    <row r="10892" spans="1:39" s="121" customFormat="1" ht="12.75">
      <c r="N10892" s="222" t="s">
        <v>40</v>
      </c>
      <c r="O10892" s="502" t="s">
        <v>348</v>
      </c>
      <c r="P10892" s="254"/>
      <c r="Q10892" s="321"/>
      <c r="R10892" s="260"/>
      <c r="S10892" s="260"/>
      <c r="T10892" s="260"/>
      <c r="U10892" s="260"/>
      <c r="V10892" s="629">
        <f>IF($AP$8="I",SUMIF('ВС.ТМ2 01.01 - 30.06'!$C$21:$C$22,V$9,'ВС.ТМ2 01.01 - 30.06'!$EV$21:$EV$22),IF($AP$8="II",SUMIF('ВС.ТМ2 01.07 - 31.08'!$C$21:$C$22,V$9,'ВС.ТМ2 01.07 - 31.08'!$EV$21:$EV$22),IF($AP$8="III",SUMIF('ВС.ТМ2 01.09 - 31.12'!$C$21:$C$22,V$9,'ВС.ТМ2 01.09 - 31.12'!$EV$21:$EV$22),0)))</f>
        <v>0</v>
      </c>
      <c r="W10892" s="550"/>
      <c r="X10892" s="629">
        <f>IF($AP$8="I",SUMIF('ВС.ТМ2 01.01 - 30.06'!$C$21:$C$22,X$9,'ВС.ТМ2 01.01 - 30.06'!$EV$21:$EV$22),IF($AP$8="II",SUMIF('ВС.ТМ2 01.07 - 31.08'!$C$21:$C$22,X$9,'ВС.ТМ2 01.07 - 31.08'!$EV$21:$EV$22),IF($AP$8="III",SUMIF('ВС.ТМ2 01.09 - 31.12'!$C$21:$C$22,X$9,'ВС.ТМ2 01.09 - 31.12'!$EV$21:$EV$22),0)))</f>
        <v>0</v>
      </c>
      <c r="Y10892" s="546"/>
      <c r="Z10892" s="550"/>
      <c r="AA10892" s="629">
        <f>IF($AP$8="I",SUMIF('ВС.ТМ2 01.01 - 30.06'!$C$21:$C$22,AA$9,'ВС.ТМ2 01.01 - 30.06'!$EV$21:$EV$22),IF($AP$8="II",SUMIF('ВС.ТМ2 01.07 - 31.08'!$C$21:$C$22,AA$9,'ВС.ТМ2 01.07 - 31.08'!$EV$21:$EV$22),IF($AP$8="III",SUMIF('ВС.ТМ2 01.09 - 31.12'!$C$21:$C$22,AA$9,'ВС.ТМ2 01.09 - 31.12'!$EV$21:$EV$22),0)))</f>
        <v>0</v>
      </c>
      <c r="AB10892" s="629">
        <f>IF($AP$8="I",SUMIF('ВС.ТМ2 01.01 - 30.06'!$C$21:$C$22,AB$9,'ВС.ТМ2 01.01 - 30.06'!$EV$21:$EV$22),IF($AP$8="II",SUMIF('ВС.ТМ2 01.07 - 31.08'!$C$21:$C$22,AB$9,'ВС.ТМ2 01.07 - 31.08'!$EV$21:$EV$22),IF($AP$8="III",SUMIF('ВС.ТМ2 01.09 - 31.12'!$C$21:$C$22,AB$9,'ВС.ТМ2 01.09 - 31.12'!$EV$21:$EV$22),0)))</f>
        <v>0</v>
      </c>
      <c r="AC10892" s="550"/>
      <c r="AD10892" s="260"/>
      <c r="AE10892" s="630">
        <f>IF($AP$8="I",SUMIF('ВС.ТМ1 01.01 - 30.06'!$C$21:$C$22,AE$9,'ВС.ТМ1 01.01 - 30.06'!$AW$21:$AW$22),IF($AP$8="II",SUMIF('ВС.ТМ1 01.07 - 31.08'!$C$21:$C$22,AE$9,'ВС.ТМ1 01.07 - 31.08'!$AW$21:$AW$22),IF($AP$8="III",SUMIF('ВС.ТМ1 01.09 - 31.12'!$C$21:$C$22,AE$9,'ВС.ТМ1 01.09 - 31.12'!$AW$21:$AW$22),0)))</f>
        <v>0</v>
      </c>
      <c r="AF10892" s="550"/>
      <c r="AG10892" s="630">
        <f>IF($AP$8="I",SUMIF('ВС.ТМ1 01.01 - 30.06'!$C$21:$C$22,AG$9,'ВС.ТМ1 01.01 - 30.06'!$AW$21:$AW$22),IF($AP$8="II",SUMIF('ВС.ТМ1 01.07 - 31.08'!$C$21:$C$22,AG$9,'ВС.ТМ1 01.07 - 31.08'!$AW$21:$AW$22),IF($AP$8="III",SUMIF('ВС.ТМ1 01.09 - 31.12'!$C$21:$C$22,AG$9,'ВС.ТМ1 01.09 - 31.12'!$AW$21:$AW$22),0)))</f>
        <v>0</v>
      </c>
      <c r="AH10892" s="546"/>
      <c r="AI10892" s="550"/>
      <c r="AJ10892" s="630">
        <f>IF($AP$8="I",SUMIF('ВС.ТМ1 01.01 - 30.06'!$C$21:$C$22,AJ$9,'ВС.ТМ1 01.01 - 30.06'!$AW$21:$AW$22),IF($AP$8="II",SUMIF('ВС.ТМ1 01.07 - 31.08'!$C$21:$C$22,AJ$9,'ВС.ТМ1 01.07 - 31.08'!$AW$21:$AW$22),IF($AP$8="III",SUMIF('ВС.ТМ1 01.09 - 31.12'!$C$21:$C$22,AJ$9,'ВС.ТМ1 01.09 - 31.12'!$AW$21:$AW$22),0)))</f>
        <v>0</v>
      </c>
      <c r="AK10892" s="630">
        <f>IF($AP$8="I",SUMIF('ВС.ТМ1 01.01 - 30.06'!$C$21:$C$22,AK$9,'ВС.ТМ1 01.01 - 30.06'!$AW$21:$AW$22),IF($AP$8="II",SUMIF('ВС.ТМ1 01.07 - 31.08'!$C$21:$C$22,AK$9,'ВС.ТМ1 01.07 - 31.08'!$AW$21:$AW$22),IF($AP$8="III",SUMIF('ВС.ТМ1 01.09 - 31.12'!$C$21:$C$22,AK$9,'ВС.ТМ1 01.09 - 31.12'!$AW$21:$AW$22),0)))</f>
        <v>0</v>
      </c>
      <c r="AL10892" s="550"/>
      <c r="AM10892" s="816"/>
    </row>
    <row r="10893" spans="1:39" s="121" customFormat="1">
      <c r="N10893" s="222" t="s">
        <v>41</v>
      </c>
      <c r="O10893" s="502" t="s">
        <v>372</v>
      </c>
      <c r="P10893" s="257"/>
      <c r="Q10893" s="321"/>
      <c r="R10893" s="260"/>
      <c r="S10893" s="260"/>
      <c r="T10893" s="260"/>
      <c r="U10893" s="260"/>
      <c r="V10893" s="629">
        <f>SUMIF(ВС.БПр!$BF$129:$BF$130,V$9&amp;"-"&amp;$AP$8,ВС.БПр!$AC$129:$AC$130)/1000</f>
        <v>0</v>
      </c>
      <c r="W10893" s="548">
        <f>U10893+V10893</f>
        <v>0</v>
      </c>
      <c r="X10893" s="629">
        <f>SUMIF(ВС.БПр!$BF$129:$BF$130,X$9&amp;"-"&amp;$AP$8,ВС.БПр!$AC$129:$AC$130)/1000</f>
        <v>0</v>
      </c>
      <c r="Y10893" s="260"/>
      <c r="Z10893" s="548">
        <f>X10893+Y10893</f>
        <v>0</v>
      </c>
      <c r="AA10893" s="629">
        <f>SUMIF(ВС.БПр!$BF$129:$BF$130,AA$9&amp;"-"&amp;$AP$8,ВС.БПр!$AC$129:$AC$130)/1000</f>
        <v>0</v>
      </c>
      <c r="AB10893" s="629">
        <f>SUMIF(ВС.БПр!$BF$129:$BF$130,AB$9&amp;"-"&amp;$AP$8,ВС.БПр!$AC$129:$AC$130)/1000</f>
        <v>0</v>
      </c>
      <c r="AC10893" s="548">
        <f>AA10893+AB10893</f>
        <v>0</v>
      </c>
      <c r="AD10893" s="260"/>
      <c r="AE10893" s="629">
        <f>SUMIF(ВС.БТр!$BF$129:$BF$130,AE$9&amp;"-"&amp;$AP$8,ВС.БТр!$Q$129:$Q$130)/1000</f>
        <v>0</v>
      </c>
      <c r="AF10893" s="548">
        <f>AD10893+AE10893</f>
        <v>0</v>
      </c>
      <c r="AG10893" s="629">
        <f>SUMIF(ВС.БТр!$BF$129:$BF$130,AG$9&amp;"-"&amp;$AP$8,ВС.БТр!$Q$129:$Q$130)/1000</f>
        <v>0</v>
      </c>
      <c r="AH10893" s="260"/>
      <c r="AI10893" s="548">
        <f>AG10893+AH10893</f>
        <v>0</v>
      </c>
      <c r="AJ10893" s="629">
        <f>SUMIF(ВС.БТр!$BF$129:$BF$130,AJ$9&amp;"-"&amp;$AP$8,ВС.БТр!$Q$129:$Q$130)/1000</f>
        <v>0</v>
      </c>
      <c r="AK10893" s="629">
        <f>SUMIF(ВС.БТр!$BF$129:$BF$130,AK$9&amp;"-"&amp;$AP$8,ВС.БТр!$Q$129:$Q$130)/1000</f>
        <v>0</v>
      </c>
      <c r="AL10893" s="548">
        <f>AJ10893+AK10893</f>
        <v>0</v>
      </c>
      <c r="AM10893" s="816"/>
    </row>
    <row r="10894" spans="1:39" s="121" customFormat="1">
      <c r="N10894" s="222"/>
      <c r="O10894" s="502"/>
      <c r="P10894" s="323"/>
      <c r="Q10894" s="321"/>
      <c r="R10894" s="260"/>
      <c r="S10894" s="260"/>
      <c r="T10894" s="260"/>
      <c r="U10894" s="260"/>
      <c r="V10894" s="260"/>
      <c r="W10894" s="260"/>
      <c r="X10894" s="260"/>
      <c r="Y10894" s="260"/>
      <c r="Z10894" s="260"/>
      <c r="AA10894" s="260"/>
      <c r="AB10894" s="260"/>
      <c r="AC10894" s="260"/>
      <c r="AD10894" s="260"/>
      <c r="AE10894" s="260"/>
      <c r="AF10894" s="260"/>
      <c r="AG10894" s="260"/>
      <c r="AH10894" s="260"/>
      <c r="AI10894" s="260"/>
      <c r="AJ10894" s="260"/>
      <c r="AK10894" s="260"/>
      <c r="AL10894" s="260"/>
      <c r="AM10894" s="816"/>
    </row>
    <row r="10895" spans="1:39" s="121" customFormat="1">
      <c r="N10895" s="722" t="s">
        <v>2664</v>
      </c>
      <c r="O10895" s="721" t="s">
        <v>2724</v>
      </c>
      <c r="P10895" s="257"/>
      <c r="Q10895" s="321"/>
      <c r="R10895" s="260"/>
      <c r="S10895" s="260"/>
      <c r="T10895" s="260"/>
      <c r="U10895" s="260"/>
      <c r="V10895" s="261"/>
      <c r="W10895" s="548">
        <f>U10895+V10895</f>
        <v>0</v>
      </c>
      <c r="X10895" s="261"/>
      <c r="Y10895" s="260"/>
      <c r="Z10895" s="548">
        <f>X10895+Y10895</f>
        <v>0</v>
      </c>
      <c r="AA10895" s="261"/>
      <c r="AB10895" s="261"/>
      <c r="AC10895" s="548">
        <f>AA10895+AB10895</f>
        <v>0</v>
      </c>
      <c r="AD10895" s="260"/>
      <c r="AE10895" s="261"/>
      <c r="AF10895" s="548">
        <f>AD10895+AE10895</f>
        <v>0</v>
      </c>
      <c r="AG10895" s="261"/>
      <c r="AH10895" s="260"/>
      <c r="AI10895" s="548">
        <f>AG10895+AH10895</f>
        <v>0</v>
      </c>
      <c r="AJ10895" s="261"/>
      <c r="AK10895" s="261"/>
      <c r="AL10895" s="548">
        <f>AJ10895+AK10895</f>
        <v>0</v>
      </c>
      <c r="AM10895" s="816"/>
    </row>
    <row r="10896" spans="1:39" s="121" customFormat="1">
      <c r="N10896" s="222"/>
      <c r="O10896" s="502"/>
      <c r="P10896" s="323"/>
      <c r="Q10896" s="321"/>
      <c r="R10896" s="260"/>
      <c r="S10896" s="260"/>
      <c r="T10896" s="260"/>
      <c r="U10896" s="260"/>
      <c r="V10896" s="260"/>
      <c r="W10896" s="260"/>
      <c r="X10896" s="260"/>
      <c r="Y10896" s="260"/>
      <c r="Z10896" s="260"/>
      <c r="AA10896" s="260"/>
      <c r="AB10896" s="260"/>
      <c r="AC10896" s="260"/>
      <c r="AD10896" s="260"/>
      <c r="AE10896" s="260"/>
      <c r="AF10896" s="260"/>
      <c r="AG10896" s="260"/>
      <c r="AH10896" s="260"/>
      <c r="AI10896" s="260"/>
      <c r="AJ10896" s="260"/>
      <c r="AK10896" s="260"/>
      <c r="AL10896" s="260"/>
      <c r="AM10896" s="816"/>
    </row>
    <row r="10897" spans="1:40" s="47" customFormat="1">
      <c r="A10897" s="121"/>
      <c r="B10897" s="121"/>
      <c r="C10897" s="121"/>
      <c r="D10897" s="121"/>
      <c r="E10897" s="121"/>
      <c r="F10897" s="121"/>
      <c r="G10897" s="121"/>
      <c r="H10897" s="121"/>
      <c r="I10897" s="121"/>
      <c r="J10897" s="121"/>
      <c r="K10897" s="121"/>
      <c r="L10897" s="121"/>
      <c r="M10897" s="121"/>
      <c r="N10897" s="222"/>
      <c r="O10897" s="502"/>
      <c r="P10897" s="323"/>
      <c r="Q10897" s="321"/>
      <c r="R10897" s="260"/>
      <c r="S10897" s="260"/>
      <c r="T10897" s="260"/>
      <c r="U10897" s="260"/>
      <c r="V10897" s="260"/>
      <c r="W10897" s="260"/>
      <c r="X10897" s="260"/>
      <c r="Y10897" s="260"/>
      <c r="Z10897" s="260"/>
      <c r="AA10897" s="260"/>
      <c r="AB10897" s="260"/>
      <c r="AC10897" s="260"/>
      <c r="AD10897" s="260"/>
      <c r="AE10897" s="260"/>
      <c r="AF10897" s="260"/>
      <c r="AG10897" s="260"/>
      <c r="AH10897" s="260"/>
      <c r="AI10897" s="260"/>
      <c r="AJ10897" s="260"/>
      <c r="AK10897" s="260"/>
      <c r="AL10897" s="260"/>
      <c r="AM10897" s="816"/>
    </row>
    <row r="10898" spans="1:40" s="54" customFormat="1">
      <c r="A10898" s="121"/>
      <c r="B10898" s="121"/>
      <c r="C10898" s="121"/>
      <c r="D10898" s="121"/>
      <c r="E10898" s="121"/>
      <c r="F10898" s="121"/>
      <c r="G10898" s="121"/>
      <c r="H10898" s="121"/>
      <c r="I10898" s="121"/>
      <c r="J10898" s="121"/>
      <c r="K10898" s="121"/>
      <c r="L10898" s="121"/>
      <c r="M10898" s="121"/>
      <c r="N10898" s="223"/>
      <c r="O10898" s="216"/>
      <c r="P10898" s="543"/>
      <c r="Q10898" s="523"/>
      <c r="R10898" s="547"/>
      <c r="S10898" s="547"/>
      <c r="T10898" s="547"/>
      <c r="U10898" s="547"/>
      <c r="V10898" s="547"/>
      <c r="W10898" s="547"/>
      <c r="X10898" s="547"/>
      <c r="Y10898" s="547"/>
      <c r="Z10898" s="547"/>
      <c r="AA10898" s="547"/>
      <c r="AB10898" s="547"/>
      <c r="AC10898" s="547"/>
      <c r="AD10898" s="547"/>
      <c r="AE10898" s="547"/>
      <c r="AF10898" s="547"/>
      <c r="AG10898" s="547"/>
      <c r="AH10898" s="547"/>
      <c r="AI10898" s="547"/>
      <c r="AJ10898" s="547"/>
      <c r="AK10898" s="547"/>
      <c r="AL10898" s="547"/>
      <c r="AM10898" s="816"/>
    </row>
    <row r="10899" spans="1:40" s="54" customFormat="1">
      <c r="A10899" s="121"/>
      <c r="B10899" s="121"/>
      <c r="C10899" s="121"/>
      <c r="D10899" s="121"/>
      <c r="E10899" s="121"/>
      <c r="F10899" s="121"/>
      <c r="G10899" s="121"/>
      <c r="H10899" s="121"/>
      <c r="I10899" s="121"/>
      <c r="J10899" s="121"/>
      <c r="K10899" s="121"/>
      <c r="L10899" s="121"/>
      <c r="M10899" s="121"/>
      <c r="N10899" s="121"/>
      <c r="O10899" s="121"/>
      <c r="P10899" s="121"/>
      <c r="Q10899" s="121"/>
      <c r="R10899" s="121"/>
      <c r="S10899" s="121"/>
      <c r="T10899" s="121"/>
      <c r="U10899" s="121"/>
      <c r="V10899" s="121"/>
      <c r="W10899" s="121"/>
      <c r="X10899" s="121"/>
      <c r="Y10899" s="121"/>
      <c r="Z10899" s="121"/>
      <c r="AA10899" s="121"/>
      <c r="AB10899" s="121"/>
      <c r="AC10899" s="121"/>
      <c r="AD10899" s="121"/>
      <c r="AE10899" s="121"/>
      <c r="AF10899" s="121"/>
      <c r="AG10899" s="121"/>
      <c r="AH10899" s="121"/>
      <c r="AI10899" s="121"/>
      <c r="AJ10899" s="121"/>
      <c r="AK10899" s="121"/>
      <c r="AL10899" s="121"/>
      <c r="AM10899" s="60"/>
    </row>
    <row r="10900" spans="1:40" s="47" customFormat="1" ht="28.5" customHeight="1">
      <c r="A10900" s="62"/>
      <c r="B10900" s="62"/>
      <c r="C10900" s="62"/>
      <c r="D10900" s="62"/>
      <c r="E10900" s="62"/>
      <c r="F10900" s="62"/>
      <c r="G10900" s="62"/>
      <c r="H10900" s="62"/>
      <c r="I10900" s="62"/>
      <c r="J10900" s="62"/>
      <c r="K10900" s="62"/>
      <c r="L10900" s="62"/>
      <c r="M10900" s="62"/>
      <c r="N10900" s="49"/>
      <c r="R10900" s="60"/>
      <c r="S10900" s="60"/>
      <c r="T10900" s="60"/>
      <c r="U10900" s="815" t="s">
        <v>2633</v>
      </c>
      <c r="V10900" s="815"/>
      <c r="W10900" s="815"/>
      <c r="X10900" s="815" t="s">
        <v>2634</v>
      </c>
      <c r="Y10900" s="815"/>
      <c r="Z10900" s="815"/>
      <c r="AA10900" s="815" t="s">
        <v>2635</v>
      </c>
      <c r="AB10900" s="815"/>
      <c r="AC10900" s="815"/>
      <c r="AD10900" s="815" t="s">
        <v>2636</v>
      </c>
      <c r="AE10900" s="815"/>
      <c r="AF10900" s="815"/>
      <c r="AG10900" s="815" t="s">
        <v>2637</v>
      </c>
      <c r="AH10900" s="815"/>
      <c r="AI10900" s="815"/>
      <c r="AJ10900" s="815" t="s">
        <v>2638</v>
      </c>
      <c r="AK10900" s="815"/>
      <c r="AL10900" s="815"/>
    </row>
    <row r="10901" spans="1:40">
      <c r="Q10901" s="47"/>
      <c r="R10901" s="47"/>
      <c r="S10901" s="47"/>
      <c r="T10901" s="47"/>
      <c r="U10901" s="47"/>
      <c r="V10901" s="47"/>
      <c r="W10901" s="47"/>
      <c r="X10901" s="47"/>
      <c r="Y10901" s="47"/>
      <c r="Z10901" s="47"/>
      <c r="AA10901" s="47"/>
      <c r="AB10901" s="47"/>
      <c r="AC10901" s="47"/>
      <c r="AD10901" s="47"/>
      <c r="AE10901" s="47"/>
      <c r="AF10901" s="47"/>
      <c r="AG10901" s="47"/>
      <c r="AH10901" s="47"/>
      <c r="AI10901" s="47"/>
      <c r="AJ10901" s="47"/>
      <c r="AK10901" s="47"/>
      <c r="AL10901" s="47"/>
    </row>
    <row r="10909" spans="1:40">
      <c r="AD10909"/>
      <c r="AE10909"/>
      <c r="AF10909"/>
      <c r="AG10909"/>
      <c r="AH10909"/>
      <c r="AI10909"/>
      <c r="AJ10909"/>
      <c r="AK10909"/>
      <c r="AL10909"/>
      <c r="AM10909"/>
      <c r="AN10909"/>
    </row>
    <row r="10910" spans="1:40">
      <c r="R10910" s="795" t="s">
        <v>2639</v>
      </c>
      <c r="S10910" s="795"/>
      <c r="T10910" s="795"/>
      <c r="U10910"/>
      <c r="V10910"/>
      <c r="W10910"/>
      <c r="X10910"/>
      <c r="Y10910"/>
      <c r="Z10910"/>
      <c r="AA10910"/>
      <c r="AB10910"/>
      <c r="AC10910"/>
      <c r="AD10910"/>
      <c r="AE10910"/>
      <c r="AF10910"/>
      <c r="AG10910"/>
      <c r="AH10910"/>
      <c r="AI10910"/>
      <c r="AJ10910"/>
      <c r="AK10910"/>
      <c r="AL10910"/>
      <c r="AM10910"/>
      <c r="AN10910"/>
    </row>
    <row r="10911" spans="1:40">
      <c r="Q10911" s="316"/>
      <c r="R10911" s="795" t="s">
        <v>2640</v>
      </c>
      <c r="S10911" s="795"/>
      <c r="T10911" s="795"/>
      <c r="U10911" s="795" t="s">
        <v>2641</v>
      </c>
      <c r="V10911" s="795"/>
      <c r="W10911" s="795"/>
      <c r="X10911" s="795" t="s">
        <v>2642</v>
      </c>
      <c r="Y10911" s="795"/>
      <c r="Z10911" s="795"/>
      <c r="AA10911" s="795" t="s">
        <v>2643</v>
      </c>
      <c r="AB10911" s="795"/>
      <c r="AC10911" s="795"/>
      <c r="AD10911"/>
      <c r="AE10911"/>
      <c r="AF10911"/>
      <c r="AG10911"/>
      <c r="AH10911"/>
      <c r="AI10911"/>
      <c r="AJ10911"/>
      <c r="AK10911"/>
      <c r="AL10911"/>
      <c r="AM10911"/>
      <c r="AN10911"/>
    </row>
    <row r="10912" spans="1:40" ht="11.25" customHeight="1">
      <c r="N10912" s="430" t="s">
        <v>1742</v>
      </c>
      <c r="O10912" s="315"/>
      <c r="P10912" s="309"/>
      <c r="Q10912" s="311"/>
      <c r="R10912" s="624"/>
      <c r="S10912" s="624"/>
      <c r="T10912" s="624"/>
      <c r="U10912" s="624"/>
      <c r="V10912" s="624"/>
      <c r="W10912" s="624"/>
      <c r="X10912" s="624"/>
      <c r="Y10912" s="624"/>
      <c r="Z10912" s="624"/>
      <c r="AA10912" s="624"/>
      <c r="AB10912" s="624"/>
      <c r="AC10912" s="624"/>
      <c r="AD10912"/>
      <c r="AE10912"/>
      <c r="AF10912"/>
      <c r="AG10912"/>
      <c r="AH10912"/>
      <c r="AI10912"/>
      <c r="AJ10912"/>
      <c r="AK10912"/>
      <c r="AL10912"/>
      <c r="AM10912"/>
      <c r="AN10912"/>
    </row>
    <row r="10913" spans="1:40" ht="11.25" customHeight="1">
      <c r="N10913" s="811"/>
      <c r="O10913" s="812"/>
      <c r="P10913" s="813"/>
      <c r="Q10913" s="317"/>
      <c r="R10913" s="625" t="str">
        <f>R10915 &amp; ".1"</f>
        <v>.1</v>
      </c>
      <c r="S10913" s="625" t="str">
        <f>R10915 &amp; ".2"</f>
        <v>.2</v>
      </c>
      <c r="T10913" s="625" t="str">
        <f>R10915 &amp; ".0"</f>
        <v>.0</v>
      </c>
      <c r="U10913" s="625" t="str">
        <f>U10915 &amp; ".1"</f>
        <v>.1</v>
      </c>
      <c r="V10913" s="625" t="str">
        <f>U10915 &amp; ".2"</f>
        <v>.2</v>
      </c>
      <c r="W10913" s="625" t="str">
        <f>U10915 &amp; ".0"</f>
        <v>.0</v>
      </c>
      <c r="X10913" s="625" t="str">
        <f>X10915 &amp; ".1"</f>
        <v>.1</v>
      </c>
      <c r="Y10913" s="625" t="str">
        <f>X10915 &amp; ".2"</f>
        <v>.2</v>
      </c>
      <c r="Z10913" s="625" t="str">
        <f>X10915 &amp; ".0"</f>
        <v>.0</v>
      </c>
      <c r="AA10913" s="625" t="str">
        <f>AA10915 &amp; ".1"</f>
        <v>.1</v>
      </c>
      <c r="AB10913" s="625" t="str">
        <f>AA10915 &amp; ".2"</f>
        <v>.2</v>
      </c>
      <c r="AC10913" s="625" t="str">
        <f>AA10915 &amp; ".0"</f>
        <v>.0</v>
      </c>
      <c r="AD10913"/>
      <c r="AE10913"/>
      <c r="AF10913"/>
      <c r="AG10913"/>
      <c r="AH10913"/>
      <c r="AI10913"/>
      <c r="AJ10913"/>
      <c r="AK10913"/>
      <c r="AL10913"/>
      <c r="AM10913"/>
      <c r="AN10913"/>
    </row>
    <row r="10914" spans="1:40" ht="11.25" customHeight="1">
      <c r="N10914" s="430" t="s">
        <v>1742</v>
      </c>
      <c r="O10914" s="221"/>
      <c r="P10914" s="122" t="s">
        <v>786</v>
      </c>
      <c r="Q10914" s="201"/>
      <c r="R10914" s="814" t="s">
        <v>719</v>
      </c>
      <c r="S10914" s="814"/>
      <c r="T10914" s="814"/>
      <c r="U10914" s="814" t="s">
        <v>719</v>
      </c>
      <c r="V10914" s="814"/>
      <c r="W10914" s="814"/>
      <c r="X10914" s="814" t="s">
        <v>719</v>
      </c>
      <c r="Y10914" s="814"/>
      <c r="Z10914" s="814"/>
      <c r="AA10914" s="814" t="s">
        <v>719</v>
      </c>
      <c r="AB10914" s="814"/>
      <c r="AC10914" s="814"/>
      <c r="AD10914"/>
      <c r="AE10914"/>
      <c r="AF10914"/>
      <c r="AG10914"/>
      <c r="AH10914"/>
      <c r="AI10914"/>
      <c r="AJ10914"/>
      <c r="AK10914"/>
      <c r="AL10914"/>
      <c r="AM10914"/>
      <c r="AN10914"/>
    </row>
    <row r="10915" spans="1:40" ht="11.25" customHeight="1">
      <c r="N10915" s="802" t="s">
        <v>641</v>
      </c>
      <c r="O10915" s="804" t="s">
        <v>787</v>
      </c>
      <c r="P10915" s="806" t="s">
        <v>778</v>
      </c>
      <c r="Q10915" s="206">
        <v>0</v>
      </c>
      <c r="R10915" s="808"/>
      <c r="S10915" s="809"/>
      <c r="T10915" s="810"/>
      <c r="U10915" s="808"/>
      <c r="V10915" s="809"/>
      <c r="W10915" s="810"/>
      <c r="X10915" s="808"/>
      <c r="Y10915" s="809"/>
      <c r="Z10915" s="810"/>
      <c r="AA10915" s="808"/>
      <c r="AB10915" s="809"/>
      <c r="AC10915" s="810"/>
      <c r="AD10915"/>
      <c r="AE10915"/>
      <c r="AF10915"/>
      <c r="AG10915"/>
      <c r="AH10915"/>
      <c r="AI10915"/>
      <c r="AJ10915"/>
      <c r="AK10915"/>
      <c r="AL10915"/>
      <c r="AM10915"/>
      <c r="AN10915"/>
    </row>
    <row r="10916" spans="1:40" ht="12" customHeight="1">
      <c r="N10916" s="803"/>
      <c r="O10916" s="805"/>
      <c r="P10916" s="807"/>
      <c r="Q10916" s="207"/>
      <c r="R10916" s="796"/>
      <c r="S10916" s="797"/>
      <c r="T10916" s="798"/>
      <c r="U10916" s="796"/>
      <c r="V10916" s="797"/>
      <c r="W10916" s="798"/>
      <c r="X10916" s="796"/>
      <c r="Y10916" s="797"/>
      <c r="Z10916" s="798"/>
      <c r="AA10916" s="796"/>
      <c r="AB10916" s="797"/>
      <c r="AC10916" s="798"/>
      <c r="AD10916"/>
      <c r="AE10916"/>
      <c r="AF10916"/>
      <c r="AG10916"/>
      <c r="AH10916"/>
      <c r="AI10916"/>
      <c r="AJ10916"/>
      <c r="AK10916"/>
      <c r="AL10916"/>
      <c r="AM10916"/>
      <c r="AN10916"/>
    </row>
    <row r="10917" spans="1:40" ht="12" customHeight="1">
      <c r="N10917" s="222"/>
      <c r="O10917" s="501" t="s">
        <v>788</v>
      </c>
      <c r="P10917" s="542"/>
      <c r="Q10917" s="207"/>
      <c r="R10917" s="799"/>
      <c r="S10917" s="800"/>
      <c r="T10917" s="801"/>
      <c r="U10917" s="799"/>
      <c r="V10917" s="800"/>
      <c r="W10917" s="801"/>
      <c r="X10917" s="799"/>
      <c r="Y10917" s="800"/>
      <c r="Z10917" s="801"/>
      <c r="AA10917" s="799"/>
      <c r="AB10917" s="800"/>
      <c r="AC10917" s="801"/>
      <c r="AD10917"/>
      <c r="AE10917"/>
      <c r="AF10917"/>
      <c r="AG10917"/>
      <c r="AH10917"/>
      <c r="AI10917"/>
      <c r="AJ10917"/>
      <c r="AK10917"/>
      <c r="AL10917"/>
      <c r="AM10917"/>
      <c r="AN10917"/>
    </row>
    <row r="10918" spans="1:40" ht="12" customHeight="1">
      <c r="N10918" s="222"/>
      <c r="O10918" s="556" t="str">
        <f>IF(CALC_IDENTIFIER="","",CALC_IDENTIFIER)</f>
        <v/>
      </c>
      <c r="P10918" s="557" t="s">
        <v>745</v>
      </c>
      <c r="Q10918" s="328"/>
      <c r="R10918" s="568"/>
      <c r="S10918" s="568"/>
      <c r="T10918" s="568"/>
      <c r="U10918" s="568"/>
      <c r="V10918" s="568" t="s">
        <v>349</v>
      </c>
      <c r="W10918" s="568" t="s">
        <v>745</v>
      </c>
      <c r="X10918" s="569" t="s">
        <v>350</v>
      </c>
      <c r="Y10918" s="568"/>
      <c r="Z10918" s="568" t="s">
        <v>745</v>
      </c>
      <c r="AA10918" s="569" t="s">
        <v>350</v>
      </c>
      <c r="AB10918" s="568" t="s">
        <v>349</v>
      </c>
      <c r="AC10918" s="568" t="s">
        <v>745</v>
      </c>
      <c r="AD10918"/>
      <c r="AE10918"/>
      <c r="AF10918"/>
      <c r="AG10918"/>
      <c r="AH10918"/>
      <c r="AI10918"/>
      <c r="AJ10918"/>
      <c r="AK10918"/>
      <c r="AL10918"/>
      <c r="AM10918"/>
      <c r="AN10918"/>
    </row>
    <row r="10919" spans="1:40" s="47" customFormat="1">
      <c r="A10919" s="121"/>
      <c r="B10919" s="121"/>
      <c r="C10919" s="121"/>
      <c r="D10919" s="121"/>
      <c r="E10919" s="121"/>
      <c r="F10919" s="121"/>
      <c r="G10919" s="121"/>
      <c r="H10919" s="121"/>
      <c r="I10919" s="121"/>
      <c r="J10919" s="121"/>
      <c r="K10919" s="121"/>
      <c r="L10919" s="121"/>
      <c r="M10919" s="121"/>
      <c r="N10919" s="222"/>
      <c r="O10919" s="529"/>
      <c r="P10919" s="260"/>
      <c r="Q10919" s="321"/>
      <c r="R10919" s="260"/>
      <c r="S10919" s="260"/>
      <c r="T10919" s="260"/>
      <c r="U10919" s="260"/>
      <c r="V10919" s="260"/>
      <c r="W10919" s="260"/>
      <c r="X10919" s="260"/>
      <c r="Y10919" s="260"/>
      <c r="Z10919" s="260"/>
      <c r="AA10919" s="260"/>
      <c r="AB10919" s="260"/>
      <c r="AC10919" s="260"/>
      <c r="AD10919"/>
      <c r="AE10919"/>
      <c r="AF10919"/>
      <c r="AG10919"/>
      <c r="AH10919"/>
      <c r="AI10919"/>
      <c r="AJ10919"/>
      <c r="AK10919"/>
      <c r="AL10919"/>
      <c r="AM10919"/>
      <c r="AN10919"/>
    </row>
    <row r="10920" spans="1:40" s="47" customFormat="1">
      <c r="A10920" s="121"/>
      <c r="B10920" s="121"/>
      <c r="C10920" s="121"/>
      <c r="D10920" s="121"/>
      <c r="E10920" s="121"/>
      <c r="F10920" s="121"/>
      <c r="G10920" s="121"/>
      <c r="H10920" s="121"/>
      <c r="I10920" s="121"/>
      <c r="J10920" s="121"/>
      <c r="K10920" s="121"/>
      <c r="L10920" s="121"/>
      <c r="M10920" s="121"/>
      <c r="N10920" s="222"/>
      <c r="O10920" s="529"/>
      <c r="P10920" s="260"/>
      <c r="Q10920" s="321"/>
      <c r="R10920" s="260"/>
      <c r="S10920" s="260"/>
      <c r="T10920" s="260"/>
      <c r="U10920" s="260"/>
      <c r="V10920" s="260"/>
      <c r="W10920" s="260"/>
      <c r="X10920" s="260"/>
      <c r="Y10920" s="260"/>
      <c r="Z10920" s="260"/>
      <c r="AA10920" s="260"/>
      <c r="AB10920" s="260"/>
      <c r="AC10920" s="260"/>
      <c r="AD10920"/>
      <c r="AE10920"/>
      <c r="AF10920"/>
      <c r="AG10920"/>
      <c r="AH10920"/>
      <c r="AI10920"/>
      <c r="AJ10920"/>
      <c r="AK10920"/>
      <c r="AL10920"/>
      <c r="AM10920"/>
      <c r="AN10920"/>
    </row>
    <row r="10921" spans="1:40" s="47" customFormat="1">
      <c r="A10921" s="121"/>
      <c r="B10921" s="121"/>
      <c r="C10921" s="121"/>
      <c r="D10921" s="121"/>
      <c r="E10921" s="121"/>
      <c r="F10921" s="121"/>
      <c r="G10921" s="121"/>
      <c r="H10921" s="121"/>
      <c r="I10921" s="121"/>
      <c r="J10921" s="121"/>
      <c r="K10921" s="121"/>
      <c r="L10921" s="121"/>
      <c r="M10921" s="121"/>
      <c r="N10921" s="504" t="s">
        <v>751</v>
      </c>
      <c r="O10921" s="526" t="s">
        <v>2814</v>
      </c>
      <c r="P10921" s="257"/>
      <c r="Q10921" s="321"/>
      <c r="R10921" s="260"/>
      <c r="S10921" s="260"/>
      <c r="T10921" s="260"/>
      <c r="U10921" s="260"/>
      <c r="V10921" s="262"/>
      <c r="W10921" s="548">
        <f>U10921+V10921</f>
        <v>0</v>
      </c>
      <c r="X10921" s="262"/>
      <c r="Y10921" s="260"/>
      <c r="Z10921" s="548">
        <f>X10921+Y10921</f>
        <v>0</v>
      </c>
      <c r="AA10921" s="262"/>
      <c r="AB10921" s="262"/>
      <c r="AC10921" s="548">
        <f>AA10921+AB10921</f>
        <v>0</v>
      </c>
      <c r="AD10921"/>
      <c r="AE10921"/>
      <c r="AF10921"/>
      <c r="AG10921"/>
      <c r="AH10921"/>
      <c r="AI10921"/>
      <c r="AJ10921"/>
      <c r="AK10921"/>
      <c r="AL10921"/>
      <c r="AM10921"/>
      <c r="AN10921"/>
    </row>
    <row r="10922" spans="1:40" s="47" customFormat="1">
      <c r="A10922" s="121"/>
      <c r="B10922" s="121"/>
      <c r="C10922" s="121"/>
      <c r="D10922" s="121"/>
      <c r="E10922" s="121"/>
      <c r="F10922" s="121"/>
      <c r="G10922" s="121"/>
      <c r="H10922" s="121"/>
      <c r="I10922" s="121"/>
      <c r="J10922" s="121"/>
      <c r="K10922" s="121"/>
      <c r="L10922" s="121"/>
      <c r="M10922" s="121"/>
      <c r="N10922" s="504" t="s">
        <v>66</v>
      </c>
      <c r="O10922" s="527" t="s">
        <v>2815</v>
      </c>
      <c r="P10922" s="257"/>
      <c r="Q10922" s="321"/>
      <c r="R10922" s="260"/>
      <c r="S10922" s="260"/>
      <c r="T10922" s="260"/>
      <c r="U10922" s="260"/>
      <c r="V10922" s="262"/>
      <c r="W10922" s="548">
        <f>U10922+V10922</f>
        <v>0</v>
      </c>
      <c r="X10922" s="262"/>
      <c r="Y10922" s="260"/>
      <c r="Z10922" s="548">
        <f>X10922+Y10922</f>
        <v>0</v>
      </c>
      <c r="AA10922" s="262"/>
      <c r="AB10922" s="262"/>
      <c r="AC10922" s="548">
        <f>AA10922+AB10922</f>
        <v>0</v>
      </c>
      <c r="AD10922"/>
      <c r="AE10922"/>
      <c r="AF10922"/>
      <c r="AG10922"/>
      <c r="AH10922"/>
      <c r="AI10922"/>
      <c r="AJ10922"/>
      <c r="AK10922"/>
      <c r="AL10922"/>
      <c r="AM10922"/>
      <c r="AN10922"/>
    </row>
    <row r="10923" spans="1:40" s="47" customFormat="1">
      <c r="A10923" s="121"/>
      <c r="B10923" s="121"/>
      <c r="C10923" s="121"/>
      <c r="D10923" s="121"/>
      <c r="E10923" s="121"/>
      <c r="F10923" s="121"/>
      <c r="G10923" s="121"/>
      <c r="H10923" s="121"/>
      <c r="I10923" s="121"/>
      <c r="J10923" s="121"/>
      <c r="K10923" s="121"/>
      <c r="L10923" s="121"/>
      <c r="M10923" s="121"/>
      <c r="N10923" s="504" t="s">
        <v>632</v>
      </c>
      <c r="O10923" s="528" t="s">
        <v>2816</v>
      </c>
      <c r="P10923" s="257"/>
      <c r="Q10923" s="321"/>
      <c r="R10923" s="260"/>
      <c r="S10923" s="260"/>
      <c r="T10923" s="260"/>
      <c r="U10923" s="260"/>
      <c r="V10923" s="262"/>
      <c r="W10923" s="548">
        <f>U10923+V10923</f>
        <v>0</v>
      </c>
      <c r="X10923" s="262"/>
      <c r="Y10923" s="260"/>
      <c r="Z10923" s="548">
        <f>X10923+Y10923</f>
        <v>0</v>
      </c>
      <c r="AA10923" s="262"/>
      <c r="AB10923" s="262"/>
      <c r="AC10923" s="548">
        <f>AA10923+AB10923</f>
        <v>0</v>
      </c>
      <c r="AD10923"/>
      <c r="AE10923"/>
      <c r="AF10923"/>
      <c r="AG10923"/>
      <c r="AH10923"/>
      <c r="AI10923"/>
      <c r="AJ10923"/>
      <c r="AK10923"/>
      <c r="AL10923"/>
      <c r="AM10923"/>
      <c r="AN10923"/>
    </row>
    <row r="10924" spans="1:40" s="47" customFormat="1">
      <c r="A10924" s="121"/>
      <c r="B10924" s="121"/>
      <c r="C10924" s="121"/>
      <c r="D10924" s="121"/>
      <c r="E10924" s="121"/>
      <c r="F10924" s="121"/>
      <c r="G10924" s="121"/>
      <c r="H10924" s="121"/>
      <c r="I10924" s="121"/>
      <c r="J10924" s="121"/>
      <c r="K10924" s="121"/>
      <c r="L10924" s="121"/>
      <c r="M10924" s="121"/>
      <c r="N10924" s="223" t="s">
        <v>2817</v>
      </c>
      <c r="O10924" s="529" t="s">
        <v>2972</v>
      </c>
      <c r="P10924" s="257"/>
      <c r="Q10924" s="321"/>
      <c r="R10924" s="260"/>
      <c r="S10924" s="260"/>
      <c r="T10924" s="260"/>
      <c r="U10924" s="260"/>
      <c r="V10924" s="262"/>
      <c r="W10924" s="548">
        <f>U10924+V10924</f>
        <v>0</v>
      </c>
      <c r="X10924" s="262"/>
      <c r="Y10924" s="260"/>
      <c r="Z10924" s="548">
        <f>X10924+Y10924</f>
        <v>0</v>
      </c>
      <c r="AA10924" s="262"/>
      <c r="AB10924" s="262"/>
      <c r="AC10924" s="548">
        <f>AA10924+AB10924</f>
        <v>0</v>
      </c>
      <c r="AD10924"/>
      <c r="AE10924"/>
      <c r="AF10924"/>
      <c r="AG10924"/>
      <c r="AH10924"/>
      <c r="AI10924"/>
      <c r="AJ10924"/>
      <c r="AK10924"/>
      <c r="AL10924"/>
      <c r="AM10924"/>
      <c r="AN10924"/>
    </row>
    <row r="10925" spans="1:40" s="47" customFormat="1">
      <c r="A10925" s="121"/>
      <c r="B10925" s="121"/>
      <c r="C10925" s="121"/>
      <c r="D10925" s="121"/>
      <c r="E10925" s="121"/>
      <c r="F10925" s="121"/>
      <c r="G10925" s="121"/>
      <c r="H10925" s="121"/>
      <c r="I10925" s="121"/>
      <c r="J10925" s="121"/>
      <c r="K10925" s="121"/>
      <c r="L10925" s="121"/>
      <c r="M10925" s="121"/>
      <c r="N10925" s="223" t="s">
        <v>2818</v>
      </c>
      <c r="O10925" s="529" t="s">
        <v>2988</v>
      </c>
      <c r="P10925" s="257"/>
      <c r="Q10925" s="321"/>
      <c r="R10925" s="260"/>
      <c r="S10925" s="260"/>
      <c r="T10925" s="260"/>
      <c r="U10925" s="260"/>
      <c r="V10925" s="262"/>
      <c r="W10925" s="548">
        <f>U10925+V10925</f>
        <v>0</v>
      </c>
      <c r="X10925" s="262"/>
      <c r="Y10925" s="260"/>
      <c r="Z10925" s="548">
        <f>X10925+Y10925</f>
        <v>0</v>
      </c>
      <c r="AA10925" s="262"/>
      <c r="AB10925" s="262"/>
      <c r="AC10925" s="548">
        <f>AA10925+AB10925</f>
        <v>0</v>
      </c>
      <c r="AD10925"/>
      <c r="AE10925"/>
      <c r="AF10925"/>
      <c r="AG10925"/>
      <c r="AH10925"/>
      <c r="AI10925"/>
      <c r="AJ10925"/>
      <c r="AK10925"/>
      <c r="AL10925"/>
      <c r="AM10925"/>
      <c r="AN10925"/>
    </row>
    <row r="10926" spans="1:40" s="47" customFormat="1" hidden="1">
      <c r="A10926" s="121"/>
      <c r="B10926" s="121"/>
      <c r="C10926" s="121"/>
      <c r="D10926" s="121"/>
      <c r="E10926" s="121"/>
      <c r="F10926" s="121"/>
      <c r="G10926" s="121"/>
      <c r="H10926" s="121"/>
      <c r="I10926" s="121"/>
      <c r="J10926" s="121"/>
      <c r="K10926" s="121"/>
      <c r="L10926" s="121"/>
      <c r="M10926" s="121"/>
      <c r="N10926" s="223"/>
      <c r="O10926" s="529"/>
      <c r="P10926" s="260"/>
      <c r="Q10926" s="321"/>
      <c r="R10926" s="260"/>
      <c r="S10926" s="260"/>
      <c r="T10926" s="260"/>
      <c r="U10926" s="260"/>
      <c r="V10926" s="260"/>
      <c r="W10926" s="260"/>
      <c r="X10926" s="260"/>
      <c r="Y10926" s="260"/>
      <c r="Z10926" s="260"/>
      <c r="AA10926" s="260"/>
      <c r="AB10926" s="260"/>
      <c r="AC10926" s="260"/>
      <c r="AD10926"/>
      <c r="AE10926"/>
      <c r="AF10926"/>
      <c r="AG10926"/>
      <c r="AH10926"/>
      <c r="AI10926"/>
      <c r="AJ10926"/>
      <c r="AK10926"/>
      <c r="AL10926"/>
      <c r="AM10926"/>
      <c r="AN10926"/>
    </row>
    <row r="10927" spans="1:40" s="47" customFormat="1" hidden="1">
      <c r="A10927" s="121"/>
      <c r="B10927" s="121"/>
      <c r="C10927" s="121"/>
      <c r="D10927" s="121"/>
      <c r="E10927" s="121"/>
      <c r="F10927" s="121"/>
      <c r="G10927" s="121"/>
      <c r="H10927" s="121"/>
      <c r="I10927" s="121"/>
      <c r="J10927" s="121"/>
      <c r="K10927" s="121"/>
      <c r="L10927" s="121"/>
      <c r="M10927" s="121"/>
      <c r="N10927" s="524"/>
      <c r="O10927" s="530"/>
      <c r="P10927" s="255"/>
      <c r="Q10927" s="321"/>
      <c r="R10927" s="260"/>
      <c r="S10927" s="260"/>
      <c r="T10927" s="260"/>
      <c r="U10927" s="260"/>
      <c r="V10927" s="260"/>
      <c r="W10927" s="260"/>
      <c r="X10927" s="260"/>
      <c r="Y10927" s="260"/>
      <c r="Z10927" s="260"/>
      <c r="AA10927" s="260"/>
      <c r="AB10927" s="260"/>
      <c r="AC10927" s="260"/>
      <c r="AD10927"/>
      <c r="AE10927"/>
      <c r="AF10927"/>
      <c r="AG10927"/>
      <c r="AH10927"/>
      <c r="AI10927"/>
      <c r="AJ10927"/>
      <c r="AK10927"/>
      <c r="AL10927"/>
      <c r="AM10927"/>
      <c r="AN10927"/>
    </row>
    <row r="10928" spans="1:40" s="47" customFormat="1" hidden="1">
      <c r="A10928" s="121"/>
      <c r="B10928" s="121"/>
      <c r="C10928" s="121"/>
      <c r="D10928" s="121"/>
      <c r="E10928" s="121"/>
      <c r="F10928" s="121"/>
      <c r="G10928" s="121"/>
      <c r="H10928" s="121"/>
      <c r="I10928" s="121"/>
      <c r="J10928" s="121"/>
      <c r="K10928" s="121"/>
      <c r="L10928" s="121"/>
      <c r="M10928" s="121"/>
      <c r="N10928" s="524"/>
      <c r="O10928" s="530"/>
      <c r="P10928" s="260"/>
      <c r="Q10928" s="321"/>
      <c r="R10928" s="260"/>
      <c r="S10928" s="260"/>
      <c r="T10928" s="260"/>
      <c r="U10928" s="260"/>
      <c r="V10928" s="260"/>
      <c r="W10928" s="260"/>
      <c r="X10928" s="260"/>
      <c r="Y10928" s="260"/>
      <c r="Z10928" s="260"/>
      <c r="AA10928" s="260"/>
      <c r="AB10928" s="260"/>
      <c r="AC10928" s="260"/>
      <c r="AD10928"/>
      <c r="AE10928"/>
      <c r="AF10928"/>
      <c r="AG10928"/>
      <c r="AH10928"/>
      <c r="AI10928"/>
      <c r="AJ10928"/>
      <c r="AK10928"/>
      <c r="AL10928"/>
      <c r="AM10928"/>
      <c r="AN10928"/>
    </row>
    <row r="10929" spans="1:40" s="47" customFormat="1" hidden="1">
      <c r="A10929" s="121"/>
      <c r="B10929" s="121"/>
      <c r="C10929" s="121"/>
      <c r="D10929" s="121"/>
      <c r="E10929" s="121"/>
      <c r="F10929" s="121"/>
      <c r="G10929" s="121"/>
      <c r="H10929" s="121"/>
      <c r="I10929" s="121"/>
      <c r="J10929" s="121"/>
      <c r="K10929" s="121"/>
      <c r="L10929" s="121"/>
      <c r="M10929" s="121"/>
      <c r="N10929" s="223"/>
      <c r="O10929" s="531"/>
      <c r="P10929" s="260"/>
      <c r="Q10929" s="321"/>
      <c r="R10929" s="260"/>
      <c r="S10929" s="260"/>
      <c r="T10929" s="260"/>
      <c r="U10929" s="260"/>
      <c r="V10929" s="260"/>
      <c r="W10929" s="260"/>
      <c r="X10929" s="260"/>
      <c r="Y10929" s="260"/>
      <c r="Z10929" s="260"/>
      <c r="AA10929" s="260"/>
      <c r="AB10929" s="260"/>
      <c r="AC10929" s="260"/>
      <c r="AD10929"/>
      <c r="AE10929"/>
      <c r="AF10929"/>
      <c r="AG10929"/>
      <c r="AH10929"/>
      <c r="AI10929"/>
      <c r="AJ10929"/>
      <c r="AK10929"/>
      <c r="AL10929"/>
      <c r="AM10929"/>
      <c r="AN10929"/>
    </row>
    <row r="10930" spans="1:40" s="47" customFormat="1" hidden="1">
      <c r="A10930" s="121"/>
      <c r="B10930" s="121"/>
      <c r="C10930" s="121"/>
      <c r="D10930" s="121"/>
      <c r="E10930" s="121"/>
      <c r="F10930" s="121"/>
      <c r="G10930" s="121"/>
      <c r="H10930" s="121"/>
      <c r="I10930" s="121"/>
      <c r="J10930" s="121"/>
      <c r="K10930" s="121"/>
      <c r="L10930" s="121"/>
      <c r="M10930" s="121"/>
      <c r="N10930" s="524"/>
      <c r="O10930" s="530"/>
      <c r="P10930" s="255"/>
      <c r="Q10930" s="321"/>
      <c r="R10930" s="260"/>
      <c r="S10930" s="260"/>
      <c r="T10930" s="260"/>
      <c r="U10930" s="260"/>
      <c r="V10930" s="260"/>
      <c r="W10930" s="260"/>
      <c r="X10930" s="260"/>
      <c r="Y10930" s="260"/>
      <c r="Z10930" s="260"/>
      <c r="AA10930" s="260"/>
      <c r="AB10930" s="260"/>
      <c r="AC10930" s="260"/>
      <c r="AD10930"/>
      <c r="AE10930"/>
      <c r="AF10930"/>
      <c r="AG10930"/>
      <c r="AH10930"/>
      <c r="AI10930"/>
      <c r="AJ10930"/>
      <c r="AK10930"/>
      <c r="AL10930"/>
      <c r="AM10930"/>
      <c r="AN10930"/>
    </row>
    <row r="10931" spans="1:40" s="47" customFormat="1" hidden="1">
      <c r="A10931" s="121"/>
      <c r="B10931" s="121"/>
      <c r="C10931" s="121"/>
      <c r="D10931" s="121"/>
      <c r="E10931" s="121"/>
      <c r="F10931" s="121"/>
      <c r="G10931" s="121"/>
      <c r="H10931" s="121"/>
      <c r="I10931" s="121"/>
      <c r="J10931" s="121"/>
      <c r="K10931" s="121"/>
      <c r="L10931" s="121"/>
      <c r="M10931" s="121"/>
      <c r="N10931" s="524"/>
      <c r="O10931" s="530"/>
      <c r="P10931" s="260"/>
      <c r="Q10931" s="321"/>
      <c r="R10931" s="260"/>
      <c r="S10931" s="260"/>
      <c r="T10931" s="260"/>
      <c r="U10931" s="260"/>
      <c r="V10931" s="260"/>
      <c r="W10931" s="260"/>
      <c r="X10931" s="260"/>
      <c r="Y10931" s="260"/>
      <c r="Z10931" s="260"/>
      <c r="AA10931" s="260"/>
      <c r="AB10931" s="260"/>
      <c r="AC10931" s="260"/>
      <c r="AD10931"/>
      <c r="AE10931"/>
      <c r="AF10931"/>
      <c r="AG10931"/>
      <c r="AH10931"/>
      <c r="AI10931"/>
      <c r="AJ10931"/>
      <c r="AK10931"/>
      <c r="AL10931"/>
      <c r="AM10931"/>
      <c r="AN10931"/>
    </row>
    <row r="10932" spans="1:40" s="47" customFormat="1" hidden="1">
      <c r="A10932" s="121"/>
      <c r="B10932" s="121"/>
      <c r="C10932" s="121"/>
      <c r="D10932" s="121"/>
      <c r="E10932" s="121"/>
      <c r="F10932" s="121"/>
      <c r="G10932" s="121"/>
      <c r="H10932" s="121"/>
      <c r="I10932" s="121"/>
      <c r="J10932" s="121"/>
      <c r="K10932" s="121"/>
      <c r="L10932" s="121"/>
      <c r="M10932" s="121"/>
      <c r="N10932" s="223"/>
      <c r="O10932" s="529"/>
      <c r="P10932" s="260"/>
      <c r="Q10932" s="321"/>
      <c r="R10932" s="260"/>
      <c r="S10932" s="260"/>
      <c r="T10932" s="260"/>
      <c r="U10932" s="260"/>
      <c r="V10932" s="260"/>
      <c r="W10932" s="260"/>
      <c r="X10932" s="260"/>
      <c r="Y10932" s="260"/>
      <c r="Z10932" s="260"/>
      <c r="AA10932" s="260"/>
      <c r="AB10932" s="260"/>
      <c r="AC10932" s="260"/>
      <c r="AD10932"/>
      <c r="AE10932"/>
      <c r="AF10932"/>
      <c r="AG10932"/>
      <c r="AH10932"/>
      <c r="AI10932"/>
      <c r="AJ10932"/>
      <c r="AK10932"/>
      <c r="AL10932"/>
      <c r="AM10932"/>
      <c r="AN10932"/>
    </row>
    <row r="10933" spans="1:40" s="47" customFormat="1" hidden="1">
      <c r="A10933" s="121"/>
      <c r="B10933" s="121"/>
      <c r="C10933" s="121"/>
      <c r="D10933" s="121"/>
      <c r="E10933" s="121"/>
      <c r="F10933" s="121"/>
      <c r="G10933" s="121"/>
      <c r="H10933" s="121"/>
      <c r="I10933" s="121"/>
      <c r="J10933" s="121"/>
      <c r="K10933" s="121"/>
      <c r="L10933" s="121"/>
      <c r="M10933" s="121"/>
      <c r="N10933" s="524"/>
      <c r="O10933" s="530"/>
      <c r="P10933" s="255"/>
      <c r="Q10933" s="321"/>
      <c r="R10933" s="260"/>
      <c r="S10933" s="260"/>
      <c r="T10933" s="260"/>
      <c r="U10933" s="260"/>
      <c r="V10933" s="260"/>
      <c r="W10933" s="260"/>
      <c r="X10933" s="260"/>
      <c r="Y10933" s="260"/>
      <c r="Z10933" s="260"/>
      <c r="AA10933" s="260"/>
      <c r="AB10933" s="260"/>
      <c r="AC10933" s="260"/>
      <c r="AD10933"/>
      <c r="AE10933"/>
      <c r="AF10933"/>
      <c r="AG10933"/>
      <c r="AH10933"/>
      <c r="AI10933"/>
      <c r="AJ10933"/>
      <c r="AK10933"/>
      <c r="AL10933"/>
      <c r="AM10933"/>
      <c r="AN10933"/>
    </row>
    <row r="10934" spans="1:40" s="47" customFormat="1" hidden="1">
      <c r="A10934" s="121"/>
      <c r="B10934" s="121"/>
      <c r="C10934" s="121"/>
      <c r="D10934" s="121"/>
      <c r="E10934" s="121"/>
      <c r="F10934" s="121"/>
      <c r="G10934" s="121"/>
      <c r="H10934" s="121"/>
      <c r="I10934" s="121"/>
      <c r="J10934" s="121"/>
      <c r="K10934" s="121"/>
      <c r="L10934" s="121"/>
      <c r="M10934" s="121"/>
      <c r="N10934" s="524"/>
      <c r="O10934" s="530"/>
      <c r="P10934" s="260"/>
      <c r="Q10934" s="321"/>
      <c r="R10934" s="260"/>
      <c r="S10934" s="260"/>
      <c r="T10934" s="260"/>
      <c r="U10934" s="260"/>
      <c r="V10934" s="260"/>
      <c r="W10934" s="260"/>
      <c r="X10934" s="260"/>
      <c r="Y10934" s="260"/>
      <c r="Z10934" s="260"/>
      <c r="AA10934" s="260"/>
      <c r="AB10934" s="260"/>
      <c r="AC10934" s="260"/>
      <c r="AD10934"/>
      <c r="AE10934"/>
      <c r="AF10934"/>
      <c r="AG10934"/>
      <c r="AH10934"/>
      <c r="AI10934"/>
      <c r="AJ10934"/>
      <c r="AK10934"/>
      <c r="AL10934"/>
      <c r="AM10934"/>
      <c r="AN10934"/>
    </row>
    <row r="10935" spans="1:40" s="47" customFormat="1" hidden="1">
      <c r="A10935" s="121"/>
      <c r="B10935" s="121"/>
      <c r="C10935" s="121"/>
      <c r="D10935" s="121"/>
      <c r="E10935" s="121"/>
      <c r="F10935" s="121"/>
      <c r="G10935" s="121"/>
      <c r="H10935" s="121"/>
      <c r="I10935" s="121"/>
      <c r="J10935" s="121"/>
      <c r="K10935" s="121"/>
      <c r="L10935" s="121"/>
      <c r="M10935" s="121"/>
      <c r="N10935" s="223"/>
      <c r="O10935" s="531"/>
      <c r="P10935" s="260"/>
      <c r="Q10935" s="321"/>
      <c r="R10935" s="260"/>
      <c r="S10935" s="260"/>
      <c r="T10935" s="260"/>
      <c r="U10935" s="260"/>
      <c r="V10935" s="260"/>
      <c r="W10935" s="260"/>
      <c r="X10935" s="260"/>
      <c r="Y10935" s="260"/>
      <c r="Z10935" s="260"/>
      <c r="AA10935" s="260"/>
      <c r="AB10935" s="260"/>
      <c r="AC10935" s="260"/>
      <c r="AD10935"/>
      <c r="AE10935"/>
      <c r="AF10935"/>
      <c r="AG10935"/>
      <c r="AH10935"/>
      <c r="AI10935"/>
      <c r="AJ10935"/>
      <c r="AK10935"/>
      <c r="AL10935"/>
      <c r="AM10935"/>
      <c r="AN10935"/>
    </row>
    <row r="10936" spans="1:40" s="47" customFormat="1" hidden="1">
      <c r="A10936" s="121"/>
      <c r="B10936" s="121"/>
      <c r="C10936" s="121"/>
      <c r="D10936" s="121"/>
      <c r="E10936" s="121"/>
      <c r="F10936" s="121"/>
      <c r="G10936" s="121"/>
      <c r="H10936" s="121"/>
      <c r="I10936" s="121"/>
      <c r="J10936" s="121"/>
      <c r="K10936" s="121"/>
      <c r="L10936" s="121"/>
      <c r="M10936" s="121"/>
      <c r="N10936" s="524"/>
      <c r="O10936" s="530"/>
      <c r="P10936" s="255"/>
      <c r="Q10936" s="321"/>
      <c r="R10936" s="260"/>
      <c r="S10936" s="260"/>
      <c r="T10936" s="260"/>
      <c r="U10936" s="260"/>
      <c r="V10936" s="260"/>
      <c r="W10936" s="260"/>
      <c r="X10936" s="260"/>
      <c r="Y10936" s="260"/>
      <c r="Z10936" s="260"/>
      <c r="AA10936" s="260"/>
      <c r="AB10936" s="260"/>
      <c r="AC10936" s="260"/>
      <c r="AD10936"/>
      <c r="AE10936"/>
      <c r="AF10936"/>
      <c r="AG10936"/>
      <c r="AH10936"/>
      <c r="AI10936"/>
      <c r="AJ10936"/>
      <c r="AK10936"/>
      <c r="AL10936"/>
      <c r="AM10936"/>
      <c r="AN10936"/>
    </row>
    <row r="10937" spans="1:40" s="47" customFormat="1" hidden="1">
      <c r="A10937" s="121"/>
      <c r="B10937" s="121"/>
      <c r="C10937" s="121"/>
      <c r="D10937" s="121"/>
      <c r="E10937" s="121"/>
      <c r="F10937" s="121"/>
      <c r="G10937" s="121"/>
      <c r="H10937" s="121"/>
      <c r="I10937" s="121"/>
      <c r="J10937" s="121"/>
      <c r="K10937" s="121"/>
      <c r="L10937" s="121"/>
      <c r="M10937" s="121"/>
      <c r="N10937" s="524"/>
      <c r="O10937" s="530"/>
      <c r="P10937" s="260"/>
      <c r="Q10937" s="321"/>
      <c r="R10937" s="260"/>
      <c r="S10937" s="260"/>
      <c r="T10937" s="260"/>
      <c r="U10937" s="260"/>
      <c r="V10937" s="260"/>
      <c r="W10937" s="260"/>
      <c r="X10937" s="260"/>
      <c r="Y10937" s="260"/>
      <c r="Z10937" s="260"/>
      <c r="AA10937" s="260"/>
      <c r="AB10937" s="260"/>
      <c r="AC10937" s="260"/>
      <c r="AD10937"/>
      <c r="AE10937"/>
      <c r="AF10937"/>
      <c r="AG10937"/>
      <c r="AH10937"/>
      <c r="AI10937"/>
      <c r="AJ10937"/>
      <c r="AK10937"/>
      <c r="AL10937"/>
      <c r="AM10937"/>
      <c r="AN10937"/>
    </row>
    <row r="10938" spans="1:40" s="47" customFormat="1" hidden="1">
      <c r="A10938" s="121"/>
      <c r="B10938" s="121"/>
      <c r="C10938" s="121"/>
      <c r="D10938" s="121"/>
      <c r="E10938" s="121"/>
      <c r="F10938" s="121"/>
      <c r="G10938" s="121"/>
      <c r="H10938" s="121"/>
      <c r="I10938" s="121"/>
      <c r="J10938" s="121"/>
      <c r="K10938" s="121"/>
      <c r="L10938" s="121"/>
      <c r="M10938" s="121"/>
      <c r="N10938" s="223"/>
      <c r="O10938" s="529"/>
      <c r="P10938" s="260"/>
      <c r="Q10938" s="321"/>
      <c r="R10938" s="260"/>
      <c r="S10938" s="260"/>
      <c r="T10938" s="260"/>
      <c r="U10938" s="260"/>
      <c r="V10938" s="260"/>
      <c r="W10938" s="260"/>
      <c r="X10938" s="260"/>
      <c r="Y10938" s="260"/>
      <c r="Z10938" s="260"/>
      <c r="AA10938" s="260"/>
      <c r="AB10938" s="260"/>
      <c r="AC10938" s="260"/>
      <c r="AD10938"/>
      <c r="AE10938"/>
      <c r="AF10938"/>
      <c r="AG10938"/>
      <c r="AH10938"/>
      <c r="AI10938"/>
      <c r="AJ10938"/>
      <c r="AK10938"/>
      <c r="AL10938"/>
      <c r="AM10938"/>
      <c r="AN10938"/>
    </row>
    <row r="10939" spans="1:40" s="47" customFormat="1" hidden="1">
      <c r="A10939" s="121"/>
      <c r="B10939" s="121"/>
      <c r="C10939" s="121"/>
      <c r="D10939" s="121"/>
      <c r="E10939" s="121"/>
      <c r="F10939" s="121"/>
      <c r="G10939" s="121"/>
      <c r="H10939" s="121"/>
      <c r="I10939" s="121"/>
      <c r="J10939" s="121"/>
      <c r="K10939" s="121"/>
      <c r="L10939" s="121"/>
      <c r="M10939" s="121"/>
      <c r="N10939" s="524"/>
      <c r="O10939" s="530"/>
      <c r="P10939" s="255"/>
      <c r="Q10939" s="321"/>
      <c r="R10939" s="260"/>
      <c r="S10939" s="260"/>
      <c r="T10939" s="260"/>
      <c r="U10939" s="260"/>
      <c r="V10939" s="260"/>
      <c r="W10939" s="260"/>
      <c r="X10939" s="260"/>
      <c r="Y10939" s="260"/>
      <c r="Z10939" s="260"/>
      <c r="AA10939" s="260"/>
      <c r="AB10939" s="260"/>
      <c r="AC10939" s="260"/>
      <c r="AD10939"/>
      <c r="AE10939"/>
      <c r="AF10939"/>
      <c r="AG10939"/>
      <c r="AH10939"/>
      <c r="AI10939"/>
      <c r="AJ10939"/>
      <c r="AK10939"/>
      <c r="AL10939"/>
      <c r="AM10939"/>
      <c r="AN10939"/>
    </row>
    <row r="10940" spans="1:40" s="47" customFormat="1" hidden="1">
      <c r="A10940" s="121"/>
      <c r="B10940" s="121"/>
      <c r="C10940" s="121"/>
      <c r="D10940" s="121"/>
      <c r="E10940" s="121"/>
      <c r="F10940" s="121"/>
      <c r="G10940" s="121"/>
      <c r="H10940" s="121"/>
      <c r="I10940" s="121"/>
      <c r="J10940" s="121"/>
      <c r="K10940" s="121"/>
      <c r="L10940" s="121"/>
      <c r="M10940" s="121"/>
      <c r="N10940" s="524"/>
      <c r="O10940" s="530"/>
      <c r="P10940" s="260"/>
      <c r="Q10940" s="321"/>
      <c r="R10940" s="260"/>
      <c r="S10940" s="260"/>
      <c r="T10940" s="260"/>
      <c r="U10940" s="260"/>
      <c r="V10940" s="260"/>
      <c r="W10940" s="260"/>
      <c r="X10940" s="260"/>
      <c r="Y10940" s="260"/>
      <c r="Z10940" s="260"/>
      <c r="AA10940" s="260"/>
      <c r="AB10940" s="260"/>
      <c r="AC10940" s="260"/>
      <c r="AD10940"/>
      <c r="AE10940"/>
      <c r="AF10940"/>
      <c r="AG10940"/>
      <c r="AH10940"/>
      <c r="AI10940"/>
      <c r="AJ10940"/>
      <c r="AK10940"/>
      <c r="AL10940"/>
      <c r="AM10940"/>
      <c r="AN10940"/>
    </row>
    <row r="10941" spans="1:40" s="47" customFormat="1" hidden="1">
      <c r="A10941" s="121"/>
      <c r="B10941" s="121"/>
      <c r="C10941" s="121"/>
      <c r="D10941" s="121"/>
      <c r="E10941" s="121"/>
      <c r="F10941" s="121"/>
      <c r="G10941" s="121"/>
      <c r="H10941" s="121"/>
      <c r="I10941" s="121"/>
      <c r="J10941" s="121"/>
      <c r="K10941" s="121"/>
      <c r="L10941" s="121"/>
      <c r="M10941" s="121"/>
      <c r="N10941" s="223"/>
      <c r="O10941" s="531"/>
      <c r="P10941" s="260"/>
      <c r="Q10941" s="321"/>
      <c r="R10941" s="260"/>
      <c r="S10941" s="260"/>
      <c r="T10941" s="260"/>
      <c r="U10941" s="260"/>
      <c r="V10941" s="260"/>
      <c r="W10941" s="260"/>
      <c r="X10941" s="260"/>
      <c r="Y10941" s="260"/>
      <c r="Z10941" s="260"/>
      <c r="AA10941" s="260"/>
      <c r="AB10941" s="260"/>
      <c r="AC10941" s="260"/>
      <c r="AD10941"/>
      <c r="AE10941"/>
      <c r="AF10941"/>
      <c r="AG10941"/>
      <c r="AH10941"/>
      <c r="AI10941"/>
      <c r="AJ10941"/>
      <c r="AK10941"/>
      <c r="AL10941"/>
      <c r="AM10941"/>
      <c r="AN10941"/>
    </row>
    <row r="10942" spans="1:40" s="47" customFormat="1" hidden="1">
      <c r="A10942" s="121"/>
      <c r="B10942" s="121"/>
      <c r="C10942" s="121"/>
      <c r="D10942" s="121"/>
      <c r="E10942" s="121"/>
      <c r="F10942" s="121"/>
      <c r="G10942" s="121"/>
      <c r="H10942" s="121"/>
      <c r="I10942" s="121"/>
      <c r="J10942" s="121"/>
      <c r="K10942" s="121"/>
      <c r="L10942" s="121"/>
      <c r="M10942" s="121"/>
      <c r="N10942" s="524"/>
      <c r="O10942" s="530"/>
      <c r="P10942" s="255"/>
      <c r="Q10942" s="321"/>
      <c r="R10942" s="260"/>
      <c r="S10942" s="260"/>
      <c r="T10942" s="260"/>
      <c r="U10942" s="260"/>
      <c r="V10942" s="260"/>
      <c r="W10942" s="260"/>
      <c r="X10942" s="260"/>
      <c r="Y10942" s="260"/>
      <c r="Z10942" s="260"/>
      <c r="AA10942" s="260"/>
      <c r="AB10942" s="260"/>
      <c r="AC10942" s="260"/>
      <c r="AD10942"/>
      <c r="AE10942"/>
      <c r="AF10942"/>
      <c r="AG10942"/>
      <c r="AH10942"/>
      <c r="AI10942"/>
      <c r="AJ10942"/>
      <c r="AK10942"/>
      <c r="AL10942"/>
      <c r="AM10942"/>
      <c r="AN10942"/>
    </row>
    <row r="10943" spans="1:40" s="47" customFormat="1" hidden="1">
      <c r="A10943" s="121"/>
      <c r="B10943" s="121"/>
      <c r="C10943" s="121"/>
      <c r="D10943" s="121"/>
      <c r="E10943" s="121"/>
      <c r="F10943" s="121"/>
      <c r="G10943" s="121"/>
      <c r="H10943" s="121"/>
      <c r="I10943" s="121"/>
      <c r="J10943" s="121"/>
      <c r="K10943" s="121"/>
      <c r="L10943" s="121"/>
      <c r="M10943" s="121"/>
      <c r="N10943" s="524"/>
      <c r="O10943" s="530"/>
      <c r="P10943" s="260"/>
      <c r="Q10943" s="321"/>
      <c r="R10943" s="260"/>
      <c r="S10943" s="260"/>
      <c r="T10943" s="260"/>
      <c r="U10943" s="260"/>
      <c r="V10943" s="260"/>
      <c r="W10943" s="260"/>
      <c r="X10943" s="260"/>
      <c r="Y10943" s="260"/>
      <c r="Z10943" s="260"/>
      <c r="AA10943" s="260"/>
      <c r="AB10943" s="260"/>
      <c r="AC10943" s="260"/>
      <c r="AD10943"/>
      <c r="AE10943"/>
      <c r="AF10943"/>
      <c r="AG10943"/>
      <c r="AH10943"/>
      <c r="AI10943"/>
      <c r="AJ10943"/>
      <c r="AK10943"/>
      <c r="AL10943"/>
      <c r="AM10943"/>
      <c r="AN10943"/>
    </row>
    <row r="10944" spans="1:40" s="47" customFormat="1" hidden="1">
      <c r="A10944" s="121"/>
      <c r="B10944" s="121"/>
      <c r="C10944" s="121"/>
      <c r="D10944" s="121"/>
      <c r="E10944" s="121"/>
      <c r="F10944" s="121"/>
      <c r="G10944" s="121"/>
      <c r="H10944" s="121"/>
      <c r="I10944" s="121"/>
      <c r="J10944" s="121"/>
      <c r="K10944" s="121"/>
      <c r="L10944" s="121"/>
      <c r="M10944" s="121"/>
      <c r="N10944" s="223"/>
      <c r="O10944" s="529"/>
      <c r="P10944" s="260"/>
      <c r="Q10944" s="321"/>
      <c r="R10944" s="260"/>
      <c r="S10944" s="260"/>
      <c r="T10944" s="260"/>
      <c r="U10944" s="260"/>
      <c r="V10944" s="260"/>
      <c r="W10944" s="260"/>
      <c r="X10944" s="260"/>
      <c r="Y10944" s="260"/>
      <c r="Z10944" s="260"/>
      <c r="AA10944" s="260"/>
      <c r="AB10944" s="260"/>
      <c r="AC10944" s="260"/>
      <c r="AD10944"/>
      <c r="AE10944"/>
      <c r="AF10944"/>
      <c r="AG10944"/>
      <c r="AH10944"/>
      <c r="AI10944"/>
      <c r="AJ10944"/>
      <c r="AK10944"/>
      <c r="AL10944"/>
      <c r="AM10944"/>
      <c r="AN10944"/>
    </row>
    <row r="10945" spans="1:40" s="47" customFormat="1" hidden="1">
      <c r="A10945" s="121"/>
      <c r="B10945" s="121"/>
      <c r="C10945" s="121"/>
      <c r="D10945" s="121"/>
      <c r="E10945" s="121"/>
      <c r="F10945" s="121"/>
      <c r="G10945" s="121"/>
      <c r="H10945" s="121"/>
      <c r="I10945" s="121"/>
      <c r="J10945" s="121"/>
      <c r="K10945" s="121"/>
      <c r="L10945" s="121"/>
      <c r="M10945" s="121"/>
      <c r="N10945" s="524"/>
      <c r="O10945" s="530"/>
      <c r="P10945" s="255"/>
      <c r="Q10945" s="321"/>
      <c r="R10945" s="260"/>
      <c r="S10945" s="260"/>
      <c r="T10945" s="260"/>
      <c r="U10945" s="260"/>
      <c r="V10945" s="260"/>
      <c r="W10945" s="260"/>
      <c r="X10945" s="260"/>
      <c r="Y10945" s="260"/>
      <c r="Z10945" s="260"/>
      <c r="AA10945" s="260"/>
      <c r="AB10945" s="260"/>
      <c r="AC10945" s="260"/>
      <c r="AD10945"/>
      <c r="AE10945"/>
      <c r="AF10945"/>
      <c r="AG10945"/>
      <c r="AH10945"/>
      <c r="AI10945"/>
      <c r="AJ10945"/>
      <c r="AK10945"/>
      <c r="AL10945"/>
      <c r="AM10945"/>
      <c r="AN10945"/>
    </row>
    <row r="10946" spans="1:40" s="47" customFormat="1" hidden="1">
      <c r="A10946" s="121"/>
      <c r="B10946" s="121"/>
      <c r="C10946" s="121"/>
      <c r="D10946" s="121"/>
      <c r="E10946" s="121"/>
      <c r="F10946" s="121"/>
      <c r="G10946" s="121"/>
      <c r="H10946" s="121"/>
      <c r="I10946" s="121"/>
      <c r="J10946" s="121"/>
      <c r="K10946" s="121"/>
      <c r="L10946" s="121"/>
      <c r="M10946" s="121"/>
      <c r="N10946" s="524"/>
      <c r="O10946" s="530"/>
      <c r="P10946" s="260"/>
      <c r="Q10946" s="321"/>
      <c r="R10946" s="260"/>
      <c r="S10946" s="260"/>
      <c r="T10946" s="260"/>
      <c r="U10946" s="260"/>
      <c r="V10946" s="260"/>
      <c r="W10946" s="260"/>
      <c r="X10946" s="260"/>
      <c r="Y10946" s="260"/>
      <c r="Z10946" s="260"/>
      <c r="AA10946" s="260"/>
      <c r="AB10946" s="260"/>
      <c r="AC10946" s="260"/>
      <c r="AD10946"/>
      <c r="AE10946"/>
      <c r="AF10946"/>
      <c r="AG10946"/>
      <c r="AH10946"/>
      <c r="AI10946"/>
      <c r="AJ10946"/>
      <c r="AK10946"/>
      <c r="AL10946"/>
      <c r="AM10946"/>
      <c r="AN10946"/>
    </row>
    <row r="10947" spans="1:40" s="47" customFormat="1" hidden="1">
      <c r="A10947" s="121"/>
      <c r="B10947" s="121"/>
      <c r="C10947" s="121"/>
      <c r="D10947" s="121"/>
      <c r="E10947" s="121"/>
      <c r="F10947" s="121"/>
      <c r="G10947" s="121"/>
      <c r="H10947" s="121"/>
      <c r="I10947" s="121"/>
      <c r="J10947" s="121"/>
      <c r="K10947" s="121"/>
      <c r="L10947" s="121"/>
      <c r="M10947" s="121"/>
      <c r="N10947" s="223"/>
      <c r="O10947" s="531"/>
      <c r="P10947" s="260"/>
      <c r="Q10947" s="321"/>
      <c r="R10947" s="260"/>
      <c r="S10947" s="260"/>
      <c r="T10947" s="260"/>
      <c r="U10947" s="260"/>
      <c r="V10947" s="260"/>
      <c r="W10947" s="260"/>
      <c r="X10947" s="260"/>
      <c r="Y10947" s="260"/>
      <c r="Z10947" s="260"/>
      <c r="AA10947" s="260"/>
      <c r="AB10947" s="260"/>
      <c r="AC10947" s="260"/>
      <c r="AD10947"/>
      <c r="AE10947"/>
      <c r="AF10947"/>
      <c r="AG10947"/>
      <c r="AH10947"/>
      <c r="AI10947"/>
      <c r="AJ10947"/>
      <c r="AK10947"/>
      <c r="AL10947"/>
      <c r="AM10947"/>
      <c r="AN10947"/>
    </row>
    <row r="10948" spans="1:40" s="47" customFormat="1" hidden="1">
      <c r="A10948" s="121"/>
      <c r="B10948" s="121"/>
      <c r="C10948" s="121"/>
      <c r="D10948" s="121"/>
      <c r="E10948" s="121"/>
      <c r="F10948" s="121"/>
      <c r="G10948" s="121"/>
      <c r="H10948" s="121"/>
      <c r="I10948" s="121"/>
      <c r="J10948" s="121"/>
      <c r="K10948" s="121"/>
      <c r="L10948" s="121"/>
      <c r="M10948" s="121"/>
      <c r="N10948" s="524"/>
      <c r="O10948" s="530"/>
      <c r="P10948" s="255"/>
      <c r="Q10948" s="321"/>
      <c r="R10948" s="260"/>
      <c r="S10948" s="260"/>
      <c r="T10948" s="260"/>
      <c r="U10948" s="260"/>
      <c r="V10948" s="260"/>
      <c r="W10948" s="260"/>
      <c r="X10948" s="260"/>
      <c r="Y10948" s="260"/>
      <c r="Z10948" s="260"/>
      <c r="AA10948" s="260"/>
      <c r="AB10948" s="260"/>
      <c r="AC10948" s="260"/>
      <c r="AD10948"/>
      <c r="AE10948"/>
      <c r="AF10948"/>
      <c r="AG10948"/>
      <c r="AH10948"/>
      <c r="AI10948"/>
      <c r="AJ10948"/>
      <c r="AK10948"/>
      <c r="AL10948"/>
      <c r="AM10948"/>
      <c r="AN10948"/>
    </row>
    <row r="10949" spans="1:40" s="47" customFormat="1" hidden="1">
      <c r="A10949" s="121"/>
      <c r="B10949" s="121"/>
      <c r="C10949" s="121"/>
      <c r="D10949" s="121"/>
      <c r="E10949" s="121"/>
      <c r="F10949" s="121"/>
      <c r="G10949" s="121"/>
      <c r="H10949" s="121"/>
      <c r="I10949" s="121"/>
      <c r="J10949" s="121"/>
      <c r="K10949" s="121"/>
      <c r="L10949" s="121"/>
      <c r="M10949" s="121"/>
      <c r="N10949" s="524"/>
      <c r="O10949" s="530"/>
      <c r="P10949" s="260"/>
      <c r="Q10949" s="321"/>
      <c r="R10949" s="260"/>
      <c r="S10949" s="260"/>
      <c r="T10949" s="260"/>
      <c r="U10949" s="260"/>
      <c r="V10949" s="260"/>
      <c r="W10949" s="260"/>
      <c r="X10949" s="260"/>
      <c r="Y10949" s="260"/>
      <c r="Z10949" s="260"/>
      <c r="AA10949" s="260"/>
      <c r="AB10949" s="260"/>
      <c r="AC10949" s="260"/>
      <c r="AD10949"/>
      <c r="AE10949"/>
      <c r="AF10949"/>
      <c r="AG10949"/>
      <c r="AH10949"/>
      <c r="AI10949"/>
      <c r="AJ10949"/>
      <c r="AK10949"/>
      <c r="AL10949"/>
      <c r="AM10949"/>
      <c r="AN10949"/>
    </row>
    <row r="10950" spans="1:40" s="47" customFormat="1">
      <c r="A10950" s="121"/>
      <c r="B10950" s="121"/>
      <c r="C10950" s="121"/>
      <c r="D10950" s="121"/>
      <c r="E10950" s="121"/>
      <c r="F10950" s="121"/>
      <c r="G10950" s="121"/>
      <c r="H10950" s="121"/>
      <c r="I10950" s="121"/>
      <c r="J10950" s="121"/>
      <c r="K10950" s="121"/>
      <c r="L10950" s="121"/>
      <c r="M10950" s="121"/>
      <c r="N10950" s="504" t="s">
        <v>633</v>
      </c>
      <c r="O10950" s="532" t="s">
        <v>2819</v>
      </c>
      <c r="P10950" s="257"/>
      <c r="Q10950" s="321"/>
      <c r="R10950" s="260"/>
      <c r="S10950" s="260"/>
      <c r="T10950" s="260"/>
      <c r="U10950" s="260"/>
      <c r="V10950" s="262"/>
      <c r="W10950" s="548">
        <f t="shared" ref="W10950:W10959" si="63">U10950+V10950</f>
        <v>0</v>
      </c>
      <c r="X10950" s="262"/>
      <c r="Y10950" s="260"/>
      <c r="Z10950" s="548">
        <f t="shared" ref="Z10950:Z10959" si="64">X10950+Y10950</f>
        <v>0</v>
      </c>
      <c r="AA10950" s="262"/>
      <c r="AB10950" s="262"/>
      <c r="AC10950" s="548">
        <f t="shared" ref="AC10950:AC10959" si="65">AA10950+AB10950</f>
        <v>0</v>
      </c>
      <c r="AD10950"/>
      <c r="AE10950"/>
      <c r="AF10950"/>
      <c r="AG10950"/>
      <c r="AH10950"/>
      <c r="AI10950"/>
      <c r="AJ10950"/>
      <c r="AK10950"/>
      <c r="AL10950"/>
      <c r="AM10950"/>
      <c r="AN10950"/>
    </row>
    <row r="10951" spans="1:40" s="47" customFormat="1">
      <c r="A10951" s="121"/>
      <c r="B10951" s="121"/>
      <c r="C10951" s="121"/>
      <c r="D10951" s="121"/>
      <c r="E10951" s="121"/>
      <c r="F10951" s="121"/>
      <c r="G10951" s="121"/>
      <c r="H10951" s="121"/>
      <c r="I10951" s="121"/>
      <c r="J10951" s="121"/>
      <c r="K10951" s="121"/>
      <c r="L10951" s="121"/>
      <c r="M10951" s="121"/>
      <c r="N10951" s="504" t="s">
        <v>69</v>
      </c>
      <c r="O10951" s="527" t="s">
        <v>2820</v>
      </c>
      <c r="P10951" s="257"/>
      <c r="Q10951" s="321"/>
      <c r="R10951" s="260"/>
      <c r="S10951" s="260"/>
      <c r="T10951" s="260"/>
      <c r="U10951" s="260"/>
      <c r="V10951" s="262"/>
      <c r="W10951" s="548">
        <f t="shared" si="63"/>
        <v>0</v>
      </c>
      <c r="X10951" s="262"/>
      <c r="Y10951" s="260"/>
      <c r="Z10951" s="548">
        <f t="shared" si="64"/>
        <v>0</v>
      </c>
      <c r="AA10951" s="262"/>
      <c r="AB10951" s="262"/>
      <c r="AC10951" s="548">
        <f t="shared" si="65"/>
        <v>0</v>
      </c>
      <c r="AD10951"/>
      <c r="AE10951"/>
      <c r="AF10951"/>
      <c r="AG10951"/>
      <c r="AH10951"/>
      <c r="AI10951"/>
      <c r="AJ10951"/>
      <c r="AK10951"/>
      <c r="AL10951"/>
      <c r="AM10951"/>
      <c r="AN10951"/>
    </row>
    <row r="10952" spans="1:40" s="47" customFormat="1">
      <c r="A10952" s="121"/>
      <c r="B10952" s="121"/>
      <c r="C10952" s="121"/>
      <c r="D10952" s="121"/>
      <c r="E10952" s="121"/>
      <c r="F10952" s="121"/>
      <c r="G10952" s="121"/>
      <c r="H10952" s="121"/>
      <c r="I10952" s="121"/>
      <c r="J10952" s="121"/>
      <c r="K10952" s="121"/>
      <c r="L10952" s="121"/>
      <c r="M10952" s="121"/>
      <c r="N10952" s="504" t="s">
        <v>72</v>
      </c>
      <c r="O10952" s="527" t="s">
        <v>2471</v>
      </c>
      <c r="P10952" s="257"/>
      <c r="Q10952" s="321"/>
      <c r="R10952" s="260"/>
      <c r="S10952" s="260"/>
      <c r="T10952" s="260"/>
      <c r="U10952" s="260"/>
      <c r="V10952" s="262"/>
      <c r="W10952" s="548">
        <f t="shared" si="63"/>
        <v>0</v>
      </c>
      <c r="X10952" s="262"/>
      <c r="Y10952" s="260"/>
      <c r="Z10952" s="548">
        <f t="shared" si="64"/>
        <v>0</v>
      </c>
      <c r="AA10952" s="262"/>
      <c r="AB10952" s="262"/>
      <c r="AC10952" s="548">
        <f t="shared" si="65"/>
        <v>0</v>
      </c>
      <c r="AD10952"/>
      <c r="AE10952"/>
      <c r="AF10952"/>
      <c r="AG10952"/>
      <c r="AH10952"/>
      <c r="AI10952"/>
      <c r="AJ10952"/>
      <c r="AK10952"/>
      <c r="AL10952"/>
      <c r="AM10952"/>
      <c r="AN10952"/>
    </row>
    <row r="10953" spans="1:40" s="47" customFormat="1">
      <c r="A10953" s="121"/>
      <c r="B10953" s="121"/>
      <c r="C10953" s="121"/>
      <c r="D10953" s="121"/>
      <c r="E10953" s="121"/>
      <c r="F10953" s="121"/>
      <c r="G10953" s="121"/>
      <c r="H10953" s="121"/>
      <c r="I10953" s="121"/>
      <c r="J10953" s="121"/>
      <c r="K10953" s="121"/>
      <c r="L10953" s="121"/>
      <c r="M10953" s="121"/>
      <c r="N10953" s="504" t="s">
        <v>2821</v>
      </c>
      <c r="O10953" s="527" t="s">
        <v>2822</v>
      </c>
      <c r="P10953" s="257"/>
      <c r="Q10953" s="321"/>
      <c r="R10953" s="260"/>
      <c r="S10953" s="260"/>
      <c r="T10953" s="260"/>
      <c r="U10953" s="260"/>
      <c r="V10953" s="262"/>
      <c r="W10953" s="548">
        <f t="shared" si="63"/>
        <v>0</v>
      </c>
      <c r="X10953" s="262"/>
      <c r="Y10953" s="260"/>
      <c r="Z10953" s="548">
        <f t="shared" si="64"/>
        <v>0</v>
      </c>
      <c r="AA10953" s="262"/>
      <c r="AB10953" s="262"/>
      <c r="AC10953" s="548">
        <f t="shared" si="65"/>
        <v>0</v>
      </c>
      <c r="AD10953"/>
      <c r="AE10953"/>
      <c r="AF10953"/>
      <c r="AG10953"/>
      <c r="AH10953"/>
      <c r="AI10953"/>
      <c r="AJ10953"/>
      <c r="AK10953"/>
      <c r="AL10953"/>
      <c r="AM10953"/>
      <c r="AN10953"/>
    </row>
    <row r="10954" spans="1:40" s="47" customFormat="1">
      <c r="A10954" s="121"/>
      <c r="B10954" s="121"/>
      <c r="C10954" s="121"/>
      <c r="D10954" s="121"/>
      <c r="E10954" s="121"/>
      <c r="F10954" s="121"/>
      <c r="G10954" s="121"/>
      <c r="H10954" s="121"/>
      <c r="I10954" s="121"/>
      <c r="J10954" s="121"/>
      <c r="K10954" s="121"/>
      <c r="L10954" s="121"/>
      <c r="M10954" s="121"/>
      <c r="N10954" s="504" t="s">
        <v>888</v>
      </c>
      <c r="O10954" s="528" t="s">
        <v>2823</v>
      </c>
      <c r="P10954" s="257"/>
      <c r="Q10954" s="321"/>
      <c r="R10954" s="260"/>
      <c r="S10954" s="260"/>
      <c r="T10954" s="260"/>
      <c r="U10954" s="260"/>
      <c r="V10954" s="262"/>
      <c r="W10954" s="548">
        <f t="shared" si="63"/>
        <v>0</v>
      </c>
      <c r="X10954" s="262"/>
      <c r="Y10954" s="260"/>
      <c r="Z10954" s="548">
        <f t="shared" si="64"/>
        <v>0</v>
      </c>
      <c r="AA10954" s="262"/>
      <c r="AB10954" s="262"/>
      <c r="AC10954" s="548">
        <f t="shared" si="65"/>
        <v>0</v>
      </c>
      <c r="AD10954"/>
      <c r="AE10954"/>
      <c r="AF10954"/>
      <c r="AG10954"/>
      <c r="AH10954"/>
      <c r="AI10954"/>
      <c r="AJ10954"/>
      <c r="AK10954"/>
      <c r="AL10954"/>
      <c r="AM10954"/>
      <c r="AN10954"/>
    </row>
    <row r="10955" spans="1:40" s="47" customFormat="1">
      <c r="A10955" s="121"/>
      <c r="B10955" s="121"/>
      <c r="C10955" s="121"/>
      <c r="D10955" s="121"/>
      <c r="E10955" s="121"/>
      <c r="F10955" s="121"/>
      <c r="G10955" s="121"/>
      <c r="H10955" s="121"/>
      <c r="I10955" s="121"/>
      <c r="J10955" s="121"/>
      <c r="K10955" s="121"/>
      <c r="L10955" s="121"/>
      <c r="M10955" s="121"/>
      <c r="N10955" s="504" t="s">
        <v>889</v>
      </c>
      <c r="O10955" s="528" t="s">
        <v>2824</v>
      </c>
      <c r="P10955" s="257"/>
      <c r="Q10955" s="321"/>
      <c r="R10955" s="260"/>
      <c r="S10955" s="260"/>
      <c r="T10955" s="260"/>
      <c r="U10955" s="260"/>
      <c r="V10955" s="262"/>
      <c r="W10955" s="548">
        <f t="shared" si="63"/>
        <v>0</v>
      </c>
      <c r="X10955" s="262"/>
      <c r="Y10955" s="260"/>
      <c r="Z10955" s="548">
        <f t="shared" si="64"/>
        <v>0</v>
      </c>
      <c r="AA10955" s="262"/>
      <c r="AB10955" s="262"/>
      <c r="AC10955" s="548">
        <f t="shared" si="65"/>
        <v>0</v>
      </c>
      <c r="AD10955"/>
      <c r="AE10955"/>
      <c r="AF10955"/>
      <c r="AG10955"/>
      <c r="AH10955"/>
      <c r="AI10955"/>
      <c r="AJ10955"/>
      <c r="AK10955"/>
      <c r="AL10955"/>
      <c r="AM10955"/>
      <c r="AN10955"/>
    </row>
    <row r="10956" spans="1:40" s="47" customFormat="1">
      <c r="A10956" s="121"/>
      <c r="B10956" s="121"/>
      <c r="C10956" s="121"/>
      <c r="D10956" s="121"/>
      <c r="E10956" s="121"/>
      <c r="F10956" s="121"/>
      <c r="G10956" s="121"/>
      <c r="H10956" s="121"/>
      <c r="I10956" s="121"/>
      <c r="J10956" s="121"/>
      <c r="K10956" s="121"/>
      <c r="L10956" s="121"/>
      <c r="M10956" s="121"/>
      <c r="N10956" s="504" t="s">
        <v>890</v>
      </c>
      <c r="O10956" s="528" t="s">
        <v>2825</v>
      </c>
      <c r="P10956" s="257"/>
      <c r="Q10956" s="321"/>
      <c r="R10956" s="260"/>
      <c r="S10956" s="260"/>
      <c r="T10956" s="260"/>
      <c r="U10956" s="260"/>
      <c r="V10956" s="262"/>
      <c r="W10956" s="548">
        <f t="shared" si="63"/>
        <v>0</v>
      </c>
      <c r="X10956" s="262"/>
      <c r="Y10956" s="260"/>
      <c r="Z10956" s="548">
        <f t="shared" si="64"/>
        <v>0</v>
      </c>
      <c r="AA10956" s="262"/>
      <c r="AB10956" s="262"/>
      <c r="AC10956" s="548">
        <f t="shared" si="65"/>
        <v>0</v>
      </c>
      <c r="AD10956"/>
      <c r="AE10956"/>
      <c r="AF10956"/>
      <c r="AG10956"/>
      <c r="AH10956"/>
      <c r="AI10956"/>
      <c r="AJ10956"/>
      <c r="AK10956"/>
      <c r="AL10956"/>
      <c r="AM10956"/>
      <c r="AN10956"/>
    </row>
    <row r="10957" spans="1:40" s="47" customFormat="1">
      <c r="A10957" s="121"/>
      <c r="B10957" s="121"/>
      <c r="C10957" s="121"/>
      <c r="D10957" s="121"/>
      <c r="E10957" s="121"/>
      <c r="F10957" s="121"/>
      <c r="G10957" s="121"/>
      <c r="H10957" s="121"/>
      <c r="I10957" s="121"/>
      <c r="J10957" s="121"/>
      <c r="K10957" s="121"/>
      <c r="L10957" s="121"/>
      <c r="M10957" s="121"/>
      <c r="N10957" s="504" t="s">
        <v>2826</v>
      </c>
      <c r="O10957" s="527" t="s">
        <v>2827</v>
      </c>
      <c r="P10957" s="257"/>
      <c r="Q10957" s="321"/>
      <c r="R10957" s="260"/>
      <c r="S10957" s="260"/>
      <c r="T10957" s="260"/>
      <c r="U10957" s="260"/>
      <c r="V10957" s="262"/>
      <c r="W10957" s="548">
        <f t="shared" si="63"/>
        <v>0</v>
      </c>
      <c r="X10957" s="262"/>
      <c r="Y10957" s="260"/>
      <c r="Z10957" s="548">
        <f t="shared" si="64"/>
        <v>0</v>
      </c>
      <c r="AA10957" s="262"/>
      <c r="AB10957" s="262"/>
      <c r="AC10957" s="548">
        <f t="shared" si="65"/>
        <v>0</v>
      </c>
      <c r="AD10957"/>
      <c r="AE10957"/>
      <c r="AF10957"/>
      <c r="AG10957"/>
      <c r="AH10957"/>
      <c r="AI10957"/>
      <c r="AJ10957"/>
      <c r="AK10957"/>
      <c r="AL10957"/>
      <c r="AM10957"/>
      <c r="AN10957"/>
    </row>
    <row r="10958" spans="1:40" s="47" customFormat="1">
      <c r="A10958" s="121"/>
      <c r="B10958" s="121"/>
      <c r="C10958" s="121"/>
      <c r="D10958" s="121"/>
      <c r="E10958" s="121"/>
      <c r="F10958" s="121"/>
      <c r="G10958" s="121"/>
      <c r="H10958" s="121"/>
      <c r="I10958" s="121"/>
      <c r="J10958" s="121"/>
      <c r="K10958" s="121"/>
      <c r="L10958" s="121"/>
      <c r="M10958" s="121"/>
      <c r="N10958" s="504" t="s">
        <v>2828</v>
      </c>
      <c r="O10958" s="527" t="s">
        <v>2829</v>
      </c>
      <c r="P10958" s="257"/>
      <c r="Q10958" s="321"/>
      <c r="R10958" s="260"/>
      <c r="S10958" s="260"/>
      <c r="T10958" s="260"/>
      <c r="U10958" s="260"/>
      <c r="V10958" s="262"/>
      <c r="W10958" s="548">
        <f t="shared" si="63"/>
        <v>0</v>
      </c>
      <c r="X10958" s="262"/>
      <c r="Y10958" s="260"/>
      <c r="Z10958" s="548">
        <f t="shared" si="64"/>
        <v>0</v>
      </c>
      <c r="AA10958" s="262"/>
      <c r="AB10958" s="262"/>
      <c r="AC10958" s="548">
        <f t="shared" si="65"/>
        <v>0</v>
      </c>
      <c r="AD10958"/>
      <c r="AE10958"/>
      <c r="AF10958"/>
      <c r="AG10958"/>
      <c r="AH10958"/>
      <c r="AI10958"/>
      <c r="AJ10958"/>
      <c r="AK10958"/>
      <c r="AL10958"/>
      <c r="AM10958"/>
      <c r="AN10958"/>
    </row>
    <row r="10959" spans="1:40" s="47" customFormat="1">
      <c r="A10959" s="121"/>
      <c r="B10959" s="121"/>
      <c r="C10959" s="121"/>
      <c r="D10959" s="121"/>
      <c r="E10959" s="121"/>
      <c r="F10959" s="121"/>
      <c r="G10959" s="121"/>
      <c r="H10959" s="121"/>
      <c r="I10959" s="121"/>
      <c r="J10959" s="121"/>
      <c r="K10959" s="121"/>
      <c r="L10959" s="121"/>
      <c r="M10959" s="121"/>
      <c r="N10959" s="504" t="s">
        <v>2830</v>
      </c>
      <c r="O10959" s="527" t="s">
        <v>2831</v>
      </c>
      <c r="P10959" s="257"/>
      <c r="Q10959" s="321"/>
      <c r="R10959" s="260"/>
      <c r="S10959" s="260"/>
      <c r="T10959" s="260"/>
      <c r="U10959" s="260"/>
      <c r="V10959" s="262"/>
      <c r="W10959" s="548">
        <f t="shared" si="63"/>
        <v>0</v>
      </c>
      <c r="X10959" s="262"/>
      <c r="Y10959" s="260"/>
      <c r="Z10959" s="548">
        <f t="shared" si="64"/>
        <v>0</v>
      </c>
      <c r="AA10959" s="262"/>
      <c r="AB10959" s="262"/>
      <c r="AC10959" s="548">
        <f t="shared" si="65"/>
        <v>0</v>
      </c>
      <c r="AD10959"/>
      <c r="AE10959"/>
      <c r="AF10959"/>
      <c r="AG10959"/>
      <c r="AH10959"/>
      <c r="AI10959"/>
      <c r="AJ10959"/>
      <c r="AK10959"/>
      <c r="AL10959"/>
      <c r="AM10959"/>
      <c r="AN10959"/>
    </row>
    <row r="10960" spans="1:40" s="47" customFormat="1" hidden="1">
      <c r="A10960" s="121"/>
      <c r="B10960" s="121"/>
      <c r="C10960" s="121"/>
      <c r="D10960" s="121"/>
      <c r="E10960" s="121"/>
      <c r="F10960" s="121"/>
      <c r="G10960" s="121"/>
      <c r="H10960" s="121"/>
      <c r="I10960" s="121"/>
      <c r="J10960" s="121"/>
      <c r="K10960" s="121"/>
      <c r="L10960" s="121"/>
      <c r="M10960" s="121"/>
      <c r="N10960" s="222"/>
      <c r="O10960" s="529"/>
      <c r="P10960" s="255"/>
      <c r="Q10960" s="321"/>
      <c r="R10960" s="260"/>
      <c r="S10960" s="260"/>
      <c r="T10960" s="260"/>
      <c r="U10960" s="260"/>
      <c r="V10960" s="260"/>
      <c r="W10960" s="260"/>
      <c r="X10960" s="260"/>
      <c r="Y10960" s="260"/>
      <c r="Z10960" s="260"/>
      <c r="AA10960" s="260"/>
      <c r="AB10960" s="260"/>
      <c r="AC10960" s="260"/>
      <c r="AD10960"/>
      <c r="AE10960"/>
      <c r="AF10960"/>
      <c r="AG10960"/>
      <c r="AH10960"/>
      <c r="AI10960"/>
      <c r="AJ10960"/>
      <c r="AK10960"/>
      <c r="AL10960"/>
      <c r="AM10960"/>
      <c r="AN10960"/>
    </row>
    <row r="10961" spans="1:40" s="47" customFormat="1" hidden="1">
      <c r="A10961" s="121"/>
      <c r="B10961" s="121"/>
      <c r="C10961" s="121"/>
      <c r="D10961" s="121"/>
      <c r="E10961" s="121"/>
      <c r="F10961" s="121"/>
      <c r="G10961" s="121"/>
      <c r="H10961" s="121"/>
      <c r="I10961" s="121"/>
      <c r="J10961" s="121"/>
      <c r="K10961" s="121"/>
      <c r="L10961" s="121"/>
      <c r="M10961" s="121"/>
      <c r="N10961" s="222"/>
      <c r="O10961" s="529"/>
      <c r="P10961" s="255"/>
      <c r="Q10961" s="321"/>
      <c r="R10961" s="260"/>
      <c r="S10961" s="260"/>
      <c r="T10961" s="260"/>
      <c r="U10961" s="260"/>
      <c r="V10961" s="260"/>
      <c r="W10961" s="260"/>
      <c r="X10961" s="260"/>
      <c r="Y10961" s="260"/>
      <c r="Z10961" s="260"/>
      <c r="AA10961" s="260"/>
      <c r="AB10961" s="260"/>
      <c r="AC10961" s="260"/>
      <c r="AD10961"/>
      <c r="AE10961"/>
      <c r="AF10961"/>
      <c r="AG10961"/>
      <c r="AH10961"/>
      <c r="AI10961"/>
      <c r="AJ10961"/>
      <c r="AK10961"/>
      <c r="AL10961"/>
      <c r="AM10961"/>
      <c r="AN10961"/>
    </row>
    <row r="10962" spans="1:40" s="47" customFormat="1" hidden="1">
      <c r="A10962" s="121"/>
      <c r="B10962" s="121"/>
      <c r="C10962" s="121"/>
      <c r="D10962" s="121"/>
      <c r="E10962" s="121"/>
      <c r="F10962" s="121"/>
      <c r="G10962" s="121"/>
      <c r="H10962" s="121"/>
      <c r="I10962" s="121"/>
      <c r="J10962" s="121"/>
      <c r="K10962" s="121"/>
      <c r="L10962" s="121"/>
      <c r="M10962" s="121"/>
      <c r="N10962" s="222"/>
      <c r="O10962" s="529"/>
      <c r="P10962" s="255"/>
      <c r="Q10962" s="321"/>
      <c r="R10962" s="260"/>
      <c r="S10962" s="260"/>
      <c r="T10962" s="260"/>
      <c r="U10962" s="260"/>
      <c r="V10962" s="260"/>
      <c r="W10962" s="260"/>
      <c r="X10962" s="260"/>
      <c r="Y10962" s="260"/>
      <c r="Z10962" s="260"/>
      <c r="AA10962" s="260"/>
      <c r="AB10962" s="260"/>
      <c r="AC10962" s="260"/>
      <c r="AD10962"/>
      <c r="AE10962"/>
      <c r="AF10962"/>
      <c r="AG10962"/>
      <c r="AH10962"/>
      <c r="AI10962"/>
      <c r="AJ10962"/>
      <c r="AK10962"/>
      <c r="AL10962"/>
      <c r="AM10962"/>
      <c r="AN10962"/>
    </row>
    <row r="10963" spans="1:40" s="47" customFormat="1">
      <c r="A10963" s="121"/>
      <c r="B10963" s="121"/>
      <c r="C10963" s="121"/>
      <c r="D10963" s="121"/>
      <c r="E10963" s="121"/>
      <c r="F10963" s="121"/>
      <c r="G10963" s="121"/>
      <c r="H10963" s="121"/>
      <c r="I10963" s="121"/>
      <c r="J10963" s="121"/>
      <c r="K10963" s="121"/>
      <c r="L10963" s="121"/>
      <c r="M10963" s="121"/>
      <c r="N10963" s="222" t="s">
        <v>2832</v>
      </c>
      <c r="O10963" s="533" t="s">
        <v>1832</v>
      </c>
      <c r="P10963" s="257"/>
      <c r="Q10963" s="321"/>
      <c r="R10963" s="260"/>
      <c r="S10963" s="260"/>
      <c r="T10963" s="260"/>
      <c r="U10963" s="260"/>
      <c r="V10963" s="262"/>
      <c r="W10963" s="548">
        <f>U10963+V10963</f>
        <v>0</v>
      </c>
      <c r="X10963" s="262"/>
      <c r="Y10963" s="260"/>
      <c r="Z10963" s="548">
        <f>X10963+Y10963</f>
        <v>0</v>
      </c>
      <c r="AA10963" s="262"/>
      <c r="AB10963" s="262"/>
      <c r="AC10963" s="548">
        <f>AA10963+AB10963</f>
        <v>0</v>
      </c>
      <c r="AD10963"/>
      <c r="AE10963"/>
      <c r="AF10963"/>
      <c r="AG10963"/>
      <c r="AH10963"/>
      <c r="AI10963"/>
      <c r="AJ10963"/>
      <c r="AK10963"/>
      <c r="AL10963"/>
      <c r="AM10963"/>
      <c r="AN10963"/>
    </row>
    <row r="10964" spans="1:40" s="47" customFormat="1" hidden="1">
      <c r="A10964" s="121"/>
      <c r="B10964" s="121"/>
      <c r="C10964" s="121"/>
      <c r="D10964" s="121"/>
      <c r="E10964" s="121"/>
      <c r="F10964" s="121"/>
      <c r="G10964" s="121"/>
      <c r="H10964" s="121"/>
      <c r="I10964" s="121"/>
      <c r="J10964" s="121"/>
      <c r="K10964" s="121"/>
      <c r="L10964" s="121"/>
      <c r="M10964" s="121"/>
      <c r="N10964" s="222"/>
      <c r="O10964" s="529"/>
      <c r="P10964" s="255"/>
      <c r="Q10964" s="321"/>
      <c r="R10964" s="260"/>
      <c r="S10964" s="260"/>
      <c r="T10964" s="260"/>
      <c r="U10964" s="260"/>
      <c r="V10964" s="260"/>
      <c r="W10964" s="260"/>
      <c r="X10964" s="260"/>
      <c r="Y10964" s="260"/>
      <c r="Z10964" s="260"/>
      <c r="AA10964" s="260"/>
      <c r="AB10964" s="260"/>
      <c r="AC10964" s="260"/>
      <c r="AD10964"/>
      <c r="AE10964"/>
      <c r="AF10964"/>
      <c r="AG10964"/>
      <c r="AH10964"/>
      <c r="AI10964"/>
      <c r="AJ10964"/>
      <c r="AK10964"/>
      <c r="AL10964"/>
      <c r="AM10964"/>
      <c r="AN10964"/>
    </row>
    <row r="10965" spans="1:40" s="47" customFormat="1" hidden="1">
      <c r="A10965" s="121"/>
      <c r="B10965" s="121"/>
      <c r="C10965" s="121"/>
      <c r="D10965" s="121"/>
      <c r="E10965" s="121"/>
      <c r="F10965" s="121"/>
      <c r="G10965" s="121"/>
      <c r="H10965" s="121"/>
      <c r="I10965" s="121"/>
      <c r="J10965" s="121"/>
      <c r="K10965" s="121"/>
      <c r="L10965" s="121"/>
      <c r="M10965" s="121"/>
      <c r="N10965" s="222"/>
      <c r="O10965" s="529"/>
      <c r="P10965" s="260"/>
      <c r="Q10965" s="321"/>
      <c r="R10965" s="260"/>
      <c r="S10965" s="260"/>
      <c r="T10965" s="260"/>
      <c r="U10965" s="260"/>
      <c r="V10965" s="260"/>
      <c r="W10965" s="260"/>
      <c r="X10965" s="260"/>
      <c r="Y10965" s="260"/>
      <c r="Z10965" s="260"/>
      <c r="AA10965" s="260"/>
      <c r="AB10965" s="260"/>
      <c r="AC10965" s="260"/>
      <c r="AD10965"/>
      <c r="AE10965"/>
      <c r="AF10965"/>
      <c r="AG10965"/>
      <c r="AH10965"/>
      <c r="AI10965"/>
      <c r="AJ10965"/>
      <c r="AK10965"/>
      <c r="AL10965"/>
      <c r="AM10965"/>
      <c r="AN10965"/>
    </row>
    <row r="10966" spans="1:40" s="47" customFormat="1" hidden="1">
      <c r="A10966" s="121"/>
      <c r="B10966" s="121"/>
      <c r="C10966" s="121"/>
      <c r="D10966" s="121"/>
      <c r="E10966" s="121"/>
      <c r="F10966" s="121"/>
      <c r="G10966" s="121"/>
      <c r="H10966" s="121"/>
      <c r="I10966" s="121"/>
      <c r="J10966" s="121"/>
      <c r="K10966" s="121"/>
      <c r="L10966" s="121"/>
      <c r="M10966" s="121"/>
      <c r="N10966" s="222"/>
      <c r="O10966" s="563"/>
      <c r="P10966" s="260"/>
      <c r="Q10966" s="321"/>
      <c r="R10966" s="260"/>
      <c r="S10966" s="260"/>
      <c r="T10966" s="260"/>
      <c r="U10966" s="260"/>
      <c r="V10966" s="260"/>
      <c r="W10966" s="260"/>
      <c r="X10966" s="260"/>
      <c r="Y10966" s="260"/>
      <c r="Z10966" s="260"/>
      <c r="AA10966" s="260"/>
      <c r="AB10966" s="260"/>
      <c r="AC10966" s="260"/>
      <c r="AD10966"/>
      <c r="AE10966"/>
      <c r="AF10966"/>
      <c r="AG10966"/>
      <c r="AH10966"/>
      <c r="AI10966"/>
      <c r="AJ10966"/>
      <c r="AK10966"/>
      <c r="AL10966"/>
      <c r="AM10966"/>
      <c r="AN10966"/>
    </row>
    <row r="10967" spans="1:40" s="47" customFormat="1" hidden="1">
      <c r="A10967" s="121"/>
      <c r="B10967" s="121"/>
      <c r="C10967" s="121"/>
      <c r="D10967" s="121"/>
      <c r="E10967" s="121"/>
      <c r="F10967" s="121"/>
      <c r="G10967" s="121"/>
      <c r="H10967" s="121"/>
      <c r="I10967" s="121"/>
      <c r="J10967" s="121"/>
      <c r="K10967" s="121"/>
      <c r="L10967" s="121"/>
      <c r="M10967" s="121"/>
      <c r="N10967" s="222"/>
      <c r="O10967" s="563"/>
      <c r="P10967" s="260"/>
      <c r="Q10967" s="321"/>
      <c r="R10967" s="260"/>
      <c r="S10967" s="260"/>
      <c r="T10967" s="260"/>
      <c r="U10967" s="260"/>
      <c r="V10967" s="260"/>
      <c r="W10967" s="260"/>
      <c r="X10967" s="260"/>
      <c r="Y10967" s="260"/>
      <c r="Z10967" s="260"/>
      <c r="AA10967" s="260"/>
      <c r="AB10967" s="260"/>
      <c r="AC10967" s="260"/>
      <c r="AD10967"/>
      <c r="AE10967"/>
      <c r="AF10967"/>
      <c r="AG10967"/>
      <c r="AH10967"/>
      <c r="AI10967"/>
      <c r="AJ10967"/>
      <c r="AK10967"/>
      <c r="AL10967"/>
      <c r="AM10967"/>
      <c r="AN10967"/>
    </row>
    <row r="10968" spans="1:40" s="47" customFormat="1" hidden="1">
      <c r="A10968" s="121"/>
      <c r="B10968" s="121"/>
      <c r="C10968" s="121"/>
      <c r="D10968" s="121"/>
      <c r="E10968" s="121"/>
      <c r="F10968" s="121"/>
      <c r="G10968" s="121"/>
      <c r="H10968" s="121"/>
      <c r="I10968" s="121"/>
      <c r="J10968" s="121"/>
      <c r="K10968" s="121"/>
      <c r="L10968" s="121"/>
      <c r="M10968" s="121"/>
      <c r="N10968" s="222"/>
      <c r="O10968" s="563"/>
      <c r="P10968" s="260"/>
      <c r="Q10968" s="321"/>
      <c r="R10968" s="260"/>
      <c r="S10968" s="260"/>
      <c r="T10968" s="260"/>
      <c r="U10968" s="260"/>
      <c r="V10968" s="260"/>
      <c r="W10968" s="260"/>
      <c r="X10968" s="260"/>
      <c r="Y10968" s="260"/>
      <c r="Z10968" s="260"/>
      <c r="AA10968" s="260"/>
      <c r="AB10968" s="260"/>
      <c r="AC10968" s="260"/>
      <c r="AD10968"/>
      <c r="AE10968"/>
      <c r="AF10968"/>
      <c r="AG10968"/>
      <c r="AH10968"/>
      <c r="AI10968"/>
      <c r="AJ10968"/>
      <c r="AK10968"/>
      <c r="AL10968"/>
      <c r="AM10968"/>
      <c r="AN10968"/>
    </row>
    <row r="10969" spans="1:40" s="47" customFormat="1">
      <c r="A10969" s="121"/>
      <c r="B10969" s="121"/>
      <c r="C10969" s="121"/>
      <c r="D10969" s="121"/>
      <c r="E10969" s="121"/>
      <c r="F10969" s="121"/>
      <c r="G10969" s="121"/>
      <c r="H10969" s="121"/>
      <c r="I10969" s="121"/>
      <c r="J10969" s="121"/>
      <c r="K10969" s="121"/>
      <c r="L10969" s="121"/>
      <c r="M10969" s="121"/>
      <c r="N10969" s="222" t="s">
        <v>2835</v>
      </c>
      <c r="O10969" s="533" t="s">
        <v>1838</v>
      </c>
      <c r="P10969" s="257"/>
      <c r="Q10969" s="321"/>
      <c r="R10969" s="260"/>
      <c r="S10969" s="260"/>
      <c r="T10969" s="260"/>
      <c r="U10969" s="260"/>
      <c r="V10969" s="262"/>
      <c r="W10969" s="548">
        <f>U10969+V10969</f>
        <v>0</v>
      </c>
      <c r="X10969" s="262"/>
      <c r="Y10969" s="260"/>
      <c r="Z10969" s="548">
        <f>X10969+Y10969</f>
        <v>0</v>
      </c>
      <c r="AA10969" s="262"/>
      <c r="AB10969" s="262"/>
      <c r="AC10969" s="548">
        <f>AA10969+AB10969</f>
        <v>0</v>
      </c>
      <c r="AD10969"/>
      <c r="AE10969"/>
      <c r="AF10969"/>
      <c r="AG10969"/>
      <c r="AH10969"/>
      <c r="AI10969"/>
      <c r="AJ10969"/>
      <c r="AK10969"/>
      <c r="AL10969"/>
      <c r="AM10969"/>
      <c r="AN10969"/>
    </row>
    <row r="10970" spans="1:40" s="47" customFormat="1" hidden="1">
      <c r="A10970" s="121"/>
      <c r="B10970" s="121"/>
      <c r="C10970" s="121"/>
      <c r="D10970" s="121"/>
      <c r="E10970" s="121"/>
      <c r="F10970" s="121"/>
      <c r="G10970" s="121"/>
      <c r="H10970" s="121"/>
      <c r="I10970" s="121"/>
      <c r="J10970" s="121"/>
      <c r="K10970" s="121"/>
      <c r="L10970" s="121"/>
      <c r="M10970" s="121"/>
      <c r="N10970" s="222"/>
      <c r="O10970" s="529"/>
      <c r="P10970" s="255"/>
      <c r="Q10970" s="321"/>
      <c r="R10970" s="260"/>
      <c r="S10970" s="260"/>
      <c r="T10970" s="260"/>
      <c r="U10970" s="260"/>
      <c r="V10970" s="260"/>
      <c r="W10970" s="260"/>
      <c r="X10970" s="260"/>
      <c r="Y10970" s="260"/>
      <c r="Z10970" s="260"/>
      <c r="AA10970" s="260"/>
      <c r="AB10970" s="260"/>
      <c r="AC10970" s="260"/>
      <c r="AD10970"/>
      <c r="AE10970"/>
      <c r="AF10970"/>
      <c r="AG10970"/>
      <c r="AH10970"/>
      <c r="AI10970"/>
      <c r="AJ10970"/>
      <c r="AK10970"/>
      <c r="AL10970"/>
      <c r="AM10970"/>
      <c r="AN10970"/>
    </row>
    <row r="10971" spans="1:40" s="47" customFormat="1" hidden="1">
      <c r="A10971" s="121"/>
      <c r="B10971" s="121"/>
      <c r="C10971" s="121"/>
      <c r="D10971" s="121"/>
      <c r="E10971" s="121"/>
      <c r="F10971" s="121"/>
      <c r="G10971" s="121"/>
      <c r="H10971" s="121"/>
      <c r="I10971" s="121"/>
      <c r="J10971" s="121"/>
      <c r="K10971" s="121"/>
      <c r="L10971" s="121"/>
      <c r="M10971" s="121"/>
      <c r="N10971" s="222"/>
      <c r="O10971" s="529"/>
      <c r="P10971" s="255"/>
      <c r="Q10971" s="321"/>
      <c r="R10971" s="260"/>
      <c r="S10971" s="260"/>
      <c r="T10971" s="260"/>
      <c r="U10971" s="260"/>
      <c r="V10971" s="260"/>
      <c r="W10971" s="260"/>
      <c r="X10971" s="260"/>
      <c r="Y10971" s="260"/>
      <c r="Z10971" s="260"/>
      <c r="AA10971" s="260"/>
      <c r="AB10971" s="260"/>
      <c r="AC10971" s="260"/>
      <c r="AD10971"/>
      <c r="AE10971"/>
      <c r="AF10971"/>
      <c r="AG10971"/>
      <c r="AH10971"/>
      <c r="AI10971"/>
      <c r="AJ10971"/>
      <c r="AK10971"/>
      <c r="AL10971"/>
      <c r="AM10971"/>
      <c r="AN10971"/>
    </row>
    <row r="10972" spans="1:40" s="47" customFormat="1" hidden="1">
      <c r="A10972" s="121"/>
      <c r="B10972" s="121"/>
      <c r="C10972" s="121"/>
      <c r="D10972" s="121"/>
      <c r="E10972" s="121"/>
      <c r="F10972" s="121"/>
      <c r="G10972" s="121"/>
      <c r="H10972" s="121"/>
      <c r="I10972" s="121"/>
      <c r="J10972" s="121"/>
      <c r="K10972" s="121"/>
      <c r="L10972" s="121"/>
      <c r="M10972" s="121"/>
      <c r="N10972" s="222"/>
      <c r="O10972" s="529"/>
      <c r="P10972" s="255"/>
      <c r="Q10972" s="321"/>
      <c r="R10972" s="260"/>
      <c r="S10972" s="260"/>
      <c r="T10972" s="260"/>
      <c r="U10972" s="260"/>
      <c r="V10972" s="260"/>
      <c r="W10972" s="260"/>
      <c r="X10972" s="260"/>
      <c r="Y10972" s="260"/>
      <c r="Z10972" s="260"/>
      <c r="AA10972" s="260"/>
      <c r="AB10972" s="260"/>
      <c r="AC10972" s="260"/>
      <c r="AD10972"/>
      <c r="AE10972"/>
      <c r="AF10972"/>
      <c r="AG10972"/>
      <c r="AH10972"/>
      <c r="AI10972"/>
      <c r="AJ10972"/>
      <c r="AK10972"/>
      <c r="AL10972"/>
      <c r="AM10972"/>
      <c r="AN10972"/>
    </row>
    <row r="10973" spans="1:40" s="47" customFormat="1" hidden="1">
      <c r="A10973" s="121"/>
      <c r="B10973" s="121"/>
      <c r="C10973" s="121"/>
      <c r="D10973" s="121"/>
      <c r="E10973" s="121"/>
      <c r="F10973" s="121"/>
      <c r="G10973" s="121"/>
      <c r="H10973" s="121"/>
      <c r="I10973" s="121"/>
      <c r="J10973" s="121"/>
      <c r="K10973" s="121"/>
      <c r="L10973" s="121"/>
      <c r="M10973" s="121"/>
      <c r="N10973" s="222"/>
      <c r="O10973" s="529"/>
      <c r="P10973" s="255"/>
      <c r="Q10973" s="321"/>
      <c r="R10973" s="260"/>
      <c r="S10973" s="260"/>
      <c r="T10973" s="260"/>
      <c r="U10973" s="260"/>
      <c r="V10973" s="260"/>
      <c r="W10973" s="260"/>
      <c r="X10973" s="260"/>
      <c r="Y10973" s="260"/>
      <c r="Z10973" s="260"/>
      <c r="AA10973" s="260"/>
      <c r="AB10973" s="260"/>
      <c r="AC10973" s="260"/>
      <c r="AD10973"/>
      <c r="AE10973"/>
      <c r="AF10973"/>
      <c r="AG10973"/>
      <c r="AH10973"/>
      <c r="AI10973"/>
      <c r="AJ10973"/>
      <c r="AK10973"/>
      <c r="AL10973"/>
      <c r="AM10973"/>
      <c r="AN10973"/>
    </row>
    <row r="10974" spans="1:40" s="47" customFormat="1" hidden="1">
      <c r="A10974" s="121"/>
      <c r="B10974" s="121"/>
      <c r="C10974" s="121"/>
      <c r="D10974" s="121"/>
      <c r="E10974" s="121"/>
      <c r="F10974" s="121"/>
      <c r="G10974" s="121"/>
      <c r="H10974" s="121"/>
      <c r="I10974" s="121"/>
      <c r="J10974" s="121"/>
      <c r="K10974" s="121"/>
      <c r="L10974" s="121"/>
      <c r="M10974" s="121"/>
      <c r="N10974" s="222"/>
      <c r="O10974" s="529"/>
      <c r="P10974" s="255"/>
      <c r="Q10974" s="321"/>
      <c r="R10974" s="260"/>
      <c r="S10974" s="260"/>
      <c r="T10974" s="260"/>
      <c r="U10974" s="260"/>
      <c r="V10974" s="260"/>
      <c r="W10974" s="260"/>
      <c r="X10974" s="260"/>
      <c r="Y10974" s="260"/>
      <c r="Z10974" s="260"/>
      <c r="AA10974" s="260"/>
      <c r="AB10974" s="260"/>
      <c r="AC10974" s="260"/>
      <c r="AD10974"/>
      <c r="AE10974"/>
      <c r="AF10974"/>
      <c r="AG10974"/>
      <c r="AH10974"/>
      <c r="AI10974"/>
      <c r="AJ10974"/>
      <c r="AK10974"/>
      <c r="AL10974"/>
      <c r="AM10974"/>
      <c r="AN10974"/>
    </row>
    <row r="10975" spans="1:40" s="47" customFormat="1">
      <c r="A10975" s="121"/>
      <c r="B10975" s="121"/>
      <c r="C10975" s="121"/>
      <c r="D10975" s="121"/>
      <c r="E10975" s="121"/>
      <c r="F10975" s="121"/>
      <c r="G10975" s="121"/>
      <c r="H10975" s="121"/>
      <c r="I10975" s="121"/>
      <c r="J10975" s="121"/>
      <c r="K10975" s="121"/>
      <c r="L10975" s="121"/>
      <c r="M10975" s="121"/>
      <c r="N10975" s="222" t="s">
        <v>2838</v>
      </c>
      <c r="O10975" s="533" t="s">
        <v>1843</v>
      </c>
      <c r="P10975" s="257"/>
      <c r="Q10975" s="321"/>
      <c r="R10975" s="260"/>
      <c r="S10975" s="260"/>
      <c r="T10975" s="260"/>
      <c r="U10975" s="260"/>
      <c r="V10975" s="262"/>
      <c r="W10975" s="548">
        <f>U10975+V10975</f>
        <v>0</v>
      </c>
      <c r="X10975" s="262"/>
      <c r="Y10975" s="260"/>
      <c r="Z10975" s="548">
        <f>X10975+Y10975</f>
        <v>0</v>
      </c>
      <c r="AA10975" s="262"/>
      <c r="AB10975" s="262"/>
      <c r="AC10975" s="548">
        <f>AA10975+AB10975</f>
        <v>0</v>
      </c>
      <c r="AD10975"/>
      <c r="AE10975"/>
      <c r="AF10975"/>
      <c r="AG10975"/>
      <c r="AH10975"/>
      <c r="AI10975"/>
      <c r="AJ10975"/>
      <c r="AK10975"/>
      <c r="AL10975"/>
      <c r="AM10975"/>
      <c r="AN10975"/>
    </row>
    <row r="10976" spans="1:40" s="47" customFormat="1" hidden="1">
      <c r="A10976" s="121"/>
      <c r="B10976" s="121"/>
      <c r="C10976" s="121"/>
      <c r="D10976" s="121"/>
      <c r="E10976" s="121"/>
      <c r="F10976" s="121"/>
      <c r="G10976" s="121"/>
      <c r="H10976" s="121"/>
      <c r="I10976" s="121"/>
      <c r="J10976" s="121"/>
      <c r="K10976" s="121"/>
      <c r="L10976" s="121"/>
      <c r="M10976" s="121"/>
      <c r="N10976" s="222"/>
      <c r="O10976" s="529"/>
      <c r="P10976" s="255"/>
      <c r="Q10976" s="321"/>
      <c r="R10976" s="260"/>
      <c r="S10976" s="260"/>
      <c r="T10976" s="260"/>
      <c r="U10976" s="260"/>
      <c r="V10976" s="260"/>
      <c r="W10976" s="260"/>
      <c r="X10976" s="260"/>
      <c r="Y10976" s="260"/>
      <c r="Z10976" s="260"/>
      <c r="AA10976" s="260"/>
      <c r="AB10976" s="260"/>
      <c r="AC10976" s="260"/>
      <c r="AD10976"/>
      <c r="AE10976"/>
      <c r="AF10976"/>
      <c r="AG10976"/>
      <c r="AH10976"/>
      <c r="AI10976"/>
      <c r="AJ10976"/>
      <c r="AK10976"/>
      <c r="AL10976"/>
      <c r="AM10976"/>
      <c r="AN10976"/>
    </row>
    <row r="10977" spans="1:40" s="47" customFormat="1" hidden="1">
      <c r="A10977" s="121"/>
      <c r="B10977" s="121"/>
      <c r="C10977" s="121"/>
      <c r="D10977" s="121"/>
      <c r="E10977" s="121"/>
      <c r="F10977" s="121"/>
      <c r="G10977" s="121"/>
      <c r="H10977" s="121"/>
      <c r="I10977" s="121"/>
      <c r="J10977" s="121"/>
      <c r="K10977" s="121"/>
      <c r="L10977" s="121"/>
      <c r="M10977" s="121"/>
      <c r="N10977" s="222"/>
      <c r="O10977" s="529"/>
      <c r="P10977" s="255"/>
      <c r="Q10977" s="321"/>
      <c r="R10977" s="260"/>
      <c r="S10977" s="260"/>
      <c r="T10977" s="260"/>
      <c r="U10977" s="260"/>
      <c r="V10977" s="260"/>
      <c r="W10977" s="260"/>
      <c r="X10977" s="260"/>
      <c r="Y10977" s="260"/>
      <c r="Z10977" s="260"/>
      <c r="AA10977" s="260"/>
      <c r="AB10977" s="260"/>
      <c r="AC10977" s="260"/>
      <c r="AD10977"/>
      <c r="AE10977"/>
      <c r="AF10977"/>
      <c r="AG10977"/>
      <c r="AH10977"/>
      <c r="AI10977"/>
      <c r="AJ10977"/>
      <c r="AK10977"/>
      <c r="AL10977"/>
      <c r="AM10977"/>
      <c r="AN10977"/>
    </row>
    <row r="10978" spans="1:40" s="47" customFormat="1">
      <c r="A10978" s="121"/>
      <c r="B10978" s="121"/>
      <c r="C10978" s="121"/>
      <c r="D10978" s="121"/>
      <c r="E10978" s="121"/>
      <c r="F10978" s="121"/>
      <c r="G10978" s="121"/>
      <c r="H10978" s="121"/>
      <c r="I10978" s="121"/>
      <c r="J10978" s="121"/>
      <c r="K10978" s="121"/>
      <c r="L10978" s="121"/>
      <c r="M10978" s="121"/>
      <c r="N10978" s="222" t="s">
        <v>2841</v>
      </c>
      <c r="O10978" s="533" t="s">
        <v>1849</v>
      </c>
      <c r="P10978" s="257"/>
      <c r="Q10978" s="321"/>
      <c r="R10978" s="260"/>
      <c r="S10978" s="260"/>
      <c r="T10978" s="260"/>
      <c r="U10978" s="260"/>
      <c r="V10978" s="262"/>
      <c r="W10978" s="548">
        <f>U10978+V10978</f>
        <v>0</v>
      </c>
      <c r="X10978" s="262"/>
      <c r="Y10978" s="260"/>
      <c r="Z10978" s="548">
        <f>X10978+Y10978</f>
        <v>0</v>
      </c>
      <c r="AA10978" s="262"/>
      <c r="AB10978" s="262"/>
      <c r="AC10978" s="548">
        <f>AA10978+AB10978</f>
        <v>0</v>
      </c>
      <c r="AD10978"/>
      <c r="AE10978"/>
      <c r="AF10978"/>
      <c r="AG10978"/>
      <c r="AH10978"/>
      <c r="AI10978"/>
      <c r="AJ10978"/>
      <c r="AK10978"/>
      <c r="AL10978"/>
      <c r="AM10978"/>
      <c r="AN10978"/>
    </row>
    <row r="10979" spans="1:40" s="47" customFormat="1" hidden="1">
      <c r="A10979" s="121"/>
      <c r="B10979" s="121"/>
      <c r="C10979" s="121"/>
      <c r="D10979" s="121"/>
      <c r="E10979" s="121"/>
      <c r="F10979" s="121"/>
      <c r="G10979" s="121"/>
      <c r="H10979" s="121"/>
      <c r="I10979" s="121"/>
      <c r="J10979" s="121"/>
      <c r="K10979" s="121"/>
      <c r="L10979" s="121"/>
      <c r="M10979" s="121"/>
      <c r="N10979" s="222"/>
      <c r="O10979" s="529"/>
      <c r="P10979" s="255"/>
      <c r="Q10979" s="321"/>
      <c r="R10979" s="260"/>
      <c r="S10979" s="260"/>
      <c r="T10979" s="260"/>
      <c r="U10979" s="260"/>
      <c r="V10979" s="260"/>
      <c r="W10979" s="260"/>
      <c r="X10979" s="260"/>
      <c r="Y10979" s="260"/>
      <c r="Z10979" s="260"/>
      <c r="AA10979" s="260"/>
      <c r="AB10979" s="260"/>
      <c r="AC10979" s="260"/>
      <c r="AD10979"/>
      <c r="AE10979"/>
      <c r="AF10979"/>
      <c r="AG10979"/>
      <c r="AH10979"/>
      <c r="AI10979"/>
      <c r="AJ10979"/>
      <c r="AK10979"/>
      <c r="AL10979"/>
      <c r="AM10979"/>
      <c r="AN10979"/>
    </row>
    <row r="10980" spans="1:40" s="47" customFormat="1" hidden="1">
      <c r="A10980" s="121"/>
      <c r="B10980" s="121"/>
      <c r="C10980" s="121"/>
      <c r="D10980" s="121"/>
      <c r="E10980" s="121"/>
      <c r="F10980" s="121"/>
      <c r="G10980" s="121"/>
      <c r="H10980" s="121"/>
      <c r="I10980" s="121"/>
      <c r="J10980" s="121"/>
      <c r="K10980" s="121"/>
      <c r="L10980" s="121"/>
      <c r="M10980" s="121"/>
      <c r="N10980" s="222"/>
      <c r="O10980" s="529"/>
      <c r="P10980" s="255"/>
      <c r="Q10980" s="321"/>
      <c r="R10980" s="260"/>
      <c r="S10980" s="260"/>
      <c r="T10980" s="260"/>
      <c r="U10980" s="260"/>
      <c r="V10980" s="260"/>
      <c r="W10980" s="260"/>
      <c r="X10980" s="260"/>
      <c r="Y10980" s="260"/>
      <c r="Z10980" s="260"/>
      <c r="AA10980" s="260"/>
      <c r="AB10980" s="260"/>
      <c r="AC10980" s="260"/>
      <c r="AD10980"/>
      <c r="AE10980"/>
      <c r="AF10980"/>
      <c r="AG10980"/>
      <c r="AH10980"/>
      <c r="AI10980"/>
      <c r="AJ10980"/>
      <c r="AK10980"/>
      <c r="AL10980"/>
      <c r="AM10980"/>
      <c r="AN10980"/>
    </row>
    <row r="10981" spans="1:40" s="47" customFormat="1" ht="22.5">
      <c r="A10981" s="121"/>
      <c r="B10981" s="121"/>
      <c r="C10981" s="121"/>
      <c r="D10981" s="121"/>
      <c r="E10981" s="121"/>
      <c r="F10981" s="121"/>
      <c r="G10981" s="121"/>
      <c r="H10981" s="121"/>
      <c r="I10981" s="121"/>
      <c r="J10981" s="121"/>
      <c r="K10981" s="121"/>
      <c r="L10981" s="121"/>
      <c r="M10981" s="121"/>
      <c r="N10981" s="222" t="s">
        <v>2844</v>
      </c>
      <c r="O10981" s="533" t="s">
        <v>1856</v>
      </c>
      <c r="P10981" s="257"/>
      <c r="Q10981" s="321"/>
      <c r="R10981" s="260"/>
      <c r="S10981" s="260"/>
      <c r="T10981" s="260"/>
      <c r="U10981" s="260"/>
      <c r="V10981" s="262"/>
      <c r="W10981" s="548">
        <f>U10981+V10981</f>
        <v>0</v>
      </c>
      <c r="X10981" s="262"/>
      <c r="Y10981" s="260"/>
      <c r="Z10981" s="548">
        <f>X10981+Y10981</f>
        <v>0</v>
      </c>
      <c r="AA10981" s="262"/>
      <c r="AB10981" s="262"/>
      <c r="AC10981" s="548">
        <f>AA10981+AB10981</f>
        <v>0</v>
      </c>
      <c r="AD10981"/>
      <c r="AE10981"/>
      <c r="AF10981"/>
      <c r="AG10981"/>
      <c r="AH10981"/>
      <c r="AI10981"/>
      <c r="AJ10981"/>
      <c r="AK10981"/>
      <c r="AL10981"/>
      <c r="AM10981"/>
      <c r="AN10981"/>
    </row>
    <row r="10982" spans="1:40" s="47" customFormat="1" hidden="1">
      <c r="A10982" s="121"/>
      <c r="B10982" s="121"/>
      <c r="C10982" s="121"/>
      <c r="D10982" s="121"/>
      <c r="E10982" s="121"/>
      <c r="F10982" s="121"/>
      <c r="G10982" s="121"/>
      <c r="H10982" s="121"/>
      <c r="I10982" s="121"/>
      <c r="J10982" s="121"/>
      <c r="K10982" s="121"/>
      <c r="L10982" s="121"/>
      <c r="M10982" s="121"/>
      <c r="N10982" s="222"/>
      <c r="O10982" s="529"/>
      <c r="P10982" s="255"/>
      <c r="Q10982" s="321"/>
      <c r="R10982" s="260"/>
      <c r="S10982" s="260"/>
      <c r="T10982" s="260"/>
      <c r="U10982" s="260"/>
      <c r="V10982" s="260"/>
      <c r="W10982" s="260"/>
      <c r="X10982" s="260"/>
      <c r="Y10982" s="260"/>
      <c r="Z10982" s="260"/>
      <c r="AA10982" s="260"/>
      <c r="AB10982" s="260"/>
      <c r="AC10982" s="260"/>
      <c r="AD10982"/>
      <c r="AE10982"/>
      <c r="AF10982"/>
      <c r="AG10982"/>
      <c r="AH10982"/>
      <c r="AI10982"/>
      <c r="AJ10982"/>
      <c r="AK10982"/>
      <c r="AL10982"/>
      <c r="AM10982"/>
      <c r="AN10982"/>
    </row>
    <row r="10983" spans="1:40" s="47" customFormat="1" hidden="1">
      <c r="A10983" s="121"/>
      <c r="B10983" s="121"/>
      <c r="C10983" s="121"/>
      <c r="D10983" s="121"/>
      <c r="E10983" s="121"/>
      <c r="F10983" s="121"/>
      <c r="G10983" s="121"/>
      <c r="H10983" s="121"/>
      <c r="I10983" s="121"/>
      <c r="J10983" s="121"/>
      <c r="K10983" s="121"/>
      <c r="L10983" s="121"/>
      <c r="M10983" s="121"/>
      <c r="N10983" s="222"/>
      <c r="O10983" s="529"/>
      <c r="P10983" s="255"/>
      <c r="Q10983" s="321"/>
      <c r="R10983" s="260"/>
      <c r="S10983" s="260"/>
      <c r="T10983" s="260"/>
      <c r="U10983" s="260"/>
      <c r="V10983" s="260"/>
      <c r="W10983" s="260"/>
      <c r="X10983" s="260"/>
      <c r="Y10983" s="260"/>
      <c r="Z10983" s="260"/>
      <c r="AA10983" s="260"/>
      <c r="AB10983" s="260"/>
      <c r="AC10983" s="260"/>
      <c r="AD10983"/>
      <c r="AE10983"/>
      <c r="AF10983"/>
      <c r="AG10983"/>
      <c r="AH10983"/>
      <c r="AI10983"/>
      <c r="AJ10983"/>
      <c r="AK10983"/>
      <c r="AL10983"/>
      <c r="AM10983"/>
      <c r="AN10983"/>
    </row>
    <row r="10984" spans="1:40" s="47" customFormat="1">
      <c r="A10984" s="121"/>
      <c r="B10984" s="121"/>
      <c r="C10984" s="121"/>
      <c r="D10984" s="121"/>
      <c r="E10984" s="121"/>
      <c r="F10984" s="121"/>
      <c r="G10984" s="121"/>
      <c r="H10984" s="121"/>
      <c r="I10984" s="121"/>
      <c r="J10984" s="121"/>
      <c r="K10984" s="121"/>
      <c r="L10984" s="121"/>
      <c r="M10984" s="121"/>
      <c r="N10984" s="504" t="s">
        <v>2847</v>
      </c>
      <c r="O10984" s="535" t="s">
        <v>2848</v>
      </c>
      <c r="P10984" s="257"/>
      <c r="Q10984" s="321"/>
      <c r="R10984" s="260"/>
      <c r="S10984" s="260"/>
      <c r="T10984" s="260"/>
      <c r="U10984" s="260"/>
      <c r="V10984" s="262"/>
      <c r="W10984" s="548">
        <f t="shared" ref="W10984:W10990" si="66">U10984+V10984</f>
        <v>0</v>
      </c>
      <c r="X10984" s="262"/>
      <c r="Y10984" s="260"/>
      <c r="Z10984" s="548">
        <f t="shared" ref="Z10984:Z10990" si="67">X10984+Y10984</f>
        <v>0</v>
      </c>
      <c r="AA10984" s="262"/>
      <c r="AB10984" s="262"/>
      <c r="AC10984" s="548">
        <f t="shared" ref="AC10984:AC10990" si="68">AA10984+AB10984</f>
        <v>0</v>
      </c>
      <c r="AD10984"/>
      <c r="AE10984"/>
      <c r="AF10984"/>
      <c r="AG10984"/>
      <c r="AH10984"/>
      <c r="AI10984"/>
      <c r="AJ10984"/>
      <c r="AK10984"/>
      <c r="AL10984"/>
      <c r="AM10984"/>
      <c r="AN10984"/>
    </row>
    <row r="10985" spans="1:40" s="47" customFormat="1" ht="22.5">
      <c r="A10985" s="121"/>
      <c r="B10985" s="121"/>
      <c r="C10985" s="121"/>
      <c r="D10985" s="121"/>
      <c r="E10985" s="121"/>
      <c r="F10985" s="121"/>
      <c r="G10985" s="121"/>
      <c r="H10985" s="121"/>
      <c r="I10985" s="121"/>
      <c r="J10985" s="121"/>
      <c r="K10985" s="121"/>
      <c r="L10985" s="121"/>
      <c r="M10985" s="121"/>
      <c r="N10985" s="504" t="s">
        <v>2849</v>
      </c>
      <c r="O10985" s="533" t="s">
        <v>2415</v>
      </c>
      <c r="P10985" s="257"/>
      <c r="Q10985" s="321"/>
      <c r="R10985" s="260"/>
      <c r="S10985" s="260"/>
      <c r="T10985" s="260"/>
      <c r="U10985" s="260"/>
      <c r="V10985" s="262"/>
      <c r="W10985" s="548">
        <f t="shared" si="66"/>
        <v>0</v>
      </c>
      <c r="X10985" s="262"/>
      <c r="Y10985" s="260"/>
      <c r="Z10985" s="548">
        <f t="shared" si="67"/>
        <v>0</v>
      </c>
      <c r="AA10985" s="262"/>
      <c r="AB10985" s="262"/>
      <c r="AC10985" s="548">
        <f t="shared" si="68"/>
        <v>0</v>
      </c>
      <c r="AD10985"/>
      <c r="AE10985"/>
      <c r="AF10985"/>
      <c r="AG10985"/>
      <c r="AH10985"/>
      <c r="AI10985"/>
      <c r="AJ10985"/>
      <c r="AK10985"/>
      <c r="AL10985"/>
      <c r="AM10985"/>
      <c r="AN10985"/>
    </row>
    <row r="10986" spans="1:40" s="47" customFormat="1" ht="22.5">
      <c r="A10986" s="121"/>
      <c r="B10986" s="121"/>
      <c r="C10986" s="121"/>
      <c r="D10986" s="121"/>
      <c r="E10986" s="121"/>
      <c r="F10986" s="121"/>
      <c r="G10986" s="121"/>
      <c r="H10986" s="121"/>
      <c r="I10986" s="121"/>
      <c r="J10986" s="121"/>
      <c r="K10986" s="121"/>
      <c r="L10986" s="121"/>
      <c r="M10986" s="121"/>
      <c r="N10986" s="504" t="s">
        <v>2850</v>
      </c>
      <c r="O10986" s="533" t="s">
        <v>2417</v>
      </c>
      <c r="P10986" s="257"/>
      <c r="Q10986" s="321"/>
      <c r="R10986" s="260"/>
      <c r="S10986" s="260"/>
      <c r="T10986" s="260"/>
      <c r="U10986" s="260"/>
      <c r="V10986" s="262"/>
      <c r="W10986" s="548">
        <f t="shared" si="66"/>
        <v>0</v>
      </c>
      <c r="X10986" s="262"/>
      <c r="Y10986" s="260"/>
      <c r="Z10986" s="548">
        <f t="shared" si="67"/>
        <v>0</v>
      </c>
      <c r="AA10986" s="262"/>
      <c r="AB10986" s="262"/>
      <c r="AC10986" s="548">
        <f t="shared" si="68"/>
        <v>0</v>
      </c>
      <c r="AD10986"/>
      <c r="AE10986"/>
      <c r="AF10986"/>
      <c r="AG10986"/>
      <c r="AH10986"/>
      <c r="AI10986"/>
      <c r="AJ10986"/>
      <c r="AK10986"/>
      <c r="AL10986"/>
      <c r="AM10986"/>
      <c r="AN10986"/>
    </row>
    <row r="10987" spans="1:40" s="47" customFormat="1">
      <c r="A10987" s="121"/>
      <c r="B10987" s="121"/>
      <c r="C10987" s="121"/>
      <c r="D10987" s="121"/>
      <c r="E10987" s="121"/>
      <c r="F10987" s="121"/>
      <c r="G10987" s="121"/>
      <c r="H10987" s="121"/>
      <c r="I10987" s="121"/>
      <c r="J10987" s="121"/>
      <c r="K10987" s="121"/>
      <c r="L10987" s="121"/>
      <c r="M10987" s="121"/>
      <c r="N10987" s="504" t="s">
        <v>2316</v>
      </c>
      <c r="O10987" s="533" t="s">
        <v>2420</v>
      </c>
      <c r="P10987" s="257"/>
      <c r="Q10987" s="321"/>
      <c r="R10987" s="260"/>
      <c r="S10987" s="260"/>
      <c r="T10987" s="260"/>
      <c r="U10987" s="260"/>
      <c r="V10987" s="262"/>
      <c r="W10987" s="548">
        <f t="shared" si="66"/>
        <v>0</v>
      </c>
      <c r="X10987" s="262"/>
      <c r="Y10987" s="260"/>
      <c r="Z10987" s="548">
        <f t="shared" si="67"/>
        <v>0</v>
      </c>
      <c r="AA10987" s="262"/>
      <c r="AB10987" s="262"/>
      <c r="AC10987" s="548">
        <f t="shared" si="68"/>
        <v>0</v>
      </c>
      <c r="AD10987"/>
      <c r="AE10987"/>
      <c r="AF10987"/>
      <c r="AG10987"/>
      <c r="AH10987"/>
      <c r="AI10987"/>
      <c r="AJ10987"/>
      <c r="AK10987"/>
      <c r="AL10987"/>
      <c r="AM10987"/>
      <c r="AN10987"/>
    </row>
    <row r="10988" spans="1:40" s="47" customFormat="1">
      <c r="A10988" s="121"/>
      <c r="B10988" s="121"/>
      <c r="C10988" s="121"/>
      <c r="D10988" s="121"/>
      <c r="E10988" s="121"/>
      <c r="F10988" s="121"/>
      <c r="G10988" s="121"/>
      <c r="H10988" s="121"/>
      <c r="I10988" s="121"/>
      <c r="J10988" s="121"/>
      <c r="K10988" s="121"/>
      <c r="L10988" s="121"/>
      <c r="M10988" s="121"/>
      <c r="N10988" s="504" t="s">
        <v>2317</v>
      </c>
      <c r="O10988" s="533" t="s">
        <v>2423</v>
      </c>
      <c r="P10988" s="257"/>
      <c r="Q10988" s="321"/>
      <c r="R10988" s="260"/>
      <c r="S10988" s="260"/>
      <c r="T10988" s="260"/>
      <c r="U10988" s="260"/>
      <c r="V10988" s="262"/>
      <c r="W10988" s="548">
        <f t="shared" si="66"/>
        <v>0</v>
      </c>
      <c r="X10988" s="262"/>
      <c r="Y10988" s="260"/>
      <c r="Z10988" s="548">
        <f t="shared" si="67"/>
        <v>0</v>
      </c>
      <c r="AA10988" s="262"/>
      <c r="AB10988" s="262"/>
      <c r="AC10988" s="548">
        <f t="shared" si="68"/>
        <v>0</v>
      </c>
      <c r="AD10988"/>
      <c r="AE10988"/>
      <c r="AF10988"/>
      <c r="AG10988"/>
      <c r="AH10988"/>
      <c r="AI10988"/>
      <c r="AJ10988"/>
      <c r="AK10988"/>
      <c r="AL10988"/>
      <c r="AM10988"/>
      <c r="AN10988"/>
    </row>
    <row r="10989" spans="1:40" s="47" customFormat="1">
      <c r="A10989" s="121"/>
      <c r="B10989" s="121"/>
      <c r="C10989" s="121"/>
      <c r="D10989" s="121"/>
      <c r="E10989" s="121"/>
      <c r="F10989" s="121"/>
      <c r="G10989" s="121"/>
      <c r="H10989" s="121"/>
      <c r="I10989" s="121"/>
      <c r="J10989" s="121"/>
      <c r="K10989" s="121"/>
      <c r="L10989" s="121"/>
      <c r="M10989" s="121"/>
      <c r="N10989" s="504" t="s">
        <v>2318</v>
      </c>
      <c r="O10989" s="533" t="s">
        <v>2426</v>
      </c>
      <c r="P10989" s="257"/>
      <c r="Q10989" s="321"/>
      <c r="R10989" s="260"/>
      <c r="S10989" s="260"/>
      <c r="T10989" s="260"/>
      <c r="U10989" s="260"/>
      <c r="V10989" s="262"/>
      <c r="W10989" s="548">
        <f t="shared" si="66"/>
        <v>0</v>
      </c>
      <c r="X10989" s="262"/>
      <c r="Y10989" s="260"/>
      <c r="Z10989" s="548">
        <f t="shared" si="67"/>
        <v>0</v>
      </c>
      <c r="AA10989" s="262"/>
      <c r="AB10989" s="262"/>
      <c r="AC10989" s="548">
        <f t="shared" si="68"/>
        <v>0</v>
      </c>
      <c r="AD10989"/>
      <c r="AE10989"/>
      <c r="AF10989"/>
      <c r="AG10989"/>
      <c r="AH10989"/>
      <c r="AI10989"/>
      <c r="AJ10989"/>
      <c r="AK10989"/>
      <c r="AL10989"/>
      <c r="AM10989"/>
      <c r="AN10989"/>
    </row>
    <row r="10990" spans="1:40" s="47" customFormat="1">
      <c r="A10990" s="121"/>
      <c r="B10990" s="121"/>
      <c r="C10990" s="121"/>
      <c r="D10990" s="121"/>
      <c r="E10990" s="121"/>
      <c r="F10990" s="121"/>
      <c r="G10990" s="121"/>
      <c r="H10990" s="121"/>
      <c r="I10990" s="121"/>
      <c r="J10990" s="121"/>
      <c r="K10990" s="121"/>
      <c r="L10990" s="121"/>
      <c r="M10990" s="121"/>
      <c r="N10990" s="560" t="str">
        <f>IF(TEMPLATE_SPHERE="водоснабжения","2.9","")</f>
        <v/>
      </c>
      <c r="O10990" s="561" t="str">
        <f>IF(TEMPLATE_SPHERE="водоснабжения","Покупная вода","")</f>
        <v/>
      </c>
      <c r="P10990" s="257"/>
      <c r="Q10990" s="321"/>
      <c r="R10990" s="260"/>
      <c r="S10990" s="260"/>
      <c r="T10990" s="260"/>
      <c r="U10990" s="260"/>
      <c r="V10990" s="262"/>
      <c r="W10990" s="548">
        <f t="shared" si="66"/>
        <v>0</v>
      </c>
      <c r="X10990" s="262"/>
      <c r="Y10990" s="260"/>
      <c r="Z10990" s="548">
        <f t="shared" si="67"/>
        <v>0</v>
      </c>
      <c r="AA10990" s="262"/>
      <c r="AB10990" s="262"/>
      <c r="AC10990" s="548">
        <f t="shared" si="68"/>
        <v>0</v>
      </c>
      <c r="AD10990"/>
      <c r="AE10990"/>
      <c r="AF10990"/>
      <c r="AG10990"/>
      <c r="AH10990"/>
      <c r="AI10990"/>
      <c r="AJ10990"/>
      <c r="AK10990"/>
      <c r="AL10990"/>
      <c r="AM10990"/>
      <c r="AN10990"/>
    </row>
    <row r="10991" spans="1:40" s="47" customFormat="1" hidden="1">
      <c r="A10991" s="121"/>
      <c r="B10991" s="121"/>
      <c r="C10991" s="121"/>
      <c r="D10991" s="121"/>
      <c r="E10991" s="121"/>
      <c r="F10991" s="121"/>
      <c r="G10991" s="121"/>
      <c r="H10991" s="121"/>
      <c r="I10991" s="121"/>
      <c r="J10991" s="121"/>
      <c r="K10991" s="121"/>
      <c r="L10991" s="121"/>
      <c r="M10991" s="121"/>
      <c r="N10991" s="222"/>
      <c r="O10991" s="529"/>
      <c r="P10991" s="255"/>
      <c r="Q10991" s="321"/>
      <c r="R10991" s="260"/>
      <c r="S10991" s="260"/>
      <c r="T10991" s="260"/>
      <c r="U10991" s="260"/>
      <c r="V10991" s="260"/>
      <c r="W10991" s="260"/>
      <c r="X10991" s="260"/>
      <c r="Y10991" s="260"/>
      <c r="Z10991" s="260"/>
      <c r="AA10991" s="260"/>
      <c r="AB10991" s="260"/>
      <c r="AC10991" s="260"/>
      <c r="AD10991"/>
      <c r="AE10991"/>
      <c r="AF10991"/>
      <c r="AG10991"/>
      <c r="AH10991"/>
      <c r="AI10991"/>
      <c r="AJ10991"/>
      <c r="AK10991"/>
      <c r="AL10991"/>
      <c r="AM10991"/>
      <c r="AN10991"/>
    </row>
    <row r="10992" spans="1:40" s="47" customFormat="1" hidden="1">
      <c r="A10992" s="121"/>
      <c r="B10992" s="121"/>
      <c r="C10992" s="121"/>
      <c r="D10992" s="121"/>
      <c r="E10992" s="121"/>
      <c r="F10992" s="121"/>
      <c r="G10992" s="121"/>
      <c r="H10992" s="121"/>
      <c r="I10992" s="121"/>
      <c r="J10992" s="121"/>
      <c r="K10992" s="121"/>
      <c r="L10992" s="121"/>
      <c r="M10992" s="121"/>
      <c r="N10992" s="222"/>
      <c r="O10992" s="529"/>
      <c r="P10992" s="255"/>
      <c r="Q10992" s="321"/>
      <c r="R10992" s="260"/>
      <c r="S10992" s="260"/>
      <c r="T10992" s="260"/>
      <c r="U10992" s="260"/>
      <c r="V10992" s="260"/>
      <c r="W10992" s="260"/>
      <c r="X10992" s="260"/>
      <c r="Y10992" s="260"/>
      <c r="Z10992" s="260"/>
      <c r="AA10992" s="260"/>
      <c r="AB10992" s="260"/>
      <c r="AC10992" s="260"/>
      <c r="AD10992"/>
      <c r="AE10992"/>
      <c r="AF10992"/>
      <c r="AG10992"/>
      <c r="AH10992"/>
      <c r="AI10992"/>
      <c r="AJ10992"/>
      <c r="AK10992"/>
      <c r="AL10992"/>
      <c r="AM10992"/>
      <c r="AN10992"/>
    </row>
    <row r="10993" spans="1:40" s="47" customFormat="1" hidden="1">
      <c r="A10993" s="121"/>
      <c r="B10993" s="121"/>
      <c r="C10993" s="121"/>
      <c r="D10993" s="121"/>
      <c r="E10993" s="121"/>
      <c r="F10993" s="121"/>
      <c r="G10993" s="121"/>
      <c r="H10993" s="121"/>
      <c r="I10993" s="121"/>
      <c r="J10993" s="121"/>
      <c r="K10993" s="121"/>
      <c r="L10993" s="121"/>
      <c r="M10993" s="121"/>
      <c r="N10993" s="222"/>
      <c r="O10993" s="529"/>
      <c r="P10993" s="255"/>
      <c r="Q10993" s="321"/>
      <c r="R10993" s="260"/>
      <c r="S10993" s="260"/>
      <c r="T10993" s="260"/>
      <c r="U10993" s="260"/>
      <c r="V10993" s="260"/>
      <c r="W10993" s="260"/>
      <c r="X10993" s="260"/>
      <c r="Y10993" s="260"/>
      <c r="Z10993" s="260"/>
      <c r="AA10993" s="260"/>
      <c r="AB10993" s="260"/>
      <c r="AC10993" s="260"/>
      <c r="AD10993"/>
      <c r="AE10993"/>
      <c r="AF10993"/>
      <c r="AG10993"/>
      <c r="AH10993"/>
      <c r="AI10993"/>
      <c r="AJ10993"/>
      <c r="AK10993"/>
      <c r="AL10993"/>
      <c r="AM10993"/>
      <c r="AN10993"/>
    </row>
    <row r="10994" spans="1:40" s="47" customFormat="1" ht="22.5">
      <c r="A10994" s="121"/>
      <c r="B10994" s="121"/>
      <c r="C10994" s="121"/>
      <c r="D10994" s="121"/>
      <c r="E10994" s="121"/>
      <c r="F10994" s="121"/>
      <c r="G10994" s="121"/>
      <c r="H10994" s="121"/>
      <c r="I10994" s="121"/>
      <c r="J10994" s="121"/>
      <c r="K10994" s="121"/>
      <c r="L10994" s="121"/>
      <c r="M10994" s="121"/>
      <c r="N10994" s="504" t="s">
        <v>2323</v>
      </c>
      <c r="O10994"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P10994" s="257"/>
      <c r="Q10994" s="321"/>
      <c r="R10994" s="260"/>
      <c r="S10994" s="260"/>
      <c r="T10994" s="260"/>
      <c r="U10994" s="260"/>
      <c r="V10994" s="262"/>
      <c r="W10994" s="548">
        <f t="shared" ref="W10994:W11028" si="69">U10994+V10994</f>
        <v>0</v>
      </c>
      <c r="X10994" s="262"/>
      <c r="Y10994" s="260"/>
      <c r="Z10994" s="548">
        <f t="shared" ref="Z10994:Z11036" si="70">X10994+Y10994</f>
        <v>0</v>
      </c>
      <c r="AA10994" s="262"/>
      <c r="AB10994" s="262"/>
      <c r="AC10994" s="548">
        <f t="shared" ref="AC10994:AC11036" si="71">AA10994+AB10994</f>
        <v>0</v>
      </c>
      <c r="AD10994"/>
      <c r="AE10994"/>
      <c r="AF10994"/>
      <c r="AG10994"/>
      <c r="AH10994"/>
      <c r="AI10994"/>
      <c r="AJ10994"/>
      <c r="AK10994"/>
      <c r="AL10994"/>
      <c r="AM10994"/>
      <c r="AN10994"/>
    </row>
    <row r="10995" spans="1:40" s="47" customFormat="1" ht="22.5">
      <c r="A10995" s="121"/>
      <c r="B10995" s="121"/>
      <c r="C10995" s="121"/>
      <c r="D10995" s="121"/>
      <c r="E10995" s="121"/>
      <c r="F10995" s="121"/>
      <c r="G10995" s="121"/>
      <c r="H10995" s="121"/>
      <c r="I10995" s="121"/>
      <c r="J10995" s="121"/>
      <c r="K10995" s="121"/>
      <c r="L10995" s="121"/>
      <c r="M10995" s="121"/>
      <c r="N10995" s="504" t="s">
        <v>2324</v>
      </c>
      <c r="O10995"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P10995" s="257"/>
      <c r="Q10995" s="321"/>
      <c r="R10995" s="260"/>
      <c r="S10995" s="260"/>
      <c r="T10995" s="260"/>
      <c r="U10995" s="260"/>
      <c r="V10995" s="262"/>
      <c r="W10995" s="548">
        <f t="shared" si="69"/>
        <v>0</v>
      </c>
      <c r="X10995" s="262"/>
      <c r="Y10995" s="260"/>
      <c r="Z10995" s="548">
        <f t="shared" si="70"/>
        <v>0</v>
      </c>
      <c r="AA10995" s="262"/>
      <c r="AB10995" s="262"/>
      <c r="AC10995" s="548">
        <f t="shared" si="71"/>
        <v>0</v>
      </c>
      <c r="AD10995"/>
      <c r="AE10995"/>
      <c r="AF10995"/>
      <c r="AG10995"/>
      <c r="AH10995"/>
      <c r="AI10995"/>
      <c r="AJ10995"/>
      <c r="AK10995"/>
      <c r="AL10995"/>
      <c r="AM10995"/>
      <c r="AN10995"/>
    </row>
    <row r="10996" spans="1:40" s="47" customFormat="1">
      <c r="A10996" s="121"/>
      <c r="B10996" s="121"/>
      <c r="C10996" s="121"/>
      <c r="D10996" s="121"/>
      <c r="E10996" s="121"/>
      <c r="F10996" s="121"/>
      <c r="G10996" s="121"/>
      <c r="H10996" s="121"/>
      <c r="I10996" s="121"/>
      <c r="J10996" s="121"/>
      <c r="K10996" s="121"/>
      <c r="L10996" s="121"/>
      <c r="M10996" s="121"/>
      <c r="N10996" s="504" t="s">
        <v>2325</v>
      </c>
      <c r="O10996"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P10996" s="257"/>
      <c r="Q10996" s="321"/>
      <c r="R10996" s="260"/>
      <c r="S10996" s="260"/>
      <c r="T10996" s="260"/>
      <c r="U10996" s="260"/>
      <c r="V10996" s="262"/>
      <c r="W10996" s="548">
        <f t="shared" si="69"/>
        <v>0</v>
      </c>
      <c r="X10996" s="262"/>
      <c r="Y10996" s="260"/>
      <c r="Z10996" s="548">
        <f t="shared" si="70"/>
        <v>0</v>
      </c>
      <c r="AA10996" s="262"/>
      <c r="AB10996" s="262"/>
      <c r="AC10996" s="548">
        <f t="shared" si="71"/>
        <v>0</v>
      </c>
      <c r="AD10996"/>
      <c r="AE10996"/>
      <c r="AF10996"/>
      <c r="AG10996"/>
      <c r="AH10996"/>
      <c r="AI10996"/>
      <c r="AJ10996"/>
      <c r="AK10996"/>
      <c r="AL10996"/>
      <c r="AM10996"/>
      <c r="AN10996"/>
    </row>
    <row r="10997" spans="1:40" s="47" customFormat="1">
      <c r="A10997" s="121"/>
      <c r="B10997" s="121"/>
      <c r="C10997" s="121"/>
      <c r="D10997" s="121"/>
      <c r="E10997" s="121"/>
      <c r="F10997" s="121"/>
      <c r="G10997" s="121"/>
      <c r="H10997" s="121"/>
      <c r="I10997" s="121"/>
      <c r="J10997" s="121"/>
      <c r="K10997" s="121"/>
      <c r="L10997" s="121"/>
      <c r="M10997" s="121"/>
      <c r="N10997" s="504" t="s">
        <v>2326</v>
      </c>
      <c r="O10997" s="527" t="s">
        <v>2327</v>
      </c>
      <c r="P10997" s="257"/>
      <c r="Q10997" s="321"/>
      <c r="R10997" s="260"/>
      <c r="S10997" s="260"/>
      <c r="T10997" s="260"/>
      <c r="U10997" s="260"/>
      <c r="V10997" s="262"/>
      <c r="W10997" s="548">
        <f t="shared" si="69"/>
        <v>0</v>
      </c>
      <c r="X10997" s="262"/>
      <c r="Y10997" s="260"/>
      <c r="Z10997" s="548">
        <f t="shared" si="70"/>
        <v>0</v>
      </c>
      <c r="AA10997" s="262"/>
      <c r="AB10997" s="262"/>
      <c r="AC10997" s="548">
        <f t="shared" si="71"/>
        <v>0</v>
      </c>
      <c r="AD10997"/>
      <c r="AE10997"/>
      <c r="AF10997"/>
      <c r="AG10997"/>
      <c r="AH10997"/>
      <c r="AI10997"/>
      <c r="AJ10997"/>
      <c r="AK10997"/>
      <c r="AL10997"/>
      <c r="AM10997"/>
      <c r="AN10997"/>
    </row>
    <row r="10998" spans="1:40" s="47" customFormat="1">
      <c r="A10998" s="121"/>
      <c r="B10998" s="121"/>
      <c r="C10998" s="121"/>
      <c r="D10998" s="121"/>
      <c r="E10998" s="121"/>
      <c r="F10998" s="121"/>
      <c r="G10998" s="121"/>
      <c r="H10998" s="121"/>
      <c r="I10998" s="121"/>
      <c r="J10998" s="121"/>
      <c r="K10998" s="121"/>
      <c r="L10998" s="121"/>
      <c r="M10998" s="121"/>
      <c r="N10998" s="504" t="s">
        <v>2328</v>
      </c>
      <c r="O10998" s="528" t="s">
        <v>2329</v>
      </c>
      <c r="P10998" s="257"/>
      <c r="Q10998" s="321"/>
      <c r="R10998" s="260"/>
      <c r="S10998" s="260"/>
      <c r="T10998" s="260"/>
      <c r="U10998" s="260"/>
      <c r="V10998" s="262"/>
      <c r="W10998" s="548">
        <f t="shared" si="69"/>
        <v>0</v>
      </c>
      <c r="X10998" s="262"/>
      <c r="Y10998" s="260"/>
      <c r="Z10998" s="548">
        <f t="shared" si="70"/>
        <v>0</v>
      </c>
      <c r="AA10998" s="262"/>
      <c r="AB10998" s="262"/>
      <c r="AC10998" s="548">
        <f t="shared" si="71"/>
        <v>0</v>
      </c>
      <c r="AD10998"/>
      <c r="AE10998"/>
      <c r="AF10998"/>
      <c r="AG10998"/>
      <c r="AH10998"/>
      <c r="AI10998"/>
      <c r="AJ10998"/>
      <c r="AK10998"/>
      <c r="AL10998"/>
      <c r="AM10998"/>
      <c r="AN10998"/>
    </row>
    <row r="10999" spans="1:40" s="47" customFormat="1">
      <c r="A10999" s="121"/>
      <c r="B10999" s="121"/>
      <c r="C10999" s="121"/>
      <c r="D10999" s="121"/>
      <c r="E10999" s="121"/>
      <c r="F10999" s="121"/>
      <c r="G10999" s="121"/>
      <c r="H10999" s="121"/>
      <c r="I10999" s="121"/>
      <c r="J10999" s="121"/>
      <c r="K10999" s="121"/>
      <c r="L10999" s="121"/>
      <c r="M10999" s="121"/>
      <c r="N10999" s="504" t="s">
        <v>2330</v>
      </c>
      <c r="O10999" s="528" t="s">
        <v>2331</v>
      </c>
      <c r="P10999" s="257"/>
      <c r="Q10999" s="321"/>
      <c r="R10999" s="260"/>
      <c r="S10999" s="260"/>
      <c r="T10999" s="260"/>
      <c r="U10999" s="260"/>
      <c r="V10999" s="262"/>
      <c r="W10999" s="548">
        <f t="shared" si="69"/>
        <v>0</v>
      </c>
      <c r="X10999" s="262"/>
      <c r="Y10999" s="260"/>
      <c r="Z10999" s="548">
        <f t="shared" si="70"/>
        <v>0</v>
      </c>
      <c r="AA10999" s="262"/>
      <c r="AB10999" s="262"/>
      <c r="AC10999" s="548">
        <f t="shared" si="71"/>
        <v>0</v>
      </c>
      <c r="AD10999"/>
      <c r="AE10999"/>
      <c r="AF10999"/>
      <c r="AG10999"/>
      <c r="AH10999"/>
      <c r="AI10999"/>
      <c r="AJ10999"/>
      <c r="AK10999"/>
      <c r="AL10999"/>
      <c r="AM10999"/>
      <c r="AN10999"/>
    </row>
    <row r="11000" spans="1:40" s="47" customFormat="1">
      <c r="A11000" s="121"/>
      <c r="B11000" s="121"/>
      <c r="C11000" s="121"/>
      <c r="D11000" s="121"/>
      <c r="E11000" s="121"/>
      <c r="F11000" s="121"/>
      <c r="G11000" s="121"/>
      <c r="H11000" s="121"/>
      <c r="I11000" s="121"/>
      <c r="J11000" s="121"/>
      <c r="K11000" s="121"/>
      <c r="L11000" s="121"/>
      <c r="M11000" s="121"/>
      <c r="N11000" s="504" t="s">
        <v>2332</v>
      </c>
      <c r="O11000" s="527" t="s">
        <v>2333</v>
      </c>
      <c r="P11000" s="257"/>
      <c r="Q11000" s="321"/>
      <c r="R11000" s="260"/>
      <c r="S11000" s="260"/>
      <c r="T11000" s="260"/>
      <c r="U11000" s="260"/>
      <c r="V11000" s="262"/>
      <c r="W11000" s="548">
        <f t="shared" si="69"/>
        <v>0</v>
      </c>
      <c r="X11000" s="262"/>
      <c r="Y11000" s="260"/>
      <c r="Z11000" s="548">
        <f t="shared" si="70"/>
        <v>0</v>
      </c>
      <c r="AA11000" s="262"/>
      <c r="AB11000" s="262"/>
      <c r="AC11000" s="548">
        <f t="shared" si="71"/>
        <v>0</v>
      </c>
      <c r="AD11000"/>
      <c r="AE11000"/>
      <c r="AF11000"/>
      <c r="AG11000"/>
      <c r="AH11000"/>
      <c r="AI11000"/>
      <c r="AJ11000"/>
      <c r="AK11000"/>
      <c r="AL11000"/>
      <c r="AM11000"/>
      <c r="AN11000"/>
    </row>
    <row r="11001" spans="1:40" s="47" customFormat="1">
      <c r="A11001" s="121"/>
      <c r="B11001" s="121"/>
      <c r="C11001" s="121"/>
      <c r="D11001" s="121"/>
      <c r="E11001" s="121"/>
      <c r="F11001" s="121"/>
      <c r="G11001" s="121"/>
      <c r="H11001" s="121"/>
      <c r="I11001" s="121"/>
      <c r="J11001" s="121"/>
      <c r="K11001" s="121"/>
      <c r="L11001" s="121"/>
      <c r="M11001" s="121"/>
      <c r="N11001" s="504" t="s">
        <v>2334</v>
      </c>
      <c r="O11001" s="527" t="s">
        <v>2335</v>
      </c>
      <c r="P11001" s="257"/>
      <c r="Q11001" s="321"/>
      <c r="R11001" s="260"/>
      <c r="S11001" s="260"/>
      <c r="T11001" s="260"/>
      <c r="U11001" s="260"/>
      <c r="V11001" s="262"/>
      <c r="W11001" s="548">
        <f t="shared" si="69"/>
        <v>0</v>
      </c>
      <c r="X11001" s="262"/>
      <c r="Y11001" s="260"/>
      <c r="Z11001" s="548">
        <f t="shared" si="70"/>
        <v>0</v>
      </c>
      <c r="AA11001" s="262"/>
      <c r="AB11001" s="262"/>
      <c r="AC11001" s="548">
        <f t="shared" si="71"/>
        <v>0</v>
      </c>
      <c r="AD11001"/>
      <c r="AE11001"/>
      <c r="AF11001"/>
      <c r="AG11001"/>
      <c r="AH11001"/>
      <c r="AI11001"/>
      <c r="AJ11001"/>
      <c r="AK11001"/>
      <c r="AL11001"/>
      <c r="AM11001"/>
      <c r="AN11001"/>
    </row>
    <row r="11002" spans="1:40" s="47" customFormat="1" ht="22.5">
      <c r="A11002" s="121"/>
      <c r="B11002" s="121"/>
      <c r="C11002" s="121"/>
      <c r="D11002" s="121"/>
      <c r="E11002" s="121"/>
      <c r="F11002" s="121"/>
      <c r="G11002" s="121"/>
      <c r="H11002" s="121"/>
      <c r="I11002" s="121"/>
      <c r="J11002" s="121"/>
      <c r="K11002" s="121"/>
      <c r="L11002" s="121"/>
      <c r="M11002" s="121"/>
      <c r="N11002" s="504" t="s">
        <v>2336</v>
      </c>
      <c r="O11002" s="527" t="s">
        <v>2337</v>
      </c>
      <c r="P11002" s="257"/>
      <c r="Q11002" s="321"/>
      <c r="R11002" s="260"/>
      <c r="S11002" s="260"/>
      <c r="T11002" s="260"/>
      <c r="U11002" s="260"/>
      <c r="V11002" s="262"/>
      <c r="W11002" s="548">
        <f t="shared" si="69"/>
        <v>0</v>
      </c>
      <c r="X11002" s="262"/>
      <c r="Y11002" s="260"/>
      <c r="Z11002" s="548">
        <f t="shared" si="70"/>
        <v>0</v>
      </c>
      <c r="AA11002" s="262"/>
      <c r="AB11002" s="262"/>
      <c r="AC11002" s="548">
        <f t="shared" si="71"/>
        <v>0</v>
      </c>
      <c r="AD11002"/>
      <c r="AE11002"/>
      <c r="AF11002"/>
      <c r="AG11002"/>
      <c r="AH11002"/>
      <c r="AI11002"/>
      <c r="AJ11002"/>
      <c r="AK11002"/>
      <c r="AL11002"/>
      <c r="AM11002"/>
      <c r="AN11002"/>
    </row>
    <row r="11003" spans="1:40" s="47" customFormat="1">
      <c r="A11003" s="121"/>
      <c r="B11003" s="121"/>
      <c r="C11003" s="121"/>
      <c r="D11003" s="121"/>
      <c r="E11003" s="121"/>
      <c r="F11003" s="121"/>
      <c r="G11003" s="121"/>
      <c r="H11003" s="121"/>
      <c r="I11003" s="121"/>
      <c r="J11003" s="121"/>
      <c r="K11003" s="121"/>
      <c r="L11003" s="121"/>
      <c r="M11003" s="121"/>
      <c r="N11003" s="504" t="s">
        <v>2338</v>
      </c>
      <c r="O11003" s="527" t="s">
        <v>2339</v>
      </c>
      <c r="P11003" s="257"/>
      <c r="Q11003" s="321"/>
      <c r="R11003" s="260"/>
      <c r="S11003" s="260"/>
      <c r="T11003" s="260"/>
      <c r="U11003" s="260"/>
      <c r="V11003" s="262"/>
      <c r="W11003" s="548">
        <f t="shared" si="69"/>
        <v>0</v>
      </c>
      <c r="X11003" s="262"/>
      <c r="Y11003" s="260"/>
      <c r="Z11003" s="548">
        <f t="shared" si="70"/>
        <v>0</v>
      </c>
      <c r="AA11003" s="262"/>
      <c r="AB11003" s="262"/>
      <c r="AC11003" s="548">
        <f t="shared" si="71"/>
        <v>0</v>
      </c>
      <c r="AD11003"/>
      <c r="AE11003"/>
      <c r="AF11003"/>
      <c r="AG11003"/>
      <c r="AH11003"/>
      <c r="AI11003"/>
      <c r="AJ11003"/>
      <c r="AK11003"/>
      <c r="AL11003"/>
      <c r="AM11003"/>
      <c r="AN11003"/>
    </row>
    <row r="11004" spans="1:40" s="47" customFormat="1">
      <c r="A11004" s="121"/>
      <c r="B11004" s="121"/>
      <c r="C11004" s="121"/>
      <c r="D11004" s="121"/>
      <c r="E11004" s="121"/>
      <c r="F11004" s="121"/>
      <c r="G11004" s="121"/>
      <c r="H11004" s="121"/>
      <c r="I11004" s="121"/>
      <c r="J11004" s="121"/>
      <c r="K11004" s="121"/>
      <c r="L11004" s="121"/>
      <c r="M11004" s="121"/>
      <c r="N11004" s="504" t="s">
        <v>2340</v>
      </c>
      <c r="O11004" s="528" t="s">
        <v>2341</v>
      </c>
      <c r="P11004" s="257"/>
      <c r="Q11004" s="321"/>
      <c r="R11004" s="260"/>
      <c r="S11004" s="260"/>
      <c r="T11004" s="260"/>
      <c r="U11004" s="260"/>
      <c r="V11004" s="262"/>
      <c r="W11004" s="548">
        <f t="shared" si="69"/>
        <v>0</v>
      </c>
      <c r="X11004" s="262"/>
      <c r="Y11004" s="260"/>
      <c r="Z11004" s="548">
        <f t="shared" si="70"/>
        <v>0</v>
      </c>
      <c r="AA11004" s="262"/>
      <c r="AB11004" s="262"/>
      <c r="AC11004" s="548">
        <f t="shared" si="71"/>
        <v>0</v>
      </c>
      <c r="AD11004"/>
      <c r="AE11004"/>
      <c r="AF11004"/>
      <c r="AG11004"/>
      <c r="AH11004"/>
      <c r="AI11004"/>
      <c r="AJ11004"/>
      <c r="AK11004"/>
      <c r="AL11004"/>
      <c r="AM11004"/>
      <c r="AN11004"/>
    </row>
    <row r="11005" spans="1:40" s="47" customFormat="1">
      <c r="A11005" s="121"/>
      <c r="B11005" s="121"/>
      <c r="C11005" s="121"/>
      <c r="D11005" s="121"/>
      <c r="E11005" s="121"/>
      <c r="F11005" s="121"/>
      <c r="G11005" s="121"/>
      <c r="H11005" s="121"/>
      <c r="I11005" s="121"/>
      <c r="J11005" s="121"/>
      <c r="K11005" s="121"/>
      <c r="L11005" s="121"/>
      <c r="M11005" s="121"/>
      <c r="N11005" s="504" t="s">
        <v>2342</v>
      </c>
      <c r="O11005" s="528" t="s">
        <v>2343</v>
      </c>
      <c r="P11005" s="257"/>
      <c r="Q11005" s="321"/>
      <c r="R11005" s="260"/>
      <c r="S11005" s="260"/>
      <c r="T11005" s="260"/>
      <c r="U11005" s="260"/>
      <c r="V11005" s="262"/>
      <c r="W11005" s="548">
        <f t="shared" si="69"/>
        <v>0</v>
      </c>
      <c r="X11005" s="262"/>
      <c r="Y11005" s="260"/>
      <c r="Z11005" s="548">
        <f t="shared" si="70"/>
        <v>0</v>
      </c>
      <c r="AA11005" s="262"/>
      <c r="AB11005" s="262"/>
      <c r="AC11005" s="548">
        <f t="shared" si="71"/>
        <v>0</v>
      </c>
      <c r="AD11005"/>
      <c r="AE11005"/>
      <c r="AF11005"/>
      <c r="AG11005"/>
      <c r="AH11005"/>
      <c r="AI11005"/>
      <c r="AJ11005"/>
      <c r="AK11005"/>
      <c r="AL11005"/>
      <c r="AM11005"/>
      <c r="AN11005"/>
    </row>
    <row r="11006" spans="1:40" s="47" customFormat="1">
      <c r="A11006" s="121"/>
      <c r="B11006" s="121"/>
      <c r="C11006" s="121"/>
      <c r="D11006" s="121"/>
      <c r="E11006" s="121"/>
      <c r="F11006" s="121"/>
      <c r="G11006" s="121"/>
      <c r="H11006" s="121"/>
      <c r="I11006" s="121"/>
      <c r="J11006" s="121"/>
      <c r="K11006" s="121"/>
      <c r="L11006" s="121"/>
      <c r="M11006" s="121"/>
      <c r="N11006" s="504" t="s">
        <v>2344</v>
      </c>
      <c r="O11006" s="528" t="s">
        <v>2345</v>
      </c>
      <c r="P11006" s="257"/>
      <c r="Q11006" s="321"/>
      <c r="R11006" s="260"/>
      <c r="S11006" s="260"/>
      <c r="T11006" s="260"/>
      <c r="U11006" s="260"/>
      <c r="V11006" s="262"/>
      <c r="W11006" s="548">
        <f t="shared" si="69"/>
        <v>0</v>
      </c>
      <c r="X11006" s="262"/>
      <c r="Y11006" s="260"/>
      <c r="Z11006" s="548">
        <f t="shared" si="70"/>
        <v>0</v>
      </c>
      <c r="AA11006" s="262"/>
      <c r="AB11006" s="262"/>
      <c r="AC11006" s="548">
        <f t="shared" si="71"/>
        <v>0</v>
      </c>
      <c r="AD11006"/>
      <c r="AE11006"/>
      <c r="AF11006"/>
      <c r="AG11006"/>
      <c r="AH11006"/>
      <c r="AI11006"/>
      <c r="AJ11006"/>
      <c r="AK11006"/>
      <c r="AL11006"/>
      <c r="AM11006"/>
      <c r="AN11006"/>
    </row>
    <row r="11007" spans="1:40" s="47" customFormat="1">
      <c r="A11007" s="121"/>
      <c r="B11007" s="121"/>
      <c r="C11007" s="121"/>
      <c r="D11007" s="121"/>
      <c r="E11007" s="121"/>
      <c r="F11007" s="121"/>
      <c r="G11007" s="121"/>
      <c r="H11007" s="121"/>
      <c r="I11007" s="121"/>
      <c r="J11007" s="121"/>
      <c r="K11007" s="121"/>
      <c r="L11007" s="121"/>
      <c r="M11007" s="121"/>
      <c r="N11007" s="504" t="s">
        <v>2346</v>
      </c>
      <c r="O11007" s="528" t="s">
        <v>2347</v>
      </c>
      <c r="P11007" s="257"/>
      <c r="Q11007" s="321"/>
      <c r="R11007" s="260"/>
      <c r="S11007" s="260"/>
      <c r="T11007" s="260"/>
      <c r="U11007" s="260"/>
      <c r="V11007" s="262"/>
      <c r="W11007" s="548">
        <f t="shared" si="69"/>
        <v>0</v>
      </c>
      <c r="X11007" s="262"/>
      <c r="Y11007" s="260"/>
      <c r="Z11007" s="548">
        <f t="shared" si="70"/>
        <v>0</v>
      </c>
      <c r="AA11007" s="262"/>
      <c r="AB11007" s="262"/>
      <c r="AC11007" s="548">
        <f t="shared" si="71"/>
        <v>0</v>
      </c>
      <c r="AD11007"/>
      <c r="AE11007"/>
      <c r="AF11007"/>
      <c r="AG11007"/>
      <c r="AH11007"/>
      <c r="AI11007"/>
      <c r="AJ11007"/>
      <c r="AK11007"/>
      <c r="AL11007"/>
      <c r="AM11007"/>
      <c r="AN11007"/>
    </row>
    <row r="11008" spans="1:40" s="47" customFormat="1">
      <c r="A11008" s="121"/>
      <c r="B11008" s="121"/>
      <c r="C11008" s="121"/>
      <c r="D11008" s="121"/>
      <c r="E11008" s="121"/>
      <c r="F11008" s="121"/>
      <c r="G11008" s="121"/>
      <c r="H11008" s="121"/>
      <c r="I11008" s="121"/>
      <c r="J11008" s="121"/>
      <c r="K11008" s="121"/>
      <c r="L11008" s="121"/>
      <c r="M11008" s="121"/>
      <c r="N11008" s="504" t="s">
        <v>2348</v>
      </c>
      <c r="O11008" s="528" t="s">
        <v>2349</v>
      </c>
      <c r="P11008" s="257"/>
      <c r="Q11008" s="321"/>
      <c r="R11008" s="260"/>
      <c r="S11008" s="260"/>
      <c r="T11008" s="260"/>
      <c r="U11008" s="260"/>
      <c r="V11008" s="262"/>
      <c r="W11008" s="548">
        <f t="shared" si="69"/>
        <v>0</v>
      </c>
      <c r="X11008" s="262"/>
      <c r="Y11008" s="260"/>
      <c r="Z11008" s="548">
        <f t="shared" si="70"/>
        <v>0</v>
      </c>
      <c r="AA11008" s="262"/>
      <c r="AB11008" s="262"/>
      <c r="AC11008" s="548">
        <f t="shared" si="71"/>
        <v>0</v>
      </c>
      <c r="AD11008"/>
      <c r="AE11008"/>
      <c r="AF11008"/>
      <c r="AG11008"/>
      <c r="AH11008"/>
      <c r="AI11008"/>
      <c r="AJ11008"/>
      <c r="AK11008"/>
      <c r="AL11008"/>
      <c r="AM11008"/>
      <c r="AN11008"/>
    </row>
    <row r="11009" spans="1:40" s="47" customFormat="1">
      <c r="A11009" s="121"/>
      <c r="B11009" s="121"/>
      <c r="C11009" s="121"/>
      <c r="D11009" s="121"/>
      <c r="E11009" s="121"/>
      <c r="F11009" s="121"/>
      <c r="G11009" s="121"/>
      <c r="H11009" s="121"/>
      <c r="I11009" s="121"/>
      <c r="J11009" s="121"/>
      <c r="K11009" s="121"/>
      <c r="L11009" s="121"/>
      <c r="M11009" s="121"/>
      <c r="N11009" s="504" t="s">
        <v>2350</v>
      </c>
      <c r="O11009" s="528" t="s">
        <v>2351</v>
      </c>
      <c r="P11009" s="257"/>
      <c r="Q11009" s="321"/>
      <c r="R11009" s="260"/>
      <c r="S11009" s="260"/>
      <c r="T11009" s="260"/>
      <c r="U11009" s="260"/>
      <c r="V11009" s="262"/>
      <c r="W11009" s="548">
        <f t="shared" si="69"/>
        <v>0</v>
      </c>
      <c r="X11009" s="262"/>
      <c r="Y11009" s="260"/>
      <c r="Z11009" s="548">
        <f t="shared" si="70"/>
        <v>0</v>
      </c>
      <c r="AA11009" s="262"/>
      <c r="AB11009" s="262"/>
      <c r="AC11009" s="548">
        <f t="shared" si="71"/>
        <v>0</v>
      </c>
      <c r="AD11009"/>
      <c r="AE11009"/>
      <c r="AF11009"/>
      <c r="AG11009"/>
      <c r="AH11009"/>
      <c r="AI11009"/>
      <c r="AJ11009"/>
      <c r="AK11009"/>
      <c r="AL11009"/>
      <c r="AM11009"/>
      <c r="AN11009"/>
    </row>
    <row r="11010" spans="1:40" s="47" customFormat="1">
      <c r="A11010" s="121"/>
      <c r="B11010" s="121"/>
      <c r="C11010" s="121"/>
      <c r="D11010" s="121"/>
      <c r="E11010" s="121"/>
      <c r="F11010" s="121"/>
      <c r="G11010" s="121"/>
      <c r="H11010" s="121"/>
      <c r="I11010" s="121"/>
      <c r="J11010" s="121"/>
      <c r="K11010" s="121"/>
      <c r="L11010" s="121"/>
      <c r="M11010" s="121"/>
      <c r="N11010" s="504" t="s">
        <v>2352</v>
      </c>
      <c r="O11010" s="528" t="s">
        <v>2353</v>
      </c>
      <c r="P11010" s="257"/>
      <c r="Q11010" s="321"/>
      <c r="R11010" s="260"/>
      <c r="S11010" s="260"/>
      <c r="T11010" s="260"/>
      <c r="U11010" s="260"/>
      <c r="V11010" s="262"/>
      <c r="W11010" s="548">
        <f t="shared" si="69"/>
        <v>0</v>
      </c>
      <c r="X11010" s="262"/>
      <c r="Y11010" s="260"/>
      <c r="Z11010" s="548">
        <f t="shared" si="70"/>
        <v>0</v>
      </c>
      <c r="AA11010" s="262"/>
      <c r="AB11010" s="262"/>
      <c r="AC11010" s="548">
        <f t="shared" si="71"/>
        <v>0</v>
      </c>
      <c r="AD11010"/>
      <c r="AE11010"/>
      <c r="AF11010"/>
      <c r="AG11010"/>
      <c r="AH11010"/>
      <c r="AI11010"/>
      <c r="AJ11010"/>
      <c r="AK11010"/>
      <c r="AL11010"/>
      <c r="AM11010"/>
      <c r="AN11010"/>
    </row>
    <row r="11011" spans="1:40" s="47" customFormat="1">
      <c r="A11011" s="121"/>
      <c r="B11011" s="121"/>
      <c r="C11011" s="121"/>
      <c r="D11011" s="121"/>
      <c r="E11011" s="121"/>
      <c r="F11011" s="121"/>
      <c r="G11011" s="121"/>
      <c r="H11011" s="121"/>
      <c r="I11011" s="121"/>
      <c r="J11011" s="121"/>
      <c r="K11011" s="121"/>
      <c r="L11011" s="121"/>
      <c r="M11011" s="121"/>
      <c r="N11011" s="504" t="s">
        <v>2354</v>
      </c>
      <c r="O11011" s="528" t="s">
        <v>2355</v>
      </c>
      <c r="P11011" s="257"/>
      <c r="Q11011" s="321"/>
      <c r="R11011" s="260"/>
      <c r="S11011" s="260"/>
      <c r="T11011" s="260"/>
      <c r="U11011" s="260"/>
      <c r="V11011" s="262"/>
      <c r="W11011" s="548">
        <f t="shared" si="69"/>
        <v>0</v>
      </c>
      <c r="X11011" s="262"/>
      <c r="Y11011" s="260"/>
      <c r="Z11011" s="548">
        <f t="shared" si="70"/>
        <v>0</v>
      </c>
      <c r="AA11011" s="262"/>
      <c r="AB11011" s="262"/>
      <c r="AC11011" s="548">
        <f t="shared" si="71"/>
        <v>0</v>
      </c>
      <c r="AD11011"/>
      <c r="AE11011"/>
      <c r="AF11011"/>
      <c r="AG11011"/>
      <c r="AH11011"/>
      <c r="AI11011"/>
      <c r="AJ11011"/>
      <c r="AK11011"/>
      <c r="AL11011"/>
      <c r="AM11011"/>
      <c r="AN11011"/>
    </row>
    <row r="11012" spans="1:40" s="47" customFormat="1">
      <c r="A11012" s="121"/>
      <c r="B11012" s="121"/>
      <c r="C11012" s="121"/>
      <c r="D11012" s="121"/>
      <c r="E11012" s="121"/>
      <c r="F11012" s="121"/>
      <c r="G11012" s="121"/>
      <c r="H11012" s="121"/>
      <c r="I11012" s="121"/>
      <c r="J11012" s="121"/>
      <c r="K11012" s="121"/>
      <c r="L11012" s="121"/>
      <c r="M11012" s="121"/>
      <c r="N11012" s="504" t="s">
        <v>2356</v>
      </c>
      <c r="O11012" s="528" t="s">
        <v>2357</v>
      </c>
      <c r="P11012" s="257"/>
      <c r="Q11012" s="321"/>
      <c r="R11012" s="260"/>
      <c r="S11012" s="260"/>
      <c r="T11012" s="260"/>
      <c r="U11012" s="260"/>
      <c r="V11012" s="262"/>
      <c r="W11012" s="548">
        <f t="shared" si="69"/>
        <v>0</v>
      </c>
      <c r="X11012" s="262"/>
      <c r="Y11012" s="260"/>
      <c r="Z11012" s="548">
        <f t="shared" si="70"/>
        <v>0</v>
      </c>
      <c r="AA11012" s="262"/>
      <c r="AB11012" s="262"/>
      <c r="AC11012" s="548">
        <f t="shared" si="71"/>
        <v>0</v>
      </c>
      <c r="AD11012"/>
      <c r="AE11012"/>
      <c r="AF11012"/>
      <c r="AG11012"/>
      <c r="AH11012"/>
      <c r="AI11012"/>
      <c r="AJ11012"/>
      <c r="AK11012"/>
      <c r="AL11012"/>
      <c r="AM11012"/>
      <c r="AN11012"/>
    </row>
    <row r="11013" spans="1:40" s="47" customFormat="1">
      <c r="A11013" s="121"/>
      <c r="B11013" s="121"/>
      <c r="C11013" s="121"/>
      <c r="D11013" s="121"/>
      <c r="E11013" s="121"/>
      <c r="F11013" s="121"/>
      <c r="G11013" s="121"/>
      <c r="H11013" s="121"/>
      <c r="I11013" s="121"/>
      <c r="J11013" s="121"/>
      <c r="K11013" s="121"/>
      <c r="L11013" s="121"/>
      <c r="M11013" s="121"/>
      <c r="N11013" s="504" t="s">
        <v>2358</v>
      </c>
      <c r="O11013" s="536" t="s">
        <v>2359</v>
      </c>
      <c r="P11013" s="257"/>
      <c r="Q11013" s="321"/>
      <c r="R11013" s="260"/>
      <c r="S11013" s="260"/>
      <c r="T11013" s="260"/>
      <c r="U11013" s="260"/>
      <c r="V11013" s="262"/>
      <c r="W11013" s="548">
        <f t="shared" si="69"/>
        <v>0</v>
      </c>
      <c r="X11013" s="262"/>
      <c r="Y11013" s="260"/>
      <c r="Z11013" s="548">
        <f t="shared" si="70"/>
        <v>0</v>
      </c>
      <c r="AA11013" s="262"/>
      <c r="AB11013" s="262"/>
      <c r="AC11013" s="548">
        <f t="shared" si="71"/>
        <v>0</v>
      </c>
      <c r="AD11013"/>
      <c r="AE11013"/>
      <c r="AF11013"/>
      <c r="AG11013"/>
      <c r="AH11013"/>
      <c r="AI11013"/>
      <c r="AJ11013"/>
      <c r="AK11013"/>
      <c r="AL11013"/>
      <c r="AM11013"/>
      <c r="AN11013"/>
    </row>
    <row r="11014" spans="1:40" s="47" customFormat="1">
      <c r="A11014" s="121"/>
      <c r="B11014" s="121"/>
      <c r="C11014" s="121"/>
      <c r="D11014" s="121"/>
      <c r="E11014" s="121"/>
      <c r="F11014" s="121"/>
      <c r="G11014" s="121"/>
      <c r="H11014" s="121"/>
      <c r="I11014" s="121"/>
      <c r="J11014" s="121"/>
      <c r="K11014" s="121"/>
      <c r="L11014" s="121"/>
      <c r="M11014" s="121"/>
      <c r="N11014" s="504" t="s">
        <v>2360</v>
      </c>
      <c r="O11014" s="537" t="s">
        <v>2444</v>
      </c>
      <c r="P11014" s="257"/>
      <c r="Q11014" s="321"/>
      <c r="R11014" s="260"/>
      <c r="S11014" s="260"/>
      <c r="T11014" s="260"/>
      <c r="U11014" s="260"/>
      <c r="V11014" s="262"/>
      <c r="W11014" s="548">
        <f t="shared" si="69"/>
        <v>0</v>
      </c>
      <c r="X11014" s="262"/>
      <c r="Y11014" s="260"/>
      <c r="Z11014" s="548">
        <f t="shared" si="70"/>
        <v>0</v>
      </c>
      <c r="AA11014" s="262"/>
      <c r="AB11014" s="262"/>
      <c r="AC11014" s="548">
        <f t="shared" si="71"/>
        <v>0</v>
      </c>
      <c r="AD11014"/>
      <c r="AE11014"/>
      <c r="AF11014"/>
      <c r="AG11014"/>
      <c r="AH11014"/>
      <c r="AI11014"/>
      <c r="AJ11014"/>
      <c r="AK11014"/>
      <c r="AL11014"/>
      <c r="AM11014"/>
      <c r="AN11014"/>
    </row>
    <row r="11015" spans="1:40" s="47" customFormat="1">
      <c r="A11015" s="121"/>
      <c r="B11015" s="121"/>
      <c r="C11015" s="121"/>
      <c r="D11015" s="121"/>
      <c r="E11015" s="121"/>
      <c r="F11015" s="121"/>
      <c r="G11015" s="121"/>
      <c r="H11015" s="121"/>
      <c r="I11015" s="121"/>
      <c r="J11015" s="121"/>
      <c r="K11015" s="121"/>
      <c r="L11015" s="121"/>
      <c r="M11015" s="121"/>
      <c r="N11015" s="504" t="s">
        <v>2361</v>
      </c>
      <c r="O11015" s="537" t="s">
        <v>2362</v>
      </c>
      <c r="P11015" s="257"/>
      <c r="Q11015" s="321"/>
      <c r="R11015" s="260"/>
      <c r="S11015" s="260"/>
      <c r="T11015" s="260"/>
      <c r="U11015" s="260"/>
      <c r="V11015" s="262"/>
      <c r="W11015" s="548">
        <f t="shared" si="69"/>
        <v>0</v>
      </c>
      <c r="X11015" s="262"/>
      <c r="Y11015" s="260"/>
      <c r="Z11015" s="548">
        <f t="shared" si="70"/>
        <v>0</v>
      </c>
      <c r="AA11015" s="262"/>
      <c r="AB11015" s="262"/>
      <c r="AC11015" s="548">
        <f t="shared" si="71"/>
        <v>0</v>
      </c>
      <c r="AD11015"/>
      <c r="AE11015"/>
      <c r="AF11015"/>
      <c r="AG11015"/>
      <c r="AH11015"/>
      <c r="AI11015"/>
      <c r="AJ11015"/>
      <c r="AK11015"/>
      <c r="AL11015"/>
      <c r="AM11015"/>
      <c r="AN11015"/>
    </row>
    <row r="11016" spans="1:40" s="47" customFormat="1">
      <c r="A11016" s="121"/>
      <c r="B11016" s="121"/>
      <c r="C11016" s="121"/>
      <c r="D11016" s="121"/>
      <c r="E11016" s="121"/>
      <c r="F11016" s="121"/>
      <c r="G11016" s="121"/>
      <c r="H11016" s="121"/>
      <c r="I11016" s="121"/>
      <c r="J11016" s="121"/>
      <c r="K11016" s="121"/>
      <c r="L11016" s="121"/>
      <c r="M11016" s="121"/>
      <c r="N11016" s="504" t="s">
        <v>2363</v>
      </c>
      <c r="O11016" s="528" t="s">
        <v>872</v>
      </c>
      <c r="P11016" s="257"/>
      <c r="Q11016" s="321"/>
      <c r="R11016" s="260"/>
      <c r="S11016" s="260"/>
      <c r="T11016" s="260"/>
      <c r="U11016" s="260"/>
      <c r="V11016" s="262"/>
      <c r="W11016" s="548">
        <f t="shared" si="69"/>
        <v>0</v>
      </c>
      <c r="X11016" s="262"/>
      <c r="Y11016" s="260"/>
      <c r="Z11016" s="548">
        <f t="shared" si="70"/>
        <v>0</v>
      </c>
      <c r="AA11016" s="262"/>
      <c r="AB11016" s="262"/>
      <c r="AC11016" s="548">
        <f t="shared" si="71"/>
        <v>0</v>
      </c>
      <c r="AD11016"/>
      <c r="AE11016"/>
      <c r="AF11016"/>
      <c r="AG11016"/>
      <c r="AH11016"/>
      <c r="AI11016"/>
      <c r="AJ11016"/>
      <c r="AK11016"/>
      <c r="AL11016"/>
      <c r="AM11016"/>
      <c r="AN11016"/>
    </row>
    <row r="11017" spans="1:40" s="47" customFormat="1" ht="22.5">
      <c r="A11017" s="121"/>
      <c r="B11017" s="121"/>
      <c r="C11017" s="121"/>
      <c r="D11017" s="121"/>
      <c r="E11017" s="121"/>
      <c r="F11017" s="121"/>
      <c r="G11017" s="121"/>
      <c r="H11017" s="121"/>
      <c r="I11017" s="121"/>
      <c r="J11017" s="121"/>
      <c r="K11017" s="121"/>
      <c r="L11017" s="121"/>
      <c r="M11017" s="121"/>
      <c r="N11017" s="504" t="s">
        <v>2364</v>
      </c>
      <c r="O11017" s="528" t="s">
        <v>2365</v>
      </c>
      <c r="P11017" s="257"/>
      <c r="Q11017" s="321"/>
      <c r="R11017" s="260"/>
      <c r="S11017" s="260"/>
      <c r="T11017" s="260"/>
      <c r="U11017" s="260"/>
      <c r="V11017" s="262"/>
      <c r="W11017" s="548">
        <f t="shared" si="69"/>
        <v>0</v>
      </c>
      <c r="X11017" s="262"/>
      <c r="Y11017" s="260"/>
      <c r="Z11017" s="548">
        <f t="shared" si="70"/>
        <v>0</v>
      </c>
      <c r="AA11017" s="262"/>
      <c r="AB11017" s="262"/>
      <c r="AC11017" s="548">
        <f t="shared" si="71"/>
        <v>0</v>
      </c>
      <c r="AD11017"/>
      <c r="AE11017"/>
      <c r="AF11017"/>
      <c r="AG11017"/>
      <c r="AH11017"/>
      <c r="AI11017"/>
      <c r="AJ11017"/>
      <c r="AK11017"/>
      <c r="AL11017"/>
      <c r="AM11017"/>
      <c r="AN11017"/>
    </row>
    <row r="11018" spans="1:40" s="47" customFormat="1">
      <c r="A11018" s="121"/>
      <c r="B11018" s="121"/>
      <c r="C11018" s="121"/>
      <c r="D11018" s="121"/>
      <c r="E11018" s="121"/>
      <c r="F11018" s="121"/>
      <c r="G11018" s="121"/>
      <c r="H11018" s="121"/>
      <c r="I11018" s="121"/>
      <c r="J11018" s="121"/>
      <c r="K11018" s="121"/>
      <c r="L11018" s="121"/>
      <c r="M11018" s="121"/>
      <c r="N11018" s="504" t="s">
        <v>2366</v>
      </c>
      <c r="O11018" s="528" t="s">
        <v>2367</v>
      </c>
      <c r="P11018" s="257"/>
      <c r="Q11018" s="321"/>
      <c r="R11018" s="260"/>
      <c r="S11018" s="260"/>
      <c r="T11018" s="260"/>
      <c r="U11018" s="260"/>
      <c r="V11018" s="262"/>
      <c r="W11018" s="548">
        <f t="shared" si="69"/>
        <v>0</v>
      </c>
      <c r="X11018" s="262"/>
      <c r="Y11018" s="260"/>
      <c r="Z11018" s="548">
        <f t="shared" si="70"/>
        <v>0</v>
      </c>
      <c r="AA11018" s="262"/>
      <c r="AB11018" s="262"/>
      <c r="AC11018" s="548">
        <f t="shared" si="71"/>
        <v>0</v>
      </c>
      <c r="AD11018"/>
      <c r="AE11018"/>
      <c r="AF11018"/>
      <c r="AG11018"/>
      <c r="AH11018"/>
      <c r="AI11018"/>
      <c r="AJ11018"/>
      <c r="AK11018"/>
      <c r="AL11018"/>
      <c r="AM11018"/>
      <c r="AN11018"/>
    </row>
    <row r="11019" spans="1:40" s="47" customFormat="1">
      <c r="A11019" s="121"/>
      <c r="B11019" s="121"/>
      <c r="C11019" s="121"/>
      <c r="D11019" s="121"/>
      <c r="E11019" s="121"/>
      <c r="F11019" s="121"/>
      <c r="G11019" s="121"/>
      <c r="H11019" s="121"/>
      <c r="I11019" s="121"/>
      <c r="J11019" s="121"/>
      <c r="K11019" s="121"/>
      <c r="L11019" s="121"/>
      <c r="M11019" s="121"/>
      <c r="N11019" s="504" t="s">
        <v>752</v>
      </c>
      <c r="O11019" s="723" t="s">
        <v>2726</v>
      </c>
      <c r="P11019" s="257"/>
      <c r="Q11019" s="321"/>
      <c r="R11019" s="260"/>
      <c r="S11019" s="260"/>
      <c r="T11019" s="260"/>
      <c r="U11019" s="260"/>
      <c r="V11019" s="262"/>
      <c r="W11019" s="548">
        <f t="shared" si="69"/>
        <v>0</v>
      </c>
      <c r="X11019" s="262"/>
      <c r="Y11019" s="260"/>
      <c r="Z11019" s="548">
        <f t="shared" si="70"/>
        <v>0</v>
      </c>
      <c r="AA11019" s="262"/>
      <c r="AB11019" s="262"/>
      <c r="AC11019" s="548">
        <f t="shared" si="71"/>
        <v>0</v>
      </c>
      <c r="AD11019"/>
      <c r="AE11019"/>
      <c r="AF11019"/>
      <c r="AG11019"/>
      <c r="AH11019"/>
      <c r="AI11019"/>
      <c r="AJ11019"/>
      <c r="AK11019"/>
      <c r="AL11019"/>
      <c r="AM11019"/>
      <c r="AN11019"/>
    </row>
    <row r="11020" spans="1:40" s="47" customFormat="1">
      <c r="A11020" s="121"/>
      <c r="B11020" s="121"/>
      <c r="C11020" s="121"/>
      <c r="D11020" s="121"/>
      <c r="E11020" s="121"/>
      <c r="F11020" s="121"/>
      <c r="G11020" s="121"/>
      <c r="H11020" s="121"/>
      <c r="I11020" s="121"/>
      <c r="J11020" s="121"/>
      <c r="K11020" s="121"/>
      <c r="L11020" s="121"/>
      <c r="M11020" s="121"/>
      <c r="N11020" s="504" t="s">
        <v>760</v>
      </c>
      <c r="O11020" s="527" t="s">
        <v>2368</v>
      </c>
      <c r="P11020" s="257"/>
      <c r="Q11020" s="321"/>
      <c r="R11020" s="260"/>
      <c r="S11020" s="260"/>
      <c r="T11020" s="260"/>
      <c r="U11020" s="260"/>
      <c r="V11020" s="262"/>
      <c r="W11020" s="548">
        <f t="shared" si="69"/>
        <v>0</v>
      </c>
      <c r="X11020" s="262"/>
      <c r="Y11020" s="260"/>
      <c r="Z11020" s="548">
        <f t="shared" si="70"/>
        <v>0</v>
      </c>
      <c r="AA11020" s="262"/>
      <c r="AB11020" s="262"/>
      <c r="AC11020" s="548">
        <f t="shared" si="71"/>
        <v>0</v>
      </c>
      <c r="AD11020"/>
      <c r="AE11020"/>
      <c r="AF11020"/>
      <c r="AG11020"/>
      <c r="AH11020"/>
      <c r="AI11020"/>
      <c r="AJ11020"/>
      <c r="AK11020"/>
      <c r="AL11020"/>
      <c r="AM11020"/>
      <c r="AN11020"/>
    </row>
    <row r="11021" spans="1:40" s="47" customFormat="1">
      <c r="A11021" s="121"/>
      <c r="B11021" s="121"/>
      <c r="C11021" s="121"/>
      <c r="D11021" s="121"/>
      <c r="E11021" s="121"/>
      <c r="F11021" s="121"/>
      <c r="G11021" s="121"/>
      <c r="H11021" s="121"/>
      <c r="I11021" s="121"/>
      <c r="J11021" s="121"/>
      <c r="K11021" s="121"/>
      <c r="L11021" s="121"/>
      <c r="M11021" s="121"/>
      <c r="N11021" s="504" t="s">
        <v>917</v>
      </c>
      <c r="O11021" s="528" t="s">
        <v>2369</v>
      </c>
      <c r="P11021" s="257"/>
      <c r="Q11021" s="321"/>
      <c r="R11021" s="260"/>
      <c r="S11021" s="260"/>
      <c r="T11021" s="260"/>
      <c r="U11021" s="260"/>
      <c r="V11021" s="262"/>
      <c r="W11021" s="548">
        <f t="shared" si="69"/>
        <v>0</v>
      </c>
      <c r="X11021" s="262"/>
      <c r="Y11021" s="260"/>
      <c r="Z11021" s="548">
        <f t="shared" si="70"/>
        <v>0</v>
      </c>
      <c r="AA11021" s="262"/>
      <c r="AB11021" s="262"/>
      <c r="AC11021" s="548">
        <f t="shared" si="71"/>
        <v>0</v>
      </c>
      <c r="AD11021"/>
      <c r="AE11021"/>
      <c r="AF11021"/>
      <c r="AG11021"/>
      <c r="AH11021"/>
      <c r="AI11021"/>
      <c r="AJ11021"/>
      <c r="AK11021"/>
      <c r="AL11021"/>
      <c r="AM11021"/>
      <c r="AN11021"/>
    </row>
    <row r="11022" spans="1:40" s="47" customFormat="1">
      <c r="A11022" s="121"/>
      <c r="B11022" s="121"/>
      <c r="C11022" s="121"/>
      <c r="D11022" s="121"/>
      <c r="E11022" s="121"/>
      <c r="F11022" s="121"/>
      <c r="G11022" s="121"/>
      <c r="H11022" s="121"/>
      <c r="I11022" s="121"/>
      <c r="J11022" s="121"/>
      <c r="K11022" s="121"/>
      <c r="L11022" s="121"/>
      <c r="M11022" s="121"/>
      <c r="N11022" s="504" t="s">
        <v>761</v>
      </c>
      <c r="O11022" s="527" t="s">
        <v>862</v>
      </c>
      <c r="P11022" s="257"/>
      <c r="Q11022" s="321"/>
      <c r="R11022" s="260"/>
      <c r="S11022" s="260"/>
      <c r="T11022" s="260"/>
      <c r="U11022" s="260"/>
      <c r="V11022" s="262"/>
      <c r="W11022" s="548">
        <f t="shared" si="69"/>
        <v>0</v>
      </c>
      <c r="X11022" s="262"/>
      <c r="Y11022" s="260"/>
      <c r="Z11022" s="548">
        <f t="shared" si="70"/>
        <v>0</v>
      </c>
      <c r="AA11022" s="262"/>
      <c r="AB11022" s="262"/>
      <c r="AC11022" s="548">
        <f t="shared" si="71"/>
        <v>0</v>
      </c>
      <c r="AD11022"/>
      <c r="AE11022"/>
      <c r="AF11022"/>
      <c r="AG11022"/>
      <c r="AH11022"/>
      <c r="AI11022"/>
      <c r="AJ11022"/>
      <c r="AK11022"/>
      <c r="AL11022"/>
      <c r="AM11022"/>
      <c r="AN11022"/>
    </row>
    <row r="11023" spans="1:40" s="47" customFormat="1">
      <c r="A11023" s="121"/>
      <c r="B11023" s="121"/>
      <c r="C11023" s="121"/>
      <c r="D11023" s="121"/>
      <c r="E11023" s="121"/>
      <c r="F11023" s="121"/>
      <c r="G11023" s="121"/>
      <c r="H11023" s="121"/>
      <c r="I11023" s="121"/>
      <c r="J11023" s="121"/>
      <c r="K11023" s="121"/>
      <c r="L11023" s="121"/>
      <c r="M11023" s="121"/>
      <c r="N11023" s="504" t="s">
        <v>762</v>
      </c>
      <c r="O11023" s="527" t="s">
        <v>864</v>
      </c>
      <c r="P11023" s="257"/>
      <c r="Q11023" s="321"/>
      <c r="R11023" s="260"/>
      <c r="S11023" s="260"/>
      <c r="T11023" s="260"/>
      <c r="U11023" s="260"/>
      <c r="V11023" s="262"/>
      <c r="W11023" s="548">
        <f t="shared" si="69"/>
        <v>0</v>
      </c>
      <c r="X11023" s="262"/>
      <c r="Y11023" s="260"/>
      <c r="Z11023" s="548">
        <f t="shared" si="70"/>
        <v>0</v>
      </c>
      <c r="AA11023" s="262"/>
      <c r="AB11023" s="262"/>
      <c r="AC11023" s="548">
        <f t="shared" si="71"/>
        <v>0</v>
      </c>
      <c r="AD11023"/>
      <c r="AE11023"/>
      <c r="AF11023"/>
      <c r="AG11023"/>
      <c r="AH11023"/>
      <c r="AI11023"/>
      <c r="AJ11023"/>
      <c r="AK11023"/>
      <c r="AL11023"/>
      <c r="AM11023"/>
      <c r="AN11023"/>
    </row>
    <row r="11024" spans="1:40" s="47" customFormat="1">
      <c r="A11024" s="121"/>
      <c r="B11024" s="121"/>
      <c r="C11024" s="121"/>
      <c r="D11024" s="121"/>
      <c r="E11024" s="121"/>
      <c r="F11024" s="121"/>
      <c r="G11024" s="121"/>
      <c r="H11024" s="121"/>
      <c r="I11024" s="121"/>
      <c r="J11024" s="121"/>
      <c r="K11024" s="121"/>
      <c r="L11024" s="121"/>
      <c r="M11024" s="121"/>
      <c r="N11024" s="504" t="s">
        <v>763</v>
      </c>
      <c r="O11024" s="527" t="s">
        <v>866</v>
      </c>
      <c r="P11024" s="257"/>
      <c r="Q11024" s="321"/>
      <c r="R11024" s="260"/>
      <c r="S11024" s="260"/>
      <c r="T11024" s="260"/>
      <c r="U11024" s="260"/>
      <c r="V11024" s="262"/>
      <c r="W11024" s="548">
        <f t="shared" si="69"/>
        <v>0</v>
      </c>
      <c r="X11024" s="262"/>
      <c r="Y11024" s="260"/>
      <c r="Z11024" s="548">
        <f t="shared" si="70"/>
        <v>0</v>
      </c>
      <c r="AA11024" s="262"/>
      <c r="AB11024" s="262"/>
      <c r="AC11024" s="548">
        <f t="shared" si="71"/>
        <v>0</v>
      </c>
      <c r="AD11024"/>
      <c r="AE11024"/>
      <c r="AF11024"/>
      <c r="AG11024"/>
      <c r="AH11024"/>
      <c r="AI11024"/>
      <c r="AJ11024"/>
      <c r="AK11024"/>
      <c r="AL11024"/>
      <c r="AM11024"/>
      <c r="AN11024"/>
    </row>
    <row r="11025" spans="1:40" s="47" customFormat="1">
      <c r="A11025" s="121"/>
      <c r="B11025" s="121"/>
      <c r="C11025" s="121"/>
      <c r="D11025" s="121"/>
      <c r="E11025" s="121"/>
      <c r="F11025" s="121"/>
      <c r="G11025" s="121"/>
      <c r="H11025" s="121"/>
      <c r="I11025" s="121"/>
      <c r="J11025" s="121"/>
      <c r="K11025" s="121"/>
      <c r="L11025" s="121"/>
      <c r="M11025" s="121"/>
      <c r="N11025" s="504" t="s">
        <v>764</v>
      </c>
      <c r="O11025" s="527" t="s">
        <v>2370</v>
      </c>
      <c r="P11025" s="257"/>
      <c r="Q11025" s="321"/>
      <c r="R11025" s="260"/>
      <c r="S11025" s="260"/>
      <c r="T11025" s="260"/>
      <c r="U11025" s="260"/>
      <c r="V11025" s="262"/>
      <c r="W11025" s="548">
        <f t="shared" si="69"/>
        <v>0</v>
      </c>
      <c r="X11025" s="262"/>
      <c r="Y11025" s="260"/>
      <c r="Z11025" s="548">
        <f t="shared" si="70"/>
        <v>0</v>
      </c>
      <c r="AA11025" s="262"/>
      <c r="AB11025" s="262"/>
      <c r="AC11025" s="548">
        <f t="shared" si="71"/>
        <v>0</v>
      </c>
      <c r="AD11025"/>
      <c r="AE11025"/>
      <c r="AF11025"/>
      <c r="AG11025"/>
      <c r="AH11025"/>
      <c r="AI11025"/>
      <c r="AJ11025"/>
      <c r="AK11025"/>
      <c r="AL11025"/>
      <c r="AM11025"/>
      <c r="AN11025"/>
    </row>
    <row r="11026" spans="1:40" s="47" customFormat="1">
      <c r="A11026" s="121"/>
      <c r="B11026" s="121"/>
      <c r="C11026" s="121"/>
      <c r="D11026" s="121"/>
      <c r="E11026" s="121"/>
      <c r="F11026" s="121"/>
      <c r="G11026" s="121"/>
      <c r="H11026" s="121"/>
      <c r="I11026" s="121"/>
      <c r="J11026" s="121"/>
      <c r="K11026" s="121"/>
      <c r="L11026" s="121"/>
      <c r="M11026" s="121"/>
      <c r="N11026" s="504" t="s">
        <v>2371</v>
      </c>
      <c r="O11026" s="528" t="s">
        <v>2372</v>
      </c>
      <c r="P11026" s="257"/>
      <c r="Q11026" s="321"/>
      <c r="R11026" s="260"/>
      <c r="S11026" s="260"/>
      <c r="T11026" s="260"/>
      <c r="U11026" s="260"/>
      <c r="V11026" s="262"/>
      <c r="W11026" s="548">
        <f t="shared" si="69"/>
        <v>0</v>
      </c>
      <c r="X11026" s="262"/>
      <c r="Y11026" s="260"/>
      <c r="Z11026" s="548">
        <f t="shared" si="70"/>
        <v>0</v>
      </c>
      <c r="AA11026" s="262"/>
      <c r="AB11026" s="262"/>
      <c r="AC11026" s="548">
        <f t="shared" si="71"/>
        <v>0</v>
      </c>
      <c r="AD11026"/>
      <c r="AE11026"/>
      <c r="AF11026"/>
      <c r="AG11026"/>
      <c r="AH11026"/>
      <c r="AI11026"/>
      <c r="AJ11026"/>
      <c r="AK11026"/>
      <c r="AL11026"/>
      <c r="AM11026"/>
      <c r="AN11026"/>
    </row>
    <row r="11027" spans="1:40" s="47" customFormat="1">
      <c r="A11027" s="121"/>
      <c r="B11027" s="121"/>
      <c r="C11027" s="121"/>
      <c r="D11027" s="121"/>
      <c r="E11027" s="121"/>
      <c r="F11027" s="121"/>
      <c r="G11027" s="121"/>
      <c r="H11027" s="121"/>
      <c r="I11027" s="121"/>
      <c r="J11027" s="121"/>
      <c r="K11027" s="121"/>
      <c r="L11027" s="121"/>
      <c r="M11027" s="121"/>
      <c r="N11027" s="504" t="s">
        <v>2373</v>
      </c>
      <c r="O11027" s="538" t="s">
        <v>2374</v>
      </c>
      <c r="P11027" s="257"/>
      <c r="Q11027" s="321"/>
      <c r="R11027" s="260"/>
      <c r="S11027" s="260"/>
      <c r="T11027" s="260"/>
      <c r="U11027" s="260"/>
      <c r="V11027" s="262"/>
      <c r="W11027" s="548">
        <f t="shared" si="69"/>
        <v>0</v>
      </c>
      <c r="X11027" s="262"/>
      <c r="Y11027" s="260"/>
      <c r="Z11027" s="548">
        <f t="shared" si="70"/>
        <v>0</v>
      </c>
      <c r="AA11027" s="262"/>
      <c r="AB11027" s="262"/>
      <c r="AC11027" s="548">
        <f t="shared" si="71"/>
        <v>0</v>
      </c>
      <c r="AD11027"/>
      <c r="AE11027"/>
      <c r="AF11027"/>
      <c r="AG11027"/>
      <c r="AH11027"/>
      <c r="AI11027"/>
      <c r="AJ11027"/>
      <c r="AK11027"/>
      <c r="AL11027"/>
      <c r="AM11027"/>
      <c r="AN11027"/>
    </row>
    <row r="11028" spans="1:40" s="47" customFormat="1">
      <c r="A11028" s="121"/>
      <c r="B11028" s="121"/>
      <c r="C11028" s="121"/>
      <c r="D11028" s="121"/>
      <c r="E11028" s="121"/>
      <c r="F11028" s="121"/>
      <c r="G11028" s="121"/>
      <c r="H11028" s="121"/>
      <c r="I11028" s="121"/>
      <c r="J11028" s="121"/>
      <c r="K11028" s="121"/>
      <c r="L11028" s="121"/>
      <c r="M11028" s="121"/>
      <c r="N11028" s="504" t="s">
        <v>2375</v>
      </c>
      <c r="O11028" s="528" t="s">
        <v>2376</v>
      </c>
      <c r="P11028" s="257"/>
      <c r="Q11028" s="321"/>
      <c r="R11028" s="260"/>
      <c r="S11028" s="260"/>
      <c r="T11028" s="260"/>
      <c r="U11028" s="260"/>
      <c r="V11028" s="262"/>
      <c r="W11028" s="548">
        <f t="shared" si="69"/>
        <v>0</v>
      </c>
      <c r="X11028" s="262"/>
      <c r="Y11028" s="260"/>
      <c r="Z11028" s="548">
        <f t="shared" si="70"/>
        <v>0</v>
      </c>
      <c r="AA11028" s="262"/>
      <c r="AB11028" s="262"/>
      <c r="AC11028" s="548">
        <f t="shared" si="71"/>
        <v>0</v>
      </c>
      <c r="AD11028"/>
      <c r="AE11028"/>
      <c r="AF11028"/>
      <c r="AG11028"/>
      <c r="AH11028"/>
      <c r="AI11028"/>
      <c r="AJ11028"/>
      <c r="AK11028"/>
      <c r="AL11028"/>
      <c r="AM11028"/>
      <c r="AN11028"/>
    </row>
    <row r="11029" spans="1:40" s="47" customFormat="1">
      <c r="A11029" s="121"/>
      <c r="B11029" s="121"/>
      <c r="C11029" s="121"/>
      <c r="D11029" s="121"/>
      <c r="E11029" s="121"/>
      <c r="F11029" s="121"/>
      <c r="G11029" s="121"/>
      <c r="H11029" s="121"/>
      <c r="I11029" s="121"/>
      <c r="J11029" s="121"/>
      <c r="K11029" s="121"/>
      <c r="L11029" s="121"/>
      <c r="M11029" s="121"/>
      <c r="N11029" s="504"/>
      <c r="O11029" s="526"/>
      <c r="P11029" s="260"/>
      <c r="Q11029" s="321"/>
      <c r="R11029" s="260"/>
      <c r="S11029" s="260"/>
      <c r="T11029" s="260"/>
      <c r="U11029" s="260"/>
      <c r="V11029" s="260"/>
      <c r="W11029" s="260"/>
      <c r="X11029" s="260"/>
      <c r="Y11029" s="260"/>
      <c r="Z11029" s="260"/>
      <c r="AA11029" s="260"/>
      <c r="AB11029" s="260"/>
      <c r="AC11029" s="260"/>
      <c r="AD11029" s="57"/>
      <c r="AE11029" s="57"/>
      <c r="AF11029" s="57"/>
      <c r="AG11029" s="57"/>
      <c r="AH11029" s="57"/>
      <c r="AI11029" s="57"/>
      <c r="AJ11029" s="57"/>
      <c r="AK11029" s="57"/>
      <c r="AL11029" s="57"/>
      <c r="AM11029" s="57"/>
    </row>
    <row r="11030" spans="1:40" s="47" customFormat="1">
      <c r="A11030" s="121"/>
      <c r="B11030" s="121"/>
      <c r="C11030" s="121"/>
      <c r="D11030" s="121"/>
      <c r="E11030" s="121"/>
      <c r="F11030" s="121"/>
      <c r="G11030" s="121"/>
      <c r="H11030" s="121"/>
      <c r="I11030" s="121"/>
      <c r="J11030" s="121"/>
      <c r="K11030" s="121"/>
      <c r="L11030" s="121"/>
      <c r="M11030" s="121"/>
      <c r="N11030" s="504"/>
      <c r="O11030" s="526"/>
      <c r="P11030" s="260"/>
      <c r="Q11030" s="321"/>
      <c r="R11030" s="260"/>
      <c r="S11030" s="260"/>
      <c r="T11030" s="260"/>
      <c r="U11030" s="260"/>
      <c r="V11030" s="260"/>
      <c r="W11030" s="260"/>
      <c r="X11030" s="260"/>
      <c r="Y11030" s="260"/>
      <c r="Z11030" s="260"/>
      <c r="AA11030" s="260"/>
      <c r="AB11030" s="260"/>
      <c r="AC11030" s="260"/>
      <c r="AD11030" s="57"/>
      <c r="AE11030" s="57"/>
      <c r="AF11030" s="57"/>
      <c r="AG11030" s="57"/>
      <c r="AH11030" s="57"/>
      <c r="AI11030" s="57"/>
      <c r="AJ11030" s="57"/>
      <c r="AK11030" s="57"/>
      <c r="AL11030" s="57"/>
      <c r="AM11030" s="57"/>
    </row>
    <row r="11031" spans="1:40" s="47" customFormat="1">
      <c r="A11031" s="121"/>
      <c r="B11031" s="121"/>
      <c r="C11031" s="121"/>
      <c r="D11031" s="121"/>
      <c r="E11031" s="121"/>
      <c r="F11031" s="121"/>
      <c r="G11031" s="121"/>
      <c r="H11031" s="121"/>
      <c r="I11031" s="121"/>
      <c r="J11031" s="121"/>
      <c r="K11031" s="121"/>
      <c r="L11031" s="121"/>
      <c r="M11031" s="121"/>
      <c r="N11031" s="504"/>
      <c r="O11031" s="526"/>
      <c r="P11031" s="260"/>
      <c r="Q11031" s="321"/>
      <c r="R11031" s="260"/>
      <c r="S11031" s="260"/>
      <c r="T11031" s="260"/>
      <c r="U11031" s="260"/>
      <c r="V11031" s="260"/>
      <c r="W11031" s="260"/>
      <c r="X11031" s="260"/>
      <c r="Y11031" s="260"/>
      <c r="Z11031" s="260"/>
      <c r="AA11031" s="260"/>
      <c r="AB11031" s="260"/>
      <c r="AC11031" s="260"/>
      <c r="AD11031" s="57"/>
      <c r="AE11031" s="57"/>
      <c r="AF11031" s="57"/>
      <c r="AG11031" s="57"/>
      <c r="AH11031" s="57"/>
      <c r="AI11031" s="57"/>
      <c r="AJ11031" s="57"/>
      <c r="AK11031" s="57"/>
      <c r="AL11031" s="57"/>
      <c r="AM11031" s="57"/>
    </row>
    <row r="11032" spans="1:40" s="47" customFormat="1">
      <c r="A11032" s="121"/>
      <c r="B11032" s="121"/>
      <c r="C11032" s="121"/>
      <c r="D11032" s="121"/>
      <c r="E11032" s="121"/>
      <c r="F11032" s="121"/>
      <c r="G11032" s="121"/>
      <c r="H11032" s="121"/>
      <c r="I11032" s="121"/>
      <c r="J11032" s="121"/>
      <c r="K11032" s="121"/>
      <c r="L11032" s="121"/>
      <c r="M11032" s="121"/>
      <c r="N11032" s="504"/>
      <c r="O11032" s="526"/>
      <c r="P11032" s="260"/>
      <c r="Q11032" s="321"/>
      <c r="R11032" s="260"/>
      <c r="S11032" s="260"/>
      <c r="T11032" s="260"/>
      <c r="U11032" s="260"/>
      <c r="V11032" s="260"/>
      <c r="W11032" s="260"/>
      <c r="X11032" s="260"/>
      <c r="Y11032" s="260"/>
      <c r="Z11032" s="260"/>
      <c r="AA11032" s="260"/>
      <c r="AB11032" s="260"/>
      <c r="AC11032" s="260"/>
      <c r="AD11032" s="57"/>
      <c r="AE11032" s="57"/>
      <c r="AF11032" s="57"/>
      <c r="AG11032" s="57"/>
      <c r="AH11032" s="57"/>
      <c r="AI11032" s="57"/>
      <c r="AJ11032" s="57"/>
      <c r="AK11032" s="57"/>
      <c r="AL11032" s="57"/>
      <c r="AM11032" s="57"/>
    </row>
    <row r="11033" spans="1:40" s="47" customFormat="1">
      <c r="A11033" s="121"/>
      <c r="B11033" s="121"/>
      <c r="C11033" s="121"/>
      <c r="D11033" s="121"/>
      <c r="E11033" s="121"/>
      <c r="F11033" s="121"/>
      <c r="G11033" s="121"/>
      <c r="H11033" s="121"/>
      <c r="I11033" s="121"/>
      <c r="J11033" s="121"/>
      <c r="K11033" s="121"/>
      <c r="L11033" s="121"/>
      <c r="M11033" s="121"/>
      <c r="N11033" s="504"/>
      <c r="O11033" s="526"/>
      <c r="P11033" s="260"/>
      <c r="Q11033" s="321"/>
      <c r="R11033" s="260"/>
      <c r="S11033" s="260"/>
      <c r="T11033" s="260"/>
      <c r="U11033" s="260"/>
      <c r="V11033" s="260"/>
      <c r="W11033" s="260"/>
      <c r="X11033" s="260"/>
      <c r="Y11033" s="260"/>
      <c r="Z11033" s="260"/>
      <c r="AA11033" s="260"/>
      <c r="AB11033" s="260"/>
      <c r="AC11033" s="260"/>
      <c r="AD11033" s="57"/>
      <c r="AE11033" s="57"/>
      <c r="AF11033" s="57"/>
      <c r="AG11033" s="57"/>
      <c r="AH11033" s="57"/>
      <c r="AI11033" s="57"/>
      <c r="AJ11033" s="57"/>
      <c r="AK11033" s="57"/>
      <c r="AL11033" s="57"/>
      <c r="AM11033" s="57"/>
    </row>
    <row r="11034" spans="1:40" s="47" customFormat="1">
      <c r="A11034" s="121"/>
      <c r="B11034" s="121"/>
      <c r="C11034" s="121"/>
      <c r="D11034" s="121"/>
      <c r="E11034" s="121"/>
      <c r="F11034" s="121"/>
      <c r="G11034" s="121"/>
      <c r="H11034" s="121"/>
      <c r="I11034" s="121"/>
      <c r="J11034" s="121"/>
      <c r="K11034" s="121"/>
      <c r="L11034" s="121"/>
      <c r="M11034" s="121"/>
      <c r="N11034" s="504"/>
      <c r="O11034" s="526"/>
      <c r="P11034" s="260"/>
      <c r="Q11034" s="321"/>
      <c r="R11034" s="260"/>
      <c r="S11034" s="260"/>
      <c r="T11034" s="260"/>
      <c r="U11034" s="260"/>
      <c r="V11034" s="260"/>
      <c r="W11034" s="260"/>
      <c r="X11034" s="260"/>
      <c r="Y11034" s="260"/>
      <c r="Z11034" s="260"/>
      <c r="AA11034" s="260"/>
      <c r="AB11034" s="260"/>
      <c r="AC11034" s="260"/>
      <c r="AD11034" s="57"/>
      <c r="AE11034" s="57"/>
      <c r="AF11034" s="57"/>
      <c r="AG11034" s="57"/>
      <c r="AH11034" s="57"/>
      <c r="AI11034" s="57"/>
      <c r="AJ11034" s="57"/>
      <c r="AK11034" s="57"/>
      <c r="AL11034" s="57"/>
      <c r="AM11034" s="57"/>
    </row>
    <row r="11035" spans="1:40" s="47" customFormat="1">
      <c r="A11035" s="121"/>
      <c r="B11035" s="121"/>
      <c r="C11035" s="121"/>
      <c r="D11035" s="121"/>
      <c r="E11035" s="121"/>
      <c r="F11035" s="121"/>
      <c r="G11035" s="121"/>
      <c r="H11035" s="121"/>
      <c r="I11035" s="121"/>
      <c r="J11035" s="121"/>
      <c r="K11035" s="121"/>
      <c r="L11035" s="121"/>
      <c r="M11035" s="121"/>
      <c r="N11035" s="725" t="s">
        <v>3072</v>
      </c>
      <c r="O11035" s="724" t="s">
        <v>2727</v>
      </c>
      <c r="P11035" s="257"/>
      <c r="Q11035" s="321"/>
      <c r="R11035" s="260"/>
      <c r="S11035" s="260"/>
      <c r="T11035" s="260"/>
      <c r="U11035" s="260"/>
      <c r="V11035" s="262"/>
      <c r="W11035" s="548">
        <f>U11035+V11035</f>
        <v>0</v>
      </c>
      <c r="X11035" s="262"/>
      <c r="Y11035" s="260"/>
      <c r="Z11035" s="548">
        <f t="shared" si="70"/>
        <v>0</v>
      </c>
      <c r="AA11035" s="262"/>
      <c r="AB11035" s="262"/>
      <c r="AC11035" s="548">
        <f t="shared" si="71"/>
        <v>0</v>
      </c>
      <c r="AD11035"/>
      <c r="AE11035"/>
      <c r="AF11035"/>
      <c r="AG11035"/>
      <c r="AH11035"/>
      <c r="AI11035"/>
      <c r="AJ11035"/>
      <c r="AK11035"/>
      <c r="AL11035"/>
      <c r="AM11035"/>
      <c r="AN11035"/>
    </row>
    <row r="11036" spans="1:40" s="47" customFormat="1">
      <c r="A11036" s="121"/>
      <c r="B11036" s="121"/>
      <c r="C11036" s="121"/>
      <c r="D11036" s="121"/>
      <c r="E11036" s="121"/>
      <c r="F11036" s="121"/>
      <c r="G11036" s="121"/>
      <c r="H11036" s="121"/>
      <c r="I11036" s="121"/>
      <c r="J11036" s="121"/>
      <c r="K11036" s="121"/>
      <c r="L11036" s="121"/>
      <c r="M11036" s="121"/>
      <c r="N11036" s="504" t="s">
        <v>2427</v>
      </c>
      <c r="O11036" s="723" t="s">
        <v>2616</v>
      </c>
      <c r="P11036" s="257"/>
      <c r="Q11036" s="321"/>
      <c r="R11036" s="260"/>
      <c r="S11036" s="260"/>
      <c r="T11036" s="260"/>
      <c r="U11036" s="260"/>
      <c r="V11036" s="262"/>
      <c r="W11036" s="548">
        <f>U11036+V11036</f>
        <v>0</v>
      </c>
      <c r="X11036" s="262"/>
      <c r="Y11036" s="260"/>
      <c r="Z11036" s="548">
        <f t="shared" si="70"/>
        <v>0</v>
      </c>
      <c r="AA11036" s="262"/>
      <c r="AB11036" s="262"/>
      <c r="AC11036" s="548">
        <f t="shared" si="71"/>
        <v>0</v>
      </c>
      <c r="AD11036"/>
      <c r="AE11036"/>
      <c r="AF11036"/>
      <c r="AG11036"/>
      <c r="AH11036"/>
      <c r="AI11036"/>
      <c r="AJ11036"/>
      <c r="AK11036"/>
      <c r="AL11036"/>
      <c r="AM11036"/>
      <c r="AN11036"/>
    </row>
    <row r="11037" spans="1:40" s="47" customFormat="1">
      <c r="A11037" s="121"/>
      <c r="B11037" s="121"/>
      <c r="C11037" s="121"/>
      <c r="D11037" s="121"/>
      <c r="E11037" s="121"/>
      <c r="F11037" s="121"/>
      <c r="G11037" s="121"/>
      <c r="H11037" s="121"/>
      <c r="I11037" s="121"/>
      <c r="J11037" s="121"/>
      <c r="K11037" s="121"/>
      <c r="L11037" s="121"/>
      <c r="M11037" s="121"/>
      <c r="N11037" s="504"/>
      <c r="O11037" s="526"/>
      <c r="P11037" s="260"/>
      <c r="Q11037" s="321"/>
      <c r="R11037" s="260"/>
      <c r="S11037" s="260"/>
      <c r="T11037" s="260"/>
      <c r="U11037" s="260"/>
      <c r="V11037" s="260"/>
      <c r="W11037" s="260"/>
      <c r="X11037" s="260"/>
      <c r="Y11037" s="260"/>
      <c r="Z11037" s="260"/>
      <c r="AA11037" s="260"/>
      <c r="AB11037" s="260"/>
      <c r="AC11037" s="260"/>
      <c r="AD11037"/>
      <c r="AE11037"/>
      <c r="AF11037"/>
      <c r="AG11037"/>
      <c r="AH11037"/>
      <c r="AI11037"/>
      <c r="AJ11037"/>
      <c r="AK11037"/>
      <c r="AL11037"/>
      <c r="AM11037"/>
      <c r="AN11037"/>
    </row>
    <row r="11038" spans="1:40" s="47" customFormat="1">
      <c r="A11038" s="121"/>
      <c r="B11038" s="121"/>
      <c r="C11038" s="121"/>
      <c r="D11038" s="121"/>
      <c r="E11038" s="121"/>
      <c r="F11038" s="121"/>
      <c r="G11038" s="121"/>
      <c r="H11038" s="121"/>
      <c r="I11038" s="121"/>
      <c r="J11038" s="121"/>
      <c r="K11038" s="121"/>
      <c r="L11038" s="121"/>
      <c r="M11038" s="121"/>
      <c r="N11038" s="504"/>
      <c r="O11038" s="526"/>
      <c r="P11038" s="260"/>
      <c r="Q11038" s="321"/>
      <c r="R11038" s="260"/>
      <c r="S11038" s="260"/>
      <c r="T11038" s="260"/>
      <c r="U11038" s="260"/>
      <c r="V11038" s="260"/>
      <c r="W11038" s="260"/>
      <c r="X11038" s="260"/>
      <c r="Y11038" s="260"/>
      <c r="Z11038" s="260"/>
      <c r="AA11038" s="260"/>
      <c r="AB11038" s="260"/>
      <c r="AC11038" s="260"/>
      <c r="AD11038"/>
      <c r="AE11038"/>
      <c r="AF11038"/>
      <c r="AG11038"/>
      <c r="AH11038"/>
      <c r="AI11038"/>
      <c r="AJ11038"/>
      <c r="AK11038"/>
      <c r="AL11038"/>
      <c r="AM11038"/>
      <c r="AN11038"/>
    </row>
    <row r="11039" spans="1:40" s="47" customFormat="1">
      <c r="A11039" s="121"/>
      <c r="B11039" s="121"/>
      <c r="C11039" s="121"/>
      <c r="D11039" s="121"/>
      <c r="E11039" s="121"/>
      <c r="F11039" s="121"/>
      <c r="G11039" s="121"/>
      <c r="H11039" s="121"/>
      <c r="I11039" s="121"/>
      <c r="J11039" s="121"/>
      <c r="K11039" s="121"/>
      <c r="L11039" s="121"/>
      <c r="M11039" s="121"/>
      <c r="N11039" s="504"/>
      <c r="O11039" s="526"/>
      <c r="P11039" s="260"/>
      <c r="Q11039" s="321"/>
      <c r="R11039" s="260"/>
      <c r="S11039" s="260"/>
      <c r="T11039" s="260"/>
      <c r="U11039" s="260"/>
      <c r="V11039" s="260"/>
      <c r="W11039" s="260"/>
      <c r="X11039" s="260"/>
      <c r="Y11039" s="260"/>
      <c r="Z11039" s="260"/>
      <c r="AA11039" s="260"/>
      <c r="AB11039" s="260"/>
      <c r="AC11039" s="260"/>
      <c r="AD11039"/>
      <c r="AE11039"/>
      <c r="AF11039"/>
      <c r="AG11039"/>
      <c r="AH11039"/>
      <c r="AI11039"/>
      <c r="AJ11039"/>
      <c r="AK11039"/>
      <c r="AL11039"/>
      <c r="AM11039"/>
      <c r="AN11039"/>
    </row>
    <row r="11040" spans="1:40" s="47" customFormat="1">
      <c r="A11040" s="121"/>
      <c r="B11040" s="121"/>
      <c r="C11040" s="121"/>
      <c r="D11040" s="121"/>
      <c r="E11040" s="121"/>
      <c r="F11040" s="121"/>
      <c r="G11040" s="121"/>
      <c r="H11040" s="121"/>
      <c r="I11040" s="121"/>
      <c r="J11040" s="121"/>
      <c r="K11040" s="121"/>
      <c r="L11040" s="121"/>
      <c r="M11040" s="121"/>
      <c r="N11040" s="504"/>
      <c r="O11040" s="526"/>
      <c r="P11040" s="260"/>
      <c r="Q11040" s="321"/>
      <c r="R11040" s="260"/>
      <c r="S11040" s="260"/>
      <c r="T11040" s="260"/>
      <c r="U11040" s="260"/>
      <c r="V11040" s="260"/>
      <c r="W11040" s="260"/>
      <c r="X11040" s="260"/>
      <c r="Y11040" s="260"/>
      <c r="Z11040" s="260"/>
      <c r="AA11040" s="260"/>
      <c r="AB11040" s="260"/>
      <c r="AC11040" s="260"/>
      <c r="AD11040"/>
      <c r="AE11040"/>
      <c r="AF11040"/>
      <c r="AG11040"/>
      <c r="AH11040"/>
      <c r="AI11040"/>
      <c r="AJ11040"/>
      <c r="AK11040"/>
      <c r="AL11040"/>
      <c r="AM11040"/>
      <c r="AN11040"/>
    </row>
    <row r="11041" spans="1:40" s="47" customFormat="1">
      <c r="A11041" s="121"/>
      <c r="B11041" s="121"/>
      <c r="C11041" s="121"/>
      <c r="D11041" s="121"/>
      <c r="E11041" s="121"/>
      <c r="F11041" s="121"/>
      <c r="G11041" s="121"/>
      <c r="H11041" s="121"/>
      <c r="I11041" s="121"/>
      <c r="J11041" s="121"/>
      <c r="K11041" s="121"/>
      <c r="L11041" s="121"/>
      <c r="M11041" s="121"/>
      <c r="N11041" s="504"/>
      <c r="O11041" s="526"/>
      <c r="P11041" s="260"/>
      <c r="Q11041" s="321"/>
      <c r="R11041" s="260"/>
      <c r="S11041" s="260"/>
      <c r="T11041" s="260"/>
      <c r="U11041" s="260"/>
      <c r="V11041" s="260"/>
      <c r="W11041" s="260"/>
      <c r="X11041" s="260"/>
      <c r="Y11041" s="260"/>
      <c r="Z11041" s="260"/>
      <c r="AA11041" s="260"/>
      <c r="AB11041" s="260"/>
      <c r="AC11041" s="260"/>
      <c r="AD11041"/>
      <c r="AE11041"/>
      <c r="AF11041"/>
      <c r="AG11041"/>
      <c r="AH11041"/>
      <c r="AI11041"/>
      <c r="AJ11041"/>
      <c r="AK11041"/>
      <c r="AL11041"/>
      <c r="AM11041"/>
      <c r="AN11041"/>
    </row>
    <row r="11042" spans="1:40" s="47" customFormat="1">
      <c r="A11042" s="121"/>
      <c r="B11042" s="121"/>
      <c r="C11042" s="121"/>
      <c r="D11042" s="121"/>
      <c r="E11042" s="121"/>
      <c r="F11042" s="121"/>
      <c r="G11042" s="121"/>
      <c r="H11042" s="121"/>
      <c r="I11042" s="121"/>
      <c r="J11042" s="121"/>
      <c r="K11042" s="121"/>
      <c r="L11042" s="121"/>
      <c r="M11042" s="121"/>
      <c r="N11042" s="504"/>
      <c r="O11042" s="526"/>
      <c r="P11042" s="260"/>
      <c r="Q11042" s="321"/>
      <c r="R11042" s="260"/>
      <c r="S11042" s="260"/>
      <c r="T11042" s="260"/>
      <c r="U11042" s="260"/>
      <c r="V11042" s="260"/>
      <c r="W11042" s="260"/>
      <c r="X11042" s="260"/>
      <c r="Y11042" s="260"/>
      <c r="Z11042" s="260"/>
      <c r="AA11042" s="260"/>
      <c r="AB11042" s="260"/>
      <c r="AC11042" s="260"/>
      <c r="AD11042"/>
      <c r="AE11042"/>
      <c r="AF11042"/>
      <c r="AG11042"/>
      <c r="AH11042"/>
      <c r="AI11042"/>
      <c r="AJ11042"/>
      <c r="AK11042"/>
      <c r="AL11042"/>
      <c r="AM11042"/>
      <c r="AN11042"/>
    </row>
    <row r="11043" spans="1:40" s="47" customFormat="1">
      <c r="A11043" s="121"/>
      <c r="B11043" s="121"/>
      <c r="C11043" s="121"/>
      <c r="D11043" s="121"/>
      <c r="E11043" s="121"/>
      <c r="F11043" s="121"/>
      <c r="G11043" s="121"/>
      <c r="H11043" s="121"/>
      <c r="I11043" s="121"/>
      <c r="J11043" s="121"/>
      <c r="K11043" s="121"/>
      <c r="L11043" s="121"/>
      <c r="M11043" s="121"/>
      <c r="N11043" s="504"/>
      <c r="O11043" s="526"/>
      <c r="P11043" s="260"/>
      <c r="Q11043" s="321"/>
      <c r="R11043" s="260"/>
      <c r="S11043" s="260"/>
      <c r="T11043" s="260"/>
      <c r="U11043" s="260"/>
      <c r="V11043" s="260"/>
      <c r="W11043" s="260"/>
      <c r="X11043" s="260"/>
      <c r="Y11043" s="260"/>
      <c r="Z11043" s="260"/>
      <c r="AA11043" s="260"/>
      <c r="AB11043" s="260"/>
      <c r="AC11043" s="260"/>
      <c r="AD11043"/>
      <c r="AE11043"/>
      <c r="AF11043"/>
      <c r="AG11043"/>
      <c r="AH11043"/>
      <c r="AI11043"/>
      <c r="AJ11043"/>
      <c r="AK11043"/>
      <c r="AL11043"/>
      <c r="AM11043"/>
      <c r="AN11043"/>
    </row>
    <row r="11044" spans="1:40" s="47" customFormat="1">
      <c r="A11044" s="121"/>
      <c r="B11044" s="121"/>
      <c r="C11044" s="121"/>
      <c r="D11044" s="121"/>
      <c r="E11044" s="121"/>
      <c r="F11044" s="121"/>
      <c r="G11044" s="121"/>
      <c r="H11044" s="121"/>
      <c r="I11044" s="121"/>
      <c r="J11044" s="121"/>
      <c r="K11044" s="121"/>
      <c r="L11044" s="121"/>
      <c r="M11044" s="121"/>
      <c r="N11044" s="504"/>
      <c r="O11044" s="526"/>
      <c r="P11044" s="260"/>
      <c r="Q11044" s="321"/>
      <c r="R11044" s="260"/>
      <c r="S11044" s="260"/>
      <c r="T11044" s="260"/>
      <c r="U11044" s="260"/>
      <c r="V11044" s="260"/>
      <c r="W11044" s="260"/>
      <c r="X11044" s="260"/>
      <c r="Y11044" s="260"/>
      <c r="Z11044" s="260"/>
      <c r="AA11044" s="260"/>
      <c r="AB11044" s="260"/>
      <c r="AC11044" s="260"/>
      <c r="AD11044"/>
      <c r="AE11044"/>
      <c r="AF11044"/>
      <c r="AG11044"/>
      <c r="AH11044"/>
      <c r="AI11044"/>
      <c r="AJ11044"/>
      <c r="AK11044"/>
      <c r="AL11044"/>
      <c r="AM11044"/>
      <c r="AN11044"/>
    </row>
    <row r="11045" spans="1:40" s="47" customFormat="1" ht="57" customHeight="1">
      <c r="A11045" s="121"/>
      <c r="B11045" s="121"/>
      <c r="C11045" s="121"/>
      <c r="D11045" s="121"/>
      <c r="E11045" s="121"/>
      <c r="F11045" s="121"/>
      <c r="G11045" s="121"/>
      <c r="H11045" s="121"/>
      <c r="I11045" s="121"/>
      <c r="J11045" s="121"/>
      <c r="K11045" s="121"/>
      <c r="L11045" s="121"/>
      <c r="M11045" s="121"/>
      <c r="N11045" s="504"/>
      <c r="O11045" s="526"/>
      <c r="P11045" s="323"/>
      <c r="Q11045" s="321"/>
      <c r="R11045" s="323"/>
      <c r="S11045" s="323"/>
      <c r="T11045" s="260"/>
      <c r="U11045" s="260"/>
      <c r="V11045" s="260"/>
      <c r="W11045" s="260"/>
      <c r="X11045" s="260"/>
      <c r="Y11045" s="260"/>
      <c r="Z11045" s="260"/>
      <c r="AA11045" s="260"/>
      <c r="AB11045" s="260"/>
      <c r="AC11045" s="260"/>
      <c r="AD11045" s="260"/>
      <c r="AE11045" s="260"/>
      <c r="AF11045" s="260"/>
      <c r="AG11045" s="260"/>
      <c r="AH11045" s="260"/>
      <c r="AI11045" s="260"/>
      <c r="AJ11045" s="260"/>
      <c r="AK11045" s="260"/>
      <c r="AL11045" s="260"/>
      <c r="AM11045" s="816" t="s">
        <v>351</v>
      </c>
      <c r="AN11045"/>
    </row>
    <row r="11046" spans="1:40" s="47" customFormat="1" ht="57" customHeight="1">
      <c r="A11046" s="121"/>
      <c r="B11046" s="121"/>
      <c r="C11046" s="121"/>
      <c r="D11046" s="121"/>
      <c r="E11046" s="121"/>
      <c r="F11046" s="121"/>
      <c r="G11046" s="121"/>
      <c r="H11046" s="121"/>
      <c r="I11046" s="121"/>
      <c r="J11046" s="121"/>
      <c r="K11046" s="121"/>
      <c r="L11046" s="121"/>
      <c r="M11046" s="121"/>
      <c r="N11046" s="504"/>
      <c r="O11046" s="526"/>
      <c r="P11046" s="260"/>
      <c r="Q11046" s="321"/>
      <c r="R11046" s="260"/>
      <c r="S11046" s="260"/>
      <c r="T11046" s="260"/>
      <c r="U11046" s="260"/>
      <c r="V11046" s="260"/>
      <c r="W11046" s="260"/>
      <c r="X11046" s="260"/>
      <c r="Y11046" s="260"/>
      <c r="Z11046" s="260"/>
      <c r="AA11046" s="260"/>
      <c r="AB11046" s="260"/>
      <c r="AC11046" s="260"/>
      <c r="AD11046" s="260"/>
      <c r="AE11046" s="260"/>
      <c r="AF11046" s="260"/>
      <c r="AG11046" s="260"/>
      <c r="AH11046" s="260"/>
      <c r="AI11046" s="260"/>
      <c r="AJ11046" s="260"/>
      <c r="AK11046" s="260"/>
      <c r="AL11046" s="260"/>
      <c r="AM11046" s="816"/>
      <c r="AN11046"/>
    </row>
    <row r="11047" spans="1:40" s="47" customFormat="1">
      <c r="A11047" s="121"/>
      <c r="B11047" s="121"/>
      <c r="C11047" s="121"/>
      <c r="D11047" s="121"/>
      <c r="E11047" s="121"/>
      <c r="F11047" s="121"/>
      <c r="G11047" s="121"/>
      <c r="H11047" s="121"/>
      <c r="I11047" s="121"/>
      <c r="J11047" s="121"/>
      <c r="K11047" s="121"/>
      <c r="L11047" s="121"/>
      <c r="M11047" s="121"/>
      <c r="N11047" s="504"/>
      <c r="O11047" s="526"/>
      <c r="P11047" s="260"/>
      <c r="Q11047" s="321"/>
      <c r="R11047" s="260"/>
      <c r="S11047" s="260"/>
      <c r="T11047" s="260"/>
      <c r="U11047" s="260"/>
      <c r="V11047" s="260"/>
      <c r="W11047" s="260"/>
      <c r="X11047" s="260"/>
      <c r="Y11047" s="260"/>
      <c r="Z11047" s="260"/>
      <c r="AA11047" s="260"/>
      <c r="AB11047" s="260"/>
      <c r="AC11047" s="260"/>
      <c r="AD11047" s="260"/>
      <c r="AE11047" s="260"/>
      <c r="AF11047" s="260"/>
      <c r="AG11047" s="260"/>
      <c r="AH11047" s="260"/>
      <c r="AI11047" s="260"/>
      <c r="AJ11047" s="260"/>
      <c r="AK11047" s="260"/>
      <c r="AL11047" s="260"/>
      <c r="AM11047" s="816"/>
      <c r="AN11047"/>
    </row>
    <row r="11048" spans="1:40" s="47" customFormat="1" ht="57" customHeight="1">
      <c r="A11048" s="121"/>
      <c r="B11048" s="121"/>
      <c r="C11048" s="121"/>
      <c r="D11048" s="121"/>
      <c r="E11048" s="121"/>
      <c r="F11048" s="121"/>
      <c r="G11048" s="121"/>
      <c r="H11048" s="121"/>
      <c r="I11048" s="121"/>
      <c r="J11048" s="121"/>
      <c r="K11048" s="121"/>
      <c r="L11048" s="121"/>
      <c r="M11048" s="121"/>
      <c r="N11048" s="559"/>
      <c r="O11048" s="604"/>
      <c r="P11048" s="260"/>
      <c r="Q11048" s="321"/>
      <c r="R11048" s="260"/>
      <c r="S11048" s="260"/>
      <c r="T11048" s="260"/>
      <c r="U11048" s="260"/>
      <c r="V11048" s="260"/>
      <c r="W11048" s="260"/>
      <c r="X11048" s="260"/>
      <c r="Y11048" s="260"/>
      <c r="Z11048" s="260"/>
      <c r="AA11048" s="260"/>
      <c r="AB11048" s="260"/>
      <c r="AC11048" s="260"/>
      <c r="AD11048" s="260"/>
      <c r="AE11048" s="260"/>
      <c r="AF11048" s="260"/>
      <c r="AG11048" s="260"/>
      <c r="AH11048" s="260"/>
      <c r="AI11048" s="260"/>
      <c r="AJ11048" s="260"/>
      <c r="AK11048" s="260"/>
      <c r="AL11048" s="260"/>
      <c r="AM11048" s="816"/>
      <c r="AN11048"/>
    </row>
    <row r="11049" spans="1:40" s="121" customFormat="1">
      <c r="N11049" s="504"/>
      <c r="O11049" s="526"/>
      <c r="P11049" s="260"/>
      <c r="Q11049" s="321"/>
      <c r="R11049" s="260"/>
      <c r="S11049" s="260"/>
      <c r="T11049" s="260"/>
      <c r="U11049" s="260"/>
      <c r="V11049" s="260"/>
      <c r="W11049" s="260"/>
      <c r="X11049" s="260"/>
      <c r="Y11049" s="260"/>
      <c r="Z11049" s="260"/>
      <c r="AA11049" s="260"/>
      <c r="AB11049" s="260"/>
      <c r="AC11049" s="260"/>
      <c r="AD11049" s="260"/>
      <c r="AE11049" s="260"/>
      <c r="AF11049" s="260"/>
      <c r="AG11049" s="260"/>
      <c r="AH11049" s="260"/>
      <c r="AI11049" s="260"/>
      <c r="AJ11049" s="260"/>
      <c r="AK11049" s="260"/>
      <c r="AL11049" s="260"/>
      <c r="AM11049" s="816"/>
      <c r="AN11049"/>
    </row>
    <row r="11050" spans="1:40" s="121" customFormat="1">
      <c r="N11050" s="222"/>
      <c r="O11050" s="540"/>
      <c r="P11050" s="260"/>
      <c r="Q11050" s="321"/>
      <c r="R11050" s="260"/>
      <c r="S11050" s="260"/>
      <c r="T11050" s="260"/>
      <c r="U11050" s="260"/>
      <c r="V11050" s="260"/>
      <c r="W11050" s="260"/>
      <c r="X11050" s="260"/>
      <c r="Y11050" s="260"/>
      <c r="Z11050" s="260"/>
      <c r="AA11050" s="260"/>
      <c r="AB11050" s="260"/>
      <c r="AC11050" s="260"/>
      <c r="AD11050" s="260"/>
      <c r="AE11050" s="260"/>
      <c r="AF11050" s="260"/>
      <c r="AG11050" s="260"/>
      <c r="AH11050" s="260"/>
      <c r="AI11050" s="260"/>
      <c r="AJ11050" s="260"/>
      <c r="AK11050" s="260"/>
      <c r="AL11050" s="260"/>
      <c r="AM11050" s="816"/>
      <c r="AN11050"/>
    </row>
    <row r="11051" spans="1:40" s="121" customFormat="1" ht="11.25" customHeight="1">
      <c r="N11051" s="222"/>
      <c r="O11051" s="540"/>
      <c r="P11051" s="260"/>
      <c r="Q11051" s="321"/>
      <c r="R11051" s="260"/>
      <c r="S11051" s="260"/>
      <c r="T11051" s="260"/>
      <c r="U11051" s="260"/>
      <c r="V11051" s="260"/>
      <c r="W11051" s="260"/>
      <c r="X11051" s="260"/>
      <c r="Y11051" s="260"/>
      <c r="Z11051" s="260"/>
      <c r="AA11051" s="260"/>
      <c r="AB11051" s="260"/>
      <c r="AC11051" s="260"/>
      <c r="AD11051" s="260"/>
      <c r="AE11051" s="260"/>
      <c r="AF11051" s="260"/>
      <c r="AG11051" s="260"/>
      <c r="AH11051" s="260"/>
      <c r="AI11051" s="260"/>
      <c r="AJ11051" s="260"/>
      <c r="AK11051" s="260"/>
      <c r="AL11051" s="260"/>
      <c r="AM11051" s="816"/>
      <c r="AN11051"/>
    </row>
    <row r="11052" spans="1:40" s="121" customFormat="1">
      <c r="N11052" s="222"/>
      <c r="O11052" s="541"/>
      <c r="P11052" s="260"/>
      <c r="Q11052" s="321"/>
      <c r="R11052" s="260"/>
      <c r="S11052" s="260"/>
      <c r="T11052" s="260"/>
      <c r="U11052" s="260"/>
      <c r="V11052" s="260"/>
      <c r="W11052" s="260"/>
      <c r="X11052" s="260"/>
      <c r="Y11052" s="260"/>
      <c r="Z11052" s="260"/>
      <c r="AA11052" s="260"/>
      <c r="AB11052" s="260"/>
      <c r="AC11052" s="260"/>
      <c r="AD11052" s="260"/>
      <c r="AE11052" s="260"/>
      <c r="AF11052" s="260"/>
      <c r="AG11052" s="260"/>
      <c r="AH11052" s="260"/>
      <c r="AI11052" s="260"/>
      <c r="AJ11052" s="260"/>
      <c r="AK11052" s="260"/>
      <c r="AL11052" s="260"/>
      <c r="AM11052" s="816"/>
      <c r="AN11052"/>
    </row>
    <row r="11053" spans="1:40" s="47" customFormat="1">
      <c r="A11053" s="121"/>
      <c r="B11053" s="121"/>
      <c r="C11053" s="121"/>
      <c r="D11053" s="121"/>
      <c r="E11053" s="121"/>
      <c r="F11053" s="121"/>
      <c r="G11053" s="121"/>
      <c r="H11053" s="121"/>
      <c r="I11053" s="121"/>
      <c r="J11053" s="121"/>
      <c r="K11053" s="121"/>
      <c r="L11053" s="121"/>
      <c r="M11053" s="121"/>
      <c r="N11053" s="222"/>
      <c r="O11053" s="502"/>
      <c r="P11053" s="260"/>
      <c r="Q11053" s="321"/>
      <c r="R11053" s="260"/>
      <c r="S11053" s="260"/>
      <c r="T11053" s="260"/>
      <c r="U11053" s="260"/>
      <c r="V11053" s="260"/>
      <c r="W11053" s="260"/>
      <c r="X11053" s="260"/>
      <c r="Y11053" s="260"/>
      <c r="Z11053" s="260"/>
      <c r="AA11053" s="260"/>
      <c r="AB11053" s="260"/>
      <c r="AC11053" s="260"/>
      <c r="AD11053" s="260"/>
      <c r="AE11053" s="260"/>
      <c r="AF11053" s="260"/>
      <c r="AG11053" s="260"/>
      <c r="AH11053" s="260"/>
      <c r="AI11053" s="260"/>
      <c r="AJ11053" s="260"/>
      <c r="AK11053" s="260"/>
      <c r="AL11053" s="260"/>
      <c r="AM11053" s="816"/>
      <c r="AN11053"/>
    </row>
    <row r="11054" spans="1:40" s="47" customFormat="1">
      <c r="A11054" s="121"/>
      <c r="B11054" s="121"/>
      <c r="C11054" s="121"/>
      <c r="D11054" s="121"/>
      <c r="E11054" s="121"/>
      <c r="F11054" s="121"/>
      <c r="G11054" s="121"/>
      <c r="H11054" s="121"/>
      <c r="I11054" s="121"/>
      <c r="J11054" s="121"/>
      <c r="K11054" s="121"/>
      <c r="L11054" s="121"/>
      <c r="M11054" s="121"/>
      <c r="N11054" s="222"/>
      <c r="O11054" s="502"/>
      <c r="P11054" s="260"/>
      <c r="Q11054" s="321"/>
      <c r="R11054" s="260"/>
      <c r="S11054" s="260"/>
      <c r="T11054" s="260"/>
      <c r="U11054" s="260"/>
      <c r="V11054" s="260"/>
      <c r="W11054" s="260"/>
      <c r="X11054" s="260"/>
      <c r="Y11054" s="260"/>
      <c r="Z11054" s="260"/>
      <c r="AA11054" s="260"/>
      <c r="AB11054" s="260"/>
      <c r="AC11054" s="260"/>
      <c r="AD11054" s="260"/>
      <c r="AE11054" s="260"/>
      <c r="AF11054" s="260"/>
      <c r="AG11054" s="260"/>
      <c r="AH11054" s="260"/>
      <c r="AI11054" s="260"/>
      <c r="AJ11054" s="260"/>
      <c r="AK11054" s="260"/>
      <c r="AL11054" s="260"/>
      <c r="AM11054" s="816"/>
      <c r="AN11054"/>
    </row>
    <row r="11055" spans="1:40" s="121" customFormat="1">
      <c r="N11055" s="222"/>
      <c r="O11055" s="540"/>
      <c r="P11055" s="260"/>
      <c r="Q11055" s="321"/>
      <c r="R11055" s="260"/>
      <c r="S11055" s="260"/>
      <c r="T11055" s="260"/>
      <c r="U11055" s="260"/>
      <c r="V11055" s="260"/>
      <c r="W11055" s="260"/>
      <c r="X11055" s="260"/>
      <c r="Y11055" s="260"/>
      <c r="Z11055" s="260"/>
      <c r="AA11055" s="260"/>
      <c r="AB11055" s="260"/>
      <c r="AC11055" s="260"/>
      <c r="AD11055" s="260"/>
      <c r="AE11055" s="260"/>
      <c r="AF11055" s="260"/>
      <c r="AG11055" s="260"/>
      <c r="AH11055" s="260"/>
      <c r="AI11055" s="260"/>
      <c r="AJ11055" s="260"/>
      <c r="AK11055" s="260"/>
      <c r="AL11055" s="260"/>
      <c r="AM11055" s="816"/>
      <c r="AN11055"/>
    </row>
    <row r="11056" spans="1:40" s="121" customFormat="1">
      <c r="N11056" s="222"/>
      <c r="O11056" s="502"/>
      <c r="P11056" s="260"/>
      <c r="Q11056" s="321"/>
      <c r="R11056" s="260"/>
      <c r="S11056" s="260"/>
      <c r="T11056" s="260"/>
      <c r="U11056" s="260"/>
      <c r="V11056" s="260"/>
      <c r="W11056" s="260"/>
      <c r="X11056" s="260"/>
      <c r="Y11056" s="260"/>
      <c r="Z11056" s="260"/>
      <c r="AA11056" s="260"/>
      <c r="AB11056" s="260"/>
      <c r="AC11056" s="260"/>
      <c r="AD11056" s="260"/>
      <c r="AE11056" s="260"/>
      <c r="AF11056" s="260"/>
      <c r="AG11056" s="260"/>
      <c r="AH11056" s="260"/>
      <c r="AI11056" s="260"/>
      <c r="AJ11056" s="260"/>
      <c r="AK11056" s="260"/>
      <c r="AL11056" s="260"/>
      <c r="AM11056" s="816"/>
      <c r="AN11056"/>
    </row>
    <row r="11057" spans="1:40" s="121" customFormat="1">
      <c r="N11057" s="222"/>
      <c r="O11057" s="502"/>
      <c r="P11057" s="260"/>
      <c r="Q11057" s="321"/>
      <c r="R11057" s="260"/>
      <c r="S11057" s="260"/>
      <c r="T11057" s="260"/>
      <c r="U11057" s="260"/>
      <c r="V11057" s="260"/>
      <c r="W11057" s="260"/>
      <c r="X11057" s="260"/>
      <c r="Y11057" s="260"/>
      <c r="Z11057" s="260"/>
      <c r="AA11057" s="260"/>
      <c r="AB11057" s="260"/>
      <c r="AC11057" s="260"/>
      <c r="AD11057" s="260"/>
      <c r="AE11057" s="260"/>
      <c r="AF11057" s="260"/>
      <c r="AG11057" s="260"/>
      <c r="AH11057" s="260"/>
      <c r="AI11057" s="260"/>
      <c r="AJ11057" s="260"/>
      <c r="AK11057" s="260"/>
      <c r="AL11057" s="260"/>
      <c r="AM11057" s="816"/>
      <c r="AN11057"/>
    </row>
    <row r="11058" spans="1:40" s="121" customFormat="1">
      <c r="N11058" s="222"/>
      <c r="O11058" s="540"/>
      <c r="P11058" s="260"/>
      <c r="Q11058" s="321"/>
      <c r="R11058" s="260"/>
      <c r="S11058" s="260"/>
      <c r="T11058" s="260"/>
      <c r="U11058" s="260"/>
      <c r="V11058" s="260"/>
      <c r="W11058" s="260"/>
      <c r="X11058" s="260"/>
      <c r="Y11058" s="260"/>
      <c r="Z11058" s="260"/>
      <c r="AA11058" s="260"/>
      <c r="AB11058" s="260"/>
      <c r="AC11058" s="260"/>
      <c r="AD11058" s="260"/>
      <c r="AE11058" s="260"/>
      <c r="AF11058" s="260"/>
      <c r="AG11058" s="260"/>
      <c r="AH11058" s="260"/>
      <c r="AI11058" s="260"/>
      <c r="AJ11058" s="260"/>
      <c r="AK11058" s="260"/>
      <c r="AL11058" s="260"/>
      <c r="AM11058" s="816"/>
      <c r="AN11058"/>
    </row>
    <row r="11059" spans="1:40" s="121" customFormat="1">
      <c r="N11059" s="222"/>
      <c r="O11059" s="502"/>
      <c r="P11059" s="260"/>
      <c r="Q11059" s="321"/>
      <c r="R11059" s="260"/>
      <c r="S11059" s="260"/>
      <c r="T11059" s="260"/>
      <c r="U11059" s="260"/>
      <c r="V11059" s="260"/>
      <c r="W11059" s="260"/>
      <c r="X11059" s="260"/>
      <c r="Y11059" s="260"/>
      <c r="Z11059" s="260"/>
      <c r="AA11059" s="260"/>
      <c r="AB11059" s="260"/>
      <c r="AC11059" s="260"/>
      <c r="AD11059" s="260"/>
      <c r="AE11059" s="260"/>
      <c r="AF11059" s="260"/>
      <c r="AG11059" s="260"/>
      <c r="AH11059" s="260"/>
      <c r="AI11059" s="260"/>
      <c r="AJ11059" s="260"/>
      <c r="AK11059" s="260"/>
      <c r="AL11059" s="260"/>
      <c r="AM11059" s="816"/>
      <c r="AN11059"/>
    </row>
    <row r="11060" spans="1:40" s="121" customFormat="1">
      <c r="N11060" s="222"/>
      <c r="O11060" s="502"/>
      <c r="P11060" s="260"/>
      <c r="Q11060" s="321"/>
      <c r="R11060" s="260"/>
      <c r="S11060" s="260"/>
      <c r="T11060" s="260"/>
      <c r="U11060" s="260"/>
      <c r="V11060" s="260"/>
      <c r="W11060" s="260"/>
      <c r="X11060" s="260"/>
      <c r="Y11060" s="260"/>
      <c r="Z11060" s="260"/>
      <c r="AA11060" s="260"/>
      <c r="AB11060" s="260"/>
      <c r="AC11060" s="260"/>
      <c r="AD11060" s="260"/>
      <c r="AE11060" s="260"/>
      <c r="AF11060" s="260"/>
      <c r="AG11060" s="260"/>
      <c r="AH11060" s="260"/>
      <c r="AI11060" s="260"/>
      <c r="AJ11060" s="260"/>
      <c r="AK11060" s="260"/>
      <c r="AL11060" s="260"/>
      <c r="AM11060" s="816"/>
      <c r="AN11060"/>
    </row>
    <row r="11061" spans="1:40" s="47" customFormat="1">
      <c r="A11061" s="121"/>
      <c r="B11061" s="121"/>
      <c r="C11061" s="121"/>
      <c r="D11061" s="121"/>
      <c r="E11061" s="121"/>
      <c r="F11061" s="121"/>
      <c r="G11061" s="121"/>
      <c r="H11061" s="121"/>
      <c r="I11061" s="121"/>
      <c r="J11061" s="121"/>
      <c r="K11061" s="121"/>
      <c r="L11061" s="121"/>
      <c r="M11061" s="121"/>
      <c r="N11061" s="222"/>
      <c r="O11061" s="540"/>
      <c r="P11061" s="260"/>
      <c r="Q11061" s="321"/>
      <c r="R11061" s="260"/>
      <c r="S11061" s="260"/>
      <c r="T11061" s="260"/>
      <c r="U11061" s="260"/>
      <c r="V11061" s="260"/>
      <c r="W11061" s="260"/>
      <c r="X11061" s="260"/>
      <c r="Y11061" s="260"/>
      <c r="Z11061" s="260"/>
      <c r="AA11061" s="260"/>
      <c r="AB11061" s="260"/>
      <c r="AC11061" s="260"/>
      <c r="AD11061" s="260"/>
      <c r="AE11061" s="260"/>
      <c r="AF11061" s="260"/>
      <c r="AG11061" s="260"/>
      <c r="AH11061" s="260"/>
      <c r="AI11061" s="260"/>
      <c r="AJ11061" s="260"/>
      <c r="AK11061" s="260"/>
      <c r="AL11061" s="260"/>
      <c r="AM11061" s="816"/>
      <c r="AN11061"/>
    </row>
    <row r="11062" spans="1:40" s="121" customFormat="1">
      <c r="N11062" s="222"/>
      <c r="O11062" s="502"/>
      <c r="P11062" s="260"/>
      <c r="Q11062" s="321"/>
      <c r="R11062" s="260"/>
      <c r="S11062" s="260"/>
      <c r="T11062" s="260"/>
      <c r="U11062" s="260"/>
      <c r="V11062" s="260"/>
      <c r="W11062" s="260"/>
      <c r="X11062" s="260"/>
      <c r="Y11062" s="260"/>
      <c r="Z11062" s="260"/>
      <c r="AA11062" s="260"/>
      <c r="AB11062" s="260"/>
      <c r="AC11062" s="260"/>
      <c r="AD11062" s="260"/>
      <c r="AE11062" s="260"/>
      <c r="AF11062" s="260"/>
      <c r="AG11062" s="260"/>
      <c r="AH11062" s="260"/>
      <c r="AI11062" s="260"/>
      <c r="AJ11062" s="260"/>
      <c r="AK11062" s="260"/>
      <c r="AL11062" s="260"/>
      <c r="AM11062" s="816"/>
      <c r="AN11062"/>
    </row>
    <row r="11063" spans="1:40" s="121" customFormat="1">
      <c r="N11063" s="222"/>
      <c r="O11063" s="502"/>
      <c r="P11063" s="260"/>
      <c r="Q11063" s="321"/>
      <c r="R11063" s="260"/>
      <c r="S11063" s="260"/>
      <c r="T11063" s="260"/>
      <c r="U11063" s="260"/>
      <c r="V11063" s="260"/>
      <c r="W11063" s="260"/>
      <c r="X11063" s="260"/>
      <c r="Y11063" s="260"/>
      <c r="Z11063" s="260"/>
      <c r="AA11063" s="260"/>
      <c r="AB11063" s="260"/>
      <c r="AC11063" s="260"/>
      <c r="AD11063" s="260"/>
      <c r="AE11063" s="260"/>
      <c r="AF11063" s="260"/>
      <c r="AG11063" s="260"/>
      <c r="AH11063" s="260"/>
      <c r="AI11063" s="260"/>
      <c r="AJ11063" s="260"/>
      <c r="AK11063" s="260"/>
      <c r="AL11063" s="260"/>
      <c r="AM11063" s="816"/>
      <c r="AN11063"/>
    </row>
    <row r="11064" spans="1:40" s="121" customFormat="1">
      <c r="N11064" s="222"/>
      <c r="O11064" s="502"/>
      <c r="P11064" s="260"/>
      <c r="Q11064" s="321"/>
      <c r="R11064" s="260"/>
      <c r="S11064" s="260"/>
      <c r="T11064" s="260"/>
      <c r="U11064" s="260"/>
      <c r="V11064" s="260"/>
      <c r="W11064" s="260"/>
      <c r="X11064" s="260"/>
      <c r="Y11064" s="260"/>
      <c r="Z11064" s="260"/>
      <c r="AA11064" s="260"/>
      <c r="AB11064" s="260"/>
      <c r="AC11064" s="260"/>
      <c r="AD11064" s="260"/>
      <c r="AE11064" s="260"/>
      <c r="AF11064" s="260"/>
      <c r="AG11064" s="260"/>
      <c r="AH11064" s="260"/>
      <c r="AI11064" s="260"/>
      <c r="AJ11064" s="260"/>
      <c r="AK11064" s="260"/>
      <c r="AL11064" s="260"/>
      <c r="AM11064" s="816"/>
      <c r="AN11064"/>
    </row>
    <row r="11065" spans="1:40" s="121" customFormat="1">
      <c r="N11065" s="436" t="s">
        <v>857</v>
      </c>
      <c r="O11065" s="235" t="s">
        <v>395</v>
      </c>
      <c r="P11065" s="280"/>
      <c r="Q11065" s="321"/>
      <c r="R11065" s="260"/>
      <c r="S11065" s="260"/>
      <c r="T11065" s="260"/>
      <c r="U11065" s="260"/>
      <c r="V11065" s="629">
        <f>SUMIF(ВС.БПр!$BF$129:$BF$130,V$9&amp;"-I",ВС.БПр!$P$129:$P$130)/1000</f>
        <v>0</v>
      </c>
      <c r="W11065" s="548">
        <f>U11065+V11065</f>
        <v>0</v>
      </c>
      <c r="X11065" s="629">
        <f>SUMIF(ВС.БПр!$BF$129:$BF$130,X$9&amp;"-I",ВС.БПр!$P$129:$P$130)/1000</f>
        <v>0</v>
      </c>
      <c r="Y11065" s="260"/>
      <c r="Z11065" s="548">
        <f>X11065+Y11065</f>
        <v>0</v>
      </c>
      <c r="AA11065" s="629">
        <f>SUMIF(ВС.БПр!$BF$129:$BF$130,AA$9&amp;"-I",ВС.БПр!$P$129:$P$130)/1000</f>
        <v>0</v>
      </c>
      <c r="AB11065" s="629">
        <f>SUMIF(ВС.БПр!$BF$129:$BF$130,AB$9&amp;"-I",ВС.БПр!$P$129:$P$130)/1000</f>
        <v>0</v>
      </c>
      <c r="AC11065" s="548">
        <f>AA11065+AB11065</f>
        <v>0</v>
      </c>
      <c r="AD11065" s="260"/>
      <c r="AE11065" s="629">
        <f>SUMIF(ВС.БТр!$BF$129:$BF$130,AE$9&amp;"-I",ВС.БТр!$L$129:$L$130)/1000</f>
        <v>0</v>
      </c>
      <c r="AF11065" s="548">
        <f>AD11065+AE11065</f>
        <v>0</v>
      </c>
      <c r="AG11065" s="629">
        <f>SUMIF(ВС.БТр!$BF$129:$BF$130,AG$9&amp;"-I",ВС.БТр!$L$129:$L$130)/1000</f>
        <v>0</v>
      </c>
      <c r="AH11065" s="260"/>
      <c r="AI11065" s="548">
        <f>AG11065+AH11065</f>
        <v>0</v>
      </c>
      <c r="AJ11065" s="629">
        <f>SUMIF(ВС.БТр!$BF$129:$BF$130,AJ$9&amp;"-I",ВС.БТр!$L$129:$L$130)/1000</f>
        <v>0</v>
      </c>
      <c r="AK11065" s="629">
        <f>SUMIF(ВС.БТр!$BF$129:$BF$130,AK$9&amp;"-I",ВС.БТр!$L$129:$L$130)/1000</f>
        <v>0</v>
      </c>
      <c r="AL11065" s="548">
        <f>AJ11065+AK11065</f>
        <v>0</v>
      </c>
      <c r="AM11065" s="816"/>
      <c r="AN11065"/>
    </row>
    <row r="11066" spans="1:40" s="121" customFormat="1">
      <c r="N11066" s="436" t="s">
        <v>860</v>
      </c>
      <c r="O11066" s="571" t="str">
        <f>IF(TEMPLATE_CLAIM="U","Полезный отпуск продукции 01.07 - 31.08 всего (тыс. куб.м)","Полезный отпуск продукции 01.07 - 31.12 всего (тыс. куб.м)")</f>
        <v>Полезный отпуск продукции 01.07 - 31.08 всего (тыс. куб.м)</v>
      </c>
      <c r="P11066" s="257"/>
      <c r="Q11066" s="321"/>
      <c r="R11066" s="260"/>
      <c r="S11066" s="260"/>
      <c r="T11066" s="260"/>
      <c r="U11066" s="260"/>
      <c r="V11066" s="629">
        <f>SUMIF(ВС.БПр!$BF$129:$BF$130,V$9&amp;"-II",ВС.БПр!$P$129:$P$130)/1000</f>
        <v>0</v>
      </c>
      <c r="W11066" s="548">
        <f>U11066+V11066</f>
        <v>0</v>
      </c>
      <c r="X11066" s="629">
        <f>SUMIF(ВС.БПр!$BF$129:$BF$130,X$9&amp;"-II",ВС.БПр!$P$129:$P$130)/1000</f>
        <v>0</v>
      </c>
      <c r="Y11066" s="260"/>
      <c r="Z11066" s="548">
        <f>X11066+Y11066</f>
        <v>0</v>
      </c>
      <c r="AA11066" s="629">
        <f>SUMIF(ВС.БПр!$BF$129:$BF$130,AA$9&amp;"-II",ВС.БПр!$P$129:$P$130)/1000</f>
        <v>0</v>
      </c>
      <c r="AB11066" s="629">
        <f>SUMIF(ВС.БПр!$BF$129:$BF$130,AB$9&amp;"-II",ВС.БПр!$P$129:$P$130)/1000</f>
        <v>0</v>
      </c>
      <c r="AC11066" s="548">
        <f>AA11066+AB11066</f>
        <v>0</v>
      </c>
      <c r="AD11066" s="260"/>
      <c r="AE11066" s="629">
        <f>SUMIF(ВС.БТр!$BF$129:$BF$130,AE$9&amp;"-II",ВС.БТр!$L$129:$L$130)/1000</f>
        <v>0</v>
      </c>
      <c r="AF11066" s="548">
        <f>AD11066+AE11066</f>
        <v>0</v>
      </c>
      <c r="AG11066" s="629">
        <f>SUMIF(ВС.БТр!$BF$129:$BF$130,AG$9&amp;"-II",ВС.БТр!$L$129:$L$130)/1000</f>
        <v>0</v>
      </c>
      <c r="AH11066" s="260"/>
      <c r="AI11066" s="548">
        <f>AG11066+AH11066</f>
        <v>0</v>
      </c>
      <c r="AJ11066" s="629">
        <f>SUMIF(ВС.БТр!$BF$129:$BF$130,AJ$9&amp;"-II",ВС.БТр!$L$129:$L$130)/1000</f>
        <v>0</v>
      </c>
      <c r="AK11066" s="629">
        <f>SUMIF(ВС.БТр!$BF$129:$BF$130,AK$9&amp;"-II",ВС.БТр!$L$129:$L$130)/1000</f>
        <v>0</v>
      </c>
      <c r="AL11066" s="548">
        <f>AJ11066+AK11066</f>
        <v>0</v>
      </c>
      <c r="AM11066" s="816"/>
      <c r="AN11066"/>
    </row>
    <row r="11067" spans="1:40" s="47" customFormat="1">
      <c r="A11067" s="121"/>
      <c r="B11067" s="121"/>
      <c r="C11067" s="121"/>
      <c r="D11067" s="121"/>
      <c r="E11067" s="121"/>
      <c r="F11067" s="121"/>
      <c r="G11067" s="121"/>
      <c r="H11067" s="121"/>
      <c r="I11067" s="121"/>
      <c r="J11067" s="121"/>
      <c r="K11067" s="121"/>
      <c r="L11067" s="121"/>
      <c r="M11067" s="121"/>
      <c r="N11067" s="496" t="str">
        <f>IF(TEMPLATE_CLAIM="U","15.3","")</f>
        <v>15.3</v>
      </c>
      <c r="O11067" s="571" t="str">
        <f>IF(TEMPLATE_CLAIM="U","Полезный отпуск продукции 01.09 - 31.12 всего (тыс. куб.м)","")</f>
        <v>Полезный отпуск продукции 01.09 - 31.12 всего (тыс. куб.м)</v>
      </c>
      <c r="P11067" s="257"/>
      <c r="Q11067" s="321"/>
      <c r="R11067" s="260"/>
      <c r="S11067" s="260"/>
      <c r="T11067" s="260"/>
      <c r="U11067" s="260"/>
      <c r="V11067" s="629">
        <f>IF(TEMPLATE_CLAIM="U",SUMIF(ВС.БПр!$BF$129:$BF$130,V$9&amp;"-III",ВС.БПр!$P$129:$P$130)/1000,"")</f>
        <v>0</v>
      </c>
      <c r="W11067" s="570">
        <f>IF(TEMPLATE_CLAIM="U",U11067+V11067,"")</f>
        <v>0</v>
      </c>
      <c r="X11067" s="629">
        <f>IF(TEMPLATE_CLAIM="U",SUMIF(ВС.БПр!$BF$129:$BF$130,X$9&amp;"-III",ВС.БПр!$P$129:$P$130)/1000,"")</f>
        <v>0</v>
      </c>
      <c r="Y11067" s="260"/>
      <c r="Z11067" s="570">
        <f>IF(TEMPLATE_CLAIM="U",X11067+Y11067,"")</f>
        <v>0</v>
      </c>
      <c r="AA11067" s="629">
        <f>IF(TEMPLATE_CLAIM="U",SUMIF(ВС.БПр!$BF$129:$BF$130,AA$9&amp;"-III",ВС.БПр!$P$129:$P$130)/1000,"")</f>
        <v>0</v>
      </c>
      <c r="AB11067" s="629">
        <f>IF(TEMPLATE_CLAIM="U",SUMIF(ВС.БПр!$BF$129:$BF$130,AB$9&amp;"-III",ВС.БПр!$P$129:$P$130)/1000,"")</f>
        <v>0</v>
      </c>
      <c r="AC11067" s="570">
        <f>IF(TEMPLATE_CLAIM="U",AA11067+AB11067,"")</f>
        <v>0</v>
      </c>
      <c r="AD11067" s="260"/>
      <c r="AE11067" s="629">
        <f>IF(TEMPLATE_CLAIM="U",SUMIF(ВС.БТр!$BF$129:$BF$130,AE$9&amp;"-III",ВС.БТр!$L$129:$L$130)/1000,"")</f>
        <v>0</v>
      </c>
      <c r="AF11067" s="570">
        <f>IF(TEMPLATE_CLAIM="U",AD11067+AE11067,"")</f>
        <v>0</v>
      </c>
      <c r="AG11067" s="629">
        <f>IF(TEMPLATE_CLAIM="U",SUMIF(ВС.БТр!$BF$129:$BF$130,AG$9&amp;"-III",ВС.БТр!$L$129:$L$130)/1000,"")</f>
        <v>0</v>
      </c>
      <c r="AH11067" s="260"/>
      <c r="AI11067" s="570">
        <f>IF(TEMPLATE_CLAIM="U",AG11067+AH11067,"")</f>
        <v>0</v>
      </c>
      <c r="AJ11067" s="629">
        <f>IF(TEMPLATE_CLAIM="U",SUMIF(ВС.БТр!$BF$129:$BF$130,AJ$9&amp;"-III",ВС.БТр!$L$129:$L$130)/1000,"")</f>
        <v>0</v>
      </c>
      <c r="AK11067" s="629">
        <f>IF(TEMPLATE_CLAIM="U",SUMIF(ВС.БТр!$BF$129:$BF$130,AK$9&amp;"-III",ВС.БТр!$L$129:$L$130)/1000,"")</f>
        <v>0</v>
      </c>
      <c r="AL11067" s="570">
        <f>IF(TEMPLATE_CLAIM="U",AJ11067+AK11067,"")</f>
        <v>0</v>
      </c>
      <c r="AM11067" s="816"/>
      <c r="AN11067"/>
    </row>
    <row r="11068" spans="1:40" s="54" customFormat="1">
      <c r="A11068" s="121"/>
      <c r="B11068" s="121"/>
      <c r="C11068" s="121"/>
      <c r="D11068" s="121"/>
      <c r="E11068" s="121"/>
      <c r="F11068" s="121"/>
      <c r="G11068" s="121"/>
      <c r="H11068" s="121"/>
      <c r="I11068" s="121"/>
      <c r="J11068" s="121"/>
      <c r="K11068" s="121"/>
      <c r="L11068" s="121"/>
      <c r="M11068" s="121"/>
      <c r="N11068" s="223"/>
      <c r="O11068" s="216"/>
      <c r="P11068" s="216"/>
      <c r="Q11068" s="523"/>
      <c r="R11068" s="547"/>
      <c r="S11068" s="547"/>
      <c r="T11068" s="547"/>
      <c r="U11068" s="547"/>
      <c r="V11068" s="547"/>
      <c r="W11068" s="547"/>
      <c r="X11068" s="547"/>
      <c r="Y11068" s="547"/>
      <c r="Z11068" s="547"/>
      <c r="AA11068" s="547"/>
      <c r="AB11068" s="547"/>
      <c r="AC11068" s="547"/>
      <c r="AD11068" s="547"/>
      <c r="AE11068" s="547"/>
      <c r="AF11068" s="547"/>
      <c r="AG11068" s="547"/>
      <c r="AH11068" s="547"/>
      <c r="AI11068" s="547"/>
      <c r="AJ11068" s="547"/>
      <c r="AK11068" s="547"/>
      <c r="AL11068" s="547"/>
      <c r="AM11068" s="816"/>
      <c r="AN11068"/>
    </row>
    <row r="11069" spans="1:40" s="54" customFormat="1">
      <c r="A11069" s="121"/>
      <c r="B11069" s="121"/>
      <c r="C11069" s="121"/>
      <c r="D11069" s="121"/>
      <c r="E11069" s="121"/>
      <c r="F11069" s="121"/>
      <c r="G11069" s="121"/>
      <c r="H11069" s="121"/>
      <c r="I11069" s="121"/>
      <c r="J11069" s="121"/>
      <c r="K11069" s="121"/>
      <c r="L11069" s="121"/>
      <c r="M11069" s="121"/>
      <c r="N11069" s="56"/>
      <c r="P11069" s="121"/>
      <c r="Q11069" s="121"/>
      <c r="R11069" s="121"/>
      <c r="S11069" s="121"/>
      <c r="T11069" s="121"/>
      <c r="U11069" s="121"/>
      <c r="V11069" s="121"/>
      <c r="W11069" s="121"/>
      <c r="X11069" s="121"/>
      <c r="Y11069" s="121"/>
      <c r="Z11069" s="121"/>
      <c r="AA11069" s="121"/>
      <c r="AB11069" s="121"/>
      <c r="AC11069" s="121"/>
      <c r="AD11069" s="121"/>
      <c r="AE11069" s="121"/>
      <c r="AF11069" s="121"/>
      <c r="AG11069" s="121"/>
      <c r="AH11069" s="121"/>
      <c r="AI11069" s="121"/>
      <c r="AJ11069" s="121"/>
      <c r="AK11069" s="121"/>
      <c r="AL11069" s="121"/>
      <c r="AM11069" s="60"/>
      <c r="AN11069"/>
    </row>
    <row r="11070" spans="1:40" s="47" customFormat="1" ht="27" customHeight="1">
      <c r="A11070" s="121"/>
      <c r="B11070" s="121"/>
      <c r="C11070" s="121"/>
      <c r="D11070" s="121"/>
      <c r="E11070" s="121"/>
      <c r="F11070" s="121"/>
      <c r="G11070" s="121"/>
      <c r="H11070" s="121"/>
      <c r="I11070" s="121"/>
      <c r="J11070" s="121"/>
      <c r="K11070" s="121"/>
      <c r="L11070" s="121"/>
      <c r="M11070" s="121"/>
      <c r="N11070" s="49"/>
      <c r="R11070" s="60"/>
      <c r="S11070" s="60"/>
      <c r="T11070" s="60"/>
      <c r="U11070" s="815" t="s">
        <v>2644</v>
      </c>
      <c r="V11070" s="815"/>
      <c r="W11070" s="815"/>
      <c r="X11070" s="815" t="s">
        <v>2645</v>
      </c>
      <c r="Y11070" s="815"/>
      <c r="Z11070" s="815"/>
      <c r="AA11070" s="815" t="s">
        <v>2646</v>
      </c>
      <c r="AB11070" s="815"/>
      <c r="AC11070" s="815"/>
      <c r="AD11070" s="815" t="s">
        <v>2647</v>
      </c>
      <c r="AE11070" s="815"/>
      <c r="AF11070" s="815"/>
      <c r="AG11070" s="815" t="s">
        <v>2648</v>
      </c>
      <c r="AH11070" s="815"/>
      <c r="AI11070" s="815"/>
      <c r="AJ11070" s="815" t="s">
        <v>2649</v>
      </c>
      <c r="AK11070" s="815"/>
      <c r="AL11070" s="815"/>
      <c r="AN11070"/>
    </row>
    <row r="11071" spans="1:40">
      <c r="AD11071"/>
      <c r="AE11071"/>
      <c r="AF11071"/>
      <c r="AG11071"/>
      <c r="AH11071"/>
      <c r="AI11071"/>
      <c r="AJ11071"/>
      <c r="AK11071"/>
      <c r="AL11071"/>
      <c r="AM11071"/>
      <c r="AN11071"/>
    </row>
    <row r="11100" spans="14:39">
      <c r="R11100" s="795" t="s">
        <v>2650</v>
      </c>
      <c r="S11100" s="795"/>
      <c r="T11100" s="795"/>
      <c r="U11100" s="795" t="s">
        <v>2651</v>
      </c>
      <c r="V11100" s="795"/>
      <c r="W11100" s="795"/>
      <c r="X11100" s="795" t="s">
        <v>2652</v>
      </c>
      <c r="Y11100" s="795"/>
      <c r="Z11100" s="795"/>
      <c r="AA11100"/>
      <c r="AB11100"/>
      <c r="AC11100"/>
      <c r="AD11100"/>
      <c r="AE11100"/>
      <c r="AF11100"/>
      <c r="AG11100"/>
      <c r="AH11100"/>
      <c r="AI11100"/>
      <c r="AJ11100"/>
      <c r="AK11100"/>
      <c r="AL11100"/>
      <c r="AM11100"/>
    </row>
    <row r="11101" spans="14:39">
      <c r="Q11101" s="316"/>
      <c r="R11101" s="795" t="s">
        <v>2653</v>
      </c>
      <c r="S11101" s="795"/>
      <c r="T11101" s="795"/>
      <c r="U11101" s="795" t="s">
        <v>2654</v>
      </c>
      <c r="V11101" s="795"/>
      <c r="W11101" s="795"/>
      <c r="X11101" s="795" t="s">
        <v>2655</v>
      </c>
      <c r="Y11101" s="795"/>
      <c r="Z11101" s="795"/>
      <c r="AA11101"/>
      <c r="AB11101"/>
      <c r="AC11101"/>
      <c r="AD11101"/>
      <c r="AE11101"/>
      <c r="AF11101"/>
      <c r="AG11101"/>
      <c r="AH11101"/>
      <c r="AI11101"/>
      <c r="AJ11101"/>
      <c r="AK11101"/>
      <c r="AL11101"/>
      <c r="AM11101"/>
    </row>
    <row r="11102" spans="14:39" ht="11.25" customHeight="1">
      <c r="N11102" s="430" t="s">
        <v>1742</v>
      </c>
      <c r="O11102" s="315"/>
      <c r="P11102" s="309"/>
      <c r="Q11102" s="311"/>
      <c r="R11102" s="624"/>
      <c r="S11102" s="624"/>
      <c r="T11102" s="624"/>
      <c r="U11102" s="624"/>
      <c r="V11102" s="624"/>
      <c r="W11102" s="624"/>
      <c r="X11102" s="624"/>
      <c r="Y11102" s="624"/>
      <c r="Z11102" s="624"/>
      <c r="AA11102"/>
      <c r="AB11102"/>
      <c r="AC11102"/>
      <c r="AD11102"/>
      <c r="AE11102"/>
      <c r="AF11102"/>
      <c r="AG11102"/>
      <c r="AH11102"/>
      <c r="AI11102"/>
      <c r="AJ11102"/>
      <c r="AK11102"/>
      <c r="AL11102"/>
      <c r="AM11102"/>
    </row>
    <row r="11103" spans="14:39" ht="11.25" customHeight="1">
      <c r="N11103" s="811"/>
      <c r="O11103" s="812"/>
      <c r="P11103" s="813"/>
      <c r="Q11103" s="317"/>
      <c r="R11103" s="625" t="str">
        <f>R11105 &amp; ".1"</f>
        <v>.1</v>
      </c>
      <c r="S11103" s="625" t="str">
        <f>R11105 &amp; ".2"</f>
        <v>.2</v>
      </c>
      <c r="T11103" s="625" t="str">
        <f>R11105 &amp; ".0"</f>
        <v>.0</v>
      </c>
      <c r="U11103" s="625" t="str">
        <f>U11105 &amp; ".1"</f>
        <v>.1</v>
      </c>
      <c r="V11103" s="625" t="str">
        <f>U11105 &amp; ".2"</f>
        <v>.2</v>
      </c>
      <c r="W11103" s="625" t="str">
        <f>U11105 &amp; ".0"</f>
        <v>.0</v>
      </c>
      <c r="X11103" s="625" t="str">
        <f>X11105 &amp; ".1"</f>
        <v>.1</v>
      </c>
      <c r="Y11103" s="625" t="str">
        <f>X11105 &amp; ".2"</f>
        <v>.2</v>
      </c>
      <c r="Z11103" s="625" t="str">
        <f>X11105 &amp; ".0"</f>
        <v>.0</v>
      </c>
      <c r="AA11103"/>
      <c r="AB11103"/>
      <c r="AC11103"/>
      <c r="AD11103"/>
      <c r="AE11103"/>
      <c r="AF11103"/>
      <c r="AG11103"/>
      <c r="AH11103"/>
      <c r="AI11103"/>
      <c r="AJ11103"/>
      <c r="AK11103"/>
      <c r="AL11103"/>
      <c r="AM11103"/>
    </row>
    <row r="11104" spans="14:39" ht="11.25" customHeight="1">
      <c r="N11104" s="430" t="s">
        <v>1742</v>
      </c>
      <c r="O11104" s="221"/>
      <c r="P11104" s="122" t="s">
        <v>786</v>
      </c>
      <c r="Q11104" s="201"/>
      <c r="R11104" s="814" t="s">
        <v>719</v>
      </c>
      <c r="S11104" s="814"/>
      <c r="T11104" s="814"/>
      <c r="U11104" s="814" t="s">
        <v>719</v>
      </c>
      <c r="V11104" s="814"/>
      <c r="W11104" s="814"/>
      <c r="X11104" s="814" t="s">
        <v>719</v>
      </c>
      <c r="Y11104" s="814"/>
      <c r="Z11104" s="814"/>
      <c r="AA11104"/>
      <c r="AB11104"/>
      <c r="AC11104"/>
      <c r="AD11104"/>
      <c r="AE11104"/>
      <c r="AF11104"/>
      <c r="AG11104"/>
      <c r="AH11104"/>
      <c r="AI11104"/>
      <c r="AJ11104"/>
      <c r="AK11104"/>
      <c r="AL11104"/>
      <c r="AM11104"/>
    </row>
    <row r="11105" spans="1:39" ht="11.25" customHeight="1">
      <c r="N11105" s="802" t="s">
        <v>641</v>
      </c>
      <c r="O11105" s="804" t="s">
        <v>787</v>
      </c>
      <c r="P11105" s="806" t="s">
        <v>778</v>
      </c>
      <c r="Q11105" s="206">
        <v>0</v>
      </c>
      <c r="R11105" s="808"/>
      <c r="S11105" s="809"/>
      <c r="T11105" s="810"/>
      <c r="U11105" s="808"/>
      <c r="V11105" s="809"/>
      <c r="W11105" s="810"/>
      <c r="X11105" s="808"/>
      <c r="Y11105" s="809"/>
      <c r="Z11105" s="810"/>
      <c r="AA11105"/>
      <c r="AB11105"/>
      <c r="AC11105"/>
      <c r="AD11105"/>
      <c r="AE11105"/>
      <c r="AF11105"/>
      <c r="AG11105"/>
      <c r="AH11105"/>
      <c r="AI11105"/>
      <c r="AJ11105"/>
      <c r="AK11105"/>
      <c r="AL11105"/>
      <c r="AM11105"/>
    </row>
    <row r="11106" spans="1:39" ht="12" customHeight="1">
      <c r="N11106" s="803"/>
      <c r="O11106" s="805"/>
      <c r="P11106" s="807"/>
      <c r="Q11106" s="207"/>
      <c r="R11106" s="796"/>
      <c r="S11106" s="797"/>
      <c r="T11106" s="798"/>
      <c r="U11106" s="796"/>
      <c r="V11106" s="797"/>
      <c r="W11106" s="798"/>
      <c r="X11106" s="796"/>
      <c r="Y11106" s="797"/>
      <c r="Z11106" s="798"/>
      <c r="AA11106"/>
      <c r="AB11106"/>
      <c r="AC11106"/>
      <c r="AD11106"/>
      <c r="AE11106"/>
      <c r="AF11106"/>
      <c r="AG11106"/>
      <c r="AH11106"/>
      <c r="AI11106"/>
      <c r="AJ11106"/>
      <c r="AK11106"/>
      <c r="AL11106"/>
      <c r="AM11106"/>
    </row>
    <row r="11107" spans="1:39" ht="12" customHeight="1">
      <c r="N11107" s="222"/>
      <c r="O11107" s="501" t="s">
        <v>788</v>
      </c>
      <c r="P11107" s="542"/>
      <c r="Q11107" s="207"/>
      <c r="R11107" s="799"/>
      <c r="S11107" s="800"/>
      <c r="T11107" s="801"/>
      <c r="U11107" s="799"/>
      <c r="V11107" s="800"/>
      <c r="W11107" s="801"/>
      <c r="X11107" s="799"/>
      <c r="Y11107" s="800"/>
      <c r="Z11107" s="801"/>
      <c r="AA11107"/>
      <c r="AB11107"/>
      <c r="AC11107"/>
      <c r="AD11107"/>
      <c r="AE11107"/>
      <c r="AF11107"/>
      <c r="AG11107"/>
      <c r="AH11107"/>
      <c r="AI11107"/>
      <c r="AJ11107"/>
      <c r="AK11107"/>
      <c r="AL11107"/>
      <c r="AM11107"/>
    </row>
    <row r="11108" spans="1:39" ht="12" customHeight="1">
      <c r="N11108" s="222"/>
      <c r="O11108" s="556" t="str">
        <f>IF(CALC_IDENTIFIER="","",CALC_IDENTIFIER)</f>
        <v/>
      </c>
      <c r="P11108" s="557" t="s">
        <v>745</v>
      </c>
      <c r="Q11108" s="328"/>
      <c r="R11108" s="568"/>
      <c r="S11108" s="568"/>
      <c r="T11108" s="568"/>
      <c r="U11108" s="568"/>
      <c r="V11108" s="568"/>
      <c r="W11108" s="568" t="s">
        <v>745</v>
      </c>
      <c r="X11108" s="568"/>
      <c r="Y11108" s="568"/>
      <c r="Z11108" s="568" t="s">
        <v>745</v>
      </c>
      <c r="AA11108"/>
      <c r="AB11108"/>
      <c r="AC11108"/>
      <c r="AD11108"/>
      <c r="AE11108"/>
      <c r="AF11108"/>
      <c r="AG11108"/>
      <c r="AH11108"/>
      <c r="AI11108"/>
      <c r="AJ11108"/>
      <c r="AK11108"/>
      <c r="AL11108"/>
      <c r="AM11108"/>
    </row>
    <row r="11109" spans="1:39" s="47" customFormat="1">
      <c r="A11109" s="121"/>
      <c r="B11109" s="121"/>
      <c r="C11109" s="121"/>
      <c r="D11109" s="121"/>
      <c r="E11109" s="121"/>
      <c r="F11109" s="121"/>
      <c r="G11109" s="121"/>
      <c r="H11109" s="121"/>
      <c r="I11109" s="121"/>
      <c r="J11109" s="121"/>
      <c r="K11109" s="121"/>
      <c r="L11109" s="121"/>
      <c r="M11109" s="121"/>
      <c r="N11109" s="504"/>
      <c r="O11109" s="566"/>
      <c r="P11109" s="553"/>
      <c r="Q11109" s="321"/>
      <c r="R11109" s="553"/>
      <c r="S11109" s="553"/>
      <c r="T11109" s="553"/>
      <c r="U11109" s="553"/>
      <c r="V11109" s="553"/>
      <c r="W11109" s="553"/>
      <c r="X11109" s="553"/>
      <c r="Y11109" s="553"/>
      <c r="Z11109" s="553"/>
      <c r="AA11109"/>
      <c r="AB11109"/>
      <c r="AC11109"/>
      <c r="AD11109"/>
      <c r="AE11109"/>
      <c r="AF11109"/>
      <c r="AG11109"/>
      <c r="AH11109"/>
      <c r="AI11109"/>
      <c r="AJ11109"/>
      <c r="AK11109"/>
      <c r="AL11109"/>
      <c r="AM11109"/>
    </row>
    <row r="11110" spans="1:39" s="47" customFormat="1">
      <c r="A11110" s="121"/>
      <c r="B11110" s="121"/>
      <c r="C11110" s="121"/>
      <c r="D11110" s="121"/>
      <c r="E11110" s="121"/>
      <c r="F11110" s="121"/>
      <c r="G11110" s="121"/>
      <c r="H11110" s="121"/>
      <c r="I11110" s="121"/>
      <c r="J11110" s="121"/>
      <c r="K11110" s="121"/>
      <c r="L11110" s="121"/>
      <c r="M11110" s="121"/>
      <c r="N11110" s="504"/>
      <c r="O11110" s="527"/>
      <c r="P11110" s="553"/>
      <c r="Q11110" s="321"/>
      <c r="R11110" s="553"/>
      <c r="S11110" s="553"/>
      <c r="T11110" s="553"/>
      <c r="U11110" s="553"/>
      <c r="V11110" s="553"/>
      <c r="W11110" s="553"/>
      <c r="X11110" s="553"/>
      <c r="Y11110" s="553"/>
      <c r="Z11110" s="553"/>
      <c r="AA11110"/>
      <c r="AB11110"/>
      <c r="AC11110"/>
      <c r="AD11110"/>
      <c r="AE11110"/>
      <c r="AF11110"/>
      <c r="AG11110"/>
      <c r="AH11110"/>
      <c r="AI11110"/>
      <c r="AJ11110"/>
      <c r="AK11110"/>
      <c r="AL11110"/>
      <c r="AM11110"/>
    </row>
    <row r="11111" spans="1:39" s="47" customFormat="1">
      <c r="A11111" s="121"/>
      <c r="B11111" s="121"/>
      <c r="C11111" s="121"/>
      <c r="D11111" s="121"/>
      <c r="E11111" s="121"/>
      <c r="F11111" s="121"/>
      <c r="G11111" s="121"/>
      <c r="H11111" s="121"/>
      <c r="I11111" s="121"/>
      <c r="J11111" s="121"/>
      <c r="K11111" s="121"/>
      <c r="L11111" s="121"/>
      <c r="M11111" s="121"/>
      <c r="N11111" s="504" t="s">
        <v>751</v>
      </c>
      <c r="O11111" s="526" t="s">
        <v>2814</v>
      </c>
      <c r="P11111" s="257"/>
      <c r="Q11111" s="321"/>
      <c r="R11111" s="260"/>
      <c r="S11111" s="260"/>
      <c r="T11111" s="260"/>
      <c r="U11111" s="260"/>
      <c r="V11111" s="260"/>
      <c r="W11111" s="257">
        <f>W11112+W11141+W11142+W11143+W11147+W11148+W11149+W11174+W11180+W11184+W11185+W11186+W11187+W11190+W11191+W11192+W11193+W11203</f>
        <v>0</v>
      </c>
      <c r="X11111" s="260"/>
      <c r="Y11111" s="260"/>
      <c r="Z11111" s="257">
        <f>Z11112+Z11141+Z11142+Z11143+Z11147+Z11148+Z11149+Z11174+Z11180+Z11184+Z11185+Z11186+Z11187+Z11190+Z11191+Z11192+Z11193+Z11203</f>
        <v>0</v>
      </c>
      <c r="AA11111"/>
      <c r="AB11111"/>
      <c r="AC11111"/>
      <c r="AD11111"/>
      <c r="AE11111"/>
      <c r="AF11111"/>
      <c r="AG11111"/>
      <c r="AH11111"/>
      <c r="AI11111"/>
      <c r="AJ11111"/>
      <c r="AK11111"/>
      <c r="AL11111"/>
      <c r="AM11111"/>
    </row>
    <row r="11112" spans="1:39" s="47" customFormat="1">
      <c r="A11112" s="121"/>
      <c r="B11112" s="121"/>
      <c r="C11112" s="121"/>
      <c r="D11112" s="121"/>
      <c r="E11112" s="121"/>
      <c r="F11112" s="121"/>
      <c r="G11112" s="121"/>
      <c r="H11112" s="121"/>
      <c r="I11112" s="121"/>
      <c r="J11112" s="121"/>
      <c r="K11112" s="121"/>
      <c r="L11112" s="121"/>
      <c r="M11112" s="121"/>
      <c r="N11112" s="504" t="s">
        <v>66</v>
      </c>
      <c r="O11112" s="527" t="s">
        <v>2815</v>
      </c>
      <c r="P11112" s="257"/>
      <c r="Q11112" s="321"/>
      <c r="R11112" s="260"/>
      <c r="S11112" s="260"/>
      <c r="T11112" s="260"/>
      <c r="U11112" s="260"/>
      <c r="V11112" s="260"/>
      <c r="W11112" s="257">
        <f>W11113+W11140</f>
        <v>0</v>
      </c>
      <c r="X11112" s="260"/>
      <c r="Y11112" s="260"/>
      <c r="Z11112" s="257">
        <f>Z11113+Z11140</f>
        <v>0</v>
      </c>
      <c r="AA11112"/>
      <c r="AB11112"/>
      <c r="AC11112"/>
      <c r="AD11112"/>
      <c r="AE11112"/>
      <c r="AF11112"/>
      <c r="AG11112"/>
      <c r="AH11112"/>
      <c r="AI11112"/>
      <c r="AJ11112"/>
      <c r="AK11112"/>
      <c r="AL11112"/>
      <c r="AM11112"/>
    </row>
    <row r="11113" spans="1:39" s="47" customFormat="1">
      <c r="A11113" s="121"/>
      <c r="B11113" s="121"/>
      <c r="C11113" s="121"/>
      <c r="D11113" s="121"/>
      <c r="E11113" s="121"/>
      <c r="F11113" s="121"/>
      <c r="G11113" s="121"/>
      <c r="H11113" s="121"/>
      <c r="I11113" s="121"/>
      <c r="J11113" s="121"/>
      <c r="K11113" s="121"/>
      <c r="L11113" s="121"/>
      <c r="M11113" s="121"/>
      <c r="N11113" s="504" t="s">
        <v>632</v>
      </c>
      <c r="O11113" s="528" t="s">
        <v>2816</v>
      </c>
      <c r="P11113" s="257"/>
      <c r="Q11113" s="321"/>
      <c r="R11113" s="260"/>
      <c r="S11113" s="260"/>
      <c r="T11113" s="260"/>
      <c r="U11113" s="260"/>
      <c r="V11113" s="260"/>
      <c r="W11113" s="262">
        <f>IF($AP$8="I",'РО 01.01 - 30.06'!W11113,IF($AP$8="II",'РО 01.07 - 31.08'!W11113,IF($AP$8="III",'РО 01.09 - 31.12'!W11113,0)))*W11237</f>
        <v>0</v>
      </c>
      <c r="X11113" s="260"/>
      <c r="Y11113" s="260"/>
      <c r="Z11113" s="262">
        <f>IF($AP$8="I",'РО 01.01 - 30.06'!Z11113,IF($AP$8="II",'РО 01.07 - 31.08'!Z11113,IF($AP$8="III",'РО 01.09 - 31.12'!Z11113,0)))*Z11237</f>
        <v>0</v>
      </c>
      <c r="AA11113"/>
      <c r="AB11113"/>
      <c r="AC11113"/>
      <c r="AD11113"/>
      <c r="AE11113"/>
      <c r="AF11113"/>
      <c r="AG11113"/>
      <c r="AH11113"/>
      <c r="AI11113"/>
      <c r="AJ11113"/>
      <c r="AK11113"/>
      <c r="AL11113"/>
      <c r="AM11113"/>
    </row>
    <row r="11114" spans="1:39" s="47" customFormat="1">
      <c r="A11114" s="121"/>
      <c r="B11114" s="121"/>
      <c r="C11114" s="121"/>
      <c r="D11114" s="121"/>
      <c r="E11114" s="121"/>
      <c r="F11114" s="121"/>
      <c r="G11114" s="121"/>
      <c r="H11114" s="121"/>
      <c r="I11114" s="121"/>
      <c r="J11114" s="121"/>
      <c r="K11114" s="121"/>
      <c r="L11114" s="121"/>
      <c r="M11114" s="121"/>
      <c r="N11114" s="223" t="s">
        <v>2817</v>
      </c>
      <c r="O11114" s="529" t="s">
        <v>2972</v>
      </c>
      <c r="P11114" s="257"/>
      <c r="Q11114" s="321"/>
      <c r="R11114" s="260"/>
      <c r="S11114" s="260"/>
      <c r="T11114" s="260"/>
      <c r="U11114" s="260"/>
      <c r="V11114" s="260"/>
      <c r="W11114" s="262">
        <f>IF($AP$8="I",'РО 01.01 - 30.06'!W11114,IF($AP$8="II",'РО 01.07 - 31.08'!W11114,IF($AP$8="III",'РО 01.09 - 31.12'!W11114,0)))*W11237</f>
        <v>0</v>
      </c>
      <c r="X11114" s="260"/>
      <c r="Y11114" s="260"/>
      <c r="Z11114" s="262">
        <f>IF($AP$8="I",'РО 01.01 - 30.06'!Z11114,IF($AP$8="II",'РО 01.07 - 31.08'!Z11114,IF($AP$8="III",'РО 01.09 - 31.12'!Z11114,0)))*Z11237</f>
        <v>0</v>
      </c>
      <c r="AA11114"/>
      <c r="AB11114"/>
      <c r="AC11114"/>
      <c r="AD11114"/>
      <c r="AE11114"/>
      <c r="AF11114"/>
      <c r="AG11114"/>
      <c r="AH11114"/>
      <c r="AI11114"/>
      <c r="AJ11114"/>
      <c r="AK11114"/>
      <c r="AL11114"/>
      <c r="AM11114"/>
    </row>
    <row r="11115" spans="1:39" s="47" customFormat="1">
      <c r="A11115" s="121"/>
      <c r="B11115" s="121"/>
      <c r="C11115" s="121"/>
      <c r="D11115" s="121"/>
      <c r="E11115" s="121"/>
      <c r="F11115" s="121"/>
      <c r="G11115" s="121"/>
      <c r="H11115" s="121"/>
      <c r="I11115" s="121"/>
      <c r="J11115" s="121"/>
      <c r="K11115" s="121"/>
      <c r="L11115" s="121"/>
      <c r="M11115" s="121"/>
      <c r="N11115" s="223" t="s">
        <v>2818</v>
      </c>
      <c r="O11115" s="529" t="s">
        <v>2988</v>
      </c>
      <c r="P11115" s="257"/>
      <c r="Q11115" s="321"/>
      <c r="R11115" s="260"/>
      <c r="S11115" s="260"/>
      <c r="T11115" s="260"/>
      <c r="U11115" s="260"/>
      <c r="V11115" s="260"/>
      <c r="W11115" s="262">
        <f>IF($AP$8="I",'РО 01.01 - 30.06'!W11115,IF($AP$8="II",'РО 01.07 - 31.08'!W11115,IF($AP$8="III",'РО 01.09 - 31.12'!W11115,0)))*W11237</f>
        <v>0</v>
      </c>
      <c r="X11115" s="260"/>
      <c r="Y11115" s="260"/>
      <c r="Z11115" s="262">
        <f>IF($AP$8="I",'РО 01.01 - 30.06'!Z11115,IF($AP$8="II",'РО 01.07 - 31.08'!Z11115,IF($AP$8="III",'РО 01.09 - 31.12'!Z11115,0)))*Z11237</f>
        <v>0</v>
      </c>
      <c r="AA11115"/>
      <c r="AB11115"/>
      <c r="AC11115"/>
      <c r="AD11115"/>
      <c r="AE11115"/>
      <c r="AF11115"/>
      <c r="AG11115"/>
      <c r="AH11115"/>
      <c r="AI11115"/>
      <c r="AJ11115"/>
      <c r="AK11115"/>
      <c r="AL11115"/>
      <c r="AM11115"/>
    </row>
    <row r="11116" spans="1:39" s="47" customFormat="1" hidden="1">
      <c r="A11116" s="121"/>
      <c r="B11116" s="121"/>
      <c r="C11116" s="121"/>
      <c r="D11116" s="121"/>
      <c r="E11116" s="121"/>
      <c r="F11116" s="121"/>
      <c r="G11116" s="121"/>
      <c r="H11116" s="121"/>
      <c r="I11116" s="121"/>
      <c r="J11116" s="121"/>
      <c r="K11116" s="121"/>
      <c r="L11116" s="121"/>
      <c r="M11116" s="121"/>
      <c r="N11116" s="223"/>
      <c r="O11116" s="529"/>
      <c r="P11116" s="553"/>
      <c r="Q11116" s="553"/>
      <c r="R11116" s="553"/>
      <c r="S11116" s="553"/>
      <c r="T11116" s="553"/>
      <c r="U11116" s="553"/>
      <c r="V11116" s="553"/>
      <c r="W11116" s="553"/>
      <c r="X11116" s="553"/>
      <c r="Y11116" s="553"/>
      <c r="Z11116" s="553"/>
      <c r="AA11116"/>
      <c r="AB11116"/>
      <c r="AC11116"/>
      <c r="AD11116"/>
      <c r="AE11116"/>
      <c r="AF11116"/>
      <c r="AG11116"/>
      <c r="AH11116"/>
      <c r="AI11116"/>
      <c r="AJ11116"/>
      <c r="AK11116"/>
      <c r="AL11116"/>
      <c r="AM11116"/>
    </row>
    <row r="11117" spans="1:39" s="47" customFormat="1" hidden="1">
      <c r="A11117" s="121"/>
      <c r="B11117" s="121"/>
      <c r="C11117" s="121"/>
      <c r="D11117" s="121"/>
      <c r="E11117" s="121"/>
      <c r="F11117" s="121"/>
      <c r="G11117" s="121"/>
      <c r="H11117" s="121"/>
      <c r="I11117" s="121"/>
      <c r="J11117" s="121"/>
      <c r="K11117" s="121"/>
      <c r="L11117" s="121"/>
      <c r="M11117" s="121"/>
      <c r="N11117" s="223"/>
      <c r="O11117" s="529"/>
      <c r="P11117" s="553"/>
      <c r="Q11117" s="553"/>
      <c r="R11117" s="553"/>
      <c r="S11117" s="553"/>
      <c r="T11117" s="553"/>
      <c r="U11117" s="553"/>
      <c r="V11117" s="553"/>
      <c r="W11117" s="553"/>
      <c r="X11117" s="553"/>
      <c r="Y11117" s="553"/>
      <c r="Z11117" s="553"/>
      <c r="AA11117"/>
      <c r="AB11117"/>
      <c r="AC11117"/>
      <c r="AD11117"/>
      <c r="AE11117"/>
      <c r="AF11117"/>
      <c r="AG11117"/>
      <c r="AH11117"/>
      <c r="AI11117"/>
      <c r="AJ11117"/>
      <c r="AK11117"/>
      <c r="AL11117"/>
      <c r="AM11117"/>
    </row>
    <row r="11118" spans="1:39" s="47" customFormat="1" hidden="1">
      <c r="A11118" s="121"/>
      <c r="B11118" s="121"/>
      <c r="C11118" s="121"/>
      <c r="D11118" s="121"/>
      <c r="E11118" s="121"/>
      <c r="F11118" s="121"/>
      <c r="G11118" s="121"/>
      <c r="H11118" s="121"/>
      <c r="I11118" s="121"/>
      <c r="J11118" s="121"/>
      <c r="K11118" s="121"/>
      <c r="L11118" s="121"/>
      <c r="M11118" s="121"/>
      <c r="N11118" s="223"/>
      <c r="O11118" s="529"/>
      <c r="P11118" s="553"/>
      <c r="Q11118" s="553"/>
      <c r="R11118" s="553"/>
      <c r="S11118" s="553"/>
      <c r="T11118" s="553"/>
      <c r="U11118" s="553"/>
      <c r="V11118" s="553"/>
      <c r="W11118" s="553"/>
      <c r="X11118" s="553"/>
      <c r="Y11118" s="553"/>
      <c r="Z11118" s="553"/>
      <c r="AA11118"/>
      <c r="AB11118"/>
      <c r="AC11118"/>
      <c r="AD11118"/>
      <c r="AE11118"/>
      <c r="AF11118"/>
      <c r="AG11118"/>
      <c r="AH11118"/>
      <c r="AI11118"/>
      <c r="AJ11118"/>
      <c r="AK11118"/>
      <c r="AL11118"/>
      <c r="AM11118"/>
    </row>
    <row r="11119" spans="1:39" s="47" customFormat="1" hidden="1">
      <c r="A11119" s="121"/>
      <c r="B11119" s="121"/>
      <c r="C11119" s="121"/>
      <c r="D11119" s="121"/>
      <c r="E11119" s="121"/>
      <c r="F11119" s="121"/>
      <c r="G11119" s="121"/>
      <c r="H11119" s="121"/>
      <c r="I11119" s="121"/>
      <c r="J11119" s="121"/>
      <c r="K11119" s="121"/>
      <c r="L11119" s="121"/>
      <c r="M11119" s="121"/>
      <c r="N11119" s="223"/>
      <c r="O11119" s="529"/>
      <c r="P11119" s="553"/>
      <c r="Q11119" s="553"/>
      <c r="R11119" s="553"/>
      <c r="S11119" s="553"/>
      <c r="T11119" s="553"/>
      <c r="U11119" s="553"/>
      <c r="V11119" s="553"/>
      <c r="W11119" s="553"/>
      <c r="X11119" s="553"/>
      <c r="Y11119" s="553"/>
      <c r="Z11119" s="553"/>
      <c r="AA11119"/>
      <c r="AB11119"/>
      <c r="AC11119"/>
      <c r="AD11119"/>
      <c r="AE11119"/>
      <c r="AF11119"/>
      <c r="AG11119"/>
      <c r="AH11119"/>
      <c r="AI11119"/>
      <c r="AJ11119"/>
      <c r="AK11119"/>
      <c r="AL11119"/>
      <c r="AM11119"/>
    </row>
    <row r="11120" spans="1:39" s="47" customFormat="1" hidden="1">
      <c r="A11120" s="121"/>
      <c r="B11120" s="121"/>
      <c r="C11120" s="121"/>
      <c r="D11120" s="121"/>
      <c r="E11120" s="121"/>
      <c r="F11120" s="121"/>
      <c r="G11120" s="121"/>
      <c r="H11120" s="121"/>
      <c r="I11120" s="121"/>
      <c r="J11120" s="121"/>
      <c r="K11120" s="121"/>
      <c r="L11120" s="121"/>
      <c r="M11120" s="121"/>
      <c r="N11120" s="223"/>
      <c r="O11120" s="529"/>
      <c r="P11120" s="553"/>
      <c r="Q11120" s="553"/>
      <c r="R11120" s="553"/>
      <c r="S11120" s="553"/>
      <c r="T11120" s="553"/>
      <c r="U11120" s="553"/>
      <c r="V11120" s="553"/>
      <c r="W11120" s="553"/>
      <c r="X11120" s="553"/>
      <c r="Y11120" s="553"/>
      <c r="Z11120" s="553"/>
      <c r="AA11120"/>
      <c r="AB11120"/>
      <c r="AC11120"/>
      <c r="AD11120"/>
      <c r="AE11120"/>
      <c r="AF11120"/>
      <c r="AG11120"/>
      <c r="AH11120"/>
      <c r="AI11120"/>
      <c r="AJ11120"/>
      <c r="AK11120"/>
      <c r="AL11120"/>
      <c r="AM11120"/>
    </row>
    <row r="11121" spans="1:39" s="47" customFormat="1" hidden="1">
      <c r="A11121" s="121"/>
      <c r="B11121" s="121"/>
      <c r="C11121" s="121"/>
      <c r="D11121" s="121"/>
      <c r="E11121" s="121"/>
      <c r="F11121" s="121"/>
      <c r="G11121" s="121"/>
      <c r="H11121" s="121"/>
      <c r="I11121" s="121"/>
      <c r="J11121" s="121"/>
      <c r="K11121" s="121"/>
      <c r="L11121" s="121"/>
      <c r="M11121" s="121"/>
      <c r="N11121" s="223"/>
      <c r="O11121" s="529"/>
      <c r="P11121" s="553"/>
      <c r="Q11121" s="553"/>
      <c r="R11121" s="553"/>
      <c r="S11121" s="553"/>
      <c r="T11121" s="553"/>
      <c r="U11121" s="553"/>
      <c r="V11121" s="553"/>
      <c r="W11121" s="553"/>
      <c r="X11121" s="553"/>
      <c r="Y11121" s="553"/>
      <c r="Z11121" s="553"/>
      <c r="AA11121"/>
      <c r="AB11121"/>
      <c r="AC11121"/>
      <c r="AD11121"/>
      <c r="AE11121"/>
      <c r="AF11121"/>
      <c r="AG11121"/>
      <c r="AH11121"/>
      <c r="AI11121"/>
      <c r="AJ11121"/>
      <c r="AK11121"/>
      <c r="AL11121"/>
      <c r="AM11121"/>
    </row>
    <row r="11122" spans="1:39" s="47" customFormat="1" hidden="1">
      <c r="A11122" s="121"/>
      <c r="B11122" s="121"/>
      <c r="C11122" s="121"/>
      <c r="D11122" s="121"/>
      <c r="E11122" s="121"/>
      <c r="F11122" s="121"/>
      <c r="G11122" s="121"/>
      <c r="H11122" s="121"/>
      <c r="I11122" s="121"/>
      <c r="J11122" s="121"/>
      <c r="K11122" s="121"/>
      <c r="L11122" s="121"/>
      <c r="M11122" s="121"/>
      <c r="N11122" s="223"/>
      <c r="O11122" s="529"/>
      <c r="P11122" s="553"/>
      <c r="Q11122" s="553"/>
      <c r="R11122" s="553"/>
      <c r="S11122" s="553"/>
      <c r="T11122" s="553"/>
      <c r="U11122" s="553"/>
      <c r="V11122" s="553"/>
      <c r="W11122" s="553"/>
      <c r="X11122" s="553"/>
      <c r="Y11122" s="553"/>
      <c r="Z11122" s="553"/>
      <c r="AA11122"/>
      <c r="AB11122"/>
      <c r="AC11122"/>
      <c r="AD11122"/>
      <c r="AE11122"/>
      <c r="AF11122"/>
      <c r="AG11122"/>
      <c r="AH11122"/>
      <c r="AI11122"/>
      <c r="AJ11122"/>
      <c r="AK11122"/>
      <c r="AL11122"/>
      <c r="AM11122"/>
    </row>
    <row r="11123" spans="1:39" s="47" customFormat="1" hidden="1">
      <c r="A11123" s="121"/>
      <c r="B11123" s="121"/>
      <c r="C11123" s="121"/>
      <c r="D11123" s="121"/>
      <c r="E11123" s="121"/>
      <c r="F11123" s="121"/>
      <c r="G11123" s="121"/>
      <c r="H11123" s="121"/>
      <c r="I11123" s="121"/>
      <c r="J11123" s="121"/>
      <c r="K11123" s="121"/>
      <c r="L11123" s="121"/>
      <c r="M11123" s="121"/>
      <c r="N11123" s="223"/>
      <c r="O11123" s="529"/>
      <c r="P11123" s="553"/>
      <c r="Q11123" s="553"/>
      <c r="R11123" s="553"/>
      <c r="S11123" s="553"/>
      <c r="T11123" s="553"/>
      <c r="U11123" s="553"/>
      <c r="V11123" s="553"/>
      <c r="W11123" s="553"/>
      <c r="X11123" s="553"/>
      <c r="Y11123" s="553"/>
      <c r="Z11123" s="553"/>
      <c r="AA11123"/>
      <c r="AB11123"/>
      <c r="AC11123"/>
      <c r="AD11123"/>
      <c r="AE11123"/>
      <c r="AF11123"/>
      <c r="AG11123"/>
      <c r="AH11123"/>
      <c r="AI11123"/>
      <c r="AJ11123"/>
      <c r="AK11123"/>
      <c r="AL11123"/>
      <c r="AM11123"/>
    </row>
    <row r="11124" spans="1:39" s="47" customFormat="1" hidden="1">
      <c r="A11124" s="121"/>
      <c r="B11124" s="121"/>
      <c r="C11124" s="121"/>
      <c r="D11124" s="121"/>
      <c r="E11124" s="121"/>
      <c r="F11124" s="121"/>
      <c r="G11124" s="121"/>
      <c r="H11124" s="121"/>
      <c r="I11124" s="121"/>
      <c r="J11124" s="121"/>
      <c r="K11124" s="121"/>
      <c r="L11124" s="121"/>
      <c r="M11124" s="121"/>
      <c r="N11124" s="223"/>
      <c r="O11124" s="529"/>
      <c r="P11124" s="553"/>
      <c r="Q11124" s="553"/>
      <c r="R11124" s="553"/>
      <c r="S11124" s="553"/>
      <c r="T11124" s="553"/>
      <c r="U11124" s="553"/>
      <c r="V11124" s="553"/>
      <c r="W11124" s="553"/>
      <c r="X11124" s="553"/>
      <c r="Y11124" s="553"/>
      <c r="Z11124" s="553"/>
      <c r="AA11124"/>
      <c r="AB11124"/>
      <c r="AC11124"/>
      <c r="AD11124"/>
      <c r="AE11124"/>
      <c r="AF11124"/>
      <c r="AG11124"/>
      <c r="AH11124"/>
      <c r="AI11124"/>
      <c r="AJ11124"/>
      <c r="AK11124"/>
      <c r="AL11124"/>
      <c r="AM11124"/>
    </row>
    <row r="11125" spans="1:39" s="47" customFormat="1" hidden="1">
      <c r="A11125" s="121"/>
      <c r="B11125" s="121"/>
      <c r="C11125" s="121"/>
      <c r="D11125" s="121"/>
      <c r="E11125" s="121"/>
      <c r="F11125" s="121"/>
      <c r="G11125" s="121"/>
      <c r="H11125" s="121"/>
      <c r="I11125" s="121"/>
      <c r="J11125" s="121"/>
      <c r="K11125" s="121"/>
      <c r="L11125" s="121"/>
      <c r="M11125" s="121"/>
      <c r="N11125" s="223"/>
      <c r="O11125" s="529"/>
      <c r="P11125" s="553"/>
      <c r="Q11125" s="553"/>
      <c r="R11125" s="553"/>
      <c r="S11125" s="553"/>
      <c r="T11125" s="553"/>
      <c r="U11125" s="553"/>
      <c r="V11125" s="553"/>
      <c r="W11125" s="553"/>
      <c r="X11125" s="553"/>
      <c r="Y11125" s="553"/>
      <c r="Z11125" s="553"/>
      <c r="AA11125"/>
      <c r="AB11125"/>
      <c r="AC11125"/>
      <c r="AD11125"/>
      <c r="AE11125"/>
      <c r="AF11125"/>
      <c r="AG11125"/>
      <c r="AH11125"/>
      <c r="AI11125"/>
      <c r="AJ11125"/>
      <c r="AK11125"/>
      <c r="AL11125"/>
      <c r="AM11125"/>
    </row>
    <row r="11126" spans="1:39" s="47" customFormat="1" hidden="1">
      <c r="A11126" s="121"/>
      <c r="B11126" s="121"/>
      <c r="C11126" s="121"/>
      <c r="D11126" s="121"/>
      <c r="E11126" s="121"/>
      <c r="F11126" s="121"/>
      <c r="G11126" s="121"/>
      <c r="H11126" s="121"/>
      <c r="I11126" s="121"/>
      <c r="J11126" s="121"/>
      <c r="K11126" s="121"/>
      <c r="L11126" s="121"/>
      <c r="M11126" s="121"/>
      <c r="N11126" s="223"/>
      <c r="O11126" s="529"/>
      <c r="P11126" s="553"/>
      <c r="Q11126" s="553"/>
      <c r="R11126" s="553"/>
      <c r="S11126" s="553"/>
      <c r="T11126" s="553"/>
      <c r="U11126" s="553"/>
      <c r="V11126" s="553"/>
      <c r="W11126" s="553"/>
      <c r="X11126" s="553"/>
      <c r="Y11126" s="553"/>
      <c r="Z11126" s="553"/>
      <c r="AA11126"/>
      <c r="AB11126"/>
      <c r="AC11126"/>
      <c r="AD11126"/>
      <c r="AE11126"/>
      <c r="AF11126"/>
      <c r="AG11126"/>
      <c r="AH11126"/>
      <c r="AI11126"/>
      <c r="AJ11126"/>
      <c r="AK11126"/>
      <c r="AL11126"/>
      <c r="AM11126"/>
    </row>
    <row r="11127" spans="1:39" s="47" customFormat="1" hidden="1">
      <c r="A11127" s="121"/>
      <c r="B11127" s="121"/>
      <c r="C11127" s="121"/>
      <c r="D11127" s="121"/>
      <c r="E11127" s="121"/>
      <c r="F11127" s="121"/>
      <c r="G11127" s="121"/>
      <c r="H11127" s="121"/>
      <c r="I11127" s="121"/>
      <c r="J11127" s="121"/>
      <c r="K11127" s="121"/>
      <c r="L11127" s="121"/>
      <c r="M11127" s="121"/>
      <c r="N11127" s="223"/>
      <c r="O11127" s="529"/>
      <c r="P11127" s="553"/>
      <c r="Q11127" s="553"/>
      <c r="R11127" s="553"/>
      <c r="S11127" s="553"/>
      <c r="T11127" s="553"/>
      <c r="U11127" s="553"/>
      <c r="V11127" s="553"/>
      <c r="W11127" s="553"/>
      <c r="X11127" s="553"/>
      <c r="Y11127" s="553"/>
      <c r="Z11127" s="553"/>
      <c r="AA11127"/>
      <c r="AB11127"/>
      <c r="AC11127"/>
      <c r="AD11127"/>
      <c r="AE11127"/>
      <c r="AF11127"/>
      <c r="AG11127"/>
      <c r="AH11127"/>
      <c r="AI11127"/>
      <c r="AJ11127"/>
      <c r="AK11127"/>
      <c r="AL11127"/>
      <c r="AM11127"/>
    </row>
    <row r="11128" spans="1:39" s="47" customFormat="1" hidden="1">
      <c r="A11128" s="121"/>
      <c r="B11128" s="121"/>
      <c r="C11128" s="121"/>
      <c r="D11128" s="121"/>
      <c r="E11128" s="121"/>
      <c r="F11128" s="121"/>
      <c r="G11128" s="121"/>
      <c r="H11128" s="121"/>
      <c r="I11128" s="121"/>
      <c r="J11128" s="121"/>
      <c r="K11128" s="121"/>
      <c r="L11128" s="121"/>
      <c r="M11128" s="121"/>
      <c r="N11128" s="223"/>
      <c r="O11128" s="529"/>
      <c r="P11128" s="553"/>
      <c r="Q11128" s="553"/>
      <c r="R11128" s="553"/>
      <c r="S11128" s="553"/>
      <c r="T11128" s="553"/>
      <c r="U11128" s="553"/>
      <c r="V11128" s="553"/>
      <c r="W11128" s="553"/>
      <c r="X11128" s="553"/>
      <c r="Y11128" s="553"/>
      <c r="Z11128" s="553"/>
      <c r="AA11128"/>
      <c r="AB11128"/>
      <c r="AC11128"/>
      <c r="AD11128"/>
      <c r="AE11128"/>
      <c r="AF11128"/>
      <c r="AG11128"/>
      <c r="AH11128"/>
      <c r="AI11128"/>
      <c r="AJ11128"/>
      <c r="AK11128"/>
      <c r="AL11128"/>
      <c r="AM11128"/>
    </row>
    <row r="11129" spans="1:39" s="47" customFormat="1" hidden="1">
      <c r="A11129" s="121"/>
      <c r="B11129" s="121"/>
      <c r="C11129" s="121"/>
      <c r="D11129" s="121"/>
      <c r="E11129" s="121"/>
      <c r="F11129" s="121"/>
      <c r="G11129" s="121"/>
      <c r="H11129" s="121"/>
      <c r="I11129" s="121"/>
      <c r="J11129" s="121"/>
      <c r="K11129" s="121"/>
      <c r="L11129" s="121"/>
      <c r="M11129" s="121"/>
      <c r="N11129" s="223"/>
      <c r="O11129" s="529"/>
      <c r="P11129" s="553"/>
      <c r="Q11129" s="553"/>
      <c r="R11129" s="553"/>
      <c r="S11129" s="553"/>
      <c r="T11129" s="553"/>
      <c r="U11129" s="553"/>
      <c r="V11129" s="553"/>
      <c r="W11129" s="553"/>
      <c r="X11129" s="553"/>
      <c r="Y11129" s="553"/>
      <c r="Z11129" s="553"/>
      <c r="AA11129"/>
      <c r="AB11129"/>
      <c r="AC11129"/>
      <c r="AD11129"/>
      <c r="AE11129"/>
      <c r="AF11129"/>
      <c r="AG11129"/>
      <c r="AH11129"/>
      <c r="AI11129"/>
      <c r="AJ11129"/>
      <c r="AK11129"/>
      <c r="AL11129"/>
      <c r="AM11129"/>
    </row>
    <row r="11130" spans="1:39" s="47" customFormat="1" hidden="1">
      <c r="A11130" s="121"/>
      <c r="B11130" s="121"/>
      <c r="C11130" s="121"/>
      <c r="D11130" s="121"/>
      <c r="E11130" s="121"/>
      <c r="F11130" s="121"/>
      <c r="G11130" s="121"/>
      <c r="H11130" s="121"/>
      <c r="I11130" s="121"/>
      <c r="J11130" s="121"/>
      <c r="K11130" s="121"/>
      <c r="L11130" s="121"/>
      <c r="M11130" s="121"/>
      <c r="N11130" s="223"/>
      <c r="O11130" s="529"/>
      <c r="P11130" s="553"/>
      <c r="Q11130" s="553"/>
      <c r="R11130" s="553"/>
      <c r="S11130" s="553"/>
      <c r="T11130" s="553"/>
      <c r="U11130" s="553"/>
      <c r="V11130" s="553"/>
      <c r="W11130" s="553"/>
      <c r="X11130" s="553"/>
      <c r="Y11130" s="553"/>
      <c r="Z11130" s="553"/>
      <c r="AA11130"/>
      <c r="AB11130"/>
      <c r="AC11130"/>
      <c r="AD11130"/>
      <c r="AE11130"/>
      <c r="AF11130"/>
      <c r="AG11130"/>
      <c r="AH11130"/>
      <c r="AI11130"/>
      <c r="AJ11130"/>
      <c r="AK11130"/>
      <c r="AL11130"/>
      <c r="AM11130"/>
    </row>
    <row r="11131" spans="1:39" s="47" customFormat="1" hidden="1">
      <c r="A11131" s="121"/>
      <c r="B11131" s="121"/>
      <c r="C11131" s="121"/>
      <c r="D11131" s="121"/>
      <c r="E11131" s="121"/>
      <c r="F11131" s="121"/>
      <c r="G11131" s="121"/>
      <c r="H11131" s="121"/>
      <c r="I11131" s="121"/>
      <c r="J11131" s="121"/>
      <c r="K11131" s="121"/>
      <c r="L11131" s="121"/>
      <c r="M11131" s="121"/>
      <c r="N11131" s="223"/>
      <c r="O11131" s="529"/>
      <c r="P11131" s="553"/>
      <c r="Q11131" s="553"/>
      <c r="R11131" s="553"/>
      <c r="S11131" s="553"/>
      <c r="T11131" s="553"/>
      <c r="U11131" s="553"/>
      <c r="V11131" s="553"/>
      <c r="W11131" s="553"/>
      <c r="X11131" s="553"/>
      <c r="Y11131" s="553"/>
      <c r="Z11131" s="553"/>
      <c r="AA11131"/>
      <c r="AB11131"/>
      <c r="AC11131"/>
      <c r="AD11131"/>
      <c r="AE11131"/>
      <c r="AF11131"/>
      <c r="AG11131"/>
      <c r="AH11131"/>
      <c r="AI11131"/>
      <c r="AJ11131"/>
      <c r="AK11131"/>
      <c r="AL11131"/>
      <c r="AM11131"/>
    </row>
    <row r="11132" spans="1:39" s="47" customFormat="1" hidden="1">
      <c r="A11132" s="121"/>
      <c r="B11132" s="121"/>
      <c r="C11132" s="121"/>
      <c r="D11132" s="121"/>
      <c r="E11132" s="121"/>
      <c r="F11132" s="121"/>
      <c r="G11132" s="121"/>
      <c r="H11132" s="121"/>
      <c r="I11132" s="121"/>
      <c r="J11132" s="121"/>
      <c r="K11132" s="121"/>
      <c r="L11132" s="121"/>
      <c r="M11132" s="121"/>
      <c r="N11132" s="223"/>
      <c r="O11132" s="529"/>
      <c r="P11132" s="553"/>
      <c r="Q11132" s="553"/>
      <c r="R11132" s="553"/>
      <c r="S11132" s="553"/>
      <c r="T11132" s="553"/>
      <c r="U11132" s="553"/>
      <c r="V11132" s="553"/>
      <c r="W11132" s="553"/>
      <c r="X11132" s="553"/>
      <c r="Y11132" s="553"/>
      <c r="Z11132" s="553"/>
      <c r="AA11132"/>
      <c r="AB11132"/>
      <c r="AC11132"/>
      <c r="AD11132"/>
      <c r="AE11132"/>
      <c r="AF11132"/>
      <c r="AG11132"/>
      <c r="AH11132"/>
      <c r="AI11132"/>
      <c r="AJ11132"/>
      <c r="AK11132"/>
      <c r="AL11132"/>
      <c r="AM11132"/>
    </row>
    <row r="11133" spans="1:39" s="47" customFormat="1" hidden="1">
      <c r="A11133" s="121"/>
      <c r="B11133" s="121"/>
      <c r="C11133" s="121"/>
      <c r="D11133" s="121"/>
      <c r="E11133" s="121"/>
      <c r="F11133" s="121"/>
      <c r="G11133" s="121"/>
      <c r="H11133" s="121"/>
      <c r="I11133" s="121"/>
      <c r="J11133" s="121"/>
      <c r="K11133" s="121"/>
      <c r="L11133" s="121"/>
      <c r="M11133" s="121"/>
      <c r="N11133" s="223"/>
      <c r="O11133" s="529"/>
      <c r="P11133" s="553"/>
      <c r="Q11133" s="553"/>
      <c r="R11133" s="553"/>
      <c r="S11133" s="553"/>
      <c r="T11133" s="553"/>
      <c r="U11133" s="553"/>
      <c r="V11133" s="553"/>
      <c r="W11133" s="553"/>
      <c r="X11133" s="553"/>
      <c r="Y11133" s="553"/>
      <c r="Z11133" s="553"/>
      <c r="AA11133"/>
      <c r="AB11133"/>
      <c r="AC11133"/>
      <c r="AD11133"/>
      <c r="AE11133"/>
      <c r="AF11133"/>
      <c r="AG11133"/>
      <c r="AH11133"/>
      <c r="AI11133"/>
      <c r="AJ11133"/>
      <c r="AK11133"/>
      <c r="AL11133"/>
      <c r="AM11133"/>
    </row>
    <row r="11134" spans="1:39" s="47" customFormat="1" hidden="1">
      <c r="A11134" s="121"/>
      <c r="B11134" s="121"/>
      <c r="C11134" s="121"/>
      <c r="D11134" s="121"/>
      <c r="E11134" s="121"/>
      <c r="F11134" s="121"/>
      <c r="G11134" s="121"/>
      <c r="H11134" s="121"/>
      <c r="I11134" s="121"/>
      <c r="J11134" s="121"/>
      <c r="K11134" s="121"/>
      <c r="L11134" s="121"/>
      <c r="M11134" s="121"/>
      <c r="N11134" s="223"/>
      <c r="O11134" s="529"/>
      <c r="P11134" s="553"/>
      <c r="Q11134" s="553"/>
      <c r="R11134" s="553"/>
      <c r="S11134" s="553"/>
      <c r="T11134" s="553"/>
      <c r="U11134" s="553"/>
      <c r="V11134" s="553"/>
      <c r="W11134" s="553"/>
      <c r="X11134" s="553"/>
      <c r="Y11134" s="553"/>
      <c r="Z11134" s="553"/>
      <c r="AA11134"/>
      <c r="AB11134"/>
      <c r="AC11134"/>
      <c r="AD11134"/>
      <c r="AE11134"/>
      <c r="AF11134"/>
      <c r="AG11134"/>
      <c r="AH11134"/>
      <c r="AI11134"/>
      <c r="AJ11134"/>
      <c r="AK11134"/>
      <c r="AL11134"/>
      <c r="AM11134"/>
    </row>
    <row r="11135" spans="1:39" s="47" customFormat="1" hidden="1">
      <c r="A11135" s="121"/>
      <c r="B11135" s="121"/>
      <c r="C11135" s="121"/>
      <c r="D11135" s="121"/>
      <c r="E11135" s="121"/>
      <c r="F11135" s="121"/>
      <c r="G11135" s="121"/>
      <c r="H11135" s="121"/>
      <c r="I11135" s="121"/>
      <c r="J11135" s="121"/>
      <c r="K11135" s="121"/>
      <c r="L11135" s="121"/>
      <c r="M11135" s="121"/>
      <c r="N11135" s="223"/>
      <c r="O11135" s="529"/>
      <c r="P11135" s="553"/>
      <c r="Q11135" s="553"/>
      <c r="R11135" s="553"/>
      <c r="S11135" s="553"/>
      <c r="T11135" s="553"/>
      <c r="U11135" s="553"/>
      <c r="V11135" s="553"/>
      <c r="W11135" s="553"/>
      <c r="X11135" s="553"/>
      <c r="Y11135" s="553"/>
      <c r="Z11135" s="553"/>
      <c r="AA11135"/>
      <c r="AB11135"/>
      <c r="AC11135"/>
      <c r="AD11135"/>
      <c r="AE11135"/>
      <c r="AF11135"/>
      <c r="AG11135"/>
      <c r="AH11135"/>
      <c r="AI11135"/>
      <c r="AJ11135"/>
      <c r="AK11135"/>
      <c r="AL11135"/>
      <c r="AM11135"/>
    </row>
    <row r="11136" spans="1:39" s="47" customFormat="1" hidden="1">
      <c r="A11136" s="121"/>
      <c r="B11136" s="121"/>
      <c r="C11136" s="121"/>
      <c r="D11136" s="121"/>
      <c r="E11136" s="121"/>
      <c r="F11136" s="121"/>
      <c r="G11136" s="121"/>
      <c r="H11136" s="121"/>
      <c r="I11136" s="121"/>
      <c r="J11136" s="121"/>
      <c r="K11136" s="121"/>
      <c r="L11136" s="121"/>
      <c r="M11136" s="121"/>
      <c r="N11136" s="223"/>
      <c r="O11136" s="529"/>
      <c r="P11136" s="553"/>
      <c r="Q11136" s="553"/>
      <c r="R11136" s="553"/>
      <c r="S11136" s="553"/>
      <c r="T11136" s="553"/>
      <c r="U11136" s="553"/>
      <c r="V11136" s="553"/>
      <c r="W11136" s="553"/>
      <c r="X11136" s="553"/>
      <c r="Y11136" s="553"/>
      <c r="Z11136" s="553"/>
      <c r="AA11136"/>
      <c r="AB11136"/>
      <c r="AC11136"/>
      <c r="AD11136"/>
      <c r="AE11136"/>
      <c r="AF11136"/>
      <c r="AG11136"/>
      <c r="AH11136"/>
      <c r="AI11136"/>
      <c r="AJ11136"/>
      <c r="AK11136"/>
      <c r="AL11136"/>
      <c r="AM11136"/>
    </row>
    <row r="11137" spans="1:39" s="47" customFormat="1" hidden="1">
      <c r="A11137" s="121"/>
      <c r="B11137" s="121"/>
      <c r="C11137" s="121"/>
      <c r="D11137" s="121"/>
      <c r="E11137" s="121"/>
      <c r="F11137" s="121"/>
      <c r="G11137" s="121"/>
      <c r="H11137" s="121"/>
      <c r="I11137" s="121"/>
      <c r="J11137" s="121"/>
      <c r="K11137" s="121"/>
      <c r="L11137" s="121"/>
      <c r="M11137" s="121"/>
      <c r="N11137" s="223"/>
      <c r="O11137" s="529"/>
      <c r="P11137" s="553"/>
      <c r="Q11137" s="553"/>
      <c r="R11137" s="553"/>
      <c r="S11137" s="553"/>
      <c r="T11137" s="553"/>
      <c r="U11137" s="553"/>
      <c r="V11137" s="553"/>
      <c r="W11137" s="553"/>
      <c r="X11137" s="553"/>
      <c r="Y11137" s="553"/>
      <c r="Z11137" s="553"/>
      <c r="AA11137"/>
      <c r="AB11137"/>
      <c r="AC11137"/>
      <c r="AD11137"/>
      <c r="AE11137"/>
      <c r="AF11137"/>
      <c r="AG11137"/>
      <c r="AH11137"/>
      <c r="AI11137"/>
      <c r="AJ11137"/>
      <c r="AK11137"/>
      <c r="AL11137"/>
      <c r="AM11137"/>
    </row>
    <row r="11138" spans="1:39" s="47" customFormat="1" hidden="1">
      <c r="A11138" s="121"/>
      <c r="B11138" s="121"/>
      <c r="C11138" s="121"/>
      <c r="D11138" s="121"/>
      <c r="E11138" s="121"/>
      <c r="F11138" s="121"/>
      <c r="G11138" s="121"/>
      <c r="H11138" s="121"/>
      <c r="I11138" s="121"/>
      <c r="J11138" s="121"/>
      <c r="K11138" s="121"/>
      <c r="L11138" s="121"/>
      <c r="M11138" s="121"/>
      <c r="N11138" s="223"/>
      <c r="O11138" s="529"/>
      <c r="P11138" s="553"/>
      <c r="Q11138" s="553"/>
      <c r="R11138" s="553"/>
      <c r="S11138" s="553"/>
      <c r="T11138" s="553"/>
      <c r="U11138" s="553"/>
      <c r="V11138" s="553"/>
      <c r="W11138" s="553"/>
      <c r="X11138" s="553"/>
      <c r="Y11138" s="553"/>
      <c r="Z11138" s="553"/>
      <c r="AA11138"/>
      <c r="AB11138"/>
      <c r="AC11138"/>
      <c r="AD11138"/>
      <c r="AE11138"/>
      <c r="AF11138"/>
      <c r="AG11138"/>
      <c r="AH11138"/>
      <c r="AI11138"/>
      <c r="AJ11138"/>
      <c r="AK11138"/>
      <c r="AL11138"/>
      <c r="AM11138"/>
    </row>
    <row r="11139" spans="1:39" s="47" customFormat="1" hidden="1">
      <c r="A11139" s="121"/>
      <c r="B11139" s="121"/>
      <c r="C11139" s="121"/>
      <c r="D11139" s="121"/>
      <c r="E11139" s="121"/>
      <c r="F11139" s="121"/>
      <c r="G11139" s="121"/>
      <c r="H11139" s="121"/>
      <c r="I11139" s="121"/>
      <c r="J11139" s="121"/>
      <c r="K11139" s="121"/>
      <c r="L11139" s="121"/>
      <c r="M11139" s="121"/>
      <c r="N11139" s="223"/>
      <c r="O11139" s="529"/>
      <c r="P11139" s="553"/>
      <c r="Q11139" s="553"/>
      <c r="R11139" s="553"/>
      <c r="S11139" s="553"/>
      <c r="T11139" s="553"/>
      <c r="U11139" s="553"/>
      <c r="V11139" s="553"/>
      <c r="W11139" s="553"/>
      <c r="X11139" s="553"/>
      <c r="Y11139" s="553"/>
      <c r="Z11139" s="553"/>
      <c r="AA11139"/>
      <c r="AB11139"/>
      <c r="AC11139"/>
      <c r="AD11139"/>
      <c r="AE11139"/>
      <c r="AF11139"/>
      <c r="AG11139"/>
      <c r="AH11139"/>
      <c r="AI11139"/>
      <c r="AJ11139"/>
      <c r="AK11139"/>
      <c r="AL11139"/>
      <c r="AM11139"/>
    </row>
    <row r="11140" spans="1:39" s="47" customFormat="1">
      <c r="A11140" s="121"/>
      <c r="B11140" s="121"/>
      <c r="C11140" s="121"/>
      <c r="D11140" s="121"/>
      <c r="E11140" s="121"/>
      <c r="F11140" s="121"/>
      <c r="G11140" s="121"/>
      <c r="H11140" s="121"/>
      <c r="I11140" s="121"/>
      <c r="J11140" s="121"/>
      <c r="K11140" s="121"/>
      <c r="L11140" s="121"/>
      <c r="M11140" s="121"/>
      <c r="N11140" s="504" t="s">
        <v>633</v>
      </c>
      <c r="O11140" s="532" t="s">
        <v>2819</v>
      </c>
      <c r="P11140" s="257"/>
      <c r="Q11140" s="321"/>
      <c r="R11140" s="260"/>
      <c r="S11140" s="260"/>
      <c r="T11140" s="260"/>
      <c r="U11140" s="260"/>
      <c r="V11140" s="260"/>
      <c r="W11140" s="262">
        <f>IF($AP$8="I",'РО 01.01 - 30.06'!W11140,IF($AP$8="II",'РО 01.07 - 31.08'!W11140,IF($AP$8="III",'РО 01.09 - 31.12'!W11140,0)))*W11237</f>
        <v>0</v>
      </c>
      <c r="X11140" s="260"/>
      <c r="Y11140" s="260"/>
      <c r="Z11140" s="262">
        <f>IF($AP$8="I",'РО 01.01 - 30.06'!Z11140,IF($AP$8="II",'РО 01.07 - 31.08'!Z11140,IF($AP$8="III",'РО 01.09 - 31.12'!Z11140,0)))*Z11237</f>
        <v>0</v>
      </c>
      <c r="AA11140"/>
      <c r="AB11140"/>
      <c r="AC11140"/>
      <c r="AD11140"/>
      <c r="AE11140"/>
      <c r="AF11140"/>
      <c r="AG11140"/>
      <c r="AH11140"/>
      <c r="AI11140"/>
      <c r="AJ11140"/>
      <c r="AK11140"/>
      <c r="AL11140"/>
      <c r="AM11140"/>
    </row>
    <row r="11141" spans="1:39" s="47" customFormat="1">
      <c r="A11141" s="121"/>
      <c r="B11141" s="121"/>
      <c r="C11141" s="121"/>
      <c r="D11141" s="121"/>
      <c r="E11141" s="121"/>
      <c r="F11141" s="121"/>
      <c r="G11141" s="121"/>
      <c r="H11141" s="121"/>
      <c r="I11141" s="121"/>
      <c r="J11141" s="121"/>
      <c r="K11141" s="121"/>
      <c r="L11141" s="121"/>
      <c r="M11141" s="121"/>
      <c r="N11141" s="504" t="s">
        <v>69</v>
      </c>
      <c r="O11141" s="527" t="s">
        <v>2820</v>
      </c>
      <c r="P11141" s="257"/>
      <c r="Q11141" s="321"/>
      <c r="R11141" s="260"/>
      <c r="S11141" s="260"/>
      <c r="T11141" s="260"/>
      <c r="U11141" s="260"/>
      <c r="V11141" s="260"/>
      <c r="W11141" s="262">
        <f>IF($AP$8="I",'РО 01.01 - 30.06'!W11141,IF($AP$8="II",'РО 01.07 - 31.08'!W11141,IF($AP$8="III",'РО 01.09 - 31.12'!W11141,0)))*W11237</f>
        <v>0</v>
      </c>
      <c r="X11141" s="260"/>
      <c r="Y11141" s="260"/>
      <c r="Z11141" s="262">
        <f>IF($AP$8="I",'РО 01.01 - 30.06'!Z11141,IF($AP$8="II",'РО 01.07 - 31.08'!Z11141,IF($AP$8="III",'РО 01.09 - 31.12'!Z11141,0)))*Z11237</f>
        <v>0</v>
      </c>
      <c r="AA11141"/>
      <c r="AB11141"/>
      <c r="AC11141"/>
      <c r="AD11141"/>
      <c r="AE11141"/>
      <c r="AF11141"/>
      <c r="AG11141"/>
      <c r="AH11141"/>
      <c r="AI11141"/>
      <c r="AJ11141"/>
      <c r="AK11141"/>
      <c r="AL11141"/>
      <c r="AM11141"/>
    </row>
    <row r="11142" spans="1:39" s="47" customFormat="1">
      <c r="A11142" s="121"/>
      <c r="B11142" s="121"/>
      <c r="C11142" s="121"/>
      <c r="D11142" s="121"/>
      <c r="E11142" s="121"/>
      <c r="F11142" s="121"/>
      <c r="G11142" s="121"/>
      <c r="H11142" s="121"/>
      <c r="I11142" s="121"/>
      <c r="J11142" s="121"/>
      <c r="K11142" s="121"/>
      <c r="L11142" s="121"/>
      <c r="M11142" s="121"/>
      <c r="N11142" s="504" t="s">
        <v>72</v>
      </c>
      <c r="O11142" s="527" t="s">
        <v>2471</v>
      </c>
      <c r="P11142" s="257"/>
      <c r="Q11142" s="321"/>
      <c r="R11142" s="260"/>
      <c r="S11142" s="260"/>
      <c r="T11142" s="260"/>
      <c r="U11142" s="260"/>
      <c r="V11142" s="260"/>
      <c r="W11142" s="262">
        <f>IF($AP$8="I",'РО 01.01 - 30.06'!W11142,IF($AP$8="II",'РО 01.07 - 31.08'!W11142,IF($AP$8="III",'РО 01.09 - 31.12'!W11142,0)))*W11237</f>
        <v>0</v>
      </c>
      <c r="X11142" s="260"/>
      <c r="Y11142" s="260"/>
      <c r="Z11142" s="262">
        <f>IF($AP$8="I",'РО 01.01 - 30.06'!Z11142,IF($AP$8="II",'РО 01.07 - 31.08'!Z11142,IF($AP$8="III",'РО 01.09 - 31.12'!Z11142,0)))*Z11237</f>
        <v>0</v>
      </c>
      <c r="AA11142"/>
      <c r="AB11142"/>
      <c r="AC11142"/>
      <c r="AD11142"/>
      <c r="AE11142"/>
      <c r="AF11142"/>
      <c r="AG11142"/>
      <c r="AH11142"/>
      <c r="AI11142"/>
      <c r="AJ11142"/>
      <c r="AK11142"/>
      <c r="AL11142"/>
      <c r="AM11142"/>
    </row>
    <row r="11143" spans="1:39" s="47" customFormat="1">
      <c r="A11143" s="121"/>
      <c r="B11143" s="121"/>
      <c r="C11143" s="121"/>
      <c r="D11143" s="121"/>
      <c r="E11143" s="121"/>
      <c r="F11143" s="121"/>
      <c r="G11143" s="121"/>
      <c r="H11143" s="121"/>
      <c r="I11143" s="121"/>
      <c r="J11143" s="121"/>
      <c r="K11143" s="121"/>
      <c r="L11143" s="121"/>
      <c r="M11143" s="121"/>
      <c r="N11143" s="504" t="s">
        <v>2821</v>
      </c>
      <c r="O11143" s="527" t="s">
        <v>2822</v>
      </c>
      <c r="P11143" s="257"/>
      <c r="Q11143" s="321"/>
      <c r="R11143" s="260"/>
      <c r="S11143" s="260"/>
      <c r="T11143" s="260"/>
      <c r="U11143" s="260"/>
      <c r="V11143" s="260"/>
      <c r="W11143" s="257">
        <f>SUM(W11144:W11146)</f>
        <v>0</v>
      </c>
      <c r="X11143" s="260"/>
      <c r="Y11143" s="260"/>
      <c r="Z11143" s="257">
        <f>SUM(Z11144:Z11146)</f>
        <v>0</v>
      </c>
      <c r="AA11143"/>
      <c r="AB11143"/>
      <c r="AC11143"/>
      <c r="AD11143"/>
      <c r="AE11143"/>
      <c r="AF11143"/>
      <c r="AG11143"/>
      <c r="AH11143"/>
      <c r="AI11143"/>
      <c r="AJ11143"/>
      <c r="AK11143"/>
      <c r="AL11143"/>
      <c r="AM11143"/>
    </row>
    <row r="11144" spans="1:39" s="47" customFormat="1">
      <c r="A11144" s="121"/>
      <c r="B11144" s="121"/>
      <c r="C11144" s="121"/>
      <c r="D11144" s="121"/>
      <c r="E11144" s="121"/>
      <c r="F11144" s="121"/>
      <c r="G11144" s="121"/>
      <c r="H11144" s="121"/>
      <c r="I11144" s="121"/>
      <c r="J11144" s="121"/>
      <c r="K11144" s="121"/>
      <c r="L11144" s="121"/>
      <c r="M11144" s="121"/>
      <c r="N11144" s="504" t="s">
        <v>888</v>
      </c>
      <c r="O11144" s="528" t="s">
        <v>2823</v>
      </c>
      <c r="P11144" s="257"/>
      <c r="Q11144" s="321"/>
      <c r="R11144" s="260"/>
      <c r="S11144" s="260"/>
      <c r="T11144" s="260"/>
      <c r="U11144" s="260"/>
      <c r="V11144" s="260"/>
      <c r="W11144" s="262">
        <f>IF($AP$8="I",'РО 01.01 - 30.06'!W11144,IF($AP$8="II",'РО 01.07 - 31.08'!W11144,IF($AP$8="III",'РО 01.09 - 31.12'!W11144,0)))*W11237</f>
        <v>0</v>
      </c>
      <c r="X11144" s="260"/>
      <c r="Y11144" s="260"/>
      <c r="Z11144" s="262">
        <f>IF($AP$8="I",'РО 01.01 - 30.06'!Z11144,IF($AP$8="II",'РО 01.07 - 31.08'!Z11144,IF($AP$8="III",'РО 01.09 - 31.12'!Z11144,0)))*Z11237</f>
        <v>0</v>
      </c>
      <c r="AA11144"/>
      <c r="AB11144"/>
      <c r="AC11144"/>
      <c r="AD11144"/>
      <c r="AE11144"/>
      <c r="AF11144"/>
      <c r="AG11144"/>
      <c r="AH11144"/>
      <c r="AI11144"/>
      <c r="AJ11144"/>
      <c r="AK11144"/>
      <c r="AL11144"/>
      <c r="AM11144"/>
    </row>
    <row r="11145" spans="1:39" s="47" customFormat="1">
      <c r="A11145" s="121"/>
      <c r="B11145" s="121"/>
      <c r="C11145" s="121"/>
      <c r="D11145" s="121"/>
      <c r="E11145" s="121"/>
      <c r="F11145" s="121"/>
      <c r="G11145" s="121"/>
      <c r="H11145" s="121"/>
      <c r="I11145" s="121"/>
      <c r="J11145" s="121"/>
      <c r="K11145" s="121"/>
      <c r="L11145" s="121"/>
      <c r="M11145" s="121"/>
      <c r="N11145" s="504" t="s">
        <v>889</v>
      </c>
      <c r="O11145" s="528" t="s">
        <v>2824</v>
      </c>
      <c r="P11145" s="257"/>
      <c r="Q11145" s="321"/>
      <c r="R11145" s="260"/>
      <c r="S11145" s="260"/>
      <c r="T11145" s="260"/>
      <c r="U11145" s="260"/>
      <c r="V11145" s="260"/>
      <c r="W11145" s="262">
        <f>IF($AP$8="I",'РО 01.01 - 30.06'!W11145,IF($AP$8="II",'РО 01.07 - 31.08'!W11145,IF($AP$8="III",'РО 01.09 - 31.12'!W11145,0)))*W11237</f>
        <v>0</v>
      </c>
      <c r="X11145" s="260"/>
      <c r="Y11145" s="260"/>
      <c r="Z11145" s="262">
        <f>IF($AP$8="I",'РО 01.01 - 30.06'!Z11145,IF($AP$8="II",'РО 01.07 - 31.08'!Z11145,IF($AP$8="III",'РО 01.09 - 31.12'!Z11145,0)))*Z11237</f>
        <v>0</v>
      </c>
      <c r="AA11145"/>
      <c r="AB11145"/>
      <c r="AC11145"/>
      <c r="AD11145"/>
      <c r="AE11145"/>
      <c r="AF11145"/>
      <c r="AG11145"/>
      <c r="AH11145"/>
      <c r="AI11145"/>
      <c r="AJ11145"/>
      <c r="AK11145"/>
      <c r="AL11145"/>
      <c r="AM11145"/>
    </row>
    <row r="11146" spans="1:39" s="47" customFormat="1">
      <c r="A11146" s="121"/>
      <c r="B11146" s="121"/>
      <c r="C11146" s="121"/>
      <c r="D11146" s="121"/>
      <c r="E11146" s="121"/>
      <c r="F11146" s="121"/>
      <c r="G11146" s="121"/>
      <c r="H11146" s="121"/>
      <c r="I11146" s="121"/>
      <c r="J11146" s="121"/>
      <c r="K11146" s="121"/>
      <c r="L11146" s="121"/>
      <c r="M11146" s="121"/>
      <c r="N11146" s="504" t="s">
        <v>890</v>
      </c>
      <c r="O11146" s="528" t="s">
        <v>2825</v>
      </c>
      <c r="P11146" s="257"/>
      <c r="Q11146" s="321"/>
      <c r="R11146" s="260"/>
      <c r="S11146" s="260"/>
      <c r="T11146" s="260"/>
      <c r="U11146" s="260"/>
      <c r="V11146" s="260"/>
      <c r="W11146" s="262">
        <f>IF($AP$8="I",'РО 01.01 - 30.06'!W11146,IF($AP$8="II",'РО 01.07 - 31.08'!W11146,IF($AP$8="III",'РО 01.09 - 31.12'!W11146,0)))*W11237</f>
        <v>0</v>
      </c>
      <c r="X11146" s="260"/>
      <c r="Y11146" s="260"/>
      <c r="Z11146" s="262">
        <f>IF($AP$8="I",'РО 01.01 - 30.06'!Z11146,IF($AP$8="II",'РО 01.07 - 31.08'!Z11146,IF($AP$8="III",'РО 01.09 - 31.12'!Z11146,0)))*Z11237</f>
        <v>0</v>
      </c>
      <c r="AA11146"/>
      <c r="AB11146"/>
      <c r="AC11146"/>
      <c r="AD11146"/>
      <c r="AE11146"/>
      <c r="AF11146"/>
      <c r="AG11146"/>
      <c r="AH11146"/>
      <c r="AI11146"/>
      <c r="AJ11146"/>
      <c r="AK11146"/>
      <c r="AL11146"/>
      <c r="AM11146"/>
    </row>
    <row r="11147" spans="1:39" s="47" customFormat="1">
      <c r="A11147" s="121"/>
      <c r="B11147" s="121"/>
      <c r="C11147" s="121"/>
      <c r="D11147" s="121"/>
      <c r="E11147" s="121"/>
      <c r="F11147" s="121"/>
      <c r="G11147" s="121"/>
      <c r="H11147" s="121"/>
      <c r="I11147" s="121"/>
      <c r="J11147" s="121"/>
      <c r="K11147" s="121"/>
      <c r="L11147" s="121"/>
      <c r="M11147" s="121"/>
      <c r="N11147" s="504" t="s">
        <v>2826</v>
      </c>
      <c r="O11147" s="527" t="s">
        <v>2827</v>
      </c>
      <c r="P11147" s="257"/>
      <c r="Q11147" s="321"/>
      <c r="R11147" s="260"/>
      <c r="S11147" s="260"/>
      <c r="T11147" s="260"/>
      <c r="U11147" s="260"/>
      <c r="V11147" s="260"/>
      <c r="W11147" s="262">
        <f>IF($AP$8="I",'РО 01.01 - 30.06'!W11147,IF($AP$8="II",'РО 01.07 - 31.08'!W11147,IF($AP$8="III",'РО 01.09 - 31.12'!W11147,0)))*W11237</f>
        <v>0</v>
      </c>
      <c r="X11147" s="260"/>
      <c r="Y11147" s="260"/>
      <c r="Z11147" s="262">
        <f>IF($AP$8="I",'РО 01.01 - 30.06'!Z11147,IF($AP$8="II",'РО 01.07 - 31.08'!Z11147,IF($AP$8="III",'РО 01.09 - 31.12'!Z11147,0)))*Z11237</f>
        <v>0</v>
      </c>
      <c r="AA11147"/>
      <c r="AB11147"/>
      <c r="AC11147"/>
      <c r="AD11147"/>
      <c r="AE11147"/>
      <c r="AF11147"/>
      <c r="AG11147"/>
      <c r="AH11147"/>
      <c r="AI11147"/>
      <c r="AJ11147"/>
      <c r="AK11147"/>
      <c r="AL11147"/>
      <c r="AM11147"/>
    </row>
    <row r="11148" spans="1:39" s="47" customFormat="1">
      <c r="A11148" s="121"/>
      <c r="B11148" s="121"/>
      <c r="C11148" s="121"/>
      <c r="D11148" s="121"/>
      <c r="E11148" s="121"/>
      <c r="F11148" s="121"/>
      <c r="G11148" s="121"/>
      <c r="H11148" s="121"/>
      <c r="I11148" s="121"/>
      <c r="J11148" s="121"/>
      <c r="K11148" s="121"/>
      <c r="L11148" s="121"/>
      <c r="M11148" s="121"/>
      <c r="N11148" s="504" t="s">
        <v>2828</v>
      </c>
      <c r="O11148" s="527" t="s">
        <v>2829</v>
      </c>
      <c r="P11148" s="257"/>
      <c r="Q11148" s="321"/>
      <c r="R11148" s="260"/>
      <c r="S11148" s="260"/>
      <c r="T11148" s="260"/>
      <c r="U11148" s="260"/>
      <c r="V11148" s="260"/>
      <c r="W11148" s="262">
        <f>IF($AP$8="I",'РО 01.01 - 30.06'!W11148,IF($AP$8="II",'РО 01.07 - 31.08'!W11148,IF($AP$8="III",'РО 01.09 - 31.12'!W11148,0)))*W11237</f>
        <v>0</v>
      </c>
      <c r="X11148" s="260"/>
      <c r="Y11148" s="260"/>
      <c r="Z11148" s="262">
        <f>IF($AP$8="I",'РО 01.01 - 30.06'!Z11148,IF($AP$8="II",'РО 01.07 - 31.08'!Z11148,IF($AP$8="III",'РО 01.09 - 31.12'!Z11148,0)))*Z11237</f>
        <v>0</v>
      </c>
      <c r="AA11148"/>
      <c r="AB11148"/>
      <c r="AC11148"/>
      <c r="AD11148"/>
      <c r="AE11148"/>
      <c r="AF11148"/>
      <c r="AG11148"/>
      <c r="AH11148"/>
      <c r="AI11148"/>
      <c r="AJ11148"/>
      <c r="AK11148"/>
      <c r="AL11148"/>
      <c r="AM11148"/>
    </row>
    <row r="11149" spans="1:39" s="47" customFormat="1">
      <c r="A11149" s="121"/>
      <c r="B11149" s="121"/>
      <c r="C11149" s="121"/>
      <c r="D11149" s="121"/>
      <c r="E11149" s="121"/>
      <c r="F11149" s="121"/>
      <c r="G11149" s="121"/>
      <c r="H11149" s="121"/>
      <c r="I11149" s="121"/>
      <c r="J11149" s="121"/>
      <c r="K11149" s="121"/>
      <c r="L11149" s="121"/>
      <c r="M11149" s="121"/>
      <c r="N11149" s="504" t="s">
        <v>2830</v>
      </c>
      <c r="O11149" s="527" t="s">
        <v>2831</v>
      </c>
      <c r="P11149" s="257"/>
      <c r="Q11149" s="321"/>
      <c r="R11149" s="260"/>
      <c r="S11149" s="260"/>
      <c r="T11149" s="260"/>
      <c r="U11149" s="260"/>
      <c r="V11149" s="260"/>
      <c r="W11149" s="257">
        <f>SUM(W11153,W11159,W11165,W11168,W11171)</f>
        <v>0</v>
      </c>
      <c r="X11149" s="260"/>
      <c r="Y11149" s="260"/>
      <c r="Z11149" s="257">
        <f>SUM(Z11153,Z11159,Z11165,Z11168,Z11171)</f>
        <v>0</v>
      </c>
      <c r="AA11149"/>
      <c r="AB11149"/>
      <c r="AC11149"/>
      <c r="AD11149"/>
      <c r="AE11149"/>
      <c r="AF11149"/>
      <c r="AG11149"/>
      <c r="AH11149"/>
      <c r="AI11149"/>
      <c r="AJ11149"/>
      <c r="AK11149"/>
      <c r="AL11149"/>
      <c r="AM11149"/>
    </row>
    <row r="11150" spans="1:39" s="47" customFormat="1" hidden="1">
      <c r="A11150" s="121"/>
      <c r="B11150" s="121"/>
      <c r="C11150" s="121"/>
      <c r="D11150" s="121"/>
      <c r="E11150" s="121"/>
      <c r="F11150" s="121"/>
      <c r="G11150" s="121"/>
      <c r="H11150" s="121"/>
      <c r="I11150" s="121"/>
      <c r="J11150" s="121"/>
      <c r="K11150" s="121"/>
      <c r="L11150" s="121"/>
      <c r="M11150" s="121"/>
      <c r="N11150" s="279"/>
      <c r="O11150" s="558"/>
      <c r="P11150" s="553"/>
      <c r="Q11150" s="321"/>
      <c r="R11150" s="553"/>
      <c r="S11150" s="553"/>
      <c r="T11150" s="553"/>
      <c r="U11150" s="553"/>
      <c r="V11150" s="553"/>
      <c r="W11150" s="553"/>
      <c r="X11150" s="553"/>
      <c r="Y11150" s="553"/>
      <c r="Z11150" s="553"/>
      <c r="AA11150"/>
      <c r="AB11150"/>
      <c r="AC11150"/>
      <c r="AD11150"/>
      <c r="AE11150"/>
      <c r="AF11150"/>
      <c r="AG11150"/>
      <c r="AH11150"/>
      <c r="AI11150"/>
      <c r="AJ11150"/>
      <c r="AK11150"/>
      <c r="AL11150"/>
      <c r="AM11150"/>
    </row>
    <row r="11151" spans="1:39" s="47" customFormat="1" hidden="1">
      <c r="A11151" s="121"/>
      <c r="B11151" s="121"/>
      <c r="C11151" s="121"/>
      <c r="D11151" s="121"/>
      <c r="E11151" s="121"/>
      <c r="F11151" s="121"/>
      <c r="G11151" s="121"/>
      <c r="H11151" s="121"/>
      <c r="I11151" s="121"/>
      <c r="J11151" s="121"/>
      <c r="K11151" s="121"/>
      <c r="L11151" s="121"/>
      <c r="M11151" s="121"/>
      <c r="N11151" s="279"/>
      <c r="O11151" s="558"/>
      <c r="P11151" s="553"/>
      <c r="Q11151" s="321"/>
      <c r="R11151" s="553"/>
      <c r="S11151" s="553"/>
      <c r="T11151" s="553"/>
      <c r="U11151" s="553"/>
      <c r="V11151" s="553"/>
      <c r="W11151" s="553"/>
      <c r="X11151" s="553"/>
      <c r="Y11151" s="553"/>
      <c r="Z11151" s="553"/>
      <c r="AA11151"/>
      <c r="AB11151"/>
      <c r="AC11151"/>
      <c r="AD11151"/>
      <c r="AE11151"/>
      <c r="AF11151"/>
      <c r="AG11151"/>
      <c r="AH11151"/>
      <c r="AI11151"/>
      <c r="AJ11151"/>
      <c r="AK11151"/>
      <c r="AL11151"/>
      <c r="AM11151"/>
    </row>
    <row r="11152" spans="1:39" s="47" customFormat="1" hidden="1">
      <c r="A11152" s="121"/>
      <c r="B11152" s="121"/>
      <c r="C11152" s="121"/>
      <c r="D11152" s="121"/>
      <c r="E11152" s="121"/>
      <c r="F11152" s="121"/>
      <c r="G11152" s="121"/>
      <c r="H11152" s="121"/>
      <c r="I11152" s="121"/>
      <c r="J11152" s="121"/>
      <c r="K11152" s="121"/>
      <c r="L11152" s="121"/>
      <c r="M11152" s="121"/>
      <c r="N11152" s="279"/>
      <c r="O11152" s="558"/>
      <c r="P11152" s="553"/>
      <c r="Q11152" s="321"/>
      <c r="R11152" s="553"/>
      <c r="S11152" s="553"/>
      <c r="T11152" s="553"/>
      <c r="U11152" s="553"/>
      <c r="V11152" s="553"/>
      <c r="W11152" s="553"/>
      <c r="X11152" s="553"/>
      <c r="Y11152" s="553"/>
      <c r="Z11152" s="553"/>
      <c r="AA11152"/>
      <c r="AB11152"/>
      <c r="AC11152"/>
      <c r="AD11152"/>
      <c r="AE11152"/>
      <c r="AF11152"/>
      <c r="AG11152"/>
      <c r="AH11152"/>
      <c r="AI11152"/>
      <c r="AJ11152"/>
      <c r="AK11152"/>
      <c r="AL11152"/>
      <c r="AM11152"/>
    </row>
    <row r="11153" spans="1:39" s="47" customFormat="1">
      <c r="A11153" s="121"/>
      <c r="B11153" s="121"/>
      <c r="C11153" s="121"/>
      <c r="D11153" s="121"/>
      <c r="E11153" s="121"/>
      <c r="F11153" s="121"/>
      <c r="G11153" s="121"/>
      <c r="H11153" s="121"/>
      <c r="I11153" s="121"/>
      <c r="J11153" s="121"/>
      <c r="K11153" s="121"/>
      <c r="L11153" s="121"/>
      <c r="M11153" s="121"/>
      <c r="N11153" s="222" t="s">
        <v>2832</v>
      </c>
      <c r="O11153" s="533" t="s">
        <v>1832</v>
      </c>
      <c r="P11153" s="257"/>
      <c r="Q11153" s="321"/>
      <c r="R11153" s="260"/>
      <c r="S11153" s="260"/>
      <c r="T11153" s="260"/>
      <c r="U11153" s="260"/>
      <c r="V11153" s="260"/>
      <c r="W11153" s="262">
        <f>IF($AP$8="I",'РО 01.01 - 30.06'!W11153,IF($AP$8="II",'РО 01.07 - 31.08'!W11153,IF($AP$8="III",'РО 01.09 - 31.12'!W11153,0)))*W11237</f>
        <v>0</v>
      </c>
      <c r="X11153" s="260"/>
      <c r="Y11153" s="260"/>
      <c r="Z11153" s="262">
        <f>IF($AP$8="I",'РО 01.01 - 30.06'!Z11153,IF($AP$8="II",'РО 01.07 - 31.08'!Z11153,IF($AP$8="III",'РО 01.09 - 31.12'!Z11153,0)))*Z11237</f>
        <v>0</v>
      </c>
      <c r="AA11153"/>
      <c r="AB11153"/>
      <c r="AC11153"/>
      <c r="AD11153"/>
      <c r="AE11153"/>
      <c r="AF11153"/>
      <c r="AG11153"/>
      <c r="AH11153"/>
      <c r="AI11153"/>
      <c r="AJ11153"/>
      <c r="AK11153"/>
      <c r="AL11153"/>
      <c r="AM11153"/>
    </row>
    <row r="11154" spans="1:39" s="47" customFormat="1" hidden="1">
      <c r="A11154" s="121"/>
      <c r="B11154" s="121"/>
      <c r="C11154" s="121"/>
      <c r="D11154" s="121"/>
      <c r="E11154" s="121"/>
      <c r="F11154" s="121"/>
      <c r="G11154" s="121"/>
      <c r="H11154" s="121"/>
      <c r="I11154" s="121"/>
      <c r="J11154" s="121"/>
      <c r="K11154" s="121"/>
      <c r="L11154" s="121"/>
      <c r="M11154" s="121"/>
      <c r="N11154" s="222"/>
      <c r="O11154" s="529"/>
      <c r="P11154" s="553"/>
      <c r="Q11154" s="321"/>
      <c r="R11154" s="553"/>
      <c r="S11154" s="553"/>
      <c r="T11154" s="553"/>
      <c r="U11154" s="553"/>
      <c r="V11154" s="553"/>
      <c r="W11154" s="553"/>
      <c r="X11154" s="553"/>
      <c r="Y11154" s="553"/>
      <c r="Z11154" s="553"/>
      <c r="AA11154"/>
      <c r="AB11154"/>
      <c r="AC11154"/>
      <c r="AD11154"/>
      <c r="AE11154"/>
      <c r="AF11154"/>
      <c r="AG11154"/>
      <c r="AH11154"/>
      <c r="AI11154"/>
      <c r="AJ11154"/>
      <c r="AK11154"/>
      <c r="AL11154"/>
      <c r="AM11154"/>
    </row>
    <row r="11155" spans="1:39" s="47" customFormat="1" hidden="1">
      <c r="A11155" s="121"/>
      <c r="B11155" s="121"/>
      <c r="C11155" s="121"/>
      <c r="D11155" s="121"/>
      <c r="E11155" s="121"/>
      <c r="F11155" s="121"/>
      <c r="G11155" s="121"/>
      <c r="H11155" s="121"/>
      <c r="I11155" s="121"/>
      <c r="J11155" s="121"/>
      <c r="K11155" s="121"/>
      <c r="L11155" s="121"/>
      <c r="M11155" s="121"/>
      <c r="N11155" s="222"/>
      <c r="O11155" s="529"/>
      <c r="P11155" s="553"/>
      <c r="Q11155" s="321"/>
      <c r="R11155" s="553"/>
      <c r="S11155" s="553"/>
      <c r="T11155" s="553"/>
      <c r="U11155" s="553"/>
      <c r="V11155" s="553"/>
      <c r="W11155" s="553"/>
      <c r="X11155" s="553"/>
      <c r="Y11155" s="553"/>
      <c r="Z11155" s="553"/>
      <c r="AA11155"/>
      <c r="AB11155"/>
      <c r="AC11155"/>
      <c r="AD11155"/>
      <c r="AE11155"/>
      <c r="AF11155"/>
      <c r="AG11155"/>
      <c r="AH11155"/>
      <c r="AI11155"/>
      <c r="AJ11155"/>
      <c r="AK11155"/>
      <c r="AL11155"/>
      <c r="AM11155"/>
    </row>
    <row r="11156" spans="1:39" s="47" customFormat="1" hidden="1">
      <c r="A11156" s="121"/>
      <c r="B11156" s="121"/>
      <c r="C11156" s="121"/>
      <c r="D11156" s="121"/>
      <c r="E11156" s="121"/>
      <c r="F11156" s="121"/>
      <c r="G11156" s="121"/>
      <c r="H11156" s="121"/>
      <c r="I11156" s="121"/>
      <c r="J11156" s="121"/>
      <c r="K11156" s="121"/>
      <c r="L11156" s="121"/>
      <c r="M11156" s="121"/>
      <c r="N11156" s="222"/>
      <c r="O11156" s="558"/>
      <c r="P11156" s="553"/>
      <c r="Q11156" s="321"/>
      <c r="R11156" s="553"/>
      <c r="S11156" s="553"/>
      <c r="T11156" s="553"/>
      <c r="U11156" s="553"/>
      <c r="V11156" s="553"/>
      <c r="W11156" s="553"/>
      <c r="X11156" s="553"/>
      <c r="Y11156" s="553"/>
      <c r="Z11156" s="553"/>
      <c r="AA11156"/>
      <c r="AB11156"/>
      <c r="AC11156"/>
      <c r="AD11156"/>
      <c r="AE11156"/>
      <c r="AF11156"/>
      <c r="AG11156"/>
      <c r="AH11156"/>
      <c r="AI11156"/>
      <c r="AJ11156"/>
      <c r="AK11156"/>
      <c r="AL11156"/>
      <c r="AM11156"/>
    </row>
    <row r="11157" spans="1:39" s="47" customFormat="1" hidden="1">
      <c r="A11157" s="121"/>
      <c r="B11157" s="121"/>
      <c r="C11157" s="121"/>
      <c r="D11157" s="121"/>
      <c r="E11157" s="121"/>
      <c r="F11157" s="121"/>
      <c r="G11157" s="121"/>
      <c r="H11157" s="121"/>
      <c r="I11157" s="121"/>
      <c r="J11157" s="121"/>
      <c r="K11157" s="121"/>
      <c r="L11157" s="121"/>
      <c r="M11157" s="121"/>
      <c r="N11157" s="222"/>
      <c r="O11157" s="558"/>
      <c r="P11157" s="553"/>
      <c r="Q11157" s="321"/>
      <c r="R11157" s="553"/>
      <c r="S11157" s="553"/>
      <c r="T11157" s="553"/>
      <c r="U11157" s="553"/>
      <c r="V11157" s="553"/>
      <c r="W11157" s="553"/>
      <c r="X11157" s="553"/>
      <c r="Y11157" s="553"/>
      <c r="Z11157" s="553"/>
      <c r="AA11157"/>
      <c r="AB11157"/>
      <c r="AC11157"/>
      <c r="AD11157"/>
      <c r="AE11157"/>
      <c r="AF11157"/>
      <c r="AG11157"/>
      <c r="AH11157"/>
      <c r="AI11157"/>
      <c r="AJ11157"/>
      <c r="AK11157"/>
      <c r="AL11157"/>
      <c r="AM11157"/>
    </row>
    <row r="11158" spans="1:39" s="47" customFormat="1" hidden="1">
      <c r="A11158" s="121"/>
      <c r="B11158" s="121"/>
      <c r="C11158" s="121"/>
      <c r="D11158" s="121"/>
      <c r="E11158" s="121"/>
      <c r="F11158" s="121"/>
      <c r="G11158" s="121"/>
      <c r="H11158" s="121"/>
      <c r="I11158" s="121"/>
      <c r="J11158" s="121"/>
      <c r="K11158" s="121"/>
      <c r="L11158" s="121"/>
      <c r="M11158" s="121"/>
      <c r="N11158" s="222"/>
      <c r="O11158" s="558"/>
      <c r="P11158" s="553"/>
      <c r="Q11158" s="321"/>
      <c r="R11158" s="553"/>
      <c r="S11158" s="553"/>
      <c r="T11158" s="553"/>
      <c r="U11158" s="553"/>
      <c r="V11158" s="553"/>
      <c r="W11158" s="553"/>
      <c r="X11158" s="553"/>
      <c r="Y11158" s="553"/>
      <c r="Z11158" s="553"/>
      <c r="AA11158"/>
      <c r="AB11158"/>
      <c r="AC11158"/>
      <c r="AD11158"/>
      <c r="AE11158"/>
      <c r="AF11158"/>
      <c r="AG11158"/>
      <c r="AH11158"/>
      <c r="AI11158"/>
      <c r="AJ11158"/>
      <c r="AK11158"/>
      <c r="AL11158"/>
      <c r="AM11158"/>
    </row>
    <row r="11159" spans="1:39" s="47" customFormat="1">
      <c r="A11159" s="121"/>
      <c r="B11159" s="121"/>
      <c r="C11159" s="121"/>
      <c r="D11159" s="121"/>
      <c r="E11159" s="121"/>
      <c r="F11159" s="121"/>
      <c r="G11159" s="121"/>
      <c r="H11159" s="121"/>
      <c r="I11159" s="121"/>
      <c r="J11159" s="121"/>
      <c r="K11159" s="121"/>
      <c r="L11159" s="121"/>
      <c r="M11159" s="121"/>
      <c r="N11159" s="222" t="s">
        <v>2835</v>
      </c>
      <c r="O11159" s="533" t="s">
        <v>1838</v>
      </c>
      <c r="P11159" s="257"/>
      <c r="Q11159" s="321"/>
      <c r="R11159" s="260"/>
      <c r="S11159" s="260"/>
      <c r="T11159" s="260"/>
      <c r="U11159" s="260"/>
      <c r="V11159" s="260"/>
      <c r="W11159" s="262">
        <f>IF($AP$8="I",'РО 01.01 - 30.06'!W11159,IF($AP$8="II",'РО 01.07 - 31.08'!W11159,IF($AP$8="III",'РО 01.09 - 31.12'!W11159,0)))*W11237</f>
        <v>0</v>
      </c>
      <c r="X11159" s="260"/>
      <c r="Y11159" s="260"/>
      <c r="Z11159" s="262">
        <f>IF($AP$8="I",'РО 01.01 - 30.06'!Z11159,IF($AP$8="II",'РО 01.07 - 31.08'!Z11159,IF($AP$8="III",'РО 01.09 - 31.12'!Z11159,0)))*Z11237</f>
        <v>0</v>
      </c>
      <c r="AA11159"/>
      <c r="AB11159"/>
      <c r="AC11159"/>
      <c r="AD11159"/>
      <c r="AE11159"/>
      <c r="AF11159"/>
      <c r="AG11159"/>
      <c r="AH11159"/>
      <c r="AI11159"/>
      <c r="AJ11159"/>
      <c r="AK11159"/>
      <c r="AL11159"/>
      <c r="AM11159"/>
    </row>
    <row r="11160" spans="1:39" s="47" customFormat="1" hidden="1">
      <c r="A11160" s="121"/>
      <c r="B11160" s="121"/>
      <c r="C11160" s="121"/>
      <c r="D11160" s="121"/>
      <c r="E11160" s="121"/>
      <c r="F11160" s="121"/>
      <c r="G11160" s="121"/>
      <c r="H11160" s="121"/>
      <c r="I11160" s="121"/>
      <c r="J11160" s="121"/>
      <c r="K11160" s="121"/>
      <c r="L11160" s="121"/>
      <c r="M11160" s="121"/>
      <c r="N11160" s="222"/>
      <c r="O11160" s="534"/>
      <c r="P11160" s="553"/>
      <c r="Q11160" s="321"/>
      <c r="R11160" s="553"/>
      <c r="S11160" s="553"/>
      <c r="T11160" s="553"/>
      <c r="U11160" s="553"/>
      <c r="V11160" s="553"/>
      <c r="W11160" s="553"/>
      <c r="X11160" s="553"/>
      <c r="Y11160" s="553"/>
      <c r="Z11160" s="553"/>
      <c r="AA11160"/>
      <c r="AB11160"/>
      <c r="AC11160"/>
      <c r="AD11160"/>
      <c r="AE11160"/>
      <c r="AF11160"/>
      <c r="AG11160"/>
      <c r="AH11160"/>
      <c r="AI11160"/>
      <c r="AJ11160"/>
      <c r="AK11160"/>
      <c r="AL11160"/>
      <c r="AM11160"/>
    </row>
    <row r="11161" spans="1:39" s="47" customFormat="1" hidden="1">
      <c r="A11161" s="121"/>
      <c r="B11161" s="121"/>
      <c r="C11161" s="121"/>
      <c r="D11161" s="121"/>
      <c r="E11161" s="121"/>
      <c r="F11161" s="121"/>
      <c r="G11161" s="121"/>
      <c r="H11161" s="121"/>
      <c r="I11161" s="121"/>
      <c r="J11161" s="121"/>
      <c r="K11161" s="121"/>
      <c r="L11161" s="121"/>
      <c r="M11161" s="121"/>
      <c r="N11161" s="222"/>
      <c r="O11161" s="534"/>
      <c r="P11161" s="553"/>
      <c r="Q11161" s="321"/>
      <c r="R11161" s="553"/>
      <c r="S11161" s="553"/>
      <c r="T11161" s="553"/>
      <c r="U11161" s="553"/>
      <c r="V11161" s="553"/>
      <c r="W11161" s="553"/>
      <c r="X11161" s="553"/>
      <c r="Y11161" s="553"/>
      <c r="Z11161" s="553"/>
      <c r="AA11161"/>
      <c r="AB11161"/>
      <c r="AC11161"/>
      <c r="AD11161"/>
      <c r="AE11161"/>
      <c r="AF11161"/>
      <c r="AG11161"/>
      <c r="AH11161"/>
      <c r="AI11161"/>
      <c r="AJ11161"/>
      <c r="AK11161"/>
      <c r="AL11161"/>
      <c r="AM11161"/>
    </row>
    <row r="11162" spans="1:39" s="47" customFormat="1" hidden="1">
      <c r="A11162" s="121"/>
      <c r="B11162" s="121"/>
      <c r="C11162" s="121"/>
      <c r="D11162" s="121"/>
      <c r="E11162" s="121"/>
      <c r="F11162" s="121"/>
      <c r="G11162" s="121"/>
      <c r="H11162" s="121"/>
      <c r="I11162" s="121"/>
      <c r="J11162" s="121"/>
      <c r="K11162" s="121"/>
      <c r="L11162" s="121"/>
      <c r="M11162" s="121"/>
      <c r="N11162" s="222"/>
      <c r="O11162" s="558"/>
      <c r="P11162" s="553"/>
      <c r="Q11162" s="321"/>
      <c r="R11162" s="553"/>
      <c r="S11162" s="553"/>
      <c r="T11162" s="553"/>
      <c r="U11162" s="553"/>
      <c r="V11162" s="553"/>
      <c r="W11162" s="553"/>
      <c r="X11162" s="553"/>
      <c r="Y11162" s="553"/>
      <c r="Z11162" s="553"/>
      <c r="AA11162"/>
      <c r="AB11162"/>
      <c r="AC11162"/>
      <c r="AD11162"/>
      <c r="AE11162"/>
      <c r="AF11162"/>
      <c r="AG11162"/>
      <c r="AH11162"/>
      <c r="AI11162"/>
      <c r="AJ11162"/>
      <c r="AK11162"/>
      <c r="AL11162"/>
      <c r="AM11162"/>
    </row>
    <row r="11163" spans="1:39" s="47" customFormat="1" hidden="1">
      <c r="A11163" s="121"/>
      <c r="B11163" s="121"/>
      <c r="C11163" s="121"/>
      <c r="D11163" s="121"/>
      <c r="E11163" s="121"/>
      <c r="F11163" s="121"/>
      <c r="G11163" s="121"/>
      <c r="H11163" s="121"/>
      <c r="I11163" s="121"/>
      <c r="J11163" s="121"/>
      <c r="K11163" s="121"/>
      <c r="L11163" s="121"/>
      <c r="M11163" s="121"/>
      <c r="N11163" s="222"/>
      <c r="O11163" s="558"/>
      <c r="P11163" s="553"/>
      <c r="Q11163" s="321"/>
      <c r="R11163" s="553"/>
      <c r="S11163" s="553"/>
      <c r="T11163" s="553"/>
      <c r="U11163" s="553"/>
      <c r="V11163" s="553"/>
      <c r="W11163" s="553"/>
      <c r="X11163" s="553"/>
      <c r="Y11163" s="553"/>
      <c r="Z11163" s="553"/>
      <c r="AA11163"/>
      <c r="AB11163"/>
      <c r="AC11163"/>
      <c r="AD11163"/>
      <c r="AE11163"/>
      <c r="AF11163"/>
      <c r="AG11163"/>
      <c r="AH11163"/>
      <c r="AI11163"/>
      <c r="AJ11163"/>
      <c r="AK11163"/>
      <c r="AL11163"/>
      <c r="AM11163"/>
    </row>
    <row r="11164" spans="1:39" s="47" customFormat="1" hidden="1">
      <c r="A11164" s="121"/>
      <c r="B11164" s="121"/>
      <c r="C11164" s="121"/>
      <c r="D11164" s="121"/>
      <c r="E11164" s="121"/>
      <c r="F11164" s="121"/>
      <c r="G11164" s="121"/>
      <c r="H11164" s="121"/>
      <c r="I11164" s="121"/>
      <c r="J11164" s="121"/>
      <c r="K11164" s="121"/>
      <c r="L11164" s="121"/>
      <c r="M11164" s="121"/>
      <c r="N11164" s="222"/>
      <c r="O11164" s="558"/>
      <c r="P11164" s="553"/>
      <c r="Q11164" s="321"/>
      <c r="R11164" s="553"/>
      <c r="S11164" s="553"/>
      <c r="T11164" s="553"/>
      <c r="U11164" s="553"/>
      <c r="V11164" s="553"/>
      <c r="W11164" s="553"/>
      <c r="X11164" s="553"/>
      <c r="Y11164" s="553"/>
      <c r="Z11164" s="553"/>
      <c r="AA11164"/>
      <c r="AB11164"/>
      <c r="AC11164"/>
      <c r="AD11164"/>
      <c r="AE11164"/>
      <c r="AF11164"/>
      <c r="AG11164"/>
      <c r="AH11164"/>
      <c r="AI11164"/>
      <c r="AJ11164"/>
      <c r="AK11164"/>
      <c r="AL11164"/>
      <c r="AM11164"/>
    </row>
    <row r="11165" spans="1:39" s="47" customFormat="1">
      <c r="A11165" s="121"/>
      <c r="B11165" s="121"/>
      <c r="C11165" s="121"/>
      <c r="D11165" s="121"/>
      <c r="E11165" s="121"/>
      <c r="F11165" s="121"/>
      <c r="G11165" s="121"/>
      <c r="H11165" s="121"/>
      <c r="I11165" s="121"/>
      <c r="J11165" s="121"/>
      <c r="K11165" s="121"/>
      <c r="L11165" s="121"/>
      <c r="M11165" s="121"/>
      <c r="N11165" s="222" t="s">
        <v>2838</v>
      </c>
      <c r="O11165" s="533" t="s">
        <v>1843</v>
      </c>
      <c r="P11165" s="257"/>
      <c r="Q11165" s="321"/>
      <c r="R11165" s="260"/>
      <c r="S11165" s="260"/>
      <c r="T11165" s="260"/>
      <c r="U11165" s="260"/>
      <c r="V11165" s="260"/>
      <c r="W11165" s="262">
        <f>IF($AP$8="I",'РО 01.01 - 30.06'!W11165,IF($AP$8="II",'РО 01.07 - 31.08'!W11165,IF($AP$8="III",'РО 01.09 - 31.12'!W11165,0)))*W11237</f>
        <v>0</v>
      </c>
      <c r="X11165" s="260"/>
      <c r="Y11165" s="260"/>
      <c r="Z11165" s="262">
        <f>IF($AP$8="I",'РО 01.01 - 30.06'!Z11165,IF($AP$8="II",'РО 01.07 - 31.08'!Z11165,IF($AP$8="III",'РО 01.09 - 31.12'!Z11165,0)))*Z11237</f>
        <v>0</v>
      </c>
      <c r="AA11165"/>
      <c r="AB11165"/>
      <c r="AC11165"/>
      <c r="AD11165"/>
      <c r="AE11165"/>
      <c r="AF11165"/>
      <c r="AG11165"/>
      <c r="AH11165"/>
      <c r="AI11165"/>
      <c r="AJ11165"/>
      <c r="AK11165"/>
      <c r="AL11165"/>
      <c r="AM11165"/>
    </row>
    <row r="11166" spans="1:39" s="47" customFormat="1" hidden="1">
      <c r="A11166" s="121"/>
      <c r="B11166" s="121"/>
      <c r="C11166" s="121"/>
      <c r="D11166" s="121"/>
      <c r="E11166" s="121"/>
      <c r="F11166" s="121"/>
      <c r="G11166" s="121"/>
      <c r="H11166" s="121"/>
      <c r="I11166" s="121"/>
      <c r="J11166" s="121"/>
      <c r="K11166" s="121"/>
      <c r="L11166" s="121"/>
      <c r="M11166" s="121"/>
      <c r="N11166" s="222"/>
      <c r="O11166" s="534"/>
      <c r="P11166" s="553"/>
      <c r="Q11166" s="321"/>
      <c r="R11166" s="553"/>
      <c r="S11166" s="553"/>
      <c r="T11166" s="553"/>
      <c r="U11166" s="553"/>
      <c r="V11166" s="553"/>
      <c r="W11166" s="553"/>
      <c r="X11166" s="553"/>
      <c r="Y11166" s="553"/>
      <c r="Z11166" s="553"/>
      <c r="AA11166"/>
      <c r="AB11166"/>
      <c r="AC11166"/>
      <c r="AD11166"/>
      <c r="AE11166"/>
      <c r="AF11166"/>
      <c r="AG11166"/>
      <c r="AH11166"/>
      <c r="AI11166"/>
      <c r="AJ11166"/>
      <c r="AK11166"/>
      <c r="AL11166"/>
      <c r="AM11166"/>
    </row>
    <row r="11167" spans="1:39" s="47" customFormat="1" hidden="1">
      <c r="A11167" s="121"/>
      <c r="B11167" s="121"/>
      <c r="C11167" s="121"/>
      <c r="D11167" s="121"/>
      <c r="E11167" s="121"/>
      <c r="F11167" s="121"/>
      <c r="G11167" s="121"/>
      <c r="H11167" s="121"/>
      <c r="I11167" s="121"/>
      <c r="J11167" s="121"/>
      <c r="K11167" s="121"/>
      <c r="L11167" s="121"/>
      <c r="M11167" s="121"/>
      <c r="N11167" s="222"/>
      <c r="O11167" s="534"/>
      <c r="P11167" s="553"/>
      <c r="Q11167" s="321"/>
      <c r="R11167" s="553"/>
      <c r="S11167" s="553"/>
      <c r="T11167" s="553"/>
      <c r="U11167" s="553"/>
      <c r="V11167" s="553"/>
      <c r="W11167" s="553"/>
      <c r="X11167" s="553"/>
      <c r="Y11167" s="553"/>
      <c r="Z11167" s="553"/>
      <c r="AA11167"/>
      <c r="AB11167"/>
      <c r="AC11167"/>
      <c r="AD11167"/>
      <c r="AE11167"/>
      <c r="AF11167"/>
      <c r="AG11167"/>
      <c r="AH11167"/>
      <c r="AI11167"/>
      <c r="AJ11167"/>
      <c r="AK11167"/>
      <c r="AL11167"/>
      <c r="AM11167"/>
    </row>
    <row r="11168" spans="1:39" s="47" customFormat="1">
      <c r="A11168" s="121"/>
      <c r="B11168" s="121"/>
      <c r="C11168" s="121"/>
      <c r="D11168" s="121"/>
      <c r="E11168" s="121"/>
      <c r="F11168" s="121"/>
      <c r="G11168" s="121"/>
      <c r="H11168" s="121"/>
      <c r="I11168" s="121"/>
      <c r="J11168" s="121"/>
      <c r="K11168" s="121"/>
      <c r="L11168" s="121"/>
      <c r="M11168" s="121"/>
      <c r="N11168" s="222" t="s">
        <v>2841</v>
      </c>
      <c r="O11168" s="533" t="s">
        <v>1849</v>
      </c>
      <c r="P11168" s="257"/>
      <c r="Q11168" s="321"/>
      <c r="R11168" s="260"/>
      <c r="S11168" s="260"/>
      <c r="T11168" s="260"/>
      <c r="U11168" s="260"/>
      <c r="V11168" s="260"/>
      <c r="W11168" s="262">
        <f>IF($AP$8="I",'РО 01.01 - 30.06'!W11168,IF($AP$8="II",'РО 01.07 - 31.08'!W11168,IF($AP$8="III",'РО 01.09 - 31.12'!W11168,0)))*W11237</f>
        <v>0</v>
      </c>
      <c r="X11168" s="260"/>
      <c r="Y11168" s="260"/>
      <c r="Z11168" s="262">
        <f>IF($AP$8="I",'РО 01.01 - 30.06'!Z11168,IF($AP$8="II",'РО 01.07 - 31.08'!Z11168,IF($AP$8="III",'РО 01.09 - 31.12'!Z11168,0)))*Z11237</f>
        <v>0</v>
      </c>
      <c r="AA11168"/>
      <c r="AB11168"/>
      <c r="AC11168"/>
      <c r="AD11168"/>
      <c r="AE11168"/>
      <c r="AF11168"/>
      <c r="AG11168"/>
      <c r="AH11168"/>
      <c r="AI11168"/>
      <c r="AJ11168"/>
      <c r="AK11168"/>
      <c r="AL11168"/>
      <c r="AM11168"/>
    </row>
    <row r="11169" spans="1:39" s="47" customFormat="1" hidden="1">
      <c r="A11169" s="121"/>
      <c r="B11169" s="121"/>
      <c r="C11169" s="121"/>
      <c r="D11169" s="121"/>
      <c r="E11169" s="121"/>
      <c r="F11169" s="121"/>
      <c r="G11169" s="121"/>
      <c r="H11169" s="121"/>
      <c r="I11169" s="121"/>
      <c r="J11169" s="121"/>
      <c r="K11169" s="121"/>
      <c r="L11169" s="121"/>
      <c r="M11169" s="121"/>
      <c r="N11169" s="222"/>
      <c r="O11169" s="534"/>
      <c r="P11169" s="553"/>
      <c r="Q11169" s="321"/>
      <c r="R11169" s="553"/>
      <c r="S11169" s="553"/>
      <c r="T11169" s="553"/>
      <c r="U11169" s="553"/>
      <c r="V11169" s="553"/>
      <c r="W11169" s="553"/>
      <c r="X11169" s="553"/>
      <c r="Y11169" s="553"/>
      <c r="Z11169" s="553"/>
      <c r="AA11169"/>
      <c r="AB11169"/>
      <c r="AC11169"/>
      <c r="AD11169"/>
      <c r="AE11169"/>
      <c r="AF11169"/>
      <c r="AG11169"/>
      <c r="AH11169"/>
      <c r="AI11169"/>
      <c r="AJ11169"/>
      <c r="AK11169"/>
      <c r="AL11169"/>
      <c r="AM11169"/>
    </row>
    <row r="11170" spans="1:39" s="47" customFormat="1" hidden="1">
      <c r="A11170" s="121"/>
      <c r="B11170" s="121"/>
      <c r="C11170" s="121"/>
      <c r="D11170" s="121"/>
      <c r="E11170" s="121"/>
      <c r="F11170" s="121"/>
      <c r="G11170" s="121"/>
      <c r="H11170" s="121"/>
      <c r="I11170" s="121"/>
      <c r="J11170" s="121"/>
      <c r="K11170" s="121"/>
      <c r="L11170" s="121"/>
      <c r="M11170" s="121"/>
      <c r="N11170" s="222"/>
      <c r="O11170" s="529"/>
      <c r="P11170" s="553"/>
      <c r="Q11170" s="321"/>
      <c r="R11170" s="553"/>
      <c r="S11170" s="553"/>
      <c r="T11170" s="553"/>
      <c r="U11170" s="553"/>
      <c r="V11170" s="553"/>
      <c r="W11170" s="553"/>
      <c r="X11170" s="553"/>
      <c r="Y11170" s="553"/>
      <c r="Z11170" s="553"/>
      <c r="AA11170"/>
      <c r="AB11170"/>
      <c r="AC11170"/>
      <c r="AD11170"/>
      <c r="AE11170"/>
      <c r="AF11170"/>
      <c r="AG11170"/>
      <c r="AH11170"/>
      <c r="AI11170"/>
      <c r="AJ11170"/>
      <c r="AK11170"/>
      <c r="AL11170"/>
      <c r="AM11170"/>
    </row>
    <row r="11171" spans="1:39" s="47" customFormat="1" ht="22.5">
      <c r="A11171" s="121"/>
      <c r="B11171" s="121"/>
      <c r="C11171" s="121"/>
      <c r="D11171" s="121"/>
      <c r="E11171" s="121"/>
      <c r="F11171" s="121"/>
      <c r="G11171" s="121"/>
      <c r="H11171" s="121"/>
      <c r="I11171" s="121"/>
      <c r="J11171" s="121"/>
      <c r="K11171" s="121"/>
      <c r="L11171" s="121"/>
      <c r="M11171" s="121"/>
      <c r="N11171" s="222" t="s">
        <v>2844</v>
      </c>
      <c r="O11171" s="533" t="s">
        <v>1856</v>
      </c>
      <c r="P11171" s="257"/>
      <c r="Q11171" s="321"/>
      <c r="R11171" s="260"/>
      <c r="S11171" s="260"/>
      <c r="T11171" s="260"/>
      <c r="U11171" s="260"/>
      <c r="V11171" s="260"/>
      <c r="W11171" s="262">
        <f>IF($AP$8="I",'РО 01.01 - 30.06'!W11171,IF($AP$8="II",'РО 01.07 - 31.08'!W11171,IF($AP$8="III",'РО 01.09 - 31.12'!W11171,0)))*W11237</f>
        <v>0</v>
      </c>
      <c r="X11171" s="260"/>
      <c r="Y11171" s="260"/>
      <c r="Z11171" s="262">
        <f>IF($AP$8="I",'РО 01.01 - 30.06'!Z11171,IF($AP$8="II",'РО 01.07 - 31.08'!Z11171,IF($AP$8="III",'РО 01.09 - 31.12'!Z11171,0)))*Z11237</f>
        <v>0</v>
      </c>
      <c r="AA11171"/>
      <c r="AB11171"/>
      <c r="AC11171"/>
      <c r="AD11171"/>
      <c r="AE11171"/>
      <c r="AF11171"/>
      <c r="AG11171"/>
      <c r="AH11171"/>
      <c r="AI11171"/>
      <c r="AJ11171"/>
      <c r="AK11171"/>
      <c r="AL11171"/>
      <c r="AM11171"/>
    </row>
    <row r="11172" spans="1:39" s="47" customFormat="1" hidden="1">
      <c r="A11172" s="121"/>
      <c r="B11172" s="121"/>
      <c r="C11172" s="121"/>
      <c r="D11172" s="121"/>
      <c r="E11172" s="121"/>
      <c r="F11172" s="121"/>
      <c r="G11172" s="121"/>
      <c r="H11172" s="121"/>
      <c r="I11172" s="121"/>
      <c r="J11172" s="121"/>
      <c r="K11172" s="121"/>
      <c r="L11172" s="121"/>
      <c r="M11172" s="121"/>
      <c r="N11172" s="222"/>
      <c r="O11172" s="534"/>
      <c r="P11172" s="553"/>
      <c r="Q11172" s="321"/>
      <c r="R11172" s="553"/>
      <c r="S11172" s="553"/>
      <c r="T11172" s="553"/>
      <c r="U11172" s="553"/>
      <c r="V11172" s="553"/>
      <c r="W11172" s="553"/>
      <c r="X11172" s="553"/>
      <c r="Y11172" s="553"/>
      <c r="Z11172" s="553"/>
      <c r="AA11172"/>
      <c r="AB11172"/>
      <c r="AC11172"/>
      <c r="AD11172"/>
      <c r="AE11172"/>
      <c r="AF11172"/>
      <c r="AG11172"/>
      <c r="AH11172"/>
      <c r="AI11172"/>
      <c r="AJ11172"/>
      <c r="AK11172"/>
      <c r="AL11172"/>
      <c r="AM11172"/>
    </row>
    <row r="11173" spans="1:39" s="47" customFormat="1" hidden="1">
      <c r="A11173" s="121"/>
      <c r="B11173" s="121"/>
      <c r="C11173" s="121"/>
      <c r="D11173" s="121"/>
      <c r="E11173" s="121"/>
      <c r="F11173" s="121"/>
      <c r="G11173" s="121"/>
      <c r="H11173" s="121"/>
      <c r="I11173" s="121"/>
      <c r="J11173" s="121"/>
      <c r="K11173" s="121"/>
      <c r="L11173" s="121"/>
      <c r="M11173" s="121"/>
      <c r="N11173" s="222"/>
      <c r="O11173" s="529"/>
      <c r="P11173" s="553"/>
      <c r="Q11173" s="321"/>
      <c r="R11173" s="553"/>
      <c r="S11173" s="553"/>
      <c r="T11173" s="553"/>
      <c r="U11173" s="553"/>
      <c r="V11173" s="553"/>
      <c r="W11173" s="553"/>
      <c r="X11173" s="553"/>
      <c r="Y11173" s="553"/>
      <c r="Z11173" s="553"/>
      <c r="AA11173"/>
      <c r="AB11173"/>
      <c r="AC11173"/>
      <c r="AD11173"/>
      <c r="AE11173"/>
      <c r="AF11173"/>
      <c r="AG11173"/>
      <c r="AH11173"/>
      <c r="AI11173"/>
      <c r="AJ11173"/>
      <c r="AK11173"/>
      <c r="AL11173"/>
      <c r="AM11173"/>
    </row>
    <row r="11174" spans="1:39" s="47" customFormat="1">
      <c r="A11174" s="121"/>
      <c r="B11174" s="121"/>
      <c r="C11174" s="121"/>
      <c r="D11174" s="121"/>
      <c r="E11174" s="121"/>
      <c r="F11174" s="121"/>
      <c r="G11174" s="121"/>
      <c r="H11174" s="121"/>
      <c r="I11174" s="121"/>
      <c r="J11174" s="121"/>
      <c r="K11174" s="121"/>
      <c r="L11174" s="121"/>
      <c r="M11174" s="121"/>
      <c r="N11174" s="504" t="s">
        <v>2847</v>
      </c>
      <c r="O11174" s="535" t="s">
        <v>2848</v>
      </c>
      <c r="P11174" s="257"/>
      <c r="Q11174" s="321"/>
      <c r="R11174" s="260"/>
      <c r="S11174" s="260"/>
      <c r="T11174" s="260"/>
      <c r="U11174" s="260"/>
      <c r="V11174" s="260"/>
      <c r="W11174" s="257">
        <f>SUM(W11175:W11179)</f>
        <v>0</v>
      </c>
      <c r="X11174" s="260"/>
      <c r="Y11174" s="260"/>
      <c r="Z11174" s="257">
        <f>SUM(Z11175:Z11179)</f>
        <v>0</v>
      </c>
      <c r="AA11174"/>
      <c r="AB11174"/>
      <c r="AC11174"/>
      <c r="AD11174"/>
      <c r="AE11174"/>
      <c r="AF11174"/>
      <c r="AG11174"/>
      <c r="AH11174"/>
      <c r="AI11174"/>
      <c r="AJ11174"/>
      <c r="AK11174"/>
      <c r="AL11174"/>
      <c r="AM11174"/>
    </row>
    <row r="11175" spans="1:39" s="47" customFormat="1" ht="22.5">
      <c r="A11175" s="121"/>
      <c r="B11175" s="121"/>
      <c r="C11175" s="121"/>
      <c r="D11175" s="121"/>
      <c r="E11175" s="121"/>
      <c r="F11175" s="121"/>
      <c r="G11175" s="121"/>
      <c r="H11175" s="121"/>
      <c r="I11175" s="121"/>
      <c r="J11175" s="121"/>
      <c r="K11175" s="121"/>
      <c r="L11175" s="121"/>
      <c r="M11175" s="121"/>
      <c r="N11175" s="504" t="s">
        <v>2849</v>
      </c>
      <c r="O11175" s="533" t="s">
        <v>2415</v>
      </c>
      <c r="P11175" s="257"/>
      <c r="Q11175" s="321"/>
      <c r="R11175" s="260"/>
      <c r="S11175" s="260"/>
      <c r="T11175" s="260"/>
      <c r="U11175" s="260"/>
      <c r="V11175" s="260"/>
      <c r="W11175" s="262">
        <f>IF($AP$8="I",'РО 01.01 - 30.06'!W11175,IF($AP$8="II",'РО 01.07 - 31.08'!W11175,IF($AP$8="III",'РО 01.09 - 31.12'!W11175,0)))*W11237</f>
        <v>0</v>
      </c>
      <c r="X11175" s="260"/>
      <c r="Y11175" s="260"/>
      <c r="Z11175" s="262">
        <f>IF($AP$8="I",'РО 01.01 - 30.06'!Z11175,IF($AP$8="II",'РО 01.07 - 31.08'!Z11175,IF($AP$8="III",'РО 01.09 - 31.12'!Z11175,0)))*Z11237</f>
        <v>0</v>
      </c>
      <c r="AA11175"/>
      <c r="AB11175"/>
      <c r="AC11175"/>
      <c r="AD11175"/>
      <c r="AE11175"/>
      <c r="AF11175"/>
      <c r="AG11175"/>
      <c r="AH11175"/>
      <c r="AI11175"/>
      <c r="AJ11175"/>
      <c r="AK11175"/>
      <c r="AL11175"/>
      <c r="AM11175"/>
    </row>
    <row r="11176" spans="1:39" s="47" customFormat="1" ht="22.5">
      <c r="A11176" s="121"/>
      <c r="B11176" s="121"/>
      <c r="C11176" s="121"/>
      <c r="D11176" s="121"/>
      <c r="E11176" s="121"/>
      <c r="F11176" s="121"/>
      <c r="G11176" s="121"/>
      <c r="H11176" s="121"/>
      <c r="I11176" s="121"/>
      <c r="J11176" s="121"/>
      <c r="K11176" s="121"/>
      <c r="L11176" s="121"/>
      <c r="M11176" s="121"/>
      <c r="N11176" s="504" t="s">
        <v>2850</v>
      </c>
      <c r="O11176" s="533" t="s">
        <v>2417</v>
      </c>
      <c r="P11176" s="257"/>
      <c r="Q11176" s="321"/>
      <c r="R11176" s="260"/>
      <c r="S11176" s="260"/>
      <c r="T11176" s="260"/>
      <c r="U11176" s="260"/>
      <c r="V11176" s="260"/>
      <c r="W11176" s="262">
        <f>IF($AP$8="I",'РО 01.01 - 30.06'!W11176,IF($AP$8="II",'РО 01.07 - 31.08'!W11176,IF($AP$8="III",'РО 01.09 - 31.12'!W11176,0)))*W11237</f>
        <v>0</v>
      </c>
      <c r="X11176" s="260"/>
      <c r="Y11176" s="260"/>
      <c r="Z11176" s="262">
        <f>IF($AP$8="I",'РО 01.01 - 30.06'!Z11176,IF($AP$8="II",'РО 01.07 - 31.08'!Z11176,IF($AP$8="III",'РО 01.09 - 31.12'!Z11176,0)))*Z11237</f>
        <v>0</v>
      </c>
      <c r="AA11176"/>
      <c r="AB11176"/>
      <c r="AC11176"/>
      <c r="AD11176"/>
      <c r="AE11176"/>
      <c r="AF11176"/>
      <c r="AG11176"/>
      <c r="AH11176"/>
      <c r="AI11176"/>
      <c r="AJ11176"/>
      <c r="AK11176"/>
      <c r="AL11176"/>
      <c r="AM11176"/>
    </row>
    <row r="11177" spans="1:39" s="47" customFormat="1">
      <c r="A11177" s="121"/>
      <c r="B11177" s="121"/>
      <c r="C11177" s="121"/>
      <c r="D11177" s="121"/>
      <c r="E11177" s="121"/>
      <c r="F11177" s="121"/>
      <c r="G11177" s="121"/>
      <c r="H11177" s="121"/>
      <c r="I11177" s="121"/>
      <c r="J11177" s="121"/>
      <c r="K11177" s="121"/>
      <c r="L11177" s="121"/>
      <c r="M11177" s="121"/>
      <c r="N11177" s="504" t="s">
        <v>2316</v>
      </c>
      <c r="O11177" s="533" t="s">
        <v>2420</v>
      </c>
      <c r="P11177" s="257"/>
      <c r="Q11177" s="321"/>
      <c r="R11177" s="260"/>
      <c r="S11177" s="260"/>
      <c r="T11177" s="260"/>
      <c r="U11177" s="260"/>
      <c r="V11177" s="260"/>
      <c r="W11177" s="262">
        <f>IF($AP$8="I",'РО 01.01 - 30.06'!W11177,IF($AP$8="II",'РО 01.07 - 31.08'!W11177,IF($AP$8="III",'РО 01.09 - 31.12'!W11177,0)))*W11237</f>
        <v>0</v>
      </c>
      <c r="X11177" s="260"/>
      <c r="Y11177" s="260"/>
      <c r="Z11177" s="262">
        <f>IF($AP$8="I",'РО 01.01 - 30.06'!Z11177,IF($AP$8="II",'РО 01.07 - 31.08'!Z11177,IF($AP$8="III",'РО 01.09 - 31.12'!Z11177,0)))*Z11237</f>
        <v>0</v>
      </c>
      <c r="AA11177"/>
      <c r="AB11177"/>
      <c r="AC11177"/>
      <c r="AD11177"/>
      <c r="AE11177"/>
      <c r="AF11177"/>
      <c r="AG11177"/>
      <c r="AH11177"/>
      <c r="AI11177"/>
      <c r="AJ11177"/>
      <c r="AK11177"/>
      <c r="AL11177"/>
      <c r="AM11177"/>
    </row>
    <row r="11178" spans="1:39" s="47" customFormat="1">
      <c r="A11178" s="121"/>
      <c r="B11178" s="121"/>
      <c r="C11178" s="121"/>
      <c r="D11178" s="121"/>
      <c r="E11178" s="121"/>
      <c r="F11178" s="121"/>
      <c r="G11178" s="121"/>
      <c r="H11178" s="121"/>
      <c r="I11178" s="121"/>
      <c r="J11178" s="121"/>
      <c r="K11178" s="121"/>
      <c r="L11178" s="121"/>
      <c r="M11178" s="121"/>
      <c r="N11178" s="504" t="s">
        <v>2317</v>
      </c>
      <c r="O11178" s="533" t="s">
        <v>2423</v>
      </c>
      <c r="P11178" s="257"/>
      <c r="Q11178" s="321"/>
      <c r="R11178" s="260"/>
      <c r="S11178" s="260"/>
      <c r="T11178" s="260"/>
      <c r="U11178" s="260"/>
      <c r="V11178" s="260"/>
      <c r="W11178" s="262">
        <f>IF($AP$8="I",'РО 01.01 - 30.06'!W11178,IF($AP$8="II",'РО 01.07 - 31.08'!W11178,IF($AP$8="III",'РО 01.09 - 31.12'!W11178,0)))*W11237</f>
        <v>0</v>
      </c>
      <c r="X11178" s="260"/>
      <c r="Y11178" s="260"/>
      <c r="Z11178" s="262">
        <f>IF($AP$8="I",'РО 01.01 - 30.06'!Z11178,IF($AP$8="II",'РО 01.07 - 31.08'!Z11178,IF($AP$8="III",'РО 01.09 - 31.12'!Z11178,0)))*Z11237</f>
        <v>0</v>
      </c>
      <c r="AA11178"/>
      <c r="AB11178"/>
      <c r="AC11178"/>
      <c r="AD11178"/>
      <c r="AE11178"/>
      <c r="AF11178"/>
      <c r="AG11178"/>
      <c r="AH11178"/>
      <c r="AI11178"/>
      <c r="AJ11178"/>
      <c r="AK11178"/>
      <c r="AL11178"/>
      <c r="AM11178"/>
    </row>
    <row r="11179" spans="1:39" s="47" customFormat="1">
      <c r="A11179" s="121"/>
      <c r="B11179" s="121"/>
      <c r="C11179" s="121"/>
      <c r="D11179" s="121"/>
      <c r="E11179" s="121"/>
      <c r="F11179" s="121"/>
      <c r="G11179" s="121"/>
      <c r="H11179" s="121"/>
      <c r="I11179" s="121"/>
      <c r="J11179" s="121"/>
      <c r="K11179" s="121"/>
      <c r="L11179" s="121"/>
      <c r="M11179" s="121"/>
      <c r="N11179" s="504" t="s">
        <v>2318</v>
      </c>
      <c r="O11179" s="533" t="s">
        <v>2426</v>
      </c>
      <c r="P11179" s="257"/>
      <c r="Q11179" s="321"/>
      <c r="R11179" s="260"/>
      <c r="S11179" s="260"/>
      <c r="T11179" s="260"/>
      <c r="U11179" s="260"/>
      <c r="V11179" s="260"/>
      <c r="W11179" s="262">
        <f>IF($AP$8="I",'РО 01.01 - 30.06'!W11179,IF($AP$8="II",'РО 01.07 - 31.08'!W11179,IF($AP$8="III",'РО 01.09 - 31.12'!W11179,0)))*W11237</f>
        <v>0</v>
      </c>
      <c r="X11179" s="260"/>
      <c r="Y11179" s="260"/>
      <c r="Z11179" s="262">
        <f>IF($AP$8="I",'РО 01.01 - 30.06'!Z11179,IF($AP$8="II",'РО 01.07 - 31.08'!Z11179,IF($AP$8="III",'РО 01.09 - 31.12'!Z11179,0)))*Z11237</f>
        <v>0</v>
      </c>
      <c r="AA11179"/>
      <c r="AB11179"/>
      <c r="AC11179"/>
      <c r="AD11179"/>
      <c r="AE11179"/>
      <c r="AF11179"/>
      <c r="AG11179"/>
      <c r="AH11179"/>
      <c r="AI11179"/>
      <c r="AJ11179"/>
      <c r="AK11179"/>
      <c r="AL11179"/>
      <c r="AM11179"/>
    </row>
    <row r="11180" spans="1:39" s="47" customFormat="1" hidden="1">
      <c r="A11180" s="121"/>
      <c r="B11180" s="121"/>
      <c r="C11180" s="121"/>
      <c r="D11180" s="121"/>
      <c r="E11180" s="121"/>
      <c r="F11180" s="121"/>
      <c r="G11180" s="121"/>
      <c r="H11180" s="121"/>
      <c r="I11180" s="121"/>
      <c r="J11180" s="121"/>
      <c r="K11180" s="121"/>
      <c r="L11180" s="121"/>
      <c r="M11180" s="121"/>
      <c r="N11180" s="560" t="str">
        <f>IF(TEMPLATE_SPHERE="водоснабжения","2.9","")</f>
        <v/>
      </c>
      <c r="O11180" s="561" t="str">
        <f>IF(TEMPLATE_SPHERE="водоснабжения","Покупная вода","")</f>
        <v/>
      </c>
      <c r="P11180" s="553"/>
      <c r="Q11180" s="321"/>
      <c r="R11180" s="553"/>
      <c r="S11180" s="553"/>
      <c r="T11180" s="553"/>
      <c r="U11180" s="553"/>
      <c r="V11180" s="553"/>
      <c r="W11180" s="553"/>
      <c r="X11180" s="553"/>
      <c r="Y11180" s="553"/>
      <c r="Z11180" s="553"/>
      <c r="AA11180"/>
      <c r="AB11180"/>
      <c r="AC11180"/>
      <c r="AD11180"/>
      <c r="AE11180"/>
      <c r="AF11180"/>
      <c r="AG11180"/>
      <c r="AH11180"/>
      <c r="AI11180"/>
      <c r="AJ11180"/>
      <c r="AK11180"/>
      <c r="AL11180"/>
      <c r="AM11180"/>
    </row>
    <row r="11181" spans="1:39" s="47" customFormat="1" hidden="1">
      <c r="A11181" s="121"/>
      <c r="B11181" s="121"/>
      <c r="C11181" s="121"/>
      <c r="D11181" s="121"/>
      <c r="E11181" s="121"/>
      <c r="F11181" s="121"/>
      <c r="G11181" s="121"/>
      <c r="H11181" s="121"/>
      <c r="I11181" s="121"/>
      <c r="J11181" s="121"/>
      <c r="K11181" s="121"/>
      <c r="L11181" s="121"/>
      <c r="M11181" s="121"/>
      <c r="N11181" s="560" t="str">
        <f>IF(TEMPLATE_SPHERE="водоснабжения","2.9.1","")</f>
        <v/>
      </c>
      <c r="O11181" s="562" t="str">
        <f>IF(TEMPLATE_SPHERE="водоснабжения","тариф (руб./куб.м)","")</f>
        <v/>
      </c>
      <c r="P11181" s="553"/>
      <c r="Q11181" s="321"/>
      <c r="R11181" s="553"/>
      <c r="S11181" s="553"/>
      <c r="T11181" s="553"/>
      <c r="U11181" s="553"/>
      <c r="V11181" s="553"/>
      <c r="W11181" s="553"/>
      <c r="X11181" s="553"/>
      <c r="Y11181" s="553"/>
      <c r="Z11181" s="553"/>
      <c r="AA11181"/>
      <c r="AB11181"/>
      <c r="AC11181"/>
      <c r="AD11181"/>
      <c r="AE11181"/>
      <c r="AF11181"/>
      <c r="AG11181"/>
      <c r="AH11181"/>
      <c r="AI11181"/>
      <c r="AJ11181"/>
      <c r="AK11181"/>
      <c r="AL11181"/>
      <c r="AM11181"/>
    </row>
    <row r="11182" spans="1:39" s="47" customFormat="1" hidden="1">
      <c r="A11182" s="121"/>
      <c r="B11182" s="121"/>
      <c r="C11182" s="121"/>
      <c r="D11182" s="121"/>
      <c r="E11182" s="121"/>
      <c r="F11182" s="121"/>
      <c r="G11182" s="121"/>
      <c r="H11182" s="121"/>
      <c r="I11182" s="121"/>
      <c r="J11182" s="121"/>
      <c r="K11182" s="121"/>
      <c r="L11182" s="121"/>
      <c r="M11182" s="121"/>
      <c r="N11182" s="560" t="str">
        <f>IF(TEMPLATE_SPHERE="водоснабжения","2.9.2","")</f>
        <v/>
      </c>
      <c r="O11182" s="562" t="str">
        <f>IF(TEMPLATE_SPHERE="водоснабжения","объём (тыс. куб.м)","")</f>
        <v/>
      </c>
      <c r="P11182" s="553"/>
      <c r="Q11182" s="321"/>
      <c r="R11182" s="553"/>
      <c r="S11182" s="553"/>
      <c r="T11182" s="553"/>
      <c r="U11182" s="553"/>
      <c r="V11182" s="553"/>
      <c r="W11182" s="553"/>
      <c r="X11182" s="553"/>
      <c r="Y11182" s="553"/>
      <c r="Z11182" s="553"/>
      <c r="AA11182"/>
      <c r="AB11182"/>
      <c r="AC11182"/>
      <c r="AD11182"/>
      <c r="AE11182"/>
      <c r="AF11182"/>
      <c r="AG11182"/>
      <c r="AH11182"/>
      <c r="AI11182"/>
      <c r="AJ11182"/>
      <c r="AK11182"/>
      <c r="AL11182"/>
      <c r="AM11182"/>
    </row>
    <row r="11183" spans="1:39" s="47" customFormat="1" hidden="1">
      <c r="A11183" s="121"/>
      <c r="B11183" s="121"/>
      <c r="C11183" s="121"/>
      <c r="D11183" s="121"/>
      <c r="E11183" s="121"/>
      <c r="F11183" s="121"/>
      <c r="G11183" s="121"/>
      <c r="H11183" s="121"/>
      <c r="I11183" s="121"/>
      <c r="J11183" s="121"/>
      <c r="K11183" s="121"/>
      <c r="L11183" s="121"/>
      <c r="M11183" s="121"/>
      <c r="N11183" s="560" t="str">
        <f>IF(TEMPLATE_SPHERE="водоснабжения","2.9.3","")</f>
        <v/>
      </c>
      <c r="O11183" s="562" t="str">
        <f>IF(TEMPLATE_SPHERE="водоснабжения","покупка потерь","")</f>
        <v/>
      </c>
      <c r="P11183" s="553"/>
      <c r="Q11183" s="321"/>
      <c r="R11183" s="553"/>
      <c r="S11183" s="553"/>
      <c r="T11183" s="553"/>
      <c r="U11183" s="553"/>
      <c r="V11183" s="553"/>
      <c r="W11183" s="553"/>
      <c r="X11183" s="553"/>
      <c r="Y11183" s="553"/>
      <c r="Z11183" s="553"/>
      <c r="AA11183"/>
      <c r="AB11183"/>
      <c r="AC11183"/>
      <c r="AD11183"/>
      <c r="AE11183"/>
      <c r="AF11183"/>
      <c r="AG11183"/>
      <c r="AH11183"/>
      <c r="AI11183"/>
      <c r="AJ11183"/>
      <c r="AK11183"/>
      <c r="AL11183"/>
      <c r="AM11183"/>
    </row>
    <row r="11184" spans="1:39" s="47" customFormat="1" ht="22.5">
      <c r="A11184" s="121"/>
      <c r="B11184" s="121"/>
      <c r="C11184" s="121"/>
      <c r="D11184" s="121"/>
      <c r="E11184" s="121"/>
      <c r="F11184" s="121"/>
      <c r="G11184" s="121"/>
      <c r="H11184" s="121"/>
      <c r="I11184" s="121"/>
      <c r="J11184" s="121"/>
      <c r="K11184" s="121"/>
      <c r="L11184" s="121"/>
      <c r="M11184" s="121"/>
      <c r="N11184" s="504" t="s">
        <v>2323</v>
      </c>
      <c r="O11184"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P11184" s="257"/>
      <c r="Q11184" s="321"/>
      <c r="R11184" s="260"/>
      <c r="S11184" s="260"/>
      <c r="T11184" s="260"/>
      <c r="U11184" s="260"/>
      <c r="V11184" s="260"/>
      <c r="W11184" s="262">
        <f>IF($AP$8="I",'РО 01.01 - 30.06'!W11184,IF($AP$8="II",'РО 01.07 - 31.08'!W11184,IF($AP$8="III",'РО 01.09 - 31.12'!W11184,0)))*W11237</f>
        <v>0</v>
      </c>
      <c r="X11184" s="260"/>
      <c r="Y11184" s="260"/>
      <c r="Z11184" s="262">
        <f>IF($AP$8="I",'РО 01.01 - 30.06'!Z11184,IF($AP$8="II",'РО 01.07 - 31.08'!Z11184,IF($AP$8="III",'РО 01.09 - 31.12'!Z11184,0)))*Z11237</f>
        <v>0</v>
      </c>
      <c r="AA11184"/>
      <c r="AB11184"/>
      <c r="AC11184"/>
      <c r="AD11184"/>
      <c r="AE11184"/>
      <c r="AF11184"/>
      <c r="AG11184"/>
      <c r="AH11184"/>
      <c r="AI11184"/>
      <c r="AJ11184"/>
      <c r="AK11184"/>
      <c r="AL11184"/>
      <c r="AM11184"/>
    </row>
    <row r="11185" spans="1:39" s="47" customFormat="1" ht="22.5">
      <c r="A11185" s="121"/>
      <c r="B11185" s="121"/>
      <c r="C11185" s="121"/>
      <c r="D11185" s="121"/>
      <c r="E11185" s="121"/>
      <c r="F11185" s="121"/>
      <c r="G11185" s="121"/>
      <c r="H11185" s="121"/>
      <c r="I11185" s="121"/>
      <c r="J11185" s="121"/>
      <c r="K11185" s="121"/>
      <c r="L11185" s="121"/>
      <c r="M11185" s="121"/>
      <c r="N11185" s="504" t="s">
        <v>2324</v>
      </c>
      <c r="O11185"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P11185" s="257"/>
      <c r="Q11185" s="321"/>
      <c r="R11185" s="260"/>
      <c r="S11185" s="260"/>
      <c r="T11185" s="260"/>
      <c r="U11185" s="260"/>
      <c r="V11185" s="260"/>
      <c r="W11185" s="262">
        <f>IF($AP$8="I",'РО 01.01 - 30.06'!W11185,IF($AP$8="II",'РО 01.07 - 31.08'!W11185,IF($AP$8="III",'РО 01.09 - 31.12'!W11185,0)))*W11237</f>
        <v>0</v>
      </c>
      <c r="X11185" s="260"/>
      <c r="Y11185" s="260"/>
      <c r="Z11185" s="262">
        <f>IF($AP$8="I",'РО 01.01 - 30.06'!Z11185,IF($AP$8="II",'РО 01.07 - 31.08'!Z11185,IF($AP$8="III",'РО 01.09 - 31.12'!Z11185,0)))*Z11237</f>
        <v>0</v>
      </c>
      <c r="AA11185"/>
      <c r="AB11185"/>
      <c r="AC11185"/>
      <c r="AD11185"/>
      <c r="AE11185"/>
      <c r="AF11185"/>
      <c r="AG11185"/>
      <c r="AH11185"/>
      <c r="AI11185"/>
      <c r="AJ11185"/>
      <c r="AK11185"/>
      <c r="AL11185"/>
      <c r="AM11185"/>
    </row>
    <row r="11186" spans="1:39" s="47" customFormat="1">
      <c r="A11186" s="121"/>
      <c r="B11186" s="121"/>
      <c r="C11186" s="121"/>
      <c r="D11186" s="121"/>
      <c r="E11186" s="121"/>
      <c r="F11186" s="121"/>
      <c r="G11186" s="121"/>
      <c r="H11186" s="121"/>
      <c r="I11186" s="121"/>
      <c r="J11186" s="121"/>
      <c r="K11186" s="121"/>
      <c r="L11186" s="121"/>
      <c r="M11186" s="121"/>
      <c r="N11186" s="504" t="s">
        <v>2325</v>
      </c>
      <c r="O11186"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P11186" s="257"/>
      <c r="Q11186" s="321"/>
      <c r="R11186" s="260"/>
      <c r="S11186" s="260"/>
      <c r="T11186" s="260"/>
      <c r="U11186" s="260"/>
      <c r="V11186" s="260"/>
      <c r="W11186" s="262">
        <f>IF($AP$8="I",'РО 01.01 - 30.06'!W11186,IF($AP$8="II",'РО 01.07 - 31.08'!W11186,IF($AP$8="III",'РО 01.09 - 31.12'!W11186,0)))*W11237</f>
        <v>0</v>
      </c>
      <c r="X11186" s="260"/>
      <c r="Y11186" s="260"/>
      <c r="Z11186" s="262">
        <f>IF($AP$8="I",'РО 01.01 - 30.06'!Z11186,IF($AP$8="II",'РО 01.07 - 31.08'!Z11186,IF($AP$8="III",'РО 01.09 - 31.12'!Z11186,0)))*Z11237</f>
        <v>0</v>
      </c>
      <c r="AA11186"/>
      <c r="AB11186"/>
      <c r="AC11186"/>
      <c r="AD11186"/>
      <c r="AE11186"/>
      <c r="AF11186"/>
      <c r="AG11186"/>
      <c r="AH11186"/>
      <c r="AI11186"/>
      <c r="AJ11186"/>
      <c r="AK11186"/>
      <c r="AL11186"/>
      <c r="AM11186"/>
    </row>
    <row r="11187" spans="1:39" s="47" customFormat="1">
      <c r="A11187" s="121"/>
      <c r="B11187" s="121"/>
      <c r="C11187" s="121"/>
      <c r="D11187" s="121"/>
      <c r="E11187" s="121"/>
      <c r="F11187" s="121"/>
      <c r="G11187" s="121"/>
      <c r="H11187" s="121"/>
      <c r="I11187" s="121"/>
      <c r="J11187" s="121"/>
      <c r="K11187" s="121"/>
      <c r="L11187" s="121"/>
      <c r="M11187" s="121"/>
      <c r="N11187" s="504" t="s">
        <v>2326</v>
      </c>
      <c r="O11187" s="527" t="s">
        <v>2327</v>
      </c>
      <c r="P11187" s="257"/>
      <c r="Q11187" s="321"/>
      <c r="R11187" s="260"/>
      <c r="S11187" s="260"/>
      <c r="T11187" s="260"/>
      <c r="U11187" s="260"/>
      <c r="V11187" s="260"/>
      <c r="W11187" s="257">
        <f>SUM(W11188:W11189)</f>
        <v>0</v>
      </c>
      <c r="X11187" s="260"/>
      <c r="Y11187" s="260"/>
      <c r="Z11187" s="257">
        <f>SUM(Z11188:Z11189)</f>
        <v>0</v>
      </c>
      <c r="AA11187"/>
      <c r="AB11187"/>
      <c r="AC11187"/>
      <c r="AD11187"/>
      <c r="AE11187"/>
      <c r="AF11187"/>
      <c r="AG11187"/>
      <c r="AH11187"/>
      <c r="AI11187"/>
      <c r="AJ11187"/>
      <c r="AK11187"/>
      <c r="AL11187"/>
      <c r="AM11187"/>
    </row>
    <row r="11188" spans="1:39" s="47" customFormat="1">
      <c r="A11188" s="121"/>
      <c r="B11188" s="121"/>
      <c r="C11188" s="121"/>
      <c r="D11188" s="121"/>
      <c r="E11188" s="121"/>
      <c r="F11188" s="121"/>
      <c r="G11188" s="121"/>
      <c r="H11188" s="121"/>
      <c r="I11188" s="121"/>
      <c r="J11188" s="121"/>
      <c r="K11188" s="121"/>
      <c r="L11188" s="121"/>
      <c r="M11188" s="121"/>
      <c r="N11188" s="504" t="s">
        <v>2328</v>
      </c>
      <c r="O11188" s="528" t="s">
        <v>2329</v>
      </c>
      <c r="P11188" s="257"/>
      <c r="Q11188" s="321"/>
      <c r="R11188" s="260"/>
      <c r="S11188" s="260"/>
      <c r="T11188" s="260"/>
      <c r="U11188" s="260"/>
      <c r="V11188" s="260"/>
      <c r="W11188" s="262">
        <f>IF($AP$8="I",'РО 01.01 - 30.06'!W11188,IF($AP$8="II",'РО 01.07 - 31.08'!W11188,IF($AP$8="III",'РО 01.09 - 31.12'!W11188,0)))*W11237</f>
        <v>0</v>
      </c>
      <c r="X11188" s="260"/>
      <c r="Y11188" s="260"/>
      <c r="Z11188" s="262">
        <f>IF($AP$8="I",'РО 01.01 - 30.06'!Z11188,IF($AP$8="II",'РО 01.07 - 31.08'!Z11188,IF($AP$8="III",'РО 01.09 - 31.12'!Z11188,0)))*Z11237</f>
        <v>0</v>
      </c>
      <c r="AA11188"/>
      <c r="AB11188"/>
      <c r="AC11188"/>
      <c r="AD11188"/>
      <c r="AE11188"/>
      <c r="AF11188"/>
      <c r="AG11188"/>
      <c r="AH11188"/>
      <c r="AI11188"/>
      <c r="AJ11188"/>
      <c r="AK11188"/>
      <c r="AL11188"/>
      <c r="AM11188"/>
    </row>
    <row r="11189" spans="1:39" s="47" customFormat="1">
      <c r="A11189" s="121"/>
      <c r="B11189" s="121"/>
      <c r="C11189" s="121"/>
      <c r="D11189" s="121"/>
      <c r="E11189" s="121"/>
      <c r="F11189" s="121"/>
      <c r="G11189" s="121"/>
      <c r="H11189" s="121"/>
      <c r="I11189" s="121"/>
      <c r="J11189" s="121"/>
      <c r="K11189" s="121"/>
      <c r="L11189" s="121"/>
      <c r="M11189" s="121"/>
      <c r="N11189" s="504" t="s">
        <v>2330</v>
      </c>
      <c r="O11189" s="528" t="s">
        <v>2331</v>
      </c>
      <c r="P11189" s="257"/>
      <c r="Q11189" s="321"/>
      <c r="R11189" s="260"/>
      <c r="S11189" s="260"/>
      <c r="T11189" s="260"/>
      <c r="U11189" s="260"/>
      <c r="V11189" s="260"/>
      <c r="W11189" s="262">
        <f>IF($AP$8="I",'РО 01.01 - 30.06'!W11189,IF($AP$8="II",'РО 01.07 - 31.08'!W11189,IF($AP$8="III",'РО 01.09 - 31.12'!W11189,0)))*W11237</f>
        <v>0</v>
      </c>
      <c r="X11189" s="260"/>
      <c r="Y11189" s="260"/>
      <c r="Z11189" s="262">
        <f>IF($AP$8="I",'РО 01.01 - 30.06'!Z11189,IF($AP$8="II",'РО 01.07 - 31.08'!Z11189,IF($AP$8="III",'РО 01.09 - 31.12'!Z11189,0)))*Z11237</f>
        <v>0</v>
      </c>
      <c r="AA11189"/>
      <c r="AB11189"/>
      <c r="AC11189"/>
      <c r="AD11189"/>
      <c r="AE11189"/>
      <c r="AF11189"/>
      <c r="AG11189"/>
      <c r="AH11189"/>
      <c r="AI11189"/>
      <c r="AJ11189"/>
      <c r="AK11189"/>
      <c r="AL11189"/>
      <c r="AM11189"/>
    </row>
    <row r="11190" spans="1:39" s="47" customFormat="1">
      <c r="A11190" s="121"/>
      <c r="B11190" s="121"/>
      <c r="C11190" s="121"/>
      <c r="D11190" s="121"/>
      <c r="E11190" s="121"/>
      <c r="F11190" s="121"/>
      <c r="G11190" s="121"/>
      <c r="H11190" s="121"/>
      <c r="I11190" s="121"/>
      <c r="J11190" s="121"/>
      <c r="K11190" s="121"/>
      <c r="L11190" s="121"/>
      <c r="M11190" s="121"/>
      <c r="N11190" s="504" t="s">
        <v>2332</v>
      </c>
      <c r="O11190" s="527" t="s">
        <v>2333</v>
      </c>
      <c r="P11190" s="257"/>
      <c r="Q11190" s="321"/>
      <c r="R11190" s="260"/>
      <c r="S11190" s="260"/>
      <c r="T11190" s="260"/>
      <c r="U11190" s="260"/>
      <c r="V11190" s="260"/>
      <c r="W11190" s="262">
        <f>IF($AP$8="I",'РО 01.01 - 30.06'!W11190,IF($AP$8="II",'РО 01.07 - 31.08'!W11190,IF($AP$8="III",'РО 01.09 - 31.12'!W11190,0)))*W11237</f>
        <v>0</v>
      </c>
      <c r="X11190" s="260"/>
      <c r="Y11190" s="260"/>
      <c r="Z11190" s="262">
        <f>IF($AP$8="I",'РО 01.01 - 30.06'!Z11190,IF($AP$8="II",'РО 01.07 - 31.08'!Z11190,IF($AP$8="III",'РО 01.09 - 31.12'!Z11190,0)))*Z11237</f>
        <v>0</v>
      </c>
      <c r="AA11190"/>
      <c r="AB11190"/>
      <c r="AC11190"/>
      <c r="AD11190"/>
      <c r="AE11190"/>
      <c r="AF11190"/>
      <c r="AG11190"/>
      <c r="AH11190"/>
      <c r="AI11190"/>
      <c r="AJ11190"/>
      <c r="AK11190"/>
      <c r="AL11190"/>
      <c r="AM11190"/>
    </row>
    <row r="11191" spans="1:39" s="47" customFormat="1">
      <c r="A11191" s="121"/>
      <c r="B11191" s="121"/>
      <c r="C11191" s="121"/>
      <c r="D11191" s="121"/>
      <c r="E11191" s="121"/>
      <c r="F11191" s="121"/>
      <c r="G11191" s="121"/>
      <c r="H11191" s="121"/>
      <c r="I11191" s="121"/>
      <c r="J11191" s="121"/>
      <c r="K11191" s="121"/>
      <c r="L11191" s="121"/>
      <c r="M11191" s="121"/>
      <c r="N11191" s="504" t="s">
        <v>2334</v>
      </c>
      <c r="O11191" s="527" t="s">
        <v>2335</v>
      </c>
      <c r="P11191" s="257"/>
      <c r="Q11191" s="321"/>
      <c r="R11191" s="260"/>
      <c r="S11191" s="260"/>
      <c r="T11191" s="260"/>
      <c r="U11191" s="260"/>
      <c r="V11191" s="260"/>
      <c r="W11191" s="262">
        <f>IF($AP$8="I",'РО 01.01 - 30.06'!W11191,IF($AP$8="II",'РО 01.07 - 31.08'!W11191,IF($AP$8="III",'РО 01.09 - 31.12'!W11191,0)))*W11237</f>
        <v>0</v>
      </c>
      <c r="X11191" s="260"/>
      <c r="Y11191" s="260"/>
      <c r="Z11191" s="262">
        <f>IF($AP$8="I",'РО 01.01 - 30.06'!Z11191,IF($AP$8="II",'РО 01.07 - 31.08'!Z11191,IF($AP$8="III",'РО 01.09 - 31.12'!Z11191,0)))*Z11237</f>
        <v>0</v>
      </c>
      <c r="AA11191"/>
      <c r="AB11191"/>
      <c r="AC11191"/>
      <c r="AD11191"/>
      <c r="AE11191"/>
      <c r="AF11191"/>
      <c r="AG11191"/>
      <c r="AH11191"/>
      <c r="AI11191"/>
      <c r="AJ11191"/>
      <c r="AK11191"/>
      <c r="AL11191"/>
      <c r="AM11191"/>
    </row>
    <row r="11192" spans="1:39" s="47" customFormat="1" ht="22.5">
      <c r="A11192" s="121"/>
      <c r="B11192" s="121"/>
      <c r="C11192" s="121"/>
      <c r="D11192" s="121"/>
      <c r="E11192" s="121"/>
      <c r="F11192" s="121"/>
      <c r="G11192" s="121"/>
      <c r="H11192" s="121"/>
      <c r="I11192" s="121"/>
      <c r="J11192" s="121"/>
      <c r="K11192" s="121"/>
      <c r="L11192" s="121"/>
      <c r="M11192" s="121"/>
      <c r="N11192" s="504" t="s">
        <v>2336</v>
      </c>
      <c r="O11192" s="527" t="s">
        <v>2337</v>
      </c>
      <c r="P11192" s="257"/>
      <c r="Q11192" s="321"/>
      <c r="R11192" s="260"/>
      <c r="S11192" s="260"/>
      <c r="T11192" s="260"/>
      <c r="U11192" s="260"/>
      <c r="V11192" s="260"/>
      <c r="W11192" s="262">
        <f>IF($AP$8="I",'РО 01.01 - 30.06'!W11192,IF($AP$8="II",'РО 01.07 - 31.08'!W11192,IF($AP$8="III",'РО 01.09 - 31.12'!W11192,0)))*W11237</f>
        <v>0</v>
      </c>
      <c r="X11192" s="260"/>
      <c r="Y11192" s="260"/>
      <c r="Z11192" s="262">
        <f>IF($AP$8="I",'РО 01.01 - 30.06'!Z11192,IF($AP$8="II",'РО 01.07 - 31.08'!Z11192,IF($AP$8="III",'РО 01.09 - 31.12'!Z11192,0)))*Z11237</f>
        <v>0</v>
      </c>
      <c r="AA11192"/>
      <c r="AB11192"/>
      <c r="AC11192"/>
      <c r="AD11192"/>
      <c r="AE11192"/>
      <c r="AF11192"/>
      <c r="AG11192"/>
      <c r="AH11192"/>
      <c r="AI11192"/>
      <c r="AJ11192"/>
      <c r="AK11192"/>
      <c r="AL11192"/>
      <c r="AM11192"/>
    </row>
    <row r="11193" spans="1:39" s="47" customFormat="1">
      <c r="A11193" s="121"/>
      <c r="B11193" s="121"/>
      <c r="C11193" s="121"/>
      <c r="D11193" s="121"/>
      <c r="E11193" s="121"/>
      <c r="F11193" s="121"/>
      <c r="G11193" s="121"/>
      <c r="H11193" s="121"/>
      <c r="I11193" s="121"/>
      <c r="J11193" s="121"/>
      <c r="K11193" s="121"/>
      <c r="L11193" s="121"/>
      <c r="M11193" s="121"/>
      <c r="N11193" s="504" t="s">
        <v>2338</v>
      </c>
      <c r="O11193" s="527" t="s">
        <v>2339</v>
      </c>
      <c r="P11193" s="257"/>
      <c r="Q11193" s="321"/>
      <c r="R11193" s="260"/>
      <c r="S11193" s="260"/>
      <c r="T11193" s="260"/>
      <c r="U11193" s="260"/>
      <c r="V11193" s="260"/>
      <c r="W11193" s="257">
        <f>SUM(W11194:W11202)</f>
        <v>0</v>
      </c>
      <c r="X11193" s="260"/>
      <c r="Y11193" s="260"/>
      <c r="Z11193" s="257">
        <f>SUM(Z11194:Z11202)</f>
        <v>0</v>
      </c>
      <c r="AA11193"/>
      <c r="AB11193"/>
      <c r="AC11193"/>
      <c r="AD11193"/>
      <c r="AE11193"/>
      <c r="AF11193"/>
      <c r="AG11193"/>
      <c r="AH11193"/>
      <c r="AI11193"/>
      <c r="AJ11193"/>
      <c r="AK11193"/>
      <c r="AL11193"/>
      <c r="AM11193"/>
    </row>
    <row r="11194" spans="1:39" s="47" customFormat="1">
      <c r="A11194" s="121"/>
      <c r="B11194" s="121"/>
      <c r="C11194" s="121"/>
      <c r="D11194" s="121"/>
      <c r="E11194" s="121"/>
      <c r="F11194" s="121"/>
      <c r="G11194" s="121"/>
      <c r="H11194" s="121"/>
      <c r="I11194" s="121"/>
      <c r="J11194" s="121"/>
      <c r="K11194" s="121"/>
      <c r="L11194" s="121"/>
      <c r="M11194" s="121"/>
      <c r="N11194" s="504" t="s">
        <v>2340</v>
      </c>
      <c r="O11194" s="528" t="s">
        <v>2341</v>
      </c>
      <c r="P11194" s="257"/>
      <c r="Q11194" s="321"/>
      <c r="R11194" s="260"/>
      <c r="S11194" s="260"/>
      <c r="T11194" s="260"/>
      <c r="U11194" s="260"/>
      <c r="V11194" s="260"/>
      <c r="W11194" s="262">
        <f>IF($AP$8="I",'РО 01.01 - 30.06'!W11194,IF($AP$8="II",'РО 01.07 - 31.08'!W11194,IF($AP$8="III",'РО 01.09 - 31.12'!W11194,0)))*W11237</f>
        <v>0</v>
      </c>
      <c r="X11194" s="260"/>
      <c r="Y11194" s="260"/>
      <c r="Z11194" s="262">
        <f>IF($AP$8="I",'РО 01.01 - 30.06'!Z11194,IF($AP$8="II",'РО 01.07 - 31.08'!Z11194,IF($AP$8="III",'РО 01.09 - 31.12'!Z11194,0)))*Z11237</f>
        <v>0</v>
      </c>
      <c r="AA11194"/>
      <c r="AB11194"/>
      <c r="AC11194"/>
      <c r="AD11194"/>
      <c r="AE11194"/>
      <c r="AF11194"/>
      <c r="AG11194"/>
      <c r="AH11194"/>
      <c r="AI11194"/>
      <c r="AJ11194"/>
      <c r="AK11194"/>
      <c r="AL11194"/>
      <c r="AM11194"/>
    </row>
    <row r="11195" spans="1:39" s="47" customFormat="1">
      <c r="A11195" s="121"/>
      <c r="B11195" s="121"/>
      <c r="C11195" s="121"/>
      <c r="D11195" s="121"/>
      <c r="E11195" s="121"/>
      <c r="F11195" s="121"/>
      <c r="G11195" s="121"/>
      <c r="H11195" s="121"/>
      <c r="I11195" s="121"/>
      <c r="J11195" s="121"/>
      <c r="K11195" s="121"/>
      <c r="L11195" s="121"/>
      <c r="M11195" s="121"/>
      <c r="N11195" s="504" t="s">
        <v>2342</v>
      </c>
      <c r="O11195" s="528" t="s">
        <v>2343</v>
      </c>
      <c r="P11195" s="257"/>
      <c r="Q11195" s="321"/>
      <c r="R11195" s="260"/>
      <c r="S11195" s="260"/>
      <c r="T11195" s="260"/>
      <c r="U11195" s="260"/>
      <c r="V11195" s="260"/>
      <c r="W11195" s="262">
        <f>IF($AP$8="I",'РО 01.01 - 30.06'!W11195,IF($AP$8="II",'РО 01.07 - 31.08'!W11195,IF($AP$8="III",'РО 01.09 - 31.12'!W11195,0)))*W11237</f>
        <v>0</v>
      </c>
      <c r="X11195" s="260"/>
      <c r="Y11195" s="260"/>
      <c r="Z11195" s="262">
        <f>IF($AP$8="I",'РО 01.01 - 30.06'!Z11195,IF($AP$8="II",'РО 01.07 - 31.08'!Z11195,IF($AP$8="III",'РО 01.09 - 31.12'!Z11195,0)))*Z11237</f>
        <v>0</v>
      </c>
      <c r="AA11195"/>
      <c r="AB11195"/>
      <c r="AC11195"/>
      <c r="AD11195"/>
      <c r="AE11195"/>
      <c r="AF11195"/>
      <c r="AG11195"/>
      <c r="AH11195"/>
      <c r="AI11195"/>
      <c r="AJ11195"/>
      <c r="AK11195"/>
      <c r="AL11195"/>
      <c r="AM11195"/>
    </row>
    <row r="11196" spans="1:39" s="47" customFormat="1">
      <c r="A11196" s="121"/>
      <c r="B11196" s="121"/>
      <c r="C11196" s="121"/>
      <c r="D11196" s="121"/>
      <c r="E11196" s="121"/>
      <c r="F11196" s="121"/>
      <c r="G11196" s="121"/>
      <c r="H11196" s="121"/>
      <c r="I11196" s="121"/>
      <c r="J11196" s="121"/>
      <c r="K11196" s="121"/>
      <c r="L11196" s="121"/>
      <c r="M11196" s="121"/>
      <c r="N11196" s="504" t="s">
        <v>2344</v>
      </c>
      <c r="O11196" s="528" t="s">
        <v>2345</v>
      </c>
      <c r="P11196" s="257"/>
      <c r="Q11196" s="321"/>
      <c r="R11196" s="260"/>
      <c r="S11196" s="260"/>
      <c r="T11196" s="260"/>
      <c r="U11196" s="260"/>
      <c r="V11196" s="260"/>
      <c r="W11196" s="262">
        <f>IF($AP$8="I",'РО 01.01 - 30.06'!W11196,IF($AP$8="II",'РО 01.07 - 31.08'!W11196,IF($AP$8="III",'РО 01.09 - 31.12'!W11196,0)))*W11237</f>
        <v>0</v>
      </c>
      <c r="X11196" s="260"/>
      <c r="Y11196" s="260"/>
      <c r="Z11196" s="262">
        <f>IF($AP$8="I",'РО 01.01 - 30.06'!Z11196,IF($AP$8="II",'РО 01.07 - 31.08'!Z11196,IF($AP$8="III",'РО 01.09 - 31.12'!Z11196,0)))*Z11237</f>
        <v>0</v>
      </c>
      <c r="AA11196"/>
      <c r="AB11196"/>
      <c r="AC11196"/>
      <c r="AD11196"/>
      <c r="AE11196"/>
      <c r="AF11196"/>
      <c r="AG11196"/>
      <c r="AH11196"/>
      <c r="AI11196"/>
      <c r="AJ11196"/>
      <c r="AK11196"/>
      <c r="AL11196"/>
      <c r="AM11196"/>
    </row>
    <row r="11197" spans="1:39" s="47" customFormat="1">
      <c r="A11197" s="121"/>
      <c r="B11197" s="121"/>
      <c r="C11197" s="121"/>
      <c r="D11197" s="121"/>
      <c r="E11197" s="121"/>
      <c r="F11197" s="121"/>
      <c r="G11197" s="121"/>
      <c r="H11197" s="121"/>
      <c r="I11197" s="121"/>
      <c r="J11197" s="121"/>
      <c r="K11197" s="121"/>
      <c r="L11197" s="121"/>
      <c r="M11197" s="121"/>
      <c r="N11197" s="504" t="s">
        <v>2346</v>
      </c>
      <c r="O11197" s="528" t="s">
        <v>2347</v>
      </c>
      <c r="P11197" s="257"/>
      <c r="Q11197" s="321"/>
      <c r="R11197" s="260"/>
      <c r="S11197" s="260"/>
      <c r="T11197" s="260"/>
      <c r="U11197" s="260"/>
      <c r="V11197" s="260"/>
      <c r="W11197" s="262">
        <f>IF($AP$8="I",'РО 01.01 - 30.06'!W11197,IF($AP$8="II",'РО 01.07 - 31.08'!W11197,IF($AP$8="III",'РО 01.09 - 31.12'!W11197,0)))*W11237</f>
        <v>0</v>
      </c>
      <c r="X11197" s="260"/>
      <c r="Y11197" s="260"/>
      <c r="Z11197" s="262">
        <f>IF($AP$8="I",'РО 01.01 - 30.06'!Z11197,IF($AP$8="II",'РО 01.07 - 31.08'!Z11197,IF($AP$8="III",'РО 01.09 - 31.12'!Z11197,0)))*Z11237</f>
        <v>0</v>
      </c>
      <c r="AA11197"/>
      <c r="AB11197"/>
      <c r="AC11197"/>
      <c r="AD11197"/>
      <c r="AE11197"/>
      <c r="AF11197"/>
      <c r="AG11197"/>
      <c r="AH11197"/>
      <c r="AI11197"/>
      <c r="AJ11197"/>
      <c r="AK11197"/>
      <c r="AL11197"/>
      <c r="AM11197"/>
    </row>
    <row r="11198" spans="1:39" s="47" customFormat="1">
      <c r="A11198" s="121"/>
      <c r="B11198" s="121"/>
      <c r="C11198" s="121"/>
      <c r="D11198" s="121"/>
      <c r="E11198" s="121"/>
      <c r="F11198" s="121"/>
      <c r="G11198" s="121"/>
      <c r="H11198" s="121"/>
      <c r="I11198" s="121"/>
      <c r="J11198" s="121"/>
      <c r="K11198" s="121"/>
      <c r="L11198" s="121"/>
      <c r="M11198" s="121"/>
      <c r="N11198" s="504" t="s">
        <v>2348</v>
      </c>
      <c r="O11198" s="528" t="s">
        <v>2349</v>
      </c>
      <c r="P11198" s="257"/>
      <c r="Q11198" s="321"/>
      <c r="R11198" s="260"/>
      <c r="S11198" s="260"/>
      <c r="T11198" s="260"/>
      <c r="U11198" s="260"/>
      <c r="V11198" s="260"/>
      <c r="W11198" s="262">
        <f>IF($AP$8="I",'РО 01.01 - 30.06'!W11198,IF($AP$8="II",'РО 01.07 - 31.08'!W11198,IF($AP$8="III",'РО 01.09 - 31.12'!W11198,0)))*W11237</f>
        <v>0</v>
      </c>
      <c r="X11198" s="260"/>
      <c r="Y11198" s="260"/>
      <c r="Z11198" s="262">
        <f>IF($AP$8="I",'РО 01.01 - 30.06'!Z11198,IF($AP$8="II",'РО 01.07 - 31.08'!Z11198,IF($AP$8="III",'РО 01.09 - 31.12'!Z11198,0)))*Z11237</f>
        <v>0</v>
      </c>
      <c r="AA11198"/>
      <c r="AB11198"/>
      <c r="AC11198"/>
      <c r="AD11198"/>
      <c r="AE11198"/>
      <c r="AF11198"/>
      <c r="AG11198"/>
      <c r="AH11198"/>
      <c r="AI11198"/>
      <c r="AJ11198"/>
      <c r="AK11198"/>
      <c r="AL11198"/>
      <c r="AM11198"/>
    </row>
    <row r="11199" spans="1:39" s="47" customFormat="1">
      <c r="A11199" s="121"/>
      <c r="B11199" s="121"/>
      <c r="C11199" s="121"/>
      <c r="D11199" s="121"/>
      <c r="E11199" s="121"/>
      <c r="F11199" s="121"/>
      <c r="G11199" s="121"/>
      <c r="H11199" s="121"/>
      <c r="I11199" s="121"/>
      <c r="J11199" s="121"/>
      <c r="K11199" s="121"/>
      <c r="L11199" s="121"/>
      <c r="M11199" s="121"/>
      <c r="N11199" s="504" t="s">
        <v>2350</v>
      </c>
      <c r="O11199" s="528" t="s">
        <v>2351</v>
      </c>
      <c r="P11199" s="257"/>
      <c r="Q11199" s="321"/>
      <c r="R11199" s="260"/>
      <c r="S11199" s="260"/>
      <c r="T11199" s="260"/>
      <c r="U11199" s="260"/>
      <c r="V11199" s="260"/>
      <c r="W11199" s="262">
        <f>IF($AP$8="I",'РО 01.01 - 30.06'!W11199,IF($AP$8="II",'РО 01.07 - 31.08'!W11199,IF($AP$8="III",'РО 01.09 - 31.12'!W11199,0)))*W11237</f>
        <v>0</v>
      </c>
      <c r="X11199" s="260"/>
      <c r="Y11199" s="260"/>
      <c r="Z11199" s="262">
        <f>IF($AP$8="I",'РО 01.01 - 30.06'!Z11199,IF($AP$8="II",'РО 01.07 - 31.08'!Z11199,IF($AP$8="III",'РО 01.09 - 31.12'!Z11199,0)))*Z11237</f>
        <v>0</v>
      </c>
      <c r="AA11199"/>
      <c r="AB11199"/>
      <c r="AC11199"/>
      <c r="AD11199"/>
      <c r="AE11199"/>
      <c r="AF11199"/>
      <c r="AG11199"/>
      <c r="AH11199"/>
      <c r="AI11199"/>
      <c r="AJ11199"/>
      <c r="AK11199"/>
      <c r="AL11199"/>
      <c r="AM11199"/>
    </row>
    <row r="11200" spans="1:39" s="47" customFormat="1">
      <c r="A11200" s="121"/>
      <c r="B11200" s="121"/>
      <c r="C11200" s="121"/>
      <c r="D11200" s="121"/>
      <c r="E11200" s="121"/>
      <c r="F11200" s="121"/>
      <c r="G11200" s="121"/>
      <c r="H11200" s="121"/>
      <c r="I11200" s="121"/>
      <c r="J11200" s="121"/>
      <c r="K11200" s="121"/>
      <c r="L11200" s="121"/>
      <c r="M11200" s="121"/>
      <c r="N11200" s="504" t="s">
        <v>2352</v>
      </c>
      <c r="O11200" s="528" t="s">
        <v>2353</v>
      </c>
      <c r="P11200" s="257"/>
      <c r="Q11200" s="321"/>
      <c r="R11200" s="260"/>
      <c r="S11200" s="260"/>
      <c r="T11200" s="260"/>
      <c r="U11200" s="260"/>
      <c r="V11200" s="260"/>
      <c r="W11200" s="262">
        <f>IF($AP$8="I",'РО 01.01 - 30.06'!W11200,IF($AP$8="II",'РО 01.07 - 31.08'!W11200,IF($AP$8="III",'РО 01.09 - 31.12'!W11200,0)))*W11237</f>
        <v>0</v>
      </c>
      <c r="X11200" s="260"/>
      <c r="Y11200" s="260"/>
      <c r="Z11200" s="262">
        <f>IF($AP$8="I",'РО 01.01 - 30.06'!Z11200,IF($AP$8="II",'РО 01.07 - 31.08'!Z11200,IF($AP$8="III",'РО 01.09 - 31.12'!Z11200,0)))*Z11237</f>
        <v>0</v>
      </c>
      <c r="AA11200"/>
      <c r="AB11200"/>
      <c r="AC11200"/>
      <c r="AD11200"/>
      <c r="AE11200"/>
      <c r="AF11200"/>
      <c r="AG11200"/>
      <c r="AH11200"/>
      <c r="AI11200"/>
      <c r="AJ11200"/>
      <c r="AK11200"/>
      <c r="AL11200"/>
      <c r="AM11200"/>
    </row>
    <row r="11201" spans="1:39" s="47" customFormat="1">
      <c r="A11201" s="121"/>
      <c r="B11201" s="121"/>
      <c r="C11201" s="121"/>
      <c r="D11201" s="121"/>
      <c r="E11201" s="121"/>
      <c r="F11201" s="121"/>
      <c r="G11201" s="121"/>
      <c r="H11201" s="121"/>
      <c r="I11201" s="121"/>
      <c r="J11201" s="121"/>
      <c r="K11201" s="121"/>
      <c r="L11201" s="121"/>
      <c r="M11201" s="121"/>
      <c r="N11201" s="504" t="s">
        <v>2354</v>
      </c>
      <c r="O11201" s="528" t="s">
        <v>2355</v>
      </c>
      <c r="P11201" s="257"/>
      <c r="Q11201" s="321"/>
      <c r="R11201" s="260"/>
      <c r="S11201" s="260"/>
      <c r="T11201" s="260"/>
      <c r="U11201" s="260"/>
      <c r="V11201" s="260"/>
      <c r="W11201" s="262">
        <f>IF($AP$8="I",'РО 01.01 - 30.06'!W11201,IF($AP$8="II",'РО 01.07 - 31.08'!W11201,IF($AP$8="III",'РО 01.09 - 31.12'!W11201,0)))*W11237</f>
        <v>0</v>
      </c>
      <c r="X11201" s="260"/>
      <c r="Y11201" s="260"/>
      <c r="Z11201" s="262">
        <f>IF($AP$8="I",'РО 01.01 - 30.06'!Z11201,IF($AP$8="II",'РО 01.07 - 31.08'!Z11201,IF($AP$8="III",'РО 01.09 - 31.12'!Z11201,0)))*Z11237</f>
        <v>0</v>
      </c>
      <c r="AA11201"/>
      <c r="AB11201"/>
      <c r="AC11201"/>
      <c r="AD11201"/>
      <c r="AE11201"/>
      <c r="AF11201"/>
      <c r="AG11201"/>
      <c r="AH11201"/>
      <c r="AI11201"/>
      <c r="AJ11201"/>
      <c r="AK11201"/>
      <c r="AL11201"/>
      <c r="AM11201"/>
    </row>
    <row r="11202" spans="1:39" s="47" customFormat="1">
      <c r="A11202" s="121"/>
      <c r="B11202" s="121"/>
      <c r="C11202" s="121"/>
      <c r="D11202" s="121"/>
      <c r="E11202" s="121"/>
      <c r="F11202" s="121"/>
      <c r="G11202" s="121"/>
      <c r="H11202" s="121"/>
      <c r="I11202" s="121"/>
      <c r="J11202" s="121"/>
      <c r="K11202" s="121"/>
      <c r="L11202" s="121"/>
      <c r="M11202" s="121"/>
      <c r="N11202" s="504" t="s">
        <v>2356</v>
      </c>
      <c r="O11202" s="528" t="s">
        <v>2357</v>
      </c>
      <c r="P11202" s="257"/>
      <c r="Q11202" s="321"/>
      <c r="R11202" s="260"/>
      <c r="S11202" s="260"/>
      <c r="T11202" s="260"/>
      <c r="U11202" s="260"/>
      <c r="V11202" s="260"/>
      <c r="W11202" s="262">
        <f>IF($AP$8="I",'РО 01.01 - 30.06'!W11202,IF($AP$8="II",'РО 01.07 - 31.08'!W11202,IF($AP$8="III",'РО 01.09 - 31.12'!W11202,0)))*W11237</f>
        <v>0</v>
      </c>
      <c r="X11202" s="260"/>
      <c r="Y11202" s="260"/>
      <c r="Z11202" s="262">
        <f>IF($AP$8="I",'РО 01.01 - 30.06'!Z11202,IF($AP$8="II",'РО 01.07 - 31.08'!Z11202,IF($AP$8="III",'РО 01.09 - 31.12'!Z11202,0)))*Z11237</f>
        <v>0</v>
      </c>
      <c r="AA11202"/>
      <c r="AB11202"/>
      <c r="AC11202"/>
      <c r="AD11202"/>
      <c r="AE11202"/>
      <c r="AF11202"/>
      <c r="AG11202"/>
      <c r="AH11202"/>
      <c r="AI11202"/>
      <c r="AJ11202"/>
      <c r="AK11202"/>
      <c r="AL11202"/>
      <c r="AM11202"/>
    </row>
    <row r="11203" spans="1:39" s="47" customFormat="1">
      <c r="A11203" s="121"/>
      <c r="B11203" s="121"/>
      <c r="C11203" s="121"/>
      <c r="D11203" s="121"/>
      <c r="E11203" s="121"/>
      <c r="F11203" s="121"/>
      <c r="G11203" s="121"/>
      <c r="H11203" s="121"/>
      <c r="I11203" s="121"/>
      <c r="J11203" s="121"/>
      <c r="K11203" s="121"/>
      <c r="L11203" s="121"/>
      <c r="M11203" s="121"/>
      <c r="N11203" s="504" t="s">
        <v>2358</v>
      </c>
      <c r="O11203" s="536" t="s">
        <v>2359</v>
      </c>
      <c r="P11203" s="257"/>
      <c r="Q11203" s="321"/>
      <c r="R11203" s="260"/>
      <c r="S11203" s="260"/>
      <c r="T11203" s="260"/>
      <c r="U11203" s="260"/>
      <c r="V11203" s="260"/>
      <c r="W11203" s="257">
        <f>SUM(W11204:W11208)</f>
        <v>0</v>
      </c>
      <c r="X11203" s="260"/>
      <c r="Y11203" s="260"/>
      <c r="Z11203" s="257">
        <f>SUM(Z11204:Z11208)</f>
        <v>0</v>
      </c>
      <c r="AA11203"/>
      <c r="AB11203"/>
      <c r="AC11203"/>
      <c r="AD11203"/>
      <c r="AE11203"/>
      <c r="AF11203"/>
      <c r="AG11203"/>
      <c r="AH11203"/>
      <c r="AI11203"/>
      <c r="AJ11203"/>
      <c r="AK11203"/>
      <c r="AL11203"/>
      <c r="AM11203"/>
    </row>
    <row r="11204" spans="1:39" s="47" customFormat="1">
      <c r="A11204" s="121"/>
      <c r="B11204" s="121"/>
      <c r="C11204" s="121"/>
      <c r="D11204" s="121"/>
      <c r="E11204" s="121"/>
      <c r="F11204" s="121"/>
      <c r="G11204" s="121"/>
      <c r="H11204" s="121"/>
      <c r="I11204" s="121"/>
      <c r="J11204" s="121"/>
      <c r="K11204" s="121"/>
      <c r="L11204" s="121"/>
      <c r="M11204" s="121"/>
      <c r="N11204" s="504" t="s">
        <v>2360</v>
      </c>
      <c r="O11204" s="537" t="s">
        <v>2444</v>
      </c>
      <c r="P11204" s="257"/>
      <c r="Q11204" s="321"/>
      <c r="R11204" s="260"/>
      <c r="S11204" s="260"/>
      <c r="T11204" s="260"/>
      <c r="U11204" s="260"/>
      <c r="V11204" s="260"/>
      <c r="W11204" s="262">
        <f>IF($AP$8="I",'РО 01.01 - 30.06'!W11204,IF($AP$8="II",'РО 01.07 - 31.08'!W11204,IF($AP$8="III",'РО 01.09 - 31.12'!W11204,0)))*W11237</f>
        <v>0</v>
      </c>
      <c r="X11204" s="260"/>
      <c r="Y11204" s="260"/>
      <c r="Z11204" s="262">
        <f>IF($AP$8="I",'РО 01.01 - 30.06'!Z11204,IF($AP$8="II",'РО 01.07 - 31.08'!Z11204,IF($AP$8="III",'РО 01.09 - 31.12'!Z11204,0)))*Z11237</f>
        <v>0</v>
      </c>
      <c r="AA11204"/>
      <c r="AB11204"/>
      <c r="AC11204"/>
      <c r="AD11204"/>
      <c r="AE11204"/>
      <c r="AF11204"/>
      <c r="AG11204"/>
      <c r="AH11204"/>
      <c r="AI11204"/>
      <c r="AJ11204"/>
      <c r="AK11204"/>
      <c r="AL11204"/>
      <c r="AM11204"/>
    </row>
    <row r="11205" spans="1:39" s="47" customFormat="1">
      <c r="A11205" s="121"/>
      <c r="B11205" s="121"/>
      <c r="C11205" s="121"/>
      <c r="D11205" s="121"/>
      <c r="E11205" s="121"/>
      <c r="F11205" s="121"/>
      <c r="G11205" s="121"/>
      <c r="H11205" s="121"/>
      <c r="I11205" s="121"/>
      <c r="J11205" s="121"/>
      <c r="K11205" s="121"/>
      <c r="L11205" s="121"/>
      <c r="M11205" s="121"/>
      <c r="N11205" s="504" t="s">
        <v>2361</v>
      </c>
      <c r="O11205" s="537" t="s">
        <v>2362</v>
      </c>
      <c r="P11205" s="257"/>
      <c r="Q11205" s="321"/>
      <c r="R11205" s="260"/>
      <c r="S11205" s="260"/>
      <c r="T11205" s="260"/>
      <c r="U11205" s="260"/>
      <c r="V11205" s="260"/>
      <c r="W11205" s="262">
        <f>IF($AP$8="I",'РО 01.01 - 30.06'!W11205,IF($AP$8="II",'РО 01.07 - 31.08'!W11205,IF($AP$8="III",'РО 01.09 - 31.12'!W11205,0)))*W11237</f>
        <v>0</v>
      </c>
      <c r="X11205" s="260"/>
      <c r="Y11205" s="260"/>
      <c r="Z11205" s="262">
        <f>IF($AP$8="I",'РО 01.01 - 30.06'!Z11205,IF($AP$8="II",'РО 01.07 - 31.08'!Z11205,IF($AP$8="III",'РО 01.09 - 31.12'!Z11205,0)))*Z11237</f>
        <v>0</v>
      </c>
      <c r="AA11205"/>
      <c r="AB11205"/>
      <c r="AC11205"/>
      <c r="AD11205"/>
      <c r="AE11205"/>
      <c r="AF11205"/>
      <c r="AG11205"/>
      <c r="AH11205"/>
      <c r="AI11205"/>
      <c r="AJ11205"/>
      <c r="AK11205"/>
      <c r="AL11205"/>
      <c r="AM11205"/>
    </row>
    <row r="11206" spans="1:39" s="47" customFormat="1">
      <c r="A11206" s="121"/>
      <c r="B11206" s="121"/>
      <c r="C11206" s="121"/>
      <c r="D11206" s="121"/>
      <c r="E11206" s="121"/>
      <c r="F11206" s="121"/>
      <c r="G11206" s="121"/>
      <c r="H11206" s="121"/>
      <c r="I11206" s="121"/>
      <c r="J11206" s="121"/>
      <c r="K11206" s="121"/>
      <c r="L11206" s="121"/>
      <c r="M11206" s="121"/>
      <c r="N11206" s="504" t="s">
        <v>2363</v>
      </c>
      <c r="O11206" s="528" t="s">
        <v>872</v>
      </c>
      <c r="P11206" s="257"/>
      <c r="Q11206" s="321"/>
      <c r="R11206" s="260"/>
      <c r="S11206" s="260"/>
      <c r="T11206" s="260"/>
      <c r="U11206" s="260"/>
      <c r="V11206" s="260"/>
      <c r="W11206" s="262">
        <f>IF($AP$8="I",'РО 01.01 - 30.06'!W11206,IF($AP$8="II",'РО 01.07 - 31.08'!W11206,IF($AP$8="III",'РО 01.09 - 31.12'!W11206,0)))*W11237</f>
        <v>0</v>
      </c>
      <c r="X11206" s="260"/>
      <c r="Y11206" s="260"/>
      <c r="Z11206" s="262">
        <f>IF($AP$8="I",'РО 01.01 - 30.06'!Z11206,IF($AP$8="II",'РО 01.07 - 31.08'!Z11206,IF($AP$8="III",'РО 01.09 - 31.12'!Z11206,0)))*Z11237</f>
        <v>0</v>
      </c>
      <c r="AA11206"/>
      <c r="AB11206"/>
      <c r="AC11206"/>
      <c r="AD11206"/>
      <c r="AE11206"/>
      <c r="AF11206"/>
      <c r="AG11206"/>
      <c r="AH11206"/>
      <c r="AI11206"/>
      <c r="AJ11206"/>
      <c r="AK11206"/>
      <c r="AL11206"/>
      <c r="AM11206"/>
    </row>
    <row r="11207" spans="1:39" s="47" customFormat="1" ht="22.5">
      <c r="A11207" s="121"/>
      <c r="B11207" s="121"/>
      <c r="C11207" s="121"/>
      <c r="D11207" s="121"/>
      <c r="E11207" s="121"/>
      <c r="F11207" s="121"/>
      <c r="G11207" s="121"/>
      <c r="H11207" s="121"/>
      <c r="I11207" s="121"/>
      <c r="J11207" s="121"/>
      <c r="K11207" s="121"/>
      <c r="L11207" s="121"/>
      <c r="M11207" s="121"/>
      <c r="N11207" s="504" t="s">
        <v>2364</v>
      </c>
      <c r="O11207" s="528" t="s">
        <v>2365</v>
      </c>
      <c r="P11207" s="257"/>
      <c r="Q11207" s="321"/>
      <c r="R11207" s="260"/>
      <c r="S11207" s="260"/>
      <c r="T11207" s="260"/>
      <c r="U11207" s="260"/>
      <c r="V11207" s="260"/>
      <c r="W11207" s="262">
        <f>IF($AP$8="I",'РО 01.01 - 30.06'!W11207,IF($AP$8="II",'РО 01.07 - 31.08'!W11207,IF($AP$8="III",'РО 01.09 - 31.12'!W11207,0)))*W11237</f>
        <v>0</v>
      </c>
      <c r="X11207" s="260"/>
      <c r="Y11207" s="260"/>
      <c r="Z11207" s="262">
        <f>IF($AP$8="I",'РО 01.01 - 30.06'!Z11207,IF($AP$8="II",'РО 01.07 - 31.08'!Z11207,IF($AP$8="III",'РО 01.09 - 31.12'!Z11207,0)))*Z11237</f>
        <v>0</v>
      </c>
      <c r="AA11207"/>
      <c r="AB11207"/>
      <c r="AC11207"/>
      <c r="AD11207"/>
      <c r="AE11207"/>
      <c r="AF11207"/>
      <c r="AG11207"/>
      <c r="AH11207"/>
      <c r="AI11207"/>
      <c r="AJ11207"/>
      <c r="AK11207"/>
      <c r="AL11207"/>
      <c r="AM11207"/>
    </row>
    <row r="11208" spans="1:39" s="47" customFormat="1">
      <c r="A11208" s="121"/>
      <c r="B11208" s="121"/>
      <c r="C11208" s="121"/>
      <c r="D11208" s="121"/>
      <c r="E11208" s="121"/>
      <c r="F11208" s="121"/>
      <c r="G11208" s="121"/>
      <c r="H11208" s="121"/>
      <c r="I11208" s="121"/>
      <c r="J11208" s="121"/>
      <c r="K11208" s="121"/>
      <c r="L11208" s="121"/>
      <c r="M11208" s="121"/>
      <c r="N11208" s="504" t="s">
        <v>2366</v>
      </c>
      <c r="O11208" s="528" t="s">
        <v>2367</v>
      </c>
      <c r="P11208" s="257"/>
      <c r="Q11208" s="321"/>
      <c r="R11208" s="260"/>
      <c r="S11208" s="260"/>
      <c r="T11208" s="260"/>
      <c r="U11208" s="260"/>
      <c r="V11208" s="260"/>
      <c r="W11208" s="262">
        <f>IF($AP$8="I",'РО 01.01 - 30.06'!W11208,IF($AP$8="II",'РО 01.07 - 31.08'!W11208,IF($AP$8="III",'РО 01.09 - 31.12'!W11208,0)))*W11237</f>
        <v>0</v>
      </c>
      <c r="X11208" s="260"/>
      <c r="Y11208" s="260"/>
      <c r="Z11208" s="262">
        <f>IF($AP$8="I",'РО 01.01 - 30.06'!Z11208,IF($AP$8="II",'РО 01.07 - 31.08'!Z11208,IF($AP$8="III",'РО 01.09 - 31.12'!Z11208,0)))*Z11237</f>
        <v>0</v>
      </c>
      <c r="AA11208"/>
      <c r="AB11208"/>
      <c r="AC11208"/>
      <c r="AD11208"/>
      <c r="AE11208"/>
      <c r="AF11208"/>
      <c r="AG11208"/>
      <c r="AH11208"/>
      <c r="AI11208"/>
      <c r="AJ11208"/>
      <c r="AK11208"/>
      <c r="AL11208"/>
      <c r="AM11208"/>
    </row>
    <row r="11209" spans="1:39" s="47" customFormat="1">
      <c r="A11209" s="121"/>
      <c r="B11209" s="121"/>
      <c r="C11209" s="121"/>
      <c r="D11209" s="121"/>
      <c r="E11209" s="121"/>
      <c r="F11209" s="121"/>
      <c r="G11209" s="121"/>
      <c r="H11209" s="121"/>
      <c r="I11209" s="121"/>
      <c r="J11209" s="121"/>
      <c r="K11209" s="121"/>
      <c r="L11209" s="121"/>
      <c r="M11209" s="121"/>
      <c r="N11209" s="504" t="s">
        <v>752</v>
      </c>
      <c r="O11209" s="723" t="s">
        <v>2726</v>
      </c>
      <c r="P11209" s="257"/>
      <c r="Q11209" s="321"/>
      <c r="R11209" s="260"/>
      <c r="S11209" s="260"/>
      <c r="T11209" s="260"/>
      <c r="U11209" s="260"/>
      <c r="V11209" s="260"/>
      <c r="W11209" s="257">
        <f>SUM(W11210,W11212:W11215)</f>
        <v>0</v>
      </c>
      <c r="X11209" s="260"/>
      <c r="Y11209" s="260"/>
      <c r="Z11209" s="257">
        <f>SUM(Z11210,Z11212:Z11215)</f>
        <v>0</v>
      </c>
      <c r="AA11209"/>
      <c r="AB11209"/>
      <c r="AC11209"/>
      <c r="AD11209"/>
      <c r="AE11209"/>
      <c r="AF11209"/>
      <c r="AG11209"/>
      <c r="AH11209"/>
      <c r="AI11209"/>
      <c r="AJ11209"/>
      <c r="AK11209"/>
      <c r="AL11209"/>
      <c r="AM11209"/>
    </row>
    <row r="11210" spans="1:39" s="47" customFormat="1">
      <c r="A11210" s="121"/>
      <c r="B11210" s="121"/>
      <c r="C11210" s="121"/>
      <c r="D11210" s="121"/>
      <c r="E11210" s="121"/>
      <c r="F11210" s="121"/>
      <c r="G11210" s="121"/>
      <c r="H11210" s="121"/>
      <c r="I11210" s="121"/>
      <c r="J11210" s="121"/>
      <c r="K11210" s="121"/>
      <c r="L11210" s="121"/>
      <c r="M11210" s="121"/>
      <c r="N11210" s="504" t="s">
        <v>760</v>
      </c>
      <c r="O11210" s="527" t="s">
        <v>2368</v>
      </c>
      <c r="P11210" s="257"/>
      <c r="Q11210" s="321"/>
      <c r="R11210" s="260"/>
      <c r="S11210" s="260"/>
      <c r="T11210" s="260"/>
      <c r="U11210" s="260"/>
      <c r="V11210" s="260"/>
      <c r="W11210" s="261"/>
      <c r="X11210" s="260"/>
      <c r="Y11210" s="260"/>
      <c r="Z11210" s="261"/>
      <c r="AA11210"/>
      <c r="AB11210"/>
      <c r="AC11210"/>
      <c r="AD11210"/>
      <c r="AE11210"/>
      <c r="AF11210"/>
      <c r="AG11210"/>
      <c r="AH11210"/>
      <c r="AI11210"/>
      <c r="AJ11210"/>
      <c r="AK11210"/>
      <c r="AL11210"/>
      <c r="AM11210"/>
    </row>
    <row r="11211" spans="1:39" s="47" customFormat="1">
      <c r="A11211" s="121"/>
      <c r="B11211" s="121"/>
      <c r="C11211" s="121"/>
      <c r="D11211" s="121"/>
      <c r="E11211" s="121"/>
      <c r="F11211" s="121"/>
      <c r="G11211" s="121"/>
      <c r="H11211" s="121"/>
      <c r="I11211" s="121"/>
      <c r="J11211" s="121"/>
      <c r="K11211" s="121"/>
      <c r="L11211" s="121"/>
      <c r="M11211" s="121"/>
      <c r="N11211" s="504" t="s">
        <v>917</v>
      </c>
      <c r="O11211" s="528" t="s">
        <v>2369</v>
      </c>
      <c r="P11211" s="257"/>
      <c r="Q11211" s="321"/>
      <c r="R11211" s="260"/>
      <c r="S11211" s="260"/>
      <c r="T11211" s="260"/>
      <c r="U11211" s="260"/>
      <c r="V11211" s="260"/>
      <c r="W11211" s="261"/>
      <c r="X11211" s="260"/>
      <c r="Y11211" s="260"/>
      <c r="Z11211" s="261"/>
      <c r="AA11211"/>
      <c r="AB11211"/>
      <c r="AC11211"/>
      <c r="AD11211"/>
      <c r="AE11211"/>
      <c r="AF11211"/>
      <c r="AG11211"/>
      <c r="AH11211"/>
      <c r="AI11211"/>
      <c r="AJ11211"/>
      <c r="AK11211"/>
      <c r="AL11211"/>
      <c r="AM11211"/>
    </row>
    <row r="11212" spans="1:39" s="47" customFormat="1">
      <c r="A11212" s="121"/>
      <c r="B11212" s="121"/>
      <c r="C11212" s="121"/>
      <c r="D11212" s="121"/>
      <c r="E11212" s="121"/>
      <c r="F11212" s="121"/>
      <c r="G11212" s="121"/>
      <c r="H11212" s="121"/>
      <c r="I11212" s="121"/>
      <c r="J11212" s="121"/>
      <c r="K11212" s="121"/>
      <c r="L11212" s="121"/>
      <c r="M11212" s="121"/>
      <c r="N11212" s="504" t="s">
        <v>761</v>
      </c>
      <c r="O11212" s="527" t="s">
        <v>862</v>
      </c>
      <c r="P11212" s="257"/>
      <c r="Q11212" s="321"/>
      <c r="R11212" s="260"/>
      <c r="S11212" s="260"/>
      <c r="T11212" s="260"/>
      <c r="U11212" s="260"/>
      <c r="V11212" s="260"/>
      <c r="W11212" s="261"/>
      <c r="X11212" s="260"/>
      <c r="Y11212" s="260"/>
      <c r="Z11212" s="261"/>
      <c r="AA11212"/>
      <c r="AB11212"/>
      <c r="AC11212"/>
      <c r="AD11212"/>
      <c r="AE11212"/>
      <c r="AF11212"/>
      <c r="AG11212"/>
      <c r="AH11212"/>
      <c r="AI11212"/>
      <c r="AJ11212"/>
      <c r="AK11212"/>
      <c r="AL11212"/>
      <c r="AM11212"/>
    </row>
    <row r="11213" spans="1:39" s="47" customFormat="1">
      <c r="A11213" s="121"/>
      <c r="B11213" s="121"/>
      <c r="C11213" s="121"/>
      <c r="D11213" s="121"/>
      <c r="E11213" s="121"/>
      <c r="F11213" s="121"/>
      <c r="G11213" s="121"/>
      <c r="H11213" s="121"/>
      <c r="I11213" s="121"/>
      <c r="J11213" s="121"/>
      <c r="K11213" s="121"/>
      <c r="L11213" s="121"/>
      <c r="M11213" s="121"/>
      <c r="N11213" s="504" t="s">
        <v>762</v>
      </c>
      <c r="O11213" s="527" t="s">
        <v>864</v>
      </c>
      <c r="P11213" s="257"/>
      <c r="Q11213" s="321"/>
      <c r="R11213" s="260"/>
      <c r="S11213" s="260"/>
      <c r="T11213" s="260"/>
      <c r="U11213" s="260"/>
      <c r="V11213" s="260"/>
      <c r="W11213" s="261"/>
      <c r="X11213" s="260"/>
      <c r="Y11213" s="260"/>
      <c r="Z11213" s="261"/>
      <c r="AA11213"/>
      <c r="AB11213"/>
      <c r="AC11213"/>
      <c r="AD11213"/>
      <c r="AE11213"/>
      <c r="AF11213"/>
      <c r="AG11213"/>
      <c r="AH11213"/>
      <c r="AI11213"/>
      <c r="AJ11213"/>
      <c r="AK11213"/>
      <c r="AL11213"/>
      <c r="AM11213"/>
    </row>
    <row r="11214" spans="1:39" s="47" customFormat="1">
      <c r="A11214" s="121"/>
      <c r="B11214" s="121"/>
      <c r="C11214" s="121"/>
      <c r="D11214" s="121"/>
      <c r="E11214" s="121"/>
      <c r="F11214" s="121"/>
      <c r="G11214" s="121"/>
      <c r="H11214" s="121"/>
      <c r="I11214" s="121"/>
      <c r="J11214" s="121"/>
      <c r="K11214" s="121"/>
      <c r="L11214" s="121"/>
      <c r="M11214" s="121"/>
      <c r="N11214" s="504" t="s">
        <v>763</v>
      </c>
      <c r="O11214" s="527" t="s">
        <v>866</v>
      </c>
      <c r="P11214" s="257"/>
      <c r="Q11214" s="321"/>
      <c r="R11214" s="260"/>
      <c r="S11214" s="260"/>
      <c r="T11214" s="260"/>
      <c r="U11214" s="260"/>
      <c r="V11214" s="260"/>
      <c r="W11214" s="261"/>
      <c r="X11214" s="260"/>
      <c r="Y11214" s="260"/>
      <c r="Z11214" s="261"/>
      <c r="AA11214"/>
      <c r="AB11214"/>
      <c r="AC11214"/>
      <c r="AD11214"/>
      <c r="AE11214"/>
      <c r="AF11214"/>
      <c r="AG11214"/>
      <c r="AH11214"/>
      <c r="AI11214"/>
      <c r="AJ11214"/>
      <c r="AK11214"/>
      <c r="AL11214"/>
      <c r="AM11214"/>
    </row>
    <row r="11215" spans="1:39" s="47" customFormat="1">
      <c r="A11215" s="121"/>
      <c r="B11215" s="121"/>
      <c r="C11215" s="121"/>
      <c r="D11215" s="121"/>
      <c r="E11215" s="121"/>
      <c r="F11215" s="121"/>
      <c r="G11215" s="121"/>
      <c r="H11215" s="121"/>
      <c r="I11215" s="121"/>
      <c r="J11215" s="121"/>
      <c r="K11215" s="121"/>
      <c r="L11215" s="121"/>
      <c r="M11215" s="121"/>
      <c r="N11215" s="504" t="s">
        <v>764</v>
      </c>
      <c r="O11215" s="527" t="s">
        <v>2370</v>
      </c>
      <c r="P11215" s="257"/>
      <c r="Q11215" s="321"/>
      <c r="R11215" s="260"/>
      <c r="S11215" s="260"/>
      <c r="T11215" s="260"/>
      <c r="U11215" s="260"/>
      <c r="V11215" s="260"/>
      <c r="W11215" s="257">
        <f>SUM(W11216,W11218)</f>
        <v>0</v>
      </c>
      <c r="X11215" s="260"/>
      <c r="Y11215" s="260"/>
      <c r="Z11215" s="257">
        <f>SUM(Z11216,Z11218)</f>
        <v>0</v>
      </c>
      <c r="AA11215"/>
      <c r="AB11215"/>
      <c r="AC11215"/>
      <c r="AD11215"/>
      <c r="AE11215"/>
      <c r="AF11215"/>
      <c r="AG11215"/>
      <c r="AH11215"/>
      <c r="AI11215"/>
      <c r="AJ11215"/>
      <c r="AK11215"/>
      <c r="AL11215"/>
      <c r="AM11215"/>
    </row>
    <row r="11216" spans="1:39" s="47" customFormat="1">
      <c r="A11216" s="121"/>
      <c r="B11216" s="121"/>
      <c r="C11216" s="121"/>
      <c r="D11216" s="121"/>
      <c r="E11216" s="121"/>
      <c r="F11216" s="121"/>
      <c r="G11216" s="121"/>
      <c r="H11216" s="121"/>
      <c r="I11216" s="121"/>
      <c r="J11216" s="121"/>
      <c r="K11216" s="121"/>
      <c r="L11216" s="121"/>
      <c r="M11216" s="121"/>
      <c r="N11216" s="504" t="s">
        <v>2371</v>
      </c>
      <c r="O11216" s="528" t="s">
        <v>2372</v>
      </c>
      <c r="P11216" s="257"/>
      <c r="Q11216" s="321"/>
      <c r="R11216" s="260"/>
      <c r="S11216" s="260"/>
      <c r="T11216" s="260"/>
      <c r="U11216" s="260"/>
      <c r="V11216" s="260"/>
      <c r="W11216" s="261"/>
      <c r="X11216" s="260"/>
      <c r="Y11216" s="260"/>
      <c r="Z11216" s="261"/>
      <c r="AA11216"/>
      <c r="AB11216"/>
      <c r="AC11216"/>
      <c r="AD11216"/>
      <c r="AE11216"/>
      <c r="AF11216"/>
      <c r="AG11216"/>
      <c r="AH11216"/>
      <c r="AI11216"/>
      <c r="AJ11216"/>
      <c r="AK11216"/>
      <c r="AL11216"/>
      <c r="AM11216"/>
    </row>
    <row r="11217" spans="1:39" s="47" customFormat="1">
      <c r="A11217" s="121"/>
      <c r="B11217" s="121"/>
      <c r="C11217" s="121"/>
      <c r="D11217" s="121"/>
      <c r="E11217" s="121"/>
      <c r="F11217" s="121"/>
      <c r="G11217" s="121"/>
      <c r="H11217" s="121"/>
      <c r="I11217" s="121"/>
      <c r="J11217" s="121"/>
      <c r="K11217" s="121"/>
      <c r="L11217" s="121"/>
      <c r="M11217" s="121"/>
      <c r="N11217" s="504" t="s">
        <v>2373</v>
      </c>
      <c r="O11217" s="538" t="s">
        <v>2374</v>
      </c>
      <c r="P11217" s="257"/>
      <c r="Q11217" s="321"/>
      <c r="R11217" s="260"/>
      <c r="S11217" s="260"/>
      <c r="T11217" s="260"/>
      <c r="U11217" s="260"/>
      <c r="V11217" s="260"/>
      <c r="W11217" s="261"/>
      <c r="X11217" s="260"/>
      <c r="Y11217" s="260"/>
      <c r="Z11217" s="261"/>
      <c r="AA11217"/>
      <c r="AB11217"/>
      <c r="AC11217"/>
      <c r="AD11217"/>
      <c r="AE11217"/>
      <c r="AF11217"/>
      <c r="AG11217"/>
      <c r="AH11217"/>
      <c r="AI11217"/>
      <c r="AJ11217"/>
      <c r="AK11217"/>
      <c r="AL11217"/>
      <c r="AM11217"/>
    </row>
    <row r="11218" spans="1:39" s="47" customFormat="1">
      <c r="A11218" s="121"/>
      <c r="B11218" s="121"/>
      <c r="C11218" s="121"/>
      <c r="D11218" s="121"/>
      <c r="E11218" s="121"/>
      <c r="F11218" s="121"/>
      <c r="G11218" s="121"/>
      <c r="H11218" s="121"/>
      <c r="I11218" s="121"/>
      <c r="J11218" s="121"/>
      <c r="K11218" s="121"/>
      <c r="L11218" s="121"/>
      <c r="M11218" s="121"/>
      <c r="N11218" s="504" t="s">
        <v>2375</v>
      </c>
      <c r="O11218" s="528" t="s">
        <v>2376</v>
      </c>
      <c r="P11218" s="257"/>
      <c r="Q11218" s="321"/>
      <c r="R11218" s="260"/>
      <c r="S11218" s="260"/>
      <c r="T11218" s="260"/>
      <c r="U11218" s="260"/>
      <c r="V11218" s="260"/>
      <c r="W11218" s="261"/>
      <c r="X11218" s="260"/>
      <c r="Y11218" s="260"/>
      <c r="Z11218" s="261"/>
      <c r="AA11218"/>
      <c r="AB11218"/>
      <c r="AC11218"/>
      <c r="AD11218"/>
      <c r="AE11218"/>
      <c r="AF11218"/>
      <c r="AG11218"/>
      <c r="AH11218"/>
      <c r="AI11218"/>
      <c r="AJ11218"/>
      <c r="AK11218"/>
      <c r="AL11218"/>
      <c r="AM11218"/>
    </row>
    <row r="11219" spans="1:39" s="47" customFormat="1">
      <c r="A11219" s="121"/>
      <c r="B11219" s="121"/>
      <c r="C11219" s="121"/>
      <c r="D11219" s="121"/>
      <c r="E11219" s="121"/>
      <c r="F11219" s="121"/>
      <c r="G11219" s="121"/>
      <c r="H11219" s="121"/>
      <c r="I11219" s="121"/>
      <c r="J11219" s="121"/>
      <c r="K11219" s="121"/>
      <c r="L11219" s="121"/>
      <c r="M11219" s="121"/>
      <c r="N11219" s="504"/>
      <c r="O11219" s="526"/>
      <c r="P11219" s="260"/>
      <c r="Q11219" s="321"/>
      <c r="R11219" s="260"/>
      <c r="S11219" s="260"/>
      <c r="T11219" s="260"/>
      <c r="U11219" s="260"/>
      <c r="V11219" s="260"/>
      <c r="W11219" s="260"/>
      <c r="X11219" s="260"/>
      <c r="Y11219" s="260"/>
      <c r="Z11219" s="260"/>
      <c r="AA11219"/>
      <c r="AB11219"/>
      <c r="AC11219"/>
      <c r="AD11219"/>
      <c r="AE11219"/>
      <c r="AF11219"/>
      <c r="AG11219"/>
      <c r="AH11219"/>
      <c r="AI11219"/>
      <c r="AJ11219"/>
      <c r="AK11219"/>
      <c r="AL11219"/>
      <c r="AM11219"/>
    </row>
    <row r="11220" spans="1:39" s="47" customFormat="1">
      <c r="A11220" s="121"/>
      <c r="B11220" s="121"/>
      <c r="C11220" s="121"/>
      <c r="D11220" s="121"/>
      <c r="E11220" s="121"/>
      <c r="F11220" s="121"/>
      <c r="G11220" s="121"/>
      <c r="H11220" s="121"/>
      <c r="I11220" s="121"/>
      <c r="J11220" s="121"/>
      <c r="K11220" s="121"/>
      <c r="L11220" s="121"/>
      <c r="M11220" s="121"/>
      <c r="N11220" s="504"/>
      <c r="O11220" s="526"/>
      <c r="P11220" s="260"/>
      <c r="Q11220" s="321"/>
      <c r="R11220" s="260"/>
      <c r="S11220" s="260"/>
      <c r="T11220" s="260"/>
      <c r="U11220" s="260"/>
      <c r="V11220" s="260"/>
      <c r="W11220" s="260"/>
      <c r="X11220" s="260"/>
      <c r="Y11220" s="260"/>
      <c r="Z11220" s="260"/>
      <c r="AA11220"/>
      <c r="AB11220"/>
      <c r="AC11220"/>
      <c r="AD11220"/>
      <c r="AE11220"/>
      <c r="AF11220"/>
      <c r="AG11220"/>
      <c r="AH11220"/>
      <c r="AI11220"/>
      <c r="AJ11220"/>
      <c r="AK11220"/>
      <c r="AL11220"/>
      <c r="AM11220"/>
    </row>
    <row r="11221" spans="1:39" s="47" customFormat="1">
      <c r="A11221" s="121"/>
      <c r="B11221" s="121"/>
      <c r="C11221" s="121"/>
      <c r="D11221" s="121"/>
      <c r="E11221" s="121"/>
      <c r="F11221" s="121"/>
      <c r="G11221" s="121"/>
      <c r="H11221" s="121"/>
      <c r="I11221" s="121"/>
      <c r="J11221" s="121"/>
      <c r="K11221" s="121"/>
      <c r="L11221" s="121"/>
      <c r="M11221" s="121"/>
      <c r="N11221" s="504"/>
      <c r="O11221" s="526"/>
      <c r="P11221" s="260"/>
      <c r="Q11221" s="321"/>
      <c r="R11221" s="260"/>
      <c r="S11221" s="260"/>
      <c r="T11221" s="260"/>
      <c r="U11221" s="260"/>
      <c r="V11221" s="260"/>
      <c r="W11221" s="260"/>
      <c r="X11221" s="260"/>
      <c r="Y11221" s="260"/>
      <c r="Z11221" s="260"/>
      <c r="AA11221"/>
      <c r="AB11221"/>
      <c r="AC11221"/>
      <c r="AD11221"/>
      <c r="AE11221"/>
      <c r="AF11221"/>
      <c r="AG11221"/>
      <c r="AH11221"/>
      <c r="AI11221"/>
      <c r="AJ11221"/>
      <c r="AK11221"/>
      <c r="AL11221"/>
      <c r="AM11221"/>
    </row>
    <row r="11222" spans="1:39" s="47" customFormat="1">
      <c r="A11222" s="121"/>
      <c r="B11222" s="121"/>
      <c r="C11222" s="121"/>
      <c r="D11222" s="121"/>
      <c r="E11222" s="121"/>
      <c r="F11222" s="121"/>
      <c r="G11222" s="121"/>
      <c r="H11222" s="121"/>
      <c r="I11222" s="121"/>
      <c r="J11222" s="121"/>
      <c r="K11222" s="121"/>
      <c r="L11222" s="121"/>
      <c r="M11222" s="121"/>
      <c r="N11222" s="504"/>
      <c r="O11222" s="526"/>
      <c r="P11222" s="260"/>
      <c r="Q11222" s="321"/>
      <c r="R11222" s="260"/>
      <c r="S11222" s="260"/>
      <c r="T11222" s="260"/>
      <c r="U11222" s="260"/>
      <c r="V11222" s="260"/>
      <c r="W11222" s="260"/>
      <c r="X11222" s="260"/>
      <c r="Y11222" s="260"/>
      <c r="Z11222" s="260"/>
      <c r="AA11222"/>
      <c r="AB11222"/>
      <c r="AC11222"/>
      <c r="AD11222"/>
      <c r="AE11222"/>
      <c r="AF11222"/>
      <c r="AG11222"/>
      <c r="AH11222"/>
      <c r="AI11222"/>
      <c r="AJ11222"/>
      <c r="AK11222"/>
      <c r="AL11222"/>
      <c r="AM11222"/>
    </row>
    <row r="11223" spans="1:39" s="47" customFormat="1">
      <c r="A11223" s="121"/>
      <c r="B11223" s="121"/>
      <c r="C11223" s="121"/>
      <c r="D11223" s="121"/>
      <c r="E11223" s="121"/>
      <c r="F11223" s="121"/>
      <c r="G11223" s="121"/>
      <c r="H11223" s="121"/>
      <c r="I11223" s="121"/>
      <c r="J11223" s="121"/>
      <c r="K11223" s="121"/>
      <c r="L11223" s="121"/>
      <c r="M11223" s="121"/>
      <c r="N11223" s="504"/>
      <c r="O11223" s="526"/>
      <c r="P11223" s="260"/>
      <c r="Q11223" s="321"/>
      <c r="R11223" s="260"/>
      <c r="S11223" s="260"/>
      <c r="T11223" s="260"/>
      <c r="U11223" s="260"/>
      <c r="V11223" s="260"/>
      <c r="W11223" s="260"/>
      <c r="X11223" s="260"/>
      <c r="Y11223" s="260"/>
      <c r="Z11223" s="260"/>
      <c r="AA11223"/>
      <c r="AB11223"/>
      <c r="AC11223"/>
      <c r="AD11223"/>
      <c r="AE11223"/>
      <c r="AF11223"/>
      <c r="AG11223"/>
      <c r="AH11223"/>
      <c r="AI11223"/>
      <c r="AJ11223"/>
      <c r="AK11223"/>
      <c r="AL11223"/>
      <c r="AM11223"/>
    </row>
    <row r="11224" spans="1:39" s="47" customFormat="1">
      <c r="A11224" s="121"/>
      <c r="B11224" s="121"/>
      <c r="C11224" s="121"/>
      <c r="D11224" s="121"/>
      <c r="E11224" s="121"/>
      <c r="F11224" s="121"/>
      <c r="G11224" s="121"/>
      <c r="H11224" s="121"/>
      <c r="I11224" s="121"/>
      <c r="J11224" s="121"/>
      <c r="K11224" s="121"/>
      <c r="L11224" s="121"/>
      <c r="M11224" s="121"/>
      <c r="N11224" s="504"/>
      <c r="O11224" s="526"/>
      <c r="P11224" s="260"/>
      <c r="Q11224" s="321"/>
      <c r="R11224" s="260"/>
      <c r="S11224" s="260"/>
      <c r="T11224" s="260"/>
      <c r="U11224" s="260"/>
      <c r="V11224" s="260"/>
      <c r="W11224" s="260"/>
      <c r="X11224" s="260"/>
      <c r="Y11224" s="260"/>
      <c r="Z11224" s="260"/>
      <c r="AA11224"/>
      <c r="AB11224"/>
      <c r="AC11224"/>
      <c r="AD11224"/>
      <c r="AE11224"/>
      <c r="AF11224"/>
      <c r="AG11224"/>
      <c r="AH11224"/>
      <c r="AI11224"/>
      <c r="AJ11224"/>
      <c r="AK11224"/>
      <c r="AL11224"/>
      <c r="AM11224"/>
    </row>
    <row r="11225" spans="1:39" s="47" customFormat="1">
      <c r="A11225" s="121"/>
      <c r="B11225" s="121"/>
      <c r="C11225" s="121"/>
      <c r="D11225" s="121"/>
      <c r="E11225" s="121"/>
      <c r="F11225" s="121"/>
      <c r="G11225" s="121"/>
      <c r="H11225" s="121"/>
      <c r="I11225" s="121"/>
      <c r="J11225" s="121"/>
      <c r="K11225" s="121"/>
      <c r="L11225" s="121"/>
      <c r="M11225" s="121"/>
      <c r="N11225" s="725" t="s">
        <v>3072</v>
      </c>
      <c r="O11225" s="724" t="s">
        <v>2727</v>
      </c>
      <c r="P11225" s="257"/>
      <c r="Q11225" s="321"/>
      <c r="R11225" s="260"/>
      <c r="S11225" s="260"/>
      <c r="T11225" s="260"/>
      <c r="U11225" s="260"/>
      <c r="V11225" s="260"/>
      <c r="W11225" s="261"/>
      <c r="X11225" s="260"/>
      <c r="Y11225" s="260"/>
      <c r="Z11225" s="261"/>
      <c r="AA11225"/>
      <c r="AB11225"/>
      <c r="AC11225"/>
      <c r="AD11225"/>
      <c r="AE11225"/>
      <c r="AF11225"/>
      <c r="AG11225"/>
      <c r="AH11225"/>
      <c r="AI11225"/>
      <c r="AJ11225"/>
      <c r="AK11225"/>
      <c r="AL11225"/>
      <c r="AM11225"/>
    </row>
    <row r="11226" spans="1:39" s="47" customFormat="1">
      <c r="A11226" s="121"/>
      <c r="B11226" s="121"/>
      <c r="C11226" s="121"/>
      <c r="D11226" s="121"/>
      <c r="E11226" s="121"/>
      <c r="F11226" s="121"/>
      <c r="G11226" s="121"/>
      <c r="H11226" s="121"/>
      <c r="I11226" s="121"/>
      <c r="J11226" s="121"/>
      <c r="K11226" s="121"/>
      <c r="L11226" s="121"/>
      <c r="M11226" s="121"/>
      <c r="N11226" s="504" t="s">
        <v>2427</v>
      </c>
      <c r="O11226" s="723" t="s">
        <v>2616</v>
      </c>
      <c r="P11226" s="257"/>
      <c r="Q11226" s="321"/>
      <c r="R11226" s="260"/>
      <c r="S11226" s="260"/>
      <c r="T11226" s="260"/>
      <c r="U11226" s="260"/>
      <c r="V11226" s="260"/>
      <c r="W11226" s="257">
        <f>W11229*W11227/1000</f>
        <v>0</v>
      </c>
      <c r="X11226" s="260"/>
      <c r="Y11226" s="260"/>
      <c r="Z11226" s="257">
        <f>Z11229*Z11227/1000</f>
        <v>0</v>
      </c>
      <c r="AA11226"/>
      <c r="AB11226"/>
      <c r="AC11226"/>
      <c r="AD11226"/>
      <c r="AE11226"/>
      <c r="AF11226"/>
      <c r="AG11226"/>
      <c r="AH11226"/>
      <c r="AI11226"/>
      <c r="AJ11226"/>
      <c r="AK11226"/>
      <c r="AL11226"/>
      <c r="AM11226"/>
    </row>
    <row r="11227" spans="1:39" s="47" customFormat="1" ht="22.5">
      <c r="A11227" s="121"/>
      <c r="B11227" s="121"/>
      <c r="C11227" s="121"/>
      <c r="D11227" s="121"/>
      <c r="E11227" s="121"/>
      <c r="F11227" s="121"/>
      <c r="G11227" s="121"/>
      <c r="H11227" s="121"/>
      <c r="I11227" s="121"/>
      <c r="J11227" s="121"/>
      <c r="K11227" s="121"/>
      <c r="L11227" s="121"/>
      <c r="M11227" s="121"/>
      <c r="N11227" s="504" t="s">
        <v>2429</v>
      </c>
      <c r="O11227" s="727" t="s">
        <v>2619</v>
      </c>
      <c r="P11227" s="257"/>
      <c r="Q11227" s="321"/>
      <c r="R11227" s="260"/>
      <c r="S11227" s="260"/>
      <c r="T11227" s="260"/>
      <c r="U11227" s="260"/>
      <c r="V11227" s="260"/>
      <c r="W11227" s="261"/>
      <c r="X11227" s="260"/>
      <c r="Y11227" s="260"/>
      <c r="Z11227" s="261"/>
      <c r="AA11227"/>
      <c r="AB11227"/>
      <c r="AC11227"/>
      <c r="AD11227"/>
      <c r="AE11227"/>
      <c r="AF11227"/>
      <c r="AG11227"/>
      <c r="AH11227"/>
      <c r="AI11227"/>
      <c r="AJ11227"/>
      <c r="AK11227"/>
      <c r="AL11227"/>
      <c r="AM11227"/>
    </row>
    <row r="11228" spans="1:39" s="47" customFormat="1">
      <c r="A11228" s="121"/>
      <c r="B11228" s="121"/>
      <c r="C11228" s="121"/>
      <c r="D11228" s="121"/>
      <c r="E11228" s="121"/>
      <c r="F11228" s="121"/>
      <c r="G11228" s="121"/>
      <c r="H11228" s="121"/>
      <c r="I11228" s="121"/>
      <c r="J11228" s="121"/>
      <c r="K11228" s="121"/>
      <c r="L11228" s="121"/>
      <c r="M11228" s="121"/>
      <c r="N11228" s="504" t="s">
        <v>2617</v>
      </c>
      <c r="O11228" s="727" t="s">
        <v>2620</v>
      </c>
      <c r="P11228" s="257"/>
      <c r="Q11228" s="321"/>
      <c r="R11228" s="260"/>
      <c r="S11228" s="260"/>
      <c r="T11228" s="260"/>
      <c r="U11228" s="260"/>
      <c r="V11228" s="260"/>
      <c r="W11228" s="261"/>
      <c r="X11228" s="260"/>
      <c r="Y11228" s="260"/>
      <c r="Z11228" s="261"/>
      <c r="AA11228"/>
      <c r="AB11228"/>
      <c r="AC11228"/>
      <c r="AD11228"/>
      <c r="AE11228"/>
      <c r="AF11228"/>
      <c r="AG11228"/>
      <c r="AH11228"/>
      <c r="AI11228"/>
      <c r="AJ11228"/>
      <c r="AK11228"/>
      <c r="AL11228"/>
      <c r="AM11228"/>
    </row>
    <row r="11229" spans="1:39" s="47" customFormat="1">
      <c r="A11229" s="121"/>
      <c r="B11229" s="121"/>
      <c r="C11229" s="121"/>
      <c r="D11229" s="121"/>
      <c r="E11229" s="121"/>
      <c r="F11229" s="121"/>
      <c r="G11229" s="121"/>
      <c r="H11229" s="121"/>
      <c r="I11229" s="121"/>
      <c r="J11229" s="121"/>
      <c r="K11229" s="121"/>
      <c r="L11229" s="121"/>
      <c r="M11229" s="121"/>
      <c r="N11229" s="504" t="s">
        <v>2618</v>
      </c>
      <c r="O11229" s="727" t="s">
        <v>2621</v>
      </c>
      <c r="P11229" s="257"/>
      <c r="Q11229" s="321"/>
      <c r="R11229" s="260"/>
      <c r="S11229" s="260"/>
      <c r="T11229" s="260"/>
      <c r="U11229" s="260"/>
      <c r="V11229" s="260"/>
      <c r="W11229" s="257">
        <f>IF(U$13="да",W11228*1.18,W11228)</f>
        <v>0</v>
      </c>
      <c r="X11229" s="260"/>
      <c r="Y11229" s="260"/>
      <c r="Z11229" s="257">
        <f>IF(X$13="да",Z11228*1.18,Z11228)</f>
        <v>0</v>
      </c>
      <c r="AA11229"/>
      <c r="AB11229"/>
      <c r="AC11229"/>
      <c r="AD11229"/>
      <c r="AE11229"/>
      <c r="AF11229"/>
      <c r="AG11229"/>
      <c r="AH11229"/>
      <c r="AI11229"/>
      <c r="AJ11229"/>
      <c r="AK11229"/>
      <c r="AL11229"/>
      <c r="AM11229"/>
    </row>
    <row r="11230" spans="1:39" s="47" customFormat="1">
      <c r="A11230" s="121"/>
      <c r="B11230" s="121"/>
      <c r="C11230" s="121"/>
      <c r="D11230" s="121"/>
      <c r="E11230" s="121"/>
      <c r="F11230" s="121"/>
      <c r="G11230" s="121"/>
      <c r="H11230" s="121"/>
      <c r="I11230" s="121"/>
      <c r="J11230" s="121"/>
      <c r="K11230" s="121"/>
      <c r="L11230" s="121"/>
      <c r="M11230" s="121"/>
      <c r="N11230" s="504"/>
      <c r="O11230" s="526"/>
      <c r="P11230" s="260"/>
      <c r="Q11230" s="321"/>
      <c r="R11230" s="260"/>
      <c r="S11230" s="260"/>
      <c r="T11230" s="260"/>
      <c r="U11230" s="260"/>
      <c r="V11230" s="260"/>
      <c r="W11230" s="260"/>
      <c r="X11230" s="260"/>
      <c r="Y11230" s="260"/>
      <c r="Z11230" s="260"/>
      <c r="AA11230"/>
      <c r="AB11230"/>
      <c r="AC11230"/>
      <c r="AD11230"/>
      <c r="AE11230"/>
      <c r="AF11230"/>
      <c r="AG11230"/>
      <c r="AH11230"/>
      <c r="AI11230"/>
      <c r="AJ11230"/>
      <c r="AK11230"/>
      <c r="AL11230"/>
      <c r="AM11230"/>
    </row>
    <row r="11231" spans="1:39" s="47" customFormat="1">
      <c r="A11231" s="121"/>
      <c r="B11231" s="121"/>
      <c r="C11231" s="121"/>
      <c r="D11231" s="121"/>
      <c r="E11231" s="121"/>
      <c r="F11231" s="121"/>
      <c r="G11231" s="121"/>
      <c r="H11231" s="121"/>
      <c r="I11231" s="121"/>
      <c r="J11231" s="121"/>
      <c r="K11231" s="121"/>
      <c r="L11231" s="121"/>
      <c r="M11231" s="121"/>
      <c r="N11231" s="504"/>
      <c r="O11231" s="526"/>
      <c r="P11231" s="260"/>
      <c r="Q11231" s="321"/>
      <c r="R11231" s="260"/>
      <c r="S11231" s="260"/>
      <c r="T11231" s="260"/>
      <c r="U11231" s="260"/>
      <c r="V11231" s="260"/>
      <c r="W11231" s="260"/>
      <c r="X11231" s="260"/>
      <c r="Y11231" s="260"/>
      <c r="Z11231" s="260"/>
      <c r="AA11231"/>
      <c r="AB11231"/>
      <c r="AC11231"/>
      <c r="AD11231"/>
      <c r="AE11231"/>
      <c r="AF11231"/>
      <c r="AG11231"/>
      <c r="AH11231"/>
      <c r="AI11231"/>
      <c r="AJ11231"/>
      <c r="AK11231"/>
      <c r="AL11231"/>
      <c r="AM11231"/>
    </row>
    <row r="11232" spans="1:39" s="47" customFormat="1">
      <c r="A11232" s="121"/>
      <c r="B11232" s="121"/>
      <c r="C11232" s="121"/>
      <c r="D11232" s="121"/>
      <c r="E11232" s="121"/>
      <c r="F11232" s="121"/>
      <c r="G11232" s="121"/>
      <c r="H11232" s="121"/>
      <c r="I11232" s="121"/>
      <c r="J11232" s="121"/>
      <c r="K11232" s="121"/>
      <c r="L11232" s="121"/>
      <c r="M11232" s="121"/>
      <c r="N11232" s="504"/>
      <c r="O11232" s="526"/>
      <c r="P11232" s="260"/>
      <c r="Q11232" s="321"/>
      <c r="R11232" s="260"/>
      <c r="S11232" s="260"/>
      <c r="T11232" s="260"/>
      <c r="U11232" s="260"/>
      <c r="V11232" s="260"/>
      <c r="W11232" s="260"/>
      <c r="X11232" s="260"/>
      <c r="Y11232" s="260"/>
      <c r="Z11232" s="260"/>
      <c r="AA11232"/>
      <c r="AB11232"/>
      <c r="AC11232"/>
      <c r="AD11232"/>
      <c r="AE11232"/>
      <c r="AF11232"/>
      <c r="AG11232"/>
      <c r="AH11232"/>
      <c r="AI11232"/>
      <c r="AJ11232"/>
      <c r="AK11232"/>
      <c r="AL11232"/>
      <c r="AM11232"/>
    </row>
    <row r="11233" spans="1:39" s="47" customFormat="1">
      <c r="A11233" s="121"/>
      <c r="B11233" s="121"/>
      <c r="C11233" s="121"/>
      <c r="D11233" s="121"/>
      <c r="E11233" s="121"/>
      <c r="F11233" s="121"/>
      <c r="G11233" s="121"/>
      <c r="H11233" s="121"/>
      <c r="I11233" s="121"/>
      <c r="J11233" s="121"/>
      <c r="K11233" s="121"/>
      <c r="L11233" s="121"/>
      <c r="M11233" s="121"/>
      <c r="N11233" s="504"/>
      <c r="O11233" s="526"/>
      <c r="P11233" s="260"/>
      <c r="Q11233" s="321"/>
      <c r="R11233" s="260"/>
      <c r="S11233" s="260"/>
      <c r="T11233" s="260"/>
      <c r="U11233" s="260"/>
      <c r="V11233" s="260"/>
      <c r="W11233" s="260"/>
      <c r="X11233" s="260"/>
      <c r="Y11233" s="260"/>
      <c r="Z11233" s="260"/>
      <c r="AA11233"/>
      <c r="AB11233"/>
      <c r="AC11233"/>
      <c r="AD11233"/>
      <c r="AE11233"/>
      <c r="AF11233"/>
      <c r="AG11233"/>
      <c r="AH11233"/>
      <c r="AI11233"/>
      <c r="AJ11233"/>
      <c r="AK11233"/>
      <c r="AL11233"/>
      <c r="AM11233"/>
    </row>
    <row r="11234" spans="1:39" s="47" customFormat="1">
      <c r="A11234" s="121"/>
      <c r="B11234" s="121"/>
      <c r="C11234" s="121"/>
      <c r="D11234" s="121"/>
      <c r="E11234" s="121"/>
      <c r="F11234" s="121"/>
      <c r="G11234" s="121"/>
      <c r="H11234" s="121"/>
      <c r="I11234" s="121"/>
      <c r="J11234" s="121"/>
      <c r="K11234" s="121"/>
      <c r="L11234" s="121"/>
      <c r="M11234" s="121"/>
      <c r="N11234" s="504"/>
      <c r="O11234" s="526"/>
      <c r="P11234" s="260"/>
      <c r="Q11234" s="321"/>
      <c r="R11234" s="260"/>
      <c r="S11234" s="260"/>
      <c r="T11234" s="260"/>
      <c r="U11234" s="260"/>
      <c r="V11234" s="260"/>
      <c r="W11234" s="260"/>
      <c r="X11234" s="260"/>
      <c r="Y11234" s="260"/>
      <c r="Z11234" s="260"/>
      <c r="AA11234"/>
      <c r="AB11234"/>
      <c r="AC11234"/>
      <c r="AD11234"/>
      <c r="AE11234"/>
      <c r="AF11234"/>
      <c r="AG11234"/>
      <c r="AH11234"/>
      <c r="AI11234"/>
      <c r="AJ11234"/>
      <c r="AK11234"/>
      <c r="AL11234"/>
      <c r="AM11234"/>
    </row>
    <row r="11235" spans="1:39" s="47" customFormat="1" ht="57" customHeight="1">
      <c r="A11235" s="121"/>
      <c r="B11235" s="121"/>
      <c r="C11235" s="121"/>
      <c r="D11235" s="121"/>
      <c r="E11235" s="121"/>
      <c r="F11235" s="121"/>
      <c r="G11235" s="121"/>
      <c r="H11235" s="121"/>
      <c r="I11235" s="121"/>
      <c r="J11235" s="121"/>
      <c r="K11235" s="121"/>
      <c r="L11235" s="121"/>
      <c r="M11235" s="121"/>
      <c r="N11235" s="504" t="s">
        <v>855</v>
      </c>
      <c r="O11235" s="526" t="s">
        <v>370</v>
      </c>
      <c r="P11235" s="257"/>
      <c r="Q11235" s="321"/>
      <c r="R11235" s="323"/>
      <c r="S11235" s="323"/>
      <c r="T11235" s="323"/>
      <c r="U11235" s="323"/>
      <c r="V11235" s="323"/>
      <c r="W11235" s="629">
        <f>SUMIF(БТр!$F$129:$F$158,W$9,БТр!$L$129:$L$158)/1000</f>
        <v>0</v>
      </c>
      <c r="X11235" s="323"/>
      <c r="Y11235" s="260"/>
      <c r="Z11235" s="629">
        <f>SUMIF(БПр!$F$129:$F$158,Z$9,БПр!$J$129:$J$158)/1000</f>
        <v>0</v>
      </c>
      <c r="AA11235"/>
      <c r="AB11235"/>
      <c r="AC11235"/>
      <c r="AD11235"/>
      <c r="AE11235"/>
      <c r="AF11235"/>
      <c r="AG11235"/>
      <c r="AH11235"/>
      <c r="AI11235"/>
      <c r="AJ11235"/>
      <c r="AK11235"/>
      <c r="AL11235"/>
      <c r="AM11235"/>
    </row>
    <row r="11236" spans="1:39" s="47" customFormat="1" ht="57" customHeight="1">
      <c r="A11236" s="121"/>
      <c r="B11236" s="121"/>
      <c r="C11236" s="121"/>
      <c r="D11236" s="121"/>
      <c r="E11236" s="121"/>
      <c r="F11236" s="121"/>
      <c r="G11236" s="121"/>
      <c r="H11236" s="121"/>
      <c r="I11236" s="121"/>
      <c r="J11236" s="121"/>
      <c r="K11236" s="121"/>
      <c r="L11236" s="121"/>
      <c r="M11236" s="121"/>
      <c r="N11236" s="504" t="s">
        <v>876</v>
      </c>
      <c r="O11236" s="526" t="s">
        <v>371</v>
      </c>
      <c r="P11236" s="257"/>
      <c r="Q11236" s="321"/>
      <c r="R11236" s="260"/>
      <c r="S11236" s="260"/>
      <c r="T11236" s="260"/>
      <c r="U11236" s="260"/>
      <c r="V11236" s="260"/>
      <c r="W11236" s="629">
        <f>SUMIF(БТр!$F$129:$F$158,W$9,БТр!$L$129:$L$158)/1000-SUMIF(БТр!$F$129:$F$158,W$9,БТр!$M$129:$M$158)/1000</f>
        <v>0</v>
      </c>
      <c r="X11236" s="260"/>
      <c r="Y11236" s="260"/>
      <c r="Z11236" s="629">
        <f>SUMIF(БПр!$F$129:$F$158,Z$9,БПр!$L$129:$L$158)/1000</f>
        <v>0</v>
      </c>
      <c r="AA11236"/>
      <c r="AB11236"/>
      <c r="AC11236"/>
      <c r="AD11236"/>
      <c r="AE11236"/>
      <c r="AF11236"/>
      <c r="AG11236"/>
      <c r="AH11236"/>
      <c r="AI11236"/>
      <c r="AJ11236"/>
      <c r="AK11236"/>
      <c r="AL11236"/>
      <c r="AM11236"/>
    </row>
    <row r="11237" spans="1:39" s="47" customFormat="1">
      <c r="A11237" s="121"/>
      <c r="B11237" s="121"/>
      <c r="C11237" s="121"/>
      <c r="D11237" s="121"/>
      <c r="E11237" s="121"/>
      <c r="F11237" s="121"/>
      <c r="G11237" s="121"/>
      <c r="H11237" s="121"/>
      <c r="I11237" s="121"/>
      <c r="J11237" s="121"/>
      <c r="K11237" s="121"/>
      <c r="L11237" s="121"/>
      <c r="M11237" s="121"/>
      <c r="N11237" s="504" t="s">
        <v>881</v>
      </c>
      <c r="O11237" s="526" t="s">
        <v>2967</v>
      </c>
      <c r="P11237" s="254"/>
      <c r="Q11237" s="321"/>
      <c r="R11237" s="260"/>
      <c r="S11237" s="260"/>
      <c r="T11237" s="260"/>
      <c r="U11237" s="260"/>
      <c r="V11237" s="260"/>
      <c r="W11237" s="257">
        <f>IF(W11235=0,0,W11236/W11235)</f>
        <v>0</v>
      </c>
      <c r="X11237" s="260"/>
      <c r="Y11237" s="260"/>
      <c r="Z11237" s="257">
        <f>IF(Z11235=0,0,Z11236/Z11235)</f>
        <v>0</v>
      </c>
      <c r="AA11237"/>
      <c r="AB11237"/>
      <c r="AC11237"/>
      <c r="AD11237"/>
      <c r="AE11237"/>
      <c r="AF11237"/>
      <c r="AG11237"/>
      <c r="AH11237"/>
      <c r="AI11237"/>
      <c r="AJ11237"/>
      <c r="AK11237"/>
      <c r="AL11237"/>
      <c r="AM11237"/>
    </row>
    <row r="11238" spans="1:39" s="47" customFormat="1" ht="57" customHeight="1">
      <c r="A11238" s="121"/>
      <c r="B11238" s="121"/>
      <c r="C11238" s="121"/>
      <c r="D11238" s="121"/>
      <c r="E11238" s="121"/>
      <c r="F11238" s="121"/>
      <c r="G11238" s="121"/>
      <c r="H11238" s="121"/>
      <c r="I11238" s="121"/>
      <c r="J11238" s="121"/>
      <c r="K11238" s="121"/>
      <c r="L11238" s="121"/>
      <c r="M11238" s="121"/>
      <c r="N11238" s="559" t="s">
        <v>362</v>
      </c>
      <c r="O11238" s="604" t="s">
        <v>2722</v>
      </c>
      <c r="P11238" s="257"/>
      <c r="Q11238" s="321"/>
      <c r="R11238" s="260"/>
      <c r="S11238" s="260"/>
      <c r="T11238" s="260"/>
      <c r="U11238" s="260"/>
      <c r="V11238" s="260"/>
      <c r="W11238" s="629">
        <f>SUMIF(БТр!$F$129:$F$158,W$9,БТр!$L$129:$L$158)/1000-SUMIF(БТр!$F$129:$F$158,W$9,БТр!$M$129:$M$158)/1000-SUMIF(БТр!$F$129:$F$158,W$9,БТр!$N$129:$N$158)/1000</f>
        <v>0</v>
      </c>
      <c r="X11238" s="260"/>
      <c r="Y11238" s="260"/>
      <c r="Z11238" s="629">
        <f>SUMIF(БПр!$F$129:$F$158,Z$9,БПр!$L$129:$L$158)/1000-SUMIF(БПр!$F$129:$F$158,Z$9,БПр!$P$129:$P$158)/1000</f>
        <v>0</v>
      </c>
      <c r="AA11238"/>
      <c r="AB11238"/>
      <c r="AC11238"/>
      <c r="AD11238"/>
      <c r="AE11238"/>
      <c r="AF11238"/>
      <c r="AG11238"/>
      <c r="AH11238"/>
      <c r="AI11238"/>
      <c r="AJ11238"/>
      <c r="AK11238"/>
      <c r="AL11238"/>
      <c r="AM11238"/>
    </row>
    <row r="11239" spans="1:39" s="121" customFormat="1">
      <c r="N11239" s="222"/>
      <c r="O11239" s="502"/>
      <c r="P11239" s="323"/>
      <c r="Q11239" s="321"/>
      <c r="R11239" s="260"/>
      <c r="S11239" s="260"/>
      <c r="T11239" s="260"/>
      <c r="U11239" s="260"/>
      <c r="V11239" s="260"/>
      <c r="W11239" s="260"/>
      <c r="X11239" s="260"/>
      <c r="Y11239" s="260"/>
      <c r="Z11239" s="260"/>
      <c r="AA11239"/>
      <c r="AB11239"/>
      <c r="AC11239"/>
      <c r="AD11239"/>
      <c r="AE11239"/>
      <c r="AF11239"/>
      <c r="AG11239"/>
      <c r="AH11239"/>
      <c r="AI11239"/>
      <c r="AJ11239"/>
      <c r="AK11239"/>
      <c r="AL11239"/>
      <c r="AM11239"/>
    </row>
    <row r="11240" spans="1:39" s="121" customFormat="1" ht="22.5">
      <c r="N11240" s="222" t="s">
        <v>32</v>
      </c>
      <c r="O11240" s="721" t="str">
        <f>"Общий доход организации от реализации потребителям без учёта НДС, исходя из утверждённых тарифов на " &amp; N11104</f>
        <v>Общий доход организации от реализации потребителям без учёта НДС, исходя из утверждённых тарифов на TBD</v>
      </c>
      <c r="P11240" s="257"/>
      <c r="Q11240" s="321"/>
      <c r="R11240" s="260"/>
      <c r="S11240" s="260"/>
      <c r="T11240" s="260"/>
      <c r="U11240" s="260"/>
      <c r="V11240" s="260"/>
      <c r="W11240" s="257">
        <f>W11242+W11245+W11248+W11251+W11255</f>
        <v>0</v>
      </c>
      <c r="X11240" s="260"/>
      <c r="Y11240" s="260"/>
      <c r="Z11240" s="257">
        <f>Z11242+Z11245+Z11248+Z11251+Z11255</f>
        <v>0</v>
      </c>
      <c r="AA11240"/>
      <c r="AB11240"/>
      <c r="AC11240"/>
      <c r="AD11240"/>
      <c r="AE11240"/>
      <c r="AF11240"/>
      <c r="AG11240"/>
      <c r="AH11240"/>
      <c r="AI11240"/>
      <c r="AJ11240"/>
      <c r="AK11240"/>
      <c r="AL11240"/>
      <c r="AM11240"/>
    </row>
    <row r="11241" spans="1:39" s="121" customFormat="1" ht="11.25" customHeight="1">
      <c r="N11241" s="222" t="s">
        <v>33</v>
      </c>
      <c r="O11241" s="540" t="str">
        <f>"Полезный отпуск продукции на реализацию потребителям (тыс. куб.м) на " &amp; N11104</f>
        <v>Полезный отпуск продукции на реализацию потребителям (тыс. куб.м) на TBD</v>
      </c>
      <c r="P11241" s="257"/>
      <c r="Q11241" s="321"/>
      <c r="R11241" s="260"/>
      <c r="S11241" s="260"/>
      <c r="T11241" s="260"/>
      <c r="U11241" s="260"/>
      <c r="V11241" s="260"/>
      <c r="W11241" s="257">
        <f>W11244+W11247+W11250+W11253</f>
        <v>0</v>
      </c>
      <c r="X11241" s="260"/>
      <c r="Y11241" s="260"/>
      <c r="Z11241" s="257">
        <f>Z11244+Z11247+Z11250+Z11253</f>
        <v>0</v>
      </c>
      <c r="AA11241"/>
      <c r="AB11241"/>
      <c r="AC11241"/>
      <c r="AD11241"/>
      <c r="AE11241"/>
      <c r="AF11241"/>
      <c r="AG11241"/>
      <c r="AH11241"/>
      <c r="AI11241"/>
      <c r="AJ11241"/>
      <c r="AK11241"/>
      <c r="AL11241"/>
      <c r="AM11241"/>
    </row>
    <row r="11242" spans="1:39" s="121" customFormat="1">
      <c r="N11242" s="222" t="s">
        <v>2455</v>
      </c>
      <c r="O11242" s="541" t="str">
        <f>"Организации-перепродавцы на " &amp; N11104</f>
        <v>Организации-перепродавцы на TBD</v>
      </c>
      <c r="P11242" s="257"/>
      <c r="Q11242" s="321"/>
      <c r="R11242" s="260"/>
      <c r="S11242" s="260"/>
      <c r="T11242" s="260"/>
      <c r="U11242" s="260"/>
      <c r="V11242" s="260"/>
      <c r="W11242" s="545">
        <f>W11243*W11244</f>
        <v>0</v>
      </c>
      <c r="X11242" s="260"/>
      <c r="Y11242" s="546"/>
      <c r="Z11242" s="545">
        <f>Z11243*Z11244</f>
        <v>0</v>
      </c>
      <c r="AA11242"/>
      <c r="AB11242"/>
      <c r="AC11242"/>
      <c r="AD11242"/>
      <c r="AE11242"/>
      <c r="AF11242"/>
      <c r="AG11242"/>
      <c r="AH11242"/>
      <c r="AI11242"/>
      <c r="AJ11242"/>
      <c r="AK11242"/>
      <c r="AL11242"/>
      <c r="AM11242"/>
    </row>
    <row r="11243" spans="1:39" s="47" customFormat="1" ht="12.75">
      <c r="A11243" s="121"/>
      <c r="B11243" s="121"/>
      <c r="C11243" s="121"/>
      <c r="D11243" s="121"/>
      <c r="E11243" s="121"/>
      <c r="F11243" s="121"/>
      <c r="G11243" s="121"/>
      <c r="H11243" s="121"/>
      <c r="I11243" s="121"/>
      <c r="J11243" s="121"/>
      <c r="K11243" s="121"/>
      <c r="L11243" s="121"/>
      <c r="M11243" s="121"/>
      <c r="N11243" s="222" t="s">
        <v>34</v>
      </c>
      <c r="O11243" s="502" t="s">
        <v>348</v>
      </c>
      <c r="P11243" s="254"/>
      <c r="Q11243" s="321"/>
      <c r="R11243" s="260"/>
      <c r="S11243" s="260"/>
      <c r="T11243" s="260"/>
      <c r="U11243" s="260"/>
      <c r="V11243" s="260"/>
      <c r="W11243" s="630">
        <f>IF($AP$8="I",SUMIF('ТМ1 01.01 - 30.06'!$C$21:$C$25,W$9,'ТМ1 01.01 - 30.06'!$AN$21:$AN$25),IF($AP$8="II",SUMIF('ТМ1 01.07 - 31.08'!$C$21:$C$25,W$9,'ТМ1 01.07 - 31.08'!$AN$21:$AN$25),IF($AP$8="III",SUMIF('ТМ1 01.09 - 31.12'!$C$21:$C$25,W$9,'ТМ1 01.09 - 31.12'!$AN$21:$AN$25),0)))</f>
        <v>0</v>
      </c>
      <c r="X11243" s="260"/>
      <c r="Y11243" s="546"/>
      <c r="Z11243" s="630">
        <f>IF($AP$8="I",SUMIF('ТМ2 01.01 - 30.06'!$C$21:$C$25,Z$9,'ТМ2 01.01 - 30.06'!$AM$21:$AM$25),IF($AP$8="II",SUMIF('ТМ2 01.07 - 31.08'!$C$21:$C$25,Z$9,'ТМ2 01.07 - 31.08'!$AM$21:$AM$25),IF($AP$8="III",SUMIF('ТМ2 01.09 - 31.12'!$C$21:$C$25,Z$9,'ТМ2 01.09 - 31.12'!$AM$21:$AM$25),0)))</f>
        <v>0</v>
      </c>
      <c r="AA11243"/>
      <c r="AB11243"/>
      <c r="AC11243"/>
      <c r="AD11243"/>
      <c r="AE11243"/>
      <c r="AF11243"/>
      <c r="AG11243"/>
      <c r="AH11243"/>
      <c r="AI11243"/>
      <c r="AJ11243"/>
      <c r="AK11243"/>
      <c r="AL11243"/>
      <c r="AM11243"/>
    </row>
    <row r="11244" spans="1:39" s="47" customFormat="1">
      <c r="A11244" s="121"/>
      <c r="B11244" s="121"/>
      <c r="C11244" s="121"/>
      <c r="D11244" s="121"/>
      <c r="E11244" s="121"/>
      <c r="F11244" s="121"/>
      <c r="G11244" s="121"/>
      <c r="H11244" s="121"/>
      <c r="I11244" s="121"/>
      <c r="J11244" s="121"/>
      <c r="K11244" s="121"/>
      <c r="L11244" s="121"/>
      <c r="M11244" s="121"/>
      <c r="N11244" s="222" t="s">
        <v>35</v>
      </c>
      <c r="O11244" s="502" t="s">
        <v>372</v>
      </c>
      <c r="P11244" s="257"/>
      <c r="Q11244" s="321"/>
      <c r="R11244" s="260"/>
      <c r="S11244" s="260"/>
      <c r="T11244" s="260"/>
      <c r="U11244" s="260"/>
      <c r="V11244" s="260"/>
      <c r="W11244" s="629">
        <f>SUMIF(БТр!$BF$129:$BF$158,W$9&amp;"-"&amp;$AP$8,БТр!$N$129:$N$158)/1000</f>
        <v>0</v>
      </c>
      <c r="X11244" s="260"/>
      <c r="Y11244" s="260"/>
      <c r="Z11244" s="629">
        <f>SUMIF(БПр!$BF$129:$BF$158,Z$9&amp;"-"&amp;$AP$8,БПр!$P$129:$P$158)/1000</f>
        <v>0</v>
      </c>
      <c r="AA11244"/>
      <c r="AB11244"/>
      <c r="AC11244"/>
      <c r="AD11244"/>
      <c r="AE11244"/>
      <c r="AF11244"/>
      <c r="AG11244"/>
      <c r="AH11244"/>
      <c r="AI11244"/>
      <c r="AJ11244"/>
      <c r="AK11244"/>
      <c r="AL11244"/>
      <c r="AM11244"/>
    </row>
    <row r="11245" spans="1:39" s="121" customFormat="1">
      <c r="N11245" s="222" t="s">
        <v>2456</v>
      </c>
      <c r="O11245" s="540" t="str">
        <f>"Бюджетные потребители на " &amp; N11104</f>
        <v>Бюджетные потребители на TBD</v>
      </c>
      <c r="P11245" s="257"/>
      <c r="Q11245" s="321"/>
      <c r="R11245" s="260"/>
      <c r="S11245" s="260"/>
      <c r="T11245" s="260"/>
      <c r="U11245" s="260"/>
      <c r="V11245" s="260"/>
      <c r="W11245" s="545">
        <f>W11246*W11247</f>
        <v>0</v>
      </c>
      <c r="X11245" s="260"/>
      <c r="Y11245" s="546"/>
      <c r="Z11245" s="545">
        <f>Z11246*Z11247</f>
        <v>0</v>
      </c>
      <c r="AA11245"/>
      <c r="AB11245"/>
      <c r="AC11245"/>
      <c r="AD11245"/>
      <c r="AE11245"/>
      <c r="AF11245"/>
      <c r="AG11245"/>
      <c r="AH11245"/>
      <c r="AI11245"/>
      <c r="AJ11245"/>
      <c r="AK11245"/>
      <c r="AL11245"/>
      <c r="AM11245"/>
    </row>
    <row r="11246" spans="1:39" s="121" customFormat="1" ht="12.75">
      <c r="N11246" s="222" t="s">
        <v>36</v>
      </c>
      <c r="O11246" s="502" t="s">
        <v>348</v>
      </c>
      <c r="P11246" s="254"/>
      <c r="Q11246" s="321"/>
      <c r="R11246" s="260"/>
      <c r="S11246" s="260"/>
      <c r="T11246" s="260"/>
      <c r="U11246" s="260"/>
      <c r="V11246" s="260"/>
      <c r="W11246" s="630">
        <f>IF($AP$8="I",SUMIF('ТМ1 01.01 - 30.06'!$C$21:$C$25,W$9,'ТМ1 01.01 - 30.06'!$AQ$21:$AQ$25),IF($AP$8="II",SUMIF('ТМ1 01.07 - 31.08'!$C$21:$C$25,W$9,'ТМ1 01.07 - 31.08'!$AQ$21:$AQ$25),IF($AP$8="III",SUMIF('ТМ1 01.09 - 31.12'!$C$21:$C$25,W$9,'ТМ1 01.09 - 31.12'!$AQ$21:$AQ$25),0)))</f>
        <v>0</v>
      </c>
      <c r="X11246" s="260"/>
      <c r="Y11246" s="546"/>
      <c r="Z11246" s="630">
        <f>IF($AP$8="I",SUMIF('ТМ2 01.01 - 30.06'!$C$21:$C$25,Z$9,'ТМ2 01.01 - 30.06'!$ET$21:$ET$25),IF($AP$8="II",SUMIF('ТМ2 01.07 - 31.08'!$C$21:$C$25,Z$9,'ТМ2 01.07 - 31.08'!$ET$21:$ET$25),IF($AP$8="III",SUMIF('ТМ2 01.09 - 31.12'!$C$21:$C$25,Z$9,'ТМ2 01.09 - 31.12'!$ET$21:$ET$25),0)))</f>
        <v>0</v>
      </c>
      <c r="AA11246"/>
      <c r="AB11246"/>
      <c r="AC11246"/>
      <c r="AD11246"/>
      <c r="AE11246"/>
      <c r="AF11246"/>
      <c r="AG11246"/>
      <c r="AH11246"/>
      <c r="AI11246"/>
      <c r="AJ11246"/>
      <c r="AK11246"/>
      <c r="AL11246"/>
      <c r="AM11246"/>
    </row>
    <row r="11247" spans="1:39" s="121" customFormat="1">
      <c r="N11247" s="222" t="s">
        <v>37</v>
      </c>
      <c r="O11247" s="502" t="s">
        <v>372</v>
      </c>
      <c r="P11247" s="257"/>
      <c r="Q11247" s="321"/>
      <c r="R11247" s="260"/>
      <c r="S11247" s="260"/>
      <c r="T11247" s="260"/>
      <c r="U11247" s="260"/>
      <c r="V11247" s="260"/>
      <c r="W11247" s="629">
        <f>SUMIF(БТр!$BF$129:$BF$158,W$9&amp;"-"&amp;$AP$8,БТр!$O$129:$O$158)/1000</f>
        <v>0</v>
      </c>
      <c r="X11247" s="260"/>
      <c r="Y11247" s="260"/>
      <c r="Z11247" s="629">
        <f>SUMIF(БПр!$BF$129:$BF$158,Z$9&amp;"-"&amp;$AP$8,БПр!$M$129:$M$158)/1000</f>
        <v>0</v>
      </c>
      <c r="AA11247"/>
      <c r="AB11247"/>
      <c r="AC11247"/>
      <c r="AD11247"/>
      <c r="AE11247"/>
      <c r="AF11247"/>
      <c r="AG11247"/>
      <c r="AH11247"/>
      <c r="AI11247"/>
      <c r="AJ11247"/>
      <c r="AK11247"/>
      <c r="AL11247"/>
      <c r="AM11247"/>
    </row>
    <row r="11248" spans="1:39" s="121" customFormat="1">
      <c r="N11248" s="222" t="s">
        <v>2457</v>
      </c>
      <c r="O11248" s="540" t="str">
        <f>"Население на " &amp; N11104</f>
        <v>Население на TBD</v>
      </c>
      <c r="P11248" s="257"/>
      <c r="Q11248" s="321"/>
      <c r="R11248" s="260"/>
      <c r="S11248" s="260"/>
      <c r="T11248" s="260"/>
      <c r="U11248" s="260"/>
      <c r="V11248" s="260"/>
      <c r="W11248" s="545">
        <f>W11249*W11250</f>
        <v>0</v>
      </c>
      <c r="X11248" s="260"/>
      <c r="Y11248" s="546"/>
      <c r="Z11248" s="545">
        <f>Z11249*Z11250</f>
        <v>0</v>
      </c>
      <c r="AA11248"/>
      <c r="AB11248"/>
      <c r="AC11248"/>
      <c r="AD11248"/>
      <c r="AE11248"/>
      <c r="AF11248"/>
      <c r="AG11248"/>
      <c r="AH11248"/>
      <c r="AI11248"/>
      <c r="AJ11248"/>
      <c r="AK11248"/>
      <c r="AL11248"/>
      <c r="AM11248"/>
    </row>
    <row r="11249" spans="1:39" s="121" customFormat="1" ht="12.75">
      <c r="N11249" s="222" t="s">
        <v>38</v>
      </c>
      <c r="O11249" s="502" t="s">
        <v>348</v>
      </c>
      <c r="P11249" s="254"/>
      <c r="Q11249" s="321"/>
      <c r="R11249" s="260"/>
      <c r="S11249" s="260"/>
      <c r="T11249" s="260"/>
      <c r="U11249" s="260"/>
      <c r="V11249" s="260"/>
      <c r="W11249" s="630">
        <f>IF($AP$8="I",SUMIF('ТМ1 01.01 - 30.06'!$C$21:$C$25,W$9,'ТМ1 01.01 - 30.06'!$AT$21:$AT$25),IF($AP$8="II",SUMIF('ТМ1 01.07 - 31.08'!$C$21:$C$25,W$9,'ТМ1 01.07 - 31.08'!$AT$21:$AT$25),IF($AP$8="III",SUMIF('ТМ1 01.09 - 31.12'!$C$21:$C$25,W$9,'ТМ1 01.09 - 31.12'!$AT$21:$AT$25),0)))</f>
        <v>0</v>
      </c>
      <c r="X11249" s="260"/>
      <c r="Y11249" s="546"/>
      <c r="Z11249" s="630">
        <f>IF($AP$8="I",SUMIF('ТМ2 01.01 - 30.06'!$C$21:$C$25,Z$9,'ТМ2 01.01 - 30.06'!$EU$21:$EU$25),IF($AP$8="II",SUMIF('ТМ2 01.07 - 31.08'!$C$21:$C$25,Z$9,'ТМ2 01.07 - 31.08'!$EU$21:$EU$25),IF($AP$8="III",SUMIF('ТМ2 01.09 - 31.12'!$C$21:$C$25,Z$9,'ТМ2 01.09 - 31.12'!$EU$21:$EU$25),0)))</f>
        <v>0</v>
      </c>
      <c r="AA11249"/>
      <c r="AB11249"/>
      <c r="AC11249"/>
      <c r="AD11249"/>
      <c r="AE11249"/>
      <c r="AF11249"/>
      <c r="AG11249"/>
      <c r="AH11249"/>
      <c r="AI11249"/>
      <c r="AJ11249"/>
      <c r="AK11249"/>
      <c r="AL11249"/>
      <c r="AM11249"/>
    </row>
    <row r="11250" spans="1:39" s="121" customFormat="1">
      <c r="N11250" s="222" t="s">
        <v>39</v>
      </c>
      <c r="O11250" s="502" t="s">
        <v>372</v>
      </c>
      <c r="P11250" s="257"/>
      <c r="Q11250" s="321"/>
      <c r="R11250" s="260"/>
      <c r="S11250" s="260"/>
      <c r="T11250" s="260"/>
      <c r="U11250" s="260"/>
      <c r="V11250" s="260"/>
      <c r="W11250" s="629">
        <f>SUMIF(БТр!$BF$129:$BF$158,W$9&amp;"-"&amp;$AP$8,БТр!$P$129:$P$158)/1000</f>
        <v>0</v>
      </c>
      <c r="X11250" s="260"/>
      <c r="Y11250" s="260"/>
      <c r="Z11250" s="629">
        <f>SUMIF(БПр!$BF$129:$BF$158,Z$9&amp;"-"&amp;$AP$8,БПр!$N$129:$N$158)/1000</f>
        <v>0</v>
      </c>
      <c r="AA11250"/>
      <c r="AB11250"/>
      <c r="AC11250"/>
      <c r="AD11250"/>
      <c r="AE11250"/>
      <c r="AF11250"/>
      <c r="AG11250"/>
      <c r="AH11250"/>
      <c r="AI11250"/>
      <c r="AJ11250"/>
      <c r="AK11250"/>
      <c r="AL11250"/>
      <c r="AM11250"/>
    </row>
    <row r="11251" spans="1:39" s="47" customFormat="1">
      <c r="A11251" s="121"/>
      <c r="B11251" s="121"/>
      <c r="C11251" s="121"/>
      <c r="D11251" s="121"/>
      <c r="E11251" s="121"/>
      <c r="F11251" s="121"/>
      <c r="G11251" s="121"/>
      <c r="H11251" s="121"/>
      <c r="I11251" s="121"/>
      <c r="J11251" s="121"/>
      <c r="K11251" s="121"/>
      <c r="L11251" s="121"/>
      <c r="M11251" s="121"/>
      <c r="N11251" s="222" t="s">
        <v>2458</v>
      </c>
      <c r="O11251" s="540" t="str">
        <f>"Прочие на " &amp; N11104</f>
        <v>Прочие на TBD</v>
      </c>
      <c r="P11251" s="257"/>
      <c r="Q11251" s="321"/>
      <c r="R11251" s="260"/>
      <c r="S11251" s="260"/>
      <c r="T11251" s="260"/>
      <c r="U11251" s="260"/>
      <c r="V11251" s="260"/>
      <c r="W11251" s="545">
        <f>W11252*W11253</f>
        <v>0</v>
      </c>
      <c r="X11251" s="260"/>
      <c r="Y11251" s="546"/>
      <c r="Z11251" s="545">
        <f>Z11252*Z11253</f>
        <v>0</v>
      </c>
      <c r="AA11251"/>
      <c r="AB11251"/>
      <c r="AC11251"/>
      <c r="AD11251"/>
      <c r="AE11251"/>
      <c r="AF11251"/>
      <c r="AG11251"/>
      <c r="AH11251"/>
      <c r="AI11251"/>
      <c r="AJ11251"/>
      <c r="AK11251"/>
      <c r="AL11251"/>
      <c r="AM11251"/>
    </row>
    <row r="11252" spans="1:39" s="121" customFormat="1" ht="12.75">
      <c r="N11252" s="222" t="s">
        <v>40</v>
      </c>
      <c r="O11252" s="502" t="s">
        <v>348</v>
      </c>
      <c r="P11252" s="254"/>
      <c r="Q11252" s="321"/>
      <c r="R11252" s="260"/>
      <c r="S11252" s="260"/>
      <c r="T11252" s="260"/>
      <c r="U11252" s="260"/>
      <c r="V11252" s="260"/>
      <c r="W11252" s="630">
        <f>IF($AP$8="I",SUMIF('ТМ1 01.01 - 30.06'!$C$21:$C$25,W$9,'ТМ1 01.01 - 30.06'!$AW$21:$AW$25),IF($AP$8="II",SUMIF('ТМ1 01.07 - 31.08'!$C$21:$C$25,W$9,'ТМ1 01.07 - 31.08'!$AW$21:$AW$25),IF($AP$8="III",SUMIF('ТМ1 01.09 - 31.12'!$C$21:$C$25,W$9,'ТМ1 01.09 - 31.12'!$AW$21:$AW$25),0)))</f>
        <v>0</v>
      </c>
      <c r="X11252" s="260"/>
      <c r="Y11252" s="546"/>
      <c r="Z11252" s="630">
        <f>IF($AP$8="I",SUMIF('ТМ2 01.01 - 30.06'!$C$21:$C$25,Z$9,'ТМ2 01.01 - 30.06'!$EV$21:$EV$25),IF($AP$8="II",SUMIF('ТМ2 01.07 - 31.08'!$C$21:$C$25,Z$9,'ТМ2 01.07 - 31.08'!$EV$21:$EV$25),IF($AP$8="III",SUMIF('ТМ2 01.09 - 31.12'!$C$21:$C$25,Z$9,'ТМ2 01.09 - 31.12'!$EV$21:$EV$25),0)))</f>
        <v>0</v>
      </c>
      <c r="AA11252"/>
      <c r="AB11252"/>
      <c r="AC11252"/>
      <c r="AD11252"/>
      <c r="AE11252"/>
      <c r="AF11252"/>
      <c r="AG11252"/>
      <c r="AH11252"/>
      <c r="AI11252"/>
      <c r="AJ11252"/>
      <c r="AK11252"/>
      <c r="AL11252"/>
      <c r="AM11252"/>
    </row>
    <row r="11253" spans="1:39" s="121" customFormat="1">
      <c r="N11253" s="222" t="s">
        <v>41</v>
      </c>
      <c r="O11253" s="502" t="s">
        <v>372</v>
      </c>
      <c r="P11253" s="257"/>
      <c r="Q11253" s="321"/>
      <c r="R11253" s="260"/>
      <c r="S11253" s="260"/>
      <c r="T11253" s="260"/>
      <c r="U11253" s="260"/>
      <c r="V11253" s="260"/>
      <c r="W11253" s="629">
        <f>SUMIF(БТр!$BF$129:$BF$158,W$9&amp;"-"&amp;$AP$8,БТр!$Q$129:$Q$158)/1000</f>
        <v>0</v>
      </c>
      <c r="X11253" s="260"/>
      <c r="Y11253" s="260"/>
      <c r="Z11253" s="629">
        <f>SUMIF(БПр!$BF$129:$BF$158,Z$9&amp;"-"&amp;$AP$8,БПр!$O$129:$O$158)/1000</f>
        <v>0</v>
      </c>
      <c r="AA11253"/>
      <c r="AB11253"/>
      <c r="AC11253"/>
      <c r="AD11253"/>
      <c r="AE11253"/>
      <c r="AF11253"/>
      <c r="AG11253"/>
      <c r="AH11253"/>
      <c r="AI11253"/>
      <c r="AJ11253"/>
      <c r="AK11253"/>
      <c r="AL11253"/>
      <c r="AM11253"/>
    </row>
    <row r="11254" spans="1:39" s="121" customFormat="1">
      <c r="N11254" s="222"/>
      <c r="O11254" s="502"/>
      <c r="P11254" s="323"/>
      <c r="Q11254" s="321"/>
      <c r="R11254" s="260"/>
      <c r="S11254" s="260"/>
      <c r="T11254" s="260"/>
      <c r="U11254" s="260"/>
      <c r="V11254" s="260"/>
      <c r="W11254" s="260"/>
      <c r="X11254" s="260"/>
      <c r="Y11254" s="260"/>
      <c r="Z11254" s="260"/>
      <c r="AA11254"/>
      <c r="AB11254"/>
      <c r="AC11254"/>
      <c r="AD11254"/>
      <c r="AE11254"/>
      <c r="AF11254"/>
      <c r="AG11254"/>
      <c r="AH11254"/>
      <c r="AI11254"/>
      <c r="AJ11254"/>
      <c r="AK11254"/>
      <c r="AL11254"/>
      <c r="AM11254"/>
    </row>
    <row r="11255" spans="1:39" s="121" customFormat="1">
      <c r="N11255" s="722" t="s">
        <v>2664</v>
      </c>
      <c r="O11255" s="721" t="s">
        <v>2724</v>
      </c>
      <c r="P11255" s="257"/>
      <c r="Q11255" s="321"/>
      <c r="R11255" s="260"/>
      <c r="S11255" s="260"/>
      <c r="T11255" s="260"/>
      <c r="U11255" s="260"/>
      <c r="V11255" s="260"/>
      <c r="W11255" s="261"/>
      <c r="X11255" s="260"/>
      <c r="Y11255" s="260"/>
      <c r="Z11255" s="261"/>
      <c r="AA11255"/>
      <c r="AB11255"/>
      <c r="AC11255"/>
      <c r="AD11255"/>
      <c r="AE11255"/>
      <c r="AF11255"/>
      <c r="AG11255"/>
      <c r="AH11255"/>
      <c r="AI11255"/>
      <c r="AJ11255"/>
      <c r="AK11255"/>
      <c r="AL11255"/>
      <c r="AM11255"/>
    </row>
    <row r="11256" spans="1:39" s="121" customFormat="1">
      <c r="N11256" s="222"/>
      <c r="O11256" s="502"/>
      <c r="P11256" s="323"/>
      <c r="Q11256" s="321"/>
      <c r="R11256" s="260"/>
      <c r="S11256" s="260"/>
      <c r="T11256" s="260"/>
      <c r="U11256" s="260"/>
      <c r="V11256" s="260"/>
      <c r="W11256" s="260"/>
      <c r="X11256" s="260"/>
      <c r="Y11256" s="260"/>
      <c r="Z11256" s="260"/>
      <c r="AA11256"/>
      <c r="AB11256"/>
      <c r="AC11256"/>
      <c r="AD11256"/>
      <c r="AE11256"/>
      <c r="AF11256"/>
      <c r="AG11256"/>
      <c r="AH11256"/>
      <c r="AI11256"/>
      <c r="AJ11256"/>
      <c r="AK11256"/>
      <c r="AL11256"/>
      <c r="AM11256"/>
    </row>
    <row r="11257" spans="1:39" s="47" customFormat="1">
      <c r="A11257" s="121"/>
      <c r="B11257" s="121"/>
      <c r="C11257" s="121"/>
      <c r="D11257" s="121"/>
      <c r="E11257" s="121"/>
      <c r="F11257" s="121"/>
      <c r="G11257" s="121"/>
      <c r="H11257" s="121"/>
      <c r="I11257" s="121"/>
      <c r="J11257" s="121"/>
      <c r="K11257" s="121"/>
      <c r="L11257" s="121"/>
      <c r="M11257" s="121"/>
      <c r="N11257" s="222"/>
      <c r="O11257" s="502"/>
      <c r="P11257" s="323"/>
      <c r="Q11257" s="321"/>
      <c r="R11257" s="260"/>
      <c r="S11257" s="260"/>
      <c r="T11257" s="260"/>
      <c r="U11257" s="260"/>
      <c r="V11257" s="260"/>
      <c r="W11257" s="260"/>
      <c r="X11257" s="260"/>
      <c r="Y11257" s="260"/>
      <c r="Z11257" s="260"/>
      <c r="AA11257"/>
      <c r="AB11257"/>
      <c r="AC11257"/>
      <c r="AD11257"/>
      <c r="AE11257"/>
      <c r="AF11257"/>
      <c r="AG11257"/>
      <c r="AH11257"/>
      <c r="AI11257"/>
      <c r="AJ11257"/>
      <c r="AK11257"/>
      <c r="AL11257"/>
      <c r="AM11257"/>
    </row>
    <row r="11258" spans="1:39" s="54" customFormat="1">
      <c r="A11258" s="121"/>
      <c r="B11258" s="121"/>
      <c r="C11258" s="121"/>
      <c r="D11258" s="121"/>
      <c r="E11258" s="121"/>
      <c r="F11258" s="121"/>
      <c r="G11258" s="121"/>
      <c r="H11258" s="121"/>
      <c r="I11258" s="121"/>
      <c r="J11258" s="121"/>
      <c r="K11258" s="121"/>
      <c r="L11258" s="121"/>
      <c r="M11258" s="121"/>
      <c r="N11258" s="223"/>
      <c r="O11258" s="216"/>
      <c r="P11258" s="543"/>
      <c r="Q11258" s="523"/>
      <c r="R11258" s="547"/>
      <c r="S11258" s="547"/>
      <c r="T11258" s="547"/>
      <c r="U11258" s="547"/>
      <c r="V11258" s="547"/>
      <c r="W11258" s="547"/>
      <c r="X11258" s="547"/>
      <c r="Y11258" s="547"/>
      <c r="Z11258" s="547"/>
      <c r="AA11258"/>
      <c r="AB11258"/>
      <c r="AC11258"/>
      <c r="AD11258"/>
      <c r="AE11258"/>
      <c r="AF11258"/>
      <c r="AG11258"/>
      <c r="AH11258"/>
      <c r="AI11258"/>
      <c r="AJ11258"/>
      <c r="AK11258"/>
      <c r="AL11258"/>
      <c r="AM11258"/>
    </row>
    <row r="11259" spans="1:39" s="54" customFormat="1">
      <c r="A11259" s="121"/>
      <c r="B11259" s="121"/>
      <c r="C11259" s="121"/>
      <c r="D11259" s="121"/>
      <c r="E11259" s="121"/>
      <c r="F11259" s="121"/>
      <c r="G11259" s="121"/>
      <c r="H11259" s="121"/>
      <c r="I11259" s="121"/>
      <c r="J11259" s="121"/>
      <c r="K11259" s="121"/>
      <c r="L11259" s="121"/>
      <c r="M11259" s="121"/>
      <c r="N11259" s="121"/>
      <c r="O11259" s="121"/>
      <c r="P11259" s="121"/>
      <c r="Q11259" s="121"/>
      <c r="R11259" s="121"/>
      <c r="S11259" s="121"/>
      <c r="T11259" s="121"/>
      <c r="U11259" s="121"/>
      <c r="V11259" s="121"/>
      <c r="W11259" s="121"/>
      <c r="X11259" s="121"/>
      <c r="Y11259" s="121"/>
      <c r="Z11259" s="121"/>
      <c r="AA11259"/>
      <c r="AB11259"/>
      <c r="AC11259"/>
      <c r="AD11259"/>
      <c r="AE11259"/>
      <c r="AF11259"/>
      <c r="AG11259"/>
      <c r="AH11259"/>
      <c r="AI11259"/>
      <c r="AJ11259"/>
      <c r="AK11259"/>
      <c r="AL11259"/>
      <c r="AM11259"/>
    </row>
    <row r="11260" spans="1:39" s="47" customFormat="1">
      <c r="A11260" s="121"/>
      <c r="B11260" s="121"/>
      <c r="C11260" s="121"/>
      <c r="D11260" s="121"/>
      <c r="E11260" s="121"/>
      <c r="F11260" s="121"/>
      <c r="G11260" s="121"/>
      <c r="H11260" s="121"/>
      <c r="I11260" s="121"/>
      <c r="J11260" s="121"/>
      <c r="K11260" s="121"/>
      <c r="L11260" s="121"/>
      <c r="M11260" s="121"/>
      <c r="N11260" s="49"/>
      <c r="R11260" s="60"/>
      <c r="S11260" s="60"/>
      <c r="T11260" s="60"/>
      <c r="U11260" s="795" t="s">
        <v>2656</v>
      </c>
      <c r="V11260" s="795"/>
      <c r="W11260" s="795"/>
      <c r="X11260" s="795" t="s">
        <v>2657</v>
      </c>
      <c r="Y11260" s="795"/>
      <c r="Z11260" s="795"/>
      <c r="AA11260"/>
      <c r="AB11260"/>
      <c r="AC11260"/>
      <c r="AD11260"/>
      <c r="AE11260"/>
      <c r="AF11260"/>
      <c r="AG11260"/>
      <c r="AH11260"/>
      <c r="AI11260"/>
      <c r="AJ11260"/>
      <c r="AK11260"/>
      <c r="AL11260"/>
      <c r="AM11260"/>
    </row>
    <row r="11261" spans="1:39">
      <c r="Q11261" s="47"/>
      <c r="R11261" s="47"/>
      <c r="S11261" s="47"/>
      <c r="T11261" s="47"/>
      <c r="U11261" s="47"/>
      <c r="V11261" s="47"/>
      <c r="W11261" s="47"/>
      <c r="X11261" s="47"/>
      <c r="Y11261" s="47"/>
      <c r="Z11261" s="47"/>
      <c r="AA11261"/>
      <c r="AB11261"/>
      <c r="AC11261"/>
      <c r="AD11261"/>
      <c r="AE11261"/>
      <c r="AF11261"/>
      <c r="AG11261"/>
      <c r="AH11261"/>
      <c r="AI11261"/>
      <c r="AJ11261"/>
      <c r="AK11261"/>
      <c r="AL11261"/>
      <c r="AM11261"/>
    </row>
    <row r="11262" spans="1:39">
      <c r="AA11262"/>
      <c r="AB11262"/>
      <c r="AC11262"/>
      <c r="AD11262"/>
      <c r="AE11262"/>
      <c r="AF11262"/>
      <c r="AG11262"/>
      <c r="AH11262"/>
      <c r="AI11262"/>
      <c r="AJ11262"/>
      <c r="AK11262"/>
      <c r="AL11262"/>
      <c r="AM11262"/>
    </row>
    <row r="11263" spans="1:39">
      <c r="AA11263"/>
      <c r="AB11263"/>
      <c r="AC11263"/>
      <c r="AD11263"/>
      <c r="AE11263"/>
      <c r="AF11263"/>
      <c r="AG11263"/>
      <c r="AH11263"/>
      <c r="AI11263"/>
      <c r="AJ11263"/>
      <c r="AK11263"/>
      <c r="AL11263"/>
      <c r="AM11263"/>
    </row>
    <row r="11264" spans="1:39">
      <c r="AA11264"/>
      <c r="AB11264"/>
      <c r="AC11264"/>
      <c r="AD11264"/>
      <c r="AE11264"/>
      <c r="AF11264"/>
      <c r="AG11264"/>
      <c r="AH11264"/>
      <c r="AI11264"/>
      <c r="AJ11264"/>
      <c r="AK11264"/>
      <c r="AL11264"/>
      <c r="AM11264"/>
    </row>
    <row r="11265" spans="1:40">
      <c r="AA11265"/>
      <c r="AB11265"/>
      <c r="AC11265"/>
      <c r="AD11265"/>
      <c r="AE11265"/>
      <c r="AF11265"/>
      <c r="AG11265"/>
      <c r="AH11265"/>
      <c r="AI11265"/>
      <c r="AJ11265"/>
      <c r="AK11265"/>
      <c r="AL11265"/>
      <c r="AM11265"/>
    </row>
    <row r="11266" spans="1:40">
      <c r="AA11266"/>
      <c r="AB11266"/>
      <c r="AC11266"/>
      <c r="AD11266"/>
      <c r="AE11266"/>
      <c r="AF11266"/>
      <c r="AG11266"/>
      <c r="AH11266"/>
      <c r="AI11266"/>
      <c r="AJ11266"/>
      <c r="AK11266"/>
      <c r="AL11266"/>
      <c r="AM11266"/>
    </row>
    <row r="11267" spans="1:40">
      <c r="AA11267"/>
      <c r="AB11267"/>
      <c r="AC11267"/>
      <c r="AD11267"/>
      <c r="AE11267"/>
      <c r="AF11267"/>
      <c r="AG11267"/>
      <c r="AH11267"/>
      <c r="AI11267"/>
      <c r="AJ11267"/>
      <c r="AK11267"/>
      <c r="AL11267"/>
      <c r="AM11267"/>
    </row>
    <row r="11268" spans="1:40">
      <c r="AA11268"/>
      <c r="AB11268"/>
      <c r="AC11268"/>
      <c r="AD11268"/>
      <c r="AE11268"/>
      <c r="AF11268"/>
      <c r="AG11268"/>
      <c r="AH11268"/>
      <c r="AI11268"/>
      <c r="AJ11268"/>
      <c r="AK11268"/>
      <c r="AL11268"/>
      <c r="AM11268"/>
    </row>
    <row r="11269" spans="1:40">
      <c r="AA11269"/>
      <c r="AB11269"/>
      <c r="AC11269"/>
      <c r="AD11269"/>
      <c r="AE11269"/>
      <c r="AF11269"/>
      <c r="AG11269"/>
      <c r="AH11269"/>
      <c r="AI11269"/>
      <c r="AJ11269"/>
      <c r="AK11269"/>
      <c r="AL11269"/>
      <c r="AM11269"/>
      <c r="AN11269"/>
    </row>
    <row r="11270" spans="1:40">
      <c r="R11270" s="795" t="s">
        <v>2658</v>
      </c>
      <c r="S11270" s="795"/>
      <c r="T11270" s="795"/>
      <c r="U11270"/>
      <c r="V11270"/>
      <c r="W11270"/>
      <c r="X11270"/>
      <c r="Y11270"/>
      <c r="Z11270"/>
      <c r="AA11270"/>
      <c r="AB11270"/>
      <c r="AC11270"/>
      <c r="AD11270"/>
      <c r="AE11270"/>
      <c r="AF11270"/>
      <c r="AG11270"/>
      <c r="AH11270"/>
      <c r="AI11270"/>
      <c r="AJ11270"/>
      <c r="AK11270"/>
      <c r="AL11270"/>
      <c r="AM11270"/>
      <c r="AN11270"/>
    </row>
    <row r="11271" spans="1:40">
      <c r="Q11271" s="316"/>
      <c r="R11271" s="795" t="s">
        <v>2659</v>
      </c>
      <c r="S11271" s="795"/>
      <c r="T11271" s="795"/>
      <c r="U11271" s="795" t="s">
        <v>2660</v>
      </c>
      <c r="V11271" s="795"/>
      <c r="W11271" s="795"/>
      <c r="X11271" s="795" t="s">
        <v>2661</v>
      </c>
      <c r="Y11271" s="795"/>
      <c r="Z11271" s="795"/>
      <c r="AA11271"/>
      <c r="AB11271"/>
      <c r="AC11271"/>
      <c r="AD11271"/>
      <c r="AE11271"/>
      <c r="AF11271"/>
      <c r="AG11271"/>
      <c r="AH11271"/>
      <c r="AI11271"/>
      <c r="AJ11271"/>
      <c r="AK11271"/>
      <c r="AL11271"/>
      <c r="AM11271"/>
      <c r="AN11271"/>
    </row>
    <row r="11272" spans="1:40" ht="11.25" customHeight="1">
      <c r="N11272" s="430" t="s">
        <v>1742</v>
      </c>
      <c r="O11272" s="315"/>
      <c r="P11272" s="309"/>
      <c r="Q11272" s="311"/>
      <c r="R11272" s="624"/>
      <c r="S11272" s="624"/>
      <c r="T11272" s="624"/>
      <c r="U11272" s="624"/>
      <c r="V11272" s="624"/>
      <c r="W11272" s="624"/>
      <c r="X11272" s="624"/>
      <c r="Y11272" s="624"/>
      <c r="Z11272" s="624"/>
      <c r="AA11272"/>
      <c r="AB11272"/>
      <c r="AC11272"/>
      <c r="AD11272"/>
      <c r="AE11272"/>
      <c r="AF11272"/>
      <c r="AG11272"/>
      <c r="AH11272"/>
      <c r="AI11272"/>
      <c r="AJ11272"/>
      <c r="AK11272"/>
      <c r="AL11272"/>
      <c r="AM11272"/>
      <c r="AN11272"/>
    </row>
    <row r="11273" spans="1:40" ht="11.25" customHeight="1">
      <c r="N11273" s="811"/>
      <c r="O11273" s="812"/>
      <c r="P11273" s="813"/>
      <c r="Q11273" s="317"/>
      <c r="R11273" s="625" t="str">
        <f>R11275 &amp; ".1"</f>
        <v>.1</v>
      </c>
      <c r="S11273" s="625" t="str">
        <f>R11275 &amp; ".2"</f>
        <v>.2</v>
      </c>
      <c r="T11273" s="625" t="str">
        <f>R11275 &amp; ".0"</f>
        <v>.0</v>
      </c>
      <c r="U11273" s="625" t="str">
        <f>U11275 &amp; ".1"</f>
        <v>.1</v>
      </c>
      <c r="V11273" s="625" t="str">
        <f>U11275 &amp; ".2"</f>
        <v>.2</v>
      </c>
      <c r="W11273" s="625" t="str">
        <f>U11275 &amp; ".0"</f>
        <v>.0</v>
      </c>
      <c r="X11273" s="625" t="str">
        <f>X11275 &amp; ".1"</f>
        <v>.1</v>
      </c>
      <c r="Y11273" s="625" t="str">
        <f>X11275 &amp; ".2"</f>
        <v>.2</v>
      </c>
      <c r="Z11273" s="625" t="str">
        <f>X11275 &amp; ".0"</f>
        <v>.0</v>
      </c>
      <c r="AA11273"/>
      <c r="AB11273"/>
      <c r="AC11273"/>
      <c r="AD11273"/>
      <c r="AE11273"/>
      <c r="AF11273"/>
      <c r="AG11273"/>
      <c r="AH11273"/>
      <c r="AI11273"/>
      <c r="AJ11273"/>
      <c r="AK11273"/>
      <c r="AL11273"/>
      <c r="AM11273"/>
      <c r="AN11273"/>
    </row>
    <row r="11274" spans="1:40" ht="11.25" customHeight="1">
      <c r="N11274" s="430" t="s">
        <v>1742</v>
      </c>
      <c r="O11274" s="221"/>
      <c r="P11274" s="122" t="s">
        <v>786</v>
      </c>
      <c r="Q11274" s="201"/>
      <c r="R11274" s="814" t="s">
        <v>719</v>
      </c>
      <c r="S11274" s="814"/>
      <c r="T11274" s="814"/>
      <c r="U11274" s="814" t="s">
        <v>719</v>
      </c>
      <c r="V11274" s="814"/>
      <c r="W11274" s="814"/>
      <c r="X11274" s="814" t="s">
        <v>719</v>
      </c>
      <c r="Y11274" s="814"/>
      <c r="Z11274" s="814"/>
      <c r="AA11274"/>
      <c r="AB11274"/>
      <c r="AC11274"/>
      <c r="AD11274"/>
      <c r="AE11274"/>
      <c r="AF11274"/>
      <c r="AG11274"/>
      <c r="AH11274"/>
      <c r="AI11274"/>
      <c r="AJ11274"/>
      <c r="AK11274"/>
      <c r="AL11274"/>
      <c r="AM11274"/>
      <c r="AN11274"/>
    </row>
    <row r="11275" spans="1:40" ht="11.25" customHeight="1">
      <c r="N11275" s="802" t="s">
        <v>641</v>
      </c>
      <c r="O11275" s="804" t="s">
        <v>787</v>
      </c>
      <c r="P11275" s="806" t="s">
        <v>778</v>
      </c>
      <c r="Q11275" s="206">
        <v>0</v>
      </c>
      <c r="R11275" s="808"/>
      <c r="S11275" s="809"/>
      <c r="T11275" s="810"/>
      <c r="U11275" s="808"/>
      <c r="V11275" s="809"/>
      <c r="W11275" s="810"/>
      <c r="X11275" s="808"/>
      <c r="Y11275" s="809"/>
      <c r="Z11275" s="810"/>
      <c r="AA11275"/>
      <c r="AB11275"/>
      <c r="AC11275"/>
      <c r="AD11275"/>
      <c r="AE11275"/>
      <c r="AF11275"/>
      <c r="AG11275"/>
      <c r="AH11275"/>
      <c r="AI11275"/>
      <c r="AJ11275"/>
      <c r="AK11275"/>
      <c r="AL11275"/>
      <c r="AM11275"/>
      <c r="AN11275"/>
    </row>
    <row r="11276" spans="1:40" ht="12" customHeight="1">
      <c r="N11276" s="803"/>
      <c r="O11276" s="805"/>
      <c r="P11276" s="807"/>
      <c r="Q11276" s="207"/>
      <c r="R11276" s="796"/>
      <c r="S11276" s="797"/>
      <c r="T11276" s="798"/>
      <c r="U11276" s="796"/>
      <c r="V11276" s="797"/>
      <c r="W11276" s="798"/>
      <c r="X11276" s="796"/>
      <c r="Y11276" s="797"/>
      <c r="Z11276" s="798"/>
      <c r="AA11276"/>
      <c r="AB11276"/>
      <c r="AC11276"/>
      <c r="AD11276"/>
      <c r="AE11276"/>
      <c r="AF11276"/>
      <c r="AG11276"/>
      <c r="AH11276"/>
      <c r="AI11276"/>
      <c r="AJ11276"/>
      <c r="AK11276"/>
      <c r="AL11276"/>
      <c r="AM11276"/>
      <c r="AN11276"/>
    </row>
    <row r="11277" spans="1:40" ht="12" customHeight="1">
      <c r="N11277" s="222"/>
      <c r="O11277" s="501" t="s">
        <v>788</v>
      </c>
      <c r="P11277" s="542"/>
      <c r="Q11277" s="207"/>
      <c r="R11277" s="799"/>
      <c r="S11277" s="800"/>
      <c r="T11277" s="801"/>
      <c r="U11277" s="799"/>
      <c r="V11277" s="800"/>
      <c r="W11277" s="801"/>
      <c r="X11277" s="799"/>
      <c r="Y11277" s="800"/>
      <c r="Z11277" s="801"/>
      <c r="AA11277"/>
      <c r="AB11277"/>
      <c r="AC11277"/>
      <c r="AD11277"/>
      <c r="AE11277"/>
      <c r="AF11277"/>
      <c r="AG11277"/>
      <c r="AH11277"/>
      <c r="AI11277"/>
      <c r="AJ11277"/>
      <c r="AK11277"/>
      <c r="AL11277"/>
      <c r="AM11277"/>
      <c r="AN11277"/>
    </row>
    <row r="11278" spans="1:40" ht="12" customHeight="1">
      <c r="N11278" s="222"/>
      <c r="O11278" s="556" t="str">
        <f>IF(CALC_IDENTIFIER="","",CALC_IDENTIFIER)</f>
        <v/>
      </c>
      <c r="P11278" s="557" t="s">
        <v>745</v>
      </c>
      <c r="Q11278" s="328"/>
      <c r="R11278" s="568"/>
      <c r="S11278" s="568"/>
      <c r="T11278" s="568"/>
      <c r="U11278" s="568"/>
      <c r="V11278" s="568"/>
      <c r="W11278" s="568" t="s">
        <v>745</v>
      </c>
      <c r="X11278" s="568"/>
      <c r="Y11278" s="568"/>
      <c r="Z11278" s="568" t="s">
        <v>745</v>
      </c>
      <c r="AA11278"/>
      <c r="AB11278"/>
      <c r="AC11278"/>
      <c r="AD11278"/>
      <c r="AE11278"/>
      <c r="AF11278"/>
      <c r="AG11278"/>
      <c r="AH11278"/>
      <c r="AI11278"/>
      <c r="AJ11278"/>
      <c r="AK11278"/>
      <c r="AL11278"/>
      <c r="AM11278"/>
      <c r="AN11278"/>
    </row>
    <row r="11279" spans="1:40" s="47" customFormat="1">
      <c r="A11279" s="121"/>
      <c r="B11279" s="121"/>
      <c r="C11279" s="121"/>
      <c r="D11279" s="121"/>
      <c r="E11279" s="121"/>
      <c r="F11279" s="121"/>
      <c r="G11279" s="121"/>
      <c r="H11279" s="121"/>
      <c r="I11279" s="121"/>
      <c r="J11279" s="121"/>
      <c r="K11279" s="121"/>
      <c r="L11279" s="121"/>
      <c r="M11279" s="121"/>
      <c r="N11279" s="524"/>
      <c r="O11279" s="530"/>
      <c r="P11279" s="255"/>
      <c r="Q11279" s="321"/>
      <c r="R11279" s="260"/>
      <c r="S11279" s="260"/>
      <c r="T11279" s="260"/>
      <c r="U11279" s="260"/>
      <c r="V11279" s="260"/>
      <c r="W11279" s="260"/>
      <c r="X11279" s="260"/>
      <c r="Y11279" s="260"/>
      <c r="Z11279" s="260"/>
      <c r="AA11279"/>
      <c r="AB11279"/>
      <c r="AC11279"/>
      <c r="AD11279"/>
      <c r="AE11279"/>
      <c r="AF11279"/>
      <c r="AG11279"/>
      <c r="AH11279"/>
      <c r="AI11279"/>
      <c r="AJ11279"/>
      <c r="AK11279"/>
      <c r="AL11279"/>
      <c r="AM11279"/>
      <c r="AN11279"/>
    </row>
    <row r="11280" spans="1:40" s="47" customFormat="1">
      <c r="A11280" s="121"/>
      <c r="B11280" s="121"/>
      <c r="C11280" s="121"/>
      <c r="D11280" s="121"/>
      <c r="E11280" s="121"/>
      <c r="F11280" s="121"/>
      <c r="G11280" s="121"/>
      <c r="H11280" s="121"/>
      <c r="I11280" s="121"/>
      <c r="J11280" s="121"/>
      <c r="K11280" s="121"/>
      <c r="L11280" s="121"/>
      <c r="M11280" s="121"/>
      <c r="N11280" s="524"/>
      <c r="O11280" s="530"/>
      <c r="P11280" s="255"/>
      <c r="Q11280" s="321"/>
      <c r="R11280" s="260"/>
      <c r="S11280" s="260"/>
      <c r="T11280" s="260"/>
      <c r="U11280" s="260"/>
      <c r="V11280" s="260"/>
      <c r="W11280" s="260"/>
      <c r="X11280" s="260"/>
      <c r="Y11280" s="260"/>
      <c r="Z11280" s="260"/>
      <c r="AA11280"/>
      <c r="AB11280"/>
      <c r="AC11280"/>
      <c r="AD11280"/>
      <c r="AE11280"/>
      <c r="AF11280"/>
      <c r="AG11280"/>
      <c r="AH11280"/>
      <c r="AI11280"/>
      <c r="AJ11280"/>
      <c r="AK11280"/>
      <c r="AL11280"/>
      <c r="AM11280"/>
      <c r="AN11280"/>
    </row>
    <row r="11281" spans="1:40" s="47" customFormat="1">
      <c r="A11281" s="121"/>
      <c r="B11281" s="121"/>
      <c r="C11281" s="121"/>
      <c r="D11281" s="121"/>
      <c r="E11281" s="121"/>
      <c r="F11281" s="121"/>
      <c r="G11281" s="121"/>
      <c r="H11281" s="121"/>
      <c r="I11281" s="121"/>
      <c r="J11281" s="121"/>
      <c r="K11281" s="121"/>
      <c r="L11281" s="121"/>
      <c r="M11281" s="121"/>
      <c r="N11281" s="504" t="s">
        <v>751</v>
      </c>
      <c r="O11281" s="526" t="s">
        <v>2814</v>
      </c>
      <c r="P11281" s="257"/>
      <c r="Q11281" s="321"/>
      <c r="R11281" s="260"/>
      <c r="S11281" s="260"/>
      <c r="T11281" s="260"/>
      <c r="U11281" s="260"/>
      <c r="V11281" s="260"/>
      <c r="W11281" s="262">
        <f>'РР 01.01 - 30.06'!W11281+'РР 01.07 - 31.08'!W11281+'РР 01.09 - 31.12'!W11281</f>
        <v>0</v>
      </c>
      <c r="X11281" s="260"/>
      <c r="Y11281" s="260"/>
      <c r="Z11281" s="262">
        <f>'РР 01.01 - 30.06'!Z11281+'РР 01.07 - 31.08'!Z11281+'РР 01.09 - 31.12'!Z11281</f>
        <v>0</v>
      </c>
      <c r="AA11281"/>
      <c r="AB11281"/>
      <c r="AC11281"/>
      <c r="AD11281"/>
      <c r="AE11281"/>
      <c r="AF11281"/>
      <c r="AG11281"/>
      <c r="AH11281"/>
      <c r="AI11281"/>
      <c r="AJ11281"/>
      <c r="AK11281"/>
      <c r="AL11281"/>
      <c r="AM11281"/>
      <c r="AN11281"/>
    </row>
    <row r="11282" spans="1:40" s="47" customFormat="1">
      <c r="A11282" s="121"/>
      <c r="B11282" s="121"/>
      <c r="C11282" s="121"/>
      <c r="D11282" s="121"/>
      <c r="E11282" s="121"/>
      <c r="F11282" s="121"/>
      <c r="G11282" s="121"/>
      <c r="H11282" s="121"/>
      <c r="I11282" s="121"/>
      <c r="J11282" s="121"/>
      <c r="K11282" s="121"/>
      <c r="L11282" s="121"/>
      <c r="M11282" s="121"/>
      <c r="N11282" s="504" t="s">
        <v>66</v>
      </c>
      <c r="O11282" s="527" t="s">
        <v>2815</v>
      </c>
      <c r="P11282" s="257"/>
      <c r="Q11282" s="321"/>
      <c r="R11282" s="260"/>
      <c r="S11282" s="260"/>
      <c r="T11282" s="260"/>
      <c r="U11282" s="260"/>
      <c r="V11282" s="260"/>
      <c r="W11282" s="262">
        <f>'РР 01.01 - 30.06'!W11282+'РР 01.07 - 31.08'!W11282+'РР 01.09 - 31.12'!W11282</f>
        <v>0</v>
      </c>
      <c r="X11282" s="260"/>
      <c r="Y11282" s="260"/>
      <c r="Z11282" s="262">
        <f>'РР 01.01 - 30.06'!Z11282+'РР 01.07 - 31.08'!Z11282+'РР 01.09 - 31.12'!Z11282</f>
        <v>0</v>
      </c>
      <c r="AA11282"/>
      <c r="AB11282"/>
      <c r="AC11282"/>
      <c r="AD11282"/>
      <c r="AE11282"/>
      <c r="AF11282"/>
      <c r="AG11282"/>
      <c r="AH11282"/>
      <c r="AI11282"/>
      <c r="AJ11282"/>
      <c r="AK11282"/>
      <c r="AL11282"/>
      <c r="AM11282"/>
      <c r="AN11282"/>
    </row>
    <row r="11283" spans="1:40" s="47" customFormat="1">
      <c r="A11283" s="121"/>
      <c r="B11283" s="121"/>
      <c r="C11283" s="121"/>
      <c r="D11283" s="121"/>
      <c r="E11283" s="121"/>
      <c r="F11283" s="121"/>
      <c r="G11283" s="121"/>
      <c r="H11283" s="121"/>
      <c r="I11283" s="121"/>
      <c r="J11283" s="121"/>
      <c r="K11283" s="121"/>
      <c r="L11283" s="121"/>
      <c r="M11283" s="121"/>
      <c r="N11283" s="504" t="s">
        <v>632</v>
      </c>
      <c r="O11283" s="528" t="s">
        <v>2816</v>
      </c>
      <c r="P11283" s="257"/>
      <c r="Q11283" s="321"/>
      <c r="R11283" s="260"/>
      <c r="S11283" s="260"/>
      <c r="T11283" s="260"/>
      <c r="U11283" s="260"/>
      <c r="V11283" s="260"/>
      <c r="W11283" s="262">
        <f>'РР 01.01 - 30.06'!W11283+'РР 01.07 - 31.08'!W11283+'РР 01.09 - 31.12'!W11283</f>
        <v>0</v>
      </c>
      <c r="X11283" s="260"/>
      <c r="Y11283" s="260"/>
      <c r="Z11283" s="262">
        <f>'РР 01.01 - 30.06'!Z11283+'РР 01.07 - 31.08'!Z11283+'РР 01.09 - 31.12'!Z11283</f>
        <v>0</v>
      </c>
      <c r="AA11283"/>
      <c r="AB11283"/>
      <c r="AC11283"/>
      <c r="AD11283"/>
      <c r="AE11283"/>
      <c r="AF11283"/>
      <c r="AG11283"/>
      <c r="AH11283"/>
      <c r="AI11283"/>
      <c r="AJ11283"/>
      <c r="AK11283"/>
      <c r="AL11283"/>
      <c r="AM11283"/>
      <c r="AN11283"/>
    </row>
    <row r="11284" spans="1:40" s="47" customFormat="1">
      <c r="A11284" s="121"/>
      <c r="B11284" s="121"/>
      <c r="C11284" s="121"/>
      <c r="D11284" s="121"/>
      <c r="E11284" s="121"/>
      <c r="F11284" s="121"/>
      <c r="G11284" s="121"/>
      <c r="H11284" s="121"/>
      <c r="I11284" s="121"/>
      <c r="J11284" s="121"/>
      <c r="K11284" s="121"/>
      <c r="L11284" s="121"/>
      <c r="M11284" s="121"/>
      <c r="N11284" s="223" t="s">
        <v>2817</v>
      </c>
      <c r="O11284" s="529" t="s">
        <v>2972</v>
      </c>
      <c r="P11284" s="257"/>
      <c r="Q11284" s="321"/>
      <c r="R11284" s="260"/>
      <c r="S11284" s="260"/>
      <c r="T11284" s="260"/>
      <c r="U11284" s="260"/>
      <c r="V11284" s="260"/>
      <c r="W11284" s="262">
        <f>'РР 01.01 - 30.06'!W11284+'РР 01.07 - 31.08'!W11284+'РР 01.09 - 31.12'!W11284</f>
        <v>0</v>
      </c>
      <c r="X11284" s="260"/>
      <c r="Y11284" s="260"/>
      <c r="Z11284" s="262">
        <f>'РР 01.01 - 30.06'!Z11284+'РР 01.07 - 31.08'!Z11284+'РР 01.09 - 31.12'!Z11284</f>
        <v>0</v>
      </c>
      <c r="AA11284"/>
      <c r="AB11284"/>
      <c r="AC11284"/>
      <c r="AD11284"/>
      <c r="AE11284"/>
      <c r="AF11284"/>
      <c r="AG11284"/>
      <c r="AH11284"/>
      <c r="AI11284"/>
      <c r="AJ11284"/>
      <c r="AK11284"/>
      <c r="AL11284"/>
      <c r="AM11284"/>
      <c r="AN11284"/>
    </row>
    <row r="11285" spans="1:40" s="47" customFormat="1">
      <c r="A11285" s="121"/>
      <c r="B11285" s="121"/>
      <c r="C11285" s="121"/>
      <c r="D11285" s="121"/>
      <c r="E11285" s="121"/>
      <c r="F11285" s="121"/>
      <c r="G11285" s="121"/>
      <c r="H11285" s="121"/>
      <c r="I11285" s="121"/>
      <c r="J11285" s="121"/>
      <c r="K11285" s="121"/>
      <c r="L11285" s="121"/>
      <c r="M11285" s="121"/>
      <c r="N11285" s="223" t="s">
        <v>2818</v>
      </c>
      <c r="O11285" s="529" t="s">
        <v>2988</v>
      </c>
      <c r="P11285" s="257"/>
      <c r="Q11285" s="321"/>
      <c r="R11285" s="260"/>
      <c r="S11285" s="260"/>
      <c r="T11285" s="260"/>
      <c r="U11285" s="260"/>
      <c r="V11285" s="260"/>
      <c r="W11285" s="262">
        <f>'РР 01.01 - 30.06'!W11285+'РР 01.07 - 31.08'!W11285+'РР 01.09 - 31.12'!W11285</f>
        <v>0</v>
      </c>
      <c r="X11285" s="260"/>
      <c r="Y11285" s="260"/>
      <c r="Z11285" s="262">
        <f>'РР 01.01 - 30.06'!Z11285+'РР 01.07 - 31.08'!Z11285+'РР 01.09 - 31.12'!Z11285</f>
        <v>0</v>
      </c>
      <c r="AA11285"/>
      <c r="AB11285"/>
      <c r="AC11285"/>
      <c r="AD11285"/>
      <c r="AE11285"/>
      <c r="AF11285"/>
      <c r="AG11285"/>
      <c r="AH11285"/>
      <c r="AI11285"/>
      <c r="AJ11285"/>
      <c r="AK11285"/>
      <c r="AL11285"/>
      <c r="AM11285"/>
      <c r="AN11285"/>
    </row>
    <row r="11286" spans="1:40" s="47" customFormat="1" hidden="1">
      <c r="A11286" s="121"/>
      <c r="B11286" s="121"/>
      <c r="C11286" s="121"/>
      <c r="D11286" s="121"/>
      <c r="E11286" s="121"/>
      <c r="F11286" s="121"/>
      <c r="G11286" s="121"/>
      <c r="H11286" s="121"/>
      <c r="I11286" s="121"/>
      <c r="J11286" s="121"/>
      <c r="K11286" s="121"/>
      <c r="L11286" s="121"/>
      <c r="M11286" s="121"/>
      <c r="N11286" s="223"/>
      <c r="O11286" s="529"/>
      <c r="P11286" s="260"/>
      <c r="Q11286" s="321"/>
      <c r="R11286" s="260"/>
      <c r="S11286" s="260"/>
      <c r="T11286" s="260"/>
      <c r="U11286" s="260"/>
      <c r="V11286" s="260"/>
      <c r="W11286" s="260"/>
      <c r="X11286" s="260"/>
      <c r="Y11286" s="260"/>
      <c r="Z11286" s="260"/>
      <c r="AA11286"/>
      <c r="AB11286"/>
      <c r="AC11286"/>
      <c r="AD11286"/>
      <c r="AE11286"/>
      <c r="AF11286"/>
      <c r="AG11286"/>
      <c r="AH11286"/>
      <c r="AI11286"/>
      <c r="AJ11286"/>
      <c r="AK11286"/>
      <c r="AL11286"/>
      <c r="AM11286"/>
      <c r="AN11286"/>
    </row>
    <row r="11287" spans="1:40" s="47" customFormat="1" hidden="1">
      <c r="A11287" s="121"/>
      <c r="B11287" s="121"/>
      <c r="C11287" s="121"/>
      <c r="D11287" s="121"/>
      <c r="E11287" s="121"/>
      <c r="F11287" s="121"/>
      <c r="G11287" s="121"/>
      <c r="H11287" s="121"/>
      <c r="I11287" s="121"/>
      <c r="J11287" s="121"/>
      <c r="K11287" s="121"/>
      <c r="L11287" s="121"/>
      <c r="M11287" s="121"/>
      <c r="N11287" s="524"/>
      <c r="O11287" s="530"/>
      <c r="P11287" s="255"/>
      <c r="Q11287" s="321"/>
      <c r="R11287" s="260"/>
      <c r="S11287" s="260"/>
      <c r="T11287" s="260"/>
      <c r="U11287" s="260"/>
      <c r="V11287" s="260"/>
      <c r="W11287" s="260"/>
      <c r="X11287" s="260"/>
      <c r="Y11287" s="260"/>
      <c r="Z11287" s="260"/>
      <c r="AA11287"/>
      <c r="AB11287"/>
      <c r="AC11287"/>
      <c r="AD11287"/>
      <c r="AE11287"/>
      <c r="AF11287"/>
      <c r="AG11287"/>
      <c r="AH11287"/>
      <c r="AI11287"/>
      <c r="AJ11287"/>
      <c r="AK11287"/>
      <c r="AL11287"/>
      <c r="AM11287"/>
      <c r="AN11287"/>
    </row>
    <row r="11288" spans="1:40" s="47" customFormat="1" hidden="1">
      <c r="A11288" s="121"/>
      <c r="B11288" s="121"/>
      <c r="C11288" s="121"/>
      <c r="D11288" s="121"/>
      <c r="E11288" s="121"/>
      <c r="F11288" s="121"/>
      <c r="G11288" s="121"/>
      <c r="H11288" s="121"/>
      <c r="I11288" s="121"/>
      <c r="J11288" s="121"/>
      <c r="K11288" s="121"/>
      <c r="L11288" s="121"/>
      <c r="M11288" s="121"/>
      <c r="N11288" s="524"/>
      <c r="O11288" s="530"/>
      <c r="P11288" s="260"/>
      <c r="Q11288" s="321"/>
      <c r="R11288" s="260"/>
      <c r="S11288" s="260"/>
      <c r="T11288" s="260"/>
      <c r="U11288" s="260"/>
      <c r="V11288" s="260"/>
      <c r="W11288" s="260"/>
      <c r="X11288" s="260"/>
      <c r="Y11288" s="260"/>
      <c r="Z11288" s="260"/>
      <c r="AA11288"/>
      <c r="AB11288"/>
      <c r="AC11288"/>
      <c r="AD11288"/>
      <c r="AE11288"/>
      <c r="AF11288"/>
      <c r="AG11288"/>
      <c r="AH11288"/>
      <c r="AI11288"/>
      <c r="AJ11288"/>
      <c r="AK11288"/>
      <c r="AL11288"/>
      <c r="AM11288"/>
      <c r="AN11288"/>
    </row>
    <row r="11289" spans="1:40" s="47" customFormat="1" hidden="1">
      <c r="A11289" s="121"/>
      <c r="B11289" s="121"/>
      <c r="C11289" s="121"/>
      <c r="D11289" s="121"/>
      <c r="E11289" s="121"/>
      <c r="F11289" s="121"/>
      <c r="G11289" s="121"/>
      <c r="H11289" s="121"/>
      <c r="I11289" s="121"/>
      <c r="J11289" s="121"/>
      <c r="K11289" s="121"/>
      <c r="L11289" s="121"/>
      <c r="M11289" s="121"/>
      <c r="N11289" s="223"/>
      <c r="O11289" s="531"/>
      <c r="P11289" s="260"/>
      <c r="Q11289" s="321"/>
      <c r="R11289" s="260"/>
      <c r="S11289" s="260"/>
      <c r="T11289" s="260"/>
      <c r="U11289" s="260"/>
      <c r="V11289" s="260"/>
      <c r="W11289" s="260"/>
      <c r="X11289" s="260"/>
      <c r="Y11289" s="260"/>
      <c r="Z11289" s="260"/>
      <c r="AA11289"/>
      <c r="AB11289"/>
      <c r="AC11289"/>
      <c r="AD11289"/>
      <c r="AE11289"/>
      <c r="AF11289"/>
      <c r="AG11289"/>
      <c r="AH11289"/>
      <c r="AI11289"/>
      <c r="AJ11289"/>
      <c r="AK11289"/>
      <c r="AL11289"/>
      <c r="AM11289"/>
      <c r="AN11289"/>
    </row>
    <row r="11290" spans="1:40" s="47" customFormat="1" hidden="1">
      <c r="A11290" s="121"/>
      <c r="B11290" s="121"/>
      <c r="C11290" s="121"/>
      <c r="D11290" s="121"/>
      <c r="E11290" s="121"/>
      <c r="F11290" s="121"/>
      <c r="G11290" s="121"/>
      <c r="H11290" s="121"/>
      <c r="I11290" s="121"/>
      <c r="J11290" s="121"/>
      <c r="K11290" s="121"/>
      <c r="L11290" s="121"/>
      <c r="M11290" s="121"/>
      <c r="N11290" s="524"/>
      <c r="O11290" s="530"/>
      <c r="P11290" s="255"/>
      <c r="Q11290" s="321"/>
      <c r="R11290" s="260"/>
      <c r="S11290" s="260"/>
      <c r="T11290" s="260"/>
      <c r="U11290" s="260"/>
      <c r="V11290" s="260"/>
      <c r="W11290" s="260"/>
      <c r="X11290" s="260"/>
      <c r="Y11290" s="260"/>
      <c r="Z11290" s="260"/>
      <c r="AA11290"/>
      <c r="AB11290"/>
      <c r="AC11290"/>
      <c r="AD11290"/>
      <c r="AE11290"/>
      <c r="AF11290"/>
      <c r="AG11290"/>
      <c r="AH11290"/>
      <c r="AI11290"/>
      <c r="AJ11290"/>
      <c r="AK11290"/>
      <c r="AL11290"/>
      <c r="AM11290"/>
      <c r="AN11290"/>
    </row>
    <row r="11291" spans="1:40" s="47" customFormat="1" hidden="1">
      <c r="A11291" s="121"/>
      <c r="B11291" s="121"/>
      <c r="C11291" s="121"/>
      <c r="D11291" s="121"/>
      <c r="E11291" s="121"/>
      <c r="F11291" s="121"/>
      <c r="G11291" s="121"/>
      <c r="H11291" s="121"/>
      <c r="I11291" s="121"/>
      <c r="J11291" s="121"/>
      <c r="K11291" s="121"/>
      <c r="L11291" s="121"/>
      <c r="M11291" s="121"/>
      <c r="N11291" s="524"/>
      <c r="O11291" s="530"/>
      <c r="P11291" s="260"/>
      <c r="Q11291" s="321"/>
      <c r="R11291" s="260"/>
      <c r="S11291" s="260"/>
      <c r="T11291" s="260"/>
      <c r="U11291" s="260"/>
      <c r="V11291" s="260"/>
      <c r="W11291" s="260"/>
      <c r="X11291" s="260"/>
      <c r="Y11291" s="260"/>
      <c r="Z11291" s="260"/>
      <c r="AA11291"/>
      <c r="AB11291"/>
      <c r="AC11291"/>
      <c r="AD11291"/>
      <c r="AE11291"/>
      <c r="AF11291"/>
      <c r="AG11291"/>
      <c r="AH11291"/>
      <c r="AI11291"/>
      <c r="AJ11291"/>
      <c r="AK11291"/>
      <c r="AL11291"/>
      <c r="AM11291"/>
      <c r="AN11291"/>
    </row>
    <row r="11292" spans="1:40" s="47" customFormat="1" hidden="1">
      <c r="A11292" s="121"/>
      <c r="B11292" s="121"/>
      <c r="C11292" s="121"/>
      <c r="D11292" s="121"/>
      <c r="E11292" s="121"/>
      <c r="F11292" s="121"/>
      <c r="G11292" s="121"/>
      <c r="H11292" s="121"/>
      <c r="I11292" s="121"/>
      <c r="J11292" s="121"/>
      <c r="K11292" s="121"/>
      <c r="L11292" s="121"/>
      <c r="M11292" s="121"/>
      <c r="N11292" s="223"/>
      <c r="O11292" s="529"/>
      <c r="P11292" s="260"/>
      <c r="Q11292" s="321"/>
      <c r="R11292" s="260"/>
      <c r="S11292" s="260"/>
      <c r="T11292" s="260"/>
      <c r="U11292" s="260"/>
      <c r="V11292" s="260"/>
      <c r="W11292" s="260"/>
      <c r="X11292" s="260"/>
      <c r="Y11292" s="260"/>
      <c r="Z11292" s="260"/>
      <c r="AA11292"/>
      <c r="AB11292"/>
      <c r="AC11292"/>
      <c r="AD11292"/>
      <c r="AE11292"/>
      <c r="AF11292"/>
      <c r="AG11292"/>
      <c r="AH11292"/>
      <c r="AI11292"/>
      <c r="AJ11292"/>
      <c r="AK11292"/>
      <c r="AL11292"/>
      <c r="AM11292"/>
      <c r="AN11292"/>
    </row>
    <row r="11293" spans="1:40" s="47" customFormat="1" hidden="1">
      <c r="A11293" s="121"/>
      <c r="B11293" s="121"/>
      <c r="C11293" s="121"/>
      <c r="D11293" s="121"/>
      <c r="E11293" s="121"/>
      <c r="F11293" s="121"/>
      <c r="G11293" s="121"/>
      <c r="H11293" s="121"/>
      <c r="I11293" s="121"/>
      <c r="J11293" s="121"/>
      <c r="K11293" s="121"/>
      <c r="L11293" s="121"/>
      <c r="M11293" s="121"/>
      <c r="N11293" s="524"/>
      <c r="O11293" s="530"/>
      <c r="P11293" s="255"/>
      <c r="Q11293" s="321"/>
      <c r="R11293" s="260"/>
      <c r="S11293" s="260"/>
      <c r="T11293" s="260"/>
      <c r="U11293" s="260"/>
      <c r="V11293" s="260"/>
      <c r="W11293" s="260"/>
      <c r="X11293" s="260"/>
      <c r="Y11293" s="260"/>
      <c r="Z11293" s="260"/>
      <c r="AA11293"/>
      <c r="AB11293"/>
      <c r="AC11293"/>
      <c r="AD11293"/>
      <c r="AE11293"/>
      <c r="AF11293"/>
      <c r="AG11293"/>
      <c r="AH11293"/>
      <c r="AI11293"/>
      <c r="AJ11293"/>
      <c r="AK11293"/>
      <c r="AL11293"/>
      <c r="AM11293"/>
      <c r="AN11293"/>
    </row>
    <row r="11294" spans="1:40" s="47" customFormat="1" hidden="1">
      <c r="A11294" s="121"/>
      <c r="B11294" s="121"/>
      <c r="C11294" s="121"/>
      <c r="D11294" s="121"/>
      <c r="E11294" s="121"/>
      <c r="F11294" s="121"/>
      <c r="G11294" s="121"/>
      <c r="H11294" s="121"/>
      <c r="I11294" s="121"/>
      <c r="J11294" s="121"/>
      <c r="K11294" s="121"/>
      <c r="L11294" s="121"/>
      <c r="M11294" s="121"/>
      <c r="N11294" s="524"/>
      <c r="O11294" s="530"/>
      <c r="P11294" s="260"/>
      <c r="Q11294" s="321"/>
      <c r="R11294" s="260"/>
      <c r="S11294" s="260"/>
      <c r="T11294" s="260"/>
      <c r="U11294" s="260"/>
      <c r="V11294" s="260"/>
      <c r="W11294" s="260"/>
      <c r="X11294" s="260"/>
      <c r="Y11294" s="260"/>
      <c r="Z11294" s="260"/>
      <c r="AA11294"/>
      <c r="AB11294"/>
      <c r="AC11294"/>
      <c r="AD11294"/>
      <c r="AE11294"/>
      <c r="AF11294"/>
      <c r="AG11294"/>
      <c r="AH11294"/>
      <c r="AI11294"/>
      <c r="AJ11294"/>
      <c r="AK11294"/>
      <c r="AL11294"/>
      <c r="AM11294"/>
      <c r="AN11294"/>
    </row>
    <row r="11295" spans="1:40" s="47" customFormat="1" hidden="1">
      <c r="A11295" s="121"/>
      <c r="B11295" s="121"/>
      <c r="C11295" s="121"/>
      <c r="D11295" s="121"/>
      <c r="E11295" s="121"/>
      <c r="F11295" s="121"/>
      <c r="G11295" s="121"/>
      <c r="H11295" s="121"/>
      <c r="I11295" s="121"/>
      <c r="J11295" s="121"/>
      <c r="K11295" s="121"/>
      <c r="L11295" s="121"/>
      <c r="M11295" s="121"/>
      <c r="N11295" s="223"/>
      <c r="O11295" s="531"/>
      <c r="P11295" s="260"/>
      <c r="Q11295" s="321"/>
      <c r="R11295" s="260"/>
      <c r="S11295" s="260"/>
      <c r="T11295" s="260"/>
      <c r="U11295" s="260"/>
      <c r="V11295" s="260"/>
      <c r="W11295" s="260"/>
      <c r="X11295" s="260"/>
      <c r="Y11295" s="260"/>
      <c r="Z11295" s="260"/>
      <c r="AA11295"/>
      <c r="AB11295"/>
      <c r="AC11295"/>
      <c r="AD11295"/>
      <c r="AE11295"/>
      <c r="AF11295"/>
      <c r="AG11295"/>
      <c r="AH11295"/>
      <c r="AI11295"/>
      <c r="AJ11295"/>
      <c r="AK11295"/>
      <c r="AL11295"/>
      <c r="AM11295"/>
      <c r="AN11295"/>
    </row>
    <row r="11296" spans="1:40" s="47" customFormat="1" hidden="1">
      <c r="A11296" s="121"/>
      <c r="B11296" s="121"/>
      <c r="C11296" s="121"/>
      <c r="D11296" s="121"/>
      <c r="E11296" s="121"/>
      <c r="F11296" s="121"/>
      <c r="G11296" s="121"/>
      <c r="H11296" s="121"/>
      <c r="I11296" s="121"/>
      <c r="J11296" s="121"/>
      <c r="K11296" s="121"/>
      <c r="L11296" s="121"/>
      <c r="M11296" s="121"/>
      <c r="N11296" s="524"/>
      <c r="O11296" s="530"/>
      <c r="P11296" s="255"/>
      <c r="Q11296" s="321"/>
      <c r="R11296" s="260"/>
      <c r="S11296" s="260"/>
      <c r="T11296" s="260"/>
      <c r="U11296" s="260"/>
      <c r="V11296" s="260"/>
      <c r="W11296" s="260"/>
      <c r="X11296" s="260"/>
      <c r="Y11296" s="260"/>
      <c r="Z11296" s="260"/>
      <c r="AA11296"/>
      <c r="AB11296"/>
      <c r="AC11296"/>
      <c r="AD11296"/>
      <c r="AE11296"/>
      <c r="AF11296"/>
      <c r="AG11296"/>
      <c r="AH11296"/>
      <c r="AI11296"/>
      <c r="AJ11296"/>
      <c r="AK11296"/>
      <c r="AL11296"/>
      <c r="AM11296"/>
      <c r="AN11296"/>
    </row>
    <row r="11297" spans="1:40" s="47" customFormat="1" hidden="1">
      <c r="A11297" s="121"/>
      <c r="B11297" s="121"/>
      <c r="C11297" s="121"/>
      <c r="D11297" s="121"/>
      <c r="E11297" s="121"/>
      <c r="F11297" s="121"/>
      <c r="G11297" s="121"/>
      <c r="H11297" s="121"/>
      <c r="I11297" s="121"/>
      <c r="J11297" s="121"/>
      <c r="K11297" s="121"/>
      <c r="L11297" s="121"/>
      <c r="M11297" s="121"/>
      <c r="N11297" s="524"/>
      <c r="O11297" s="530"/>
      <c r="P11297" s="260"/>
      <c r="Q11297" s="321"/>
      <c r="R11297" s="260"/>
      <c r="S11297" s="260"/>
      <c r="T11297" s="260"/>
      <c r="U11297" s="260"/>
      <c r="V11297" s="260"/>
      <c r="W11297" s="260"/>
      <c r="X11297" s="260"/>
      <c r="Y11297" s="260"/>
      <c r="Z11297" s="260"/>
      <c r="AA11297"/>
      <c r="AB11297"/>
      <c r="AC11297"/>
      <c r="AD11297"/>
      <c r="AE11297"/>
      <c r="AF11297"/>
      <c r="AG11297"/>
      <c r="AH11297"/>
      <c r="AI11297"/>
      <c r="AJ11297"/>
      <c r="AK11297"/>
      <c r="AL11297"/>
      <c r="AM11297"/>
      <c r="AN11297"/>
    </row>
    <row r="11298" spans="1:40" s="47" customFormat="1" hidden="1">
      <c r="A11298" s="121"/>
      <c r="B11298" s="121"/>
      <c r="C11298" s="121"/>
      <c r="D11298" s="121"/>
      <c r="E11298" s="121"/>
      <c r="F11298" s="121"/>
      <c r="G11298" s="121"/>
      <c r="H11298" s="121"/>
      <c r="I11298" s="121"/>
      <c r="J11298" s="121"/>
      <c r="K11298" s="121"/>
      <c r="L11298" s="121"/>
      <c r="M11298" s="121"/>
      <c r="N11298" s="223"/>
      <c r="O11298" s="529"/>
      <c r="P11298" s="260"/>
      <c r="Q11298" s="321"/>
      <c r="R11298" s="260"/>
      <c r="S11298" s="260"/>
      <c r="T11298" s="260"/>
      <c r="U11298" s="260"/>
      <c r="V11298" s="260"/>
      <c r="W11298" s="260"/>
      <c r="X11298" s="260"/>
      <c r="Y11298" s="260"/>
      <c r="Z11298" s="260"/>
      <c r="AA11298"/>
      <c r="AB11298"/>
      <c r="AC11298"/>
      <c r="AD11298"/>
      <c r="AE11298"/>
      <c r="AF11298"/>
      <c r="AG11298"/>
      <c r="AH11298"/>
      <c r="AI11298"/>
      <c r="AJ11298"/>
      <c r="AK11298"/>
      <c r="AL11298"/>
      <c r="AM11298"/>
      <c r="AN11298"/>
    </row>
    <row r="11299" spans="1:40" s="47" customFormat="1" hidden="1">
      <c r="A11299" s="121"/>
      <c r="B11299" s="121"/>
      <c r="C11299" s="121"/>
      <c r="D11299" s="121"/>
      <c r="E11299" s="121"/>
      <c r="F11299" s="121"/>
      <c r="G11299" s="121"/>
      <c r="H11299" s="121"/>
      <c r="I11299" s="121"/>
      <c r="J11299" s="121"/>
      <c r="K11299" s="121"/>
      <c r="L11299" s="121"/>
      <c r="M11299" s="121"/>
      <c r="N11299" s="524"/>
      <c r="O11299" s="530"/>
      <c r="P11299" s="255"/>
      <c r="Q11299" s="321"/>
      <c r="R11299" s="260"/>
      <c r="S11299" s="260"/>
      <c r="T11299" s="260"/>
      <c r="U11299" s="260"/>
      <c r="V11299" s="260"/>
      <c r="W11299" s="260"/>
      <c r="X11299" s="260"/>
      <c r="Y11299" s="260"/>
      <c r="Z11299" s="260"/>
      <c r="AA11299"/>
      <c r="AB11299"/>
      <c r="AC11299"/>
      <c r="AD11299"/>
      <c r="AE11299"/>
      <c r="AF11299"/>
      <c r="AG11299"/>
      <c r="AH11299"/>
      <c r="AI11299"/>
      <c r="AJ11299"/>
      <c r="AK11299"/>
      <c r="AL11299"/>
      <c r="AM11299"/>
      <c r="AN11299"/>
    </row>
    <row r="11300" spans="1:40" s="47" customFormat="1" hidden="1">
      <c r="A11300" s="121"/>
      <c r="B11300" s="121"/>
      <c r="C11300" s="121"/>
      <c r="D11300" s="121"/>
      <c r="E11300" s="121"/>
      <c r="F11300" s="121"/>
      <c r="G11300" s="121"/>
      <c r="H11300" s="121"/>
      <c r="I11300" s="121"/>
      <c r="J11300" s="121"/>
      <c r="K11300" s="121"/>
      <c r="L11300" s="121"/>
      <c r="M11300" s="121"/>
      <c r="N11300" s="524"/>
      <c r="O11300" s="530"/>
      <c r="P11300" s="260"/>
      <c r="Q11300" s="321"/>
      <c r="R11300" s="260"/>
      <c r="S11300" s="260"/>
      <c r="T11300" s="260"/>
      <c r="U11300" s="260"/>
      <c r="V11300" s="260"/>
      <c r="W11300" s="260"/>
      <c r="X11300" s="260"/>
      <c r="Y11300" s="260"/>
      <c r="Z11300" s="260"/>
      <c r="AA11300"/>
      <c r="AB11300"/>
      <c r="AC11300"/>
      <c r="AD11300"/>
      <c r="AE11300"/>
      <c r="AF11300"/>
      <c r="AG11300"/>
      <c r="AH11300"/>
      <c r="AI11300"/>
      <c r="AJ11300"/>
      <c r="AK11300"/>
      <c r="AL11300"/>
      <c r="AM11300"/>
      <c r="AN11300"/>
    </row>
    <row r="11301" spans="1:40" s="47" customFormat="1" hidden="1">
      <c r="A11301" s="121"/>
      <c r="B11301" s="121"/>
      <c r="C11301" s="121"/>
      <c r="D11301" s="121"/>
      <c r="E11301" s="121"/>
      <c r="F11301" s="121"/>
      <c r="G11301" s="121"/>
      <c r="H11301" s="121"/>
      <c r="I11301" s="121"/>
      <c r="J11301" s="121"/>
      <c r="K11301" s="121"/>
      <c r="L11301" s="121"/>
      <c r="M11301" s="121"/>
      <c r="N11301" s="223"/>
      <c r="O11301" s="531"/>
      <c r="P11301" s="260"/>
      <c r="Q11301" s="321"/>
      <c r="R11301" s="260"/>
      <c r="S11301" s="260"/>
      <c r="T11301" s="260"/>
      <c r="U11301" s="260"/>
      <c r="V11301" s="260"/>
      <c r="W11301" s="260"/>
      <c r="X11301" s="260"/>
      <c r="Y11301" s="260"/>
      <c r="Z11301" s="260"/>
      <c r="AA11301"/>
      <c r="AB11301"/>
      <c r="AC11301"/>
      <c r="AD11301"/>
      <c r="AE11301"/>
      <c r="AF11301"/>
      <c r="AG11301"/>
      <c r="AH11301"/>
      <c r="AI11301"/>
      <c r="AJ11301"/>
      <c r="AK11301"/>
      <c r="AL11301"/>
      <c r="AM11301"/>
      <c r="AN11301"/>
    </row>
    <row r="11302" spans="1:40" s="47" customFormat="1" hidden="1">
      <c r="A11302" s="121"/>
      <c r="B11302" s="121"/>
      <c r="C11302" s="121"/>
      <c r="D11302" s="121"/>
      <c r="E11302" s="121"/>
      <c r="F11302" s="121"/>
      <c r="G11302" s="121"/>
      <c r="H11302" s="121"/>
      <c r="I11302" s="121"/>
      <c r="J11302" s="121"/>
      <c r="K11302" s="121"/>
      <c r="L11302" s="121"/>
      <c r="M11302" s="121"/>
      <c r="N11302" s="524"/>
      <c r="O11302" s="530"/>
      <c r="P11302" s="255"/>
      <c r="Q11302" s="321"/>
      <c r="R11302" s="260"/>
      <c r="S11302" s="260"/>
      <c r="T11302" s="260"/>
      <c r="U11302" s="260"/>
      <c r="V11302" s="260"/>
      <c r="W11302" s="260"/>
      <c r="X11302" s="260"/>
      <c r="Y11302" s="260"/>
      <c r="Z11302" s="260"/>
      <c r="AA11302"/>
      <c r="AB11302"/>
      <c r="AC11302"/>
      <c r="AD11302"/>
      <c r="AE11302"/>
      <c r="AF11302"/>
      <c r="AG11302"/>
      <c r="AH11302"/>
      <c r="AI11302"/>
      <c r="AJ11302"/>
      <c r="AK11302"/>
      <c r="AL11302"/>
      <c r="AM11302"/>
      <c r="AN11302"/>
    </row>
    <row r="11303" spans="1:40" s="47" customFormat="1" hidden="1">
      <c r="A11303" s="121"/>
      <c r="B11303" s="121"/>
      <c r="C11303" s="121"/>
      <c r="D11303" s="121"/>
      <c r="E11303" s="121"/>
      <c r="F11303" s="121"/>
      <c r="G11303" s="121"/>
      <c r="H11303" s="121"/>
      <c r="I11303" s="121"/>
      <c r="J11303" s="121"/>
      <c r="K11303" s="121"/>
      <c r="L11303" s="121"/>
      <c r="M11303" s="121"/>
      <c r="N11303" s="524"/>
      <c r="O11303" s="530"/>
      <c r="P11303" s="260"/>
      <c r="Q11303" s="321"/>
      <c r="R11303" s="260"/>
      <c r="S11303" s="260"/>
      <c r="T11303" s="260"/>
      <c r="U11303" s="260"/>
      <c r="V11303" s="260"/>
      <c r="W11303" s="260"/>
      <c r="X11303" s="260"/>
      <c r="Y11303" s="260"/>
      <c r="Z11303" s="260"/>
      <c r="AA11303"/>
      <c r="AB11303"/>
      <c r="AC11303"/>
      <c r="AD11303"/>
      <c r="AE11303"/>
      <c r="AF11303"/>
      <c r="AG11303"/>
      <c r="AH11303"/>
      <c r="AI11303"/>
      <c r="AJ11303"/>
      <c r="AK11303"/>
      <c r="AL11303"/>
      <c r="AM11303"/>
      <c r="AN11303"/>
    </row>
    <row r="11304" spans="1:40" s="47" customFormat="1" hidden="1">
      <c r="A11304" s="121"/>
      <c r="B11304" s="121"/>
      <c r="C11304" s="121"/>
      <c r="D11304" s="121"/>
      <c r="E11304" s="121"/>
      <c r="F11304" s="121"/>
      <c r="G11304" s="121"/>
      <c r="H11304" s="121"/>
      <c r="I11304" s="121"/>
      <c r="J11304" s="121"/>
      <c r="K11304" s="121"/>
      <c r="L11304" s="121"/>
      <c r="M11304" s="121"/>
      <c r="N11304" s="223"/>
      <c r="O11304" s="529"/>
      <c r="P11304" s="260"/>
      <c r="Q11304" s="321"/>
      <c r="R11304" s="260"/>
      <c r="S11304" s="260"/>
      <c r="T11304" s="260"/>
      <c r="U11304" s="260"/>
      <c r="V11304" s="260"/>
      <c r="W11304" s="260"/>
      <c r="X11304" s="260"/>
      <c r="Y11304" s="260"/>
      <c r="Z11304" s="260"/>
      <c r="AA11304"/>
      <c r="AB11304"/>
      <c r="AC11304"/>
      <c r="AD11304"/>
      <c r="AE11304"/>
      <c r="AF11304"/>
      <c r="AG11304"/>
      <c r="AH11304"/>
      <c r="AI11304"/>
      <c r="AJ11304"/>
      <c r="AK11304"/>
      <c r="AL11304"/>
      <c r="AM11304"/>
      <c r="AN11304"/>
    </row>
    <row r="11305" spans="1:40" s="47" customFormat="1" hidden="1">
      <c r="A11305" s="121"/>
      <c r="B11305" s="121"/>
      <c r="C11305" s="121"/>
      <c r="D11305" s="121"/>
      <c r="E11305" s="121"/>
      <c r="F11305" s="121"/>
      <c r="G11305" s="121"/>
      <c r="H11305" s="121"/>
      <c r="I11305" s="121"/>
      <c r="J11305" s="121"/>
      <c r="K11305" s="121"/>
      <c r="L11305" s="121"/>
      <c r="M11305" s="121"/>
      <c r="N11305" s="524"/>
      <c r="O11305" s="530"/>
      <c r="P11305" s="255"/>
      <c r="Q11305" s="321"/>
      <c r="R11305" s="260"/>
      <c r="S11305" s="260"/>
      <c r="T11305" s="260"/>
      <c r="U11305" s="260"/>
      <c r="V11305" s="260"/>
      <c r="W11305" s="260"/>
      <c r="X11305" s="260"/>
      <c r="Y11305" s="260"/>
      <c r="Z11305" s="260"/>
      <c r="AA11305"/>
      <c r="AB11305"/>
      <c r="AC11305"/>
      <c r="AD11305"/>
      <c r="AE11305"/>
      <c r="AF11305"/>
      <c r="AG11305"/>
      <c r="AH11305"/>
      <c r="AI11305"/>
      <c r="AJ11305"/>
      <c r="AK11305"/>
      <c r="AL11305"/>
      <c r="AM11305"/>
      <c r="AN11305"/>
    </row>
    <row r="11306" spans="1:40" s="47" customFormat="1" hidden="1">
      <c r="A11306" s="121"/>
      <c r="B11306" s="121"/>
      <c r="C11306" s="121"/>
      <c r="D11306" s="121"/>
      <c r="E11306" s="121"/>
      <c r="F11306" s="121"/>
      <c r="G11306" s="121"/>
      <c r="H11306" s="121"/>
      <c r="I11306" s="121"/>
      <c r="J11306" s="121"/>
      <c r="K11306" s="121"/>
      <c r="L11306" s="121"/>
      <c r="M11306" s="121"/>
      <c r="N11306" s="524"/>
      <c r="O11306" s="530"/>
      <c r="P11306" s="260"/>
      <c r="Q11306" s="321"/>
      <c r="R11306" s="260"/>
      <c r="S11306" s="260"/>
      <c r="T11306" s="260"/>
      <c r="U11306" s="260"/>
      <c r="V11306" s="260"/>
      <c r="W11306" s="260"/>
      <c r="X11306" s="260"/>
      <c r="Y11306" s="260"/>
      <c r="Z11306" s="260"/>
      <c r="AA11306"/>
      <c r="AB11306"/>
      <c r="AC11306"/>
      <c r="AD11306"/>
      <c r="AE11306"/>
      <c r="AF11306"/>
      <c r="AG11306"/>
      <c r="AH11306"/>
      <c r="AI11306"/>
      <c r="AJ11306"/>
      <c r="AK11306"/>
      <c r="AL11306"/>
      <c r="AM11306"/>
      <c r="AN11306"/>
    </row>
    <row r="11307" spans="1:40" s="47" customFormat="1" hidden="1">
      <c r="A11307" s="121"/>
      <c r="B11307" s="121"/>
      <c r="C11307" s="121"/>
      <c r="D11307" s="121"/>
      <c r="E11307" s="121"/>
      <c r="F11307" s="121"/>
      <c r="G11307" s="121"/>
      <c r="H11307" s="121"/>
      <c r="I11307" s="121"/>
      <c r="J11307" s="121"/>
      <c r="K11307" s="121"/>
      <c r="L11307" s="121"/>
      <c r="M11307" s="121"/>
      <c r="N11307" s="223"/>
      <c r="O11307" s="531"/>
      <c r="P11307" s="260"/>
      <c r="Q11307" s="321"/>
      <c r="R11307" s="260"/>
      <c r="S11307" s="260"/>
      <c r="T11307" s="260"/>
      <c r="U11307" s="260"/>
      <c r="V11307" s="260"/>
      <c r="W11307" s="260"/>
      <c r="X11307" s="260"/>
      <c r="Y11307" s="260"/>
      <c r="Z11307" s="260"/>
      <c r="AA11307"/>
      <c r="AB11307"/>
      <c r="AC11307"/>
      <c r="AD11307"/>
      <c r="AE11307"/>
      <c r="AF11307"/>
      <c r="AG11307"/>
      <c r="AH11307"/>
      <c r="AI11307"/>
      <c r="AJ11307"/>
      <c r="AK11307"/>
      <c r="AL11307"/>
      <c r="AM11307"/>
      <c r="AN11307"/>
    </row>
    <row r="11308" spans="1:40" s="47" customFormat="1" hidden="1">
      <c r="A11308" s="121"/>
      <c r="B11308" s="121"/>
      <c r="C11308" s="121"/>
      <c r="D11308" s="121"/>
      <c r="E11308" s="121"/>
      <c r="F11308" s="121"/>
      <c r="G11308" s="121"/>
      <c r="H11308" s="121"/>
      <c r="I11308" s="121"/>
      <c r="J11308" s="121"/>
      <c r="K11308" s="121"/>
      <c r="L11308" s="121"/>
      <c r="M11308" s="121"/>
      <c r="N11308" s="524"/>
      <c r="O11308" s="530"/>
      <c r="P11308" s="255"/>
      <c r="Q11308" s="321"/>
      <c r="R11308" s="260"/>
      <c r="S11308" s="260"/>
      <c r="T11308" s="260"/>
      <c r="U11308" s="260"/>
      <c r="V11308" s="260"/>
      <c r="W11308" s="260"/>
      <c r="X11308" s="260"/>
      <c r="Y11308" s="260"/>
      <c r="Z11308" s="260"/>
      <c r="AA11308"/>
      <c r="AB11308"/>
      <c r="AC11308"/>
      <c r="AD11308"/>
      <c r="AE11308"/>
      <c r="AF11308"/>
      <c r="AG11308"/>
      <c r="AH11308"/>
      <c r="AI11308"/>
      <c r="AJ11308"/>
      <c r="AK11308"/>
      <c r="AL11308"/>
      <c r="AM11308"/>
      <c r="AN11308"/>
    </row>
    <row r="11309" spans="1:40" s="47" customFormat="1" hidden="1">
      <c r="A11309" s="121"/>
      <c r="B11309" s="121"/>
      <c r="C11309" s="121"/>
      <c r="D11309" s="121"/>
      <c r="E11309" s="121"/>
      <c r="F11309" s="121"/>
      <c r="G11309" s="121"/>
      <c r="H11309" s="121"/>
      <c r="I11309" s="121"/>
      <c r="J11309" s="121"/>
      <c r="K11309" s="121"/>
      <c r="L11309" s="121"/>
      <c r="M11309" s="121"/>
      <c r="N11309" s="524"/>
      <c r="O11309" s="530"/>
      <c r="P11309" s="260"/>
      <c r="Q11309" s="321"/>
      <c r="R11309" s="260"/>
      <c r="S11309" s="260"/>
      <c r="T11309" s="260"/>
      <c r="U11309" s="260"/>
      <c r="V11309" s="260"/>
      <c r="W11309" s="260"/>
      <c r="X11309" s="260"/>
      <c r="Y11309" s="260"/>
      <c r="Z11309" s="260"/>
      <c r="AA11309"/>
      <c r="AB11309"/>
      <c r="AC11309"/>
      <c r="AD11309"/>
      <c r="AE11309"/>
      <c r="AF11309"/>
      <c r="AG11309"/>
      <c r="AH11309"/>
      <c r="AI11309"/>
      <c r="AJ11309"/>
      <c r="AK11309"/>
      <c r="AL11309"/>
      <c r="AM11309"/>
      <c r="AN11309"/>
    </row>
    <row r="11310" spans="1:40" s="47" customFormat="1">
      <c r="A11310" s="121"/>
      <c r="B11310" s="121"/>
      <c r="C11310" s="121"/>
      <c r="D11310" s="121"/>
      <c r="E11310" s="121"/>
      <c r="F11310" s="121"/>
      <c r="G11310" s="121"/>
      <c r="H11310" s="121"/>
      <c r="I11310" s="121"/>
      <c r="J11310" s="121"/>
      <c r="K11310" s="121"/>
      <c r="L11310" s="121"/>
      <c r="M11310" s="121"/>
      <c r="N11310" s="504" t="s">
        <v>633</v>
      </c>
      <c r="O11310" s="532" t="s">
        <v>2819</v>
      </c>
      <c r="P11310" s="257"/>
      <c r="Q11310" s="321"/>
      <c r="R11310" s="260"/>
      <c r="S11310" s="260"/>
      <c r="T11310" s="260"/>
      <c r="U11310" s="260"/>
      <c r="V11310" s="260"/>
      <c r="W11310" s="262">
        <f>'РР 01.01 - 30.06'!W11310+'РР 01.07 - 31.08'!W11310+'РР 01.09 - 31.12'!W11310</f>
        <v>0</v>
      </c>
      <c r="X11310" s="260"/>
      <c r="Y11310" s="260"/>
      <c r="Z11310" s="262">
        <f>'РР 01.01 - 30.06'!Z11310+'РР 01.07 - 31.08'!Z11310+'РР 01.09 - 31.12'!Z11310</f>
        <v>0</v>
      </c>
      <c r="AA11310"/>
      <c r="AB11310"/>
      <c r="AC11310"/>
      <c r="AD11310"/>
      <c r="AE11310"/>
      <c r="AF11310"/>
      <c r="AG11310"/>
      <c r="AH11310"/>
      <c r="AI11310"/>
      <c r="AJ11310"/>
      <c r="AK11310"/>
      <c r="AL11310"/>
      <c r="AM11310"/>
      <c r="AN11310"/>
    </row>
    <row r="11311" spans="1:40" s="47" customFormat="1">
      <c r="A11311" s="121"/>
      <c r="B11311" s="121"/>
      <c r="C11311" s="121"/>
      <c r="D11311" s="121"/>
      <c r="E11311" s="121"/>
      <c r="F11311" s="121"/>
      <c r="G11311" s="121"/>
      <c r="H11311" s="121"/>
      <c r="I11311" s="121"/>
      <c r="J11311" s="121"/>
      <c r="K11311" s="121"/>
      <c r="L11311" s="121"/>
      <c r="M11311" s="121"/>
      <c r="N11311" s="504" t="s">
        <v>69</v>
      </c>
      <c r="O11311" s="527" t="s">
        <v>2820</v>
      </c>
      <c r="P11311" s="257"/>
      <c r="Q11311" s="321"/>
      <c r="R11311" s="260"/>
      <c r="S11311" s="260"/>
      <c r="T11311" s="260"/>
      <c r="U11311" s="260"/>
      <c r="V11311" s="260"/>
      <c r="W11311" s="262">
        <f>'РР 01.01 - 30.06'!W11311+'РР 01.07 - 31.08'!W11311+'РР 01.09 - 31.12'!W11311</f>
        <v>0</v>
      </c>
      <c r="X11311" s="260"/>
      <c r="Y11311" s="260"/>
      <c r="Z11311" s="262">
        <f>'РР 01.01 - 30.06'!Z11311+'РР 01.07 - 31.08'!Z11311+'РР 01.09 - 31.12'!Z11311</f>
        <v>0</v>
      </c>
      <c r="AA11311"/>
      <c r="AB11311"/>
      <c r="AC11311"/>
      <c r="AD11311"/>
      <c r="AE11311"/>
      <c r="AF11311"/>
      <c r="AG11311"/>
      <c r="AH11311"/>
      <c r="AI11311"/>
      <c r="AJ11311"/>
      <c r="AK11311"/>
      <c r="AL11311"/>
      <c r="AM11311"/>
      <c r="AN11311"/>
    </row>
    <row r="11312" spans="1:40" s="47" customFormat="1">
      <c r="A11312" s="121"/>
      <c r="B11312" s="121"/>
      <c r="C11312" s="121"/>
      <c r="D11312" s="121"/>
      <c r="E11312" s="121"/>
      <c r="F11312" s="121"/>
      <c r="G11312" s="121"/>
      <c r="H11312" s="121"/>
      <c r="I11312" s="121"/>
      <c r="J11312" s="121"/>
      <c r="K11312" s="121"/>
      <c r="L11312" s="121"/>
      <c r="M11312" s="121"/>
      <c r="N11312" s="504" t="s">
        <v>72</v>
      </c>
      <c r="O11312" s="527" t="s">
        <v>2471</v>
      </c>
      <c r="P11312" s="257"/>
      <c r="Q11312" s="321"/>
      <c r="R11312" s="260"/>
      <c r="S11312" s="260"/>
      <c r="T11312" s="260"/>
      <c r="U11312" s="260"/>
      <c r="V11312" s="260"/>
      <c r="W11312" s="262">
        <f>'РР 01.01 - 30.06'!W11312+'РР 01.07 - 31.08'!W11312+'РР 01.09 - 31.12'!W11312</f>
        <v>0</v>
      </c>
      <c r="X11312" s="260"/>
      <c r="Y11312" s="260"/>
      <c r="Z11312" s="262">
        <f>'РР 01.01 - 30.06'!Z11312+'РР 01.07 - 31.08'!Z11312+'РР 01.09 - 31.12'!Z11312</f>
        <v>0</v>
      </c>
      <c r="AA11312"/>
      <c r="AB11312"/>
      <c r="AC11312"/>
      <c r="AD11312"/>
      <c r="AE11312"/>
      <c r="AF11312"/>
      <c r="AG11312"/>
      <c r="AH11312"/>
      <c r="AI11312"/>
      <c r="AJ11312"/>
      <c r="AK11312"/>
      <c r="AL11312"/>
      <c r="AM11312"/>
      <c r="AN11312"/>
    </row>
    <row r="11313" spans="1:40" s="47" customFormat="1">
      <c r="A11313" s="121"/>
      <c r="B11313" s="121"/>
      <c r="C11313" s="121"/>
      <c r="D11313" s="121"/>
      <c r="E11313" s="121"/>
      <c r="F11313" s="121"/>
      <c r="G11313" s="121"/>
      <c r="H11313" s="121"/>
      <c r="I11313" s="121"/>
      <c r="J11313" s="121"/>
      <c r="K11313" s="121"/>
      <c r="L11313" s="121"/>
      <c r="M11313" s="121"/>
      <c r="N11313" s="504" t="s">
        <v>2821</v>
      </c>
      <c r="O11313" s="527" t="s">
        <v>2822</v>
      </c>
      <c r="P11313" s="257"/>
      <c r="Q11313" s="321"/>
      <c r="R11313" s="260"/>
      <c r="S11313" s="260"/>
      <c r="T11313" s="260"/>
      <c r="U11313" s="260"/>
      <c r="V11313" s="260"/>
      <c r="W11313" s="262">
        <f>'РР 01.01 - 30.06'!W11313+'РР 01.07 - 31.08'!W11313+'РР 01.09 - 31.12'!W11313</f>
        <v>0</v>
      </c>
      <c r="X11313" s="260"/>
      <c r="Y11313" s="260"/>
      <c r="Z11313" s="262">
        <f>'РР 01.01 - 30.06'!Z11313+'РР 01.07 - 31.08'!Z11313+'РР 01.09 - 31.12'!Z11313</f>
        <v>0</v>
      </c>
      <c r="AA11313"/>
      <c r="AB11313"/>
      <c r="AC11313"/>
      <c r="AD11313"/>
      <c r="AE11313"/>
      <c r="AF11313"/>
      <c r="AG11313"/>
      <c r="AH11313"/>
      <c r="AI11313"/>
      <c r="AJ11313"/>
      <c r="AK11313"/>
      <c r="AL11313"/>
      <c r="AM11313"/>
      <c r="AN11313"/>
    </row>
    <row r="11314" spans="1:40" s="47" customFormat="1">
      <c r="A11314" s="121"/>
      <c r="B11314" s="121"/>
      <c r="C11314" s="121"/>
      <c r="D11314" s="121"/>
      <c r="E11314" s="121"/>
      <c r="F11314" s="121"/>
      <c r="G11314" s="121"/>
      <c r="H11314" s="121"/>
      <c r="I11314" s="121"/>
      <c r="J11314" s="121"/>
      <c r="K11314" s="121"/>
      <c r="L11314" s="121"/>
      <c r="M11314" s="121"/>
      <c r="N11314" s="504" t="s">
        <v>888</v>
      </c>
      <c r="O11314" s="528" t="s">
        <v>2823</v>
      </c>
      <c r="P11314" s="257"/>
      <c r="Q11314" s="321"/>
      <c r="R11314" s="260"/>
      <c r="S11314" s="260"/>
      <c r="T11314" s="260"/>
      <c r="U11314" s="260"/>
      <c r="V11314" s="260"/>
      <c r="W11314" s="262">
        <f>'РР 01.01 - 30.06'!W11314+'РР 01.07 - 31.08'!W11314+'РР 01.09 - 31.12'!W11314</f>
        <v>0</v>
      </c>
      <c r="X11314" s="260"/>
      <c r="Y11314" s="260"/>
      <c r="Z11314" s="262">
        <f>'РР 01.01 - 30.06'!Z11314+'РР 01.07 - 31.08'!Z11314+'РР 01.09 - 31.12'!Z11314</f>
        <v>0</v>
      </c>
      <c r="AA11314"/>
      <c r="AB11314"/>
      <c r="AC11314"/>
      <c r="AD11314"/>
      <c r="AE11314"/>
      <c r="AF11314"/>
      <c r="AG11314"/>
      <c r="AH11314"/>
      <c r="AI11314"/>
      <c r="AJ11314"/>
      <c r="AK11314"/>
      <c r="AL11314"/>
      <c r="AM11314"/>
      <c r="AN11314"/>
    </row>
    <row r="11315" spans="1:40" s="47" customFormat="1">
      <c r="A11315" s="121"/>
      <c r="B11315" s="121"/>
      <c r="C11315" s="121"/>
      <c r="D11315" s="121"/>
      <c r="E11315" s="121"/>
      <c r="F11315" s="121"/>
      <c r="G11315" s="121"/>
      <c r="H11315" s="121"/>
      <c r="I11315" s="121"/>
      <c r="J11315" s="121"/>
      <c r="K11315" s="121"/>
      <c r="L11315" s="121"/>
      <c r="M11315" s="121"/>
      <c r="N11315" s="504" t="s">
        <v>889</v>
      </c>
      <c r="O11315" s="528" t="s">
        <v>2824</v>
      </c>
      <c r="P11315" s="257"/>
      <c r="Q11315" s="321"/>
      <c r="R11315" s="260"/>
      <c r="S11315" s="260"/>
      <c r="T11315" s="260"/>
      <c r="U11315" s="260"/>
      <c r="V11315" s="260"/>
      <c r="W11315" s="262">
        <f>'РР 01.01 - 30.06'!W11315+'РР 01.07 - 31.08'!W11315+'РР 01.09 - 31.12'!W11315</f>
        <v>0</v>
      </c>
      <c r="X11315" s="260"/>
      <c r="Y11315" s="260"/>
      <c r="Z11315" s="262">
        <f>'РР 01.01 - 30.06'!Z11315+'РР 01.07 - 31.08'!Z11315+'РР 01.09 - 31.12'!Z11315</f>
        <v>0</v>
      </c>
      <c r="AA11315"/>
      <c r="AB11315"/>
      <c r="AC11315"/>
      <c r="AD11315"/>
      <c r="AE11315"/>
      <c r="AF11315"/>
      <c r="AG11315"/>
      <c r="AH11315"/>
      <c r="AI11315"/>
      <c r="AJ11315"/>
      <c r="AK11315"/>
      <c r="AL11315"/>
      <c r="AM11315"/>
      <c r="AN11315"/>
    </row>
    <row r="11316" spans="1:40" s="47" customFormat="1">
      <c r="A11316" s="121"/>
      <c r="B11316" s="121"/>
      <c r="C11316" s="121"/>
      <c r="D11316" s="121"/>
      <c r="E11316" s="121"/>
      <c r="F11316" s="121"/>
      <c r="G11316" s="121"/>
      <c r="H11316" s="121"/>
      <c r="I11316" s="121"/>
      <c r="J11316" s="121"/>
      <c r="K11316" s="121"/>
      <c r="L11316" s="121"/>
      <c r="M11316" s="121"/>
      <c r="N11316" s="504" t="s">
        <v>890</v>
      </c>
      <c r="O11316" s="528" t="s">
        <v>2825</v>
      </c>
      <c r="P11316" s="257"/>
      <c r="Q11316" s="321"/>
      <c r="R11316" s="260"/>
      <c r="S11316" s="260"/>
      <c r="T11316" s="260"/>
      <c r="U11316" s="260"/>
      <c r="V11316" s="260"/>
      <c r="W11316" s="262">
        <f>'РР 01.01 - 30.06'!W11316+'РР 01.07 - 31.08'!W11316+'РР 01.09 - 31.12'!W11316</f>
        <v>0</v>
      </c>
      <c r="X11316" s="260"/>
      <c r="Y11316" s="260"/>
      <c r="Z11316" s="262">
        <f>'РР 01.01 - 30.06'!Z11316+'РР 01.07 - 31.08'!Z11316+'РР 01.09 - 31.12'!Z11316</f>
        <v>0</v>
      </c>
      <c r="AA11316"/>
      <c r="AB11316"/>
      <c r="AC11316"/>
      <c r="AD11316"/>
      <c r="AE11316"/>
      <c r="AF11316"/>
      <c r="AG11316"/>
      <c r="AH11316"/>
      <c r="AI11316"/>
      <c r="AJ11316"/>
      <c r="AK11316"/>
      <c r="AL11316"/>
      <c r="AM11316"/>
      <c r="AN11316"/>
    </row>
    <row r="11317" spans="1:40" s="47" customFormat="1">
      <c r="A11317" s="121"/>
      <c r="B11317" s="121"/>
      <c r="C11317" s="121"/>
      <c r="D11317" s="121"/>
      <c r="E11317" s="121"/>
      <c r="F11317" s="121"/>
      <c r="G11317" s="121"/>
      <c r="H11317" s="121"/>
      <c r="I11317" s="121"/>
      <c r="J11317" s="121"/>
      <c r="K11317" s="121"/>
      <c r="L11317" s="121"/>
      <c r="M11317" s="121"/>
      <c r="N11317" s="504" t="s">
        <v>2826</v>
      </c>
      <c r="O11317" s="527" t="s">
        <v>2827</v>
      </c>
      <c r="P11317" s="257"/>
      <c r="Q11317" s="321"/>
      <c r="R11317" s="260"/>
      <c r="S11317" s="260"/>
      <c r="T11317" s="260"/>
      <c r="U11317" s="260"/>
      <c r="V11317" s="260"/>
      <c r="W11317" s="262">
        <f>'РР 01.01 - 30.06'!W11317+'РР 01.07 - 31.08'!W11317+'РР 01.09 - 31.12'!W11317</f>
        <v>0</v>
      </c>
      <c r="X11317" s="260"/>
      <c r="Y11317" s="260"/>
      <c r="Z11317" s="262">
        <f>'РР 01.01 - 30.06'!Z11317+'РР 01.07 - 31.08'!Z11317+'РР 01.09 - 31.12'!Z11317</f>
        <v>0</v>
      </c>
      <c r="AA11317"/>
      <c r="AB11317"/>
      <c r="AC11317"/>
      <c r="AD11317"/>
      <c r="AE11317"/>
      <c r="AF11317"/>
      <c r="AG11317"/>
      <c r="AH11317"/>
      <c r="AI11317"/>
      <c r="AJ11317"/>
      <c r="AK11317"/>
      <c r="AL11317"/>
      <c r="AM11317"/>
      <c r="AN11317"/>
    </row>
    <row r="11318" spans="1:40" s="47" customFormat="1">
      <c r="A11318" s="121"/>
      <c r="B11318" s="121"/>
      <c r="C11318" s="121"/>
      <c r="D11318" s="121"/>
      <c r="E11318" s="121"/>
      <c r="F11318" s="121"/>
      <c r="G11318" s="121"/>
      <c r="H11318" s="121"/>
      <c r="I11318" s="121"/>
      <c r="J11318" s="121"/>
      <c r="K11318" s="121"/>
      <c r="L11318" s="121"/>
      <c r="M11318" s="121"/>
      <c r="N11318" s="504" t="s">
        <v>2828</v>
      </c>
      <c r="O11318" s="527" t="s">
        <v>2829</v>
      </c>
      <c r="P11318" s="257"/>
      <c r="Q11318" s="321"/>
      <c r="R11318" s="260"/>
      <c r="S11318" s="260"/>
      <c r="T11318" s="260"/>
      <c r="U11318" s="260"/>
      <c r="V11318" s="260"/>
      <c r="W11318" s="262">
        <f>'РР 01.01 - 30.06'!W11318+'РР 01.07 - 31.08'!W11318+'РР 01.09 - 31.12'!W11318</f>
        <v>0</v>
      </c>
      <c r="X11318" s="260"/>
      <c r="Y11318" s="260"/>
      <c r="Z11318" s="262">
        <f>'РР 01.01 - 30.06'!Z11318+'РР 01.07 - 31.08'!Z11318+'РР 01.09 - 31.12'!Z11318</f>
        <v>0</v>
      </c>
      <c r="AA11318"/>
      <c r="AB11318"/>
      <c r="AC11318"/>
      <c r="AD11318"/>
      <c r="AE11318"/>
      <c r="AF11318"/>
      <c r="AG11318"/>
      <c r="AH11318"/>
      <c r="AI11318"/>
      <c r="AJ11318"/>
      <c r="AK11318"/>
      <c r="AL11318"/>
      <c r="AM11318"/>
      <c r="AN11318"/>
    </row>
    <row r="11319" spans="1:40" s="47" customFormat="1">
      <c r="A11319" s="121"/>
      <c r="B11319" s="121"/>
      <c r="C11319" s="121"/>
      <c r="D11319" s="121"/>
      <c r="E11319" s="121"/>
      <c r="F11319" s="121"/>
      <c r="G11319" s="121"/>
      <c r="H11319" s="121"/>
      <c r="I11319" s="121"/>
      <c r="J11319" s="121"/>
      <c r="K11319" s="121"/>
      <c r="L11319" s="121"/>
      <c r="M11319" s="121"/>
      <c r="N11319" s="504" t="s">
        <v>2830</v>
      </c>
      <c r="O11319" s="527" t="s">
        <v>2831</v>
      </c>
      <c r="P11319" s="257"/>
      <c r="Q11319" s="321"/>
      <c r="R11319" s="260"/>
      <c r="S11319" s="260"/>
      <c r="T11319" s="260"/>
      <c r="U11319" s="260"/>
      <c r="V11319" s="260"/>
      <c r="W11319" s="262">
        <f>'РР 01.01 - 30.06'!W11319+'РР 01.07 - 31.08'!W11319+'РР 01.09 - 31.12'!W11319</f>
        <v>0</v>
      </c>
      <c r="X11319" s="260"/>
      <c r="Y11319" s="260"/>
      <c r="Z11319" s="262">
        <f>'РР 01.01 - 30.06'!Z11319+'РР 01.07 - 31.08'!Z11319+'РР 01.09 - 31.12'!Z11319</f>
        <v>0</v>
      </c>
      <c r="AA11319"/>
      <c r="AB11319"/>
      <c r="AC11319"/>
      <c r="AD11319"/>
      <c r="AE11319"/>
      <c r="AF11319"/>
      <c r="AG11319"/>
      <c r="AH11319"/>
      <c r="AI11319"/>
      <c r="AJ11319"/>
      <c r="AK11319"/>
      <c r="AL11319"/>
      <c r="AM11319"/>
      <c r="AN11319"/>
    </row>
    <row r="11320" spans="1:40" s="47" customFormat="1">
      <c r="A11320" s="121"/>
      <c r="B11320" s="121"/>
      <c r="C11320" s="121"/>
      <c r="D11320" s="121"/>
      <c r="E11320" s="121"/>
      <c r="F11320" s="121"/>
      <c r="G11320" s="121"/>
      <c r="H11320" s="121"/>
      <c r="I11320" s="121"/>
      <c r="J11320" s="121"/>
      <c r="K11320" s="121"/>
      <c r="L11320" s="121"/>
      <c r="M11320" s="121"/>
      <c r="N11320" s="222"/>
      <c r="O11320" s="529"/>
      <c r="P11320" s="255"/>
      <c r="Q11320" s="321"/>
      <c r="R11320" s="260"/>
      <c r="S11320" s="260"/>
      <c r="T11320" s="260"/>
      <c r="U11320" s="260"/>
      <c r="V11320" s="260"/>
      <c r="W11320" s="260"/>
      <c r="X11320" s="260"/>
      <c r="Y11320" s="260"/>
      <c r="Z11320" s="260"/>
      <c r="AA11320"/>
      <c r="AB11320"/>
      <c r="AC11320"/>
      <c r="AD11320"/>
      <c r="AE11320"/>
      <c r="AF11320"/>
      <c r="AG11320"/>
      <c r="AH11320"/>
      <c r="AI11320"/>
      <c r="AJ11320"/>
      <c r="AK11320"/>
      <c r="AL11320"/>
      <c r="AM11320"/>
      <c r="AN11320"/>
    </row>
    <row r="11321" spans="1:40" s="47" customFormat="1">
      <c r="A11321" s="121"/>
      <c r="B11321" s="121"/>
      <c r="C11321" s="121"/>
      <c r="D11321" s="121"/>
      <c r="E11321" s="121"/>
      <c r="F11321" s="121"/>
      <c r="G11321" s="121"/>
      <c r="H11321" s="121"/>
      <c r="I11321" s="121"/>
      <c r="J11321" s="121"/>
      <c r="K11321" s="121"/>
      <c r="L11321" s="121"/>
      <c r="M11321" s="121"/>
      <c r="N11321" s="222"/>
      <c r="O11321" s="529"/>
      <c r="P11321" s="255"/>
      <c r="Q11321" s="321"/>
      <c r="R11321" s="260"/>
      <c r="S11321" s="260"/>
      <c r="T11321" s="260"/>
      <c r="U11321" s="260"/>
      <c r="V11321" s="260"/>
      <c r="W11321" s="260"/>
      <c r="X11321" s="260"/>
      <c r="Y11321" s="260"/>
      <c r="Z11321" s="260"/>
      <c r="AA11321"/>
      <c r="AB11321"/>
      <c r="AC11321"/>
      <c r="AD11321"/>
      <c r="AE11321"/>
      <c r="AF11321"/>
      <c r="AG11321"/>
      <c r="AH11321"/>
      <c r="AI11321"/>
      <c r="AJ11321"/>
      <c r="AK11321"/>
      <c r="AL11321"/>
      <c r="AM11321"/>
      <c r="AN11321"/>
    </row>
    <row r="11322" spans="1:40" s="47" customFormat="1">
      <c r="A11322" s="121"/>
      <c r="B11322" s="121"/>
      <c r="C11322" s="121"/>
      <c r="D11322" s="121"/>
      <c r="E11322" s="121"/>
      <c r="F11322" s="121"/>
      <c r="G11322" s="121"/>
      <c r="H11322" s="121"/>
      <c r="I11322" s="121"/>
      <c r="J11322" s="121"/>
      <c r="K11322" s="121"/>
      <c r="L11322" s="121"/>
      <c r="M11322" s="121"/>
      <c r="N11322" s="222"/>
      <c r="O11322" s="529"/>
      <c r="P11322" s="255"/>
      <c r="Q11322" s="321"/>
      <c r="R11322" s="260"/>
      <c r="S11322" s="260"/>
      <c r="T11322" s="260"/>
      <c r="U11322" s="260"/>
      <c r="V11322" s="260"/>
      <c r="W11322" s="260"/>
      <c r="X11322" s="260"/>
      <c r="Y11322" s="260"/>
      <c r="Z11322" s="260"/>
      <c r="AA11322"/>
      <c r="AB11322"/>
      <c r="AC11322"/>
      <c r="AD11322"/>
      <c r="AE11322"/>
      <c r="AF11322"/>
      <c r="AG11322"/>
      <c r="AH11322"/>
      <c r="AI11322"/>
      <c r="AJ11322"/>
      <c r="AK11322"/>
      <c r="AL11322"/>
      <c r="AM11322"/>
      <c r="AN11322"/>
    </row>
    <row r="11323" spans="1:40" s="47" customFormat="1">
      <c r="A11323" s="121"/>
      <c r="B11323" s="121"/>
      <c r="C11323" s="121"/>
      <c r="D11323" s="121"/>
      <c r="E11323" s="121"/>
      <c r="F11323" s="121"/>
      <c r="G11323" s="121"/>
      <c r="H11323" s="121"/>
      <c r="I11323" s="121"/>
      <c r="J11323" s="121"/>
      <c r="K11323" s="121"/>
      <c r="L11323" s="121"/>
      <c r="M11323" s="121"/>
      <c r="N11323" s="222" t="s">
        <v>2832</v>
      </c>
      <c r="O11323" s="533" t="s">
        <v>1832</v>
      </c>
      <c r="P11323" s="257"/>
      <c r="Q11323" s="321"/>
      <c r="R11323" s="260"/>
      <c r="S11323" s="260"/>
      <c r="T11323" s="260"/>
      <c r="U11323" s="260"/>
      <c r="V11323" s="260"/>
      <c r="W11323" s="262">
        <f>'РР 01.01 - 30.06'!W11323+'РР 01.07 - 31.08'!W11323+'РР 01.09 - 31.12'!W11323</f>
        <v>0</v>
      </c>
      <c r="X11323" s="260"/>
      <c r="Y11323" s="260"/>
      <c r="Z11323" s="262">
        <f>'РР 01.01 - 30.06'!Z11323+'РР 01.07 - 31.08'!Z11323+'РР 01.09 - 31.12'!Z11323</f>
        <v>0</v>
      </c>
      <c r="AA11323"/>
      <c r="AB11323"/>
      <c r="AC11323"/>
      <c r="AD11323"/>
      <c r="AE11323"/>
      <c r="AF11323"/>
      <c r="AG11323"/>
      <c r="AH11323"/>
      <c r="AI11323"/>
      <c r="AJ11323"/>
      <c r="AK11323"/>
      <c r="AL11323"/>
      <c r="AM11323"/>
      <c r="AN11323"/>
    </row>
    <row r="11324" spans="1:40" s="47" customFormat="1">
      <c r="A11324" s="121"/>
      <c r="B11324" s="121"/>
      <c r="C11324" s="121"/>
      <c r="D11324" s="121"/>
      <c r="E11324" s="121"/>
      <c r="F11324" s="121"/>
      <c r="G11324" s="121"/>
      <c r="H11324" s="121"/>
      <c r="I11324" s="121"/>
      <c r="J11324" s="121"/>
      <c r="K11324" s="121"/>
      <c r="L11324" s="121"/>
      <c r="M11324" s="121"/>
      <c r="N11324" s="222"/>
      <c r="O11324" s="529"/>
      <c r="P11324" s="255"/>
      <c r="Q11324" s="321"/>
      <c r="R11324" s="260"/>
      <c r="S11324" s="260"/>
      <c r="T11324" s="260"/>
      <c r="U11324" s="260"/>
      <c r="V11324" s="260"/>
      <c r="W11324" s="260"/>
      <c r="X11324" s="260"/>
      <c r="Y11324" s="260"/>
      <c r="Z11324" s="260"/>
      <c r="AA11324"/>
      <c r="AB11324"/>
      <c r="AC11324"/>
      <c r="AD11324"/>
      <c r="AE11324"/>
      <c r="AF11324"/>
      <c r="AG11324"/>
      <c r="AH11324"/>
      <c r="AI11324"/>
      <c r="AJ11324"/>
      <c r="AK11324"/>
      <c r="AL11324"/>
      <c r="AM11324"/>
      <c r="AN11324"/>
    </row>
    <row r="11325" spans="1:40" s="47" customFormat="1">
      <c r="A11325" s="121"/>
      <c r="B11325" s="121"/>
      <c r="C11325" s="121"/>
      <c r="D11325" s="121"/>
      <c r="E11325" s="121"/>
      <c r="F11325" s="121"/>
      <c r="G11325" s="121"/>
      <c r="H11325" s="121"/>
      <c r="I11325" s="121"/>
      <c r="J11325" s="121"/>
      <c r="K11325" s="121"/>
      <c r="L11325" s="121"/>
      <c r="M11325" s="121"/>
      <c r="N11325" s="222"/>
      <c r="O11325" s="529"/>
      <c r="P11325" s="260"/>
      <c r="Q11325" s="321"/>
      <c r="R11325" s="260"/>
      <c r="S11325" s="260"/>
      <c r="T11325" s="260"/>
      <c r="U11325" s="260"/>
      <c r="V11325" s="260"/>
      <c r="W11325" s="260"/>
      <c r="X11325" s="260"/>
      <c r="Y11325" s="260"/>
      <c r="Z11325" s="260"/>
      <c r="AA11325"/>
      <c r="AB11325"/>
      <c r="AC11325"/>
      <c r="AD11325"/>
      <c r="AE11325"/>
      <c r="AF11325"/>
      <c r="AG11325"/>
      <c r="AH11325"/>
      <c r="AI11325"/>
      <c r="AJ11325"/>
      <c r="AK11325"/>
      <c r="AL11325"/>
      <c r="AM11325"/>
      <c r="AN11325"/>
    </row>
    <row r="11326" spans="1:40" s="47" customFormat="1">
      <c r="A11326" s="121"/>
      <c r="B11326" s="121"/>
      <c r="C11326" s="121"/>
      <c r="D11326" s="121"/>
      <c r="E11326" s="121"/>
      <c r="F11326" s="121"/>
      <c r="G11326" s="121"/>
      <c r="H11326" s="121"/>
      <c r="I11326" s="121"/>
      <c r="J11326" s="121"/>
      <c r="K11326" s="121"/>
      <c r="L11326" s="121"/>
      <c r="M11326" s="121"/>
      <c r="N11326" s="222"/>
      <c r="O11326" s="563"/>
      <c r="P11326" s="260"/>
      <c r="Q11326" s="321"/>
      <c r="R11326" s="260"/>
      <c r="S11326" s="260"/>
      <c r="T11326" s="260"/>
      <c r="U11326" s="260"/>
      <c r="V11326" s="260"/>
      <c r="W11326" s="260"/>
      <c r="X11326" s="260"/>
      <c r="Y11326" s="260"/>
      <c r="Z11326" s="260"/>
      <c r="AA11326"/>
      <c r="AB11326"/>
      <c r="AC11326"/>
      <c r="AD11326"/>
      <c r="AE11326"/>
      <c r="AF11326"/>
      <c r="AG11326"/>
      <c r="AH11326"/>
      <c r="AI11326"/>
      <c r="AJ11326"/>
      <c r="AK11326"/>
      <c r="AL11326"/>
      <c r="AM11326"/>
      <c r="AN11326"/>
    </row>
    <row r="11327" spans="1:40" s="47" customFormat="1">
      <c r="A11327" s="121"/>
      <c r="B11327" s="121"/>
      <c r="C11327" s="121"/>
      <c r="D11327" s="121"/>
      <c r="E11327" s="121"/>
      <c r="F11327" s="121"/>
      <c r="G11327" s="121"/>
      <c r="H11327" s="121"/>
      <c r="I11327" s="121"/>
      <c r="J11327" s="121"/>
      <c r="K11327" s="121"/>
      <c r="L11327" s="121"/>
      <c r="M11327" s="121"/>
      <c r="N11327" s="222"/>
      <c r="O11327" s="563"/>
      <c r="P11327" s="260"/>
      <c r="Q11327" s="321"/>
      <c r="R11327" s="260"/>
      <c r="S11327" s="260"/>
      <c r="T11327" s="260"/>
      <c r="U11327" s="260"/>
      <c r="V11327" s="260"/>
      <c r="W11327" s="260"/>
      <c r="X11327" s="260"/>
      <c r="Y11327" s="260"/>
      <c r="Z11327" s="260"/>
      <c r="AA11327"/>
      <c r="AB11327"/>
      <c r="AC11327"/>
      <c r="AD11327"/>
      <c r="AE11327"/>
      <c r="AF11327"/>
      <c r="AG11327"/>
      <c r="AH11327"/>
      <c r="AI11327"/>
      <c r="AJ11327"/>
      <c r="AK11327"/>
      <c r="AL11327"/>
      <c r="AM11327"/>
      <c r="AN11327"/>
    </row>
    <row r="11328" spans="1:40" s="47" customFormat="1">
      <c r="A11328" s="121"/>
      <c r="B11328" s="121"/>
      <c r="C11328" s="121"/>
      <c r="D11328" s="121"/>
      <c r="E11328" s="121"/>
      <c r="F11328" s="121"/>
      <c r="G11328" s="121"/>
      <c r="H11328" s="121"/>
      <c r="I11328" s="121"/>
      <c r="J11328" s="121"/>
      <c r="K11328" s="121"/>
      <c r="L11328" s="121"/>
      <c r="M11328" s="121"/>
      <c r="N11328" s="222"/>
      <c r="O11328" s="563"/>
      <c r="P11328" s="260"/>
      <c r="Q11328" s="321"/>
      <c r="R11328" s="260"/>
      <c r="S11328" s="260"/>
      <c r="T11328" s="260"/>
      <c r="U11328" s="260"/>
      <c r="V11328" s="260"/>
      <c r="W11328" s="260"/>
      <c r="X11328" s="260"/>
      <c r="Y11328" s="260"/>
      <c r="Z11328" s="260"/>
      <c r="AA11328"/>
      <c r="AB11328"/>
      <c r="AC11328"/>
      <c r="AD11328"/>
      <c r="AE11328"/>
      <c r="AF11328"/>
      <c r="AG11328"/>
      <c r="AH11328"/>
      <c r="AI11328"/>
      <c r="AJ11328"/>
      <c r="AK11328"/>
      <c r="AL11328"/>
      <c r="AM11328"/>
      <c r="AN11328"/>
    </row>
    <row r="11329" spans="1:40" s="47" customFormat="1">
      <c r="A11329" s="121"/>
      <c r="B11329" s="121"/>
      <c r="C11329" s="121"/>
      <c r="D11329" s="121"/>
      <c r="E11329" s="121"/>
      <c r="F11329" s="121"/>
      <c r="G11329" s="121"/>
      <c r="H11329" s="121"/>
      <c r="I11329" s="121"/>
      <c r="J11329" s="121"/>
      <c r="K11329" s="121"/>
      <c r="L11329" s="121"/>
      <c r="M11329" s="121"/>
      <c r="N11329" s="222" t="s">
        <v>2835</v>
      </c>
      <c r="O11329" s="533" t="s">
        <v>1838</v>
      </c>
      <c r="P11329" s="257"/>
      <c r="Q11329" s="321"/>
      <c r="R11329" s="260"/>
      <c r="S11329" s="260"/>
      <c r="T11329" s="260"/>
      <c r="U11329" s="260"/>
      <c r="V11329" s="260"/>
      <c r="W11329" s="262">
        <f>'РР 01.01 - 30.06'!W11329+'РР 01.07 - 31.08'!W11329+'РР 01.09 - 31.12'!W11329</f>
        <v>0</v>
      </c>
      <c r="X11329" s="260"/>
      <c r="Y11329" s="260"/>
      <c r="Z11329" s="262">
        <f>'РР 01.01 - 30.06'!Z11329+'РР 01.07 - 31.08'!Z11329+'РР 01.09 - 31.12'!Z11329</f>
        <v>0</v>
      </c>
      <c r="AA11329"/>
      <c r="AB11329"/>
      <c r="AC11329"/>
      <c r="AD11329"/>
      <c r="AE11329"/>
      <c r="AF11329"/>
      <c r="AG11329"/>
      <c r="AH11329"/>
      <c r="AI11329"/>
      <c r="AJ11329"/>
      <c r="AK11329"/>
      <c r="AL11329"/>
      <c r="AM11329"/>
      <c r="AN11329"/>
    </row>
    <row r="11330" spans="1:40" s="47" customFormat="1">
      <c r="A11330" s="121"/>
      <c r="B11330" s="121"/>
      <c r="C11330" s="121"/>
      <c r="D11330" s="121"/>
      <c r="E11330" s="121"/>
      <c r="F11330" s="121"/>
      <c r="G11330" s="121"/>
      <c r="H11330" s="121"/>
      <c r="I11330" s="121"/>
      <c r="J11330" s="121"/>
      <c r="K11330" s="121"/>
      <c r="L11330" s="121"/>
      <c r="M11330" s="121"/>
      <c r="N11330" s="222"/>
      <c r="O11330" s="529"/>
      <c r="P11330" s="255"/>
      <c r="Q11330" s="321"/>
      <c r="R11330" s="260"/>
      <c r="S11330" s="260"/>
      <c r="T11330" s="260"/>
      <c r="U11330" s="260"/>
      <c r="V11330" s="260"/>
      <c r="W11330" s="260"/>
      <c r="X11330" s="260"/>
      <c r="Y11330" s="260"/>
      <c r="Z11330" s="260"/>
      <c r="AA11330"/>
      <c r="AB11330"/>
      <c r="AC11330"/>
      <c r="AD11330"/>
      <c r="AE11330"/>
      <c r="AF11330"/>
      <c r="AG11330"/>
      <c r="AH11330"/>
      <c r="AI11330"/>
      <c r="AJ11330"/>
      <c r="AK11330"/>
      <c r="AL11330"/>
      <c r="AM11330"/>
      <c r="AN11330"/>
    </row>
    <row r="11331" spans="1:40" s="47" customFormat="1">
      <c r="A11331" s="121"/>
      <c r="B11331" s="121"/>
      <c r="C11331" s="121"/>
      <c r="D11331" s="121"/>
      <c r="E11331" s="121"/>
      <c r="F11331" s="121"/>
      <c r="G11331" s="121"/>
      <c r="H11331" s="121"/>
      <c r="I11331" s="121"/>
      <c r="J11331" s="121"/>
      <c r="K11331" s="121"/>
      <c r="L11331" s="121"/>
      <c r="M11331" s="121"/>
      <c r="N11331" s="222"/>
      <c r="O11331" s="529"/>
      <c r="P11331" s="255"/>
      <c r="Q11331" s="321"/>
      <c r="R11331" s="260"/>
      <c r="S11331" s="260"/>
      <c r="T11331" s="260"/>
      <c r="U11331" s="260"/>
      <c r="V11331" s="260"/>
      <c r="W11331" s="260"/>
      <c r="X11331" s="260"/>
      <c r="Y11331" s="260"/>
      <c r="Z11331" s="260"/>
      <c r="AA11331"/>
      <c r="AB11331"/>
      <c r="AC11331"/>
      <c r="AD11331"/>
      <c r="AE11331"/>
      <c r="AF11331"/>
      <c r="AG11331"/>
      <c r="AH11331"/>
      <c r="AI11331"/>
      <c r="AJ11331"/>
      <c r="AK11331"/>
      <c r="AL11331"/>
      <c r="AM11331"/>
      <c r="AN11331"/>
    </row>
    <row r="11332" spans="1:40" s="47" customFormat="1">
      <c r="A11332" s="121"/>
      <c r="B11332" s="121"/>
      <c r="C11332" s="121"/>
      <c r="D11332" s="121"/>
      <c r="E11332" s="121"/>
      <c r="F11332" s="121"/>
      <c r="G11332" s="121"/>
      <c r="H11332" s="121"/>
      <c r="I11332" s="121"/>
      <c r="J11332" s="121"/>
      <c r="K11332" s="121"/>
      <c r="L11332" s="121"/>
      <c r="M11332" s="121"/>
      <c r="N11332" s="222"/>
      <c r="O11332" s="529"/>
      <c r="P11332" s="255"/>
      <c r="Q11332" s="321"/>
      <c r="R11332" s="260"/>
      <c r="S11332" s="260"/>
      <c r="T11332" s="260"/>
      <c r="U11332" s="260"/>
      <c r="V11332" s="260"/>
      <c r="W11332" s="260"/>
      <c r="X11332" s="260"/>
      <c r="Y11332" s="260"/>
      <c r="Z11332" s="260"/>
      <c r="AA11332"/>
      <c r="AB11332"/>
      <c r="AC11332"/>
      <c r="AD11332"/>
      <c r="AE11332"/>
      <c r="AF11332"/>
      <c r="AG11332"/>
      <c r="AH11332"/>
      <c r="AI11332"/>
      <c r="AJ11332"/>
      <c r="AK11332"/>
      <c r="AL11332"/>
      <c r="AM11332"/>
      <c r="AN11332"/>
    </row>
    <row r="11333" spans="1:40" s="47" customFormat="1">
      <c r="A11333" s="121"/>
      <c r="B11333" s="121"/>
      <c r="C11333" s="121"/>
      <c r="D11333" s="121"/>
      <c r="E11333" s="121"/>
      <c r="F11333" s="121"/>
      <c r="G11333" s="121"/>
      <c r="H11333" s="121"/>
      <c r="I11333" s="121"/>
      <c r="J11333" s="121"/>
      <c r="K11333" s="121"/>
      <c r="L11333" s="121"/>
      <c r="M11333" s="121"/>
      <c r="N11333" s="222"/>
      <c r="O11333" s="529"/>
      <c r="P11333" s="255"/>
      <c r="Q11333" s="321"/>
      <c r="R11333" s="260"/>
      <c r="S11333" s="260"/>
      <c r="T11333" s="260"/>
      <c r="U11333" s="260"/>
      <c r="V11333" s="260"/>
      <c r="W11333" s="260"/>
      <c r="X11333" s="260"/>
      <c r="Y11333" s="260"/>
      <c r="Z11333" s="260"/>
      <c r="AA11333"/>
      <c r="AB11333"/>
      <c r="AC11333"/>
      <c r="AD11333"/>
      <c r="AE11333"/>
      <c r="AF11333"/>
      <c r="AG11333"/>
      <c r="AH11333"/>
      <c r="AI11333"/>
      <c r="AJ11333"/>
      <c r="AK11333"/>
      <c r="AL11333"/>
      <c r="AM11333"/>
      <c r="AN11333"/>
    </row>
    <row r="11334" spans="1:40" s="47" customFormat="1">
      <c r="A11334" s="121"/>
      <c r="B11334" s="121"/>
      <c r="C11334" s="121"/>
      <c r="D11334" s="121"/>
      <c r="E11334" s="121"/>
      <c r="F11334" s="121"/>
      <c r="G11334" s="121"/>
      <c r="H11334" s="121"/>
      <c r="I11334" s="121"/>
      <c r="J11334" s="121"/>
      <c r="K11334" s="121"/>
      <c r="L11334" s="121"/>
      <c r="M11334" s="121"/>
      <c r="N11334" s="222"/>
      <c r="O11334" s="529"/>
      <c r="P11334" s="255"/>
      <c r="Q11334" s="321"/>
      <c r="R11334" s="260"/>
      <c r="S11334" s="260"/>
      <c r="T11334" s="260"/>
      <c r="U11334" s="260"/>
      <c r="V11334" s="260"/>
      <c r="W11334" s="260"/>
      <c r="X11334" s="260"/>
      <c r="Y11334" s="260"/>
      <c r="Z11334" s="260"/>
      <c r="AA11334"/>
      <c r="AB11334"/>
      <c r="AC11334"/>
      <c r="AD11334"/>
      <c r="AE11334"/>
      <c r="AF11334"/>
      <c r="AG11334"/>
      <c r="AH11334"/>
      <c r="AI11334"/>
      <c r="AJ11334"/>
      <c r="AK11334"/>
      <c r="AL11334"/>
      <c r="AM11334"/>
      <c r="AN11334"/>
    </row>
    <row r="11335" spans="1:40" s="47" customFormat="1">
      <c r="A11335" s="121"/>
      <c r="B11335" s="121"/>
      <c r="C11335" s="121"/>
      <c r="D11335" s="121"/>
      <c r="E11335" s="121"/>
      <c r="F11335" s="121"/>
      <c r="G11335" s="121"/>
      <c r="H11335" s="121"/>
      <c r="I11335" s="121"/>
      <c r="J11335" s="121"/>
      <c r="K11335" s="121"/>
      <c r="L11335" s="121"/>
      <c r="M11335" s="121"/>
      <c r="N11335" s="222" t="s">
        <v>2838</v>
      </c>
      <c r="O11335" s="533" t="s">
        <v>1843</v>
      </c>
      <c r="P11335" s="257"/>
      <c r="Q11335" s="321"/>
      <c r="R11335" s="260"/>
      <c r="S11335" s="260"/>
      <c r="T11335" s="260"/>
      <c r="U11335" s="260"/>
      <c r="V11335" s="260"/>
      <c r="W11335" s="262">
        <f>'РР 01.01 - 30.06'!W11335+'РР 01.07 - 31.08'!W11335+'РР 01.09 - 31.12'!W11335</f>
        <v>0</v>
      </c>
      <c r="X11335" s="260"/>
      <c r="Y11335" s="260"/>
      <c r="Z11335" s="262">
        <f>'РР 01.01 - 30.06'!Z11335+'РР 01.07 - 31.08'!Z11335+'РР 01.09 - 31.12'!Z11335</f>
        <v>0</v>
      </c>
      <c r="AA11335"/>
      <c r="AB11335"/>
      <c r="AC11335"/>
      <c r="AD11335"/>
      <c r="AE11335"/>
      <c r="AF11335"/>
      <c r="AG11335"/>
      <c r="AH11335"/>
      <c r="AI11335"/>
      <c r="AJ11335"/>
      <c r="AK11335"/>
      <c r="AL11335"/>
      <c r="AM11335"/>
      <c r="AN11335"/>
    </row>
    <row r="11336" spans="1:40" s="47" customFormat="1">
      <c r="A11336" s="121"/>
      <c r="B11336" s="121"/>
      <c r="C11336" s="121"/>
      <c r="D11336" s="121"/>
      <c r="E11336" s="121"/>
      <c r="F11336" s="121"/>
      <c r="G11336" s="121"/>
      <c r="H11336" s="121"/>
      <c r="I11336" s="121"/>
      <c r="J11336" s="121"/>
      <c r="K11336" s="121"/>
      <c r="L11336" s="121"/>
      <c r="M11336" s="121"/>
      <c r="N11336" s="222"/>
      <c r="O11336" s="529"/>
      <c r="P11336" s="255"/>
      <c r="Q11336" s="321"/>
      <c r="R11336" s="260"/>
      <c r="S11336" s="260"/>
      <c r="T11336" s="260"/>
      <c r="U11336" s="260"/>
      <c r="V11336" s="260"/>
      <c r="W11336" s="260"/>
      <c r="X11336" s="260"/>
      <c r="Y11336" s="260"/>
      <c r="Z11336" s="260"/>
      <c r="AA11336"/>
      <c r="AB11336"/>
      <c r="AC11336"/>
      <c r="AD11336"/>
      <c r="AE11336"/>
      <c r="AF11336"/>
      <c r="AG11336"/>
      <c r="AH11336"/>
      <c r="AI11336"/>
      <c r="AJ11336"/>
      <c r="AK11336"/>
      <c r="AL11336"/>
      <c r="AM11336"/>
      <c r="AN11336"/>
    </row>
    <row r="11337" spans="1:40" s="47" customFormat="1">
      <c r="A11337" s="121"/>
      <c r="B11337" s="121"/>
      <c r="C11337" s="121"/>
      <c r="D11337" s="121"/>
      <c r="E11337" s="121"/>
      <c r="F11337" s="121"/>
      <c r="G11337" s="121"/>
      <c r="H11337" s="121"/>
      <c r="I11337" s="121"/>
      <c r="J11337" s="121"/>
      <c r="K11337" s="121"/>
      <c r="L11337" s="121"/>
      <c r="M11337" s="121"/>
      <c r="N11337" s="222"/>
      <c r="O11337" s="529"/>
      <c r="P11337" s="255"/>
      <c r="Q11337" s="321"/>
      <c r="R11337" s="260"/>
      <c r="S11337" s="260"/>
      <c r="T11337" s="260"/>
      <c r="U11337" s="260"/>
      <c r="V11337" s="260"/>
      <c r="W11337" s="260"/>
      <c r="X11337" s="260"/>
      <c r="Y11337" s="260"/>
      <c r="Z11337" s="260"/>
      <c r="AA11337"/>
      <c r="AB11337"/>
      <c r="AC11337"/>
      <c r="AD11337"/>
      <c r="AE11337"/>
      <c r="AF11337"/>
      <c r="AG11337"/>
      <c r="AH11337"/>
      <c r="AI11337"/>
      <c r="AJ11337"/>
      <c r="AK11337"/>
      <c r="AL11337"/>
      <c r="AM11337"/>
      <c r="AN11337"/>
    </row>
    <row r="11338" spans="1:40" s="47" customFormat="1">
      <c r="A11338" s="121"/>
      <c r="B11338" s="121"/>
      <c r="C11338" s="121"/>
      <c r="D11338" s="121"/>
      <c r="E11338" s="121"/>
      <c r="F11338" s="121"/>
      <c r="G11338" s="121"/>
      <c r="H11338" s="121"/>
      <c r="I11338" s="121"/>
      <c r="J11338" s="121"/>
      <c r="K11338" s="121"/>
      <c r="L11338" s="121"/>
      <c r="M11338" s="121"/>
      <c r="N11338" s="222" t="s">
        <v>2841</v>
      </c>
      <c r="O11338" s="533" t="s">
        <v>1849</v>
      </c>
      <c r="P11338" s="257"/>
      <c r="Q11338" s="321"/>
      <c r="R11338" s="260"/>
      <c r="S11338" s="260"/>
      <c r="T11338" s="260"/>
      <c r="U11338" s="260"/>
      <c r="V11338" s="260"/>
      <c r="W11338" s="262">
        <f>'РР 01.01 - 30.06'!W11338+'РР 01.07 - 31.08'!W11338+'РР 01.09 - 31.12'!W11338</f>
        <v>0</v>
      </c>
      <c r="X11338" s="260"/>
      <c r="Y11338" s="260"/>
      <c r="Z11338" s="262">
        <f>'РР 01.01 - 30.06'!Z11338+'РР 01.07 - 31.08'!Z11338+'РР 01.09 - 31.12'!Z11338</f>
        <v>0</v>
      </c>
      <c r="AA11338"/>
      <c r="AB11338"/>
      <c r="AC11338"/>
      <c r="AD11338"/>
      <c r="AE11338"/>
      <c r="AF11338"/>
      <c r="AG11338"/>
      <c r="AH11338"/>
      <c r="AI11338"/>
      <c r="AJ11338"/>
      <c r="AK11338"/>
      <c r="AL11338"/>
      <c r="AM11338"/>
      <c r="AN11338"/>
    </row>
    <row r="11339" spans="1:40" s="47" customFormat="1">
      <c r="A11339" s="121"/>
      <c r="B11339" s="121"/>
      <c r="C11339" s="121"/>
      <c r="D11339" s="121"/>
      <c r="E11339" s="121"/>
      <c r="F11339" s="121"/>
      <c r="G11339" s="121"/>
      <c r="H11339" s="121"/>
      <c r="I11339" s="121"/>
      <c r="J11339" s="121"/>
      <c r="K11339" s="121"/>
      <c r="L11339" s="121"/>
      <c r="M11339" s="121"/>
      <c r="N11339" s="222"/>
      <c r="O11339" s="529"/>
      <c r="P11339" s="255"/>
      <c r="Q11339" s="321"/>
      <c r="R11339" s="260"/>
      <c r="S11339" s="260"/>
      <c r="T11339" s="260"/>
      <c r="U11339" s="260"/>
      <c r="V11339" s="260"/>
      <c r="W11339" s="260"/>
      <c r="X11339" s="260"/>
      <c r="Y11339" s="260"/>
      <c r="Z11339" s="260"/>
      <c r="AA11339"/>
      <c r="AB11339"/>
      <c r="AC11339"/>
      <c r="AD11339"/>
      <c r="AE11339"/>
      <c r="AF11339"/>
      <c r="AG11339"/>
      <c r="AH11339"/>
      <c r="AI11339"/>
      <c r="AJ11339"/>
      <c r="AK11339"/>
      <c r="AL11339"/>
      <c r="AM11339"/>
      <c r="AN11339"/>
    </row>
    <row r="11340" spans="1:40" s="47" customFormat="1">
      <c r="A11340" s="121"/>
      <c r="B11340" s="121"/>
      <c r="C11340" s="121"/>
      <c r="D11340" s="121"/>
      <c r="E11340" s="121"/>
      <c r="F11340" s="121"/>
      <c r="G11340" s="121"/>
      <c r="H11340" s="121"/>
      <c r="I11340" s="121"/>
      <c r="J11340" s="121"/>
      <c r="K11340" s="121"/>
      <c r="L11340" s="121"/>
      <c r="M11340" s="121"/>
      <c r="N11340" s="222"/>
      <c r="O11340" s="529"/>
      <c r="P11340" s="255"/>
      <c r="Q11340" s="321"/>
      <c r="R11340" s="260"/>
      <c r="S11340" s="260"/>
      <c r="T11340" s="260"/>
      <c r="U11340" s="260"/>
      <c r="V11340" s="260"/>
      <c r="W11340" s="260"/>
      <c r="X11340" s="260"/>
      <c r="Y11340" s="260"/>
      <c r="Z11340" s="260"/>
      <c r="AA11340"/>
      <c r="AB11340"/>
      <c r="AC11340"/>
      <c r="AD11340"/>
      <c r="AE11340"/>
      <c r="AF11340"/>
      <c r="AG11340"/>
      <c r="AH11340"/>
      <c r="AI11340"/>
      <c r="AJ11340"/>
      <c r="AK11340"/>
      <c r="AL11340"/>
      <c r="AM11340"/>
      <c r="AN11340"/>
    </row>
    <row r="11341" spans="1:40" s="47" customFormat="1" ht="22.5">
      <c r="A11341" s="121"/>
      <c r="B11341" s="121"/>
      <c r="C11341" s="121"/>
      <c r="D11341" s="121"/>
      <c r="E11341" s="121"/>
      <c r="F11341" s="121"/>
      <c r="G11341" s="121"/>
      <c r="H11341" s="121"/>
      <c r="I11341" s="121"/>
      <c r="J11341" s="121"/>
      <c r="K11341" s="121"/>
      <c r="L11341" s="121"/>
      <c r="M11341" s="121"/>
      <c r="N11341" s="222" t="s">
        <v>2844</v>
      </c>
      <c r="O11341" s="533" t="s">
        <v>1856</v>
      </c>
      <c r="P11341" s="257"/>
      <c r="Q11341" s="321"/>
      <c r="R11341" s="260"/>
      <c r="S11341" s="260"/>
      <c r="T11341" s="260"/>
      <c r="U11341" s="260"/>
      <c r="V11341" s="260"/>
      <c r="W11341" s="262">
        <f>'РР 01.01 - 30.06'!W11341+'РР 01.07 - 31.08'!W11341+'РР 01.09 - 31.12'!W11341</f>
        <v>0</v>
      </c>
      <c r="X11341" s="260"/>
      <c r="Y11341" s="260"/>
      <c r="Z11341" s="262">
        <f>'РР 01.01 - 30.06'!Z11341+'РР 01.07 - 31.08'!Z11341+'РР 01.09 - 31.12'!Z11341</f>
        <v>0</v>
      </c>
      <c r="AA11341"/>
      <c r="AB11341"/>
      <c r="AC11341"/>
      <c r="AD11341"/>
      <c r="AE11341"/>
      <c r="AF11341"/>
      <c r="AG11341"/>
      <c r="AH11341"/>
      <c r="AI11341"/>
      <c r="AJ11341"/>
      <c r="AK11341"/>
      <c r="AL11341"/>
      <c r="AM11341"/>
      <c r="AN11341"/>
    </row>
    <row r="11342" spans="1:40" s="47" customFormat="1">
      <c r="A11342" s="121"/>
      <c r="B11342" s="121"/>
      <c r="C11342" s="121"/>
      <c r="D11342" s="121"/>
      <c r="E11342" s="121"/>
      <c r="F11342" s="121"/>
      <c r="G11342" s="121"/>
      <c r="H11342" s="121"/>
      <c r="I11342" s="121"/>
      <c r="J11342" s="121"/>
      <c r="K11342" s="121"/>
      <c r="L11342" s="121"/>
      <c r="M11342" s="121"/>
      <c r="N11342" s="222"/>
      <c r="O11342" s="529"/>
      <c r="P11342" s="255"/>
      <c r="Q11342" s="321"/>
      <c r="R11342" s="260"/>
      <c r="S11342" s="260"/>
      <c r="T11342" s="260"/>
      <c r="U11342" s="260"/>
      <c r="V11342" s="260"/>
      <c r="W11342" s="260"/>
      <c r="X11342" s="260"/>
      <c r="Y11342" s="260"/>
      <c r="Z11342" s="260"/>
      <c r="AA11342"/>
      <c r="AB11342"/>
      <c r="AC11342"/>
      <c r="AD11342"/>
      <c r="AE11342"/>
      <c r="AF11342"/>
      <c r="AG11342"/>
      <c r="AH11342"/>
      <c r="AI11342"/>
      <c r="AJ11342"/>
      <c r="AK11342"/>
      <c r="AL11342"/>
      <c r="AM11342"/>
      <c r="AN11342"/>
    </row>
    <row r="11343" spans="1:40" s="47" customFormat="1">
      <c r="A11343" s="121"/>
      <c r="B11343" s="121"/>
      <c r="C11343" s="121"/>
      <c r="D11343" s="121"/>
      <c r="E11343" s="121"/>
      <c r="F11343" s="121"/>
      <c r="G11343" s="121"/>
      <c r="H11343" s="121"/>
      <c r="I11343" s="121"/>
      <c r="J11343" s="121"/>
      <c r="K11343" s="121"/>
      <c r="L11343" s="121"/>
      <c r="M11343" s="121"/>
      <c r="N11343" s="222"/>
      <c r="O11343" s="529"/>
      <c r="P11343" s="255"/>
      <c r="Q11343" s="321"/>
      <c r="R11343" s="260"/>
      <c r="S11343" s="260"/>
      <c r="T11343" s="260"/>
      <c r="U11343" s="260"/>
      <c r="V11343" s="260"/>
      <c r="W11343" s="260"/>
      <c r="X11343" s="260"/>
      <c r="Y11343" s="260"/>
      <c r="Z11343" s="260"/>
      <c r="AA11343"/>
      <c r="AB11343"/>
      <c r="AC11343"/>
      <c r="AD11343"/>
      <c r="AE11343"/>
      <c r="AF11343"/>
      <c r="AG11343"/>
      <c r="AH11343"/>
      <c r="AI11343"/>
      <c r="AJ11343"/>
      <c r="AK11343"/>
      <c r="AL11343"/>
      <c r="AM11343"/>
      <c r="AN11343"/>
    </row>
    <row r="11344" spans="1:40" s="47" customFormat="1">
      <c r="A11344" s="121"/>
      <c r="B11344" s="121"/>
      <c r="C11344" s="121"/>
      <c r="D11344" s="121"/>
      <c r="E11344" s="121"/>
      <c r="F11344" s="121"/>
      <c r="G11344" s="121"/>
      <c r="H11344" s="121"/>
      <c r="I11344" s="121"/>
      <c r="J11344" s="121"/>
      <c r="K11344" s="121"/>
      <c r="L11344" s="121"/>
      <c r="M11344" s="121"/>
      <c r="N11344" s="504" t="s">
        <v>2847</v>
      </c>
      <c r="O11344" s="535" t="s">
        <v>2848</v>
      </c>
      <c r="P11344" s="257"/>
      <c r="Q11344" s="321"/>
      <c r="R11344" s="260"/>
      <c r="S11344" s="260"/>
      <c r="T11344" s="260"/>
      <c r="U11344" s="260"/>
      <c r="V11344" s="260"/>
      <c r="W11344" s="262">
        <f>'РР 01.01 - 30.06'!W11344+'РР 01.07 - 31.08'!W11344+'РР 01.09 - 31.12'!W11344</f>
        <v>0</v>
      </c>
      <c r="X11344" s="260"/>
      <c r="Y11344" s="260"/>
      <c r="Z11344" s="262">
        <f>'РР 01.01 - 30.06'!Z11344+'РР 01.07 - 31.08'!Z11344+'РР 01.09 - 31.12'!Z11344</f>
        <v>0</v>
      </c>
      <c r="AA11344"/>
      <c r="AB11344"/>
      <c r="AC11344"/>
      <c r="AD11344"/>
      <c r="AE11344"/>
      <c r="AF11344"/>
      <c r="AG11344"/>
      <c r="AH11344"/>
      <c r="AI11344"/>
      <c r="AJ11344"/>
      <c r="AK11344"/>
      <c r="AL11344"/>
      <c r="AM11344"/>
      <c r="AN11344"/>
    </row>
    <row r="11345" spans="1:40" s="47" customFormat="1" ht="22.5">
      <c r="A11345" s="121"/>
      <c r="B11345" s="121"/>
      <c r="C11345" s="121"/>
      <c r="D11345" s="121"/>
      <c r="E11345" s="121"/>
      <c r="F11345" s="121"/>
      <c r="G11345" s="121"/>
      <c r="H11345" s="121"/>
      <c r="I11345" s="121"/>
      <c r="J11345" s="121"/>
      <c r="K11345" s="121"/>
      <c r="L11345" s="121"/>
      <c r="M11345" s="121"/>
      <c r="N11345" s="504" t="s">
        <v>2849</v>
      </c>
      <c r="O11345" s="533" t="s">
        <v>2415</v>
      </c>
      <c r="P11345" s="257"/>
      <c r="Q11345" s="321"/>
      <c r="R11345" s="260"/>
      <c r="S11345" s="260"/>
      <c r="T11345" s="260"/>
      <c r="U11345" s="260"/>
      <c r="V11345" s="260"/>
      <c r="W11345" s="262">
        <f>'РР 01.01 - 30.06'!W11345+'РР 01.07 - 31.08'!W11345+'РР 01.09 - 31.12'!W11345</f>
        <v>0</v>
      </c>
      <c r="X11345" s="260"/>
      <c r="Y11345" s="260"/>
      <c r="Z11345" s="262">
        <f>'РР 01.01 - 30.06'!Z11345+'РР 01.07 - 31.08'!Z11345+'РР 01.09 - 31.12'!Z11345</f>
        <v>0</v>
      </c>
      <c r="AA11345"/>
      <c r="AB11345"/>
      <c r="AC11345"/>
      <c r="AD11345"/>
      <c r="AE11345"/>
      <c r="AF11345"/>
      <c r="AG11345"/>
      <c r="AH11345"/>
      <c r="AI11345"/>
      <c r="AJ11345"/>
      <c r="AK11345"/>
      <c r="AL11345"/>
      <c r="AM11345"/>
      <c r="AN11345"/>
    </row>
    <row r="11346" spans="1:40" s="47" customFormat="1" ht="22.5">
      <c r="A11346" s="121"/>
      <c r="B11346" s="121"/>
      <c r="C11346" s="121"/>
      <c r="D11346" s="121"/>
      <c r="E11346" s="121"/>
      <c r="F11346" s="121"/>
      <c r="G11346" s="121"/>
      <c r="H11346" s="121"/>
      <c r="I11346" s="121"/>
      <c r="J11346" s="121"/>
      <c r="K11346" s="121"/>
      <c r="L11346" s="121"/>
      <c r="M11346" s="121"/>
      <c r="N11346" s="504" t="s">
        <v>2850</v>
      </c>
      <c r="O11346" s="533" t="s">
        <v>2417</v>
      </c>
      <c r="P11346" s="257"/>
      <c r="Q11346" s="321"/>
      <c r="R11346" s="260"/>
      <c r="S11346" s="260"/>
      <c r="T11346" s="260"/>
      <c r="U11346" s="260"/>
      <c r="V11346" s="260"/>
      <c r="W11346" s="262">
        <f>'РР 01.01 - 30.06'!W11346+'РР 01.07 - 31.08'!W11346+'РР 01.09 - 31.12'!W11346</f>
        <v>0</v>
      </c>
      <c r="X11346" s="260"/>
      <c r="Y11346" s="260"/>
      <c r="Z11346" s="262">
        <f>'РР 01.01 - 30.06'!Z11346+'РР 01.07 - 31.08'!Z11346+'РР 01.09 - 31.12'!Z11346</f>
        <v>0</v>
      </c>
      <c r="AA11346"/>
      <c r="AB11346"/>
      <c r="AC11346"/>
      <c r="AD11346"/>
      <c r="AE11346"/>
      <c r="AF11346"/>
      <c r="AG11346"/>
      <c r="AH11346"/>
      <c r="AI11346"/>
      <c r="AJ11346"/>
      <c r="AK11346"/>
      <c r="AL11346"/>
      <c r="AM11346"/>
      <c r="AN11346"/>
    </row>
    <row r="11347" spans="1:40" s="47" customFormat="1">
      <c r="A11347" s="121"/>
      <c r="B11347" s="121"/>
      <c r="C11347" s="121"/>
      <c r="D11347" s="121"/>
      <c r="E11347" s="121"/>
      <c r="F11347" s="121"/>
      <c r="G11347" s="121"/>
      <c r="H11347" s="121"/>
      <c r="I11347" s="121"/>
      <c r="J11347" s="121"/>
      <c r="K11347" s="121"/>
      <c r="L11347" s="121"/>
      <c r="M11347" s="121"/>
      <c r="N11347" s="504" t="s">
        <v>2316</v>
      </c>
      <c r="O11347" s="533" t="s">
        <v>2420</v>
      </c>
      <c r="P11347" s="257"/>
      <c r="Q11347" s="321"/>
      <c r="R11347" s="260"/>
      <c r="S11347" s="260"/>
      <c r="T11347" s="260"/>
      <c r="U11347" s="260"/>
      <c r="V11347" s="260"/>
      <c r="W11347" s="262">
        <f>'РР 01.01 - 30.06'!W11347+'РР 01.07 - 31.08'!W11347+'РР 01.09 - 31.12'!W11347</f>
        <v>0</v>
      </c>
      <c r="X11347" s="260"/>
      <c r="Y11347" s="260"/>
      <c r="Z11347" s="262">
        <f>'РР 01.01 - 30.06'!Z11347+'РР 01.07 - 31.08'!Z11347+'РР 01.09 - 31.12'!Z11347</f>
        <v>0</v>
      </c>
      <c r="AA11347"/>
      <c r="AB11347"/>
      <c r="AC11347"/>
      <c r="AD11347"/>
      <c r="AE11347"/>
      <c r="AF11347"/>
      <c r="AG11347"/>
      <c r="AH11347"/>
      <c r="AI11347"/>
      <c r="AJ11347"/>
      <c r="AK11347"/>
      <c r="AL11347"/>
      <c r="AM11347"/>
      <c r="AN11347"/>
    </row>
    <row r="11348" spans="1:40" s="47" customFormat="1">
      <c r="A11348" s="121"/>
      <c r="B11348" s="121"/>
      <c r="C11348" s="121"/>
      <c r="D11348" s="121"/>
      <c r="E11348" s="121"/>
      <c r="F11348" s="121"/>
      <c r="G11348" s="121"/>
      <c r="H11348" s="121"/>
      <c r="I11348" s="121"/>
      <c r="J11348" s="121"/>
      <c r="K11348" s="121"/>
      <c r="L11348" s="121"/>
      <c r="M11348" s="121"/>
      <c r="N11348" s="504" t="s">
        <v>2317</v>
      </c>
      <c r="O11348" s="533" t="s">
        <v>2423</v>
      </c>
      <c r="P11348" s="257"/>
      <c r="Q11348" s="321"/>
      <c r="R11348" s="260"/>
      <c r="S11348" s="260"/>
      <c r="T11348" s="260"/>
      <c r="U11348" s="260"/>
      <c r="V11348" s="260"/>
      <c r="W11348" s="262">
        <f>'РР 01.01 - 30.06'!W11348+'РР 01.07 - 31.08'!W11348+'РР 01.09 - 31.12'!W11348</f>
        <v>0</v>
      </c>
      <c r="X11348" s="260"/>
      <c r="Y11348" s="260"/>
      <c r="Z11348" s="262">
        <f>'РР 01.01 - 30.06'!Z11348+'РР 01.07 - 31.08'!Z11348+'РР 01.09 - 31.12'!Z11348</f>
        <v>0</v>
      </c>
      <c r="AA11348"/>
      <c r="AB11348"/>
      <c r="AC11348"/>
      <c r="AD11348"/>
      <c r="AE11348"/>
      <c r="AF11348"/>
      <c r="AG11348"/>
      <c r="AH11348"/>
      <c r="AI11348"/>
      <c r="AJ11348"/>
      <c r="AK11348"/>
      <c r="AL11348"/>
      <c r="AM11348"/>
      <c r="AN11348"/>
    </row>
    <row r="11349" spans="1:40" s="47" customFormat="1">
      <c r="A11349" s="121"/>
      <c r="B11349" s="121"/>
      <c r="C11349" s="121"/>
      <c r="D11349" s="121"/>
      <c r="E11349" s="121"/>
      <c r="F11349" s="121"/>
      <c r="G11349" s="121"/>
      <c r="H11349" s="121"/>
      <c r="I11349" s="121"/>
      <c r="J11349" s="121"/>
      <c r="K11349" s="121"/>
      <c r="L11349" s="121"/>
      <c r="M11349" s="121"/>
      <c r="N11349" s="504" t="s">
        <v>2318</v>
      </c>
      <c r="O11349" s="533" t="s">
        <v>2426</v>
      </c>
      <c r="P11349" s="257"/>
      <c r="Q11349" s="321"/>
      <c r="R11349" s="260"/>
      <c r="S11349" s="260"/>
      <c r="T11349" s="260"/>
      <c r="U11349" s="260"/>
      <c r="V11349" s="260"/>
      <c r="W11349" s="262">
        <f>'РР 01.01 - 30.06'!W11349+'РР 01.07 - 31.08'!W11349+'РР 01.09 - 31.12'!W11349</f>
        <v>0</v>
      </c>
      <c r="X11349" s="260"/>
      <c r="Y11349" s="260"/>
      <c r="Z11349" s="262">
        <f>'РР 01.01 - 30.06'!Z11349+'РР 01.07 - 31.08'!Z11349+'РР 01.09 - 31.12'!Z11349</f>
        <v>0</v>
      </c>
      <c r="AA11349"/>
      <c r="AB11349"/>
      <c r="AC11349"/>
      <c r="AD11349"/>
      <c r="AE11349"/>
      <c r="AF11349"/>
      <c r="AG11349"/>
      <c r="AH11349"/>
      <c r="AI11349"/>
      <c r="AJ11349"/>
      <c r="AK11349"/>
      <c r="AL11349"/>
      <c r="AM11349"/>
      <c r="AN11349"/>
    </row>
    <row r="11350" spans="1:40" s="47" customFormat="1">
      <c r="A11350" s="121"/>
      <c r="B11350" s="121"/>
      <c r="C11350" s="121"/>
      <c r="D11350" s="121"/>
      <c r="E11350" s="121"/>
      <c r="F11350" s="121"/>
      <c r="G11350" s="121"/>
      <c r="H11350" s="121"/>
      <c r="I11350" s="121"/>
      <c r="J11350" s="121"/>
      <c r="K11350" s="121"/>
      <c r="L11350" s="121"/>
      <c r="M11350" s="121"/>
      <c r="N11350" s="222"/>
      <c r="O11350" s="529"/>
      <c r="P11350" s="255"/>
      <c r="Q11350" s="321"/>
      <c r="R11350" s="260"/>
      <c r="S11350" s="260"/>
      <c r="T11350" s="260"/>
      <c r="U11350" s="260"/>
      <c r="V11350" s="260"/>
      <c r="W11350" s="260"/>
      <c r="X11350" s="260"/>
      <c r="Y11350" s="260"/>
      <c r="Z11350" s="260"/>
      <c r="AA11350"/>
      <c r="AB11350"/>
      <c r="AC11350"/>
      <c r="AD11350"/>
      <c r="AE11350"/>
      <c r="AF11350"/>
      <c r="AG11350"/>
      <c r="AH11350"/>
      <c r="AI11350"/>
      <c r="AJ11350"/>
      <c r="AK11350"/>
      <c r="AL11350"/>
      <c r="AM11350"/>
      <c r="AN11350"/>
    </row>
    <row r="11351" spans="1:40" s="47" customFormat="1">
      <c r="A11351" s="121"/>
      <c r="B11351" s="121"/>
      <c r="C11351" s="121"/>
      <c r="D11351" s="121"/>
      <c r="E11351" s="121"/>
      <c r="F11351" s="121"/>
      <c r="G11351" s="121"/>
      <c r="H11351" s="121"/>
      <c r="I11351" s="121"/>
      <c r="J11351" s="121"/>
      <c r="K11351" s="121"/>
      <c r="L11351" s="121"/>
      <c r="M11351" s="121"/>
      <c r="N11351" s="222"/>
      <c r="O11351" s="529"/>
      <c r="P11351" s="255"/>
      <c r="Q11351" s="321"/>
      <c r="R11351" s="260"/>
      <c r="S11351" s="260"/>
      <c r="T11351" s="260"/>
      <c r="U11351" s="260"/>
      <c r="V11351" s="260"/>
      <c r="W11351" s="260"/>
      <c r="X11351" s="260"/>
      <c r="Y11351" s="260"/>
      <c r="Z11351" s="260"/>
      <c r="AA11351"/>
      <c r="AB11351"/>
      <c r="AC11351"/>
      <c r="AD11351"/>
      <c r="AE11351"/>
      <c r="AF11351"/>
      <c r="AG11351"/>
      <c r="AH11351"/>
      <c r="AI11351"/>
      <c r="AJ11351"/>
      <c r="AK11351"/>
      <c r="AL11351"/>
      <c r="AM11351"/>
      <c r="AN11351"/>
    </row>
    <row r="11352" spans="1:40" s="47" customFormat="1">
      <c r="A11352" s="121"/>
      <c r="B11352" s="121"/>
      <c r="C11352" s="121"/>
      <c r="D11352" s="121"/>
      <c r="E11352" s="121"/>
      <c r="F11352" s="121"/>
      <c r="G11352" s="121"/>
      <c r="H11352" s="121"/>
      <c r="I11352" s="121"/>
      <c r="J11352" s="121"/>
      <c r="K11352" s="121"/>
      <c r="L11352" s="121"/>
      <c r="M11352" s="121"/>
      <c r="N11352" s="222"/>
      <c r="O11352" s="529"/>
      <c r="P11352" s="255"/>
      <c r="Q11352" s="321"/>
      <c r="R11352" s="260"/>
      <c r="S11352" s="260"/>
      <c r="T11352" s="260"/>
      <c r="U11352" s="260"/>
      <c r="V11352" s="260"/>
      <c r="W11352" s="260"/>
      <c r="X11352" s="260"/>
      <c r="Y11352" s="260"/>
      <c r="Z11352" s="260"/>
      <c r="AA11352"/>
      <c r="AB11352"/>
      <c r="AC11352"/>
      <c r="AD11352"/>
      <c r="AE11352"/>
      <c r="AF11352"/>
      <c r="AG11352"/>
      <c r="AH11352"/>
      <c r="AI11352"/>
      <c r="AJ11352"/>
      <c r="AK11352"/>
      <c r="AL11352"/>
      <c r="AM11352"/>
      <c r="AN11352"/>
    </row>
    <row r="11353" spans="1:40" s="47" customFormat="1">
      <c r="A11353" s="121"/>
      <c r="B11353" s="121"/>
      <c r="C11353" s="121"/>
      <c r="D11353" s="121"/>
      <c r="E11353" s="121"/>
      <c r="F11353" s="121"/>
      <c r="G11353" s="121"/>
      <c r="H11353" s="121"/>
      <c r="I11353" s="121"/>
      <c r="J11353" s="121"/>
      <c r="K11353" s="121"/>
      <c r="L11353" s="121"/>
      <c r="M11353" s="121"/>
      <c r="N11353" s="222"/>
      <c r="O11353" s="529"/>
      <c r="P11353" s="255"/>
      <c r="Q11353" s="321"/>
      <c r="R11353" s="260"/>
      <c r="S11353" s="260"/>
      <c r="T11353" s="260"/>
      <c r="U11353" s="260"/>
      <c r="V11353" s="260"/>
      <c r="W11353" s="260"/>
      <c r="X11353" s="260"/>
      <c r="Y11353" s="260"/>
      <c r="Z11353" s="260"/>
      <c r="AA11353"/>
      <c r="AB11353"/>
      <c r="AC11353"/>
      <c r="AD11353"/>
      <c r="AE11353"/>
      <c r="AF11353"/>
      <c r="AG11353"/>
      <c r="AH11353"/>
      <c r="AI11353"/>
      <c r="AJ11353"/>
      <c r="AK11353"/>
      <c r="AL11353"/>
      <c r="AM11353"/>
      <c r="AN11353"/>
    </row>
    <row r="11354" spans="1:40" s="47" customFormat="1" ht="22.5">
      <c r="A11354" s="121"/>
      <c r="B11354" s="121"/>
      <c r="C11354" s="121"/>
      <c r="D11354" s="121"/>
      <c r="E11354" s="121"/>
      <c r="F11354" s="121"/>
      <c r="G11354" s="121"/>
      <c r="H11354" s="121"/>
      <c r="I11354" s="121"/>
      <c r="J11354" s="121"/>
      <c r="K11354" s="121"/>
      <c r="L11354" s="121"/>
      <c r="M11354" s="121"/>
      <c r="N11354" s="504" t="s">
        <v>2323</v>
      </c>
      <c r="O11354" s="561" t="str">
        <f>"Услуги по транспортированию " &amp; IF(TEMPLATE_SPHERE="водоснабжения","неочищенной воды",IF(TEMPLATE_SPHERE="водоотведения","стоков")) &amp; ", оказываемые сторонними организациями"</f>
        <v>Услуги по транспортированию стоков, оказываемые сторонними организациями</v>
      </c>
      <c r="P11354" s="257"/>
      <c r="Q11354" s="321"/>
      <c r="R11354" s="260"/>
      <c r="S11354" s="260"/>
      <c r="T11354" s="260"/>
      <c r="U11354" s="260"/>
      <c r="V11354" s="260"/>
      <c r="W11354" s="262">
        <f>'РР 01.01 - 30.06'!W11354+'РР 01.07 - 31.08'!W11354+'РР 01.09 - 31.12'!W11354</f>
        <v>0</v>
      </c>
      <c r="X11354" s="260"/>
      <c r="Y11354" s="260"/>
      <c r="Z11354" s="262">
        <f>'РР 01.01 - 30.06'!Z11354+'РР 01.07 - 31.08'!Z11354+'РР 01.09 - 31.12'!Z11354</f>
        <v>0</v>
      </c>
      <c r="AA11354"/>
      <c r="AB11354"/>
      <c r="AC11354"/>
      <c r="AD11354"/>
      <c r="AE11354"/>
      <c r="AF11354"/>
      <c r="AG11354"/>
      <c r="AH11354"/>
      <c r="AI11354"/>
      <c r="AJ11354"/>
      <c r="AK11354"/>
      <c r="AL11354"/>
      <c r="AM11354"/>
      <c r="AN11354"/>
    </row>
    <row r="11355" spans="1:40" s="47" customFormat="1" ht="22.5">
      <c r="A11355" s="121"/>
      <c r="B11355" s="121"/>
      <c r="C11355" s="121"/>
      <c r="D11355" s="121"/>
      <c r="E11355" s="121"/>
      <c r="F11355" s="121"/>
      <c r="G11355" s="121"/>
      <c r="H11355" s="121"/>
      <c r="I11355" s="121"/>
      <c r="J11355" s="121"/>
      <c r="K11355" s="121"/>
      <c r="L11355" s="121"/>
      <c r="M11355" s="121"/>
      <c r="N11355" s="504" t="s">
        <v>2324</v>
      </c>
      <c r="O11355" s="561" t="str">
        <f>"Услуги " &amp; IF(TEMPLATE_SPHERE="водоснабжения","холодного водоснабжения по очистке воды",IF(TEMPLATE_SPHERE="водоотведения","по очистке стоков и утилизации сточной жидкости")) &amp; ", оказываемые сторонними организациями"</f>
        <v>Услуги по очистке стоков и утилизации сточной жидкости, оказываемые сторонними организациями</v>
      </c>
      <c r="P11355" s="257"/>
      <c r="Q11355" s="321"/>
      <c r="R11355" s="260"/>
      <c r="S11355" s="260"/>
      <c r="T11355" s="260"/>
      <c r="U11355" s="260"/>
      <c r="V11355" s="260"/>
      <c r="W11355" s="262">
        <f>'РР 01.01 - 30.06'!W11355+'РР 01.07 - 31.08'!W11355+'РР 01.09 - 31.12'!W11355</f>
        <v>0</v>
      </c>
      <c r="X11355" s="260"/>
      <c r="Y11355" s="260"/>
      <c r="Z11355" s="262">
        <f>'РР 01.01 - 30.06'!Z11355+'РР 01.07 - 31.08'!Z11355+'РР 01.09 - 31.12'!Z11355</f>
        <v>0</v>
      </c>
      <c r="AA11355"/>
      <c r="AB11355"/>
      <c r="AC11355"/>
      <c r="AD11355"/>
      <c r="AE11355"/>
      <c r="AF11355"/>
      <c r="AG11355"/>
      <c r="AH11355"/>
      <c r="AI11355"/>
      <c r="AJ11355"/>
      <c r="AK11355"/>
      <c r="AL11355"/>
      <c r="AM11355"/>
      <c r="AN11355"/>
    </row>
    <row r="11356" spans="1:40" s="47" customFormat="1">
      <c r="A11356" s="121"/>
      <c r="B11356" s="121"/>
      <c r="C11356" s="121"/>
      <c r="D11356" s="121"/>
      <c r="E11356" s="121"/>
      <c r="F11356" s="121"/>
      <c r="G11356" s="121"/>
      <c r="H11356" s="121"/>
      <c r="I11356" s="121"/>
      <c r="J11356" s="121"/>
      <c r="K11356" s="121"/>
      <c r="L11356" s="121"/>
      <c r="M11356" s="121"/>
      <c r="N11356" s="504" t="s">
        <v>2325</v>
      </c>
      <c r="O11356" s="561" t="str">
        <f>"Услуги " &amp; IF(TEMPLATE_SPHERE="водоснабжения","холодного водоснабжения по транспортированию воды",IF(TEMPLATE_SPHERE="водоотведения","по утилизации осадка")) &amp; ", оказываемые сторонними организациями"</f>
        <v>Услуги по утилизации осадка, оказываемые сторонними организациями</v>
      </c>
      <c r="P11356" s="257"/>
      <c r="Q11356" s="321"/>
      <c r="R11356" s="260"/>
      <c r="S11356" s="260"/>
      <c r="T11356" s="260"/>
      <c r="U11356" s="260"/>
      <c r="V11356" s="260"/>
      <c r="W11356" s="262">
        <f>'РР 01.01 - 30.06'!W11356+'РР 01.07 - 31.08'!W11356+'РР 01.09 - 31.12'!W11356</f>
        <v>0</v>
      </c>
      <c r="X11356" s="260"/>
      <c r="Y11356" s="260"/>
      <c r="Z11356" s="262">
        <f>'РР 01.01 - 30.06'!Z11356+'РР 01.07 - 31.08'!Z11356+'РР 01.09 - 31.12'!Z11356</f>
        <v>0</v>
      </c>
      <c r="AA11356"/>
      <c r="AB11356"/>
      <c r="AC11356"/>
      <c r="AD11356"/>
      <c r="AE11356"/>
      <c r="AF11356"/>
      <c r="AG11356"/>
      <c r="AH11356"/>
      <c r="AI11356"/>
      <c r="AJ11356"/>
      <c r="AK11356"/>
      <c r="AL11356"/>
      <c r="AM11356"/>
      <c r="AN11356"/>
    </row>
    <row r="11357" spans="1:40" s="47" customFormat="1">
      <c r="A11357" s="121"/>
      <c r="B11357" s="121"/>
      <c r="C11357" s="121"/>
      <c r="D11357" s="121"/>
      <c r="E11357" s="121"/>
      <c r="F11357" s="121"/>
      <c r="G11357" s="121"/>
      <c r="H11357" s="121"/>
      <c r="I11357" s="121"/>
      <c r="J11357" s="121"/>
      <c r="K11357" s="121"/>
      <c r="L11357" s="121"/>
      <c r="M11357" s="121"/>
      <c r="N11357" s="504" t="s">
        <v>2326</v>
      </c>
      <c r="O11357" s="527" t="s">
        <v>2327</v>
      </c>
      <c r="P11357" s="257"/>
      <c r="Q11357" s="321"/>
      <c r="R11357" s="260"/>
      <c r="S11357" s="260"/>
      <c r="T11357" s="260"/>
      <c r="U11357" s="260"/>
      <c r="V11357" s="260"/>
      <c r="W11357" s="262">
        <f>'РР 01.01 - 30.06'!W11357+'РР 01.07 - 31.08'!W11357+'РР 01.09 - 31.12'!W11357</f>
        <v>0</v>
      </c>
      <c r="X11357" s="260"/>
      <c r="Y11357" s="260"/>
      <c r="Z11357" s="262">
        <f>'РР 01.01 - 30.06'!Z11357+'РР 01.07 - 31.08'!Z11357+'РР 01.09 - 31.12'!Z11357</f>
        <v>0</v>
      </c>
      <c r="AA11357"/>
      <c r="AB11357"/>
      <c r="AC11357"/>
      <c r="AD11357"/>
      <c r="AE11357"/>
      <c r="AF11357"/>
      <c r="AG11357"/>
      <c r="AH11357"/>
      <c r="AI11357"/>
      <c r="AJ11357"/>
      <c r="AK11357"/>
      <c r="AL11357"/>
      <c r="AM11357"/>
      <c r="AN11357"/>
    </row>
    <row r="11358" spans="1:40" s="47" customFormat="1">
      <c r="A11358" s="121"/>
      <c r="B11358" s="121"/>
      <c r="C11358" s="121"/>
      <c r="D11358" s="121"/>
      <c r="E11358" s="121"/>
      <c r="F11358" s="121"/>
      <c r="G11358" s="121"/>
      <c r="H11358" s="121"/>
      <c r="I11358" s="121"/>
      <c r="J11358" s="121"/>
      <c r="K11358" s="121"/>
      <c r="L11358" s="121"/>
      <c r="M11358" s="121"/>
      <c r="N11358" s="504" t="s">
        <v>2328</v>
      </c>
      <c r="O11358" s="528" t="s">
        <v>2329</v>
      </c>
      <c r="P11358" s="257"/>
      <c r="Q11358" s="321"/>
      <c r="R11358" s="260"/>
      <c r="S11358" s="260"/>
      <c r="T11358" s="260"/>
      <c r="U11358" s="260"/>
      <c r="V11358" s="260"/>
      <c r="W11358" s="262">
        <f>'РР 01.01 - 30.06'!W11358+'РР 01.07 - 31.08'!W11358+'РР 01.09 - 31.12'!W11358</f>
        <v>0</v>
      </c>
      <c r="X11358" s="260"/>
      <c r="Y11358" s="260"/>
      <c r="Z11358" s="262">
        <f>'РР 01.01 - 30.06'!Z11358+'РР 01.07 - 31.08'!Z11358+'РР 01.09 - 31.12'!Z11358</f>
        <v>0</v>
      </c>
      <c r="AA11358"/>
      <c r="AB11358"/>
      <c r="AC11358"/>
      <c r="AD11358"/>
      <c r="AE11358"/>
      <c r="AF11358"/>
      <c r="AG11358"/>
      <c r="AH11358"/>
      <c r="AI11358"/>
      <c r="AJ11358"/>
      <c r="AK11358"/>
      <c r="AL11358"/>
      <c r="AM11358"/>
      <c r="AN11358"/>
    </row>
    <row r="11359" spans="1:40" s="47" customFormat="1">
      <c r="A11359" s="121"/>
      <c r="B11359" s="121"/>
      <c r="C11359" s="121"/>
      <c r="D11359" s="121"/>
      <c r="E11359" s="121"/>
      <c r="F11359" s="121"/>
      <c r="G11359" s="121"/>
      <c r="H11359" s="121"/>
      <c r="I11359" s="121"/>
      <c r="J11359" s="121"/>
      <c r="K11359" s="121"/>
      <c r="L11359" s="121"/>
      <c r="M11359" s="121"/>
      <c r="N11359" s="504" t="s">
        <v>2330</v>
      </c>
      <c r="O11359" s="528" t="s">
        <v>2331</v>
      </c>
      <c r="P11359" s="257"/>
      <c r="Q11359" s="321"/>
      <c r="R11359" s="260"/>
      <c r="S11359" s="260"/>
      <c r="T11359" s="260"/>
      <c r="U11359" s="260"/>
      <c r="V11359" s="260"/>
      <c r="W11359" s="262">
        <f>'РР 01.01 - 30.06'!W11359+'РР 01.07 - 31.08'!W11359+'РР 01.09 - 31.12'!W11359</f>
        <v>0</v>
      </c>
      <c r="X11359" s="260"/>
      <c r="Y11359" s="260"/>
      <c r="Z11359" s="262">
        <f>'РР 01.01 - 30.06'!Z11359+'РР 01.07 - 31.08'!Z11359+'РР 01.09 - 31.12'!Z11359</f>
        <v>0</v>
      </c>
      <c r="AA11359"/>
      <c r="AB11359"/>
      <c r="AC11359"/>
      <c r="AD11359"/>
      <c r="AE11359"/>
      <c r="AF11359"/>
      <c r="AG11359"/>
      <c r="AH11359"/>
      <c r="AI11359"/>
      <c r="AJ11359"/>
      <c r="AK11359"/>
      <c r="AL11359"/>
      <c r="AM11359"/>
      <c r="AN11359"/>
    </row>
    <row r="11360" spans="1:40" s="47" customFormat="1">
      <c r="A11360" s="121"/>
      <c r="B11360" s="121"/>
      <c r="C11360" s="121"/>
      <c r="D11360" s="121"/>
      <c r="E11360" s="121"/>
      <c r="F11360" s="121"/>
      <c r="G11360" s="121"/>
      <c r="H11360" s="121"/>
      <c r="I11360" s="121"/>
      <c r="J11360" s="121"/>
      <c r="K11360" s="121"/>
      <c r="L11360" s="121"/>
      <c r="M11360" s="121"/>
      <c r="N11360" s="504" t="s">
        <v>2332</v>
      </c>
      <c r="O11360" s="527" t="s">
        <v>2333</v>
      </c>
      <c r="P11360" s="257"/>
      <c r="Q11360" s="321"/>
      <c r="R11360" s="260"/>
      <c r="S11360" s="260"/>
      <c r="T11360" s="260"/>
      <c r="U11360" s="260"/>
      <c r="V11360" s="260"/>
      <c r="W11360" s="262">
        <f>'РР 01.01 - 30.06'!W11360+'РР 01.07 - 31.08'!W11360+'РР 01.09 - 31.12'!W11360</f>
        <v>0</v>
      </c>
      <c r="X11360" s="260"/>
      <c r="Y11360" s="260"/>
      <c r="Z11360" s="262">
        <f>'РР 01.01 - 30.06'!Z11360+'РР 01.07 - 31.08'!Z11360+'РР 01.09 - 31.12'!Z11360</f>
        <v>0</v>
      </c>
      <c r="AA11360"/>
      <c r="AB11360"/>
      <c r="AC11360"/>
      <c r="AD11360"/>
      <c r="AE11360"/>
      <c r="AF11360"/>
      <c r="AG11360"/>
      <c r="AH11360"/>
      <c r="AI11360"/>
      <c r="AJ11360"/>
      <c r="AK11360"/>
      <c r="AL11360"/>
      <c r="AM11360"/>
      <c r="AN11360"/>
    </row>
    <row r="11361" spans="1:40" s="47" customFormat="1">
      <c r="A11361" s="121"/>
      <c r="B11361" s="121"/>
      <c r="C11361" s="121"/>
      <c r="D11361" s="121"/>
      <c r="E11361" s="121"/>
      <c r="F11361" s="121"/>
      <c r="G11361" s="121"/>
      <c r="H11361" s="121"/>
      <c r="I11361" s="121"/>
      <c r="J11361" s="121"/>
      <c r="K11361" s="121"/>
      <c r="L11361" s="121"/>
      <c r="M11361" s="121"/>
      <c r="N11361" s="504" t="s">
        <v>2334</v>
      </c>
      <c r="O11361" s="527" t="s">
        <v>2335</v>
      </c>
      <c r="P11361" s="257"/>
      <c r="Q11361" s="321"/>
      <c r="R11361" s="260"/>
      <c r="S11361" s="260"/>
      <c r="T11361" s="260"/>
      <c r="U11361" s="260"/>
      <c r="V11361" s="260"/>
      <c r="W11361" s="262">
        <f>'РР 01.01 - 30.06'!W11361+'РР 01.07 - 31.08'!W11361+'РР 01.09 - 31.12'!W11361</f>
        <v>0</v>
      </c>
      <c r="X11361" s="260"/>
      <c r="Y11361" s="260"/>
      <c r="Z11361" s="262">
        <f>'РР 01.01 - 30.06'!Z11361+'РР 01.07 - 31.08'!Z11361+'РР 01.09 - 31.12'!Z11361</f>
        <v>0</v>
      </c>
      <c r="AA11361"/>
      <c r="AB11361"/>
      <c r="AC11361"/>
      <c r="AD11361"/>
      <c r="AE11361"/>
      <c r="AF11361"/>
      <c r="AG11361"/>
      <c r="AH11361"/>
      <c r="AI11361"/>
      <c r="AJ11361"/>
      <c r="AK11361"/>
      <c r="AL11361"/>
      <c r="AM11361"/>
      <c r="AN11361"/>
    </row>
    <row r="11362" spans="1:40" s="47" customFormat="1" ht="22.5">
      <c r="A11362" s="121"/>
      <c r="B11362" s="121"/>
      <c r="C11362" s="121"/>
      <c r="D11362" s="121"/>
      <c r="E11362" s="121"/>
      <c r="F11362" s="121"/>
      <c r="G11362" s="121"/>
      <c r="H11362" s="121"/>
      <c r="I11362" s="121"/>
      <c r="J11362" s="121"/>
      <c r="K11362" s="121"/>
      <c r="L11362" s="121"/>
      <c r="M11362" s="121"/>
      <c r="N11362" s="504" t="s">
        <v>2336</v>
      </c>
      <c r="O11362" s="527" t="s">
        <v>2337</v>
      </c>
      <c r="P11362" s="257"/>
      <c r="Q11362" s="321"/>
      <c r="R11362" s="260"/>
      <c r="S11362" s="260"/>
      <c r="T11362" s="260"/>
      <c r="U11362" s="260"/>
      <c r="V11362" s="260"/>
      <c r="W11362" s="262">
        <f>'РР 01.01 - 30.06'!W11362+'РР 01.07 - 31.08'!W11362+'РР 01.09 - 31.12'!W11362</f>
        <v>0</v>
      </c>
      <c r="X11362" s="260"/>
      <c r="Y11362" s="260"/>
      <c r="Z11362" s="262">
        <f>'РР 01.01 - 30.06'!Z11362+'РР 01.07 - 31.08'!Z11362+'РР 01.09 - 31.12'!Z11362</f>
        <v>0</v>
      </c>
      <c r="AA11362"/>
      <c r="AB11362"/>
      <c r="AC11362"/>
      <c r="AD11362"/>
      <c r="AE11362"/>
      <c r="AF11362"/>
      <c r="AG11362"/>
      <c r="AH11362"/>
      <c r="AI11362"/>
      <c r="AJ11362"/>
      <c r="AK11362"/>
      <c r="AL11362"/>
      <c r="AM11362"/>
      <c r="AN11362"/>
    </row>
    <row r="11363" spans="1:40" s="47" customFormat="1">
      <c r="A11363" s="121"/>
      <c r="B11363" s="121"/>
      <c r="C11363" s="121"/>
      <c r="D11363" s="121"/>
      <c r="E11363" s="121"/>
      <c r="F11363" s="121"/>
      <c r="G11363" s="121"/>
      <c r="H11363" s="121"/>
      <c r="I11363" s="121"/>
      <c r="J11363" s="121"/>
      <c r="K11363" s="121"/>
      <c r="L11363" s="121"/>
      <c r="M11363" s="121"/>
      <c r="N11363" s="504" t="s">
        <v>2338</v>
      </c>
      <c r="O11363" s="527" t="s">
        <v>2339</v>
      </c>
      <c r="P11363" s="257"/>
      <c r="Q11363" s="321"/>
      <c r="R11363" s="260"/>
      <c r="S11363" s="260"/>
      <c r="T11363" s="260"/>
      <c r="U11363" s="260"/>
      <c r="V11363" s="260"/>
      <c r="W11363" s="262">
        <f>'РР 01.01 - 30.06'!W11363+'РР 01.07 - 31.08'!W11363+'РР 01.09 - 31.12'!W11363</f>
        <v>0</v>
      </c>
      <c r="X11363" s="260"/>
      <c r="Y11363" s="260"/>
      <c r="Z11363" s="262">
        <f>'РР 01.01 - 30.06'!Z11363+'РР 01.07 - 31.08'!Z11363+'РР 01.09 - 31.12'!Z11363</f>
        <v>0</v>
      </c>
      <c r="AA11363"/>
      <c r="AB11363"/>
      <c r="AC11363"/>
      <c r="AD11363"/>
      <c r="AE11363"/>
      <c r="AF11363"/>
      <c r="AG11363"/>
      <c r="AH11363"/>
      <c r="AI11363"/>
      <c r="AJ11363"/>
      <c r="AK11363"/>
      <c r="AL11363"/>
      <c r="AM11363"/>
      <c r="AN11363"/>
    </row>
    <row r="11364" spans="1:40" s="47" customFormat="1">
      <c r="A11364" s="121"/>
      <c r="B11364" s="121"/>
      <c r="C11364" s="121"/>
      <c r="D11364" s="121"/>
      <c r="E11364" s="121"/>
      <c r="F11364" s="121"/>
      <c r="G11364" s="121"/>
      <c r="H11364" s="121"/>
      <c r="I11364" s="121"/>
      <c r="J11364" s="121"/>
      <c r="K11364" s="121"/>
      <c r="L11364" s="121"/>
      <c r="M11364" s="121"/>
      <c r="N11364" s="504" t="s">
        <v>2340</v>
      </c>
      <c r="O11364" s="528" t="s">
        <v>2341</v>
      </c>
      <c r="P11364" s="257"/>
      <c r="Q11364" s="321"/>
      <c r="R11364" s="260"/>
      <c r="S11364" s="260"/>
      <c r="T11364" s="260"/>
      <c r="U11364" s="260"/>
      <c r="V11364" s="260"/>
      <c r="W11364" s="262">
        <f>'РР 01.01 - 30.06'!W11364+'РР 01.07 - 31.08'!W11364+'РР 01.09 - 31.12'!W11364</f>
        <v>0</v>
      </c>
      <c r="X11364" s="260"/>
      <c r="Y11364" s="260"/>
      <c r="Z11364" s="262">
        <f>'РР 01.01 - 30.06'!Z11364+'РР 01.07 - 31.08'!Z11364+'РР 01.09 - 31.12'!Z11364</f>
        <v>0</v>
      </c>
      <c r="AA11364"/>
      <c r="AB11364"/>
      <c r="AC11364"/>
      <c r="AD11364"/>
      <c r="AE11364"/>
      <c r="AF11364"/>
      <c r="AG11364"/>
      <c r="AH11364"/>
      <c r="AI11364"/>
      <c r="AJ11364"/>
      <c r="AK11364"/>
      <c r="AL11364"/>
      <c r="AM11364"/>
      <c r="AN11364"/>
    </row>
    <row r="11365" spans="1:40" s="47" customFormat="1">
      <c r="A11365" s="121"/>
      <c r="B11365" s="121"/>
      <c r="C11365" s="121"/>
      <c r="D11365" s="121"/>
      <c r="E11365" s="121"/>
      <c r="F11365" s="121"/>
      <c r="G11365" s="121"/>
      <c r="H11365" s="121"/>
      <c r="I11365" s="121"/>
      <c r="J11365" s="121"/>
      <c r="K11365" s="121"/>
      <c r="L11365" s="121"/>
      <c r="M11365" s="121"/>
      <c r="N11365" s="504" t="s">
        <v>2342</v>
      </c>
      <c r="O11365" s="528" t="s">
        <v>2343</v>
      </c>
      <c r="P11365" s="257"/>
      <c r="Q11365" s="321"/>
      <c r="R11365" s="260"/>
      <c r="S11365" s="260"/>
      <c r="T11365" s="260"/>
      <c r="U11365" s="260"/>
      <c r="V11365" s="260"/>
      <c r="W11365" s="262">
        <f>'РР 01.01 - 30.06'!W11365+'РР 01.07 - 31.08'!W11365+'РР 01.09 - 31.12'!W11365</f>
        <v>0</v>
      </c>
      <c r="X11365" s="260"/>
      <c r="Y11365" s="260"/>
      <c r="Z11365" s="262">
        <f>'РР 01.01 - 30.06'!Z11365+'РР 01.07 - 31.08'!Z11365+'РР 01.09 - 31.12'!Z11365</f>
        <v>0</v>
      </c>
      <c r="AA11365"/>
      <c r="AB11365"/>
      <c r="AC11365"/>
      <c r="AD11365"/>
      <c r="AE11365"/>
      <c r="AF11365"/>
      <c r="AG11365"/>
      <c r="AH11365"/>
      <c r="AI11365"/>
      <c r="AJ11365"/>
      <c r="AK11365"/>
      <c r="AL11365"/>
      <c r="AM11365"/>
      <c r="AN11365"/>
    </row>
    <row r="11366" spans="1:40" s="47" customFormat="1">
      <c r="A11366" s="121"/>
      <c r="B11366" s="121"/>
      <c r="C11366" s="121"/>
      <c r="D11366" s="121"/>
      <c r="E11366" s="121"/>
      <c r="F11366" s="121"/>
      <c r="G11366" s="121"/>
      <c r="H11366" s="121"/>
      <c r="I11366" s="121"/>
      <c r="J11366" s="121"/>
      <c r="K11366" s="121"/>
      <c r="L11366" s="121"/>
      <c r="M11366" s="121"/>
      <c r="N11366" s="504" t="s">
        <v>2344</v>
      </c>
      <c r="O11366" s="528" t="s">
        <v>2345</v>
      </c>
      <c r="P11366" s="257"/>
      <c r="Q11366" s="321"/>
      <c r="R11366" s="260"/>
      <c r="S11366" s="260"/>
      <c r="T11366" s="260"/>
      <c r="U11366" s="260"/>
      <c r="V11366" s="260"/>
      <c r="W11366" s="262">
        <f>'РР 01.01 - 30.06'!W11366+'РР 01.07 - 31.08'!W11366+'РР 01.09 - 31.12'!W11366</f>
        <v>0</v>
      </c>
      <c r="X11366" s="260"/>
      <c r="Y11366" s="260"/>
      <c r="Z11366" s="262">
        <f>'РР 01.01 - 30.06'!Z11366+'РР 01.07 - 31.08'!Z11366+'РР 01.09 - 31.12'!Z11366</f>
        <v>0</v>
      </c>
      <c r="AA11366"/>
      <c r="AB11366"/>
      <c r="AC11366"/>
      <c r="AD11366"/>
      <c r="AE11366"/>
      <c r="AF11366"/>
      <c r="AG11366"/>
      <c r="AH11366"/>
      <c r="AI11366"/>
      <c r="AJ11366"/>
      <c r="AK11366"/>
      <c r="AL11366"/>
      <c r="AM11366"/>
      <c r="AN11366"/>
    </row>
    <row r="11367" spans="1:40" s="47" customFormat="1">
      <c r="A11367" s="121"/>
      <c r="B11367" s="121"/>
      <c r="C11367" s="121"/>
      <c r="D11367" s="121"/>
      <c r="E11367" s="121"/>
      <c r="F11367" s="121"/>
      <c r="G11367" s="121"/>
      <c r="H11367" s="121"/>
      <c r="I11367" s="121"/>
      <c r="J11367" s="121"/>
      <c r="K11367" s="121"/>
      <c r="L11367" s="121"/>
      <c r="M11367" s="121"/>
      <c r="N11367" s="504" t="s">
        <v>2346</v>
      </c>
      <c r="O11367" s="528" t="s">
        <v>2347</v>
      </c>
      <c r="P11367" s="257"/>
      <c r="Q11367" s="321"/>
      <c r="R11367" s="260"/>
      <c r="S11367" s="260"/>
      <c r="T11367" s="260"/>
      <c r="U11367" s="260"/>
      <c r="V11367" s="260"/>
      <c r="W11367" s="262">
        <f>'РР 01.01 - 30.06'!W11367+'РР 01.07 - 31.08'!W11367+'РР 01.09 - 31.12'!W11367</f>
        <v>0</v>
      </c>
      <c r="X11367" s="260"/>
      <c r="Y11367" s="260"/>
      <c r="Z11367" s="262">
        <f>'РР 01.01 - 30.06'!Z11367+'РР 01.07 - 31.08'!Z11367+'РР 01.09 - 31.12'!Z11367</f>
        <v>0</v>
      </c>
      <c r="AA11367"/>
      <c r="AB11367"/>
      <c r="AC11367"/>
      <c r="AD11367"/>
      <c r="AE11367"/>
      <c r="AF11367"/>
      <c r="AG11367"/>
      <c r="AH11367"/>
      <c r="AI11367"/>
      <c r="AJ11367"/>
      <c r="AK11367"/>
      <c r="AL11367"/>
      <c r="AM11367"/>
      <c r="AN11367"/>
    </row>
    <row r="11368" spans="1:40" s="47" customFormat="1">
      <c r="A11368" s="121"/>
      <c r="B11368" s="121"/>
      <c r="C11368" s="121"/>
      <c r="D11368" s="121"/>
      <c r="E11368" s="121"/>
      <c r="F11368" s="121"/>
      <c r="G11368" s="121"/>
      <c r="H11368" s="121"/>
      <c r="I11368" s="121"/>
      <c r="J11368" s="121"/>
      <c r="K11368" s="121"/>
      <c r="L11368" s="121"/>
      <c r="M11368" s="121"/>
      <c r="N11368" s="504" t="s">
        <v>2348</v>
      </c>
      <c r="O11368" s="528" t="s">
        <v>2349</v>
      </c>
      <c r="P11368" s="257"/>
      <c r="Q11368" s="321"/>
      <c r="R11368" s="260"/>
      <c r="S11368" s="260"/>
      <c r="T11368" s="260"/>
      <c r="U11368" s="260"/>
      <c r="V11368" s="260"/>
      <c r="W11368" s="262">
        <f>'РР 01.01 - 30.06'!W11368+'РР 01.07 - 31.08'!W11368+'РР 01.09 - 31.12'!W11368</f>
        <v>0</v>
      </c>
      <c r="X11368" s="260"/>
      <c r="Y11368" s="260"/>
      <c r="Z11368" s="262">
        <f>'РР 01.01 - 30.06'!Z11368+'РР 01.07 - 31.08'!Z11368+'РР 01.09 - 31.12'!Z11368</f>
        <v>0</v>
      </c>
      <c r="AA11368"/>
      <c r="AB11368"/>
      <c r="AC11368"/>
      <c r="AD11368"/>
      <c r="AE11368"/>
      <c r="AF11368"/>
      <c r="AG11368"/>
      <c r="AH11368"/>
      <c r="AI11368"/>
      <c r="AJ11368"/>
      <c r="AK11368"/>
      <c r="AL11368"/>
      <c r="AM11368"/>
      <c r="AN11368"/>
    </row>
    <row r="11369" spans="1:40" s="47" customFormat="1">
      <c r="A11369" s="121"/>
      <c r="B11369" s="121"/>
      <c r="C11369" s="121"/>
      <c r="D11369" s="121"/>
      <c r="E11369" s="121"/>
      <c r="F11369" s="121"/>
      <c r="G11369" s="121"/>
      <c r="H11369" s="121"/>
      <c r="I11369" s="121"/>
      <c r="J11369" s="121"/>
      <c r="K11369" s="121"/>
      <c r="L11369" s="121"/>
      <c r="M11369" s="121"/>
      <c r="N11369" s="504" t="s">
        <v>2350</v>
      </c>
      <c r="O11369" s="528" t="s">
        <v>2351</v>
      </c>
      <c r="P11369" s="257"/>
      <c r="Q11369" s="321"/>
      <c r="R11369" s="260"/>
      <c r="S11369" s="260"/>
      <c r="T11369" s="260"/>
      <c r="U11369" s="260"/>
      <c r="V11369" s="260"/>
      <c r="W11369" s="262">
        <f>'РР 01.01 - 30.06'!W11369+'РР 01.07 - 31.08'!W11369+'РР 01.09 - 31.12'!W11369</f>
        <v>0</v>
      </c>
      <c r="X11369" s="260"/>
      <c r="Y11369" s="260"/>
      <c r="Z11369" s="262">
        <f>'РР 01.01 - 30.06'!Z11369+'РР 01.07 - 31.08'!Z11369+'РР 01.09 - 31.12'!Z11369</f>
        <v>0</v>
      </c>
      <c r="AA11369"/>
      <c r="AB11369"/>
      <c r="AC11369"/>
      <c r="AD11369"/>
      <c r="AE11369"/>
      <c r="AF11369"/>
      <c r="AG11369"/>
      <c r="AH11369"/>
      <c r="AI11369"/>
      <c r="AJ11369"/>
      <c r="AK11369"/>
      <c r="AL11369"/>
      <c r="AM11369"/>
      <c r="AN11369"/>
    </row>
    <row r="11370" spans="1:40" s="47" customFormat="1">
      <c r="A11370" s="121"/>
      <c r="B11370" s="121"/>
      <c r="C11370" s="121"/>
      <c r="D11370" s="121"/>
      <c r="E11370" s="121"/>
      <c r="F11370" s="121"/>
      <c r="G11370" s="121"/>
      <c r="H11370" s="121"/>
      <c r="I11370" s="121"/>
      <c r="J11370" s="121"/>
      <c r="K11370" s="121"/>
      <c r="L11370" s="121"/>
      <c r="M11370" s="121"/>
      <c r="N11370" s="504" t="s">
        <v>2352</v>
      </c>
      <c r="O11370" s="528" t="s">
        <v>2353</v>
      </c>
      <c r="P11370" s="257"/>
      <c r="Q11370" s="321"/>
      <c r="R11370" s="260"/>
      <c r="S11370" s="260"/>
      <c r="T11370" s="260"/>
      <c r="U11370" s="260"/>
      <c r="V11370" s="260"/>
      <c r="W11370" s="262">
        <f>'РР 01.01 - 30.06'!W11370+'РР 01.07 - 31.08'!W11370+'РР 01.09 - 31.12'!W11370</f>
        <v>0</v>
      </c>
      <c r="X11370" s="260"/>
      <c r="Y11370" s="260"/>
      <c r="Z11370" s="262">
        <f>'РР 01.01 - 30.06'!Z11370+'РР 01.07 - 31.08'!Z11370+'РР 01.09 - 31.12'!Z11370</f>
        <v>0</v>
      </c>
      <c r="AA11370"/>
      <c r="AB11370"/>
      <c r="AC11370"/>
      <c r="AD11370"/>
      <c r="AE11370"/>
      <c r="AF11370"/>
      <c r="AG11370"/>
      <c r="AH11370"/>
      <c r="AI11370"/>
      <c r="AJ11370"/>
      <c r="AK11370"/>
      <c r="AL11370"/>
      <c r="AM11370"/>
      <c r="AN11370"/>
    </row>
    <row r="11371" spans="1:40" s="47" customFormat="1">
      <c r="A11371" s="121"/>
      <c r="B11371" s="121"/>
      <c r="C11371" s="121"/>
      <c r="D11371" s="121"/>
      <c r="E11371" s="121"/>
      <c r="F11371" s="121"/>
      <c r="G11371" s="121"/>
      <c r="H11371" s="121"/>
      <c r="I11371" s="121"/>
      <c r="J11371" s="121"/>
      <c r="K11371" s="121"/>
      <c r="L11371" s="121"/>
      <c r="M11371" s="121"/>
      <c r="N11371" s="504" t="s">
        <v>2354</v>
      </c>
      <c r="O11371" s="528" t="s">
        <v>2355</v>
      </c>
      <c r="P11371" s="257"/>
      <c r="Q11371" s="321"/>
      <c r="R11371" s="260"/>
      <c r="S11371" s="260"/>
      <c r="T11371" s="260"/>
      <c r="U11371" s="260"/>
      <c r="V11371" s="260"/>
      <c r="W11371" s="262">
        <f>'РР 01.01 - 30.06'!W11371+'РР 01.07 - 31.08'!W11371+'РР 01.09 - 31.12'!W11371</f>
        <v>0</v>
      </c>
      <c r="X11371" s="260"/>
      <c r="Y11371" s="260"/>
      <c r="Z11371" s="262">
        <f>'РР 01.01 - 30.06'!Z11371+'РР 01.07 - 31.08'!Z11371+'РР 01.09 - 31.12'!Z11371</f>
        <v>0</v>
      </c>
      <c r="AA11371"/>
      <c r="AB11371"/>
      <c r="AC11371"/>
      <c r="AD11371"/>
      <c r="AE11371"/>
      <c r="AF11371"/>
      <c r="AG11371"/>
      <c r="AH11371"/>
      <c r="AI11371"/>
      <c r="AJ11371"/>
      <c r="AK11371"/>
      <c r="AL11371"/>
      <c r="AM11371"/>
      <c r="AN11371"/>
    </row>
    <row r="11372" spans="1:40" s="47" customFormat="1">
      <c r="A11372" s="121"/>
      <c r="B11372" s="121"/>
      <c r="C11372" s="121"/>
      <c r="D11372" s="121"/>
      <c r="E11372" s="121"/>
      <c r="F11372" s="121"/>
      <c r="G11372" s="121"/>
      <c r="H11372" s="121"/>
      <c r="I11372" s="121"/>
      <c r="J11372" s="121"/>
      <c r="K11372" s="121"/>
      <c r="L11372" s="121"/>
      <c r="M11372" s="121"/>
      <c r="N11372" s="504" t="s">
        <v>2356</v>
      </c>
      <c r="O11372" s="528" t="s">
        <v>2357</v>
      </c>
      <c r="P11372" s="257"/>
      <c r="Q11372" s="321"/>
      <c r="R11372" s="260"/>
      <c r="S11372" s="260"/>
      <c r="T11372" s="260"/>
      <c r="U11372" s="260"/>
      <c r="V11372" s="260"/>
      <c r="W11372" s="262">
        <f>'РР 01.01 - 30.06'!W11372+'РР 01.07 - 31.08'!W11372+'РР 01.09 - 31.12'!W11372</f>
        <v>0</v>
      </c>
      <c r="X11372" s="260"/>
      <c r="Y11372" s="260"/>
      <c r="Z11372" s="262">
        <f>'РР 01.01 - 30.06'!Z11372+'РР 01.07 - 31.08'!Z11372+'РР 01.09 - 31.12'!Z11372</f>
        <v>0</v>
      </c>
      <c r="AA11372"/>
      <c r="AB11372"/>
      <c r="AC11372"/>
      <c r="AD11372"/>
      <c r="AE11372"/>
      <c r="AF11372"/>
      <c r="AG11372"/>
      <c r="AH11372"/>
      <c r="AI11372"/>
      <c r="AJ11372"/>
      <c r="AK11372"/>
      <c r="AL11372"/>
      <c r="AM11372"/>
      <c r="AN11372"/>
    </row>
    <row r="11373" spans="1:40" s="47" customFormat="1">
      <c r="A11373" s="121"/>
      <c r="B11373" s="121"/>
      <c r="C11373" s="121"/>
      <c r="D11373" s="121"/>
      <c r="E11373" s="121"/>
      <c r="F11373" s="121"/>
      <c r="G11373" s="121"/>
      <c r="H11373" s="121"/>
      <c r="I11373" s="121"/>
      <c r="J11373" s="121"/>
      <c r="K11373" s="121"/>
      <c r="L11373" s="121"/>
      <c r="M11373" s="121"/>
      <c r="N11373" s="504" t="s">
        <v>2358</v>
      </c>
      <c r="O11373" s="536" t="s">
        <v>2359</v>
      </c>
      <c r="P11373" s="257"/>
      <c r="Q11373" s="321"/>
      <c r="R11373" s="260"/>
      <c r="S11373" s="260"/>
      <c r="T11373" s="260"/>
      <c r="U11373" s="260"/>
      <c r="V11373" s="260"/>
      <c r="W11373" s="262">
        <f>'РР 01.01 - 30.06'!W11373+'РР 01.07 - 31.08'!W11373+'РР 01.09 - 31.12'!W11373</f>
        <v>0</v>
      </c>
      <c r="X11373" s="260"/>
      <c r="Y11373" s="260"/>
      <c r="Z11373" s="262">
        <f>'РР 01.01 - 30.06'!Z11373+'РР 01.07 - 31.08'!Z11373+'РР 01.09 - 31.12'!Z11373</f>
        <v>0</v>
      </c>
      <c r="AA11373"/>
      <c r="AB11373"/>
      <c r="AC11373"/>
      <c r="AD11373"/>
      <c r="AE11373"/>
      <c r="AF11373"/>
      <c r="AG11373"/>
      <c r="AH11373"/>
      <c r="AI11373"/>
      <c r="AJ11373"/>
      <c r="AK11373"/>
      <c r="AL11373"/>
      <c r="AM11373"/>
      <c r="AN11373"/>
    </row>
    <row r="11374" spans="1:40" s="47" customFormat="1">
      <c r="A11374" s="121"/>
      <c r="B11374" s="121"/>
      <c r="C11374" s="121"/>
      <c r="D11374" s="121"/>
      <c r="E11374" s="121"/>
      <c r="F11374" s="121"/>
      <c r="G11374" s="121"/>
      <c r="H11374" s="121"/>
      <c r="I11374" s="121"/>
      <c r="J11374" s="121"/>
      <c r="K11374" s="121"/>
      <c r="L11374" s="121"/>
      <c r="M11374" s="121"/>
      <c r="N11374" s="504" t="s">
        <v>2360</v>
      </c>
      <c r="O11374" s="537" t="s">
        <v>2444</v>
      </c>
      <c r="P11374" s="257"/>
      <c r="Q11374" s="321"/>
      <c r="R11374" s="260"/>
      <c r="S11374" s="260"/>
      <c r="T11374" s="260"/>
      <c r="U11374" s="260"/>
      <c r="V11374" s="260"/>
      <c r="W11374" s="262">
        <f>'РР 01.01 - 30.06'!W11374+'РР 01.07 - 31.08'!W11374+'РР 01.09 - 31.12'!W11374</f>
        <v>0</v>
      </c>
      <c r="X11374" s="260"/>
      <c r="Y11374" s="260"/>
      <c r="Z11374" s="262">
        <f>'РР 01.01 - 30.06'!Z11374+'РР 01.07 - 31.08'!Z11374+'РР 01.09 - 31.12'!Z11374</f>
        <v>0</v>
      </c>
      <c r="AA11374"/>
      <c r="AB11374"/>
      <c r="AC11374"/>
      <c r="AD11374"/>
      <c r="AE11374"/>
      <c r="AF11374"/>
      <c r="AG11374"/>
      <c r="AH11374"/>
      <c r="AI11374"/>
      <c r="AJ11374"/>
      <c r="AK11374"/>
      <c r="AL11374"/>
      <c r="AM11374"/>
      <c r="AN11374"/>
    </row>
    <row r="11375" spans="1:40" s="47" customFormat="1">
      <c r="A11375" s="121"/>
      <c r="B11375" s="121"/>
      <c r="C11375" s="121"/>
      <c r="D11375" s="121"/>
      <c r="E11375" s="121"/>
      <c r="F11375" s="121"/>
      <c r="G11375" s="121"/>
      <c r="H11375" s="121"/>
      <c r="I11375" s="121"/>
      <c r="J11375" s="121"/>
      <c r="K11375" s="121"/>
      <c r="L11375" s="121"/>
      <c r="M11375" s="121"/>
      <c r="N11375" s="504" t="s">
        <v>2361</v>
      </c>
      <c r="O11375" s="537" t="s">
        <v>2362</v>
      </c>
      <c r="P11375" s="257"/>
      <c r="Q11375" s="321"/>
      <c r="R11375" s="260"/>
      <c r="S11375" s="260"/>
      <c r="T11375" s="260"/>
      <c r="U11375" s="260"/>
      <c r="V11375" s="260"/>
      <c r="W11375" s="262">
        <f>'РР 01.01 - 30.06'!W11375+'РР 01.07 - 31.08'!W11375+'РР 01.09 - 31.12'!W11375</f>
        <v>0</v>
      </c>
      <c r="X11375" s="260"/>
      <c r="Y11375" s="260"/>
      <c r="Z11375" s="262">
        <f>'РР 01.01 - 30.06'!Z11375+'РР 01.07 - 31.08'!Z11375+'РР 01.09 - 31.12'!Z11375</f>
        <v>0</v>
      </c>
      <c r="AA11375"/>
      <c r="AB11375"/>
      <c r="AC11375"/>
      <c r="AD11375"/>
      <c r="AE11375"/>
      <c r="AF11375"/>
      <c r="AG11375"/>
      <c r="AH11375"/>
      <c r="AI11375"/>
      <c r="AJ11375"/>
      <c r="AK11375"/>
      <c r="AL11375"/>
      <c r="AM11375"/>
      <c r="AN11375"/>
    </row>
    <row r="11376" spans="1:40" s="47" customFormat="1">
      <c r="A11376" s="121"/>
      <c r="B11376" s="121"/>
      <c r="C11376" s="121"/>
      <c r="D11376" s="121"/>
      <c r="E11376" s="121"/>
      <c r="F11376" s="121"/>
      <c r="G11376" s="121"/>
      <c r="H11376" s="121"/>
      <c r="I11376" s="121"/>
      <c r="J11376" s="121"/>
      <c r="K11376" s="121"/>
      <c r="L11376" s="121"/>
      <c r="M11376" s="121"/>
      <c r="N11376" s="504" t="s">
        <v>2363</v>
      </c>
      <c r="O11376" s="528" t="s">
        <v>872</v>
      </c>
      <c r="P11376" s="257"/>
      <c r="Q11376" s="321"/>
      <c r="R11376" s="260"/>
      <c r="S11376" s="260"/>
      <c r="T11376" s="260"/>
      <c r="U11376" s="260"/>
      <c r="V11376" s="260"/>
      <c r="W11376" s="262">
        <f>'РР 01.01 - 30.06'!W11376+'РР 01.07 - 31.08'!W11376+'РР 01.09 - 31.12'!W11376</f>
        <v>0</v>
      </c>
      <c r="X11376" s="260"/>
      <c r="Y11376" s="260"/>
      <c r="Z11376" s="262">
        <f>'РР 01.01 - 30.06'!Z11376+'РР 01.07 - 31.08'!Z11376+'РР 01.09 - 31.12'!Z11376</f>
        <v>0</v>
      </c>
      <c r="AA11376"/>
      <c r="AB11376"/>
      <c r="AC11376"/>
      <c r="AD11376"/>
      <c r="AE11376"/>
      <c r="AF11376"/>
      <c r="AG11376"/>
      <c r="AH11376"/>
      <c r="AI11376"/>
      <c r="AJ11376"/>
      <c r="AK11376"/>
      <c r="AL11376"/>
      <c r="AM11376"/>
      <c r="AN11376"/>
    </row>
    <row r="11377" spans="1:40" s="47" customFormat="1" ht="22.5">
      <c r="A11377" s="121"/>
      <c r="B11377" s="121"/>
      <c r="C11377" s="121"/>
      <c r="D11377" s="121"/>
      <c r="E11377" s="121"/>
      <c r="F11377" s="121"/>
      <c r="G11377" s="121"/>
      <c r="H11377" s="121"/>
      <c r="I11377" s="121"/>
      <c r="J11377" s="121"/>
      <c r="K11377" s="121"/>
      <c r="L11377" s="121"/>
      <c r="M11377" s="121"/>
      <c r="N11377" s="504" t="s">
        <v>2364</v>
      </c>
      <c r="O11377" s="528" t="s">
        <v>2365</v>
      </c>
      <c r="P11377" s="257"/>
      <c r="Q11377" s="321"/>
      <c r="R11377" s="260"/>
      <c r="S11377" s="260"/>
      <c r="T11377" s="260"/>
      <c r="U11377" s="260"/>
      <c r="V11377" s="260"/>
      <c r="W11377" s="262">
        <f>'РР 01.01 - 30.06'!W11377+'РР 01.07 - 31.08'!W11377+'РР 01.09 - 31.12'!W11377</f>
        <v>0</v>
      </c>
      <c r="X11377" s="260"/>
      <c r="Y11377" s="260"/>
      <c r="Z11377" s="262">
        <f>'РР 01.01 - 30.06'!Z11377+'РР 01.07 - 31.08'!Z11377+'РР 01.09 - 31.12'!Z11377</f>
        <v>0</v>
      </c>
      <c r="AA11377"/>
      <c r="AB11377"/>
      <c r="AC11377"/>
      <c r="AD11377"/>
      <c r="AE11377"/>
      <c r="AF11377"/>
      <c r="AG11377"/>
      <c r="AH11377"/>
      <c r="AI11377"/>
      <c r="AJ11377"/>
      <c r="AK11377"/>
      <c r="AL11377"/>
      <c r="AM11377"/>
      <c r="AN11377"/>
    </row>
    <row r="11378" spans="1:40" s="47" customFormat="1">
      <c r="A11378" s="121"/>
      <c r="B11378" s="121"/>
      <c r="C11378" s="121"/>
      <c r="D11378" s="121"/>
      <c r="E11378" s="121"/>
      <c r="F11378" s="121"/>
      <c r="G11378" s="121"/>
      <c r="H11378" s="121"/>
      <c r="I11378" s="121"/>
      <c r="J11378" s="121"/>
      <c r="K11378" s="121"/>
      <c r="L11378" s="121"/>
      <c r="M11378" s="121"/>
      <c r="N11378" s="504" t="s">
        <v>2366</v>
      </c>
      <c r="O11378" s="528" t="s">
        <v>2367</v>
      </c>
      <c r="P11378" s="257"/>
      <c r="Q11378" s="321"/>
      <c r="R11378" s="260"/>
      <c r="S11378" s="260"/>
      <c r="T11378" s="260"/>
      <c r="U11378" s="260"/>
      <c r="V11378" s="260"/>
      <c r="W11378" s="262">
        <f>'РР 01.01 - 30.06'!W11378+'РР 01.07 - 31.08'!W11378+'РР 01.09 - 31.12'!W11378</f>
        <v>0</v>
      </c>
      <c r="X11378" s="260"/>
      <c r="Y11378" s="260"/>
      <c r="Z11378" s="262">
        <f>'РР 01.01 - 30.06'!Z11378+'РР 01.07 - 31.08'!Z11378+'РР 01.09 - 31.12'!Z11378</f>
        <v>0</v>
      </c>
      <c r="AA11378"/>
      <c r="AB11378"/>
      <c r="AC11378"/>
      <c r="AD11378"/>
      <c r="AE11378"/>
      <c r="AF11378"/>
      <c r="AG11378"/>
      <c r="AH11378"/>
      <c r="AI11378"/>
      <c r="AJ11378"/>
      <c r="AK11378"/>
      <c r="AL11378"/>
      <c r="AM11378"/>
      <c r="AN11378"/>
    </row>
    <row r="11379" spans="1:40" s="47" customFormat="1">
      <c r="A11379" s="121"/>
      <c r="B11379" s="121"/>
      <c r="C11379" s="121"/>
      <c r="D11379" s="121"/>
      <c r="E11379" s="121"/>
      <c r="F11379" s="121"/>
      <c r="G11379" s="121"/>
      <c r="H11379" s="121"/>
      <c r="I11379" s="121"/>
      <c r="J11379" s="121"/>
      <c r="K11379" s="121"/>
      <c r="L11379" s="121"/>
      <c r="M11379" s="121"/>
      <c r="N11379" s="504" t="s">
        <v>752</v>
      </c>
      <c r="O11379" s="723" t="s">
        <v>2726</v>
      </c>
      <c r="P11379" s="257"/>
      <c r="Q11379" s="321"/>
      <c r="R11379" s="260"/>
      <c r="S11379" s="260"/>
      <c r="T11379" s="260"/>
      <c r="U11379" s="260"/>
      <c r="V11379" s="260"/>
      <c r="W11379" s="262">
        <f>'РР 01.01 - 30.06'!W11379+'РР 01.07 - 31.08'!W11379+'РР 01.09 - 31.12'!W11379</f>
        <v>0</v>
      </c>
      <c r="X11379" s="260"/>
      <c r="Y11379" s="260"/>
      <c r="Z11379" s="262">
        <f>'РР 01.01 - 30.06'!Z11379+'РР 01.07 - 31.08'!Z11379+'РР 01.09 - 31.12'!Z11379</f>
        <v>0</v>
      </c>
      <c r="AA11379"/>
      <c r="AB11379"/>
      <c r="AC11379"/>
      <c r="AD11379"/>
      <c r="AE11379"/>
      <c r="AF11379"/>
      <c r="AG11379"/>
      <c r="AH11379"/>
      <c r="AI11379"/>
      <c r="AJ11379"/>
      <c r="AK11379"/>
      <c r="AL11379"/>
      <c r="AM11379"/>
      <c r="AN11379"/>
    </row>
    <row r="11380" spans="1:40" s="47" customFormat="1">
      <c r="A11380" s="121"/>
      <c r="B11380" s="121"/>
      <c r="C11380" s="121"/>
      <c r="D11380" s="121"/>
      <c r="E11380" s="121"/>
      <c r="F11380" s="121"/>
      <c r="G11380" s="121"/>
      <c r="H11380" s="121"/>
      <c r="I11380" s="121"/>
      <c r="J11380" s="121"/>
      <c r="K11380" s="121"/>
      <c r="L11380" s="121"/>
      <c r="M11380" s="121"/>
      <c r="N11380" s="504" t="s">
        <v>760</v>
      </c>
      <c r="O11380" s="527" t="s">
        <v>2368</v>
      </c>
      <c r="P11380" s="257"/>
      <c r="Q11380" s="321"/>
      <c r="R11380" s="260"/>
      <c r="S11380" s="260"/>
      <c r="T11380" s="260"/>
      <c r="U11380" s="260"/>
      <c r="V11380" s="260"/>
      <c r="W11380" s="262">
        <f>'РР 01.01 - 30.06'!W11380+'РР 01.07 - 31.08'!W11380+'РР 01.09 - 31.12'!W11380</f>
        <v>0</v>
      </c>
      <c r="X11380" s="260"/>
      <c r="Y11380" s="260"/>
      <c r="Z11380" s="262">
        <f>'РР 01.01 - 30.06'!Z11380+'РР 01.07 - 31.08'!Z11380+'РР 01.09 - 31.12'!Z11380</f>
        <v>0</v>
      </c>
      <c r="AA11380"/>
      <c r="AB11380"/>
      <c r="AC11380"/>
      <c r="AD11380"/>
      <c r="AE11380"/>
      <c r="AF11380"/>
      <c r="AG11380"/>
      <c r="AH11380"/>
      <c r="AI11380"/>
      <c r="AJ11380"/>
      <c r="AK11380"/>
      <c r="AL11380"/>
      <c r="AM11380"/>
      <c r="AN11380"/>
    </row>
    <row r="11381" spans="1:40" s="47" customFormat="1">
      <c r="A11381" s="121"/>
      <c r="B11381" s="121"/>
      <c r="C11381" s="121"/>
      <c r="D11381" s="121"/>
      <c r="E11381" s="121"/>
      <c r="F11381" s="121"/>
      <c r="G11381" s="121"/>
      <c r="H11381" s="121"/>
      <c r="I11381" s="121"/>
      <c r="J11381" s="121"/>
      <c r="K11381" s="121"/>
      <c r="L11381" s="121"/>
      <c r="M11381" s="121"/>
      <c r="N11381" s="504" t="s">
        <v>917</v>
      </c>
      <c r="O11381" s="528" t="s">
        <v>2369</v>
      </c>
      <c r="P11381" s="257"/>
      <c r="Q11381" s="321"/>
      <c r="R11381" s="260"/>
      <c r="S11381" s="260"/>
      <c r="T11381" s="260"/>
      <c r="U11381" s="260"/>
      <c r="V11381" s="260"/>
      <c r="W11381" s="262">
        <f>'РР 01.01 - 30.06'!W11381+'РР 01.07 - 31.08'!W11381+'РР 01.09 - 31.12'!W11381</f>
        <v>0</v>
      </c>
      <c r="X11381" s="260"/>
      <c r="Y11381" s="260"/>
      <c r="Z11381" s="262">
        <f>'РР 01.01 - 30.06'!Z11381+'РР 01.07 - 31.08'!Z11381+'РР 01.09 - 31.12'!Z11381</f>
        <v>0</v>
      </c>
      <c r="AA11381"/>
      <c r="AB11381"/>
      <c r="AC11381"/>
      <c r="AD11381"/>
      <c r="AE11381"/>
      <c r="AF11381"/>
      <c r="AG11381"/>
      <c r="AH11381"/>
      <c r="AI11381"/>
      <c r="AJ11381"/>
      <c r="AK11381"/>
      <c r="AL11381"/>
      <c r="AM11381"/>
      <c r="AN11381"/>
    </row>
    <row r="11382" spans="1:40" s="47" customFormat="1">
      <c r="A11382" s="121"/>
      <c r="B11382" s="121"/>
      <c r="C11382" s="121"/>
      <c r="D11382" s="121"/>
      <c r="E11382" s="121"/>
      <c r="F11382" s="121"/>
      <c r="G11382" s="121"/>
      <c r="H11382" s="121"/>
      <c r="I11382" s="121"/>
      <c r="J11382" s="121"/>
      <c r="K11382" s="121"/>
      <c r="L11382" s="121"/>
      <c r="M11382" s="121"/>
      <c r="N11382" s="504" t="s">
        <v>761</v>
      </c>
      <c r="O11382" s="527" t="s">
        <v>862</v>
      </c>
      <c r="P11382" s="257"/>
      <c r="Q11382" s="321"/>
      <c r="R11382" s="260"/>
      <c r="S11382" s="260"/>
      <c r="T11382" s="260"/>
      <c r="U11382" s="260"/>
      <c r="V11382" s="260"/>
      <c r="W11382" s="262">
        <f>'РР 01.01 - 30.06'!W11382+'РР 01.07 - 31.08'!W11382+'РР 01.09 - 31.12'!W11382</f>
        <v>0</v>
      </c>
      <c r="X11382" s="260"/>
      <c r="Y11382" s="260"/>
      <c r="Z11382" s="262">
        <f>'РР 01.01 - 30.06'!Z11382+'РР 01.07 - 31.08'!Z11382+'РР 01.09 - 31.12'!Z11382</f>
        <v>0</v>
      </c>
      <c r="AA11382"/>
      <c r="AB11382"/>
      <c r="AC11382"/>
      <c r="AD11382"/>
      <c r="AE11382"/>
      <c r="AF11382"/>
      <c r="AG11382"/>
      <c r="AH11382"/>
      <c r="AI11382"/>
      <c r="AJ11382"/>
      <c r="AK11382"/>
      <c r="AL11382"/>
      <c r="AM11382"/>
      <c r="AN11382"/>
    </row>
    <row r="11383" spans="1:40" s="47" customFormat="1">
      <c r="A11383" s="121"/>
      <c r="B11383" s="121"/>
      <c r="C11383" s="121"/>
      <c r="D11383" s="121"/>
      <c r="E11383" s="121"/>
      <c r="F11383" s="121"/>
      <c r="G11383" s="121"/>
      <c r="H11383" s="121"/>
      <c r="I11383" s="121"/>
      <c r="J11383" s="121"/>
      <c r="K11383" s="121"/>
      <c r="L11383" s="121"/>
      <c r="M11383" s="121"/>
      <c r="N11383" s="504" t="s">
        <v>762</v>
      </c>
      <c r="O11383" s="527" t="s">
        <v>864</v>
      </c>
      <c r="P11383" s="257"/>
      <c r="Q11383" s="321"/>
      <c r="R11383" s="260"/>
      <c r="S11383" s="260"/>
      <c r="T11383" s="260"/>
      <c r="U11383" s="260"/>
      <c r="V11383" s="260"/>
      <c r="W11383" s="262">
        <f>'РР 01.01 - 30.06'!W11383+'РР 01.07 - 31.08'!W11383+'РР 01.09 - 31.12'!W11383</f>
        <v>0</v>
      </c>
      <c r="X11383" s="260"/>
      <c r="Y11383" s="260"/>
      <c r="Z11383" s="262">
        <f>'РР 01.01 - 30.06'!Z11383+'РР 01.07 - 31.08'!Z11383+'РР 01.09 - 31.12'!Z11383</f>
        <v>0</v>
      </c>
      <c r="AA11383"/>
      <c r="AB11383"/>
      <c r="AC11383"/>
      <c r="AD11383"/>
      <c r="AE11383"/>
      <c r="AF11383"/>
      <c r="AG11383"/>
      <c r="AH11383"/>
      <c r="AI11383"/>
      <c r="AJ11383"/>
      <c r="AK11383"/>
      <c r="AL11383"/>
      <c r="AM11383"/>
      <c r="AN11383"/>
    </row>
    <row r="11384" spans="1:40" s="47" customFormat="1">
      <c r="A11384" s="121"/>
      <c r="B11384" s="121"/>
      <c r="C11384" s="121"/>
      <c r="D11384" s="121"/>
      <c r="E11384" s="121"/>
      <c r="F11384" s="121"/>
      <c r="G11384" s="121"/>
      <c r="H11384" s="121"/>
      <c r="I11384" s="121"/>
      <c r="J11384" s="121"/>
      <c r="K11384" s="121"/>
      <c r="L11384" s="121"/>
      <c r="M11384" s="121"/>
      <c r="N11384" s="504" t="s">
        <v>763</v>
      </c>
      <c r="O11384" s="527" t="s">
        <v>866</v>
      </c>
      <c r="P11384" s="257"/>
      <c r="Q11384" s="321"/>
      <c r="R11384" s="260"/>
      <c r="S11384" s="260"/>
      <c r="T11384" s="260"/>
      <c r="U11384" s="260"/>
      <c r="V11384" s="260"/>
      <c r="W11384" s="262">
        <f>'РР 01.01 - 30.06'!W11384+'РР 01.07 - 31.08'!W11384+'РР 01.09 - 31.12'!W11384</f>
        <v>0</v>
      </c>
      <c r="X11384" s="260"/>
      <c r="Y11384" s="260"/>
      <c r="Z11384" s="262">
        <f>'РР 01.01 - 30.06'!Z11384+'РР 01.07 - 31.08'!Z11384+'РР 01.09 - 31.12'!Z11384</f>
        <v>0</v>
      </c>
      <c r="AA11384"/>
      <c r="AB11384"/>
      <c r="AC11384"/>
      <c r="AD11384"/>
      <c r="AE11384"/>
      <c r="AF11384"/>
      <c r="AG11384"/>
      <c r="AH11384"/>
      <c r="AI11384"/>
      <c r="AJ11384"/>
      <c r="AK11384"/>
      <c r="AL11384"/>
      <c r="AM11384"/>
      <c r="AN11384"/>
    </row>
    <row r="11385" spans="1:40" s="47" customFormat="1">
      <c r="A11385" s="121"/>
      <c r="B11385" s="121"/>
      <c r="C11385" s="121"/>
      <c r="D11385" s="121"/>
      <c r="E11385" s="121"/>
      <c r="F11385" s="121"/>
      <c r="G11385" s="121"/>
      <c r="H11385" s="121"/>
      <c r="I11385" s="121"/>
      <c r="J11385" s="121"/>
      <c r="K11385" s="121"/>
      <c r="L11385" s="121"/>
      <c r="M11385" s="121"/>
      <c r="N11385" s="504" t="s">
        <v>764</v>
      </c>
      <c r="O11385" s="527" t="s">
        <v>2370</v>
      </c>
      <c r="P11385" s="257"/>
      <c r="Q11385" s="321"/>
      <c r="R11385" s="260"/>
      <c r="S11385" s="260"/>
      <c r="T11385" s="260"/>
      <c r="U11385" s="260"/>
      <c r="V11385" s="260"/>
      <c r="W11385" s="262">
        <f>'РР 01.01 - 30.06'!W11385+'РР 01.07 - 31.08'!W11385+'РР 01.09 - 31.12'!W11385</f>
        <v>0</v>
      </c>
      <c r="X11385" s="260"/>
      <c r="Y11385" s="260"/>
      <c r="Z11385" s="262">
        <f>'РР 01.01 - 30.06'!Z11385+'РР 01.07 - 31.08'!Z11385+'РР 01.09 - 31.12'!Z11385</f>
        <v>0</v>
      </c>
      <c r="AA11385"/>
      <c r="AB11385"/>
      <c r="AC11385"/>
      <c r="AD11385"/>
      <c r="AE11385"/>
      <c r="AF11385"/>
      <c r="AG11385"/>
      <c r="AH11385"/>
      <c r="AI11385"/>
      <c r="AJ11385"/>
      <c r="AK11385"/>
      <c r="AL11385"/>
      <c r="AM11385"/>
      <c r="AN11385"/>
    </row>
    <row r="11386" spans="1:40" s="47" customFormat="1">
      <c r="A11386" s="121"/>
      <c r="B11386" s="121"/>
      <c r="C11386" s="121"/>
      <c r="D11386" s="121"/>
      <c r="E11386" s="121"/>
      <c r="F11386" s="121"/>
      <c r="G11386" s="121"/>
      <c r="H11386" s="121"/>
      <c r="I11386" s="121"/>
      <c r="J11386" s="121"/>
      <c r="K11386" s="121"/>
      <c r="L11386" s="121"/>
      <c r="M11386" s="121"/>
      <c r="N11386" s="504" t="s">
        <v>2371</v>
      </c>
      <c r="O11386" s="528" t="s">
        <v>2372</v>
      </c>
      <c r="P11386" s="257"/>
      <c r="Q11386" s="321"/>
      <c r="R11386" s="260"/>
      <c r="S11386" s="260"/>
      <c r="T11386" s="260"/>
      <c r="U11386" s="260"/>
      <c r="V11386" s="260"/>
      <c r="W11386" s="262">
        <f>'РР 01.01 - 30.06'!W11386+'РР 01.07 - 31.08'!W11386+'РР 01.09 - 31.12'!W11386</f>
        <v>0</v>
      </c>
      <c r="X11386" s="260"/>
      <c r="Y11386" s="260"/>
      <c r="Z11386" s="262">
        <f>'РР 01.01 - 30.06'!Z11386+'РР 01.07 - 31.08'!Z11386+'РР 01.09 - 31.12'!Z11386</f>
        <v>0</v>
      </c>
      <c r="AA11386"/>
      <c r="AB11386"/>
      <c r="AC11386"/>
      <c r="AD11386"/>
      <c r="AE11386"/>
      <c r="AF11386"/>
      <c r="AG11386"/>
      <c r="AH11386"/>
      <c r="AI11386"/>
      <c r="AJ11386"/>
      <c r="AK11386"/>
      <c r="AL11386"/>
      <c r="AM11386"/>
      <c r="AN11386"/>
    </row>
    <row r="11387" spans="1:40" s="47" customFormat="1">
      <c r="A11387" s="121"/>
      <c r="B11387" s="121"/>
      <c r="C11387" s="121"/>
      <c r="D11387" s="121"/>
      <c r="E11387" s="121"/>
      <c r="F11387" s="121"/>
      <c r="G11387" s="121"/>
      <c r="H11387" s="121"/>
      <c r="I11387" s="121"/>
      <c r="J11387" s="121"/>
      <c r="K11387" s="121"/>
      <c r="L11387" s="121"/>
      <c r="M11387" s="121"/>
      <c r="N11387" s="504" t="s">
        <v>2373</v>
      </c>
      <c r="O11387" s="538" t="s">
        <v>2374</v>
      </c>
      <c r="P11387" s="257"/>
      <c r="Q11387" s="321"/>
      <c r="R11387" s="260"/>
      <c r="S11387" s="260"/>
      <c r="T11387" s="260"/>
      <c r="U11387" s="260"/>
      <c r="V11387" s="260"/>
      <c r="W11387" s="262">
        <f>'РР 01.01 - 30.06'!W11387+'РР 01.07 - 31.08'!W11387+'РР 01.09 - 31.12'!W11387</f>
        <v>0</v>
      </c>
      <c r="X11387" s="260"/>
      <c r="Y11387" s="260"/>
      <c r="Z11387" s="262">
        <f>'РР 01.01 - 30.06'!Z11387+'РР 01.07 - 31.08'!Z11387+'РР 01.09 - 31.12'!Z11387</f>
        <v>0</v>
      </c>
      <c r="AA11387"/>
      <c r="AB11387"/>
      <c r="AC11387"/>
      <c r="AD11387"/>
      <c r="AE11387"/>
      <c r="AF11387"/>
      <c r="AG11387"/>
      <c r="AH11387"/>
      <c r="AI11387"/>
      <c r="AJ11387"/>
      <c r="AK11387"/>
      <c r="AL11387"/>
      <c r="AM11387"/>
      <c r="AN11387"/>
    </row>
    <row r="11388" spans="1:40" s="47" customFormat="1">
      <c r="A11388" s="121"/>
      <c r="B11388" s="121"/>
      <c r="C11388" s="121"/>
      <c r="D11388" s="121"/>
      <c r="E11388" s="121"/>
      <c r="F11388" s="121"/>
      <c r="G11388" s="121"/>
      <c r="H11388" s="121"/>
      <c r="I11388" s="121"/>
      <c r="J11388" s="121"/>
      <c r="K11388" s="121"/>
      <c r="L11388" s="121"/>
      <c r="M11388" s="121"/>
      <c r="N11388" s="504" t="s">
        <v>2375</v>
      </c>
      <c r="O11388" s="528" t="s">
        <v>2376</v>
      </c>
      <c r="P11388" s="257"/>
      <c r="Q11388" s="321"/>
      <c r="R11388" s="260"/>
      <c r="S11388" s="260"/>
      <c r="T11388" s="260"/>
      <c r="U11388" s="260"/>
      <c r="V11388" s="260"/>
      <c r="W11388" s="262">
        <f>'РР 01.01 - 30.06'!W11388+'РР 01.07 - 31.08'!W11388+'РР 01.09 - 31.12'!W11388</f>
        <v>0</v>
      </c>
      <c r="X11388" s="260"/>
      <c r="Y11388" s="260"/>
      <c r="Z11388" s="262">
        <f>'РР 01.01 - 30.06'!Z11388+'РР 01.07 - 31.08'!Z11388+'РР 01.09 - 31.12'!Z11388</f>
        <v>0</v>
      </c>
      <c r="AA11388"/>
      <c r="AB11388"/>
      <c r="AC11388"/>
      <c r="AD11388"/>
      <c r="AE11388"/>
      <c r="AF11388"/>
      <c r="AG11388"/>
      <c r="AH11388"/>
      <c r="AI11388"/>
      <c r="AJ11388"/>
      <c r="AK11388"/>
      <c r="AL11388"/>
      <c r="AM11388"/>
      <c r="AN11388"/>
    </row>
    <row r="11389" spans="1:40" s="47" customFormat="1">
      <c r="A11389" s="121"/>
      <c r="B11389" s="121"/>
      <c r="C11389" s="121"/>
      <c r="D11389" s="121"/>
      <c r="E11389" s="121"/>
      <c r="F11389" s="121"/>
      <c r="G11389" s="121"/>
      <c r="H11389" s="121"/>
      <c r="I11389" s="121"/>
      <c r="J11389" s="121"/>
      <c r="K11389" s="121"/>
      <c r="L11389" s="121"/>
      <c r="M11389" s="121"/>
      <c r="N11389" s="504"/>
      <c r="O11389" s="526"/>
      <c r="P11389" s="260"/>
      <c r="Q11389" s="321"/>
      <c r="R11389" s="260"/>
      <c r="S11389" s="260"/>
      <c r="T11389" s="260"/>
      <c r="U11389" s="260"/>
      <c r="V11389" s="260"/>
      <c r="W11389" s="260"/>
      <c r="X11389" s="260"/>
      <c r="Y11389" s="260"/>
      <c r="Z11389" s="260"/>
      <c r="AA11389"/>
      <c r="AB11389"/>
      <c r="AC11389"/>
      <c r="AD11389"/>
      <c r="AE11389"/>
      <c r="AF11389"/>
      <c r="AG11389"/>
      <c r="AH11389"/>
      <c r="AI11389"/>
      <c r="AJ11389"/>
      <c r="AK11389"/>
      <c r="AL11389"/>
      <c r="AM11389"/>
    </row>
    <row r="11390" spans="1:40" s="47" customFormat="1">
      <c r="A11390" s="121"/>
      <c r="B11390" s="121"/>
      <c r="C11390" s="121"/>
      <c r="D11390" s="121"/>
      <c r="E11390" s="121"/>
      <c r="F11390" s="121"/>
      <c r="G11390" s="121"/>
      <c r="H11390" s="121"/>
      <c r="I11390" s="121"/>
      <c r="J11390" s="121"/>
      <c r="K11390" s="121"/>
      <c r="L11390" s="121"/>
      <c r="M11390" s="121"/>
      <c r="N11390" s="504"/>
      <c r="O11390" s="526"/>
      <c r="P11390" s="260"/>
      <c r="Q11390" s="321"/>
      <c r="R11390" s="260"/>
      <c r="S11390" s="260"/>
      <c r="T11390" s="260"/>
      <c r="U11390" s="260"/>
      <c r="V11390" s="260"/>
      <c r="W11390" s="260"/>
      <c r="X11390" s="260"/>
      <c r="Y11390" s="260"/>
      <c r="Z11390" s="260"/>
      <c r="AA11390"/>
      <c r="AB11390"/>
      <c r="AC11390"/>
      <c r="AD11390"/>
      <c r="AE11390"/>
      <c r="AF11390"/>
      <c r="AG11390"/>
      <c r="AH11390"/>
      <c r="AI11390"/>
      <c r="AJ11390"/>
      <c r="AK11390"/>
      <c r="AL11390"/>
      <c r="AM11390"/>
    </row>
    <row r="11391" spans="1:40" s="47" customFormat="1">
      <c r="A11391" s="121"/>
      <c r="B11391" s="121"/>
      <c r="C11391" s="121"/>
      <c r="D11391" s="121"/>
      <c r="E11391" s="121"/>
      <c r="F11391" s="121"/>
      <c r="G11391" s="121"/>
      <c r="H11391" s="121"/>
      <c r="I11391" s="121"/>
      <c r="J11391" s="121"/>
      <c r="K11391" s="121"/>
      <c r="L11391" s="121"/>
      <c r="M11391" s="121"/>
      <c r="N11391" s="504"/>
      <c r="O11391" s="526"/>
      <c r="P11391" s="260"/>
      <c r="Q11391" s="321"/>
      <c r="R11391" s="260"/>
      <c r="S11391" s="260"/>
      <c r="T11391" s="260"/>
      <c r="U11391" s="260"/>
      <c r="V11391" s="260"/>
      <c r="W11391" s="260"/>
      <c r="X11391" s="260"/>
      <c r="Y11391" s="260"/>
      <c r="Z11391" s="260"/>
      <c r="AA11391"/>
      <c r="AB11391"/>
      <c r="AC11391"/>
      <c r="AD11391"/>
      <c r="AE11391"/>
      <c r="AF11391"/>
      <c r="AG11391"/>
      <c r="AH11391"/>
      <c r="AI11391"/>
      <c r="AJ11391"/>
      <c r="AK11391"/>
      <c r="AL11391"/>
      <c r="AM11391"/>
    </row>
    <row r="11392" spans="1:40" s="47" customFormat="1">
      <c r="A11392" s="121"/>
      <c r="B11392" s="121"/>
      <c r="C11392" s="121"/>
      <c r="D11392" s="121"/>
      <c r="E11392" s="121"/>
      <c r="F11392" s="121"/>
      <c r="G11392" s="121"/>
      <c r="H11392" s="121"/>
      <c r="I11392" s="121"/>
      <c r="J11392" s="121"/>
      <c r="K11392" s="121"/>
      <c r="L11392" s="121"/>
      <c r="M11392" s="121"/>
      <c r="N11392" s="504"/>
      <c r="O11392" s="526"/>
      <c r="P11392" s="260"/>
      <c r="Q11392" s="321"/>
      <c r="R11392" s="260"/>
      <c r="S11392" s="260"/>
      <c r="T11392" s="260"/>
      <c r="U11392" s="260"/>
      <c r="V11392" s="260"/>
      <c r="W11392" s="260"/>
      <c r="X11392" s="260"/>
      <c r="Y11392" s="260"/>
      <c r="Z11392" s="260"/>
      <c r="AA11392"/>
      <c r="AB11392"/>
      <c r="AC11392"/>
      <c r="AD11392"/>
      <c r="AE11392"/>
      <c r="AF11392"/>
      <c r="AG11392"/>
      <c r="AH11392"/>
      <c r="AI11392"/>
      <c r="AJ11392"/>
      <c r="AK11392"/>
      <c r="AL11392"/>
      <c r="AM11392"/>
    </row>
    <row r="11393" spans="1:40" s="47" customFormat="1">
      <c r="A11393" s="121"/>
      <c r="B11393" s="121"/>
      <c r="C11393" s="121"/>
      <c r="D11393" s="121"/>
      <c r="E11393" s="121"/>
      <c r="F11393" s="121"/>
      <c r="G11393" s="121"/>
      <c r="H11393" s="121"/>
      <c r="I11393" s="121"/>
      <c r="J11393" s="121"/>
      <c r="K11393" s="121"/>
      <c r="L11393" s="121"/>
      <c r="M11393" s="121"/>
      <c r="N11393" s="504"/>
      <c r="O11393" s="526"/>
      <c r="P11393" s="260"/>
      <c r="Q11393" s="321"/>
      <c r="R11393" s="260"/>
      <c r="S11393" s="260"/>
      <c r="T11393" s="260"/>
      <c r="U11393" s="260"/>
      <c r="V11393" s="260"/>
      <c r="W11393" s="260"/>
      <c r="X11393" s="260"/>
      <c r="Y11393" s="260"/>
      <c r="Z11393" s="260"/>
      <c r="AA11393"/>
      <c r="AB11393"/>
      <c r="AC11393"/>
      <c r="AD11393"/>
      <c r="AE11393"/>
      <c r="AF11393"/>
      <c r="AG11393"/>
      <c r="AH11393"/>
      <c r="AI11393"/>
      <c r="AJ11393"/>
      <c r="AK11393"/>
      <c r="AL11393"/>
      <c r="AM11393"/>
    </row>
    <row r="11394" spans="1:40" s="47" customFormat="1">
      <c r="A11394" s="121"/>
      <c r="B11394" s="121"/>
      <c r="C11394" s="121"/>
      <c r="D11394" s="121"/>
      <c r="E11394" s="121"/>
      <c r="F11394" s="121"/>
      <c r="G11394" s="121"/>
      <c r="H11394" s="121"/>
      <c r="I11394" s="121"/>
      <c r="J11394" s="121"/>
      <c r="K11394" s="121"/>
      <c r="L11394" s="121"/>
      <c r="M11394" s="121"/>
      <c r="N11394" s="504"/>
      <c r="O11394" s="526"/>
      <c r="P11394" s="260"/>
      <c r="Q11394" s="321"/>
      <c r="R11394" s="260"/>
      <c r="S11394" s="260"/>
      <c r="T11394" s="260"/>
      <c r="U11394" s="260"/>
      <c r="V11394" s="260"/>
      <c r="W11394" s="260"/>
      <c r="X11394" s="260"/>
      <c r="Y11394" s="260"/>
      <c r="Z11394" s="260"/>
      <c r="AA11394"/>
      <c r="AB11394"/>
      <c r="AC11394"/>
      <c r="AD11394"/>
      <c r="AE11394"/>
      <c r="AF11394"/>
      <c r="AG11394"/>
      <c r="AH11394"/>
      <c r="AI11394"/>
      <c r="AJ11394"/>
      <c r="AK11394"/>
      <c r="AL11394"/>
      <c r="AM11394"/>
    </row>
    <row r="11395" spans="1:40" s="47" customFormat="1">
      <c r="A11395" s="121"/>
      <c r="B11395" s="121"/>
      <c r="C11395" s="121"/>
      <c r="D11395" s="121"/>
      <c r="E11395" s="121"/>
      <c r="F11395" s="121"/>
      <c r="G11395" s="121"/>
      <c r="H11395" s="121"/>
      <c r="I11395" s="121"/>
      <c r="J11395" s="121"/>
      <c r="K11395" s="121"/>
      <c r="L11395" s="121"/>
      <c r="M11395" s="121"/>
      <c r="N11395" s="725" t="s">
        <v>3072</v>
      </c>
      <c r="O11395" s="724" t="s">
        <v>2727</v>
      </c>
      <c r="P11395" s="257"/>
      <c r="Q11395" s="321"/>
      <c r="R11395" s="260"/>
      <c r="S11395" s="260"/>
      <c r="T11395" s="260"/>
      <c r="U11395" s="260"/>
      <c r="V11395" s="260"/>
      <c r="W11395" s="262">
        <f>'РР 01.01 - 30.06'!W11395+'РР 01.07 - 31.08'!W11395+'РР 01.09 - 31.12'!W11395</f>
        <v>0</v>
      </c>
      <c r="X11395" s="260"/>
      <c r="Y11395" s="260"/>
      <c r="Z11395" s="262">
        <f>'РР 01.01 - 30.06'!Z11395+'РР 01.07 - 31.08'!Z11395+'РР 01.09 - 31.12'!Z11395</f>
        <v>0</v>
      </c>
      <c r="AA11395"/>
      <c r="AB11395"/>
      <c r="AC11395"/>
      <c r="AD11395"/>
      <c r="AE11395"/>
      <c r="AF11395"/>
      <c r="AG11395"/>
      <c r="AH11395"/>
      <c r="AI11395"/>
      <c r="AJ11395"/>
      <c r="AK11395"/>
      <c r="AL11395"/>
      <c r="AM11395"/>
      <c r="AN11395"/>
    </row>
    <row r="11396" spans="1:40" s="47" customFormat="1">
      <c r="A11396" s="121"/>
      <c r="B11396" s="121"/>
      <c r="C11396" s="121"/>
      <c r="D11396" s="121"/>
      <c r="E11396" s="121"/>
      <c r="F11396" s="121"/>
      <c r="G11396" s="121"/>
      <c r="H11396" s="121"/>
      <c r="I11396" s="121"/>
      <c r="J11396" s="121"/>
      <c r="K11396" s="121"/>
      <c r="L11396" s="121"/>
      <c r="M11396" s="121"/>
      <c r="N11396" s="504" t="s">
        <v>2427</v>
      </c>
      <c r="O11396" s="723" t="s">
        <v>2616</v>
      </c>
      <c r="P11396" s="257"/>
      <c r="Q11396" s="321"/>
      <c r="R11396" s="260"/>
      <c r="S11396" s="260"/>
      <c r="T11396" s="260"/>
      <c r="U11396" s="260"/>
      <c r="V11396" s="260"/>
      <c r="W11396" s="262">
        <f>'РР 01.01 - 30.06'!W11396+'РР 01.07 - 31.08'!W11396+'РР 01.09 - 31.12'!W11396</f>
        <v>0</v>
      </c>
      <c r="X11396" s="260"/>
      <c r="Y11396" s="260"/>
      <c r="Z11396" s="262">
        <f>'РР 01.01 - 30.06'!Z11396+'РР 01.07 - 31.08'!Z11396+'РР 01.09 - 31.12'!Z11396</f>
        <v>0</v>
      </c>
      <c r="AA11396"/>
      <c r="AB11396"/>
      <c r="AC11396"/>
      <c r="AD11396"/>
      <c r="AE11396"/>
      <c r="AF11396"/>
      <c r="AG11396"/>
      <c r="AH11396"/>
      <c r="AI11396"/>
      <c r="AJ11396"/>
      <c r="AK11396"/>
      <c r="AL11396"/>
      <c r="AM11396"/>
      <c r="AN11396"/>
    </row>
    <row r="11397" spans="1:40" s="47" customFormat="1">
      <c r="A11397" s="121"/>
      <c r="B11397" s="121"/>
      <c r="C11397" s="121"/>
      <c r="D11397" s="121"/>
      <c r="E11397" s="121"/>
      <c r="F11397" s="121"/>
      <c r="G11397" s="121"/>
      <c r="H11397" s="121"/>
      <c r="I11397" s="121"/>
      <c r="J11397" s="121"/>
      <c r="K11397" s="121"/>
      <c r="L11397" s="121"/>
      <c r="M11397" s="121"/>
      <c r="N11397" s="222"/>
      <c r="O11397" s="529"/>
      <c r="P11397" s="255"/>
      <c r="Q11397" s="321"/>
      <c r="R11397" s="260"/>
      <c r="S11397" s="260"/>
      <c r="T11397" s="260"/>
      <c r="U11397" s="260"/>
      <c r="V11397" s="260"/>
      <c r="W11397" s="260"/>
      <c r="X11397" s="260"/>
      <c r="Y11397" s="260"/>
      <c r="Z11397" s="260"/>
      <c r="AA11397"/>
      <c r="AB11397"/>
      <c r="AC11397"/>
      <c r="AD11397"/>
      <c r="AE11397"/>
      <c r="AF11397"/>
      <c r="AG11397"/>
      <c r="AH11397"/>
      <c r="AI11397"/>
      <c r="AJ11397"/>
      <c r="AK11397"/>
      <c r="AL11397"/>
      <c r="AM11397"/>
      <c r="AN11397"/>
    </row>
    <row r="11398" spans="1:40" s="47" customFormat="1">
      <c r="A11398" s="121"/>
      <c r="B11398" s="121"/>
      <c r="C11398" s="121"/>
      <c r="D11398" s="121"/>
      <c r="E11398" s="121"/>
      <c r="F11398" s="121"/>
      <c r="G11398" s="121"/>
      <c r="H11398" s="121"/>
      <c r="I11398" s="121"/>
      <c r="J11398" s="121"/>
      <c r="K11398" s="121"/>
      <c r="L11398" s="121"/>
      <c r="M11398" s="121"/>
      <c r="N11398" s="222"/>
      <c r="O11398" s="529"/>
      <c r="P11398" s="255"/>
      <c r="Q11398" s="321"/>
      <c r="R11398" s="260"/>
      <c r="S11398" s="260"/>
      <c r="T11398" s="260"/>
      <c r="U11398" s="260"/>
      <c r="V11398" s="260"/>
      <c r="W11398" s="260"/>
      <c r="X11398" s="260"/>
      <c r="Y11398" s="260"/>
      <c r="Z11398" s="260"/>
      <c r="AA11398"/>
      <c r="AB11398"/>
      <c r="AC11398"/>
      <c r="AD11398"/>
      <c r="AE11398"/>
      <c r="AF11398"/>
      <c r="AG11398"/>
      <c r="AH11398"/>
      <c r="AI11398"/>
      <c r="AJ11398"/>
      <c r="AK11398"/>
      <c r="AL11398"/>
      <c r="AM11398"/>
      <c r="AN11398"/>
    </row>
    <row r="11399" spans="1:40" s="47" customFormat="1">
      <c r="A11399" s="121"/>
      <c r="B11399" s="121"/>
      <c r="C11399" s="121"/>
      <c r="D11399" s="121"/>
      <c r="E11399" s="121"/>
      <c r="F11399" s="121"/>
      <c r="G11399" s="121"/>
      <c r="H11399" s="121"/>
      <c r="I11399" s="121"/>
      <c r="J11399" s="121"/>
      <c r="K11399" s="121"/>
      <c r="L11399" s="121"/>
      <c r="M11399" s="121"/>
      <c r="N11399" s="222"/>
      <c r="O11399" s="529"/>
      <c r="P11399" s="255"/>
      <c r="Q11399" s="321"/>
      <c r="R11399" s="260"/>
      <c r="S11399" s="260"/>
      <c r="T11399" s="260"/>
      <c r="U11399" s="260"/>
      <c r="V11399" s="260"/>
      <c r="W11399" s="260"/>
      <c r="X11399" s="260"/>
      <c r="Y11399" s="260"/>
      <c r="Z11399" s="260"/>
      <c r="AA11399"/>
      <c r="AB11399"/>
      <c r="AC11399"/>
      <c r="AD11399"/>
      <c r="AE11399"/>
      <c r="AF11399"/>
      <c r="AG11399"/>
      <c r="AH11399"/>
      <c r="AI11399"/>
      <c r="AJ11399"/>
      <c r="AK11399"/>
      <c r="AL11399"/>
      <c r="AM11399"/>
      <c r="AN11399"/>
    </row>
    <row r="11400" spans="1:40" s="47" customFormat="1">
      <c r="A11400" s="121"/>
      <c r="B11400" s="121"/>
      <c r="C11400" s="121"/>
      <c r="D11400" s="121"/>
      <c r="E11400" s="121"/>
      <c r="F11400" s="121"/>
      <c r="G11400" s="121"/>
      <c r="H11400" s="121"/>
      <c r="I11400" s="121"/>
      <c r="J11400" s="121"/>
      <c r="K11400" s="121"/>
      <c r="L11400" s="121"/>
      <c r="M11400" s="121"/>
      <c r="N11400" s="222"/>
      <c r="O11400" s="529"/>
      <c r="P11400" s="255"/>
      <c r="Q11400" s="321"/>
      <c r="R11400" s="260"/>
      <c r="S11400" s="260"/>
      <c r="T11400" s="260"/>
      <c r="U11400" s="260"/>
      <c r="V11400" s="260"/>
      <c r="W11400" s="260"/>
      <c r="X11400" s="260"/>
      <c r="Y11400" s="260"/>
      <c r="Z11400" s="260"/>
      <c r="AA11400"/>
      <c r="AB11400"/>
      <c r="AC11400"/>
      <c r="AD11400"/>
      <c r="AE11400"/>
      <c r="AF11400"/>
      <c r="AG11400"/>
      <c r="AH11400"/>
      <c r="AI11400"/>
      <c r="AJ11400"/>
      <c r="AK11400"/>
      <c r="AL11400"/>
      <c r="AM11400"/>
      <c r="AN11400"/>
    </row>
    <row r="11401" spans="1:40" s="47" customFormat="1">
      <c r="A11401" s="121"/>
      <c r="B11401" s="121"/>
      <c r="C11401" s="121"/>
      <c r="D11401" s="121"/>
      <c r="E11401" s="121"/>
      <c r="F11401" s="121"/>
      <c r="G11401" s="121"/>
      <c r="H11401" s="121"/>
      <c r="I11401" s="121"/>
      <c r="J11401" s="121"/>
      <c r="K11401" s="121"/>
      <c r="L11401" s="121"/>
      <c r="M11401" s="121"/>
      <c r="N11401" s="222"/>
      <c r="O11401" s="529"/>
      <c r="P11401" s="255"/>
      <c r="Q11401" s="321"/>
      <c r="R11401" s="260"/>
      <c r="S11401" s="260"/>
      <c r="T11401" s="260"/>
      <c r="U11401" s="260"/>
      <c r="V11401" s="260"/>
      <c r="W11401" s="260"/>
      <c r="X11401" s="260"/>
      <c r="Y11401" s="260"/>
      <c r="Z11401" s="260"/>
      <c r="AA11401"/>
      <c r="AB11401"/>
      <c r="AC11401"/>
      <c r="AD11401"/>
      <c r="AE11401"/>
      <c r="AF11401"/>
      <c r="AG11401"/>
      <c r="AH11401"/>
      <c r="AI11401"/>
      <c r="AJ11401"/>
      <c r="AK11401"/>
      <c r="AL11401"/>
      <c r="AM11401"/>
      <c r="AN11401"/>
    </row>
    <row r="11402" spans="1:40" s="47" customFormat="1">
      <c r="A11402" s="121"/>
      <c r="B11402" s="121"/>
      <c r="C11402" s="121"/>
      <c r="D11402" s="121"/>
      <c r="E11402" s="121"/>
      <c r="F11402" s="121"/>
      <c r="G11402" s="121"/>
      <c r="H11402" s="121"/>
      <c r="I11402" s="121"/>
      <c r="J11402" s="121"/>
      <c r="K11402" s="121"/>
      <c r="L11402" s="121"/>
      <c r="M11402" s="121"/>
      <c r="N11402" s="222"/>
      <c r="O11402" s="529"/>
      <c r="P11402" s="255"/>
      <c r="Q11402" s="321"/>
      <c r="R11402" s="260"/>
      <c r="S11402" s="260"/>
      <c r="T11402" s="260"/>
      <c r="U11402" s="260"/>
      <c r="V11402" s="260"/>
      <c r="W11402" s="260"/>
      <c r="X11402" s="260"/>
      <c r="Y11402" s="260"/>
      <c r="Z11402" s="260"/>
      <c r="AA11402"/>
      <c r="AB11402"/>
      <c r="AC11402"/>
      <c r="AD11402"/>
      <c r="AE11402"/>
      <c r="AF11402"/>
      <c r="AG11402"/>
      <c r="AH11402"/>
      <c r="AI11402"/>
      <c r="AJ11402"/>
      <c r="AK11402"/>
      <c r="AL11402"/>
      <c r="AM11402"/>
      <c r="AN11402"/>
    </row>
    <row r="11403" spans="1:40" s="47" customFormat="1">
      <c r="A11403" s="121"/>
      <c r="B11403" s="121"/>
      <c r="C11403" s="121"/>
      <c r="D11403" s="121"/>
      <c r="E11403" s="121"/>
      <c r="F11403" s="121"/>
      <c r="G11403" s="121"/>
      <c r="H11403" s="121"/>
      <c r="I11403" s="121"/>
      <c r="J11403" s="121"/>
      <c r="K11403" s="121"/>
      <c r="L11403" s="121"/>
      <c r="M11403" s="121"/>
      <c r="N11403" s="222"/>
      <c r="O11403" s="529"/>
      <c r="P11403" s="255"/>
      <c r="Q11403" s="321"/>
      <c r="R11403" s="260"/>
      <c r="S11403" s="260"/>
      <c r="T11403" s="260"/>
      <c r="U11403" s="260"/>
      <c r="V11403" s="260"/>
      <c r="W11403" s="260"/>
      <c r="X11403" s="260"/>
      <c r="Y11403" s="260"/>
      <c r="Z11403" s="260"/>
      <c r="AA11403"/>
      <c r="AB11403"/>
      <c r="AC11403"/>
      <c r="AD11403"/>
      <c r="AE11403"/>
      <c r="AF11403"/>
      <c r="AG11403"/>
      <c r="AH11403"/>
      <c r="AI11403"/>
      <c r="AJ11403"/>
      <c r="AK11403"/>
      <c r="AL11403"/>
      <c r="AM11403"/>
      <c r="AN11403"/>
    </row>
    <row r="11404" spans="1:40" s="47" customFormat="1">
      <c r="A11404" s="121"/>
      <c r="B11404" s="121"/>
      <c r="C11404" s="121"/>
      <c r="D11404" s="121"/>
      <c r="E11404" s="121"/>
      <c r="F11404" s="121"/>
      <c r="G11404" s="121"/>
      <c r="H11404" s="121"/>
      <c r="I11404" s="121"/>
      <c r="J11404" s="121"/>
      <c r="K11404" s="121"/>
      <c r="L11404" s="121"/>
      <c r="M11404" s="121"/>
      <c r="N11404" s="222"/>
      <c r="O11404" s="529"/>
      <c r="P11404" s="255"/>
      <c r="Q11404" s="321"/>
      <c r="R11404" s="260"/>
      <c r="S11404" s="260"/>
      <c r="T11404" s="260"/>
      <c r="U11404" s="260"/>
      <c r="V11404" s="260"/>
      <c r="W11404" s="260"/>
      <c r="X11404" s="260"/>
      <c r="Y11404" s="260"/>
      <c r="Z11404" s="260"/>
      <c r="AA11404"/>
      <c r="AB11404"/>
      <c r="AC11404"/>
      <c r="AD11404"/>
      <c r="AE11404"/>
      <c r="AF11404"/>
      <c r="AG11404"/>
      <c r="AH11404"/>
      <c r="AI11404"/>
      <c r="AJ11404"/>
      <c r="AK11404"/>
      <c r="AL11404"/>
      <c r="AM11404"/>
      <c r="AN11404"/>
    </row>
    <row r="11405" spans="1:40" s="47" customFormat="1" ht="57" customHeight="1">
      <c r="A11405" s="121"/>
      <c r="B11405" s="121"/>
      <c r="C11405" s="121"/>
      <c r="D11405" s="121"/>
      <c r="E11405" s="121"/>
      <c r="F11405" s="121"/>
      <c r="G11405" s="121"/>
      <c r="H11405" s="121"/>
      <c r="I11405" s="121"/>
      <c r="J11405" s="121"/>
      <c r="K11405" s="121"/>
      <c r="L11405" s="121"/>
      <c r="M11405" s="121"/>
      <c r="N11405" s="222"/>
      <c r="O11405" s="529"/>
      <c r="P11405" s="255"/>
      <c r="Q11405" s="321"/>
      <c r="R11405" s="260"/>
      <c r="S11405" s="260"/>
      <c r="T11405" s="260"/>
      <c r="U11405" s="260"/>
      <c r="V11405" s="260"/>
      <c r="W11405" s="260"/>
      <c r="X11405" s="260"/>
      <c r="Y11405" s="260"/>
      <c r="Z11405" s="260"/>
      <c r="AA11405"/>
      <c r="AB11405"/>
      <c r="AC11405"/>
      <c r="AD11405"/>
      <c r="AE11405"/>
      <c r="AF11405"/>
      <c r="AG11405"/>
      <c r="AH11405"/>
      <c r="AI11405"/>
      <c r="AJ11405"/>
      <c r="AK11405"/>
      <c r="AL11405"/>
      <c r="AM11405"/>
      <c r="AN11405"/>
    </row>
    <row r="11406" spans="1:40" s="47" customFormat="1" ht="57" customHeight="1">
      <c r="A11406" s="121"/>
      <c r="B11406" s="121"/>
      <c r="C11406" s="121"/>
      <c r="D11406" s="121"/>
      <c r="E11406" s="121"/>
      <c r="F11406" s="121"/>
      <c r="G11406" s="121"/>
      <c r="H11406" s="121"/>
      <c r="I11406" s="121"/>
      <c r="J11406" s="121"/>
      <c r="K11406" s="121"/>
      <c r="L11406" s="121"/>
      <c r="M11406" s="121"/>
      <c r="N11406" s="222"/>
      <c r="O11406" s="529"/>
      <c r="P11406" s="255"/>
      <c r="Q11406" s="321"/>
      <c r="R11406" s="260"/>
      <c r="S11406" s="260"/>
      <c r="T11406" s="260"/>
      <c r="U11406" s="260"/>
      <c r="V11406" s="260"/>
      <c r="W11406" s="260"/>
      <c r="X11406" s="260"/>
      <c r="Y11406" s="260"/>
      <c r="Z11406" s="260"/>
      <c r="AA11406"/>
      <c r="AB11406"/>
      <c r="AC11406"/>
      <c r="AD11406"/>
      <c r="AE11406"/>
      <c r="AF11406"/>
      <c r="AG11406"/>
      <c r="AH11406"/>
      <c r="AI11406"/>
      <c r="AJ11406"/>
      <c r="AK11406"/>
      <c r="AL11406"/>
      <c r="AM11406"/>
      <c r="AN11406"/>
    </row>
    <row r="11407" spans="1:40" s="47" customFormat="1">
      <c r="A11407" s="121"/>
      <c r="B11407" s="121"/>
      <c r="C11407" s="121"/>
      <c r="D11407" s="121"/>
      <c r="E11407" s="121"/>
      <c r="F11407" s="121"/>
      <c r="G11407" s="121"/>
      <c r="H11407" s="121"/>
      <c r="I11407" s="121"/>
      <c r="J11407" s="121"/>
      <c r="K11407" s="121"/>
      <c r="L11407" s="121"/>
      <c r="M11407" s="121"/>
      <c r="N11407" s="222"/>
      <c r="O11407" s="529"/>
      <c r="P11407" s="255"/>
      <c r="Q11407" s="321"/>
      <c r="R11407" s="260"/>
      <c r="S11407" s="260"/>
      <c r="T11407" s="260"/>
      <c r="U11407" s="260"/>
      <c r="V11407" s="260"/>
      <c r="W11407" s="260"/>
      <c r="X11407" s="260"/>
      <c r="Y11407" s="260"/>
      <c r="Z11407" s="260"/>
      <c r="AA11407"/>
      <c r="AB11407"/>
      <c r="AC11407"/>
      <c r="AD11407"/>
      <c r="AE11407"/>
      <c r="AF11407"/>
      <c r="AG11407"/>
      <c r="AH11407"/>
      <c r="AI11407"/>
      <c r="AJ11407"/>
      <c r="AK11407"/>
      <c r="AL11407"/>
      <c r="AM11407"/>
      <c r="AN11407"/>
    </row>
    <row r="11408" spans="1:40" s="47" customFormat="1" ht="57" customHeight="1">
      <c r="A11408" s="121"/>
      <c r="B11408" s="121"/>
      <c r="C11408" s="121"/>
      <c r="D11408" s="121"/>
      <c r="E11408" s="121"/>
      <c r="F11408" s="121"/>
      <c r="G11408" s="121"/>
      <c r="H11408" s="121"/>
      <c r="I11408" s="121"/>
      <c r="J11408" s="121"/>
      <c r="K11408" s="121"/>
      <c r="L11408" s="121"/>
      <c r="M11408" s="121"/>
      <c r="N11408" s="222"/>
      <c r="O11408" s="529"/>
      <c r="P11408" s="255"/>
      <c r="Q11408" s="321"/>
      <c r="R11408" s="260"/>
      <c r="S11408" s="260"/>
      <c r="T11408" s="260"/>
      <c r="U11408" s="260"/>
      <c r="V11408" s="260"/>
      <c r="W11408" s="260"/>
      <c r="X11408" s="260"/>
      <c r="Y11408" s="260"/>
      <c r="Z11408" s="260"/>
      <c r="AA11408"/>
      <c r="AB11408"/>
      <c r="AC11408"/>
      <c r="AD11408"/>
      <c r="AE11408"/>
      <c r="AF11408"/>
      <c r="AG11408"/>
      <c r="AH11408"/>
      <c r="AI11408"/>
      <c r="AJ11408"/>
      <c r="AK11408"/>
      <c r="AL11408"/>
      <c r="AM11408"/>
      <c r="AN11408"/>
    </row>
    <row r="11409" spans="1:40" s="121" customFormat="1">
      <c r="N11409" s="222"/>
      <c r="O11409" s="529"/>
      <c r="P11409" s="255"/>
      <c r="Q11409" s="321"/>
      <c r="R11409" s="260"/>
      <c r="S11409" s="260"/>
      <c r="T11409" s="260"/>
      <c r="U11409" s="260"/>
      <c r="V11409" s="260"/>
      <c r="W11409" s="260"/>
      <c r="X11409" s="260"/>
      <c r="Y11409" s="260"/>
      <c r="Z11409" s="260"/>
      <c r="AA11409"/>
      <c r="AB11409"/>
      <c r="AC11409"/>
      <c r="AD11409"/>
      <c r="AE11409"/>
      <c r="AF11409"/>
      <c r="AG11409"/>
      <c r="AH11409"/>
      <c r="AI11409"/>
      <c r="AJ11409"/>
      <c r="AK11409"/>
      <c r="AL11409"/>
      <c r="AM11409"/>
      <c r="AN11409"/>
    </row>
    <row r="11410" spans="1:40" s="121" customFormat="1">
      <c r="N11410" s="222"/>
      <c r="O11410" s="529"/>
      <c r="P11410" s="255"/>
      <c r="Q11410" s="321"/>
      <c r="R11410" s="260"/>
      <c r="S11410" s="260"/>
      <c r="T11410" s="260"/>
      <c r="U11410" s="260"/>
      <c r="V11410" s="260"/>
      <c r="W11410" s="260"/>
      <c r="X11410" s="260"/>
      <c r="Y11410" s="260"/>
      <c r="Z11410" s="260"/>
      <c r="AA11410"/>
      <c r="AB11410"/>
      <c r="AC11410"/>
      <c r="AD11410"/>
      <c r="AE11410"/>
      <c r="AF11410"/>
      <c r="AG11410"/>
      <c r="AH11410"/>
      <c r="AI11410"/>
      <c r="AJ11410"/>
      <c r="AK11410"/>
      <c r="AL11410"/>
      <c r="AM11410"/>
      <c r="AN11410"/>
    </row>
    <row r="11411" spans="1:40" s="121" customFormat="1" ht="11.25" customHeight="1">
      <c r="N11411" s="222"/>
      <c r="O11411" s="529"/>
      <c r="P11411" s="255"/>
      <c r="Q11411" s="321"/>
      <c r="R11411" s="260"/>
      <c r="S11411" s="260"/>
      <c r="T11411" s="260"/>
      <c r="U11411" s="260"/>
      <c r="V11411" s="260"/>
      <c r="W11411" s="260"/>
      <c r="X11411" s="260"/>
      <c r="Y11411" s="260"/>
      <c r="Z11411" s="260"/>
      <c r="AA11411"/>
      <c r="AB11411"/>
      <c r="AC11411"/>
      <c r="AD11411"/>
      <c r="AE11411"/>
      <c r="AF11411"/>
      <c r="AG11411"/>
      <c r="AH11411"/>
      <c r="AI11411"/>
      <c r="AJ11411"/>
      <c r="AK11411"/>
      <c r="AL11411"/>
      <c r="AM11411"/>
      <c r="AN11411"/>
    </row>
    <row r="11412" spans="1:40" s="121" customFormat="1">
      <c r="N11412" s="222"/>
      <c r="O11412" s="541"/>
      <c r="P11412" s="285"/>
      <c r="Q11412" s="321"/>
      <c r="R11412" s="260"/>
      <c r="S11412" s="260"/>
      <c r="T11412" s="260"/>
      <c r="U11412" s="260"/>
      <c r="V11412" s="260"/>
      <c r="W11412" s="260"/>
      <c r="X11412" s="260"/>
      <c r="Y11412" s="260"/>
      <c r="Z11412" s="260"/>
      <c r="AA11412"/>
      <c r="AB11412"/>
      <c r="AC11412"/>
      <c r="AD11412"/>
      <c r="AE11412"/>
      <c r="AF11412"/>
      <c r="AG11412"/>
      <c r="AH11412"/>
      <c r="AI11412"/>
      <c r="AJ11412"/>
      <c r="AK11412"/>
      <c r="AL11412"/>
      <c r="AM11412"/>
      <c r="AN11412"/>
    </row>
    <row r="11413" spans="1:40" s="47" customFormat="1">
      <c r="A11413" s="121"/>
      <c r="B11413" s="121"/>
      <c r="C11413" s="121"/>
      <c r="D11413" s="121"/>
      <c r="E11413" s="121"/>
      <c r="F11413" s="121"/>
      <c r="G11413" s="121"/>
      <c r="H11413" s="121"/>
      <c r="I11413" s="121"/>
      <c r="J11413" s="121"/>
      <c r="K11413" s="121"/>
      <c r="L11413" s="121"/>
      <c r="M11413" s="121"/>
      <c r="N11413" s="222"/>
      <c r="O11413" s="502"/>
      <c r="P11413" s="285"/>
      <c r="Q11413" s="321"/>
      <c r="R11413" s="260"/>
      <c r="S11413" s="260"/>
      <c r="T11413" s="260"/>
      <c r="U11413" s="260"/>
      <c r="V11413" s="260"/>
      <c r="W11413" s="260"/>
      <c r="X11413" s="260"/>
      <c r="Y11413" s="260"/>
      <c r="Z11413" s="260"/>
      <c r="AA11413"/>
      <c r="AB11413"/>
      <c r="AC11413"/>
      <c r="AD11413"/>
      <c r="AE11413"/>
      <c r="AF11413"/>
      <c r="AG11413"/>
      <c r="AH11413"/>
      <c r="AI11413"/>
      <c r="AJ11413"/>
      <c r="AK11413"/>
      <c r="AL11413"/>
      <c r="AM11413"/>
      <c r="AN11413"/>
    </row>
    <row r="11414" spans="1:40" s="47" customFormat="1">
      <c r="A11414" s="121"/>
      <c r="B11414" s="121"/>
      <c r="C11414" s="121"/>
      <c r="D11414" s="121"/>
      <c r="E11414" s="121"/>
      <c r="F11414" s="121"/>
      <c r="G11414" s="121"/>
      <c r="H11414" s="121"/>
      <c r="I11414" s="121"/>
      <c r="J11414" s="121"/>
      <c r="K11414" s="121"/>
      <c r="L11414" s="121"/>
      <c r="M11414" s="121"/>
      <c r="N11414" s="222"/>
      <c r="O11414" s="502"/>
      <c r="P11414" s="285"/>
      <c r="Q11414" s="321"/>
      <c r="R11414" s="260"/>
      <c r="S11414" s="260"/>
      <c r="T11414" s="260"/>
      <c r="U11414" s="260"/>
      <c r="V11414" s="260"/>
      <c r="W11414" s="260"/>
      <c r="X11414" s="260"/>
      <c r="Y11414" s="260"/>
      <c r="Z11414" s="260"/>
      <c r="AA11414"/>
      <c r="AB11414"/>
      <c r="AC11414"/>
      <c r="AD11414"/>
      <c r="AE11414"/>
      <c r="AF11414"/>
      <c r="AG11414"/>
      <c r="AH11414"/>
      <c r="AI11414"/>
      <c r="AJ11414"/>
      <c r="AK11414"/>
      <c r="AL11414"/>
      <c r="AM11414"/>
      <c r="AN11414"/>
    </row>
    <row r="11415" spans="1:40" s="121" customFormat="1">
      <c r="N11415" s="222"/>
      <c r="O11415" s="540"/>
      <c r="P11415" s="285"/>
      <c r="Q11415" s="321"/>
      <c r="R11415" s="260"/>
      <c r="S11415" s="260"/>
      <c r="T11415" s="260"/>
      <c r="U11415" s="260"/>
      <c r="V11415" s="260"/>
      <c r="W11415" s="260"/>
      <c r="X11415" s="260"/>
      <c r="Y11415" s="260"/>
      <c r="Z11415" s="260"/>
      <c r="AA11415"/>
      <c r="AB11415"/>
      <c r="AC11415"/>
      <c r="AD11415"/>
      <c r="AE11415"/>
      <c r="AF11415"/>
      <c r="AG11415"/>
      <c r="AH11415"/>
      <c r="AI11415"/>
      <c r="AJ11415"/>
      <c r="AK11415"/>
      <c r="AL11415"/>
      <c r="AM11415"/>
      <c r="AN11415"/>
    </row>
    <row r="11416" spans="1:40" s="121" customFormat="1">
      <c r="N11416" s="222"/>
      <c r="O11416" s="502"/>
      <c r="P11416" s="285"/>
      <c r="Q11416" s="321"/>
      <c r="R11416" s="260"/>
      <c r="S11416" s="260"/>
      <c r="T11416" s="260"/>
      <c r="U11416" s="260"/>
      <c r="V11416" s="260"/>
      <c r="W11416" s="260"/>
      <c r="X11416" s="260"/>
      <c r="Y11416" s="260"/>
      <c r="Z11416" s="260"/>
      <c r="AA11416"/>
      <c r="AB11416"/>
      <c r="AC11416"/>
      <c r="AD11416"/>
      <c r="AE11416"/>
      <c r="AF11416"/>
      <c r="AG11416"/>
      <c r="AH11416"/>
      <c r="AI11416"/>
      <c r="AJ11416"/>
      <c r="AK11416"/>
      <c r="AL11416"/>
      <c r="AM11416"/>
      <c r="AN11416"/>
    </row>
    <row r="11417" spans="1:40" s="121" customFormat="1">
      <c r="N11417" s="222"/>
      <c r="O11417" s="502"/>
      <c r="P11417" s="285"/>
      <c r="Q11417" s="321"/>
      <c r="R11417" s="260"/>
      <c r="S11417" s="260"/>
      <c r="T11417" s="260"/>
      <c r="U11417" s="260"/>
      <c r="V11417" s="260"/>
      <c r="W11417" s="260"/>
      <c r="X11417" s="260"/>
      <c r="Y11417" s="260"/>
      <c r="Z11417" s="260"/>
      <c r="AA11417"/>
      <c r="AB11417"/>
      <c r="AC11417"/>
      <c r="AD11417"/>
      <c r="AE11417"/>
      <c r="AF11417"/>
      <c r="AG11417"/>
      <c r="AH11417"/>
      <c r="AI11417"/>
      <c r="AJ11417"/>
      <c r="AK11417"/>
      <c r="AL11417"/>
      <c r="AM11417"/>
      <c r="AN11417"/>
    </row>
    <row r="11418" spans="1:40" s="121" customFormat="1">
      <c r="N11418" s="222"/>
      <c r="O11418" s="540"/>
      <c r="P11418" s="285"/>
      <c r="Q11418" s="321"/>
      <c r="R11418" s="260"/>
      <c r="S11418" s="260"/>
      <c r="T11418" s="260"/>
      <c r="U11418" s="260"/>
      <c r="V11418" s="260"/>
      <c r="W11418" s="260"/>
      <c r="X11418" s="260"/>
      <c r="Y11418" s="260"/>
      <c r="Z11418" s="260"/>
      <c r="AA11418"/>
      <c r="AB11418"/>
      <c r="AC11418"/>
      <c r="AD11418"/>
      <c r="AE11418"/>
      <c r="AF11418"/>
      <c r="AG11418"/>
      <c r="AH11418"/>
      <c r="AI11418"/>
      <c r="AJ11418"/>
      <c r="AK11418"/>
      <c r="AL11418"/>
      <c r="AM11418"/>
      <c r="AN11418"/>
    </row>
    <row r="11419" spans="1:40" s="121" customFormat="1">
      <c r="N11419" s="222"/>
      <c r="O11419" s="502"/>
      <c r="P11419" s="285"/>
      <c r="Q11419" s="321"/>
      <c r="R11419" s="260"/>
      <c r="S11419" s="260"/>
      <c r="T11419" s="260"/>
      <c r="U11419" s="260"/>
      <c r="V11419" s="260"/>
      <c r="W11419" s="260"/>
      <c r="X11419" s="260"/>
      <c r="Y11419" s="260"/>
      <c r="Z11419" s="260"/>
      <c r="AA11419"/>
      <c r="AB11419"/>
      <c r="AC11419"/>
      <c r="AD11419"/>
      <c r="AE11419"/>
      <c r="AF11419"/>
      <c r="AG11419"/>
      <c r="AH11419"/>
      <c r="AI11419"/>
      <c r="AJ11419"/>
      <c r="AK11419"/>
      <c r="AL11419"/>
      <c r="AM11419"/>
      <c r="AN11419"/>
    </row>
    <row r="11420" spans="1:40" s="121" customFormat="1">
      <c r="N11420" s="222"/>
      <c r="O11420" s="502"/>
      <c r="P11420" s="285"/>
      <c r="Q11420" s="321"/>
      <c r="R11420" s="260"/>
      <c r="S11420" s="260"/>
      <c r="T11420" s="260"/>
      <c r="U11420" s="260"/>
      <c r="V11420" s="260"/>
      <c r="W11420" s="260"/>
      <c r="X11420" s="260"/>
      <c r="Y11420" s="260"/>
      <c r="Z11420" s="260"/>
      <c r="AA11420"/>
      <c r="AB11420"/>
      <c r="AC11420"/>
      <c r="AD11420"/>
      <c r="AE11420"/>
      <c r="AF11420"/>
      <c r="AG11420"/>
      <c r="AH11420"/>
      <c r="AI11420"/>
      <c r="AJ11420"/>
      <c r="AK11420"/>
      <c r="AL11420"/>
      <c r="AM11420"/>
      <c r="AN11420"/>
    </row>
    <row r="11421" spans="1:40" s="47" customFormat="1">
      <c r="A11421" s="121"/>
      <c r="B11421" s="121"/>
      <c r="C11421" s="121"/>
      <c r="D11421" s="121"/>
      <c r="E11421" s="121"/>
      <c r="F11421" s="121"/>
      <c r="G11421" s="121"/>
      <c r="H11421" s="121"/>
      <c r="I11421" s="121"/>
      <c r="J11421" s="121"/>
      <c r="K11421" s="121"/>
      <c r="L11421" s="121"/>
      <c r="M11421" s="121"/>
      <c r="N11421" s="222"/>
      <c r="O11421" s="540"/>
      <c r="P11421" s="285"/>
      <c r="Q11421" s="321"/>
      <c r="R11421" s="260"/>
      <c r="S11421" s="260"/>
      <c r="T11421" s="260"/>
      <c r="U11421" s="260"/>
      <c r="V11421" s="260"/>
      <c r="W11421" s="260"/>
      <c r="X11421" s="260"/>
      <c r="Y11421" s="260"/>
      <c r="Z11421" s="260"/>
      <c r="AA11421"/>
      <c r="AB11421"/>
      <c r="AC11421"/>
      <c r="AD11421"/>
      <c r="AE11421"/>
      <c r="AF11421"/>
      <c r="AG11421"/>
      <c r="AH11421"/>
      <c r="AI11421"/>
      <c r="AJ11421"/>
      <c r="AK11421"/>
      <c r="AL11421"/>
      <c r="AM11421"/>
      <c r="AN11421"/>
    </row>
    <row r="11422" spans="1:40" s="121" customFormat="1">
      <c r="N11422" s="222"/>
      <c r="O11422" s="502"/>
      <c r="P11422" s="285"/>
      <c r="Q11422" s="321"/>
      <c r="R11422" s="260"/>
      <c r="S11422" s="260"/>
      <c r="T11422" s="260"/>
      <c r="U11422" s="260"/>
      <c r="V11422" s="260"/>
      <c r="W11422" s="260"/>
      <c r="X11422" s="260"/>
      <c r="Y11422" s="260"/>
      <c r="Z11422" s="260"/>
      <c r="AA11422"/>
      <c r="AB11422"/>
      <c r="AC11422"/>
      <c r="AD11422"/>
      <c r="AE11422"/>
      <c r="AF11422"/>
      <c r="AG11422"/>
      <c r="AH11422"/>
      <c r="AI11422"/>
      <c r="AJ11422"/>
      <c r="AK11422"/>
      <c r="AL11422"/>
      <c r="AM11422"/>
      <c r="AN11422"/>
    </row>
    <row r="11423" spans="1:40" s="121" customFormat="1">
      <c r="N11423" s="222"/>
      <c r="O11423" s="502"/>
      <c r="P11423" s="285"/>
      <c r="Q11423" s="321"/>
      <c r="R11423" s="260"/>
      <c r="S11423" s="260"/>
      <c r="T11423" s="260"/>
      <c r="U11423" s="260"/>
      <c r="V11423" s="260"/>
      <c r="W11423" s="260"/>
      <c r="X11423" s="260"/>
      <c r="Y11423" s="260"/>
      <c r="Z11423" s="260"/>
      <c r="AA11423"/>
      <c r="AB11423"/>
      <c r="AC11423"/>
      <c r="AD11423"/>
      <c r="AE11423"/>
      <c r="AF11423"/>
      <c r="AG11423"/>
      <c r="AH11423"/>
      <c r="AI11423"/>
      <c r="AJ11423"/>
      <c r="AK11423"/>
      <c r="AL11423"/>
      <c r="AM11423"/>
      <c r="AN11423"/>
    </row>
    <row r="11424" spans="1:40" s="121" customFormat="1">
      <c r="N11424" s="222"/>
      <c r="O11424" s="502"/>
      <c r="P11424" s="285"/>
      <c r="Q11424" s="321"/>
      <c r="R11424" s="260"/>
      <c r="S11424" s="260"/>
      <c r="T11424" s="260"/>
      <c r="U11424" s="260"/>
      <c r="V11424" s="260"/>
      <c r="W11424" s="260"/>
      <c r="X11424" s="260"/>
      <c r="Y11424" s="260"/>
      <c r="Z11424" s="260"/>
      <c r="AA11424"/>
      <c r="AB11424"/>
      <c r="AC11424"/>
      <c r="AD11424"/>
      <c r="AE11424"/>
      <c r="AF11424"/>
      <c r="AG11424"/>
      <c r="AH11424"/>
      <c r="AI11424"/>
      <c r="AJ11424"/>
      <c r="AK11424"/>
      <c r="AL11424"/>
      <c r="AM11424"/>
      <c r="AN11424"/>
    </row>
    <row r="11425" spans="1:40" s="121" customFormat="1">
      <c r="N11425" s="436" t="s">
        <v>857</v>
      </c>
      <c r="O11425" s="235" t="s">
        <v>395</v>
      </c>
      <c r="P11425" s="280"/>
      <c r="Q11425" s="321"/>
      <c r="R11425" s="260"/>
      <c r="S11425" s="260"/>
      <c r="T11425" s="260"/>
      <c r="U11425" s="260"/>
      <c r="V11425" s="260"/>
      <c r="W11425" s="629">
        <f>SUMIF(БТр!$BF$129:$BF$158,W$9&amp;"-I",БТр!$L$129:$L$158)/1000</f>
        <v>0</v>
      </c>
      <c r="X11425" s="260"/>
      <c r="Y11425" s="260"/>
      <c r="Z11425" s="629">
        <f>SUMIF(БПр!$BF$129:$BF$158,Z$9&amp;"-I",БПр!$J$129:$J$158)/1000</f>
        <v>0</v>
      </c>
      <c r="AA11425"/>
      <c r="AB11425"/>
      <c r="AC11425"/>
      <c r="AD11425"/>
      <c r="AE11425"/>
      <c r="AF11425"/>
      <c r="AG11425"/>
      <c r="AH11425"/>
      <c r="AI11425"/>
      <c r="AJ11425"/>
      <c r="AK11425"/>
      <c r="AL11425"/>
      <c r="AM11425"/>
      <c r="AN11425"/>
    </row>
    <row r="11426" spans="1:40" s="121" customFormat="1">
      <c r="N11426" s="436" t="s">
        <v>860</v>
      </c>
      <c r="O11426" s="571" t="str">
        <f>IF(TEMPLATE_CLAIM="U","Полезный отпуск продукции 01.07 - 31.08 всего (тыс. куб.м)","Полезный отпуск продукции 01.07 - 31.12 всего (тыс. куб.м)")</f>
        <v>Полезный отпуск продукции 01.07 - 31.08 всего (тыс. куб.м)</v>
      </c>
      <c r="P11426" s="257"/>
      <c r="Q11426" s="321"/>
      <c r="R11426" s="260"/>
      <c r="S11426" s="260"/>
      <c r="T11426" s="260"/>
      <c r="U11426" s="260"/>
      <c r="V11426" s="260"/>
      <c r="W11426" s="629">
        <f>SUMIF(БТр!$BF$129:$BF$158,W$9&amp;"-II",БТр!$L$129:$L$158)/1000</f>
        <v>0</v>
      </c>
      <c r="X11426" s="260"/>
      <c r="Y11426" s="260"/>
      <c r="Z11426" s="629">
        <f>SUMIF(БПр!$BF$129:$BF$158,Z$9&amp;"-II",БПр!$J$129:$J$158)/1000</f>
        <v>0</v>
      </c>
      <c r="AA11426"/>
      <c r="AB11426"/>
      <c r="AC11426"/>
      <c r="AD11426"/>
      <c r="AE11426"/>
      <c r="AF11426"/>
      <c r="AG11426"/>
      <c r="AH11426"/>
      <c r="AI11426"/>
      <c r="AJ11426"/>
      <c r="AK11426"/>
      <c r="AL11426"/>
      <c r="AM11426"/>
      <c r="AN11426"/>
    </row>
    <row r="11427" spans="1:40" s="47" customFormat="1">
      <c r="A11427" s="121"/>
      <c r="B11427" s="121"/>
      <c r="C11427" s="121"/>
      <c r="D11427" s="121"/>
      <c r="E11427" s="121"/>
      <c r="F11427" s="121"/>
      <c r="G11427" s="121"/>
      <c r="H11427" s="121"/>
      <c r="I11427" s="121"/>
      <c r="J11427" s="121"/>
      <c r="K11427" s="121"/>
      <c r="L11427" s="121"/>
      <c r="M11427" s="121"/>
      <c r="N11427" s="496" t="str">
        <f>IF(TEMPLATE_CLAIM="U","15.3","")</f>
        <v>15.3</v>
      </c>
      <c r="O11427" s="571" t="str">
        <f>IF(TEMPLATE_CLAIM="U","Полезный отпуск продукции 01.09 - 31.12 всего (тыс. куб.м)","")</f>
        <v>Полезный отпуск продукции 01.09 - 31.12 всего (тыс. куб.м)</v>
      </c>
      <c r="P11427" s="257"/>
      <c r="Q11427" s="321"/>
      <c r="R11427" s="260"/>
      <c r="S11427" s="260"/>
      <c r="T11427" s="260"/>
      <c r="U11427" s="260"/>
      <c r="V11427" s="260"/>
      <c r="W11427" s="629">
        <f>IF(TEMPLATE_CLAIM="U",SUMIF(БТр!$BF$129:$BF$158,W$9&amp;"-III",БТр!$L$129:$L$158)/1000,"")</f>
        <v>0</v>
      </c>
      <c r="X11427" s="260"/>
      <c r="Y11427" s="260"/>
      <c r="Z11427" s="629">
        <f>IF(TEMPLATE_CLAIM="U",SUMIF(БПр!$BF$129:$BF$158,Z$9&amp;"-III",БПр!$J$129:$J$158)/1000,"")</f>
        <v>0</v>
      </c>
      <c r="AA11427"/>
      <c r="AB11427"/>
      <c r="AC11427"/>
      <c r="AD11427"/>
      <c r="AE11427"/>
      <c r="AF11427"/>
      <c r="AG11427"/>
      <c r="AH11427"/>
      <c r="AI11427"/>
      <c r="AJ11427"/>
      <c r="AK11427"/>
      <c r="AL11427"/>
      <c r="AM11427"/>
      <c r="AN11427"/>
    </row>
    <row r="11428" spans="1:40" s="54" customFormat="1">
      <c r="A11428" s="121"/>
      <c r="B11428" s="121"/>
      <c r="C11428" s="121"/>
      <c r="D11428" s="121"/>
      <c r="E11428" s="121"/>
      <c r="F11428" s="121"/>
      <c r="G11428" s="121"/>
      <c r="H11428" s="121"/>
      <c r="I11428" s="121"/>
      <c r="J11428" s="121"/>
      <c r="K11428" s="121"/>
      <c r="L11428" s="121"/>
      <c r="M11428" s="121"/>
      <c r="N11428" s="223"/>
      <c r="O11428" s="216"/>
      <c r="P11428" s="216"/>
      <c r="Q11428" s="523"/>
      <c r="R11428" s="547"/>
      <c r="S11428" s="547"/>
      <c r="T11428" s="547"/>
      <c r="U11428" s="547"/>
      <c r="V11428" s="547"/>
      <c r="W11428" s="547"/>
      <c r="X11428" s="547"/>
      <c r="Y11428" s="547"/>
      <c r="Z11428" s="547"/>
      <c r="AA11428"/>
      <c r="AB11428"/>
      <c r="AC11428"/>
      <c r="AD11428"/>
      <c r="AE11428"/>
      <c r="AF11428"/>
      <c r="AG11428"/>
      <c r="AH11428"/>
      <c r="AI11428"/>
      <c r="AJ11428"/>
      <c r="AK11428"/>
      <c r="AL11428"/>
      <c r="AM11428"/>
      <c r="AN11428"/>
    </row>
    <row r="11429" spans="1:40" s="54" customFormat="1">
      <c r="A11429" s="121"/>
      <c r="B11429" s="121"/>
      <c r="C11429" s="121"/>
      <c r="D11429" s="121"/>
      <c r="E11429" s="121"/>
      <c r="F11429" s="121"/>
      <c r="G11429" s="121"/>
      <c r="H11429" s="121"/>
      <c r="I11429" s="121"/>
      <c r="J11429" s="121"/>
      <c r="K11429" s="121"/>
      <c r="L11429" s="121"/>
      <c r="M11429" s="121"/>
      <c r="N11429" s="56"/>
      <c r="P11429" s="121"/>
      <c r="Q11429" s="121"/>
      <c r="R11429" s="121"/>
      <c r="S11429" s="121"/>
      <c r="T11429" s="121"/>
      <c r="U11429" s="121"/>
      <c r="V11429" s="121"/>
      <c r="W11429" s="121"/>
      <c r="X11429" s="121"/>
      <c r="Y11429" s="121"/>
      <c r="Z11429" s="121"/>
      <c r="AA11429"/>
      <c r="AB11429"/>
      <c r="AC11429"/>
      <c r="AD11429"/>
      <c r="AE11429"/>
      <c r="AF11429"/>
      <c r="AG11429"/>
      <c r="AH11429"/>
      <c r="AI11429"/>
      <c r="AJ11429"/>
      <c r="AK11429"/>
      <c r="AL11429"/>
      <c r="AM11429"/>
      <c r="AN11429"/>
    </row>
    <row r="11430" spans="1:40" s="47" customFormat="1">
      <c r="A11430" s="121"/>
      <c r="B11430" s="121"/>
      <c r="C11430" s="121"/>
      <c r="D11430" s="121"/>
      <c r="E11430" s="121"/>
      <c r="F11430" s="121"/>
      <c r="G11430" s="121"/>
      <c r="H11430" s="121"/>
      <c r="I11430" s="121"/>
      <c r="J11430" s="121"/>
      <c r="K11430" s="121"/>
      <c r="L11430" s="121"/>
      <c r="M11430" s="121"/>
      <c r="N11430" s="49"/>
      <c r="R11430" s="60"/>
      <c r="S11430" s="60"/>
      <c r="T11430" s="60"/>
      <c r="U11430" s="795" t="s">
        <v>2662</v>
      </c>
      <c r="V11430" s="795"/>
      <c r="W11430" s="795"/>
      <c r="X11430" s="795" t="s">
        <v>2663</v>
      </c>
      <c r="Y11430" s="795"/>
      <c r="Z11430" s="795"/>
      <c r="AA11430"/>
      <c r="AB11430"/>
      <c r="AC11430"/>
      <c r="AD11430"/>
      <c r="AE11430"/>
      <c r="AF11430"/>
      <c r="AG11430"/>
      <c r="AH11430"/>
      <c r="AI11430"/>
      <c r="AJ11430"/>
      <c r="AK11430"/>
      <c r="AL11430"/>
      <c r="AM11430"/>
      <c r="AN11430"/>
    </row>
  </sheetData>
  <sheetProtection formatColumns="0" formatRows="0"/>
  <mergeCells count="596">
    <mergeCell ref="R9720:T9720"/>
    <mergeCell ref="U9720:W9720"/>
    <mergeCell ref="X9720:Z9720"/>
    <mergeCell ref="AA9720:AC9720"/>
    <mergeCell ref="AD9720:AF9720"/>
    <mergeCell ref="U10709:W10709"/>
    <mergeCell ref="X10709:Z10709"/>
    <mergeCell ref="R9721:T9721"/>
    <mergeCell ref="U9721:W9721"/>
    <mergeCell ref="AA10709:AC10709"/>
    <mergeCell ref="AA9721:AC9721"/>
    <mergeCell ref="AD9721:AF9721"/>
    <mergeCell ref="AA9718:AC9718"/>
    <mergeCell ref="AD9718:AF9718"/>
    <mergeCell ref="AD9719:AF9719"/>
    <mergeCell ref="X9721:Z9721"/>
    <mergeCell ref="X9718:Z9718"/>
    <mergeCell ref="AD10709:AF10709"/>
    <mergeCell ref="AJ10709:AL10709"/>
    <mergeCell ref="AA9719:AC9719"/>
    <mergeCell ref="X9719:Z9719"/>
    <mergeCell ref="N9718:N9719"/>
    <mergeCell ref="O9718:O9719"/>
    <mergeCell ref="P9718:P9719"/>
    <mergeCell ref="R9718:T9718"/>
    <mergeCell ref="U9718:W9718"/>
    <mergeCell ref="N9716:P9716"/>
    <mergeCell ref="R9717:T9717"/>
    <mergeCell ref="U9717:W9717"/>
    <mergeCell ref="X9717:Z9717"/>
    <mergeCell ref="R9719:T9719"/>
    <mergeCell ref="U9719:W9719"/>
    <mergeCell ref="M8717:M9416"/>
    <mergeCell ref="M9554:M9584"/>
    <mergeCell ref="R9692:T9692"/>
    <mergeCell ref="U9692:W9692"/>
    <mergeCell ref="R9710:T9710"/>
    <mergeCell ref="AD9717:AF9717"/>
    <mergeCell ref="AA9711:AC9711"/>
    <mergeCell ref="R9711:T9711"/>
    <mergeCell ref="U9711:W9711"/>
    <mergeCell ref="X9711:Z9711"/>
    <mergeCell ref="AA9717:AC9717"/>
    <mergeCell ref="AD8702:AF8702"/>
    <mergeCell ref="AD8700:AF8700"/>
    <mergeCell ref="AD9711:AF9711"/>
    <mergeCell ref="AD8703:AF8703"/>
    <mergeCell ref="AD9692:AF9692"/>
    <mergeCell ref="AD8701:AF8701"/>
    <mergeCell ref="AD8704:AF8704"/>
    <mergeCell ref="R8703:T8703"/>
    <mergeCell ref="U8703:W8703"/>
    <mergeCell ref="X8703:Z8703"/>
    <mergeCell ref="AA8703:AC8703"/>
    <mergeCell ref="X9692:Z9692"/>
    <mergeCell ref="AA9692:AC9692"/>
    <mergeCell ref="R8704:T8704"/>
    <mergeCell ref="U8704:W8704"/>
    <mergeCell ref="X8704:Z8704"/>
    <mergeCell ref="AA8704:AC8704"/>
    <mergeCell ref="AA8695:AC8695"/>
    <mergeCell ref="X8700:Z8700"/>
    <mergeCell ref="AA8700:AC8700"/>
    <mergeCell ref="R8694:T8694"/>
    <mergeCell ref="R8700:T8700"/>
    <mergeCell ref="U8700:W8700"/>
    <mergeCell ref="N8701:N8702"/>
    <mergeCell ref="O8701:O8702"/>
    <mergeCell ref="P8701:P8702"/>
    <mergeCell ref="R8701:T8701"/>
    <mergeCell ref="R8702:T8702"/>
    <mergeCell ref="AA8702:AC8702"/>
    <mergeCell ref="AA8701:AC8701"/>
    <mergeCell ref="N8699:P8699"/>
    <mergeCell ref="N8523:P8523"/>
    <mergeCell ref="R8524:T8524"/>
    <mergeCell ref="U8680:W8680"/>
    <mergeCell ref="X8680:Z8680"/>
    <mergeCell ref="U8702:W8702"/>
    <mergeCell ref="X8702:Z8702"/>
    <mergeCell ref="R8695:T8695"/>
    <mergeCell ref="U8695:W8695"/>
    <mergeCell ref="X8695:Z8695"/>
    <mergeCell ref="U8701:W8701"/>
    <mergeCell ref="X8701:Z8701"/>
    <mergeCell ref="X8525:Z8525"/>
    <mergeCell ref="U8524:W8524"/>
    <mergeCell ref="X8524:Z8524"/>
    <mergeCell ref="X8527:Z8527"/>
    <mergeCell ref="N8525:N8526"/>
    <mergeCell ref="O8525:O8526"/>
    <mergeCell ref="P8525:P8526"/>
    <mergeCell ref="R8525:T8525"/>
    <mergeCell ref="R8526:T8526"/>
    <mergeCell ref="AM8485:AM8508"/>
    <mergeCell ref="AA8351:AC8351"/>
    <mergeCell ref="R8356:T8356"/>
    <mergeCell ref="R8527:T8527"/>
    <mergeCell ref="AG8510:AI8510"/>
    <mergeCell ref="AA8355:AC8355"/>
    <mergeCell ref="U8354:W8354"/>
    <mergeCell ref="R8357:T8357"/>
    <mergeCell ref="U8357:W8357"/>
    <mergeCell ref="AA8356:AC8356"/>
    <mergeCell ref="U8356:W8356"/>
    <mergeCell ref="X8356:Z8356"/>
    <mergeCell ref="X8355:Z8355"/>
    <mergeCell ref="R8520:T8520"/>
    <mergeCell ref="X8521:Z8521"/>
    <mergeCell ref="U8526:W8526"/>
    <mergeCell ref="R8521:T8521"/>
    <mergeCell ref="X8526:Z8526"/>
    <mergeCell ref="AA8354:AC8354"/>
    <mergeCell ref="U8521:W8521"/>
    <mergeCell ref="U8355:W8355"/>
    <mergeCell ref="U8527:W8527"/>
    <mergeCell ref="U8525:W8525"/>
    <mergeCell ref="U8510:W8510"/>
    <mergeCell ref="R8351:T8351"/>
    <mergeCell ref="AA7351:AC7351"/>
    <mergeCell ref="U8351:W8351"/>
    <mergeCell ref="X8351:Z8351"/>
    <mergeCell ref="U8339:W8339"/>
    <mergeCell ref="X8339:Z8339"/>
    <mergeCell ref="AA8339:AC8339"/>
    <mergeCell ref="AJ8510:AL8510"/>
    <mergeCell ref="X8357:Z8357"/>
    <mergeCell ref="AA8357:AC8357"/>
    <mergeCell ref="X8510:Z8510"/>
    <mergeCell ref="AA8510:AC8510"/>
    <mergeCell ref="AD8510:AF8510"/>
    <mergeCell ref="X8354:Z8354"/>
    <mergeCell ref="AJ8339:AL8339"/>
    <mergeCell ref="AA7348:AC7348"/>
    <mergeCell ref="AD7348:AF7348"/>
    <mergeCell ref="AD7349:AF7349"/>
    <mergeCell ref="AD8339:AF8339"/>
    <mergeCell ref="X7350:Z7350"/>
    <mergeCell ref="AA7350:AC7350"/>
    <mergeCell ref="AD7350:AF7350"/>
    <mergeCell ref="AD7351:AF7351"/>
    <mergeCell ref="R7351:T7351"/>
    <mergeCell ref="U7351:W7351"/>
    <mergeCell ref="R3092:T3092"/>
    <mergeCell ref="U3092:W3092"/>
    <mergeCell ref="R3084:T3084"/>
    <mergeCell ref="X3094:Z3094"/>
    <mergeCell ref="X3093:Z3093"/>
    <mergeCell ref="R4111:T4111"/>
    <mergeCell ref="U4115:W4115"/>
    <mergeCell ref="R5108:T5108"/>
    <mergeCell ref="U5116:W5116"/>
    <mergeCell ref="R4104:T4104"/>
    <mergeCell ref="R5115:T5115"/>
    <mergeCell ref="U4111:W4111"/>
    <mergeCell ref="AD5117:AF5117"/>
    <mergeCell ref="AD5116:AF5116"/>
    <mergeCell ref="AA4113:AC4113"/>
    <mergeCell ref="AA4114:AC4114"/>
    <mergeCell ref="AA5109:AC5109"/>
    <mergeCell ref="AA4115:AC4115"/>
    <mergeCell ref="AD5109:AF5109"/>
    <mergeCell ref="AD5115:AF5115"/>
    <mergeCell ref="AD6360:AF6360"/>
    <mergeCell ref="AD1002:AF1002"/>
    <mergeCell ref="AD14:AF14"/>
    <mergeCell ref="U1002:W1002"/>
    <mergeCell ref="AD1007:AF1007"/>
    <mergeCell ref="AD1005:AF1005"/>
    <mergeCell ref="X1007:Z1007"/>
    <mergeCell ref="AA1006:AC1006"/>
    <mergeCell ref="X1002:Z1002"/>
    <mergeCell ref="AA3092:AC3092"/>
    <mergeCell ref="X3085:Z3085"/>
    <mergeCell ref="AA3085:AC3085"/>
    <mergeCell ref="X3092:Z3092"/>
    <mergeCell ref="AD1006:AF1006"/>
    <mergeCell ref="M2392:M3067"/>
    <mergeCell ref="M1010:M1709"/>
    <mergeCell ref="R11:T11"/>
    <mergeCell ref="AA10:AC10"/>
    <mergeCell ref="X10:Z10"/>
    <mergeCell ref="U12:W12"/>
    <mergeCell ref="X13:Z13"/>
    <mergeCell ref="AA12:AC12"/>
    <mergeCell ref="U13:W13"/>
    <mergeCell ref="X12:Z12"/>
    <mergeCell ref="R1007:T1007"/>
    <mergeCell ref="U1007:W1007"/>
    <mergeCell ref="M1713:M2388"/>
    <mergeCell ref="AA13:AC13"/>
    <mergeCell ref="AA1005:AC1005"/>
    <mergeCell ref="AA1007:AC1007"/>
    <mergeCell ref="AA1002:AC1002"/>
    <mergeCell ref="X1005:Z1005"/>
    <mergeCell ref="X1006:Z1006"/>
    <mergeCell ref="M27:M726"/>
    <mergeCell ref="R13:T13"/>
    <mergeCell ref="N11:N12"/>
    <mergeCell ref="O11:O12"/>
    <mergeCell ref="P11:P12"/>
    <mergeCell ref="R3:AF3"/>
    <mergeCell ref="R4:T4"/>
    <mergeCell ref="X11:Z11"/>
    <mergeCell ref="AD11:AF11"/>
    <mergeCell ref="AA11:AC11"/>
    <mergeCell ref="R10:T10"/>
    <mergeCell ref="AD10:AF10"/>
    <mergeCell ref="U11:W11"/>
    <mergeCell ref="M864:M894"/>
    <mergeCell ref="AD12:AF12"/>
    <mergeCell ref="AD13:AF13"/>
    <mergeCell ref="R12:T12"/>
    <mergeCell ref="R14:T14"/>
    <mergeCell ref="U14:W14"/>
    <mergeCell ref="N9:P9"/>
    <mergeCell ref="AA14:AC14"/>
    <mergeCell ref="U10:W10"/>
    <mergeCell ref="X14:Z14"/>
    <mergeCell ref="N3091:P3091"/>
    <mergeCell ref="U1005:W1005"/>
    <mergeCell ref="U3085:W3085"/>
    <mergeCell ref="R1005:T1005"/>
    <mergeCell ref="R1006:T1006"/>
    <mergeCell ref="U1006:W1006"/>
    <mergeCell ref="R1002:T1002"/>
    <mergeCell ref="R3082:T3082"/>
    <mergeCell ref="R3083:T3083"/>
    <mergeCell ref="N3093:N3094"/>
    <mergeCell ref="O3093:O3094"/>
    <mergeCell ref="P3093:P3094"/>
    <mergeCell ref="U3096:W3096"/>
    <mergeCell ref="R3096:T3096"/>
    <mergeCell ref="R3094:T3094"/>
    <mergeCell ref="R3093:T3093"/>
    <mergeCell ref="AA3095:AC3095"/>
    <mergeCell ref="AA3096:AC3096"/>
    <mergeCell ref="R3095:T3095"/>
    <mergeCell ref="U3095:W3095"/>
    <mergeCell ref="X3095:Z3095"/>
    <mergeCell ref="X3096:Z3096"/>
    <mergeCell ref="U3094:W3094"/>
    <mergeCell ref="U3093:W3093"/>
    <mergeCell ref="AA3094:AC3094"/>
    <mergeCell ref="AA3093:AC3093"/>
    <mergeCell ref="AA4105:AC4105"/>
    <mergeCell ref="U4107:W4107"/>
    <mergeCell ref="R4106:T4106"/>
    <mergeCell ref="R4105:T4105"/>
    <mergeCell ref="U4105:W4105"/>
    <mergeCell ref="AA4107:AC4107"/>
    <mergeCell ref="AA4106:AC4106"/>
    <mergeCell ref="U4106:W4106"/>
    <mergeCell ref="R4107:T4107"/>
    <mergeCell ref="AA4112:AC4112"/>
    <mergeCell ref="X5109:Z5109"/>
    <mergeCell ref="X5115:Z5115"/>
    <mergeCell ref="R5109:T5109"/>
    <mergeCell ref="U5109:W5109"/>
    <mergeCell ref="U4114:W4114"/>
    <mergeCell ref="U4113:W4113"/>
    <mergeCell ref="N4110:P4110"/>
    <mergeCell ref="R4112:T4112"/>
    <mergeCell ref="U4112:W4112"/>
    <mergeCell ref="O4112:O4113"/>
    <mergeCell ref="P4112:P4113"/>
    <mergeCell ref="R4114:T4114"/>
    <mergeCell ref="R4113:T4113"/>
    <mergeCell ref="N4112:N4113"/>
    <mergeCell ref="R4115:T4115"/>
    <mergeCell ref="AA4111:AC4111"/>
    <mergeCell ref="AA5116:AC5116"/>
    <mergeCell ref="M4128:M4826"/>
    <mergeCell ref="O5116:O5117"/>
    <mergeCell ref="N5114:P5114"/>
    <mergeCell ref="P5116:P5117"/>
    <mergeCell ref="AA5115:AC5115"/>
    <mergeCell ref="X5116:Z5116"/>
    <mergeCell ref="U5115:W5115"/>
    <mergeCell ref="R5116:T5116"/>
    <mergeCell ref="AA5117:AC5117"/>
    <mergeCell ref="N5116:N5117"/>
    <mergeCell ref="U5117:W5117"/>
    <mergeCell ref="R5117:T5117"/>
    <mergeCell ref="X5117:Z5117"/>
    <mergeCell ref="R5119:T5119"/>
    <mergeCell ref="X6107:Z6107"/>
    <mergeCell ref="U5118:W5118"/>
    <mergeCell ref="U6200:W6200"/>
    <mergeCell ref="R6200:T6200"/>
    <mergeCell ref="AD5119:AF5119"/>
    <mergeCell ref="AA5118:AC5118"/>
    <mergeCell ref="AA5119:AC5119"/>
    <mergeCell ref="AD5118:AF5118"/>
    <mergeCell ref="U5119:W5119"/>
    <mergeCell ref="X5118:Z5118"/>
    <mergeCell ref="X5119:Z5119"/>
    <mergeCell ref="R5118:T5118"/>
    <mergeCell ref="AJ6107:AL6107"/>
    <mergeCell ref="AJ6200:AL6200"/>
    <mergeCell ref="AD6200:AF6200"/>
    <mergeCell ref="AG6200:AI6200"/>
    <mergeCell ref="AA6200:AC6200"/>
    <mergeCell ref="AA6107:AC6107"/>
    <mergeCell ref="U6204:W6204"/>
    <mergeCell ref="X6204:Z6204"/>
    <mergeCell ref="U6205:W6205"/>
    <mergeCell ref="N6373:P6373"/>
    <mergeCell ref="R6371:T6371"/>
    <mergeCell ref="R6207:T6207"/>
    <mergeCell ref="U6207:W6207"/>
    <mergeCell ref="R6370:T6370"/>
    <mergeCell ref="N6203:P6203"/>
    <mergeCell ref="AD6107:AF6107"/>
    <mergeCell ref="U6201:W6201"/>
    <mergeCell ref="X6201:Z6201"/>
    <mergeCell ref="AA6201:AC6201"/>
    <mergeCell ref="X6200:Z6200"/>
    <mergeCell ref="R6201:T6201"/>
    <mergeCell ref="U6107:W6107"/>
    <mergeCell ref="AA6206:AC6206"/>
    <mergeCell ref="AA6204:AC6204"/>
    <mergeCell ref="R6204:T6204"/>
    <mergeCell ref="R6205:T6205"/>
    <mergeCell ref="N6205:N6206"/>
    <mergeCell ref="O6205:O6206"/>
    <mergeCell ref="P6205:P6206"/>
    <mergeCell ref="X6206:Z6206"/>
    <mergeCell ref="X6205:Z6205"/>
    <mergeCell ref="R6206:T6206"/>
    <mergeCell ref="U6206:W6206"/>
    <mergeCell ref="X6207:Z6207"/>
    <mergeCell ref="AA6205:AC6205"/>
    <mergeCell ref="AA6207:AC6207"/>
    <mergeCell ref="AJ6530:AL6530"/>
    <mergeCell ref="AA6530:AC6530"/>
    <mergeCell ref="AA6371:AC6371"/>
    <mergeCell ref="AA6374:AC6374"/>
    <mergeCell ref="AA6376:AC6376"/>
    <mergeCell ref="AA6375:AC6375"/>
    <mergeCell ref="AA6377:AC6377"/>
    <mergeCell ref="AG6360:AI6360"/>
    <mergeCell ref="AG6530:AI6530"/>
    <mergeCell ref="U6371:W6371"/>
    <mergeCell ref="AM6209:AM6210"/>
    <mergeCell ref="U6360:W6360"/>
    <mergeCell ref="X6360:Z6360"/>
    <mergeCell ref="AA6360:AC6360"/>
    <mergeCell ref="AM6335:AM6358"/>
    <mergeCell ref="AJ6360:AL6360"/>
    <mergeCell ref="U6375:W6375"/>
    <mergeCell ref="R6377:T6377"/>
    <mergeCell ref="U6377:W6377"/>
    <mergeCell ref="U6374:W6374"/>
    <mergeCell ref="R6375:T6375"/>
    <mergeCell ref="X6371:Z6371"/>
    <mergeCell ref="X6375:Z6375"/>
    <mergeCell ref="X6374:Z6374"/>
    <mergeCell ref="X6377:Z6377"/>
    <mergeCell ref="X6376:Z6376"/>
    <mergeCell ref="R6374:T6374"/>
    <mergeCell ref="R6376:T6376"/>
    <mergeCell ref="U6376:W6376"/>
    <mergeCell ref="R6604:T6604"/>
    <mergeCell ref="U6604:W6604"/>
    <mergeCell ref="N6603:P6603"/>
    <mergeCell ref="X6530:Z6530"/>
    <mergeCell ref="U6530:W6530"/>
    <mergeCell ref="U6601:W6601"/>
    <mergeCell ref="X6601:Z6601"/>
    <mergeCell ref="R6600:T6600"/>
    <mergeCell ref="U6600:W6600"/>
    <mergeCell ref="N6375:N6376"/>
    <mergeCell ref="O6375:O6376"/>
    <mergeCell ref="P6375:P6376"/>
    <mergeCell ref="X6600:Z6600"/>
    <mergeCell ref="X6774:Z6774"/>
    <mergeCell ref="U6760:W6760"/>
    <mergeCell ref="N6775:N6776"/>
    <mergeCell ref="AM6505:AM6528"/>
    <mergeCell ref="AD6530:AF6530"/>
    <mergeCell ref="X6605:Z6605"/>
    <mergeCell ref="X6606:Z6606"/>
    <mergeCell ref="X6604:Z6604"/>
    <mergeCell ref="R6601:T6601"/>
    <mergeCell ref="X6775:Z6775"/>
    <mergeCell ref="X6607:Z6607"/>
    <mergeCell ref="U6607:W6607"/>
    <mergeCell ref="X6760:Z6760"/>
    <mergeCell ref="R6771:T6771"/>
    <mergeCell ref="O6775:O6776"/>
    <mergeCell ref="R6774:T6774"/>
    <mergeCell ref="P6775:P6776"/>
    <mergeCell ref="N6605:N6606"/>
    <mergeCell ref="O6605:O6606"/>
    <mergeCell ref="P6605:P6606"/>
    <mergeCell ref="R6605:T6605"/>
    <mergeCell ref="U6605:W6605"/>
    <mergeCell ref="X6771:Z6771"/>
    <mergeCell ref="U6774:W6774"/>
    <mergeCell ref="U6606:W6606"/>
    <mergeCell ref="R6606:T6606"/>
    <mergeCell ref="U6775:W6775"/>
    <mergeCell ref="U6771:W6771"/>
    <mergeCell ref="U6776:W6776"/>
    <mergeCell ref="R6607:T6607"/>
    <mergeCell ref="R6775:T6775"/>
    <mergeCell ref="N6773:P6773"/>
    <mergeCell ref="R6770:T6770"/>
    <mergeCell ref="U6930:W6930"/>
    <mergeCell ref="R7006:T7006"/>
    <mergeCell ref="U7005:W7005"/>
    <mergeCell ref="R7004:T7004"/>
    <mergeCell ref="X6776:Z6776"/>
    <mergeCell ref="R6777:T6777"/>
    <mergeCell ref="U6777:W6777"/>
    <mergeCell ref="X6777:Z6777"/>
    <mergeCell ref="R6776:T6776"/>
    <mergeCell ref="X6930:Z6930"/>
    <mergeCell ref="R7000:T7000"/>
    <mergeCell ref="N7003:P7003"/>
    <mergeCell ref="U7001:W7001"/>
    <mergeCell ref="R7001:T7001"/>
    <mergeCell ref="U7174:W7174"/>
    <mergeCell ref="U7004:W7004"/>
    <mergeCell ref="R7171:T7171"/>
    <mergeCell ref="U7171:W7171"/>
    <mergeCell ref="U7007:W7007"/>
    <mergeCell ref="O7005:O7006"/>
    <mergeCell ref="P7005:P7006"/>
    <mergeCell ref="N7005:N7006"/>
    <mergeCell ref="R7007:T7007"/>
    <mergeCell ref="N7173:P7173"/>
    <mergeCell ref="U7006:W7006"/>
    <mergeCell ref="R7170:T7170"/>
    <mergeCell ref="R7005:T7005"/>
    <mergeCell ref="R7174:T7174"/>
    <mergeCell ref="AD8695:AF8695"/>
    <mergeCell ref="R7177:T7177"/>
    <mergeCell ref="U7177:W7177"/>
    <mergeCell ref="R7175:T7175"/>
    <mergeCell ref="AA7341:AC7341"/>
    <mergeCell ref="AD7347:AF7347"/>
    <mergeCell ref="R7340:T7340"/>
    <mergeCell ref="R7341:T7341"/>
    <mergeCell ref="U7341:W7341"/>
    <mergeCell ref="R7348:T7348"/>
    <mergeCell ref="R7349:T7349"/>
    <mergeCell ref="AA7347:AC7347"/>
    <mergeCell ref="AA7349:AC7349"/>
    <mergeCell ref="R7347:T7347"/>
    <mergeCell ref="U7347:W7347"/>
    <mergeCell ref="X7347:Z7347"/>
    <mergeCell ref="R7350:T7350"/>
    <mergeCell ref="U7350:W7350"/>
    <mergeCell ref="AD7341:AF7341"/>
    <mergeCell ref="X7341:Z7341"/>
    <mergeCell ref="X7348:Z7348"/>
    <mergeCell ref="U7349:W7349"/>
    <mergeCell ref="X7349:Z7349"/>
    <mergeCell ref="X7351:Z7351"/>
    <mergeCell ref="N10745:N10746"/>
    <mergeCell ref="O10745:O10746"/>
    <mergeCell ref="P10745:P10746"/>
    <mergeCell ref="R10745:T10745"/>
    <mergeCell ref="N10743:P10743"/>
    <mergeCell ref="R10740:T10740"/>
    <mergeCell ref="U7175:W7175"/>
    <mergeCell ref="R7176:T7176"/>
    <mergeCell ref="U7176:W7176"/>
    <mergeCell ref="N7175:N7176"/>
    <mergeCell ref="O7175:O7176"/>
    <mergeCell ref="P7175:P7176"/>
    <mergeCell ref="N7346:P7346"/>
    <mergeCell ref="N7348:N7349"/>
    <mergeCell ref="O7348:O7349"/>
    <mergeCell ref="P7348:P7349"/>
    <mergeCell ref="U7348:W7348"/>
    <mergeCell ref="N8353:P8353"/>
    <mergeCell ref="R8350:T8350"/>
    <mergeCell ref="R8354:T8354"/>
    <mergeCell ref="N8355:N8356"/>
    <mergeCell ref="O8355:O8356"/>
    <mergeCell ref="P8355:P8356"/>
    <mergeCell ref="R8355:T8355"/>
    <mergeCell ref="R10744:T10744"/>
    <mergeCell ref="U10744:W10744"/>
    <mergeCell ref="X10744:Z10744"/>
    <mergeCell ref="AA10744:AC10744"/>
    <mergeCell ref="AJ10740:AL10740"/>
    <mergeCell ref="R10741:T10741"/>
    <mergeCell ref="U10741:W10741"/>
    <mergeCell ref="X10741:Z10741"/>
    <mergeCell ref="AA10741:AC10741"/>
    <mergeCell ref="AA10740:AC10740"/>
    <mergeCell ref="AD10740:AF10740"/>
    <mergeCell ref="AG10740:AI10740"/>
    <mergeCell ref="U10740:W10740"/>
    <mergeCell ref="X10740:Z10740"/>
    <mergeCell ref="AA10745:AC10745"/>
    <mergeCell ref="R10746:T10746"/>
    <mergeCell ref="U10746:W10746"/>
    <mergeCell ref="X10746:Z10746"/>
    <mergeCell ref="AA10746:AC10746"/>
    <mergeCell ref="U10745:W10745"/>
    <mergeCell ref="X10745:Z10745"/>
    <mergeCell ref="R10747:T10747"/>
    <mergeCell ref="U10747:W10747"/>
    <mergeCell ref="X10747:Z10747"/>
    <mergeCell ref="AA10747:AC10747"/>
    <mergeCell ref="N10915:N10916"/>
    <mergeCell ref="O10915:O10916"/>
    <mergeCell ref="P10915:P10916"/>
    <mergeCell ref="R10915:T10915"/>
    <mergeCell ref="R10916:T10916"/>
    <mergeCell ref="U10916:W10916"/>
    <mergeCell ref="AM10749:AM10750"/>
    <mergeCell ref="AM10875:AM10898"/>
    <mergeCell ref="U10900:W10900"/>
    <mergeCell ref="X10900:Z10900"/>
    <mergeCell ref="AA10900:AC10900"/>
    <mergeCell ref="AD10900:AF10900"/>
    <mergeCell ref="AA10911:AC10911"/>
    <mergeCell ref="N10913:P10913"/>
    <mergeCell ref="AG10900:AI10900"/>
    <mergeCell ref="AJ10900:AL10900"/>
    <mergeCell ref="R10910:T10910"/>
    <mergeCell ref="R10911:T10911"/>
    <mergeCell ref="U10911:W10911"/>
    <mergeCell ref="X10911:Z10911"/>
    <mergeCell ref="R10914:T10914"/>
    <mergeCell ref="U10914:W10914"/>
    <mergeCell ref="X10914:Z10914"/>
    <mergeCell ref="R10917:T10917"/>
    <mergeCell ref="U10917:W10917"/>
    <mergeCell ref="AM11045:AM11068"/>
    <mergeCell ref="X10917:Z10917"/>
    <mergeCell ref="AA10917:AC10917"/>
    <mergeCell ref="AA10915:AC10915"/>
    <mergeCell ref="AA10914:AC10914"/>
    <mergeCell ref="AA10916:AC10916"/>
    <mergeCell ref="U10915:W10915"/>
    <mergeCell ref="X10915:Z10915"/>
    <mergeCell ref="X10916:Z10916"/>
    <mergeCell ref="AG11070:AI11070"/>
    <mergeCell ref="AJ11070:AL11070"/>
    <mergeCell ref="R11105:T11105"/>
    <mergeCell ref="U11105:W11105"/>
    <mergeCell ref="X11105:Z11105"/>
    <mergeCell ref="R11100:T11100"/>
    <mergeCell ref="U11100:W11100"/>
    <mergeCell ref="X11100:Z11100"/>
    <mergeCell ref="R11101:T11101"/>
    <mergeCell ref="U11101:W11101"/>
    <mergeCell ref="U11070:W11070"/>
    <mergeCell ref="X11070:Z11070"/>
    <mergeCell ref="AA11070:AC11070"/>
    <mergeCell ref="AD11070:AF11070"/>
    <mergeCell ref="O11105:O11106"/>
    <mergeCell ref="P11105:P11106"/>
    <mergeCell ref="R11271:T11271"/>
    <mergeCell ref="U11271:W11271"/>
    <mergeCell ref="X11101:Z11101"/>
    <mergeCell ref="U11104:W11104"/>
    <mergeCell ref="X11260:Z11260"/>
    <mergeCell ref="N11103:P11103"/>
    <mergeCell ref="R11104:T11104"/>
    <mergeCell ref="X11104:Z11104"/>
    <mergeCell ref="R11106:T11106"/>
    <mergeCell ref="U11106:W11106"/>
    <mergeCell ref="X11106:Z11106"/>
    <mergeCell ref="N11105:N11106"/>
    <mergeCell ref="N11273:P11273"/>
    <mergeCell ref="R11274:T11274"/>
    <mergeCell ref="U11274:W11274"/>
    <mergeCell ref="X11274:Z11274"/>
    <mergeCell ref="X11271:Z11271"/>
    <mergeCell ref="U11275:W11275"/>
    <mergeCell ref="X11275:Z11275"/>
    <mergeCell ref="R11107:T11107"/>
    <mergeCell ref="U11107:W11107"/>
    <mergeCell ref="X11107:Z11107"/>
    <mergeCell ref="R11270:T11270"/>
    <mergeCell ref="U11260:W11260"/>
    <mergeCell ref="U11430:W11430"/>
    <mergeCell ref="X11430:Z11430"/>
    <mergeCell ref="R11276:T11276"/>
    <mergeCell ref="U11276:W11276"/>
    <mergeCell ref="X11276:Z11276"/>
    <mergeCell ref="R11277:T11277"/>
    <mergeCell ref="U11277:W11277"/>
    <mergeCell ref="X11277:Z11277"/>
    <mergeCell ref="N11275:N11276"/>
    <mergeCell ref="O11275:O11276"/>
    <mergeCell ref="P11275:P11276"/>
    <mergeCell ref="R11275:T11275"/>
  </mergeCells>
  <phoneticPr fontId="8" type="noConversion"/>
  <dataValidations disablePrompts="1" count="2">
    <dataValidation type="decimal" allowBlank="1" showErrorMessage="1" errorTitle="Ошибка" error="Допускается ввод только действительных чисел!" sqref="W4294 W4312 W4304 W4296 AC4296 AC4294 AC4312 AC4304">
      <formula1>-9.99999999999999E+23</formula1>
      <formula2>9.99999999999999E+23</formula2>
    </dataValidation>
    <dataValidation type="decimal" allowBlank="1" showInputMessage="1" showErrorMessage="1" error="Ввведеное значение неверно" sqref="W4500 W4498 W4465 W4358 W4731 W4363 W4327 W4313:W4322 W4330:W4336 W4338:W4355 W4279:W4289 W4292 W4325 W4467:W4473 W4700 W4733 W4475:W4481 W4394 W4502 W4535 W4440:W4446 W4432:W4438 W4766 W4601 W4634 W4463 W4667 W4568 W4719:W4728 W4752:W4761 W4653:W4662 W4686:W4695 W4521:W4530 W4587:W4596 W4554:W4563 W4620:W4629 W4785:W4794 W4533 W4566 W4797 W4632 W4665 W4698 W4764 W4365 W4373 W4381:W4391 W4599 AC4599 AC4500 AC4491:AC4498 AC4465 AC4358 AC4483:AC4489 AC4363 AC4327 AC4313:AC4322 AC4330:AC4336 AC4338:AC4355 AC4279:AC4289 AC4292 AC4325 AC4365 AC4632 AC4766 AC4373 AC4394 AC4502 AC4535 AC4448:AC4454 AC4381:AC4391 AC4698 AC4601 AC4634 AC4456:AC4463 AC4667 AC4568 AC4665 AC4785:AC4794 AC4653:AC4662 AC4686:AC4695 AC4521:AC4530 AC4587:AC4596 AC4554:AC4563 AC4620:AC4629 AC4797 AC4533 AC4566">
      <formula1>-1000000000000000</formula1>
      <formula2>1000000000000000</formula2>
    </dataValidation>
  </dataValidations>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sheetPr codeName="VOTV_TM1_PERIOD3">
    <tabColor rgb="FF92D050"/>
    <pageSetUpPr fitToPage="1"/>
  </sheetPr>
  <dimension ref="A1:EV34"/>
  <sheetViews>
    <sheetView showGridLines="0" topLeftCell="E3" workbookViewId="0">
      <pane xSplit="5" ySplit="19" topLeftCell="J22" activePane="bottomRight" state="frozen"/>
      <selection pane="topRight"/>
      <selection pane="bottomLeft"/>
      <selection pane="bottomRight"/>
    </sheetView>
  </sheetViews>
  <sheetFormatPr defaultRowHeight="11.25"/>
  <cols>
    <col min="1" max="3" width="5.7109375" style="162" hidden="1" customWidth="1"/>
    <col min="4" max="4" width="3.7109375" style="159" hidden="1" customWidth="1"/>
    <col min="5" max="5" width="5.7109375" style="179" customWidth="1"/>
    <col min="6" max="6" width="4.7109375" style="39" customWidth="1"/>
    <col min="7" max="7" width="40.7109375" style="39" customWidth="1"/>
    <col min="8" max="8" width="27.7109375" style="39" hidden="1" customWidth="1"/>
    <col min="9" max="9" width="0.140625" style="39" hidden="1" customWidth="1"/>
    <col min="10" max="10" width="20.7109375" style="39" customWidth="1"/>
    <col min="11" max="12" width="10.7109375" style="39" hidden="1" customWidth="1"/>
    <col min="13" max="14" width="12.7109375" style="39" hidden="1" customWidth="1"/>
    <col min="15" max="15" width="0.140625" style="39" hidden="1" customWidth="1"/>
    <col min="16" max="19" width="12.7109375" style="39" hidden="1" customWidth="1"/>
    <col min="20" max="21" width="0.140625" style="39" hidden="1" customWidth="1"/>
    <col min="22" max="23" width="12.7109375" style="39" hidden="1" customWidth="1"/>
    <col min="24" max="24" width="10.7109375" style="39" hidden="1" customWidth="1"/>
    <col min="25" max="28" width="9.7109375" style="39" customWidth="1"/>
    <col min="29" max="30" width="0.140625" style="39" customWidth="1"/>
    <col min="31" max="31" width="17.7109375" style="39" customWidth="1"/>
    <col min="32" max="33" width="0.140625" style="39" customWidth="1"/>
    <col min="34" max="38" width="9.7109375" style="39" customWidth="1"/>
    <col min="39" max="39" width="15.7109375" style="39" customWidth="1"/>
    <col min="40" max="41" width="9.7109375" style="39" customWidth="1"/>
    <col min="42" max="42" width="15.7109375" style="39" customWidth="1"/>
    <col min="43" max="44" width="9.7109375" style="39" customWidth="1"/>
    <col min="45" max="45" width="15.7109375" style="39" customWidth="1"/>
    <col min="46" max="47" width="9.7109375" style="39" customWidth="1"/>
    <col min="48" max="48" width="15.7109375" style="39" customWidth="1"/>
    <col min="49" max="50" width="9.7109375" style="39" customWidth="1"/>
    <col min="51" max="51" width="15.7109375" style="39" customWidth="1"/>
    <col min="52" max="108" width="1.7109375" style="162" customWidth="1"/>
    <col min="109" max="109" width="8.7109375" style="162" hidden="1" customWidth="1"/>
    <col min="110" max="123" width="6.7109375" style="162" hidden="1" customWidth="1"/>
    <col min="124" max="126" width="6.7109375" style="162" customWidth="1"/>
    <col min="127" max="127" width="2.7109375" style="162" customWidth="1"/>
    <col min="128" max="152" width="9.140625" style="162"/>
    <col min="153" max="16384" width="9.140625" style="39"/>
  </cols>
  <sheetData>
    <row r="1" spans="1:126" ht="12" hidden="1" customHeight="1">
      <c r="A1" s="178"/>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row>
    <row r="2" spans="1:126" ht="12" hidden="1" customHeight="1">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row>
    <row r="3" spans="1:126" ht="12" customHeight="1">
      <c r="F3" s="637"/>
      <c r="G3" s="123" t="str">
        <f>"Необходимо указывать " &amp; IF(TARIFF_SETUP_METHOD_CODE="BY_PSEUDO_YEARS","общегодовые значения","значения по периодам")</f>
        <v>Необходимо указывать значения по периодам</v>
      </c>
      <c r="H3" s="616" t="s">
        <v>2498</v>
      </c>
      <c r="I3" s="637">
        <f>IF(TARIFF_SETUP_METHOD_CODE="BY_PSEUDO_YEARS",12,4)</f>
        <v>4</v>
      </c>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row>
    <row r="4" spans="1:126" ht="3" customHeight="1">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row>
    <row r="5" spans="1:126" s="419" customFormat="1" ht="18" customHeight="1">
      <c r="D5" s="420"/>
      <c r="E5" s="421"/>
      <c r="F5" s="422" t="str">
        <f>"Тарифы организаций " &amp; TEMPLATE_SPHERE &amp; " на услуги по передаче (транспортировке) по муниципальному образованию - " &amp; IF(mo="","Не определено",mo)</f>
        <v>Тарифы организаций водоотведения на услуги по передаче (транспортировке) по муниципальному образованию - Село Булава</v>
      </c>
      <c r="G5" s="416"/>
      <c r="H5" s="416"/>
      <c r="I5" s="416"/>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21"/>
      <c r="BA5" s="421"/>
      <c r="BB5" s="421"/>
      <c r="BC5" s="421"/>
      <c r="BD5" s="421"/>
      <c r="BE5" s="421"/>
      <c r="BF5" s="421"/>
      <c r="BG5" s="421"/>
      <c r="BH5" s="421"/>
      <c r="BI5" s="421"/>
      <c r="BJ5" s="421"/>
      <c r="BK5" s="421"/>
      <c r="BL5" s="421"/>
      <c r="BM5" s="421"/>
      <c r="BN5" s="421"/>
      <c r="BO5" s="421"/>
      <c r="BP5" s="421"/>
      <c r="BQ5" s="421"/>
      <c r="BR5" s="421"/>
      <c r="BS5" s="421"/>
      <c r="BT5" s="421"/>
      <c r="BU5" s="421"/>
      <c r="BV5" s="421"/>
      <c r="BW5" s="421"/>
      <c r="BX5" s="421"/>
      <c r="BY5" s="421"/>
      <c r="BZ5" s="421"/>
      <c r="CA5" s="421"/>
      <c r="CB5" s="421"/>
      <c r="CC5" s="421"/>
      <c r="CD5" s="421"/>
      <c r="CE5" s="421"/>
      <c r="CF5" s="421"/>
      <c r="CG5" s="421"/>
      <c r="CH5" s="421"/>
      <c r="CI5" s="421"/>
      <c r="CJ5" s="421"/>
      <c r="CK5" s="421"/>
      <c r="CL5" s="421"/>
      <c r="CM5" s="421"/>
      <c r="CN5" s="421"/>
      <c r="CO5" s="421"/>
      <c r="CP5" s="421"/>
      <c r="CQ5" s="421"/>
      <c r="CR5" s="421"/>
      <c r="CS5" s="421"/>
      <c r="CT5" s="421"/>
      <c r="CU5" s="421"/>
      <c r="CV5" s="421"/>
      <c r="CW5" s="421"/>
      <c r="CX5" s="421"/>
      <c r="CY5" s="421"/>
      <c r="CZ5" s="421"/>
      <c r="DA5" s="421"/>
      <c r="DB5" s="421"/>
      <c r="DC5" s="421"/>
      <c r="DD5" s="421"/>
      <c r="DE5" s="421"/>
      <c r="DF5" s="421"/>
      <c r="DG5" s="421"/>
    </row>
    <row r="6" spans="1:126" ht="2.25" customHeight="1">
      <c r="E6" s="184"/>
      <c r="F6" s="185"/>
      <c r="G6" s="162"/>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B6" s="185"/>
      <c r="DC6" s="185"/>
      <c r="DD6" s="185"/>
      <c r="DE6" s="185"/>
      <c r="DF6" s="185"/>
      <c r="DG6" s="185"/>
    </row>
    <row r="7" spans="1:126" ht="12" customHeight="1">
      <c r="E7" s="184"/>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row>
    <row r="8" spans="1:126" s="164" customFormat="1" ht="12" customHeight="1">
      <c r="D8" s="165"/>
      <c r="E8" s="166"/>
      <c r="F8" s="158"/>
      <c r="G8" s="188"/>
      <c r="H8" s="180"/>
      <c r="I8" s="195"/>
      <c r="J8" s="180"/>
      <c r="K8" s="921"/>
      <c r="L8" s="921"/>
      <c r="M8" s="921"/>
      <c r="N8" s="921"/>
      <c r="O8" s="921"/>
      <c r="P8" s="921"/>
      <c r="Q8" s="921"/>
      <c r="R8" s="921"/>
      <c r="S8" s="921"/>
      <c r="T8" s="921"/>
      <c r="U8" s="921"/>
      <c r="V8" s="921"/>
      <c r="W8" s="921"/>
      <c r="X8" s="921"/>
      <c r="Y8" s="921"/>
      <c r="Z8" s="921"/>
      <c r="AA8" s="921"/>
      <c r="AB8" s="921"/>
      <c r="AC8" s="921"/>
      <c r="AD8" s="921"/>
      <c r="AE8" s="921"/>
      <c r="AF8" s="158"/>
      <c r="AG8" s="158"/>
      <c r="AH8" s="158"/>
      <c r="AI8" s="158"/>
      <c r="AJ8" s="158"/>
      <c r="AK8" s="921"/>
      <c r="AL8" s="921"/>
      <c r="AM8" s="921"/>
      <c r="AN8" s="921"/>
      <c r="AO8" s="921"/>
      <c r="AP8" s="921"/>
      <c r="AQ8" s="921"/>
      <c r="AR8" s="921"/>
      <c r="AS8" s="921"/>
      <c r="AT8" s="921"/>
      <c r="AU8" s="921"/>
      <c r="AV8" s="921"/>
      <c r="AW8" s="921"/>
      <c r="AX8" s="921"/>
      <c r="AY8" s="921"/>
      <c r="AZ8" s="921"/>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row>
    <row r="9" spans="1:126" customFormat="1" ht="12" hidden="1" customHeight="1"/>
    <row r="10" spans="1:126" customFormat="1" ht="12" hidden="1" customHeight="1"/>
    <row r="11" spans="1:126" customFormat="1" ht="12" customHeight="1">
      <c r="K11" s="444" t="s">
        <v>652</v>
      </c>
    </row>
    <row r="12" spans="1:126" customFormat="1" ht="12" hidden="1" customHeight="1"/>
    <row r="13" spans="1:126" s="164" customFormat="1" ht="12" customHeight="1">
      <c r="D13" s="165"/>
      <c r="E13" s="166"/>
      <c r="F13" s="158"/>
      <c r="G13" s="167"/>
      <c r="H13" s="180"/>
      <c r="J13" s="120"/>
      <c r="K13" s="880" t="s">
        <v>2863</v>
      </c>
      <c r="L13" s="881"/>
      <c r="M13" s="881"/>
      <c r="N13" s="881"/>
      <c r="O13" s="881"/>
      <c r="P13" s="881"/>
      <c r="Q13" s="881"/>
      <c r="R13" s="881"/>
      <c r="S13" s="881"/>
      <c r="T13" s="881"/>
      <c r="U13" s="881"/>
      <c r="V13" s="881"/>
      <c r="W13" s="881"/>
      <c r="X13" s="882"/>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row>
    <row r="14" spans="1:126" ht="27" customHeight="1">
      <c r="E14" s="184"/>
      <c r="F14" s="914" t="s">
        <v>641</v>
      </c>
      <c r="G14" s="914" t="s">
        <v>735</v>
      </c>
      <c r="H14" s="854" t="str">
        <f>IF(CALC_IDENTIFIER="","",CALC_IDENTIFIER)</f>
        <v/>
      </c>
      <c r="I14" s="855"/>
      <c r="J14" s="914" t="s">
        <v>626</v>
      </c>
      <c r="K14" s="944" t="s">
        <v>2584</v>
      </c>
      <c r="L14" s="950"/>
      <c r="M14" s="945"/>
      <c r="N14" s="803" t="s">
        <v>2569</v>
      </c>
      <c r="O14" s="803"/>
      <c r="P14" s="944" t="s">
        <v>2570</v>
      </c>
      <c r="Q14" s="945"/>
      <c r="R14" s="944" t="s">
        <v>2862</v>
      </c>
      <c r="S14" s="945"/>
      <c r="T14" s="944"/>
      <c r="U14" s="945"/>
      <c r="V14" s="944" t="s">
        <v>2571</v>
      </c>
      <c r="W14" s="945"/>
      <c r="X14" s="803" t="s">
        <v>2572</v>
      </c>
      <c r="Y14" s="828" t="str">
        <f>"Средневзвешенный тариф на услуги по передаче (транспортировке) " &amp; RESOURCE_IDENTIFIER &amp; " с учётом надбавки, " &amp; IF(TRANSMISSION_TARIFF="","?",TRANSMISSION_TARIFF)</f>
        <v>Средневзвешенный тариф на услуги по передаче (транспортировке) стоков с учётом надбавки, руб/куб.м</v>
      </c>
      <c r="Z14" s="828"/>
      <c r="AA14" s="828" t="str">
        <f>"Средневзвешенный тариф на услуги по передаче (транспортировке) " &amp; RESOURCE_IDENTIFIER &amp; ", " &amp; IF(TRANSMISSION_TARIFF="","?",TRANSMISSION_TARIFF)</f>
        <v>Средневзвешенный тариф на услуги по передаче (транспортировке) стоков, руб/куб.м</v>
      </c>
      <c r="AB14" s="828"/>
      <c r="AC14" s="828"/>
      <c r="AD14" s="828"/>
      <c r="AE14" s="879" t="str">
        <f>"Объём " &amp; IF(RESOURCE_IDENTIFIER="стоков","перекачиваемых " &amp; RESOURCE_IDENTIFIER,"передаваемой " &amp; RESOURCE_IDENTIFIER) &amp; " при транспортировке, "&amp; IF(TRANSMISSION_TARIFF="руб/Гкал","Гкал",IF(TRANSMISSION_TARIFF="руб/Гкал*час в мес","Гкал*час в мес",IF(TRANSMISSION_TARIFF="руб/куб.м","куб.м","(размерность не указана)")))</f>
        <v>Объём перекачиваемых стоков при транспортировке, куб.м</v>
      </c>
      <c r="AF14" s="828"/>
      <c r="AG14" s="828"/>
      <c r="AH14" s="828" t="str">
        <f>"Надбавка к тарифу, " &amp; IF(TRANSMISSION_TARIFF="","?",TRANSMISSION_TARIFF)</f>
        <v>Надбавка к тарифу, руб/куб.м</v>
      </c>
      <c r="AI14" s="828"/>
      <c r="AJ14" s="828" t="str">
        <f>"Объём, на который расчитана надбавка, " &amp; IF(TRANSMISSION_TARIFF="руб/Гкал","Гкал",IF(TRANSMISSION_TARIFF="руб/Гкал*час в мес","Гкал*час в мес",IF(TRANSMISSION_TARIFF="руб/куб.м","куб.м","(размерность не указана)")))</f>
        <v>Объём, на который расчитана надбавка, куб.м</v>
      </c>
      <c r="AK14" s="828" t="s">
        <v>3154</v>
      </c>
      <c r="AL14" s="828"/>
      <c r="AM14" s="828"/>
      <c r="AN14" s="828" t="s">
        <v>424</v>
      </c>
      <c r="AO14" s="828"/>
      <c r="AP14" s="828"/>
      <c r="AQ14" s="828" t="s">
        <v>3155</v>
      </c>
      <c r="AR14" s="828"/>
      <c r="AS14" s="828"/>
      <c r="AT14" s="828" t="s">
        <v>3156</v>
      </c>
      <c r="AU14" s="828"/>
      <c r="AV14" s="878"/>
      <c r="AW14" s="828" t="s">
        <v>3157</v>
      </c>
      <c r="AX14" s="828"/>
      <c r="AY14" s="828"/>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row>
    <row r="15" spans="1:126" ht="69" customHeight="1">
      <c r="E15" s="184"/>
      <c r="F15" s="951"/>
      <c r="G15" s="951"/>
      <c r="H15" s="856"/>
      <c r="I15" s="857"/>
      <c r="J15" s="951"/>
      <c r="K15" s="803" t="s">
        <v>2581</v>
      </c>
      <c r="L15" s="803" t="s">
        <v>2582</v>
      </c>
      <c r="M15" s="802" t="s">
        <v>2583</v>
      </c>
      <c r="N15" s="860"/>
      <c r="O15" s="860"/>
      <c r="P15" s="803" t="s">
        <v>2573</v>
      </c>
      <c r="Q15" s="803" t="s">
        <v>2574</v>
      </c>
      <c r="R15" s="803" t="s">
        <v>2573</v>
      </c>
      <c r="S15" s="803" t="s">
        <v>2574</v>
      </c>
      <c r="T15" s="803"/>
      <c r="U15" s="803"/>
      <c r="V15" s="803" t="s">
        <v>2575</v>
      </c>
      <c r="W15" s="803" t="s">
        <v>2576</v>
      </c>
      <c r="X15" s="860"/>
      <c r="Y15" s="828"/>
      <c r="Z15" s="828"/>
      <c r="AA15" s="828"/>
      <c r="AB15" s="828"/>
      <c r="AC15" s="828"/>
      <c r="AD15" s="828"/>
      <c r="AE15" s="879"/>
      <c r="AF15" s="828"/>
      <c r="AG15" s="828"/>
      <c r="AH15" s="828"/>
      <c r="AI15" s="828"/>
      <c r="AJ15" s="828"/>
      <c r="AK15" s="828" t="str">
        <f>"Тариф, " &amp; IF(TRANSMISSION_TARIFF="","?",TRANSMISSION_TARIFF)</f>
        <v>Тариф, руб/куб.м</v>
      </c>
      <c r="AL15" s="828"/>
      <c r="AM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N15" s="828" t="str">
        <f>"Тариф, " &amp; IF(TRANSMISSION_TARIFF="","?",TRANSMISSION_TARIFF)</f>
        <v>Тариф, руб/куб.м</v>
      </c>
      <c r="AO15" s="828"/>
      <c r="AP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Q15" s="828" t="str">
        <f>"Тариф, " &amp; IF(TRANSMISSION_TARIFF="","?",TRANSMISSION_TARIFF)</f>
        <v>Тариф, руб/куб.м</v>
      </c>
      <c r="AR15" s="828"/>
      <c r="AS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T15" s="828" t="str">
        <f>"Тариф, " &amp; IF(TRANSMISSION_TARIFF="","?",TRANSMISSION_TARIFF)</f>
        <v>Тариф, руб/куб.м</v>
      </c>
      <c r="AU15" s="828"/>
      <c r="AV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W15" s="828" t="str">
        <f>"Тариф, " &amp; IF(TRANSMISSION_TARIFF="","?",TRANSMISSION_TARIFF)</f>
        <v>Тариф, руб/куб.м</v>
      </c>
      <c r="AX15" s="828"/>
      <c r="AY15"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R15"/>
      <c r="DS15"/>
      <c r="DT15"/>
      <c r="DU15"/>
      <c r="DV15"/>
    </row>
    <row r="16" spans="1:126" ht="18" customHeight="1">
      <c r="E16" s="184"/>
      <c r="F16" s="952"/>
      <c r="G16" s="952"/>
      <c r="H16" s="858"/>
      <c r="I16" s="859"/>
      <c r="J16" s="952"/>
      <c r="K16" s="826"/>
      <c r="L16" s="826"/>
      <c r="M16" s="802"/>
      <c r="N16" s="826"/>
      <c r="O16" s="826"/>
      <c r="P16" s="826"/>
      <c r="Q16" s="826"/>
      <c r="R16" s="826"/>
      <c r="S16" s="826"/>
      <c r="T16" s="826"/>
      <c r="U16" s="826"/>
      <c r="V16" s="826"/>
      <c r="W16" s="826"/>
      <c r="X16" s="826"/>
      <c r="Y16" s="193" t="s">
        <v>627</v>
      </c>
      <c r="Z16" s="193" t="s">
        <v>628</v>
      </c>
      <c r="AA16" s="128" t="s">
        <v>627</v>
      </c>
      <c r="AB16" s="128" t="s">
        <v>628</v>
      </c>
      <c r="AC16" s="128"/>
      <c r="AD16" s="128"/>
      <c r="AE16" s="879"/>
      <c r="AF16" s="128"/>
      <c r="AG16" s="128"/>
      <c r="AH16" s="193" t="s">
        <v>627</v>
      </c>
      <c r="AI16" s="193" t="s">
        <v>628</v>
      </c>
      <c r="AJ16" s="828"/>
      <c r="AK16" s="128" t="s">
        <v>627</v>
      </c>
      <c r="AL16" s="128" t="s">
        <v>628</v>
      </c>
      <c r="AM16" s="831"/>
      <c r="AN16" s="128" t="s">
        <v>627</v>
      </c>
      <c r="AO16" s="128" t="s">
        <v>628</v>
      </c>
      <c r="AP16" s="831"/>
      <c r="AQ16" s="128" t="s">
        <v>627</v>
      </c>
      <c r="AR16" s="128" t="s">
        <v>628</v>
      </c>
      <c r="AS16" s="831"/>
      <c r="AT16" s="128" t="s">
        <v>627</v>
      </c>
      <c r="AU16" s="128" t="s">
        <v>628</v>
      </c>
      <c r="AV16" s="831"/>
      <c r="AW16" s="128" t="s">
        <v>627</v>
      </c>
      <c r="AX16" s="128" t="s">
        <v>628</v>
      </c>
      <c r="AY16" s="831"/>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c r="DG16"/>
      <c r="DH16"/>
      <c r="DI16"/>
      <c r="DJ16"/>
      <c r="DK16"/>
      <c r="DL16"/>
      <c r="DM16"/>
      <c r="DN16"/>
      <c r="DO16"/>
      <c r="DP16"/>
      <c r="DQ16"/>
      <c r="DR16"/>
      <c r="DS16"/>
      <c r="DT16"/>
      <c r="DU16"/>
      <c r="DV16"/>
    </row>
    <row r="17" spans="1:133" ht="12" customHeight="1">
      <c r="E17" s="184"/>
      <c r="F17" s="182"/>
      <c r="G17" s="182" t="s">
        <v>759</v>
      </c>
      <c r="H17" s="183" t="s">
        <v>629</v>
      </c>
      <c r="I17" s="183"/>
      <c r="J17" s="183" t="s">
        <v>631</v>
      </c>
      <c r="K17" s="183" t="s">
        <v>2851</v>
      </c>
      <c r="L17" s="183" t="s">
        <v>2852</v>
      </c>
      <c r="M17" s="183" t="s">
        <v>2853</v>
      </c>
      <c r="N17" s="183" t="s">
        <v>2854</v>
      </c>
      <c r="O17" s="183"/>
      <c r="P17" s="183" t="s">
        <v>2855</v>
      </c>
      <c r="Q17" s="183" t="s">
        <v>2856</v>
      </c>
      <c r="R17" s="183" t="s">
        <v>2857</v>
      </c>
      <c r="S17" s="183" t="s">
        <v>2858</v>
      </c>
      <c r="T17" s="183"/>
      <c r="U17" s="183"/>
      <c r="V17" s="183" t="s">
        <v>2859</v>
      </c>
      <c r="W17" s="183" t="s">
        <v>2860</v>
      </c>
      <c r="X17" s="183" t="s">
        <v>2861</v>
      </c>
      <c r="Y17" s="598" t="s">
        <v>289</v>
      </c>
      <c r="Z17" s="598" t="s">
        <v>290</v>
      </c>
      <c r="AA17" s="598" t="s">
        <v>2501</v>
      </c>
      <c r="AB17" s="598" t="s">
        <v>2502</v>
      </c>
      <c r="AC17" s="598"/>
      <c r="AD17" s="598"/>
      <c r="AE17" s="599" t="s">
        <v>63</v>
      </c>
      <c r="AF17" s="598"/>
      <c r="AG17" s="598"/>
      <c r="AH17" s="598" t="s">
        <v>2705</v>
      </c>
      <c r="AI17" s="598" t="s">
        <v>2706</v>
      </c>
      <c r="AJ17" s="598" t="s">
        <v>2707</v>
      </c>
      <c r="AK17" s="183" t="s">
        <v>632</v>
      </c>
      <c r="AL17" s="183" t="s">
        <v>633</v>
      </c>
      <c r="AM17" s="183" t="s">
        <v>634</v>
      </c>
      <c r="AN17" s="183" t="s">
        <v>635</v>
      </c>
      <c r="AO17" s="183" t="s">
        <v>883</v>
      </c>
      <c r="AP17" s="183" t="s">
        <v>884</v>
      </c>
      <c r="AQ17" s="183" t="s">
        <v>885</v>
      </c>
      <c r="AR17" s="183" t="s">
        <v>886</v>
      </c>
      <c r="AS17" s="183" t="s">
        <v>887</v>
      </c>
      <c r="AT17" s="183" t="s">
        <v>888</v>
      </c>
      <c r="AU17" s="183" t="s">
        <v>889</v>
      </c>
      <c r="AV17" s="477" t="s">
        <v>890</v>
      </c>
      <c r="AW17" s="183" t="s">
        <v>891</v>
      </c>
      <c r="AX17" s="183" t="s">
        <v>892</v>
      </c>
      <c r="AY17" s="183" t="s">
        <v>893</v>
      </c>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472" t="s">
        <v>96</v>
      </c>
      <c r="DF17" s="472" t="s">
        <v>289</v>
      </c>
      <c r="DG17" s="472" t="s">
        <v>290</v>
      </c>
      <c r="DH17" s="472" t="s">
        <v>632</v>
      </c>
      <c r="DI17" s="472" t="s">
        <v>633</v>
      </c>
      <c r="DJ17" s="472" t="s">
        <v>635</v>
      </c>
      <c r="DK17" s="472" t="s">
        <v>883</v>
      </c>
      <c r="DL17" s="472" t="s">
        <v>885</v>
      </c>
      <c r="DM17" s="472" t="s">
        <v>886</v>
      </c>
      <c r="DN17" s="472" t="s">
        <v>888</v>
      </c>
      <c r="DO17" s="472" t="s">
        <v>889</v>
      </c>
      <c r="DP17" s="472" t="s">
        <v>891</v>
      </c>
      <c r="DQ17" s="600" t="s">
        <v>892</v>
      </c>
      <c r="DR17" s="829" t="s">
        <v>444</v>
      </c>
      <c r="DS17" s="829"/>
      <c r="DT17"/>
      <c r="DU17"/>
      <c r="DV17"/>
    </row>
    <row r="18" spans="1:133" ht="24" customHeight="1">
      <c r="A18" s="181"/>
      <c r="B18" s="181"/>
      <c r="C18" s="181"/>
      <c r="E18" s="184"/>
      <c r="F18" s="953" t="s">
        <v>3141</v>
      </c>
      <c r="G18" s="956" t="s">
        <v>778</v>
      </c>
      <c r="H18" s="107" t="str">
        <f>IF(TEMPLATE_SPHERE="водоснабжения","",IF(TEMPLATE_SPHERE="водоотведения","Всего",""))</f>
        <v>Всего</v>
      </c>
      <c r="I18" s="580"/>
      <c r="J18" s="177"/>
      <c r="K18" s="129"/>
      <c r="L18" s="129"/>
      <c r="M18" s="129"/>
      <c r="N18" s="129"/>
      <c r="O18" s="129"/>
      <c r="P18" s="129"/>
      <c r="Q18" s="129"/>
      <c r="R18" s="129"/>
      <c r="S18" s="129"/>
      <c r="T18" s="129"/>
      <c r="U18" s="129"/>
      <c r="V18" s="129"/>
      <c r="W18" s="129"/>
      <c r="X18" s="129"/>
      <c r="Y18" s="398">
        <f>IF((AS18+AV18+AY18)=0,0,(AA18*(AS18+AV18+AY18)+AH18*IF(AJ18&gt;AS18+AV18+AY18,AS18+AV18+AY18,AJ18))/(AS18+AV18+AY18))</f>
        <v>0</v>
      </c>
      <c r="Z18" s="398">
        <f>IF((AS18+AV18+AY18)=0,0,(AB18*(AS18+AV18+AY18)+AI18*IF(AJ18&gt;AS18+AV18+AY18,AS18+AV18+AY18,AJ18))/(AS18+AV18+AY18))</f>
        <v>0</v>
      </c>
      <c r="AA18" s="398">
        <f>IF((AS18+AV18+AY18)=0,0,(AQ18*AS18+AT18*AV18+AW18*AY18)/(AS18+AV18+AY18))</f>
        <v>0</v>
      </c>
      <c r="AB18" s="398">
        <f>IF((AS18+AV18+AY18)=0,0,(AR18*AS18+AU18*AV18+AX18*AY18)/(AS18+AV18+AY18))</f>
        <v>0</v>
      </c>
      <c r="AC18" s="398"/>
      <c r="AD18" s="398"/>
      <c r="AE18" s="271">
        <f>AM18+AP18+AS18+AV18+AY18</f>
        <v>0</v>
      </c>
      <c r="AF18" s="400"/>
      <c r="AG18" s="400"/>
      <c r="AH18" s="271">
        <f>IF(AJ18&gt;0,SUMIF($H$21:$H$25,$H18,DR$21:DR$25)/AJ18,0)</f>
        <v>0</v>
      </c>
      <c r="AI18" s="271">
        <f>IF(AJ18&gt;0,SUMIF($H$21:$H$25,$H18,DS$21:DS$25)/AJ18,0)</f>
        <v>0</v>
      </c>
      <c r="AJ18" s="271">
        <f>SUMIF($H$21:$H$25,$H18,AJ$21:AJ$25)</f>
        <v>0</v>
      </c>
      <c r="AK18" s="400">
        <f>IF(AM18&gt;0,INDEX($DF$18:$DQ$18,MATCH(AK$17,$DF$17:$DQ$17))/AM18,0)</f>
        <v>0</v>
      </c>
      <c r="AL18" s="400">
        <f>IF(AM18&gt;0,INDEX($DF$18:$DQ$18,MATCH(AL$17,$DF$17:$DQ$17))/AM18,0)</f>
        <v>0</v>
      </c>
      <c r="AM18" s="271">
        <f>SUMIF($H$21:$H$25,$H18,AM$21:AM$25)</f>
        <v>0</v>
      </c>
      <c r="AN18" s="400">
        <f>IF(AP18&gt;0,INDEX($DF$18:$DQ$18,MATCH(AN$17,$DF$17:$DQ$17))/AP18,0)</f>
        <v>0</v>
      </c>
      <c r="AO18" s="400">
        <f>IF(AP18&gt;0,INDEX($DF$18:$DQ$18,MATCH(AO$17,$DF$17:$DQ$17))/AP18,0)</f>
        <v>0</v>
      </c>
      <c r="AP18" s="271">
        <f>SUMIF($H$21:$H$25,$H18,AP$21:AP$25)</f>
        <v>0</v>
      </c>
      <c r="AQ18" s="400">
        <f>IF(AS18&gt;0,INDEX($DF$18:$DQ$18,MATCH(AQ$17,$DF$17:$DQ$17))/AS18,0)</f>
        <v>0</v>
      </c>
      <c r="AR18" s="400">
        <f>IF(AS18&gt;0,INDEX($DF$18:$DQ$18,MATCH(AR$17,$DF$17:$DQ$17))/AS18,0)</f>
        <v>0</v>
      </c>
      <c r="AS18" s="271">
        <f>SUMIF($H$21:$H$25,$H18,AS$21:AS$25)</f>
        <v>0</v>
      </c>
      <c r="AT18" s="400">
        <f>IF(AV18&gt;0,INDEX($DF$18:$DQ$18,MATCH(AT$17,$DF$17:$DQ$17))/AV18,0)</f>
        <v>0</v>
      </c>
      <c r="AU18" s="400">
        <f>IF(AV18&gt;0,INDEX($DF$18:$DQ$18,MATCH(AU$17,$DF$17:$DQ$17))/AV18,0)</f>
        <v>0</v>
      </c>
      <c r="AV18" s="271">
        <f>SUMIF($H$21:$H$25,$H18,AV$21:AV$25)</f>
        <v>0</v>
      </c>
      <c r="AW18" s="400">
        <f>IF(AY18&gt;0,INDEX($DF$18:$DQ$18,MATCH(AW$17,$DF$17:$DQ$17))/AY18,0)</f>
        <v>0</v>
      </c>
      <c r="AX18" s="400">
        <f>IF(AY18&gt;0,INDEX($DF$18:$DQ$18,MATCH(AX$17,$DF$17:$DQ$17))/AY18,0)</f>
        <v>0</v>
      </c>
      <c r="AY18" s="271">
        <f>SUMIF($H$21:$H$25,$H18,AY$21:AY$25)</f>
        <v>0</v>
      </c>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98">
        <f>AS18+AV18+AY18</f>
        <v>0</v>
      </c>
      <c r="DF18" s="480">
        <f t="shared" ref="DF18:DS18" si="0">SUMIF($H21:$H26,$H18,DF21:DF26)</f>
        <v>0</v>
      </c>
      <c r="DG18" s="480">
        <f t="shared" si="0"/>
        <v>0</v>
      </c>
      <c r="DH18" s="480">
        <f t="shared" si="0"/>
        <v>0</v>
      </c>
      <c r="DI18" s="480">
        <f t="shared" si="0"/>
        <v>0</v>
      </c>
      <c r="DJ18" s="480">
        <f t="shared" si="0"/>
        <v>0</v>
      </c>
      <c r="DK18" s="480">
        <f t="shared" si="0"/>
        <v>0</v>
      </c>
      <c r="DL18" s="480">
        <f t="shared" si="0"/>
        <v>0</v>
      </c>
      <c r="DM18" s="480">
        <f t="shared" si="0"/>
        <v>0</v>
      </c>
      <c r="DN18" s="480">
        <f t="shared" si="0"/>
        <v>0</v>
      </c>
      <c r="DO18" s="480">
        <f t="shared" si="0"/>
        <v>0</v>
      </c>
      <c r="DP18" s="480">
        <f t="shared" si="0"/>
        <v>0</v>
      </c>
      <c r="DQ18" s="480">
        <f t="shared" si="0"/>
        <v>0</v>
      </c>
      <c r="DR18" s="480">
        <f t="shared" si="0"/>
        <v>0</v>
      </c>
      <c r="DS18" s="480">
        <f t="shared" si="0"/>
        <v>0</v>
      </c>
      <c r="DT18"/>
      <c r="DU18"/>
      <c r="DV18"/>
    </row>
    <row r="19" spans="1:133" ht="0.75" customHeight="1">
      <c r="A19" s="181"/>
      <c r="B19" s="181"/>
      <c r="C19" s="181"/>
      <c r="E19" s="184"/>
      <c r="F19" s="954"/>
      <c r="G19" s="957"/>
      <c r="H19" s="107" t="str">
        <f>IF(TEMPLATE_SPHERE="водоснабжения","Вода питьевого качества","")</f>
        <v/>
      </c>
      <c r="I19" s="580"/>
      <c r="J19" s="177"/>
      <c r="K19" s="129"/>
      <c r="L19" s="129"/>
      <c r="M19" s="129"/>
      <c r="N19" s="129"/>
      <c r="O19" s="129"/>
      <c r="P19" s="129"/>
      <c r="Q19" s="129"/>
      <c r="R19" s="129"/>
      <c r="S19" s="129"/>
      <c r="T19" s="129"/>
      <c r="U19" s="129"/>
      <c r="V19" s="129"/>
      <c r="W19" s="129"/>
      <c r="X19" s="129"/>
      <c r="Y19" s="398"/>
      <c r="Z19" s="398"/>
      <c r="AA19" s="398"/>
      <c r="AB19" s="398"/>
      <c r="AC19" s="398"/>
      <c r="AD19" s="398"/>
      <c r="AE19" s="271"/>
      <c r="AF19" s="400"/>
      <c r="AG19" s="400"/>
      <c r="AH19" s="271"/>
      <c r="AI19" s="271"/>
      <c r="AJ19" s="271"/>
      <c r="AK19" s="400"/>
      <c r="AL19" s="400"/>
      <c r="AM19" s="271"/>
      <c r="AN19" s="400"/>
      <c r="AO19" s="400"/>
      <c r="AP19" s="271"/>
      <c r="AQ19" s="400"/>
      <c r="AR19" s="400"/>
      <c r="AS19" s="271"/>
      <c r="AT19" s="400"/>
      <c r="AU19" s="400"/>
      <c r="AV19" s="478"/>
      <c r="AW19" s="400"/>
      <c r="AX19" s="400"/>
      <c r="AY19" s="271"/>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98"/>
      <c r="DF19" s="480"/>
      <c r="DG19" s="480"/>
      <c r="DH19" s="480"/>
      <c r="DI19" s="480"/>
      <c r="DJ19" s="480"/>
      <c r="DK19" s="480"/>
      <c r="DL19" s="480"/>
      <c r="DM19" s="480"/>
      <c r="DN19" s="480"/>
      <c r="DO19" s="480"/>
      <c r="DP19" s="480"/>
      <c r="DQ19" s="480"/>
      <c r="DR19"/>
      <c r="DS19"/>
      <c r="DT19"/>
      <c r="DU19"/>
      <c r="DV19"/>
    </row>
    <row r="20" spans="1:133" ht="0.75" customHeight="1">
      <c r="A20" s="181"/>
      <c r="B20" s="181"/>
      <c r="C20" s="181"/>
      <c r="E20" s="184"/>
      <c r="F20" s="955"/>
      <c r="G20" s="958"/>
      <c r="H20" s="107" t="str">
        <f>IF(TEMPLATE_SPHERE="водоснабжения","Вода технического качества","")</f>
        <v/>
      </c>
      <c r="I20" s="580"/>
      <c r="J20" s="177"/>
      <c r="K20" s="129"/>
      <c r="L20" s="129"/>
      <c r="M20" s="129"/>
      <c r="N20" s="129"/>
      <c r="O20" s="129"/>
      <c r="P20" s="129"/>
      <c r="Q20" s="129"/>
      <c r="R20" s="129"/>
      <c r="S20" s="129"/>
      <c r="T20" s="129"/>
      <c r="U20" s="129"/>
      <c r="V20" s="129"/>
      <c r="W20" s="129"/>
      <c r="X20" s="129"/>
      <c r="Y20" s="398"/>
      <c r="Z20" s="398"/>
      <c r="AA20" s="398"/>
      <c r="AB20" s="398"/>
      <c r="AC20" s="398"/>
      <c r="AD20" s="398"/>
      <c r="AE20" s="271"/>
      <c r="AF20" s="400"/>
      <c r="AG20" s="400"/>
      <c r="AH20" s="271"/>
      <c r="AI20" s="271"/>
      <c r="AJ20" s="271"/>
      <c r="AK20" s="400"/>
      <c r="AL20" s="400"/>
      <c r="AM20" s="271"/>
      <c r="AN20" s="400"/>
      <c r="AO20" s="400"/>
      <c r="AP20" s="271"/>
      <c r="AQ20" s="400"/>
      <c r="AR20" s="400"/>
      <c r="AS20" s="271"/>
      <c r="AT20" s="400"/>
      <c r="AU20" s="400"/>
      <c r="AV20" s="478"/>
      <c r="AW20" s="400"/>
      <c r="AX20" s="400"/>
      <c r="AY20" s="271"/>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98"/>
      <c r="DF20" s="480"/>
      <c r="DG20" s="480"/>
      <c r="DH20" s="480"/>
      <c r="DI20" s="480"/>
      <c r="DJ20" s="480"/>
      <c r="DK20" s="480"/>
      <c r="DL20" s="480"/>
      <c r="DM20" s="480"/>
      <c r="DN20" s="480"/>
      <c r="DO20" s="480"/>
      <c r="DP20" s="480"/>
      <c r="DQ20" s="480"/>
      <c r="DR20"/>
      <c r="DS20"/>
      <c r="DT20"/>
      <c r="DU20"/>
      <c r="DV20"/>
    </row>
    <row r="21" spans="1:133" ht="12" hidden="1" customHeight="1">
      <c r="A21" s="181"/>
      <c r="B21" s="181"/>
      <c r="C21" s="181"/>
      <c r="E21" s="184"/>
      <c r="F21" s="186">
        <v>0</v>
      </c>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479"/>
      <c r="AX21" s="479"/>
      <c r="AY21" s="574"/>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R21"/>
      <c r="DS21"/>
      <c r="DT21"/>
      <c r="DU21"/>
      <c r="DV21"/>
    </row>
    <row r="22" spans="1:133" s="60" customFormat="1" hidden="1">
      <c r="A22" s="57"/>
      <c r="B22" s="57"/>
      <c r="C22" s="497" t="str">
        <f>F22 &amp; ".0"</f>
        <v>1.0</v>
      </c>
      <c r="D22" s="471" t="str">
        <f>IF('Список организаций'!$M$16="","Не определено",'Список организаций'!$M$16)</f>
        <v>нет</v>
      </c>
      <c r="E22" s="470" t="s">
        <v>719</v>
      </c>
      <c r="F22" s="833">
        <v>1</v>
      </c>
      <c r="G22" s="853" t="str">
        <f>IF('Список организаций'!$I$16="","Не определено",'Список организаций'!$I$16)</f>
        <v>МУП СП "Село Булава" Булавинское ТЭП"</v>
      </c>
      <c r="H22" s="584"/>
      <c r="I22" s="393"/>
      <c r="J22" s="824"/>
      <c r="K22" s="824"/>
      <c r="L22" s="824"/>
      <c r="M22" s="824"/>
      <c r="N22" s="824"/>
      <c r="O22" s="824"/>
      <c r="P22" s="824"/>
      <c r="Q22" s="824"/>
      <c r="R22" s="824"/>
      <c r="S22" s="824"/>
      <c r="T22" s="824"/>
      <c r="U22" s="824"/>
      <c r="V22" s="824"/>
      <c r="W22" s="824"/>
      <c r="X22" s="824"/>
      <c r="Y22" s="337"/>
      <c r="Z22" s="392"/>
      <c r="AA22" s="392"/>
      <c r="AB22" s="392"/>
      <c r="AC22" s="337"/>
      <c r="AD22" s="392"/>
      <c r="AE22" s="392"/>
      <c r="AF22" s="337"/>
      <c r="AG22" s="392"/>
      <c r="AH22" s="392"/>
      <c r="AI22" s="392"/>
      <c r="AJ22" s="392"/>
      <c r="AK22" s="392"/>
      <c r="AL22" s="392"/>
      <c r="AM22" s="392"/>
      <c r="AN22" s="392"/>
      <c r="AO22" s="392"/>
      <c r="AP22" s="392"/>
      <c r="AQ22" s="392"/>
      <c r="AR22" s="392"/>
      <c r="AS22" s="392"/>
      <c r="AT22" s="392"/>
      <c r="AU22" s="392"/>
      <c r="AV22" s="392"/>
      <c r="AW22" s="392"/>
      <c r="AX22" s="392"/>
      <c r="AY22" s="39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s="293"/>
      <c r="DG22" s="293"/>
      <c r="DH22" s="293"/>
      <c r="DI22" s="293"/>
      <c r="DJ22" s="293"/>
      <c r="DK22" s="293"/>
      <c r="DL22" s="293"/>
      <c r="DM22" s="293"/>
      <c r="DN22" s="293"/>
      <c r="DO22" s="293"/>
      <c r="DP22" s="293"/>
      <c r="DQ22" s="293"/>
      <c r="DR22"/>
      <c r="DS22"/>
      <c r="DT22"/>
      <c r="DU22"/>
      <c r="DV22"/>
      <c r="DW22" s="379"/>
      <c r="DX22" s="379"/>
      <c r="DY22" s="379"/>
      <c r="DZ22" s="379"/>
      <c r="EA22" s="379"/>
      <c r="EB22" s="379"/>
      <c r="EC22" s="379"/>
    </row>
    <row r="23" spans="1:133" s="60" customFormat="1" hidden="1">
      <c r="A23" s="57"/>
      <c r="B23" s="57"/>
      <c r="C23" s="497" t="str">
        <f>F22 &amp; ".1"</f>
        <v>1.1</v>
      </c>
      <c r="D23" s="471"/>
      <c r="E23" s="470"/>
      <c r="F23" s="833"/>
      <c r="G23" s="853"/>
      <c r="H23" s="584"/>
      <c r="I23" s="393"/>
      <c r="J23" s="824"/>
      <c r="K23" s="824"/>
      <c r="L23" s="824"/>
      <c r="M23" s="824"/>
      <c r="N23" s="824"/>
      <c r="O23" s="824"/>
      <c r="P23" s="824"/>
      <c r="Q23" s="824"/>
      <c r="R23" s="824"/>
      <c r="S23" s="824"/>
      <c r="T23" s="824"/>
      <c r="U23" s="824"/>
      <c r="V23" s="824"/>
      <c r="W23" s="824"/>
      <c r="X23" s="824"/>
      <c r="Y23" s="337"/>
      <c r="Z23" s="392"/>
      <c r="AA23" s="392"/>
      <c r="AB23" s="392"/>
      <c r="AC23" s="337"/>
      <c r="AD23" s="392"/>
      <c r="AE23" s="392"/>
      <c r="AF23" s="337"/>
      <c r="AG23" s="392"/>
      <c r="AH23" s="392"/>
      <c r="AI23" s="392"/>
      <c r="AJ23" s="392"/>
      <c r="AK23" s="392"/>
      <c r="AL23" s="392"/>
      <c r="AM23" s="392"/>
      <c r="AN23" s="392"/>
      <c r="AO23" s="392"/>
      <c r="AP23" s="392"/>
      <c r="AQ23" s="392"/>
      <c r="AR23" s="392"/>
      <c r="AS23" s="392"/>
      <c r="AT23" s="392"/>
      <c r="AU23" s="392"/>
      <c r="AV23" s="392"/>
      <c r="AW23" s="392"/>
      <c r="AX23" s="392"/>
      <c r="AY23" s="392"/>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s="293"/>
      <c r="DG23" s="293"/>
      <c r="DH23" s="293"/>
      <c r="DI23" s="293"/>
      <c r="DJ23" s="293"/>
      <c r="DK23" s="293"/>
      <c r="DL23" s="293"/>
      <c r="DM23" s="293"/>
      <c r="DN23" s="293"/>
      <c r="DO23" s="293"/>
      <c r="DP23" s="293"/>
      <c r="DQ23" s="293"/>
      <c r="DR23"/>
      <c r="DS23"/>
      <c r="DT23"/>
      <c r="DU23"/>
      <c r="DV23"/>
      <c r="DW23" s="379"/>
      <c r="DX23" s="379"/>
      <c r="DY23" s="379"/>
      <c r="DZ23" s="379"/>
      <c r="EA23" s="379"/>
      <c r="EB23" s="379"/>
      <c r="EC23" s="379"/>
    </row>
    <row r="24" spans="1:133" s="60" customFormat="1" hidden="1">
      <c r="A24" s="57"/>
      <c r="B24" s="57"/>
      <c r="C24" s="497" t="str">
        <f>F22 &amp; ".2"</f>
        <v>1.2</v>
      </c>
      <c r="D24"/>
      <c r="E24"/>
      <c r="F24" s="833"/>
      <c r="G24" s="835"/>
      <c r="H24" s="584"/>
      <c r="I24" s="393"/>
      <c r="J24" s="824"/>
      <c r="K24" s="824"/>
      <c r="L24" s="824"/>
      <c r="M24" s="824"/>
      <c r="N24" s="824"/>
      <c r="O24" s="824"/>
      <c r="P24" s="824"/>
      <c r="Q24" s="824"/>
      <c r="R24" s="824"/>
      <c r="S24" s="824"/>
      <c r="T24" s="824"/>
      <c r="U24" s="824"/>
      <c r="V24" s="824"/>
      <c r="W24" s="824"/>
      <c r="X24" s="824"/>
      <c r="Y24" s="337"/>
      <c r="Z24" s="392"/>
      <c r="AA24" s="392"/>
      <c r="AB24" s="392"/>
      <c r="AC24" s="337"/>
      <c r="AD24" s="392"/>
      <c r="AE24" s="392"/>
      <c r="AF24" s="337"/>
      <c r="AG24" s="392"/>
      <c r="AH24" s="392"/>
      <c r="AI24" s="392"/>
      <c r="AJ24" s="392"/>
      <c r="AK24" s="392"/>
      <c r="AL24" s="392"/>
      <c r="AM24" s="392"/>
      <c r="AN24" s="392"/>
      <c r="AO24" s="392"/>
      <c r="AP24" s="392"/>
      <c r="AQ24" s="392"/>
      <c r="AR24" s="392"/>
      <c r="AS24" s="392"/>
      <c r="AT24" s="392"/>
      <c r="AU24" s="392"/>
      <c r="AV24" s="392"/>
      <c r="AW24" s="392"/>
      <c r="AX24" s="392"/>
      <c r="AY24" s="392"/>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s="293"/>
      <c r="DG24" s="293"/>
      <c r="DH24" s="293"/>
      <c r="DI24" s="293"/>
      <c r="DJ24" s="293"/>
      <c r="DK24" s="293"/>
      <c r="DL24" s="293"/>
      <c r="DM24" s="293"/>
      <c r="DN24" s="293"/>
      <c r="DO24" s="293"/>
      <c r="DP24" s="293"/>
      <c r="DQ24" s="293"/>
      <c r="DR24"/>
      <c r="DS24"/>
      <c r="DT24"/>
      <c r="DU24"/>
      <c r="DV24"/>
      <c r="DW24" s="379"/>
      <c r="DX24" s="379"/>
      <c r="DY24" s="379"/>
      <c r="DZ24" s="379"/>
      <c r="EA24" s="379"/>
      <c r="EB24" s="379"/>
      <c r="EC24" s="379"/>
    </row>
    <row r="25" spans="1:133" ht="0.75" customHeight="1">
      <c r="A25" s="181"/>
      <c r="B25" s="181"/>
      <c r="C25" s="181"/>
      <c r="E25" s="184"/>
      <c r="F25" s="110"/>
      <c r="G25" s="111" t="s">
        <v>720</v>
      </c>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3"/>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R25"/>
      <c r="DS25"/>
      <c r="DT25"/>
      <c r="DU25"/>
      <c r="DV25"/>
    </row>
    <row r="26" spans="1:133" ht="12" customHeight="1">
      <c r="A26" s="181"/>
      <c r="B26" s="181"/>
      <c r="C26" s="181"/>
      <c r="E26" s="184"/>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R26"/>
      <c r="DS26"/>
      <c r="DT26"/>
      <c r="DU26"/>
      <c r="DV26"/>
    </row>
    <row r="27" spans="1:133" ht="12" customHeight="1">
      <c r="F27" s="162"/>
      <c r="G27" s="162"/>
      <c r="H27" s="162"/>
      <c r="I27"/>
      <c r="J27"/>
      <c r="K27"/>
      <c r="L27"/>
      <c r="M27"/>
      <c r="N27"/>
      <c r="O27"/>
      <c r="P27"/>
      <c r="Q27"/>
      <c r="R27"/>
      <c r="S27"/>
      <c r="T27"/>
      <c r="U27"/>
      <c r="V27"/>
      <c r="W27"/>
      <c r="X27"/>
      <c r="Y27"/>
      <c r="Z27"/>
      <c r="AA27"/>
      <c r="AB27" s="162"/>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DR27"/>
      <c r="DS27"/>
      <c r="DT27"/>
      <c r="DU27"/>
      <c r="DV27"/>
    </row>
    <row r="28" spans="1:133">
      <c r="F28" s="162"/>
      <c r="G28" s="162"/>
      <c r="H28" s="162"/>
      <c r="I28"/>
      <c r="J28"/>
      <c r="K28"/>
      <c r="L28"/>
      <c r="M28"/>
      <c r="N28"/>
      <c r="O28"/>
      <c r="P28"/>
      <c r="Q28"/>
      <c r="R28"/>
      <c r="S28"/>
      <c r="T28"/>
      <c r="U28"/>
      <c r="V28"/>
      <c r="W28"/>
      <c r="X28"/>
      <c r="Y28"/>
      <c r="Z28"/>
      <c r="AA28"/>
      <c r="AB28" s="162"/>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DR28"/>
      <c r="DS28"/>
      <c r="DT28"/>
      <c r="DU28"/>
      <c r="DV28"/>
    </row>
    <row r="29" spans="1:133" ht="11.25" customHeight="1">
      <c r="F29" s="162"/>
      <c r="G29" s="162"/>
      <c r="H29" s="162"/>
      <c r="I29"/>
      <c r="J29"/>
      <c r="K29"/>
      <c r="L29"/>
      <c r="M29"/>
      <c r="N29"/>
      <c r="O29"/>
      <c r="P29"/>
      <c r="Q29"/>
      <c r="R29"/>
      <c r="S29"/>
      <c r="T29"/>
      <c r="U29"/>
      <c r="V29"/>
      <c r="W29"/>
      <c r="X29"/>
      <c r="Y29"/>
      <c r="Z29"/>
      <c r="AA29"/>
      <c r="AB29" s="162"/>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DR29"/>
      <c r="DS29"/>
      <c r="DT29"/>
      <c r="DU29"/>
      <c r="DV29"/>
    </row>
    <row r="30" spans="1:133" ht="11.25" customHeight="1">
      <c r="F30" s="162"/>
      <c r="G30" s="162"/>
      <c r="H30" s="162"/>
      <c r="I30"/>
      <c r="J30"/>
      <c r="K30"/>
      <c r="L30"/>
      <c r="M30"/>
      <c r="N30"/>
      <c r="O30"/>
      <c r="P30"/>
      <c r="Q30"/>
      <c r="R30"/>
      <c r="S30"/>
      <c r="T30"/>
      <c r="U30"/>
      <c r="V30"/>
      <c r="W30"/>
      <c r="X30"/>
      <c r="Y30"/>
      <c r="Z30"/>
      <c r="AA30"/>
      <c r="AB30" s="162"/>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DR30"/>
      <c r="DS30"/>
      <c r="DT30"/>
      <c r="DU30"/>
      <c r="DV30"/>
    </row>
    <row r="31" spans="1:133" ht="11.25" customHeight="1">
      <c r="F31" s="162"/>
      <c r="G31" s="162"/>
      <c r="H31" s="162"/>
      <c r="I31"/>
      <c r="J31"/>
      <c r="K31"/>
      <c r="L31"/>
      <c r="M31"/>
      <c r="N31"/>
      <c r="O31"/>
      <c r="P31"/>
      <c r="Q31"/>
      <c r="R31"/>
      <c r="S31"/>
      <c r="T31"/>
      <c r="U31"/>
      <c r="V31"/>
      <c r="W31"/>
      <c r="X31"/>
      <c r="Y31"/>
      <c r="Z31"/>
      <c r="AA31"/>
      <c r="AB31" s="162"/>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row>
    <row r="32" spans="1:133" ht="11.25" customHeight="1">
      <c r="F32" s="162"/>
      <c r="G32" s="162"/>
      <c r="H32" s="162"/>
      <c r="I32"/>
      <c r="J32"/>
      <c r="K32"/>
      <c r="L32"/>
      <c r="M32"/>
      <c r="N32"/>
      <c r="O32"/>
      <c r="P32"/>
      <c r="Q32"/>
      <c r="R32"/>
      <c r="S32"/>
      <c r="T32"/>
      <c r="U32"/>
      <c r="V32"/>
      <c r="W32"/>
      <c r="X32"/>
      <c r="Y32"/>
      <c r="Z32"/>
      <c r="AA32"/>
      <c r="AB32" s="16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row>
    <row r="33" spans="9:65">
      <c r="I33"/>
      <c r="J33"/>
      <c r="K33"/>
      <c r="L33"/>
      <c r="M33"/>
      <c r="N33"/>
      <c r="O33"/>
      <c r="P33"/>
      <c r="Q33"/>
      <c r="R33"/>
      <c r="S33"/>
      <c r="T33"/>
      <c r="U33"/>
      <c r="V33"/>
      <c r="W33"/>
      <c r="X33"/>
      <c r="Y33"/>
      <c r="Z33"/>
      <c r="AA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row>
    <row r="34" spans="9:65">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row>
  </sheetData>
  <sheetProtection password="FA9C" sheet="1" objects="1" scenarios="1" formatColumns="0" formatRows="0"/>
  <mergeCells count="75">
    <mergeCell ref="T22:T24"/>
    <mergeCell ref="U22:U24"/>
    <mergeCell ref="V22:V24"/>
    <mergeCell ref="W22:W24"/>
    <mergeCell ref="X22:X24"/>
    <mergeCell ref="S22:S24"/>
    <mergeCell ref="F22:F24"/>
    <mergeCell ref="G22:G24"/>
    <mergeCell ref="J22:J24"/>
    <mergeCell ref="K22:K24"/>
    <mergeCell ref="L22:L24"/>
    <mergeCell ref="M22:M24"/>
    <mergeCell ref="N22:N24"/>
    <mergeCell ref="O22:O24"/>
    <mergeCell ref="P22:P24"/>
    <mergeCell ref="Q22:Q24"/>
    <mergeCell ref="R22:R24"/>
    <mergeCell ref="DR17:DS17"/>
    <mergeCell ref="AW15:AX15"/>
    <mergeCell ref="AJ14:AJ16"/>
    <mergeCell ref="AY15:AY16"/>
    <mergeCell ref="AK15:AL15"/>
    <mergeCell ref="AM15:AM16"/>
    <mergeCell ref="AQ14:AS14"/>
    <mergeCell ref="AV15:AV16"/>
    <mergeCell ref="AT14:AV14"/>
    <mergeCell ref="AW14:AY14"/>
    <mergeCell ref="AK14:AM14"/>
    <mergeCell ref="AT15:AU15"/>
    <mergeCell ref="AN14:AP14"/>
    <mergeCell ref="J14:J16"/>
    <mergeCell ref="K14:M14"/>
    <mergeCell ref="W15:W16"/>
    <mergeCell ref="AF14:AG15"/>
    <mergeCell ref="Y14:Z15"/>
    <mergeCell ref="AA14:AB15"/>
    <mergeCell ref="M15:M16"/>
    <mergeCell ref="O14:O16"/>
    <mergeCell ref="U15:U16"/>
    <mergeCell ref="N14:N16"/>
    <mergeCell ref="X14:X16"/>
    <mergeCell ref="P15:P16"/>
    <mergeCell ref="V14:W14"/>
    <mergeCell ref="T15:T16"/>
    <mergeCell ref="P14:Q14"/>
    <mergeCell ref="V15:V16"/>
    <mergeCell ref="F18:F20"/>
    <mergeCell ref="G18:G20"/>
    <mergeCell ref="AQ15:AR15"/>
    <mergeCell ref="AS15:AS16"/>
    <mergeCell ref="R15:R16"/>
    <mergeCell ref="S15:S16"/>
    <mergeCell ref="AN15:AO15"/>
    <mergeCell ref="AP15:AP16"/>
    <mergeCell ref="AE14:AE16"/>
    <mergeCell ref="AH14:AI15"/>
    <mergeCell ref="K15:K16"/>
    <mergeCell ref="L15:L16"/>
    <mergeCell ref="F14:F16"/>
    <mergeCell ref="G14:G16"/>
    <mergeCell ref="H14:I16"/>
    <mergeCell ref="AC14:AD15"/>
    <mergeCell ref="T14:U14"/>
    <mergeCell ref="Q15:Q16"/>
    <mergeCell ref="R14:S14"/>
    <mergeCell ref="AY8:AZ8"/>
    <mergeCell ref="K13:X13"/>
    <mergeCell ref="K8:AE8"/>
    <mergeCell ref="AK8:AL8"/>
    <mergeCell ref="AM8:AN8"/>
    <mergeCell ref="AW8:AX8"/>
    <mergeCell ref="AU8:AV8"/>
    <mergeCell ref="AO8:AP8"/>
    <mergeCell ref="AQ8:AR8"/>
    <mergeCell ref="AS8:AT8"/>
  </mergeCells>
  <phoneticPr fontId="8" type="noConversion"/>
  <hyperlinks>
    <hyperlink ref="K11" location="'ТМ1 01.09 - 31.12'!A1" tooltip="Отобразить / Скрыть блок" display="-"/>
  </hyperlinks>
  <pageMargins left="0.37" right="0.35" top="1" bottom="1" header="0.5" footer="0.5"/>
  <pageSetup paperSize="9" scale="37" orientation="landscape" horizontalDpi="4294967292" verticalDpi="4294967292"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sheetPr codeName="VOTV_TM2_PERIOD1">
    <tabColor rgb="FF92D050"/>
    <pageSetUpPr fitToPage="1"/>
  </sheetPr>
  <dimension ref="A1:EV45"/>
  <sheetViews>
    <sheetView showGridLines="0" tabSelected="1" topLeftCell="E3" workbookViewId="0">
      <pane xSplit="5" ySplit="19" topLeftCell="J22" activePane="bottomRight" state="frozen"/>
      <selection activeCell="AA13" sqref="AA13:AB15"/>
      <selection pane="topRight" activeCell="AA13" sqref="AA13:AB15"/>
      <selection pane="bottomLeft" activeCell="AA13" sqref="AA13:AB15"/>
      <selection pane="bottomRight" activeCell="AJ22" sqref="AJ22"/>
    </sheetView>
  </sheetViews>
  <sheetFormatPr defaultRowHeight="11.25"/>
  <cols>
    <col min="1" max="3" width="5.7109375" style="162" hidden="1" customWidth="1"/>
    <col min="4" max="4" width="3.7109375" style="159" hidden="1" customWidth="1"/>
    <col min="5" max="5" width="5.7109375" style="179" customWidth="1"/>
    <col min="6" max="6" width="4.7109375" style="39" customWidth="1"/>
    <col min="7" max="7" width="40.7109375" style="39" customWidth="1"/>
    <col min="8" max="8" width="28.5703125" style="39" hidden="1" customWidth="1"/>
    <col min="9" max="9" width="0.140625" style="39" hidden="1" customWidth="1"/>
    <col min="10" max="10" width="20.7109375" style="39" customWidth="1"/>
    <col min="11" max="13" width="10.85546875" style="39" hidden="1" customWidth="1"/>
    <col min="14" max="14" width="11.7109375" style="39" hidden="1" customWidth="1"/>
    <col min="15" max="15" width="0.140625" style="39" hidden="1" customWidth="1"/>
    <col min="16" max="19" width="10.85546875" style="39" hidden="1" customWidth="1"/>
    <col min="20" max="21" width="0.140625" style="39" hidden="1" customWidth="1"/>
    <col min="22" max="24" width="10.85546875" style="39" hidden="1" customWidth="1"/>
    <col min="25" max="26" width="11.7109375" style="39" customWidth="1"/>
    <col min="27" max="30" width="18.7109375" style="39" customWidth="1"/>
    <col min="31" max="32" width="0.140625" style="39" customWidth="1"/>
    <col min="33" max="33" width="15.7109375" style="39" customWidth="1"/>
    <col min="34" max="35" width="0.140625" style="39" customWidth="1"/>
    <col min="36" max="37" width="11.7109375" style="39" customWidth="1"/>
    <col min="38" max="38" width="15.7109375" style="39" customWidth="1"/>
    <col min="39" max="42" width="11.7109375" style="39" customWidth="1"/>
    <col min="43" max="43" width="15.7109375" style="39" customWidth="1"/>
    <col min="44" max="47" width="11.7109375" style="39" customWidth="1"/>
    <col min="48" max="48" width="15.7109375" style="39" customWidth="1"/>
    <col min="49" max="50" width="13.7109375" style="39" hidden="1" customWidth="1"/>
    <col min="51" max="56" width="12.5703125" style="39" hidden="1" customWidth="1"/>
    <col min="57" max="58" width="12.5703125" style="39" customWidth="1"/>
    <col min="59" max="62" width="12.7109375" style="39" customWidth="1"/>
    <col min="63" max="63" width="15.7109375" style="39" customWidth="1"/>
    <col min="64" max="65" width="13.85546875" style="39" hidden="1" customWidth="1"/>
    <col min="66" max="71" width="12.7109375" style="39" hidden="1" customWidth="1"/>
    <col min="72" max="77" width="12.7109375" style="39" customWidth="1"/>
    <col min="78" max="78" width="15.7109375" style="39" customWidth="1"/>
    <col min="79" max="80" width="13.85546875" style="39" hidden="1" customWidth="1"/>
    <col min="81" max="86" width="12.7109375" style="39" hidden="1" customWidth="1"/>
    <col min="87" max="88" width="12.7109375" style="39" customWidth="1"/>
    <col min="89" max="95" width="15.7109375" style="39" customWidth="1"/>
    <col min="96" max="96" width="19.5703125" style="39" customWidth="1"/>
    <col min="97" max="109" width="1.7109375" style="162" customWidth="1"/>
    <col min="110" max="112" width="6.7109375" style="78" hidden="1" customWidth="1"/>
    <col min="113" max="118" width="6.7109375" style="77" hidden="1" customWidth="1"/>
    <col min="119" max="119" width="6.7109375" style="78" hidden="1" customWidth="1"/>
    <col min="120" max="124" width="6.7109375" style="77" hidden="1" customWidth="1"/>
    <col min="125" max="149" width="6.7109375" style="39" hidden="1" customWidth="1"/>
    <col min="150" max="152" width="0" style="39" hidden="1" customWidth="1"/>
    <col min="153" max="16384" width="9.140625" style="39"/>
  </cols>
  <sheetData>
    <row r="1" spans="4:152" s="162" customFormat="1" hidden="1">
      <c r="D1" s="159"/>
      <c r="E1" s="179"/>
      <c r="DF1" s="78"/>
      <c r="DG1" s="78"/>
      <c r="DH1" s="78"/>
      <c r="DI1" s="78"/>
      <c r="DJ1" s="78"/>
      <c r="DK1" s="78"/>
      <c r="DL1" s="78"/>
      <c r="DM1" s="78"/>
      <c r="DN1" s="78"/>
      <c r="DO1" s="78"/>
      <c r="DP1" s="78"/>
      <c r="DQ1" s="78"/>
      <c r="DR1" s="78"/>
      <c r="DS1" s="78"/>
      <c r="DT1" s="78"/>
    </row>
    <row r="2" spans="4:152" s="162" customFormat="1" hidden="1">
      <c r="D2" s="159"/>
      <c r="E2" s="179"/>
      <c r="DF2" s="78"/>
      <c r="DG2" s="78"/>
      <c r="DH2" s="78"/>
      <c r="DI2" s="78"/>
      <c r="DJ2" s="78"/>
      <c r="DK2" s="78"/>
      <c r="DL2" s="78"/>
      <c r="DM2" s="78"/>
      <c r="DN2" s="78"/>
      <c r="DO2" s="78"/>
      <c r="DP2" s="78"/>
      <c r="DQ2" s="78"/>
      <c r="DR2" s="78"/>
      <c r="DS2" s="78"/>
      <c r="DT2" s="78"/>
    </row>
    <row r="3" spans="4:152" s="162" customFormat="1" ht="12" customHeight="1">
      <c r="D3" s="159"/>
      <c r="E3" s="179"/>
      <c r="F3" s="637"/>
      <c r="G3" s="219" t="str">
        <f>"Необходимо указывать " &amp; IF(TARIFF_SETUP_METHOD_CODE="BY_PSEUDO_YEARS","общегодовые значения","значения по периодам")</f>
        <v>Необходимо указывать значения по периодам</v>
      </c>
      <c r="H3" s="616" t="s">
        <v>785</v>
      </c>
      <c r="I3" s="637">
        <f>IF(TARIFF_SETUP_METHOD_CODE="BY_PSEUDO_YEARS",12,6)</f>
        <v>6</v>
      </c>
      <c r="DF3" s="78"/>
      <c r="DG3" s="78"/>
      <c r="DH3" s="78"/>
      <c r="DI3" s="78"/>
      <c r="DJ3" s="78"/>
      <c r="DK3" s="78"/>
      <c r="DL3" s="78"/>
      <c r="DM3" s="78"/>
      <c r="DN3" s="78"/>
      <c r="DO3" s="78"/>
      <c r="DP3" s="78"/>
      <c r="DQ3" s="78"/>
      <c r="DR3" s="78"/>
      <c r="DS3" s="78"/>
      <c r="DT3" s="78"/>
    </row>
    <row r="4" spans="4:152" s="162" customFormat="1" ht="0.75" customHeight="1">
      <c r="D4" s="159"/>
      <c r="E4" s="184"/>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5"/>
      <c r="CZ4" s="185"/>
      <c r="DA4" s="185"/>
      <c r="DB4" s="185"/>
      <c r="DC4" s="185"/>
      <c r="DD4" s="185"/>
      <c r="DE4" s="185"/>
      <c r="DF4" s="78"/>
      <c r="DG4" s="78"/>
      <c r="DH4" s="78"/>
      <c r="DI4" s="78"/>
      <c r="DJ4" s="78"/>
      <c r="DK4" s="78"/>
      <c r="DL4" s="78"/>
      <c r="DM4" s="78"/>
      <c r="DN4" s="78"/>
      <c r="DO4" s="78"/>
      <c r="DP4" s="78"/>
      <c r="DQ4" s="78"/>
      <c r="DR4" s="78"/>
      <c r="DS4" s="78"/>
      <c r="DT4" s="78"/>
    </row>
    <row r="5" spans="4:152" s="423" customFormat="1" ht="18" customHeight="1">
      <c r="F5" s="422" t="str">
        <f>"Тарифы для организаций " &amp; TEMPLATE_SPHERE &amp; " по муниципальному образованию - " &amp; IF(mo="","Не определено",mo)</f>
        <v>Тарифы для организаций водоотведения по муниципальному образованию - Село Булава</v>
      </c>
      <c r="G5" s="416"/>
      <c r="H5" s="416"/>
      <c r="I5" s="416"/>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H5" s="407"/>
      <c r="BI5" s="407"/>
      <c r="BJ5" s="407"/>
      <c r="BK5" s="407"/>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L5" s="407"/>
      <c r="CM5" s="407"/>
      <c r="CN5" s="407"/>
      <c r="CO5" s="407"/>
      <c r="CP5" s="407"/>
      <c r="CQ5" s="407"/>
      <c r="CR5" s="407"/>
      <c r="DF5" s="424"/>
      <c r="DG5" s="424"/>
      <c r="DH5" s="424"/>
      <c r="DI5" s="424"/>
      <c r="DJ5" s="424"/>
      <c r="DK5" s="424"/>
      <c r="DL5" s="424"/>
      <c r="DM5" s="424"/>
      <c r="DN5" s="424"/>
      <c r="DO5" s="424"/>
      <c r="DP5" s="424"/>
      <c r="DQ5" s="424"/>
    </row>
    <row r="6" spans="4:152" s="164" customFormat="1" ht="0.75" customHeight="1">
      <c r="D6" s="165"/>
      <c r="E6" s="190"/>
      <c r="F6" s="158"/>
      <c r="G6" s="158"/>
      <c r="H6" s="158"/>
      <c r="I6" s="158"/>
      <c r="J6" s="158"/>
      <c r="K6" s="180"/>
      <c r="L6" s="180"/>
      <c r="M6" s="180"/>
      <c r="N6" s="180"/>
      <c r="O6" s="180"/>
      <c r="P6" s="180"/>
      <c r="Q6" s="180"/>
      <c r="R6" s="180"/>
      <c r="S6" s="180"/>
      <c r="T6" s="180"/>
      <c r="U6" s="180"/>
      <c r="V6" s="180"/>
      <c r="W6" s="180"/>
      <c r="X6" s="180"/>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91"/>
      <c r="CQ6" s="191"/>
      <c r="CR6" s="191"/>
      <c r="CS6" s="158"/>
      <c r="CT6" s="158"/>
      <c r="CU6" s="158"/>
      <c r="CV6" s="158"/>
      <c r="CW6" s="158"/>
      <c r="CX6" s="158"/>
      <c r="CY6" s="158"/>
      <c r="CZ6" s="158"/>
      <c r="DA6" s="158"/>
      <c r="DB6" s="158"/>
      <c r="DC6" s="158"/>
      <c r="DD6" s="158"/>
      <c r="DE6" s="158"/>
      <c r="DF6" s="81"/>
      <c r="DG6" s="81"/>
      <c r="DH6" s="81"/>
      <c r="DI6" s="81"/>
      <c r="DJ6" s="81"/>
      <c r="DK6" s="81"/>
      <c r="DL6" s="81"/>
      <c r="DM6" s="81"/>
      <c r="DN6" s="81"/>
      <c r="DO6" s="81"/>
      <c r="DP6" s="81"/>
      <c r="DQ6" s="81"/>
      <c r="DR6" s="81"/>
      <c r="DS6" s="81"/>
      <c r="DT6" s="81"/>
    </row>
    <row r="7" spans="4:152" s="164" customFormat="1" ht="36" customHeight="1">
      <c r="D7" s="165"/>
      <c r="E7" s="190"/>
      <c r="F7" s="158"/>
      <c r="G7" s="158"/>
      <c r="H7" s="158"/>
      <c r="I7" s="158"/>
      <c r="J7" s="158"/>
      <c r="K7" s="191"/>
      <c r="L7" s="191"/>
      <c r="M7" s="191"/>
      <c r="N7" s="191"/>
      <c r="O7" s="191"/>
      <c r="P7" s="191"/>
      <c r="Q7" s="191"/>
      <c r="R7" s="191"/>
      <c r="S7" s="191"/>
      <c r="T7" s="191"/>
      <c r="U7" s="191"/>
      <c r="V7" s="191"/>
      <c r="W7" s="191"/>
      <c r="X7" s="191"/>
      <c r="Y7" s="191"/>
      <c r="Z7" s="191"/>
      <c r="AA7" s="824" t="str">
        <f>"Средневзвешенный тариф с учётом надбавки и передачи (транспортировки), руб./" &amp; $G$12</f>
        <v>Средневзвешенный тариф с учётом надбавки и передачи (транспортировки), руб./куб.м</v>
      </c>
      <c r="AB7" s="924"/>
      <c r="AC7" s="824" t="str">
        <f>"Средневзвешенный тариф с учётом передачи (транспортировки), руб./" &amp; $G$12</f>
        <v>Средневзвешенный тариф с учётом передачи (транспортировки), руб./куб.м</v>
      </c>
      <c r="AD7" s="924"/>
      <c r="AE7" s="824"/>
      <c r="AF7" s="924"/>
      <c r="AG7" s="925" t="s">
        <v>3158</v>
      </c>
      <c r="AH7" s="191"/>
      <c r="AI7" s="191"/>
      <c r="AJ7" s="191"/>
      <c r="AK7" s="191"/>
      <c r="AL7" s="191"/>
      <c r="AM7" s="191"/>
      <c r="AN7" s="191"/>
      <c r="AO7" s="191"/>
      <c r="AP7" s="191"/>
      <c r="AQ7" s="191"/>
      <c r="AR7" s="191"/>
      <c r="AS7" s="191"/>
      <c r="AT7" s="191"/>
      <c r="AU7" s="191"/>
      <c r="AV7" s="158"/>
      <c r="AW7" s="824" t="str">
        <f>"Средневзвешенный тариф по группе ""Бюджетные потребители"", руб./" &amp; $G$12</f>
        <v>Средневзвешенный тариф по группе "Бюджетные потребители", руб./куб.м</v>
      </c>
      <c r="AX7" s="824"/>
      <c r="AY7" s="158"/>
      <c r="AZ7" s="158"/>
      <c r="BA7" s="158"/>
      <c r="BB7" s="158"/>
      <c r="BC7" s="158"/>
      <c r="BD7" s="158"/>
      <c r="BE7" s="158"/>
      <c r="BF7" s="158"/>
      <c r="BG7" s="158"/>
      <c r="BH7" s="158"/>
      <c r="BI7" s="158"/>
      <c r="BJ7" s="158"/>
      <c r="BK7" s="158"/>
      <c r="BL7" s="824" t="str">
        <f>"Средневзвешенный тариф по группе ""Население"", руб./" &amp; $G$12</f>
        <v>Средневзвешенный тариф по группе "Население", руб./куб.м</v>
      </c>
      <c r="BM7" s="824"/>
      <c r="BN7" s="158"/>
      <c r="BO7" s="158"/>
      <c r="BP7" s="158"/>
      <c r="BQ7" s="158"/>
      <c r="BR7" s="158"/>
      <c r="BS7" s="158"/>
      <c r="BT7" s="158"/>
      <c r="BU7" s="158"/>
      <c r="BV7" s="158"/>
      <c r="BW7" s="158"/>
      <c r="BX7" s="158"/>
      <c r="BY7" s="158"/>
      <c r="BZ7" s="158"/>
      <c r="CA7" s="824" t="str">
        <f>"Средневзвешенный тариф по группе ""Прочие"", руб./" &amp; $G$12</f>
        <v>Средневзвешенный тариф по группе "Прочие", руб./куб.м</v>
      </c>
      <c r="CB7" s="824"/>
      <c r="CC7" s="158"/>
      <c r="CD7" s="158"/>
      <c r="CE7" s="158"/>
      <c r="CF7" s="158"/>
      <c r="CG7" s="158"/>
      <c r="CH7" s="158"/>
      <c r="CI7" s="158"/>
      <c r="CJ7" s="158"/>
      <c r="CK7" s="158"/>
      <c r="CL7" s="158"/>
      <c r="CM7" s="158"/>
      <c r="CN7" s="158"/>
      <c r="CO7" s="158"/>
      <c r="CP7" s="158"/>
      <c r="CQ7" s="158"/>
      <c r="CR7" s="191"/>
      <c r="CS7" s="158"/>
      <c r="CT7" s="158"/>
      <c r="CU7" s="158"/>
      <c r="CV7" s="158"/>
      <c r="CW7" s="158"/>
      <c r="CX7" s="158"/>
      <c r="CY7" s="158"/>
      <c r="CZ7" s="158"/>
      <c r="DA7" s="158"/>
      <c r="DB7" s="158"/>
      <c r="DC7" s="158"/>
      <c r="DD7" s="158"/>
      <c r="DE7" s="158"/>
      <c r="DF7" s="81"/>
      <c r="DG7" s="81"/>
      <c r="DH7" s="81"/>
      <c r="DI7" s="81"/>
      <c r="DJ7" s="81"/>
      <c r="DK7" s="81"/>
      <c r="DL7" s="81"/>
      <c r="DM7" s="81"/>
      <c r="DN7" s="81"/>
      <c r="DO7" s="81"/>
      <c r="DP7" s="81"/>
      <c r="DQ7" s="81"/>
      <c r="DR7" s="81"/>
      <c r="DS7" s="81"/>
      <c r="DT7" s="81"/>
    </row>
    <row r="8" spans="4:152" s="164" customFormat="1" ht="12" customHeight="1">
      <c r="D8" s="165"/>
      <c r="E8" s="190"/>
      <c r="F8" s="158"/>
      <c r="G8" s="197" t="s">
        <v>2781</v>
      </c>
      <c r="H8" s="198"/>
      <c r="I8" s="120"/>
      <c r="J8" s="120"/>
      <c r="K8" s="189"/>
      <c r="L8" s="189"/>
      <c r="M8" s="189"/>
      <c r="N8" s="189"/>
      <c r="O8" s="189"/>
      <c r="P8" s="189"/>
      <c r="Q8" s="189"/>
      <c r="R8" s="189"/>
      <c r="S8" s="189"/>
      <c r="T8" s="189"/>
      <c r="U8" s="189"/>
      <c r="V8" s="189"/>
      <c r="W8" s="189"/>
      <c r="X8" s="189"/>
      <c r="Y8" s="158"/>
      <c r="Z8" s="191"/>
      <c r="AA8" s="337" t="s">
        <v>627</v>
      </c>
      <c r="AB8" s="428" t="s">
        <v>628</v>
      </c>
      <c r="AC8" s="337" t="s">
        <v>627</v>
      </c>
      <c r="AD8" s="428" t="s">
        <v>628</v>
      </c>
      <c r="AE8" s="337"/>
      <c r="AF8" s="428"/>
      <c r="AG8" s="926"/>
      <c r="AH8" s="158"/>
      <c r="AI8" s="158"/>
      <c r="AJ8" s="158"/>
      <c r="AK8" s="158"/>
      <c r="AL8" s="158"/>
      <c r="AM8" s="158"/>
      <c r="AN8" s="158"/>
      <c r="AO8" s="158"/>
      <c r="AP8" s="158"/>
      <c r="AQ8" s="158"/>
      <c r="AR8" s="158"/>
      <c r="AS8" s="158"/>
      <c r="AT8" s="158"/>
      <c r="AU8" s="158"/>
      <c r="AV8" s="158"/>
      <c r="AW8" s="337" t="s">
        <v>627</v>
      </c>
      <c r="AX8" s="337" t="s">
        <v>628</v>
      </c>
      <c r="AY8" s="158"/>
      <c r="AZ8" s="158"/>
      <c r="BA8" s="158"/>
      <c r="BB8" s="158"/>
      <c r="BC8" s="158"/>
      <c r="BD8" s="158"/>
      <c r="BE8" s="158"/>
      <c r="BF8" s="158"/>
      <c r="BG8" s="158"/>
      <c r="BH8" s="158"/>
      <c r="BI8" s="158"/>
      <c r="BJ8" s="158"/>
      <c r="BK8" s="158"/>
      <c r="BL8" s="337" t="s">
        <v>627</v>
      </c>
      <c r="BM8" s="337" t="s">
        <v>628</v>
      </c>
      <c r="BN8" s="158"/>
      <c r="BO8" s="158"/>
      <c r="BP8" s="158"/>
      <c r="BQ8" s="158"/>
      <c r="BR8" s="158"/>
      <c r="BS8" s="158"/>
      <c r="BT8" s="158"/>
      <c r="BU8" s="158"/>
      <c r="BV8" s="158"/>
      <c r="BW8" s="158"/>
      <c r="BX8" s="158"/>
      <c r="BY8" s="158"/>
      <c r="BZ8" s="158"/>
      <c r="CA8" s="337" t="s">
        <v>627</v>
      </c>
      <c r="CB8" s="337" t="s">
        <v>628</v>
      </c>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81"/>
      <c r="DG8" s="81"/>
      <c r="DH8" s="81"/>
      <c r="DI8" s="81"/>
      <c r="DJ8" s="81"/>
      <c r="DK8" s="81"/>
      <c r="DL8" s="81"/>
      <c r="DM8" s="81"/>
      <c r="DN8" s="81"/>
      <c r="DO8" s="81"/>
      <c r="DP8" s="81"/>
      <c r="DQ8" s="81"/>
      <c r="DR8" s="81"/>
      <c r="DS8" s="81"/>
      <c r="DT8" s="81"/>
    </row>
    <row r="9" spans="4:152" s="164" customFormat="1" ht="12" customHeight="1">
      <c r="D9" s="165"/>
      <c r="E9" s="190"/>
      <c r="F9" s="158"/>
      <c r="G9"/>
      <c r="H9" s="84"/>
      <c r="I9" s="158"/>
      <c r="J9" s="158"/>
      <c r="K9" s="189"/>
      <c r="L9" s="189"/>
      <c r="M9" s="189"/>
      <c r="N9" s="189"/>
      <c r="O9" s="189"/>
      <c r="P9" s="189"/>
      <c r="Q9" s="189"/>
      <c r="R9" s="189"/>
      <c r="S9" s="189"/>
      <c r="T9" s="189"/>
      <c r="U9" s="189"/>
      <c r="V9" s="189"/>
      <c r="W9" s="189"/>
      <c r="X9" s="189"/>
      <c r="Y9" s="158"/>
      <c r="Z9" s="191"/>
      <c r="AA9" s="398">
        <f>IF(AG18=0,0,((('ТМ1 01.01 - 30.06'!AQ18*'ТМ1 01.01 - 30.06'!AS18*$AG9)+('ТМ1 01.01 - 30.06'!AT18*'ТМ1 01.01 - 30.06'!AV18*$AG9)+('ТМ1 01.01 - 30.06'!AW18*'ТМ1 01.01 - 30.06'!AY18*$AG9))+ (AA18*AG18))/AG18)</f>
        <v>49.29</v>
      </c>
      <c r="AB9" s="429">
        <f>IF(AG18=0,0,((('ТМ1 01.01 - 30.06'!AR18*'ТМ1 01.01 - 30.06'!AS18*$AG9)+('ТМ1 01.01 - 30.06'!AU18*'ТМ1 01.01 - 30.06'!AV18*$AG9)+('ТМ1 01.01 - 30.06'!AX18*'ТМ1 01.01 - 30.06'!AY18*$AG9))+ (AB18*AG18))/AG18)</f>
        <v>49.29</v>
      </c>
      <c r="AC9" s="398">
        <f>IF(AG18=0,0,((('ТМ1 01.01 - 30.06'!AQ18*'ТМ1 01.01 - 30.06'!AS18*$AG9)+('ТМ1 01.01 - 30.06'!AT18*'ТМ1 01.01 - 30.06'!AV18*$AG9)+('ТМ1 01.01 - 30.06'!AW18*'ТМ1 01.01 - 30.06'!AY18*$AG9))+ (AC18*AG18))/AG18)</f>
        <v>49.29</v>
      </c>
      <c r="AD9" s="429">
        <f>IF(AG18=0,0,((('ТМ1 01.01 - 30.06'!AR18*'ТМ1 01.01 - 30.06'!AS18*$AG9)+('ТМ1 01.01 - 30.06'!AU18*'ТМ1 01.01 - 30.06'!AV18*$AG9)+('ТМ1 01.01 - 30.06'!AX18*'ТМ1 01.01 - 30.06'!AY18*$AG9))+ (AD18*AG18))/AG18)</f>
        <v>49.29</v>
      </c>
      <c r="AE9" s="398"/>
      <c r="AF9" s="429"/>
      <c r="AG9" s="130">
        <v>1</v>
      </c>
      <c r="AH9" s="158"/>
      <c r="AI9" s="158"/>
      <c r="AJ9" s="158"/>
      <c r="AK9" s="158"/>
      <c r="AL9" s="158"/>
      <c r="AM9" s="158"/>
      <c r="AN9" s="158"/>
      <c r="AO9" s="158"/>
      <c r="AP9" s="158"/>
      <c r="AQ9" s="158"/>
      <c r="AR9" s="158"/>
      <c r="AS9" s="158"/>
      <c r="AT9" s="158"/>
      <c r="AU9" s="158"/>
      <c r="AV9" s="158"/>
      <c r="AW9" s="398">
        <f>IF(AV18+BA18&gt;0,(AR18*AV18+AW18*BA18)/(AV18+BA18),0)</f>
        <v>49.29</v>
      </c>
      <c r="AX9" s="398">
        <f>IF(AV18+BA18&gt;0,(AS18*AV18+AX18*BA18)/(AV18+BA18),0)</f>
        <v>49.29</v>
      </c>
      <c r="AY9" s="158"/>
      <c r="AZ9" s="158"/>
      <c r="BA9" s="158"/>
      <c r="BB9" s="158"/>
      <c r="BC9" s="158"/>
      <c r="BD9" s="158"/>
      <c r="BE9" s="158"/>
      <c r="BF9" s="158"/>
      <c r="BG9" s="158"/>
      <c r="BH9" s="158"/>
      <c r="BI9" s="158"/>
      <c r="BJ9" s="158"/>
      <c r="BK9" s="158"/>
      <c r="BL9" s="398">
        <f>IF(BK18+BP18&gt;0,(BG18*BK18+BL18*BP18)/(BK18+BP18),0)</f>
        <v>49.29</v>
      </c>
      <c r="BM9" s="398">
        <f>IF(BK18+BP18&gt;0,(BH18*BK18+BM18*BP18)/(BK18+BP18),0)</f>
        <v>49.29</v>
      </c>
      <c r="BN9" s="158"/>
      <c r="BO9" s="158"/>
      <c r="BP9" s="158"/>
      <c r="BQ9" s="158"/>
      <c r="BR9" s="158"/>
      <c r="BS9" s="158"/>
      <c r="BT9" s="158"/>
      <c r="BU9" s="158"/>
      <c r="BV9" s="158"/>
      <c r="BW9" s="158"/>
      <c r="BX9" s="158"/>
      <c r="BY9" s="158"/>
      <c r="BZ9" s="158"/>
      <c r="CA9" s="398">
        <f>IF(BZ18+CE18&gt;0,(BV18*BZ18+CA18*CE18)/(BZ18+CE18),0)</f>
        <v>49.29</v>
      </c>
      <c r="CB9" s="398">
        <f>IF(BZ18&gt;0,(BW18*BZ18+CB18*CE18)/BZ18,0)</f>
        <v>49.29</v>
      </c>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81"/>
      <c r="DG9" s="81"/>
      <c r="DH9" s="81"/>
      <c r="DI9" s="81"/>
      <c r="DJ9" s="81"/>
      <c r="DK9" s="81"/>
      <c r="DL9" s="81"/>
      <c r="DM9" s="81"/>
      <c r="DN9" s="81"/>
      <c r="DO9" s="81"/>
      <c r="DP9" s="81"/>
      <c r="DQ9" s="81"/>
      <c r="DR9" s="81"/>
      <c r="DS9" s="81"/>
      <c r="DT9" s="81"/>
    </row>
    <row r="10" spans="4:152" s="164" customFormat="1" ht="12" customHeight="1">
      <c r="D10" s="165"/>
      <c r="E10" s="190"/>
      <c r="F10" s="158"/>
      <c r="G10"/>
      <c r="H10" s="84"/>
      <c r="I10" s="158"/>
      <c r="J10" s="158"/>
      <c r="K10" s="444" t="s">
        <v>652</v>
      </c>
      <c r="L10" s="189"/>
      <c r="M10" s="189"/>
      <c r="N10" s="189"/>
      <c r="O10" s="189"/>
      <c r="P10" s="189"/>
      <c r="Q10" s="189"/>
      <c r="R10" s="189"/>
      <c r="S10" s="189"/>
      <c r="T10" s="189"/>
      <c r="U10" s="189"/>
      <c r="V10" s="189"/>
      <c r="W10" s="189"/>
      <c r="X10" s="189"/>
      <c r="Y10" s="158"/>
      <c r="Z10" s="191"/>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s="158"/>
      <c r="CT10" s="158"/>
      <c r="CU10" s="158"/>
      <c r="CV10" s="158"/>
      <c r="CW10" s="158"/>
      <c r="CX10" s="158"/>
      <c r="CY10" s="158"/>
      <c r="CZ10" s="158"/>
      <c r="DA10" s="158"/>
      <c r="DB10" s="158"/>
      <c r="DC10" s="158"/>
      <c r="DD10" s="158"/>
      <c r="DE10" s="158"/>
      <c r="DF10" s="81"/>
      <c r="DG10" s="81"/>
      <c r="DH10" s="81"/>
      <c r="DI10" s="81"/>
      <c r="DJ10" s="81"/>
      <c r="DK10" s="81"/>
      <c r="DL10" s="81"/>
      <c r="DM10" s="81"/>
      <c r="DN10" s="81"/>
      <c r="DO10" s="81"/>
      <c r="DP10" s="81"/>
      <c r="DQ10" s="81"/>
      <c r="DR10" s="81"/>
      <c r="DS10" s="81"/>
      <c r="DT10" s="81"/>
    </row>
    <row r="11" spans="4:152" s="164" customFormat="1" ht="0.75" customHeight="1">
      <c r="D11" s="165"/>
      <c r="E11" s="190"/>
      <c r="F11" s="158"/>
      <c r="G11"/>
      <c r="H11" s="84"/>
      <c r="I11" s="158"/>
      <c r="J11" s="158"/>
      <c r="K11" s="189"/>
      <c r="L11" s="189"/>
      <c r="M11" s="189"/>
      <c r="N11" s="189"/>
      <c r="O11" s="189"/>
      <c r="P11" s="189"/>
      <c r="Q11" s="189"/>
      <c r="R11" s="189"/>
      <c r="S11" s="189"/>
      <c r="T11" s="189"/>
      <c r="U11" s="189"/>
      <c r="V11" s="189"/>
      <c r="W11" s="189"/>
      <c r="X11" s="189"/>
      <c r="Y11" s="158"/>
      <c r="Z11" s="19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s="158"/>
      <c r="CT11" s="158"/>
      <c r="CU11" s="158"/>
      <c r="CV11" s="158"/>
      <c r="CW11" s="158"/>
      <c r="CX11" s="158"/>
      <c r="CY11" s="158"/>
      <c r="CZ11" s="158"/>
      <c r="DA11" s="158"/>
      <c r="DB11" s="158"/>
      <c r="DC11" s="158"/>
      <c r="DD11" s="158"/>
      <c r="DE11" s="158"/>
      <c r="DF11" s="81"/>
      <c r="DG11" s="81"/>
      <c r="DH11" s="81"/>
      <c r="DI11" s="81"/>
      <c r="DJ11" s="81"/>
      <c r="DK11" s="81"/>
      <c r="DL11" s="81"/>
      <c r="DM11" s="81"/>
      <c r="DN11" s="81"/>
      <c r="DO11" s="81"/>
      <c r="DP11" s="81"/>
      <c r="DQ11" s="81"/>
      <c r="DR11" s="81"/>
      <c r="DS11" s="81"/>
      <c r="DT11" s="81"/>
    </row>
    <row r="12" spans="4:152" s="164" customFormat="1" ht="12" customHeight="1">
      <c r="D12" s="165"/>
      <c r="E12" s="190"/>
      <c r="F12" s="158"/>
      <c r="G12" s="589" t="s">
        <v>445</v>
      </c>
      <c r="H12" s="588"/>
      <c r="I12" s="158"/>
      <c r="J12" s="158"/>
      <c r="K12" s="922" t="s">
        <v>2863</v>
      </c>
      <c r="L12" s="922"/>
      <c r="M12" s="922"/>
      <c r="N12" s="922"/>
      <c r="O12" s="922"/>
      <c r="P12" s="922"/>
      <c r="Q12" s="922"/>
      <c r="R12" s="922"/>
      <c r="S12" s="922"/>
      <c r="T12" s="922"/>
      <c r="U12" s="922"/>
      <c r="V12" s="922"/>
      <c r="W12" s="922"/>
      <c r="X12" s="922"/>
      <c r="Y12" s="158"/>
      <c r="Z12" s="191"/>
      <c r="AA12" s="191"/>
      <c r="AB12" s="158"/>
      <c r="AC12" s="158"/>
      <c r="AD12" s="158"/>
      <c r="AE12" s="158"/>
      <c r="AF12" s="158"/>
      <c r="AG12" s="158"/>
      <c r="AH12" s="158"/>
      <c r="AI12" s="158"/>
      <c r="AJ12" s="158"/>
      <c r="AK12" s="158"/>
      <c r="AL12" s="158"/>
      <c r="AM12" s="158"/>
      <c r="AN12" s="158"/>
      <c r="AO12" s="158"/>
      <c r="AP12" s="158"/>
      <c r="AQ12" s="158"/>
      <c r="AR12" s="158"/>
      <c r="AS12" s="158"/>
      <c r="AT12" s="158"/>
      <c r="AU12" s="158"/>
      <c r="AV12" s="427"/>
      <c r="AW12" s="158"/>
      <c r="AX12" s="158"/>
      <c r="AY12" s="158"/>
      <c r="AZ12" s="158"/>
      <c r="BA12" s="158"/>
      <c r="BB12" s="158"/>
      <c r="BC12" s="158"/>
      <c r="BD12" s="158"/>
      <c r="BE12" s="158"/>
      <c r="BF12" s="158"/>
      <c r="BG12" s="158"/>
      <c r="BH12" s="158"/>
      <c r="BI12" s="158"/>
      <c r="BJ12" s="158"/>
      <c r="BK12" s="427"/>
      <c r="BL12" s="158"/>
      <c r="BM12" s="158"/>
      <c r="BN12" s="158"/>
      <c r="BO12" s="158"/>
      <c r="BP12" s="158"/>
      <c r="BQ12" s="158"/>
      <c r="BR12" s="158"/>
      <c r="BS12" s="158"/>
      <c r="BT12" s="158"/>
      <c r="BU12" s="158"/>
      <c r="BV12" s="158"/>
      <c r="BW12" s="158"/>
      <c r="BX12" s="158"/>
      <c r="BY12" s="158"/>
      <c r="BZ12" s="427"/>
      <c r="CA12" s="158"/>
      <c r="CB12" s="158"/>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81"/>
      <c r="DG12" s="81"/>
      <c r="DH12" s="81"/>
      <c r="DI12" s="81"/>
      <c r="DJ12" s="81"/>
      <c r="DK12" s="81"/>
      <c r="DL12" s="81"/>
      <c r="DM12" s="81"/>
      <c r="DN12" s="81"/>
      <c r="DO12" s="81"/>
      <c r="DP12" s="81"/>
      <c r="DQ12" s="81"/>
      <c r="DR12" s="81"/>
      <c r="DS12" s="81"/>
      <c r="DT12" s="81"/>
    </row>
    <row r="13" spans="4:152" ht="24" customHeight="1">
      <c r="E13" s="192"/>
      <c r="F13" s="827" t="s">
        <v>641</v>
      </c>
      <c r="G13" s="827" t="s">
        <v>735</v>
      </c>
      <c r="H13" s="827" t="s">
        <v>894</v>
      </c>
      <c r="I13" s="827"/>
      <c r="J13" s="827" t="s">
        <v>626</v>
      </c>
      <c r="K13" s="802" t="s">
        <v>2584</v>
      </c>
      <c r="L13" s="802"/>
      <c r="M13" s="802"/>
      <c r="N13" s="803" t="s">
        <v>2569</v>
      </c>
      <c r="O13" s="803"/>
      <c r="P13" s="802" t="s">
        <v>2570</v>
      </c>
      <c r="Q13" s="802"/>
      <c r="R13" s="802" t="s">
        <v>2862</v>
      </c>
      <c r="S13" s="802"/>
      <c r="T13" s="802"/>
      <c r="U13" s="802"/>
      <c r="V13" s="802" t="s">
        <v>2571</v>
      </c>
      <c r="W13" s="802"/>
      <c r="X13" s="803" t="s">
        <v>2572</v>
      </c>
      <c r="Y13" s="828" t="str">
        <f>"Экономически обоснованный тариф, руб./" &amp; $G$12</f>
        <v>Экономически обоснованный тариф, руб./куб.м</v>
      </c>
      <c r="Z13" s="828"/>
      <c r="AA13" s="872" t="str">
        <f>"Средневзвешенный тариф с учётом надбавки, руб./" &amp; $G$12</f>
        <v>Средневзвешенный тариф с учётом надбавки, руб./куб.м</v>
      </c>
      <c r="AB13" s="873"/>
      <c r="AC13" s="872" t="str">
        <f>"Средневзвешенный тариф, руб./" &amp; $G$12</f>
        <v>Средневзвешенный тариф, руб./куб.м</v>
      </c>
      <c r="AD13" s="873"/>
      <c r="AE13" s="872"/>
      <c r="AF13" s="873"/>
      <c r="AG13" s="828" t="str">
        <f>"Объём реализации услуги потребителям, всего, " &amp; $G$12</f>
        <v>Объём реализации услуги потребителям, всего, куб.м</v>
      </c>
      <c r="AH13" s="872"/>
      <c r="AI13" s="873"/>
      <c r="AJ13" s="872" t="str">
        <f>"Надбавка к тарифу, руб./" &amp; $G$12</f>
        <v>Надбавка к тарифу, руб./куб.м</v>
      </c>
      <c r="AK13" s="873"/>
      <c r="AL13" s="828" t="str">
        <f>"Объём, на который расчитана надбавка, " &amp; $G$12</f>
        <v>Объём, на который расчитана надбавка, куб.м</v>
      </c>
      <c r="AM13" s="828" t="s">
        <v>2459</v>
      </c>
      <c r="AN13" s="828"/>
      <c r="AO13" s="828"/>
      <c r="AP13" s="828"/>
      <c r="AQ13" s="828"/>
      <c r="AR13" s="828" t="s">
        <v>747</v>
      </c>
      <c r="AS13" s="828"/>
      <c r="AT13" s="828"/>
      <c r="AU13" s="828"/>
      <c r="AV13" s="831"/>
      <c r="AW13" s="828"/>
      <c r="AX13" s="828"/>
      <c r="AY13" s="828"/>
      <c r="AZ13" s="828"/>
      <c r="BA13" s="828"/>
      <c r="BB13" s="828"/>
      <c r="BC13" s="828"/>
      <c r="BD13" s="828"/>
      <c r="BE13" s="828"/>
      <c r="BF13" s="828"/>
      <c r="BG13" s="828" t="s">
        <v>748</v>
      </c>
      <c r="BH13" s="828"/>
      <c r="BI13" s="828"/>
      <c r="BJ13" s="828"/>
      <c r="BK13" s="831"/>
      <c r="BL13" s="828"/>
      <c r="BM13" s="828"/>
      <c r="BN13" s="828"/>
      <c r="BO13" s="828"/>
      <c r="BP13" s="828"/>
      <c r="BQ13" s="828"/>
      <c r="BR13" s="828"/>
      <c r="BS13" s="828"/>
      <c r="BT13" s="828"/>
      <c r="BU13" s="828"/>
      <c r="BV13" s="828" t="s">
        <v>758</v>
      </c>
      <c r="BW13" s="828"/>
      <c r="BX13" s="828"/>
      <c r="BY13" s="828"/>
      <c r="BZ13" s="831"/>
      <c r="CA13" s="828"/>
      <c r="CB13" s="828"/>
      <c r="CC13" s="828"/>
      <c r="CD13" s="828"/>
      <c r="CE13" s="828"/>
      <c r="CF13" s="828"/>
      <c r="CG13" s="828"/>
      <c r="CH13" s="828"/>
      <c r="CI13" s="828"/>
      <c r="CJ13" s="828"/>
      <c r="CK13" s="828" t="s">
        <v>896</v>
      </c>
      <c r="CL13" s="828" t="s">
        <v>897</v>
      </c>
      <c r="CM13" s="828" t="s">
        <v>898</v>
      </c>
      <c r="CN13" s="828"/>
      <c r="CO13" s="828"/>
      <c r="CP13" s="828"/>
      <c r="CQ13" s="828"/>
      <c r="CR13" s="828" t="s">
        <v>899</v>
      </c>
      <c r="CS13" s="185"/>
      <c r="CT13" s="185"/>
      <c r="CU13" s="185"/>
      <c r="CV13" s="185"/>
      <c r="CW13" s="185"/>
      <c r="CX13" s="185"/>
      <c r="CY13" s="185"/>
      <c r="CZ13" s="185"/>
      <c r="DA13" s="185"/>
      <c r="DB13" s="185"/>
      <c r="DC13" s="185"/>
      <c r="DD13" s="185"/>
      <c r="DE13" s="185"/>
    </row>
    <row r="14" spans="4:152" ht="18.75" customHeight="1">
      <c r="E14" s="192"/>
      <c r="F14" s="869"/>
      <c r="G14" s="869"/>
      <c r="H14" s="827"/>
      <c r="I14" s="827"/>
      <c r="J14" s="827"/>
      <c r="K14" s="803" t="s">
        <v>2581</v>
      </c>
      <c r="L14" s="803" t="s">
        <v>2582</v>
      </c>
      <c r="M14" s="803" t="s">
        <v>2583</v>
      </c>
      <c r="N14" s="860"/>
      <c r="O14" s="860"/>
      <c r="P14" s="803" t="s">
        <v>2573</v>
      </c>
      <c r="Q14" s="803" t="s">
        <v>2574</v>
      </c>
      <c r="R14" s="803" t="s">
        <v>2573</v>
      </c>
      <c r="S14" s="803" t="s">
        <v>2574</v>
      </c>
      <c r="T14" s="803"/>
      <c r="U14" s="803"/>
      <c r="V14" s="803" t="s">
        <v>2575</v>
      </c>
      <c r="W14" s="803" t="s">
        <v>2576</v>
      </c>
      <c r="X14" s="860"/>
      <c r="Y14" s="828"/>
      <c r="Z14" s="828"/>
      <c r="AA14" s="874"/>
      <c r="AB14" s="875"/>
      <c r="AC14" s="874"/>
      <c r="AD14" s="875"/>
      <c r="AE14" s="874"/>
      <c r="AF14" s="875"/>
      <c r="AG14" s="828"/>
      <c r="AH14" s="874"/>
      <c r="AI14" s="875"/>
      <c r="AJ14" s="874"/>
      <c r="AK14" s="875"/>
      <c r="AL14" s="828"/>
      <c r="AM14" s="828" t="str">
        <f>"Тариф, руб./" &amp; $G$12</f>
        <v>Тариф, руб./куб.м</v>
      </c>
      <c r="AN14" s="828"/>
      <c r="AO14" s="828" t="str">
        <f>"Льготный тариф, руб./" &amp; $G$12</f>
        <v>Льготный тариф, руб./куб.м</v>
      </c>
      <c r="AP14" s="828"/>
      <c r="AQ14" s="828" t="str">
        <f>"Объём реализации услуги, " &amp; $G$12</f>
        <v>Объём реализации услуги, куб.м</v>
      </c>
      <c r="AR14" s="872" t="str">
        <f>"Одноставочный тариф, руб./" &amp; $G$12</f>
        <v>Одноставочный тариф, руб./куб.м</v>
      </c>
      <c r="AS14" s="873"/>
      <c r="AT14" s="828" t="str">
        <f>"Льготный тариф, руб./" &amp; $G$12</f>
        <v>Льготный тариф, руб./куб.м</v>
      </c>
      <c r="AU14" s="828"/>
      <c r="AV14" s="828" t="str">
        <f>"Объём реализации услуги, " &amp; $G$12</f>
        <v>Объём реализации услуги, куб.м</v>
      </c>
      <c r="AW14" s="828" t="s">
        <v>903</v>
      </c>
      <c r="AX14" s="828"/>
      <c r="AY14" s="828"/>
      <c r="AZ14" s="828"/>
      <c r="BA14" s="828"/>
      <c r="BB14" s="828"/>
      <c r="BC14" s="828"/>
      <c r="BD14" s="828"/>
      <c r="BE14" s="828" t="s">
        <v>906</v>
      </c>
      <c r="BF14" s="828" t="str">
        <f>"Удельная величина дотаций, руб./" &amp; $G$12</f>
        <v>Удельная величина дотаций, руб./куб.м</v>
      </c>
      <c r="BG14" s="872" t="str">
        <f>"Одноставочный тариф, руб./" &amp; $G$12</f>
        <v>Одноставочный тариф, руб./куб.м</v>
      </c>
      <c r="BH14" s="873"/>
      <c r="BI14" s="828" t="str">
        <f>"Льготный тариф, руб./" &amp; $G$12</f>
        <v>Льготный тариф, руб./куб.м</v>
      </c>
      <c r="BJ14" s="828"/>
      <c r="BK14" s="828" t="str">
        <f>"Объём реализации услуги, " &amp; $G$12</f>
        <v>Объём реализации услуги, куб.м</v>
      </c>
      <c r="BL14" s="828" t="s">
        <v>903</v>
      </c>
      <c r="BM14" s="828"/>
      <c r="BN14" s="828"/>
      <c r="BO14" s="828"/>
      <c r="BP14" s="828"/>
      <c r="BQ14" s="828"/>
      <c r="BR14" s="828"/>
      <c r="BS14" s="828"/>
      <c r="BT14" s="828" t="s">
        <v>906</v>
      </c>
      <c r="BU14" s="828" t="str">
        <f>"Удельная величина дотаций, руб./" &amp; $G$12</f>
        <v>Удельная величина дотаций, руб./куб.м</v>
      </c>
      <c r="BV14" s="872" t="str">
        <f>"Одноставочный тариф, руб./" &amp; $G$12</f>
        <v>Одноставочный тариф, руб./куб.м</v>
      </c>
      <c r="BW14" s="873"/>
      <c r="BX14" s="828" t="str">
        <f>"Льготный тариф, руб./" &amp; $G$12</f>
        <v>Льготный тариф, руб./куб.м</v>
      </c>
      <c r="BY14" s="828"/>
      <c r="BZ14" s="828" t="str">
        <f>"Объём реализации услуги, " &amp; $G$12</f>
        <v>Объём реализации услуги, куб.м</v>
      </c>
      <c r="CA14" s="828" t="s">
        <v>903</v>
      </c>
      <c r="CB14" s="828"/>
      <c r="CC14" s="828"/>
      <c r="CD14" s="828"/>
      <c r="CE14" s="828"/>
      <c r="CF14" s="828"/>
      <c r="CG14" s="828"/>
      <c r="CH14" s="828"/>
      <c r="CI14" s="828" t="s">
        <v>906</v>
      </c>
      <c r="CJ14" s="828" t="str">
        <f>"Удельная величина дотаций, руб./" &amp; $G$12</f>
        <v>Удельная величина дотаций, руб./куб.м</v>
      </c>
      <c r="CK14" s="828"/>
      <c r="CL14" s="828"/>
      <c r="CM14" s="828" t="s">
        <v>907</v>
      </c>
      <c r="CN14" s="828" t="s">
        <v>908</v>
      </c>
      <c r="CO14" s="828" t="s">
        <v>909</v>
      </c>
      <c r="CP14" s="828" t="s">
        <v>910</v>
      </c>
      <c r="CQ14" s="828" t="s">
        <v>911</v>
      </c>
      <c r="CR14" s="828"/>
      <c r="CS14" s="185"/>
      <c r="CT14" s="185"/>
      <c r="CU14" s="185"/>
      <c r="CV14" s="185"/>
      <c r="CW14" s="185"/>
      <c r="CX14" s="185"/>
      <c r="CY14" s="185"/>
      <c r="CZ14" s="185"/>
      <c r="DA14" s="185"/>
      <c r="DB14" s="185"/>
      <c r="DC14" s="185"/>
      <c r="DD14" s="185"/>
      <c r="DE14" s="185"/>
    </row>
    <row r="15" spans="4:152" ht="30" customHeight="1">
      <c r="E15" s="192"/>
      <c r="F15" s="869"/>
      <c r="G15" s="869"/>
      <c r="H15" s="827"/>
      <c r="I15" s="827"/>
      <c r="J15" s="827"/>
      <c r="K15" s="860"/>
      <c r="L15" s="860"/>
      <c r="M15" s="860"/>
      <c r="N15" s="860"/>
      <c r="O15" s="860"/>
      <c r="P15" s="860"/>
      <c r="Q15" s="860"/>
      <c r="R15" s="860"/>
      <c r="S15" s="860"/>
      <c r="T15" s="860"/>
      <c r="U15" s="860"/>
      <c r="V15" s="860"/>
      <c r="W15" s="860"/>
      <c r="X15" s="860"/>
      <c r="Y15" s="828"/>
      <c r="Z15" s="828"/>
      <c r="AA15" s="876"/>
      <c r="AB15" s="877"/>
      <c r="AC15" s="876"/>
      <c r="AD15" s="877"/>
      <c r="AE15" s="876"/>
      <c r="AF15" s="877"/>
      <c r="AG15" s="828"/>
      <c r="AH15" s="876"/>
      <c r="AI15" s="877"/>
      <c r="AJ15" s="876"/>
      <c r="AK15" s="877"/>
      <c r="AL15" s="828"/>
      <c r="AM15" s="828"/>
      <c r="AN15" s="828"/>
      <c r="AO15" s="828"/>
      <c r="AP15" s="828"/>
      <c r="AQ15" s="828"/>
      <c r="AR15" s="876"/>
      <c r="AS15" s="877"/>
      <c r="AT15" s="828"/>
      <c r="AU15" s="828"/>
      <c r="AV15" s="828"/>
      <c r="AW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AX15" s="828"/>
      <c r="AY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AZ15" s="828"/>
      <c r="BA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B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C15" s="828"/>
      <c r="BD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E15" s="828"/>
      <c r="BF15" s="828"/>
      <c r="BG15" s="876"/>
      <c r="BH15" s="877"/>
      <c r="BI15" s="828"/>
      <c r="BJ15" s="828"/>
      <c r="BK15" s="828"/>
      <c r="BL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BM15" s="828"/>
      <c r="BN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BO15" s="828"/>
      <c r="BP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Q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R15" s="828"/>
      <c r="BS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T15" s="828"/>
      <c r="BU15" s="828"/>
      <c r="BV15" s="876"/>
      <c r="BW15" s="877"/>
      <c r="BX15" s="828"/>
      <c r="BY15" s="828"/>
      <c r="BZ15" s="828"/>
      <c r="CA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CB15" s="828"/>
      <c r="CC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CD15" s="828"/>
      <c r="CE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CF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CG15" s="828"/>
      <c r="CH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CI15" s="828"/>
      <c r="CJ15" s="828"/>
      <c r="CK15" s="828"/>
      <c r="CL15" s="828"/>
      <c r="CM15" s="828"/>
      <c r="CN15" s="828"/>
      <c r="CO15" s="828"/>
      <c r="CP15" s="828"/>
      <c r="CQ15" s="828"/>
      <c r="CR15" s="828"/>
      <c r="CS15" s="185"/>
      <c r="CT15" s="185"/>
      <c r="CU15" s="185"/>
      <c r="CV15" s="185"/>
      <c r="CW15" s="185"/>
      <c r="CX15" s="185"/>
      <c r="CY15" s="185"/>
      <c r="CZ15" s="185"/>
      <c r="DA15" s="185"/>
      <c r="DB15" s="185"/>
      <c r="DC15" s="185"/>
      <c r="DD15" s="185"/>
      <c r="DE15" s="185"/>
      <c r="DP15" s="78"/>
      <c r="DQ15" s="78"/>
      <c r="DR15" s="78"/>
      <c r="DS15" s="78"/>
      <c r="DT15" s="78"/>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row>
    <row r="16" spans="4:152" ht="12" customHeight="1">
      <c r="E16" s="192"/>
      <c r="F16" s="869"/>
      <c r="G16" s="869"/>
      <c r="H16" s="827"/>
      <c r="I16" s="827"/>
      <c r="J16" s="827"/>
      <c r="K16" s="826"/>
      <c r="L16" s="826"/>
      <c r="M16" s="826"/>
      <c r="N16" s="826"/>
      <c r="O16" s="826"/>
      <c r="P16" s="826"/>
      <c r="Q16" s="826"/>
      <c r="R16" s="826"/>
      <c r="S16" s="826"/>
      <c r="T16" s="826"/>
      <c r="U16" s="826"/>
      <c r="V16" s="826"/>
      <c r="W16" s="826"/>
      <c r="X16" s="826"/>
      <c r="Y16" s="193" t="s">
        <v>627</v>
      </c>
      <c r="Z16" s="193" t="s">
        <v>628</v>
      </c>
      <c r="AA16" s="193" t="s">
        <v>627</v>
      </c>
      <c r="AB16" s="193" t="s">
        <v>628</v>
      </c>
      <c r="AC16" s="193" t="s">
        <v>627</v>
      </c>
      <c r="AD16" s="193" t="s">
        <v>628</v>
      </c>
      <c r="AE16" s="193"/>
      <c r="AF16" s="193"/>
      <c r="AG16" s="828"/>
      <c r="AH16" s="193"/>
      <c r="AI16" s="193"/>
      <c r="AJ16" s="193" t="s">
        <v>627</v>
      </c>
      <c r="AK16" s="193" t="s">
        <v>628</v>
      </c>
      <c r="AL16" s="828"/>
      <c r="AM16" s="193" t="s">
        <v>627</v>
      </c>
      <c r="AN16" s="193" t="s">
        <v>628</v>
      </c>
      <c r="AO16" s="193" t="s">
        <v>627</v>
      </c>
      <c r="AP16" s="193" t="s">
        <v>628</v>
      </c>
      <c r="AQ16" s="828"/>
      <c r="AR16" s="193" t="s">
        <v>627</v>
      </c>
      <c r="AS16" s="193" t="s">
        <v>628</v>
      </c>
      <c r="AT16" s="193" t="s">
        <v>627</v>
      </c>
      <c r="AU16" s="193" t="s">
        <v>628</v>
      </c>
      <c r="AV16" s="828"/>
      <c r="AW16" s="193" t="s">
        <v>627</v>
      </c>
      <c r="AX16" s="193" t="s">
        <v>628</v>
      </c>
      <c r="AY16" s="193" t="s">
        <v>627</v>
      </c>
      <c r="AZ16" s="193" t="s">
        <v>628</v>
      </c>
      <c r="BA16" s="828"/>
      <c r="BB16" s="193" t="s">
        <v>627</v>
      </c>
      <c r="BC16" s="193" t="s">
        <v>628</v>
      </c>
      <c r="BD16" s="828"/>
      <c r="BE16" s="828"/>
      <c r="BF16" s="828"/>
      <c r="BG16" s="193" t="s">
        <v>627</v>
      </c>
      <c r="BH16" s="193" t="s">
        <v>628</v>
      </c>
      <c r="BI16" s="193" t="s">
        <v>627</v>
      </c>
      <c r="BJ16" s="193" t="s">
        <v>628</v>
      </c>
      <c r="BK16" s="828"/>
      <c r="BL16" s="193" t="s">
        <v>627</v>
      </c>
      <c r="BM16" s="193" t="s">
        <v>628</v>
      </c>
      <c r="BN16" s="193" t="s">
        <v>627</v>
      </c>
      <c r="BO16" s="193" t="s">
        <v>628</v>
      </c>
      <c r="BP16" s="828"/>
      <c r="BQ16" s="193" t="s">
        <v>627</v>
      </c>
      <c r="BR16" s="193" t="s">
        <v>628</v>
      </c>
      <c r="BS16" s="828"/>
      <c r="BT16" s="828"/>
      <c r="BU16" s="828"/>
      <c r="BV16" s="193" t="s">
        <v>627</v>
      </c>
      <c r="BW16" s="193" t="s">
        <v>628</v>
      </c>
      <c r="BX16" s="193" t="s">
        <v>627</v>
      </c>
      <c r="BY16" s="193" t="s">
        <v>628</v>
      </c>
      <c r="BZ16" s="828"/>
      <c r="CA16" s="193" t="s">
        <v>627</v>
      </c>
      <c r="CB16" s="193" t="s">
        <v>628</v>
      </c>
      <c r="CC16" s="193" t="s">
        <v>627</v>
      </c>
      <c r="CD16" s="193" t="s">
        <v>628</v>
      </c>
      <c r="CE16" s="828"/>
      <c r="CF16" s="193" t="s">
        <v>627</v>
      </c>
      <c r="CG16" s="193" t="s">
        <v>628</v>
      </c>
      <c r="CH16" s="828"/>
      <c r="CI16" s="828"/>
      <c r="CJ16" s="828"/>
      <c r="CK16" s="828"/>
      <c r="CL16" s="828"/>
      <c r="CM16" s="828"/>
      <c r="CN16" s="828"/>
      <c r="CO16" s="828"/>
      <c r="CP16" s="828"/>
      <c r="CQ16" s="828"/>
      <c r="CR16" s="828"/>
      <c r="CS16" s="185"/>
      <c r="CT16" s="185"/>
      <c r="CU16" s="185"/>
      <c r="CV16" s="185"/>
      <c r="CW16" s="185"/>
      <c r="CX16" s="185"/>
      <c r="CY16" s="185"/>
      <c r="CZ16" s="185"/>
      <c r="DA16" s="185"/>
      <c r="DB16" s="185"/>
      <c r="DC16" s="185"/>
      <c r="DD16" s="185"/>
      <c r="DE16" s="185"/>
      <c r="DF16" s="829" t="s">
        <v>295</v>
      </c>
      <c r="DG16" s="829"/>
      <c r="DH16" s="829"/>
      <c r="DI16" s="829"/>
      <c r="DJ16" s="829"/>
      <c r="DK16" s="829"/>
      <c r="DL16" s="829"/>
      <c r="DM16" s="829"/>
      <c r="DN16" s="829"/>
      <c r="DO16" s="829"/>
      <c r="DP16" s="829" t="s">
        <v>296</v>
      </c>
      <c r="DQ16" s="829"/>
      <c r="DR16" s="829"/>
      <c r="DS16" s="829"/>
      <c r="DT16" s="829"/>
      <c r="DU16" s="829"/>
      <c r="DV16" s="829"/>
      <c r="DW16" s="829"/>
      <c r="DX16" s="829"/>
      <c r="DY16" s="829"/>
      <c r="DZ16" s="829"/>
      <c r="EA16" s="829"/>
      <c r="EB16" s="829"/>
      <c r="EC16" s="829"/>
      <c r="ED16" s="829"/>
      <c r="EE16" s="829"/>
      <c r="EF16" s="829"/>
      <c r="EG16" s="829"/>
      <c r="EH16" s="829" t="s">
        <v>293</v>
      </c>
      <c r="EI16" s="829"/>
      <c r="EJ16" s="829" t="s">
        <v>294</v>
      </c>
      <c r="EK16" s="829"/>
      <c r="EL16" s="829"/>
      <c r="EM16" s="829"/>
      <c r="EN16" s="829"/>
      <c r="EO16" s="829"/>
      <c r="EP16" s="829"/>
      <c r="EQ16" s="829"/>
      <c r="ER16" s="829" t="s">
        <v>444</v>
      </c>
      <c r="ES16" s="829"/>
      <c r="ET16" s="829" t="s">
        <v>1783</v>
      </c>
      <c r="EU16" s="829"/>
      <c r="EV16" s="829"/>
    </row>
    <row r="17" spans="1:152" ht="12" customHeight="1">
      <c r="E17" s="192"/>
      <c r="F17" s="182"/>
      <c r="G17" s="182" t="s">
        <v>759</v>
      </c>
      <c r="H17" s="183" t="s">
        <v>629</v>
      </c>
      <c r="I17" s="183" t="s">
        <v>630</v>
      </c>
      <c r="J17" s="183" t="s">
        <v>631</v>
      </c>
      <c r="K17" s="183" t="s">
        <v>2851</v>
      </c>
      <c r="L17" s="183" t="s">
        <v>2852</v>
      </c>
      <c r="M17" s="183" t="s">
        <v>2853</v>
      </c>
      <c r="N17" s="183" t="s">
        <v>2854</v>
      </c>
      <c r="O17" s="183"/>
      <c r="P17" s="183" t="s">
        <v>2855</v>
      </c>
      <c r="Q17" s="183" t="s">
        <v>2856</v>
      </c>
      <c r="R17" s="183" t="s">
        <v>2857</v>
      </c>
      <c r="S17" s="183" t="s">
        <v>2858</v>
      </c>
      <c r="T17" s="183"/>
      <c r="U17" s="183"/>
      <c r="V17" s="183" t="s">
        <v>2859</v>
      </c>
      <c r="W17" s="183" t="s">
        <v>2860</v>
      </c>
      <c r="X17" s="183" t="s">
        <v>2861</v>
      </c>
      <c r="Y17" s="472" t="s">
        <v>790</v>
      </c>
      <c r="Z17" s="472" t="s">
        <v>792</v>
      </c>
      <c r="AA17" s="472" t="s">
        <v>632</v>
      </c>
      <c r="AB17" s="472" t="s">
        <v>633</v>
      </c>
      <c r="AC17" s="472" t="s">
        <v>635</v>
      </c>
      <c r="AD17" s="472" t="s">
        <v>883</v>
      </c>
      <c r="AE17" s="472"/>
      <c r="AF17" s="472"/>
      <c r="AG17" s="183" t="s">
        <v>761</v>
      </c>
      <c r="AH17" s="472"/>
      <c r="AI17" s="472"/>
      <c r="AJ17" s="472" t="s">
        <v>891</v>
      </c>
      <c r="AK17" s="472" t="s">
        <v>892</v>
      </c>
      <c r="AL17" s="472" t="s">
        <v>443</v>
      </c>
      <c r="AM17" s="183" t="s">
        <v>767</v>
      </c>
      <c r="AN17" s="183" t="s">
        <v>918</v>
      </c>
      <c r="AO17" s="183" t="s">
        <v>919</v>
      </c>
      <c r="AP17" s="183" t="s">
        <v>1799</v>
      </c>
      <c r="AQ17" s="183" t="s">
        <v>768</v>
      </c>
      <c r="AR17" s="183" t="s">
        <v>2993</v>
      </c>
      <c r="AS17" s="183" t="s">
        <v>3003</v>
      </c>
      <c r="AT17" s="183" t="s">
        <v>1800</v>
      </c>
      <c r="AU17" s="183" t="s">
        <v>1801</v>
      </c>
      <c r="AV17" s="183" t="s">
        <v>771</v>
      </c>
      <c r="AW17" s="183" t="s">
        <v>1802</v>
      </c>
      <c r="AX17" s="183" t="s">
        <v>1803</v>
      </c>
      <c r="AY17" s="183" t="s">
        <v>1804</v>
      </c>
      <c r="AZ17" s="183" t="s">
        <v>1805</v>
      </c>
      <c r="BA17" s="183" t="s">
        <v>1806</v>
      </c>
      <c r="BB17" s="183" t="s">
        <v>1807</v>
      </c>
      <c r="BC17" s="183" t="s">
        <v>1808</v>
      </c>
      <c r="BD17" s="183" t="s">
        <v>1809</v>
      </c>
      <c r="BE17" s="183" t="s">
        <v>1810</v>
      </c>
      <c r="BF17" s="183" t="s">
        <v>1811</v>
      </c>
      <c r="BG17" s="183" t="s">
        <v>1833</v>
      </c>
      <c r="BH17" s="183" t="s">
        <v>1835</v>
      </c>
      <c r="BI17" s="183" t="s">
        <v>1812</v>
      </c>
      <c r="BJ17" s="183" t="s">
        <v>1813</v>
      </c>
      <c r="BK17" s="183" t="s">
        <v>62</v>
      </c>
      <c r="BL17" s="183" t="s">
        <v>71</v>
      </c>
      <c r="BM17" s="183" t="s">
        <v>1845</v>
      </c>
      <c r="BN17" s="183" t="s">
        <v>1814</v>
      </c>
      <c r="BO17" s="183" t="s">
        <v>1815</v>
      </c>
      <c r="BP17" s="183" t="s">
        <v>1816</v>
      </c>
      <c r="BQ17" s="183" t="s">
        <v>1817</v>
      </c>
      <c r="BR17" s="183" t="s">
        <v>1818</v>
      </c>
      <c r="BS17" s="183" t="s">
        <v>1819</v>
      </c>
      <c r="BT17" s="183" t="s">
        <v>1848</v>
      </c>
      <c r="BU17" s="183" t="s">
        <v>1855</v>
      </c>
      <c r="BV17" s="183" t="s">
        <v>1820</v>
      </c>
      <c r="BW17" s="183" t="s">
        <v>1821</v>
      </c>
      <c r="BX17" s="183" t="s">
        <v>1822</v>
      </c>
      <c r="BY17" s="183" t="s">
        <v>1823</v>
      </c>
      <c r="BZ17" s="183" t="s">
        <v>2416</v>
      </c>
      <c r="CA17" s="183" t="s">
        <v>1824</v>
      </c>
      <c r="CB17" s="183" t="s">
        <v>1825</v>
      </c>
      <c r="CC17" s="183" t="s">
        <v>1826</v>
      </c>
      <c r="CD17" s="183" t="s">
        <v>1827</v>
      </c>
      <c r="CE17" s="183" t="s">
        <v>1828</v>
      </c>
      <c r="CF17" s="183" t="s">
        <v>1829</v>
      </c>
      <c r="CG17" s="183" t="s">
        <v>1830</v>
      </c>
      <c r="CH17" s="183" t="s">
        <v>1831</v>
      </c>
      <c r="CI17" s="183" t="s">
        <v>2422</v>
      </c>
      <c r="CJ17" s="183" t="s">
        <v>2425</v>
      </c>
      <c r="CK17" s="183" t="s">
        <v>2427</v>
      </c>
      <c r="CL17" s="183" t="s">
        <v>2431</v>
      </c>
      <c r="CM17" s="183" t="s">
        <v>845</v>
      </c>
      <c r="CN17" s="183" t="s">
        <v>1847</v>
      </c>
      <c r="CO17" s="183" t="s">
        <v>1854</v>
      </c>
      <c r="CP17" s="183" t="s">
        <v>2421</v>
      </c>
      <c r="CQ17" s="183" t="s">
        <v>2424</v>
      </c>
      <c r="CR17" s="183" t="s">
        <v>3005</v>
      </c>
      <c r="CS17" s="185"/>
      <c r="CT17" s="185"/>
      <c r="CU17" s="185"/>
      <c r="CV17" s="185"/>
      <c r="CW17" s="185"/>
      <c r="CX17" s="185"/>
      <c r="CY17" s="185"/>
      <c r="CZ17" s="185"/>
      <c r="DA17" s="185"/>
      <c r="DB17" s="185"/>
      <c r="DC17" s="185"/>
      <c r="DD17" s="185"/>
      <c r="DE17" s="185"/>
      <c r="DF17" s="472"/>
      <c r="DG17" s="472"/>
      <c r="DH17" s="472"/>
      <c r="DI17" s="472"/>
      <c r="DJ17" s="472"/>
      <c r="DK17" s="472"/>
      <c r="DL17" s="472"/>
      <c r="DM17" s="472"/>
      <c r="DN17" s="472"/>
      <c r="DO17" s="472"/>
      <c r="DP17" s="472" t="s">
        <v>1802</v>
      </c>
      <c r="DQ17" s="472" t="s">
        <v>1803</v>
      </c>
      <c r="DR17" s="472" t="s">
        <v>1804</v>
      </c>
      <c r="DS17" s="472" t="s">
        <v>1805</v>
      </c>
      <c r="DT17" s="472" t="s">
        <v>1807</v>
      </c>
      <c r="DU17" s="472" t="s">
        <v>1808</v>
      </c>
      <c r="DV17" s="472" t="s">
        <v>71</v>
      </c>
      <c r="DW17" s="472" t="s">
        <v>1845</v>
      </c>
      <c r="DX17" s="472" t="s">
        <v>1814</v>
      </c>
      <c r="DY17" s="472" t="s">
        <v>1815</v>
      </c>
      <c r="DZ17" s="472" t="s">
        <v>1817</v>
      </c>
      <c r="EA17" s="472" t="s">
        <v>1818</v>
      </c>
      <c r="EB17" s="472" t="s">
        <v>1824</v>
      </c>
      <c r="EC17" s="472" t="s">
        <v>1825</v>
      </c>
      <c r="ED17" s="472" t="s">
        <v>1826</v>
      </c>
      <c r="EE17" s="472" t="s">
        <v>1827</v>
      </c>
      <c r="EF17" s="472" t="s">
        <v>1829</v>
      </c>
      <c r="EG17" s="472" t="s">
        <v>1830</v>
      </c>
      <c r="EH17" s="183"/>
      <c r="EI17" s="183"/>
      <c r="EJ17" s="472"/>
      <c r="EK17" s="472"/>
      <c r="EL17" s="472"/>
      <c r="EM17" s="472"/>
      <c r="EN17" s="472"/>
      <c r="EO17" s="472"/>
      <c r="EP17" s="472"/>
      <c r="EQ17" s="472"/>
      <c r="ER17" s="183"/>
      <c r="ES17" s="183"/>
      <c r="ET17" s="183"/>
      <c r="EU17" s="183"/>
      <c r="EV17" s="183"/>
    </row>
    <row r="18" spans="1:152" ht="24" customHeight="1">
      <c r="A18" s="181"/>
      <c r="B18" s="181"/>
      <c r="C18" s="181"/>
      <c r="E18" s="192"/>
      <c r="F18" s="953" t="s">
        <v>3141</v>
      </c>
      <c r="G18" s="956" t="s">
        <v>778</v>
      </c>
      <c r="H18" s="107" t="str">
        <f>IF(TEMPLATE_SPHERE="водоснабжения","",IF(TEMPLATE_SPHERE="водоотведения","Всего",""))</f>
        <v>Всего</v>
      </c>
      <c r="I18" s="177"/>
      <c r="J18" s="177"/>
      <c r="K18" s="177"/>
      <c r="L18" s="177"/>
      <c r="M18" s="177"/>
      <c r="N18" s="177"/>
      <c r="O18" s="177"/>
      <c r="P18" s="177"/>
      <c r="Q18" s="177"/>
      <c r="R18" s="177"/>
      <c r="S18" s="177"/>
      <c r="T18" s="177"/>
      <c r="U18" s="177"/>
      <c r="V18" s="177"/>
      <c r="W18" s="177"/>
      <c r="X18" s="177"/>
      <c r="Y18" s="398">
        <f>IF((AG18+AQ18)&gt;0,SUMIF($H$21:$H$25,$H18,EH$21:EH$25)/(AG18+AQ18),0)</f>
        <v>49.29</v>
      </c>
      <c r="Z18" s="398">
        <f>IF((AG18+AQ18)&gt;0,SUMIF($H$21:$H$25,$H18,EI$21:EI$25)/(AG18+AQ18),0)</f>
        <v>49.29</v>
      </c>
      <c r="AA18" s="398">
        <f>IF(AG18=0,0,(AC18*AG18+AJ18*IF(AL18&gt;AG18,AG18,AL18))/AG18)</f>
        <v>49.29</v>
      </c>
      <c r="AB18" s="398">
        <f>IF(AG18=0,0,(AD18*AG18+AK18*IF(AL18&gt;AG18,AG18,AL18))/AG18)</f>
        <v>49.29</v>
      </c>
      <c r="AC18" s="271">
        <f>IF(AG18&gt;0,(AR18*AV18+BG18*BK18+BV18*BZ18+AW18*BA18+BL18*BP18+CA18*CE18)/AG18,0)</f>
        <v>49.29</v>
      </c>
      <c r="AD18" s="271">
        <f>IF(AG18&gt;0,(AS18*AV18+BH18*BK18+BW18*BZ18+AX18*BA18+BM18*BP18+CB18*CE18)/AG18,0)</f>
        <v>49.29</v>
      </c>
      <c r="AE18" s="398"/>
      <c r="AF18" s="398"/>
      <c r="AG18" s="271">
        <f>SUMIF($H$21:$H$25,$H18,AG$21:AG$25)</f>
        <v>1086.7</v>
      </c>
      <c r="AH18" s="271"/>
      <c r="AI18" s="271"/>
      <c r="AJ18" s="271">
        <f>IF(AL18&gt;0,SUMIF($H$21:$H$25,$H18,ER$21:ER$25)/AL18,0)</f>
        <v>0</v>
      </c>
      <c r="AK18" s="271">
        <f>IF(AL18&gt;0,SUMIF($H$21:$H$25,$H18,ES$21:ES$25)/AL18,0)</f>
        <v>0</v>
      </c>
      <c r="AL18" s="271">
        <f>SUMIF($H$21:$H$25,$H18,AL$21:AL$25)</f>
        <v>0</v>
      </c>
      <c r="AM18" s="271">
        <f>IF(AQ18&gt;0,SUMIF($H$21:$H$25,$H18,DH$21:DH$25)/AQ18,0)</f>
        <v>0</v>
      </c>
      <c r="AN18" s="271">
        <f>IF(AQ18&gt;0,SUMIF($H$21:$H$25,$H18,DI$21:DI$25)/AQ18,0)</f>
        <v>0</v>
      </c>
      <c r="AO18" s="271">
        <f>IF(AQ18&gt;0,SUMIF($H$21:$H$25,$H18,EJ$21:EJ$25)/AQ18,0)</f>
        <v>0</v>
      </c>
      <c r="AP18" s="271">
        <f>IF(AQ18&gt;0,SUMIF($H$21:$H$25,$H18,EK$21:EK$25)/AQ18,0)</f>
        <v>0</v>
      </c>
      <c r="AQ18" s="271">
        <f>SUMIF($H$21:$H$25,$H18,AQ$21:AQ$25)</f>
        <v>0</v>
      </c>
      <c r="AR18" s="271">
        <f>IF(AV18&gt;0,SUMIF($H$21:$H$25,$H18,DJ$21:DJ$25)/AV18,0)</f>
        <v>49.29</v>
      </c>
      <c r="AS18" s="271">
        <f>IF(AV18&gt;0,SUMIF($H$21:$H$25,$H18,DK$21:DK$25)/AV18,0)</f>
        <v>49.29</v>
      </c>
      <c r="AT18" s="271">
        <f>IF(AV18&gt;0,SUMIF($H$21:$H$25,$H18,EL$21:EL$25)/AV18,0)</f>
        <v>0</v>
      </c>
      <c r="AU18" s="271">
        <f>IF(AV18&gt;0,SUMIF($H$21:$H$25,$H18,EM$21:EM$25)/AV18,0)</f>
        <v>0</v>
      </c>
      <c r="AV18" s="271">
        <f>SUMIF($H$21:$H$25,$H18,AV$21:AV$25)</f>
        <v>799.8</v>
      </c>
      <c r="AW18" s="271">
        <f>IF(BA18&gt;0,INDEX(DP18:EG18,MATCH(AW$17,DP$17:EG$17))/BA18,0)</f>
        <v>0</v>
      </c>
      <c r="AX18" s="271">
        <f>IF(BA18&gt;0,INDEX(DP18:EG18,MATCH(AX$17,DP$17:EG$17))/BA18,0)</f>
        <v>0</v>
      </c>
      <c r="AY18" s="271">
        <f>IF(BA18&gt;0,INDEX(DP18:EG18,MATCH(AY$17,DP$17:EG$17))/BA18,0)</f>
        <v>0</v>
      </c>
      <c r="AZ18" s="271">
        <f>IF(BA18&gt;0,INDEX(DP18:EG18,MATCH(AZ$17,DP$17:EG$17))/BA18,0)</f>
        <v>0</v>
      </c>
      <c r="BA18" s="271">
        <f t="array" ref="BA18">SUM(($H$21:$H$25=H18)*(AR$21:AR$25="")*BA$21:BA$25)</f>
        <v>0</v>
      </c>
      <c r="BB18" s="271">
        <f>IF(BD18&gt;0,INDEX(DP18:EG18,MATCH(BB$17,DP$17:EG$17))/BD18,0)</f>
        <v>0</v>
      </c>
      <c r="BC18" s="271">
        <f>IF(BD18&gt;0,INDEX(DP18:EG18,MATCH(BC$17,DP$17:EG$17))/BD18,0)</f>
        <v>0</v>
      </c>
      <c r="BD18" s="271">
        <f t="array" ref="BD18">SUM(($H$21:$H$25=H18)*(AR$21:AR$25="")*BD$21:BD$25)</f>
        <v>0</v>
      </c>
      <c r="BE18" s="271">
        <f>SUMIF($H$21:$H$25,$H18,BE$21:BE$25)</f>
        <v>0</v>
      </c>
      <c r="BF18" s="117"/>
      <c r="BG18" s="271">
        <f>IF(BK18&gt;0,SUMIF($H$21:$H$25,$H18,DL$21:DL$25)/BK18,0)</f>
        <v>49.29</v>
      </c>
      <c r="BH18" s="271">
        <f>IF(BK18&gt;0,SUMIF($H$21:$H$25,$H18,DM$21:DM$25)/BK18,0)</f>
        <v>49.29</v>
      </c>
      <c r="BI18" s="271">
        <f>IF(BK18&gt;0,SUMIF($H$21:$H$25,$H18,EN$21:EN$25)/BK18,0)</f>
        <v>0</v>
      </c>
      <c r="BJ18" s="271">
        <f>IF(BK18&gt;0,SUMIF($H$21:$H$25,$H18,EO$21:EO$25)/BK18,0)</f>
        <v>0</v>
      </c>
      <c r="BK18" s="271">
        <f>SUMIF($H$21:$H$25,$H18,BK$21:BK$25)</f>
        <v>49.599999999999994</v>
      </c>
      <c r="BL18" s="271">
        <f>IF(BP18&gt;0,INDEX(DP18:EG18,MATCH(BL$17,DP$17:EG$17))/BP18,0)</f>
        <v>0</v>
      </c>
      <c r="BM18" s="271">
        <f>IF(BP18&gt;0,INDEX(DP18:EG18,MATCH(BM$17,DP$17:EG$17))/BP18,0)</f>
        <v>0</v>
      </c>
      <c r="BN18" s="271">
        <f>IF(BP18&gt;0,INDEX(DP18:EG18,MATCH(BN$17,DP$17:EG$17))/BP18,0)</f>
        <v>0</v>
      </c>
      <c r="BO18" s="271">
        <f>IF(BP18&gt;0,INDEX(DP18:EG18,MATCH(BO$17,DP$17:EG$17))/BP18,0)</f>
        <v>0</v>
      </c>
      <c r="BP18" s="271">
        <f t="array" ref="BP18">SUM(($H$21:$H$25=H18)*(AR$21:AR$25="")*BP$21:BP$25)</f>
        <v>0</v>
      </c>
      <c r="BQ18" s="271">
        <f>IF(BS18&gt;0,INDEX(DP18:EG18,MATCH(BQ$17,DP$17:EG$17))/BS18,0)</f>
        <v>0</v>
      </c>
      <c r="BR18" s="271">
        <f>IF(BS18&gt;0,INDEX(DP18:EG18,MATCH(BR$17,DP$17:EG$17))/BS18,0)</f>
        <v>0</v>
      </c>
      <c r="BS18" s="271">
        <f t="array" ref="BS18">SUM(($H$21:$H$25=H18)*(AR$21:AR$25="")*BS$21:BS$25)</f>
        <v>0</v>
      </c>
      <c r="BT18" s="271">
        <f>SUMIF($H$21:$H$25,$H18,BT$21:BT$25)</f>
        <v>0</v>
      </c>
      <c r="BU18" s="117"/>
      <c r="BV18" s="271">
        <f>IF(BZ18&gt;0,SUMIF($H$21:$H$25,$H18,DN$21:DN$25)/BZ18,0)</f>
        <v>49.29</v>
      </c>
      <c r="BW18" s="271">
        <f>IF(BZ18&gt;0,SUMIF($H$21:$H$25,$H18,DO$21:DO$25)/BZ18,0)</f>
        <v>49.29</v>
      </c>
      <c r="BX18" s="271">
        <f>IF(BZ18&gt;0,SUMIF($H$21:$H$25,$H18,EP$21:EP$25)/BZ18,0)</f>
        <v>0</v>
      </c>
      <c r="BY18" s="271">
        <f>IF(BZ18&gt;0,SUMIF($H$21:$H$25,$H18,EQ$21:EQ$25)/BZ18,0)</f>
        <v>0</v>
      </c>
      <c r="BZ18" s="271">
        <f>SUMIF($H$21:$H$25,$H18,BZ$21:BZ$25)</f>
        <v>237.30000000000004</v>
      </c>
      <c r="CA18" s="271">
        <f>IF(CE18&gt;0,INDEX(DP18:EG18,MATCH(CA$17,DP$17:EG$17))/CE18,0)</f>
        <v>0</v>
      </c>
      <c r="CB18" s="271">
        <f>IF(CE18&gt;0,INDEX(DP18:EG18,MATCH(CB$17,DP$17:EG$17))/CE18,0)</f>
        <v>0</v>
      </c>
      <c r="CC18" s="271">
        <f>IF(CE18&gt;0,INDEX(DP18:EG18,MATCH(CC$17,DP$17:EG$17))/CE18,0)</f>
        <v>0</v>
      </c>
      <c r="CD18" s="271">
        <f>IF(CE18&gt;0,INDEX(DP18:EG18,MATCH(CD$17,DP$17:EG$17))/CE18,0)</f>
        <v>0</v>
      </c>
      <c r="CE18" s="271">
        <f t="array" ref="CE18">SUM(($H$21:$H$25=H18)*(AR$21:AR$25="")*CE$21:CE$25)</f>
        <v>0</v>
      </c>
      <c r="CF18" s="271">
        <f>IF(CH18&gt;0,INDEX(DP18:EG18,MATCH(CF$17,DP$17:EG$17))/CH18,0)</f>
        <v>0</v>
      </c>
      <c r="CG18" s="271">
        <f>IF(CH18&gt;0,INDEX(DP18:EG18,MATCH(CG$17,DP$17:EG$17))/CH18,0)</f>
        <v>0</v>
      </c>
      <c r="CH18" s="271">
        <f t="array" ref="CH18">SUM(($H$21:$H$25=H18)*(AR$21:AR$25="")*CH$21:CH$25)</f>
        <v>0</v>
      </c>
      <c r="CI18" s="271">
        <f>SUMIF($H$21:$H$25,$H18,CI$21:CI$25)</f>
        <v>0</v>
      </c>
      <c r="CJ18" s="117"/>
      <c r="CK18" s="271">
        <f>SUMIF($H$21:$H$25,$H18,CK$21:CK$25)</f>
        <v>0</v>
      </c>
      <c r="CL18" s="117"/>
      <c r="CM18" s="271">
        <f>SUMIF($H$21:$H$25,$H18,CM$21:CM$25)</f>
        <v>0</v>
      </c>
      <c r="CN18" s="271">
        <f>SUMIF($H$21:$H$25,$H18,CN$21:CN$25)</f>
        <v>0</v>
      </c>
      <c r="CO18" s="271">
        <f>SUMIF($H$21:$H$25,$H18,CO$21:CO$25)</f>
        <v>0</v>
      </c>
      <c r="CP18" s="271">
        <f>SUMIF($H$21:$H$25,$H18,CP$21:CP$25)</f>
        <v>0</v>
      </c>
      <c r="CQ18" s="271">
        <f>SUMIF($H$21:$H$25,$H18,CQ$21:CQ$25)</f>
        <v>0</v>
      </c>
      <c r="CR18" s="194"/>
      <c r="CS18" s="185"/>
      <c r="CT18" s="185"/>
      <c r="CU18" s="185"/>
      <c r="CV18" s="185"/>
      <c r="CW18" s="185"/>
      <c r="CX18" s="185"/>
      <c r="CY18" s="185"/>
      <c r="CZ18" s="185"/>
      <c r="DA18" s="185"/>
      <c r="DB18" s="185"/>
      <c r="DC18" s="185"/>
      <c r="DD18" s="185"/>
      <c r="DE18" s="185"/>
      <c r="DP18" s="480">
        <f t="shared" ref="DP18:EG18" si="0">SUMIF($H$21:$H$25,$H18,DP$21:DP$25)</f>
        <v>0</v>
      </c>
      <c r="DQ18" s="480">
        <f t="shared" si="0"/>
        <v>0</v>
      </c>
      <c r="DR18" s="480">
        <f t="shared" si="0"/>
        <v>0</v>
      </c>
      <c r="DS18" s="480">
        <f t="shared" si="0"/>
        <v>0</v>
      </c>
      <c r="DT18" s="480">
        <f t="shared" si="0"/>
        <v>0</v>
      </c>
      <c r="DU18" s="480">
        <f t="shared" si="0"/>
        <v>0</v>
      </c>
      <c r="DV18" s="480">
        <f t="shared" si="0"/>
        <v>0</v>
      </c>
      <c r="DW18" s="480">
        <f t="shared" si="0"/>
        <v>0</v>
      </c>
      <c r="DX18" s="480">
        <f t="shared" si="0"/>
        <v>0</v>
      </c>
      <c r="DY18" s="480">
        <f t="shared" si="0"/>
        <v>0</v>
      </c>
      <c r="DZ18" s="480">
        <f t="shared" si="0"/>
        <v>0</v>
      </c>
      <c r="EA18" s="480">
        <f t="shared" si="0"/>
        <v>0</v>
      </c>
      <c r="EB18" s="480">
        <f t="shared" si="0"/>
        <v>0</v>
      </c>
      <c r="EC18" s="480">
        <f t="shared" si="0"/>
        <v>0</v>
      </c>
      <c r="ED18" s="480">
        <f t="shared" si="0"/>
        <v>0</v>
      </c>
      <c r="EE18" s="480">
        <f t="shared" si="0"/>
        <v>0</v>
      </c>
      <c r="EF18" s="480">
        <f t="shared" si="0"/>
        <v>0</v>
      </c>
      <c r="EG18" s="480">
        <f t="shared" si="0"/>
        <v>0</v>
      </c>
      <c r="EH18" s="162"/>
      <c r="EI18" s="162"/>
      <c r="EJ18" s="162"/>
      <c r="EK18" s="162"/>
      <c r="EL18" s="162"/>
      <c r="EM18" s="162"/>
      <c r="EN18" s="162"/>
      <c r="EO18" s="162"/>
      <c r="EP18" s="162"/>
      <c r="EQ18" s="162"/>
      <c r="ER18" s="162"/>
      <c r="ES18" s="162"/>
    </row>
    <row r="19" spans="1:152" ht="0.75" customHeight="1">
      <c r="A19" s="181"/>
      <c r="B19" s="181"/>
      <c r="C19" s="181"/>
      <c r="E19" s="192"/>
      <c r="F19" s="954"/>
      <c r="G19" s="957"/>
      <c r="H19" s="107" t="str">
        <f>IF(TEMPLATE_SPHERE="водоснабжения","Вода питьевого качества","")</f>
        <v/>
      </c>
      <c r="I19" s="177"/>
      <c r="J19" s="177"/>
      <c r="K19" s="177"/>
      <c r="L19" s="177"/>
      <c r="M19" s="177"/>
      <c r="N19" s="177"/>
      <c r="O19" s="177"/>
      <c r="P19" s="177"/>
      <c r="Q19" s="177"/>
      <c r="R19" s="177"/>
      <c r="S19" s="177"/>
      <c r="T19" s="177"/>
      <c r="U19" s="177"/>
      <c r="V19" s="177"/>
      <c r="W19" s="177"/>
      <c r="X19" s="177"/>
      <c r="Y19" s="398"/>
      <c r="Z19" s="398"/>
      <c r="AA19" s="398"/>
      <c r="AB19" s="398"/>
      <c r="AC19" s="271"/>
      <c r="AD19" s="271"/>
      <c r="AE19" s="398"/>
      <c r="AF19" s="398"/>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117"/>
      <c r="BG19" s="271"/>
      <c r="BH19" s="271"/>
      <c r="BI19" s="271"/>
      <c r="BJ19" s="271"/>
      <c r="BK19" s="271"/>
      <c r="BL19" s="271"/>
      <c r="BM19" s="271"/>
      <c r="BN19" s="271"/>
      <c r="BO19" s="271"/>
      <c r="BP19" s="271"/>
      <c r="BQ19" s="271"/>
      <c r="BR19" s="271"/>
      <c r="BS19" s="271"/>
      <c r="BT19" s="271"/>
      <c r="BU19" s="117"/>
      <c r="BV19" s="271"/>
      <c r="BW19" s="271"/>
      <c r="BX19" s="271"/>
      <c r="BY19" s="271"/>
      <c r="BZ19" s="271"/>
      <c r="CA19" s="271"/>
      <c r="CB19" s="271"/>
      <c r="CC19" s="271"/>
      <c r="CD19" s="271"/>
      <c r="CE19" s="271"/>
      <c r="CF19" s="271"/>
      <c r="CG19" s="271"/>
      <c r="CH19" s="271"/>
      <c r="CI19" s="271"/>
      <c r="CJ19" s="117"/>
      <c r="CK19" s="271"/>
      <c r="CL19" s="117"/>
      <c r="CM19" s="271"/>
      <c r="CN19" s="271"/>
      <c r="CO19" s="271"/>
      <c r="CP19" s="271"/>
      <c r="CQ19" s="271"/>
      <c r="CR19" s="194"/>
      <c r="CS19" s="185"/>
      <c r="CT19" s="185"/>
      <c r="CU19" s="185"/>
      <c r="CV19" s="185"/>
      <c r="CW19" s="185"/>
      <c r="CX19" s="185"/>
      <c r="CY19" s="185"/>
      <c r="CZ19" s="185"/>
      <c r="DA19" s="185"/>
      <c r="DB19" s="185"/>
      <c r="DC19" s="185"/>
      <c r="DD19" s="185"/>
      <c r="DE19" s="185"/>
      <c r="DP19" s="480"/>
      <c r="DQ19" s="480"/>
      <c r="DR19" s="480"/>
      <c r="DS19" s="480"/>
      <c r="DT19" s="480"/>
      <c r="DU19" s="480"/>
      <c r="DV19" s="480"/>
      <c r="DW19" s="480"/>
      <c r="DX19" s="480"/>
      <c r="DY19" s="480"/>
      <c r="DZ19" s="480"/>
      <c r="EA19" s="480"/>
      <c r="EB19" s="480"/>
      <c r="EC19" s="480"/>
      <c r="ED19" s="480"/>
      <c r="EE19" s="480"/>
      <c r="EF19" s="480"/>
      <c r="EG19" s="480"/>
      <c r="EH19" s="162"/>
      <c r="EI19" s="162"/>
      <c r="EJ19" s="162"/>
      <c r="EK19" s="162"/>
      <c r="EL19" s="162"/>
      <c r="EM19" s="162"/>
      <c r="EN19" s="162"/>
      <c r="EO19" s="162"/>
      <c r="EP19" s="162"/>
      <c r="EQ19" s="162"/>
      <c r="ER19" s="162"/>
      <c r="ES19" s="162"/>
    </row>
    <row r="20" spans="1:152" ht="0.75" customHeight="1">
      <c r="A20" s="181"/>
      <c r="B20" s="181"/>
      <c r="C20" s="181"/>
      <c r="E20" s="192"/>
      <c r="F20" s="955"/>
      <c r="G20" s="958"/>
      <c r="H20" s="107" t="str">
        <f>IF(TEMPLATE_SPHERE="водоснабжения","Вода технического качества","")</f>
        <v/>
      </c>
      <c r="I20" s="177"/>
      <c r="J20" s="177"/>
      <c r="K20" s="177"/>
      <c r="L20" s="177"/>
      <c r="M20" s="177"/>
      <c r="N20" s="177"/>
      <c r="O20" s="177"/>
      <c r="P20" s="177"/>
      <c r="Q20" s="177"/>
      <c r="R20" s="177"/>
      <c r="S20" s="177"/>
      <c r="T20" s="177"/>
      <c r="U20" s="177"/>
      <c r="V20" s="177"/>
      <c r="W20" s="177"/>
      <c r="X20" s="177"/>
      <c r="Y20" s="398"/>
      <c r="Z20" s="398"/>
      <c r="AA20" s="398"/>
      <c r="AB20" s="398"/>
      <c r="AC20" s="271"/>
      <c r="AD20" s="271"/>
      <c r="AE20" s="398"/>
      <c r="AF20" s="398"/>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117"/>
      <c r="BG20" s="271"/>
      <c r="BH20" s="271"/>
      <c r="BI20" s="271"/>
      <c r="BJ20" s="271"/>
      <c r="BK20" s="271"/>
      <c r="BL20" s="271"/>
      <c r="BM20" s="271"/>
      <c r="BN20" s="271"/>
      <c r="BO20" s="271"/>
      <c r="BP20" s="271"/>
      <c r="BQ20" s="271"/>
      <c r="BR20" s="271"/>
      <c r="BS20" s="271"/>
      <c r="BT20" s="271"/>
      <c r="BU20" s="117"/>
      <c r="BV20" s="271"/>
      <c r="BW20" s="271"/>
      <c r="BX20" s="271"/>
      <c r="BY20" s="271"/>
      <c r="BZ20" s="271"/>
      <c r="CA20" s="271"/>
      <c r="CB20" s="271"/>
      <c r="CC20" s="271"/>
      <c r="CD20" s="271"/>
      <c r="CE20" s="271"/>
      <c r="CF20" s="271"/>
      <c r="CG20" s="271"/>
      <c r="CH20" s="271"/>
      <c r="CI20" s="271"/>
      <c r="CJ20" s="117"/>
      <c r="CK20" s="271"/>
      <c r="CL20" s="117"/>
      <c r="CM20" s="271"/>
      <c r="CN20" s="271"/>
      <c r="CO20" s="271"/>
      <c r="CP20" s="271"/>
      <c r="CQ20" s="271"/>
      <c r="CR20" s="194"/>
      <c r="CS20" s="185"/>
      <c r="CT20" s="185"/>
      <c r="CU20" s="185"/>
      <c r="CV20" s="185"/>
      <c r="CW20" s="185"/>
      <c r="CX20" s="185"/>
      <c r="CY20" s="185"/>
      <c r="CZ20" s="185"/>
      <c r="DA20" s="185"/>
      <c r="DB20" s="185"/>
      <c r="DC20" s="185"/>
      <c r="DD20" s="185"/>
      <c r="DE20" s="185"/>
      <c r="DP20" s="480"/>
      <c r="DQ20" s="480"/>
      <c r="DR20" s="480"/>
      <c r="DS20" s="480"/>
      <c r="DT20" s="480"/>
      <c r="DU20" s="480"/>
      <c r="DV20" s="480"/>
      <c r="DW20" s="480"/>
      <c r="DX20" s="480"/>
      <c r="DY20" s="480"/>
      <c r="DZ20" s="480"/>
      <c r="EA20" s="480"/>
      <c r="EB20" s="480"/>
      <c r="EC20" s="480"/>
      <c r="ED20" s="480"/>
      <c r="EE20" s="480"/>
      <c r="EF20" s="480"/>
      <c r="EG20" s="480"/>
      <c r="EH20" s="162"/>
      <c r="EI20" s="162"/>
      <c r="EJ20" s="162"/>
      <c r="EK20" s="162"/>
      <c r="EL20" s="162"/>
      <c r="EM20" s="162"/>
      <c r="EN20" s="162"/>
      <c r="EO20" s="162"/>
      <c r="EP20" s="162"/>
      <c r="EQ20" s="162"/>
      <c r="ER20" s="162"/>
      <c r="ES20" s="162"/>
    </row>
    <row r="21" spans="1:152" ht="12" hidden="1" customHeight="1">
      <c r="A21" s="181"/>
      <c r="B21" s="181"/>
      <c r="C21" s="181"/>
      <c r="E21" s="192"/>
      <c r="F21" s="186">
        <v>0</v>
      </c>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96"/>
      <c r="CS21" s="185"/>
      <c r="CT21" s="185"/>
      <c r="CU21" s="185"/>
      <c r="CV21" s="185"/>
      <c r="CW21" s="185"/>
      <c r="CX21" s="185"/>
      <c r="CY21" s="185"/>
      <c r="CZ21" s="185"/>
      <c r="DA21" s="185"/>
      <c r="DB21" s="185"/>
      <c r="DC21" s="185"/>
      <c r="DD21" s="185"/>
      <c r="DE21" s="185"/>
      <c r="DP21" s="78"/>
      <c r="DQ21" s="78"/>
      <c r="DR21" s="78"/>
      <c r="DS21" s="78"/>
      <c r="DT21" s="78"/>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row>
    <row r="22" spans="1:152" s="60" customFormat="1">
      <c r="B22" s="38"/>
      <c r="C22" s="497" t="str">
        <f>F22 &amp; ".0"</f>
        <v>1.0</v>
      </c>
      <c r="D22" s="471" t="str">
        <f>IF('Список организаций'!$M$16="","Не определено",'Список организаций'!$M$16)</f>
        <v>нет</v>
      </c>
      <c r="E22" s="470" t="s">
        <v>719</v>
      </c>
      <c r="F22" s="833">
        <v>1</v>
      </c>
      <c r="G22" s="853" t="str">
        <f>IF('Список организаций'!$I$16="","Не определено",'Список организаций'!$I$16)</f>
        <v>МУП СП "Село Булава" Булавинское ТЭП"</v>
      </c>
      <c r="H22" s="584" t="str">
        <f>IF(TEMPLATE_SPHERE="водоснабжения","",IF(TEMPLATE_SPHERE="водоотведения","Всего",""))</f>
        <v>Всего</v>
      </c>
      <c r="I22" s="393"/>
      <c r="J22" s="825" t="s">
        <v>3276</v>
      </c>
      <c r="K22" s="824"/>
      <c r="L22" s="824"/>
      <c r="M22" s="824"/>
      <c r="N22" s="824"/>
      <c r="O22" s="824"/>
      <c r="P22" s="824"/>
      <c r="Q22" s="824"/>
      <c r="R22" s="824"/>
      <c r="S22" s="824"/>
      <c r="T22" s="824"/>
      <c r="U22" s="824"/>
      <c r="V22" s="824"/>
      <c r="W22" s="824"/>
      <c r="X22" s="824"/>
      <c r="Y22" s="737">
        <v>49.29</v>
      </c>
      <c r="Z22" s="398">
        <f>IF($D22="нет",Y22,Y22*1.18)</f>
        <v>49.29</v>
      </c>
      <c r="AA22" s="398">
        <f>IF(AG22=0,0,(AC22*AG22+AJ22*IF(AL22&gt;AG22,AG22,AL22))/AG22)</f>
        <v>49.29</v>
      </c>
      <c r="AB22" s="398">
        <f>IF($D22="нет",AA22,AA22*1.18)</f>
        <v>49.29</v>
      </c>
      <c r="AC22" s="398">
        <f>IF(AG22&gt;0,(AR22*AV22+BG22*BK22+BV22*BZ22)/AG22,0)</f>
        <v>49.29</v>
      </c>
      <c r="AD22" s="398">
        <f>IF($D22="нет",AC22,AC22*1.18)</f>
        <v>49.29</v>
      </c>
      <c r="AE22" s="585"/>
      <c r="AF22" s="392"/>
      <c r="AG22" s="398">
        <f>AV22+BK22+BZ22</f>
        <v>1086.7</v>
      </c>
      <c r="AH22" s="585"/>
      <c r="AI22" s="392"/>
      <c r="AJ22" s="399"/>
      <c r="AK22" s="398">
        <f>IF($D22="нет",AJ22,AJ22*1.18)</f>
        <v>0</v>
      </c>
      <c r="AL22" s="399"/>
      <c r="AM22" s="399"/>
      <c r="AN22" s="398">
        <f>IF($D22="нет",AM22,AM22*1.18)</f>
        <v>0</v>
      </c>
      <c r="AO22" s="399"/>
      <c r="AP22" s="398">
        <f>IF($D22="нет",AO22,AO22*1.18)</f>
        <v>0</v>
      </c>
      <c r="AQ22" s="633">
        <f>IF(TARIFF_SETUP_METHOD_CODE="BY_MONTHS",SUMIF(БПр!$BF$129:$BF$270,$C22&amp;"-"&amp;$H$3,БПр!P$129:P$270),IF(TARIFF_SETUP_METHOD_CODE="BY_PSEUDO_YEARS",SUMIF(БПр!$F$129:$F$270,$C22,БПр!P$129:P$270),0))</f>
        <v>0</v>
      </c>
      <c r="AR22" s="737">
        <v>49.29</v>
      </c>
      <c r="AS22" s="398">
        <f>IF($D22="нет",AR22,AR22*1.18)</f>
        <v>49.29</v>
      </c>
      <c r="AT22" s="737"/>
      <c r="AU22" s="398">
        <f>IF($D22="нет",AT22,AT22*1.18)</f>
        <v>0</v>
      </c>
      <c r="AV22" s="633">
        <f>IF(TARIFF_SETUP_METHOD_CODE="BY_MONTHS",SUMIF(БПр!$BF$129:$BF$270,$C22&amp;"-"&amp;$H$3,БПр!M$129:M$270),IF(TARIFF_SETUP_METHOD_CODE="BY_PSEUDO_YEARS",SUMIF(БПр!$F$129:$F$270,$C22,БПр!M$129:M$270),0))</f>
        <v>799.8</v>
      </c>
      <c r="AW22" s="117"/>
      <c r="AX22" s="117"/>
      <c r="AY22" s="117"/>
      <c r="AZ22" s="117"/>
      <c r="BA22" s="117"/>
      <c r="BB22" s="117"/>
      <c r="BC22" s="117"/>
      <c r="BD22" s="117"/>
      <c r="BE22" s="399"/>
      <c r="BF22" s="398">
        <f>IF(AV22=0,0,1000*BE22/AV22)</f>
        <v>0</v>
      </c>
      <c r="BG22" s="737">
        <v>49.29</v>
      </c>
      <c r="BH22" s="398">
        <f>IF($D22="нет",BG22,BG22*1.18)</f>
        <v>49.29</v>
      </c>
      <c r="BI22" s="399"/>
      <c r="BJ22" s="398">
        <f>IF($D22="нет",BI22,BI22*1.18)</f>
        <v>0</v>
      </c>
      <c r="BK22" s="633">
        <f>IF(TARIFF_SETUP_METHOD_CODE="BY_MONTHS",SUMIF(БПр!$BF$129:$BF$270,$C22&amp;"-"&amp;$H$3,БПр!N$129:N$270),IF(TARIFF_SETUP_METHOD_CODE="BY_PSEUDO_YEARS",SUMIF(БПр!$F$129:$F$270,$C22,БПр!N$129:N$270),0))</f>
        <v>49.599999999999994</v>
      </c>
      <c r="BL22" s="117"/>
      <c r="BM22" s="117"/>
      <c r="BN22" s="117"/>
      <c r="BO22" s="117"/>
      <c r="BP22" s="117"/>
      <c r="BQ22" s="117"/>
      <c r="BR22" s="117"/>
      <c r="BS22" s="117"/>
      <c r="BT22" s="399"/>
      <c r="BU22" s="398">
        <f>IF(BK22=0,0,1000*BT22/BK22)</f>
        <v>0</v>
      </c>
      <c r="BV22" s="737">
        <v>49.29</v>
      </c>
      <c r="BW22" s="398">
        <f>IF($D22="нет",BV22,BV22*1.18)</f>
        <v>49.29</v>
      </c>
      <c r="BX22" s="399"/>
      <c r="BY22" s="398">
        <f>IF($D22="нет",BX22,BX22*1.18)</f>
        <v>0</v>
      </c>
      <c r="BZ22" s="633">
        <f>IF(TARIFF_SETUP_METHOD_CODE="BY_MONTHS",SUMIF(БПр!$BF$129:$BF$270,$C22&amp;"-"&amp;$H$3,БПр!O$129:O$270),IF(TARIFF_SETUP_METHOD_CODE="BY_PSEUDO_YEARS",SUMIF(БПр!$F$129:$F$270,$C22,БПр!O$129:O$270),0))</f>
        <v>237.30000000000004</v>
      </c>
      <c r="CA22" s="117"/>
      <c r="CB22" s="117"/>
      <c r="CC22" s="117"/>
      <c r="CD22" s="117"/>
      <c r="CE22" s="117"/>
      <c r="CF22" s="117"/>
      <c r="CG22" s="117"/>
      <c r="CH22" s="117"/>
      <c r="CI22" s="399"/>
      <c r="CJ22" s="398">
        <f>IF(BZ22=0,0,1000*CI22/BZ22)</f>
        <v>0</v>
      </c>
      <c r="CK22" s="398">
        <f>BE22+BT22+CI22</f>
        <v>0</v>
      </c>
      <c r="CL22" s="335">
        <f>SUM(CN22:CQ22)</f>
        <v>0</v>
      </c>
      <c r="CM22" s="398">
        <f>SUMIF(CN22:CQ22,"&gt;0")</f>
        <v>0</v>
      </c>
      <c r="CN22" s="398">
        <f>(Y22-AM22)*AQ22/1000</f>
        <v>0</v>
      </c>
      <c r="CO22" s="398">
        <f>(Y22-(AR22+BF22))*AV22/1000</f>
        <v>0</v>
      </c>
      <c r="CP22" s="398">
        <f>(Y22-(BG22+BU22))*BK22/1000</f>
        <v>0</v>
      </c>
      <c r="CQ22" s="398">
        <f>(Y22-(BV22+CJ22))*BZ22/1000</f>
        <v>0</v>
      </c>
      <c r="CR22" s="587"/>
      <c r="CS22"/>
      <c r="CT22"/>
      <c r="CU22"/>
      <c r="CV22"/>
      <c r="CW22"/>
      <c r="CX22"/>
      <c r="CY22"/>
      <c r="CZ22"/>
      <c r="DA22"/>
      <c r="DB22"/>
      <c r="DC22"/>
      <c r="DD22"/>
      <c r="DE22"/>
      <c r="DF22" s="80">
        <f>AH22*AG22</f>
        <v>0</v>
      </c>
      <c r="DG22" s="80">
        <f>AI22*AG22</f>
        <v>0</v>
      </c>
      <c r="DH22" s="80">
        <f>AM22*AQ22</f>
        <v>0</v>
      </c>
      <c r="DI22" s="80">
        <f>AN22*AQ22</f>
        <v>0</v>
      </c>
      <c r="DJ22" s="80">
        <f>AR22*AV22</f>
        <v>39422.142</v>
      </c>
      <c r="DK22" s="80">
        <f>AS22*AV22</f>
        <v>39422.142</v>
      </c>
      <c r="DL22" s="80">
        <f>BG22*BK22</f>
        <v>2444.7839999999997</v>
      </c>
      <c r="DM22" s="80">
        <f>BH22*BK22</f>
        <v>2444.7839999999997</v>
      </c>
      <c r="DN22" s="80">
        <f>BV22*BZ22</f>
        <v>11696.517000000002</v>
      </c>
      <c r="DO22" s="80">
        <f>BW22*BZ22</f>
        <v>11696.517000000002</v>
      </c>
      <c r="DP22" s="382">
        <f>AW22*BA22</f>
        <v>0</v>
      </c>
      <c r="DQ22" s="382">
        <f>AX22*BA22</f>
        <v>0</v>
      </c>
      <c r="DR22" s="382">
        <f>AY22*BA22</f>
        <v>0</v>
      </c>
      <c r="DS22" s="382">
        <f>AZ22*BA22</f>
        <v>0</v>
      </c>
      <c r="DT22" s="382">
        <f>BB22*BD22</f>
        <v>0</v>
      </c>
      <c r="DU22" s="382">
        <f>BC22*BD22</f>
        <v>0</v>
      </c>
      <c r="DV22" s="382">
        <f>BL22*BP22</f>
        <v>0</v>
      </c>
      <c r="DW22" s="382">
        <f>BM22*BP22</f>
        <v>0</v>
      </c>
      <c r="DX22" s="382">
        <f>BN22*BP22</f>
        <v>0</v>
      </c>
      <c r="DY22" s="382">
        <f>BO22*BP22</f>
        <v>0</v>
      </c>
      <c r="DZ22" s="382">
        <f>BQ22*BS22</f>
        <v>0</v>
      </c>
      <c r="EA22" s="382">
        <f>BR22*BS22</f>
        <v>0</v>
      </c>
      <c r="EB22" s="382">
        <f>CA22*CE22</f>
        <v>0</v>
      </c>
      <c r="EC22" s="382">
        <f>CB22*CE22</f>
        <v>0</v>
      </c>
      <c r="ED22" s="382">
        <f>CC22*CE22</f>
        <v>0</v>
      </c>
      <c r="EE22" s="382">
        <f>CD22*CE22</f>
        <v>0</v>
      </c>
      <c r="EF22" s="382">
        <f>CF22*CH22</f>
        <v>0</v>
      </c>
      <c r="EG22" s="382">
        <f>CG22*CH22</f>
        <v>0</v>
      </c>
      <c r="EH22" s="383">
        <f>Y22*(AG22+AQ22)</f>
        <v>53563.442999999999</v>
      </c>
      <c r="EI22" s="383">
        <f>Z22*(AG22+AQ22)</f>
        <v>53563.442999999999</v>
      </c>
      <c r="EJ22" s="80">
        <f>AO22*AQ22</f>
        <v>0</v>
      </c>
      <c r="EK22" s="80">
        <f>AP22*AQ22</f>
        <v>0</v>
      </c>
      <c r="EL22" s="80">
        <f>AT22*AV22</f>
        <v>0</v>
      </c>
      <c r="EM22" s="80">
        <f>AU22*AV22</f>
        <v>0</v>
      </c>
      <c r="EN22" s="80">
        <f>BI22*BK22</f>
        <v>0</v>
      </c>
      <c r="EO22" s="80">
        <f>BJ22*BK22</f>
        <v>0</v>
      </c>
      <c r="EP22" s="80">
        <f>BX22*BZ22</f>
        <v>0</v>
      </c>
      <c r="EQ22" s="80">
        <f>BY22*BZ22</f>
        <v>0</v>
      </c>
      <c r="ER22" s="383">
        <f>AJ22*AL22</f>
        <v>0</v>
      </c>
      <c r="ES22" s="383">
        <f>AK22*AL22</f>
        <v>0</v>
      </c>
      <c r="ET22" s="383">
        <f>IF(AV22+BA22&gt;0,(AR22*AV22+AW22*BA22)/(AV22+BA22),0)</f>
        <v>49.29</v>
      </c>
      <c r="EU22" s="383">
        <f>IF(BK22+BP22&gt;0,(BG22*BK22+BL22*BP22)/(BK22+BP22),0)</f>
        <v>49.29</v>
      </c>
      <c r="EV22" s="383">
        <f>IF(BZ22+CE22&gt;0,(BV22*BZ22+CA22*CE22)/(BZ22+CE22),0)</f>
        <v>49.29</v>
      </c>
    </row>
    <row r="23" spans="1:152" s="60" customFormat="1" ht="11.25" hidden="1" customHeight="1">
      <c r="B23" s="38"/>
      <c r="C23" s="497" t="str">
        <f>F22 &amp; ".1"</f>
        <v>1.1</v>
      </c>
      <c r="D23"/>
      <c r="E23"/>
      <c r="F23" s="833"/>
      <c r="G23" s="835"/>
      <c r="H23" s="584"/>
      <c r="I23" s="393"/>
      <c r="J23" s="825"/>
      <c r="K23" s="824"/>
      <c r="L23" s="824"/>
      <c r="M23" s="824"/>
      <c r="N23" s="824"/>
      <c r="O23" s="824"/>
      <c r="P23" s="824"/>
      <c r="Q23" s="824"/>
      <c r="R23" s="824"/>
      <c r="S23" s="824"/>
      <c r="T23" s="824"/>
      <c r="U23" s="824"/>
      <c r="V23" s="824"/>
      <c r="W23" s="824"/>
      <c r="X23" s="824"/>
      <c r="Y23" s="585"/>
      <c r="Z23" s="392"/>
      <c r="AA23" s="585"/>
      <c r="AB23" s="392"/>
      <c r="AC23" s="585"/>
      <c r="AD23" s="392"/>
      <c r="AE23" s="585"/>
      <c r="AF23" s="392"/>
      <c r="AG23" s="585"/>
      <c r="AH23" s="585"/>
      <c r="AI23" s="392"/>
      <c r="AJ23" s="585"/>
      <c r="AK23" s="392"/>
      <c r="AL23" s="585"/>
      <c r="AM23" s="585"/>
      <c r="AN23" s="392"/>
      <c r="AO23" s="585"/>
      <c r="AP23" s="392"/>
      <c r="AQ23" s="585"/>
      <c r="AR23" s="585"/>
      <c r="AS23" s="392"/>
      <c r="AT23" s="585"/>
      <c r="AU23" s="392"/>
      <c r="AV23" s="585"/>
      <c r="AW23" s="585"/>
      <c r="AX23" s="392"/>
      <c r="AY23" s="585"/>
      <c r="AZ23" s="392"/>
      <c r="BA23" s="585"/>
      <c r="BB23" s="585"/>
      <c r="BC23" s="392"/>
      <c r="BD23" s="585"/>
      <c r="BE23" s="585"/>
      <c r="BF23" s="585"/>
      <c r="BG23" s="585"/>
      <c r="BH23" s="392"/>
      <c r="BI23" s="585"/>
      <c r="BJ23" s="392"/>
      <c r="BK23" s="585"/>
      <c r="BL23" s="585"/>
      <c r="BM23" s="392"/>
      <c r="BN23" s="585"/>
      <c r="BO23" s="392"/>
      <c r="BP23" s="585"/>
      <c r="BQ23" s="585"/>
      <c r="BR23" s="392"/>
      <c r="BS23" s="585"/>
      <c r="BT23" s="585"/>
      <c r="BU23" s="585"/>
      <c r="BV23" s="585"/>
      <c r="BW23" s="392"/>
      <c r="BX23" s="585"/>
      <c r="BY23" s="392"/>
      <c r="BZ23" s="585"/>
      <c r="CA23" s="585"/>
      <c r="CB23" s="392"/>
      <c r="CC23" s="585"/>
      <c r="CD23" s="392"/>
      <c r="CE23" s="585"/>
      <c r="CF23" s="585"/>
      <c r="CG23" s="392"/>
      <c r="CH23" s="585"/>
      <c r="CI23" s="585"/>
      <c r="CJ23" s="585"/>
      <c r="CK23" s="585"/>
      <c r="CL23" s="585"/>
      <c r="CM23" s="585"/>
      <c r="CN23" s="585"/>
      <c r="CO23" s="585"/>
      <c r="CP23" s="585"/>
      <c r="CQ23" s="585"/>
      <c r="CR23" s="585"/>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row>
    <row r="24" spans="1:152" s="60" customFormat="1" ht="11.25" hidden="1" customHeight="1">
      <c r="C24" s="497" t="str">
        <f>F22 &amp; ".2"</f>
        <v>1.2</v>
      </c>
      <c r="D24"/>
      <c r="E24"/>
      <c r="F24" s="833"/>
      <c r="G24" s="835"/>
      <c r="H24" s="584"/>
      <c r="I24" s="393"/>
      <c r="J24" s="825"/>
      <c r="K24" s="824"/>
      <c r="L24" s="824"/>
      <c r="M24" s="824"/>
      <c r="N24" s="824"/>
      <c r="O24" s="824"/>
      <c r="P24" s="824"/>
      <c r="Q24" s="824"/>
      <c r="R24" s="824"/>
      <c r="S24" s="824"/>
      <c r="T24" s="824"/>
      <c r="U24" s="824"/>
      <c r="V24" s="824"/>
      <c r="W24" s="824"/>
      <c r="X24" s="824"/>
      <c r="Y24" s="585"/>
      <c r="Z24" s="392"/>
      <c r="AA24" s="585"/>
      <c r="AB24" s="392"/>
      <c r="AC24" s="585"/>
      <c r="AD24" s="392"/>
      <c r="AE24" s="585"/>
      <c r="AF24" s="392"/>
      <c r="AG24" s="585"/>
      <c r="AH24" s="585"/>
      <c r="AI24" s="392"/>
      <c r="AJ24" s="585"/>
      <c r="AK24" s="392"/>
      <c r="AL24" s="585"/>
      <c r="AM24" s="585"/>
      <c r="AN24" s="392"/>
      <c r="AO24" s="585"/>
      <c r="AP24" s="392"/>
      <c r="AQ24" s="585"/>
      <c r="AR24" s="585"/>
      <c r="AS24" s="392"/>
      <c r="AT24" s="585"/>
      <c r="AU24" s="392"/>
      <c r="AV24" s="585"/>
      <c r="AW24" s="585"/>
      <c r="AX24" s="392"/>
      <c r="AY24" s="585"/>
      <c r="AZ24" s="392"/>
      <c r="BA24" s="585"/>
      <c r="BB24" s="585"/>
      <c r="BC24" s="392"/>
      <c r="BD24" s="585"/>
      <c r="BE24" s="585"/>
      <c r="BF24" s="585"/>
      <c r="BG24" s="585"/>
      <c r="BH24" s="392"/>
      <c r="BI24" s="585"/>
      <c r="BJ24" s="392"/>
      <c r="BK24" s="585"/>
      <c r="BL24" s="585"/>
      <c r="BM24" s="392"/>
      <c r="BN24" s="585"/>
      <c r="BO24" s="392"/>
      <c r="BP24" s="585"/>
      <c r="BQ24" s="585"/>
      <c r="BR24" s="392"/>
      <c r="BS24" s="585"/>
      <c r="BT24" s="585"/>
      <c r="BU24" s="585"/>
      <c r="BV24" s="585"/>
      <c r="BW24" s="392"/>
      <c r="BX24" s="585"/>
      <c r="BY24" s="392"/>
      <c r="BZ24" s="585"/>
      <c r="CA24" s="585"/>
      <c r="CB24" s="392"/>
      <c r="CC24" s="585"/>
      <c r="CD24" s="392"/>
      <c r="CE24" s="585"/>
      <c r="CF24" s="585"/>
      <c r="CG24" s="392"/>
      <c r="CH24" s="585"/>
      <c r="CI24" s="585"/>
      <c r="CJ24" s="585"/>
      <c r="CK24" s="585"/>
      <c r="CL24" s="585"/>
      <c r="CM24" s="585"/>
      <c r="CN24" s="585"/>
      <c r="CO24" s="585"/>
      <c r="CP24" s="585"/>
      <c r="CQ24" s="585"/>
      <c r="CR24" s="585"/>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row>
    <row r="25" spans="1:152" ht="0.75" customHeight="1">
      <c r="A25" s="181"/>
      <c r="B25" s="181"/>
      <c r="C25" s="181"/>
      <c r="E25" s="192"/>
      <c r="F25" s="110"/>
      <c r="G25" s="111" t="s">
        <v>720</v>
      </c>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c r="CQ25" s="112"/>
      <c r="CR25" s="113"/>
      <c r="CS25" s="185"/>
      <c r="CT25" s="185"/>
      <c r="CU25" s="185"/>
      <c r="CV25" s="185"/>
      <c r="CW25" s="185"/>
      <c r="CX25" s="185"/>
      <c r="CY25" s="185"/>
      <c r="CZ25" s="185"/>
      <c r="DA25" s="185"/>
      <c r="DB25" s="185"/>
      <c r="DC25" s="185"/>
      <c r="DD25" s="185"/>
      <c r="DE25" s="185"/>
      <c r="DP25" s="78"/>
      <c r="DQ25" s="78"/>
      <c r="DR25" s="78"/>
      <c r="DS25" s="78"/>
      <c r="DT25" s="78"/>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row>
    <row r="26" spans="1:152" s="162" customFormat="1" ht="12" customHeight="1">
      <c r="A26" s="181"/>
      <c r="B26" s="181"/>
      <c r="C26" s="181"/>
      <c r="D26" s="159"/>
      <c r="E26" s="192"/>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78"/>
      <c r="DG26" s="78"/>
      <c r="DH26" s="78"/>
      <c r="DI26" s="78"/>
      <c r="DJ26" s="78"/>
      <c r="DK26" s="78"/>
      <c r="DL26" s="78"/>
      <c r="DM26" s="78"/>
      <c r="DN26" s="78"/>
      <c r="DO26" s="78"/>
      <c r="DP26" s="78"/>
      <c r="DQ26" s="78"/>
      <c r="DR26" s="78"/>
      <c r="DS26" s="78"/>
      <c r="DT26" s="78"/>
    </row>
    <row r="27" spans="1:152" s="162" customFormat="1">
      <c r="D27" s="159"/>
      <c r="E27" s="179"/>
      <c r="DF27" s="78"/>
      <c r="DG27" s="78"/>
      <c r="DH27" s="78"/>
      <c r="DI27" s="78"/>
      <c r="DJ27" s="78"/>
      <c r="DK27" s="78"/>
      <c r="DL27" s="78"/>
      <c r="DM27" s="78"/>
      <c r="DN27" s="78"/>
      <c r="DO27" s="78"/>
      <c r="DP27" s="78"/>
      <c r="DQ27" s="78"/>
      <c r="DR27" s="78"/>
      <c r="DS27" s="78"/>
      <c r="DT27" s="78"/>
    </row>
    <row r="28" spans="1:152" customFormat="1"/>
    <row r="29" spans="1:152" customFormat="1"/>
    <row r="30" spans="1:152" customFormat="1"/>
    <row r="31" spans="1:152" customFormat="1" ht="36.75" customHeight="1"/>
    <row r="32" spans="1:152" customFormat="1"/>
    <row r="33" customFormat="1"/>
    <row r="34" customFormat="1"/>
    <row r="35" customFormat="1"/>
    <row r="36" customFormat="1"/>
    <row r="37" customFormat="1" ht="41.25" customHeight="1"/>
    <row r="38" customFormat="1"/>
    <row r="39" customFormat="1"/>
    <row r="40" customFormat="1" ht="11.25" customHeight="1"/>
    <row r="41" customFormat="1" ht="11.25" customHeight="1"/>
    <row r="42" customFormat="1"/>
    <row r="43" customFormat="1" ht="31.5" customHeight="1"/>
    <row r="44" customFormat="1"/>
    <row r="45" customFormat="1"/>
  </sheetData>
  <sheetProtection password="FA9C" sheet="1" objects="1" scenarios="1" formatColumns="0" formatRows="0"/>
  <mergeCells count="113">
    <mergeCell ref="V22:V24"/>
    <mergeCell ref="W22:W24"/>
    <mergeCell ref="X22:X24"/>
    <mergeCell ref="N22:N24"/>
    <mergeCell ref="O22:O24"/>
    <mergeCell ref="P22:P24"/>
    <mergeCell ref="Q22:Q24"/>
    <mergeCell ref="R22:R24"/>
    <mergeCell ref="S22:S24"/>
    <mergeCell ref="F22:F24"/>
    <mergeCell ref="G22:G24"/>
    <mergeCell ref="J22:J24"/>
    <mergeCell ref="K22:K24"/>
    <mergeCell ref="L22:L24"/>
    <mergeCell ref="M22:M24"/>
    <mergeCell ref="T22:T24"/>
    <mergeCell ref="U22:U24"/>
    <mergeCell ref="ET16:EV16"/>
    <mergeCell ref="CL13:CL16"/>
    <mergeCell ref="BV13:CJ13"/>
    <mergeCell ref="CI14:CI16"/>
    <mergeCell ref="CK13:CK16"/>
    <mergeCell ref="CP14:CP16"/>
    <mergeCell ref="CQ14:CQ16"/>
    <mergeCell ref="ER16:ES16"/>
    <mergeCell ref="BX14:BY15"/>
    <mergeCell ref="CA14:CH14"/>
    <mergeCell ref="CH15:CH16"/>
    <mergeCell ref="CE15:CE16"/>
    <mergeCell ref="DP16:EG16"/>
    <mergeCell ref="DF16:DO16"/>
    <mergeCell ref="CM14:CM16"/>
    <mergeCell ref="CR13:CR16"/>
    <mergeCell ref="CM13:CQ13"/>
    <mergeCell ref="BT14:BT16"/>
    <mergeCell ref="BS15:BS16"/>
    <mergeCell ref="EJ16:EQ16"/>
    <mergeCell ref="BV14:BW15"/>
    <mergeCell ref="CJ14:CJ16"/>
    <mergeCell ref="BZ14:BZ16"/>
    <mergeCell ref="CC15:CD15"/>
    <mergeCell ref="CF15:CG15"/>
    <mergeCell ref="EH16:EI16"/>
    <mergeCell ref="CA15:CB15"/>
    <mergeCell ref="CO14:CO16"/>
    <mergeCell ref="CN14:CN16"/>
    <mergeCell ref="F18:F20"/>
    <mergeCell ref="G18:G20"/>
    <mergeCell ref="P13:Q13"/>
    <mergeCell ref="X13:X16"/>
    <mergeCell ref="H13:I16"/>
    <mergeCell ref="J13:J16"/>
    <mergeCell ref="K13:M13"/>
    <mergeCell ref="W14:W16"/>
    <mergeCell ref="AG13:AG16"/>
    <mergeCell ref="V14:V16"/>
    <mergeCell ref="AL13:AL16"/>
    <mergeCell ref="AE13:AF15"/>
    <mergeCell ref="AM14:AN15"/>
    <mergeCell ref="AQ14:AQ16"/>
    <mergeCell ref="AV14:AV16"/>
    <mergeCell ref="AT14:AU15"/>
    <mergeCell ref="AR14:AS15"/>
    <mergeCell ref="K12:X12"/>
    <mergeCell ref="AC13:AD15"/>
    <mergeCell ref="N13:N16"/>
    <mergeCell ref="AJ13:AK15"/>
    <mergeCell ref="AG7:AG8"/>
    <mergeCell ref="AH13:AI15"/>
    <mergeCell ref="F13:F16"/>
    <mergeCell ref="G13:G16"/>
    <mergeCell ref="AA7:AB7"/>
    <mergeCell ref="AC7:AD7"/>
    <mergeCell ref="AE7:AF7"/>
    <mergeCell ref="Y13:Z15"/>
    <mergeCell ref="O13:O16"/>
    <mergeCell ref="Q14:Q16"/>
    <mergeCell ref="AA13:AB15"/>
    <mergeCell ref="K14:K16"/>
    <mergeCell ref="L14:L16"/>
    <mergeCell ref="M14:M16"/>
    <mergeCell ref="P14:P16"/>
    <mergeCell ref="T13:U13"/>
    <mergeCell ref="V13:W13"/>
    <mergeCell ref="U14:U16"/>
    <mergeCell ref="T14:T16"/>
    <mergeCell ref="S14:S16"/>
    <mergeCell ref="R14:R16"/>
    <mergeCell ref="R13:S13"/>
    <mergeCell ref="CA7:CB7"/>
    <mergeCell ref="AW7:AX7"/>
    <mergeCell ref="BL7:BM7"/>
    <mergeCell ref="AM13:AQ13"/>
    <mergeCell ref="BG13:BU13"/>
    <mergeCell ref="AR13:BF13"/>
    <mergeCell ref="AO14:AP15"/>
    <mergeCell ref="BB15:BC15"/>
    <mergeCell ref="BF14:BF16"/>
    <mergeCell ref="BD15:BD16"/>
    <mergeCell ref="AW15:AX15"/>
    <mergeCell ref="BP15:BP16"/>
    <mergeCell ref="AW14:BD14"/>
    <mergeCell ref="AY15:AZ15"/>
    <mergeCell ref="BE14:BE16"/>
    <mergeCell ref="BN15:BO15"/>
    <mergeCell ref="BL14:BS14"/>
    <mergeCell ref="BQ15:BR15"/>
    <mergeCell ref="BA15:BA16"/>
    <mergeCell ref="BU14:BU16"/>
    <mergeCell ref="BG14:BH15"/>
    <mergeCell ref="BI14:BJ15"/>
    <mergeCell ref="BK14:BK16"/>
    <mergeCell ref="BL15:BM15"/>
  </mergeCells>
  <phoneticPr fontId="8" type="noConversion"/>
  <dataValidations count="2">
    <dataValidation allowBlank="1" showInputMessage="1" showErrorMessage="1" sqref="CM14:CP15"/>
    <dataValidation allowBlank="1" showInputMessage="1" showErrorMessage="1" errorTitle="Ошибка" error="Допускается ввод ТОЛЬКО числовых значений!" sqref="AW9"/>
  </dataValidations>
  <hyperlinks>
    <hyperlink ref="G8" location="'ТМ2 01.01 - 30.06'!A1" tooltip="Скопировать данные на листы 1 июл, 1 сен" display="Скопировать данные на листы 1 июл, 1 сен"/>
    <hyperlink ref="K10" location="'ТМ2 01.01 - 30.06'!A1" tooltip="Отобразить / Скрыть блок" display="-"/>
  </hyperlinks>
  <pageMargins left="0.37" right="0.35" top="1" bottom="1" header="0.5" footer="0.5"/>
  <pageSetup paperSize="9" scale="37" orientation="landscape" horizontalDpi="4294967292" verticalDpi="4294967292"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sheetPr codeName="VOTV_TM2_PERIOD2">
    <tabColor rgb="FF92D050"/>
    <pageSetUpPr fitToPage="1"/>
  </sheetPr>
  <dimension ref="A1:EV45"/>
  <sheetViews>
    <sheetView showGridLines="0" topLeftCell="E3" workbookViewId="0">
      <pane xSplit="5" ySplit="19" topLeftCell="J22" activePane="bottomRight" state="frozen"/>
      <selection activeCell="AA13" sqref="AA13:AB15"/>
      <selection pane="topRight" activeCell="AA13" sqref="AA13:AB15"/>
      <selection pane="bottomLeft" activeCell="AA13" sqref="AA13:AB15"/>
      <selection pane="bottomRight" activeCell="AB37" sqref="AB37"/>
    </sheetView>
  </sheetViews>
  <sheetFormatPr defaultRowHeight="11.25"/>
  <cols>
    <col min="1" max="3" width="5.7109375" style="162" hidden="1" customWidth="1"/>
    <col min="4" max="4" width="3.7109375" style="159" hidden="1" customWidth="1"/>
    <col min="5" max="5" width="5.7109375" style="179" customWidth="1"/>
    <col min="6" max="6" width="4.7109375" style="39" customWidth="1"/>
    <col min="7" max="7" width="40.7109375" style="39" customWidth="1"/>
    <col min="8" max="8" width="28.5703125" style="39" hidden="1" customWidth="1"/>
    <col min="9" max="9" width="0.140625" style="39" hidden="1" customWidth="1"/>
    <col min="10" max="10" width="20.7109375" style="39" customWidth="1"/>
    <col min="11" max="13" width="10.85546875" style="39" hidden="1" customWidth="1"/>
    <col min="14" max="14" width="11.7109375" style="39" hidden="1" customWidth="1"/>
    <col min="15" max="15" width="0.140625" style="39" hidden="1" customWidth="1"/>
    <col min="16" max="19" width="10.85546875" style="39" hidden="1" customWidth="1"/>
    <col min="20" max="21" width="0.140625" style="39" hidden="1" customWidth="1"/>
    <col min="22" max="24" width="10.85546875" style="39" hidden="1" customWidth="1"/>
    <col min="25" max="26" width="11.7109375" style="39" customWidth="1"/>
    <col min="27" max="30" width="18.7109375" style="39" customWidth="1"/>
    <col min="31" max="32" width="0.140625" style="39" customWidth="1"/>
    <col min="33" max="33" width="15.7109375" style="39" customWidth="1"/>
    <col min="34" max="35" width="0.140625" style="39" customWidth="1"/>
    <col min="36" max="37" width="11.7109375" style="39" customWidth="1"/>
    <col min="38" max="38" width="15.7109375" style="39" customWidth="1"/>
    <col min="39" max="42" width="11.7109375" style="39" customWidth="1"/>
    <col min="43" max="43" width="15.7109375" style="39" customWidth="1"/>
    <col min="44" max="47" width="11.7109375" style="39" customWidth="1"/>
    <col min="48" max="48" width="15.7109375" style="39" customWidth="1"/>
    <col min="49" max="50" width="13.7109375" style="39" hidden="1" customWidth="1"/>
    <col min="51" max="56" width="12.5703125" style="39" hidden="1" customWidth="1"/>
    <col min="57" max="58" width="12.5703125" style="39" customWidth="1"/>
    <col min="59" max="62" width="12.7109375" style="39" customWidth="1"/>
    <col min="63" max="63" width="15.7109375" style="39" customWidth="1"/>
    <col min="64" max="65" width="13.85546875" style="39" hidden="1" customWidth="1"/>
    <col min="66" max="71" width="12.7109375" style="39" hidden="1" customWidth="1"/>
    <col min="72" max="77" width="12.7109375" style="39" customWidth="1"/>
    <col min="78" max="78" width="15.7109375" style="39" customWidth="1"/>
    <col min="79" max="80" width="13.85546875" style="39" hidden="1" customWidth="1"/>
    <col min="81" max="86" width="12.7109375" style="39" hidden="1" customWidth="1"/>
    <col min="87" max="88" width="12.7109375" style="39" customWidth="1"/>
    <col min="89" max="95" width="15.7109375" style="39" customWidth="1"/>
    <col min="96" max="96" width="19.5703125" style="39" customWidth="1"/>
    <col min="97" max="109" width="1.7109375" style="162" customWidth="1"/>
    <col min="110" max="112" width="6.7109375" style="78" hidden="1" customWidth="1"/>
    <col min="113" max="118" width="6.7109375" style="77" hidden="1" customWidth="1"/>
    <col min="119" max="119" width="6.7109375" style="78" hidden="1" customWidth="1"/>
    <col min="120" max="124" width="6.7109375" style="77" hidden="1" customWidth="1"/>
    <col min="125" max="149" width="6.7109375" style="39" hidden="1" customWidth="1"/>
    <col min="150" max="152" width="0" style="39" hidden="1" customWidth="1"/>
    <col min="153" max="16384" width="9.140625" style="39"/>
  </cols>
  <sheetData>
    <row r="1" spans="4:152" s="162" customFormat="1" hidden="1">
      <c r="D1" s="159"/>
      <c r="E1" s="179"/>
      <c r="DF1" s="78"/>
      <c r="DG1" s="78"/>
      <c r="DH1" s="78"/>
      <c r="DI1" s="78"/>
      <c r="DJ1" s="78"/>
      <c r="DK1" s="78"/>
      <c r="DL1" s="78"/>
      <c r="DM1" s="78"/>
      <c r="DN1" s="78"/>
      <c r="DO1" s="78"/>
      <c r="DP1" s="78"/>
      <c r="DQ1" s="78"/>
      <c r="DR1" s="78"/>
      <c r="DS1" s="78"/>
      <c r="DT1" s="78"/>
    </row>
    <row r="2" spans="4:152" s="162" customFormat="1" hidden="1">
      <c r="D2" s="159"/>
      <c r="E2" s="179"/>
      <c r="DF2" s="78"/>
      <c r="DG2" s="78"/>
      <c r="DH2" s="78"/>
      <c r="DI2" s="78"/>
      <c r="DJ2" s="78"/>
      <c r="DK2" s="78"/>
      <c r="DL2" s="78"/>
      <c r="DM2" s="78"/>
      <c r="DN2" s="78"/>
      <c r="DO2" s="78"/>
      <c r="DP2" s="78"/>
      <c r="DQ2" s="78"/>
      <c r="DR2" s="78"/>
      <c r="DS2" s="78"/>
      <c r="DT2" s="78"/>
    </row>
    <row r="3" spans="4:152" s="162" customFormat="1" ht="12" customHeight="1">
      <c r="D3" s="159"/>
      <c r="E3" s="179"/>
      <c r="F3" s="637"/>
      <c r="G3" s="219" t="str">
        <f>"Необходимо указывать " &amp; IF(TARIFF_SETUP_METHOD_CODE="BY_PSEUDO_YEARS","общегодовые значения","значения по периодам")</f>
        <v>Необходимо указывать значения по периодам</v>
      </c>
      <c r="H3" s="616" t="s">
        <v>2497</v>
      </c>
      <c r="I3" s="637">
        <f>IF(TARIFF_SETUP_METHOD_CODE="BY_PSEUDO_YEARS",12,IF(TEMPLATE_CLAIM="P",6,2))</f>
        <v>2</v>
      </c>
      <c r="DF3" s="78"/>
      <c r="DG3" s="78"/>
      <c r="DH3" s="78"/>
      <c r="DI3" s="78"/>
      <c r="DJ3" s="78"/>
      <c r="DK3" s="78"/>
      <c r="DL3" s="78"/>
      <c r="DM3" s="78"/>
      <c r="DN3" s="78"/>
      <c r="DO3" s="78"/>
      <c r="DP3" s="78"/>
      <c r="DQ3" s="78"/>
      <c r="DR3" s="78"/>
      <c r="DS3" s="78"/>
      <c r="DT3" s="78"/>
    </row>
    <row r="4" spans="4:152" s="162" customFormat="1" ht="0.75" customHeight="1">
      <c r="D4" s="159"/>
      <c r="E4" s="184"/>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5"/>
      <c r="CZ4" s="185"/>
      <c r="DA4" s="185"/>
      <c r="DB4" s="185"/>
      <c r="DC4" s="185"/>
      <c r="DD4" s="185"/>
      <c r="DE4" s="185"/>
      <c r="DF4" s="78"/>
      <c r="DG4" s="78"/>
      <c r="DH4" s="78"/>
      <c r="DI4" s="78"/>
      <c r="DJ4" s="78"/>
      <c r="DK4" s="78"/>
      <c r="DL4" s="78"/>
      <c r="DM4" s="78"/>
      <c r="DN4" s="78"/>
      <c r="DO4" s="78"/>
      <c r="DP4" s="78"/>
      <c r="DQ4" s="78"/>
      <c r="DR4" s="78"/>
      <c r="DS4" s="78"/>
      <c r="DT4" s="78"/>
    </row>
    <row r="5" spans="4:152" s="423" customFormat="1" ht="18" customHeight="1">
      <c r="F5" s="422" t="str">
        <f>"Тарифы для организаций " &amp; TEMPLATE_SPHERE &amp; " по муниципальному образованию - " &amp; IF(mo="","Не определено",mo)</f>
        <v>Тарифы для организаций водоотведения по муниципальному образованию - Село Булава</v>
      </c>
      <c r="G5" s="416"/>
      <c r="H5" s="416"/>
      <c r="I5" s="416"/>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H5" s="407"/>
      <c r="BI5" s="407"/>
      <c r="BJ5" s="407"/>
      <c r="BK5" s="407"/>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L5" s="407"/>
      <c r="CM5" s="407"/>
      <c r="CN5" s="407"/>
      <c r="CO5" s="407"/>
      <c r="CP5" s="407"/>
      <c r="CQ5" s="407"/>
      <c r="CR5" s="407"/>
      <c r="DF5" s="424"/>
      <c r="DG5" s="424"/>
      <c r="DH5" s="424"/>
      <c r="DI5" s="424"/>
      <c r="DJ5" s="424"/>
      <c r="DK5" s="424"/>
      <c r="DL5" s="424"/>
      <c r="DM5" s="424"/>
      <c r="DN5" s="424"/>
      <c r="DO5" s="424"/>
      <c r="DP5" s="424"/>
      <c r="DQ5" s="424"/>
    </row>
    <row r="6" spans="4:152" s="164" customFormat="1" ht="0.75" customHeight="1">
      <c r="D6" s="165"/>
      <c r="E6" s="190"/>
      <c r="F6" s="158"/>
      <c r="G6" s="158"/>
      <c r="H6" s="158"/>
      <c r="I6" s="158"/>
      <c r="J6" s="158"/>
      <c r="K6" s="180"/>
      <c r="L6" s="180"/>
      <c r="M6" s="180"/>
      <c r="N6" s="180"/>
      <c r="O6" s="180"/>
      <c r="P6" s="180"/>
      <c r="Q6" s="180"/>
      <c r="R6" s="180"/>
      <c r="S6" s="180"/>
      <c r="T6" s="180"/>
      <c r="U6" s="180"/>
      <c r="V6" s="180"/>
      <c r="W6" s="180"/>
      <c r="X6" s="180"/>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91"/>
      <c r="CQ6" s="191"/>
      <c r="CR6" s="191"/>
      <c r="CS6" s="158"/>
      <c r="CT6" s="158"/>
      <c r="CU6" s="158"/>
      <c r="CV6" s="158"/>
      <c r="CW6" s="158"/>
      <c r="CX6" s="158"/>
      <c r="CY6" s="158"/>
      <c r="CZ6" s="158"/>
      <c r="DA6" s="158"/>
      <c r="DB6" s="158"/>
      <c r="DC6" s="158"/>
      <c r="DD6" s="158"/>
      <c r="DE6" s="158"/>
      <c r="DF6" s="81"/>
      <c r="DG6" s="81"/>
      <c r="DH6" s="81"/>
      <c r="DI6" s="81"/>
      <c r="DJ6" s="81"/>
      <c r="DK6" s="81"/>
      <c r="DL6" s="81"/>
      <c r="DM6" s="81"/>
      <c r="DN6" s="81"/>
      <c r="DO6" s="81"/>
      <c r="DP6" s="81"/>
      <c r="DQ6" s="81"/>
      <c r="DR6" s="81"/>
      <c r="DS6" s="81"/>
      <c r="DT6" s="81"/>
    </row>
    <row r="7" spans="4:152" s="164" customFormat="1" ht="36" customHeight="1">
      <c r="D7" s="165"/>
      <c r="E7" s="190"/>
      <c r="F7" s="158"/>
      <c r="G7" s="158"/>
      <c r="H7" s="158"/>
      <c r="I7" s="158"/>
      <c r="J7" s="158"/>
      <c r="K7" s="191"/>
      <c r="L7" s="191"/>
      <c r="M7" s="191"/>
      <c r="N7" s="191"/>
      <c r="O7" s="191"/>
      <c r="P7" s="191"/>
      <c r="Q7" s="191"/>
      <c r="R7" s="191"/>
      <c r="S7" s="191"/>
      <c r="T7" s="191"/>
      <c r="U7" s="191"/>
      <c r="V7" s="191"/>
      <c r="W7" s="191"/>
      <c r="X7" s="191"/>
      <c r="Y7" s="191"/>
      <c r="Z7" s="191"/>
      <c r="AA7" s="824" t="str">
        <f>"Средневзвешенный тариф с учётом надбавки и передачи (транспортировки), руб./" &amp; $G$12</f>
        <v>Средневзвешенный тариф с учётом надбавки и передачи (транспортировки), руб./куб.м</v>
      </c>
      <c r="AB7" s="924"/>
      <c r="AC7" s="824" t="str">
        <f>"Средневзвешенный тариф с учётом передачи (транспортировки), руб./" &amp; $G$12</f>
        <v>Средневзвешенный тариф с учётом передачи (транспортировки), руб./куб.м</v>
      </c>
      <c r="AD7" s="924"/>
      <c r="AE7" s="824"/>
      <c r="AF7" s="924"/>
      <c r="AG7" s="925" t="s">
        <v>3158</v>
      </c>
      <c r="AH7" s="191"/>
      <c r="AI7" s="191"/>
      <c r="AJ7" s="191"/>
      <c r="AK7" s="191"/>
      <c r="AL7" s="191"/>
      <c r="AM7" s="191"/>
      <c r="AN7" s="191"/>
      <c r="AO7" s="191"/>
      <c r="AP7" s="191"/>
      <c r="AQ7" s="191"/>
      <c r="AR7" s="191"/>
      <c r="AS7" s="191"/>
      <c r="AT7" s="191"/>
      <c r="AU7" s="191"/>
      <c r="AV7" s="158"/>
      <c r="AW7" s="824" t="str">
        <f>"Средневзвешенный тариф по группе ""Бюджетные потребители"", руб./" &amp; $G$12</f>
        <v>Средневзвешенный тариф по группе "Бюджетные потребители", руб./куб.м</v>
      </c>
      <c r="AX7" s="824"/>
      <c r="AY7" s="158"/>
      <c r="AZ7" s="158"/>
      <c r="BA7" s="158"/>
      <c r="BB7" s="158"/>
      <c r="BC7" s="158"/>
      <c r="BD7" s="158"/>
      <c r="BE7" s="158"/>
      <c r="BF7" s="158"/>
      <c r="BG7" s="158"/>
      <c r="BH7" s="158"/>
      <c r="BI7" s="158"/>
      <c r="BJ7" s="158"/>
      <c r="BK7" s="158"/>
      <c r="BL7" s="824" t="str">
        <f>"Средневзвешенный тариф по группе ""Население"", руб./" &amp; $G$12</f>
        <v>Средневзвешенный тариф по группе "Население", руб./куб.м</v>
      </c>
      <c r="BM7" s="824"/>
      <c r="BN7" s="158"/>
      <c r="BO7" s="158"/>
      <c r="BP7" s="158"/>
      <c r="BQ7" s="158"/>
      <c r="BR7" s="158"/>
      <c r="BS7" s="158"/>
      <c r="BT7" s="158"/>
      <c r="BU7" s="158"/>
      <c r="BV7" s="158"/>
      <c r="BW7" s="158"/>
      <c r="BX7" s="158"/>
      <c r="BY7" s="158"/>
      <c r="BZ7" s="158"/>
      <c r="CA7" s="824" t="str">
        <f>"Средневзвешенный тариф по группе ""Прочие"", руб./" &amp; $G$12</f>
        <v>Средневзвешенный тариф по группе "Прочие", руб./куб.м</v>
      </c>
      <c r="CB7" s="824"/>
      <c r="CC7" s="158"/>
      <c r="CD7" s="158"/>
      <c r="CE7" s="158"/>
      <c r="CF7" s="158"/>
      <c r="CG7" s="158"/>
      <c r="CH7" s="158"/>
      <c r="CI7" s="158"/>
      <c r="CJ7" s="158"/>
      <c r="CK7" s="158"/>
      <c r="CL7" s="158"/>
      <c r="CM7" s="158"/>
      <c r="CN7" s="158"/>
      <c r="CO7" s="158"/>
      <c r="CP7" s="158"/>
      <c r="CQ7" s="158"/>
      <c r="CR7" s="191"/>
      <c r="CS7" s="158"/>
      <c r="CT7" s="158"/>
      <c r="CU7" s="158"/>
      <c r="CV7" s="158"/>
      <c r="CW7" s="158"/>
      <c r="CX7" s="158"/>
      <c r="CY7" s="158"/>
      <c r="CZ7" s="158"/>
      <c r="DA7" s="158"/>
      <c r="DB7" s="158"/>
      <c r="DC7" s="158"/>
      <c r="DD7" s="158"/>
      <c r="DE7" s="158"/>
      <c r="DF7" s="81"/>
      <c r="DG7" s="81"/>
      <c r="DH7" s="81"/>
      <c r="DI7" s="81"/>
      <c r="DJ7" s="81"/>
      <c r="DK7" s="81"/>
      <c r="DL7" s="81"/>
      <c r="DM7" s="81"/>
      <c r="DN7" s="81"/>
      <c r="DO7" s="81"/>
      <c r="DP7" s="81"/>
      <c r="DQ7" s="81"/>
      <c r="DR7" s="81"/>
      <c r="DS7" s="81"/>
      <c r="DT7" s="81"/>
    </row>
    <row r="8" spans="4:152" s="164" customFormat="1" ht="12" customHeight="1">
      <c r="D8" s="165"/>
      <c r="E8" s="190"/>
      <c r="F8" s="158"/>
      <c r="G8" s="197"/>
      <c r="H8" s="198"/>
      <c r="I8" s="120"/>
      <c r="J8" s="120"/>
      <c r="K8" s="189"/>
      <c r="L8" s="189"/>
      <c r="M8" s="189"/>
      <c r="N8" s="189"/>
      <c r="O8" s="189"/>
      <c r="P8" s="189"/>
      <c r="Q8" s="189"/>
      <c r="R8" s="189"/>
      <c r="S8" s="189"/>
      <c r="T8" s="189"/>
      <c r="U8" s="189"/>
      <c r="V8" s="189"/>
      <c r="W8" s="189"/>
      <c r="X8" s="189"/>
      <c r="Y8" s="158"/>
      <c r="Z8" s="191"/>
      <c r="AA8" s="337" t="s">
        <v>627</v>
      </c>
      <c r="AB8" s="428" t="s">
        <v>628</v>
      </c>
      <c r="AC8" s="337" t="s">
        <v>627</v>
      </c>
      <c r="AD8" s="428" t="s">
        <v>628</v>
      </c>
      <c r="AE8" s="337"/>
      <c r="AF8" s="428"/>
      <c r="AG8" s="926"/>
      <c r="AH8" s="158"/>
      <c r="AI8" s="158"/>
      <c r="AJ8" s="158"/>
      <c r="AK8" s="158"/>
      <c r="AL8" s="158"/>
      <c r="AM8" s="158"/>
      <c r="AN8" s="158"/>
      <c r="AO8" s="158"/>
      <c r="AP8" s="158"/>
      <c r="AQ8" s="158"/>
      <c r="AR8" s="158"/>
      <c r="AS8" s="158"/>
      <c r="AT8" s="158"/>
      <c r="AU8" s="158"/>
      <c r="AV8" s="158"/>
      <c r="AW8" s="337" t="s">
        <v>627</v>
      </c>
      <c r="AX8" s="337" t="s">
        <v>628</v>
      </c>
      <c r="AY8" s="158"/>
      <c r="AZ8" s="158"/>
      <c r="BA8" s="158"/>
      <c r="BB8" s="158"/>
      <c r="BC8" s="158"/>
      <c r="BD8" s="158"/>
      <c r="BE8" s="158"/>
      <c r="BF8" s="158"/>
      <c r="BG8" s="158"/>
      <c r="BH8" s="158"/>
      <c r="BI8" s="158"/>
      <c r="BJ8" s="158"/>
      <c r="BK8" s="158"/>
      <c r="BL8" s="337" t="s">
        <v>627</v>
      </c>
      <c r="BM8" s="337" t="s">
        <v>628</v>
      </c>
      <c r="BN8" s="158"/>
      <c r="BO8" s="158"/>
      <c r="BP8" s="158"/>
      <c r="BQ8" s="158"/>
      <c r="BR8" s="158"/>
      <c r="BS8" s="158"/>
      <c r="BT8" s="158"/>
      <c r="BU8" s="158"/>
      <c r="BV8" s="158"/>
      <c r="BW8" s="158"/>
      <c r="BX8" s="158"/>
      <c r="BY8" s="158"/>
      <c r="BZ8" s="158"/>
      <c r="CA8" s="337" t="s">
        <v>627</v>
      </c>
      <c r="CB8" s="337" t="s">
        <v>628</v>
      </c>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81"/>
      <c r="DG8" s="81"/>
      <c r="DH8" s="81"/>
      <c r="DI8" s="81"/>
      <c r="DJ8" s="81"/>
      <c r="DK8" s="81"/>
      <c r="DL8" s="81"/>
      <c r="DM8" s="81"/>
      <c r="DN8" s="81"/>
      <c r="DO8" s="81"/>
      <c r="DP8" s="81"/>
      <c r="DQ8" s="81"/>
      <c r="DR8" s="81"/>
      <c r="DS8" s="81"/>
      <c r="DT8" s="81"/>
    </row>
    <row r="9" spans="4:152" s="164" customFormat="1" ht="12" customHeight="1">
      <c r="D9" s="165"/>
      <c r="E9" s="190"/>
      <c r="F9" s="158"/>
      <c r="G9"/>
      <c r="H9" s="84"/>
      <c r="I9" s="158"/>
      <c r="J9" s="158"/>
      <c r="K9" s="189"/>
      <c r="L9" s="189"/>
      <c r="M9" s="189"/>
      <c r="N9" s="189"/>
      <c r="O9" s="189"/>
      <c r="P9" s="189"/>
      <c r="Q9" s="189"/>
      <c r="R9" s="189"/>
      <c r="S9" s="189"/>
      <c r="T9" s="189"/>
      <c r="U9" s="189"/>
      <c r="V9" s="189"/>
      <c r="W9" s="189"/>
      <c r="X9" s="189"/>
      <c r="Y9" s="158"/>
      <c r="Z9" s="191"/>
      <c r="AA9" s="398">
        <f>IF(AG18=0,0,((('ТМ1 01.07 - 31.08'!AQ18*'ТМ1 01.07 - 31.08'!AS18*$AG9)+('ТМ1 01.07 - 31.08'!AT18*'ТМ1 01.07 - 31.08'!AV18*$AG9)+('ТМ1 01.07 - 31.08'!AW18*'ТМ1 01.07 - 31.08'!AY18*$AG9))+ (AA18*AG18))/AG18)</f>
        <v>49.290000000000006</v>
      </c>
      <c r="AB9" s="429">
        <f>IF(AG18=0,0,((('ТМ1 01.07 - 31.08'!AR18*'ТМ1 01.07 - 31.08'!AS18*$AG9)+('ТМ1 01.07 - 31.08'!AU18*'ТМ1 01.07 - 31.08'!AV18*$AG9)+('ТМ1 01.07 - 31.08'!AX18*'ТМ1 01.07 - 31.08'!AY18*$AG9))+ (AB18*AG18))/AG18)</f>
        <v>49.290000000000006</v>
      </c>
      <c r="AC9" s="398">
        <f>IF(AG18=0,0,((('ТМ1 01.07 - 31.08'!AQ18*'ТМ1 01.07 - 31.08'!AS18*$AG9)+('ТМ1 01.07 - 31.08'!AT18*'ТМ1 01.07 - 31.08'!AV18*$AG9)+('ТМ1 01.07 - 31.08'!AW18*'ТМ1 01.07 - 31.08'!AY18*$AG9))+ (AC18*AG18))/AG18)</f>
        <v>49.290000000000006</v>
      </c>
      <c r="AD9" s="429">
        <f>IF(AG18=0,0,((('ТМ1 01.07 - 31.08'!AR18*'ТМ1 01.07 - 31.08'!AS18*$AG9)+('ТМ1 01.07 - 31.08'!AU18*'ТМ1 01.07 - 31.08'!AV18*$AG9)+('ТМ1 01.07 - 31.08'!AX18*'ТМ1 01.07 - 31.08'!AY18*$AG9))+ (AD18*AG18))/AG18)</f>
        <v>49.290000000000006</v>
      </c>
      <c r="AE9" s="398"/>
      <c r="AF9" s="429"/>
      <c r="AG9" s="130">
        <v>1</v>
      </c>
      <c r="AH9" s="158"/>
      <c r="AI9" s="158"/>
      <c r="AJ9" s="158"/>
      <c r="AK9" s="158"/>
      <c r="AL9" s="158"/>
      <c r="AM9" s="158"/>
      <c r="AN9" s="158"/>
      <c r="AO9" s="158"/>
      <c r="AP9" s="158"/>
      <c r="AQ9" s="158"/>
      <c r="AR9" s="158"/>
      <c r="AS9" s="158"/>
      <c r="AT9" s="158"/>
      <c r="AU9" s="158"/>
      <c r="AV9" s="158"/>
      <c r="AW9" s="398">
        <f>IF(AV18+BA18&gt;0,(AR18*AV18+AW18*BA18)/(AV18+BA18),0)</f>
        <v>49.29</v>
      </c>
      <c r="AX9" s="398">
        <f>IF(AV18+BA18&gt;0,(AS18*AV18+AX18*BA18)/(AV18+BA18),0)</f>
        <v>49.29</v>
      </c>
      <c r="AY9" s="158"/>
      <c r="AZ9" s="158"/>
      <c r="BA9" s="158"/>
      <c r="BB9" s="158"/>
      <c r="BC9" s="158"/>
      <c r="BD9" s="158"/>
      <c r="BE9" s="158"/>
      <c r="BF9" s="158"/>
      <c r="BG9" s="158"/>
      <c r="BH9" s="158"/>
      <c r="BI9" s="158"/>
      <c r="BJ9" s="158"/>
      <c r="BK9" s="158"/>
      <c r="BL9" s="398">
        <f>IF(BK18+BP18&gt;0,(BG18*BK18+BL18*BP18)/(BK18+BP18),0)</f>
        <v>49.29</v>
      </c>
      <c r="BM9" s="398">
        <f>IF(BK18+BP18&gt;0,(BH18*BK18+BM18*BP18)/(BK18+BP18),0)</f>
        <v>49.29</v>
      </c>
      <c r="BN9" s="158"/>
      <c r="BO9" s="158"/>
      <c r="BP9" s="158"/>
      <c r="BQ9" s="158"/>
      <c r="BR9" s="158"/>
      <c r="BS9" s="158"/>
      <c r="BT9" s="158"/>
      <c r="BU9" s="158"/>
      <c r="BV9" s="158"/>
      <c r="BW9" s="158"/>
      <c r="BX9" s="158"/>
      <c r="BY9" s="158"/>
      <c r="BZ9" s="158"/>
      <c r="CA9" s="398">
        <f>IF(BZ18+CE18&gt;0,(BV18*BZ18+CA18*CE18)/(BZ18+CE18),0)</f>
        <v>49.29</v>
      </c>
      <c r="CB9" s="398">
        <f>IF(BZ18&gt;0,(BW18*BZ18+CB18*CE18)/BZ18,0)</f>
        <v>49.29</v>
      </c>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81"/>
      <c r="DG9" s="81"/>
      <c r="DH9" s="81"/>
      <c r="DI9" s="81"/>
      <c r="DJ9" s="81"/>
      <c r="DK9" s="81"/>
      <c r="DL9" s="81"/>
      <c r="DM9" s="81"/>
      <c r="DN9" s="81"/>
      <c r="DO9" s="81"/>
      <c r="DP9" s="81"/>
      <c r="DQ9" s="81"/>
      <c r="DR9" s="81"/>
      <c r="DS9" s="81"/>
      <c r="DT9" s="81"/>
    </row>
    <row r="10" spans="4:152" s="164" customFormat="1" ht="12" customHeight="1">
      <c r="D10" s="165"/>
      <c r="E10" s="190"/>
      <c r="F10" s="158"/>
      <c r="G10"/>
      <c r="H10" s="84"/>
      <c r="I10" s="158"/>
      <c r="J10" s="158"/>
      <c r="K10" s="444" t="s">
        <v>652</v>
      </c>
      <c r="L10" s="189"/>
      <c r="M10" s="189"/>
      <c r="N10" s="189"/>
      <c r="O10" s="189"/>
      <c r="P10" s="189"/>
      <c r="Q10" s="189"/>
      <c r="R10" s="189"/>
      <c r="S10" s="189"/>
      <c r="T10" s="189"/>
      <c r="U10" s="189"/>
      <c r="V10" s="189"/>
      <c r="W10" s="189"/>
      <c r="X10" s="189"/>
      <c r="Y10" s="158"/>
      <c r="Z10" s="191"/>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s="158"/>
      <c r="CT10" s="158"/>
      <c r="CU10" s="158"/>
      <c r="CV10" s="158"/>
      <c r="CW10" s="158"/>
      <c r="CX10" s="158"/>
      <c r="CY10" s="158"/>
      <c r="CZ10" s="158"/>
      <c r="DA10" s="158"/>
      <c r="DB10" s="158"/>
      <c r="DC10" s="158"/>
      <c r="DD10" s="158"/>
      <c r="DE10" s="158"/>
      <c r="DF10" s="81"/>
      <c r="DG10" s="81"/>
      <c r="DH10" s="81"/>
      <c r="DI10" s="81"/>
      <c r="DJ10" s="81"/>
      <c r="DK10" s="81"/>
      <c r="DL10" s="81"/>
      <c r="DM10" s="81"/>
      <c r="DN10" s="81"/>
      <c r="DO10" s="81"/>
      <c r="DP10" s="81"/>
      <c r="DQ10" s="81"/>
      <c r="DR10" s="81"/>
      <c r="DS10" s="81"/>
      <c r="DT10" s="81"/>
    </row>
    <row r="11" spans="4:152" s="164" customFormat="1" ht="0.75" customHeight="1">
      <c r="D11" s="165"/>
      <c r="E11" s="190"/>
      <c r="F11" s="158"/>
      <c r="G11"/>
      <c r="H11" s="84"/>
      <c r="I11" s="158"/>
      <c r="J11" s="158"/>
      <c r="K11" s="189"/>
      <c r="L11" s="189"/>
      <c r="M11" s="189"/>
      <c r="N11" s="189"/>
      <c r="O11" s="189"/>
      <c r="P11" s="189"/>
      <c r="Q11" s="189"/>
      <c r="R11" s="189"/>
      <c r="S11" s="189"/>
      <c r="T11" s="189"/>
      <c r="U11" s="189"/>
      <c r="V11" s="189"/>
      <c r="W11" s="189"/>
      <c r="X11" s="189"/>
      <c r="Y11" s="158"/>
      <c r="Z11" s="19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s="158"/>
      <c r="CT11" s="158"/>
      <c r="CU11" s="158"/>
      <c r="CV11" s="158"/>
      <c r="CW11" s="158"/>
      <c r="CX11" s="158"/>
      <c r="CY11" s="158"/>
      <c r="CZ11" s="158"/>
      <c r="DA11" s="158"/>
      <c r="DB11" s="158"/>
      <c r="DC11" s="158"/>
      <c r="DD11" s="158"/>
      <c r="DE11" s="158"/>
      <c r="DF11" s="81"/>
      <c r="DG11" s="81"/>
      <c r="DH11" s="81"/>
      <c r="DI11" s="81"/>
      <c r="DJ11" s="81"/>
      <c r="DK11" s="81"/>
      <c r="DL11" s="81"/>
      <c r="DM11" s="81"/>
      <c r="DN11" s="81"/>
      <c r="DO11" s="81"/>
      <c r="DP11" s="81"/>
      <c r="DQ11" s="81"/>
      <c r="DR11" s="81"/>
      <c r="DS11" s="81"/>
      <c r="DT11" s="81"/>
    </row>
    <row r="12" spans="4:152" s="164" customFormat="1" ht="12" customHeight="1">
      <c r="D12" s="165"/>
      <c r="E12" s="190"/>
      <c r="F12" s="158"/>
      <c r="G12" s="589" t="s">
        <v>445</v>
      </c>
      <c r="H12" s="588"/>
      <c r="I12" s="158"/>
      <c r="J12" s="158"/>
      <c r="K12" s="922" t="s">
        <v>2863</v>
      </c>
      <c r="L12" s="922"/>
      <c r="M12" s="922"/>
      <c r="N12" s="922"/>
      <c r="O12" s="922"/>
      <c r="P12" s="922"/>
      <c r="Q12" s="922"/>
      <c r="R12" s="922"/>
      <c r="S12" s="922"/>
      <c r="T12" s="922"/>
      <c r="U12" s="922"/>
      <c r="V12" s="922"/>
      <c r="W12" s="922"/>
      <c r="X12" s="922"/>
      <c r="Y12" s="158"/>
      <c r="Z12" s="191"/>
      <c r="AA12" s="191"/>
      <c r="AB12" s="158"/>
      <c r="AC12" s="158"/>
      <c r="AD12" s="158"/>
      <c r="AE12" s="158"/>
      <c r="AF12" s="158"/>
      <c r="AG12" s="158"/>
      <c r="AH12" s="158"/>
      <c r="AI12" s="158"/>
      <c r="AJ12" s="158"/>
      <c r="AK12" s="158"/>
      <c r="AL12" s="158"/>
      <c r="AM12" s="158"/>
      <c r="AN12" s="158"/>
      <c r="AO12" s="158"/>
      <c r="AP12" s="158"/>
      <c r="AQ12" s="158"/>
      <c r="AR12" s="158"/>
      <c r="AS12" s="158"/>
      <c r="AT12" s="158"/>
      <c r="AU12" s="158"/>
      <c r="AV12" s="427"/>
      <c r="AW12" s="158"/>
      <c r="AX12" s="158"/>
      <c r="AY12" s="158"/>
      <c r="AZ12" s="158"/>
      <c r="BA12" s="158"/>
      <c r="BB12" s="158"/>
      <c r="BC12" s="158"/>
      <c r="BD12" s="158"/>
      <c r="BE12" s="158"/>
      <c r="BF12" s="158"/>
      <c r="BG12" s="158"/>
      <c r="BH12" s="158"/>
      <c r="BI12" s="158"/>
      <c r="BJ12" s="158"/>
      <c r="BK12" s="427"/>
      <c r="BL12" s="158"/>
      <c r="BM12" s="158"/>
      <c r="BN12" s="158"/>
      <c r="BO12" s="158"/>
      <c r="BP12" s="158"/>
      <c r="BQ12" s="158"/>
      <c r="BR12" s="158"/>
      <c r="BS12" s="158"/>
      <c r="BT12" s="158"/>
      <c r="BU12" s="158"/>
      <c r="BV12" s="158"/>
      <c r="BW12" s="158"/>
      <c r="BX12" s="158"/>
      <c r="BY12" s="158"/>
      <c r="BZ12" s="427"/>
      <c r="CA12" s="158"/>
      <c r="CB12" s="158"/>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81"/>
      <c r="DG12" s="81"/>
      <c r="DH12" s="81"/>
      <c r="DI12" s="81"/>
      <c r="DJ12" s="81"/>
      <c r="DK12" s="81"/>
      <c r="DL12" s="81"/>
      <c r="DM12" s="81"/>
      <c r="DN12" s="81"/>
      <c r="DO12" s="81"/>
      <c r="DP12" s="81"/>
      <c r="DQ12" s="81"/>
      <c r="DR12" s="81"/>
      <c r="DS12" s="81"/>
      <c r="DT12" s="81"/>
    </row>
    <row r="13" spans="4:152" ht="24" customHeight="1">
      <c r="E13" s="192"/>
      <c r="F13" s="827" t="s">
        <v>641</v>
      </c>
      <c r="G13" s="827" t="s">
        <v>735</v>
      </c>
      <c r="H13" s="827" t="s">
        <v>894</v>
      </c>
      <c r="I13" s="827"/>
      <c r="J13" s="827" t="s">
        <v>626</v>
      </c>
      <c r="K13" s="802" t="s">
        <v>2584</v>
      </c>
      <c r="L13" s="802"/>
      <c r="M13" s="802"/>
      <c r="N13" s="803" t="s">
        <v>2569</v>
      </c>
      <c r="O13" s="803"/>
      <c r="P13" s="802" t="s">
        <v>2570</v>
      </c>
      <c r="Q13" s="802"/>
      <c r="R13" s="802" t="s">
        <v>2862</v>
      </c>
      <c r="S13" s="802"/>
      <c r="T13" s="802"/>
      <c r="U13" s="802"/>
      <c r="V13" s="802" t="s">
        <v>2571</v>
      </c>
      <c r="W13" s="802"/>
      <c r="X13" s="803" t="s">
        <v>2572</v>
      </c>
      <c r="Y13" s="828" t="str">
        <f>"Экономически обоснованный тариф, руб./" &amp; $G$12</f>
        <v>Экономически обоснованный тариф, руб./куб.м</v>
      </c>
      <c r="Z13" s="828"/>
      <c r="AA13" s="872" t="str">
        <f>"Средневзвешенный тариф с учётом надбавки, руб./" &amp; $G$12</f>
        <v>Средневзвешенный тариф с учётом надбавки, руб./куб.м</v>
      </c>
      <c r="AB13" s="873"/>
      <c r="AC13" s="872" t="str">
        <f>"Средневзвешенный тариф, руб./" &amp; $G$12</f>
        <v>Средневзвешенный тариф, руб./куб.м</v>
      </c>
      <c r="AD13" s="873"/>
      <c r="AE13" s="872"/>
      <c r="AF13" s="873"/>
      <c r="AG13" s="828" t="str">
        <f>"Объём реализации услуги потребителям, всего, " &amp; $G$12</f>
        <v>Объём реализации услуги потребителям, всего, куб.м</v>
      </c>
      <c r="AH13" s="872"/>
      <c r="AI13" s="873"/>
      <c r="AJ13" s="872" t="str">
        <f>"Надбавка к тарифу, руб./" &amp; $G$12</f>
        <v>Надбавка к тарифу, руб./куб.м</v>
      </c>
      <c r="AK13" s="873"/>
      <c r="AL13" s="828" t="str">
        <f>"Объём, на который расчитана надбавка, " &amp; $G$12</f>
        <v>Объём, на который расчитана надбавка, куб.м</v>
      </c>
      <c r="AM13" s="828" t="s">
        <v>2459</v>
      </c>
      <c r="AN13" s="828"/>
      <c r="AO13" s="828"/>
      <c r="AP13" s="828"/>
      <c r="AQ13" s="828"/>
      <c r="AR13" s="828" t="s">
        <v>747</v>
      </c>
      <c r="AS13" s="828"/>
      <c r="AT13" s="828"/>
      <c r="AU13" s="828"/>
      <c r="AV13" s="831"/>
      <c r="AW13" s="828"/>
      <c r="AX13" s="828"/>
      <c r="AY13" s="828"/>
      <c r="AZ13" s="828"/>
      <c r="BA13" s="828"/>
      <c r="BB13" s="828"/>
      <c r="BC13" s="828"/>
      <c r="BD13" s="828"/>
      <c r="BE13" s="828"/>
      <c r="BF13" s="828"/>
      <c r="BG13" s="828" t="s">
        <v>748</v>
      </c>
      <c r="BH13" s="828"/>
      <c r="BI13" s="828"/>
      <c r="BJ13" s="828"/>
      <c r="BK13" s="831"/>
      <c r="BL13" s="828"/>
      <c r="BM13" s="828"/>
      <c r="BN13" s="828"/>
      <c r="BO13" s="828"/>
      <c r="BP13" s="828"/>
      <c r="BQ13" s="828"/>
      <c r="BR13" s="828"/>
      <c r="BS13" s="828"/>
      <c r="BT13" s="828"/>
      <c r="BU13" s="828"/>
      <c r="BV13" s="828" t="s">
        <v>758</v>
      </c>
      <c r="BW13" s="828"/>
      <c r="BX13" s="828"/>
      <c r="BY13" s="828"/>
      <c r="BZ13" s="831"/>
      <c r="CA13" s="828"/>
      <c r="CB13" s="828"/>
      <c r="CC13" s="828"/>
      <c r="CD13" s="828"/>
      <c r="CE13" s="828"/>
      <c r="CF13" s="828"/>
      <c r="CG13" s="828"/>
      <c r="CH13" s="828"/>
      <c r="CI13" s="828"/>
      <c r="CJ13" s="828"/>
      <c r="CK13" s="828" t="s">
        <v>896</v>
      </c>
      <c r="CL13" s="828" t="s">
        <v>897</v>
      </c>
      <c r="CM13" s="828" t="s">
        <v>898</v>
      </c>
      <c r="CN13" s="828"/>
      <c r="CO13" s="828"/>
      <c r="CP13" s="828"/>
      <c r="CQ13" s="828"/>
      <c r="CR13" s="828" t="s">
        <v>899</v>
      </c>
      <c r="CS13" s="185"/>
      <c r="CT13" s="185"/>
      <c r="CU13" s="185"/>
      <c r="CV13" s="185"/>
      <c r="CW13" s="185"/>
      <c r="CX13" s="185"/>
      <c r="CY13" s="185"/>
      <c r="CZ13" s="185"/>
      <c r="DA13" s="185"/>
      <c r="DB13" s="185"/>
      <c r="DC13" s="185"/>
      <c r="DD13" s="185"/>
      <c r="DE13" s="185"/>
    </row>
    <row r="14" spans="4:152" ht="18.75" customHeight="1">
      <c r="E14" s="192"/>
      <c r="F14" s="869"/>
      <c r="G14" s="869"/>
      <c r="H14" s="827"/>
      <c r="I14" s="827"/>
      <c r="J14" s="827"/>
      <c r="K14" s="803" t="s">
        <v>2581</v>
      </c>
      <c r="L14" s="803" t="s">
        <v>2582</v>
      </c>
      <c r="M14" s="803" t="s">
        <v>2583</v>
      </c>
      <c r="N14" s="860"/>
      <c r="O14" s="860"/>
      <c r="P14" s="803" t="s">
        <v>2573</v>
      </c>
      <c r="Q14" s="803" t="s">
        <v>2574</v>
      </c>
      <c r="R14" s="803" t="s">
        <v>2573</v>
      </c>
      <c r="S14" s="803" t="s">
        <v>2574</v>
      </c>
      <c r="T14" s="803"/>
      <c r="U14" s="803"/>
      <c r="V14" s="803" t="s">
        <v>2575</v>
      </c>
      <c r="W14" s="803" t="s">
        <v>2576</v>
      </c>
      <c r="X14" s="860"/>
      <c r="Y14" s="828"/>
      <c r="Z14" s="828"/>
      <c r="AA14" s="874"/>
      <c r="AB14" s="875"/>
      <c r="AC14" s="874"/>
      <c r="AD14" s="875"/>
      <c r="AE14" s="874"/>
      <c r="AF14" s="875"/>
      <c r="AG14" s="828"/>
      <c r="AH14" s="874"/>
      <c r="AI14" s="875"/>
      <c r="AJ14" s="874"/>
      <c r="AK14" s="875"/>
      <c r="AL14" s="828"/>
      <c r="AM14" s="828" t="str">
        <f>"Тариф, руб./" &amp; $G$12</f>
        <v>Тариф, руб./куб.м</v>
      </c>
      <c r="AN14" s="828"/>
      <c r="AO14" s="828" t="str">
        <f>"Льготный тариф, руб./" &amp; $G$12</f>
        <v>Льготный тариф, руб./куб.м</v>
      </c>
      <c r="AP14" s="828"/>
      <c r="AQ14" s="828" t="str">
        <f>"Объём реализации услуги, " &amp; $G$12</f>
        <v>Объём реализации услуги, куб.м</v>
      </c>
      <c r="AR14" s="872" t="str">
        <f>"Одноставочный тариф, руб./" &amp; $G$12</f>
        <v>Одноставочный тариф, руб./куб.м</v>
      </c>
      <c r="AS14" s="873"/>
      <c r="AT14" s="828" t="str">
        <f>"Льготный тариф, руб./" &amp; $G$12</f>
        <v>Льготный тариф, руб./куб.м</v>
      </c>
      <c r="AU14" s="828"/>
      <c r="AV14" s="828" t="str">
        <f>"Объём реализации услуги, " &amp; $G$12</f>
        <v>Объём реализации услуги, куб.м</v>
      </c>
      <c r="AW14" s="828" t="s">
        <v>903</v>
      </c>
      <c r="AX14" s="828"/>
      <c r="AY14" s="828"/>
      <c r="AZ14" s="828"/>
      <c r="BA14" s="828"/>
      <c r="BB14" s="828"/>
      <c r="BC14" s="828"/>
      <c r="BD14" s="828"/>
      <c r="BE14" s="828" t="s">
        <v>906</v>
      </c>
      <c r="BF14" s="828" t="str">
        <f>"Удельная величина дотаций, руб./" &amp; $G$12</f>
        <v>Удельная величина дотаций, руб./куб.м</v>
      </c>
      <c r="BG14" s="872" t="str">
        <f>"Одноставочный тариф, руб./" &amp; $G$12</f>
        <v>Одноставочный тариф, руб./куб.м</v>
      </c>
      <c r="BH14" s="873"/>
      <c r="BI14" s="828" t="str">
        <f>"Льготный тариф, руб./" &amp; $G$12</f>
        <v>Льготный тариф, руб./куб.м</v>
      </c>
      <c r="BJ14" s="828"/>
      <c r="BK14" s="828" t="str">
        <f>"Объём реализации услуги, " &amp; $G$12</f>
        <v>Объём реализации услуги, куб.м</v>
      </c>
      <c r="BL14" s="828" t="s">
        <v>903</v>
      </c>
      <c r="BM14" s="828"/>
      <c r="BN14" s="828"/>
      <c r="BO14" s="828"/>
      <c r="BP14" s="828"/>
      <c r="BQ14" s="828"/>
      <c r="BR14" s="828"/>
      <c r="BS14" s="828"/>
      <c r="BT14" s="828" t="s">
        <v>906</v>
      </c>
      <c r="BU14" s="828" t="str">
        <f>"Удельная величина дотаций, руб./" &amp; $G$12</f>
        <v>Удельная величина дотаций, руб./куб.м</v>
      </c>
      <c r="BV14" s="872" t="str">
        <f>"Одноставочный тариф, руб./" &amp; $G$12</f>
        <v>Одноставочный тариф, руб./куб.м</v>
      </c>
      <c r="BW14" s="873"/>
      <c r="BX14" s="828" t="str">
        <f>"Льготный тариф, руб./" &amp; $G$12</f>
        <v>Льготный тариф, руб./куб.м</v>
      </c>
      <c r="BY14" s="828"/>
      <c r="BZ14" s="828" t="str">
        <f>"Объём реализации услуги, " &amp; $G$12</f>
        <v>Объём реализации услуги, куб.м</v>
      </c>
      <c r="CA14" s="828" t="s">
        <v>903</v>
      </c>
      <c r="CB14" s="828"/>
      <c r="CC14" s="828"/>
      <c r="CD14" s="828"/>
      <c r="CE14" s="828"/>
      <c r="CF14" s="828"/>
      <c r="CG14" s="828"/>
      <c r="CH14" s="828"/>
      <c r="CI14" s="828" t="s">
        <v>906</v>
      </c>
      <c r="CJ14" s="828" t="str">
        <f>"Удельная величина дотаций, руб./" &amp; $G$12</f>
        <v>Удельная величина дотаций, руб./куб.м</v>
      </c>
      <c r="CK14" s="828"/>
      <c r="CL14" s="828"/>
      <c r="CM14" s="828" t="s">
        <v>907</v>
      </c>
      <c r="CN14" s="828" t="s">
        <v>908</v>
      </c>
      <c r="CO14" s="828" t="s">
        <v>909</v>
      </c>
      <c r="CP14" s="828" t="s">
        <v>910</v>
      </c>
      <c r="CQ14" s="828" t="s">
        <v>911</v>
      </c>
      <c r="CR14" s="828"/>
      <c r="CS14" s="185"/>
      <c r="CT14" s="185"/>
      <c r="CU14" s="185"/>
      <c r="CV14" s="185"/>
      <c r="CW14" s="185"/>
      <c r="CX14" s="185"/>
      <c r="CY14" s="185"/>
      <c r="CZ14" s="185"/>
      <c r="DA14" s="185"/>
      <c r="DB14" s="185"/>
      <c r="DC14" s="185"/>
      <c r="DD14" s="185"/>
      <c r="DE14" s="185"/>
    </row>
    <row r="15" spans="4:152" ht="30" customHeight="1">
      <c r="E15" s="192"/>
      <c r="F15" s="869"/>
      <c r="G15" s="869"/>
      <c r="H15" s="827"/>
      <c r="I15" s="827"/>
      <c r="J15" s="827"/>
      <c r="K15" s="860"/>
      <c r="L15" s="860"/>
      <c r="M15" s="860"/>
      <c r="N15" s="860"/>
      <c r="O15" s="860"/>
      <c r="P15" s="860"/>
      <c r="Q15" s="860"/>
      <c r="R15" s="860"/>
      <c r="S15" s="860"/>
      <c r="T15" s="860"/>
      <c r="U15" s="860"/>
      <c r="V15" s="860"/>
      <c r="W15" s="860"/>
      <c r="X15" s="860"/>
      <c r="Y15" s="828"/>
      <c r="Z15" s="828"/>
      <c r="AA15" s="876"/>
      <c r="AB15" s="877"/>
      <c r="AC15" s="876"/>
      <c r="AD15" s="877"/>
      <c r="AE15" s="876"/>
      <c r="AF15" s="877"/>
      <c r="AG15" s="828"/>
      <c r="AH15" s="876"/>
      <c r="AI15" s="877"/>
      <c r="AJ15" s="876"/>
      <c r="AK15" s="877"/>
      <c r="AL15" s="828"/>
      <c r="AM15" s="828"/>
      <c r="AN15" s="828"/>
      <c r="AO15" s="828"/>
      <c r="AP15" s="828"/>
      <c r="AQ15" s="828"/>
      <c r="AR15" s="876"/>
      <c r="AS15" s="877"/>
      <c r="AT15" s="828"/>
      <c r="AU15" s="828"/>
      <c r="AV15" s="828"/>
      <c r="AW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AX15" s="828"/>
      <c r="AY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AZ15" s="828"/>
      <c r="BA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B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C15" s="828"/>
      <c r="BD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E15" s="828"/>
      <c r="BF15" s="828"/>
      <c r="BG15" s="876"/>
      <c r="BH15" s="877"/>
      <c r="BI15" s="828"/>
      <c r="BJ15" s="828"/>
      <c r="BK15" s="828"/>
      <c r="BL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BM15" s="828"/>
      <c r="BN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BO15" s="828"/>
      <c r="BP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Q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R15" s="828"/>
      <c r="BS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T15" s="828"/>
      <c r="BU15" s="828"/>
      <c r="BV15" s="876"/>
      <c r="BW15" s="877"/>
      <c r="BX15" s="828"/>
      <c r="BY15" s="828"/>
      <c r="BZ15" s="828"/>
      <c r="CA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CB15" s="828"/>
      <c r="CC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CD15" s="828"/>
      <c r="CE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CF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CG15" s="828"/>
      <c r="CH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CI15" s="828"/>
      <c r="CJ15" s="828"/>
      <c r="CK15" s="828"/>
      <c r="CL15" s="828"/>
      <c r="CM15" s="828"/>
      <c r="CN15" s="828"/>
      <c r="CO15" s="828"/>
      <c r="CP15" s="828"/>
      <c r="CQ15" s="828"/>
      <c r="CR15" s="828"/>
      <c r="CS15" s="185"/>
      <c r="CT15" s="185"/>
      <c r="CU15" s="185"/>
      <c r="CV15" s="185"/>
      <c r="CW15" s="185"/>
      <c r="CX15" s="185"/>
      <c r="CY15" s="185"/>
      <c r="CZ15" s="185"/>
      <c r="DA15" s="185"/>
      <c r="DB15" s="185"/>
      <c r="DC15" s="185"/>
      <c r="DD15" s="185"/>
      <c r="DE15" s="185"/>
      <c r="DP15" s="78"/>
      <c r="DQ15" s="78"/>
      <c r="DR15" s="78"/>
      <c r="DS15" s="78"/>
      <c r="DT15" s="78"/>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row>
    <row r="16" spans="4:152" ht="12" customHeight="1">
      <c r="E16" s="192"/>
      <c r="F16" s="869"/>
      <c r="G16" s="869"/>
      <c r="H16" s="827"/>
      <c r="I16" s="827"/>
      <c r="J16" s="827"/>
      <c r="K16" s="826"/>
      <c r="L16" s="826"/>
      <c r="M16" s="826"/>
      <c r="N16" s="826"/>
      <c r="O16" s="826"/>
      <c r="P16" s="826"/>
      <c r="Q16" s="826"/>
      <c r="R16" s="826"/>
      <c r="S16" s="826"/>
      <c r="T16" s="826"/>
      <c r="U16" s="826"/>
      <c r="V16" s="826"/>
      <c r="W16" s="826"/>
      <c r="X16" s="826"/>
      <c r="Y16" s="193" t="s">
        <v>627</v>
      </c>
      <c r="Z16" s="193" t="s">
        <v>628</v>
      </c>
      <c r="AA16" s="193" t="s">
        <v>627</v>
      </c>
      <c r="AB16" s="193" t="s">
        <v>628</v>
      </c>
      <c r="AC16" s="193" t="s">
        <v>627</v>
      </c>
      <c r="AD16" s="193" t="s">
        <v>628</v>
      </c>
      <c r="AE16" s="193"/>
      <c r="AF16" s="193"/>
      <c r="AG16" s="828"/>
      <c r="AH16" s="193"/>
      <c r="AI16" s="193"/>
      <c r="AJ16" s="193" t="s">
        <v>627</v>
      </c>
      <c r="AK16" s="193" t="s">
        <v>628</v>
      </c>
      <c r="AL16" s="828"/>
      <c r="AM16" s="193" t="s">
        <v>627</v>
      </c>
      <c r="AN16" s="193" t="s">
        <v>628</v>
      </c>
      <c r="AO16" s="193" t="s">
        <v>627</v>
      </c>
      <c r="AP16" s="193" t="s">
        <v>628</v>
      </c>
      <c r="AQ16" s="828"/>
      <c r="AR16" s="193" t="s">
        <v>627</v>
      </c>
      <c r="AS16" s="193" t="s">
        <v>628</v>
      </c>
      <c r="AT16" s="193" t="s">
        <v>627</v>
      </c>
      <c r="AU16" s="193" t="s">
        <v>628</v>
      </c>
      <c r="AV16" s="828"/>
      <c r="AW16" s="193" t="s">
        <v>627</v>
      </c>
      <c r="AX16" s="193" t="s">
        <v>628</v>
      </c>
      <c r="AY16" s="193" t="s">
        <v>627</v>
      </c>
      <c r="AZ16" s="193" t="s">
        <v>628</v>
      </c>
      <c r="BA16" s="828"/>
      <c r="BB16" s="193" t="s">
        <v>627</v>
      </c>
      <c r="BC16" s="193" t="s">
        <v>628</v>
      </c>
      <c r="BD16" s="828"/>
      <c r="BE16" s="828"/>
      <c r="BF16" s="828"/>
      <c r="BG16" s="193" t="s">
        <v>627</v>
      </c>
      <c r="BH16" s="193" t="s">
        <v>628</v>
      </c>
      <c r="BI16" s="193" t="s">
        <v>627</v>
      </c>
      <c r="BJ16" s="193" t="s">
        <v>628</v>
      </c>
      <c r="BK16" s="828"/>
      <c r="BL16" s="193" t="s">
        <v>627</v>
      </c>
      <c r="BM16" s="193" t="s">
        <v>628</v>
      </c>
      <c r="BN16" s="193" t="s">
        <v>627</v>
      </c>
      <c r="BO16" s="193" t="s">
        <v>628</v>
      </c>
      <c r="BP16" s="828"/>
      <c r="BQ16" s="193" t="s">
        <v>627</v>
      </c>
      <c r="BR16" s="193" t="s">
        <v>628</v>
      </c>
      <c r="BS16" s="828"/>
      <c r="BT16" s="828"/>
      <c r="BU16" s="828"/>
      <c r="BV16" s="193" t="s">
        <v>627</v>
      </c>
      <c r="BW16" s="193" t="s">
        <v>628</v>
      </c>
      <c r="BX16" s="193" t="s">
        <v>627</v>
      </c>
      <c r="BY16" s="193" t="s">
        <v>628</v>
      </c>
      <c r="BZ16" s="828"/>
      <c r="CA16" s="193" t="s">
        <v>627</v>
      </c>
      <c r="CB16" s="193" t="s">
        <v>628</v>
      </c>
      <c r="CC16" s="193" t="s">
        <v>627</v>
      </c>
      <c r="CD16" s="193" t="s">
        <v>628</v>
      </c>
      <c r="CE16" s="828"/>
      <c r="CF16" s="193" t="s">
        <v>627</v>
      </c>
      <c r="CG16" s="193" t="s">
        <v>628</v>
      </c>
      <c r="CH16" s="828"/>
      <c r="CI16" s="828"/>
      <c r="CJ16" s="828"/>
      <c r="CK16" s="828"/>
      <c r="CL16" s="828"/>
      <c r="CM16" s="828"/>
      <c r="CN16" s="828"/>
      <c r="CO16" s="828"/>
      <c r="CP16" s="828"/>
      <c r="CQ16" s="828"/>
      <c r="CR16" s="828"/>
      <c r="CS16" s="185"/>
      <c r="CT16" s="185"/>
      <c r="CU16" s="185"/>
      <c r="CV16" s="185"/>
      <c r="CW16" s="185"/>
      <c r="CX16" s="185"/>
      <c r="CY16" s="185"/>
      <c r="CZ16" s="185"/>
      <c r="DA16" s="185"/>
      <c r="DB16" s="185"/>
      <c r="DC16" s="185"/>
      <c r="DD16" s="185"/>
      <c r="DE16" s="185"/>
      <c r="DF16" s="829" t="s">
        <v>295</v>
      </c>
      <c r="DG16" s="829"/>
      <c r="DH16" s="829"/>
      <c r="DI16" s="829"/>
      <c r="DJ16" s="829"/>
      <c r="DK16" s="829"/>
      <c r="DL16" s="829"/>
      <c r="DM16" s="829"/>
      <c r="DN16" s="829"/>
      <c r="DO16" s="829"/>
      <c r="DP16" s="829" t="s">
        <v>296</v>
      </c>
      <c r="DQ16" s="829"/>
      <c r="DR16" s="829"/>
      <c r="DS16" s="829"/>
      <c r="DT16" s="829"/>
      <c r="DU16" s="829"/>
      <c r="DV16" s="829"/>
      <c r="DW16" s="829"/>
      <c r="DX16" s="829"/>
      <c r="DY16" s="829"/>
      <c r="DZ16" s="829"/>
      <c r="EA16" s="829"/>
      <c r="EB16" s="829"/>
      <c r="EC16" s="829"/>
      <c r="ED16" s="829"/>
      <c r="EE16" s="829"/>
      <c r="EF16" s="829"/>
      <c r="EG16" s="829"/>
      <c r="EH16" s="829" t="s">
        <v>293</v>
      </c>
      <c r="EI16" s="829"/>
      <c r="EJ16" s="829" t="s">
        <v>294</v>
      </c>
      <c r="EK16" s="829"/>
      <c r="EL16" s="829"/>
      <c r="EM16" s="829"/>
      <c r="EN16" s="829"/>
      <c r="EO16" s="829"/>
      <c r="EP16" s="829"/>
      <c r="EQ16" s="829"/>
      <c r="ER16" s="829" t="s">
        <v>444</v>
      </c>
      <c r="ES16" s="829"/>
      <c r="ET16" s="829" t="s">
        <v>1783</v>
      </c>
      <c r="EU16" s="829"/>
      <c r="EV16" s="829"/>
    </row>
    <row r="17" spans="1:152" ht="12" customHeight="1">
      <c r="E17" s="192"/>
      <c r="F17" s="182"/>
      <c r="G17" s="182" t="s">
        <v>759</v>
      </c>
      <c r="H17" s="183" t="s">
        <v>629</v>
      </c>
      <c r="I17" s="183" t="s">
        <v>630</v>
      </c>
      <c r="J17" s="183" t="s">
        <v>631</v>
      </c>
      <c r="K17" s="183" t="s">
        <v>2851</v>
      </c>
      <c r="L17" s="183" t="s">
        <v>2852</v>
      </c>
      <c r="M17" s="183" t="s">
        <v>2853</v>
      </c>
      <c r="N17" s="183" t="s">
        <v>2854</v>
      </c>
      <c r="O17" s="183"/>
      <c r="P17" s="183" t="s">
        <v>2855</v>
      </c>
      <c r="Q17" s="183" t="s">
        <v>2856</v>
      </c>
      <c r="R17" s="183" t="s">
        <v>2857</v>
      </c>
      <c r="S17" s="183" t="s">
        <v>2858</v>
      </c>
      <c r="T17" s="183"/>
      <c r="U17" s="183"/>
      <c r="V17" s="183" t="s">
        <v>2859</v>
      </c>
      <c r="W17" s="183" t="s">
        <v>2860</v>
      </c>
      <c r="X17" s="183" t="s">
        <v>2861</v>
      </c>
      <c r="Y17" s="472" t="s">
        <v>790</v>
      </c>
      <c r="Z17" s="472" t="s">
        <v>792</v>
      </c>
      <c r="AA17" s="472" t="s">
        <v>632</v>
      </c>
      <c r="AB17" s="472" t="s">
        <v>633</v>
      </c>
      <c r="AC17" s="472" t="s">
        <v>635</v>
      </c>
      <c r="AD17" s="472" t="s">
        <v>883</v>
      </c>
      <c r="AE17" s="472"/>
      <c r="AF17" s="472"/>
      <c r="AG17" s="183" t="s">
        <v>761</v>
      </c>
      <c r="AH17" s="472"/>
      <c r="AI17" s="472"/>
      <c r="AJ17" s="472" t="s">
        <v>891</v>
      </c>
      <c r="AK17" s="472" t="s">
        <v>892</v>
      </c>
      <c r="AL17" s="472" t="s">
        <v>443</v>
      </c>
      <c r="AM17" s="183" t="s">
        <v>767</v>
      </c>
      <c r="AN17" s="183" t="s">
        <v>918</v>
      </c>
      <c r="AO17" s="183" t="s">
        <v>919</v>
      </c>
      <c r="AP17" s="183" t="s">
        <v>1799</v>
      </c>
      <c r="AQ17" s="183" t="s">
        <v>768</v>
      </c>
      <c r="AR17" s="183" t="s">
        <v>2993</v>
      </c>
      <c r="AS17" s="183" t="s">
        <v>3003</v>
      </c>
      <c r="AT17" s="183" t="s">
        <v>1800</v>
      </c>
      <c r="AU17" s="183" t="s">
        <v>1801</v>
      </c>
      <c r="AV17" s="183" t="s">
        <v>771</v>
      </c>
      <c r="AW17" s="183" t="s">
        <v>1802</v>
      </c>
      <c r="AX17" s="183" t="s">
        <v>1803</v>
      </c>
      <c r="AY17" s="183" t="s">
        <v>1804</v>
      </c>
      <c r="AZ17" s="183" t="s">
        <v>1805</v>
      </c>
      <c r="BA17" s="183" t="s">
        <v>1806</v>
      </c>
      <c r="BB17" s="183" t="s">
        <v>1807</v>
      </c>
      <c r="BC17" s="183" t="s">
        <v>1808</v>
      </c>
      <c r="BD17" s="183" t="s">
        <v>1809</v>
      </c>
      <c r="BE17" s="183" t="s">
        <v>1810</v>
      </c>
      <c r="BF17" s="183" t="s">
        <v>1811</v>
      </c>
      <c r="BG17" s="183" t="s">
        <v>1833</v>
      </c>
      <c r="BH17" s="183" t="s">
        <v>1835</v>
      </c>
      <c r="BI17" s="183" t="s">
        <v>1812</v>
      </c>
      <c r="BJ17" s="183" t="s">
        <v>1813</v>
      </c>
      <c r="BK17" s="183" t="s">
        <v>62</v>
      </c>
      <c r="BL17" s="183" t="s">
        <v>71</v>
      </c>
      <c r="BM17" s="183" t="s">
        <v>1845</v>
      </c>
      <c r="BN17" s="183" t="s">
        <v>1814</v>
      </c>
      <c r="BO17" s="183" t="s">
        <v>1815</v>
      </c>
      <c r="BP17" s="183" t="s">
        <v>1816</v>
      </c>
      <c r="BQ17" s="183" t="s">
        <v>1817</v>
      </c>
      <c r="BR17" s="183" t="s">
        <v>1818</v>
      </c>
      <c r="BS17" s="183" t="s">
        <v>1819</v>
      </c>
      <c r="BT17" s="183" t="s">
        <v>1848</v>
      </c>
      <c r="BU17" s="183" t="s">
        <v>1855</v>
      </c>
      <c r="BV17" s="183" t="s">
        <v>1820</v>
      </c>
      <c r="BW17" s="183" t="s">
        <v>1821</v>
      </c>
      <c r="BX17" s="183" t="s">
        <v>1822</v>
      </c>
      <c r="BY17" s="183" t="s">
        <v>1823</v>
      </c>
      <c r="BZ17" s="183" t="s">
        <v>2416</v>
      </c>
      <c r="CA17" s="183" t="s">
        <v>1824</v>
      </c>
      <c r="CB17" s="183" t="s">
        <v>1825</v>
      </c>
      <c r="CC17" s="183" t="s">
        <v>1826</v>
      </c>
      <c r="CD17" s="183" t="s">
        <v>1827</v>
      </c>
      <c r="CE17" s="183" t="s">
        <v>1828</v>
      </c>
      <c r="CF17" s="183" t="s">
        <v>1829</v>
      </c>
      <c r="CG17" s="183" t="s">
        <v>1830</v>
      </c>
      <c r="CH17" s="183" t="s">
        <v>1831</v>
      </c>
      <c r="CI17" s="183" t="s">
        <v>2422</v>
      </c>
      <c r="CJ17" s="183" t="s">
        <v>2425</v>
      </c>
      <c r="CK17" s="183" t="s">
        <v>2427</v>
      </c>
      <c r="CL17" s="183" t="s">
        <v>2431</v>
      </c>
      <c r="CM17" s="183" t="s">
        <v>845</v>
      </c>
      <c r="CN17" s="183" t="s">
        <v>1847</v>
      </c>
      <c r="CO17" s="183" t="s">
        <v>1854</v>
      </c>
      <c r="CP17" s="183" t="s">
        <v>2421</v>
      </c>
      <c r="CQ17" s="183" t="s">
        <v>2424</v>
      </c>
      <c r="CR17" s="183" t="s">
        <v>3005</v>
      </c>
      <c r="CS17" s="185"/>
      <c r="CT17" s="185"/>
      <c r="CU17" s="185"/>
      <c r="CV17" s="185"/>
      <c r="CW17" s="185"/>
      <c r="CX17" s="185"/>
      <c r="CY17" s="185"/>
      <c r="CZ17" s="185"/>
      <c r="DA17" s="185"/>
      <c r="DB17" s="185"/>
      <c r="DC17" s="185"/>
      <c r="DD17" s="185"/>
      <c r="DE17" s="185"/>
      <c r="DF17" s="472"/>
      <c r="DG17" s="472"/>
      <c r="DH17" s="472"/>
      <c r="DI17" s="472"/>
      <c r="DJ17" s="472"/>
      <c r="DK17" s="472"/>
      <c r="DL17" s="472"/>
      <c r="DM17" s="472"/>
      <c r="DN17" s="472"/>
      <c r="DO17" s="472"/>
      <c r="DP17" s="472" t="s">
        <v>1802</v>
      </c>
      <c r="DQ17" s="472" t="s">
        <v>1803</v>
      </c>
      <c r="DR17" s="472" t="s">
        <v>1804</v>
      </c>
      <c r="DS17" s="472" t="s">
        <v>1805</v>
      </c>
      <c r="DT17" s="472" t="s">
        <v>1807</v>
      </c>
      <c r="DU17" s="472" t="s">
        <v>1808</v>
      </c>
      <c r="DV17" s="472" t="s">
        <v>71</v>
      </c>
      <c r="DW17" s="472" t="s">
        <v>1845</v>
      </c>
      <c r="DX17" s="472" t="s">
        <v>1814</v>
      </c>
      <c r="DY17" s="472" t="s">
        <v>1815</v>
      </c>
      <c r="DZ17" s="472" t="s">
        <v>1817</v>
      </c>
      <c r="EA17" s="472" t="s">
        <v>1818</v>
      </c>
      <c r="EB17" s="472" t="s">
        <v>1824</v>
      </c>
      <c r="EC17" s="472" t="s">
        <v>1825</v>
      </c>
      <c r="ED17" s="472" t="s">
        <v>1826</v>
      </c>
      <c r="EE17" s="472" t="s">
        <v>1827</v>
      </c>
      <c r="EF17" s="472" t="s">
        <v>1829</v>
      </c>
      <c r="EG17" s="472" t="s">
        <v>1830</v>
      </c>
      <c r="EH17" s="183"/>
      <c r="EI17" s="183"/>
      <c r="EJ17" s="472"/>
      <c r="EK17" s="472"/>
      <c r="EL17" s="472"/>
      <c r="EM17" s="472"/>
      <c r="EN17" s="472"/>
      <c r="EO17" s="472"/>
      <c r="EP17" s="472"/>
      <c r="EQ17" s="472"/>
      <c r="ER17" s="183"/>
      <c r="ES17" s="183"/>
      <c r="ET17" s="183"/>
      <c r="EU17" s="183"/>
      <c r="EV17" s="183"/>
    </row>
    <row r="18" spans="1:152" ht="24" customHeight="1">
      <c r="A18" s="181"/>
      <c r="B18" s="181"/>
      <c r="C18" s="181"/>
      <c r="E18" s="192"/>
      <c r="F18" s="953" t="s">
        <v>3141</v>
      </c>
      <c r="G18" s="956" t="s">
        <v>778</v>
      </c>
      <c r="H18" s="107" t="str">
        <f>IF(TEMPLATE_SPHERE="водоснабжения","",IF(TEMPLATE_SPHERE="водоотведения","Всего",""))</f>
        <v>Всего</v>
      </c>
      <c r="I18" s="177"/>
      <c r="J18" s="177"/>
      <c r="K18" s="177"/>
      <c r="L18" s="177"/>
      <c r="M18" s="177"/>
      <c r="N18" s="177"/>
      <c r="O18" s="177"/>
      <c r="P18" s="177"/>
      <c r="Q18" s="177"/>
      <c r="R18" s="177"/>
      <c r="S18" s="177"/>
      <c r="T18" s="177"/>
      <c r="U18" s="177"/>
      <c r="V18" s="177"/>
      <c r="W18" s="177"/>
      <c r="X18" s="177"/>
      <c r="Y18" s="398">
        <f>IF((AG18+AQ18)&gt;0,SUMIF($H$21:$H$25,$H18,EH$21:EH$25)/(AG18+AQ18),0)</f>
        <v>49.289999999999992</v>
      </c>
      <c r="Z18" s="398">
        <f>IF((AG18+AQ18)&gt;0,SUMIF($H$21:$H$25,$H18,EI$21:EI$25)/(AG18+AQ18),0)</f>
        <v>49.289999999999992</v>
      </c>
      <c r="AA18" s="398">
        <f>IF(AG18=0,0,(AC18*AG18+AJ18*IF(AL18&gt;AG18,AG18,AL18))/AG18)</f>
        <v>49.290000000000006</v>
      </c>
      <c r="AB18" s="398">
        <f>IF(AG18=0,0,(AD18*AG18+AK18*IF(AL18&gt;AG18,AG18,AL18))/AG18)</f>
        <v>49.290000000000006</v>
      </c>
      <c r="AC18" s="271">
        <f>IF(AG18&gt;0,(AR18*AV18+BG18*BK18+BV18*BZ18+AW18*BA18+BL18*BP18+CA18*CE18)/AG18,0)</f>
        <v>49.290000000000006</v>
      </c>
      <c r="AD18" s="271">
        <f>IF(AG18&gt;0,(AS18*AV18+BH18*BK18+BW18*BZ18+AX18*BA18+BM18*BP18+CB18*CE18)/AG18,0)</f>
        <v>49.290000000000006</v>
      </c>
      <c r="AE18" s="398"/>
      <c r="AF18" s="398"/>
      <c r="AG18" s="271">
        <f>SUMIF($H$21:$H$25,$H18,AG$21:AG$25)</f>
        <v>364.5</v>
      </c>
      <c r="AH18" s="271"/>
      <c r="AI18" s="271"/>
      <c r="AJ18" s="271">
        <f>IF(AL18&gt;0,SUMIF($H$21:$H$25,$H18,ER$21:ER$25)/AL18,0)</f>
        <v>0</v>
      </c>
      <c r="AK18" s="271">
        <f>IF(AL18&gt;0,SUMIF($H$21:$H$25,$H18,ES$21:ES$25)/AL18,0)</f>
        <v>0</v>
      </c>
      <c r="AL18" s="271">
        <f>SUMIF($H$21:$H$25,$H18,AL$21:AL$25)</f>
        <v>0</v>
      </c>
      <c r="AM18" s="271">
        <f>IF(AQ18&gt;0,SUMIF($H$21:$H$25,$H18,DH$21:DH$25)/AQ18,0)</f>
        <v>0</v>
      </c>
      <c r="AN18" s="271">
        <f>IF(AQ18&gt;0,SUMIF($H$21:$H$25,$H18,DI$21:DI$25)/AQ18,0)</f>
        <v>0</v>
      </c>
      <c r="AO18" s="271">
        <f>IF(AQ18&gt;0,SUMIF($H$21:$H$25,$H18,EJ$21:EJ$25)/AQ18,0)</f>
        <v>0</v>
      </c>
      <c r="AP18" s="271">
        <f>IF(AQ18&gt;0,SUMIF($H$21:$H$25,$H18,EK$21:EK$25)/AQ18,0)</f>
        <v>0</v>
      </c>
      <c r="AQ18" s="271">
        <f>SUMIF($H$21:$H$25,$H18,AQ$21:AQ$25)</f>
        <v>0</v>
      </c>
      <c r="AR18" s="271">
        <f>IF(AV18&gt;0,SUMIF($H$21:$H$25,$H18,DJ$21:DJ$25)/AV18,0)</f>
        <v>49.29</v>
      </c>
      <c r="AS18" s="271">
        <f>IF(AV18&gt;0,SUMIF($H$21:$H$25,$H18,DK$21:DK$25)/AV18,0)</f>
        <v>49.29</v>
      </c>
      <c r="AT18" s="271">
        <f>IF(AV18&gt;0,SUMIF($H$21:$H$25,$H18,EL$21:EL$25)/AV18,0)</f>
        <v>0</v>
      </c>
      <c r="AU18" s="271">
        <f>IF(AV18&gt;0,SUMIF($H$21:$H$25,$H18,EM$21:EM$25)/AV18,0)</f>
        <v>0</v>
      </c>
      <c r="AV18" s="271">
        <f>SUMIF($H$21:$H$25,$H18,AV$21:AV$25)</f>
        <v>223.8</v>
      </c>
      <c r="AW18" s="271">
        <f>IF(BA18&gt;0,INDEX(DP18:EG18,MATCH(AW$17,DP$17:EG$17))/BA18,0)</f>
        <v>0</v>
      </c>
      <c r="AX18" s="271">
        <f>IF(BA18&gt;0,INDEX(DP18:EG18,MATCH(AX$17,DP$17:EG$17))/BA18,0)</f>
        <v>0</v>
      </c>
      <c r="AY18" s="271">
        <f>IF(BA18&gt;0,INDEX(DP18:EG18,MATCH(AY$17,DP$17:EG$17))/BA18,0)</f>
        <v>0</v>
      </c>
      <c r="AZ18" s="271">
        <f>IF(BA18&gt;0,INDEX(DP18:EG18,MATCH(AZ$17,DP$17:EG$17))/BA18,0)</f>
        <v>0</v>
      </c>
      <c r="BA18" s="271">
        <f t="array" ref="BA18">SUM(($H$21:$H$25=H18)*(AR$21:AR$25="")*BA$21:BA$25)</f>
        <v>0</v>
      </c>
      <c r="BB18" s="271">
        <f>IF(BD18&gt;0,INDEX(DP18:EG18,MATCH(BB$17,DP$17:EG$17))/BD18,0)</f>
        <v>0</v>
      </c>
      <c r="BC18" s="271">
        <f>IF(BD18&gt;0,INDEX(DP18:EG18,MATCH(BC$17,DP$17:EG$17))/BD18,0)</f>
        <v>0</v>
      </c>
      <c r="BD18" s="271">
        <f t="array" ref="BD18">SUM(($H$21:$H$25=H18)*(AR$21:AR$25="")*BD$21:BD$25)</f>
        <v>0</v>
      </c>
      <c r="BE18" s="271">
        <f>SUMIF($H$21:$H$25,$H18,BE$21:BE$25)</f>
        <v>0</v>
      </c>
      <c r="BF18" s="117"/>
      <c r="BG18" s="271">
        <f>IF(BK18&gt;0,SUMIF($H$21:$H$25,$H18,DL$21:DL$25)/BK18,0)</f>
        <v>49.29</v>
      </c>
      <c r="BH18" s="271">
        <f>IF(BK18&gt;0,SUMIF($H$21:$H$25,$H18,DM$21:DM$25)/BK18,0)</f>
        <v>49.29</v>
      </c>
      <c r="BI18" s="271">
        <f>IF(BK18&gt;0,SUMIF($H$21:$H$25,$H18,EN$21:EN$25)/BK18,0)</f>
        <v>0</v>
      </c>
      <c r="BJ18" s="271">
        <f>IF(BK18&gt;0,SUMIF($H$21:$H$25,$H18,EO$21:EO$25)/BK18,0)</f>
        <v>0</v>
      </c>
      <c r="BK18" s="271">
        <f>SUMIF($H$21:$H$25,$H18,BK$21:BK$25)</f>
        <v>16.600000000000001</v>
      </c>
      <c r="BL18" s="271">
        <f>IF(BP18&gt;0,INDEX(DP18:EG18,MATCH(BL$17,DP$17:EG$17))/BP18,0)</f>
        <v>0</v>
      </c>
      <c r="BM18" s="271">
        <f>IF(BP18&gt;0,INDEX(DP18:EG18,MATCH(BM$17,DP$17:EG$17))/BP18,0)</f>
        <v>0</v>
      </c>
      <c r="BN18" s="271">
        <f>IF(BP18&gt;0,INDEX(DP18:EG18,MATCH(BN$17,DP$17:EG$17))/BP18,0)</f>
        <v>0</v>
      </c>
      <c r="BO18" s="271">
        <f>IF(BP18&gt;0,INDEX(DP18:EG18,MATCH(BO$17,DP$17:EG$17))/BP18,0)</f>
        <v>0</v>
      </c>
      <c r="BP18" s="271">
        <f t="array" ref="BP18">SUM(($H$21:$H$25=H18)*(AR$21:AR$25="")*BP$21:BP$25)</f>
        <v>0</v>
      </c>
      <c r="BQ18" s="271">
        <f>IF(BS18&gt;0,INDEX(DP18:EG18,MATCH(BQ$17,DP$17:EG$17))/BS18,0)</f>
        <v>0</v>
      </c>
      <c r="BR18" s="271">
        <f>IF(BS18&gt;0,INDEX(DP18:EG18,MATCH(BR$17,DP$17:EG$17))/BS18,0)</f>
        <v>0</v>
      </c>
      <c r="BS18" s="271">
        <f t="array" ref="BS18">SUM(($H$21:$H$25=H18)*(AR$21:AR$25="")*BS$21:BS$25)</f>
        <v>0</v>
      </c>
      <c r="BT18" s="271">
        <f>SUMIF($H$21:$H$25,$H18,BT$21:BT$25)</f>
        <v>0</v>
      </c>
      <c r="BU18" s="117"/>
      <c r="BV18" s="271">
        <f>IF(BZ18&gt;0,SUMIF($H$21:$H$25,$H18,DN$21:DN$25)/BZ18,0)</f>
        <v>49.29</v>
      </c>
      <c r="BW18" s="271">
        <f>IF(BZ18&gt;0,SUMIF($H$21:$H$25,$H18,DO$21:DO$25)/BZ18,0)</f>
        <v>49.29</v>
      </c>
      <c r="BX18" s="271">
        <f>IF(BZ18&gt;0,SUMIF($H$21:$H$25,$H18,EP$21:EP$25)/BZ18,0)</f>
        <v>0</v>
      </c>
      <c r="BY18" s="271">
        <f>IF(BZ18&gt;0,SUMIF($H$21:$H$25,$H18,EQ$21:EQ$25)/BZ18,0)</f>
        <v>0</v>
      </c>
      <c r="BZ18" s="271">
        <f>SUMIF($H$21:$H$25,$H18,BZ$21:BZ$25)</f>
        <v>124.1</v>
      </c>
      <c r="CA18" s="271">
        <f>IF(CE18&gt;0,INDEX(DP18:EG18,MATCH(CA$17,DP$17:EG$17))/CE18,0)</f>
        <v>0</v>
      </c>
      <c r="CB18" s="271">
        <f>IF(CE18&gt;0,INDEX(DP18:EG18,MATCH(CB$17,DP$17:EG$17))/CE18,0)</f>
        <v>0</v>
      </c>
      <c r="CC18" s="271">
        <f>IF(CE18&gt;0,INDEX(DP18:EG18,MATCH(CC$17,DP$17:EG$17))/CE18,0)</f>
        <v>0</v>
      </c>
      <c r="CD18" s="271">
        <f>IF(CE18&gt;0,INDEX(DP18:EG18,MATCH(CD$17,DP$17:EG$17))/CE18,0)</f>
        <v>0</v>
      </c>
      <c r="CE18" s="271">
        <f t="array" ref="CE18">SUM(($H$21:$H$25=H18)*(AR$21:AR$25="")*CE$21:CE$25)</f>
        <v>0</v>
      </c>
      <c r="CF18" s="271">
        <f>IF(CH18&gt;0,INDEX(DP18:EG18,MATCH(CF$17,DP$17:EG$17))/CH18,0)</f>
        <v>0</v>
      </c>
      <c r="CG18" s="271">
        <f>IF(CH18&gt;0,INDEX(DP18:EG18,MATCH(CG$17,DP$17:EG$17))/CH18,0)</f>
        <v>0</v>
      </c>
      <c r="CH18" s="271">
        <f t="array" ref="CH18">SUM(($H$21:$H$25=H18)*(AR$21:AR$25="")*CH$21:CH$25)</f>
        <v>0</v>
      </c>
      <c r="CI18" s="271">
        <f>SUMIF($H$21:$H$25,$H18,CI$21:CI$25)</f>
        <v>0</v>
      </c>
      <c r="CJ18" s="117"/>
      <c r="CK18" s="271">
        <f>SUMIF($H$21:$H$25,$H18,CK$21:CK$25)</f>
        <v>0</v>
      </c>
      <c r="CL18" s="117"/>
      <c r="CM18" s="271">
        <f>SUMIF($H$21:$H$25,$H18,CM$21:CM$25)</f>
        <v>0</v>
      </c>
      <c r="CN18" s="271">
        <f>SUMIF($H$21:$H$25,$H18,CN$21:CN$25)</f>
        <v>0</v>
      </c>
      <c r="CO18" s="271">
        <f>SUMIF($H$21:$H$25,$H18,CO$21:CO$25)</f>
        <v>0</v>
      </c>
      <c r="CP18" s="271">
        <f>SUMIF($H$21:$H$25,$H18,CP$21:CP$25)</f>
        <v>0</v>
      </c>
      <c r="CQ18" s="271">
        <f>SUMIF($H$21:$H$25,$H18,CQ$21:CQ$25)</f>
        <v>0</v>
      </c>
      <c r="CR18" s="194"/>
      <c r="CS18" s="185"/>
      <c r="CT18" s="185"/>
      <c r="CU18" s="185"/>
      <c r="CV18" s="185"/>
      <c r="CW18" s="185"/>
      <c r="CX18" s="185"/>
      <c r="CY18" s="185"/>
      <c r="CZ18" s="185"/>
      <c r="DA18" s="185"/>
      <c r="DB18" s="185"/>
      <c r="DC18" s="185"/>
      <c r="DD18" s="185"/>
      <c r="DE18" s="185"/>
      <c r="DP18" s="480">
        <f t="shared" ref="DP18:EG18" si="0">SUMIF($H$21:$H$25,$H18,DP$21:DP$25)</f>
        <v>0</v>
      </c>
      <c r="DQ18" s="480">
        <f t="shared" si="0"/>
        <v>0</v>
      </c>
      <c r="DR18" s="480">
        <f t="shared" si="0"/>
        <v>0</v>
      </c>
      <c r="DS18" s="480">
        <f t="shared" si="0"/>
        <v>0</v>
      </c>
      <c r="DT18" s="480">
        <f t="shared" si="0"/>
        <v>0</v>
      </c>
      <c r="DU18" s="480">
        <f t="shared" si="0"/>
        <v>0</v>
      </c>
      <c r="DV18" s="480">
        <f t="shared" si="0"/>
        <v>0</v>
      </c>
      <c r="DW18" s="480">
        <f t="shared" si="0"/>
        <v>0</v>
      </c>
      <c r="DX18" s="480">
        <f t="shared" si="0"/>
        <v>0</v>
      </c>
      <c r="DY18" s="480">
        <f t="shared" si="0"/>
        <v>0</v>
      </c>
      <c r="DZ18" s="480">
        <f t="shared" si="0"/>
        <v>0</v>
      </c>
      <c r="EA18" s="480">
        <f t="shared" si="0"/>
        <v>0</v>
      </c>
      <c r="EB18" s="480">
        <f t="shared" si="0"/>
        <v>0</v>
      </c>
      <c r="EC18" s="480">
        <f t="shared" si="0"/>
        <v>0</v>
      </c>
      <c r="ED18" s="480">
        <f t="shared" si="0"/>
        <v>0</v>
      </c>
      <c r="EE18" s="480">
        <f t="shared" si="0"/>
        <v>0</v>
      </c>
      <c r="EF18" s="480">
        <f t="shared" si="0"/>
        <v>0</v>
      </c>
      <c r="EG18" s="480">
        <f t="shared" si="0"/>
        <v>0</v>
      </c>
      <c r="EH18" s="162"/>
      <c r="EI18" s="162"/>
      <c r="EJ18" s="162"/>
      <c r="EK18" s="162"/>
      <c r="EL18" s="162"/>
      <c r="EM18" s="162"/>
      <c r="EN18" s="162"/>
      <c r="EO18" s="162"/>
      <c r="EP18" s="162"/>
      <c r="EQ18" s="162"/>
      <c r="ER18" s="162"/>
      <c r="ES18" s="162"/>
    </row>
    <row r="19" spans="1:152" ht="0.75" customHeight="1">
      <c r="A19" s="181"/>
      <c r="B19" s="181"/>
      <c r="C19" s="181"/>
      <c r="E19" s="192"/>
      <c r="F19" s="954"/>
      <c r="G19" s="957"/>
      <c r="H19" s="107" t="str">
        <f>IF(TEMPLATE_SPHERE="водоснабжения","Вода питьевого качества","")</f>
        <v/>
      </c>
      <c r="I19" s="177"/>
      <c r="J19" s="177"/>
      <c r="K19" s="177"/>
      <c r="L19" s="177"/>
      <c r="M19" s="177"/>
      <c r="N19" s="177"/>
      <c r="O19" s="177"/>
      <c r="P19" s="177"/>
      <c r="Q19" s="177"/>
      <c r="R19" s="177"/>
      <c r="S19" s="177"/>
      <c r="T19" s="177"/>
      <c r="U19" s="177"/>
      <c r="V19" s="177"/>
      <c r="W19" s="177"/>
      <c r="X19" s="177"/>
      <c r="Y19" s="398"/>
      <c r="Z19" s="398"/>
      <c r="AA19" s="398"/>
      <c r="AB19" s="398"/>
      <c r="AC19" s="271"/>
      <c r="AD19" s="271"/>
      <c r="AE19" s="398"/>
      <c r="AF19" s="398"/>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117"/>
      <c r="BG19" s="271"/>
      <c r="BH19" s="271"/>
      <c r="BI19" s="271"/>
      <c r="BJ19" s="271"/>
      <c r="BK19" s="271"/>
      <c r="BL19" s="271"/>
      <c r="BM19" s="271"/>
      <c r="BN19" s="271"/>
      <c r="BO19" s="271"/>
      <c r="BP19" s="271"/>
      <c r="BQ19" s="271"/>
      <c r="BR19" s="271"/>
      <c r="BS19" s="271"/>
      <c r="BT19" s="271"/>
      <c r="BU19" s="117"/>
      <c r="BV19" s="271"/>
      <c r="BW19" s="271"/>
      <c r="BX19" s="271"/>
      <c r="BY19" s="271"/>
      <c r="BZ19" s="271"/>
      <c r="CA19" s="271"/>
      <c r="CB19" s="271"/>
      <c r="CC19" s="271"/>
      <c r="CD19" s="271"/>
      <c r="CE19" s="271"/>
      <c r="CF19" s="271"/>
      <c r="CG19" s="271"/>
      <c r="CH19" s="271"/>
      <c r="CI19" s="271"/>
      <c r="CJ19" s="117"/>
      <c r="CK19" s="271"/>
      <c r="CL19" s="117"/>
      <c r="CM19" s="271"/>
      <c r="CN19" s="271"/>
      <c r="CO19" s="271"/>
      <c r="CP19" s="271"/>
      <c r="CQ19" s="271"/>
      <c r="CR19" s="194"/>
      <c r="CS19" s="185"/>
      <c r="CT19" s="185"/>
      <c r="CU19" s="185"/>
      <c r="CV19" s="185"/>
      <c r="CW19" s="185"/>
      <c r="CX19" s="185"/>
      <c r="CY19" s="185"/>
      <c r="CZ19" s="185"/>
      <c r="DA19" s="185"/>
      <c r="DB19" s="185"/>
      <c r="DC19" s="185"/>
      <c r="DD19" s="185"/>
      <c r="DE19" s="185"/>
      <c r="DP19" s="480"/>
      <c r="DQ19" s="480"/>
      <c r="DR19" s="480"/>
      <c r="DS19" s="480"/>
      <c r="DT19" s="480"/>
      <c r="DU19" s="480"/>
      <c r="DV19" s="480"/>
      <c r="DW19" s="480"/>
      <c r="DX19" s="480"/>
      <c r="DY19" s="480"/>
      <c r="DZ19" s="480"/>
      <c r="EA19" s="480"/>
      <c r="EB19" s="480"/>
      <c r="EC19" s="480"/>
      <c r="ED19" s="480"/>
      <c r="EE19" s="480"/>
      <c r="EF19" s="480"/>
      <c r="EG19" s="480"/>
      <c r="EH19" s="162"/>
      <c r="EI19" s="162"/>
      <c r="EJ19" s="162"/>
      <c r="EK19" s="162"/>
      <c r="EL19" s="162"/>
      <c r="EM19" s="162"/>
      <c r="EN19" s="162"/>
      <c r="EO19" s="162"/>
      <c r="EP19" s="162"/>
      <c r="EQ19" s="162"/>
      <c r="ER19" s="162"/>
      <c r="ES19" s="162"/>
    </row>
    <row r="20" spans="1:152" ht="0.75" customHeight="1">
      <c r="A20" s="181"/>
      <c r="B20" s="181"/>
      <c r="C20" s="181"/>
      <c r="E20" s="192"/>
      <c r="F20" s="955"/>
      <c r="G20" s="958"/>
      <c r="H20" s="107" t="str">
        <f>IF(TEMPLATE_SPHERE="водоснабжения","Вода технического качества","")</f>
        <v/>
      </c>
      <c r="I20" s="177"/>
      <c r="J20" s="177"/>
      <c r="K20" s="177"/>
      <c r="L20" s="177"/>
      <c r="M20" s="177"/>
      <c r="N20" s="177"/>
      <c r="O20" s="177"/>
      <c r="P20" s="177"/>
      <c r="Q20" s="177"/>
      <c r="R20" s="177"/>
      <c r="S20" s="177"/>
      <c r="T20" s="177"/>
      <c r="U20" s="177"/>
      <c r="V20" s="177"/>
      <c r="W20" s="177"/>
      <c r="X20" s="177"/>
      <c r="Y20" s="398"/>
      <c r="Z20" s="398"/>
      <c r="AA20" s="398"/>
      <c r="AB20" s="398"/>
      <c r="AC20" s="271"/>
      <c r="AD20" s="271"/>
      <c r="AE20" s="398"/>
      <c r="AF20" s="398"/>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117"/>
      <c r="BG20" s="271"/>
      <c r="BH20" s="271"/>
      <c r="BI20" s="271"/>
      <c r="BJ20" s="271"/>
      <c r="BK20" s="271"/>
      <c r="BL20" s="271"/>
      <c r="BM20" s="271"/>
      <c r="BN20" s="271"/>
      <c r="BO20" s="271"/>
      <c r="BP20" s="271"/>
      <c r="BQ20" s="271"/>
      <c r="BR20" s="271"/>
      <c r="BS20" s="271"/>
      <c r="BT20" s="271"/>
      <c r="BU20" s="117"/>
      <c r="BV20" s="271"/>
      <c r="BW20" s="271"/>
      <c r="BX20" s="271"/>
      <c r="BY20" s="271"/>
      <c r="BZ20" s="271"/>
      <c r="CA20" s="271"/>
      <c r="CB20" s="271"/>
      <c r="CC20" s="271"/>
      <c r="CD20" s="271"/>
      <c r="CE20" s="271"/>
      <c r="CF20" s="271"/>
      <c r="CG20" s="271"/>
      <c r="CH20" s="271"/>
      <c r="CI20" s="271"/>
      <c r="CJ20" s="117"/>
      <c r="CK20" s="271"/>
      <c r="CL20" s="117"/>
      <c r="CM20" s="271"/>
      <c r="CN20" s="271"/>
      <c r="CO20" s="271"/>
      <c r="CP20" s="271"/>
      <c r="CQ20" s="271"/>
      <c r="CR20" s="194"/>
      <c r="CS20" s="185"/>
      <c r="CT20" s="185"/>
      <c r="CU20" s="185"/>
      <c r="CV20" s="185"/>
      <c r="CW20" s="185"/>
      <c r="CX20" s="185"/>
      <c r="CY20" s="185"/>
      <c r="CZ20" s="185"/>
      <c r="DA20" s="185"/>
      <c r="DB20" s="185"/>
      <c r="DC20" s="185"/>
      <c r="DD20" s="185"/>
      <c r="DE20" s="185"/>
      <c r="DP20" s="480"/>
      <c r="DQ20" s="480"/>
      <c r="DR20" s="480"/>
      <c r="DS20" s="480"/>
      <c r="DT20" s="480"/>
      <c r="DU20" s="480"/>
      <c r="DV20" s="480"/>
      <c r="DW20" s="480"/>
      <c r="DX20" s="480"/>
      <c r="DY20" s="480"/>
      <c r="DZ20" s="480"/>
      <c r="EA20" s="480"/>
      <c r="EB20" s="480"/>
      <c r="EC20" s="480"/>
      <c r="ED20" s="480"/>
      <c r="EE20" s="480"/>
      <c r="EF20" s="480"/>
      <c r="EG20" s="480"/>
      <c r="EH20" s="162"/>
      <c r="EI20" s="162"/>
      <c r="EJ20" s="162"/>
      <c r="EK20" s="162"/>
      <c r="EL20" s="162"/>
      <c r="EM20" s="162"/>
      <c r="EN20" s="162"/>
      <c r="EO20" s="162"/>
      <c r="EP20" s="162"/>
      <c r="EQ20" s="162"/>
      <c r="ER20" s="162"/>
      <c r="ES20" s="162"/>
    </row>
    <row r="21" spans="1:152" ht="12" hidden="1" customHeight="1">
      <c r="A21" s="181"/>
      <c r="B21" s="181"/>
      <c r="C21" s="181"/>
      <c r="E21" s="192"/>
      <c r="F21" s="186">
        <v>0</v>
      </c>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96"/>
      <c r="CS21" s="185"/>
      <c r="CT21" s="185"/>
      <c r="CU21" s="185"/>
      <c r="CV21" s="185"/>
      <c r="CW21" s="185"/>
      <c r="CX21" s="185"/>
      <c r="CY21" s="185"/>
      <c r="CZ21" s="185"/>
      <c r="DA21" s="185"/>
      <c r="DB21" s="185"/>
      <c r="DC21" s="185"/>
      <c r="DD21" s="185"/>
      <c r="DE21" s="185"/>
      <c r="DP21" s="78"/>
      <c r="DQ21" s="78"/>
      <c r="DR21" s="78"/>
      <c r="DS21" s="78"/>
      <c r="DT21" s="78"/>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row>
    <row r="22" spans="1:152" s="60" customFormat="1">
      <c r="B22" s="38"/>
      <c r="C22" s="497" t="str">
        <f>F22 &amp; ".0"</f>
        <v>1.0</v>
      </c>
      <c r="D22" s="471" t="str">
        <f>IF('Список организаций'!$M$16="","Не определено",'Список организаций'!$M$16)</f>
        <v>нет</v>
      </c>
      <c r="E22" s="470" t="s">
        <v>719</v>
      </c>
      <c r="F22" s="833">
        <v>1</v>
      </c>
      <c r="G22" s="853" t="str">
        <f>IF('Список организаций'!$I$16="","Не определено",'Список организаций'!$I$16)</f>
        <v>МУП СП "Село Булава" Булавинское ТЭП"</v>
      </c>
      <c r="H22" s="584" t="str">
        <f>IF(TEMPLATE_SPHERE="водоснабжения","",IF(TEMPLATE_SPHERE="водоотведения","Всего",""))</f>
        <v>Всего</v>
      </c>
      <c r="I22" s="393"/>
      <c r="J22" s="825" t="s">
        <v>3277</v>
      </c>
      <c r="K22" s="824"/>
      <c r="L22" s="824"/>
      <c r="M22" s="824"/>
      <c r="N22" s="824"/>
      <c r="O22" s="824"/>
      <c r="P22" s="824"/>
      <c r="Q22" s="824"/>
      <c r="R22" s="824"/>
      <c r="S22" s="824"/>
      <c r="T22" s="824"/>
      <c r="U22" s="824"/>
      <c r="V22" s="824"/>
      <c r="W22" s="824"/>
      <c r="X22" s="824"/>
      <c r="Y22" s="737">
        <v>49.29</v>
      </c>
      <c r="Z22" s="398">
        <f>IF($D22="нет",Y22,Y22*1.18)</f>
        <v>49.29</v>
      </c>
      <c r="AA22" s="398">
        <f>IF(AG22=0,0,(AC22*AG22+AJ22*IF(AL22&gt;AG22,AG22,AL22))/AG22)</f>
        <v>49.290000000000006</v>
      </c>
      <c r="AB22" s="398">
        <f>IF($D22="нет",AA22,AA22*1.18)</f>
        <v>49.290000000000006</v>
      </c>
      <c r="AC22" s="398">
        <f>IF(AG22&gt;0,(AR22*AV22+BG22*BK22+BV22*BZ22)/AG22,0)</f>
        <v>49.290000000000006</v>
      </c>
      <c r="AD22" s="398">
        <f>IF($D22="нет",AC22,AC22*1.18)</f>
        <v>49.290000000000006</v>
      </c>
      <c r="AE22" s="585"/>
      <c r="AF22" s="392"/>
      <c r="AG22" s="398">
        <f>AV22+BK22+BZ22</f>
        <v>364.5</v>
      </c>
      <c r="AH22" s="585"/>
      <c r="AI22" s="392"/>
      <c r="AJ22" s="399"/>
      <c r="AK22" s="398">
        <f>IF($D22="нет",AJ22,AJ22*1.18)</f>
        <v>0</v>
      </c>
      <c r="AL22" s="399"/>
      <c r="AM22" s="399"/>
      <c r="AN22" s="398">
        <f>IF($D22="нет",AM22,AM22*1.18)</f>
        <v>0</v>
      </c>
      <c r="AO22" s="399"/>
      <c r="AP22" s="398">
        <f>IF($D22="нет",AO22,AO22*1.18)</f>
        <v>0</v>
      </c>
      <c r="AQ22" s="633">
        <f>IF(TARIFF_SETUP_METHOD_CODE="BY_MONTHS",SUMIF(БПр!$BF$129:$BF$270,$C22&amp;"-"&amp;$H$3,БПр!P$129:P$270),IF(TARIFF_SETUP_METHOD_CODE="BY_PSEUDO_YEARS",SUMIF(БПр!$F$129:$F$270,$C22,БПр!P$129:P$270),0))</f>
        <v>0</v>
      </c>
      <c r="AR22" s="737">
        <v>49.29</v>
      </c>
      <c r="AS22" s="398">
        <f>IF($D22="нет",AR22,AR22*1.18)</f>
        <v>49.29</v>
      </c>
      <c r="AT22" s="399"/>
      <c r="AU22" s="398">
        <f>IF($D22="нет",AT22,AT22*1.18)</f>
        <v>0</v>
      </c>
      <c r="AV22" s="633">
        <f>IF(TARIFF_SETUP_METHOD_CODE="BY_MONTHS",SUMIF(БПр!$BF$129:$BF$270,$C22&amp;"-"&amp;$H$3,БПр!M$129:M$270),IF(TARIFF_SETUP_METHOD_CODE="BY_PSEUDO_YEARS",SUMIF(БПр!$F$129:$F$270,$C22,БПр!M$129:M$270),0))</f>
        <v>223.8</v>
      </c>
      <c r="AW22" s="117"/>
      <c r="AX22" s="117"/>
      <c r="AY22" s="117"/>
      <c r="AZ22" s="117"/>
      <c r="BA22" s="117"/>
      <c r="BB22" s="117"/>
      <c r="BC22" s="117"/>
      <c r="BD22" s="117"/>
      <c r="BE22" s="399"/>
      <c r="BF22" s="398">
        <f>IF(AV22=0,0,1000*BE22/AV22)</f>
        <v>0</v>
      </c>
      <c r="BG22" s="737">
        <v>49.29</v>
      </c>
      <c r="BH22" s="398">
        <f>IF($D22="нет",BG22,BG22*1.18)</f>
        <v>49.29</v>
      </c>
      <c r="BI22" s="399"/>
      <c r="BJ22" s="398">
        <f>IF($D22="нет",BI22,BI22*1.18)</f>
        <v>0</v>
      </c>
      <c r="BK22" s="633">
        <f>IF(TARIFF_SETUP_METHOD_CODE="BY_MONTHS",SUMIF(БПр!$BF$129:$BF$270,$C22&amp;"-"&amp;$H$3,БПр!N$129:N$270),IF(TARIFF_SETUP_METHOD_CODE="BY_PSEUDO_YEARS",SUMIF(БПр!$F$129:$F$270,$C22,БПр!N$129:N$270),0))</f>
        <v>16.600000000000001</v>
      </c>
      <c r="BL22" s="117"/>
      <c r="BM22" s="117"/>
      <c r="BN22" s="117"/>
      <c r="BO22" s="117"/>
      <c r="BP22" s="117"/>
      <c r="BQ22" s="117"/>
      <c r="BR22" s="117"/>
      <c r="BS22" s="117"/>
      <c r="BT22" s="399"/>
      <c r="BU22" s="398">
        <f>IF(BK22=0,0,1000*BT22/BK22)</f>
        <v>0</v>
      </c>
      <c r="BV22" s="737">
        <v>49.29</v>
      </c>
      <c r="BW22" s="398">
        <f>IF($D22="нет",BV22,BV22*1.18)</f>
        <v>49.29</v>
      </c>
      <c r="BX22" s="399"/>
      <c r="BY22" s="398">
        <f>IF($D22="нет",BX22,BX22*1.18)</f>
        <v>0</v>
      </c>
      <c r="BZ22" s="633">
        <f>IF(TARIFF_SETUP_METHOD_CODE="BY_MONTHS",SUMIF(БПр!$BF$129:$BF$270,$C22&amp;"-"&amp;$H$3,БПр!O$129:O$270),IF(TARIFF_SETUP_METHOD_CODE="BY_PSEUDO_YEARS",SUMIF(БПр!$F$129:$F$270,$C22,БПр!O$129:O$270),0))</f>
        <v>124.1</v>
      </c>
      <c r="CA22" s="117"/>
      <c r="CB22" s="117"/>
      <c r="CC22" s="117"/>
      <c r="CD22" s="117"/>
      <c r="CE22" s="117"/>
      <c r="CF22" s="117"/>
      <c r="CG22" s="117"/>
      <c r="CH22" s="117"/>
      <c r="CI22" s="399"/>
      <c r="CJ22" s="398">
        <f>IF(BZ22=0,0,1000*CI22/BZ22)</f>
        <v>0</v>
      </c>
      <c r="CK22" s="398">
        <f>BE22+BT22+CI22</f>
        <v>0</v>
      </c>
      <c r="CL22" s="335">
        <f>SUM(CN22:CQ22)</f>
        <v>0</v>
      </c>
      <c r="CM22" s="398">
        <f>SUMIF(CN22:CQ22,"&gt;0")</f>
        <v>0</v>
      </c>
      <c r="CN22" s="398">
        <f>(Y22-AM22)*AQ22/1000</f>
        <v>0</v>
      </c>
      <c r="CO22" s="398">
        <f>(Y22-(AR22+BF22))*AV22/1000</f>
        <v>0</v>
      </c>
      <c r="CP22" s="398">
        <f>(Y22-(BG22+BU22))*BK22/1000</f>
        <v>0</v>
      </c>
      <c r="CQ22" s="398">
        <f>(Y22-(BV22+CJ22))*BZ22/1000</f>
        <v>0</v>
      </c>
      <c r="CR22" s="587"/>
      <c r="CS22"/>
      <c r="CT22"/>
      <c r="CU22"/>
      <c r="CV22"/>
      <c r="CW22"/>
      <c r="CX22"/>
      <c r="CY22"/>
      <c r="CZ22"/>
      <c r="DA22"/>
      <c r="DB22"/>
      <c r="DC22"/>
      <c r="DD22"/>
      <c r="DE22"/>
      <c r="DF22" s="80">
        <f>AH22*AG22</f>
        <v>0</v>
      </c>
      <c r="DG22" s="80">
        <f>AI22*AG22</f>
        <v>0</v>
      </c>
      <c r="DH22" s="80">
        <f>AM22*AQ22</f>
        <v>0</v>
      </c>
      <c r="DI22" s="80">
        <f>AN22*AQ22</f>
        <v>0</v>
      </c>
      <c r="DJ22" s="80">
        <f>AR22*AV22</f>
        <v>11031.102000000001</v>
      </c>
      <c r="DK22" s="80">
        <f>AS22*AV22</f>
        <v>11031.102000000001</v>
      </c>
      <c r="DL22" s="80">
        <f>BG22*BK22</f>
        <v>818.21400000000006</v>
      </c>
      <c r="DM22" s="80">
        <f>BH22*BK22</f>
        <v>818.21400000000006</v>
      </c>
      <c r="DN22" s="80">
        <f>BV22*BZ22</f>
        <v>6116.8889999999992</v>
      </c>
      <c r="DO22" s="80">
        <f>BW22*BZ22</f>
        <v>6116.8889999999992</v>
      </c>
      <c r="DP22" s="382">
        <f>AW22*BA22</f>
        <v>0</v>
      </c>
      <c r="DQ22" s="382">
        <f>AX22*BA22</f>
        <v>0</v>
      </c>
      <c r="DR22" s="382">
        <f>AY22*BA22</f>
        <v>0</v>
      </c>
      <c r="DS22" s="382">
        <f>AZ22*BA22</f>
        <v>0</v>
      </c>
      <c r="DT22" s="382">
        <f>BB22*BD22</f>
        <v>0</v>
      </c>
      <c r="DU22" s="382">
        <f>BC22*BD22</f>
        <v>0</v>
      </c>
      <c r="DV22" s="382">
        <f>BL22*BP22</f>
        <v>0</v>
      </c>
      <c r="DW22" s="382">
        <f>BM22*BP22</f>
        <v>0</v>
      </c>
      <c r="DX22" s="382">
        <f>BN22*BP22</f>
        <v>0</v>
      </c>
      <c r="DY22" s="382">
        <f>BO22*BP22</f>
        <v>0</v>
      </c>
      <c r="DZ22" s="382">
        <f>BQ22*BS22</f>
        <v>0</v>
      </c>
      <c r="EA22" s="382">
        <f>BR22*BS22</f>
        <v>0</v>
      </c>
      <c r="EB22" s="382">
        <f>CA22*CE22</f>
        <v>0</v>
      </c>
      <c r="EC22" s="382">
        <f>CB22*CE22</f>
        <v>0</v>
      </c>
      <c r="ED22" s="382">
        <f>CC22*CE22</f>
        <v>0</v>
      </c>
      <c r="EE22" s="382">
        <f>CD22*CE22</f>
        <v>0</v>
      </c>
      <c r="EF22" s="382">
        <f>CF22*CH22</f>
        <v>0</v>
      </c>
      <c r="EG22" s="382">
        <f>CG22*CH22</f>
        <v>0</v>
      </c>
      <c r="EH22" s="383">
        <f>Y22*(AG22+AQ22)</f>
        <v>17966.204999999998</v>
      </c>
      <c r="EI22" s="383">
        <f>Z22*(AG22+AQ22)</f>
        <v>17966.204999999998</v>
      </c>
      <c r="EJ22" s="80">
        <f>AO22*AQ22</f>
        <v>0</v>
      </c>
      <c r="EK22" s="80">
        <f>AP22*AQ22</f>
        <v>0</v>
      </c>
      <c r="EL22" s="80">
        <f>AT22*AV22</f>
        <v>0</v>
      </c>
      <c r="EM22" s="80">
        <f>AU22*AV22</f>
        <v>0</v>
      </c>
      <c r="EN22" s="80">
        <f>BI22*BK22</f>
        <v>0</v>
      </c>
      <c r="EO22" s="80">
        <f>BJ22*BK22</f>
        <v>0</v>
      </c>
      <c r="EP22" s="80">
        <f>BX22*BZ22</f>
        <v>0</v>
      </c>
      <c r="EQ22" s="80">
        <f>BY22*BZ22</f>
        <v>0</v>
      </c>
      <c r="ER22" s="383">
        <f>AJ22*AL22</f>
        <v>0</v>
      </c>
      <c r="ES22" s="383">
        <f>AK22*AL22</f>
        <v>0</v>
      </c>
      <c r="ET22" s="383">
        <f>IF(AV22+BA22&gt;0,(AR22*AV22+AW22*BA22)/(AV22+BA22),0)</f>
        <v>49.29</v>
      </c>
      <c r="EU22" s="383">
        <f>IF(BK22+BP22&gt;0,(BG22*BK22+BL22*BP22)/(BK22+BP22),0)</f>
        <v>49.29</v>
      </c>
      <c r="EV22" s="383">
        <f>IF(BZ22+CE22&gt;0,(BV22*BZ22+CA22*CE22)/(BZ22+CE22),0)</f>
        <v>49.29</v>
      </c>
    </row>
    <row r="23" spans="1:152" s="60" customFormat="1" ht="11.25" hidden="1" customHeight="1">
      <c r="B23" s="38"/>
      <c r="C23" s="497" t="str">
        <f>F22 &amp; ".1"</f>
        <v>1.1</v>
      </c>
      <c r="D23"/>
      <c r="E23"/>
      <c r="F23" s="833"/>
      <c r="G23" s="835"/>
      <c r="H23" s="584"/>
      <c r="I23" s="393"/>
      <c r="J23" s="825"/>
      <c r="K23" s="824"/>
      <c r="L23" s="824"/>
      <c r="M23" s="824"/>
      <c r="N23" s="824"/>
      <c r="O23" s="824"/>
      <c r="P23" s="824"/>
      <c r="Q23" s="824"/>
      <c r="R23" s="824"/>
      <c r="S23" s="824"/>
      <c r="T23" s="824"/>
      <c r="U23" s="824"/>
      <c r="V23" s="824"/>
      <c r="W23" s="824"/>
      <c r="X23" s="824"/>
      <c r="Y23" s="585"/>
      <c r="Z23" s="392"/>
      <c r="AA23" s="585"/>
      <c r="AB23" s="392"/>
      <c r="AC23" s="585"/>
      <c r="AD23" s="392"/>
      <c r="AE23" s="585"/>
      <c r="AF23" s="392"/>
      <c r="AG23" s="585"/>
      <c r="AH23" s="585"/>
      <c r="AI23" s="392"/>
      <c r="AJ23" s="585"/>
      <c r="AK23" s="392"/>
      <c r="AL23" s="585"/>
      <c r="AM23" s="585"/>
      <c r="AN23" s="392"/>
      <c r="AO23" s="585"/>
      <c r="AP23" s="392"/>
      <c r="AQ23" s="585"/>
      <c r="AR23" s="585"/>
      <c r="AS23" s="392"/>
      <c r="AT23" s="585"/>
      <c r="AU23" s="392"/>
      <c r="AV23" s="585"/>
      <c r="AW23" s="585"/>
      <c r="AX23" s="392"/>
      <c r="AY23" s="585"/>
      <c r="AZ23" s="392"/>
      <c r="BA23" s="585"/>
      <c r="BB23" s="585"/>
      <c r="BC23" s="392"/>
      <c r="BD23" s="585"/>
      <c r="BE23" s="585"/>
      <c r="BF23" s="585"/>
      <c r="BG23" s="585"/>
      <c r="BH23" s="392"/>
      <c r="BI23" s="585"/>
      <c r="BJ23" s="392"/>
      <c r="BK23" s="585"/>
      <c r="BL23" s="585"/>
      <c r="BM23" s="392"/>
      <c r="BN23" s="585"/>
      <c r="BO23" s="392"/>
      <c r="BP23" s="585"/>
      <c r="BQ23" s="585"/>
      <c r="BR23" s="392"/>
      <c r="BS23" s="585"/>
      <c r="BT23" s="585"/>
      <c r="BU23" s="585"/>
      <c r="BV23" s="585"/>
      <c r="BW23" s="392"/>
      <c r="BX23" s="585"/>
      <c r="BY23" s="392"/>
      <c r="BZ23" s="585"/>
      <c r="CA23" s="585"/>
      <c r="CB23" s="392"/>
      <c r="CC23" s="585"/>
      <c r="CD23" s="392"/>
      <c r="CE23" s="585"/>
      <c r="CF23" s="585"/>
      <c r="CG23" s="392"/>
      <c r="CH23" s="585"/>
      <c r="CI23" s="585"/>
      <c r="CJ23" s="585"/>
      <c r="CK23" s="585"/>
      <c r="CL23" s="585"/>
      <c r="CM23" s="585"/>
      <c r="CN23" s="585"/>
      <c r="CO23" s="585"/>
      <c r="CP23" s="585"/>
      <c r="CQ23" s="585"/>
      <c r="CR23" s="585"/>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row>
    <row r="24" spans="1:152" s="60" customFormat="1" ht="11.25" hidden="1" customHeight="1">
      <c r="C24" s="497" t="str">
        <f>F22 &amp; ".2"</f>
        <v>1.2</v>
      </c>
      <c r="D24"/>
      <c r="E24"/>
      <c r="F24" s="833"/>
      <c r="G24" s="835"/>
      <c r="H24" s="584"/>
      <c r="I24" s="393"/>
      <c r="J24" s="825"/>
      <c r="K24" s="824"/>
      <c r="L24" s="824"/>
      <c r="M24" s="824"/>
      <c r="N24" s="824"/>
      <c r="O24" s="824"/>
      <c r="P24" s="824"/>
      <c r="Q24" s="824"/>
      <c r="R24" s="824"/>
      <c r="S24" s="824"/>
      <c r="T24" s="824"/>
      <c r="U24" s="824"/>
      <c r="V24" s="824"/>
      <c r="W24" s="824"/>
      <c r="X24" s="824"/>
      <c r="Y24" s="585"/>
      <c r="Z24" s="392"/>
      <c r="AA24" s="585"/>
      <c r="AB24" s="392"/>
      <c r="AC24" s="585"/>
      <c r="AD24" s="392"/>
      <c r="AE24" s="585"/>
      <c r="AF24" s="392"/>
      <c r="AG24" s="585"/>
      <c r="AH24" s="585"/>
      <c r="AI24" s="392"/>
      <c r="AJ24" s="585"/>
      <c r="AK24" s="392"/>
      <c r="AL24" s="585"/>
      <c r="AM24" s="585"/>
      <c r="AN24" s="392"/>
      <c r="AO24" s="585"/>
      <c r="AP24" s="392"/>
      <c r="AQ24" s="585"/>
      <c r="AR24" s="585"/>
      <c r="AS24" s="392"/>
      <c r="AT24" s="585"/>
      <c r="AU24" s="392"/>
      <c r="AV24" s="585"/>
      <c r="AW24" s="585"/>
      <c r="AX24" s="392"/>
      <c r="AY24" s="585"/>
      <c r="AZ24" s="392"/>
      <c r="BA24" s="585"/>
      <c r="BB24" s="585"/>
      <c r="BC24" s="392"/>
      <c r="BD24" s="585"/>
      <c r="BE24" s="585"/>
      <c r="BF24" s="585"/>
      <c r="BG24" s="585"/>
      <c r="BH24" s="392"/>
      <c r="BI24" s="585"/>
      <c r="BJ24" s="392"/>
      <c r="BK24" s="585"/>
      <c r="BL24" s="585"/>
      <c r="BM24" s="392"/>
      <c r="BN24" s="585"/>
      <c r="BO24" s="392"/>
      <c r="BP24" s="585"/>
      <c r="BQ24" s="585"/>
      <c r="BR24" s="392"/>
      <c r="BS24" s="585"/>
      <c r="BT24" s="585"/>
      <c r="BU24" s="585"/>
      <c r="BV24" s="585"/>
      <c r="BW24" s="392"/>
      <c r="BX24" s="585"/>
      <c r="BY24" s="392"/>
      <c r="BZ24" s="585"/>
      <c r="CA24" s="585"/>
      <c r="CB24" s="392"/>
      <c r="CC24" s="585"/>
      <c r="CD24" s="392"/>
      <c r="CE24" s="585"/>
      <c r="CF24" s="585"/>
      <c r="CG24" s="392"/>
      <c r="CH24" s="585"/>
      <c r="CI24" s="585"/>
      <c r="CJ24" s="585"/>
      <c r="CK24" s="585"/>
      <c r="CL24" s="585"/>
      <c r="CM24" s="585"/>
      <c r="CN24" s="585"/>
      <c r="CO24" s="585"/>
      <c r="CP24" s="585"/>
      <c r="CQ24" s="585"/>
      <c r="CR24" s="585"/>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row>
    <row r="25" spans="1:152" ht="0.75" customHeight="1">
      <c r="A25" s="181"/>
      <c r="B25" s="181"/>
      <c r="C25" s="181"/>
      <c r="E25" s="192"/>
      <c r="F25" s="110"/>
      <c r="G25" s="111" t="s">
        <v>720</v>
      </c>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c r="CQ25" s="112"/>
      <c r="CR25" s="113"/>
      <c r="CS25" s="185"/>
      <c r="CT25" s="185"/>
      <c r="CU25" s="185"/>
      <c r="CV25" s="185"/>
      <c r="CW25" s="185"/>
      <c r="CX25" s="185"/>
      <c r="CY25" s="185"/>
      <c r="CZ25" s="185"/>
      <c r="DA25" s="185"/>
      <c r="DB25" s="185"/>
      <c r="DC25" s="185"/>
      <c r="DD25" s="185"/>
      <c r="DE25" s="185"/>
      <c r="DP25" s="78"/>
      <c r="DQ25" s="78"/>
      <c r="DR25" s="78"/>
      <c r="DS25" s="78"/>
      <c r="DT25" s="78"/>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row>
    <row r="26" spans="1:152" s="162" customFormat="1" ht="12" customHeight="1">
      <c r="A26" s="181"/>
      <c r="B26" s="181"/>
      <c r="C26" s="181"/>
      <c r="D26" s="159"/>
      <c r="E26" s="192"/>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78"/>
      <c r="DG26" s="78"/>
      <c r="DH26" s="78"/>
      <c r="DI26" s="78"/>
      <c r="DJ26" s="78"/>
      <c r="DK26" s="78"/>
      <c r="DL26" s="78"/>
      <c r="DM26" s="78"/>
      <c r="DN26" s="78"/>
      <c r="DO26" s="78"/>
      <c r="DP26" s="78"/>
      <c r="DQ26" s="78"/>
      <c r="DR26" s="78"/>
      <c r="DS26" s="78"/>
      <c r="DT26" s="78"/>
    </row>
    <row r="27" spans="1:152" s="162" customFormat="1">
      <c r="D27" s="159"/>
      <c r="E27" s="179"/>
      <c r="DF27" s="78"/>
      <c r="DG27" s="78"/>
      <c r="DH27" s="78"/>
      <c r="DI27" s="78"/>
      <c r="DJ27" s="78"/>
      <c r="DK27" s="78"/>
      <c r="DL27" s="78"/>
      <c r="DM27" s="78"/>
      <c r="DN27" s="78"/>
      <c r="DO27" s="78"/>
      <c r="DP27" s="78"/>
      <c r="DQ27" s="78"/>
      <c r="DR27" s="78"/>
      <c r="DS27" s="78"/>
      <c r="DT27" s="78"/>
    </row>
    <row r="28" spans="1:152" customFormat="1"/>
    <row r="29" spans="1:152" customFormat="1"/>
    <row r="30" spans="1:152" customFormat="1"/>
    <row r="31" spans="1:152" customFormat="1" ht="36.75" customHeight="1"/>
    <row r="32" spans="1:152" customFormat="1"/>
    <row r="33" customFormat="1"/>
    <row r="34" customFormat="1"/>
    <row r="35" customFormat="1"/>
    <row r="36" customFormat="1"/>
    <row r="37" customFormat="1" ht="41.25" customHeight="1"/>
    <row r="38" customFormat="1"/>
    <row r="39" customFormat="1"/>
    <row r="40" customFormat="1" ht="11.25" customHeight="1"/>
    <row r="41" customFormat="1" ht="11.25" customHeight="1"/>
    <row r="42" customFormat="1"/>
    <row r="43" customFormat="1" ht="31.5" customHeight="1"/>
    <row r="44" customFormat="1"/>
    <row r="45" customFormat="1"/>
  </sheetData>
  <sheetProtection password="FA9C" sheet="1" objects="1" scenarios="1" formatColumns="0" formatRows="0"/>
  <mergeCells count="113">
    <mergeCell ref="V22:V24"/>
    <mergeCell ref="W22:W24"/>
    <mergeCell ref="X22:X24"/>
    <mergeCell ref="N22:N24"/>
    <mergeCell ref="O22:O24"/>
    <mergeCell ref="P22:P24"/>
    <mergeCell ref="Q22:Q24"/>
    <mergeCell ref="R22:R24"/>
    <mergeCell ref="S22:S24"/>
    <mergeCell ref="F22:F24"/>
    <mergeCell ref="G22:G24"/>
    <mergeCell ref="J22:J24"/>
    <mergeCell ref="K22:K24"/>
    <mergeCell ref="L22:L24"/>
    <mergeCell ref="M22:M24"/>
    <mergeCell ref="T22:T24"/>
    <mergeCell ref="U22:U24"/>
    <mergeCell ref="ET16:EV16"/>
    <mergeCell ref="CL13:CL16"/>
    <mergeCell ref="BV13:CJ13"/>
    <mergeCell ref="CI14:CI16"/>
    <mergeCell ref="CK13:CK16"/>
    <mergeCell ref="CP14:CP16"/>
    <mergeCell ref="CQ14:CQ16"/>
    <mergeCell ref="ER16:ES16"/>
    <mergeCell ref="BX14:BY15"/>
    <mergeCell ref="CA14:CH14"/>
    <mergeCell ref="CH15:CH16"/>
    <mergeCell ref="CE15:CE16"/>
    <mergeCell ref="DP16:EG16"/>
    <mergeCell ref="DF16:DO16"/>
    <mergeCell ref="CM14:CM16"/>
    <mergeCell ref="CR13:CR16"/>
    <mergeCell ref="CM13:CQ13"/>
    <mergeCell ref="BT14:BT16"/>
    <mergeCell ref="BS15:BS16"/>
    <mergeCell ref="EJ16:EQ16"/>
    <mergeCell ref="BV14:BW15"/>
    <mergeCell ref="CJ14:CJ16"/>
    <mergeCell ref="BZ14:BZ16"/>
    <mergeCell ref="CC15:CD15"/>
    <mergeCell ref="CF15:CG15"/>
    <mergeCell ref="EH16:EI16"/>
    <mergeCell ref="CA15:CB15"/>
    <mergeCell ref="CO14:CO16"/>
    <mergeCell ref="CN14:CN16"/>
    <mergeCell ref="F18:F20"/>
    <mergeCell ref="G18:G20"/>
    <mergeCell ref="P13:Q13"/>
    <mergeCell ref="X13:X16"/>
    <mergeCell ref="H13:I16"/>
    <mergeCell ref="J13:J16"/>
    <mergeCell ref="K13:M13"/>
    <mergeCell ref="W14:W16"/>
    <mergeCell ref="AG13:AG16"/>
    <mergeCell ref="V14:V16"/>
    <mergeCell ref="AL13:AL16"/>
    <mergeCell ref="AE13:AF15"/>
    <mergeCell ref="AM14:AN15"/>
    <mergeCell ref="AQ14:AQ16"/>
    <mergeCell ref="AV14:AV16"/>
    <mergeCell ref="AT14:AU15"/>
    <mergeCell ref="AR14:AS15"/>
    <mergeCell ref="K12:X12"/>
    <mergeCell ref="AC13:AD15"/>
    <mergeCell ref="N13:N16"/>
    <mergeCell ref="AJ13:AK15"/>
    <mergeCell ref="AG7:AG8"/>
    <mergeCell ref="AH13:AI15"/>
    <mergeCell ref="F13:F16"/>
    <mergeCell ref="G13:G16"/>
    <mergeCell ref="AA7:AB7"/>
    <mergeCell ref="AC7:AD7"/>
    <mergeCell ref="AE7:AF7"/>
    <mergeCell ref="Y13:Z15"/>
    <mergeCell ref="O13:O16"/>
    <mergeCell ref="Q14:Q16"/>
    <mergeCell ref="AA13:AB15"/>
    <mergeCell ref="K14:K16"/>
    <mergeCell ref="L14:L16"/>
    <mergeCell ref="M14:M16"/>
    <mergeCell ref="P14:P16"/>
    <mergeCell ref="T13:U13"/>
    <mergeCell ref="V13:W13"/>
    <mergeCell ref="U14:U16"/>
    <mergeCell ref="T14:T16"/>
    <mergeCell ref="S14:S16"/>
    <mergeCell ref="R14:R16"/>
    <mergeCell ref="R13:S13"/>
    <mergeCell ref="CA7:CB7"/>
    <mergeCell ref="AW7:AX7"/>
    <mergeCell ref="BL7:BM7"/>
    <mergeCell ref="AM13:AQ13"/>
    <mergeCell ref="BG13:BU13"/>
    <mergeCell ref="AR13:BF13"/>
    <mergeCell ref="AO14:AP15"/>
    <mergeCell ref="BB15:BC15"/>
    <mergeCell ref="BF14:BF16"/>
    <mergeCell ref="BD15:BD16"/>
    <mergeCell ref="AW15:AX15"/>
    <mergeCell ref="BP15:BP16"/>
    <mergeCell ref="AW14:BD14"/>
    <mergeCell ref="AY15:AZ15"/>
    <mergeCell ref="BE14:BE16"/>
    <mergeCell ref="BN15:BO15"/>
    <mergeCell ref="BL14:BS14"/>
    <mergeCell ref="BQ15:BR15"/>
    <mergeCell ref="BA15:BA16"/>
    <mergeCell ref="BU14:BU16"/>
    <mergeCell ref="BG14:BH15"/>
    <mergeCell ref="BI14:BJ15"/>
    <mergeCell ref="BK14:BK16"/>
    <mergeCell ref="BL15:BM15"/>
  </mergeCells>
  <phoneticPr fontId="8" type="noConversion"/>
  <dataValidations count="2">
    <dataValidation allowBlank="1" showInputMessage="1" showErrorMessage="1" errorTitle="Ошибка" error="Допускается ввод ТОЛЬКО числовых значений!" sqref="AW9"/>
    <dataValidation allowBlank="1" showInputMessage="1" showErrorMessage="1" sqref="CM14:CP15"/>
  </dataValidations>
  <hyperlinks>
    <hyperlink ref="K10" location="'ТМ2 01.07 - 31.08'!A1" tooltip="Отобразить / Скрыть блок" display="-"/>
  </hyperlinks>
  <pageMargins left="0.37" right="0.35" top="1" bottom="1" header="0.5" footer="0.5"/>
  <pageSetup paperSize="9" scale="37" orientation="landscape" horizontalDpi="4294967292" verticalDpi="4294967292"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sheetPr codeName="VOTV_TM2_PERIOD3">
    <tabColor rgb="FF92D050"/>
    <pageSetUpPr fitToPage="1"/>
  </sheetPr>
  <dimension ref="A1:EV45"/>
  <sheetViews>
    <sheetView showGridLines="0" topLeftCell="E3" workbookViewId="0">
      <pane xSplit="5" ySplit="19" topLeftCell="J22" activePane="bottomRight" state="frozen"/>
      <selection activeCell="AA13" sqref="AA13:AB15"/>
      <selection pane="topRight" activeCell="AA13" sqref="AA13:AB15"/>
      <selection pane="bottomLeft" activeCell="AA13" sqref="AA13:AB15"/>
      <selection pane="bottomRight" activeCell="Z31" sqref="Z31"/>
    </sheetView>
  </sheetViews>
  <sheetFormatPr defaultRowHeight="11.25"/>
  <cols>
    <col min="1" max="3" width="5.7109375" style="162" hidden="1" customWidth="1"/>
    <col min="4" max="4" width="3.7109375" style="159" hidden="1" customWidth="1"/>
    <col min="5" max="5" width="5.7109375" style="179" customWidth="1"/>
    <col min="6" max="6" width="4.7109375" style="39" customWidth="1"/>
    <col min="7" max="7" width="40.7109375" style="39" customWidth="1"/>
    <col min="8" max="8" width="28.5703125" style="39" hidden="1" customWidth="1"/>
    <col min="9" max="9" width="0.140625" style="39" hidden="1" customWidth="1"/>
    <col min="10" max="10" width="20.7109375" style="39" customWidth="1"/>
    <col min="11" max="13" width="10.85546875" style="39" hidden="1" customWidth="1"/>
    <col min="14" max="14" width="11.7109375" style="39" hidden="1" customWidth="1"/>
    <col min="15" max="15" width="0.140625" style="39" hidden="1" customWidth="1"/>
    <col min="16" max="19" width="10.85546875" style="39" hidden="1" customWidth="1"/>
    <col min="20" max="21" width="0.140625" style="39" hidden="1" customWidth="1"/>
    <col min="22" max="24" width="10.85546875" style="39" hidden="1" customWidth="1"/>
    <col min="25" max="26" width="11.7109375" style="39" customWidth="1"/>
    <col min="27" max="30" width="18.7109375" style="39" customWidth="1"/>
    <col min="31" max="32" width="0.140625" style="39" customWidth="1"/>
    <col min="33" max="33" width="15.7109375" style="39" customWidth="1"/>
    <col min="34" max="35" width="0.140625" style="39" customWidth="1"/>
    <col min="36" max="37" width="11.7109375" style="39" customWidth="1"/>
    <col min="38" max="38" width="15.7109375" style="39" customWidth="1"/>
    <col min="39" max="42" width="11.7109375" style="39" customWidth="1"/>
    <col min="43" max="43" width="15.7109375" style="39" customWidth="1"/>
    <col min="44" max="47" width="11.7109375" style="39" customWidth="1"/>
    <col min="48" max="48" width="15.7109375" style="39" customWidth="1"/>
    <col min="49" max="50" width="13.7109375" style="39" hidden="1" customWidth="1"/>
    <col min="51" max="56" width="12.5703125" style="39" hidden="1" customWidth="1"/>
    <col min="57" max="58" width="12.5703125" style="39" customWidth="1"/>
    <col min="59" max="62" width="12.7109375" style="39" customWidth="1"/>
    <col min="63" max="63" width="15.7109375" style="39" customWidth="1"/>
    <col min="64" max="65" width="13.85546875" style="39" hidden="1" customWidth="1"/>
    <col min="66" max="71" width="12.7109375" style="39" hidden="1" customWidth="1"/>
    <col min="72" max="77" width="12.7109375" style="39" customWidth="1"/>
    <col min="78" max="78" width="15.7109375" style="39" customWidth="1"/>
    <col min="79" max="80" width="13.85546875" style="39" hidden="1" customWidth="1"/>
    <col min="81" max="86" width="12.7109375" style="39" hidden="1" customWidth="1"/>
    <col min="87" max="88" width="12.7109375" style="39" customWidth="1"/>
    <col min="89" max="95" width="15.7109375" style="39" customWidth="1"/>
    <col min="96" max="96" width="19.5703125" style="39" customWidth="1"/>
    <col min="97" max="109" width="1.7109375" style="162" customWidth="1"/>
    <col min="110" max="112" width="6.7109375" style="78" hidden="1" customWidth="1"/>
    <col min="113" max="118" width="6.7109375" style="77" hidden="1" customWidth="1"/>
    <col min="119" max="119" width="6.7109375" style="78" hidden="1" customWidth="1"/>
    <col min="120" max="124" width="6.7109375" style="77" hidden="1" customWidth="1"/>
    <col min="125" max="149" width="6.7109375" style="39" hidden="1" customWidth="1"/>
    <col min="150" max="152" width="0" style="39" hidden="1" customWidth="1"/>
    <col min="153" max="16384" width="9.140625" style="39"/>
  </cols>
  <sheetData>
    <row r="1" spans="4:152" s="162" customFormat="1" hidden="1">
      <c r="D1" s="159"/>
      <c r="E1" s="179"/>
      <c r="DF1" s="78"/>
      <c r="DG1" s="78"/>
      <c r="DH1" s="78"/>
      <c r="DI1" s="78"/>
      <c r="DJ1" s="78"/>
      <c r="DK1" s="78"/>
      <c r="DL1" s="78"/>
      <c r="DM1" s="78"/>
      <c r="DN1" s="78"/>
      <c r="DO1" s="78"/>
      <c r="DP1" s="78"/>
      <c r="DQ1" s="78"/>
      <c r="DR1" s="78"/>
      <c r="DS1" s="78"/>
      <c r="DT1" s="78"/>
    </row>
    <row r="2" spans="4:152" s="162" customFormat="1" hidden="1">
      <c r="D2" s="159"/>
      <c r="E2" s="179"/>
      <c r="DF2" s="78"/>
      <c r="DG2" s="78"/>
      <c r="DH2" s="78"/>
      <c r="DI2" s="78"/>
      <c r="DJ2" s="78"/>
      <c r="DK2" s="78"/>
      <c r="DL2" s="78"/>
      <c r="DM2" s="78"/>
      <c r="DN2" s="78"/>
      <c r="DO2" s="78"/>
      <c r="DP2" s="78"/>
      <c r="DQ2" s="78"/>
      <c r="DR2" s="78"/>
      <c r="DS2" s="78"/>
      <c r="DT2" s="78"/>
    </row>
    <row r="3" spans="4:152" s="162" customFormat="1" ht="12" customHeight="1">
      <c r="D3" s="159"/>
      <c r="E3" s="179"/>
      <c r="F3" s="637"/>
      <c r="G3" s="219" t="str">
        <f>"Необходимо указывать " &amp; IF(TARIFF_SETUP_METHOD_CODE="BY_PSEUDO_YEARS","общегодовые значения","значения по периодам")</f>
        <v>Необходимо указывать значения по периодам</v>
      </c>
      <c r="H3" s="616" t="s">
        <v>2498</v>
      </c>
      <c r="I3" s="637">
        <f>IF(TARIFF_SETUP_METHOD_CODE="BY_PSEUDO_YEARS",12,4)</f>
        <v>4</v>
      </c>
      <c r="DF3" s="78"/>
      <c r="DG3" s="78"/>
      <c r="DH3" s="78"/>
      <c r="DI3" s="78"/>
      <c r="DJ3" s="78"/>
      <c r="DK3" s="78"/>
      <c r="DL3" s="78"/>
      <c r="DM3" s="78"/>
      <c r="DN3" s="78"/>
      <c r="DO3" s="78"/>
      <c r="DP3" s="78"/>
      <c r="DQ3" s="78"/>
      <c r="DR3" s="78"/>
      <c r="DS3" s="78"/>
      <c r="DT3" s="78"/>
    </row>
    <row r="4" spans="4:152" s="162" customFormat="1" ht="0.75" customHeight="1">
      <c r="D4" s="159"/>
      <c r="E4" s="184"/>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5"/>
      <c r="CZ4" s="185"/>
      <c r="DA4" s="185"/>
      <c r="DB4" s="185"/>
      <c r="DC4" s="185"/>
      <c r="DD4" s="185"/>
      <c r="DE4" s="185"/>
      <c r="DF4" s="78"/>
      <c r="DG4" s="78"/>
      <c r="DH4" s="78"/>
      <c r="DI4" s="78"/>
      <c r="DJ4" s="78"/>
      <c r="DK4" s="78"/>
      <c r="DL4" s="78"/>
      <c r="DM4" s="78"/>
      <c r="DN4" s="78"/>
      <c r="DO4" s="78"/>
      <c r="DP4" s="78"/>
      <c r="DQ4" s="78"/>
      <c r="DR4" s="78"/>
      <c r="DS4" s="78"/>
      <c r="DT4" s="78"/>
    </row>
    <row r="5" spans="4:152" s="423" customFormat="1" ht="18" customHeight="1">
      <c r="F5" s="422" t="str">
        <f>"Тарифы для организаций " &amp; TEMPLATE_SPHERE &amp; " по муниципальному образованию - " &amp; IF(mo="","Не определено",mo)</f>
        <v>Тарифы для организаций водоотведения по муниципальному образованию - Село Булава</v>
      </c>
      <c r="G5" s="416"/>
      <c r="H5" s="416"/>
      <c r="I5" s="416"/>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H5" s="407"/>
      <c r="BI5" s="407"/>
      <c r="BJ5" s="407"/>
      <c r="BK5" s="407"/>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L5" s="407"/>
      <c r="CM5" s="407"/>
      <c r="CN5" s="407"/>
      <c r="CO5" s="407"/>
      <c r="CP5" s="407"/>
      <c r="CQ5" s="407"/>
      <c r="CR5" s="407"/>
      <c r="DF5" s="424"/>
      <c r="DG5" s="424"/>
      <c r="DH5" s="424"/>
      <c r="DI5" s="424"/>
      <c r="DJ5" s="424"/>
      <c r="DK5" s="424"/>
      <c r="DL5" s="424"/>
      <c r="DM5" s="424"/>
      <c r="DN5" s="424"/>
      <c r="DO5" s="424"/>
      <c r="DP5" s="424"/>
      <c r="DQ5" s="424"/>
    </row>
    <row r="6" spans="4:152" s="164" customFormat="1" ht="0.75" customHeight="1">
      <c r="D6" s="165"/>
      <c r="E6" s="190"/>
      <c r="F6" s="158"/>
      <c r="G6" s="158"/>
      <c r="H6" s="158"/>
      <c r="I6" s="158"/>
      <c r="J6" s="158"/>
      <c r="K6" s="180"/>
      <c r="L6" s="180"/>
      <c r="M6" s="180"/>
      <c r="N6" s="180"/>
      <c r="O6" s="180"/>
      <c r="P6" s="180"/>
      <c r="Q6" s="180"/>
      <c r="R6" s="180"/>
      <c r="S6" s="180"/>
      <c r="T6" s="180"/>
      <c r="U6" s="180"/>
      <c r="V6" s="180"/>
      <c r="W6" s="180"/>
      <c r="X6" s="180"/>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91"/>
      <c r="CQ6" s="191"/>
      <c r="CR6" s="191"/>
      <c r="CS6" s="158"/>
      <c r="CT6" s="158"/>
      <c r="CU6" s="158"/>
      <c r="CV6" s="158"/>
      <c r="CW6" s="158"/>
      <c r="CX6" s="158"/>
      <c r="CY6" s="158"/>
      <c r="CZ6" s="158"/>
      <c r="DA6" s="158"/>
      <c r="DB6" s="158"/>
      <c r="DC6" s="158"/>
      <c r="DD6" s="158"/>
      <c r="DE6" s="158"/>
      <c r="DF6" s="81"/>
      <c r="DG6" s="81"/>
      <c r="DH6" s="81"/>
      <c r="DI6" s="81"/>
      <c r="DJ6" s="81"/>
      <c r="DK6" s="81"/>
      <c r="DL6" s="81"/>
      <c r="DM6" s="81"/>
      <c r="DN6" s="81"/>
      <c r="DO6" s="81"/>
      <c r="DP6" s="81"/>
      <c r="DQ6" s="81"/>
      <c r="DR6" s="81"/>
      <c r="DS6" s="81"/>
      <c r="DT6" s="81"/>
    </row>
    <row r="7" spans="4:152" s="164" customFormat="1" ht="36" customHeight="1">
      <c r="D7" s="165"/>
      <c r="E7" s="190"/>
      <c r="F7" s="158"/>
      <c r="G7" s="158"/>
      <c r="H7" s="158"/>
      <c r="I7" s="158"/>
      <c r="J7" s="158"/>
      <c r="K7" s="191"/>
      <c r="L7" s="191"/>
      <c r="M7" s="191"/>
      <c r="N7" s="191"/>
      <c r="O7" s="191"/>
      <c r="P7" s="191"/>
      <c r="Q7" s="191"/>
      <c r="R7" s="191"/>
      <c r="S7" s="191"/>
      <c r="T7" s="191"/>
      <c r="U7" s="191"/>
      <c r="V7" s="191"/>
      <c r="W7" s="191"/>
      <c r="X7" s="191"/>
      <c r="Y7" s="191"/>
      <c r="Z7" s="191"/>
      <c r="AA7" s="824" t="str">
        <f>"Средневзвешенный тариф с учётом надбавки и передачи (транспортировки), руб./" &amp; $G$12</f>
        <v>Средневзвешенный тариф с учётом надбавки и передачи (транспортировки), руб./куб.м</v>
      </c>
      <c r="AB7" s="924"/>
      <c r="AC7" s="824" t="str">
        <f>"Средневзвешенный тариф с учётом передачи (транспортировки), руб./" &amp; $G$12</f>
        <v>Средневзвешенный тариф с учётом передачи (транспортировки), руб./куб.м</v>
      </c>
      <c r="AD7" s="924"/>
      <c r="AE7" s="824"/>
      <c r="AF7" s="924"/>
      <c r="AG7" s="925" t="s">
        <v>3158</v>
      </c>
      <c r="AH7" s="191"/>
      <c r="AI7" s="191"/>
      <c r="AJ7" s="191"/>
      <c r="AK7" s="191"/>
      <c r="AL7" s="191"/>
      <c r="AM7" s="191"/>
      <c r="AN7" s="191"/>
      <c r="AO7" s="191"/>
      <c r="AP7" s="191"/>
      <c r="AQ7" s="191"/>
      <c r="AR7" s="191"/>
      <c r="AS7" s="191"/>
      <c r="AT7" s="191"/>
      <c r="AU7" s="191"/>
      <c r="AV7" s="158"/>
      <c r="AW7" s="824" t="str">
        <f>"Средневзвешенный тариф по группе ""Бюджетные потребители"", руб./" &amp; $G$12</f>
        <v>Средневзвешенный тариф по группе "Бюджетные потребители", руб./куб.м</v>
      </c>
      <c r="AX7" s="824"/>
      <c r="AY7" s="158"/>
      <c r="AZ7" s="158"/>
      <c r="BA7" s="158"/>
      <c r="BB7" s="158"/>
      <c r="BC7" s="158"/>
      <c r="BD7" s="158"/>
      <c r="BE7" s="158"/>
      <c r="BF7" s="158"/>
      <c r="BG7" s="158"/>
      <c r="BH7" s="158"/>
      <c r="BI7" s="158"/>
      <c r="BJ7" s="158"/>
      <c r="BK7" s="158"/>
      <c r="BL7" s="824" t="str">
        <f>"Средневзвешенный тариф по группе ""Население"", руб./" &amp; $G$12</f>
        <v>Средневзвешенный тариф по группе "Население", руб./куб.м</v>
      </c>
      <c r="BM7" s="824"/>
      <c r="BN7" s="158"/>
      <c r="BO7" s="158"/>
      <c r="BP7" s="158"/>
      <c r="BQ7" s="158"/>
      <c r="BR7" s="158"/>
      <c r="BS7" s="158"/>
      <c r="BT7" s="158"/>
      <c r="BU7" s="158"/>
      <c r="BV7" s="158"/>
      <c r="BW7" s="158"/>
      <c r="BX7" s="158"/>
      <c r="BY7" s="158"/>
      <c r="BZ7" s="158"/>
      <c r="CA7" s="824" t="str">
        <f>"Средневзвешенный тариф по группе ""Прочие"", руб./" &amp; $G$12</f>
        <v>Средневзвешенный тариф по группе "Прочие", руб./куб.м</v>
      </c>
      <c r="CB7" s="824"/>
      <c r="CC7" s="158"/>
      <c r="CD7" s="158"/>
      <c r="CE7" s="158"/>
      <c r="CF7" s="158"/>
      <c r="CG7" s="158"/>
      <c r="CH7" s="158"/>
      <c r="CI7" s="158"/>
      <c r="CJ7" s="158"/>
      <c r="CK7" s="158"/>
      <c r="CL7" s="158"/>
      <c r="CM7" s="158"/>
      <c r="CN7" s="158"/>
      <c r="CO7" s="158"/>
      <c r="CP7" s="158"/>
      <c r="CQ7" s="158"/>
      <c r="CR7" s="191"/>
      <c r="CS7" s="158"/>
      <c r="CT7" s="158"/>
      <c r="CU7" s="158"/>
      <c r="CV7" s="158"/>
      <c r="CW7" s="158"/>
      <c r="CX7" s="158"/>
      <c r="CY7" s="158"/>
      <c r="CZ7" s="158"/>
      <c r="DA7" s="158"/>
      <c r="DB7" s="158"/>
      <c r="DC7" s="158"/>
      <c r="DD7" s="158"/>
      <c r="DE7" s="158"/>
      <c r="DF7" s="81"/>
      <c r="DG7" s="81"/>
      <c r="DH7" s="81"/>
      <c r="DI7" s="81"/>
      <c r="DJ7" s="81"/>
      <c r="DK7" s="81"/>
      <c r="DL7" s="81"/>
      <c r="DM7" s="81"/>
      <c r="DN7" s="81"/>
      <c r="DO7" s="81"/>
      <c r="DP7" s="81"/>
      <c r="DQ7" s="81"/>
      <c r="DR7" s="81"/>
      <c r="DS7" s="81"/>
      <c r="DT7" s="81"/>
    </row>
    <row r="8" spans="4:152" s="164" customFormat="1" ht="12" customHeight="1">
      <c r="D8" s="165"/>
      <c r="E8" s="190"/>
      <c r="F8" s="158"/>
      <c r="G8" s="197"/>
      <c r="H8" s="198"/>
      <c r="I8" s="120"/>
      <c r="J8" s="120"/>
      <c r="K8" s="189"/>
      <c r="L8" s="189"/>
      <c r="M8" s="189"/>
      <c r="N8" s="189"/>
      <c r="O8" s="189"/>
      <c r="P8" s="189"/>
      <c r="Q8" s="189"/>
      <c r="R8" s="189"/>
      <c r="S8" s="189"/>
      <c r="T8" s="189"/>
      <c r="U8" s="189"/>
      <c r="V8" s="189"/>
      <c r="W8" s="189"/>
      <c r="X8" s="189"/>
      <c r="Y8" s="158"/>
      <c r="Z8" s="191"/>
      <c r="AA8" s="337" t="s">
        <v>627</v>
      </c>
      <c r="AB8" s="428" t="s">
        <v>628</v>
      </c>
      <c r="AC8" s="337" t="s">
        <v>627</v>
      </c>
      <c r="AD8" s="428" t="s">
        <v>628</v>
      </c>
      <c r="AE8" s="337"/>
      <c r="AF8" s="428"/>
      <c r="AG8" s="926"/>
      <c r="AH8" s="158"/>
      <c r="AI8" s="158"/>
      <c r="AJ8" s="158"/>
      <c r="AK8" s="158"/>
      <c r="AL8" s="158"/>
      <c r="AM8" s="158"/>
      <c r="AN8" s="158"/>
      <c r="AO8" s="158"/>
      <c r="AP8" s="158"/>
      <c r="AQ8" s="158"/>
      <c r="AR8" s="158"/>
      <c r="AS8" s="158"/>
      <c r="AT8" s="158"/>
      <c r="AU8" s="158"/>
      <c r="AV8" s="158"/>
      <c r="AW8" s="337" t="s">
        <v>627</v>
      </c>
      <c r="AX8" s="337" t="s">
        <v>628</v>
      </c>
      <c r="AY8" s="158"/>
      <c r="AZ8" s="158"/>
      <c r="BA8" s="158"/>
      <c r="BB8" s="158"/>
      <c r="BC8" s="158"/>
      <c r="BD8" s="158"/>
      <c r="BE8" s="158"/>
      <c r="BF8" s="158"/>
      <c r="BG8" s="158"/>
      <c r="BH8" s="158"/>
      <c r="BI8" s="158"/>
      <c r="BJ8" s="158"/>
      <c r="BK8" s="158"/>
      <c r="BL8" s="337" t="s">
        <v>627</v>
      </c>
      <c r="BM8" s="337" t="s">
        <v>628</v>
      </c>
      <c r="BN8" s="158"/>
      <c r="BO8" s="158"/>
      <c r="BP8" s="158"/>
      <c r="BQ8" s="158"/>
      <c r="BR8" s="158"/>
      <c r="BS8" s="158"/>
      <c r="BT8" s="158"/>
      <c r="BU8" s="158"/>
      <c r="BV8" s="158"/>
      <c r="BW8" s="158"/>
      <c r="BX8" s="158"/>
      <c r="BY8" s="158"/>
      <c r="BZ8" s="158"/>
      <c r="CA8" s="337" t="s">
        <v>627</v>
      </c>
      <c r="CB8" s="337" t="s">
        <v>628</v>
      </c>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81"/>
      <c r="DG8" s="81"/>
      <c r="DH8" s="81"/>
      <c r="DI8" s="81"/>
      <c r="DJ8" s="81"/>
      <c r="DK8" s="81"/>
      <c r="DL8" s="81"/>
      <c r="DM8" s="81"/>
      <c r="DN8" s="81"/>
      <c r="DO8" s="81"/>
      <c r="DP8" s="81"/>
      <c r="DQ8" s="81"/>
      <c r="DR8" s="81"/>
      <c r="DS8" s="81"/>
      <c r="DT8" s="81"/>
    </row>
    <row r="9" spans="4:152" s="164" customFormat="1" ht="12" customHeight="1">
      <c r="D9" s="165"/>
      <c r="E9" s="190"/>
      <c r="F9" s="158"/>
      <c r="G9"/>
      <c r="H9" s="84"/>
      <c r="I9" s="158"/>
      <c r="J9" s="158"/>
      <c r="K9" s="189"/>
      <c r="L9" s="189"/>
      <c r="M9" s="189"/>
      <c r="N9" s="189"/>
      <c r="O9" s="189"/>
      <c r="P9" s="189"/>
      <c r="Q9" s="189"/>
      <c r="R9" s="189"/>
      <c r="S9" s="189"/>
      <c r="T9" s="189"/>
      <c r="U9" s="189"/>
      <c r="V9" s="189"/>
      <c r="W9" s="189"/>
      <c r="X9" s="189"/>
      <c r="Y9" s="158"/>
      <c r="Z9" s="191"/>
      <c r="AA9" s="398">
        <f>IF(AG18=0,0,((('ТМ1 01.09 - 31.12'!AQ18*'ТМ1 01.09 - 31.12'!AS18*$AG9)+('ТМ1 01.09 - 31.12'!AT18*'ТМ1 01.09 - 31.12'!AV18*$AG9)+('ТМ1 01.09 - 31.12'!AW18*'ТМ1 01.09 - 31.12'!AY18*$AG9))+ (AA18*AG18))/AG18)</f>
        <v>49.29</v>
      </c>
      <c r="AB9" s="429">
        <f>IF(AG18=0,0,((('ТМ1 01.09 - 31.12'!AR18*'ТМ1 01.09 - 31.12'!AS18*$AG9)+('ТМ1 01.09 - 31.12'!AU18*'ТМ1 01.09 - 31.12'!AV18*$AG9)+('ТМ1 01.09 - 31.12'!AX18*'ТМ1 01.09 - 31.12'!AY18*$AG9))+ (AB18*AG18))/AG18)</f>
        <v>49.29</v>
      </c>
      <c r="AC9" s="398">
        <f>IF(AG18=0,0,((('ТМ1 01.09 - 31.12'!AQ18*'ТМ1 01.09 - 31.12'!AS18*$AG9)+('ТМ1 01.09 - 31.12'!AT18*'ТМ1 01.09 - 31.12'!AV18*$AG9)+('ТМ1 01.09 - 31.12'!AW18*'ТМ1 01.09 - 31.12'!AY18*$AG9))+ (AC18*AG18))/AG18)</f>
        <v>49.29</v>
      </c>
      <c r="AD9" s="429">
        <f>IF(AG18=0,0,((('ТМ1 01.09 - 31.12'!AR18*'ТМ1 01.09 - 31.12'!AS18*$AG9)+('ТМ1 01.09 - 31.12'!AU18*'ТМ1 01.09 - 31.12'!AV18*$AG9)+('ТМ1 01.09 - 31.12'!AX18*'ТМ1 01.09 - 31.12'!AY18*$AG9))+ (AD18*AG18))/AG18)</f>
        <v>49.29</v>
      </c>
      <c r="AE9" s="398"/>
      <c r="AF9" s="429"/>
      <c r="AG9" s="130">
        <v>1</v>
      </c>
      <c r="AH9" s="158"/>
      <c r="AI9" s="158"/>
      <c r="AJ9" s="158"/>
      <c r="AK9" s="158"/>
      <c r="AL9" s="158"/>
      <c r="AM9" s="158"/>
      <c r="AN9" s="158"/>
      <c r="AO9" s="158"/>
      <c r="AP9" s="158"/>
      <c r="AQ9" s="158"/>
      <c r="AR9" s="158"/>
      <c r="AS9" s="158"/>
      <c r="AT9" s="158"/>
      <c r="AU9" s="158"/>
      <c r="AV9" s="158"/>
      <c r="AW9" s="398">
        <f>IF(AV18+BA18&gt;0,(AR18*AV18+AW18*BA18)/(AV18+BA18),0)</f>
        <v>49.29</v>
      </c>
      <c r="AX9" s="398">
        <f>IF(AV18+BA18&gt;0,(AS18*AV18+AX18*BA18)/(AV18+BA18),0)</f>
        <v>49.29</v>
      </c>
      <c r="AY9" s="158"/>
      <c r="AZ9" s="158"/>
      <c r="BA9" s="158"/>
      <c r="BB9" s="158"/>
      <c r="BC9" s="158"/>
      <c r="BD9" s="158"/>
      <c r="BE9" s="158"/>
      <c r="BF9" s="158"/>
      <c r="BG9" s="158"/>
      <c r="BH9" s="158"/>
      <c r="BI9" s="158"/>
      <c r="BJ9" s="158"/>
      <c r="BK9" s="158"/>
      <c r="BL9" s="398">
        <f>IF(BK18+BP18&gt;0,(BG18*BK18+BL18*BP18)/(BK18+BP18),0)</f>
        <v>49.29</v>
      </c>
      <c r="BM9" s="398">
        <f>IF(BK18+BP18&gt;0,(BH18*BK18+BM18*BP18)/(BK18+BP18),0)</f>
        <v>49.29</v>
      </c>
      <c r="BN9" s="158"/>
      <c r="BO9" s="158"/>
      <c r="BP9" s="158"/>
      <c r="BQ9" s="158"/>
      <c r="BR9" s="158"/>
      <c r="BS9" s="158"/>
      <c r="BT9" s="158"/>
      <c r="BU9" s="158"/>
      <c r="BV9" s="158"/>
      <c r="BW9" s="158"/>
      <c r="BX9" s="158"/>
      <c r="BY9" s="158"/>
      <c r="BZ9" s="158"/>
      <c r="CA9" s="398">
        <f>IF(BZ18+CE18&gt;0,(BV18*BZ18+CA18*CE18)/(BZ18+CE18),0)</f>
        <v>49.289999999999992</v>
      </c>
      <c r="CB9" s="398">
        <f>IF(BZ18&gt;0,(BW18*BZ18+CB18*CE18)/BZ18,0)</f>
        <v>49.289999999999992</v>
      </c>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81"/>
      <c r="DG9" s="81"/>
      <c r="DH9" s="81"/>
      <c r="DI9" s="81"/>
      <c r="DJ9" s="81"/>
      <c r="DK9" s="81"/>
      <c r="DL9" s="81"/>
      <c r="DM9" s="81"/>
      <c r="DN9" s="81"/>
      <c r="DO9" s="81"/>
      <c r="DP9" s="81"/>
      <c r="DQ9" s="81"/>
      <c r="DR9" s="81"/>
      <c r="DS9" s="81"/>
      <c r="DT9" s="81"/>
    </row>
    <row r="10" spans="4:152" s="164" customFormat="1" ht="12" customHeight="1">
      <c r="D10" s="165"/>
      <c r="E10" s="190"/>
      <c r="F10" s="158"/>
      <c r="G10"/>
      <c r="H10" s="84"/>
      <c r="I10" s="158"/>
      <c r="J10" s="158"/>
      <c r="K10" s="444" t="s">
        <v>652</v>
      </c>
      <c r="L10" s="189"/>
      <c r="M10" s="189"/>
      <c r="N10" s="189"/>
      <c r="O10" s="189"/>
      <c r="P10" s="189"/>
      <c r="Q10" s="189"/>
      <c r="R10" s="189"/>
      <c r="S10" s="189"/>
      <c r="T10" s="189"/>
      <c r="U10" s="189"/>
      <c r="V10" s="189"/>
      <c r="W10" s="189"/>
      <c r="X10" s="189"/>
      <c r="Y10" s="158"/>
      <c r="Z10" s="191"/>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s="158"/>
      <c r="CT10" s="158"/>
      <c r="CU10" s="158"/>
      <c r="CV10" s="158"/>
      <c r="CW10" s="158"/>
      <c r="CX10" s="158"/>
      <c r="CY10" s="158"/>
      <c r="CZ10" s="158"/>
      <c r="DA10" s="158"/>
      <c r="DB10" s="158"/>
      <c r="DC10" s="158"/>
      <c r="DD10" s="158"/>
      <c r="DE10" s="158"/>
      <c r="DF10" s="81"/>
      <c r="DG10" s="81"/>
      <c r="DH10" s="81"/>
      <c r="DI10" s="81"/>
      <c r="DJ10" s="81"/>
      <c r="DK10" s="81"/>
      <c r="DL10" s="81"/>
      <c r="DM10" s="81"/>
      <c r="DN10" s="81"/>
      <c r="DO10" s="81"/>
      <c r="DP10" s="81"/>
      <c r="DQ10" s="81"/>
      <c r="DR10" s="81"/>
      <c r="DS10" s="81"/>
      <c r="DT10" s="81"/>
    </row>
    <row r="11" spans="4:152" s="164" customFormat="1" ht="0.75" customHeight="1">
      <c r="D11" s="165"/>
      <c r="E11" s="190"/>
      <c r="F11" s="158"/>
      <c r="G11"/>
      <c r="H11" s="84"/>
      <c r="I11" s="158"/>
      <c r="J11" s="158"/>
      <c r="K11" s="189"/>
      <c r="L11" s="189"/>
      <c r="M11" s="189"/>
      <c r="N11" s="189"/>
      <c r="O11" s="189"/>
      <c r="P11" s="189"/>
      <c r="Q11" s="189"/>
      <c r="R11" s="189"/>
      <c r="S11" s="189"/>
      <c r="T11" s="189"/>
      <c r="U11" s="189"/>
      <c r="V11" s="189"/>
      <c r="W11" s="189"/>
      <c r="X11" s="189"/>
      <c r="Y11" s="158"/>
      <c r="Z11" s="19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s="158"/>
      <c r="CT11" s="158"/>
      <c r="CU11" s="158"/>
      <c r="CV11" s="158"/>
      <c r="CW11" s="158"/>
      <c r="CX11" s="158"/>
      <c r="CY11" s="158"/>
      <c r="CZ11" s="158"/>
      <c r="DA11" s="158"/>
      <c r="DB11" s="158"/>
      <c r="DC11" s="158"/>
      <c r="DD11" s="158"/>
      <c r="DE11" s="158"/>
      <c r="DF11" s="81"/>
      <c r="DG11" s="81"/>
      <c r="DH11" s="81"/>
      <c r="DI11" s="81"/>
      <c r="DJ11" s="81"/>
      <c r="DK11" s="81"/>
      <c r="DL11" s="81"/>
      <c r="DM11" s="81"/>
      <c r="DN11" s="81"/>
      <c r="DO11" s="81"/>
      <c r="DP11" s="81"/>
      <c r="DQ11" s="81"/>
      <c r="DR11" s="81"/>
      <c r="DS11" s="81"/>
      <c r="DT11" s="81"/>
    </row>
    <row r="12" spans="4:152" s="164" customFormat="1" ht="12" customHeight="1">
      <c r="D12" s="165"/>
      <c r="E12" s="190"/>
      <c r="F12" s="158"/>
      <c r="G12" s="589" t="s">
        <v>445</v>
      </c>
      <c r="H12" s="588"/>
      <c r="I12" s="158"/>
      <c r="J12" s="158"/>
      <c r="K12" s="922" t="s">
        <v>2863</v>
      </c>
      <c r="L12" s="922"/>
      <c r="M12" s="922"/>
      <c r="N12" s="922"/>
      <c r="O12" s="922"/>
      <c r="P12" s="922"/>
      <c r="Q12" s="922"/>
      <c r="R12" s="922"/>
      <c r="S12" s="922"/>
      <c r="T12" s="922"/>
      <c r="U12" s="922"/>
      <c r="V12" s="922"/>
      <c r="W12" s="922"/>
      <c r="X12" s="922"/>
      <c r="Y12" s="158"/>
      <c r="Z12" s="191"/>
      <c r="AA12" s="191"/>
      <c r="AB12" s="158"/>
      <c r="AC12" s="158"/>
      <c r="AD12" s="158"/>
      <c r="AE12" s="158"/>
      <c r="AF12" s="158"/>
      <c r="AG12" s="158"/>
      <c r="AH12" s="158"/>
      <c r="AI12" s="158"/>
      <c r="AJ12" s="158"/>
      <c r="AK12" s="158"/>
      <c r="AL12" s="158"/>
      <c r="AM12" s="158"/>
      <c r="AN12" s="158"/>
      <c r="AO12" s="158"/>
      <c r="AP12" s="158"/>
      <c r="AQ12" s="158"/>
      <c r="AR12" s="158"/>
      <c r="AS12" s="158"/>
      <c r="AT12" s="158"/>
      <c r="AU12" s="158"/>
      <c r="AV12" s="427"/>
      <c r="AW12" s="158"/>
      <c r="AX12" s="158"/>
      <c r="AY12" s="158"/>
      <c r="AZ12" s="158"/>
      <c r="BA12" s="158"/>
      <c r="BB12" s="158"/>
      <c r="BC12" s="158"/>
      <c r="BD12" s="158"/>
      <c r="BE12" s="158"/>
      <c r="BF12" s="158"/>
      <c r="BG12" s="158"/>
      <c r="BH12" s="158"/>
      <c r="BI12" s="158"/>
      <c r="BJ12" s="158"/>
      <c r="BK12" s="427"/>
      <c r="BL12" s="158"/>
      <c r="BM12" s="158"/>
      <c r="BN12" s="158"/>
      <c r="BO12" s="158"/>
      <c r="BP12" s="158"/>
      <c r="BQ12" s="158"/>
      <c r="BR12" s="158"/>
      <c r="BS12" s="158"/>
      <c r="BT12" s="158"/>
      <c r="BU12" s="158"/>
      <c r="BV12" s="158"/>
      <c r="BW12" s="158"/>
      <c r="BX12" s="158"/>
      <c r="BY12" s="158"/>
      <c r="BZ12" s="427"/>
      <c r="CA12" s="158"/>
      <c r="CB12" s="158"/>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81"/>
      <c r="DG12" s="81"/>
      <c r="DH12" s="81"/>
      <c r="DI12" s="81"/>
      <c r="DJ12" s="81"/>
      <c r="DK12" s="81"/>
      <c r="DL12" s="81"/>
      <c r="DM12" s="81"/>
      <c r="DN12" s="81"/>
      <c r="DO12" s="81"/>
      <c r="DP12" s="81"/>
      <c r="DQ12" s="81"/>
      <c r="DR12" s="81"/>
      <c r="DS12" s="81"/>
      <c r="DT12" s="81"/>
    </row>
    <row r="13" spans="4:152" ht="24" customHeight="1">
      <c r="E13" s="192"/>
      <c r="F13" s="827" t="s">
        <v>641</v>
      </c>
      <c r="G13" s="827" t="s">
        <v>735</v>
      </c>
      <c r="H13" s="827" t="s">
        <v>894</v>
      </c>
      <c r="I13" s="827"/>
      <c r="J13" s="827" t="s">
        <v>626</v>
      </c>
      <c r="K13" s="965" t="s">
        <v>2584</v>
      </c>
      <c r="L13" s="802"/>
      <c r="M13" s="802"/>
      <c r="N13" s="803" t="s">
        <v>2569</v>
      </c>
      <c r="O13" s="803"/>
      <c r="P13" s="802" t="s">
        <v>2570</v>
      </c>
      <c r="Q13" s="802"/>
      <c r="R13" s="802" t="s">
        <v>2862</v>
      </c>
      <c r="S13" s="802"/>
      <c r="T13" s="802"/>
      <c r="U13" s="802"/>
      <c r="V13" s="802" t="s">
        <v>2571</v>
      </c>
      <c r="W13" s="802"/>
      <c r="X13" s="803" t="s">
        <v>2572</v>
      </c>
      <c r="Y13" s="828" t="str">
        <f>"Экономически обоснованный тариф, руб./" &amp; $G$12</f>
        <v>Экономически обоснованный тариф, руб./куб.м</v>
      </c>
      <c r="Z13" s="828"/>
      <c r="AA13" s="872" t="str">
        <f>"Средневзвешенный тариф с учётом надбавки, руб./" &amp; $G$12</f>
        <v>Средневзвешенный тариф с учётом надбавки, руб./куб.м</v>
      </c>
      <c r="AB13" s="873"/>
      <c r="AC13" s="872" t="str">
        <f>"Средневзвешенный тариф, руб./" &amp; $G$12</f>
        <v>Средневзвешенный тариф, руб./куб.м</v>
      </c>
      <c r="AD13" s="873"/>
      <c r="AE13" s="872"/>
      <c r="AF13" s="873"/>
      <c r="AG13" s="828" t="str">
        <f>"Объём реализации услуги потребителям, всего, " &amp; $G$12</f>
        <v>Объём реализации услуги потребителям, всего, куб.м</v>
      </c>
      <c r="AH13" s="872"/>
      <c r="AI13" s="873"/>
      <c r="AJ13" s="872" t="str">
        <f>"Надбавка к тарифу, руб./" &amp; $G$12</f>
        <v>Надбавка к тарифу, руб./куб.м</v>
      </c>
      <c r="AK13" s="873"/>
      <c r="AL13" s="828" t="str">
        <f>"Объём, на который расчитана надбавка, " &amp; $G$12</f>
        <v>Объём, на который расчитана надбавка, куб.м</v>
      </c>
      <c r="AM13" s="828" t="s">
        <v>2459</v>
      </c>
      <c r="AN13" s="828"/>
      <c r="AO13" s="828"/>
      <c r="AP13" s="828"/>
      <c r="AQ13" s="828"/>
      <c r="AR13" s="828" t="s">
        <v>747</v>
      </c>
      <c r="AS13" s="828"/>
      <c r="AT13" s="828"/>
      <c r="AU13" s="828"/>
      <c r="AV13" s="831"/>
      <c r="AW13" s="828"/>
      <c r="AX13" s="828"/>
      <c r="AY13" s="828"/>
      <c r="AZ13" s="828"/>
      <c r="BA13" s="828"/>
      <c r="BB13" s="828"/>
      <c r="BC13" s="828"/>
      <c r="BD13" s="828"/>
      <c r="BE13" s="828"/>
      <c r="BF13" s="828"/>
      <c r="BG13" s="828" t="s">
        <v>748</v>
      </c>
      <c r="BH13" s="828"/>
      <c r="BI13" s="828"/>
      <c r="BJ13" s="828"/>
      <c r="BK13" s="831"/>
      <c r="BL13" s="828"/>
      <c r="BM13" s="828"/>
      <c r="BN13" s="828"/>
      <c r="BO13" s="828"/>
      <c r="BP13" s="828"/>
      <c r="BQ13" s="828"/>
      <c r="BR13" s="828"/>
      <c r="BS13" s="828"/>
      <c r="BT13" s="828"/>
      <c r="BU13" s="828"/>
      <c r="BV13" s="828" t="s">
        <v>758</v>
      </c>
      <c r="BW13" s="828"/>
      <c r="BX13" s="828"/>
      <c r="BY13" s="828"/>
      <c r="BZ13" s="831"/>
      <c r="CA13" s="828"/>
      <c r="CB13" s="828"/>
      <c r="CC13" s="828"/>
      <c r="CD13" s="828"/>
      <c r="CE13" s="828"/>
      <c r="CF13" s="828"/>
      <c r="CG13" s="828"/>
      <c r="CH13" s="828"/>
      <c r="CI13" s="828"/>
      <c r="CJ13" s="828"/>
      <c r="CK13" s="828" t="s">
        <v>896</v>
      </c>
      <c r="CL13" s="828" t="s">
        <v>897</v>
      </c>
      <c r="CM13" s="828" t="s">
        <v>898</v>
      </c>
      <c r="CN13" s="828"/>
      <c r="CO13" s="828"/>
      <c r="CP13" s="828"/>
      <c r="CQ13" s="828"/>
      <c r="CR13" s="828" t="s">
        <v>899</v>
      </c>
      <c r="CS13" s="185"/>
      <c r="CT13" s="185"/>
      <c r="CU13" s="185"/>
      <c r="CV13" s="185"/>
      <c r="CW13" s="185"/>
      <c r="CX13" s="185"/>
      <c r="CY13" s="185"/>
      <c r="CZ13" s="185"/>
      <c r="DA13" s="185"/>
      <c r="DB13" s="185"/>
      <c r="DC13" s="185"/>
      <c r="DD13" s="185"/>
      <c r="DE13" s="185"/>
    </row>
    <row r="14" spans="4:152" ht="18.75" customHeight="1">
      <c r="E14" s="192"/>
      <c r="F14" s="869"/>
      <c r="G14" s="869"/>
      <c r="H14" s="827"/>
      <c r="I14" s="827"/>
      <c r="J14" s="827"/>
      <c r="K14" s="803" t="s">
        <v>2581</v>
      </c>
      <c r="L14" s="803" t="s">
        <v>2582</v>
      </c>
      <c r="M14" s="803" t="s">
        <v>2583</v>
      </c>
      <c r="N14" s="860"/>
      <c r="O14" s="860"/>
      <c r="P14" s="803" t="s">
        <v>2573</v>
      </c>
      <c r="Q14" s="803" t="s">
        <v>2574</v>
      </c>
      <c r="R14" s="803" t="s">
        <v>2573</v>
      </c>
      <c r="S14" s="803" t="s">
        <v>2574</v>
      </c>
      <c r="T14" s="803"/>
      <c r="U14" s="803"/>
      <c r="V14" s="803" t="s">
        <v>2575</v>
      </c>
      <c r="W14" s="803" t="s">
        <v>2576</v>
      </c>
      <c r="X14" s="860"/>
      <c r="Y14" s="828"/>
      <c r="Z14" s="828"/>
      <c r="AA14" s="874"/>
      <c r="AB14" s="875"/>
      <c r="AC14" s="874"/>
      <c r="AD14" s="875"/>
      <c r="AE14" s="874"/>
      <c r="AF14" s="875"/>
      <c r="AG14" s="828"/>
      <c r="AH14" s="874"/>
      <c r="AI14" s="875"/>
      <c r="AJ14" s="874"/>
      <c r="AK14" s="875"/>
      <c r="AL14" s="828"/>
      <c r="AM14" s="828" t="str">
        <f>"Тариф, руб./" &amp; $G$12</f>
        <v>Тариф, руб./куб.м</v>
      </c>
      <c r="AN14" s="828"/>
      <c r="AO14" s="828" t="str">
        <f>"Льготный тариф, руб./" &amp; $G$12</f>
        <v>Льготный тариф, руб./куб.м</v>
      </c>
      <c r="AP14" s="828"/>
      <c r="AQ14" s="828" t="str">
        <f>"Объём реализации услуги, " &amp; $G$12</f>
        <v>Объём реализации услуги, куб.м</v>
      </c>
      <c r="AR14" s="872" t="str">
        <f>"Одноставочный тариф, руб./" &amp; $G$12</f>
        <v>Одноставочный тариф, руб./куб.м</v>
      </c>
      <c r="AS14" s="873"/>
      <c r="AT14" s="828" t="str">
        <f>"Льготный тариф, руб./" &amp; $G$12</f>
        <v>Льготный тариф, руб./куб.м</v>
      </c>
      <c r="AU14" s="828"/>
      <c r="AV14" s="828" t="str">
        <f>"Объём реализации услуги, " &amp; $G$12</f>
        <v>Объём реализации услуги, куб.м</v>
      </c>
      <c r="AW14" s="828" t="s">
        <v>903</v>
      </c>
      <c r="AX14" s="828"/>
      <c r="AY14" s="828"/>
      <c r="AZ14" s="828"/>
      <c r="BA14" s="828"/>
      <c r="BB14" s="828"/>
      <c r="BC14" s="828"/>
      <c r="BD14" s="828"/>
      <c r="BE14" s="828" t="s">
        <v>906</v>
      </c>
      <c r="BF14" s="828" t="str">
        <f>"Удельная величина дотаций, руб./" &amp; $G$12</f>
        <v>Удельная величина дотаций, руб./куб.м</v>
      </c>
      <c r="BG14" s="872" t="str">
        <f>"Одноставочный тариф, руб./" &amp; $G$12</f>
        <v>Одноставочный тариф, руб./куб.м</v>
      </c>
      <c r="BH14" s="873"/>
      <c r="BI14" s="828" t="str">
        <f>"Льготный тариф, руб./" &amp; $G$12</f>
        <v>Льготный тариф, руб./куб.м</v>
      </c>
      <c r="BJ14" s="828"/>
      <c r="BK14" s="828" t="str">
        <f>"Объём реализации услуги, " &amp; $G$12</f>
        <v>Объём реализации услуги, куб.м</v>
      </c>
      <c r="BL14" s="828" t="s">
        <v>903</v>
      </c>
      <c r="BM14" s="828"/>
      <c r="BN14" s="828"/>
      <c r="BO14" s="828"/>
      <c r="BP14" s="828"/>
      <c r="BQ14" s="828"/>
      <c r="BR14" s="828"/>
      <c r="BS14" s="828"/>
      <c r="BT14" s="828" t="s">
        <v>906</v>
      </c>
      <c r="BU14" s="828" t="str">
        <f>"Удельная величина дотаций, руб./" &amp; $G$12</f>
        <v>Удельная величина дотаций, руб./куб.м</v>
      </c>
      <c r="BV14" s="872" t="str">
        <f>"Одноставочный тариф, руб./" &amp; $G$12</f>
        <v>Одноставочный тариф, руб./куб.м</v>
      </c>
      <c r="BW14" s="873"/>
      <c r="BX14" s="828" t="str">
        <f>"Льготный тариф, руб./" &amp; $G$12</f>
        <v>Льготный тариф, руб./куб.м</v>
      </c>
      <c r="BY14" s="828"/>
      <c r="BZ14" s="828" t="str">
        <f>"Объём реализации услуги, " &amp; $G$12</f>
        <v>Объём реализации услуги, куб.м</v>
      </c>
      <c r="CA14" s="828" t="s">
        <v>903</v>
      </c>
      <c r="CB14" s="828"/>
      <c r="CC14" s="828"/>
      <c r="CD14" s="828"/>
      <c r="CE14" s="828"/>
      <c r="CF14" s="828"/>
      <c r="CG14" s="828"/>
      <c r="CH14" s="828"/>
      <c r="CI14" s="828" t="s">
        <v>906</v>
      </c>
      <c r="CJ14" s="828" t="str">
        <f>"Удельная величина дотаций, руб./" &amp; $G$12</f>
        <v>Удельная величина дотаций, руб./куб.м</v>
      </c>
      <c r="CK14" s="828"/>
      <c r="CL14" s="828"/>
      <c r="CM14" s="828" t="s">
        <v>907</v>
      </c>
      <c r="CN14" s="828" t="s">
        <v>908</v>
      </c>
      <c r="CO14" s="828" t="s">
        <v>909</v>
      </c>
      <c r="CP14" s="828" t="s">
        <v>910</v>
      </c>
      <c r="CQ14" s="828" t="s">
        <v>911</v>
      </c>
      <c r="CR14" s="828"/>
      <c r="CS14" s="185"/>
      <c r="CT14" s="185"/>
      <c r="CU14" s="185"/>
      <c r="CV14" s="185"/>
      <c r="CW14" s="185"/>
      <c r="CX14" s="185"/>
      <c r="CY14" s="185"/>
      <c r="CZ14" s="185"/>
      <c r="DA14" s="185"/>
      <c r="DB14" s="185"/>
      <c r="DC14" s="185"/>
      <c r="DD14" s="185"/>
      <c r="DE14" s="185"/>
    </row>
    <row r="15" spans="4:152" ht="30" customHeight="1">
      <c r="E15" s="192"/>
      <c r="F15" s="869"/>
      <c r="G15" s="869"/>
      <c r="H15" s="827"/>
      <c r="I15" s="827"/>
      <c r="J15" s="827"/>
      <c r="K15" s="860"/>
      <c r="L15" s="860"/>
      <c r="M15" s="860"/>
      <c r="N15" s="860"/>
      <c r="O15" s="860"/>
      <c r="P15" s="860"/>
      <c r="Q15" s="860"/>
      <c r="R15" s="860"/>
      <c r="S15" s="860"/>
      <c r="T15" s="860"/>
      <c r="U15" s="860"/>
      <c r="V15" s="860"/>
      <c r="W15" s="860"/>
      <c r="X15" s="860"/>
      <c r="Y15" s="828"/>
      <c r="Z15" s="828"/>
      <c r="AA15" s="876"/>
      <c r="AB15" s="877"/>
      <c r="AC15" s="876"/>
      <c r="AD15" s="877"/>
      <c r="AE15" s="876"/>
      <c r="AF15" s="877"/>
      <c r="AG15" s="828"/>
      <c r="AH15" s="876"/>
      <c r="AI15" s="877"/>
      <c r="AJ15" s="876"/>
      <c r="AK15" s="877"/>
      <c r="AL15" s="828"/>
      <c r="AM15" s="828"/>
      <c r="AN15" s="828"/>
      <c r="AO15" s="828"/>
      <c r="AP15" s="828"/>
      <c r="AQ15" s="828"/>
      <c r="AR15" s="876"/>
      <c r="AS15" s="877"/>
      <c r="AT15" s="828"/>
      <c r="AU15" s="828"/>
      <c r="AV15" s="828"/>
      <c r="AW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AX15" s="828"/>
      <c r="AY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AZ15" s="828"/>
      <c r="BA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B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C15" s="828"/>
      <c r="BD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E15" s="828"/>
      <c r="BF15" s="828"/>
      <c r="BG15" s="876"/>
      <c r="BH15" s="877"/>
      <c r="BI15" s="828"/>
      <c r="BJ15" s="828"/>
      <c r="BK15" s="828"/>
      <c r="BL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BM15" s="828"/>
      <c r="BN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BO15" s="828"/>
      <c r="BP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Q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R15" s="828"/>
      <c r="BS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T15" s="828"/>
      <c r="BU15" s="828"/>
      <c r="BV15" s="876"/>
      <c r="BW15" s="877"/>
      <c r="BX15" s="828"/>
      <c r="BY15" s="828"/>
      <c r="BZ15" s="828"/>
      <c r="CA15"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CB15" s="828"/>
      <c r="CC15"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CD15" s="828"/>
      <c r="CE15"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CF15"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CG15" s="828"/>
      <c r="CH15"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CI15" s="828"/>
      <c r="CJ15" s="828"/>
      <c r="CK15" s="828"/>
      <c r="CL15" s="828"/>
      <c r="CM15" s="828"/>
      <c r="CN15" s="828"/>
      <c r="CO15" s="828"/>
      <c r="CP15" s="828"/>
      <c r="CQ15" s="828"/>
      <c r="CR15" s="828"/>
      <c r="CS15" s="185"/>
      <c r="CT15" s="185"/>
      <c r="CU15" s="185"/>
      <c r="CV15" s="185"/>
      <c r="CW15" s="185"/>
      <c r="CX15" s="185"/>
      <c r="CY15" s="185"/>
      <c r="CZ15" s="185"/>
      <c r="DA15" s="185"/>
      <c r="DB15" s="185"/>
      <c r="DC15" s="185"/>
      <c r="DD15" s="185"/>
      <c r="DE15" s="185"/>
      <c r="DP15" s="78"/>
      <c r="DQ15" s="78"/>
      <c r="DR15" s="78"/>
      <c r="DS15" s="78"/>
      <c r="DT15" s="78"/>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row>
    <row r="16" spans="4:152" ht="12" customHeight="1">
      <c r="E16" s="192"/>
      <c r="F16" s="869"/>
      <c r="G16" s="869"/>
      <c r="H16" s="827"/>
      <c r="I16" s="827"/>
      <c r="J16" s="827"/>
      <c r="K16" s="826"/>
      <c r="L16" s="826"/>
      <c r="M16" s="826"/>
      <c r="N16" s="826"/>
      <c r="O16" s="826"/>
      <c r="P16" s="826"/>
      <c r="Q16" s="826"/>
      <c r="R16" s="826"/>
      <c r="S16" s="826"/>
      <c r="T16" s="826"/>
      <c r="U16" s="826"/>
      <c r="V16" s="826"/>
      <c r="W16" s="826"/>
      <c r="X16" s="826"/>
      <c r="Y16" s="193" t="s">
        <v>627</v>
      </c>
      <c r="Z16" s="193" t="s">
        <v>628</v>
      </c>
      <c r="AA16" s="193" t="s">
        <v>627</v>
      </c>
      <c r="AB16" s="193" t="s">
        <v>628</v>
      </c>
      <c r="AC16" s="193" t="s">
        <v>627</v>
      </c>
      <c r="AD16" s="193" t="s">
        <v>628</v>
      </c>
      <c r="AE16" s="193"/>
      <c r="AF16" s="193"/>
      <c r="AG16" s="828"/>
      <c r="AH16" s="193"/>
      <c r="AI16" s="193"/>
      <c r="AJ16" s="193" t="s">
        <v>627</v>
      </c>
      <c r="AK16" s="193" t="s">
        <v>628</v>
      </c>
      <c r="AL16" s="828"/>
      <c r="AM16" s="193" t="s">
        <v>627</v>
      </c>
      <c r="AN16" s="193" t="s">
        <v>628</v>
      </c>
      <c r="AO16" s="193" t="s">
        <v>627</v>
      </c>
      <c r="AP16" s="193" t="s">
        <v>628</v>
      </c>
      <c r="AQ16" s="828"/>
      <c r="AR16" s="193" t="s">
        <v>627</v>
      </c>
      <c r="AS16" s="193" t="s">
        <v>628</v>
      </c>
      <c r="AT16" s="193" t="s">
        <v>627</v>
      </c>
      <c r="AU16" s="193" t="s">
        <v>628</v>
      </c>
      <c r="AV16" s="828"/>
      <c r="AW16" s="193" t="s">
        <v>627</v>
      </c>
      <c r="AX16" s="193" t="s">
        <v>628</v>
      </c>
      <c r="AY16" s="193" t="s">
        <v>627</v>
      </c>
      <c r="AZ16" s="193" t="s">
        <v>628</v>
      </c>
      <c r="BA16" s="828"/>
      <c r="BB16" s="193" t="s">
        <v>627</v>
      </c>
      <c r="BC16" s="193" t="s">
        <v>628</v>
      </c>
      <c r="BD16" s="828"/>
      <c r="BE16" s="828"/>
      <c r="BF16" s="828"/>
      <c r="BG16" s="193" t="s">
        <v>627</v>
      </c>
      <c r="BH16" s="193" t="s">
        <v>628</v>
      </c>
      <c r="BI16" s="193" t="s">
        <v>627</v>
      </c>
      <c r="BJ16" s="193" t="s">
        <v>628</v>
      </c>
      <c r="BK16" s="828"/>
      <c r="BL16" s="193" t="s">
        <v>627</v>
      </c>
      <c r="BM16" s="193" t="s">
        <v>628</v>
      </c>
      <c r="BN16" s="193" t="s">
        <v>627</v>
      </c>
      <c r="BO16" s="193" t="s">
        <v>628</v>
      </c>
      <c r="BP16" s="828"/>
      <c r="BQ16" s="193" t="s">
        <v>627</v>
      </c>
      <c r="BR16" s="193" t="s">
        <v>628</v>
      </c>
      <c r="BS16" s="828"/>
      <c r="BT16" s="828"/>
      <c r="BU16" s="828"/>
      <c r="BV16" s="193" t="s">
        <v>627</v>
      </c>
      <c r="BW16" s="193" t="s">
        <v>628</v>
      </c>
      <c r="BX16" s="193" t="s">
        <v>627</v>
      </c>
      <c r="BY16" s="193" t="s">
        <v>628</v>
      </c>
      <c r="BZ16" s="828"/>
      <c r="CA16" s="193" t="s">
        <v>627</v>
      </c>
      <c r="CB16" s="193" t="s">
        <v>628</v>
      </c>
      <c r="CC16" s="193" t="s">
        <v>627</v>
      </c>
      <c r="CD16" s="193" t="s">
        <v>628</v>
      </c>
      <c r="CE16" s="828"/>
      <c r="CF16" s="193" t="s">
        <v>627</v>
      </c>
      <c r="CG16" s="193" t="s">
        <v>628</v>
      </c>
      <c r="CH16" s="828"/>
      <c r="CI16" s="828"/>
      <c r="CJ16" s="828"/>
      <c r="CK16" s="828"/>
      <c r="CL16" s="828"/>
      <c r="CM16" s="828"/>
      <c r="CN16" s="828"/>
      <c r="CO16" s="828"/>
      <c r="CP16" s="828"/>
      <c r="CQ16" s="828"/>
      <c r="CR16" s="828"/>
      <c r="CS16" s="185"/>
      <c r="CT16" s="185"/>
      <c r="CU16" s="185"/>
      <c r="CV16" s="185"/>
      <c r="CW16" s="185"/>
      <c r="CX16" s="185"/>
      <c r="CY16" s="185"/>
      <c r="CZ16" s="185"/>
      <c r="DA16" s="185"/>
      <c r="DB16" s="185"/>
      <c r="DC16" s="185"/>
      <c r="DD16" s="185"/>
      <c r="DE16" s="185"/>
      <c r="DF16" s="829" t="s">
        <v>295</v>
      </c>
      <c r="DG16" s="829"/>
      <c r="DH16" s="829"/>
      <c r="DI16" s="829"/>
      <c r="DJ16" s="829"/>
      <c r="DK16" s="829"/>
      <c r="DL16" s="829"/>
      <c r="DM16" s="829"/>
      <c r="DN16" s="829"/>
      <c r="DO16" s="829"/>
      <c r="DP16" s="829" t="s">
        <v>296</v>
      </c>
      <c r="DQ16" s="829"/>
      <c r="DR16" s="829"/>
      <c r="DS16" s="829"/>
      <c r="DT16" s="829"/>
      <c r="DU16" s="829"/>
      <c r="DV16" s="829"/>
      <c r="DW16" s="829"/>
      <c r="DX16" s="829"/>
      <c r="DY16" s="829"/>
      <c r="DZ16" s="829"/>
      <c r="EA16" s="829"/>
      <c r="EB16" s="829"/>
      <c r="EC16" s="829"/>
      <c r="ED16" s="829"/>
      <c r="EE16" s="829"/>
      <c r="EF16" s="829"/>
      <c r="EG16" s="829"/>
      <c r="EH16" s="829" t="s">
        <v>293</v>
      </c>
      <c r="EI16" s="829"/>
      <c r="EJ16" s="829" t="s">
        <v>294</v>
      </c>
      <c r="EK16" s="829"/>
      <c r="EL16" s="829"/>
      <c r="EM16" s="829"/>
      <c r="EN16" s="829"/>
      <c r="EO16" s="829"/>
      <c r="EP16" s="829"/>
      <c r="EQ16" s="829"/>
      <c r="ER16" s="829" t="s">
        <v>444</v>
      </c>
      <c r="ES16" s="829"/>
      <c r="ET16" s="829" t="s">
        <v>1783</v>
      </c>
      <c r="EU16" s="829"/>
      <c r="EV16" s="829"/>
    </row>
    <row r="17" spans="1:152" ht="12" customHeight="1">
      <c r="E17" s="192"/>
      <c r="F17" s="182"/>
      <c r="G17" s="182" t="s">
        <v>759</v>
      </c>
      <c r="H17" s="183" t="s">
        <v>629</v>
      </c>
      <c r="I17" s="183" t="s">
        <v>630</v>
      </c>
      <c r="J17" s="183" t="s">
        <v>631</v>
      </c>
      <c r="K17" s="183" t="s">
        <v>2851</v>
      </c>
      <c r="L17" s="183" t="s">
        <v>2852</v>
      </c>
      <c r="M17" s="183" t="s">
        <v>2853</v>
      </c>
      <c r="N17" s="183" t="s">
        <v>2854</v>
      </c>
      <c r="O17" s="183"/>
      <c r="P17" s="183" t="s">
        <v>2855</v>
      </c>
      <c r="Q17" s="183" t="s">
        <v>2856</v>
      </c>
      <c r="R17" s="183" t="s">
        <v>2857</v>
      </c>
      <c r="S17" s="183" t="s">
        <v>2858</v>
      </c>
      <c r="T17" s="183"/>
      <c r="U17" s="183"/>
      <c r="V17" s="183" t="s">
        <v>2859</v>
      </c>
      <c r="W17" s="183" t="s">
        <v>2860</v>
      </c>
      <c r="X17" s="183" t="s">
        <v>2861</v>
      </c>
      <c r="Y17" s="472" t="s">
        <v>790</v>
      </c>
      <c r="Z17" s="472" t="s">
        <v>792</v>
      </c>
      <c r="AA17" s="472" t="s">
        <v>632</v>
      </c>
      <c r="AB17" s="472" t="s">
        <v>633</v>
      </c>
      <c r="AC17" s="472" t="s">
        <v>635</v>
      </c>
      <c r="AD17" s="472" t="s">
        <v>883</v>
      </c>
      <c r="AE17" s="472"/>
      <c r="AF17" s="472"/>
      <c r="AG17" s="183" t="s">
        <v>761</v>
      </c>
      <c r="AH17" s="472"/>
      <c r="AI17" s="472"/>
      <c r="AJ17" s="472" t="s">
        <v>891</v>
      </c>
      <c r="AK17" s="472" t="s">
        <v>892</v>
      </c>
      <c r="AL17" s="472" t="s">
        <v>443</v>
      </c>
      <c r="AM17" s="183" t="s">
        <v>767</v>
      </c>
      <c r="AN17" s="183" t="s">
        <v>918</v>
      </c>
      <c r="AO17" s="183" t="s">
        <v>919</v>
      </c>
      <c r="AP17" s="183" t="s">
        <v>1799</v>
      </c>
      <c r="AQ17" s="183" t="s">
        <v>768</v>
      </c>
      <c r="AR17" s="183" t="s">
        <v>2993</v>
      </c>
      <c r="AS17" s="183" t="s">
        <v>3003</v>
      </c>
      <c r="AT17" s="183" t="s">
        <v>1800</v>
      </c>
      <c r="AU17" s="183" t="s">
        <v>1801</v>
      </c>
      <c r="AV17" s="183" t="s">
        <v>771</v>
      </c>
      <c r="AW17" s="183" t="s">
        <v>1802</v>
      </c>
      <c r="AX17" s="183" t="s">
        <v>1803</v>
      </c>
      <c r="AY17" s="183" t="s">
        <v>1804</v>
      </c>
      <c r="AZ17" s="183" t="s">
        <v>1805</v>
      </c>
      <c r="BA17" s="183" t="s">
        <v>1806</v>
      </c>
      <c r="BB17" s="183" t="s">
        <v>1807</v>
      </c>
      <c r="BC17" s="183" t="s">
        <v>1808</v>
      </c>
      <c r="BD17" s="183" t="s">
        <v>1809</v>
      </c>
      <c r="BE17" s="183" t="s">
        <v>1810</v>
      </c>
      <c r="BF17" s="183" t="s">
        <v>1811</v>
      </c>
      <c r="BG17" s="183" t="s">
        <v>1833</v>
      </c>
      <c r="BH17" s="183" t="s">
        <v>1835</v>
      </c>
      <c r="BI17" s="183" t="s">
        <v>1812</v>
      </c>
      <c r="BJ17" s="183" t="s">
        <v>1813</v>
      </c>
      <c r="BK17" s="183" t="s">
        <v>62</v>
      </c>
      <c r="BL17" s="183" t="s">
        <v>71</v>
      </c>
      <c r="BM17" s="183" t="s">
        <v>1845</v>
      </c>
      <c r="BN17" s="183" t="s">
        <v>1814</v>
      </c>
      <c r="BO17" s="183" t="s">
        <v>1815</v>
      </c>
      <c r="BP17" s="183" t="s">
        <v>1816</v>
      </c>
      <c r="BQ17" s="183" t="s">
        <v>1817</v>
      </c>
      <c r="BR17" s="183" t="s">
        <v>1818</v>
      </c>
      <c r="BS17" s="183" t="s">
        <v>1819</v>
      </c>
      <c r="BT17" s="183" t="s">
        <v>1848</v>
      </c>
      <c r="BU17" s="183" t="s">
        <v>1855</v>
      </c>
      <c r="BV17" s="183" t="s">
        <v>1820</v>
      </c>
      <c r="BW17" s="183" t="s">
        <v>1821</v>
      </c>
      <c r="BX17" s="183" t="s">
        <v>1822</v>
      </c>
      <c r="BY17" s="183" t="s">
        <v>1823</v>
      </c>
      <c r="BZ17" s="183" t="s">
        <v>2416</v>
      </c>
      <c r="CA17" s="183" t="s">
        <v>1824</v>
      </c>
      <c r="CB17" s="183" t="s">
        <v>1825</v>
      </c>
      <c r="CC17" s="183" t="s">
        <v>1826</v>
      </c>
      <c r="CD17" s="183" t="s">
        <v>1827</v>
      </c>
      <c r="CE17" s="183" t="s">
        <v>1828</v>
      </c>
      <c r="CF17" s="183" t="s">
        <v>1829</v>
      </c>
      <c r="CG17" s="183" t="s">
        <v>1830</v>
      </c>
      <c r="CH17" s="183" t="s">
        <v>1831</v>
      </c>
      <c r="CI17" s="183" t="s">
        <v>2422</v>
      </c>
      <c r="CJ17" s="183" t="s">
        <v>2425</v>
      </c>
      <c r="CK17" s="183" t="s">
        <v>2427</v>
      </c>
      <c r="CL17" s="183" t="s">
        <v>2431</v>
      </c>
      <c r="CM17" s="183" t="s">
        <v>845</v>
      </c>
      <c r="CN17" s="183" t="s">
        <v>1847</v>
      </c>
      <c r="CO17" s="183" t="s">
        <v>1854</v>
      </c>
      <c r="CP17" s="183" t="s">
        <v>2421</v>
      </c>
      <c r="CQ17" s="183" t="s">
        <v>2424</v>
      </c>
      <c r="CR17" s="183" t="s">
        <v>3005</v>
      </c>
      <c r="CS17" s="185"/>
      <c r="CT17" s="185"/>
      <c r="CU17" s="185"/>
      <c r="CV17" s="185"/>
      <c r="CW17" s="185"/>
      <c r="CX17" s="185"/>
      <c r="CY17" s="185"/>
      <c r="CZ17" s="185"/>
      <c r="DA17" s="185"/>
      <c r="DB17" s="185"/>
      <c r="DC17" s="185"/>
      <c r="DD17" s="185"/>
      <c r="DE17" s="185"/>
      <c r="DF17" s="472"/>
      <c r="DG17" s="472"/>
      <c r="DH17" s="472"/>
      <c r="DI17" s="472"/>
      <c r="DJ17" s="472"/>
      <c r="DK17" s="472"/>
      <c r="DL17" s="472"/>
      <c r="DM17" s="472"/>
      <c r="DN17" s="472"/>
      <c r="DO17" s="472"/>
      <c r="DP17" s="472" t="s">
        <v>1802</v>
      </c>
      <c r="DQ17" s="472" t="s">
        <v>1803</v>
      </c>
      <c r="DR17" s="472" t="s">
        <v>1804</v>
      </c>
      <c r="DS17" s="472" t="s">
        <v>1805</v>
      </c>
      <c r="DT17" s="472" t="s">
        <v>1807</v>
      </c>
      <c r="DU17" s="472" t="s">
        <v>1808</v>
      </c>
      <c r="DV17" s="472" t="s">
        <v>71</v>
      </c>
      <c r="DW17" s="472" t="s">
        <v>1845</v>
      </c>
      <c r="DX17" s="472" t="s">
        <v>1814</v>
      </c>
      <c r="DY17" s="472" t="s">
        <v>1815</v>
      </c>
      <c r="DZ17" s="472" t="s">
        <v>1817</v>
      </c>
      <c r="EA17" s="472" t="s">
        <v>1818</v>
      </c>
      <c r="EB17" s="472" t="s">
        <v>1824</v>
      </c>
      <c r="EC17" s="472" t="s">
        <v>1825</v>
      </c>
      <c r="ED17" s="472" t="s">
        <v>1826</v>
      </c>
      <c r="EE17" s="472" t="s">
        <v>1827</v>
      </c>
      <c r="EF17" s="472" t="s">
        <v>1829</v>
      </c>
      <c r="EG17" s="472" t="s">
        <v>1830</v>
      </c>
      <c r="EH17" s="183"/>
      <c r="EI17" s="183"/>
      <c r="EJ17" s="472"/>
      <c r="EK17" s="472"/>
      <c r="EL17" s="472"/>
      <c r="EM17" s="472"/>
      <c r="EN17" s="472"/>
      <c r="EO17" s="472"/>
      <c r="EP17" s="472"/>
      <c r="EQ17" s="472"/>
      <c r="ER17" s="183"/>
      <c r="ES17" s="183"/>
      <c r="ET17" s="183"/>
      <c r="EU17" s="183"/>
      <c r="EV17" s="183"/>
    </row>
    <row r="18" spans="1:152" ht="24" customHeight="1">
      <c r="A18" s="181"/>
      <c r="B18" s="181"/>
      <c r="C18" s="181"/>
      <c r="E18" s="192"/>
      <c r="F18" s="953" t="s">
        <v>3141</v>
      </c>
      <c r="G18" s="956" t="s">
        <v>778</v>
      </c>
      <c r="H18" s="107" t="str">
        <f>IF(TEMPLATE_SPHERE="водоснабжения","",IF(TEMPLATE_SPHERE="водоотведения","Всего",""))</f>
        <v>Всего</v>
      </c>
      <c r="I18" s="177"/>
      <c r="J18" s="177"/>
      <c r="K18" s="177"/>
      <c r="L18" s="177"/>
      <c r="M18" s="177"/>
      <c r="N18" s="177"/>
      <c r="O18" s="177"/>
      <c r="P18" s="177"/>
      <c r="Q18" s="177"/>
      <c r="R18" s="177"/>
      <c r="S18" s="177"/>
      <c r="T18" s="177"/>
      <c r="U18" s="177"/>
      <c r="V18" s="177"/>
      <c r="W18" s="177"/>
      <c r="X18" s="177"/>
      <c r="Y18" s="398">
        <f>IF((AG18+AQ18)&gt;0,SUMIF($H$21:$H$25,$H18,EH$21:EH$25)/(AG18+AQ18),0)</f>
        <v>49.29</v>
      </c>
      <c r="Z18" s="398">
        <f>IF((AG18+AQ18)&gt;0,SUMIF($H$21:$H$25,$H18,EI$21:EI$25)/(AG18+AQ18),0)</f>
        <v>49.29</v>
      </c>
      <c r="AA18" s="398">
        <f>IF(AG18=0,0,(AC18*AG18+AJ18*IF(AL18&gt;AG18,AG18,AL18))/AG18)</f>
        <v>49.29</v>
      </c>
      <c r="AB18" s="398">
        <f>IF(AG18=0,0,(AD18*AG18+AK18*IF(AL18&gt;AG18,AG18,AL18))/AG18)</f>
        <v>49.29</v>
      </c>
      <c r="AC18" s="271">
        <f>IF(AG18&gt;0,(AR18*AV18+BG18*BK18+BV18*BZ18+AW18*BA18+BL18*BP18+CA18*CE18)/AG18,0)</f>
        <v>49.29</v>
      </c>
      <c r="AD18" s="271">
        <f>IF(AG18&gt;0,(AS18*AV18+BH18*BK18+BW18*BZ18+AX18*BA18+BM18*BP18+CB18*CE18)/AG18,0)</f>
        <v>49.29</v>
      </c>
      <c r="AE18" s="398"/>
      <c r="AF18" s="398"/>
      <c r="AG18" s="271">
        <f>SUMIF($H$21:$H$25,$H18,AG$21:AG$25)</f>
        <v>818.5</v>
      </c>
      <c r="AH18" s="271"/>
      <c r="AI18" s="271"/>
      <c r="AJ18" s="271">
        <f>IF(AL18&gt;0,SUMIF($H$21:$H$25,$H18,ER$21:ER$25)/AL18,0)</f>
        <v>0</v>
      </c>
      <c r="AK18" s="271">
        <f>IF(AL18&gt;0,SUMIF($H$21:$H$25,$H18,ES$21:ES$25)/AL18,0)</f>
        <v>0</v>
      </c>
      <c r="AL18" s="271">
        <f>SUMIF($H$21:$H$25,$H18,AL$21:AL$25)</f>
        <v>0</v>
      </c>
      <c r="AM18" s="271">
        <f>IF(AQ18&gt;0,SUMIF($H$21:$H$25,$H18,DH$21:DH$25)/AQ18,0)</f>
        <v>0</v>
      </c>
      <c r="AN18" s="271">
        <f>IF(AQ18&gt;0,SUMIF($H$21:$H$25,$H18,DI$21:DI$25)/AQ18,0)</f>
        <v>0</v>
      </c>
      <c r="AO18" s="271">
        <f>IF(AQ18&gt;0,SUMIF($H$21:$H$25,$H18,EJ$21:EJ$25)/AQ18,0)</f>
        <v>0</v>
      </c>
      <c r="AP18" s="271">
        <f>IF(AQ18&gt;0,SUMIF($H$21:$H$25,$H18,EK$21:EK$25)/AQ18,0)</f>
        <v>0</v>
      </c>
      <c r="AQ18" s="271">
        <f>SUMIF($H$21:$H$25,$H18,AQ$21:AQ$25)</f>
        <v>0</v>
      </c>
      <c r="AR18" s="271">
        <f>IF(AV18&gt;0,SUMIF($H$21:$H$25,$H18,DJ$21:DJ$25)/AV18,0)</f>
        <v>49.29</v>
      </c>
      <c r="AS18" s="271">
        <f>IF(AV18&gt;0,SUMIF($H$21:$H$25,$H18,DK$21:DK$25)/AV18,0)</f>
        <v>49.29</v>
      </c>
      <c r="AT18" s="271">
        <f>IF(AV18&gt;0,SUMIF($H$21:$H$25,$H18,EL$21:EL$25)/AV18,0)</f>
        <v>0</v>
      </c>
      <c r="AU18" s="271">
        <f>IF(AV18&gt;0,SUMIF($H$21:$H$25,$H18,EM$21:EM$25)/AV18,0)</f>
        <v>0</v>
      </c>
      <c r="AV18" s="271">
        <f>SUMIF($H$21:$H$25,$H18,AV$21:AV$25)</f>
        <v>588.19999999999993</v>
      </c>
      <c r="AW18" s="271">
        <f>IF(BA18&gt;0,INDEX(DP18:EG18,MATCH(AW$17,DP$17:EG$17))/BA18,0)</f>
        <v>0</v>
      </c>
      <c r="AX18" s="271">
        <f>IF(BA18&gt;0,INDEX(DP18:EG18,MATCH(AX$17,DP$17:EG$17))/BA18,0)</f>
        <v>0</v>
      </c>
      <c r="AY18" s="271">
        <f>IF(BA18&gt;0,INDEX(DP18:EG18,MATCH(AY$17,DP$17:EG$17))/BA18,0)</f>
        <v>0</v>
      </c>
      <c r="AZ18" s="271">
        <f>IF(BA18&gt;0,INDEX(DP18:EG18,MATCH(AZ$17,DP$17:EG$17))/BA18,0)</f>
        <v>0</v>
      </c>
      <c r="BA18" s="271">
        <f t="array" ref="BA18">SUM(($H$21:$H$25=H18)*(AR$21:AR$25="")*BA$21:BA$25)</f>
        <v>0</v>
      </c>
      <c r="BB18" s="271">
        <f>IF(BD18&gt;0,INDEX(DP18:EG18,MATCH(BB$17,DP$17:EG$17))/BD18,0)</f>
        <v>0</v>
      </c>
      <c r="BC18" s="271">
        <f>IF(BD18&gt;0,INDEX(DP18:EG18,MATCH(BC$17,DP$17:EG$17))/BD18,0)</f>
        <v>0</v>
      </c>
      <c r="BD18" s="271">
        <f t="array" ref="BD18">SUM(($H$21:$H$25=H18)*(AR$21:AR$25="")*BD$21:BD$25)</f>
        <v>0</v>
      </c>
      <c r="BE18" s="271">
        <f>SUMIF($H$21:$H$25,$H18,BE$21:BE$25)</f>
        <v>0</v>
      </c>
      <c r="BF18" s="117"/>
      <c r="BG18" s="271">
        <f>IF(BK18&gt;0,SUMIF($H$21:$H$25,$H18,DL$21:DL$25)/BK18,0)</f>
        <v>49.29</v>
      </c>
      <c r="BH18" s="271">
        <f>IF(BK18&gt;0,SUMIF($H$21:$H$25,$H18,DM$21:DM$25)/BK18,0)</f>
        <v>49.29</v>
      </c>
      <c r="BI18" s="271">
        <f>IF(BK18&gt;0,SUMIF($H$21:$H$25,$H18,EN$21:EN$25)/BK18,0)</f>
        <v>0</v>
      </c>
      <c r="BJ18" s="271">
        <f>IF(BK18&gt;0,SUMIF($H$21:$H$25,$H18,EO$21:EO$25)/BK18,0)</f>
        <v>0</v>
      </c>
      <c r="BK18" s="271">
        <f>SUMIF($H$21:$H$25,$H18,BK$21:BK$25)</f>
        <v>34.1</v>
      </c>
      <c r="BL18" s="271">
        <f>IF(BP18&gt;0,INDEX(DP18:EG18,MATCH(BL$17,DP$17:EG$17))/BP18,0)</f>
        <v>0</v>
      </c>
      <c r="BM18" s="271">
        <f>IF(BP18&gt;0,INDEX(DP18:EG18,MATCH(BM$17,DP$17:EG$17))/BP18,0)</f>
        <v>0</v>
      </c>
      <c r="BN18" s="271">
        <f>IF(BP18&gt;0,INDEX(DP18:EG18,MATCH(BN$17,DP$17:EG$17))/BP18,0)</f>
        <v>0</v>
      </c>
      <c r="BO18" s="271">
        <f>IF(BP18&gt;0,INDEX(DP18:EG18,MATCH(BO$17,DP$17:EG$17))/BP18,0)</f>
        <v>0</v>
      </c>
      <c r="BP18" s="271">
        <f t="array" ref="BP18">SUM(($H$21:$H$25=H18)*(AR$21:AR$25="")*BP$21:BP$25)</f>
        <v>0</v>
      </c>
      <c r="BQ18" s="271">
        <f>IF(BS18&gt;0,INDEX(DP18:EG18,MATCH(BQ$17,DP$17:EG$17))/BS18,0)</f>
        <v>0</v>
      </c>
      <c r="BR18" s="271">
        <f>IF(BS18&gt;0,INDEX(DP18:EG18,MATCH(BR$17,DP$17:EG$17))/BS18,0)</f>
        <v>0</v>
      </c>
      <c r="BS18" s="271">
        <f t="array" ref="BS18">SUM(($H$21:$H$25=H18)*(AR$21:AR$25="")*BS$21:BS$25)</f>
        <v>0</v>
      </c>
      <c r="BT18" s="271">
        <f>SUMIF($H$21:$H$25,$H18,BT$21:BT$25)</f>
        <v>0</v>
      </c>
      <c r="BU18" s="117"/>
      <c r="BV18" s="271">
        <f>IF(BZ18&gt;0,SUMIF($H$21:$H$25,$H18,DN$21:DN$25)/BZ18,0)</f>
        <v>49.289999999999992</v>
      </c>
      <c r="BW18" s="271">
        <f>IF(BZ18&gt;0,SUMIF($H$21:$H$25,$H18,DO$21:DO$25)/BZ18,0)</f>
        <v>49.289999999999992</v>
      </c>
      <c r="BX18" s="271">
        <f>IF(BZ18&gt;0,SUMIF($H$21:$H$25,$H18,EP$21:EP$25)/BZ18,0)</f>
        <v>0</v>
      </c>
      <c r="BY18" s="271">
        <f>IF(BZ18&gt;0,SUMIF($H$21:$H$25,$H18,EQ$21:EQ$25)/BZ18,0)</f>
        <v>0</v>
      </c>
      <c r="BZ18" s="271">
        <f>SUMIF($H$21:$H$25,$H18,BZ$21:BZ$25)</f>
        <v>196.2</v>
      </c>
      <c r="CA18" s="271">
        <f>IF(CE18&gt;0,INDEX(DP18:EG18,MATCH(CA$17,DP$17:EG$17))/CE18,0)</f>
        <v>0</v>
      </c>
      <c r="CB18" s="271">
        <f>IF(CE18&gt;0,INDEX(DP18:EG18,MATCH(CB$17,DP$17:EG$17))/CE18,0)</f>
        <v>0</v>
      </c>
      <c r="CC18" s="271">
        <f>IF(CE18&gt;0,INDEX(DP18:EG18,MATCH(CC$17,DP$17:EG$17))/CE18,0)</f>
        <v>0</v>
      </c>
      <c r="CD18" s="271">
        <f>IF(CE18&gt;0,INDEX(DP18:EG18,MATCH(CD$17,DP$17:EG$17))/CE18,0)</f>
        <v>0</v>
      </c>
      <c r="CE18" s="271">
        <f t="array" ref="CE18">SUM(($H$21:$H$25=H18)*(AR$21:AR$25="")*CE$21:CE$25)</f>
        <v>0</v>
      </c>
      <c r="CF18" s="271">
        <f>IF(CH18&gt;0,INDEX(DP18:EG18,MATCH(CF$17,DP$17:EG$17))/CH18,0)</f>
        <v>0</v>
      </c>
      <c r="CG18" s="271">
        <f>IF(CH18&gt;0,INDEX(DP18:EG18,MATCH(CG$17,DP$17:EG$17))/CH18,0)</f>
        <v>0</v>
      </c>
      <c r="CH18" s="271">
        <f t="array" ref="CH18">SUM(($H$21:$H$25=H18)*(AR$21:AR$25="")*CH$21:CH$25)</f>
        <v>0</v>
      </c>
      <c r="CI18" s="271">
        <f>SUMIF($H$21:$H$25,$H18,CI$21:CI$25)</f>
        <v>0</v>
      </c>
      <c r="CJ18" s="117"/>
      <c r="CK18" s="271">
        <f>SUMIF($H$21:$H$25,$H18,CK$21:CK$25)</f>
        <v>0</v>
      </c>
      <c r="CL18" s="117"/>
      <c r="CM18" s="271">
        <f>SUMIF($H$21:$H$25,$H18,CM$21:CM$25)</f>
        <v>0</v>
      </c>
      <c r="CN18" s="271">
        <f>SUMIF($H$21:$H$25,$H18,CN$21:CN$25)</f>
        <v>0</v>
      </c>
      <c r="CO18" s="271">
        <f>SUMIF($H$21:$H$25,$H18,CO$21:CO$25)</f>
        <v>0</v>
      </c>
      <c r="CP18" s="271">
        <f>SUMIF($H$21:$H$25,$H18,CP$21:CP$25)</f>
        <v>0</v>
      </c>
      <c r="CQ18" s="271">
        <f>SUMIF($H$21:$H$25,$H18,CQ$21:CQ$25)</f>
        <v>0</v>
      </c>
      <c r="CR18" s="194"/>
      <c r="CS18" s="185"/>
      <c r="CT18" s="185"/>
      <c r="CU18" s="185"/>
      <c r="CV18" s="185"/>
      <c r="CW18" s="185"/>
      <c r="CX18" s="185"/>
      <c r="CY18" s="185"/>
      <c r="CZ18" s="185"/>
      <c r="DA18" s="185"/>
      <c r="DB18" s="185"/>
      <c r="DC18" s="185"/>
      <c r="DD18" s="185"/>
      <c r="DE18" s="185"/>
      <c r="DP18" s="480">
        <f t="shared" ref="DP18:EG18" si="0">SUMIF($H$21:$H$25,$H18,DP$21:DP$25)</f>
        <v>0</v>
      </c>
      <c r="DQ18" s="480">
        <f t="shared" si="0"/>
        <v>0</v>
      </c>
      <c r="DR18" s="480">
        <f t="shared" si="0"/>
        <v>0</v>
      </c>
      <c r="DS18" s="480">
        <f t="shared" si="0"/>
        <v>0</v>
      </c>
      <c r="DT18" s="480">
        <f t="shared" si="0"/>
        <v>0</v>
      </c>
      <c r="DU18" s="480">
        <f t="shared" si="0"/>
        <v>0</v>
      </c>
      <c r="DV18" s="480">
        <f t="shared" si="0"/>
        <v>0</v>
      </c>
      <c r="DW18" s="480">
        <f t="shared" si="0"/>
        <v>0</v>
      </c>
      <c r="DX18" s="480">
        <f t="shared" si="0"/>
        <v>0</v>
      </c>
      <c r="DY18" s="480">
        <f t="shared" si="0"/>
        <v>0</v>
      </c>
      <c r="DZ18" s="480">
        <f t="shared" si="0"/>
        <v>0</v>
      </c>
      <c r="EA18" s="480">
        <f t="shared" si="0"/>
        <v>0</v>
      </c>
      <c r="EB18" s="480">
        <f t="shared" si="0"/>
        <v>0</v>
      </c>
      <c r="EC18" s="480">
        <f t="shared" si="0"/>
        <v>0</v>
      </c>
      <c r="ED18" s="480">
        <f t="shared" si="0"/>
        <v>0</v>
      </c>
      <c r="EE18" s="480">
        <f t="shared" si="0"/>
        <v>0</v>
      </c>
      <c r="EF18" s="480">
        <f t="shared" si="0"/>
        <v>0</v>
      </c>
      <c r="EG18" s="480">
        <f t="shared" si="0"/>
        <v>0</v>
      </c>
      <c r="EH18" s="162"/>
      <c r="EI18" s="162"/>
      <c r="EJ18" s="162"/>
      <c r="EK18" s="162"/>
      <c r="EL18" s="162"/>
      <c r="EM18" s="162"/>
      <c r="EN18" s="162"/>
      <c r="EO18" s="162"/>
      <c r="EP18" s="162"/>
      <c r="EQ18" s="162"/>
      <c r="ER18" s="162"/>
      <c r="ES18" s="162"/>
    </row>
    <row r="19" spans="1:152" ht="0.75" customHeight="1">
      <c r="A19" s="181"/>
      <c r="B19" s="181"/>
      <c r="C19" s="181"/>
      <c r="E19" s="192"/>
      <c r="F19" s="954"/>
      <c r="G19" s="957"/>
      <c r="H19" s="107" t="str">
        <f>IF(TEMPLATE_SPHERE="водоснабжения","Вода питьевого качества","")</f>
        <v/>
      </c>
      <c r="I19" s="177"/>
      <c r="J19" s="177"/>
      <c r="K19" s="177"/>
      <c r="L19" s="177"/>
      <c r="M19" s="177"/>
      <c r="N19" s="177"/>
      <c r="O19" s="177"/>
      <c r="P19" s="177"/>
      <c r="Q19" s="177"/>
      <c r="R19" s="177"/>
      <c r="S19" s="177"/>
      <c r="T19" s="177"/>
      <c r="U19" s="177"/>
      <c r="V19" s="177"/>
      <c r="W19" s="177"/>
      <c r="X19" s="177"/>
      <c r="Y19" s="398"/>
      <c r="Z19" s="398"/>
      <c r="AA19" s="398"/>
      <c r="AB19" s="398"/>
      <c r="AC19" s="271"/>
      <c r="AD19" s="271"/>
      <c r="AE19" s="398"/>
      <c r="AF19" s="398"/>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117"/>
      <c r="BG19" s="271"/>
      <c r="BH19" s="271"/>
      <c r="BI19" s="271"/>
      <c r="BJ19" s="271"/>
      <c r="BK19" s="271"/>
      <c r="BL19" s="271"/>
      <c r="BM19" s="271"/>
      <c r="BN19" s="271"/>
      <c r="BO19" s="271"/>
      <c r="BP19" s="271"/>
      <c r="BQ19" s="271"/>
      <c r="BR19" s="271"/>
      <c r="BS19" s="271"/>
      <c r="BT19" s="271"/>
      <c r="BU19" s="117"/>
      <c r="BV19" s="271"/>
      <c r="BW19" s="271"/>
      <c r="BX19" s="271"/>
      <c r="BY19" s="271"/>
      <c r="BZ19" s="271"/>
      <c r="CA19" s="271"/>
      <c r="CB19" s="271"/>
      <c r="CC19" s="271"/>
      <c r="CD19" s="271"/>
      <c r="CE19" s="271"/>
      <c r="CF19" s="271"/>
      <c r="CG19" s="271"/>
      <c r="CH19" s="271"/>
      <c r="CI19" s="271"/>
      <c r="CJ19" s="117"/>
      <c r="CK19" s="271"/>
      <c r="CL19" s="117"/>
      <c r="CM19" s="271"/>
      <c r="CN19" s="271"/>
      <c r="CO19" s="271"/>
      <c r="CP19" s="271"/>
      <c r="CQ19" s="271"/>
      <c r="CR19" s="194"/>
      <c r="CS19" s="185"/>
      <c r="CT19" s="185"/>
      <c r="CU19" s="185"/>
      <c r="CV19" s="185"/>
      <c r="CW19" s="185"/>
      <c r="CX19" s="185"/>
      <c r="CY19" s="185"/>
      <c r="CZ19" s="185"/>
      <c r="DA19" s="185"/>
      <c r="DB19" s="185"/>
      <c r="DC19" s="185"/>
      <c r="DD19" s="185"/>
      <c r="DE19" s="185"/>
      <c r="DP19" s="480"/>
      <c r="DQ19" s="480"/>
      <c r="DR19" s="480"/>
      <c r="DS19" s="480"/>
      <c r="DT19" s="480"/>
      <c r="DU19" s="480"/>
      <c r="DV19" s="480"/>
      <c r="DW19" s="480"/>
      <c r="DX19" s="480"/>
      <c r="DY19" s="480"/>
      <c r="DZ19" s="480"/>
      <c r="EA19" s="480"/>
      <c r="EB19" s="480"/>
      <c r="EC19" s="480"/>
      <c r="ED19" s="480"/>
      <c r="EE19" s="480"/>
      <c r="EF19" s="480"/>
      <c r="EG19" s="480"/>
      <c r="EH19" s="162"/>
      <c r="EI19" s="162"/>
      <c r="EJ19" s="162"/>
      <c r="EK19" s="162"/>
      <c r="EL19" s="162"/>
      <c r="EM19" s="162"/>
      <c r="EN19" s="162"/>
      <c r="EO19" s="162"/>
      <c r="EP19" s="162"/>
      <c r="EQ19" s="162"/>
      <c r="ER19" s="162"/>
      <c r="ES19" s="162"/>
    </row>
    <row r="20" spans="1:152" ht="0.75" customHeight="1">
      <c r="A20" s="181"/>
      <c r="B20" s="181"/>
      <c r="C20" s="181"/>
      <c r="E20" s="192"/>
      <c r="F20" s="955"/>
      <c r="G20" s="958"/>
      <c r="H20" s="107" t="str">
        <f>IF(TEMPLATE_SPHERE="водоснабжения","Вода технического качества","")</f>
        <v/>
      </c>
      <c r="I20" s="177"/>
      <c r="J20" s="177"/>
      <c r="K20" s="177"/>
      <c r="L20" s="177"/>
      <c r="M20" s="177"/>
      <c r="N20" s="177"/>
      <c r="O20" s="177"/>
      <c r="P20" s="177"/>
      <c r="Q20" s="177"/>
      <c r="R20" s="177"/>
      <c r="S20" s="177"/>
      <c r="T20" s="177"/>
      <c r="U20" s="177"/>
      <c r="V20" s="177"/>
      <c r="W20" s="177"/>
      <c r="X20" s="177"/>
      <c r="Y20" s="398"/>
      <c r="Z20" s="398"/>
      <c r="AA20" s="398"/>
      <c r="AB20" s="398"/>
      <c r="AC20" s="271"/>
      <c r="AD20" s="271"/>
      <c r="AE20" s="398"/>
      <c r="AF20" s="398"/>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117"/>
      <c r="BG20" s="271"/>
      <c r="BH20" s="271"/>
      <c r="BI20" s="271"/>
      <c r="BJ20" s="271"/>
      <c r="BK20" s="271"/>
      <c r="BL20" s="271"/>
      <c r="BM20" s="271"/>
      <c r="BN20" s="271"/>
      <c r="BO20" s="271"/>
      <c r="BP20" s="271"/>
      <c r="BQ20" s="271"/>
      <c r="BR20" s="271"/>
      <c r="BS20" s="271"/>
      <c r="BT20" s="271"/>
      <c r="BU20" s="117"/>
      <c r="BV20" s="271"/>
      <c r="BW20" s="271"/>
      <c r="BX20" s="271"/>
      <c r="BY20" s="271"/>
      <c r="BZ20" s="271"/>
      <c r="CA20" s="271"/>
      <c r="CB20" s="271"/>
      <c r="CC20" s="271"/>
      <c r="CD20" s="271"/>
      <c r="CE20" s="271"/>
      <c r="CF20" s="271"/>
      <c r="CG20" s="271"/>
      <c r="CH20" s="271"/>
      <c r="CI20" s="271"/>
      <c r="CJ20" s="117"/>
      <c r="CK20" s="271"/>
      <c r="CL20" s="117"/>
      <c r="CM20" s="271"/>
      <c r="CN20" s="271"/>
      <c r="CO20" s="271"/>
      <c r="CP20" s="271"/>
      <c r="CQ20" s="271"/>
      <c r="CR20" s="194"/>
      <c r="CS20" s="185"/>
      <c r="CT20" s="185"/>
      <c r="CU20" s="185"/>
      <c r="CV20" s="185"/>
      <c r="CW20" s="185"/>
      <c r="CX20" s="185"/>
      <c r="CY20" s="185"/>
      <c r="CZ20" s="185"/>
      <c r="DA20" s="185"/>
      <c r="DB20" s="185"/>
      <c r="DC20" s="185"/>
      <c r="DD20" s="185"/>
      <c r="DE20" s="185"/>
      <c r="DP20" s="480"/>
      <c r="DQ20" s="480"/>
      <c r="DR20" s="480"/>
      <c r="DS20" s="480"/>
      <c r="DT20" s="480"/>
      <c r="DU20" s="480"/>
      <c r="DV20" s="480"/>
      <c r="DW20" s="480"/>
      <c r="DX20" s="480"/>
      <c r="DY20" s="480"/>
      <c r="DZ20" s="480"/>
      <c r="EA20" s="480"/>
      <c r="EB20" s="480"/>
      <c r="EC20" s="480"/>
      <c r="ED20" s="480"/>
      <c r="EE20" s="480"/>
      <c r="EF20" s="480"/>
      <c r="EG20" s="480"/>
      <c r="EH20" s="162"/>
      <c r="EI20" s="162"/>
      <c r="EJ20" s="162"/>
      <c r="EK20" s="162"/>
      <c r="EL20" s="162"/>
      <c r="EM20" s="162"/>
      <c r="EN20" s="162"/>
      <c r="EO20" s="162"/>
      <c r="EP20" s="162"/>
      <c r="EQ20" s="162"/>
      <c r="ER20" s="162"/>
      <c r="ES20" s="162"/>
    </row>
    <row r="21" spans="1:152" ht="12" hidden="1" customHeight="1">
      <c r="A21" s="181"/>
      <c r="B21" s="181"/>
      <c r="C21" s="181"/>
      <c r="E21" s="192"/>
      <c r="F21" s="186">
        <v>0</v>
      </c>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96"/>
      <c r="CS21" s="185"/>
      <c r="CT21" s="185"/>
      <c r="CU21" s="185"/>
      <c r="CV21" s="185"/>
      <c r="CW21" s="185"/>
      <c r="CX21" s="185"/>
      <c r="CY21" s="185"/>
      <c r="CZ21" s="185"/>
      <c r="DA21" s="185"/>
      <c r="DB21" s="185"/>
      <c r="DC21" s="185"/>
      <c r="DD21" s="185"/>
      <c r="DE21" s="185"/>
      <c r="DP21" s="78"/>
      <c r="DQ21" s="78"/>
      <c r="DR21" s="78"/>
      <c r="DS21" s="78"/>
      <c r="DT21" s="78"/>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row>
    <row r="22" spans="1:152" s="60" customFormat="1">
      <c r="B22" s="38"/>
      <c r="C22" s="497" t="str">
        <f>F22 &amp; ".0"</f>
        <v>1.0</v>
      </c>
      <c r="D22" s="471" t="str">
        <f>IF('Список организаций'!$M$16="","Не определено",'Список организаций'!$M$16)</f>
        <v>нет</v>
      </c>
      <c r="E22" s="470" t="s">
        <v>719</v>
      </c>
      <c r="F22" s="833">
        <v>1</v>
      </c>
      <c r="G22" s="853" t="str">
        <f>IF('Список организаций'!$I$16="","Не определено",'Список организаций'!$I$16)</f>
        <v>МУП СП "Село Булава" Булавинское ТЭП"</v>
      </c>
      <c r="H22" s="584" t="str">
        <f>IF(TEMPLATE_SPHERE="водоснабжения","",IF(TEMPLATE_SPHERE="водоотведения","Всего",""))</f>
        <v>Всего</v>
      </c>
      <c r="I22" s="393"/>
      <c r="J22" s="825" t="s">
        <v>3277</v>
      </c>
      <c r="K22" s="824"/>
      <c r="L22" s="824"/>
      <c r="M22" s="824"/>
      <c r="N22" s="824"/>
      <c r="O22" s="824"/>
      <c r="P22" s="824"/>
      <c r="Q22" s="824"/>
      <c r="R22" s="824"/>
      <c r="S22" s="824"/>
      <c r="T22" s="824"/>
      <c r="U22" s="824"/>
      <c r="V22" s="824"/>
      <c r="W22" s="824"/>
      <c r="X22" s="824"/>
      <c r="Y22" s="737">
        <v>49.29</v>
      </c>
      <c r="Z22" s="398">
        <f>IF($D22="нет",Y22,Y22*1.18)</f>
        <v>49.29</v>
      </c>
      <c r="AA22" s="398">
        <f>IF(AG22=0,0,(AC22*AG22+AJ22*IF(AL22&gt;AG22,AG22,AL22))/AG22)</f>
        <v>49.29</v>
      </c>
      <c r="AB22" s="398">
        <f>IF($D22="нет",AA22,AA22*1.18)</f>
        <v>49.29</v>
      </c>
      <c r="AC22" s="398">
        <f>IF(AG22&gt;0,(AR22*AV22+BG22*BK22+BV22*BZ22)/AG22,0)</f>
        <v>49.29</v>
      </c>
      <c r="AD22" s="398">
        <f>IF($D22="нет",AC22,AC22*1.18)</f>
        <v>49.29</v>
      </c>
      <c r="AE22" s="585"/>
      <c r="AF22" s="392"/>
      <c r="AG22" s="398">
        <f>AV22+BK22+BZ22</f>
        <v>818.5</v>
      </c>
      <c r="AH22" s="585"/>
      <c r="AI22" s="392"/>
      <c r="AJ22" s="399"/>
      <c r="AK22" s="398">
        <f>IF($D22="нет",AJ22,AJ22*1.18)</f>
        <v>0</v>
      </c>
      <c r="AL22" s="399"/>
      <c r="AM22" s="399"/>
      <c r="AN22" s="398">
        <f>IF($D22="нет",AM22,AM22*1.18)</f>
        <v>0</v>
      </c>
      <c r="AO22" s="399"/>
      <c r="AP22" s="398">
        <f>IF($D22="нет",AO22,AO22*1.18)</f>
        <v>0</v>
      </c>
      <c r="AQ22" s="633">
        <f>IF(TARIFF_SETUP_METHOD_CODE="BY_MONTHS",SUMIF(БПр!$BF$129:$BF$270,$C22&amp;"-"&amp;$H$3,БПр!P$129:P$270),IF(TARIFF_SETUP_METHOD_CODE="BY_PSEUDO_YEARS",SUMIF(БПр!$F$129:$F$270,$C22,БПр!P$129:P$270),0))</f>
        <v>0</v>
      </c>
      <c r="AR22" s="737">
        <v>49.29</v>
      </c>
      <c r="AS22" s="398">
        <f>IF($D22="нет",AR22,AR22*1.18)</f>
        <v>49.29</v>
      </c>
      <c r="AT22" s="399"/>
      <c r="AU22" s="398">
        <f>IF($D22="нет",AT22,AT22*1.18)</f>
        <v>0</v>
      </c>
      <c r="AV22" s="633">
        <f>IF(TARIFF_SETUP_METHOD_CODE="BY_MONTHS",SUMIF(БПр!$BF$129:$BF$270,$C22&amp;"-"&amp;$H$3,БПр!M$129:M$270),IF(TARIFF_SETUP_METHOD_CODE="BY_PSEUDO_YEARS",SUMIF(БПр!$F$129:$F$270,$C22,БПр!M$129:M$270),0))</f>
        <v>588.19999999999993</v>
      </c>
      <c r="AW22" s="117"/>
      <c r="AX22" s="117"/>
      <c r="AY22" s="117"/>
      <c r="AZ22" s="117"/>
      <c r="BA22" s="117"/>
      <c r="BB22" s="117"/>
      <c r="BC22" s="117"/>
      <c r="BD22" s="117"/>
      <c r="BE22" s="399"/>
      <c r="BF22" s="398">
        <f>IF(AV22=0,0,1000*BE22/AV22)</f>
        <v>0</v>
      </c>
      <c r="BG22" s="737">
        <v>49.29</v>
      </c>
      <c r="BH22" s="398">
        <f>IF($D22="нет",BG22,BG22*1.18)</f>
        <v>49.29</v>
      </c>
      <c r="BI22" s="399"/>
      <c r="BJ22" s="398">
        <f>IF($D22="нет",BI22,BI22*1.18)</f>
        <v>0</v>
      </c>
      <c r="BK22" s="633">
        <f>IF(TARIFF_SETUP_METHOD_CODE="BY_MONTHS",SUMIF(БПр!$BF$129:$BF$270,$C22&amp;"-"&amp;$H$3,БПр!N$129:N$270),IF(TARIFF_SETUP_METHOD_CODE="BY_PSEUDO_YEARS",SUMIF(БПр!$F$129:$F$270,$C22,БПр!N$129:N$270),0))</f>
        <v>34.1</v>
      </c>
      <c r="BL22" s="117"/>
      <c r="BM22" s="117"/>
      <c r="BN22" s="117"/>
      <c r="BO22" s="117"/>
      <c r="BP22" s="117"/>
      <c r="BQ22" s="117"/>
      <c r="BR22" s="117"/>
      <c r="BS22" s="117"/>
      <c r="BT22" s="399"/>
      <c r="BU22" s="398">
        <f>IF(BK22=0,0,1000*BT22/BK22)</f>
        <v>0</v>
      </c>
      <c r="BV22" s="737">
        <v>49.29</v>
      </c>
      <c r="BW22" s="398">
        <f>IF($D22="нет",BV22,BV22*1.18)</f>
        <v>49.29</v>
      </c>
      <c r="BX22" s="399"/>
      <c r="BY22" s="398">
        <f>IF($D22="нет",BX22,BX22*1.18)</f>
        <v>0</v>
      </c>
      <c r="BZ22" s="633">
        <f>IF(TARIFF_SETUP_METHOD_CODE="BY_MONTHS",SUMIF(БПр!$BF$129:$BF$270,$C22&amp;"-"&amp;$H$3,БПр!O$129:O$270),IF(TARIFF_SETUP_METHOD_CODE="BY_PSEUDO_YEARS",SUMIF(БПр!$F$129:$F$270,$C22,БПр!O$129:O$270),0))</f>
        <v>196.2</v>
      </c>
      <c r="CA22" s="117"/>
      <c r="CB22" s="117"/>
      <c r="CC22" s="117"/>
      <c r="CD22" s="117"/>
      <c r="CE22" s="117"/>
      <c r="CF22" s="117"/>
      <c r="CG22" s="117"/>
      <c r="CH22" s="117"/>
      <c r="CI22" s="399"/>
      <c r="CJ22" s="398">
        <f>IF(BZ22=0,0,1000*CI22/BZ22)</f>
        <v>0</v>
      </c>
      <c r="CK22" s="398">
        <f>BE22+BT22+CI22</f>
        <v>0</v>
      </c>
      <c r="CL22" s="335">
        <f>SUM(CN22:CQ22)</f>
        <v>0</v>
      </c>
      <c r="CM22" s="398">
        <f>SUMIF(CN22:CQ22,"&gt;0")</f>
        <v>0</v>
      </c>
      <c r="CN22" s="398">
        <f>(Y22-AM22)*AQ22/1000</f>
        <v>0</v>
      </c>
      <c r="CO22" s="398">
        <f>(Y22-(AR22+BF22))*AV22/1000</f>
        <v>0</v>
      </c>
      <c r="CP22" s="398">
        <f>(Y22-(BG22+BU22))*BK22/1000</f>
        <v>0</v>
      </c>
      <c r="CQ22" s="398">
        <f>(Y22-(BV22+CJ22))*BZ22/1000</f>
        <v>0</v>
      </c>
      <c r="CR22" s="587"/>
      <c r="CS22"/>
      <c r="CT22"/>
      <c r="CU22"/>
      <c r="CV22"/>
      <c r="CW22"/>
      <c r="CX22"/>
      <c r="CY22"/>
      <c r="CZ22"/>
      <c r="DA22"/>
      <c r="DB22"/>
      <c r="DC22"/>
      <c r="DD22"/>
      <c r="DE22"/>
      <c r="DF22" s="80">
        <f>AH22*AG22</f>
        <v>0</v>
      </c>
      <c r="DG22" s="80">
        <f>AI22*AG22</f>
        <v>0</v>
      </c>
      <c r="DH22" s="80">
        <f>AM22*AQ22</f>
        <v>0</v>
      </c>
      <c r="DI22" s="80">
        <f>AN22*AQ22</f>
        <v>0</v>
      </c>
      <c r="DJ22" s="80">
        <f>AR22*AV22</f>
        <v>28992.377999999997</v>
      </c>
      <c r="DK22" s="80">
        <f>AS22*AV22</f>
        <v>28992.377999999997</v>
      </c>
      <c r="DL22" s="80">
        <f>BG22*BK22</f>
        <v>1680.789</v>
      </c>
      <c r="DM22" s="80">
        <f>BH22*BK22</f>
        <v>1680.789</v>
      </c>
      <c r="DN22" s="80">
        <f>BV22*BZ22</f>
        <v>9670.6979999999985</v>
      </c>
      <c r="DO22" s="80">
        <f>BW22*BZ22</f>
        <v>9670.6979999999985</v>
      </c>
      <c r="DP22" s="382">
        <f>AW22*BA22</f>
        <v>0</v>
      </c>
      <c r="DQ22" s="382">
        <f>AX22*BA22</f>
        <v>0</v>
      </c>
      <c r="DR22" s="382">
        <f>AY22*BA22</f>
        <v>0</v>
      </c>
      <c r="DS22" s="382">
        <f>AZ22*BA22</f>
        <v>0</v>
      </c>
      <c r="DT22" s="382">
        <f>BB22*BD22</f>
        <v>0</v>
      </c>
      <c r="DU22" s="382">
        <f>BC22*BD22</f>
        <v>0</v>
      </c>
      <c r="DV22" s="382">
        <f>BL22*BP22</f>
        <v>0</v>
      </c>
      <c r="DW22" s="382">
        <f>BM22*BP22</f>
        <v>0</v>
      </c>
      <c r="DX22" s="382">
        <f>BN22*BP22</f>
        <v>0</v>
      </c>
      <c r="DY22" s="382">
        <f>BO22*BP22</f>
        <v>0</v>
      </c>
      <c r="DZ22" s="382">
        <f>BQ22*BS22</f>
        <v>0</v>
      </c>
      <c r="EA22" s="382">
        <f>BR22*BS22</f>
        <v>0</v>
      </c>
      <c r="EB22" s="382">
        <f>CA22*CE22</f>
        <v>0</v>
      </c>
      <c r="EC22" s="382">
        <f>CB22*CE22</f>
        <v>0</v>
      </c>
      <c r="ED22" s="382">
        <f>CC22*CE22</f>
        <v>0</v>
      </c>
      <c r="EE22" s="382">
        <f>CD22*CE22</f>
        <v>0</v>
      </c>
      <c r="EF22" s="382">
        <f>CF22*CH22</f>
        <v>0</v>
      </c>
      <c r="EG22" s="382">
        <f>CG22*CH22</f>
        <v>0</v>
      </c>
      <c r="EH22" s="383">
        <f>Y22*(AG22+AQ22)</f>
        <v>40343.864999999998</v>
      </c>
      <c r="EI22" s="383">
        <f>Z22*(AG22+AQ22)</f>
        <v>40343.864999999998</v>
      </c>
      <c r="EJ22" s="80">
        <f>AO22*AQ22</f>
        <v>0</v>
      </c>
      <c r="EK22" s="80">
        <f>AP22*AQ22</f>
        <v>0</v>
      </c>
      <c r="EL22" s="80">
        <f>AT22*AV22</f>
        <v>0</v>
      </c>
      <c r="EM22" s="80">
        <f>AU22*AV22</f>
        <v>0</v>
      </c>
      <c r="EN22" s="80">
        <f>BI22*BK22</f>
        <v>0</v>
      </c>
      <c r="EO22" s="80">
        <f>BJ22*BK22</f>
        <v>0</v>
      </c>
      <c r="EP22" s="80">
        <f>BX22*BZ22</f>
        <v>0</v>
      </c>
      <c r="EQ22" s="80">
        <f>BY22*BZ22</f>
        <v>0</v>
      </c>
      <c r="ER22" s="383">
        <f>AJ22*AL22</f>
        <v>0</v>
      </c>
      <c r="ES22" s="383">
        <f>AK22*AL22</f>
        <v>0</v>
      </c>
      <c r="ET22" s="383">
        <f>IF(AV22+BA22&gt;0,(AR22*AV22+AW22*BA22)/(AV22+BA22),0)</f>
        <v>49.29</v>
      </c>
      <c r="EU22" s="383">
        <f>IF(BK22+BP22&gt;0,(BG22*BK22+BL22*BP22)/(BK22+BP22),0)</f>
        <v>49.29</v>
      </c>
      <c r="EV22" s="383">
        <f>IF(BZ22+CE22&gt;0,(BV22*BZ22+CA22*CE22)/(BZ22+CE22),0)</f>
        <v>49.289999999999992</v>
      </c>
    </row>
    <row r="23" spans="1:152" s="60" customFormat="1" ht="11.25" hidden="1" customHeight="1">
      <c r="B23" s="38"/>
      <c r="C23" s="497" t="str">
        <f>F22 &amp; ".1"</f>
        <v>1.1</v>
      </c>
      <c r="D23"/>
      <c r="E23"/>
      <c r="F23" s="833"/>
      <c r="G23" s="835"/>
      <c r="H23" s="584"/>
      <c r="I23" s="393"/>
      <c r="J23" s="825"/>
      <c r="K23" s="824"/>
      <c r="L23" s="824"/>
      <c r="M23" s="824"/>
      <c r="N23" s="824"/>
      <c r="O23" s="824"/>
      <c r="P23" s="824"/>
      <c r="Q23" s="824"/>
      <c r="R23" s="824"/>
      <c r="S23" s="824"/>
      <c r="T23" s="824"/>
      <c r="U23" s="824"/>
      <c r="V23" s="824"/>
      <c r="W23" s="824"/>
      <c r="X23" s="824"/>
      <c r="Y23" s="585"/>
      <c r="Z23" s="392"/>
      <c r="AA23" s="585"/>
      <c r="AB23" s="392"/>
      <c r="AC23" s="585"/>
      <c r="AD23" s="392"/>
      <c r="AE23" s="585"/>
      <c r="AF23" s="392"/>
      <c r="AG23" s="585"/>
      <c r="AH23" s="585"/>
      <c r="AI23" s="392"/>
      <c r="AJ23" s="585"/>
      <c r="AK23" s="392"/>
      <c r="AL23" s="585"/>
      <c r="AM23" s="585"/>
      <c r="AN23" s="392"/>
      <c r="AO23" s="585"/>
      <c r="AP23" s="392"/>
      <c r="AQ23" s="585"/>
      <c r="AR23" s="585"/>
      <c r="AS23" s="392"/>
      <c r="AT23" s="585"/>
      <c r="AU23" s="392"/>
      <c r="AV23" s="585"/>
      <c r="AW23" s="585"/>
      <c r="AX23" s="392"/>
      <c r="AY23" s="585"/>
      <c r="AZ23" s="392"/>
      <c r="BA23" s="585"/>
      <c r="BB23" s="585"/>
      <c r="BC23" s="392"/>
      <c r="BD23" s="585"/>
      <c r="BE23" s="585"/>
      <c r="BF23" s="585"/>
      <c r="BG23" s="585"/>
      <c r="BH23" s="392"/>
      <c r="BI23" s="585"/>
      <c r="BJ23" s="392"/>
      <c r="BK23" s="585"/>
      <c r="BL23" s="585"/>
      <c r="BM23" s="392"/>
      <c r="BN23" s="585"/>
      <c r="BO23" s="392"/>
      <c r="BP23" s="585"/>
      <c r="BQ23" s="585"/>
      <c r="BR23" s="392"/>
      <c r="BS23" s="585"/>
      <c r="BT23" s="585"/>
      <c r="BU23" s="585"/>
      <c r="BV23" s="585"/>
      <c r="BW23" s="392"/>
      <c r="BX23" s="585"/>
      <c r="BY23" s="392"/>
      <c r="BZ23" s="585"/>
      <c r="CA23" s="585"/>
      <c r="CB23" s="392"/>
      <c r="CC23" s="585"/>
      <c r="CD23" s="392"/>
      <c r="CE23" s="585"/>
      <c r="CF23" s="585"/>
      <c r="CG23" s="392"/>
      <c r="CH23" s="585"/>
      <c r="CI23" s="585"/>
      <c r="CJ23" s="585"/>
      <c r="CK23" s="585"/>
      <c r="CL23" s="585"/>
      <c r="CM23" s="585"/>
      <c r="CN23" s="585"/>
      <c r="CO23" s="585"/>
      <c r="CP23" s="585"/>
      <c r="CQ23" s="585"/>
      <c r="CR23" s="585"/>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row>
    <row r="24" spans="1:152" s="60" customFormat="1" ht="11.25" hidden="1" customHeight="1">
      <c r="C24" s="497" t="str">
        <f>F22 &amp; ".2"</f>
        <v>1.2</v>
      </c>
      <c r="D24"/>
      <c r="E24"/>
      <c r="F24" s="833"/>
      <c r="G24" s="835"/>
      <c r="H24" s="584"/>
      <c r="I24" s="393"/>
      <c r="J24" s="825"/>
      <c r="K24" s="824"/>
      <c r="L24" s="824"/>
      <c r="M24" s="824"/>
      <c r="N24" s="824"/>
      <c r="O24" s="824"/>
      <c r="P24" s="824"/>
      <c r="Q24" s="824"/>
      <c r="R24" s="824"/>
      <c r="S24" s="824"/>
      <c r="T24" s="824"/>
      <c r="U24" s="824"/>
      <c r="V24" s="824"/>
      <c r="W24" s="824"/>
      <c r="X24" s="824"/>
      <c r="Y24" s="585"/>
      <c r="Z24" s="392"/>
      <c r="AA24" s="585"/>
      <c r="AB24" s="392"/>
      <c r="AC24" s="585"/>
      <c r="AD24" s="392"/>
      <c r="AE24" s="585"/>
      <c r="AF24" s="392"/>
      <c r="AG24" s="585"/>
      <c r="AH24" s="585"/>
      <c r="AI24" s="392"/>
      <c r="AJ24" s="585"/>
      <c r="AK24" s="392"/>
      <c r="AL24" s="585"/>
      <c r="AM24" s="585"/>
      <c r="AN24" s="392"/>
      <c r="AO24" s="585"/>
      <c r="AP24" s="392"/>
      <c r="AQ24" s="585"/>
      <c r="AR24" s="585"/>
      <c r="AS24" s="392"/>
      <c r="AT24" s="585"/>
      <c r="AU24" s="392"/>
      <c r="AV24" s="585"/>
      <c r="AW24" s="585"/>
      <c r="AX24" s="392"/>
      <c r="AY24" s="585"/>
      <c r="AZ24" s="392"/>
      <c r="BA24" s="585"/>
      <c r="BB24" s="585"/>
      <c r="BC24" s="392"/>
      <c r="BD24" s="585"/>
      <c r="BE24" s="585"/>
      <c r="BF24" s="585"/>
      <c r="BG24" s="585"/>
      <c r="BH24" s="392"/>
      <c r="BI24" s="585"/>
      <c r="BJ24" s="392"/>
      <c r="BK24" s="585"/>
      <c r="BL24" s="585"/>
      <c r="BM24" s="392"/>
      <c r="BN24" s="585"/>
      <c r="BO24" s="392"/>
      <c r="BP24" s="585"/>
      <c r="BQ24" s="585"/>
      <c r="BR24" s="392"/>
      <c r="BS24" s="585"/>
      <c r="BT24" s="585"/>
      <c r="BU24" s="585"/>
      <c r="BV24" s="585"/>
      <c r="BW24" s="392"/>
      <c r="BX24" s="585"/>
      <c r="BY24" s="392"/>
      <c r="BZ24" s="585"/>
      <c r="CA24" s="585"/>
      <c r="CB24" s="392"/>
      <c r="CC24" s="585"/>
      <c r="CD24" s="392"/>
      <c r="CE24" s="585"/>
      <c r="CF24" s="585"/>
      <c r="CG24" s="392"/>
      <c r="CH24" s="585"/>
      <c r="CI24" s="585"/>
      <c r="CJ24" s="585"/>
      <c r="CK24" s="585"/>
      <c r="CL24" s="585"/>
      <c r="CM24" s="585"/>
      <c r="CN24" s="585"/>
      <c r="CO24" s="585"/>
      <c r="CP24" s="585"/>
      <c r="CQ24" s="585"/>
      <c r="CR24" s="585"/>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row>
    <row r="25" spans="1:152" ht="0.75" customHeight="1">
      <c r="A25" s="181"/>
      <c r="B25" s="181"/>
      <c r="C25" s="181"/>
      <c r="E25" s="192"/>
      <c r="F25" s="110"/>
      <c r="G25" s="111" t="s">
        <v>720</v>
      </c>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c r="CQ25" s="112"/>
      <c r="CR25" s="113"/>
      <c r="CS25" s="185"/>
      <c r="CT25" s="185"/>
      <c r="CU25" s="185"/>
      <c r="CV25" s="185"/>
      <c r="CW25" s="185"/>
      <c r="CX25" s="185"/>
      <c r="CY25" s="185"/>
      <c r="CZ25" s="185"/>
      <c r="DA25" s="185"/>
      <c r="DB25" s="185"/>
      <c r="DC25" s="185"/>
      <c r="DD25" s="185"/>
      <c r="DE25" s="185"/>
      <c r="DP25" s="78"/>
      <c r="DQ25" s="78"/>
      <c r="DR25" s="78"/>
      <c r="DS25" s="78"/>
      <c r="DT25" s="78"/>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row>
    <row r="26" spans="1:152" s="162" customFormat="1" ht="12" customHeight="1">
      <c r="A26" s="181"/>
      <c r="B26" s="181"/>
      <c r="C26" s="181"/>
      <c r="D26" s="159"/>
      <c r="E26" s="192"/>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78"/>
      <c r="DG26" s="78"/>
      <c r="DH26" s="78"/>
      <c r="DI26" s="78"/>
      <c r="DJ26" s="78"/>
      <c r="DK26" s="78"/>
      <c r="DL26" s="78"/>
      <c r="DM26" s="78"/>
      <c r="DN26" s="78"/>
      <c r="DO26" s="78"/>
      <c r="DP26" s="78"/>
      <c r="DQ26" s="78"/>
      <c r="DR26" s="78"/>
      <c r="DS26" s="78"/>
      <c r="DT26" s="78"/>
    </row>
    <row r="27" spans="1:152" s="162" customFormat="1">
      <c r="D27" s="159"/>
      <c r="E27" s="179"/>
      <c r="DF27" s="78"/>
      <c r="DG27" s="78"/>
      <c r="DH27" s="78"/>
      <c r="DI27" s="78"/>
      <c r="DJ27" s="78"/>
      <c r="DK27" s="78"/>
      <c r="DL27" s="78"/>
      <c r="DM27" s="78"/>
      <c r="DN27" s="78"/>
      <c r="DO27" s="78"/>
      <c r="DP27" s="78"/>
      <c r="DQ27" s="78"/>
      <c r="DR27" s="78"/>
      <c r="DS27" s="78"/>
      <c r="DT27" s="78"/>
    </row>
    <row r="28" spans="1:152" customFormat="1"/>
    <row r="29" spans="1:152" customFormat="1"/>
    <row r="30" spans="1:152" customFormat="1"/>
    <row r="31" spans="1:152" customFormat="1" ht="36.75" customHeight="1"/>
    <row r="32" spans="1:152" customFormat="1"/>
    <row r="33" customFormat="1"/>
    <row r="34" customFormat="1"/>
    <row r="35" customFormat="1"/>
    <row r="36" customFormat="1"/>
    <row r="37" customFormat="1" ht="41.25" customHeight="1"/>
    <row r="38" customFormat="1"/>
    <row r="39" customFormat="1"/>
    <row r="40" customFormat="1" ht="11.25" customHeight="1"/>
    <row r="41" customFormat="1" ht="11.25" customHeight="1"/>
    <row r="42" customFormat="1"/>
    <row r="43" customFormat="1" ht="31.5" customHeight="1"/>
    <row r="44" customFormat="1"/>
    <row r="45" customFormat="1"/>
  </sheetData>
  <sheetProtection password="FA9C" sheet="1" objects="1" scenarios="1" formatColumns="0" formatRows="0"/>
  <mergeCells count="113">
    <mergeCell ref="V22:V24"/>
    <mergeCell ref="W22:W24"/>
    <mergeCell ref="X22:X24"/>
    <mergeCell ref="N22:N24"/>
    <mergeCell ref="O22:O24"/>
    <mergeCell ref="P22:P24"/>
    <mergeCell ref="Q22:Q24"/>
    <mergeCell ref="R22:R24"/>
    <mergeCell ref="S22:S24"/>
    <mergeCell ref="F22:F24"/>
    <mergeCell ref="G22:G24"/>
    <mergeCell ref="J22:J24"/>
    <mergeCell ref="K22:K24"/>
    <mergeCell ref="L22:L24"/>
    <mergeCell ref="M22:M24"/>
    <mergeCell ref="T22:T24"/>
    <mergeCell ref="U22:U24"/>
    <mergeCell ref="ET16:EV16"/>
    <mergeCell ref="CL13:CL16"/>
    <mergeCell ref="BV13:CJ13"/>
    <mergeCell ref="CI14:CI16"/>
    <mergeCell ref="CK13:CK16"/>
    <mergeCell ref="CP14:CP16"/>
    <mergeCell ref="CQ14:CQ16"/>
    <mergeCell ref="ER16:ES16"/>
    <mergeCell ref="BX14:BY15"/>
    <mergeCell ref="CA14:CH14"/>
    <mergeCell ref="CH15:CH16"/>
    <mergeCell ref="CE15:CE16"/>
    <mergeCell ref="DP16:EG16"/>
    <mergeCell ref="DF16:DO16"/>
    <mergeCell ref="CM14:CM16"/>
    <mergeCell ref="CR13:CR16"/>
    <mergeCell ref="CM13:CQ13"/>
    <mergeCell ref="BT14:BT16"/>
    <mergeCell ref="BS15:BS16"/>
    <mergeCell ref="EJ16:EQ16"/>
    <mergeCell ref="BV14:BW15"/>
    <mergeCell ref="CJ14:CJ16"/>
    <mergeCell ref="BZ14:BZ16"/>
    <mergeCell ref="CC15:CD15"/>
    <mergeCell ref="CF15:CG15"/>
    <mergeCell ref="EH16:EI16"/>
    <mergeCell ref="CA15:CB15"/>
    <mergeCell ref="CO14:CO16"/>
    <mergeCell ref="CN14:CN16"/>
    <mergeCell ref="F18:F20"/>
    <mergeCell ref="G18:G20"/>
    <mergeCell ref="P13:Q13"/>
    <mergeCell ref="X13:X16"/>
    <mergeCell ref="H13:I16"/>
    <mergeCell ref="J13:J16"/>
    <mergeCell ref="K13:M13"/>
    <mergeCell ref="W14:W16"/>
    <mergeCell ref="AG13:AG16"/>
    <mergeCell ref="V14:V16"/>
    <mergeCell ref="AL13:AL16"/>
    <mergeCell ref="AE13:AF15"/>
    <mergeCell ref="AM14:AN15"/>
    <mergeCell ref="AQ14:AQ16"/>
    <mergeCell ref="AV14:AV16"/>
    <mergeCell ref="AT14:AU15"/>
    <mergeCell ref="AR14:AS15"/>
    <mergeCell ref="K12:X12"/>
    <mergeCell ref="AC13:AD15"/>
    <mergeCell ref="N13:N16"/>
    <mergeCell ref="AJ13:AK15"/>
    <mergeCell ref="AG7:AG8"/>
    <mergeCell ref="AH13:AI15"/>
    <mergeCell ref="F13:F16"/>
    <mergeCell ref="G13:G16"/>
    <mergeCell ref="AA7:AB7"/>
    <mergeCell ref="AC7:AD7"/>
    <mergeCell ref="AE7:AF7"/>
    <mergeCell ref="Y13:Z15"/>
    <mergeCell ref="O13:O16"/>
    <mergeCell ref="Q14:Q16"/>
    <mergeCell ref="AA13:AB15"/>
    <mergeCell ref="K14:K16"/>
    <mergeCell ref="L14:L16"/>
    <mergeCell ref="M14:M16"/>
    <mergeCell ref="P14:P16"/>
    <mergeCell ref="T13:U13"/>
    <mergeCell ref="V13:W13"/>
    <mergeCell ref="U14:U16"/>
    <mergeCell ref="T14:T16"/>
    <mergeCell ref="S14:S16"/>
    <mergeCell ref="R14:R16"/>
    <mergeCell ref="R13:S13"/>
    <mergeCell ref="CA7:CB7"/>
    <mergeCell ref="AW7:AX7"/>
    <mergeCell ref="BL7:BM7"/>
    <mergeCell ref="AM13:AQ13"/>
    <mergeCell ref="BG13:BU13"/>
    <mergeCell ref="AR13:BF13"/>
    <mergeCell ref="AO14:AP15"/>
    <mergeCell ref="BB15:BC15"/>
    <mergeCell ref="BF14:BF16"/>
    <mergeCell ref="BD15:BD16"/>
    <mergeCell ref="AW15:AX15"/>
    <mergeCell ref="BP15:BP16"/>
    <mergeCell ref="AW14:BD14"/>
    <mergeCell ref="AY15:AZ15"/>
    <mergeCell ref="BE14:BE16"/>
    <mergeCell ref="BN15:BO15"/>
    <mergeCell ref="BL14:BS14"/>
    <mergeCell ref="BQ15:BR15"/>
    <mergeCell ref="BA15:BA16"/>
    <mergeCell ref="BU14:BU16"/>
    <mergeCell ref="BG14:BH15"/>
    <mergeCell ref="BI14:BJ15"/>
    <mergeCell ref="BK14:BK16"/>
    <mergeCell ref="BL15:BM15"/>
  </mergeCells>
  <phoneticPr fontId="8" type="noConversion"/>
  <dataValidations count="2">
    <dataValidation allowBlank="1" showInputMessage="1" showErrorMessage="1" sqref="CM14:CP15"/>
    <dataValidation allowBlank="1" showInputMessage="1" showErrorMessage="1" errorTitle="Ошибка" error="Допускается ввод ТОЛЬКО числовых значений!" sqref="AW9"/>
  </dataValidations>
  <hyperlinks>
    <hyperlink ref="K10" location="'ТМ2 01.09 - 31.12'!A1" tooltip="Отобразить / Скрыть блок" display="-"/>
  </hyperlinks>
  <pageMargins left="0.37" right="0.35" top="1" bottom="1" header="0.5" footer="0.5"/>
  <pageSetup paperSize="9" scale="37" orientation="landscape" horizontalDpi="4294967292" verticalDpi="4294967292"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sheetPr codeName="SVOD">
    <tabColor rgb="FF0070C0"/>
  </sheetPr>
  <dimension ref="A1:U33"/>
  <sheetViews>
    <sheetView showGridLines="0" topLeftCell="A2" workbookViewId="0"/>
  </sheetViews>
  <sheetFormatPr defaultRowHeight="12" customHeight="1"/>
  <cols>
    <col min="1" max="1" width="4.7109375" style="339" customWidth="1"/>
    <col min="2" max="2" width="50.7109375" style="339" customWidth="1"/>
    <col min="3" max="3" width="15.7109375" style="339" customWidth="1"/>
    <col min="4" max="7" width="15.7109375" style="364" customWidth="1"/>
    <col min="8" max="8" width="21" style="364" customWidth="1"/>
    <col min="9" max="9" width="8.7109375" style="364" customWidth="1"/>
    <col min="10" max="10" width="12.7109375" style="364" customWidth="1"/>
    <col min="11" max="11" width="9.7109375" style="364" customWidth="1"/>
    <col min="12" max="12" width="30.7109375" style="364" customWidth="1"/>
    <col min="13" max="13" width="15.7109375" style="364" customWidth="1"/>
    <col min="14" max="14" width="25.7109375" style="364" customWidth="1"/>
    <col min="15" max="15" width="35.7109375" style="364" customWidth="1"/>
    <col min="16" max="16" width="15.7109375" style="364" customWidth="1"/>
    <col min="17" max="17" width="2.7109375" style="374" customWidth="1"/>
    <col min="18" max="18" width="15.28515625" style="341" customWidth="1"/>
    <col min="19" max="19" width="9.140625" style="341"/>
    <col min="20" max="21" width="9.140625" style="363"/>
    <col min="22" max="16384" width="9.140625" style="364"/>
  </cols>
  <sheetData>
    <row r="1" spans="1:21" s="339" customFormat="1" ht="18" hidden="1" customHeight="1">
      <c r="A1" s="338"/>
      <c r="B1" s="338"/>
      <c r="C1" s="338"/>
      <c r="Q1" s="340"/>
      <c r="R1" s="341"/>
      <c r="S1" s="341"/>
      <c r="T1" s="341"/>
      <c r="U1" s="341"/>
    </row>
    <row r="2" spans="1:21" s="345" customFormat="1" ht="14.25" customHeight="1">
      <c r="A2" s="342"/>
      <c r="B2" s="343"/>
      <c r="C2" s="344"/>
      <c r="G2" s="376" t="e">
        <f ca="1">version</f>
        <v>#NAME?</v>
      </c>
      <c r="H2" s="346"/>
    </row>
    <row r="3" spans="1:21" s="350" customFormat="1" ht="3" customHeight="1">
      <c r="A3" s="347"/>
      <c r="B3" s="348"/>
      <c r="C3" s="349"/>
      <c r="F3" s="967"/>
      <c r="G3" s="967"/>
      <c r="H3" s="351"/>
    </row>
    <row r="4" spans="1:21" s="354" customFormat="1" ht="18" customHeight="1">
      <c r="A4" s="352"/>
      <c r="B4" s="968" t="s">
        <v>1749</v>
      </c>
      <c r="C4" s="969"/>
      <c r="D4" s="969"/>
      <c r="E4" s="969"/>
      <c r="F4" s="969"/>
      <c r="G4" s="970"/>
      <c r="H4" s="353"/>
    </row>
    <row r="5" spans="1:21" s="354" customFormat="1" ht="5.25" customHeight="1">
      <c r="A5" s="352"/>
      <c r="B5" s="348"/>
      <c r="C5" s="355"/>
      <c r="D5" s="356"/>
      <c r="E5" s="356"/>
      <c r="F5" s="356"/>
      <c r="G5" s="357"/>
      <c r="H5" s="358"/>
    </row>
    <row r="6" spans="1:21" customFormat="1" ht="27.75" hidden="1" customHeight="1"/>
    <row r="7" spans="1:21" ht="12" customHeight="1">
      <c r="A7" s="338"/>
      <c r="C7" s="369"/>
      <c r="D7" s="369"/>
      <c r="E7" s="369"/>
      <c r="F7" s="369"/>
      <c r="G7" s="369"/>
      <c r="H7" s="359"/>
      <c r="I7" s="359"/>
      <c r="J7" s="359"/>
      <c r="K7" s="359"/>
      <c r="L7" s="359"/>
      <c r="M7" s="360"/>
      <c r="N7" s="361"/>
      <c r="O7" s="361"/>
      <c r="P7" s="361"/>
      <c r="Q7" s="362"/>
    </row>
    <row r="8" spans="1:21" ht="42" customHeight="1">
      <c r="A8" s="338"/>
      <c r="B8" s="365" t="str">
        <f>"Укажите, путь до папки с шаблонами BALANCE.CALC.TARIFF." &amp; IF(TEMPLATE_SPHERE_CODE="","",IF(TEMPLATE_SPHERE_CODE="HEAT","WARM",TEMPLATE_SPHERE_CODE)) &amp; ".2012.FACT"</f>
        <v>Укажите, путь до папки с шаблонами BALANCE.CALC.TARIFF.VOTV.2012.FACT</v>
      </c>
      <c r="C8" s="971"/>
      <c r="D8" s="971"/>
      <c r="E8" s="971"/>
      <c r="F8" s="971"/>
      <c r="G8" s="971"/>
      <c r="H8" s="360"/>
      <c r="I8" s="360"/>
      <c r="J8" s="360"/>
      <c r="K8" s="360"/>
      <c r="L8" s="360"/>
      <c r="M8" s="360"/>
      <c r="N8" s="366"/>
      <c r="O8" s="366"/>
      <c r="P8" s="366"/>
      <c r="Q8" s="362"/>
    </row>
    <row r="9" spans="1:21" ht="15" customHeight="1">
      <c r="B9" s="367"/>
      <c r="C9" s="368"/>
      <c r="D9" s="359"/>
      <c r="E9" s="359"/>
      <c r="G9" s="369"/>
      <c r="H9" s="369"/>
      <c r="I9" s="369"/>
      <c r="J9" s="369"/>
      <c r="K9" s="369"/>
      <c r="L9" s="369"/>
      <c r="M9" s="369"/>
      <c r="N9" s="369"/>
      <c r="O9" s="369"/>
      <c r="P9" s="370"/>
      <c r="Q9" s="371"/>
    </row>
    <row r="10" spans="1:21" ht="42" customHeight="1">
      <c r="B10" s="372" t="s">
        <v>1750</v>
      </c>
      <c r="C10" s="971"/>
      <c r="D10" s="971"/>
      <c r="E10" s="971"/>
      <c r="F10" s="971"/>
      <c r="G10" s="971"/>
      <c r="H10" s="2"/>
      <c r="I10" s="2"/>
      <c r="J10" s="2"/>
      <c r="K10" s="2"/>
      <c r="L10" s="2"/>
      <c r="M10" s="2"/>
      <c r="N10" s="2"/>
      <c r="O10" s="2"/>
      <c r="P10" s="2"/>
      <c r="Q10" s="2"/>
      <c r="R10" s="2"/>
    </row>
    <row r="11" spans="1:21" ht="11.25">
      <c r="C11" s="368"/>
      <c r="D11" s="359"/>
      <c r="E11" s="359"/>
      <c r="G11" s="373"/>
      <c r="H11" s="2"/>
      <c r="I11" s="2"/>
      <c r="J11" s="2"/>
      <c r="K11" s="2"/>
      <c r="L11" s="2"/>
      <c r="M11" s="2"/>
      <c r="N11" s="2"/>
      <c r="O11" s="2"/>
      <c r="P11" s="2"/>
      <c r="Q11" s="2"/>
      <c r="R11" s="2"/>
    </row>
    <row r="12" spans="1:21" ht="11.25">
      <c r="C12" s="368"/>
      <c r="D12" s="359"/>
      <c r="E12" s="359"/>
      <c r="G12" s="373"/>
      <c r="H12" s="2"/>
      <c r="I12" s="2"/>
      <c r="J12" s="2"/>
      <c r="K12" s="2"/>
      <c r="L12" s="2"/>
      <c r="M12" s="2"/>
      <c r="N12" s="2"/>
      <c r="O12" s="2"/>
      <c r="P12" s="2"/>
      <c r="Q12" s="2"/>
      <c r="R12" s="2"/>
    </row>
    <row r="13" spans="1:21" ht="12.75">
      <c r="B13" s="972" t="s">
        <v>1751</v>
      </c>
      <c r="C13" s="972"/>
      <c r="D13" s="972"/>
      <c r="E13" s="972"/>
      <c r="F13" s="972"/>
      <c r="G13" s="972"/>
      <c r="H13" s="2"/>
      <c r="I13" s="2"/>
      <c r="J13" s="2"/>
      <c r="K13" s="2"/>
      <c r="L13" s="2"/>
      <c r="M13" s="2"/>
      <c r="N13" s="2"/>
      <c r="O13" s="2"/>
      <c r="P13" s="2"/>
      <c r="Q13" s="2"/>
      <c r="R13" s="2"/>
    </row>
    <row r="14" spans="1:21" ht="12.75">
      <c r="B14" s="973"/>
      <c r="C14" s="973"/>
      <c r="D14" s="973"/>
      <c r="E14" s="973"/>
      <c r="F14" s="973"/>
      <c r="G14" s="973"/>
      <c r="H14" s="359"/>
      <c r="I14" s="359"/>
      <c r="J14" s="359"/>
      <c r="K14" s="359"/>
      <c r="L14" s="359"/>
      <c r="M14" s="359"/>
      <c r="N14" s="359"/>
      <c r="O14" s="359"/>
      <c r="P14" s="359"/>
      <c r="Q14" s="362"/>
    </row>
    <row r="15" spans="1:21" ht="12.75">
      <c r="B15" s="974" t="s">
        <v>1752</v>
      </c>
      <c r="C15" s="974"/>
      <c r="D15" s="974"/>
      <c r="E15" s="974"/>
      <c r="F15" s="974"/>
      <c r="G15" s="974"/>
    </row>
    <row r="16" spans="1:21" ht="27" customHeight="1">
      <c r="B16" s="966" t="s">
        <v>1753</v>
      </c>
      <c r="C16" s="966"/>
      <c r="D16" s="966"/>
      <c r="E16" s="966"/>
      <c r="F16" s="966"/>
      <c r="G16" s="966"/>
      <c r="J16" s="364" t="s">
        <v>2482</v>
      </c>
    </row>
    <row r="17" spans="2:7" ht="12.75">
      <c r="B17" s="966" t="s">
        <v>1754</v>
      </c>
      <c r="C17" s="966"/>
      <c r="D17" s="966"/>
      <c r="E17" s="966"/>
      <c r="F17" s="966"/>
      <c r="G17" s="966"/>
    </row>
    <row r="18" spans="2:7" ht="12.75">
      <c r="B18" s="966"/>
      <c r="C18" s="966"/>
      <c r="D18" s="966"/>
      <c r="E18" s="966"/>
      <c r="F18" s="966"/>
      <c r="G18" s="966"/>
    </row>
    <row r="19" spans="2:7" ht="12.75">
      <c r="B19" s="974" t="s">
        <v>1755</v>
      </c>
      <c r="C19" s="974"/>
      <c r="D19" s="974"/>
      <c r="E19" s="974"/>
      <c r="F19" s="974"/>
      <c r="G19" s="974"/>
    </row>
    <row r="20" spans="2:7" ht="12.75">
      <c r="B20" s="966" t="s">
        <v>1756</v>
      </c>
      <c r="C20" s="966"/>
      <c r="D20" s="966"/>
      <c r="E20" s="966"/>
      <c r="F20" s="966"/>
      <c r="G20" s="966"/>
    </row>
    <row r="21" spans="2:7" ht="12.75">
      <c r="B21" s="966" t="s">
        <v>1757</v>
      </c>
      <c r="C21" s="966"/>
      <c r="D21" s="966"/>
      <c r="E21" s="966"/>
      <c r="F21" s="966"/>
      <c r="G21" s="966"/>
    </row>
    <row r="22" spans="2:7" ht="12.75">
      <c r="B22" s="966" t="s">
        <v>1758</v>
      </c>
      <c r="C22" s="966"/>
      <c r="D22" s="966"/>
      <c r="E22" s="966"/>
      <c r="F22" s="966"/>
      <c r="G22" s="966"/>
    </row>
    <row r="23" spans="2:7" ht="12.75">
      <c r="B23" s="966" t="s">
        <v>1759</v>
      </c>
      <c r="C23" s="966"/>
      <c r="D23" s="966"/>
      <c r="E23" s="966"/>
      <c r="F23" s="966"/>
      <c r="G23" s="966"/>
    </row>
    <row r="24" spans="2:7" ht="12" customHeight="1">
      <c r="B24" s="966"/>
      <c r="C24" s="966"/>
      <c r="D24" s="966"/>
      <c r="E24" s="966"/>
      <c r="F24" s="966"/>
      <c r="G24" s="966"/>
    </row>
    <row r="25" spans="2:7" ht="12" customHeight="1">
      <c r="B25" s="974" t="s">
        <v>1760</v>
      </c>
      <c r="C25" s="974"/>
      <c r="D25" s="974"/>
      <c r="E25" s="974"/>
      <c r="F25" s="974"/>
      <c r="G25" s="974"/>
    </row>
    <row r="26" spans="2:7" ht="45" customHeight="1">
      <c r="B26" s="966" t="s">
        <v>1761</v>
      </c>
      <c r="C26" s="966"/>
      <c r="D26" s="966"/>
      <c r="E26" s="966"/>
      <c r="F26" s="966"/>
      <c r="G26" s="966"/>
    </row>
    <row r="27" spans="2:7" ht="12.75">
      <c r="B27" s="966" t="s">
        <v>1762</v>
      </c>
      <c r="C27" s="966"/>
      <c r="D27" s="966"/>
      <c r="E27" s="966"/>
      <c r="F27" s="966"/>
      <c r="G27" s="966"/>
    </row>
    <row r="28" spans="2:7" ht="12.75">
      <c r="B28" s="975" t="s">
        <v>1763</v>
      </c>
      <c r="C28" s="975"/>
      <c r="D28" s="975"/>
      <c r="E28" s="975"/>
      <c r="F28" s="975"/>
      <c r="G28" s="975"/>
    </row>
    <row r="29" spans="2:7" ht="12.75">
      <c r="B29" s="975" t="s">
        <v>1764</v>
      </c>
      <c r="C29" s="975"/>
      <c r="D29" s="975"/>
      <c r="E29" s="975"/>
      <c r="F29" s="975"/>
      <c r="G29" s="975"/>
    </row>
    <row r="30" spans="2:7" ht="12.75">
      <c r="B30" s="975" t="s">
        <v>1765</v>
      </c>
      <c r="C30" s="975"/>
      <c r="D30" s="975"/>
      <c r="E30" s="975"/>
      <c r="F30" s="975"/>
      <c r="G30" s="975"/>
    </row>
    <row r="31" spans="2:7" ht="12" customHeight="1">
      <c r="B31" s="966"/>
      <c r="C31" s="966"/>
      <c r="D31" s="966"/>
      <c r="E31" s="966"/>
      <c r="F31" s="966"/>
      <c r="G31" s="966"/>
    </row>
    <row r="32" spans="2:7" ht="27" customHeight="1">
      <c r="B32" s="974" t="s">
        <v>1766</v>
      </c>
      <c r="C32" s="974"/>
      <c r="D32" s="974"/>
      <c r="E32" s="974"/>
      <c r="F32" s="974"/>
      <c r="G32" s="974"/>
    </row>
    <row r="33" spans="2:2" ht="12" customHeight="1">
      <c r="B33" s="375"/>
    </row>
  </sheetData>
  <sheetProtection password="FA9C" sheet="1" objects="1" scenarios="1" formatColumns="0" formatRows="0"/>
  <mergeCells count="24">
    <mergeCell ref="B25:G25"/>
    <mergeCell ref="B32:G32"/>
    <mergeCell ref="B26:G26"/>
    <mergeCell ref="B27:G27"/>
    <mergeCell ref="B28:G28"/>
    <mergeCell ref="B29:G29"/>
    <mergeCell ref="B30:G30"/>
    <mergeCell ref="B31:G31"/>
    <mergeCell ref="B24:G24"/>
    <mergeCell ref="B22:G22"/>
    <mergeCell ref="B23:G23"/>
    <mergeCell ref="F3:G3"/>
    <mergeCell ref="B4:G4"/>
    <mergeCell ref="C8:G8"/>
    <mergeCell ref="C10:G10"/>
    <mergeCell ref="B20:G20"/>
    <mergeCell ref="B13:G13"/>
    <mergeCell ref="B14:G14"/>
    <mergeCell ref="B15:G15"/>
    <mergeCell ref="B16:G16"/>
    <mergeCell ref="B21:G21"/>
    <mergeCell ref="B17:G17"/>
    <mergeCell ref="B18:G18"/>
    <mergeCell ref="B19:G19"/>
  </mergeCells>
  <phoneticPr fontId="0" type="noConversion"/>
  <dataValidations count="1">
    <dataValidation type="list" allowBlank="1" showInputMessage="1" showErrorMessage="1" sqref="C10:G10">
      <formula1>ALL_FILES</formula1>
    </dataValidation>
  </dataValidations>
  <pageMargins left="0.75" right="0.75" top="1" bottom="1" header="0.5" footer="0.5"/>
  <pageSetup paperSize="9" orientation="portrait" horizontalDpi="200" verticalDpi="200" r:id="rId1"/>
  <headerFooter alignWithMargins="0"/>
  <drawing r:id="rId2"/>
</worksheet>
</file>

<file path=xl/worksheets/sheet65.xml><?xml version="1.0" encoding="utf-8"?>
<worksheet xmlns="http://schemas.openxmlformats.org/spreadsheetml/2006/main" xmlns:r="http://schemas.openxmlformats.org/officeDocument/2006/relationships">
  <sheetPr codeName="Лист7">
    <tabColor indexed="45"/>
  </sheetPr>
  <dimension ref="A1:B1"/>
  <sheetViews>
    <sheetView showGridLines="0" workbookViewId="0"/>
  </sheetViews>
  <sheetFormatPr defaultRowHeight="11.25"/>
  <cols>
    <col min="1" max="1" width="40.7109375" style="316" customWidth="1"/>
    <col min="2" max="2" width="70.7109375" style="316" customWidth="1"/>
    <col min="3" max="16384" width="9.140625" style="316"/>
  </cols>
  <sheetData>
    <row r="1" spans="1:2" ht="26.25">
      <c r="A1" s="377" t="s">
        <v>1767</v>
      </c>
      <c r="B1" s="378" t="s">
        <v>648</v>
      </c>
    </row>
  </sheetData>
  <sheetProtection password="FA9C" sheet="1" objects="1" scenarios="1" formatColumns="0" formatRows="0"/>
  <phoneticPr fontId="0" type="noConversion"/>
  <pageMargins left="0.75" right="0.75" top="1" bottom="1" header="0.5" footer="0.5"/>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sheetPr codeName="SHEET_COMS">
    <tabColor indexed="31"/>
  </sheetPr>
  <dimension ref="F1:F20"/>
  <sheetViews>
    <sheetView showGridLines="0" topLeftCell="D8" workbookViewId="0"/>
  </sheetViews>
  <sheetFormatPr defaultRowHeight="11.25"/>
  <cols>
    <col min="1" max="3" width="0" style="210" hidden="1" customWidth="1"/>
    <col min="4" max="5" width="3.7109375" style="210" customWidth="1"/>
    <col min="6" max="6" width="75.7109375" style="210" customWidth="1"/>
    <col min="7" max="8" width="3.7109375" style="210" customWidth="1"/>
    <col min="9" max="16384" width="9.140625" style="210"/>
  </cols>
  <sheetData>
    <row r="1" spans="6:6" hidden="1"/>
    <row r="2" spans="6:6" hidden="1"/>
    <row r="3" spans="6:6" hidden="1"/>
    <row r="4" spans="6:6" hidden="1"/>
    <row r="5" spans="6:6" hidden="1"/>
    <row r="6" spans="6:6" hidden="1"/>
    <row r="7" spans="6:6" ht="12" hidden="1" customHeight="1"/>
    <row r="8" spans="6:6" ht="12" customHeight="1"/>
    <row r="9" spans="6:6" ht="18" customHeight="1">
      <c r="F9" s="211" t="s">
        <v>2784</v>
      </c>
    </row>
    <row r="10" spans="6:6" ht="12" customHeight="1"/>
    <row r="11" spans="6:6" ht="30" customHeight="1">
      <c r="F11" s="212"/>
    </row>
    <row r="12" spans="6:6" ht="30" customHeight="1">
      <c r="F12" s="212"/>
    </row>
    <row r="13" spans="6:6" ht="30" customHeight="1">
      <c r="F13" s="212"/>
    </row>
    <row r="14" spans="6:6" ht="30" customHeight="1">
      <c r="F14" s="212"/>
    </row>
    <row r="15" spans="6:6" ht="30" customHeight="1">
      <c r="F15" s="212"/>
    </row>
    <row r="16" spans="6:6" ht="30" customHeight="1">
      <c r="F16" s="212"/>
    </row>
    <row r="17" spans="6:6" ht="30" customHeight="1">
      <c r="F17" s="212"/>
    </row>
    <row r="18" spans="6:6" ht="30" customHeight="1">
      <c r="F18" s="212"/>
    </row>
    <row r="19" spans="6:6" ht="30" customHeight="1">
      <c r="F19" s="212"/>
    </row>
    <row r="20" spans="6:6" ht="30" customHeight="1">
      <c r="F20" s="212"/>
    </row>
  </sheetData>
  <sheetProtection password="FA9C" sheet="1" objects="1" scenarios="1" formatColumns="0" formatRows="0"/>
  <phoneticPr fontId="0" type="noConversion"/>
  <dataValidations count="1">
    <dataValidation type="textLength" operator="lessThan" allowBlank="1" showInputMessage="1" showErrorMessage="1" errorTitle="Ограничение" error="Максимальное количество символов - 1000!" sqref="F11:F20">
      <formula1>1000</formula1>
    </dataValidation>
  </dataValidations>
  <pageMargins left="0.75" right="0.75" top="1" bottom="1" header="0.5" footer="0.5"/>
  <pageSetup paperSize="9" orientation="portrait" verticalDpi="0" r:id="rId1"/>
  <headerFooter alignWithMargins="0"/>
</worksheet>
</file>

<file path=xl/worksheets/sheet67.xml><?xml version="1.0" encoding="utf-8"?>
<worksheet xmlns="http://schemas.openxmlformats.org/spreadsheetml/2006/main" xmlns:r="http://schemas.openxmlformats.org/officeDocument/2006/relationships">
  <sheetPr codeName="SheetCheckBeforeSave" enableFormatConditionsCalculation="0">
    <tabColor indexed="31"/>
  </sheetPr>
  <dimension ref="A1:I190"/>
  <sheetViews>
    <sheetView showGridLines="0" topLeftCell="C8" workbookViewId="0"/>
  </sheetViews>
  <sheetFormatPr defaultRowHeight="11.25"/>
  <cols>
    <col min="1" max="2" width="7.7109375" style="16" hidden="1" customWidth="1"/>
    <col min="3" max="3" width="2.7109375" style="16" customWidth="1"/>
    <col min="4" max="4" width="2.7109375" style="1" customWidth="1"/>
    <col min="5" max="6" width="25.7109375" style="12" customWidth="1"/>
    <col min="7" max="7" width="80.7109375" style="14" customWidth="1"/>
    <col min="8" max="8" width="20.7109375" style="12" customWidth="1"/>
    <col min="9" max="10" width="2.7109375" style="1" customWidth="1"/>
    <col min="11" max="16384" width="9.140625" style="1"/>
  </cols>
  <sheetData>
    <row r="1" spans="4:9" hidden="1"/>
    <row r="2" spans="4:9" hidden="1"/>
    <row r="3" spans="4:9" hidden="1"/>
    <row r="4" spans="4:9" hidden="1"/>
    <row r="5" spans="4:9" hidden="1"/>
    <row r="6" spans="4:9" hidden="1"/>
    <row r="7" spans="4:9" hidden="1"/>
    <row r="8" spans="4:9">
      <c r="D8" s="11"/>
      <c r="E8" s="13"/>
      <c r="F8" s="13"/>
      <c r="G8" s="15"/>
      <c r="H8" s="13"/>
      <c r="I8" s="11"/>
    </row>
    <row r="9" spans="4:9" ht="18" customHeight="1">
      <c r="D9" s="11"/>
      <c r="E9" s="976" t="s">
        <v>655</v>
      </c>
      <c r="F9" s="976"/>
      <c r="G9" s="976"/>
      <c r="H9" s="976"/>
      <c r="I9" s="11"/>
    </row>
    <row r="10" spans="4:9">
      <c r="D10" s="11"/>
      <c r="E10" s="29"/>
      <c r="F10" s="29"/>
      <c r="G10" s="30"/>
      <c r="H10" s="29"/>
      <c r="I10" s="11"/>
    </row>
    <row r="11" spans="4:9" ht="24" customHeight="1">
      <c r="D11" s="11"/>
      <c r="E11" s="735" t="s">
        <v>653</v>
      </c>
      <c r="F11" s="735" t="s">
        <v>654</v>
      </c>
      <c r="G11" s="735" t="s">
        <v>656</v>
      </c>
      <c r="H11" s="736" t="s">
        <v>648</v>
      </c>
      <c r="I11" s="11"/>
    </row>
    <row r="12" spans="4:9" ht="12.75">
      <c r="E12" s="732"/>
      <c r="F12" s="732"/>
      <c r="G12" s="733"/>
      <c r="H12" s="734"/>
    </row>
    <row r="13" spans="4:9" ht="12.75">
      <c r="E13" s="634"/>
      <c r="F13" s="634"/>
      <c r="G13" s="15"/>
      <c r="H13" s="13"/>
    </row>
    <row r="14" spans="4:9" ht="12.75">
      <c r="E14" s="634"/>
      <c r="F14" s="634"/>
      <c r="G14" s="15"/>
      <c r="H14" s="13"/>
    </row>
    <row r="15" spans="4:9" ht="12.75">
      <c r="E15" s="634"/>
      <c r="F15" s="634"/>
      <c r="G15" s="15"/>
      <c r="H15" s="13"/>
    </row>
    <row r="16" spans="4:9" ht="12.75">
      <c r="E16" s="634"/>
      <c r="F16" s="634"/>
      <c r="G16" s="15"/>
      <c r="H16" s="13"/>
    </row>
    <row r="17" spans="5:8" ht="12.75">
      <c r="E17" s="634"/>
      <c r="F17" s="634"/>
      <c r="G17" s="15"/>
      <c r="H17" s="13"/>
    </row>
    <row r="18" spans="5:8" ht="12.75">
      <c r="E18" s="634"/>
      <c r="F18" s="634"/>
      <c r="G18" s="15"/>
      <c r="H18" s="13"/>
    </row>
    <row r="19" spans="5:8" ht="12.75">
      <c r="E19" s="634"/>
      <c r="F19" s="634"/>
      <c r="G19" s="15"/>
      <c r="H19" s="13"/>
    </row>
    <row r="20" spans="5:8" ht="12.75">
      <c r="E20" s="634"/>
      <c r="F20" s="634"/>
      <c r="G20" s="15"/>
      <c r="H20" s="13"/>
    </row>
    <row r="21" spans="5:8" ht="12.75">
      <c r="E21" s="634"/>
      <c r="F21" s="634"/>
      <c r="G21" s="15"/>
      <c r="H21" s="13"/>
    </row>
    <row r="22" spans="5:8" ht="12.75">
      <c r="E22" s="634"/>
      <c r="F22" s="634"/>
      <c r="G22" s="15"/>
      <c r="H22" s="13"/>
    </row>
    <row r="23" spans="5:8" ht="12.75">
      <c r="E23" s="634"/>
      <c r="F23" s="634"/>
      <c r="G23" s="15"/>
      <c r="H23" s="13"/>
    </row>
    <row r="24" spans="5:8" ht="12.75">
      <c r="E24" s="634"/>
      <c r="F24" s="634"/>
      <c r="G24" s="15"/>
      <c r="H24" s="13"/>
    </row>
    <row r="25" spans="5:8" ht="12.75">
      <c r="E25" s="634"/>
      <c r="F25" s="634"/>
      <c r="G25" s="15"/>
      <c r="H25" s="13"/>
    </row>
    <row r="26" spans="5:8" ht="12.75">
      <c r="E26" s="634"/>
      <c r="F26" s="634"/>
      <c r="G26" s="15"/>
      <c r="H26" s="13"/>
    </row>
    <row r="27" spans="5:8" ht="12.75">
      <c r="E27" s="634"/>
      <c r="F27" s="634"/>
      <c r="G27" s="15"/>
      <c r="H27" s="13"/>
    </row>
    <row r="28" spans="5:8" ht="12.75">
      <c r="E28" s="634"/>
      <c r="F28" s="634"/>
      <c r="G28" s="15"/>
      <c r="H28" s="13"/>
    </row>
    <row r="29" spans="5:8" ht="12.75">
      <c r="E29" s="634"/>
      <c r="F29" s="634"/>
      <c r="G29" s="15"/>
      <c r="H29" s="13"/>
    </row>
    <row r="30" spans="5:8" ht="12.75">
      <c r="E30" s="634"/>
      <c r="F30" s="634"/>
      <c r="G30" s="15"/>
      <c r="H30" s="13"/>
    </row>
    <row r="31" spans="5:8" ht="12.75">
      <c r="E31" s="634"/>
      <c r="F31" s="634"/>
      <c r="G31" s="15"/>
      <c r="H31" s="13"/>
    </row>
    <row r="32" spans="5:8" ht="12.75">
      <c r="E32" s="634"/>
      <c r="F32" s="634"/>
      <c r="G32" s="15"/>
      <c r="H32" s="13"/>
    </row>
    <row r="33" spans="5:8" ht="12.75">
      <c r="E33" s="634"/>
      <c r="F33" s="634"/>
      <c r="G33" s="15"/>
      <c r="H33" s="13"/>
    </row>
    <row r="34" spans="5:8" ht="12.75">
      <c r="E34" s="634"/>
      <c r="F34" s="634"/>
      <c r="G34" s="15"/>
      <c r="H34" s="13"/>
    </row>
    <row r="35" spans="5:8" ht="12.75">
      <c r="E35" s="634"/>
      <c r="F35" s="634"/>
      <c r="G35" s="15"/>
      <c r="H35" s="13"/>
    </row>
    <row r="36" spans="5:8" ht="12.75">
      <c r="E36" s="634"/>
      <c r="F36" s="634"/>
      <c r="G36" s="15"/>
      <c r="H36" s="13"/>
    </row>
    <row r="37" spans="5:8" ht="12.75">
      <c r="E37" s="634"/>
      <c r="F37" s="634"/>
      <c r="G37" s="15"/>
      <c r="H37" s="13"/>
    </row>
    <row r="38" spans="5:8" ht="12.75">
      <c r="E38" s="634"/>
      <c r="F38" s="634"/>
      <c r="G38" s="15"/>
      <c r="H38" s="13"/>
    </row>
    <row r="39" spans="5:8" ht="12.75">
      <c r="E39" s="634"/>
      <c r="F39" s="634"/>
      <c r="G39" s="15"/>
      <c r="H39" s="13"/>
    </row>
    <row r="40" spans="5:8" ht="12.75">
      <c r="E40" s="634"/>
      <c r="F40" s="634"/>
      <c r="G40" s="15"/>
      <c r="H40" s="13"/>
    </row>
    <row r="41" spans="5:8" ht="12.75">
      <c r="E41" s="634"/>
      <c r="F41" s="634"/>
      <c r="G41" s="15"/>
      <c r="H41" s="13"/>
    </row>
    <row r="42" spans="5:8" ht="12.75">
      <c r="E42" s="634"/>
      <c r="F42" s="634"/>
      <c r="G42" s="15"/>
      <c r="H42" s="13"/>
    </row>
    <row r="43" spans="5:8" ht="12.75">
      <c r="E43" s="634"/>
      <c r="F43" s="634"/>
      <c r="G43" s="15"/>
      <c r="H43" s="13"/>
    </row>
    <row r="44" spans="5:8" ht="12.75">
      <c r="E44" s="634"/>
      <c r="F44" s="634"/>
      <c r="G44" s="15"/>
      <c r="H44" s="13"/>
    </row>
    <row r="45" spans="5:8" ht="12.75">
      <c r="E45" s="634"/>
      <c r="F45" s="634"/>
      <c r="G45" s="15"/>
      <c r="H45" s="13"/>
    </row>
    <row r="46" spans="5:8" ht="12.75">
      <c r="E46" s="634"/>
      <c r="F46" s="634"/>
      <c r="G46" s="15"/>
      <c r="H46" s="13"/>
    </row>
    <row r="47" spans="5:8" ht="12.75">
      <c r="E47" s="634"/>
      <c r="F47" s="634"/>
      <c r="G47" s="15"/>
      <c r="H47" s="13"/>
    </row>
    <row r="48" spans="5:8" ht="12.75">
      <c r="E48" s="634"/>
      <c r="F48" s="634"/>
      <c r="G48" s="15"/>
      <c r="H48" s="13"/>
    </row>
    <row r="49" spans="5:8" ht="12.75">
      <c r="E49" s="634"/>
      <c r="F49" s="634"/>
      <c r="G49" s="15"/>
      <c r="H49" s="13"/>
    </row>
    <row r="50" spans="5:8" ht="12.75">
      <c r="E50" s="634"/>
      <c r="F50" s="634"/>
      <c r="G50" s="15"/>
      <c r="H50" s="13"/>
    </row>
    <row r="51" spans="5:8" ht="12.75">
      <c r="E51" s="634"/>
      <c r="F51" s="634"/>
      <c r="G51" s="15"/>
      <c r="H51" s="13"/>
    </row>
    <row r="52" spans="5:8" ht="12.75">
      <c r="E52" s="634"/>
      <c r="F52" s="634"/>
      <c r="G52" s="15"/>
      <c r="H52" s="13"/>
    </row>
    <row r="53" spans="5:8" ht="12.75">
      <c r="E53" s="634"/>
      <c r="F53" s="634"/>
      <c r="G53" s="15"/>
      <c r="H53" s="13"/>
    </row>
    <row r="54" spans="5:8" ht="12.75">
      <c r="E54" s="634"/>
      <c r="F54" s="634"/>
      <c r="G54" s="15"/>
      <c r="H54" s="13"/>
    </row>
    <row r="55" spans="5:8" ht="12.75">
      <c r="E55" s="634"/>
      <c r="F55" s="634"/>
      <c r="G55" s="15"/>
      <c r="H55" s="13"/>
    </row>
    <row r="56" spans="5:8" ht="12.75">
      <c r="E56" s="634"/>
      <c r="F56" s="634"/>
      <c r="G56" s="15"/>
      <c r="H56" s="13"/>
    </row>
    <row r="57" spans="5:8" ht="12.75">
      <c r="E57" s="634"/>
      <c r="F57" s="634"/>
      <c r="G57" s="15"/>
      <c r="H57" s="13"/>
    </row>
    <row r="58" spans="5:8" ht="12.75">
      <c r="E58" s="634"/>
      <c r="F58" s="634"/>
      <c r="G58" s="15"/>
      <c r="H58" s="13"/>
    </row>
    <row r="59" spans="5:8" ht="12.75">
      <c r="E59" s="634"/>
      <c r="F59" s="634"/>
      <c r="G59" s="15"/>
      <c r="H59" s="13"/>
    </row>
    <row r="60" spans="5:8" ht="12.75">
      <c r="E60" s="634"/>
      <c r="F60" s="634"/>
      <c r="G60" s="15"/>
      <c r="H60" s="13"/>
    </row>
    <row r="61" spans="5:8" ht="12.75">
      <c r="E61" s="634"/>
      <c r="F61" s="634"/>
      <c r="G61" s="15"/>
      <c r="H61" s="13"/>
    </row>
    <row r="62" spans="5:8" ht="12.75">
      <c r="E62" s="634"/>
      <c r="F62" s="634"/>
      <c r="G62" s="15"/>
      <c r="H62" s="13"/>
    </row>
    <row r="63" spans="5:8" ht="12.75">
      <c r="E63" s="634"/>
      <c r="F63" s="634"/>
      <c r="G63" s="15"/>
      <c r="H63" s="13"/>
    </row>
    <row r="64" spans="5:8" ht="12.75">
      <c r="E64" s="634"/>
      <c r="F64" s="634"/>
      <c r="G64" s="15"/>
      <c r="H64" s="13"/>
    </row>
    <row r="65" spans="5:8" ht="12.75">
      <c r="E65" s="634"/>
      <c r="F65" s="634"/>
      <c r="G65" s="15"/>
      <c r="H65" s="13"/>
    </row>
    <row r="66" spans="5:8" ht="12.75">
      <c r="E66" s="634"/>
      <c r="F66" s="634"/>
      <c r="G66" s="15"/>
      <c r="H66" s="13"/>
    </row>
    <row r="67" spans="5:8" ht="12.75">
      <c r="E67" s="634"/>
      <c r="F67" s="634"/>
      <c r="G67" s="15"/>
      <c r="H67" s="13"/>
    </row>
    <row r="68" spans="5:8" ht="12.75">
      <c r="E68" s="634"/>
      <c r="F68" s="634"/>
      <c r="G68" s="15"/>
      <c r="H68" s="13"/>
    </row>
    <row r="69" spans="5:8" ht="12.75">
      <c r="E69" s="634"/>
      <c r="F69" s="634"/>
      <c r="G69" s="15"/>
      <c r="H69" s="13"/>
    </row>
    <row r="70" spans="5:8" ht="12.75">
      <c r="E70" s="634"/>
      <c r="F70" s="634"/>
      <c r="G70" s="15"/>
      <c r="H70" s="13"/>
    </row>
    <row r="71" spans="5:8" ht="12.75">
      <c r="E71" s="634"/>
      <c r="F71" s="634"/>
      <c r="G71" s="15"/>
      <c r="H71" s="13"/>
    </row>
    <row r="72" spans="5:8" ht="12.75">
      <c r="E72" s="634"/>
      <c r="F72" s="634"/>
      <c r="G72" s="15"/>
      <c r="H72" s="13"/>
    </row>
    <row r="73" spans="5:8" ht="12.75">
      <c r="E73" s="634"/>
      <c r="F73" s="634"/>
      <c r="G73" s="15"/>
      <c r="H73" s="13"/>
    </row>
    <row r="74" spans="5:8" ht="12.75">
      <c r="E74" s="634"/>
      <c r="F74" s="634"/>
      <c r="G74" s="15"/>
      <c r="H74" s="13"/>
    </row>
    <row r="75" spans="5:8" ht="12.75">
      <c r="E75" s="634"/>
      <c r="F75" s="634"/>
      <c r="G75" s="15"/>
      <c r="H75" s="13"/>
    </row>
    <row r="76" spans="5:8" ht="12.75">
      <c r="E76" s="634"/>
      <c r="F76" s="634"/>
      <c r="G76" s="15"/>
      <c r="H76" s="13"/>
    </row>
    <row r="77" spans="5:8" ht="12.75">
      <c r="E77" s="634"/>
      <c r="F77" s="634"/>
      <c r="G77" s="15"/>
      <c r="H77" s="13"/>
    </row>
    <row r="78" spans="5:8" ht="12.75">
      <c r="E78" s="634"/>
      <c r="F78" s="634"/>
      <c r="G78" s="15"/>
      <c r="H78" s="13"/>
    </row>
    <row r="79" spans="5:8" ht="12.75">
      <c r="E79" s="634"/>
      <c r="F79" s="634"/>
      <c r="G79" s="15"/>
      <c r="H79" s="13"/>
    </row>
    <row r="80" spans="5:8" ht="12.75">
      <c r="E80" s="634"/>
      <c r="F80" s="634"/>
      <c r="G80" s="15"/>
      <c r="H80" s="13"/>
    </row>
    <row r="81" spans="5:8" ht="12.75">
      <c r="E81" s="634"/>
      <c r="F81" s="634"/>
      <c r="G81" s="15"/>
      <c r="H81" s="13"/>
    </row>
    <row r="82" spans="5:8" ht="12.75">
      <c r="E82" s="634"/>
      <c r="F82" s="634"/>
      <c r="G82" s="15"/>
      <c r="H82" s="13"/>
    </row>
    <row r="83" spans="5:8" ht="12.75">
      <c r="E83" s="634"/>
      <c r="F83" s="634"/>
      <c r="G83" s="15"/>
      <c r="H83" s="13"/>
    </row>
    <row r="84" spans="5:8" ht="12.75">
      <c r="E84" s="634"/>
      <c r="F84" s="634"/>
      <c r="G84" s="15"/>
      <c r="H84" s="13"/>
    </row>
    <row r="85" spans="5:8" ht="12.75">
      <c r="E85" s="634"/>
      <c r="F85" s="634"/>
      <c r="G85" s="15"/>
      <c r="H85" s="13"/>
    </row>
    <row r="86" spans="5:8" ht="12.75">
      <c r="E86" s="634"/>
      <c r="F86" s="634"/>
      <c r="G86" s="15"/>
      <c r="H86" s="13"/>
    </row>
    <row r="87" spans="5:8" ht="12.75">
      <c r="E87" s="634"/>
      <c r="F87" s="634"/>
      <c r="G87" s="15"/>
      <c r="H87" s="13"/>
    </row>
    <row r="88" spans="5:8" ht="12.75">
      <c r="E88" s="634"/>
      <c r="F88" s="634"/>
      <c r="G88" s="15"/>
      <c r="H88" s="13"/>
    </row>
    <row r="89" spans="5:8" ht="12.75">
      <c r="E89" s="634"/>
      <c r="F89" s="634"/>
      <c r="G89" s="15"/>
      <c r="H89" s="13"/>
    </row>
    <row r="90" spans="5:8" ht="12.75">
      <c r="E90" s="634"/>
      <c r="F90" s="634"/>
      <c r="G90" s="15"/>
      <c r="H90" s="13"/>
    </row>
    <row r="91" spans="5:8" ht="12.75">
      <c r="E91" s="634"/>
      <c r="F91" s="634"/>
      <c r="G91" s="15"/>
      <c r="H91" s="13"/>
    </row>
    <row r="92" spans="5:8" ht="12.75">
      <c r="E92" s="634"/>
      <c r="F92" s="634"/>
      <c r="G92" s="15"/>
      <c r="H92" s="13"/>
    </row>
    <row r="93" spans="5:8" ht="12.75">
      <c r="E93" s="634"/>
      <c r="F93" s="634"/>
      <c r="G93" s="15"/>
      <c r="H93" s="13"/>
    </row>
    <row r="94" spans="5:8" ht="12.75">
      <c r="E94" s="634"/>
      <c r="F94" s="634"/>
      <c r="G94" s="15"/>
      <c r="H94" s="13"/>
    </row>
    <row r="95" spans="5:8" ht="12.75">
      <c r="E95" s="634"/>
      <c r="F95" s="634"/>
      <c r="G95" s="15"/>
      <c r="H95" s="13"/>
    </row>
    <row r="96" spans="5:8" ht="12.75">
      <c r="E96" s="634"/>
      <c r="F96" s="634"/>
      <c r="G96" s="15"/>
      <c r="H96" s="13"/>
    </row>
    <row r="97" spans="5:8" ht="12.75">
      <c r="E97" s="634"/>
      <c r="F97" s="634"/>
      <c r="G97" s="15"/>
      <c r="H97" s="13"/>
    </row>
    <row r="98" spans="5:8" ht="12.75">
      <c r="E98" s="634"/>
      <c r="F98" s="634"/>
      <c r="G98" s="15"/>
      <c r="H98" s="13"/>
    </row>
    <row r="99" spans="5:8" ht="12.75">
      <c r="E99" s="634"/>
      <c r="F99" s="634"/>
      <c r="G99" s="15"/>
      <c r="H99" s="13"/>
    </row>
    <row r="100" spans="5:8" ht="12.75">
      <c r="E100" s="634"/>
      <c r="F100" s="634"/>
      <c r="G100" s="15"/>
      <c r="H100" s="13"/>
    </row>
    <row r="101" spans="5:8" ht="12.75">
      <c r="E101" s="634"/>
      <c r="F101" s="634"/>
      <c r="G101" s="15"/>
      <c r="H101" s="13"/>
    </row>
    <row r="102" spans="5:8" ht="12.75">
      <c r="E102" s="634"/>
      <c r="F102" s="634"/>
      <c r="G102" s="15"/>
      <c r="H102" s="13"/>
    </row>
    <row r="103" spans="5:8" ht="12.75">
      <c r="E103" s="634"/>
      <c r="F103" s="634"/>
      <c r="G103" s="15"/>
      <c r="H103" s="13"/>
    </row>
    <row r="104" spans="5:8" ht="12.75">
      <c r="E104" s="634"/>
      <c r="F104" s="634"/>
      <c r="G104" s="15"/>
      <c r="H104" s="13"/>
    </row>
    <row r="105" spans="5:8" ht="12.75">
      <c r="E105" s="634"/>
      <c r="F105" s="634"/>
      <c r="G105" s="15"/>
      <c r="H105" s="13"/>
    </row>
    <row r="106" spans="5:8" ht="12.75">
      <c r="E106" s="634"/>
      <c r="F106" s="634"/>
      <c r="G106" s="15"/>
      <c r="H106" s="13"/>
    </row>
    <row r="107" spans="5:8" ht="12.75">
      <c r="E107" s="634"/>
      <c r="F107" s="634"/>
      <c r="G107" s="15"/>
      <c r="H107" s="13"/>
    </row>
    <row r="108" spans="5:8" ht="12.75">
      <c r="E108" s="634"/>
      <c r="F108" s="634"/>
      <c r="G108" s="15"/>
      <c r="H108" s="13"/>
    </row>
    <row r="109" spans="5:8" ht="12.75">
      <c r="E109" s="634"/>
      <c r="F109" s="634"/>
      <c r="G109" s="15"/>
      <c r="H109" s="13"/>
    </row>
    <row r="110" spans="5:8" ht="12.75">
      <c r="E110" s="634"/>
      <c r="F110" s="634"/>
      <c r="G110" s="15"/>
      <c r="H110" s="13"/>
    </row>
    <row r="111" spans="5:8" ht="12.75">
      <c r="E111" s="634"/>
      <c r="F111" s="634"/>
      <c r="G111" s="15"/>
      <c r="H111" s="13"/>
    </row>
    <row r="112" spans="5:8" ht="12.75">
      <c r="E112" s="634"/>
      <c r="F112" s="634"/>
      <c r="G112" s="15"/>
      <c r="H112" s="13"/>
    </row>
    <row r="113" spans="5:8" ht="12.75">
      <c r="E113" s="634"/>
      <c r="F113" s="634"/>
      <c r="G113" s="15"/>
      <c r="H113" s="13"/>
    </row>
    <row r="114" spans="5:8" ht="12.75">
      <c r="E114" s="634"/>
      <c r="F114" s="634"/>
      <c r="G114" s="15"/>
      <c r="H114" s="13"/>
    </row>
    <row r="115" spans="5:8" ht="12.75">
      <c r="E115" s="634"/>
      <c r="F115" s="634"/>
      <c r="G115" s="15"/>
      <c r="H115" s="13"/>
    </row>
    <row r="116" spans="5:8" ht="12.75">
      <c r="E116" s="634"/>
      <c r="F116" s="634"/>
      <c r="G116" s="15"/>
      <c r="H116" s="13"/>
    </row>
    <row r="117" spans="5:8" ht="12.75">
      <c r="E117" s="634"/>
      <c r="F117" s="634"/>
      <c r="G117" s="15"/>
      <c r="H117" s="13"/>
    </row>
    <row r="118" spans="5:8" ht="12.75">
      <c r="E118" s="634"/>
      <c r="F118" s="634"/>
      <c r="G118" s="15"/>
      <c r="H118" s="13"/>
    </row>
    <row r="119" spans="5:8" ht="12.75">
      <c r="E119" s="634"/>
      <c r="F119" s="634"/>
      <c r="G119" s="15"/>
      <c r="H119" s="13"/>
    </row>
    <row r="120" spans="5:8" ht="12.75">
      <c r="E120" s="634"/>
      <c r="F120" s="634"/>
      <c r="G120" s="15"/>
      <c r="H120" s="13"/>
    </row>
    <row r="121" spans="5:8" ht="12.75">
      <c r="E121" s="634"/>
      <c r="F121" s="634"/>
      <c r="G121" s="15"/>
      <c r="H121" s="13"/>
    </row>
    <row r="122" spans="5:8" ht="12.75">
      <c r="E122" s="634"/>
      <c r="F122" s="634"/>
      <c r="G122" s="15"/>
      <c r="H122" s="13"/>
    </row>
    <row r="123" spans="5:8" ht="12.75">
      <c r="E123" s="634"/>
      <c r="F123" s="634"/>
      <c r="G123" s="15"/>
      <c r="H123" s="13"/>
    </row>
    <row r="124" spans="5:8" ht="12.75">
      <c r="E124" s="634"/>
      <c r="F124" s="634"/>
      <c r="G124" s="15"/>
      <c r="H124" s="13"/>
    </row>
    <row r="125" spans="5:8" ht="12.75">
      <c r="E125" s="634"/>
      <c r="F125" s="634"/>
      <c r="G125" s="15"/>
      <c r="H125" s="13"/>
    </row>
    <row r="126" spans="5:8" ht="12.75">
      <c r="E126" s="634"/>
      <c r="F126" s="634"/>
      <c r="G126" s="15"/>
      <c r="H126" s="13"/>
    </row>
    <row r="127" spans="5:8" ht="12.75">
      <c r="E127" s="634"/>
      <c r="F127" s="634"/>
      <c r="G127" s="15"/>
      <c r="H127" s="13"/>
    </row>
    <row r="128" spans="5:8" ht="12.75">
      <c r="E128" s="634"/>
      <c r="F128" s="634"/>
      <c r="G128" s="15"/>
      <c r="H128" s="13"/>
    </row>
    <row r="129" spans="5:8" ht="12.75">
      <c r="E129" s="634"/>
      <c r="F129" s="634"/>
      <c r="G129" s="15"/>
      <c r="H129" s="13"/>
    </row>
    <row r="130" spans="5:8" ht="12.75">
      <c r="E130" s="634"/>
      <c r="F130" s="634"/>
      <c r="G130" s="15"/>
      <c r="H130" s="13"/>
    </row>
    <row r="131" spans="5:8" ht="12.75">
      <c r="E131" s="634"/>
      <c r="F131" s="634"/>
      <c r="G131" s="15"/>
      <c r="H131" s="13"/>
    </row>
    <row r="132" spans="5:8" ht="12.75">
      <c r="E132" s="634"/>
      <c r="F132" s="634"/>
      <c r="G132" s="15"/>
      <c r="H132" s="13"/>
    </row>
    <row r="133" spans="5:8" ht="12.75">
      <c r="E133" s="634"/>
      <c r="F133" s="634"/>
      <c r="G133" s="15"/>
      <c r="H133" s="13"/>
    </row>
    <row r="134" spans="5:8" ht="12.75">
      <c r="E134" s="634"/>
      <c r="F134" s="634"/>
      <c r="G134" s="15"/>
      <c r="H134" s="13"/>
    </row>
    <row r="135" spans="5:8" ht="12.75">
      <c r="E135" s="634"/>
      <c r="F135" s="634"/>
      <c r="G135" s="15"/>
      <c r="H135" s="13"/>
    </row>
    <row r="136" spans="5:8" ht="12.75">
      <c r="E136" s="634"/>
      <c r="F136" s="634"/>
      <c r="G136" s="15"/>
      <c r="H136" s="13"/>
    </row>
    <row r="137" spans="5:8" ht="12.75">
      <c r="E137" s="634"/>
      <c r="F137" s="634"/>
      <c r="G137" s="15"/>
      <c r="H137" s="13"/>
    </row>
    <row r="138" spans="5:8" ht="12.75">
      <c r="E138" s="634"/>
      <c r="F138" s="634"/>
      <c r="G138" s="15"/>
      <c r="H138" s="13"/>
    </row>
    <row r="139" spans="5:8" ht="12.75">
      <c r="E139" s="634"/>
      <c r="F139" s="634"/>
      <c r="G139" s="15"/>
      <c r="H139" s="13"/>
    </row>
    <row r="140" spans="5:8" ht="12.75">
      <c r="E140" s="634"/>
      <c r="F140" s="634"/>
      <c r="G140" s="15"/>
      <c r="H140" s="13"/>
    </row>
    <row r="141" spans="5:8" ht="12.75">
      <c r="E141" s="634"/>
      <c r="F141" s="634"/>
      <c r="G141" s="15"/>
      <c r="H141" s="13"/>
    </row>
    <row r="142" spans="5:8" ht="12.75">
      <c r="E142" s="634"/>
      <c r="F142" s="634"/>
      <c r="G142" s="15"/>
      <c r="H142" s="13"/>
    </row>
    <row r="143" spans="5:8" ht="12.75">
      <c r="E143" s="634"/>
      <c r="F143" s="634"/>
      <c r="G143" s="15"/>
      <c r="H143" s="13"/>
    </row>
    <row r="144" spans="5:8" ht="12.75">
      <c r="E144" s="634"/>
      <c r="F144" s="634"/>
      <c r="G144" s="15"/>
      <c r="H144" s="13"/>
    </row>
    <row r="145" spans="5:8" ht="12.75">
      <c r="E145" s="634"/>
      <c r="F145" s="634"/>
      <c r="G145" s="15"/>
      <c r="H145" s="13"/>
    </row>
    <row r="146" spans="5:8" ht="12.75">
      <c r="E146" s="634"/>
      <c r="F146" s="634"/>
      <c r="G146" s="15"/>
      <c r="H146" s="13"/>
    </row>
    <row r="147" spans="5:8" ht="12.75">
      <c r="E147" s="634"/>
      <c r="F147" s="634"/>
      <c r="G147" s="15"/>
      <c r="H147" s="13"/>
    </row>
    <row r="148" spans="5:8" ht="12.75">
      <c r="E148" s="634"/>
      <c r="F148" s="634"/>
      <c r="G148" s="15"/>
      <c r="H148" s="13"/>
    </row>
    <row r="149" spans="5:8" ht="12.75">
      <c r="E149" s="634"/>
      <c r="F149" s="634"/>
      <c r="G149" s="15"/>
      <c r="H149" s="13"/>
    </row>
    <row r="150" spans="5:8" ht="12.75">
      <c r="E150" s="634"/>
      <c r="F150" s="634"/>
      <c r="G150" s="15"/>
      <c r="H150" s="13"/>
    </row>
    <row r="151" spans="5:8" ht="12.75">
      <c r="E151" s="634"/>
      <c r="F151" s="634"/>
      <c r="G151" s="15"/>
      <c r="H151" s="13"/>
    </row>
    <row r="152" spans="5:8" ht="12.75">
      <c r="E152" s="634"/>
      <c r="F152" s="634"/>
      <c r="G152" s="15"/>
      <c r="H152" s="13"/>
    </row>
    <row r="153" spans="5:8" ht="12.75">
      <c r="E153" s="634"/>
      <c r="F153" s="634"/>
      <c r="G153" s="15"/>
      <c r="H153" s="13"/>
    </row>
    <row r="154" spans="5:8" ht="12.75">
      <c r="E154" s="634"/>
      <c r="F154" s="634"/>
      <c r="G154" s="15"/>
      <c r="H154" s="13"/>
    </row>
    <row r="155" spans="5:8" ht="12.75">
      <c r="E155" s="634"/>
      <c r="F155" s="634"/>
      <c r="G155" s="15"/>
      <c r="H155" s="13"/>
    </row>
    <row r="156" spans="5:8" ht="12.75">
      <c r="E156" s="634"/>
      <c r="F156" s="634"/>
      <c r="G156" s="15"/>
      <c r="H156" s="13"/>
    </row>
    <row r="157" spans="5:8" ht="12.75">
      <c r="E157" s="634"/>
      <c r="F157" s="634"/>
      <c r="G157" s="15"/>
      <c r="H157" s="13"/>
    </row>
    <row r="158" spans="5:8" ht="12.75">
      <c r="E158" s="634"/>
      <c r="F158" s="634"/>
      <c r="G158" s="15"/>
      <c r="H158" s="13"/>
    </row>
    <row r="159" spans="5:8" ht="12.75">
      <c r="E159" s="634"/>
      <c r="F159" s="634"/>
      <c r="G159" s="15"/>
      <c r="H159" s="13"/>
    </row>
    <row r="160" spans="5:8" ht="12.75">
      <c r="E160" s="634"/>
      <c r="F160" s="634"/>
      <c r="G160" s="15"/>
      <c r="H160" s="13"/>
    </row>
    <row r="161" spans="5:8" ht="12.75">
      <c r="E161" s="634"/>
      <c r="F161" s="634"/>
      <c r="G161" s="15"/>
      <c r="H161" s="13"/>
    </row>
    <row r="162" spans="5:8" ht="12.75">
      <c r="E162" s="634"/>
      <c r="F162" s="634"/>
      <c r="G162" s="15"/>
      <c r="H162" s="13"/>
    </row>
    <row r="163" spans="5:8" ht="12.75">
      <c r="E163" s="634"/>
      <c r="F163" s="634"/>
      <c r="G163" s="15"/>
      <c r="H163" s="13"/>
    </row>
    <row r="164" spans="5:8" ht="12.75">
      <c r="E164" s="634"/>
      <c r="F164" s="634"/>
      <c r="G164" s="15"/>
      <c r="H164" s="13"/>
    </row>
    <row r="165" spans="5:8" ht="12.75">
      <c r="E165" s="634"/>
      <c r="F165" s="634"/>
      <c r="G165" s="15"/>
      <c r="H165" s="13"/>
    </row>
    <row r="166" spans="5:8" ht="12.75">
      <c r="E166" s="634"/>
      <c r="F166" s="634"/>
      <c r="G166" s="15"/>
      <c r="H166" s="13"/>
    </row>
    <row r="167" spans="5:8" ht="12.75">
      <c r="E167" s="634"/>
      <c r="F167" s="634"/>
      <c r="G167" s="15"/>
      <c r="H167" s="13"/>
    </row>
    <row r="168" spans="5:8" ht="12.75">
      <c r="E168" s="634"/>
      <c r="F168" s="634"/>
      <c r="G168" s="15"/>
      <c r="H168" s="13"/>
    </row>
    <row r="169" spans="5:8" ht="12.75">
      <c r="E169" s="634"/>
      <c r="F169" s="634"/>
      <c r="G169" s="15"/>
      <c r="H169" s="13"/>
    </row>
    <row r="170" spans="5:8" ht="12.75">
      <c r="E170" s="634"/>
      <c r="F170" s="634"/>
      <c r="G170" s="15"/>
      <c r="H170" s="13"/>
    </row>
    <row r="171" spans="5:8" ht="12.75">
      <c r="E171" s="634"/>
      <c r="F171" s="634"/>
      <c r="G171" s="15"/>
      <c r="H171" s="13"/>
    </row>
    <row r="172" spans="5:8" ht="12.75">
      <c r="E172" s="634"/>
      <c r="F172" s="634"/>
      <c r="G172" s="15"/>
      <c r="H172" s="13"/>
    </row>
    <row r="173" spans="5:8" ht="12.75">
      <c r="E173" s="634"/>
      <c r="F173" s="634"/>
      <c r="G173" s="15"/>
      <c r="H173" s="13"/>
    </row>
    <row r="174" spans="5:8" ht="12.75">
      <c r="E174" s="634"/>
      <c r="F174" s="634"/>
      <c r="G174" s="15"/>
      <c r="H174" s="13"/>
    </row>
    <row r="175" spans="5:8" ht="12.75">
      <c r="E175" s="634"/>
      <c r="F175" s="634"/>
      <c r="G175" s="15"/>
      <c r="H175" s="13"/>
    </row>
    <row r="176" spans="5:8" ht="12.75">
      <c r="E176" s="634"/>
      <c r="F176" s="634"/>
      <c r="G176" s="15"/>
      <c r="H176" s="13"/>
    </row>
    <row r="177" spans="5:8" ht="12.75">
      <c r="E177" s="634"/>
      <c r="F177" s="634"/>
      <c r="G177" s="15"/>
      <c r="H177" s="13"/>
    </row>
    <row r="178" spans="5:8" ht="12.75">
      <c r="E178" s="634"/>
      <c r="F178" s="634"/>
      <c r="G178" s="15"/>
      <c r="H178" s="13"/>
    </row>
    <row r="179" spans="5:8" ht="12.75">
      <c r="E179" s="634"/>
      <c r="F179" s="634"/>
      <c r="G179" s="15"/>
      <c r="H179" s="13"/>
    </row>
    <row r="180" spans="5:8" ht="12.75">
      <c r="E180" s="634"/>
      <c r="F180" s="634"/>
      <c r="G180" s="15"/>
      <c r="H180" s="13"/>
    </row>
    <row r="181" spans="5:8" ht="12.75">
      <c r="E181" s="634"/>
      <c r="F181" s="634"/>
      <c r="G181" s="15"/>
      <c r="H181" s="13"/>
    </row>
    <row r="182" spans="5:8" ht="12.75">
      <c r="E182" s="634"/>
      <c r="F182" s="634"/>
      <c r="G182" s="15"/>
      <c r="H182" s="13"/>
    </row>
    <row r="183" spans="5:8" ht="12.75">
      <c r="E183" s="634"/>
      <c r="F183" s="634"/>
      <c r="G183" s="15"/>
      <c r="H183" s="13"/>
    </row>
    <row r="184" spans="5:8" ht="12.75">
      <c r="E184" s="634"/>
      <c r="F184" s="634"/>
      <c r="G184" s="15"/>
      <c r="H184" s="13"/>
    </row>
    <row r="185" spans="5:8" ht="12.75">
      <c r="E185" s="634"/>
      <c r="F185" s="634"/>
      <c r="G185" s="15"/>
      <c r="H185" s="13"/>
    </row>
    <row r="186" spans="5:8" ht="12.75">
      <c r="E186" s="634"/>
      <c r="F186" s="634"/>
      <c r="G186" s="15"/>
      <c r="H186" s="13"/>
    </row>
    <row r="187" spans="5:8" ht="12.75">
      <c r="E187" s="634"/>
      <c r="F187" s="634"/>
      <c r="G187" s="15"/>
      <c r="H187" s="13"/>
    </row>
    <row r="188" spans="5:8" ht="12.75">
      <c r="E188" s="634"/>
      <c r="F188" s="634"/>
      <c r="G188" s="15"/>
      <c r="H188" s="13"/>
    </row>
    <row r="189" spans="5:8" ht="12.75">
      <c r="E189" s="634"/>
      <c r="F189" s="634"/>
      <c r="G189" s="15"/>
      <c r="H189" s="13"/>
    </row>
    <row r="190" spans="5:8" ht="12.75">
      <c r="E190" s="634"/>
      <c r="F190" s="634"/>
      <c r="G190" s="15"/>
      <c r="H190" s="13"/>
    </row>
  </sheetData>
  <sheetProtection password="FA9C" sheet="1" scenarios="1" formatColumns="0" formatRows="0" autoFilter="0"/>
  <autoFilter ref="E11:H11"/>
  <mergeCells count="1">
    <mergeCell ref="E9:H9"/>
  </mergeCells>
  <phoneticPr fontId="8" type="noConversion"/>
  <pageMargins left="0.75" right="0.75" top="1" bottom="1" header="0.5" footer="0.5"/>
  <pageSetup paperSize="9" orientation="portrait" r:id="rId1"/>
  <headerFooter alignWithMargins="0"/>
  <legacyDrawing r:id="rId2"/>
</worksheet>
</file>

<file path=xl/worksheets/sheet68.xml><?xml version="1.0" encoding="utf-8"?>
<worksheet xmlns="http://schemas.openxmlformats.org/spreadsheetml/2006/main" xmlns:r="http://schemas.openxmlformats.org/officeDocument/2006/relationships">
  <sheetPr codeName="REESTR_MO">
    <tabColor indexed="47"/>
  </sheetPr>
  <dimension ref="A1:E241"/>
  <sheetViews>
    <sheetView showGridLines="0" workbookViewId="0"/>
  </sheetViews>
  <sheetFormatPr defaultRowHeight="11.25"/>
  <cols>
    <col min="1" max="16384" width="9.140625" style="7"/>
  </cols>
  <sheetData>
    <row r="1" spans="1:5">
      <c r="A1" s="7" t="s">
        <v>1332</v>
      </c>
      <c r="B1" s="7" t="s">
        <v>1333</v>
      </c>
      <c r="C1" s="7" t="s">
        <v>1334</v>
      </c>
      <c r="D1" s="7" t="s">
        <v>1332</v>
      </c>
      <c r="E1" s="7" t="s">
        <v>1335</v>
      </c>
    </row>
    <row r="2" spans="1:5">
      <c r="A2" s="7" t="s">
        <v>2873</v>
      </c>
      <c r="B2" s="7" t="s">
        <v>2873</v>
      </c>
      <c r="C2" s="7" t="s">
        <v>2874</v>
      </c>
      <c r="D2" s="7" t="s">
        <v>2873</v>
      </c>
      <c r="E2" s="7" t="s">
        <v>1309</v>
      </c>
    </row>
    <row r="3" spans="1:5">
      <c r="A3" s="7" t="s">
        <v>2873</v>
      </c>
      <c r="B3" s="7" t="s">
        <v>2875</v>
      </c>
      <c r="C3" s="7" t="s">
        <v>2876</v>
      </c>
      <c r="D3" s="7" t="s">
        <v>2895</v>
      </c>
      <c r="E3" s="7" t="s">
        <v>1310</v>
      </c>
    </row>
    <row r="4" spans="1:5">
      <c r="A4" s="7" t="s">
        <v>2873</v>
      </c>
      <c r="B4" s="7" t="s">
        <v>2877</v>
      </c>
      <c r="C4" s="7" t="s">
        <v>2878</v>
      </c>
      <c r="D4" s="7" t="s">
        <v>2905</v>
      </c>
      <c r="E4" s="7" t="s">
        <v>1311</v>
      </c>
    </row>
    <row r="5" spans="1:5">
      <c r="A5" s="7" t="s">
        <v>2873</v>
      </c>
      <c r="B5" s="7" t="s">
        <v>2879</v>
      </c>
      <c r="C5" s="7" t="s">
        <v>2880</v>
      </c>
      <c r="D5" s="7" t="s">
        <v>2923</v>
      </c>
      <c r="E5" s="7" t="s">
        <v>1312</v>
      </c>
    </row>
    <row r="6" spans="1:5">
      <c r="A6" s="7" t="s">
        <v>2873</v>
      </c>
      <c r="B6" s="7" t="s">
        <v>2881</v>
      </c>
      <c r="C6" s="7" t="s">
        <v>2882</v>
      </c>
      <c r="D6" s="7" t="s">
        <v>2945</v>
      </c>
      <c r="E6" s="7" t="s">
        <v>1313</v>
      </c>
    </row>
    <row r="7" spans="1:5">
      <c r="A7" s="7" t="s">
        <v>2873</v>
      </c>
      <c r="B7" s="7" t="s">
        <v>2883</v>
      </c>
      <c r="C7" s="7" t="s">
        <v>2884</v>
      </c>
      <c r="D7" s="7" t="s">
        <v>940</v>
      </c>
      <c r="E7" s="7" t="s">
        <v>1314</v>
      </c>
    </row>
    <row r="8" spans="1:5">
      <c r="A8" s="7" t="s">
        <v>2873</v>
      </c>
      <c r="B8" s="7" t="s">
        <v>2885</v>
      </c>
      <c r="C8" s="7" t="s">
        <v>2886</v>
      </c>
      <c r="D8" s="7" t="s">
        <v>2879</v>
      </c>
      <c r="E8" s="7" t="s">
        <v>1315</v>
      </c>
    </row>
    <row r="9" spans="1:5">
      <c r="A9" s="7" t="s">
        <v>2873</v>
      </c>
      <c r="B9" s="7" t="s">
        <v>2887</v>
      </c>
      <c r="C9" s="7" t="s">
        <v>2888</v>
      </c>
      <c r="D9" s="7" t="s">
        <v>981</v>
      </c>
      <c r="E9" s="7" t="s">
        <v>1316</v>
      </c>
    </row>
    <row r="10" spans="1:5">
      <c r="A10" s="7" t="s">
        <v>2873</v>
      </c>
      <c r="B10" s="7" t="s">
        <v>2889</v>
      </c>
      <c r="C10" s="7" t="s">
        <v>2890</v>
      </c>
      <c r="D10" s="7" t="s">
        <v>983</v>
      </c>
      <c r="E10" s="7" t="s">
        <v>1317</v>
      </c>
    </row>
    <row r="11" spans="1:5">
      <c r="A11" s="7" t="s">
        <v>2873</v>
      </c>
      <c r="B11" s="7" t="s">
        <v>2891</v>
      </c>
      <c r="C11" s="7" t="s">
        <v>2892</v>
      </c>
      <c r="D11" s="7" t="s">
        <v>986</v>
      </c>
      <c r="E11" s="7" t="s">
        <v>1318</v>
      </c>
    </row>
    <row r="12" spans="1:5">
      <c r="A12" s="7" t="s">
        <v>2873</v>
      </c>
      <c r="B12" s="7" t="s">
        <v>2893</v>
      </c>
      <c r="C12" s="7" t="s">
        <v>2894</v>
      </c>
      <c r="D12" s="7" t="s">
        <v>988</v>
      </c>
      <c r="E12" s="7" t="s">
        <v>1319</v>
      </c>
    </row>
    <row r="13" spans="1:5">
      <c r="A13" s="7" t="s">
        <v>2895</v>
      </c>
      <c r="B13" s="7" t="s">
        <v>2897</v>
      </c>
      <c r="C13" s="7" t="s">
        <v>2898</v>
      </c>
      <c r="D13" s="7" t="s">
        <v>990</v>
      </c>
      <c r="E13" s="7" t="s">
        <v>1320</v>
      </c>
    </row>
    <row r="14" spans="1:5">
      <c r="A14" s="7" t="s">
        <v>2895</v>
      </c>
      <c r="B14" s="7" t="s">
        <v>2895</v>
      </c>
      <c r="C14" s="7" t="s">
        <v>2896</v>
      </c>
      <c r="D14" s="7" t="s">
        <v>993</v>
      </c>
      <c r="E14" s="7" t="s">
        <v>1321</v>
      </c>
    </row>
    <row r="15" spans="1:5">
      <c r="A15" s="7" t="s">
        <v>2895</v>
      </c>
      <c r="B15" s="7" t="s">
        <v>2899</v>
      </c>
      <c r="C15" s="7" t="s">
        <v>2900</v>
      </c>
      <c r="D15" s="7" t="s">
        <v>1038</v>
      </c>
      <c r="E15" s="7" t="s">
        <v>1322</v>
      </c>
    </row>
    <row r="16" spans="1:5">
      <c r="A16" s="7" t="s">
        <v>2895</v>
      </c>
      <c r="B16" s="7" t="s">
        <v>2901</v>
      </c>
      <c r="C16" s="7" t="s">
        <v>2902</v>
      </c>
      <c r="D16" s="7" t="s">
        <v>1068</v>
      </c>
      <c r="E16" s="7" t="s">
        <v>1323</v>
      </c>
    </row>
    <row r="17" spans="1:5">
      <c r="A17" s="7" t="s">
        <v>2895</v>
      </c>
      <c r="B17" s="7" t="s">
        <v>2903</v>
      </c>
      <c r="C17" s="7" t="s">
        <v>2904</v>
      </c>
      <c r="D17" s="7" t="s">
        <v>1095</v>
      </c>
      <c r="E17" s="7" t="s">
        <v>1324</v>
      </c>
    </row>
    <row r="18" spans="1:5">
      <c r="A18" s="7" t="s">
        <v>2905</v>
      </c>
      <c r="B18" s="7" t="s">
        <v>2905</v>
      </c>
      <c r="C18" s="7" t="s">
        <v>2906</v>
      </c>
      <c r="D18" s="7" t="s">
        <v>1113</v>
      </c>
      <c r="E18" s="7" t="s">
        <v>1325</v>
      </c>
    </row>
    <row r="19" spans="1:5">
      <c r="A19" s="7" t="s">
        <v>2905</v>
      </c>
      <c r="B19" s="7" t="s">
        <v>2907</v>
      </c>
      <c r="C19" s="7" t="s">
        <v>2908</v>
      </c>
      <c r="D19" s="7" t="s">
        <v>1123</v>
      </c>
      <c r="E19" s="7" t="s">
        <v>1326</v>
      </c>
    </row>
    <row r="20" spans="1:5">
      <c r="A20" s="7" t="s">
        <v>2905</v>
      </c>
      <c r="B20" s="7" t="s">
        <v>2909</v>
      </c>
      <c r="C20" s="7" t="s">
        <v>2910</v>
      </c>
      <c r="D20" s="7" t="s">
        <v>1147</v>
      </c>
      <c r="E20" s="7" t="s">
        <v>1327</v>
      </c>
    </row>
    <row r="21" spans="1:5">
      <c r="A21" s="7" t="s">
        <v>2905</v>
      </c>
      <c r="B21" s="7" t="s">
        <v>2911</v>
      </c>
      <c r="C21" s="7" t="s">
        <v>2912</v>
      </c>
      <c r="D21" s="7" t="s">
        <v>1159</v>
      </c>
      <c r="E21" s="7" t="s">
        <v>1328</v>
      </c>
    </row>
    <row r="22" spans="1:5">
      <c r="A22" s="7" t="s">
        <v>2905</v>
      </c>
      <c r="B22" s="7" t="s">
        <v>2913</v>
      </c>
      <c r="C22" s="7" t="s">
        <v>2914</v>
      </c>
      <c r="D22" s="7" t="s">
        <v>1197</v>
      </c>
      <c r="E22" s="7" t="s">
        <v>1329</v>
      </c>
    </row>
    <row r="23" spans="1:5">
      <c r="A23" s="7" t="s">
        <v>2905</v>
      </c>
      <c r="B23" s="7" t="s">
        <v>2915</v>
      </c>
      <c r="C23" s="7" t="s">
        <v>2916</v>
      </c>
      <c r="D23" s="7" t="s">
        <v>1253</v>
      </c>
      <c r="E23" s="7" t="s">
        <v>1330</v>
      </c>
    </row>
    <row r="24" spans="1:5">
      <c r="A24" s="7" t="s">
        <v>2905</v>
      </c>
      <c r="B24" s="7" t="s">
        <v>2917</v>
      </c>
      <c r="C24" s="7" t="s">
        <v>2918</v>
      </c>
      <c r="D24" s="7" t="s">
        <v>1297</v>
      </c>
      <c r="E24" s="7" t="s">
        <v>1331</v>
      </c>
    </row>
    <row r="25" spans="1:5">
      <c r="A25" s="7" t="s">
        <v>2905</v>
      </c>
      <c r="B25" s="7" t="s">
        <v>2919</v>
      </c>
      <c r="C25" s="7" t="s">
        <v>2920</v>
      </c>
    </row>
    <row r="26" spans="1:5">
      <c r="A26" s="7" t="s">
        <v>2905</v>
      </c>
      <c r="B26" s="7" t="s">
        <v>2921</v>
      </c>
      <c r="C26" s="7" t="s">
        <v>2922</v>
      </c>
    </row>
    <row r="27" spans="1:5">
      <c r="A27" s="7" t="s">
        <v>2923</v>
      </c>
      <c r="B27" s="7" t="s">
        <v>2923</v>
      </c>
      <c r="C27" s="7" t="s">
        <v>2924</v>
      </c>
    </row>
    <row r="28" spans="1:5">
      <c r="A28" s="7" t="s">
        <v>2923</v>
      </c>
      <c r="B28" s="7" t="s">
        <v>2925</v>
      </c>
      <c r="C28" s="7" t="s">
        <v>2926</v>
      </c>
    </row>
    <row r="29" spans="1:5">
      <c r="A29" s="7" t="s">
        <v>2923</v>
      </c>
      <c r="B29" s="7" t="s">
        <v>2927</v>
      </c>
      <c r="C29" s="7" t="s">
        <v>2928</v>
      </c>
    </row>
    <row r="30" spans="1:5">
      <c r="A30" s="7" t="s">
        <v>2923</v>
      </c>
      <c r="B30" s="7" t="s">
        <v>2929</v>
      </c>
      <c r="C30" s="7" t="s">
        <v>2930</v>
      </c>
    </row>
    <row r="31" spans="1:5">
      <c r="A31" s="7" t="s">
        <v>2923</v>
      </c>
      <c r="B31" s="7" t="s">
        <v>2931</v>
      </c>
      <c r="C31" s="7" t="s">
        <v>2932</v>
      </c>
    </row>
    <row r="32" spans="1:5">
      <c r="A32" s="7" t="s">
        <v>2923</v>
      </c>
      <c r="B32" s="7" t="s">
        <v>2933</v>
      </c>
      <c r="C32" s="7" t="s">
        <v>2934</v>
      </c>
    </row>
    <row r="33" spans="1:3">
      <c r="A33" s="7" t="s">
        <v>2923</v>
      </c>
      <c r="B33" s="7" t="s">
        <v>2935</v>
      </c>
      <c r="C33" s="7" t="s">
        <v>2936</v>
      </c>
    </row>
    <row r="34" spans="1:3">
      <c r="A34" s="7" t="s">
        <v>2923</v>
      </c>
      <c r="B34" s="7" t="s">
        <v>2937</v>
      </c>
      <c r="C34" s="7" t="s">
        <v>2938</v>
      </c>
    </row>
    <row r="35" spans="1:3">
      <c r="A35" s="7" t="s">
        <v>2923</v>
      </c>
      <c r="B35" s="7" t="s">
        <v>2939</v>
      </c>
      <c r="C35" s="7" t="s">
        <v>2940</v>
      </c>
    </row>
    <row r="36" spans="1:3">
      <c r="A36" s="7" t="s">
        <v>2923</v>
      </c>
      <c r="B36" s="7" t="s">
        <v>2941</v>
      </c>
      <c r="C36" s="7" t="s">
        <v>2942</v>
      </c>
    </row>
    <row r="37" spans="1:3">
      <c r="A37" s="7" t="s">
        <v>2923</v>
      </c>
      <c r="B37" s="7" t="s">
        <v>2943</v>
      </c>
      <c r="C37" s="7" t="s">
        <v>2944</v>
      </c>
    </row>
    <row r="38" spans="1:3">
      <c r="A38" s="7" t="s">
        <v>2945</v>
      </c>
      <c r="B38" s="7" t="s">
        <v>2947</v>
      </c>
      <c r="C38" s="7" t="s">
        <v>2948</v>
      </c>
    </row>
    <row r="39" spans="1:3">
      <c r="A39" s="7" t="s">
        <v>2945</v>
      </c>
      <c r="B39" s="7" t="s">
        <v>2949</v>
      </c>
      <c r="C39" s="7" t="s">
        <v>2950</v>
      </c>
    </row>
    <row r="40" spans="1:3">
      <c r="A40" s="7" t="s">
        <v>2945</v>
      </c>
      <c r="B40" s="7" t="s">
        <v>2945</v>
      </c>
      <c r="C40" s="7" t="s">
        <v>2946</v>
      </c>
    </row>
    <row r="41" spans="1:3">
      <c r="A41" s="7" t="s">
        <v>2945</v>
      </c>
      <c r="B41" s="7" t="s">
        <v>2951</v>
      </c>
      <c r="C41" s="7" t="s">
        <v>2952</v>
      </c>
    </row>
    <row r="42" spans="1:3">
      <c r="A42" s="7" t="s">
        <v>2945</v>
      </c>
      <c r="B42" s="7" t="s">
        <v>2953</v>
      </c>
      <c r="C42" s="7" t="s">
        <v>2954</v>
      </c>
    </row>
    <row r="43" spans="1:3">
      <c r="A43" s="7" t="s">
        <v>2945</v>
      </c>
      <c r="B43" s="7" t="s">
        <v>920</v>
      </c>
      <c r="C43" s="7" t="s">
        <v>921</v>
      </c>
    </row>
    <row r="44" spans="1:3">
      <c r="A44" s="7" t="s">
        <v>2945</v>
      </c>
      <c r="B44" s="7" t="s">
        <v>922</v>
      </c>
      <c r="C44" s="7" t="s">
        <v>923</v>
      </c>
    </row>
    <row r="45" spans="1:3">
      <c r="A45" s="7" t="s">
        <v>2945</v>
      </c>
      <c r="B45" s="7" t="s">
        <v>924</v>
      </c>
      <c r="C45" s="7" t="s">
        <v>925</v>
      </c>
    </row>
    <row r="46" spans="1:3">
      <c r="A46" s="7" t="s">
        <v>2945</v>
      </c>
      <c r="B46" s="7" t="s">
        <v>926</v>
      </c>
      <c r="C46" s="7" t="s">
        <v>927</v>
      </c>
    </row>
    <row r="47" spans="1:3">
      <c r="A47" s="7" t="s">
        <v>2945</v>
      </c>
      <c r="B47" s="7" t="s">
        <v>928</v>
      </c>
      <c r="C47" s="7" t="s">
        <v>929</v>
      </c>
    </row>
    <row r="48" spans="1:3">
      <c r="A48" s="7" t="s">
        <v>2945</v>
      </c>
      <c r="B48" s="7" t="s">
        <v>930</v>
      </c>
      <c r="C48" s="7" t="s">
        <v>931</v>
      </c>
    </row>
    <row r="49" spans="1:3">
      <c r="A49" s="7" t="s">
        <v>2945</v>
      </c>
      <c r="B49" s="7" t="s">
        <v>932</v>
      </c>
      <c r="C49" s="7" t="s">
        <v>933</v>
      </c>
    </row>
    <row r="50" spans="1:3">
      <c r="A50" s="7" t="s">
        <v>2945</v>
      </c>
      <c r="B50" s="7" t="s">
        <v>934</v>
      </c>
      <c r="C50" s="7" t="s">
        <v>935</v>
      </c>
    </row>
    <row r="51" spans="1:3">
      <c r="A51" s="7" t="s">
        <v>2945</v>
      </c>
      <c r="B51" s="7" t="s">
        <v>936</v>
      </c>
      <c r="C51" s="7" t="s">
        <v>937</v>
      </c>
    </row>
    <row r="52" spans="1:3">
      <c r="A52" s="7" t="s">
        <v>2945</v>
      </c>
      <c r="B52" s="7" t="s">
        <v>938</v>
      </c>
      <c r="C52" s="7" t="s">
        <v>939</v>
      </c>
    </row>
    <row r="53" spans="1:3">
      <c r="A53" s="7" t="s">
        <v>940</v>
      </c>
      <c r="B53" s="7" t="s">
        <v>942</v>
      </c>
      <c r="C53" s="7" t="s">
        <v>943</v>
      </c>
    </row>
    <row r="54" spans="1:3">
      <c r="A54" s="7" t="s">
        <v>940</v>
      </c>
      <c r="B54" s="7" t="s">
        <v>944</v>
      </c>
      <c r="C54" s="7" t="s">
        <v>945</v>
      </c>
    </row>
    <row r="55" spans="1:3">
      <c r="A55" s="7" t="s">
        <v>940</v>
      </c>
      <c r="B55" s="7" t="s">
        <v>946</v>
      </c>
      <c r="C55" s="7" t="s">
        <v>947</v>
      </c>
    </row>
    <row r="56" spans="1:3">
      <c r="A56" s="7" t="s">
        <v>940</v>
      </c>
      <c r="B56" s="7" t="s">
        <v>948</v>
      </c>
      <c r="C56" s="7" t="s">
        <v>949</v>
      </c>
    </row>
    <row r="57" spans="1:3">
      <c r="A57" s="7" t="s">
        <v>940</v>
      </c>
      <c r="B57" s="7" t="s">
        <v>940</v>
      </c>
      <c r="C57" s="7" t="s">
        <v>941</v>
      </c>
    </row>
    <row r="58" spans="1:3">
      <c r="A58" s="7" t="s">
        <v>940</v>
      </c>
      <c r="B58" s="7" t="s">
        <v>950</v>
      </c>
      <c r="C58" s="7" t="s">
        <v>951</v>
      </c>
    </row>
    <row r="59" spans="1:3">
      <c r="A59" s="7" t="s">
        <v>940</v>
      </c>
      <c r="B59" s="7" t="s">
        <v>952</v>
      </c>
      <c r="C59" s="7" t="s">
        <v>953</v>
      </c>
    </row>
    <row r="60" spans="1:3">
      <c r="A60" s="7" t="s">
        <v>940</v>
      </c>
      <c r="B60" s="7" t="s">
        <v>954</v>
      </c>
      <c r="C60" s="7" t="s">
        <v>955</v>
      </c>
    </row>
    <row r="61" spans="1:3">
      <c r="A61" s="7" t="s">
        <v>940</v>
      </c>
      <c r="B61" s="7" t="s">
        <v>956</v>
      </c>
      <c r="C61" s="7" t="s">
        <v>957</v>
      </c>
    </row>
    <row r="62" spans="1:3">
      <c r="A62" s="7" t="s">
        <v>940</v>
      </c>
      <c r="B62" s="7" t="s">
        <v>958</v>
      </c>
      <c r="C62" s="7" t="s">
        <v>959</v>
      </c>
    </row>
    <row r="63" spans="1:3">
      <c r="A63" s="7" t="s">
        <v>940</v>
      </c>
      <c r="B63" s="7" t="s">
        <v>960</v>
      </c>
      <c r="C63" s="7" t="s">
        <v>961</v>
      </c>
    </row>
    <row r="64" spans="1:3">
      <c r="A64" s="7" t="s">
        <v>940</v>
      </c>
      <c r="B64" s="7" t="s">
        <v>962</v>
      </c>
      <c r="C64" s="7" t="s">
        <v>963</v>
      </c>
    </row>
    <row r="65" spans="1:3">
      <c r="A65" s="7" t="s">
        <v>940</v>
      </c>
      <c r="B65" s="7" t="s">
        <v>964</v>
      </c>
      <c r="C65" s="7" t="s">
        <v>965</v>
      </c>
    </row>
    <row r="66" spans="1:3">
      <c r="A66" s="7" t="s">
        <v>940</v>
      </c>
      <c r="B66" s="7" t="s">
        <v>966</v>
      </c>
      <c r="C66" s="7" t="s">
        <v>967</v>
      </c>
    </row>
    <row r="67" spans="1:3">
      <c r="A67" s="7" t="s">
        <v>940</v>
      </c>
      <c r="B67" s="7" t="s">
        <v>968</v>
      </c>
      <c r="C67" s="7" t="s">
        <v>969</v>
      </c>
    </row>
    <row r="68" spans="1:3">
      <c r="A68" s="7" t="s">
        <v>940</v>
      </c>
      <c r="B68" s="7" t="s">
        <v>970</v>
      </c>
      <c r="C68" s="7" t="s">
        <v>971</v>
      </c>
    </row>
    <row r="69" spans="1:3">
      <c r="A69" s="7" t="s">
        <v>940</v>
      </c>
      <c r="B69" s="7" t="s">
        <v>972</v>
      </c>
      <c r="C69" s="7" t="s">
        <v>973</v>
      </c>
    </row>
    <row r="70" spans="1:3">
      <c r="A70" s="7" t="s">
        <v>940</v>
      </c>
      <c r="B70" s="7" t="s">
        <v>974</v>
      </c>
      <c r="C70" s="7" t="s">
        <v>975</v>
      </c>
    </row>
    <row r="71" spans="1:3">
      <c r="A71" s="7" t="s">
        <v>940</v>
      </c>
      <c r="B71" s="7" t="s">
        <v>976</v>
      </c>
      <c r="C71" s="7" t="s">
        <v>977</v>
      </c>
    </row>
    <row r="72" spans="1:3">
      <c r="A72" s="7" t="s">
        <v>940</v>
      </c>
      <c r="B72" s="7" t="s">
        <v>978</v>
      </c>
      <c r="C72" s="7" t="s">
        <v>979</v>
      </c>
    </row>
    <row r="73" spans="1:3">
      <c r="A73" s="7" t="s">
        <v>2879</v>
      </c>
      <c r="B73" s="7" t="s">
        <v>2879</v>
      </c>
      <c r="C73" s="7" t="s">
        <v>980</v>
      </c>
    </row>
    <row r="74" spans="1:3">
      <c r="A74" s="7" t="s">
        <v>981</v>
      </c>
      <c r="B74" s="7" t="s">
        <v>981</v>
      </c>
      <c r="C74" s="7" t="s">
        <v>982</v>
      </c>
    </row>
    <row r="75" spans="1:3">
      <c r="A75" s="7" t="s">
        <v>983</v>
      </c>
      <c r="B75" s="7" t="s">
        <v>983</v>
      </c>
      <c r="C75" s="7" t="s">
        <v>984</v>
      </c>
    </row>
    <row r="76" spans="1:3">
      <c r="A76" s="7" t="s">
        <v>983</v>
      </c>
      <c r="B76" s="7" t="s">
        <v>985</v>
      </c>
      <c r="C76" s="7" t="s">
        <v>984</v>
      </c>
    </row>
    <row r="77" spans="1:3">
      <c r="A77" s="7" t="s">
        <v>986</v>
      </c>
      <c r="B77" s="7" t="s">
        <v>986</v>
      </c>
      <c r="C77" s="7" t="s">
        <v>987</v>
      </c>
    </row>
    <row r="78" spans="1:3">
      <c r="A78" s="7" t="s">
        <v>988</v>
      </c>
      <c r="B78" s="7" t="s">
        <v>988</v>
      </c>
      <c r="C78" s="7" t="s">
        <v>989</v>
      </c>
    </row>
    <row r="79" spans="1:3">
      <c r="A79" s="7" t="s">
        <v>990</v>
      </c>
      <c r="B79" s="7" t="s">
        <v>990</v>
      </c>
      <c r="C79" s="7" t="s">
        <v>991</v>
      </c>
    </row>
    <row r="80" spans="1:3">
      <c r="A80" s="7" t="s">
        <v>990</v>
      </c>
      <c r="B80" s="7" t="s">
        <v>992</v>
      </c>
      <c r="C80" s="7" t="s">
        <v>991</v>
      </c>
    </row>
    <row r="81" spans="1:3">
      <c r="A81" s="7" t="s">
        <v>993</v>
      </c>
      <c r="B81" s="7" t="s">
        <v>995</v>
      </c>
      <c r="C81" s="7" t="s">
        <v>996</v>
      </c>
    </row>
    <row r="82" spans="1:3">
      <c r="A82" s="7" t="s">
        <v>993</v>
      </c>
      <c r="B82" s="7" t="s">
        <v>997</v>
      </c>
      <c r="C82" s="7" t="s">
        <v>998</v>
      </c>
    </row>
    <row r="83" spans="1:3">
      <c r="A83" s="7" t="s">
        <v>993</v>
      </c>
      <c r="B83" s="7" t="s">
        <v>999</v>
      </c>
      <c r="C83" s="7" t="s">
        <v>1000</v>
      </c>
    </row>
    <row r="84" spans="1:3">
      <c r="A84" s="7" t="s">
        <v>993</v>
      </c>
      <c r="B84" s="7" t="s">
        <v>1001</v>
      </c>
      <c r="C84" s="7" t="s">
        <v>1002</v>
      </c>
    </row>
    <row r="85" spans="1:3">
      <c r="A85" s="7" t="s">
        <v>993</v>
      </c>
      <c r="B85" s="7" t="s">
        <v>1003</v>
      </c>
      <c r="C85" s="7" t="s">
        <v>1004</v>
      </c>
    </row>
    <row r="86" spans="1:3">
      <c r="A86" s="7" t="s">
        <v>993</v>
      </c>
      <c r="B86" s="7" t="s">
        <v>1005</v>
      </c>
      <c r="C86" s="7" t="s">
        <v>1006</v>
      </c>
    </row>
    <row r="87" spans="1:3">
      <c r="A87" s="7" t="s">
        <v>993</v>
      </c>
      <c r="B87" s="7" t="s">
        <v>1007</v>
      </c>
      <c r="C87" s="7" t="s">
        <v>1008</v>
      </c>
    </row>
    <row r="88" spans="1:3">
      <c r="A88" s="7" t="s">
        <v>993</v>
      </c>
      <c r="B88" s="7" t="s">
        <v>1009</v>
      </c>
      <c r="C88" s="7" t="s">
        <v>1010</v>
      </c>
    </row>
    <row r="89" spans="1:3">
      <c r="A89" s="7" t="s">
        <v>993</v>
      </c>
      <c r="B89" s="7" t="s">
        <v>993</v>
      </c>
      <c r="C89" s="7" t="s">
        <v>994</v>
      </c>
    </row>
    <row r="90" spans="1:3">
      <c r="A90" s="7" t="s">
        <v>993</v>
      </c>
      <c r="B90" s="7" t="s">
        <v>1011</v>
      </c>
      <c r="C90" s="7" t="s">
        <v>994</v>
      </c>
    </row>
    <row r="91" spans="1:3">
      <c r="A91" s="7" t="s">
        <v>993</v>
      </c>
      <c r="B91" s="7" t="s">
        <v>1012</v>
      </c>
      <c r="C91" s="7" t="s">
        <v>1013</v>
      </c>
    </row>
    <row r="92" spans="1:3">
      <c r="A92" s="7" t="s">
        <v>993</v>
      </c>
      <c r="B92" s="7" t="s">
        <v>1014</v>
      </c>
      <c r="C92" s="7" t="s">
        <v>1015</v>
      </c>
    </row>
    <row r="93" spans="1:3">
      <c r="A93" s="7" t="s">
        <v>993</v>
      </c>
      <c r="B93" s="7" t="s">
        <v>1016</v>
      </c>
      <c r="C93" s="7" t="s">
        <v>1017</v>
      </c>
    </row>
    <row r="94" spans="1:3">
      <c r="A94" s="7" t="s">
        <v>993</v>
      </c>
      <c r="B94" s="7" t="s">
        <v>1018</v>
      </c>
      <c r="C94" s="7" t="s">
        <v>1019</v>
      </c>
    </row>
    <row r="95" spans="1:3">
      <c r="A95" s="7" t="s">
        <v>993</v>
      </c>
      <c r="B95" s="7" t="s">
        <v>1020</v>
      </c>
      <c r="C95" s="7" t="s">
        <v>1021</v>
      </c>
    </row>
    <row r="96" spans="1:3">
      <c r="A96" s="7" t="s">
        <v>993</v>
      </c>
      <c r="B96" s="7" t="s">
        <v>1022</v>
      </c>
      <c r="C96" s="7" t="s">
        <v>1023</v>
      </c>
    </row>
    <row r="97" spans="1:3">
      <c r="A97" s="7" t="s">
        <v>993</v>
      </c>
      <c r="B97" s="7" t="s">
        <v>1024</v>
      </c>
      <c r="C97" s="7" t="s">
        <v>1025</v>
      </c>
    </row>
    <row r="98" spans="1:3">
      <c r="A98" s="7" t="s">
        <v>993</v>
      </c>
      <c r="B98" s="7" t="s">
        <v>1026</v>
      </c>
      <c r="C98" s="7" t="s">
        <v>1027</v>
      </c>
    </row>
    <row r="99" spans="1:3">
      <c r="A99" s="7" t="s">
        <v>993</v>
      </c>
      <c r="B99" s="7" t="s">
        <v>1028</v>
      </c>
      <c r="C99" s="7" t="s">
        <v>1029</v>
      </c>
    </row>
    <row r="100" spans="1:3">
      <c r="A100" s="7" t="s">
        <v>993</v>
      </c>
      <c r="B100" s="7" t="s">
        <v>1030</v>
      </c>
      <c r="C100" s="7" t="s">
        <v>1031</v>
      </c>
    </row>
    <row r="101" spans="1:3">
      <c r="A101" s="7" t="s">
        <v>993</v>
      </c>
      <c r="B101" s="7" t="s">
        <v>1032</v>
      </c>
      <c r="C101" s="7" t="s">
        <v>1033</v>
      </c>
    </row>
    <row r="102" spans="1:3">
      <c r="A102" s="7" t="s">
        <v>993</v>
      </c>
      <c r="B102" s="7" t="s">
        <v>1034</v>
      </c>
      <c r="C102" s="7" t="s">
        <v>1035</v>
      </c>
    </row>
    <row r="103" spans="1:3">
      <c r="A103" s="7" t="s">
        <v>993</v>
      </c>
      <c r="B103" s="7" t="s">
        <v>1036</v>
      </c>
      <c r="C103" s="7" t="s">
        <v>1037</v>
      </c>
    </row>
    <row r="104" spans="1:3">
      <c r="A104" s="7" t="s">
        <v>1038</v>
      </c>
      <c r="B104" s="7" t="s">
        <v>1040</v>
      </c>
      <c r="C104" s="7" t="s">
        <v>1041</v>
      </c>
    </row>
    <row r="105" spans="1:3">
      <c r="A105" s="7" t="s">
        <v>1038</v>
      </c>
      <c r="B105" s="7" t="s">
        <v>1042</v>
      </c>
      <c r="C105" s="7" t="s">
        <v>1043</v>
      </c>
    </row>
    <row r="106" spans="1:3">
      <c r="A106" s="7" t="s">
        <v>1038</v>
      </c>
      <c r="B106" s="7" t="s">
        <v>1044</v>
      </c>
      <c r="C106" s="7" t="s">
        <v>1045</v>
      </c>
    </row>
    <row r="107" spans="1:3">
      <c r="A107" s="7" t="s">
        <v>1038</v>
      </c>
      <c r="B107" s="7" t="s">
        <v>1046</v>
      </c>
      <c r="C107" s="7" t="s">
        <v>1047</v>
      </c>
    </row>
    <row r="108" spans="1:3">
      <c r="A108" s="7" t="s">
        <v>1038</v>
      </c>
      <c r="B108" s="7" t="s">
        <v>1048</v>
      </c>
      <c r="C108" s="7" t="s">
        <v>1049</v>
      </c>
    </row>
    <row r="109" spans="1:3">
      <c r="A109" s="7" t="s">
        <v>1038</v>
      </c>
      <c r="B109" s="7" t="s">
        <v>1050</v>
      </c>
      <c r="C109" s="7" t="s">
        <v>1051</v>
      </c>
    </row>
    <row r="110" spans="1:3">
      <c r="A110" s="7" t="s">
        <v>1038</v>
      </c>
      <c r="B110" s="7" t="s">
        <v>1052</v>
      </c>
      <c r="C110" s="7" t="s">
        <v>1053</v>
      </c>
    </row>
    <row r="111" spans="1:3">
      <c r="A111" s="7" t="s">
        <v>1038</v>
      </c>
      <c r="B111" s="7" t="s">
        <v>1054</v>
      </c>
      <c r="C111" s="7" t="s">
        <v>1055</v>
      </c>
    </row>
    <row r="112" spans="1:3">
      <c r="A112" s="7" t="s">
        <v>1038</v>
      </c>
      <c r="B112" s="7" t="s">
        <v>1056</v>
      </c>
      <c r="C112" s="7" t="s">
        <v>1057</v>
      </c>
    </row>
    <row r="113" spans="1:3">
      <c r="A113" s="7" t="s">
        <v>1038</v>
      </c>
      <c r="B113" s="7" t="s">
        <v>1058</v>
      </c>
      <c r="C113" s="7" t="s">
        <v>1059</v>
      </c>
    </row>
    <row r="114" spans="1:3">
      <c r="A114" s="7" t="s">
        <v>1038</v>
      </c>
      <c r="B114" s="7" t="s">
        <v>1060</v>
      </c>
      <c r="C114" s="7" t="s">
        <v>1061</v>
      </c>
    </row>
    <row r="115" spans="1:3">
      <c r="A115" s="7" t="s">
        <v>1038</v>
      </c>
      <c r="B115" s="7" t="s">
        <v>1038</v>
      </c>
      <c r="C115" s="7" t="s">
        <v>1039</v>
      </c>
    </row>
    <row r="116" spans="1:3">
      <c r="A116" s="7" t="s">
        <v>1038</v>
      </c>
      <c r="B116" s="7" t="s">
        <v>1062</v>
      </c>
      <c r="C116" s="7" t="s">
        <v>1063</v>
      </c>
    </row>
    <row r="117" spans="1:3">
      <c r="A117" s="7" t="s">
        <v>1038</v>
      </c>
      <c r="B117" s="7" t="s">
        <v>1064</v>
      </c>
      <c r="C117" s="7" t="s">
        <v>1065</v>
      </c>
    </row>
    <row r="118" spans="1:3">
      <c r="A118" s="7" t="s">
        <v>1038</v>
      </c>
      <c r="B118" s="7" t="s">
        <v>1066</v>
      </c>
      <c r="C118" s="7" t="s">
        <v>1067</v>
      </c>
    </row>
    <row r="119" spans="1:3">
      <c r="A119" s="7" t="s">
        <v>1068</v>
      </c>
      <c r="B119" s="7" t="s">
        <v>1054</v>
      </c>
      <c r="C119" s="7" t="s">
        <v>1070</v>
      </c>
    </row>
    <row r="120" spans="1:3">
      <c r="A120" s="7" t="s">
        <v>1068</v>
      </c>
      <c r="B120" s="7" t="s">
        <v>1071</v>
      </c>
      <c r="C120" s="7" t="s">
        <v>1072</v>
      </c>
    </row>
    <row r="121" spans="1:3">
      <c r="A121" s="7" t="s">
        <v>1068</v>
      </c>
      <c r="B121" s="7" t="s">
        <v>1073</v>
      </c>
      <c r="C121" s="7" t="s">
        <v>1074</v>
      </c>
    </row>
    <row r="122" spans="1:3">
      <c r="A122" s="7" t="s">
        <v>1068</v>
      </c>
      <c r="B122" s="7" t="s">
        <v>1075</v>
      </c>
      <c r="C122" s="7" t="s">
        <v>1076</v>
      </c>
    </row>
    <row r="123" spans="1:3">
      <c r="A123" s="7" t="s">
        <v>1068</v>
      </c>
      <c r="B123" s="7" t="s">
        <v>1077</v>
      </c>
      <c r="C123" s="7" t="s">
        <v>1078</v>
      </c>
    </row>
    <row r="124" spans="1:3">
      <c r="A124" s="7" t="s">
        <v>1068</v>
      </c>
      <c r="B124" s="7" t="s">
        <v>1068</v>
      </c>
      <c r="C124" s="7" t="s">
        <v>1069</v>
      </c>
    </row>
    <row r="125" spans="1:3">
      <c r="A125" s="7" t="s">
        <v>1068</v>
      </c>
      <c r="B125" s="7" t="s">
        <v>1079</v>
      </c>
      <c r="C125" s="7" t="s">
        <v>1080</v>
      </c>
    </row>
    <row r="126" spans="1:3">
      <c r="A126" s="7" t="s">
        <v>1068</v>
      </c>
      <c r="B126" s="7" t="s">
        <v>1081</v>
      </c>
      <c r="C126" s="7" t="s">
        <v>1082</v>
      </c>
    </row>
    <row r="127" spans="1:3">
      <c r="A127" s="7" t="s">
        <v>1068</v>
      </c>
      <c r="B127" s="7" t="s">
        <v>1083</v>
      </c>
      <c r="C127" s="7" t="s">
        <v>1084</v>
      </c>
    </row>
    <row r="128" spans="1:3">
      <c r="A128" s="7" t="s">
        <v>1068</v>
      </c>
      <c r="B128" s="7" t="s">
        <v>1085</v>
      </c>
      <c r="C128" s="7" t="s">
        <v>1086</v>
      </c>
    </row>
    <row r="129" spans="1:3">
      <c r="A129" s="7" t="s">
        <v>1068</v>
      </c>
      <c r="B129" s="7" t="s">
        <v>1087</v>
      </c>
      <c r="C129" s="7" t="s">
        <v>1088</v>
      </c>
    </row>
    <row r="130" spans="1:3">
      <c r="A130" s="7" t="s">
        <v>1068</v>
      </c>
      <c r="B130" s="7" t="s">
        <v>1089</v>
      </c>
      <c r="C130" s="7" t="s">
        <v>1090</v>
      </c>
    </row>
    <row r="131" spans="1:3">
      <c r="A131" s="7" t="s">
        <v>1068</v>
      </c>
      <c r="B131" s="7" t="s">
        <v>1091</v>
      </c>
      <c r="C131" s="7" t="s">
        <v>1092</v>
      </c>
    </row>
    <row r="132" spans="1:3">
      <c r="A132" s="7" t="s">
        <v>1068</v>
      </c>
      <c r="B132" s="7" t="s">
        <v>1093</v>
      </c>
      <c r="C132" s="7" t="s">
        <v>1094</v>
      </c>
    </row>
    <row r="133" spans="1:3">
      <c r="A133" s="7" t="s">
        <v>1095</v>
      </c>
      <c r="B133" s="7" t="s">
        <v>1097</v>
      </c>
      <c r="C133" s="7" t="s">
        <v>1098</v>
      </c>
    </row>
    <row r="134" spans="1:3">
      <c r="A134" s="7" t="s">
        <v>1095</v>
      </c>
      <c r="B134" s="7" t="s">
        <v>1099</v>
      </c>
      <c r="C134" s="7" t="s">
        <v>1100</v>
      </c>
    </row>
    <row r="135" spans="1:3">
      <c r="A135" s="7" t="s">
        <v>1095</v>
      </c>
      <c r="B135" s="7" t="s">
        <v>1101</v>
      </c>
      <c r="C135" s="7" t="s">
        <v>1102</v>
      </c>
    </row>
    <row r="136" spans="1:3">
      <c r="A136" s="7" t="s">
        <v>1095</v>
      </c>
      <c r="B136" s="7" t="s">
        <v>1103</v>
      </c>
      <c r="C136" s="7" t="s">
        <v>1104</v>
      </c>
    </row>
    <row r="137" spans="1:3">
      <c r="A137" s="7" t="s">
        <v>1095</v>
      </c>
      <c r="B137" s="7" t="s">
        <v>1105</v>
      </c>
      <c r="C137" s="7" t="s">
        <v>1106</v>
      </c>
    </row>
    <row r="138" spans="1:3">
      <c r="A138" s="7" t="s">
        <v>1095</v>
      </c>
      <c r="B138" s="7" t="s">
        <v>1107</v>
      </c>
      <c r="C138" s="7" t="s">
        <v>1108</v>
      </c>
    </row>
    <row r="139" spans="1:3">
      <c r="A139" s="7" t="s">
        <v>1095</v>
      </c>
      <c r="B139" s="7" t="s">
        <v>1095</v>
      </c>
      <c r="C139" s="7" t="s">
        <v>1096</v>
      </c>
    </row>
    <row r="140" spans="1:3">
      <c r="A140" s="7" t="s">
        <v>1095</v>
      </c>
      <c r="B140" s="7" t="s">
        <v>1109</v>
      </c>
      <c r="C140" s="7" t="s">
        <v>1110</v>
      </c>
    </row>
    <row r="141" spans="1:3">
      <c r="A141" s="7" t="s">
        <v>1095</v>
      </c>
      <c r="B141" s="7" t="s">
        <v>1111</v>
      </c>
      <c r="C141" s="7" t="s">
        <v>1112</v>
      </c>
    </row>
    <row r="142" spans="1:3">
      <c r="A142" s="7" t="s">
        <v>1113</v>
      </c>
      <c r="B142" s="7" t="s">
        <v>1115</v>
      </c>
      <c r="C142" s="7" t="s">
        <v>1116</v>
      </c>
    </row>
    <row r="143" spans="1:3">
      <c r="A143" s="7" t="s">
        <v>1113</v>
      </c>
      <c r="B143" s="7" t="s">
        <v>1011</v>
      </c>
      <c r="C143" s="7" t="s">
        <v>1114</v>
      </c>
    </row>
    <row r="144" spans="1:3">
      <c r="A144" s="7" t="s">
        <v>1113</v>
      </c>
      <c r="B144" s="7" t="s">
        <v>1117</v>
      </c>
      <c r="C144" s="7" t="s">
        <v>1118</v>
      </c>
    </row>
    <row r="145" spans="1:3">
      <c r="A145" s="7" t="s">
        <v>1113</v>
      </c>
      <c r="B145" s="7" t="s">
        <v>1119</v>
      </c>
      <c r="C145" s="7" t="s">
        <v>1120</v>
      </c>
    </row>
    <row r="146" spans="1:3">
      <c r="A146" s="7" t="s">
        <v>1113</v>
      </c>
      <c r="B146" s="7" t="s">
        <v>1121</v>
      </c>
      <c r="C146" s="7" t="s">
        <v>1122</v>
      </c>
    </row>
    <row r="147" spans="1:3">
      <c r="A147" s="7" t="s">
        <v>1113</v>
      </c>
      <c r="B147" s="7" t="s">
        <v>1113</v>
      </c>
      <c r="C147" s="7" t="s">
        <v>1114</v>
      </c>
    </row>
    <row r="148" spans="1:3">
      <c r="A148" s="7" t="s">
        <v>1123</v>
      </c>
      <c r="B148" s="7" t="s">
        <v>1125</v>
      </c>
      <c r="C148" s="7" t="s">
        <v>1126</v>
      </c>
    </row>
    <row r="149" spans="1:3">
      <c r="A149" s="7" t="s">
        <v>1123</v>
      </c>
      <c r="B149" s="7" t="s">
        <v>1127</v>
      </c>
      <c r="C149" s="7" t="s">
        <v>1128</v>
      </c>
    </row>
    <row r="150" spans="1:3">
      <c r="A150" s="7" t="s">
        <v>1123</v>
      </c>
      <c r="B150" s="7" t="s">
        <v>1129</v>
      </c>
      <c r="C150" s="7" t="s">
        <v>1130</v>
      </c>
    </row>
    <row r="151" spans="1:3">
      <c r="A151" s="7" t="s">
        <v>1123</v>
      </c>
      <c r="B151" s="7" t="s">
        <v>1131</v>
      </c>
      <c r="C151" s="7" t="s">
        <v>1132</v>
      </c>
    </row>
    <row r="152" spans="1:3">
      <c r="A152" s="7" t="s">
        <v>1123</v>
      </c>
      <c r="B152" s="7" t="s">
        <v>1133</v>
      </c>
      <c r="C152" s="7" t="s">
        <v>1134</v>
      </c>
    </row>
    <row r="153" spans="1:3">
      <c r="A153" s="7" t="s">
        <v>1123</v>
      </c>
      <c r="B153" s="7" t="s">
        <v>1135</v>
      </c>
      <c r="C153" s="7" t="s">
        <v>1136</v>
      </c>
    </row>
    <row r="154" spans="1:3">
      <c r="A154" s="7" t="s">
        <v>1123</v>
      </c>
      <c r="B154" s="7" t="s">
        <v>1137</v>
      </c>
      <c r="C154" s="7" t="s">
        <v>1138</v>
      </c>
    </row>
    <row r="155" spans="1:3">
      <c r="A155" s="7" t="s">
        <v>1123</v>
      </c>
      <c r="B155" s="7" t="s">
        <v>1139</v>
      </c>
      <c r="C155" s="7" t="s">
        <v>1140</v>
      </c>
    </row>
    <row r="156" spans="1:3">
      <c r="A156" s="7" t="s">
        <v>1123</v>
      </c>
      <c r="B156" s="7" t="s">
        <v>1123</v>
      </c>
      <c r="C156" s="7" t="s">
        <v>1124</v>
      </c>
    </row>
    <row r="157" spans="1:3">
      <c r="A157" s="7" t="s">
        <v>1123</v>
      </c>
      <c r="B157" s="7" t="s">
        <v>1141</v>
      </c>
      <c r="C157" s="7" t="s">
        <v>1142</v>
      </c>
    </row>
    <row r="158" spans="1:3">
      <c r="A158" s="7" t="s">
        <v>1123</v>
      </c>
      <c r="B158" s="7" t="s">
        <v>1143</v>
      </c>
      <c r="C158" s="7" t="s">
        <v>1144</v>
      </c>
    </row>
    <row r="159" spans="1:3">
      <c r="A159" s="7" t="s">
        <v>1123</v>
      </c>
      <c r="B159" s="7" t="s">
        <v>1145</v>
      </c>
      <c r="C159" s="7" t="s">
        <v>1146</v>
      </c>
    </row>
    <row r="160" spans="1:3">
      <c r="A160" s="7" t="s">
        <v>1147</v>
      </c>
      <c r="B160" s="7" t="s">
        <v>1149</v>
      </c>
      <c r="C160" s="7" t="s">
        <v>1150</v>
      </c>
    </row>
    <row r="161" spans="1:3">
      <c r="A161" s="7" t="s">
        <v>1147</v>
      </c>
      <c r="B161" s="7" t="s">
        <v>1151</v>
      </c>
      <c r="C161" s="7" t="s">
        <v>1152</v>
      </c>
    </row>
    <row r="162" spans="1:3">
      <c r="A162" s="7" t="s">
        <v>1147</v>
      </c>
      <c r="B162" s="7" t="s">
        <v>1153</v>
      </c>
      <c r="C162" s="7" t="s">
        <v>1154</v>
      </c>
    </row>
    <row r="163" spans="1:3">
      <c r="A163" s="7" t="s">
        <v>1147</v>
      </c>
      <c r="B163" s="7" t="s">
        <v>1147</v>
      </c>
      <c r="C163" s="7" t="s">
        <v>1148</v>
      </c>
    </row>
    <row r="164" spans="1:3">
      <c r="A164" s="7" t="s">
        <v>1147</v>
      </c>
      <c r="B164" s="7" t="s">
        <v>1155</v>
      </c>
      <c r="C164" s="7" t="s">
        <v>1156</v>
      </c>
    </row>
    <row r="165" spans="1:3">
      <c r="A165" s="7" t="s">
        <v>1147</v>
      </c>
      <c r="B165" s="7" t="s">
        <v>1157</v>
      </c>
      <c r="C165" s="7" t="s">
        <v>1158</v>
      </c>
    </row>
    <row r="166" spans="1:3">
      <c r="A166" s="7" t="s">
        <v>1159</v>
      </c>
      <c r="B166" s="7" t="s">
        <v>1161</v>
      </c>
      <c r="C166" s="7" t="s">
        <v>1162</v>
      </c>
    </row>
    <row r="167" spans="1:3">
      <c r="A167" s="7" t="s">
        <v>1159</v>
      </c>
      <c r="B167" s="7" t="s">
        <v>1163</v>
      </c>
      <c r="C167" s="7" t="s">
        <v>1164</v>
      </c>
    </row>
    <row r="168" spans="1:3">
      <c r="A168" s="7" t="s">
        <v>1159</v>
      </c>
      <c r="B168" s="7" t="s">
        <v>1165</v>
      </c>
      <c r="C168" s="7" t="s">
        <v>1166</v>
      </c>
    </row>
    <row r="169" spans="1:3">
      <c r="A169" s="7" t="s">
        <v>1159</v>
      </c>
      <c r="B169" s="7" t="s">
        <v>1167</v>
      </c>
      <c r="C169" s="7" t="s">
        <v>1168</v>
      </c>
    </row>
    <row r="170" spans="1:3">
      <c r="A170" s="7" t="s">
        <v>1159</v>
      </c>
      <c r="B170" s="7" t="s">
        <v>1169</v>
      </c>
      <c r="C170" s="7" t="s">
        <v>1170</v>
      </c>
    </row>
    <row r="171" spans="1:3">
      <c r="A171" s="7" t="s">
        <v>1159</v>
      </c>
      <c r="B171" s="7" t="s">
        <v>1171</v>
      </c>
      <c r="C171" s="7" t="s">
        <v>1172</v>
      </c>
    </row>
    <row r="172" spans="1:3">
      <c r="A172" s="7" t="s">
        <v>1159</v>
      </c>
      <c r="B172" s="7" t="s">
        <v>1173</v>
      </c>
      <c r="C172" s="7" t="s">
        <v>1174</v>
      </c>
    </row>
    <row r="173" spans="1:3">
      <c r="A173" s="7" t="s">
        <v>1159</v>
      </c>
      <c r="B173" s="7" t="s">
        <v>1175</v>
      </c>
      <c r="C173" s="7" t="s">
        <v>1176</v>
      </c>
    </row>
    <row r="174" spans="1:3">
      <c r="A174" s="7" t="s">
        <v>1159</v>
      </c>
      <c r="B174" s="7" t="s">
        <v>1177</v>
      </c>
      <c r="C174" s="7" t="s">
        <v>1178</v>
      </c>
    </row>
    <row r="175" spans="1:3">
      <c r="A175" s="7" t="s">
        <v>1159</v>
      </c>
      <c r="B175" s="7" t="s">
        <v>1179</v>
      </c>
      <c r="C175" s="7" t="s">
        <v>1180</v>
      </c>
    </row>
    <row r="176" spans="1:3">
      <c r="A176" s="7" t="s">
        <v>1159</v>
      </c>
      <c r="B176" s="7" t="s">
        <v>1181</v>
      </c>
      <c r="C176" s="7" t="s">
        <v>1182</v>
      </c>
    </row>
    <row r="177" spans="1:3">
      <c r="A177" s="7" t="s">
        <v>1159</v>
      </c>
      <c r="B177" s="7" t="s">
        <v>1183</v>
      </c>
      <c r="C177" s="7" t="s">
        <v>1184</v>
      </c>
    </row>
    <row r="178" spans="1:3">
      <c r="A178" s="7" t="s">
        <v>1159</v>
      </c>
      <c r="B178" s="7" t="s">
        <v>1185</v>
      </c>
      <c r="C178" s="7" t="s">
        <v>1186</v>
      </c>
    </row>
    <row r="179" spans="1:3">
      <c r="A179" s="7" t="s">
        <v>1159</v>
      </c>
      <c r="B179" s="7" t="s">
        <v>1187</v>
      </c>
      <c r="C179" s="7" t="s">
        <v>1188</v>
      </c>
    </row>
    <row r="180" spans="1:3">
      <c r="A180" s="7" t="s">
        <v>1159</v>
      </c>
      <c r="B180" s="7" t="s">
        <v>1189</v>
      </c>
      <c r="C180" s="7" t="s">
        <v>1190</v>
      </c>
    </row>
    <row r="181" spans="1:3">
      <c r="A181" s="7" t="s">
        <v>1159</v>
      </c>
      <c r="B181" s="7" t="s">
        <v>1191</v>
      </c>
      <c r="C181" s="7" t="s">
        <v>1192</v>
      </c>
    </row>
    <row r="182" spans="1:3">
      <c r="A182" s="7" t="s">
        <v>1159</v>
      </c>
      <c r="B182" s="7" t="s">
        <v>1159</v>
      </c>
      <c r="C182" s="7" t="s">
        <v>1160</v>
      </c>
    </row>
    <row r="183" spans="1:3">
      <c r="A183" s="7" t="s">
        <v>1159</v>
      </c>
      <c r="B183" s="7" t="s">
        <v>1193</v>
      </c>
      <c r="C183" s="7" t="s">
        <v>1194</v>
      </c>
    </row>
    <row r="184" spans="1:3">
      <c r="A184" s="7" t="s">
        <v>1159</v>
      </c>
      <c r="B184" s="7" t="s">
        <v>1195</v>
      </c>
      <c r="C184" s="7" t="s">
        <v>1196</v>
      </c>
    </row>
    <row r="185" spans="1:3">
      <c r="A185" s="7" t="s">
        <v>1197</v>
      </c>
      <c r="B185" s="7" t="s">
        <v>1199</v>
      </c>
      <c r="C185" s="7" t="s">
        <v>1200</v>
      </c>
    </row>
    <row r="186" spans="1:3">
      <c r="A186" s="7" t="s">
        <v>1197</v>
      </c>
      <c r="B186" s="7" t="s">
        <v>1201</v>
      </c>
      <c r="C186" s="7" t="s">
        <v>1202</v>
      </c>
    </row>
    <row r="187" spans="1:3">
      <c r="A187" s="7" t="s">
        <v>1197</v>
      </c>
      <c r="B187" s="7" t="s">
        <v>1203</v>
      </c>
      <c r="C187" s="7" t="s">
        <v>1204</v>
      </c>
    </row>
    <row r="188" spans="1:3">
      <c r="A188" s="7" t="s">
        <v>1197</v>
      </c>
      <c r="B188" s="7" t="s">
        <v>1205</v>
      </c>
      <c r="C188" s="7" t="s">
        <v>1206</v>
      </c>
    </row>
    <row r="189" spans="1:3">
      <c r="A189" s="7" t="s">
        <v>1197</v>
      </c>
      <c r="B189" s="7" t="s">
        <v>1207</v>
      </c>
      <c r="C189" s="7" t="s">
        <v>1208</v>
      </c>
    </row>
    <row r="190" spans="1:3">
      <c r="A190" s="7" t="s">
        <v>1197</v>
      </c>
      <c r="B190" s="7" t="s">
        <v>1209</v>
      </c>
      <c r="C190" s="7" t="s">
        <v>1210</v>
      </c>
    </row>
    <row r="191" spans="1:3">
      <c r="A191" s="7" t="s">
        <v>1197</v>
      </c>
      <c r="B191" s="7" t="s">
        <v>1211</v>
      </c>
      <c r="C191" s="7" t="s">
        <v>1212</v>
      </c>
    </row>
    <row r="192" spans="1:3">
      <c r="A192" s="7" t="s">
        <v>1197</v>
      </c>
      <c r="B192" s="7" t="s">
        <v>1213</v>
      </c>
      <c r="C192" s="7" t="s">
        <v>1214</v>
      </c>
    </row>
    <row r="193" spans="1:3">
      <c r="A193" s="7" t="s">
        <v>1197</v>
      </c>
      <c r="B193" s="7" t="s">
        <v>1215</v>
      </c>
      <c r="C193" s="7" t="s">
        <v>1216</v>
      </c>
    </row>
    <row r="194" spans="1:3">
      <c r="A194" s="7" t="s">
        <v>1197</v>
      </c>
      <c r="B194" s="7" t="s">
        <v>1217</v>
      </c>
      <c r="C194" s="7" t="s">
        <v>1218</v>
      </c>
    </row>
    <row r="195" spans="1:3">
      <c r="A195" s="7" t="s">
        <v>1197</v>
      </c>
      <c r="B195" s="7" t="s">
        <v>1219</v>
      </c>
      <c r="C195" s="7" t="s">
        <v>1220</v>
      </c>
    </row>
    <row r="196" spans="1:3">
      <c r="A196" s="7" t="s">
        <v>1197</v>
      </c>
      <c r="B196" s="7" t="s">
        <v>1221</v>
      </c>
      <c r="C196" s="7" t="s">
        <v>1222</v>
      </c>
    </row>
    <row r="197" spans="1:3">
      <c r="A197" s="7" t="s">
        <v>1197</v>
      </c>
      <c r="B197" s="7" t="s">
        <v>1011</v>
      </c>
      <c r="C197" s="7" t="s">
        <v>1198</v>
      </c>
    </row>
    <row r="198" spans="1:3">
      <c r="A198" s="7" t="s">
        <v>1197</v>
      </c>
      <c r="B198" s="7" t="s">
        <v>1223</v>
      </c>
      <c r="C198" s="7" t="s">
        <v>1224</v>
      </c>
    </row>
    <row r="199" spans="1:3">
      <c r="A199" s="7" t="s">
        <v>1197</v>
      </c>
      <c r="B199" s="7" t="s">
        <v>1225</v>
      </c>
      <c r="C199" s="7" t="s">
        <v>1226</v>
      </c>
    </row>
    <row r="200" spans="1:3">
      <c r="A200" s="7" t="s">
        <v>1197</v>
      </c>
      <c r="B200" s="7" t="s">
        <v>1227</v>
      </c>
      <c r="C200" s="7" t="s">
        <v>1228</v>
      </c>
    </row>
    <row r="201" spans="1:3">
      <c r="A201" s="7" t="s">
        <v>1197</v>
      </c>
      <c r="B201" s="7" t="s">
        <v>1229</v>
      </c>
      <c r="C201" s="7" t="s">
        <v>1230</v>
      </c>
    </row>
    <row r="202" spans="1:3">
      <c r="A202" s="7" t="s">
        <v>1197</v>
      </c>
      <c r="B202" s="7" t="s">
        <v>1231</v>
      </c>
      <c r="C202" s="7" t="s">
        <v>1232</v>
      </c>
    </row>
    <row r="203" spans="1:3">
      <c r="A203" s="7" t="s">
        <v>1197</v>
      </c>
      <c r="B203" s="7" t="s">
        <v>1233</v>
      </c>
      <c r="C203" s="7" t="s">
        <v>1234</v>
      </c>
    </row>
    <row r="204" spans="1:3">
      <c r="A204" s="7" t="s">
        <v>1197</v>
      </c>
      <c r="B204" s="7" t="s">
        <v>1235</v>
      </c>
      <c r="C204" s="7" t="s">
        <v>1236</v>
      </c>
    </row>
    <row r="205" spans="1:3">
      <c r="A205" s="7" t="s">
        <v>1197</v>
      </c>
      <c r="B205" s="7" t="s">
        <v>1237</v>
      </c>
      <c r="C205" s="7" t="s">
        <v>1238</v>
      </c>
    </row>
    <row r="206" spans="1:3">
      <c r="A206" s="7" t="s">
        <v>1197</v>
      </c>
      <c r="B206" s="7" t="s">
        <v>1239</v>
      </c>
      <c r="C206" s="7" t="s">
        <v>1240</v>
      </c>
    </row>
    <row r="207" spans="1:3">
      <c r="A207" s="7" t="s">
        <v>1197</v>
      </c>
      <c r="B207" s="7" t="s">
        <v>1241</v>
      </c>
      <c r="C207" s="7" t="s">
        <v>1242</v>
      </c>
    </row>
    <row r="208" spans="1:3">
      <c r="A208" s="7" t="s">
        <v>1197</v>
      </c>
      <c r="B208" s="7" t="s">
        <v>1243</v>
      </c>
      <c r="C208" s="7" t="s">
        <v>1244</v>
      </c>
    </row>
    <row r="209" spans="1:3">
      <c r="A209" s="7" t="s">
        <v>1197</v>
      </c>
      <c r="B209" s="7" t="s">
        <v>1245</v>
      </c>
      <c r="C209" s="7" t="s">
        <v>1246</v>
      </c>
    </row>
    <row r="210" spans="1:3">
      <c r="A210" s="7" t="s">
        <v>1197</v>
      </c>
      <c r="B210" s="7" t="s">
        <v>1247</v>
      </c>
      <c r="C210" s="7" t="s">
        <v>1248</v>
      </c>
    </row>
    <row r="211" spans="1:3">
      <c r="A211" s="7" t="s">
        <v>1197</v>
      </c>
      <c r="B211" s="7" t="s">
        <v>1249</v>
      </c>
      <c r="C211" s="7" t="s">
        <v>1250</v>
      </c>
    </row>
    <row r="212" spans="1:3">
      <c r="A212" s="7" t="s">
        <v>1197</v>
      </c>
      <c r="B212" s="7" t="s">
        <v>1197</v>
      </c>
      <c r="C212" s="7" t="s">
        <v>1198</v>
      </c>
    </row>
    <row r="213" spans="1:3">
      <c r="A213" s="7" t="s">
        <v>1197</v>
      </c>
      <c r="B213" s="7" t="s">
        <v>1251</v>
      </c>
      <c r="C213" s="7" t="s">
        <v>1252</v>
      </c>
    </row>
    <row r="214" spans="1:3">
      <c r="A214" s="7" t="s">
        <v>1253</v>
      </c>
      <c r="B214" s="7" t="s">
        <v>1255</v>
      </c>
      <c r="C214" s="7" t="s">
        <v>1256</v>
      </c>
    </row>
    <row r="215" spans="1:3">
      <c r="A215" s="7" t="s">
        <v>1253</v>
      </c>
      <c r="B215" s="7" t="s">
        <v>1257</v>
      </c>
      <c r="C215" s="7" t="s">
        <v>1258</v>
      </c>
    </row>
    <row r="216" spans="1:3">
      <c r="A216" s="7" t="s">
        <v>1253</v>
      </c>
      <c r="B216" s="7" t="s">
        <v>1259</v>
      </c>
      <c r="C216" s="7" t="s">
        <v>1260</v>
      </c>
    </row>
    <row r="217" spans="1:3">
      <c r="A217" s="7" t="s">
        <v>1253</v>
      </c>
      <c r="B217" s="7" t="s">
        <v>1261</v>
      </c>
      <c r="C217" s="7" t="s">
        <v>1262</v>
      </c>
    </row>
    <row r="218" spans="1:3">
      <c r="A218" s="7" t="s">
        <v>1253</v>
      </c>
      <c r="B218" s="7" t="s">
        <v>1263</v>
      </c>
      <c r="C218" s="7" t="s">
        <v>1264</v>
      </c>
    </row>
    <row r="219" spans="1:3">
      <c r="A219" s="7" t="s">
        <v>1253</v>
      </c>
      <c r="B219" s="7" t="s">
        <v>1265</v>
      </c>
      <c r="C219" s="7" t="s">
        <v>1266</v>
      </c>
    </row>
    <row r="220" spans="1:3">
      <c r="A220" s="7" t="s">
        <v>1253</v>
      </c>
      <c r="B220" s="7" t="s">
        <v>1267</v>
      </c>
      <c r="C220" s="7" t="s">
        <v>1268</v>
      </c>
    </row>
    <row r="221" spans="1:3">
      <c r="A221" s="7" t="s">
        <v>1253</v>
      </c>
      <c r="B221" s="7" t="s">
        <v>1269</v>
      </c>
      <c r="C221" s="7" t="s">
        <v>1270</v>
      </c>
    </row>
    <row r="222" spans="1:3">
      <c r="A222" s="7" t="s">
        <v>1253</v>
      </c>
      <c r="B222" s="7" t="s">
        <v>1271</v>
      </c>
      <c r="C222" s="7" t="s">
        <v>1272</v>
      </c>
    </row>
    <row r="223" spans="1:3">
      <c r="A223" s="7" t="s">
        <v>1253</v>
      </c>
      <c r="B223" s="7" t="s">
        <v>1273</v>
      </c>
      <c r="C223" s="7" t="s">
        <v>1274</v>
      </c>
    </row>
    <row r="224" spans="1:3">
      <c r="A224" s="7" t="s">
        <v>1253</v>
      </c>
      <c r="B224" s="7" t="s">
        <v>1275</v>
      </c>
      <c r="C224" s="7" t="s">
        <v>1276</v>
      </c>
    </row>
    <row r="225" spans="1:3">
      <c r="A225" s="7" t="s">
        <v>1253</v>
      </c>
      <c r="B225" s="7" t="s">
        <v>1277</v>
      </c>
      <c r="C225" s="7" t="s">
        <v>1278</v>
      </c>
    </row>
    <row r="226" spans="1:3">
      <c r="A226" s="7" t="s">
        <v>1253</v>
      </c>
      <c r="B226" s="7" t="s">
        <v>1279</v>
      </c>
      <c r="C226" s="7" t="s">
        <v>1280</v>
      </c>
    </row>
    <row r="227" spans="1:3">
      <c r="A227" s="7" t="s">
        <v>1253</v>
      </c>
      <c r="B227" s="7" t="s">
        <v>1281</v>
      </c>
      <c r="C227" s="7" t="s">
        <v>1282</v>
      </c>
    </row>
    <row r="228" spans="1:3">
      <c r="A228" s="7" t="s">
        <v>1253</v>
      </c>
      <c r="B228" s="7" t="s">
        <v>1283</v>
      </c>
      <c r="C228" s="7" t="s">
        <v>1284</v>
      </c>
    </row>
    <row r="229" spans="1:3">
      <c r="A229" s="7" t="s">
        <v>1253</v>
      </c>
      <c r="B229" s="7" t="s">
        <v>1285</v>
      </c>
      <c r="C229" s="7" t="s">
        <v>1286</v>
      </c>
    </row>
    <row r="230" spans="1:3">
      <c r="A230" s="7" t="s">
        <v>1253</v>
      </c>
      <c r="B230" s="7" t="s">
        <v>1287</v>
      </c>
      <c r="C230" s="7" t="s">
        <v>1288</v>
      </c>
    </row>
    <row r="231" spans="1:3">
      <c r="A231" s="7" t="s">
        <v>1253</v>
      </c>
      <c r="B231" s="7" t="s">
        <v>1289</v>
      </c>
      <c r="C231" s="7" t="s">
        <v>1290</v>
      </c>
    </row>
    <row r="232" spans="1:3">
      <c r="A232" s="7" t="s">
        <v>1253</v>
      </c>
      <c r="B232" s="7" t="s">
        <v>1291</v>
      </c>
      <c r="C232" s="7" t="s">
        <v>1292</v>
      </c>
    </row>
    <row r="233" spans="1:3">
      <c r="A233" s="7" t="s">
        <v>1253</v>
      </c>
      <c r="B233" s="7" t="s">
        <v>1293</v>
      </c>
      <c r="C233" s="7" t="s">
        <v>1294</v>
      </c>
    </row>
    <row r="234" spans="1:3">
      <c r="A234" s="7" t="s">
        <v>1253</v>
      </c>
      <c r="B234" s="7" t="s">
        <v>1253</v>
      </c>
      <c r="C234" s="7" t="s">
        <v>1254</v>
      </c>
    </row>
    <row r="235" spans="1:3">
      <c r="A235" s="7" t="s">
        <v>1253</v>
      </c>
      <c r="B235" s="7" t="s">
        <v>1295</v>
      </c>
      <c r="C235" s="7" t="s">
        <v>1296</v>
      </c>
    </row>
    <row r="236" spans="1:3">
      <c r="A236" s="7" t="s">
        <v>1297</v>
      </c>
      <c r="B236" s="7" t="s">
        <v>1299</v>
      </c>
      <c r="C236" s="7" t="s">
        <v>1300</v>
      </c>
    </row>
    <row r="237" spans="1:3">
      <c r="A237" s="7" t="s">
        <v>1297</v>
      </c>
      <c r="B237" s="7" t="s">
        <v>1301</v>
      </c>
      <c r="C237" s="7" t="s">
        <v>1302</v>
      </c>
    </row>
    <row r="238" spans="1:3">
      <c r="A238" s="7" t="s">
        <v>1297</v>
      </c>
      <c r="B238" s="7" t="s">
        <v>1303</v>
      </c>
      <c r="C238" s="7" t="s">
        <v>1304</v>
      </c>
    </row>
    <row r="239" spans="1:3">
      <c r="A239" s="7" t="s">
        <v>1297</v>
      </c>
      <c r="B239" s="7" t="s">
        <v>1305</v>
      </c>
      <c r="C239" s="7" t="s">
        <v>1306</v>
      </c>
    </row>
    <row r="240" spans="1:3">
      <c r="A240" s="7" t="s">
        <v>1297</v>
      </c>
      <c r="B240" s="7" t="s">
        <v>1307</v>
      </c>
      <c r="C240" s="7" t="s">
        <v>1308</v>
      </c>
    </row>
    <row r="241" spans="1:3">
      <c r="A241" s="7" t="s">
        <v>1297</v>
      </c>
      <c r="B241" s="7" t="s">
        <v>1297</v>
      </c>
      <c r="C241" s="7" t="s">
        <v>1298</v>
      </c>
    </row>
  </sheetData>
  <sheetProtection formatColumns="0" formatRows="0"/>
  <phoneticPr fontId="21" type="noConversion"/>
  <pageMargins left="0.75" right="0.75" top="1" bottom="1" header="0.5" footer="0.5"/>
  <headerFooter alignWithMargins="0"/>
</worksheet>
</file>

<file path=xl/worksheets/sheet69.xml><?xml version="1.0" encoding="utf-8"?>
<worksheet xmlns="http://schemas.openxmlformats.org/spreadsheetml/2006/main" xmlns:r="http://schemas.openxmlformats.org/officeDocument/2006/relationships">
  <sheetPr codeName="PLAN1X_AUTHORISATION">
    <tabColor indexed="47"/>
  </sheetPr>
  <dimension ref="A1:A2"/>
  <sheetViews>
    <sheetView workbookViewId="0"/>
  </sheetViews>
  <sheetFormatPr defaultRowHeight="11.25"/>
  <cols>
    <col min="1" max="16384" width="9.140625" style="7"/>
  </cols>
  <sheetData>
    <row r="1" spans="1:1">
      <c r="A1" s="7" t="s">
        <v>2539</v>
      </c>
    </row>
    <row r="2" spans="1:1">
      <c r="A2" s="7" t="s">
        <v>117</v>
      </c>
    </row>
  </sheetData>
  <sheetProtection formatColumns="0" formatRows="0"/>
  <phoneticPr fontId="8"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sheetPr codeName="TECH_HORISONTAL">
    <tabColor indexed="47"/>
  </sheetPr>
  <dimension ref="A1:EX507"/>
  <sheetViews>
    <sheetView workbookViewId="0"/>
  </sheetViews>
  <sheetFormatPr defaultRowHeight="11.25"/>
  <cols>
    <col min="1" max="2" width="15.7109375" style="57" customWidth="1"/>
    <col min="3" max="3" width="4.7109375" style="57" customWidth="1"/>
    <col min="4" max="5" width="4.7109375" customWidth="1"/>
    <col min="6" max="6" width="5.7109375" style="57" customWidth="1"/>
    <col min="7" max="7" width="9.140625" style="57"/>
    <col min="8" max="8" width="37.7109375" style="57" customWidth="1"/>
    <col min="9" max="9" width="25.7109375" style="57" customWidth="1"/>
    <col min="10" max="10" width="17.7109375" style="57" customWidth="1"/>
    <col min="11" max="13" width="3.5703125" style="57" customWidth="1"/>
    <col min="14" max="14" width="9.85546875" style="57" customWidth="1"/>
    <col min="15" max="24" width="3.5703125" style="57" customWidth="1"/>
    <col min="25" max="90" width="9.140625" style="57"/>
    <col min="91" max="96" width="9.7109375" style="57" customWidth="1"/>
    <col min="97" max="104" width="1.7109375" style="57" customWidth="1"/>
    <col min="105" max="16384" width="9.140625" style="57"/>
  </cols>
  <sheetData>
    <row r="1" spans="1:55" s="121" customFormat="1">
      <c r="D1"/>
      <c r="E1"/>
    </row>
    <row r="2" spans="1:55" s="121" customFormat="1">
      <c r="D2"/>
      <c r="E2"/>
    </row>
    <row r="3" spans="1:55" s="121" customFormat="1">
      <c r="A3" s="861" t="s">
        <v>2780</v>
      </c>
      <c r="B3" s="861"/>
      <c r="D3"/>
      <c r="E3"/>
    </row>
    <row r="4" spans="1:55" s="35" customFormat="1" ht="12" customHeight="1">
      <c r="A4" s="34"/>
      <c r="B4" s="32"/>
      <c r="C4" s="32"/>
      <c r="D4"/>
      <c r="E4" s="143"/>
      <c r="F4" s="791" t="s">
        <v>641</v>
      </c>
      <c r="G4" s="791" t="s">
        <v>698</v>
      </c>
      <c r="H4" s="791" t="s">
        <v>699</v>
      </c>
      <c r="I4" s="790" t="s">
        <v>700</v>
      </c>
      <c r="J4" s="771" t="s">
        <v>1696</v>
      </c>
      <c r="K4" s="785" t="s">
        <v>839</v>
      </c>
      <c r="L4" s="789" t="s">
        <v>701</v>
      </c>
      <c r="M4" s="793" t="s">
        <v>705</v>
      </c>
      <c r="N4" s="771" t="s">
        <v>704</v>
      </c>
      <c r="O4" s="771" t="s">
        <v>2743</v>
      </c>
      <c r="P4" s="771" t="s">
        <v>2744</v>
      </c>
      <c r="Q4" s="771"/>
      <c r="R4" s="771"/>
      <c r="S4" s="771"/>
      <c r="T4" s="791">
        <f>TEMPLATE_SPHERE_OKK_SOURCE</f>
        <v>0</v>
      </c>
      <c r="U4" s="791"/>
      <c r="V4" s="771"/>
      <c r="W4" s="771"/>
      <c r="X4" s="771"/>
      <c r="Y4" s="771" t="s">
        <v>618</v>
      </c>
      <c r="Z4" s="771"/>
      <c r="AA4" s="771"/>
      <c r="AB4" s="772" t="s">
        <v>702</v>
      </c>
      <c r="AC4" s="771"/>
      <c r="AD4" s="771" t="s">
        <v>703</v>
      </c>
      <c r="AE4" s="771" t="s">
        <v>706</v>
      </c>
      <c r="AF4" s="771"/>
      <c r="AG4" s="771" t="s">
        <v>617</v>
      </c>
      <c r="AH4" s="771" t="s">
        <v>1723</v>
      </c>
      <c r="AI4" s="772" t="s">
        <v>702</v>
      </c>
      <c r="AJ4" s="771" t="s">
        <v>2738</v>
      </c>
      <c r="AK4" s="771" t="s">
        <v>703</v>
      </c>
      <c r="AL4" s="771"/>
      <c r="AM4" s="771"/>
      <c r="AN4" s="771"/>
      <c r="AO4" s="771"/>
      <c r="AP4" s="771"/>
      <c r="AQ4" s="771"/>
      <c r="AR4" s="771" t="s">
        <v>703</v>
      </c>
      <c r="AS4" s="771"/>
      <c r="AT4" s="771"/>
      <c r="AU4" s="771"/>
      <c r="AV4" s="771"/>
      <c r="AW4" s="771"/>
      <c r="AX4" s="771"/>
      <c r="AY4" s="771"/>
      <c r="AZ4" s="785" t="s">
        <v>717</v>
      </c>
      <c r="BA4" s="786"/>
      <c r="BB4" s="786"/>
      <c r="BC4" s="787"/>
    </row>
    <row r="5" spans="1:55" s="35" customFormat="1" ht="24" customHeight="1">
      <c r="A5" s="34"/>
      <c r="B5" s="32"/>
      <c r="C5" s="32"/>
      <c r="D5"/>
      <c r="E5" s="150"/>
      <c r="F5" s="791"/>
      <c r="G5" s="791"/>
      <c r="H5" s="791"/>
      <c r="I5" s="790"/>
      <c r="J5" s="771"/>
      <c r="K5" s="785"/>
      <c r="L5" s="789"/>
      <c r="M5" s="793"/>
      <c r="N5" s="771"/>
      <c r="O5" s="771"/>
      <c r="P5" s="771"/>
      <c r="Q5" s="771"/>
      <c r="R5" s="771"/>
      <c r="S5" s="771"/>
      <c r="T5" s="401" t="s">
        <v>2740</v>
      </c>
      <c r="U5" s="76" t="s">
        <v>2741</v>
      </c>
      <c r="V5" s="771"/>
      <c r="W5" s="771"/>
      <c r="X5" s="771"/>
      <c r="Y5" s="771"/>
      <c r="Z5" s="771"/>
      <c r="AA5" s="771"/>
      <c r="AB5" s="772"/>
      <c r="AC5" s="771"/>
      <c r="AD5" s="771"/>
      <c r="AE5" s="402" t="s">
        <v>707</v>
      </c>
      <c r="AF5" s="402" t="s">
        <v>708</v>
      </c>
      <c r="AG5" s="771"/>
      <c r="AH5" s="771"/>
      <c r="AI5" s="772"/>
      <c r="AJ5" s="771"/>
      <c r="AK5" s="771"/>
      <c r="AL5" s="771"/>
      <c r="AM5" s="771"/>
      <c r="AN5" s="771"/>
      <c r="AO5" s="771"/>
      <c r="AP5" s="771"/>
      <c r="AQ5" s="771"/>
      <c r="AR5" s="771"/>
      <c r="AS5" s="771"/>
      <c r="AT5" s="771"/>
      <c r="AU5" s="771"/>
      <c r="AV5" s="771"/>
      <c r="AW5" s="771"/>
      <c r="AX5" s="771"/>
      <c r="AY5" s="771"/>
      <c r="AZ5" s="76" t="s">
        <v>718</v>
      </c>
      <c r="BA5" s="76" t="s">
        <v>650</v>
      </c>
      <c r="BB5" s="76" t="s">
        <v>651</v>
      </c>
      <c r="BC5" s="76" t="s">
        <v>680</v>
      </c>
    </row>
    <row r="6" spans="1:55" s="32" customFormat="1">
      <c r="A6" s="34"/>
      <c r="D6"/>
      <c r="E6" s="150"/>
      <c r="F6" s="131"/>
      <c r="G6" s="132"/>
      <c r="H6" s="132"/>
      <c r="I6" s="132"/>
      <c r="J6" s="132"/>
      <c r="K6" s="132"/>
      <c r="L6" s="133"/>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row>
    <row r="7" spans="1:55" s="35" customFormat="1" ht="36" customHeight="1">
      <c r="A7" s="34">
        <v>5</v>
      </c>
      <c r="B7" s="32"/>
      <c r="C7" s="32"/>
      <c r="D7" s="307" t="s">
        <v>709</v>
      </c>
      <c r="E7" s="425" t="s">
        <v>1726</v>
      </c>
      <c r="F7" s="306"/>
      <c r="G7" s="306"/>
      <c r="H7" s="306"/>
      <c r="I7" s="306"/>
      <c r="J7" s="306"/>
      <c r="K7" s="306"/>
      <c r="L7" s="306"/>
      <c r="M7" s="306"/>
      <c r="N7" s="306"/>
      <c r="O7" s="648"/>
      <c r="P7" s="648"/>
      <c r="Q7" s="648"/>
      <c r="R7" s="648"/>
      <c r="S7" s="648"/>
      <c r="T7" s="648"/>
      <c r="U7" s="648"/>
      <c r="V7" s="648"/>
      <c r="W7" s="648"/>
      <c r="X7" s="648"/>
      <c r="Y7" s="649"/>
      <c r="Z7" s="650"/>
      <c r="AA7" s="650"/>
      <c r="AB7" s="306"/>
      <c r="AC7" s="648"/>
      <c r="AD7" s="306"/>
      <c r="AE7" s="306"/>
      <c r="AF7" s="306"/>
      <c r="AG7" s="306"/>
      <c r="AH7" s="306"/>
      <c r="AI7" s="306"/>
      <c r="AJ7" s="306"/>
      <c r="AK7" s="306"/>
      <c r="AL7" s="648"/>
      <c r="AM7" s="648"/>
      <c r="AN7" s="648"/>
      <c r="AO7" s="648"/>
      <c r="AP7" s="648"/>
      <c r="AQ7" s="648"/>
      <c r="AR7" s="306" t="s">
        <v>714</v>
      </c>
      <c r="AS7" s="648"/>
      <c r="AT7" s="648"/>
      <c r="AU7" s="648"/>
      <c r="AV7" s="648"/>
      <c r="AW7" s="648"/>
      <c r="AX7" s="648"/>
      <c r="AY7" s="648"/>
      <c r="AZ7" s="651"/>
      <c r="BA7" s="651"/>
      <c r="BB7" s="651"/>
      <c r="BC7" s="651"/>
    </row>
    <row r="8" spans="1:55" customFormat="1" ht="36" customHeight="1"/>
    <row r="9" spans="1:55" customFormat="1">
      <c r="A9" s="861" t="s">
        <v>3140</v>
      </c>
      <c r="B9" s="861"/>
    </row>
    <row r="10" spans="1:55" s="35" customFormat="1" ht="12" customHeight="1">
      <c r="A10" s="34"/>
      <c r="B10" s="32"/>
      <c r="C10" s="32"/>
      <c r="D10"/>
      <c r="E10"/>
      <c r="F10" s="791" t="s">
        <v>641</v>
      </c>
      <c r="G10" s="791" t="s">
        <v>698</v>
      </c>
      <c r="H10" s="791" t="s">
        <v>699</v>
      </c>
      <c r="I10" s="790" t="s">
        <v>700</v>
      </c>
      <c r="J10" s="771" t="s">
        <v>1696</v>
      </c>
      <c r="K10" s="785" t="s">
        <v>839</v>
      </c>
      <c r="L10" s="789" t="s">
        <v>701</v>
      </c>
      <c r="M10" s="793" t="s">
        <v>705</v>
      </c>
      <c r="N10" s="771" t="s">
        <v>704</v>
      </c>
      <c r="O10" s="771" t="s">
        <v>2743</v>
      </c>
      <c r="P10" s="771" t="s">
        <v>2744</v>
      </c>
      <c r="Q10" s="771"/>
      <c r="R10" s="771"/>
      <c r="S10" s="771"/>
      <c r="T10" s="791">
        <f>TEMPLATE_SPHERE_OKK_SOURCE</f>
        <v>0</v>
      </c>
      <c r="U10" s="791"/>
      <c r="V10" s="771"/>
      <c r="W10" s="771"/>
      <c r="X10" s="771"/>
      <c r="Y10" s="771" t="s">
        <v>618</v>
      </c>
      <c r="Z10" s="771"/>
      <c r="AA10" s="771"/>
      <c r="AB10" s="772" t="s">
        <v>702</v>
      </c>
      <c r="AC10" s="771"/>
      <c r="AD10" s="771" t="s">
        <v>703</v>
      </c>
      <c r="AE10" s="771" t="s">
        <v>706</v>
      </c>
      <c r="AF10" s="771"/>
      <c r="AG10" s="771" t="s">
        <v>617</v>
      </c>
      <c r="AH10" s="771" t="s">
        <v>1723</v>
      </c>
      <c r="AI10" s="772" t="s">
        <v>702</v>
      </c>
      <c r="AJ10" s="771" t="s">
        <v>2738</v>
      </c>
      <c r="AK10" s="771" t="s">
        <v>703</v>
      </c>
      <c r="AL10" s="771"/>
      <c r="AM10" s="771"/>
      <c r="AN10" s="771"/>
      <c r="AO10" s="771"/>
      <c r="AP10" s="771"/>
      <c r="AQ10" s="771"/>
      <c r="AR10" s="771" t="s">
        <v>703</v>
      </c>
      <c r="AS10" s="771"/>
      <c r="AT10" s="771"/>
      <c r="AU10" s="771"/>
      <c r="AV10" s="771"/>
      <c r="AW10" s="771"/>
      <c r="AX10" s="771"/>
      <c r="AY10" s="771"/>
      <c r="AZ10" s="785" t="s">
        <v>717</v>
      </c>
      <c r="BA10" s="786"/>
      <c r="BB10" s="786"/>
      <c r="BC10" s="787"/>
    </row>
    <row r="11" spans="1:55" s="35" customFormat="1" ht="24" customHeight="1">
      <c r="A11" s="34"/>
      <c r="B11" s="32"/>
      <c r="C11" s="32"/>
      <c r="D11"/>
      <c r="E11"/>
      <c r="F11" s="791"/>
      <c r="G11" s="791"/>
      <c r="H11" s="791"/>
      <c r="I11" s="790"/>
      <c r="J11" s="771"/>
      <c r="K11" s="785"/>
      <c r="L11" s="789"/>
      <c r="M11" s="793"/>
      <c r="N11" s="771"/>
      <c r="O11" s="771"/>
      <c r="P11" s="771"/>
      <c r="Q11" s="771"/>
      <c r="R11" s="771"/>
      <c r="S11" s="771"/>
      <c r="T11" s="401" t="s">
        <v>2740</v>
      </c>
      <c r="U11" s="76" t="s">
        <v>2741</v>
      </c>
      <c r="V11" s="771"/>
      <c r="W11" s="771"/>
      <c r="X11" s="771"/>
      <c r="Y11" s="771"/>
      <c r="Z11" s="771"/>
      <c r="AA11" s="771"/>
      <c r="AB11" s="772"/>
      <c r="AC11" s="771"/>
      <c r="AD11" s="771"/>
      <c r="AE11" s="402" t="s">
        <v>707</v>
      </c>
      <c r="AF11" s="402" t="s">
        <v>708</v>
      </c>
      <c r="AG11" s="771"/>
      <c r="AH11" s="771"/>
      <c r="AI11" s="772"/>
      <c r="AJ11" s="771"/>
      <c r="AK11" s="771"/>
      <c r="AL11" s="771"/>
      <c r="AM11" s="771"/>
      <c r="AN11" s="771"/>
      <c r="AO11" s="771"/>
      <c r="AP11" s="771"/>
      <c r="AQ11" s="771"/>
      <c r="AR11" s="771"/>
      <c r="AS11" s="771"/>
      <c r="AT11" s="771"/>
      <c r="AU11" s="771"/>
      <c r="AV11" s="771"/>
      <c r="AW11" s="771"/>
      <c r="AX11" s="771"/>
      <c r="AY11" s="771"/>
      <c r="AZ11" s="76" t="s">
        <v>718</v>
      </c>
      <c r="BA11" s="76" t="s">
        <v>650</v>
      </c>
      <c r="BB11" s="76" t="s">
        <v>651</v>
      </c>
      <c r="BC11" s="76" t="s">
        <v>680</v>
      </c>
    </row>
    <row r="12" spans="1:55" s="32" customFormat="1">
      <c r="A12" s="34"/>
      <c r="D12"/>
      <c r="E12"/>
      <c r="F12" s="131"/>
      <c r="G12" s="132"/>
      <c r="H12" s="132"/>
      <c r="I12" s="132"/>
      <c r="J12" s="132"/>
      <c r="K12" s="132"/>
      <c r="L12" s="133"/>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row>
    <row r="13" spans="1:55" s="35" customFormat="1" ht="36" customHeight="1">
      <c r="A13" s="34">
        <v>5</v>
      </c>
      <c r="B13" s="32"/>
      <c r="C13" s="32"/>
      <c r="D13" s="307" t="s">
        <v>709</v>
      </c>
      <c r="E13" s="425" t="s">
        <v>1726</v>
      </c>
      <c r="F13" s="306"/>
      <c r="G13" s="306"/>
      <c r="H13" s="306"/>
      <c r="I13" s="306"/>
      <c r="J13" s="306"/>
      <c r="K13" s="306"/>
      <c r="L13" s="306"/>
      <c r="M13" s="306"/>
      <c r="N13" s="306"/>
      <c r="O13" s="648"/>
      <c r="P13" s="648"/>
      <c r="Q13" s="648"/>
      <c r="R13" s="648"/>
      <c r="S13" s="648"/>
      <c r="T13" s="648"/>
      <c r="U13" s="648"/>
      <c r="V13" s="648"/>
      <c r="W13" s="648"/>
      <c r="X13" s="648"/>
      <c r="Y13" s="649"/>
      <c r="Z13" s="650"/>
      <c r="AA13" s="650"/>
      <c r="AB13" s="306"/>
      <c r="AC13" s="648"/>
      <c r="AD13" s="306"/>
      <c r="AE13" s="306"/>
      <c r="AF13" s="306"/>
      <c r="AG13" s="306"/>
      <c r="AH13" s="306"/>
      <c r="AI13" s="306"/>
      <c r="AJ13" s="306"/>
      <c r="AK13" s="306"/>
      <c r="AL13" s="648"/>
      <c r="AM13" s="648"/>
      <c r="AN13" s="648"/>
      <c r="AO13" s="648"/>
      <c r="AP13" s="648"/>
      <c r="AQ13" s="648"/>
      <c r="AR13" s="306"/>
      <c r="AS13" s="648"/>
      <c r="AT13" s="648"/>
      <c r="AU13" s="648"/>
      <c r="AV13" s="648"/>
      <c r="AW13" s="648"/>
      <c r="AX13" s="648"/>
      <c r="AY13" s="648"/>
      <c r="AZ13" s="651"/>
      <c r="BA13" s="651"/>
      <c r="BB13" s="651"/>
      <c r="BC13" s="651"/>
    </row>
    <row r="14" spans="1:55" s="121" customFormat="1">
      <c r="D14"/>
      <c r="E14"/>
      <c r="AQ14"/>
    </row>
    <row r="15" spans="1:55" s="121" customFormat="1">
      <c r="D15"/>
      <c r="E15"/>
      <c r="AQ15"/>
    </row>
    <row r="16" spans="1:55" s="121" customFormat="1">
      <c r="D16"/>
      <c r="E16"/>
      <c r="AQ16"/>
    </row>
    <row r="17" spans="4:43" s="121" customFormat="1">
      <c r="D17"/>
      <c r="E17"/>
      <c r="J17" s="120"/>
      <c r="K17" s="871"/>
      <c r="L17" s="871"/>
      <c r="M17" s="871"/>
      <c r="N17" s="871"/>
      <c r="O17" s="871"/>
      <c r="P17" s="871"/>
      <c r="Q17" s="871"/>
      <c r="R17" s="871"/>
      <c r="S17" s="871"/>
      <c r="T17" s="871"/>
      <c r="U17" s="871"/>
      <c r="V17" s="871"/>
      <c r="W17" s="871"/>
      <c r="X17" s="871"/>
      <c r="AQ17"/>
    </row>
    <row r="18" spans="4:43" s="121" customFormat="1">
      <c r="D18"/>
      <c r="E18"/>
      <c r="J18" s="827" t="s">
        <v>626</v>
      </c>
      <c r="K18" s="826" t="s">
        <v>2584</v>
      </c>
      <c r="L18" s="826"/>
      <c r="M18" s="826"/>
      <c r="N18" s="826" t="s">
        <v>2569</v>
      </c>
      <c r="O18" s="826"/>
      <c r="P18" s="826" t="s">
        <v>2570</v>
      </c>
      <c r="Q18" s="826"/>
      <c r="R18" s="826" t="s">
        <v>2862</v>
      </c>
      <c r="S18" s="826"/>
      <c r="T18" s="826"/>
      <c r="U18" s="826"/>
      <c r="V18" s="826" t="s">
        <v>2571</v>
      </c>
      <c r="W18" s="826"/>
      <c r="X18" s="826" t="s">
        <v>2572</v>
      </c>
      <c r="AQ18"/>
    </row>
    <row r="19" spans="4:43" s="121" customFormat="1">
      <c r="D19"/>
      <c r="E19"/>
      <c r="J19" s="827"/>
      <c r="K19" s="802" t="s">
        <v>2581</v>
      </c>
      <c r="L19" s="802" t="s">
        <v>2582</v>
      </c>
      <c r="M19" s="802" t="s">
        <v>2583</v>
      </c>
      <c r="N19" s="802"/>
      <c r="O19" s="802"/>
      <c r="P19" s="802" t="s">
        <v>2573</v>
      </c>
      <c r="Q19" s="802" t="s">
        <v>2574</v>
      </c>
      <c r="R19" s="802" t="s">
        <v>2573</v>
      </c>
      <c r="S19" s="802" t="s">
        <v>2574</v>
      </c>
      <c r="T19" s="802"/>
      <c r="U19" s="802"/>
      <c r="V19" s="802" t="s">
        <v>2575</v>
      </c>
      <c r="W19" s="802" t="s">
        <v>2576</v>
      </c>
      <c r="X19" s="802"/>
      <c r="AQ19"/>
    </row>
    <row r="20" spans="4:43" s="121" customFormat="1">
      <c r="D20"/>
      <c r="E20"/>
      <c r="J20" s="827"/>
      <c r="K20" s="802"/>
      <c r="L20" s="802"/>
      <c r="M20" s="802"/>
      <c r="N20" s="802"/>
      <c r="O20" s="802"/>
      <c r="P20" s="802"/>
      <c r="Q20" s="802"/>
      <c r="R20" s="802"/>
      <c r="S20" s="802"/>
      <c r="T20" s="802"/>
      <c r="U20" s="802"/>
      <c r="V20" s="802"/>
      <c r="W20" s="802"/>
      <c r="X20" s="802"/>
      <c r="AQ20"/>
    </row>
    <row r="21" spans="4:43" s="121" customFormat="1">
      <c r="D21"/>
      <c r="E21"/>
      <c r="I21"/>
      <c r="J21"/>
      <c r="K21"/>
      <c r="L21"/>
      <c r="M21"/>
      <c r="N21"/>
      <c r="O21"/>
      <c r="P21"/>
      <c r="Q21"/>
      <c r="R21"/>
      <c r="S21"/>
      <c r="T21"/>
      <c r="U21"/>
      <c r="V21"/>
      <c r="W21"/>
      <c r="X21"/>
      <c r="Y21"/>
      <c r="AQ21"/>
    </row>
    <row r="22" spans="4:43" s="121" customFormat="1" ht="12" customHeight="1">
      <c r="D22"/>
      <c r="E22"/>
      <c r="H22" s="388" t="s">
        <v>297</v>
      </c>
      <c r="J22" s="824"/>
      <c r="K22" s="825"/>
      <c r="L22" s="825"/>
      <c r="M22" s="825"/>
      <c r="N22" s="825"/>
      <c r="O22" s="824"/>
      <c r="P22" s="824"/>
      <c r="Q22" s="824"/>
      <c r="R22" s="824"/>
      <c r="S22" s="824"/>
      <c r="T22" s="824"/>
      <c r="U22" s="824"/>
      <c r="V22" s="824"/>
      <c r="W22" s="824"/>
      <c r="X22" s="824"/>
      <c r="AQ22"/>
    </row>
    <row r="23" spans="4:43" s="121" customFormat="1" ht="6" customHeight="1">
      <c r="D23"/>
      <c r="E23"/>
      <c r="J23" s="824"/>
      <c r="K23" s="825"/>
      <c r="L23" s="825"/>
      <c r="M23" s="825"/>
      <c r="N23" s="825"/>
      <c r="O23" s="824"/>
      <c r="P23" s="824"/>
      <c r="Q23" s="824"/>
      <c r="R23" s="824"/>
      <c r="S23" s="824"/>
      <c r="T23" s="824"/>
      <c r="U23" s="824"/>
      <c r="V23" s="824"/>
      <c r="W23" s="824"/>
      <c r="X23" s="824"/>
      <c r="AQ23"/>
    </row>
    <row r="24" spans="4:43" s="121" customFormat="1" ht="6" customHeight="1">
      <c r="D24"/>
      <c r="E24"/>
      <c r="J24" s="824"/>
      <c r="K24" s="825"/>
      <c r="L24" s="825"/>
      <c r="M24" s="825"/>
      <c r="N24" s="825"/>
      <c r="O24" s="824"/>
      <c r="P24" s="824"/>
      <c r="Q24" s="824"/>
      <c r="R24" s="824"/>
      <c r="S24" s="824"/>
      <c r="T24" s="824"/>
      <c r="U24" s="824"/>
      <c r="V24" s="824"/>
      <c r="W24" s="824"/>
      <c r="X24" s="824"/>
      <c r="AQ24"/>
    </row>
    <row r="25" spans="4:43" s="121" customFormat="1" ht="6" customHeight="1">
      <c r="D25"/>
      <c r="E25"/>
      <c r="J25" s="824"/>
      <c r="K25" s="825"/>
      <c r="L25" s="825"/>
      <c r="M25" s="825"/>
      <c r="N25" s="825"/>
      <c r="O25" s="824"/>
      <c r="P25" s="824"/>
      <c r="Q25" s="824"/>
      <c r="R25" s="824"/>
      <c r="S25" s="824"/>
      <c r="T25" s="824"/>
      <c r="U25" s="824"/>
      <c r="V25" s="824"/>
      <c r="W25" s="824"/>
      <c r="X25" s="824"/>
      <c r="AQ25"/>
    </row>
    <row r="26" spans="4:43" s="121" customFormat="1" ht="6" customHeight="1">
      <c r="D26"/>
      <c r="E26"/>
      <c r="J26" s="824"/>
      <c r="K26" s="825"/>
      <c r="L26" s="825"/>
      <c r="M26" s="825"/>
      <c r="N26" s="825"/>
      <c r="O26" s="824"/>
      <c r="P26" s="824"/>
      <c r="Q26" s="824"/>
      <c r="R26" s="824"/>
      <c r="S26" s="824"/>
      <c r="T26" s="824"/>
      <c r="U26" s="824"/>
      <c r="V26" s="824"/>
      <c r="W26" s="824"/>
      <c r="X26" s="824"/>
      <c r="AQ26"/>
    </row>
    <row r="27" spans="4:43" s="121" customFormat="1" ht="6" customHeight="1">
      <c r="D27"/>
      <c r="E27"/>
      <c r="J27" s="824"/>
      <c r="K27" s="825"/>
      <c r="L27" s="825"/>
      <c r="M27" s="825"/>
      <c r="N27" s="825"/>
      <c r="O27" s="824"/>
      <c r="P27" s="824"/>
      <c r="Q27" s="824"/>
      <c r="R27" s="824"/>
      <c r="S27" s="824"/>
      <c r="T27" s="824"/>
      <c r="U27" s="824"/>
      <c r="V27" s="824"/>
      <c r="W27" s="824"/>
      <c r="X27" s="824"/>
      <c r="AQ27"/>
    </row>
    <row r="28" spans="4:43" s="121" customFormat="1" ht="6" customHeight="1">
      <c r="D28"/>
      <c r="E28"/>
      <c r="J28" s="824"/>
      <c r="K28" s="825"/>
      <c r="L28" s="825"/>
      <c r="M28" s="825"/>
      <c r="N28" s="825"/>
      <c r="O28" s="824"/>
      <c r="P28" s="824"/>
      <c r="Q28" s="824"/>
      <c r="R28" s="824"/>
      <c r="S28" s="824"/>
      <c r="T28" s="824"/>
      <c r="U28" s="824"/>
      <c r="V28" s="824"/>
      <c r="W28" s="824"/>
      <c r="X28" s="824"/>
      <c r="AQ28"/>
    </row>
    <row r="29" spans="4:43" s="121" customFormat="1" ht="12" customHeight="1">
      <c r="D29"/>
      <c r="E29"/>
      <c r="H29" s="388" t="s">
        <v>301</v>
      </c>
      <c r="N29" s="825" t="s">
        <v>2577</v>
      </c>
      <c r="O29" s="824"/>
      <c r="P29" s="824"/>
      <c r="Q29" s="824"/>
      <c r="R29" s="823"/>
      <c r="S29" s="825"/>
      <c r="T29" s="824"/>
      <c r="U29" s="824"/>
      <c r="V29" s="823"/>
      <c r="W29" s="823"/>
      <c r="X29" s="883"/>
      <c r="AQ29"/>
    </row>
    <row r="30" spans="4:43" s="121" customFormat="1" ht="6" customHeight="1">
      <c r="D30"/>
      <c r="E30"/>
      <c r="N30" s="825"/>
      <c r="O30" s="824"/>
      <c r="P30" s="824"/>
      <c r="Q30" s="824"/>
      <c r="R30" s="823"/>
      <c r="S30" s="825"/>
      <c r="T30" s="824"/>
      <c r="U30" s="824"/>
      <c r="V30" s="823"/>
      <c r="W30" s="823"/>
      <c r="X30" s="883"/>
      <c r="AQ30"/>
    </row>
    <row r="31" spans="4:43" s="121" customFormat="1" ht="6" customHeight="1">
      <c r="D31"/>
      <c r="E31"/>
      <c r="N31" s="825"/>
      <c r="O31" s="824"/>
      <c r="P31" s="824"/>
      <c r="Q31" s="824"/>
      <c r="R31" s="823"/>
      <c r="S31" s="825"/>
      <c r="T31" s="824"/>
      <c r="U31" s="824"/>
      <c r="V31" s="823"/>
      <c r="W31" s="823"/>
      <c r="X31" s="883"/>
      <c r="AQ31"/>
    </row>
    <row r="32" spans="4:43" s="121" customFormat="1" ht="6" customHeight="1">
      <c r="D32"/>
      <c r="E32"/>
      <c r="N32" s="825"/>
      <c r="O32" s="824"/>
      <c r="P32" s="824"/>
      <c r="Q32" s="824"/>
      <c r="R32" s="823"/>
      <c r="S32" s="825"/>
      <c r="T32" s="824"/>
      <c r="U32" s="824"/>
      <c r="V32" s="823"/>
      <c r="W32" s="823"/>
      <c r="X32" s="883"/>
      <c r="AQ32"/>
    </row>
    <row r="33" spans="4:43" s="121" customFormat="1" ht="6" customHeight="1">
      <c r="D33"/>
      <c r="E33"/>
      <c r="N33" s="825"/>
      <c r="O33" s="824"/>
      <c r="P33" s="824"/>
      <c r="Q33" s="824"/>
      <c r="R33" s="823"/>
      <c r="S33" s="825"/>
      <c r="T33" s="824"/>
      <c r="U33" s="824"/>
      <c r="V33" s="823"/>
      <c r="W33" s="823"/>
      <c r="X33" s="883"/>
      <c r="AQ33"/>
    </row>
    <row r="34" spans="4:43" s="121" customFormat="1" ht="6" customHeight="1">
      <c r="D34"/>
      <c r="E34"/>
      <c r="N34" s="825"/>
      <c r="O34" s="824"/>
      <c r="P34" s="824"/>
      <c r="Q34" s="824"/>
      <c r="R34" s="823"/>
      <c r="S34" s="825"/>
      <c r="T34" s="824"/>
      <c r="U34" s="824"/>
      <c r="V34" s="823"/>
      <c r="W34" s="823"/>
      <c r="X34" s="883"/>
      <c r="AQ34"/>
    </row>
    <row r="35" spans="4:43" s="121" customFormat="1" ht="6" customHeight="1">
      <c r="D35"/>
      <c r="E35"/>
      <c r="N35" s="825"/>
      <c r="O35" s="824"/>
      <c r="P35" s="824"/>
      <c r="Q35" s="824"/>
      <c r="R35" s="823"/>
      <c r="S35" s="825"/>
      <c r="T35" s="824"/>
      <c r="U35" s="824"/>
      <c r="V35" s="823"/>
      <c r="W35" s="823"/>
      <c r="X35" s="883"/>
      <c r="AQ35"/>
    </row>
    <row r="36" spans="4:43" s="121" customFormat="1" ht="12" customHeight="1">
      <c r="D36"/>
      <c r="E36"/>
      <c r="H36" s="388" t="s">
        <v>299</v>
      </c>
      <c r="N36" s="825" t="s">
        <v>2578</v>
      </c>
      <c r="O36" s="824"/>
      <c r="P36" s="823"/>
      <c r="Q36" s="825"/>
      <c r="R36" s="884"/>
      <c r="S36" s="862"/>
      <c r="T36" s="824"/>
      <c r="U36" s="824"/>
      <c r="V36" s="823"/>
      <c r="W36" s="823"/>
      <c r="X36" s="883"/>
      <c r="AQ36"/>
    </row>
    <row r="37" spans="4:43" s="121" customFormat="1" ht="6" customHeight="1">
      <c r="D37"/>
      <c r="E37"/>
      <c r="N37" s="825"/>
      <c r="O37" s="824"/>
      <c r="P37" s="823"/>
      <c r="Q37" s="825"/>
      <c r="R37" s="885"/>
      <c r="S37" s="863"/>
      <c r="T37" s="824"/>
      <c r="U37" s="824"/>
      <c r="V37" s="823"/>
      <c r="W37" s="823"/>
      <c r="X37" s="883"/>
      <c r="AQ37"/>
    </row>
    <row r="38" spans="4:43" s="121" customFormat="1" ht="6" customHeight="1">
      <c r="D38"/>
      <c r="E38"/>
      <c r="N38" s="825"/>
      <c r="O38" s="824"/>
      <c r="P38" s="823"/>
      <c r="Q38" s="825"/>
      <c r="R38" s="885"/>
      <c r="S38" s="863"/>
      <c r="T38" s="824"/>
      <c r="U38" s="824"/>
      <c r="V38" s="823"/>
      <c r="W38" s="823"/>
      <c r="X38" s="883"/>
      <c r="AQ38"/>
    </row>
    <row r="39" spans="4:43" s="121" customFormat="1" ht="6" customHeight="1">
      <c r="D39"/>
      <c r="E39"/>
      <c r="N39" s="825"/>
      <c r="O39" s="824"/>
      <c r="P39" s="823"/>
      <c r="Q39" s="825"/>
      <c r="R39" s="885"/>
      <c r="S39" s="863"/>
      <c r="T39" s="824"/>
      <c r="U39" s="824"/>
      <c r="V39" s="823"/>
      <c r="W39" s="823"/>
      <c r="X39" s="883"/>
      <c r="AQ39"/>
    </row>
    <row r="40" spans="4:43" s="121" customFormat="1" ht="6" customHeight="1">
      <c r="D40"/>
      <c r="E40"/>
      <c r="N40" s="825"/>
      <c r="O40" s="824"/>
      <c r="P40" s="823"/>
      <c r="Q40" s="825"/>
      <c r="R40" s="885"/>
      <c r="S40" s="863"/>
      <c r="T40" s="824"/>
      <c r="U40" s="824"/>
      <c r="V40" s="823"/>
      <c r="W40" s="823"/>
      <c r="X40" s="883"/>
      <c r="AQ40"/>
    </row>
    <row r="41" spans="4:43" s="121" customFormat="1" ht="6" customHeight="1">
      <c r="D41"/>
      <c r="E41"/>
      <c r="N41" s="825"/>
      <c r="O41" s="824"/>
      <c r="P41" s="823"/>
      <c r="Q41" s="825"/>
      <c r="R41" s="885"/>
      <c r="S41" s="863"/>
      <c r="T41" s="824"/>
      <c r="U41" s="824"/>
      <c r="V41" s="823"/>
      <c r="W41" s="823"/>
      <c r="X41" s="883"/>
      <c r="AQ41"/>
    </row>
    <row r="42" spans="4:43" s="121" customFormat="1" ht="6" customHeight="1">
      <c r="D42"/>
      <c r="E42"/>
      <c r="N42" s="825"/>
      <c r="O42" s="824"/>
      <c r="P42" s="823"/>
      <c r="Q42" s="825"/>
      <c r="R42" s="886"/>
      <c r="S42" s="864"/>
      <c r="T42" s="824"/>
      <c r="U42" s="824"/>
      <c r="V42" s="823"/>
      <c r="W42" s="823"/>
      <c r="X42" s="883"/>
      <c r="AQ42"/>
    </row>
    <row r="43" spans="4:43" s="121" customFormat="1" ht="12" customHeight="1">
      <c r="D43"/>
      <c r="E43"/>
      <c r="H43" s="388" t="s">
        <v>300</v>
      </c>
      <c r="N43" s="862" t="s">
        <v>2579</v>
      </c>
      <c r="O43" s="865"/>
      <c r="P43" s="884"/>
      <c r="Q43" s="862"/>
      <c r="R43" s="884"/>
      <c r="S43" s="862"/>
      <c r="T43" s="865"/>
      <c r="U43" s="865"/>
      <c r="V43" s="884"/>
      <c r="W43" s="884"/>
      <c r="X43" s="887"/>
      <c r="AQ43"/>
    </row>
    <row r="44" spans="4:43" s="121" customFormat="1" ht="6" customHeight="1">
      <c r="D44"/>
      <c r="E44"/>
      <c r="N44" s="863"/>
      <c r="O44" s="866"/>
      <c r="P44" s="885"/>
      <c r="Q44" s="863"/>
      <c r="R44" s="885"/>
      <c r="S44" s="863"/>
      <c r="T44" s="866"/>
      <c r="U44" s="866"/>
      <c r="V44" s="885"/>
      <c r="W44" s="885"/>
      <c r="X44" s="888"/>
      <c r="AQ44"/>
    </row>
    <row r="45" spans="4:43" s="121" customFormat="1" ht="6" customHeight="1">
      <c r="D45"/>
      <c r="E45"/>
      <c r="N45" s="863"/>
      <c r="O45" s="866"/>
      <c r="P45" s="885"/>
      <c r="Q45" s="863"/>
      <c r="R45" s="885"/>
      <c r="S45" s="863"/>
      <c r="T45" s="866"/>
      <c r="U45" s="866"/>
      <c r="V45" s="885"/>
      <c r="W45" s="885"/>
      <c r="X45" s="888"/>
      <c r="AQ45"/>
    </row>
    <row r="46" spans="4:43" s="121" customFormat="1" ht="6" customHeight="1">
      <c r="D46"/>
      <c r="E46"/>
      <c r="N46" s="863"/>
      <c r="O46" s="866"/>
      <c r="P46" s="885"/>
      <c r="Q46" s="863"/>
      <c r="R46" s="885"/>
      <c r="S46" s="863"/>
      <c r="T46" s="866"/>
      <c r="U46" s="866"/>
      <c r="V46" s="885"/>
      <c r="W46" s="885"/>
      <c r="X46" s="888"/>
      <c r="AQ46"/>
    </row>
    <row r="47" spans="4:43" s="121" customFormat="1" ht="6" customHeight="1">
      <c r="D47"/>
      <c r="E47"/>
      <c r="N47" s="863"/>
      <c r="O47" s="866"/>
      <c r="P47" s="885"/>
      <c r="Q47" s="863"/>
      <c r="R47" s="885"/>
      <c r="S47" s="863"/>
      <c r="T47" s="866"/>
      <c r="U47" s="866"/>
      <c r="V47" s="885"/>
      <c r="W47" s="885"/>
      <c r="X47" s="888"/>
      <c r="AQ47"/>
    </row>
    <row r="48" spans="4:43" s="121" customFormat="1" ht="6" customHeight="1">
      <c r="D48"/>
      <c r="E48"/>
      <c r="N48" s="863"/>
      <c r="O48" s="866"/>
      <c r="P48" s="885"/>
      <c r="Q48" s="863"/>
      <c r="R48" s="885"/>
      <c r="S48" s="863"/>
      <c r="T48" s="866"/>
      <c r="U48" s="866"/>
      <c r="V48" s="885"/>
      <c r="W48" s="885"/>
      <c r="X48" s="888"/>
      <c r="AQ48"/>
    </row>
    <row r="49" spans="4:43" s="121" customFormat="1" ht="6" customHeight="1">
      <c r="D49"/>
      <c r="E49"/>
      <c r="N49" s="864"/>
      <c r="O49" s="867"/>
      <c r="P49" s="886"/>
      <c r="Q49" s="864"/>
      <c r="R49" s="886"/>
      <c r="S49" s="864"/>
      <c r="T49" s="867"/>
      <c r="U49" s="867"/>
      <c r="V49" s="886"/>
      <c r="W49" s="886"/>
      <c r="X49" s="889"/>
      <c r="AQ49"/>
    </row>
    <row r="50" spans="4:43" s="121" customFormat="1" ht="12" customHeight="1">
      <c r="D50"/>
      <c r="E50"/>
      <c r="H50" s="388" t="s">
        <v>315</v>
      </c>
      <c r="N50" s="825"/>
      <c r="O50" s="824"/>
      <c r="P50" s="824"/>
      <c r="Q50" s="824"/>
      <c r="R50" s="824"/>
      <c r="S50" s="824"/>
      <c r="T50" s="824"/>
      <c r="U50" s="824"/>
      <c r="V50" s="824"/>
      <c r="W50" s="824"/>
      <c r="X50" s="824"/>
      <c r="AQ50"/>
    </row>
    <row r="51" spans="4:43" s="121" customFormat="1" ht="6" customHeight="1">
      <c r="D51"/>
      <c r="E51"/>
      <c r="N51" s="825"/>
      <c r="O51" s="824"/>
      <c r="P51" s="824"/>
      <c r="Q51" s="824"/>
      <c r="R51" s="824"/>
      <c r="S51" s="824"/>
      <c r="T51" s="824"/>
      <c r="U51" s="824"/>
      <c r="V51" s="824"/>
      <c r="W51" s="824"/>
      <c r="X51" s="824"/>
      <c r="AQ51"/>
    </row>
    <row r="52" spans="4:43" s="121" customFormat="1" ht="6" customHeight="1">
      <c r="D52"/>
      <c r="E52"/>
      <c r="N52" s="825"/>
      <c r="O52" s="824"/>
      <c r="P52" s="824"/>
      <c r="Q52" s="824"/>
      <c r="R52" s="824"/>
      <c r="S52" s="824"/>
      <c r="T52" s="824"/>
      <c r="U52" s="824"/>
      <c r="V52" s="824"/>
      <c r="W52" s="824"/>
      <c r="X52" s="824"/>
      <c r="AQ52"/>
    </row>
    <row r="53" spans="4:43" s="121" customFormat="1" ht="6" customHeight="1">
      <c r="D53"/>
      <c r="E53"/>
      <c r="N53" s="825"/>
      <c r="O53" s="824"/>
      <c r="P53" s="824"/>
      <c r="Q53" s="824"/>
      <c r="R53" s="824"/>
      <c r="S53" s="824"/>
      <c r="T53" s="824"/>
      <c r="U53" s="824"/>
      <c r="V53" s="824"/>
      <c r="W53" s="824"/>
      <c r="X53" s="824"/>
      <c r="AQ53"/>
    </row>
    <row r="54" spans="4:43" s="121" customFormat="1" ht="6" customHeight="1">
      <c r="D54"/>
      <c r="E54"/>
      <c r="N54" s="825"/>
      <c r="O54" s="824"/>
      <c r="P54" s="824"/>
      <c r="Q54" s="824"/>
      <c r="R54" s="824"/>
      <c r="S54" s="824"/>
      <c r="T54" s="824"/>
      <c r="U54" s="824"/>
      <c r="V54" s="824"/>
      <c r="W54" s="824"/>
      <c r="X54" s="824"/>
      <c r="AQ54"/>
    </row>
    <row r="55" spans="4:43" s="121" customFormat="1" ht="6" customHeight="1">
      <c r="D55"/>
      <c r="E55"/>
      <c r="N55" s="825"/>
      <c r="O55" s="824"/>
      <c r="P55" s="824"/>
      <c r="Q55" s="824"/>
      <c r="R55" s="824"/>
      <c r="S55" s="824"/>
      <c r="T55" s="824"/>
      <c r="U55" s="824"/>
      <c r="V55" s="824"/>
      <c r="W55" s="824"/>
      <c r="X55" s="824"/>
      <c r="AQ55"/>
    </row>
    <row r="56" spans="4:43" s="121" customFormat="1" ht="6" customHeight="1">
      <c r="D56"/>
      <c r="E56"/>
      <c r="N56" s="825"/>
      <c r="O56" s="824"/>
      <c r="P56" s="824"/>
      <c r="Q56" s="824"/>
      <c r="R56" s="824"/>
      <c r="S56" s="824"/>
      <c r="T56" s="824"/>
      <c r="U56" s="824"/>
      <c r="V56" s="824"/>
      <c r="W56" s="824"/>
      <c r="X56" s="824"/>
      <c r="AQ56"/>
    </row>
    <row r="57" spans="4:43" s="121" customFormat="1" ht="12" customHeight="1">
      <c r="D57"/>
      <c r="E57"/>
      <c r="H57" s="388" t="s">
        <v>298</v>
      </c>
      <c r="J57" s="825"/>
      <c r="K57" s="824"/>
      <c r="L57" s="824"/>
      <c r="M57" s="824"/>
      <c r="N57" s="824"/>
      <c r="O57" s="824"/>
      <c r="P57" s="824"/>
      <c r="Q57" s="824"/>
      <c r="R57" s="824"/>
      <c r="S57" s="824"/>
      <c r="T57" s="824"/>
      <c r="U57" s="824"/>
      <c r="V57" s="824"/>
      <c r="W57" s="824"/>
      <c r="X57" s="824"/>
      <c r="AQ57"/>
    </row>
    <row r="58" spans="4:43" s="121" customFormat="1" ht="6" customHeight="1">
      <c r="D58"/>
      <c r="E58"/>
      <c r="J58" s="825"/>
      <c r="K58" s="824"/>
      <c r="L58" s="824"/>
      <c r="M58" s="824"/>
      <c r="N58" s="824"/>
      <c r="O58" s="824"/>
      <c r="P58" s="824"/>
      <c r="Q58" s="824"/>
      <c r="R58" s="824"/>
      <c r="S58" s="824"/>
      <c r="T58" s="824"/>
      <c r="U58" s="824"/>
      <c r="V58" s="824"/>
      <c r="W58" s="824"/>
      <c r="X58" s="824"/>
      <c r="AQ58"/>
    </row>
    <row r="59" spans="4:43" s="121" customFormat="1" ht="6" customHeight="1">
      <c r="D59"/>
      <c r="E59"/>
      <c r="J59" s="825"/>
      <c r="K59" s="824"/>
      <c r="L59" s="824"/>
      <c r="M59" s="824"/>
      <c r="N59" s="824"/>
      <c r="O59" s="824"/>
      <c r="P59" s="824"/>
      <c r="Q59" s="824"/>
      <c r="R59" s="824"/>
      <c r="S59" s="824"/>
      <c r="T59" s="824"/>
      <c r="U59" s="824"/>
      <c r="V59" s="824"/>
      <c r="W59" s="824"/>
      <c r="X59" s="824"/>
      <c r="AQ59"/>
    </row>
    <row r="60" spans="4:43" s="121" customFormat="1" ht="6" customHeight="1">
      <c r="D60"/>
      <c r="E60"/>
      <c r="J60" s="825"/>
      <c r="K60" s="824"/>
      <c r="L60" s="824"/>
      <c r="M60" s="824"/>
      <c r="N60" s="824"/>
      <c r="O60" s="824"/>
      <c r="P60" s="824"/>
      <c r="Q60" s="824"/>
      <c r="R60" s="824"/>
      <c r="S60" s="824"/>
      <c r="T60" s="824"/>
      <c r="U60" s="824"/>
      <c r="V60" s="824"/>
      <c r="W60" s="824"/>
      <c r="X60" s="824"/>
      <c r="AQ60"/>
    </row>
    <row r="61" spans="4:43" s="121" customFormat="1" ht="6" customHeight="1">
      <c r="D61"/>
      <c r="E61"/>
      <c r="J61" s="825"/>
      <c r="K61" s="824"/>
      <c r="L61" s="824"/>
      <c r="M61" s="824"/>
      <c r="N61" s="824"/>
      <c r="O61" s="824"/>
      <c r="P61" s="824"/>
      <c r="Q61" s="824"/>
      <c r="R61" s="824"/>
      <c r="S61" s="824"/>
      <c r="T61" s="824"/>
      <c r="U61" s="824"/>
      <c r="V61" s="824"/>
      <c r="W61" s="824"/>
      <c r="X61" s="824"/>
      <c r="AQ61"/>
    </row>
    <row r="62" spans="4:43" s="121" customFormat="1" ht="6" customHeight="1">
      <c r="D62"/>
      <c r="E62"/>
      <c r="J62" s="825"/>
      <c r="K62" s="824"/>
      <c r="L62" s="824"/>
      <c r="M62" s="824"/>
      <c r="N62" s="824"/>
      <c r="O62" s="824"/>
      <c r="P62" s="824"/>
      <c r="Q62" s="824"/>
      <c r="R62" s="824"/>
      <c r="S62" s="824"/>
      <c r="T62" s="824"/>
      <c r="U62" s="824"/>
      <c r="V62" s="824"/>
      <c r="W62" s="824"/>
      <c r="X62" s="824"/>
      <c r="AQ62"/>
    </row>
    <row r="63" spans="4:43" s="121" customFormat="1" ht="6" customHeight="1">
      <c r="D63"/>
      <c r="E63"/>
      <c r="J63" s="825"/>
      <c r="K63" s="824"/>
      <c r="L63" s="824"/>
      <c r="M63" s="824"/>
      <c r="N63" s="824"/>
      <c r="O63" s="824"/>
      <c r="P63" s="824"/>
      <c r="Q63" s="824"/>
      <c r="R63" s="824"/>
      <c r="S63" s="824"/>
      <c r="T63" s="824"/>
      <c r="U63" s="824"/>
      <c r="V63" s="824"/>
      <c r="W63" s="824"/>
      <c r="X63" s="824"/>
      <c r="AQ63"/>
    </row>
    <row r="64" spans="4:43" s="121" customFormat="1" ht="6" customHeight="1">
      <c r="D64"/>
      <c r="E64"/>
      <c r="AQ64"/>
    </row>
    <row r="65" spans="4:43" s="121" customFormat="1" ht="6" customHeight="1">
      <c r="D65"/>
      <c r="E65"/>
      <c r="AQ65"/>
    </row>
    <row r="66" spans="4:43" s="121" customFormat="1" ht="6" customHeight="1">
      <c r="D66"/>
      <c r="E66"/>
      <c r="AQ66"/>
    </row>
    <row r="67" spans="4:43" s="121" customFormat="1" ht="12" customHeight="1">
      <c r="D67"/>
      <c r="E67"/>
      <c r="H67" s="388" t="s">
        <v>302</v>
      </c>
      <c r="J67" s="824"/>
      <c r="K67" s="825"/>
      <c r="L67" s="825"/>
      <c r="M67" s="825"/>
      <c r="N67" s="825"/>
      <c r="O67" s="824"/>
      <c r="P67" s="824"/>
      <c r="Q67" s="824"/>
      <c r="R67" s="824"/>
      <c r="S67" s="824"/>
      <c r="T67" s="824"/>
      <c r="U67" s="824"/>
      <c r="V67" s="824"/>
      <c r="W67" s="824"/>
      <c r="X67" s="824"/>
      <c r="AQ67"/>
    </row>
    <row r="68" spans="4:43" s="121" customFormat="1" ht="6" customHeight="1">
      <c r="D68"/>
      <c r="E68"/>
      <c r="J68" s="824"/>
      <c r="K68" s="825"/>
      <c r="L68" s="825"/>
      <c r="M68" s="825"/>
      <c r="N68" s="825"/>
      <c r="O68" s="824"/>
      <c r="P68" s="824"/>
      <c r="Q68" s="824"/>
      <c r="R68" s="824"/>
      <c r="S68" s="824"/>
      <c r="T68" s="824"/>
      <c r="U68" s="824"/>
      <c r="V68" s="824"/>
      <c r="W68" s="824"/>
      <c r="X68" s="824"/>
      <c r="AQ68"/>
    </row>
    <row r="69" spans="4:43" s="121" customFormat="1" ht="6" customHeight="1">
      <c r="D69"/>
      <c r="E69"/>
      <c r="J69" s="824"/>
      <c r="K69" s="825"/>
      <c r="L69" s="825"/>
      <c r="M69" s="825"/>
      <c r="N69" s="825"/>
      <c r="O69" s="824"/>
      <c r="P69" s="824"/>
      <c r="Q69" s="824"/>
      <c r="R69" s="824"/>
      <c r="S69" s="824"/>
      <c r="T69" s="824"/>
      <c r="U69" s="824"/>
      <c r="V69" s="824"/>
      <c r="W69" s="824"/>
      <c r="X69" s="824"/>
      <c r="AQ69"/>
    </row>
    <row r="70" spans="4:43" s="121" customFormat="1" ht="6" customHeight="1">
      <c r="D70"/>
      <c r="E70"/>
      <c r="J70" s="824"/>
      <c r="K70" s="825"/>
      <c r="L70" s="825"/>
      <c r="M70" s="825"/>
      <c r="N70" s="825"/>
      <c r="O70" s="824"/>
      <c r="P70" s="824"/>
      <c r="Q70" s="824"/>
      <c r="R70" s="824"/>
      <c r="S70" s="824"/>
      <c r="T70" s="824"/>
      <c r="U70" s="824"/>
      <c r="V70" s="824"/>
      <c r="W70" s="824"/>
      <c r="X70" s="824"/>
      <c r="AQ70"/>
    </row>
    <row r="71" spans="4:43" s="121" customFormat="1" ht="6" customHeight="1">
      <c r="D71"/>
      <c r="E71"/>
      <c r="J71" s="824"/>
      <c r="K71" s="825"/>
      <c r="L71" s="825"/>
      <c r="M71" s="825"/>
      <c r="N71" s="825"/>
      <c r="O71" s="824"/>
      <c r="P71" s="824"/>
      <c r="Q71" s="824"/>
      <c r="R71" s="824"/>
      <c r="S71" s="824"/>
      <c r="T71" s="824"/>
      <c r="U71" s="824"/>
      <c r="V71" s="824"/>
      <c r="W71" s="824"/>
      <c r="X71" s="824"/>
      <c r="AQ71"/>
    </row>
    <row r="72" spans="4:43" s="121" customFormat="1" ht="6" customHeight="1">
      <c r="D72"/>
      <c r="E72"/>
      <c r="J72" s="824"/>
      <c r="K72" s="825"/>
      <c r="L72" s="825"/>
      <c r="M72" s="825"/>
      <c r="N72" s="825"/>
      <c r="O72" s="824"/>
      <c r="P72" s="824"/>
      <c r="Q72" s="824"/>
      <c r="R72" s="824"/>
      <c r="S72" s="824"/>
      <c r="T72" s="824"/>
      <c r="U72" s="824"/>
      <c r="V72" s="824"/>
      <c r="W72" s="824"/>
      <c r="X72" s="824"/>
      <c r="AQ72"/>
    </row>
    <row r="73" spans="4:43" s="121" customFormat="1" ht="6" customHeight="1">
      <c r="D73"/>
      <c r="E73"/>
      <c r="J73" s="824"/>
      <c r="K73" s="825"/>
      <c r="L73" s="825"/>
      <c r="M73" s="825"/>
      <c r="N73" s="825"/>
      <c r="O73" s="824"/>
      <c r="P73" s="824"/>
      <c r="Q73" s="824"/>
      <c r="R73" s="824"/>
      <c r="S73" s="824"/>
      <c r="T73" s="824"/>
      <c r="U73" s="824"/>
      <c r="V73" s="824"/>
      <c r="W73" s="824"/>
      <c r="X73" s="824"/>
      <c r="AQ73"/>
    </row>
    <row r="74" spans="4:43" s="121" customFormat="1" ht="6" customHeight="1">
      <c r="D74"/>
      <c r="E74"/>
      <c r="J74" s="824"/>
      <c r="K74" s="825"/>
      <c r="L74" s="825"/>
      <c r="M74" s="825"/>
      <c r="N74" s="825"/>
      <c r="O74" s="824"/>
      <c r="P74" s="824"/>
      <c r="Q74" s="824"/>
      <c r="R74" s="824"/>
      <c r="S74" s="824"/>
      <c r="T74" s="824"/>
      <c r="U74" s="824"/>
      <c r="V74" s="824"/>
      <c r="W74" s="824"/>
      <c r="X74" s="824"/>
      <c r="AQ74"/>
    </row>
    <row r="75" spans="4:43" s="121" customFormat="1" ht="6" customHeight="1">
      <c r="D75"/>
      <c r="E75"/>
      <c r="J75" s="824"/>
      <c r="K75" s="825"/>
      <c r="L75" s="825"/>
      <c r="M75" s="825"/>
      <c r="N75" s="825"/>
      <c r="O75" s="824"/>
      <c r="P75" s="824"/>
      <c r="Q75" s="824"/>
      <c r="R75" s="824"/>
      <c r="S75" s="824"/>
      <c r="T75" s="824"/>
      <c r="U75" s="824"/>
      <c r="V75" s="824"/>
      <c r="W75" s="824"/>
      <c r="X75" s="824"/>
      <c r="AQ75"/>
    </row>
    <row r="76" spans="4:43" s="121" customFormat="1" ht="6" customHeight="1">
      <c r="D76"/>
      <c r="E76"/>
      <c r="J76" s="824"/>
      <c r="K76" s="825"/>
      <c r="L76" s="825"/>
      <c r="M76" s="825"/>
      <c r="N76" s="825"/>
      <c r="O76" s="824"/>
      <c r="P76" s="824"/>
      <c r="Q76" s="824"/>
      <c r="R76" s="824"/>
      <c r="S76" s="824"/>
      <c r="T76" s="824"/>
      <c r="U76" s="824"/>
      <c r="V76" s="824"/>
      <c r="W76" s="824"/>
      <c r="X76" s="824"/>
      <c r="AQ76"/>
    </row>
    <row r="77" spans="4:43" s="121" customFormat="1" ht="6" customHeight="1">
      <c r="D77"/>
      <c r="E77"/>
      <c r="J77" s="824"/>
      <c r="K77" s="825"/>
      <c r="L77" s="825"/>
      <c r="M77" s="825"/>
      <c r="N77" s="825"/>
      <c r="O77" s="824"/>
      <c r="P77" s="824"/>
      <c r="Q77" s="824"/>
      <c r="R77" s="824"/>
      <c r="S77" s="824"/>
      <c r="T77" s="824"/>
      <c r="U77" s="824"/>
      <c r="V77" s="824"/>
      <c r="W77" s="824"/>
      <c r="X77" s="824"/>
      <c r="AQ77"/>
    </row>
    <row r="78" spans="4:43" s="121" customFormat="1" ht="6" customHeight="1">
      <c r="D78"/>
      <c r="E78"/>
      <c r="J78" s="824"/>
      <c r="K78" s="825"/>
      <c r="L78" s="825"/>
      <c r="M78" s="825"/>
      <c r="N78" s="825"/>
      <c r="O78" s="824"/>
      <c r="P78" s="824"/>
      <c r="Q78" s="824"/>
      <c r="R78" s="824"/>
      <c r="S78" s="824"/>
      <c r="T78" s="824"/>
      <c r="U78" s="824"/>
      <c r="V78" s="824"/>
      <c r="W78" s="824"/>
      <c r="X78" s="824"/>
      <c r="AQ78"/>
    </row>
    <row r="79" spans="4:43" s="121" customFormat="1" ht="6" customHeight="1">
      <c r="D79"/>
      <c r="E79"/>
      <c r="J79" s="824"/>
      <c r="K79" s="825"/>
      <c r="L79" s="825"/>
      <c r="M79" s="825"/>
      <c r="N79" s="825"/>
      <c r="O79" s="824"/>
      <c r="P79" s="824"/>
      <c r="Q79" s="824"/>
      <c r="R79" s="824"/>
      <c r="S79" s="824"/>
      <c r="T79" s="824"/>
      <c r="U79" s="824"/>
      <c r="V79" s="824"/>
      <c r="W79" s="824"/>
      <c r="X79" s="824"/>
      <c r="AQ79"/>
    </row>
    <row r="80" spans="4:43" s="121" customFormat="1" ht="6" customHeight="1">
      <c r="D80"/>
      <c r="E80"/>
      <c r="J80" s="824"/>
      <c r="K80" s="825"/>
      <c r="L80" s="825"/>
      <c r="M80" s="825"/>
      <c r="N80" s="825"/>
      <c r="O80" s="824"/>
      <c r="P80" s="824"/>
      <c r="Q80" s="824"/>
      <c r="R80" s="824"/>
      <c r="S80" s="824"/>
      <c r="T80" s="824"/>
      <c r="U80" s="824"/>
      <c r="V80" s="824"/>
      <c r="W80" s="824"/>
      <c r="X80" s="824"/>
      <c r="AQ80"/>
    </row>
    <row r="81" spans="4:43" s="121" customFormat="1" ht="6" customHeight="1">
      <c r="D81"/>
      <c r="E81"/>
      <c r="J81" s="824"/>
      <c r="K81" s="825"/>
      <c r="L81" s="825"/>
      <c r="M81" s="825"/>
      <c r="N81" s="825"/>
      <c r="O81" s="824"/>
      <c r="P81" s="824"/>
      <c r="Q81" s="824"/>
      <c r="R81" s="824"/>
      <c r="S81" s="824"/>
      <c r="T81" s="824"/>
      <c r="U81" s="824"/>
      <c r="V81" s="824"/>
      <c r="W81" s="824"/>
      <c r="X81" s="824"/>
      <c r="AQ81"/>
    </row>
    <row r="82" spans="4:43" s="121" customFormat="1" ht="12" customHeight="1">
      <c r="D82"/>
      <c r="E82"/>
      <c r="H82" s="388" t="s">
        <v>303</v>
      </c>
      <c r="J82"/>
      <c r="K82"/>
      <c r="L82"/>
      <c r="M82"/>
      <c r="N82" s="825" t="s">
        <v>2577</v>
      </c>
      <c r="O82" s="824"/>
      <c r="P82" s="824"/>
      <c r="Q82" s="824"/>
      <c r="R82" s="823"/>
      <c r="S82" s="825"/>
      <c r="T82" s="824"/>
      <c r="U82" s="824"/>
      <c r="V82" s="823"/>
      <c r="W82" s="823"/>
      <c r="X82" s="883"/>
      <c r="AQ82"/>
    </row>
    <row r="83" spans="4:43" s="121" customFormat="1" ht="6" customHeight="1">
      <c r="D83"/>
      <c r="E83"/>
      <c r="J83"/>
      <c r="K83"/>
      <c r="L83"/>
      <c r="M83"/>
      <c r="N83" s="825"/>
      <c r="O83" s="824"/>
      <c r="P83" s="824"/>
      <c r="Q83" s="824"/>
      <c r="R83" s="823"/>
      <c r="S83" s="825"/>
      <c r="T83" s="824"/>
      <c r="U83" s="824"/>
      <c r="V83" s="823"/>
      <c r="W83" s="823"/>
      <c r="X83" s="883"/>
      <c r="AQ83"/>
    </row>
    <row r="84" spans="4:43" s="121" customFormat="1" ht="6" customHeight="1">
      <c r="D84"/>
      <c r="E84"/>
      <c r="J84"/>
      <c r="K84"/>
      <c r="L84"/>
      <c r="M84"/>
      <c r="N84" s="825"/>
      <c r="O84" s="824"/>
      <c r="P84" s="824"/>
      <c r="Q84" s="824"/>
      <c r="R84" s="823"/>
      <c r="S84" s="825"/>
      <c r="T84" s="824"/>
      <c r="U84" s="824"/>
      <c r="V84" s="823"/>
      <c r="W84" s="823"/>
      <c r="X84" s="883"/>
      <c r="AQ84"/>
    </row>
    <row r="85" spans="4:43" s="121" customFormat="1" ht="6" customHeight="1">
      <c r="D85"/>
      <c r="E85"/>
      <c r="J85"/>
      <c r="K85"/>
      <c r="L85"/>
      <c r="M85"/>
      <c r="N85" s="825"/>
      <c r="O85" s="824"/>
      <c r="P85" s="824"/>
      <c r="Q85" s="824"/>
      <c r="R85" s="823"/>
      <c r="S85" s="825"/>
      <c r="T85" s="824"/>
      <c r="U85" s="824"/>
      <c r="V85" s="823"/>
      <c r="W85" s="823"/>
      <c r="X85" s="883"/>
      <c r="AQ85"/>
    </row>
    <row r="86" spans="4:43" s="121" customFormat="1" ht="6" customHeight="1">
      <c r="D86"/>
      <c r="E86"/>
      <c r="J86"/>
      <c r="K86"/>
      <c r="L86"/>
      <c r="M86"/>
      <c r="N86" s="825"/>
      <c r="O86" s="824"/>
      <c r="P86" s="824"/>
      <c r="Q86" s="824"/>
      <c r="R86" s="823"/>
      <c r="S86" s="825"/>
      <c r="T86" s="824"/>
      <c r="U86" s="824"/>
      <c r="V86" s="823"/>
      <c r="W86" s="823"/>
      <c r="X86" s="883"/>
      <c r="AQ86"/>
    </row>
    <row r="87" spans="4:43" s="121" customFormat="1" ht="6" customHeight="1">
      <c r="D87"/>
      <c r="E87"/>
      <c r="J87"/>
      <c r="K87"/>
      <c r="L87"/>
      <c r="M87"/>
      <c r="N87" s="825"/>
      <c r="O87" s="824"/>
      <c r="P87" s="824"/>
      <c r="Q87" s="824"/>
      <c r="R87" s="823"/>
      <c r="S87" s="825"/>
      <c r="T87" s="824"/>
      <c r="U87" s="824"/>
      <c r="V87" s="823"/>
      <c r="W87" s="823"/>
      <c r="X87" s="883"/>
      <c r="AQ87"/>
    </row>
    <row r="88" spans="4:43" s="121" customFormat="1" ht="6" customHeight="1">
      <c r="D88"/>
      <c r="E88"/>
      <c r="J88"/>
      <c r="K88"/>
      <c r="L88"/>
      <c r="M88"/>
      <c r="N88" s="825"/>
      <c r="O88" s="824"/>
      <c r="P88" s="824"/>
      <c r="Q88" s="824"/>
      <c r="R88" s="823"/>
      <c r="S88" s="825"/>
      <c r="T88" s="824"/>
      <c r="U88" s="824"/>
      <c r="V88" s="823"/>
      <c r="W88" s="823"/>
      <c r="X88" s="883"/>
      <c r="AQ88"/>
    </row>
    <row r="89" spans="4:43" s="121" customFormat="1" ht="6" customHeight="1">
      <c r="D89"/>
      <c r="E89"/>
      <c r="J89"/>
      <c r="K89"/>
      <c r="L89"/>
      <c r="M89"/>
      <c r="N89" s="825"/>
      <c r="O89" s="824"/>
      <c r="P89" s="824"/>
      <c r="Q89" s="824"/>
      <c r="R89" s="823"/>
      <c r="S89" s="825"/>
      <c r="T89" s="824"/>
      <c r="U89" s="824"/>
      <c r="V89" s="823"/>
      <c r="W89" s="823"/>
      <c r="X89" s="883"/>
      <c r="AQ89"/>
    </row>
    <row r="90" spans="4:43" s="121" customFormat="1" ht="6" customHeight="1">
      <c r="D90"/>
      <c r="E90"/>
      <c r="J90"/>
      <c r="K90"/>
      <c r="L90"/>
      <c r="M90"/>
      <c r="N90" s="825"/>
      <c r="O90" s="824"/>
      <c r="P90" s="824"/>
      <c r="Q90" s="824"/>
      <c r="R90" s="823"/>
      <c r="S90" s="825"/>
      <c r="T90" s="824"/>
      <c r="U90" s="824"/>
      <c r="V90" s="823"/>
      <c r="W90" s="823"/>
      <c r="X90" s="883"/>
      <c r="AQ90"/>
    </row>
    <row r="91" spans="4:43" s="121" customFormat="1" ht="6" customHeight="1">
      <c r="D91"/>
      <c r="E91"/>
      <c r="J91"/>
      <c r="K91"/>
      <c r="L91"/>
      <c r="M91"/>
      <c r="N91" s="825"/>
      <c r="O91" s="824"/>
      <c r="P91" s="824"/>
      <c r="Q91" s="824"/>
      <c r="R91" s="823"/>
      <c r="S91" s="825"/>
      <c r="T91" s="824"/>
      <c r="U91" s="824"/>
      <c r="V91" s="823"/>
      <c r="W91" s="823"/>
      <c r="X91" s="883"/>
      <c r="AQ91"/>
    </row>
    <row r="92" spans="4:43" s="121" customFormat="1" ht="6" customHeight="1">
      <c r="D92"/>
      <c r="E92"/>
      <c r="J92"/>
      <c r="K92"/>
      <c r="L92"/>
      <c r="M92"/>
      <c r="N92" s="825"/>
      <c r="O92" s="824"/>
      <c r="P92" s="824"/>
      <c r="Q92" s="824"/>
      <c r="R92" s="823"/>
      <c r="S92" s="825"/>
      <c r="T92" s="824"/>
      <c r="U92" s="824"/>
      <c r="V92" s="823"/>
      <c r="W92" s="823"/>
      <c r="X92" s="883"/>
      <c r="AQ92"/>
    </row>
    <row r="93" spans="4:43" s="121" customFormat="1" ht="6" customHeight="1">
      <c r="D93"/>
      <c r="E93"/>
      <c r="J93"/>
      <c r="K93"/>
      <c r="L93"/>
      <c r="M93"/>
      <c r="N93" s="825"/>
      <c r="O93" s="824"/>
      <c r="P93" s="824"/>
      <c r="Q93" s="824"/>
      <c r="R93" s="823"/>
      <c r="S93" s="825"/>
      <c r="T93" s="824"/>
      <c r="U93" s="824"/>
      <c r="V93" s="823"/>
      <c r="W93" s="823"/>
      <c r="X93" s="883"/>
      <c r="AQ93"/>
    </row>
    <row r="94" spans="4:43" s="121" customFormat="1" ht="6" customHeight="1">
      <c r="D94"/>
      <c r="E94"/>
      <c r="J94"/>
      <c r="K94"/>
      <c r="L94"/>
      <c r="M94"/>
      <c r="N94" s="825"/>
      <c r="O94" s="824"/>
      <c r="P94" s="824"/>
      <c r="Q94" s="824"/>
      <c r="R94" s="823"/>
      <c r="S94" s="825"/>
      <c r="T94" s="824"/>
      <c r="U94" s="824"/>
      <c r="V94" s="823"/>
      <c r="W94" s="823"/>
      <c r="X94" s="883"/>
      <c r="AQ94"/>
    </row>
    <row r="95" spans="4:43" s="121" customFormat="1" ht="6" customHeight="1">
      <c r="D95"/>
      <c r="E95"/>
      <c r="J95"/>
      <c r="K95"/>
      <c r="L95"/>
      <c r="M95"/>
      <c r="N95" s="825"/>
      <c r="O95" s="824"/>
      <c r="P95" s="824"/>
      <c r="Q95" s="824"/>
      <c r="R95" s="823"/>
      <c r="S95" s="825"/>
      <c r="T95" s="824"/>
      <c r="U95" s="824"/>
      <c r="V95" s="823"/>
      <c r="W95" s="823"/>
      <c r="X95" s="883"/>
      <c r="AQ95"/>
    </row>
    <row r="96" spans="4:43" s="121" customFormat="1" ht="6" customHeight="1">
      <c r="D96"/>
      <c r="E96"/>
      <c r="J96"/>
      <c r="K96"/>
      <c r="L96"/>
      <c r="M96"/>
      <c r="N96" s="825"/>
      <c r="O96" s="824"/>
      <c r="P96" s="824"/>
      <c r="Q96" s="824"/>
      <c r="R96" s="823"/>
      <c r="S96" s="825"/>
      <c r="T96" s="824"/>
      <c r="U96" s="824"/>
      <c r="V96" s="823"/>
      <c r="W96" s="823"/>
      <c r="X96" s="883"/>
      <c r="AQ96"/>
    </row>
    <row r="97" spans="4:43" s="121" customFormat="1" ht="12" customHeight="1">
      <c r="D97"/>
      <c r="E97"/>
      <c r="H97" s="388" t="s">
        <v>304</v>
      </c>
      <c r="N97" s="825" t="s">
        <v>2578</v>
      </c>
      <c r="O97" s="824"/>
      <c r="P97" s="823"/>
      <c r="Q97" s="825"/>
      <c r="R97" s="823"/>
      <c r="S97" s="825"/>
      <c r="T97" s="824"/>
      <c r="U97" s="824"/>
      <c r="V97" s="823"/>
      <c r="W97" s="823"/>
      <c r="X97" s="883"/>
      <c r="AQ97"/>
    </row>
    <row r="98" spans="4:43" s="121" customFormat="1" ht="6" customHeight="1">
      <c r="D98"/>
      <c r="E98"/>
      <c r="N98" s="825"/>
      <c r="O98" s="824"/>
      <c r="P98" s="823"/>
      <c r="Q98" s="825"/>
      <c r="R98" s="823"/>
      <c r="S98" s="825"/>
      <c r="T98" s="824"/>
      <c r="U98" s="824"/>
      <c r="V98" s="823"/>
      <c r="W98" s="823"/>
      <c r="X98" s="883"/>
      <c r="AQ98"/>
    </row>
    <row r="99" spans="4:43" s="121" customFormat="1" ht="6" customHeight="1">
      <c r="D99"/>
      <c r="E99"/>
      <c r="N99" s="825"/>
      <c r="O99" s="824"/>
      <c r="P99" s="823"/>
      <c r="Q99" s="825"/>
      <c r="R99" s="823"/>
      <c r="S99" s="825"/>
      <c r="T99" s="824"/>
      <c r="U99" s="824"/>
      <c r="V99" s="823"/>
      <c r="W99" s="823"/>
      <c r="X99" s="883"/>
      <c r="AQ99"/>
    </row>
    <row r="100" spans="4:43" s="121" customFormat="1" ht="6" customHeight="1">
      <c r="D100"/>
      <c r="E100"/>
      <c r="N100" s="825"/>
      <c r="O100" s="824"/>
      <c r="P100" s="823"/>
      <c r="Q100" s="825"/>
      <c r="R100" s="823"/>
      <c r="S100" s="825"/>
      <c r="T100" s="824"/>
      <c r="U100" s="824"/>
      <c r="V100" s="823"/>
      <c r="W100" s="823"/>
      <c r="X100" s="883"/>
      <c r="AQ100"/>
    </row>
    <row r="101" spans="4:43" s="121" customFormat="1" ht="6" customHeight="1">
      <c r="D101"/>
      <c r="E101"/>
      <c r="N101" s="825"/>
      <c r="O101" s="824"/>
      <c r="P101" s="823"/>
      <c r="Q101" s="825"/>
      <c r="R101" s="823"/>
      <c r="S101" s="825"/>
      <c r="T101" s="824"/>
      <c r="U101" s="824"/>
      <c r="V101" s="823"/>
      <c r="W101" s="823"/>
      <c r="X101" s="883"/>
      <c r="AQ101"/>
    </row>
    <row r="102" spans="4:43" s="121" customFormat="1" ht="6" customHeight="1">
      <c r="D102"/>
      <c r="E102"/>
      <c r="N102" s="825"/>
      <c r="O102" s="824"/>
      <c r="P102" s="823"/>
      <c r="Q102" s="825"/>
      <c r="R102" s="823"/>
      <c r="S102" s="825"/>
      <c r="T102" s="824"/>
      <c r="U102" s="824"/>
      <c r="V102" s="823"/>
      <c r="W102" s="823"/>
      <c r="X102" s="883"/>
      <c r="AQ102"/>
    </row>
    <row r="103" spans="4:43" s="121" customFormat="1" ht="6" customHeight="1">
      <c r="D103"/>
      <c r="E103"/>
      <c r="N103" s="825"/>
      <c r="O103" s="824"/>
      <c r="P103" s="823"/>
      <c r="Q103" s="825"/>
      <c r="R103" s="823"/>
      <c r="S103" s="825"/>
      <c r="T103" s="824"/>
      <c r="U103" s="824"/>
      <c r="V103" s="823"/>
      <c r="W103" s="823"/>
      <c r="X103" s="883"/>
      <c r="AQ103"/>
    </row>
    <row r="104" spans="4:43" s="121" customFormat="1" ht="6" customHeight="1">
      <c r="D104"/>
      <c r="E104"/>
      <c r="N104" s="825"/>
      <c r="O104" s="824"/>
      <c r="P104" s="823"/>
      <c r="Q104" s="825"/>
      <c r="R104" s="823"/>
      <c r="S104" s="825"/>
      <c r="T104" s="824"/>
      <c r="U104" s="824"/>
      <c r="V104" s="823"/>
      <c r="W104" s="823"/>
      <c r="X104" s="883"/>
      <c r="AQ104"/>
    </row>
    <row r="105" spans="4:43" s="121" customFormat="1" ht="6" customHeight="1">
      <c r="D105"/>
      <c r="E105"/>
      <c r="N105" s="825"/>
      <c r="O105" s="824"/>
      <c r="P105" s="823"/>
      <c r="Q105" s="825"/>
      <c r="R105" s="823"/>
      <c r="S105" s="825"/>
      <c r="T105" s="824"/>
      <c r="U105" s="824"/>
      <c r="V105" s="823"/>
      <c r="W105" s="823"/>
      <c r="X105" s="883"/>
      <c r="AQ105"/>
    </row>
    <row r="106" spans="4:43" s="121" customFormat="1" ht="6" customHeight="1">
      <c r="D106"/>
      <c r="E106"/>
      <c r="N106" s="825"/>
      <c r="O106" s="824"/>
      <c r="P106" s="823"/>
      <c r="Q106" s="825"/>
      <c r="R106" s="823"/>
      <c r="S106" s="825"/>
      <c r="T106" s="824"/>
      <c r="U106" s="824"/>
      <c r="V106" s="823"/>
      <c r="W106" s="823"/>
      <c r="X106" s="883"/>
      <c r="AQ106"/>
    </row>
    <row r="107" spans="4:43" s="121" customFormat="1" ht="6" customHeight="1">
      <c r="D107"/>
      <c r="E107"/>
      <c r="N107" s="825"/>
      <c r="O107" s="824"/>
      <c r="P107" s="823"/>
      <c r="Q107" s="825"/>
      <c r="R107" s="823"/>
      <c r="S107" s="825"/>
      <c r="T107" s="824"/>
      <c r="U107" s="824"/>
      <c r="V107" s="823"/>
      <c r="W107" s="823"/>
      <c r="X107" s="883"/>
      <c r="AQ107"/>
    </row>
    <row r="108" spans="4:43" s="121" customFormat="1" ht="6" customHeight="1">
      <c r="D108"/>
      <c r="E108"/>
      <c r="N108" s="825"/>
      <c r="O108" s="824"/>
      <c r="P108" s="823"/>
      <c r="Q108" s="825"/>
      <c r="R108" s="823"/>
      <c r="S108" s="825"/>
      <c r="T108" s="824"/>
      <c r="U108" s="824"/>
      <c r="V108" s="823"/>
      <c r="W108" s="823"/>
      <c r="X108" s="883"/>
      <c r="AQ108"/>
    </row>
    <row r="109" spans="4:43" s="121" customFormat="1" ht="6" customHeight="1">
      <c r="D109"/>
      <c r="E109"/>
      <c r="N109" s="825"/>
      <c r="O109" s="824"/>
      <c r="P109" s="823"/>
      <c r="Q109" s="825"/>
      <c r="R109" s="823"/>
      <c r="S109" s="825"/>
      <c r="T109" s="824"/>
      <c r="U109" s="824"/>
      <c r="V109" s="823"/>
      <c r="W109" s="823"/>
      <c r="X109" s="883"/>
      <c r="AQ109"/>
    </row>
    <row r="110" spans="4:43" s="121" customFormat="1" ht="6" customHeight="1">
      <c r="D110"/>
      <c r="E110"/>
      <c r="N110" s="825"/>
      <c r="O110" s="824"/>
      <c r="P110" s="823"/>
      <c r="Q110" s="825"/>
      <c r="R110" s="823"/>
      <c r="S110" s="825"/>
      <c r="T110" s="824"/>
      <c r="U110" s="824"/>
      <c r="V110" s="823"/>
      <c r="W110" s="823"/>
      <c r="X110" s="883"/>
      <c r="AQ110"/>
    </row>
    <row r="111" spans="4:43" s="121" customFormat="1" ht="6" customHeight="1">
      <c r="D111"/>
      <c r="E111"/>
      <c r="N111" s="825"/>
      <c r="O111" s="824"/>
      <c r="P111" s="823"/>
      <c r="Q111" s="825"/>
      <c r="R111" s="823"/>
      <c r="S111" s="825"/>
      <c r="T111" s="824"/>
      <c r="U111" s="824"/>
      <c r="V111" s="823"/>
      <c r="W111" s="823"/>
      <c r="X111" s="883"/>
      <c r="AQ111"/>
    </row>
    <row r="112" spans="4:43" s="121" customFormat="1" ht="12" customHeight="1">
      <c r="D112"/>
      <c r="E112"/>
      <c r="H112" s="388" t="s">
        <v>305</v>
      </c>
      <c r="N112" s="825" t="s">
        <v>2579</v>
      </c>
      <c r="O112" s="824"/>
      <c r="P112" s="823"/>
      <c r="Q112" s="825"/>
      <c r="R112" s="823"/>
      <c r="S112" s="825"/>
      <c r="T112" s="824"/>
      <c r="U112" s="824"/>
      <c r="V112" s="823"/>
      <c r="W112" s="823"/>
      <c r="X112" s="883"/>
      <c r="AQ112"/>
    </row>
    <row r="113" spans="4:43" s="121" customFormat="1" ht="6" customHeight="1">
      <c r="D113"/>
      <c r="E113"/>
      <c r="N113" s="825"/>
      <c r="O113" s="824"/>
      <c r="P113" s="823"/>
      <c r="Q113" s="825"/>
      <c r="R113" s="823"/>
      <c r="S113" s="825"/>
      <c r="T113" s="824"/>
      <c r="U113" s="824"/>
      <c r="V113" s="823"/>
      <c r="W113" s="823"/>
      <c r="X113" s="883"/>
      <c r="AQ113"/>
    </row>
    <row r="114" spans="4:43" s="121" customFormat="1" ht="6" customHeight="1">
      <c r="D114"/>
      <c r="E114"/>
      <c r="N114" s="825"/>
      <c r="O114" s="824"/>
      <c r="P114" s="823"/>
      <c r="Q114" s="825"/>
      <c r="R114" s="823"/>
      <c r="S114" s="825"/>
      <c r="T114" s="824"/>
      <c r="U114" s="824"/>
      <c r="V114" s="823"/>
      <c r="W114" s="823"/>
      <c r="X114" s="883"/>
      <c r="AQ114"/>
    </row>
    <row r="115" spans="4:43" s="121" customFormat="1" ht="6" customHeight="1">
      <c r="D115"/>
      <c r="E115"/>
      <c r="N115" s="825"/>
      <c r="O115" s="824"/>
      <c r="P115" s="823"/>
      <c r="Q115" s="825"/>
      <c r="R115" s="823"/>
      <c r="S115" s="825"/>
      <c r="T115" s="824"/>
      <c r="U115" s="824"/>
      <c r="V115" s="823"/>
      <c r="W115" s="823"/>
      <c r="X115" s="883"/>
      <c r="AQ115"/>
    </row>
    <row r="116" spans="4:43" s="121" customFormat="1" ht="6" customHeight="1">
      <c r="D116"/>
      <c r="E116"/>
      <c r="N116" s="825"/>
      <c r="O116" s="824"/>
      <c r="P116" s="823"/>
      <c r="Q116" s="825"/>
      <c r="R116" s="823"/>
      <c r="S116" s="825"/>
      <c r="T116" s="824"/>
      <c r="U116" s="824"/>
      <c r="V116" s="823"/>
      <c r="W116" s="823"/>
      <c r="X116" s="883"/>
      <c r="AQ116"/>
    </row>
    <row r="117" spans="4:43" s="121" customFormat="1" ht="6" customHeight="1">
      <c r="D117"/>
      <c r="E117"/>
      <c r="N117" s="825"/>
      <c r="O117" s="824"/>
      <c r="P117" s="823"/>
      <c r="Q117" s="825"/>
      <c r="R117" s="823"/>
      <c r="S117" s="825"/>
      <c r="T117" s="824"/>
      <c r="U117" s="824"/>
      <c r="V117" s="823"/>
      <c r="W117" s="823"/>
      <c r="X117" s="883"/>
      <c r="AQ117"/>
    </row>
    <row r="118" spans="4:43" s="121" customFormat="1" ht="6" customHeight="1">
      <c r="D118"/>
      <c r="E118"/>
      <c r="N118" s="825"/>
      <c r="O118" s="824"/>
      <c r="P118" s="823"/>
      <c r="Q118" s="825"/>
      <c r="R118" s="823"/>
      <c r="S118" s="825"/>
      <c r="T118" s="824"/>
      <c r="U118" s="824"/>
      <c r="V118" s="823"/>
      <c r="W118" s="823"/>
      <c r="X118" s="883"/>
      <c r="AQ118"/>
    </row>
    <row r="119" spans="4:43" s="121" customFormat="1" ht="6" customHeight="1">
      <c r="D119"/>
      <c r="E119"/>
      <c r="N119" s="825"/>
      <c r="O119" s="824"/>
      <c r="P119" s="823"/>
      <c r="Q119" s="825"/>
      <c r="R119" s="823"/>
      <c r="S119" s="825"/>
      <c r="T119" s="824"/>
      <c r="U119" s="824"/>
      <c r="V119" s="823"/>
      <c r="W119" s="823"/>
      <c r="X119" s="883"/>
      <c r="AQ119"/>
    </row>
    <row r="120" spans="4:43" s="121" customFormat="1" ht="6" customHeight="1">
      <c r="D120"/>
      <c r="E120"/>
      <c r="N120" s="825"/>
      <c r="O120" s="824"/>
      <c r="P120" s="823"/>
      <c r="Q120" s="825"/>
      <c r="R120" s="823"/>
      <c r="S120" s="825"/>
      <c r="T120" s="824"/>
      <c r="U120" s="824"/>
      <c r="V120" s="823"/>
      <c r="W120" s="823"/>
      <c r="X120" s="883"/>
      <c r="AQ120"/>
    </row>
    <row r="121" spans="4:43" s="121" customFormat="1" ht="6" customHeight="1">
      <c r="D121"/>
      <c r="E121"/>
      <c r="N121" s="825"/>
      <c r="O121" s="824"/>
      <c r="P121" s="823"/>
      <c r="Q121" s="825"/>
      <c r="R121" s="823"/>
      <c r="S121" s="825"/>
      <c r="T121" s="824"/>
      <c r="U121" s="824"/>
      <c r="V121" s="823"/>
      <c r="W121" s="823"/>
      <c r="X121" s="883"/>
      <c r="AQ121"/>
    </row>
    <row r="122" spans="4:43" s="121" customFormat="1" ht="6" customHeight="1">
      <c r="D122"/>
      <c r="E122"/>
      <c r="N122" s="825"/>
      <c r="O122" s="824"/>
      <c r="P122" s="823"/>
      <c r="Q122" s="825"/>
      <c r="R122" s="823"/>
      <c r="S122" s="825"/>
      <c r="T122" s="824"/>
      <c r="U122" s="824"/>
      <c r="V122" s="823"/>
      <c r="W122" s="823"/>
      <c r="X122" s="883"/>
      <c r="AQ122"/>
    </row>
    <row r="123" spans="4:43" s="121" customFormat="1" ht="6" customHeight="1">
      <c r="D123"/>
      <c r="E123"/>
      <c r="N123" s="825"/>
      <c r="O123" s="824"/>
      <c r="P123" s="823"/>
      <c r="Q123" s="825"/>
      <c r="R123" s="823"/>
      <c r="S123" s="825"/>
      <c r="T123" s="824"/>
      <c r="U123" s="824"/>
      <c r="V123" s="823"/>
      <c r="W123" s="823"/>
      <c r="X123" s="883"/>
      <c r="AQ123"/>
    </row>
    <row r="124" spans="4:43" s="121" customFormat="1" ht="6" customHeight="1">
      <c r="D124"/>
      <c r="E124"/>
      <c r="N124" s="825"/>
      <c r="O124" s="824"/>
      <c r="P124" s="823"/>
      <c r="Q124" s="825"/>
      <c r="R124" s="823"/>
      <c r="S124" s="825"/>
      <c r="T124" s="824"/>
      <c r="U124" s="824"/>
      <c r="V124" s="823"/>
      <c r="W124" s="823"/>
      <c r="X124" s="883"/>
      <c r="AQ124"/>
    </row>
    <row r="125" spans="4:43" s="121" customFormat="1" ht="6" customHeight="1">
      <c r="D125"/>
      <c r="E125"/>
      <c r="N125" s="825"/>
      <c r="O125" s="824"/>
      <c r="P125" s="823"/>
      <c r="Q125" s="825"/>
      <c r="R125" s="823"/>
      <c r="S125" s="825"/>
      <c r="T125" s="824"/>
      <c r="U125" s="824"/>
      <c r="V125" s="823"/>
      <c r="W125" s="823"/>
      <c r="X125" s="883"/>
      <c r="AQ125"/>
    </row>
    <row r="126" spans="4:43" s="121" customFormat="1" ht="6" customHeight="1">
      <c r="D126"/>
      <c r="E126"/>
      <c r="N126" s="825"/>
      <c r="O126" s="824"/>
      <c r="P126" s="823"/>
      <c r="Q126" s="825"/>
      <c r="R126" s="823"/>
      <c r="S126" s="825"/>
      <c r="T126" s="824"/>
      <c r="U126" s="824"/>
      <c r="V126" s="823"/>
      <c r="W126" s="823"/>
      <c r="X126" s="883"/>
      <c r="AQ126"/>
    </row>
    <row r="127" spans="4:43" s="121" customFormat="1" ht="12" customHeight="1">
      <c r="D127"/>
      <c r="E127"/>
      <c r="H127" s="388" t="s">
        <v>316</v>
      </c>
      <c r="N127" s="825"/>
      <c r="O127" s="824"/>
      <c r="P127" s="824"/>
      <c r="Q127" s="824"/>
      <c r="R127" s="824"/>
      <c r="S127" s="824"/>
      <c r="T127" s="824"/>
      <c r="U127" s="824"/>
      <c r="V127" s="824"/>
      <c r="W127" s="824"/>
      <c r="X127" s="824"/>
      <c r="AQ127"/>
    </row>
    <row r="128" spans="4:43" s="121" customFormat="1" ht="6" customHeight="1">
      <c r="D128"/>
      <c r="E128"/>
      <c r="N128" s="825"/>
      <c r="O128" s="824"/>
      <c r="P128" s="824"/>
      <c r="Q128" s="824"/>
      <c r="R128" s="824"/>
      <c r="S128" s="824"/>
      <c r="T128" s="824"/>
      <c r="U128" s="824"/>
      <c r="V128" s="824"/>
      <c r="W128" s="824"/>
      <c r="X128" s="824"/>
      <c r="AQ128"/>
    </row>
    <row r="129" spans="4:43" s="121" customFormat="1" ht="6" customHeight="1">
      <c r="D129"/>
      <c r="E129"/>
      <c r="N129" s="825"/>
      <c r="O129" s="824"/>
      <c r="P129" s="824"/>
      <c r="Q129" s="824"/>
      <c r="R129" s="824"/>
      <c r="S129" s="824"/>
      <c r="T129" s="824"/>
      <c r="U129" s="824"/>
      <c r="V129" s="824"/>
      <c r="W129" s="824"/>
      <c r="X129" s="824"/>
      <c r="AQ129"/>
    </row>
    <row r="130" spans="4:43" s="121" customFormat="1" ht="6" customHeight="1">
      <c r="D130"/>
      <c r="E130"/>
      <c r="N130" s="825"/>
      <c r="O130" s="824"/>
      <c r="P130" s="824"/>
      <c r="Q130" s="824"/>
      <c r="R130" s="824"/>
      <c r="S130" s="824"/>
      <c r="T130" s="824"/>
      <c r="U130" s="824"/>
      <c r="V130" s="824"/>
      <c r="W130" s="824"/>
      <c r="X130" s="824"/>
      <c r="AQ130"/>
    </row>
    <row r="131" spans="4:43" s="121" customFormat="1" ht="6" customHeight="1">
      <c r="D131"/>
      <c r="E131"/>
      <c r="N131" s="825"/>
      <c r="O131" s="824"/>
      <c r="P131" s="824"/>
      <c r="Q131" s="824"/>
      <c r="R131" s="824"/>
      <c r="S131" s="824"/>
      <c r="T131" s="824"/>
      <c r="U131" s="824"/>
      <c r="V131" s="824"/>
      <c r="W131" s="824"/>
      <c r="X131" s="824"/>
      <c r="AQ131"/>
    </row>
    <row r="132" spans="4:43" s="121" customFormat="1" ht="6" customHeight="1">
      <c r="D132"/>
      <c r="E132"/>
      <c r="N132" s="825"/>
      <c r="O132" s="824"/>
      <c r="P132" s="824"/>
      <c r="Q132" s="824"/>
      <c r="R132" s="824"/>
      <c r="S132" s="824"/>
      <c r="T132" s="824"/>
      <c r="U132" s="824"/>
      <c r="V132" s="824"/>
      <c r="W132" s="824"/>
      <c r="X132" s="824"/>
      <c r="AQ132"/>
    </row>
    <row r="133" spans="4:43" s="121" customFormat="1" ht="6" customHeight="1">
      <c r="D133"/>
      <c r="E133"/>
      <c r="N133" s="825"/>
      <c r="O133" s="824"/>
      <c r="P133" s="824"/>
      <c r="Q133" s="824"/>
      <c r="R133" s="824"/>
      <c r="S133" s="824"/>
      <c r="T133" s="824"/>
      <c r="U133" s="824"/>
      <c r="V133" s="824"/>
      <c r="W133" s="824"/>
      <c r="X133" s="824"/>
      <c r="AQ133"/>
    </row>
    <row r="134" spans="4:43" s="121" customFormat="1" ht="6" customHeight="1">
      <c r="D134"/>
      <c r="E134"/>
      <c r="N134" s="825"/>
      <c r="O134" s="824"/>
      <c r="P134" s="824"/>
      <c r="Q134" s="824"/>
      <c r="R134" s="824"/>
      <c r="S134" s="824"/>
      <c r="T134" s="824"/>
      <c r="U134" s="824"/>
      <c r="V134" s="824"/>
      <c r="W134" s="824"/>
      <c r="X134" s="824"/>
      <c r="AQ134"/>
    </row>
    <row r="135" spans="4:43" s="121" customFormat="1" ht="6" customHeight="1">
      <c r="D135"/>
      <c r="E135"/>
      <c r="N135" s="825"/>
      <c r="O135" s="824"/>
      <c r="P135" s="824"/>
      <c r="Q135" s="824"/>
      <c r="R135" s="824"/>
      <c r="S135" s="824"/>
      <c r="T135" s="824"/>
      <c r="U135" s="824"/>
      <c r="V135" s="824"/>
      <c r="W135" s="824"/>
      <c r="X135" s="824"/>
      <c r="AQ135"/>
    </row>
    <row r="136" spans="4:43" s="121" customFormat="1" ht="6" customHeight="1">
      <c r="D136"/>
      <c r="E136"/>
      <c r="N136" s="825"/>
      <c r="O136" s="824"/>
      <c r="P136" s="824"/>
      <c r="Q136" s="824"/>
      <c r="R136" s="824"/>
      <c r="S136" s="824"/>
      <c r="T136" s="824"/>
      <c r="U136" s="824"/>
      <c r="V136" s="824"/>
      <c r="W136" s="824"/>
      <c r="X136" s="824"/>
      <c r="AQ136"/>
    </row>
    <row r="137" spans="4:43" s="121" customFormat="1" ht="6" customHeight="1">
      <c r="D137"/>
      <c r="E137"/>
      <c r="N137" s="825"/>
      <c r="O137" s="824"/>
      <c r="P137" s="824"/>
      <c r="Q137" s="824"/>
      <c r="R137" s="824"/>
      <c r="S137" s="824"/>
      <c r="T137" s="824"/>
      <c r="U137" s="824"/>
      <c r="V137" s="824"/>
      <c r="W137" s="824"/>
      <c r="X137" s="824"/>
      <c r="AQ137"/>
    </row>
    <row r="138" spans="4:43" s="121" customFormat="1" ht="6" customHeight="1">
      <c r="D138"/>
      <c r="E138"/>
      <c r="N138" s="825"/>
      <c r="O138" s="824"/>
      <c r="P138" s="824"/>
      <c r="Q138" s="824"/>
      <c r="R138" s="824"/>
      <c r="S138" s="824"/>
      <c r="T138" s="824"/>
      <c r="U138" s="824"/>
      <c r="V138" s="824"/>
      <c r="W138" s="824"/>
      <c r="X138" s="824"/>
      <c r="AQ138"/>
    </row>
    <row r="139" spans="4:43" s="121" customFormat="1" ht="6" customHeight="1">
      <c r="D139"/>
      <c r="E139"/>
      <c r="N139" s="825"/>
      <c r="O139" s="824"/>
      <c r="P139" s="824"/>
      <c r="Q139" s="824"/>
      <c r="R139" s="824"/>
      <c r="S139" s="824"/>
      <c r="T139" s="824"/>
      <c r="U139" s="824"/>
      <c r="V139" s="824"/>
      <c r="W139" s="824"/>
      <c r="X139" s="824"/>
      <c r="AQ139"/>
    </row>
    <row r="140" spans="4:43" s="121" customFormat="1" ht="6" customHeight="1">
      <c r="D140"/>
      <c r="E140"/>
      <c r="N140" s="825"/>
      <c r="O140" s="824"/>
      <c r="P140" s="824"/>
      <c r="Q140" s="824"/>
      <c r="R140" s="824"/>
      <c r="S140" s="824"/>
      <c r="T140" s="824"/>
      <c r="U140" s="824"/>
      <c r="V140" s="824"/>
      <c r="W140" s="824"/>
      <c r="X140" s="824"/>
      <c r="AQ140"/>
    </row>
    <row r="141" spans="4:43" s="121" customFormat="1" ht="6" customHeight="1">
      <c r="D141"/>
      <c r="E141"/>
      <c r="N141" s="825"/>
      <c r="O141" s="824"/>
      <c r="P141" s="824"/>
      <c r="Q141" s="824"/>
      <c r="R141" s="824"/>
      <c r="S141" s="824"/>
      <c r="T141" s="824"/>
      <c r="U141" s="824"/>
      <c r="V141" s="824"/>
      <c r="W141" s="824"/>
      <c r="X141" s="824"/>
      <c r="AQ141"/>
    </row>
    <row r="142" spans="4:43" s="121" customFormat="1" ht="12" customHeight="1">
      <c r="D142"/>
      <c r="E142"/>
      <c r="H142" s="388" t="s">
        <v>306</v>
      </c>
      <c r="J142" s="825"/>
      <c r="K142" s="824"/>
      <c r="L142" s="824"/>
      <c r="M142" s="824"/>
      <c r="N142" s="824"/>
      <c r="O142" s="824"/>
      <c r="P142" s="824"/>
      <c r="Q142" s="824"/>
      <c r="R142" s="824"/>
      <c r="S142" s="824"/>
      <c r="T142" s="824"/>
      <c r="U142" s="824"/>
      <c r="V142" s="824"/>
      <c r="W142" s="824"/>
      <c r="X142" s="824"/>
      <c r="AQ142"/>
    </row>
    <row r="143" spans="4:43" s="121" customFormat="1" ht="6" customHeight="1">
      <c r="D143"/>
      <c r="E143"/>
      <c r="J143" s="825"/>
      <c r="K143" s="824"/>
      <c r="L143" s="824"/>
      <c r="M143" s="824"/>
      <c r="N143" s="824"/>
      <c r="O143" s="824"/>
      <c r="P143" s="824"/>
      <c r="Q143" s="824"/>
      <c r="R143" s="824"/>
      <c r="S143" s="824"/>
      <c r="T143" s="824"/>
      <c r="U143" s="824"/>
      <c r="V143" s="824"/>
      <c r="W143" s="824"/>
      <c r="X143" s="824"/>
      <c r="AQ143"/>
    </row>
    <row r="144" spans="4:43" s="121" customFormat="1" ht="6" customHeight="1">
      <c r="D144"/>
      <c r="E144"/>
      <c r="J144" s="825"/>
      <c r="K144" s="824"/>
      <c r="L144" s="824"/>
      <c r="M144" s="824"/>
      <c r="N144" s="824"/>
      <c r="O144" s="824"/>
      <c r="P144" s="824"/>
      <c r="Q144" s="824"/>
      <c r="R144" s="824"/>
      <c r="S144" s="824"/>
      <c r="T144" s="824"/>
      <c r="U144" s="824"/>
      <c r="V144" s="824"/>
      <c r="W144" s="824"/>
      <c r="X144" s="824"/>
      <c r="AQ144"/>
    </row>
    <row r="145" spans="4:111" s="121" customFormat="1" ht="6" customHeight="1">
      <c r="D145"/>
      <c r="E145"/>
      <c r="J145" s="825"/>
      <c r="K145" s="824"/>
      <c r="L145" s="824"/>
      <c r="M145" s="824"/>
      <c r="N145" s="824"/>
      <c r="O145" s="824"/>
      <c r="P145" s="824"/>
      <c r="Q145" s="824"/>
      <c r="R145" s="824"/>
      <c r="S145" s="824"/>
      <c r="T145" s="824"/>
      <c r="U145" s="824"/>
      <c r="V145" s="824"/>
      <c r="W145" s="824"/>
      <c r="X145" s="824"/>
      <c r="AQ145"/>
    </row>
    <row r="146" spans="4:111" s="121" customFormat="1" ht="6" customHeight="1">
      <c r="D146"/>
      <c r="E146"/>
      <c r="J146" s="825"/>
      <c r="K146" s="824"/>
      <c r="L146" s="824"/>
      <c r="M146" s="824"/>
      <c r="N146" s="824"/>
      <c r="O146" s="824"/>
      <c r="P146" s="824"/>
      <c r="Q146" s="824"/>
      <c r="R146" s="824"/>
      <c r="S146" s="824"/>
      <c r="T146" s="824"/>
      <c r="U146" s="824"/>
      <c r="V146" s="824"/>
      <c r="W146" s="824"/>
      <c r="X146" s="824"/>
      <c r="AQ146"/>
    </row>
    <row r="147" spans="4:111" s="121" customFormat="1" ht="6" customHeight="1">
      <c r="D147"/>
      <c r="E147"/>
      <c r="J147" s="825"/>
      <c r="K147" s="824"/>
      <c r="L147" s="824"/>
      <c r="M147" s="824"/>
      <c r="N147" s="824"/>
      <c r="O147" s="824"/>
      <c r="P147" s="824"/>
      <c r="Q147" s="824"/>
      <c r="R147" s="824"/>
      <c r="S147" s="824"/>
      <c r="T147" s="824"/>
      <c r="U147" s="824"/>
      <c r="V147" s="824"/>
      <c r="W147" s="824"/>
      <c r="X147" s="824"/>
      <c r="AQ147"/>
    </row>
    <row r="148" spans="4:111" s="121" customFormat="1" ht="6" customHeight="1">
      <c r="D148"/>
      <c r="E148"/>
      <c r="J148" s="825"/>
      <c r="K148" s="824"/>
      <c r="L148" s="824"/>
      <c r="M148" s="824"/>
      <c r="N148" s="824"/>
      <c r="O148" s="824"/>
      <c r="P148" s="824"/>
      <c r="Q148" s="824"/>
      <c r="R148" s="824"/>
      <c r="S148" s="824"/>
      <c r="T148" s="824"/>
      <c r="U148" s="824"/>
      <c r="V148" s="824"/>
      <c r="W148" s="824"/>
      <c r="X148" s="824"/>
      <c r="AQ148"/>
    </row>
    <row r="149" spans="4:111" s="121" customFormat="1" ht="6" customHeight="1">
      <c r="D149"/>
      <c r="E149"/>
      <c r="J149" s="825"/>
      <c r="K149" s="824"/>
      <c r="L149" s="824"/>
      <c r="M149" s="824"/>
      <c r="N149" s="824"/>
      <c r="O149" s="824"/>
      <c r="P149" s="824"/>
      <c r="Q149" s="824"/>
      <c r="R149" s="824"/>
      <c r="S149" s="824"/>
      <c r="T149" s="824"/>
      <c r="U149" s="824"/>
      <c r="V149" s="824"/>
      <c r="W149" s="824"/>
      <c r="X149" s="824"/>
      <c r="AQ149"/>
    </row>
    <row r="150" spans="4:111" s="121" customFormat="1" ht="6" customHeight="1">
      <c r="D150"/>
      <c r="E150"/>
      <c r="J150" s="825"/>
      <c r="K150" s="824"/>
      <c r="L150" s="824"/>
      <c r="M150" s="824"/>
      <c r="N150" s="824"/>
      <c r="O150" s="824"/>
      <c r="P150" s="824"/>
      <c r="Q150" s="824"/>
      <c r="R150" s="824"/>
      <c r="S150" s="824"/>
      <c r="T150" s="824"/>
      <c r="U150" s="824"/>
      <c r="V150" s="824"/>
      <c r="W150" s="824"/>
      <c r="X150" s="824"/>
      <c r="AQ150"/>
    </row>
    <row r="151" spans="4:111" s="121" customFormat="1" ht="6" customHeight="1">
      <c r="D151"/>
      <c r="E151"/>
      <c r="J151" s="825"/>
      <c r="K151" s="824"/>
      <c r="L151" s="824"/>
      <c r="M151" s="824"/>
      <c r="N151" s="824"/>
      <c r="O151" s="824"/>
      <c r="P151" s="824"/>
      <c r="Q151" s="824"/>
      <c r="R151" s="824"/>
      <c r="S151" s="824"/>
      <c r="T151" s="824"/>
      <c r="U151" s="824"/>
      <c r="V151" s="824"/>
      <c r="W151" s="824"/>
      <c r="X151" s="824"/>
      <c r="AQ151"/>
    </row>
    <row r="152" spans="4:111" s="121" customFormat="1" ht="6" customHeight="1">
      <c r="D152"/>
      <c r="E152"/>
      <c r="J152" s="825"/>
      <c r="K152" s="824"/>
      <c r="L152" s="824"/>
      <c r="M152" s="824"/>
      <c r="N152" s="824"/>
      <c r="O152" s="824"/>
      <c r="P152" s="824"/>
      <c r="Q152" s="824"/>
      <c r="R152" s="824"/>
      <c r="S152" s="824"/>
      <c r="T152" s="824"/>
      <c r="U152" s="824"/>
      <c r="V152" s="824"/>
      <c r="W152" s="824"/>
      <c r="X152" s="824"/>
      <c r="AQ152"/>
    </row>
    <row r="153" spans="4:111" s="121" customFormat="1" ht="6" customHeight="1">
      <c r="D153"/>
      <c r="E153"/>
      <c r="J153" s="825"/>
      <c r="K153" s="824"/>
      <c r="L153" s="824"/>
      <c r="M153" s="824"/>
      <c r="N153" s="824"/>
      <c r="O153" s="824"/>
      <c r="P153" s="824"/>
      <c r="Q153" s="824"/>
      <c r="R153" s="824"/>
      <c r="S153" s="824"/>
      <c r="T153" s="824"/>
      <c r="U153" s="824"/>
      <c r="V153" s="824"/>
      <c r="W153" s="824"/>
      <c r="X153" s="824"/>
      <c r="AQ153"/>
    </row>
    <row r="154" spans="4:111" s="121" customFormat="1" ht="6" customHeight="1">
      <c r="D154"/>
      <c r="E154"/>
      <c r="J154" s="825"/>
      <c r="K154" s="824"/>
      <c r="L154" s="824"/>
      <c r="M154" s="824"/>
      <c r="N154" s="824"/>
      <c r="O154" s="824"/>
      <c r="P154" s="824"/>
      <c r="Q154" s="824"/>
      <c r="R154" s="824"/>
      <c r="S154" s="824"/>
      <c r="T154" s="824"/>
      <c r="U154" s="824"/>
      <c r="V154" s="824"/>
      <c r="W154" s="824"/>
      <c r="X154" s="824"/>
      <c r="AQ154"/>
    </row>
    <row r="155" spans="4:111" s="121" customFormat="1" ht="6" customHeight="1">
      <c r="D155"/>
      <c r="E155"/>
      <c r="J155" s="825"/>
      <c r="K155" s="824"/>
      <c r="L155" s="824"/>
      <c r="M155" s="824"/>
      <c r="N155" s="824"/>
      <c r="O155" s="824"/>
      <c r="P155" s="824"/>
      <c r="Q155" s="824"/>
      <c r="R155" s="824"/>
      <c r="S155" s="824"/>
      <c r="T155" s="824"/>
      <c r="U155" s="824"/>
      <c r="V155" s="824"/>
      <c r="W155" s="824"/>
      <c r="X155" s="824"/>
      <c r="AQ155"/>
    </row>
    <row r="156" spans="4:111" s="121" customFormat="1" ht="6" customHeight="1">
      <c r="D156"/>
      <c r="E156"/>
      <c r="J156" s="825"/>
      <c r="K156" s="824"/>
      <c r="L156" s="824"/>
      <c r="M156" s="824"/>
      <c r="N156" s="824"/>
      <c r="O156" s="824"/>
      <c r="P156" s="824"/>
      <c r="Q156" s="824"/>
      <c r="R156" s="824"/>
      <c r="S156" s="824"/>
      <c r="T156" s="824"/>
      <c r="U156" s="824"/>
      <c r="V156" s="824"/>
      <c r="W156" s="824"/>
      <c r="X156" s="824"/>
      <c r="AQ156"/>
    </row>
    <row r="157" spans="4:111" s="121" customFormat="1">
      <c r="D157"/>
      <c r="E157"/>
      <c r="AQ157"/>
    </row>
    <row r="158" spans="4:111" s="121" customFormat="1">
      <c r="D158"/>
      <c r="E158"/>
      <c r="AT158"/>
    </row>
    <row r="159" spans="4:111" s="121" customFormat="1">
      <c r="D159"/>
      <c r="E159"/>
      <c r="AV159"/>
    </row>
    <row r="160" spans="4:111" s="164" customFormat="1" ht="12" customHeight="1">
      <c r="D160" s="165"/>
      <c r="E160" s="166"/>
      <c r="F160" s="158"/>
      <c r="G160" s="167"/>
      <c r="H160" s="180"/>
      <c r="J160" s="120"/>
      <c r="K160" s="871"/>
      <c r="L160" s="871"/>
      <c r="M160" s="871"/>
      <c r="N160" s="871"/>
      <c r="O160" s="871"/>
      <c r="P160" s="871"/>
      <c r="Q160" s="871"/>
      <c r="R160" s="871"/>
      <c r="S160" s="871"/>
      <c r="T160" s="871"/>
      <c r="U160" s="871"/>
      <c r="V160" s="871"/>
      <c r="W160" s="871"/>
      <c r="X160" s="871"/>
      <c r="Y160" s="180"/>
      <c r="Z160" s="180"/>
      <c r="AA160" s="180"/>
      <c r="AB160" s="180"/>
      <c r="AC160" s="180"/>
      <c r="AD160" s="180"/>
      <c r="AE160" s="180"/>
      <c r="AF160" s="180"/>
      <c r="AG160" s="180"/>
      <c r="AH160" s="180"/>
      <c r="AI160" s="180"/>
      <c r="AJ160" s="180"/>
      <c r="AK160" s="180"/>
      <c r="AL160" s="180"/>
      <c r="AM160" s="180"/>
      <c r="AN160" s="180"/>
      <c r="AO160" s="180"/>
      <c r="AP160" s="180"/>
      <c r="AQ160" s="180"/>
      <c r="AR160" s="180"/>
      <c r="AS160" s="180"/>
      <c r="AT160" s="180"/>
      <c r="AU160" s="180"/>
      <c r="AV160" s="180"/>
      <c r="AW160" s="180"/>
      <c r="AX160" s="180"/>
      <c r="AY160" s="180"/>
      <c r="AZ160" s="180"/>
      <c r="BA160" s="180"/>
      <c r="BB160" s="180"/>
      <c r="BC160" s="180"/>
      <c r="BD160" s="180"/>
      <c r="BE160" s="180"/>
      <c r="BF160" s="180"/>
      <c r="BG160" s="180"/>
      <c r="BH160" s="180"/>
      <c r="BI160" s="180"/>
      <c r="BJ160" s="180"/>
      <c r="BK160" s="180"/>
      <c r="BL160" s="180"/>
      <c r="BM160" s="180"/>
      <c r="BN160" s="180"/>
      <c r="BO160" s="180"/>
      <c r="BP160" s="180"/>
      <c r="BQ160" s="180"/>
      <c r="BR160" s="180"/>
      <c r="BS160" s="180"/>
      <c r="BT160" s="180"/>
      <c r="BU160" s="180"/>
      <c r="BV160" s="180"/>
      <c r="BW160" s="180"/>
      <c r="BX160" s="180"/>
      <c r="BY160" s="180"/>
      <c r="BZ160" s="180"/>
      <c r="CA160" s="180"/>
      <c r="CB160" s="180"/>
      <c r="CC160" s="180"/>
      <c r="CD160" s="180"/>
      <c r="CE160" s="180"/>
      <c r="CF160" s="180"/>
      <c r="CG160" s="180"/>
      <c r="CH160" s="180"/>
      <c r="CI160" s="180"/>
      <c r="CJ160" s="180"/>
      <c r="CK160" s="180"/>
      <c r="CL160" s="180"/>
      <c r="CM160" s="180"/>
      <c r="CN160" s="180"/>
      <c r="CO160" s="180"/>
      <c r="CP160" s="180"/>
      <c r="CQ160" s="180"/>
      <c r="CR160" s="180"/>
      <c r="CS160" s="180"/>
      <c r="CT160" s="180"/>
      <c r="CU160" s="180"/>
      <c r="CV160" s="180"/>
      <c r="CW160" s="180"/>
      <c r="CX160" s="180"/>
      <c r="CY160" s="180"/>
      <c r="CZ160" s="180"/>
      <c r="DA160" s="180"/>
      <c r="DB160" s="180"/>
      <c r="DC160" s="180"/>
      <c r="DD160" s="180"/>
      <c r="DE160" s="180"/>
      <c r="DF160" s="180"/>
      <c r="DG160" s="180"/>
    </row>
    <row r="161" spans="1:152" s="39" customFormat="1" ht="27" customHeight="1">
      <c r="A161" s="162"/>
      <c r="B161" s="162"/>
      <c r="C161" s="162"/>
      <c r="D161" s="159"/>
      <c r="E161" s="184"/>
      <c r="F161" s="827" t="s">
        <v>641</v>
      </c>
      <c r="G161" s="827" t="s">
        <v>735</v>
      </c>
      <c r="H161" s="854" t="str">
        <f>IF(CALC_IDENTIFIER="","",CALC_IDENTIFIER)</f>
        <v/>
      </c>
      <c r="I161" s="855"/>
      <c r="J161" s="827" t="s">
        <v>626</v>
      </c>
      <c r="K161" s="826" t="s">
        <v>2584</v>
      </c>
      <c r="L161" s="826"/>
      <c r="M161" s="826"/>
      <c r="N161" s="826" t="s">
        <v>2569</v>
      </c>
      <c r="O161" s="826"/>
      <c r="P161" s="826" t="s">
        <v>2570</v>
      </c>
      <c r="Q161" s="826"/>
      <c r="R161" s="826" t="s">
        <v>2862</v>
      </c>
      <c r="S161" s="826"/>
      <c r="T161" s="826"/>
      <c r="U161" s="826"/>
      <c r="V161" s="826" t="s">
        <v>2571</v>
      </c>
      <c r="W161" s="826"/>
      <c r="X161" s="826" t="s">
        <v>2572</v>
      </c>
      <c r="Y161" s="872"/>
      <c r="Z161" s="873"/>
      <c r="AA161" s="872" t="str">
        <f>"Средневзвешенный тариф на услуги по передаче (транспортировке) " &amp; RESOURCE_IDENTIFIER &amp; " с учётом инвестиционной составляющей, " &amp; IF(TRANSMISSION_TARIFF="","?",TRANSMISSION_TARIFF)</f>
        <v>Средневзвешенный тариф на услуги по передаче (транспортировке) стоков с учётом инвестиционной составляющей, руб/куб.м</v>
      </c>
      <c r="AB161" s="873"/>
      <c r="AC161" s="872" t="str">
        <f>"Средневзвешенный тариф на услуги по передаче (транспортировке) " &amp; RESOURCE_IDENTIFIER &amp; " без учёта инвестиционной составляющей, " &amp; IF(TRANSMISSION_TARIFF="","?",TRANSMISSION_TARIFF)</f>
        <v>Средневзвешенный тариф на услуги по передаче (транспортировке) стоков без учёта инвестиционной составляющей, руб/куб.м</v>
      </c>
      <c r="AD161" s="873"/>
      <c r="AE161" s="879" t="str">
        <f>"Объём " &amp; IF(RESOURCE_IDENTIFIER="стоков","перекачиваемых " &amp; RESOURCE_IDENTIFIER,"передаваемой " &amp; RESOURCE_IDENTIFIER) &amp; " при транспортировке, "&amp; IF(TRANSMISSION_TARIFF="руб/Гкал","Гкал",IF(TRANSMISSION_TARIFF="руб/Гкал*час в мес","Гкал*час в мес",IF(TRANSMISSION_TARIFF="руб/куб.м","куб.м","(размерность не указана)")))</f>
        <v>Объём перекачиваемых стоков при транспортировке, куб.м</v>
      </c>
      <c r="AF161" s="872" t="str">
        <f>"Инвестиционная составляющая, " &amp; IF(TRANSMISSION_TARIFF="","?",TRANSMISSION_TARIFF)</f>
        <v>Инвестиционная составляющая, руб/куб.м</v>
      </c>
      <c r="AG161" s="873"/>
      <c r="AH161" s="872"/>
      <c r="AI161" s="873"/>
      <c r="AJ161" s="879"/>
      <c r="AK161" s="828" t="s">
        <v>3154</v>
      </c>
      <c r="AL161" s="828"/>
      <c r="AM161" s="828"/>
      <c r="AN161" s="828" t="s">
        <v>424</v>
      </c>
      <c r="AO161" s="828"/>
      <c r="AP161" s="828"/>
      <c r="AQ161" s="828" t="s">
        <v>3155</v>
      </c>
      <c r="AR161" s="828"/>
      <c r="AS161" s="828"/>
      <c r="AT161" s="828" t="s">
        <v>3156</v>
      </c>
      <c r="AU161" s="828"/>
      <c r="AV161" s="878"/>
      <c r="AW161" s="828" t="s">
        <v>3157</v>
      </c>
      <c r="AX161" s="828"/>
      <c r="AY161" s="828"/>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c r="CT161" s="185"/>
      <c r="CU161" s="185"/>
      <c r="CV161" s="185"/>
      <c r="CW161" s="185"/>
      <c r="CX161" s="185"/>
      <c r="CY161" s="185"/>
      <c r="CZ161" s="185"/>
      <c r="DA161" s="185"/>
      <c r="DB161" s="185"/>
      <c r="DC161" s="185"/>
      <c r="DD161" s="185"/>
      <c r="DE161" s="185"/>
      <c r="DF161" s="185"/>
      <c r="DG161" s="185"/>
      <c r="DH161" s="162"/>
      <c r="DI161" s="162"/>
      <c r="DJ161" s="162"/>
      <c r="DK161" s="162"/>
      <c r="DL161" s="162"/>
      <c r="DM161" s="162"/>
      <c r="DN161" s="162"/>
      <c r="DO161" s="162"/>
      <c r="DP161" s="162"/>
      <c r="DQ161" s="162"/>
      <c r="DR161"/>
      <c r="DS161"/>
      <c r="DT161"/>
      <c r="DU161"/>
      <c r="DV161"/>
      <c r="DW161"/>
      <c r="DX161"/>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62"/>
      <c r="EV161" s="162"/>
    </row>
    <row r="162" spans="1:152" s="39" customFormat="1" ht="69" customHeight="1">
      <c r="A162" s="162"/>
      <c r="B162" s="162"/>
      <c r="C162" s="162"/>
      <c r="D162" s="159"/>
      <c r="E162" s="184"/>
      <c r="F162" s="827"/>
      <c r="G162" s="827"/>
      <c r="H162" s="856"/>
      <c r="I162" s="857"/>
      <c r="J162" s="827"/>
      <c r="K162" s="802" t="s">
        <v>2581</v>
      </c>
      <c r="L162" s="802" t="s">
        <v>2582</v>
      </c>
      <c r="M162" s="802" t="s">
        <v>2583</v>
      </c>
      <c r="N162" s="802"/>
      <c r="O162" s="802"/>
      <c r="P162" s="802" t="s">
        <v>2573</v>
      </c>
      <c r="Q162" s="802" t="s">
        <v>2574</v>
      </c>
      <c r="R162" s="802" t="s">
        <v>2573</v>
      </c>
      <c r="S162" s="802" t="s">
        <v>2574</v>
      </c>
      <c r="T162" s="802"/>
      <c r="U162" s="802"/>
      <c r="V162" s="802" t="s">
        <v>2575</v>
      </c>
      <c r="W162" s="802" t="s">
        <v>2576</v>
      </c>
      <c r="X162" s="802"/>
      <c r="Y162" s="874"/>
      <c r="Z162" s="875"/>
      <c r="AA162" s="874"/>
      <c r="AB162" s="875"/>
      <c r="AC162" s="874"/>
      <c r="AD162" s="875"/>
      <c r="AE162" s="879"/>
      <c r="AF162" s="874"/>
      <c r="AG162" s="875"/>
      <c r="AH162" s="874"/>
      <c r="AI162" s="875"/>
      <c r="AJ162" s="879"/>
      <c r="AK162" s="828" t="str">
        <f>"Тариф, " &amp; IF(TRANSMISSION_TARIFF="","?",TRANSMISSION_TARIFF)</f>
        <v>Тариф, руб/куб.м</v>
      </c>
      <c r="AL162" s="828"/>
      <c r="AM162"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N162" s="828" t="str">
        <f>"Тариф, " &amp; IF(TRANSMISSION_TARIFF="","?",TRANSMISSION_TARIFF)</f>
        <v>Тариф, руб/куб.м</v>
      </c>
      <c r="AO162" s="828"/>
      <c r="AP162"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Q162" s="828" t="str">
        <f>"Тариф, " &amp; IF(TRANSMISSION_TARIFF="","?",TRANSMISSION_TARIFF)</f>
        <v>Тариф, руб/куб.м</v>
      </c>
      <c r="AR162" s="828"/>
      <c r="AS162"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T162" s="828" t="str">
        <f>"Тариф, " &amp; IF(TRANSMISSION_TARIFF="","?",TRANSMISSION_TARIFF)</f>
        <v>Тариф, руб/куб.м</v>
      </c>
      <c r="AU162" s="828"/>
      <c r="AV162"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W162" s="828" t="str">
        <f>"Тариф, " &amp; IF(TRANSMISSION_TARIFF="","?",TRANSMISSION_TARIFF)</f>
        <v>Тариф, руб/куб.м</v>
      </c>
      <c r="AX162" s="828"/>
      <c r="AY162"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c r="CH162" s="185"/>
      <c r="CI162" s="185"/>
      <c r="CJ162" s="185"/>
      <c r="CK162" s="185"/>
      <c r="CL162" s="185"/>
      <c r="CM162" s="185"/>
      <c r="CN162" s="185"/>
      <c r="CO162" s="185"/>
      <c r="CP162" s="185"/>
      <c r="CQ162" s="185"/>
      <c r="CR162" s="185"/>
      <c r="CS162" s="185"/>
      <c r="CT162" s="185"/>
      <c r="CU162" s="185"/>
      <c r="CV162" s="185"/>
      <c r="CW162" s="185"/>
      <c r="CX162" s="185"/>
      <c r="CY162" s="185"/>
      <c r="CZ162" s="185"/>
      <c r="DA162" s="185"/>
      <c r="DB162" s="185"/>
      <c r="DC162" s="185"/>
      <c r="DD162" s="185"/>
      <c r="DE162" s="185"/>
      <c r="DF162" s="185"/>
      <c r="DG162" s="185"/>
      <c r="DH162" s="162"/>
      <c r="DI162" s="162"/>
      <c r="DJ162" s="162"/>
      <c r="DK162" s="162"/>
      <c r="DL162" s="162"/>
      <c r="DM162" s="162"/>
      <c r="DN162" s="162"/>
      <c r="DO162" s="162"/>
      <c r="DP162" s="162"/>
      <c r="DQ162" s="162"/>
      <c r="DR162"/>
      <c r="DS162"/>
      <c r="DT162"/>
      <c r="DU162"/>
      <c r="DV162"/>
      <c r="DW162"/>
      <c r="DX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62"/>
      <c r="EV162" s="162"/>
    </row>
    <row r="163" spans="1:152" s="39" customFormat="1" ht="18" customHeight="1">
      <c r="A163" s="162"/>
      <c r="B163" s="162"/>
      <c r="C163" s="162"/>
      <c r="D163" s="159"/>
      <c r="E163" s="184"/>
      <c r="F163" s="827"/>
      <c r="G163" s="827"/>
      <c r="H163" s="858"/>
      <c r="I163" s="859"/>
      <c r="J163" s="827"/>
      <c r="K163" s="802"/>
      <c r="L163" s="802"/>
      <c r="M163" s="802"/>
      <c r="N163" s="802"/>
      <c r="O163" s="802"/>
      <c r="P163" s="802"/>
      <c r="Q163" s="802"/>
      <c r="R163" s="802"/>
      <c r="S163" s="802"/>
      <c r="T163" s="802"/>
      <c r="U163" s="802"/>
      <c r="V163" s="802"/>
      <c r="W163" s="802"/>
      <c r="X163" s="802"/>
      <c r="Y163" s="128"/>
      <c r="Z163" s="128"/>
      <c r="AA163" s="128" t="s">
        <v>627</v>
      </c>
      <c r="AB163" s="128" t="s">
        <v>628</v>
      </c>
      <c r="AC163" s="128" t="s">
        <v>627</v>
      </c>
      <c r="AD163" s="128" t="s">
        <v>628</v>
      </c>
      <c r="AE163" s="879"/>
      <c r="AF163" s="128" t="s">
        <v>627</v>
      </c>
      <c r="AG163" s="128" t="s">
        <v>628</v>
      </c>
      <c r="AH163" s="128"/>
      <c r="AI163" s="128"/>
      <c r="AJ163" s="879"/>
      <c r="AK163" s="128" t="s">
        <v>627</v>
      </c>
      <c r="AL163" s="128" t="s">
        <v>628</v>
      </c>
      <c r="AM163" s="831"/>
      <c r="AN163" s="128" t="s">
        <v>627</v>
      </c>
      <c r="AO163" s="128" t="s">
        <v>628</v>
      </c>
      <c r="AP163" s="831"/>
      <c r="AQ163" s="128" t="s">
        <v>627</v>
      </c>
      <c r="AR163" s="128" t="s">
        <v>628</v>
      </c>
      <c r="AS163" s="831"/>
      <c r="AT163" s="128" t="s">
        <v>627</v>
      </c>
      <c r="AU163" s="128" t="s">
        <v>628</v>
      </c>
      <c r="AV163" s="831"/>
      <c r="AW163" s="128" t="s">
        <v>627</v>
      </c>
      <c r="AX163" s="128" t="s">
        <v>628</v>
      </c>
      <c r="AY163" s="831"/>
      <c r="AZ163" s="185"/>
      <c r="BA163" s="185"/>
      <c r="BB163" s="185"/>
      <c r="BC163" s="185"/>
      <c r="BD163" s="185"/>
      <c r="BE163" s="185"/>
      <c r="BF163" s="185"/>
      <c r="BG163" s="185"/>
      <c r="BH163" s="185"/>
      <c r="BI163" s="185"/>
      <c r="BJ163" s="185"/>
      <c r="BK163" s="185"/>
      <c r="BL163" s="185"/>
      <c r="BM163" s="185"/>
      <c r="BN163" s="185"/>
      <c r="BO163" s="185"/>
      <c r="BP163" s="185"/>
      <c r="BQ163" s="185"/>
      <c r="BR163" s="185"/>
      <c r="BS163" s="185"/>
      <c r="BT163" s="185"/>
      <c r="BU163" s="185"/>
      <c r="BV163" s="185"/>
      <c r="BW163" s="185"/>
      <c r="BX163" s="185"/>
      <c r="BY163" s="185"/>
      <c r="BZ163" s="185"/>
      <c r="CA163" s="185"/>
      <c r="CB163" s="185"/>
      <c r="CC163" s="185"/>
      <c r="CD163" s="185"/>
      <c r="CE163" s="185"/>
      <c r="CF163" s="185"/>
      <c r="CG163" s="185"/>
      <c r="CH163" s="185"/>
      <c r="CI163" s="185"/>
      <c r="CJ163" s="185"/>
      <c r="CK163" s="185"/>
      <c r="CL163" s="185"/>
      <c r="CM163" s="185"/>
      <c r="CN163" s="185"/>
      <c r="CO163" s="185"/>
      <c r="CP163" s="185"/>
      <c r="CQ163" s="185"/>
      <c r="CR163" s="185"/>
      <c r="CS163" s="185"/>
      <c r="CT163" s="185"/>
      <c r="CU163" s="185"/>
      <c r="CV163" s="185"/>
      <c r="CW163" s="185"/>
      <c r="CX163" s="185"/>
      <c r="CY163" s="185"/>
      <c r="CZ163" s="185"/>
      <c r="DA163" s="185"/>
      <c r="DB163" s="185"/>
      <c r="DC163" s="185"/>
      <c r="DD163" s="185"/>
      <c r="DE163" s="185"/>
      <c r="DF163"/>
      <c r="DG163"/>
      <c r="DH163"/>
      <c r="DI163"/>
      <c r="DJ163"/>
      <c r="DK163"/>
      <c r="DL163"/>
      <c r="DM163"/>
      <c r="DN163"/>
      <c r="DO163"/>
      <c r="DP163"/>
      <c r="DQ163"/>
      <c r="DR163"/>
      <c r="DS163"/>
      <c r="DT163"/>
      <c r="DU163"/>
      <c r="DV163"/>
      <c r="DW163"/>
      <c r="DX163"/>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62"/>
      <c r="EV163" s="162"/>
    </row>
    <row r="164" spans="1:152" s="39" customFormat="1" ht="12" customHeight="1">
      <c r="A164" s="162"/>
      <c r="B164" s="162"/>
      <c r="C164" s="162"/>
      <c r="D164" s="159"/>
      <c r="E164" s="184"/>
      <c r="F164" s="182"/>
      <c r="G164" s="182" t="s">
        <v>759</v>
      </c>
      <c r="H164" s="183" t="s">
        <v>629</v>
      </c>
      <c r="I164" s="183" t="s">
        <v>630</v>
      </c>
      <c r="J164" s="183" t="s">
        <v>631</v>
      </c>
      <c r="K164" s="183" t="s">
        <v>2851</v>
      </c>
      <c r="L164" s="183" t="s">
        <v>2852</v>
      </c>
      <c r="M164" s="183" t="s">
        <v>2853</v>
      </c>
      <c r="N164" s="183" t="s">
        <v>2854</v>
      </c>
      <c r="O164" s="183"/>
      <c r="P164" s="183" t="s">
        <v>2855</v>
      </c>
      <c r="Q164" s="183" t="s">
        <v>2856</v>
      </c>
      <c r="R164" s="183" t="s">
        <v>2857</v>
      </c>
      <c r="S164" s="183" t="s">
        <v>2858</v>
      </c>
      <c r="T164" s="183"/>
      <c r="U164" s="183"/>
      <c r="V164" s="183" t="s">
        <v>2859</v>
      </c>
      <c r="W164" s="183" t="s">
        <v>2860</v>
      </c>
      <c r="X164" s="183" t="s">
        <v>2861</v>
      </c>
      <c r="Y164" s="183"/>
      <c r="Z164" s="183"/>
      <c r="AA164" s="183" t="s">
        <v>790</v>
      </c>
      <c r="AB164" s="183" t="s">
        <v>792</v>
      </c>
      <c r="AC164" s="183" t="s">
        <v>790</v>
      </c>
      <c r="AD164" s="183" t="s">
        <v>792</v>
      </c>
      <c r="AE164" s="183" t="s">
        <v>63</v>
      </c>
      <c r="AF164" s="472" t="s">
        <v>289</v>
      </c>
      <c r="AG164" s="472" t="s">
        <v>290</v>
      </c>
      <c r="AH164" s="472"/>
      <c r="AI164" s="472"/>
      <c r="AJ164" s="472"/>
      <c r="AK164" s="183" t="s">
        <v>632</v>
      </c>
      <c r="AL164" s="183" t="s">
        <v>633</v>
      </c>
      <c r="AM164" s="183" t="s">
        <v>634</v>
      </c>
      <c r="AN164" s="183" t="s">
        <v>635</v>
      </c>
      <c r="AO164" s="183" t="s">
        <v>883</v>
      </c>
      <c r="AP164" s="183" t="s">
        <v>884</v>
      </c>
      <c r="AQ164" s="183" t="s">
        <v>885</v>
      </c>
      <c r="AR164" s="183" t="s">
        <v>886</v>
      </c>
      <c r="AS164" s="183" t="s">
        <v>887</v>
      </c>
      <c r="AT164" s="183" t="s">
        <v>888</v>
      </c>
      <c r="AU164" s="183" t="s">
        <v>889</v>
      </c>
      <c r="AV164" s="477" t="s">
        <v>890</v>
      </c>
      <c r="AW164" s="183" t="s">
        <v>891</v>
      </c>
      <c r="AX164" s="183" t="s">
        <v>892</v>
      </c>
      <c r="AY164" s="183" t="s">
        <v>893</v>
      </c>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c r="CH164" s="185"/>
      <c r="CI164" s="185"/>
      <c r="CJ164" s="185"/>
      <c r="CK164" s="185"/>
      <c r="CL164" s="185"/>
      <c r="CM164" s="185"/>
      <c r="CN164" s="185"/>
      <c r="CO164" s="185"/>
      <c r="CP164" s="185"/>
      <c r="CQ164" s="185"/>
      <c r="CR164" s="185"/>
      <c r="CS164" s="185"/>
      <c r="CT164" s="185"/>
      <c r="CU164" s="185"/>
      <c r="CV164" s="185"/>
      <c r="CW164" s="185"/>
      <c r="CX164" s="185"/>
      <c r="CY164" s="185"/>
      <c r="CZ164" s="185"/>
      <c r="DA164" s="185"/>
      <c r="DB164" s="185"/>
      <c r="DC164" s="185"/>
      <c r="DD164" s="185"/>
      <c r="DE164" s="185"/>
      <c r="DF164" s="472" t="s">
        <v>289</v>
      </c>
      <c r="DG164" s="472" t="s">
        <v>290</v>
      </c>
      <c r="DH164" s="472" t="s">
        <v>632</v>
      </c>
      <c r="DI164" s="472" t="s">
        <v>633</v>
      </c>
      <c r="DJ164" s="472" t="s">
        <v>635</v>
      </c>
      <c r="DK164" s="472" t="s">
        <v>883</v>
      </c>
      <c r="DL164" s="472" t="s">
        <v>885</v>
      </c>
      <c r="DM164" s="472" t="s">
        <v>886</v>
      </c>
      <c r="DN164" s="472" t="s">
        <v>888</v>
      </c>
      <c r="DO164" s="472" t="s">
        <v>889</v>
      </c>
      <c r="DP164" s="472" t="s">
        <v>891</v>
      </c>
      <c r="DQ164" s="472" t="s">
        <v>892</v>
      </c>
      <c r="DR164"/>
      <c r="DS164"/>
      <c r="DT164"/>
      <c r="DU164"/>
      <c r="DV164"/>
      <c r="DW164"/>
      <c r="DX164"/>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62"/>
      <c r="EV164" s="162"/>
    </row>
    <row r="165" spans="1:152">
      <c r="H165" s="388" t="s">
        <v>3145</v>
      </c>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R165"/>
      <c r="DS165"/>
      <c r="DT165"/>
      <c r="DU165"/>
      <c r="DV165"/>
      <c r="DW165"/>
      <c r="DX165"/>
    </row>
    <row r="166" spans="1:152" s="39" customFormat="1">
      <c r="A166" s="38"/>
      <c r="B166" s="38"/>
      <c r="C166" s="497" t="str">
        <f>F166 &amp; ".0"</f>
        <v>.0</v>
      </c>
      <c r="D166"/>
      <c r="E166"/>
      <c r="F166" s="833"/>
      <c r="G166" s="835"/>
      <c r="H166" s="389" t="s">
        <v>1768</v>
      </c>
      <c r="I166" s="390" t="s">
        <v>1769</v>
      </c>
      <c r="J166" s="391"/>
      <c r="K166" s="391"/>
      <c r="L166" s="391"/>
      <c r="M166" s="391"/>
      <c r="N166" s="391"/>
      <c r="O166" s="391"/>
      <c r="P166" s="391"/>
      <c r="Q166" s="391"/>
      <c r="R166" s="391"/>
      <c r="S166" s="391"/>
      <c r="T166" s="391"/>
      <c r="U166" s="391"/>
      <c r="V166" s="391"/>
      <c r="W166" s="391"/>
      <c r="X166" s="391"/>
      <c r="Y166" s="391"/>
      <c r="Z166" s="391"/>
      <c r="AA166" s="398">
        <f>IF((AS166+AV166+AY166)=0,0,(AQ166*AS166+AT166*AV166+AW166*AY166)/(AS166+AV166+AY166))</f>
        <v>0</v>
      </c>
      <c r="AB166" s="398">
        <f>IF(D166="нет",AA166,AA166*1.18)</f>
        <v>0</v>
      </c>
      <c r="AC166" s="398">
        <f>IF((AS166+AV166+AY166)=0,0,(AQ166*AS166+AT166*AV166+AW166*AY166)/(AS166+AV166+AY166)-AF166)</f>
        <v>0</v>
      </c>
      <c r="AD166" s="398">
        <f>IF(D166="нет",AC166,AC166*1.18)</f>
        <v>0</v>
      </c>
      <c r="AE166" s="271">
        <f>AM166+AP166+AS166+AV166+AY166</f>
        <v>0</v>
      </c>
      <c r="AF166" s="398">
        <f>IF((AS166+AV166+AY166)=0,0,(AF167*(AS167+AV167+AY167)+AF170*(AS170+AV170+AY170))/(AS166+AV166+AY166))</f>
        <v>0</v>
      </c>
      <c r="AG166" s="398">
        <f>IF(D166="нет",AF166,AF166*1.18)</f>
        <v>0</v>
      </c>
      <c r="AH166" s="392"/>
      <c r="AI166" s="392"/>
      <c r="AJ166" s="392"/>
      <c r="AK166" s="398">
        <f>IF(AM166&lt;&gt;0,((AK167*AM167)+(AK170*AM170))/AM166,0)</f>
        <v>0</v>
      </c>
      <c r="AL166" s="398">
        <f>IF(D166="нет",AK166,AK166*1.18)</f>
        <v>0</v>
      </c>
      <c r="AM166" s="398">
        <f>SUM(AM167:AM172)</f>
        <v>0</v>
      </c>
      <c r="AN166" s="398">
        <f>IF(AP166&lt;&gt;0,((AN167*AP167)+(AN170*AP170))/AP166,0)</f>
        <v>0</v>
      </c>
      <c r="AO166" s="398">
        <f>IF(D166="нет",AN166,AN166*1.18)</f>
        <v>0</v>
      </c>
      <c r="AP166" s="398">
        <f>SUM(AP167:AP172)</f>
        <v>0</v>
      </c>
      <c r="AQ166" s="398">
        <f>IF(AS166&lt;&gt;0,((AQ167*AS167)+(AQ170*AS170))/AS166,0)</f>
        <v>0</v>
      </c>
      <c r="AR166" s="398">
        <f>IF(D166="нет",AQ166,AQ166*1.18)</f>
        <v>0</v>
      </c>
      <c r="AS166" s="398">
        <f>SUM(AS167:AS172)</f>
        <v>0</v>
      </c>
      <c r="AT166" s="398">
        <f>IF(AV166&lt;&gt;0,((AT167*AV167)+(AT170*AV170))/AV166,0)</f>
        <v>0</v>
      </c>
      <c r="AU166" s="398">
        <f>IF(D166="нет",AT166,AT166*1.18)</f>
        <v>0</v>
      </c>
      <c r="AV166" s="398">
        <f>SUM(AV167:AV172)</f>
        <v>0</v>
      </c>
      <c r="AW166" s="398">
        <f>IF(AY166&lt;&gt;0,((AW167*AY167)+(AW170*AY170))/AY166,0)</f>
        <v>0</v>
      </c>
      <c r="AX166" s="398">
        <f>IF(D166="нет",AW166,AW166*1.18)</f>
        <v>0</v>
      </c>
      <c r="AY166" s="398">
        <f>SUM(AY167:AY172)</f>
        <v>0</v>
      </c>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s="636">
        <f>AS166+AV166+AY166</f>
        <v>0</v>
      </c>
      <c r="DF166" s="293">
        <f>AF166*AE166</f>
        <v>0</v>
      </c>
      <c r="DG166" s="293">
        <f>AG166*AE166</f>
        <v>0</v>
      </c>
      <c r="DH166" s="293">
        <f>AK166*AM166</f>
        <v>0</v>
      </c>
      <c r="DI166" s="293">
        <f>AL166*AM166</f>
        <v>0</v>
      </c>
      <c r="DJ166" s="293">
        <f>AN166*AP166</f>
        <v>0</v>
      </c>
      <c r="DK166" s="293">
        <f>AO166*AP166</f>
        <v>0</v>
      </c>
      <c r="DL166" s="293">
        <f>AQ166*AS166</f>
        <v>0</v>
      </c>
      <c r="DM166" s="293">
        <f>AR166*AS166</f>
        <v>0</v>
      </c>
      <c r="DN166" s="293">
        <f>AT166*AV166</f>
        <v>0</v>
      </c>
      <c r="DO166" s="293">
        <f>AU166*AV166</f>
        <v>0</v>
      </c>
      <c r="DP166" s="293">
        <f>AW166*AY166</f>
        <v>0</v>
      </c>
      <c r="DQ166" s="293">
        <f>AX166*AY166</f>
        <v>0</v>
      </c>
      <c r="DR166"/>
      <c r="DS166"/>
      <c r="DT166"/>
      <c r="DU166"/>
      <c r="DV166"/>
      <c r="DW166"/>
      <c r="DX166"/>
    </row>
    <row r="167" spans="1:152" s="39" customFormat="1">
      <c r="A167" s="38"/>
      <c r="B167" s="38"/>
      <c r="C167" s="38"/>
      <c r="D167"/>
      <c r="E167"/>
      <c r="F167" s="833"/>
      <c r="G167" s="835"/>
      <c r="H167" s="868" t="s">
        <v>1770</v>
      </c>
      <c r="I167" s="393" t="s">
        <v>1771</v>
      </c>
      <c r="J167" s="391"/>
      <c r="K167" s="391"/>
      <c r="L167" s="391"/>
      <c r="M167" s="391"/>
      <c r="N167" s="391"/>
      <c r="O167" s="391"/>
      <c r="P167" s="391"/>
      <c r="Q167" s="391"/>
      <c r="R167" s="391"/>
      <c r="S167" s="391"/>
      <c r="T167" s="391"/>
      <c r="U167" s="391"/>
      <c r="V167" s="391"/>
      <c r="W167" s="391"/>
      <c r="X167" s="391"/>
      <c r="Y167" s="391"/>
      <c r="Z167" s="391"/>
      <c r="AA167" s="398">
        <f>IF((AS167+AV167+AY167)=0,0,(AQ167*AS167+AT167*AV167+AW167*AY167)/(AS167+AV167+AY167))</f>
        <v>0</v>
      </c>
      <c r="AB167" s="398">
        <f>IF(D166="нет",AA167,AA167*1.18)</f>
        <v>0</v>
      </c>
      <c r="AC167" s="398">
        <f>IF((AS167+AV167+AY167)=0,0,(AQ167*AS167+AT167*AV167+AW167*AY167)/(AS167+AV167+AY167)-AF167)</f>
        <v>0</v>
      </c>
      <c r="AD167" s="398">
        <f>IF(D166="нет",AC167,AC167*1.18)</f>
        <v>0</v>
      </c>
      <c r="AE167" s="271">
        <f>AM167+AP167+AS167+AV167+AY167</f>
        <v>0</v>
      </c>
      <c r="AF167" s="272"/>
      <c r="AG167" s="398">
        <f>IF(D166="нет",AF167,AF167*1.18)</f>
        <v>0</v>
      </c>
      <c r="AH167" s="392"/>
      <c r="AI167" s="392"/>
      <c r="AJ167" s="392"/>
      <c r="AK167" s="272"/>
      <c r="AL167" s="398">
        <f>IF(D166="нет",AK167,AK167*1.18)</f>
        <v>0</v>
      </c>
      <c r="AM167" s="272"/>
      <c r="AN167" s="272"/>
      <c r="AO167" s="398">
        <f>IF(D166="нет",AN167,AN167*1.18)</f>
        <v>0</v>
      </c>
      <c r="AP167" s="272"/>
      <c r="AQ167" s="272"/>
      <c r="AR167" s="398">
        <f>IF(D166="нет",AQ167,AQ167*1.18)</f>
        <v>0</v>
      </c>
      <c r="AS167" s="272"/>
      <c r="AT167" s="272"/>
      <c r="AU167" s="398">
        <f>IF(D166="нет",AT167,AT167*1.18)</f>
        <v>0</v>
      </c>
      <c r="AV167" s="272"/>
      <c r="AW167" s="272"/>
      <c r="AX167" s="398">
        <f>IF(D166="нет",AW167,AW167*1.18)</f>
        <v>0</v>
      </c>
      <c r="AY167" s="272"/>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s="77"/>
      <c r="DI167" s="77"/>
      <c r="DJ167" s="77"/>
      <c r="DK167" s="77"/>
      <c r="DL167" s="77"/>
      <c r="DM167" s="77"/>
      <c r="DN167" s="77"/>
      <c r="DO167" s="77"/>
      <c r="DP167" s="77"/>
      <c r="DQ167" s="77"/>
      <c r="DR167"/>
      <c r="DS167"/>
      <c r="DT167"/>
      <c r="DU167"/>
      <c r="DV167"/>
      <c r="DW167"/>
      <c r="DX167"/>
    </row>
    <row r="168" spans="1:152" s="39" customFormat="1">
      <c r="A168" s="38"/>
      <c r="B168" s="38"/>
      <c r="C168" s="38"/>
      <c r="D168"/>
      <c r="E168"/>
      <c r="F168" s="833"/>
      <c r="G168" s="835"/>
      <c r="H168" s="868"/>
      <c r="I168" s="394" t="s">
        <v>1772</v>
      </c>
      <c r="J168" s="391"/>
      <c r="K168" s="391"/>
      <c r="L168" s="391"/>
      <c r="M168" s="391"/>
      <c r="N168" s="391"/>
      <c r="O168" s="391"/>
      <c r="P168" s="391"/>
      <c r="Q168" s="391"/>
      <c r="R168" s="391"/>
      <c r="S168" s="391"/>
      <c r="T168" s="391"/>
      <c r="U168" s="391"/>
      <c r="V168" s="391"/>
      <c r="W168" s="391"/>
      <c r="X168" s="391"/>
      <c r="Y168" s="391"/>
      <c r="Z168" s="391"/>
      <c r="AA168" s="832"/>
      <c r="AB168" s="832"/>
      <c r="AC168" s="832"/>
      <c r="AD168" s="832"/>
      <c r="AE168" s="832"/>
      <c r="AF168" s="832"/>
      <c r="AG168" s="832"/>
      <c r="AH168" s="392"/>
      <c r="AI168" s="392"/>
      <c r="AJ168" s="392"/>
      <c r="AK168" s="272"/>
      <c r="AL168" s="398">
        <f>IF(D166="нет",AK168,AK168*1.18)</f>
        <v>0</v>
      </c>
      <c r="AM168" s="832"/>
      <c r="AN168" s="272"/>
      <c r="AO168" s="398">
        <f>IF(D166="нет",AN168,AN168*1.18)</f>
        <v>0</v>
      </c>
      <c r="AP168" s="832"/>
      <c r="AQ168" s="272"/>
      <c r="AR168" s="398">
        <f>IF(D166="нет",AQ168,AQ168*1.18)</f>
        <v>0</v>
      </c>
      <c r="AS168" s="832"/>
      <c r="AT168" s="272"/>
      <c r="AU168" s="398">
        <f>IF(D166="нет",AT168,AT168*1.18)</f>
        <v>0</v>
      </c>
      <c r="AV168" s="832"/>
      <c r="AW168" s="272"/>
      <c r="AX168" s="398">
        <f>IF(D166="нет",AW168,AW168*1.18)</f>
        <v>0</v>
      </c>
      <c r="AY168" s="832"/>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R168"/>
      <c r="DS168"/>
      <c r="DT168"/>
      <c r="DU168"/>
      <c r="DV168"/>
      <c r="DW168"/>
      <c r="DX168"/>
    </row>
    <row r="169" spans="1:152" s="39" customFormat="1">
      <c r="A169" s="57"/>
      <c r="B169" s="57"/>
      <c r="C169" s="38"/>
      <c r="D169"/>
      <c r="E169"/>
      <c r="F169" s="833"/>
      <c r="G169" s="835"/>
      <c r="H169" s="868"/>
      <c r="I169" s="394" t="s">
        <v>1773</v>
      </c>
      <c r="J169" s="391"/>
      <c r="K169" s="391"/>
      <c r="L169" s="391"/>
      <c r="M169" s="391"/>
      <c r="N169" s="391"/>
      <c r="O169" s="391"/>
      <c r="P169" s="391"/>
      <c r="Q169" s="391"/>
      <c r="R169" s="391"/>
      <c r="S169" s="391"/>
      <c r="T169" s="391"/>
      <c r="U169" s="391"/>
      <c r="V169" s="391"/>
      <c r="W169" s="391"/>
      <c r="X169" s="391"/>
      <c r="Y169" s="391"/>
      <c r="Z169" s="391"/>
      <c r="AA169" s="832"/>
      <c r="AB169" s="832"/>
      <c r="AC169" s="832"/>
      <c r="AD169" s="832"/>
      <c r="AE169" s="832"/>
      <c r="AF169" s="832"/>
      <c r="AG169" s="832"/>
      <c r="AH169" s="392"/>
      <c r="AI169" s="392"/>
      <c r="AJ169" s="392"/>
      <c r="AK169" s="272"/>
      <c r="AL169" s="398">
        <f>IF(D166="нет",AK169,AK169*1.18)</f>
        <v>0</v>
      </c>
      <c r="AM169" s="832"/>
      <c r="AN169" s="272"/>
      <c r="AO169" s="398">
        <f>IF(D166="нет",AN169,AN169*1.18)</f>
        <v>0</v>
      </c>
      <c r="AP169" s="832"/>
      <c r="AQ169" s="272"/>
      <c r="AR169" s="398">
        <f>IF(D166="нет",AQ169,AQ169*1.18)</f>
        <v>0</v>
      </c>
      <c r="AS169" s="832"/>
      <c r="AT169" s="272"/>
      <c r="AU169" s="398">
        <f>IF(D166="нет",AT169,AT169*1.18)</f>
        <v>0</v>
      </c>
      <c r="AV169" s="832"/>
      <c r="AW169" s="272"/>
      <c r="AX169" s="398">
        <f>IF(D166="нет",AW169,AW169*1.18)</f>
        <v>0</v>
      </c>
      <c r="AY169" s="832"/>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R169"/>
      <c r="DS169"/>
      <c r="DT169"/>
      <c r="DU169"/>
      <c r="DV169"/>
      <c r="DW169"/>
      <c r="DX169"/>
    </row>
    <row r="170" spans="1:152" s="39" customFormat="1">
      <c r="A170" s="57"/>
      <c r="B170" s="57"/>
      <c r="C170" s="38"/>
      <c r="D170"/>
      <c r="E170"/>
      <c r="F170" s="833"/>
      <c r="G170" s="835"/>
      <c r="H170" s="868" t="s">
        <v>1774</v>
      </c>
      <c r="I170" s="393" t="s">
        <v>1771</v>
      </c>
      <c r="J170" s="391"/>
      <c r="K170" s="391"/>
      <c r="L170" s="391"/>
      <c r="M170" s="391"/>
      <c r="N170" s="391"/>
      <c r="O170" s="391"/>
      <c r="P170" s="391"/>
      <c r="Q170" s="391"/>
      <c r="R170" s="391"/>
      <c r="S170" s="391"/>
      <c r="T170" s="391"/>
      <c r="U170" s="391"/>
      <c r="V170" s="391"/>
      <c r="W170" s="391"/>
      <c r="X170" s="391"/>
      <c r="Y170" s="391"/>
      <c r="Z170" s="391"/>
      <c r="AA170" s="398">
        <f>IF((AS170+AV170+AY170)=0,0,(AQ170*AS170+AT170*AV170+AW170*AY170)/(AS170+AV170+AY170))</f>
        <v>0</v>
      </c>
      <c r="AB170" s="398">
        <f>IF(D166="нет",AA170,AA170*1.18)</f>
        <v>0</v>
      </c>
      <c r="AC170" s="398">
        <f>IF((AS170+AV170+AY170)=0,0,(AQ170*AS170+AT170*AV170+AW170*AY170)/(AS170+AV170+AY170)-AF170)</f>
        <v>0</v>
      </c>
      <c r="AD170" s="398">
        <f>IF(D166="нет",AC170,AC170*1.18)</f>
        <v>0</v>
      </c>
      <c r="AE170" s="271">
        <f>AM170+AP170+AS170+AV170+AY170</f>
        <v>0</v>
      </c>
      <c r="AF170" s="272"/>
      <c r="AG170" s="398">
        <f>IF(D166="нет",AF170,AF170*1.18)</f>
        <v>0</v>
      </c>
      <c r="AH170" s="392"/>
      <c r="AI170" s="392"/>
      <c r="AJ170" s="392"/>
      <c r="AK170" s="272"/>
      <c r="AL170" s="398">
        <f>IF(D166="нет",AK170,AK170*1.18)</f>
        <v>0</v>
      </c>
      <c r="AM170" s="272"/>
      <c r="AN170" s="272"/>
      <c r="AO170" s="398">
        <f>IF(D166="нет",AN170,AN170*1.18)</f>
        <v>0</v>
      </c>
      <c r="AP170" s="272"/>
      <c r="AQ170" s="272"/>
      <c r="AR170" s="398">
        <f>IF(D166="нет",AQ170,AQ170*1.18)</f>
        <v>0</v>
      </c>
      <c r="AS170" s="272"/>
      <c r="AT170" s="272"/>
      <c r="AU170" s="398">
        <f>IF(D166="нет",AT170,AT170*1.18)</f>
        <v>0</v>
      </c>
      <c r="AV170" s="272"/>
      <c r="AW170" s="272"/>
      <c r="AX170" s="398">
        <f>IF(D166="нет",AW170,AW170*1.18)</f>
        <v>0</v>
      </c>
      <c r="AY170" s="272"/>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R170"/>
      <c r="DS170"/>
      <c r="DT170"/>
      <c r="DU170"/>
      <c r="DV170"/>
      <c r="DW170"/>
      <c r="DX170"/>
    </row>
    <row r="171" spans="1:152" s="39" customFormat="1">
      <c r="A171" s="57"/>
      <c r="B171" s="57"/>
      <c r="C171" s="38"/>
      <c r="D171"/>
      <c r="E171"/>
      <c r="F171" s="833"/>
      <c r="G171" s="835"/>
      <c r="H171" s="868"/>
      <c r="I171" s="394" t="s">
        <v>1772</v>
      </c>
      <c r="J171" s="391"/>
      <c r="K171" s="391"/>
      <c r="L171" s="391"/>
      <c r="M171" s="391"/>
      <c r="N171" s="391"/>
      <c r="O171" s="391"/>
      <c r="P171" s="391"/>
      <c r="Q171" s="391"/>
      <c r="R171" s="391"/>
      <c r="S171" s="391"/>
      <c r="T171" s="391"/>
      <c r="U171" s="391"/>
      <c r="V171" s="391"/>
      <c r="W171" s="391"/>
      <c r="X171" s="391"/>
      <c r="Y171" s="391"/>
      <c r="Z171" s="391"/>
      <c r="AA171" s="832"/>
      <c r="AB171" s="832"/>
      <c r="AC171" s="832"/>
      <c r="AD171" s="832"/>
      <c r="AE171" s="832"/>
      <c r="AF171" s="832"/>
      <c r="AG171" s="832"/>
      <c r="AH171" s="392"/>
      <c r="AI171" s="392"/>
      <c r="AJ171" s="392"/>
      <c r="AK171" s="272"/>
      <c r="AL171" s="398">
        <f>IF(D166="нет",AK171,AK171*1.18)</f>
        <v>0</v>
      </c>
      <c r="AM171" s="832"/>
      <c r="AN171" s="272"/>
      <c r="AO171" s="398">
        <f>IF(D166="нет",AN171,AN171*1.18)</f>
        <v>0</v>
      </c>
      <c r="AP171" s="832"/>
      <c r="AQ171" s="272"/>
      <c r="AR171" s="398">
        <f>IF(D166="нет",AQ171,AQ171*1.18)</f>
        <v>0</v>
      </c>
      <c r="AS171" s="832"/>
      <c r="AT171" s="272"/>
      <c r="AU171" s="398">
        <f>IF(D166="нет",AT171,AT171*1.18)</f>
        <v>0</v>
      </c>
      <c r="AV171" s="832"/>
      <c r="AW171" s="272"/>
      <c r="AX171" s="398">
        <f>IF(D166="нет",AW171,AW171*1.18)</f>
        <v>0</v>
      </c>
      <c r="AY171" s="832"/>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R171"/>
      <c r="DS171"/>
      <c r="DT171"/>
      <c r="DU171"/>
      <c r="DV171"/>
      <c r="DW171"/>
      <c r="DX171"/>
    </row>
    <row r="172" spans="1:152" s="39" customFormat="1">
      <c r="A172" s="57"/>
      <c r="B172" s="57"/>
      <c r="C172" s="38"/>
      <c r="D172"/>
      <c r="E172"/>
      <c r="F172" s="833"/>
      <c r="G172" s="835"/>
      <c r="H172" s="868"/>
      <c r="I172" s="394" t="s">
        <v>1773</v>
      </c>
      <c r="J172" s="391"/>
      <c r="K172" s="391"/>
      <c r="L172" s="391"/>
      <c r="M172" s="391"/>
      <c r="N172" s="391"/>
      <c r="O172" s="391"/>
      <c r="P172" s="391"/>
      <c r="Q172" s="391"/>
      <c r="R172" s="391"/>
      <c r="S172" s="391"/>
      <c r="T172" s="391"/>
      <c r="U172" s="391"/>
      <c r="V172" s="391"/>
      <c r="W172" s="391"/>
      <c r="X172" s="391"/>
      <c r="Y172" s="391"/>
      <c r="Z172" s="391"/>
      <c r="AA172" s="832"/>
      <c r="AB172" s="832"/>
      <c r="AC172" s="832"/>
      <c r="AD172" s="832"/>
      <c r="AE172" s="832"/>
      <c r="AF172" s="832"/>
      <c r="AG172" s="832"/>
      <c r="AH172" s="392"/>
      <c r="AI172" s="392"/>
      <c r="AJ172" s="392"/>
      <c r="AK172" s="272"/>
      <c r="AL172" s="398">
        <f>IF(D166="нет",AK172,AK172*1.18)</f>
        <v>0</v>
      </c>
      <c r="AM172" s="832"/>
      <c r="AN172" s="272"/>
      <c r="AO172" s="398">
        <f>IF(D166="нет",AN172,AN172*1.18)</f>
        <v>0</v>
      </c>
      <c r="AP172" s="832"/>
      <c r="AQ172" s="272"/>
      <c r="AR172" s="398">
        <f>IF(D166="нет",AQ172,AQ172*1.18)</f>
        <v>0</v>
      </c>
      <c r="AS172" s="832"/>
      <c r="AT172" s="272"/>
      <c r="AU172" s="398">
        <f>IF(D166="нет",AT172,AT172*1.18)</f>
        <v>0</v>
      </c>
      <c r="AV172" s="832"/>
      <c r="AW172" s="272"/>
      <c r="AX172" s="398">
        <f>IF(D166="нет",AW172,AW172*1.18)</f>
        <v>0</v>
      </c>
      <c r="AY172" s="83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R172"/>
      <c r="DS172"/>
      <c r="DT172"/>
      <c r="DU172"/>
      <c r="DV172"/>
      <c r="DW172"/>
      <c r="DX172"/>
    </row>
    <row r="173" spans="1:152" s="60" customFormat="1">
      <c r="A173" s="861" t="s">
        <v>3146</v>
      </c>
      <c r="B173" s="861"/>
      <c r="D173"/>
      <c r="E173"/>
      <c r="F173" s="379"/>
      <c r="G173" s="379"/>
      <c r="H173" s="388" t="s">
        <v>3147</v>
      </c>
      <c r="I173" s="384"/>
      <c r="J173" s="385"/>
      <c r="K173" s="385"/>
      <c r="L173" s="385"/>
      <c r="M173" s="385"/>
      <c r="N173" s="385"/>
      <c r="O173" s="385"/>
      <c r="P173" s="385"/>
      <c r="Q173" s="385"/>
      <c r="R173" s="385"/>
      <c r="S173" s="385"/>
      <c r="T173" s="385"/>
      <c r="U173" s="385"/>
      <c r="V173" s="385"/>
      <c r="W173" s="385"/>
      <c r="X173" s="385"/>
      <c r="Y173" s="385"/>
      <c r="Z173" s="385"/>
      <c r="AA173" s="385"/>
      <c r="AB173" s="385"/>
      <c r="AC173" s="385"/>
      <c r="AD173" s="385"/>
      <c r="AE173" s="385"/>
      <c r="AF173" s="385"/>
      <c r="AG173" s="385"/>
      <c r="AH173" s="385"/>
      <c r="AI173" s="385"/>
      <c r="AJ173" s="385"/>
      <c r="AK173" s="385"/>
      <c r="AL173" s="385"/>
      <c r="AM173" s="385"/>
      <c r="AN173" s="385"/>
      <c r="AO173" s="385"/>
      <c r="AP173" s="385"/>
      <c r="AQ173" s="385"/>
      <c r="AR173" s="385"/>
      <c r="AS173" s="385"/>
      <c r="AT173" s="385"/>
      <c r="AU173" s="385"/>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s="385"/>
      <c r="DG173" s="385"/>
      <c r="DH173" s="385"/>
      <c r="DR173"/>
      <c r="DS173"/>
      <c r="DT173"/>
      <c r="DU173"/>
      <c r="DV173"/>
      <c r="DW173"/>
      <c r="DX173"/>
      <c r="DY173" s="379"/>
      <c r="DZ173" s="379"/>
      <c r="EA173" s="379"/>
      <c r="EB173" s="379"/>
      <c r="EC173" s="379"/>
    </row>
    <row r="174" spans="1:152" s="60" customFormat="1">
      <c r="A174" s="57"/>
      <c r="B174" s="57"/>
      <c r="C174" s="497" t="str">
        <f>F174 &amp; ".0"</f>
        <v>.0</v>
      </c>
      <c r="D174"/>
      <c r="E174"/>
      <c r="F174" s="833"/>
      <c r="G174" s="835"/>
      <c r="H174" s="389" t="s">
        <v>1768</v>
      </c>
      <c r="I174" s="390"/>
      <c r="J174" s="391"/>
      <c r="K174" s="391"/>
      <c r="L174" s="391"/>
      <c r="M174" s="391"/>
      <c r="N174" s="391"/>
      <c r="O174" s="391"/>
      <c r="P174" s="391"/>
      <c r="Q174" s="391"/>
      <c r="R174" s="391"/>
      <c r="S174" s="391"/>
      <c r="T174" s="391"/>
      <c r="U174" s="391"/>
      <c r="V174" s="391"/>
      <c r="W174" s="391"/>
      <c r="X174" s="391"/>
      <c r="Y174" s="391"/>
      <c r="Z174" s="391"/>
      <c r="AA174" s="392"/>
      <c r="AB174" s="392"/>
      <c r="AC174" s="392"/>
      <c r="AD174" s="392"/>
      <c r="AE174" s="392"/>
      <c r="AF174" s="392"/>
      <c r="AG174" s="392"/>
      <c r="AH174" s="392"/>
      <c r="AI174" s="392"/>
      <c r="AJ174" s="392"/>
      <c r="AK174" s="392"/>
      <c r="AL174" s="392"/>
      <c r="AM174" s="392"/>
      <c r="AN174" s="392"/>
      <c r="AO174" s="392"/>
      <c r="AP174" s="392"/>
      <c r="AQ174" s="392"/>
      <c r="AR174" s="392"/>
      <c r="AS174" s="392"/>
      <c r="AT174" s="392"/>
      <c r="AU174" s="392"/>
      <c r="AV174" s="392"/>
      <c r="AW174" s="392"/>
      <c r="AX174" s="392"/>
      <c r="AY174" s="392"/>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s="385"/>
      <c r="DG174" s="385"/>
      <c r="DH174" s="385"/>
      <c r="DR174"/>
      <c r="DS174"/>
      <c r="DT174"/>
      <c r="DU174"/>
      <c r="DV174"/>
      <c r="DW174"/>
      <c r="DX174"/>
      <c r="DY174" s="379"/>
      <c r="DZ174" s="379"/>
      <c r="EA174" s="379"/>
      <c r="EB174" s="379"/>
      <c r="EC174" s="379"/>
    </row>
    <row r="175" spans="1:152" s="60" customFormat="1">
      <c r="A175" s="57"/>
      <c r="B175" s="57"/>
      <c r="D175"/>
      <c r="E175"/>
      <c r="F175" s="833"/>
      <c r="G175" s="835"/>
      <c r="H175" s="868" t="s">
        <v>1770</v>
      </c>
      <c r="I175" s="393" t="s">
        <v>1771</v>
      </c>
      <c r="J175" s="391"/>
      <c r="K175" s="391"/>
      <c r="L175" s="391"/>
      <c r="M175" s="391"/>
      <c r="N175" s="391"/>
      <c r="O175" s="391"/>
      <c r="P175" s="391"/>
      <c r="Q175" s="391"/>
      <c r="R175" s="391"/>
      <c r="S175" s="391"/>
      <c r="T175" s="391"/>
      <c r="U175" s="391"/>
      <c r="V175" s="391"/>
      <c r="W175" s="391"/>
      <c r="X175" s="391"/>
      <c r="Y175" s="391"/>
      <c r="Z175" s="391"/>
      <c r="AA175" s="392"/>
      <c r="AB175" s="392"/>
      <c r="AC175" s="392"/>
      <c r="AD175" s="392"/>
      <c r="AE175" s="392"/>
      <c r="AF175" s="392"/>
      <c r="AG175" s="392"/>
      <c r="AH175" s="392"/>
      <c r="AI175" s="392"/>
      <c r="AJ175" s="392"/>
      <c r="AK175" s="392"/>
      <c r="AL175" s="392"/>
      <c r="AM175" s="392"/>
      <c r="AN175" s="392"/>
      <c r="AO175" s="392"/>
      <c r="AP175" s="392"/>
      <c r="AQ175" s="392"/>
      <c r="AR175" s="392"/>
      <c r="AS175" s="392"/>
      <c r="AT175" s="392"/>
      <c r="AU175" s="392"/>
      <c r="AV175" s="392"/>
      <c r="AW175" s="392"/>
      <c r="AX175" s="392"/>
      <c r="AY175" s="392"/>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s="385"/>
      <c r="DG175" s="385"/>
      <c r="DH175" s="385"/>
      <c r="DR175"/>
      <c r="DS175"/>
      <c r="DT175"/>
      <c r="DU175"/>
      <c r="DV175"/>
      <c r="DW175"/>
      <c r="DX175"/>
      <c r="DY175" s="379"/>
      <c r="DZ175" s="379"/>
      <c r="EA175" s="379"/>
      <c r="EB175" s="379"/>
      <c r="EC175" s="379"/>
    </row>
    <row r="176" spans="1:152" s="60" customFormat="1">
      <c r="A176" s="57"/>
      <c r="B176" s="57"/>
      <c r="D176"/>
      <c r="E176"/>
      <c r="F176" s="833"/>
      <c r="G176" s="835"/>
      <c r="H176" s="868"/>
      <c r="I176" s="394" t="s">
        <v>1772</v>
      </c>
      <c r="J176" s="391"/>
      <c r="K176" s="391"/>
      <c r="L176" s="391"/>
      <c r="M176" s="391"/>
      <c r="N176" s="391"/>
      <c r="O176" s="391"/>
      <c r="P176" s="391"/>
      <c r="Q176" s="391"/>
      <c r="R176" s="391"/>
      <c r="S176" s="391"/>
      <c r="T176" s="391"/>
      <c r="U176" s="391"/>
      <c r="V176" s="391"/>
      <c r="W176" s="391"/>
      <c r="X176" s="391"/>
      <c r="Y176" s="391"/>
      <c r="Z176" s="391"/>
      <c r="AA176" s="392"/>
      <c r="AB176" s="392"/>
      <c r="AC176" s="392"/>
      <c r="AD176" s="392"/>
      <c r="AE176" s="392"/>
      <c r="AF176" s="392"/>
      <c r="AG176" s="392"/>
      <c r="AH176" s="392"/>
      <c r="AI176" s="392"/>
      <c r="AJ176" s="392"/>
      <c r="AK176" s="392"/>
      <c r="AL176" s="392"/>
      <c r="AM176" s="392"/>
      <c r="AN176" s="392"/>
      <c r="AO176" s="392"/>
      <c r="AP176" s="392"/>
      <c r="AQ176" s="392"/>
      <c r="AR176" s="392"/>
      <c r="AS176" s="392"/>
      <c r="AT176" s="392"/>
      <c r="AU176" s="392"/>
      <c r="AV176" s="392"/>
      <c r="AW176" s="392"/>
      <c r="AX176" s="392"/>
      <c r="AY176" s="392"/>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s="385"/>
      <c r="DG176" s="385"/>
      <c r="DH176" s="385"/>
      <c r="DS176" s="379"/>
      <c r="DT176" s="379"/>
      <c r="DU176" s="57"/>
      <c r="DV176" s="57"/>
      <c r="DW176" s="379"/>
      <c r="DX176" s="379"/>
      <c r="DY176" s="379"/>
      <c r="DZ176" s="379"/>
      <c r="EA176" s="379"/>
      <c r="EB176" s="379"/>
      <c r="EC176" s="379"/>
    </row>
    <row r="177" spans="1:154" s="60" customFormat="1">
      <c r="A177" s="57"/>
      <c r="B177" s="57"/>
      <c r="D177"/>
      <c r="E177"/>
      <c r="F177" s="833"/>
      <c r="G177" s="835"/>
      <c r="H177" s="868"/>
      <c r="I177" s="394" t="s">
        <v>1773</v>
      </c>
      <c r="J177" s="391"/>
      <c r="K177" s="391"/>
      <c r="L177" s="391"/>
      <c r="M177" s="391"/>
      <c r="N177" s="391"/>
      <c r="O177" s="391"/>
      <c r="P177" s="391"/>
      <c r="Q177" s="391"/>
      <c r="R177" s="391"/>
      <c r="S177" s="391"/>
      <c r="T177" s="391"/>
      <c r="U177" s="391"/>
      <c r="V177" s="391"/>
      <c r="W177" s="391"/>
      <c r="X177" s="391"/>
      <c r="Y177" s="391"/>
      <c r="Z177" s="391"/>
      <c r="AA177" s="392"/>
      <c r="AB177" s="392"/>
      <c r="AC177" s="392"/>
      <c r="AD177" s="392"/>
      <c r="AE177" s="392"/>
      <c r="AF177" s="392"/>
      <c r="AG177" s="392"/>
      <c r="AH177" s="392"/>
      <c r="AI177" s="392"/>
      <c r="AJ177" s="392"/>
      <c r="AK177" s="392"/>
      <c r="AL177" s="392"/>
      <c r="AM177" s="392"/>
      <c r="AN177" s="392"/>
      <c r="AO177" s="392"/>
      <c r="AP177" s="392"/>
      <c r="AQ177" s="392"/>
      <c r="AR177" s="392"/>
      <c r="AS177" s="392"/>
      <c r="AT177" s="392"/>
      <c r="AU177" s="392"/>
      <c r="AV177" s="392"/>
      <c r="AW177" s="392"/>
      <c r="AX177" s="392"/>
      <c r="AY177" s="392"/>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s="385"/>
      <c r="DG177" s="385"/>
      <c r="DH177" s="385"/>
      <c r="DS177" s="379"/>
      <c r="DT177" s="379"/>
      <c r="DU177" s="57"/>
      <c r="DV177" s="57"/>
      <c r="DW177" s="379"/>
      <c r="DX177" s="379"/>
      <c r="DY177" s="379"/>
      <c r="DZ177" s="379"/>
      <c r="EA177" s="379"/>
      <c r="EB177" s="379"/>
      <c r="EC177" s="379"/>
    </row>
    <row r="178" spans="1:154" s="60" customFormat="1">
      <c r="B178" s="379"/>
      <c r="D178"/>
      <c r="E178"/>
      <c r="F178" s="833"/>
      <c r="G178" s="835"/>
      <c r="H178" s="868" t="s">
        <v>1774</v>
      </c>
      <c r="I178" s="393" t="s">
        <v>1771</v>
      </c>
      <c r="J178" s="391"/>
      <c r="K178" s="391"/>
      <c r="L178" s="391"/>
      <c r="M178" s="391"/>
      <c r="N178" s="391"/>
      <c r="O178" s="391"/>
      <c r="P178" s="391"/>
      <c r="Q178" s="391"/>
      <c r="R178" s="391"/>
      <c r="S178" s="391"/>
      <c r="T178" s="391"/>
      <c r="U178" s="391"/>
      <c r="V178" s="391"/>
      <c r="W178" s="391"/>
      <c r="X178" s="391"/>
      <c r="Y178" s="391"/>
      <c r="Z178" s="391"/>
      <c r="AA178" s="392"/>
      <c r="AB178" s="392"/>
      <c r="AC178" s="392"/>
      <c r="AD178" s="392"/>
      <c r="AE178" s="392"/>
      <c r="AF178" s="392"/>
      <c r="AG178" s="392"/>
      <c r="AH178" s="392"/>
      <c r="AI178" s="392"/>
      <c r="AJ178" s="392"/>
      <c r="AK178" s="392"/>
      <c r="AL178" s="392"/>
      <c r="AM178" s="392"/>
      <c r="AN178" s="392"/>
      <c r="AO178" s="392"/>
      <c r="AP178" s="392"/>
      <c r="AQ178" s="392"/>
      <c r="AR178" s="392"/>
      <c r="AS178" s="392"/>
      <c r="AT178" s="392"/>
      <c r="AU178" s="392"/>
      <c r="AV178" s="392"/>
      <c r="AW178" s="392"/>
      <c r="AX178" s="392"/>
      <c r="AY178" s="392"/>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N178" s="379"/>
      <c r="DO178" s="379"/>
      <c r="DP178" s="379"/>
      <c r="DQ178" s="379"/>
      <c r="DR178" s="379"/>
      <c r="DS178" s="379"/>
      <c r="DT178" s="379"/>
      <c r="DU178" s="57"/>
      <c r="DV178" s="57"/>
      <c r="DW178" s="379"/>
      <c r="DX178" s="379"/>
    </row>
    <row r="179" spans="1:154" s="60" customFormat="1">
      <c r="B179" s="379"/>
      <c r="D179"/>
      <c r="E179"/>
      <c r="F179" s="833"/>
      <c r="G179" s="835"/>
      <c r="H179" s="868"/>
      <c r="I179" s="394" t="s">
        <v>1772</v>
      </c>
      <c r="J179" s="391"/>
      <c r="K179" s="391"/>
      <c r="L179" s="391"/>
      <c r="M179" s="391"/>
      <c r="N179" s="391"/>
      <c r="O179" s="391"/>
      <c r="P179" s="391"/>
      <c r="Q179" s="391"/>
      <c r="R179" s="391"/>
      <c r="S179" s="391"/>
      <c r="T179" s="391"/>
      <c r="U179" s="391"/>
      <c r="V179" s="391"/>
      <c r="W179" s="391"/>
      <c r="X179" s="391"/>
      <c r="Y179" s="391"/>
      <c r="Z179" s="391"/>
      <c r="AA179" s="392"/>
      <c r="AB179" s="392"/>
      <c r="AC179" s="392"/>
      <c r="AD179" s="392"/>
      <c r="AE179" s="392"/>
      <c r="AF179" s="392"/>
      <c r="AG179" s="392"/>
      <c r="AH179" s="392"/>
      <c r="AI179" s="392"/>
      <c r="AJ179" s="392"/>
      <c r="AK179" s="392"/>
      <c r="AL179" s="392"/>
      <c r="AM179" s="392"/>
      <c r="AN179" s="392"/>
      <c r="AO179" s="392"/>
      <c r="AP179" s="392"/>
      <c r="AQ179" s="392"/>
      <c r="AR179" s="392"/>
      <c r="AS179" s="392"/>
      <c r="AT179" s="392"/>
      <c r="AU179" s="392"/>
      <c r="AV179" s="392"/>
      <c r="AW179" s="392"/>
      <c r="AX179" s="392"/>
      <c r="AY179" s="392"/>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N179" s="379"/>
      <c r="DO179" s="379"/>
      <c r="DP179" s="379"/>
      <c r="DQ179" s="379"/>
      <c r="DR179" s="379"/>
      <c r="DS179" s="379"/>
      <c r="DT179" s="379"/>
      <c r="DU179" s="57"/>
      <c r="DV179" s="57"/>
      <c r="DW179" s="379"/>
      <c r="DX179" s="379"/>
    </row>
    <row r="180" spans="1:154" s="60" customFormat="1">
      <c r="B180" s="379"/>
      <c r="D180"/>
      <c r="E180"/>
      <c r="F180" s="833"/>
      <c r="G180" s="835"/>
      <c r="H180" s="868"/>
      <c r="I180" s="394" t="s">
        <v>1773</v>
      </c>
      <c r="J180" s="391"/>
      <c r="K180" s="391"/>
      <c r="L180" s="391"/>
      <c r="M180" s="391"/>
      <c r="N180" s="391"/>
      <c r="O180" s="391"/>
      <c r="P180" s="391"/>
      <c r="Q180" s="391"/>
      <c r="R180" s="391"/>
      <c r="S180" s="391"/>
      <c r="T180" s="391"/>
      <c r="U180" s="391"/>
      <c r="V180" s="391"/>
      <c r="W180" s="391"/>
      <c r="X180" s="391"/>
      <c r="Y180" s="391"/>
      <c r="Z180" s="391"/>
      <c r="AA180" s="392"/>
      <c r="AB180" s="392"/>
      <c r="AC180" s="392"/>
      <c r="AD180" s="392"/>
      <c r="AE180" s="392"/>
      <c r="AF180" s="392"/>
      <c r="AG180" s="392"/>
      <c r="AH180" s="392"/>
      <c r="AI180" s="392"/>
      <c r="AJ180" s="392"/>
      <c r="AK180" s="392"/>
      <c r="AL180" s="392"/>
      <c r="AM180" s="392"/>
      <c r="AN180" s="392"/>
      <c r="AO180" s="392"/>
      <c r="AP180" s="392"/>
      <c r="AQ180" s="392"/>
      <c r="AR180" s="392"/>
      <c r="AS180" s="392"/>
      <c r="AT180" s="392"/>
      <c r="AU180" s="392"/>
      <c r="AV180" s="392"/>
      <c r="AW180" s="392"/>
      <c r="AX180" s="392"/>
      <c r="AY180" s="392"/>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N180" s="379"/>
      <c r="DO180" s="379"/>
      <c r="DP180" s="379"/>
      <c r="DQ180" s="379"/>
      <c r="DR180" s="379"/>
      <c r="DS180" s="379"/>
      <c r="DT180" s="379"/>
      <c r="DU180" s="379"/>
      <c r="DV180" s="379"/>
      <c r="DW180" s="379"/>
      <c r="DX180" s="379"/>
    </row>
    <row r="181" spans="1:154">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row>
    <row r="182" spans="1:154">
      <c r="AS182"/>
      <c r="DX182"/>
    </row>
    <row r="183" spans="1:154">
      <c r="DV183"/>
    </row>
    <row r="184" spans="1:154">
      <c r="CN184"/>
    </row>
    <row r="185" spans="1:154">
      <c r="CL185"/>
    </row>
    <row r="186" spans="1:154">
      <c r="K186" s="880"/>
      <c r="L186" s="881"/>
      <c r="M186" s="881"/>
      <c r="N186" s="881"/>
      <c r="O186" s="881"/>
      <c r="P186" s="881"/>
      <c r="Q186" s="881"/>
      <c r="R186" s="881"/>
      <c r="S186" s="881"/>
      <c r="T186" s="881"/>
      <c r="U186" s="881"/>
      <c r="V186" s="881"/>
      <c r="W186" s="881"/>
      <c r="X186" s="882"/>
      <c r="CS186"/>
      <c r="CT186"/>
      <c r="CU186"/>
      <c r="CV186"/>
      <c r="CW186"/>
      <c r="CX186"/>
      <c r="CY186"/>
      <c r="CZ186"/>
      <c r="DA186"/>
      <c r="DB186"/>
      <c r="DC186"/>
      <c r="DD186"/>
      <c r="DE186"/>
    </row>
    <row r="187" spans="1:154" s="39" customFormat="1" ht="24" customHeight="1">
      <c r="A187" s="162"/>
      <c r="B187" s="162"/>
      <c r="C187" s="162"/>
      <c r="D187" s="159"/>
      <c r="E187" s="192"/>
      <c r="F187" s="827" t="s">
        <v>641</v>
      </c>
      <c r="G187" s="827" t="s">
        <v>735</v>
      </c>
      <c r="H187" s="870" t="str">
        <f>IF(CALC_IDENTIFIER="","",CALC_IDENTIFIER)</f>
        <v/>
      </c>
      <c r="I187" s="870"/>
      <c r="J187" s="827" t="s">
        <v>626</v>
      </c>
      <c r="K187" s="802" t="s">
        <v>2584</v>
      </c>
      <c r="L187" s="802"/>
      <c r="M187" s="802"/>
      <c r="N187" s="803" t="s">
        <v>2569</v>
      </c>
      <c r="O187" s="803"/>
      <c r="P187" s="802" t="s">
        <v>2570</v>
      </c>
      <c r="Q187" s="802"/>
      <c r="R187" s="802" t="s">
        <v>2862</v>
      </c>
      <c r="S187" s="802"/>
      <c r="T187" s="802"/>
      <c r="U187" s="802"/>
      <c r="V187" s="802" t="s">
        <v>2571</v>
      </c>
      <c r="W187" s="802"/>
      <c r="X187" s="803" t="s">
        <v>2572</v>
      </c>
      <c r="Y187" s="828" t="s">
        <v>895</v>
      </c>
      <c r="Z187" s="828"/>
      <c r="AA187" s="872"/>
      <c r="AB187" s="873"/>
      <c r="AC187" s="872" t="s">
        <v>123</v>
      </c>
      <c r="AD187" s="873"/>
      <c r="AE187" s="872" t="s">
        <v>124</v>
      </c>
      <c r="AF187" s="873"/>
      <c r="AG187" s="828" t="s">
        <v>441</v>
      </c>
      <c r="AH187" s="872" t="s">
        <v>125</v>
      </c>
      <c r="AI187" s="873"/>
      <c r="AJ187" s="872"/>
      <c r="AK187" s="873"/>
      <c r="AL187" s="828"/>
      <c r="AM187" s="828" t="s">
        <v>2459</v>
      </c>
      <c r="AN187" s="828"/>
      <c r="AO187" s="828"/>
      <c r="AP187" s="828"/>
      <c r="AQ187" s="828"/>
      <c r="AR187" s="828" t="s">
        <v>747</v>
      </c>
      <c r="AS187" s="828"/>
      <c r="AT187" s="828"/>
      <c r="AU187" s="828"/>
      <c r="AV187" s="831"/>
      <c r="AW187" s="828"/>
      <c r="AX187" s="828"/>
      <c r="AY187" s="828"/>
      <c r="AZ187" s="828"/>
      <c r="BA187" s="828"/>
      <c r="BB187" s="828"/>
      <c r="BC187" s="828"/>
      <c r="BD187" s="828"/>
      <c r="BE187" s="828"/>
      <c r="BF187" s="828"/>
      <c r="BG187" s="828" t="s">
        <v>748</v>
      </c>
      <c r="BH187" s="828"/>
      <c r="BI187" s="828"/>
      <c r="BJ187" s="828"/>
      <c r="BK187" s="831"/>
      <c r="BL187" s="828"/>
      <c r="BM187" s="828"/>
      <c r="BN187" s="828"/>
      <c r="BO187" s="828"/>
      <c r="BP187" s="828"/>
      <c r="BQ187" s="828"/>
      <c r="BR187" s="828"/>
      <c r="BS187" s="828"/>
      <c r="BT187" s="828"/>
      <c r="BU187" s="828"/>
      <c r="BV187" s="828" t="s">
        <v>758</v>
      </c>
      <c r="BW187" s="828"/>
      <c r="BX187" s="828"/>
      <c r="BY187" s="828"/>
      <c r="BZ187" s="831"/>
      <c r="CA187" s="828"/>
      <c r="CB187" s="828"/>
      <c r="CC187" s="828"/>
      <c r="CD187" s="828"/>
      <c r="CE187" s="828"/>
      <c r="CF187" s="828"/>
      <c r="CG187" s="828"/>
      <c r="CH187" s="828"/>
      <c r="CI187" s="828"/>
      <c r="CJ187" s="828"/>
      <c r="CK187" s="828" t="s">
        <v>896</v>
      </c>
      <c r="CL187" s="828" t="s">
        <v>897</v>
      </c>
      <c r="CM187" s="828" t="s">
        <v>898</v>
      </c>
      <c r="CN187" s="828"/>
      <c r="CO187" s="828"/>
      <c r="CP187" s="828"/>
      <c r="CQ187" s="828"/>
      <c r="CR187" s="828" t="s">
        <v>899</v>
      </c>
      <c r="CS187" s="185"/>
      <c r="CT187" s="185"/>
      <c r="CU187" s="185"/>
      <c r="CV187" s="185"/>
      <c r="CW187" s="185"/>
      <c r="CX187" s="185"/>
      <c r="CY187" s="185"/>
      <c r="CZ187" s="185"/>
      <c r="DA187" s="185"/>
      <c r="DB187" s="185"/>
      <c r="DC187" s="185"/>
      <c r="DD187" s="185"/>
      <c r="DE187" s="185"/>
      <c r="DF187" s="78"/>
      <c r="DG187" s="78"/>
      <c r="DH187" s="78"/>
      <c r="DI187" s="77"/>
      <c r="DJ187" s="77"/>
      <c r="DK187" s="77"/>
      <c r="DL187" s="77"/>
      <c r="DM187" s="77"/>
      <c r="DN187" s="77"/>
      <c r="DO187" s="78"/>
      <c r="DP187" s="77"/>
      <c r="DQ187" s="77"/>
      <c r="DR187" s="77"/>
      <c r="DS187" s="77"/>
      <c r="DT187" s="77"/>
    </row>
    <row r="188" spans="1:154" s="39" customFormat="1" ht="18.75" customHeight="1">
      <c r="A188" s="162"/>
      <c r="B188" s="162"/>
      <c r="C188" s="162"/>
      <c r="D188" s="159"/>
      <c r="E188" s="192"/>
      <c r="F188" s="869"/>
      <c r="G188" s="869"/>
      <c r="H188" s="870"/>
      <c r="I188" s="870"/>
      <c r="J188" s="827"/>
      <c r="K188" s="803" t="s">
        <v>2581</v>
      </c>
      <c r="L188" s="803" t="s">
        <v>2582</v>
      </c>
      <c r="M188" s="803" t="s">
        <v>2583</v>
      </c>
      <c r="N188" s="860"/>
      <c r="O188" s="860"/>
      <c r="P188" s="803" t="s">
        <v>2573</v>
      </c>
      <c r="Q188" s="803" t="s">
        <v>2574</v>
      </c>
      <c r="R188" s="803" t="s">
        <v>2573</v>
      </c>
      <c r="S188" s="803" t="s">
        <v>2574</v>
      </c>
      <c r="T188" s="803"/>
      <c r="U188" s="803"/>
      <c r="V188" s="803" t="s">
        <v>2575</v>
      </c>
      <c r="W188" s="803" t="s">
        <v>2576</v>
      </c>
      <c r="X188" s="860"/>
      <c r="Y188" s="828"/>
      <c r="Z188" s="828"/>
      <c r="AA188" s="874"/>
      <c r="AB188" s="875"/>
      <c r="AC188" s="874"/>
      <c r="AD188" s="875"/>
      <c r="AE188" s="874"/>
      <c r="AF188" s="875"/>
      <c r="AG188" s="828"/>
      <c r="AH188" s="874"/>
      <c r="AI188" s="875"/>
      <c r="AJ188" s="874"/>
      <c r="AK188" s="875"/>
      <c r="AL188" s="828"/>
      <c r="AM188" s="828" t="s">
        <v>900</v>
      </c>
      <c r="AN188" s="828"/>
      <c r="AO188" s="828" t="s">
        <v>901</v>
      </c>
      <c r="AP188" s="828"/>
      <c r="AQ188" s="828" t="s">
        <v>442</v>
      </c>
      <c r="AR188" s="828" t="s">
        <v>902</v>
      </c>
      <c r="AS188" s="828"/>
      <c r="AT188" s="828" t="s">
        <v>901</v>
      </c>
      <c r="AU188" s="828"/>
      <c r="AV188" s="828" t="s">
        <v>442</v>
      </c>
      <c r="AW188" s="828" t="s">
        <v>903</v>
      </c>
      <c r="AX188" s="828"/>
      <c r="AY188" s="828"/>
      <c r="AZ188" s="828"/>
      <c r="BA188" s="828"/>
      <c r="BB188" s="828"/>
      <c r="BC188" s="828"/>
      <c r="BD188" s="828"/>
      <c r="BE188" s="828" t="s">
        <v>904</v>
      </c>
      <c r="BF188" s="828" t="s">
        <v>905</v>
      </c>
      <c r="BG188" s="828" t="s">
        <v>902</v>
      </c>
      <c r="BH188" s="828"/>
      <c r="BI188" s="828" t="s">
        <v>901</v>
      </c>
      <c r="BJ188" s="828"/>
      <c r="BK188" s="828" t="s">
        <v>442</v>
      </c>
      <c r="BL188" s="828" t="s">
        <v>903</v>
      </c>
      <c r="BM188" s="828"/>
      <c r="BN188" s="828"/>
      <c r="BO188" s="828"/>
      <c r="BP188" s="828"/>
      <c r="BQ188" s="828"/>
      <c r="BR188" s="828"/>
      <c r="BS188" s="828"/>
      <c r="BT188" s="828" t="s">
        <v>904</v>
      </c>
      <c r="BU188" s="828" t="s">
        <v>905</v>
      </c>
      <c r="BV188" s="828" t="s">
        <v>902</v>
      </c>
      <c r="BW188" s="828"/>
      <c r="BX188" s="828" t="s">
        <v>901</v>
      </c>
      <c r="BY188" s="828"/>
      <c r="BZ188" s="828" t="s">
        <v>442</v>
      </c>
      <c r="CA188" s="828" t="s">
        <v>903</v>
      </c>
      <c r="CB188" s="828"/>
      <c r="CC188" s="828"/>
      <c r="CD188" s="828"/>
      <c r="CE188" s="828"/>
      <c r="CF188" s="828"/>
      <c r="CG188" s="828"/>
      <c r="CH188" s="828"/>
      <c r="CI188" s="828" t="s">
        <v>906</v>
      </c>
      <c r="CJ188" s="828" t="s">
        <v>905</v>
      </c>
      <c r="CK188" s="828"/>
      <c r="CL188" s="828"/>
      <c r="CM188" s="828" t="s">
        <v>907</v>
      </c>
      <c r="CN188" s="828" t="s">
        <v>908</v>
      </c>
      <c r="CO188" s="828" t="s">
        <v>909</v>
      </c>
      <c r="CP188" s="828" t="s">
        <v>910</v>
      </c>
      <c r="CQ188" s="828" t="s">
        <v>911</v>
      </c>
      <c r="CR188" s="828"/>
      <c r="CS188" s="185"/>
      <c r="CT188" s="185"/>
      <c r="CU188" s="185"/>
      <c r="CV188" s="185"/>
      <c r="CW188" s="185"/>
      <c r="CX188" s="185"/>
      <c r="CY188" s="185"/>
      <c r="CZ188" s="185"/>
      <c r="DA188" s="185"/>
      <c r="DB188" s="185"/>
      <c r="DC188" s="185"/>
      <c r="DD188" s="185"/>
      <c r="DE188" s="185"/>
      <c r="DF188" s="78"/>
      <c r="DG188" s="78"/>
      <c r="DH188" s="78"/>
      <c r="DI188" s="77"/>
      <c r="DJ188" s="77"/>
      <c r="DK188" s="77"/>
      <c r="DL188" s="77"/>
      <c r="DM188" s="77"/>
      <c r="DN188" s="77"/>
      <c r="DO188" s="78"/>
      <c r="DP188" s="77"/>
      <c r="DQ188" s="77"/>
      <c r="DR188" s="77"/>
      <c r="DS188" s="77"/>
      <c r="DT188" s="77"/>
    </row>
    <row r="189" spans="1:154" s="39" customFormat="1" ht="47.25" customHeight="1">
      <c r="A189" s="162"/>
      <c r="B189" s="162"/>
      <c r="C189" s="162"/>
      <c r="D189" s="159"/>
      <c r="E189" s="192"/>
      <c r="F189" s="869"/>
      <c r="G189" s="869"/>
      <c r="H189" s="870"/>
      <c r="I189" s="870"/>
      <c r="J189" s="827"/>
      <c r="K189" s="860"/>
      <c r="L189" s="860"/>
      <c r="M189" s="860"/>
      <c r="N189" s="860"/>
      <c r="O189" s="860"/>
      <c r="P189" s="860"/>
      <c r="Q189" s="860"/>
      <c r="R189" s="860"/>
      <c r="S189" s="860"/>
      <c r="T189" s="860"/>
      <c r="U189" s="860"/>
      <c r="V189" s="860"/>
      <c r="W189" s="860"/>
      <c r="X189" s="860"/>
      <c r="Y189" s="828"/>
      <c r="Z189" s="828"/>
      <c r="AA189" s="876"/>
      <c r="AB189" s="877"/>
      <c r="AC189" s="876"/>
      <c r="AD189" s="877"/>
      <c r="AE189" s="876"/>
      <c r="AF189" s="877"/>
      <c r="AG189" s="828"/>
      <c r="AH189" s="876"/>
      <c r="AI189" s="877"/>
      <c r="AJ189" s="876"/>
      <c r="AK189" s="877"/>
      <c r="AL189" s="828"/>
      <c r="AM189" s="828"/>
      <c r="AN189" s="828"/>
      <c r="AO189" s="828"/>
      <c r="AP189" s="828"/>
      <c r="AQ189" s="828"/>
      <c r="AR189" s="828"/>
      <c r="AS189" s="828"/>
      <c r="AT189" s="828"/>
      <c r="AU189" s="828"/>
      <c r="AV189" s="828"/>
      <c r="AW189" s="828" t="s">
        <v>912</v>
      </c>
      <c r="AX189" s="828"/>
      <c r="AY189" s="828" t="s">
        <v>913</v>
      </c>
      <c r="AZ189" s="828"/>
      <c r="BA189" s="828" t="s">
        <v>914</v>
      </c>
      <c r="BB189" s="828" t="s">
        <v>915</v>
      </c>
      <c r="BC189" s="828"/>
      <c r="BD189" s="828" t="s">
        <v>916</v>
      </c>
      <c r="BE189" s="828"/>
      <c r="BF189" s="828"/>
      <c r="BG189" s="828"/>
      <c r="BH189" s="828"/>
      <c r="BI189" s="828"/>
      <c r="BJ189" s="828"/>
      <c r="BK189" s="828"/>
      <c r="BL189" s="828" t="s">
        <v>2963</v>
      </c>
      <c r="BM189" s="828"/>
      <c r="BN189" s="828" t="s">
        <v>913</v>
      </c>
      <c r="BO189" s="828"/>
      <c r="BP189" s="828" t="s">
        <v>914</v>
      </c>
      <c r="BQ189" s="828" t="s">
        <v>915</v>
      </c>
      <c r="BR189" s="828"/>
      <c r="BS189" s="828" t="s">
        <v>916</v>
      </c>
      <c r="BT189" s="828"/>
      <c r="BU189" s="828"/>
      <c r="BV189" s="828"/>
      <c r="BW189" s="828"/>
      <c r="BX189" s="828"/>
      <c r="BY189" s="828"/>
      <c r="BZ189" s="828"/>
      <c r="CA189" s="828" t="s">
        <v>2963</v>
      </c>
      <c r="CB189" s="828"/>
      <c r="CC189" s="828" t="s">
        <v>913</v>
      </c>
      <c r="CD189" s="828"/>
      <c r="CE189" s="828" t="s">
        <v>914</v>
      </c>
      <c r="CF189" s="828" t="s">
        <v>915</v>
      </c>
      <c r="CG189" s="828"/>
      <c r="CH189" s="828" t="s">
        <v>916</v>
      </c>
      <c r="CI189" s="828"/>
      <c r="CJ189" s="828"/>
      <c r="CK189" s="828"/>
      <c r="CL189" s="828"/>
      <c r="CM189" s="828"/>
      <c r="CN189" s="828"/>
      <c r="CO189" s="828"/>
      <c r="CP189" s="828"/>
      <c r="CQ189" s="828"/>
      <c r="CR189" s="828"/>
      <c r="CS189" s="185"/>
      <c r="CT189" s="185"/>
      <c r="CU189" s="185"/>
      <c r="CV189" s="185"/>
      <c r="CW189" s="185"/>
      <c r="CX189" s="185"/>
      <c r="CY189" s="185"/>
      <c r="CZ189" s="185"/>
      <c r="DA189" s="185"/>
      <c r="DB189" s="185"/>
      <c r="DC189" s="185"/>
      <c r="DD189" s="185"/>
      <c r="DE189" s="185"/>
      <c r="DF189" s="78"/>
      <c r="DG189" s="78"/>
      <c r="DH189" s="78"/>
      <c r="DI189" s="77"/>
      <c r="DJ189" s="77"/>
      <c r="DK189" s="77"/>
      <c r="DL189" s="77"/>
      <c r="DM189" s="77"/>
      <c r="DN189" s="77"/>
      <c r="DO189" s="78"/>
      <c r="DP189" s="78"/>
      <c r="DQ189" s="78"/>
      <c r="DR189" s="78"/>
      <c r="DS189" s="78"/>
      <c r="DT189" s="78"/>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62"/>
      <c r="EV189" s="162"/>
      <c r="EW189" s="162"/>
      <c r="EX189" s="162"/>
    </row>
    <row r="190" spans="1:154" s="39" customFormat="1" ht="12" customHeight="1">
      <c r="A190" s="162"/>
      <c r="B190" s="162"/>
      <c r="C190" s="162"/>
      <c r="D190" s="159"/>
      <c r="E190" s="192"/>
      <c r="F190" s="869"/>
      <c r="G190" s="869"/>
      <c r="H190" s="870"/>
      <c r="I190" s="870"/>
      <c r="J190" s="827"/>
      <c r="K190" s="826"/>
      <c r="L190" s="826"/>
      <c r="M190" s="826"/>
      <c r="N190" s="826"/>
      <c r="O190" s="826"/>
      <c r="P190" s="826"/>
      <c r="Q190" s="826"/>
      <c r="R190" s="826"/>
      <c r="S190" s="826"/>
      <c r="T190" s="826"/>
      <c r="U190" s="826"/>
      <c r="V190" s="826"/>
      <c r="W190" s="826"/>
      <c r="X190" s="826"/>
      <c r="Y190" s="193" t="s">
        <v>627</v>
      </c>
      <c r="Z190" s="193" t="s">
        <v>628</v>
      </c>
      <c r="AA190" s="193"/>
      <c r="AB190" s="193"/>
      <c r="AC190" s="193" t="s">
        <v>627</v>
      </c>
      <c r="AD190" s="193" t="s">
        <v>628</v>
      </c>
      <c r="AE190" s="193" t="s">
        <v>627</v>
      </c>
      <c r="AF190" s="193" t="s">
        <v>628</v>
      </c>
      <c r="AG190" s="828"/>
      <c r="AH190" s="193" t="s">
        <v>627</v>
      </c>
      <c r="AI190" s="193" t="s">
        <v>628</v>
      </c>
      <c r="AJ190" s="193"/>
      <c r="AK190" s="193"/>
      <c r="AL190" s="828"/>
      <c r="AM190" s="193" t="s">
        <v>627</v>
      </c>
      <c r="AN190" s="193" t="s">
        <v>628</v>
      </c>
      <c r="AO190" s="193" t="s">
        <v>627</v>
      </c>
      <c r="AP190" s="193" t="s">
        <v>628</v>
      </c>
      <c r="AQ190" s="828"/>
      <c r="AR190" s="193" t="s">
        <v>627</v>
      </c>
      <c r="AS190" s="193" t="s">
        <v>628</v>
      </c>
      <c r="AT190" s="193" t="s">
        <v>627</v>
      </c>
      <c r="AU190" s="193" t="s">
        <v>628</v>
      </c>
      <c r="AV190" s="828"/>
      <c r="AW190" s="193" t="s">
        <v>627</v>
      </c>
      <c r="AX190" s="193" t="s">
        <v>628</v>
      </c>
      <c r="AY190" s="193" t="s">
        <v>627</v>
      </c>
      <c r="AZ190" s="193" t="s">
        <v>628</v>
      </c>
      <c r="BA190" s="828"/>
      <c r="BB190" s="193" t="s">
        <v>627</v>
      </c>
      <c r="BC190" s="193" t="s">
        <v>628</v>
      </c>
      <c r="BD190" s="828"/>
      <c r="BE190" s="828"/>
      <c r="BF190" s="828"/>
      <c r="BG190" s="193" t="s">
        <v>627</v>
      </c>
      <c r="BH190" s="193" t="s">
        <v>628</v>
      </c>
      <c r="BI190" s="193" t="s">
        <v>627</v>
      </c>
      <c r="BJ190" s="193" t="s">
        <v>628</v>
      </c>
      <c r="BK190" s="828"/>
      <c r="BL190" s="193" t="s">
        <v>627</v>
      </c>
      <c r="BM190" s="193" t="s">
        <v>628</v>
      </c>
      <c r="BN190" s="193" t="s">
        <v>627</v>
      </c>
      <c r="BO190" s="193" t="s">
        <v>628</v>
      </c>
      <c r="BP190" s="828"/>
      <c r="BQ190" s="193" t="s">
        <v>627</v>
      </c>
      <c r="BR190" s="193" t="s">
        <v>628</v>
      </c>
      <c r="BS190" s="828"/>
      <c r="BT190" s="828"/>
      <c r="BU190" s="828"/>
      <c r="BV190" s="193" t="s">
        <v>627</v>
      </c>
      <c r="BW190" s="193" t="s">
        <v>628</v>
      </c>
      <c r="BX190" s="193" t="s">
        <v>627</v>
      </c>
      <c r="BY190" s="193" t="s">
        <v>628</v>
      </c>
      <c r="BZ190" s="828"/>
      <c r="CA190" s="193" t="s">
        <v>627</v>
      </c>
      <c r="CB190" s="193" t="s">
        <v>628</v>
      </c>
      <c r="CC190" s="193" t="s">
        <v>627</v>
      </c>
      <c r="CD190" s="193" t="s">
        <v>628</v>
      </c>
      <c r="CE190" s="828"/>
      <c r="CF190" s="193" t="s">
        <v>627</v>
      </c>
      <c r="CG190" s="193" t="s">
        <v>628</v>
      </c>
      <c r="CH190" s="828"/>
      <c r="CI190" s="828"/>
      <c r="CJ190" s="828"/>
      <c r="CK190" s="828"/>
      <c r="CL190" s="828"/>
      <c r="CM190" s="828"/>
      <c r="CN190" s="828"/>
      <c r="CO190" s="828"/>
      <c r="CP190" s="828"/>
      <c r="CQ190" s="828"/>
      <c r="CR190" s="828"/>
      <c r="CS190" s="185"/>
      <c r="CT190" s="185"/>
      <c r="CU190" s="185"/>
      <c r="CV190" s="185"/>
      <c r="CW190" s="185"/>
      <c r="CX190" s="185"/>
      <c r="CY190" s="185"/>
      <c r="CZ190" s="185"/>
      <c r="DA190" s="185"/>
      <c r="DB190" s="185"/>
      <c r="DC190" s="185"/>
      <c r="DD190" s="185"/>
      <c r="DE190" s="185"/>
      <c r="DF190" s="829" t="s">
        <v>295</v>
      </c>
      <c r="DG190" s="829"/>
      <c r="DH190" s="829"/>
      <c r="DI190" s="829"/>
      <c r="DJ190" s="829"/>
      <c r="DK190" s="829"/>
      <c r="DL190" s="829"/>
      <c r="DM190" s="829"/>
      <c r="DN190" s="829"/>
      <c r="DO190" s="829"/>
      <c r="DP190" s="829" t="s">
        <v>296</v>
      </c>
      <c r="DQ190" s="829"/>
      <c r="DR190" s="829"/>
      <c r="DS190" s="829"/>
      <c r="DT190" s="829"/>
      <c r="DU190" s="829"/>
      <c r="DV190" s="829"/>
      <c r="DW190" s="829"/>
      <c r="DX190" s="829"/>
      <c r="DY190" s="829"/>
      <c r="DZ190" s="829"/>
      <c r="EA190" s="829"/>
      <c r="EB190" s="829"/>
      <c r="EC190" s="829"/>
      <c r="ED190" s="829"/>
      <c r="EE190" s="829"/>
      <c r="EF190" s="829"/>
      <c r="EG190" s="829"/>
      <c r="EH190" s="829" t="s">
        <v>293</v>
      </c>
      <c r="EI190" s="829"/>
      <c r="EJ190" s="829" t="s">
        <v>294</v>
      </c>
      <c r="EK190" s="829"/>
      <c r="EL190" s="829"/>
      <c r="EM190" s="829"/>
      <c r="EN190" s="829"/>
      <c r="EO190" s="829"/>
      <c r="EP190" s="829"/>
      <c r="EQ190" s="829"/>
      <c r="ER190" s="829" t="s">
        <v>444</v>
      </c>
      <c r="ES190" s="829"/>
      <c r="ET190" s="829" t="s">
        <v>1783</v>
      </c>
      <c r="EU190" s="829"/>
      <c r="EV190" s="829"/>
      <c r="EW190" s="162"/>
      <c r="EX190" s="162"/>
    </row>
    <row r="191" spans="1:154" s="39" customFormat="1" ht="12" customHeight="1">
      <c r="A191" s="162"/>
      <c r="B191" s="162"/>
      <c r="C191" s="162"/>
      <c r="D191" s="159"/>
      <c r="E191" s="192"/>
      <c r="F191" s="182"/>
      <c r="G191" s="182" t="s">
        <v>759</v>
      </c>
      <c r="H191" s="183" t="s">
        <v>629</v>
      </c>
      <c r="I191" s="183" t="s">
        <v>630</v>
      </c>
      <c r="J191" s="183" t="s">
        <v>631</v>
      </c>
      <c r="K191" s="183" t="s">
        <v>2851</v>
      </c>
      <c r="L191" s="183" t="s">
        <v>2852</v>
      </c>
      <c r="M191" s="183" t="s">
        <v>2853</v>
      </c>
      <c r="N191" s="183" t="s">
        <v>2854</v>
      </c>
      <c r="O191" s="183"/>
      <c r="P191" s="183" t="s">
        <v>2855</v>
      </c>
      <c r="Q191" s="183" t="s">
        <v>2856</v>
      </c>
      <c r="R191" s="183" t="s">
        <v>2857</v>
      </c>
      <c r="S191" s="183" t="s">
        <v>2858</v>
      </c>
      <c r="T191" s="183"/>
      <c r="U191" s="183"/>
      <c r="V191" s="183" t="s">
        <v>2859</v>
      </c>
      <c r="W191" s="183" t="s">
        <v>2860</v>
      </c>
      <c r="X191" s="183" t="s">
        <v>2861</v>
      </c>
      <c r="Y191" s="472" t="s">
        <v>790</v>
      </c>
      <c r="Z191" s="472" t="s">
        <v>792</v>
      </c>
      <c r="AA191" s="472"/>
      <c r="AB191" s="472"/>
      <c r="AC191" s="472" t="s">
        <v>635</v>
      </c>
      <c r="AD191" s="472" t="s">
        <v>883</v>
      </c>
      <c r="AE191" s="472" t="s">
        <v>885</v>
      </c>
      <c r="AF191" s="472" t="s">
        <v>886</v>
      </c>
      <c r="AG191" s="183" t="s">
        <v>761</v>
      </c>
      <c r="AH191" s="472" t="s">
        <v>888</v>
      </c>
      <c r="AI191" s="472" t="s">
        <v>889</v>
      </c>
      <c r="AJ191" s="472"/>
      <c r="AK191" s="472"/>
      <c r="AL191" s="472"/>
      <c r="AM191" s="183" t="s">
        <v>767</v>
      </c>
      <c r="AN191" s="183" t="s">
        <v>918</v>
      </c>
      <c r="AO191" s="183" t="s">
        <v>919</v>
      </c>
      <c r="AP191" s="183" t="s">
        <v>1799</v>
      </c>
      <c r="AQ191" s="183" t="s">
        <v>768</v>
      </c>
      <c r="AR191" s="183" t="s">
        <v>2993</v>
      </c>
      <c r="AS191" s="183" t="s">
        <v>3003</v>
      </c>
      <c r="AT191" s="183" t="s">
        <v>1800</v>
      </c>
      <c r="AU191" s="183" t="s">
        <v>1801</v>
      </c>
      <c r="AV191" s="183" t="s">
        <v>771</v>
      </c>
      <c r="AW191" s="183" t="s">
        <v>1802</v>
      </c>
      <c r="AX191" s="183" t="s">
        <v>1803</v>
      </c>
      <c r="AY191" s="183" t="s">
        <v>1804</v>
      </c>
      <c r="AZ191" s="183" t="s">
        <v>1805</v>
      </c>
      <c r="BA191" s="183" t="s">
        <v>1806</v>
      </c>
      <c r="BB191" s="183" t="s">
        <v>1807</v>
      </c>
      <c r="BC191" s="183" t="s">
        <v>1808</v>
      </c>
      <c r="BD191" s="183" t="s">
        <v>1809</v>
      </c>
      <c r="BE191" s="183" t="s">
        <v>1810</v>
      </c>
      <c r="BF191" s="183" t="s">
        <v>1811</v>
      </c>
      <c r="BG191" s="183" t="s">
        <v>1833</v>
      </c>
      <c r="BH191" s="183" t="s">
        <v>1835</v>
      </c>
      <c r="BI191" s="183" t="s">
        <v>1812</v>
      </c>
      <c r="BJ191" s="183" t="s">
        <v>1813</v>
      </c>
      <c r="BK191" s="183" t="s">
        <v>62</v>
      </c>
      <c r="BL191" s="183" t="s">
        <v>71</v>
      </c>
      <c r="BM191" s="183" t="s">
        <v>1845</v>
      </c>
      <c r="BN191" s="183" t="s">
        <v>1814</v>
      </c>
      <c r="BO191" s="183" t="s">
        <v>1815</v>
      </c>
      <c r="BP191" s="183" t="s">
        <v>1816</v>
      </c>
      <c r="BQ191" s="183" t="s">
        <v>1817</v>
      </c>
      <c r="BR191" s="183" t="s">
        <v>1818</v>
      </c>
      <c r="BS191" s="183" t="s">
        <v>1819</v>
      </c>
      <c r="BT191" s="183" t="s">
        <v>1848</v>
      </c>
      <c r="BU191" s="183" t="s">
        <v>1855</v>
      </c>
      <c r="BV191" s="183" t="s">
        <v>1820</v>
      </c>
      <c r="BW191" s="183" t="s">
        <v>1821</v>
      </c>
      <c r="BX191" s="183" t="s">
        <v>1822</v>
      </c>
      <c r="BY191" s="183" t="s">
        <v>1823</v>
      </c>
      <c r="BZ191" s="183" t="s">
        <v>2416</v>
      </c>
      <c r="CA191" s="183" t="s">
        <v>1824</v>
      </c>
      <c r="CB191" s="183" t="s">
        <v>1825</v>
      </c>
      <c r="CC191" s="183" t="s">
        <v>1826</v>
      </c>
      <c r="CD191" s="183" t="s">
        <v>1827</v>
      </c>
      <c r="CE191" s="183" t="s">
        <v>1828</v>
      </c>
      <c r="CF191" s="183" t="s">
        <v>1829</v>
      </c>
      <c r="CG191" s="183" t="s">
        <v>1830</v>
      </c>
      <c r="CH191" s="183" t="s">
        <v>1831</v>
      </c>
      <c r="CI191" s="183" t="s">
        <v>2422</v>
      </c>
      <c r="CJ191" s="183" t="s">
        <v>2425</v>
      </c>
      <c r="CK191" s="183" t="s">
        <v>2427</v>
      </c>
      <c r="CL191" s="183" t="s">
        <v>2431</v>
      </c>
      <c r="CM191" s="183" t="s">
        <v>845</v>
      </c>
      <c r="CN191" s="183" t="s">
        <v>1847</v>
      </c>
      <c r="CO191" s="183" t="s">
        <v>1854</v>
      </c>
      <c r="CP191" s="183" t="s">
        <v>2421</v>
      </c>
      <c r="CQ191" s="183" t="s">
        <v>2424</v>
      </c>
      <c r="CR191" s="183" t="s">
        <v>3005</v>
      </c>
      <c r="CS191" s="185"/>
      <c r="CT191" s="185"/>
      <c r="CU191" s="185"/>
      <c r="CV191" s="185"/>
      <c r="CW191" s="185"/>
      <c r="CX191" s="185"/>
      <c r="CY191" s="185"/>
      <c r="CZ191" s="185"/>
      <c r="DA191" s="185"/>
      <c r="DB191" s="185"/>
      <c r="DC191" s="185"/>
      <c r="DD191" s="185"/>
      <c r="DE191" s="185"/>
      <c r="DF191" s="472"/>
      <c r="DG191" s="472"/>
      <c r="DH191" s="472"/>
      <c r="DI191" s="472"/>
      <c r="DJ191" s="472"/>
      <c r="DK191" s="472"/>
      <c r="DL191" s="472"/>
      <c r="DM191" s="472"/>
      <c r="DN191" s="472"/>
      <c r="DO191" s="472"/>
      <c r="DP191" s="472" t="s">
        <v>1802</v>
      </c>
      <c r="DQ191" s="472" t="s">
        <v>1803</v>
      </c>
      <c r="DR191" s="472" t="s">
        <v>1804</v>
      </c>
      <c r="DS191" s="472" t="s">
        <v>1805</v>
      </c>
      <c r="DT191" s="472" t="s">
        <v>1807</v>
      </c>
      <c r="DU191" s="472" t="s">
        <v>1808</v>
      </c>
      <c r="DV191" s="472" t="s">
        <v>71</v>
      </c>
      <c r="DW191" s="472" t="s">
        <v>1845</v>
      </c>
      <c r="DX191" s="472" t="s">
        <v>1814</v>
      </c>
      <c r="DY191" s="472" t="s">
        <v>1815</v>
      </c>
      <c r="DZ191" s="472" t="s">
        <v>1817</v>
      </c>
      <c r="EA191" s="472" t="s">
        <v>1818</v>
      </c>
      <c r="EB191" s="472" t="s">
        <v>1824</v>
      </c>
      <c r="EC191" s="472" t="s">
        <v>1825</v>
      </c>
      <c r="ED191" s="472" t="s">
        <v>1826</v>
      </c>
      <c r="EE191" s="472" t="s">
        <v>1827</v>
      </c>
      <c r="EF191" s="472" t="s">
        <v>1829</v>
      </c>
      <c r="EG191" s="472" t="s">
        <v>1830</v>
      </c>
      <c r="EH191" s="183"/>
      <c r="EI191" s="183"/>
      <c r="EJ191" s="472"/>
      <c r="EK191" s="472"/>
      <c r="EL191" s="472"/>
      <c r="EM191" s="472"/>
      <c r="EN191" s="472"/>
      <c r="EO191" s="472"/>
      <c r="EP191" s="472"/>
      <c r="EQ191" s="472"/>
      <c r="ER191" s="183"/>
      <c r="ES191" s="183"/>
      <c r="ET191" s="183"/>
      <c r="EU191" s="183"/>
      <c r="EV191" s="183"/>
      <c r="EW191" s="162"/>
      <c r="EX191" s="162"/>
    </row>
    <row r="192" spans="1:154" s="39" customFormat="1">
      <c r="C192" s="38"/>
      <c r="D192"/>
      <c r="E192"/>
      <c r="F192" s="60"/>
      <c r="G192" s="60"/>
      <c r="H192" s="388" t="s">
        <v>3148</v>
      </c>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380"/>
      <c r="BN192" s="380"/>
      <c r="BO192" s="380"/>
      <c r="BP192" s="380"/>
      <c r="BQ192" s="380"/>
      <c r="BR192" s="380"/>
      <c r="BS192" s="380"/>
      <c r="BT192" s="380"/>
      <c r="BU192" s="380"/>
      <c r="BV192" s="380"/>
      <c r="BW192" s="380"/>
      <c r="BX192" s="380"/>
      <c r="BY192" s="380"/>
      <c r="BZ192" s="381"/>
      <c r="CA192" s="381"/>
      <c r="CB192" s="381"/>
      <c r="CC192" s="381"/>
      <c r="CD192" s="60"/>
      <c r="CE192" s="60"/>
      <c r="CF192" s="60"/>
      <c r="CG192" s="60"/>
      <c r="CH192" s="60"/>
      <c r="CI192" s="60"/>
      <c r="CJ192" s="60"/>
      <c r="CK192" s="60"/>
      <c r="CL192" s="60"/>
      <c r="CM192" s="60"/>
      <c r="CN192" s="60"/>
      <c r="CO192" s="60"/>
      <c r="CP192" s="60"/>
      <c r="CQ192" s="60"/>
      <c r="CR192" s="60"/>
      <c r="CS192"/>
      <c r="CT192"/>
      <c r="CU192"/>
      <c r="CV192"/>
      <c r="CW192"/>
      <c r="CX192"/>
      <c r="CY192"/>
      <c r="CZ192"/>
      <c r="DA192"/>
      <c r="DB192"/>
      <c r="DC192"/>
      <c r="DD192"/>
      <c r="DE192"/>
      <c r="DF192" s="60"/>
      <c r="DG192" s="60"/>
      <c r="DH192" s="60"/>
      <c r="DI192" s="60"/>
      <c r="DJ192" s="60"/>
      <c r="DK192" s="60"/>
      <c r="DL192" s="60"/>
      <c r="DM192" s="60"/>
      <c r="DN192" s="60"/>
      <c r="DO192" s="60"/>
      <c r="DP192" s="60"/>
      <c r="DQ192" s="60"/>
      <c r="DR192" s="77"/>
      <c r="DS192" s="77"/>
      <c r="DT192" s="77"/>
    </row>
    <row r="193" spans="2:152" s="60" customFormat="1">
      <c r="B193" s="38"/>
      <c r="C193" s="497" t="str">
        <f>F193 &amp; ".0"</f>
        <v>.0</v>
      </c>
      <c r="D193" s="471"/>
      <c r="E193" s="470"/>
      <c r="F193" s="833"/>
      <c r="G193" s="853"/>
      <c r="H193" s="389" t="s">
        <v>1768</v>
      </c>
      <c r="I193" s="390" t="s">
        <v>1769</v>
      </c>
      <c r="J193" s="391"/>
      <c r="K193" s="391"/>
      <c r="L193" s="391"/>
      <c r="M193" s="391"/>
      <c r="N193" s="391"/>
      <c r="O193" s="391"/>
      <c r="P193" s="391"/>
      <c r="Q193" s="391"/>
      <c r="R193" s="391"/>
      <c r="S193" s="391"/>
      <c r="T193" s="391"/>
      <c r="U193" s="391"/>
      <c r="V193" s="391"/>
      <c r="W193" s="391"/>
      <c r="X193" s="391"/>
      <c r="Y193" s="398">
        <f>IF((AG193+AQ193)&gt;0,(Y194*(AG194+AQ194)+Y195*(AG195+AQ195)+Y196*(AG196+AQ196)+Y197*(AG197+AQ197)+Y206*(AG206+AQ206)+Y207*(AG207+AQ207))/(AG193+AQ193),0)</f>
        <v>0</v>
      </c>
      <c r="Z193" s="398">
        <f>IF(D193="нет",Y193,Y193*1.18)</f>
        <v>0</v>
      </c>
      <c r="AA193" s="117"/>
      <c r="AB193" s="117"/>
      <c r="AC193" s="398">
        <f>IF(AG193&gt;0,(AR193*AV193+BG193*BK193+BV193*BZ193)/AG193,0)</f>
        <v>0</v>
      </c>
      <c r="AD193" s="398">
        <f>IF(D193="нет",AC193,AC193*1.18)</f>
        <v>0</v>
      </c>
      <c r="AE193" s="398">
        <f>IF(AG193&gt;0,(AR193*AV193+BG193*BK193+BV193*BZ193-AH193*AG193)/AG193,0)</f>
        <v>0</v>
      </c>
      <c r="AF193" s="398">
        <f>IF(D193="нет",AE193,AE193*1.18)</f>
        <v>0</v>
      </c>
      <c r="AG193" s="398">
        <f>AV193+BK193+BZ193</f>
        <v>0</v>
      </c>
      <c r="AH193" s="398">
        <f>IF(AG193&gt;0,(AH194*AG194+AH195*AG195+AH196*AG196+AH197*AG197+AH206*AG206+AH207*AG207)/AG193,0)</f>
        <v>0</v>
      </c>
      <c r="AI193" s="398">
        <f>IF(D193="нет",AH193,AH193*1.18)</f>
        <v>0</v>
      </c>
      <c r="AJ193" s="117"/>
      <c r="AK193" s="117"/>
      <c r="AL193" s="117"/>
      <c r="AM193" s="398">
        <f>IF($AQ193&gt;0,(AM194*$AQ194+AM195*$AQ195+AM196*$AQ196+AM197*$AQ197+AM206*$AQ206+AM207*$AQ207)/$AQ193,0)</f>
        <v>0</v>
      </c>
      <c r="AN193" s="398">
        <f>IF(D193="нет",AM193,AM193*1.18)</f>
        <v>0</v>
      </c>
      <c r="AO193" s="398">
        <f>IF($AQ193&gt;0,(AO194*$AQ194+AO195*$AQ195+AO196*$AQ196+AO197*$AQ197+AO206*$AQ206+AO207*$AQ207)/$AQ193,0)</f>
        <v>0</v>
      </c>
      <c r="AP193" s="398">
        <f>IF($D193="нет",AO193,AO193*1.18)</f>
        <v>0</v>
      </c>
      <c r="AQ193" s="398">
        <f>AQ194+AQ195+AQ196+AQ197+AQ206+AQ207</f>
        <v>0</v>
      </c>
      <c r="AR193" s="398">
        <f>IF($AV193&gt;0,(AR194*$AV194+AR195*$AV195+AR196*$AV196+AR197*$AV197+AR206*$AV206+AR207*$AV207)/$AV193,0)</f>
        <v>0</v>
      </c>
      <c r="AS193" s="398">
        <f>IF(D193="нет",AR193,AR193*1.18)</f>
        <v>0</v>
      </c>
      <c r="AT193" s="398">
        <f>IF($AV193&gt;0,(AT194*$AV194+AT195*$AV195+AT196*$AV196+AT197*$AV197+AT206*$AV206+AT207*$AV207)/$AV193,0)</f>
        <v>0</v>
      </c>
      <c r="AU193" s="398">
        <f>IF($D193="нет",AT193,AT193*1.18)</f>
        <v>0</v>
      </c>
      <c r="AV193" s="398">
        <f>AV194+AV195+AV196+AV197+AV206+AV207</f>
        <v>0</v>
      </c>
      <c r="AW193" s="832"/>
      <c r="AX193" s="832"/>
      <c r="AY193" s="832"/>
      <c r="AZ193" s="832"/>
      <c r="BA193" s="832"/>
      <c r="BB193" s="832"/>
      <c r="BC193" s="832"/>
      <c r="BD193" s="832"/>
      <c r="BE193" s="398">
        <f>BE194+BE195+BE196+BE197+BE206+BE207</f>
        <v>0</v>
      </c>
      <c r="BF193" s="398">
        <f>IF(AV193=0,0,1000*BE193/AV193)</f>
        <v>0</v>
      </c>
      <c r="BG193" s="398">
        <f>IF($BK193&gt;0,(BG194*$BK194+BG195*$BK195+BG196*$BK196+BG197*$BK197+BG206*$BK206+BG207*$BK207)/$BK193,0)</f>
        <v>0</v>
      </c>
      <c r="BH193" s="398">
        <f>IF(D193="нет",BG193,BG193*1.18)</f>
        <v>0</v>
      </c>
      <c r="BI193" s="398">
        <f>IF($BK193&gt;0,(BI194*$BK194+BI195*$BK195+BI196*$BK196+BI197*$BK197+BI206*$BK206+BI207*$BK207)/$BK193,0)</f>
        <v>0</v>
      </c>
      <c r="BJ193" s="398">
        <f>IF($D193="нет",BI193,BI193*1.18)</f>
        <v>0</v>
      </c>
      <c r="BK193" s="398">
        <f>BK194+BK195+BK196+BK197+BK206+BK207</f>
        <v>0</v>
      </c>
      <c r="BL193" s="832"/>
      <c r="BM193" s="832"/>
      <c r="BN193" s="832"/>
      <c r="BO193" s="832"/>
      <c r="BP193" s="832"/>
      <c r="BQ193" s="832"/>
      <c r="BR193" s="832"/>
      <c r="BS193" s="832"/>
      <c r="BT193" s="398">
        <f>BT194+BT195+BT196+BT197+BT206+BT207</f>
        <v>0</v>
      </c>
      <c r="BU193" s="398">
        <f>IF(BK193=0,0,1000*BT193/BK193)</f>
        <v>0</v>
      </c>
      <c r="BV193" s="398">
        <f>IF($BZ193&gt;0,(BV194*$BZ194+BV195*$BZ195+BV196*$BZ196+BV197*$BZ197+BV206*$BZ206+BV207*$BZ207)/$BZ193,0)</f>
        <v>0</v>
      </c>
      <c r="BW193" s="398">
        <f>IF(D193="нет",BV193,BV193*1.18)</f>
        <v>0</v>
      </c>
      <c r="BX193" s="398">
        <f>IF($BZ193&gt;0,(BX194*$BZ194+BX195*$BZ195+BX196*$BZ196+BX197*$BZ197+BX206*$BZ206+BX207*$BZ207)/$BZ193,0)</f>
        <v>0</v>
      </c>
      <c r="BY193" s="398">
        <f>IF($D193="нет",BX193,BX193*1.18)</f>
        <v>0</v>
      </c>
      <c r="BZ193" s="398">
        <f>BZ194+BZ195+BZ196+BZ197+BZ206+BZ207</f>
        <v>0</v>
      </c>
      <c r="CA193" s="832"/>
      <c r="CB193" s="832"/>
      <c r="CC193" s="832"/>
      <c r="CD193" s="832"/>
      <c r="CE193" s="832"/>
      <c r="CF193" s="832"/>
      <c r="CG193" s="832"/>
      <c r="CH193" s="832"/>
      <c r="CI193" s="398">
        <f>CI194+CI195+CI196+CI197+CI206+CI207</f>
        <v>0</v>
      </c>
      <c r="CJ193" s="398">
        <f>IF(BZ193=0,0,1000*CI193/BZ193)</f>
        <v>0</v>
      </c>
      <c r="CK193" s="398">
        <f t="shared" ref="CK193:CK207" si="0">BE193+BT193+CI193</f>
        <v>0</v>
      </c>
      <c r="CL193" s="398">
        <f>SUM(CN194:CQ195,CN198:CQ207)</f>
        <v>0</v>
      </c>
      <c r="CM193" s="398">
        <f>SUMIF(CN193:CQ193,"&gt;0")</f>
        <v>0</v>
      </c>
      <c r="CN193" s="398">
        <f>SUMIF(CN194:CN195,"&gt;0")+SUMIF(CN198:CN207,"&gt;0")</f>
        <v>0</v>
      </c>
      <c r="CO193" s="398">
        <f>SUMIF(CO194:CO195,"&gt;0")+SUMIF(CO198:CO207,"&gt;0")</f>
        <v>0</v>
      </c>
      <c r="CP193" s="398">
        <f>SUMIF(CP194:CP195,"&gt;0")+SUMIF(CP198:CP207,"&gt;0")</f>
        <v>0</v>
      </c>
      <c r="CQ193" s="398">
        <f>SUMIF(CQ194:CQ195,"&gt;0")+SUMIF(CQ198:CQ207,"&gt;0")</f>
        <v>0</v>
      </c>
      <c r="CR193" s="846"/>
      <c r="CS193"/>
      <c r="CT193"/>
      <c r="CU193"/>
      <c r="CV193"/>
      <c r="CW193"/>
      <c r="CX193"/>
      <c r="CY193"/>
      <c r="CZ193"/>
      <c r="DA193"/>
      <c r="DB193"/>
      <c r="DC193"/>
      <c r="DD193"/>
      <c r="DE193"/>
      <c r="DF193" s="80">
        <f>AH193*AG193</f>
        <v>0</v>
      </c>
      <c r="DG193" s="80">
        <f>AI193*AG193</f>
        <v>0</v>
      </c>
      <c r="DH193" s="80">
        <f>AM193*AQ193</f>
        <v>0</v>
      </c>
      <c r="DI193" s="80">
        <f>AN193*AQ193</f>
        <v>0</v>
      </c>
      <c r="DJ193" s="80">
        <f>AR193*AV193</f>
        <v>0</v>
      </c>
      <c r="DK193" s="80">
        <f>AS193*AV193</f>
        <v>0</v>
      </c>
      <c r="DL193" s="80">
        <f>BG193*BK193</f>
        <v>0</v>
      </c>
      <c r="DM193" s="80">
        <f>BH193*BK193</f>
        <v>0</v>
      </c>
      <c r="DN193" s="80">
        <f>BV193*BZ193</f>
        <v>0</v>
      </c>
      <c r="DO193" s="80">
        <f>BW193*BZ193</f>
        <v>0</v>
      </c>
      <c r="DP193" s="382">
        <f>AW193*BA193</f>
        <v>0</v>
      </c>
      <c r="DQ193" s="382">
        <f>AX193*BA193</f>
        <v>0</v>
      </c>
      <c r="DR193" s="382">
        <f>AY193*BA193</f>
        <v>0</v>
      </c>
      <c r="DS193" s="382">
        <f>AZ193*BA193</f>
        <v>0</v>
      </c>
      <c r="DT193" s="382">
        <f>BB193*BD193</f>
        <v>0</v>
      </c>
      <c r="DU193" s="382">
        <f>BC193*BD193</f>
        <v>0</v>
      </c>
      <c r="DV193" s="382">
        <f>BL193*BP193</f>
        <v>0</v>
      </c>
      <c r="DW193" s="382">
        <f>BM193*BP193</f>
        <v>0</v>
      </c>
      <c r="DX193" s="382">
        <f>BN193*BP193</f>
        <v>0</v>
      </c>
      <c r="DY193" s="382">
        <f>BO193*BP193</f>
        <v>0</v>
      </c>
      <c r="DZ193" s="382">
        <f>BQ193*BS193</f>
        <v>0</v>
      </c>
      <c r="EA193" s="382">
        <f>BR193*BS193</f>
        <v>0</v>
      </c>
      <c r="EB193" s="382">
        <f>CA193*CE193</f>
        <v>0</v>
      </c>
      <c r="EC193" s="382">
        <f>CB193*CE193</f>
        <v>0</v>
      </c>
      <c r="ED193" s="382">
        <f>CC193*CE193</f>
        <v>0</v>
      </c>
      <c r="EE193" s="382">
        <f>CD193*CE193</f>
        <v>0</v>
      </c>
      <c r="EF193" s="382">
        <f>CF193*CH193</f>
        <v>0</v>
      </c>
      <c r="EG193" s="382">
        <f>CG193*CH193</f>
        <v>0</v>
      </c>
      <c r="EH193" s="383">
        <f>Y193*(AG193+AQ193)</f>
        <v>0</v>
      </c>
      <c r="EI193" s="383">
        <f>Z193*(AG193+AQ193)</f>
        <v>0</v>
      </c>
      <c r="EJ193" s="80">
        <f>AO193*AQ193</f>
        <v>0</v>
      </c>
      <c r="EK193" s="80">
        <f>AP193*AQ193</f>
        <v>0</v>
      </c>
      <c r="EL193" s="80">
        <f>AT193*AV193</f>
        <v>0</v>
      </c>
      <c r="EM193" s="80">
        <f>AU193*AV193</f>
        <v>0</v>
      </c>
      <c r="EN193" s="80">
        <f>BI193*BK193</f>
        <v>0</v>
      </c>
      <c r="EO193" s="80">
        <f>BJ193*BK193</f>
        <v>0</v>
      </c>
      <c r="EP193" s="80">
        <f>BX193*BZ193</f>
        <v>0</v>
      </c>
      <c r="EQ193" s="80">
        <f>BY193*BZ193</f>
        <v>0</v>
      </c>
      <c r="ER193" s="383">
        <f>AJ193*AL193</f>
        <v>0</v>
      </c>
      <c r="ES193" s="383">
        <f>AK193*AL193</f>
        <v>0</v>
      </c>
      <c r="ET193" s="383">
        <f>IF(AV193+BA193&gt;0,(AR193*AV193+AW193*BA193)/(AV193+BA193),0)</f>
        <v>0</v>
      </c>
      <c r="EU193" s="383">
        <f>IF(BK193+BP193&gt;0,(BG193*BK193+BL193*BP193)/(BK193+BP193),0)</f>
        <v>0</v>
      </c>
      <c r="EV193" s="383">
        <f>IF(BZ193+CE193&gt;0,(BV193*BZ193+CA193*CE193)/(BZ193+CE193),0)</f>
        <v>0</v>
      </c>
    </row>
    <row r="194" spans="2:152" s="60" customFormat="1">
      <c r="B194" s="38"/>
      <c r="D194"/>
      <c r="E194"/>
      <c r="F194" s="833"/>
      <c r="G194" s="835"/>
      <c r="H194" s="836" t="s">
        <v>1775</v>
      </c>
      <c r="I194" s="393" t="s">
        <v>1776</v>
      </c>
      <c r="J194" s="391"/>
      <c r="K194" s="391"/>
      <c r="L194" s="391"/>
      <c r="M194" s="391"/>
      <c r="N194" s="391"/>
      <c r="O194" s="391"/>
      <c r="P194" s="391"/>
      <c r="Q194" s="391"/>
      <c r="R194" s="391"/>
      <c r="S194" s="391"/>
      <c r="T194" s="391"/>
      <c r="U194" s="391"/>
      <c r="V194" s="391"/>
      <c r="W194" s="391"/>
      <c r="X194" s="391"/>
      <c r="Y194" s="399"/>
      <c r="Z194" s="398">
        <f>IF(D193="нет",Y194,Y194*1.18)</f>
        <v>0</v>
      </c>
      <c r="AA194" s="117"/>
      <c r="AB194" s="117"/>
      <c r="AC194" s="398">
        <f t="shared" ref="AC194:AC207" si="1">IF(AG194&gt;0,(AR194*AV194+BG194*BK194+BV194*BZ194)/AG194,0)</f>
        <v>0</v>
      </c>
      <c r="AD194" s="398">
        <f>IF(D193="нет",AC194,AC194*1.18)</f>
        <v>0</v>
      </c>
      <c r="AE194" s="398">
        <f t="shared" ref="AE194:AE207" si="2">IF(AG194&gt;0,(AR194*AV194+BG194*BK194+BV194*BZ194-AH194*AG194)/AG194,0)</f>
        <v>0</v>
      </c>
      <c r="AF194" s="398">
        <f>IF(D193="нет",AE194,AE194*1.18)</f>
        <v>0</v>
      </c>
      <c r="AG194" s="398">
        <f t="shared" ref="AG194:AG207" si="3">AV194+BK194+BZ194</f>
        <v>0</v>
      </c>
      <c r="AH194" s="399"/>
      <c r="AI194" s="398">
        <f>IF(D193="нет",AH194,AH194*1.18)</f>
        <v>0</v>
      </c>
      <c r="AJ194" s="117"/>
      <c r="AK194" s="117"/>
      <c r="AL194" s="117"/>
      <c r="AM194" s="399"/>
      <c r="AN194" s="398">
        <f>IF(D193="нет",AM194,AM194*1.18)</f>
        <v>0</v>
      </c>
      <c r="AO194" s="399"/>
      <c r="AP194" s="398">
        <f>IF($D193="нет",AO194,AO194*1.18)</f>
        <v>0</v>
      </c>
      <c r="AQ194" s="399"/>
      <c r="AR194" s="399"/>
      <c r="AS194" s="398">
        <f>IF(D193="нет",AR194,AR194*1.18)</f>
        <v>0</v>
      </c>
      <c r="AT194" s="399"/>
      <c r="AU194" s="398">
        <f>IF($D193="нет",AT194,AT194*1.18)</f>
        <v>0</v>
      </c>
      <c r="AV194" s="399"/>
      <c r="AW194" s="832"/>
      <c r="AX194" s="832"/>
      <c r="AY194" s="832"/>
      <c r="AZ194" s="832"/>
      <c r="BA194" s="832"/>
      <c r="BB194" s="832"/>
      <c r="BC194" s="832"/>
      <c r="BD194" s="832"/>
      <c r="BE194" s="399"/>
      <c r="BF194" s="398">
        <f t="shared" ref="BF194:BF207" si="4">IF(AV194=0,0,1000*BE194/AV194)</f>
        <v>0</v>
      </c>
      <c r="BG194" s="399"/>
      <c r="BH194" s="398">
        <f>IF(D193="нет",BG194,BG194*1.18)</f>
        <v>0</v>
      </c>
      <c r="BI194" s="399"/>
      <c r="BJ194" s="398">
        <f>IF($D193="нет",BI194,BI194*1.18)</f>
        <v>0</v>
      </c>
      <c r="BK194" s="399"/>
      <c r="BL194" s="832"/>
      <c r="BM194" s="832"/>
      <c r="BN194" s="832"/>
      <c r="BO194" s="832"/>
      <c r="BP194" s="832"/>
      <c r="BQ194" s="832"/>
      <c r="BR194" s="832"/>
      <c r="BS194" s="832"/>
      <c r="BT194" s="399"/>
      <c r="BU194" s="398">
        <f t="shared" ref="BU194:BU207" si="5">IF(BK194=0,0,1000*BT194/BK194)</f>
        <v>0</v>
      </c>
      <c r="BV194" s="399"/>
      <c r="BW194" s="398">
        <f>IF(D193="нет",BV194,BV194*1.18)</f>
        <v>0</v>
      </c>
      <c r="BX194" s="399"/>
      <c r="BY194" s="398">
        <f>IF($D193="нет",BX194,BX194*1.18)</f>
        <v>0</v>
      </c>
      <c r="BZ194" s="399"/>
      <c r="CA194" s="832"/>
      <c r="CB194" s="832"/>
      <c r="CC194" s="832"/>
      <c r="CD194" s="832"/>
      <c r="CE194" s="832"/>
      <c r="CF194" s="832"/>
      <c r="CG194" s="832"/>
      <c r="CH194" s="832"/>
      <c r="CI194" s="399"/>
      <c r="CJ194" s="398">
        <f t="shared" ref="CJ194:CJ207" si="6">IF(BZ194=0,0,1000*CI194/BZ194)</f>
        <v>0</v>
      </c>
      <c r="CK194" s="398">
        <f t="shared" si="0"/>
        <v>0</v>
      </c>
      <c r="CL194" s="853" t="str">
        <f>IF(OR(CL193&gt;10,CL193&lt;-10),"нет","да")</f>
        <v>да</v>
      </c>
      <c r="CM194" s="398">
        <f t="shared" ref="CM194:CM207" si="7">SUMIF(CN194:CQ194,"&gt;0")</f>
        <v>0</v>
      </c>
      <c r="CN194" s="398">
        <f t="shared" ref="CN194:CN207" si="8">(Y194-AM194)*AQ194/1000</f>
        <v>0</v>
      </c>
      <c r="CO194" s="398">
        <f t="shared" ref="CO194:CO207" si="9">(Y194-(AR194+BF194))*AV194/1000</f>
        <v>0</v>
      </c>
      <c r="CP194" s="398">
        <f t="shared" ref="CP194:CP207" si="10">(Y194-(BG194+BU194))*BK194/1000</f>
        <v>0</v>
      </c>
      <c r="CQ194" s="398">
        <f t="shared" ref="CQ194:CQ207" si="11">(Y194-(BV194+CJ194))*BZ194/1000</f>
        <v>0</v>
      </c>
      <c r="CR194" s="846"/>
      <c r="CS194"/>
      <c r="CT194"/>
      <c r="CU194"/>
      <c r="CV194"/>
      <c r="CW194"/>
      <c r="CX194"/>
      <c r="CY194"/>
      <c r="CZ194"/>
      <c r="DA194"/>
      <c r="DB194"/>
      <c r="DC194"/>
      <c r="DD194"/>
      <c r="DE194"/>
      <c r="DF194" s="80"/>
      <c r="DG194" s="78"/>
      <c r="DH194" s="78"/>
      <c r="DI194" s="78"/>
      <c r="DJ194" s="78"/>
      <c r="DK194" s="78"/>
      <c r="DL194" s="78"/>
      <c r="DM194" s="78"/>
      <c r="DN194" s="77"/>
      <c r="DO194" s="381"/>
      <c r="DP194" s="77"/>
      <c r="DQ194" s="77"/>
      <c r="DR194" s="77"/>
      <c r="DS194" s="77"/>
      <c r="DT194" s="77"/>
      <c r="DU194" s="39"/>
      <c r="DV194" s="39"/>
      <c r="DW194" s="39"/>
      <c r="DX194" s="39"/>
      <c r="DY194" s="39"/>
      <c r="DZ194" s="39"/>
      <c r="EA194" s="39"/>
      <c r="EB194" s="39"/>
      <c r="EC194" s="39"/>
      <c r="ED194" s="39"/>
      <c r="EE194" s="39"/>
      <c r="EF194" s="39"/>
      <c r="EG194" s="39"/>
      <c r="EH194" s="39"/>
      <c r="EI194" s="39"/>
      <c r="EJ194" s="39"/>
      <c r="EK194" s="39"/>
      <c r="EL194" s="39"/>
      <c r="EM194" s="39"/>
      <c r="EN194" s="39"/>
      <c r="EO194" s="39"/>
      <c r="EP194" s="39"/>
      <c r="EQ194" s="39"/>
      <c r="ER194" s="39"/>
      <c r="ES194" s="39"/>
      <c r="ET194" s="39"/>
      <c r="EU194" s="39"/>
      <c r="EV194" s="39"/>
    </row>
    <row r="195" spans="2:152" s="60" customFormat="1">
      <c r="B195" s="38"/>
      <c r="D195"/>
      <c r="E195"/>
      <c r="F195" s="833"/>
      <c r="G195" s="835"/>
      <c r="H195" s="836"/>
      <c r="I195" s="393" t="s">
        <v>1777</v>
      </c>
      <c r="J195" s="391"/>
      <c r="K195" s="391"/>
      <c r="L195" s="391"/>
      <c r="M195" s="391"/>
      <c r="N195" s="391"/>
      <c r="O195" s="391"/>
      <c r="P195" s="391"/>
      <c r="Q195" s="391"/>
      <c r="R195" s="391"/>
      <c r="S195" s="391"/>
      <c r="T195" s="391"/>
      <c r="U195" s="391"/>
      <c r="V195" s="391"/>
      <c r="W195" s="391"/>
      <c r="X195" s="391"/>
      <c r="Y195" s="399"/>
      <c r="Z195" s="398">
        <f>IF(D193="нет",Y195,Y195*1.18)</f>
        <v>0</v>
      </c>
      <c r="AA195" s="117"/>
      <c r="AB195" s="117"/>
      <c r="AC195" s="398">
        <f t="shared" si="1"/>
        <v>0</v>
      </c>
      <c r="AD195" s="398">
        <f>IF(D193="нет",AC195,AC195*1.18)</f>
        <v>0</v>
      </c>
      <c r="AE195" s="398">
        <f t="shared" si="2"/>
        <v>0</v>
      </c>
      <c r="AF195" s="398">
        <f>IF(D193="нет",AE195,AE195*1.18)</f>
        <v>0</v>
      </c>
      <c r="AG195" s="398">
        <f t="shared" si="3"/>
        <v>0</v>
      </c>
      <c r="AH195" s="399"/>
      <c r="AI195" s="398">
        <f>IF(D193="нет",AH195,AH195*1.18)</f>
        <v>0</v>
      </c>
      <c r="AJ195" s="117"/>
      <c r="AK195" s="117"/>
      <c r="AL195" s="117"/>
      <c r="AM195" s="399"/>
      <c r="AN195" s="398">
        <f>IF(D193="нет",AM195,AM195*1.18)</f>
        <v>0</v>
      </c>
      <c r="AO195" s="399"/>
      <c r="AP195" s="398">
        <f>IF($D193="нет",AO195,AO195*1.18)</f>
        <v>0</v>
      </c>
      <c r="AQ195" s="399"/>
      <c r="AR195" s="399"/>
      <c r="AS195" s="398">
        <f>IF(D193="нет",AR195,AR195*1.18)</f>
        <v>0</v>
      </c>
      <c r="AT195" s="399"/>
      <c r="AU195" s="398">
        <f>IF($D193="нет",AT195,AT195*1.18)</f>
        <v>0</v>
      </c>
      <c r="AV195" s="399"/>
      <c r="AW195" s="832"/>
      <c r="AX195" s="832"/>
      <c r="AY195" s="832"/>
      <c r="AZ195" s="832"/>
      <c r="BA195" s="832"/>
      <c r="BB195" s="832"/>
      <c r="BC195" s="832"/>
      <c r="BD195" s="832"/>
      <c r="BE195" s="399"/>
      <c r="BF195" s="398">
        <f t="shared" si="4"/>
        <v>0</v>
      </c>
      <c r="BG195" s="399"/>
      <c r="BH195" s="398">
        <f>IF(D193="нет",BG195,BG195*1.18)</f>
        <v>0</v>
      </c>
      <c r="BI195" s="399"/>
      <c r="BJ195" s="398">
        <f>IF($D193="нет",BI195,BI195*1.18)</f>
        <v>0</v>
      </c>
      <c r="BK195" s="399"/>
      <c r="BL195" s="832"/>
      <c r="BM195" s="832"/>
      <c r="BN195" s="832"/>
      <c r="BO195" s="832"/>
      <c r="BP195" s="832"/>
      <c r="BQ195" s="832"/>
      <c r="BR195" s="832"/>
      <c r="BS195" s="832"/>
      <c r="BT195" s="399"/>
      <c r="BU195" s="398">
        <f t="shared" si="5"/>
        <v>0</v>
      </c>
      <c r="BV195" s="399"/>
      <c r="BW195" s="398">
        <f>IF(D193="нет",BV195,BV195*1.18)</f>
        <v>0</v>
      </c>
      <c r="BX195" s="399"/>
      <c r="BY195" s="398">
        <f>IF($D193="нет",BX195,BX195*1.18)</f>
        <v>0</v>
      </c>
      <c r="BZ195" s="399"/>
      <c r="CA195" s="832"/>
      <c r="CB195" s="832"/>
      <c r="CC195" s="832"/>
      <c r="CD195" s="832"/>
      <c r="CE195" s="832"/>
      <c r="CF195" s="832"/>
      <c r="CG195" s="832"/>
      <c r="CH195" s="832"/>
      <c r="CI195" s="399"/>
      <c r="CJ195" s="398">
        <f t="shared" si="6"/>
        <v>0</v>
      </c>
      <c r="CK195" s="398">
        <f t="shared" si="0"/>
        <v>0</v>
      </c>
      <c r="CL195" s="853"/>
      <c r="CM195" s="398">
        <f t="shared" si="7"/>
        <v>0</v>
      </c>
      <c r="CN195" s="398">
        <f t="shared" si="8"/>
        <v>0</v>
      </c>
      <c r="CO195" s="398">
        <f t="shared" si="9"/>
        <v>0</v>
      </c>
      <c r="CP195" s="398">
        <f t="shared" si="10"/>
        <v>0</v>
      </c>
      <c r="CQ195" s="398">
        <f t="shared" si="11"/>
        <v>0</v>
      </c>
      <c r="CR195" s="846"/>
      <c r="CS195"/>
      <c r="CT195"/>
      <c r="CU195"/>
      <c r="CV195"/>
      <c r="CW195"/>
      <c r="CX195"/>
      <c r="CY195"/>
      <c r="CZ195"/>
      <c r="DA195"/>
      <c r="DB195"/>
      <c r="DC195"/>
      <c r="DD195"/>
      <c r="DE195"/>
      <c r="DF195" s="80"/>
      <c r="DG195" s="78"/>
      <c r="DH195" s="78"/>
      <c r="DI195" s="78"/>
      <c r="DJ195" s="78"/>
      <c r="DK195" s="78"/>
      <c r="DL195" s="78"/>
      <c r="DM195" s="78"/>
      <c r="DN195" s="77"/>
      <c r="DO195" s="381"/>
      <c r="DP195" s="77"/>
      <c r="DQ195" s="77"/>
      <c r="DR195" s="77"/>
      <c r="DS195" s="77"/>
      <c r="DT195" s="77"/>
      <c r="DU195" s="39"/>
      <c r="DV195" s="39"/>
      <c r="DW195" s="39"/>
      <c r="DX195" s="39"/>
      <c r="DY195" s="39"/>
      <c r="DZ195" s="39"/>
      <c r="EA195" s="39"/>
      <c r="EB195" s="39"/>
      <c r="EC195" s="39"/>
      <c r="ED195" s="39"/>
      <c r="EE195" s="39"/>
      <c r="EF195" s="39"/>
      <c r="EG195" s="39"/>
      <c r="EH195" s="39"/>
      <c r="EI195" s="39"/>
      <c r="EJ195" s="39"/>
      <c r="EK195" s="39"/>
      <c r="EL195" s="39"/>
      <c r="EM195" s="39"/>
      <c r="EN195" s="39"/>
      <c r="EO195" s="39"/>
      <c r="EP195" s="39"/>
      <c r="EQ195" s="39"/>
      <c r="ER195" s="39"/>
      <c r="ES195" s="39"/>
      <c r="ET195" s="39"/>
      <c r="EU195" s="39"/>
      <c r="EV195" s="39"/>
    </row>
    <row r="196" spans="2:152" s="60" customFormat="1">
      <c r="B196" s="38"/>
      <c r="D196"/>
      <c r="E196"/>
      <c r="F196" s="833"/>
      <c r="G196" s="835"/>
      <c r="H196" s="836" t="s">
        <v>1778</v>
      </c>
      <c r="I196" s="393" t="s">
        <v>1776</v>
      </c>
      <c r="J196" s="391"/>
      <c r="K196" s="391"/>
      <c r="L196" s="391"/>
      <c r="M196" s="391"/>
      <c r="N196" s="391"/>
      <c r="O196" s="391"/>
      <c r="P196" s="391"/>
      <c r="Q196" s="391"/>
      <c r="R196" s="391"/>
      <c r="S196" s="391"/>
      <c r="T196" s="391"/>
      <c r="U196" s="391"/>
      <c r="V196" s="391"/>
      <c r="W196" s="391"/>
      <c r="X196" s="391"/>
      <c r="Y196" s="398">
        <f>IF((AG196+AQ196)&gt;0,(Y198*(AG198+AQ198)+Y200*(AG200+AQ200)+Y202*(AG202+AQ202)+Y204*(AG204+AQ204))/(AG196+AQ196),0)</f>
        <v>0</v>
      </c>
      <c r="Z196" s="398">
        <f>IF(D193="нет",Y196,Y196*1.18)</f>
        <v>0</v>
      </c>
      <c r="AA196" s="117"/>
      <c r="AB196" s="117"/>
      <c r="AC196" s="398">
        <f t="shared" si="1"/>
        <v>0</v>
      </c>
      <c r="AD196" s="398">
        <f>IF(D193="нет",AC196,AC196*1.18)</f>
        <v>0</v>
      </c>
      <c r="AE196" s="398">
        <f t="shared" si="2"/>
        <v>0</v>
      </c>
      <c r="AF196" s="398">
        <f>IF(D193="нет",AE196,AE196*1.18)</f>
        <v>0</v>
      </c>
      <c r="AG196" s="398">
        <f t="shared" si="3"/>
        <v>0</v>
      </c>
      <c r="AH196" s="398">
        <f>IF(AG196&gt;0,(AH198*AG198+AH200*AG200+AH202*AG202+AH204*AG204)/AG196,0)</f>
        <v>0</v>
      </c>
      <c r="AI196" s="398">
        <f>IF(D193="нет",AH196,AH196*1.18)</f>
        <v>0</v>
      </c>
      <c r="AJ196" s="117"/>
      <c r="AK196" s="117"/>
      <c r="AL196" s="117"/>
      <c r="AM196" s="398">
        <f>IF($AQ196&gt;0,(AM198*$AQ198+AM200*$AQ200+AM202*$AQ202+AM204*$AQ204)/$AQ196,0)</f>
        <v>0</v>
      </c>
      <c r="AN196" s="398">
        <f>IF(D193="нет",AM196,AM196*1.18)</f>
        <v>0</v>
      </c>
      <c r="AO196" s="398">
        <f>IF($AQ196&gt;0,(AO198*$AQ198+AO200*$AQ200+AO202*$AQ202+AO204*$AQ204)/$AQ196,0)</f>
        <v>0</v>
      </c>
      <c r="AP196" s="398">
        <f>IF($D193="нет",AO196,AO196*1.18)</f>
        <v>0</v>
      </c>
      <c r="AQ196" s="398">
        <f>AQ198+AQ200+AQ202+AQ204</f>
        <v>0</v>
      </c>
      <c r="AR196" s="398">
        <f>IF($AV196&gt;0,(AR198*$AV198+AR200*$AV200+AR202*$AV202+AR204*$AV204)/$AV196,0)</f>
        <v>0</v>
      </c>
      <c r="AS196" s="398">
        <f>IF(D193="нет",AR196,AR196*1.18)</f>
        <v>0</v>
      </c>
      <c r="AT196" s="398">
        <f>IF($AV196&gt;0,(AT198*$AV198+AT200*$AV200+AT202*$AV202+AT204*$AV204)/$AV196,0)</f>
        <v>0</v>
      </c>
      <c r="AU196" s="398">
        <f>IF($D193="нет",AT196,AT196*1.18)</f>
        <v>0</v>
      </c>
      <c r="AV196" s="398">
        <f>AV198+AV200+AV202+AV204</f>
        <v>0</v>
      </c>
      <c r="AW196" s="832"/>
      <c r="AX196" s="832"/>
      <c r="AY196" s="832"/>
      <c r="AZ196" s="832"/>
      <c r="BA196" s="832"/>
      <c r="BB196" s="832"/>
      <c r="BC196" s="832"/>
      <c r="BD196" s="832"/>
      <c r="BE196" s="398">
        <f>BE198+BE200+BE202+BE204</f>
        <v>0</v>
      </c>
      <c r="BF196" s="398">
        <f t="shared" si="4"/>
        <v>0</v>
      </c>
      <c r="BG196" s="398">
        <f>IF($BK196&gt;0,(BG198*$BK198+BG200*$BK200+BG202*$BK202+BG204*$BK204)/$BK196,0)</f>
        <v>0</v>
      </c>
      <c r="BH196" s="398">
        <f>IF(D193="нет",BG196,BG196*1.18)</f>
        <v>0</v>
      </c>
      <c r="BI196" s="398">
        <f>IF($BK196&gt;0,(BI198*$BK198+BI200*$BK200+BI202*$BK202+BI204*$BK204)/$BK196,0)</f>
        <v>0</v>
      </c>
      <c r="BJ196" s="398">
        <f>IF($D193="нет",BI196,BI196*1.18)</f>
        <v>0</v>
      </c>
      <c r="BK196" s="398">
        <f>BK198+BK200+BK202+BK204</f>
        <v>0</v>
      </c>
      <c r="BL196" s="832"/>
      <c r="BM196" s="832"/>
      <c r="BN196" s="832"/>
      <c r="BO196" s="832"/>
      <c r="BP196" s="832"/>
      <c r="BQ196" s="832"/>
      <c r="BR196" s="832"/>
      <c r="BS196" s="832"/>
      <c r="BT196" s="398">
        <f>BT198+BT200+BT202+BT204</f>
        <v>0</v>
      </c>
      <c r="BU196" s="398">
        <f t="shared" si="5"/>
        <v>0</v>
      </c>
      <c r="BV196" s="398">
        <f>IF($BZ196&gt;0,(BV198*$BZ198+BV200*$BZ200+BV202*$BZ202+BV204*$BZ204)/$BZ196,0)</f>
        <v>0</v>
      </c>
      <c r="BW196" s="398">
        <f>IF(D193="нет",BV196,BV196*1.18)</f>
        <v>0</v>
      </c>
      <c r="BX196" s="398">
        <f>IF($BZ196&gt;0,(BX198*$BZ198+BX200*$BZ200+BX202*$BZ202+BX204*$BZ204)/$BZ196,0)</f>
        <v>0</v>
      </c>
      <c r="BY196" s="398">
        <f>IF($D193="нет",BX196,BX196*1.18)</f>
        <v>0</v>
      </c>
      <c r="BZ196" s="398">
        <f>BZ198+BZ200+BZ202+BZ204</f>
        <v>0</v>
      </c>
      <c r="CA196" s="832"/>
      <c r="CB196" s="832"/>
      <c r="CC196" s="832"/>
      <c r="CD196" s="832"/>
      <c r="CE196" s="832"/>
      <c r="CF196" s="832"/>
      <c r="CG196" s="832"/>
      <c r="CH196" s="832"/>
      <c r="CI196" s="398">
        <f>CI198+CI200+CI202+CI204</f>
        <v>0</v>
      </c>
      <c r="CJ196" s="398">
        <f t="shared" si="6"/>
        <v>0</v>
      </c>
      <c r="CK196" s="398">
        <f t="shared" si="0"/>
        <v>0</v>
      </c>
      <c r="CL196" s="853"/>
      <c r="CM196" s="398">
        <f t="shared" si="7"/>
        <v>0</v>
      </c>
      <c r="CN196" s="398">
        <f t="shared" si="8"/>
        <v>0</v>
      </c>
      <c r="CO196" s="398">
        <f t="shared" si="9"/>
        <v>0</v>
      </c>
      <c r="CP196" s="398">
        <f t="shared" si="10"/>
        <v>0</v>
      </c>
      <c r="CQ196" s="398">
        <f t="shared" si="11"/>
        <v>0</v>
      </c>
      <c r="CR196" s="846"/>
      <c r="CS196"/>
      <c r="CT196"/>
      <c r="CU196"/>
      <c r="CV196"/>
      <c r="CW196"/>
      <c r="CX196"/>
      <c r="CY196"/>
      <c r="CZ196"/>
      <c r="DA196"/>
      <c r="DB196"/>
      <c r="DC196"/>
      <c r="DD196"/>
      <c r="DE196"/>
      <c r="DF196" s="78"/>
      <c r="DG196" s="78"/>
      <c r="DH196" s="78"/>
      <c r="DI196" s="78"/>
      <c r="DJ196" s="78"/>
      <c r="DK196" s="78"/>
      <c r="DL196" s="78"/>
      <c r="DM196" s="78"/>
      <c r="DN196" s="77"/>
      <c r="DO196" s="381"/>
      <c r="DP196" s="77"/>
      <c r="DQ196" s="77"/>
      <c r="DR196" s="77"/>
      <c r="DS196" s="77"/>
      <c r="DT196" s="77"/>
      <c r="DU196" s="39"/>
      <c r="DV196" s="39"/>
      <c r="DW196" s="39"/>
      <c r="DX196" s="39"/>
      <c r="DY196" s="39"/>
      <c r="DZ196" s="39"/>
      <c r="EA196" s="39"/>
      <c r="EB196" s="39"/>
      <c r="EC196" s="39"/>
      <c r="ED196" s="39"/>
      <c r="EE196" s="39"/>
      <c r="EF196" s="39"/>
      <c r="EG196" s="39"/>
      <c r="EH196" s="39"/>
      <c r="EI196" s="39"/>
      <c r="EJ196" s="39"/>
      <c r="EK196" s="39"/>
      <c r="EL196" s="39"/>
      <c r="EM196" s="39"/>
      <c r="EN196" s="39"/>
      <c r="EO196" s="39"/>
      <c r="EP196" s="39"/>
      <c r="EQ196" s="39"/>
      <c r="ER196" s="39"/>
      <c r="ES196" s="39"/>
      <c r="ET196" s="39"/>
      <c r="EU196" s="39"/>
      <c r="EV196" s="39"/>
    </row>
    <row r="197" spans="2:152" s="60" customFormat="1">
      <c r="B197" s="38"/>
      <c r="D197"/>
      <c r="E197"/>
      <c r="F197" s="833"/>
      <c r="G197" s="835"/>
      <c r="H197" s="836"/>
      <c r="I197" s="393" t="s">
        <v>1777</v>
      </c>
      <c r="J197" s="391"/>
      <c r="K197" s="391"/>
      <c r="L197" s="391"/>
      <c r="M197" s="391"/>
      <c r="N197" s="391"/>
      <c r="O197" s="391"/>
      <c r="P197" s="391"/>
      <c r="Q197" s="391"/>
      <c r="R197" s="391"/>
      <c r="S197" s="391"/>
      <c r="T197" s="391"/>
      <c r="U197" s="391"/>
      <c r="V197" s="391"/>
      <c r="W197" s="391"/>
      <c r="X197" s="391"/>
      <c r="Y197" s="398">
        <f>IF((AG197+AQ197)&gt;0,(Y199*(AG199+AQ199)+Y201*(AG201+AQ201)+Y203*(AG203+AQ203)+Y205*(AG205+AQ205))/(AG197+AQ197),0)</f>
        <v>0</v>
      </c>
      <c r="Z197" s="398">
        <f>IF(D193="нет",Y197,Y197*1.18)</f>
        <v>0</v>
      </c>
      <c r="AA197" s="117"/>
      <c r="AB197" s="117"/>
      <c r="AC197" s="398">
        <f t="shared" si="1"/>
        <v>0</v>
      </c>
      <c r="AD197" s="398">
        <f>IF(D193="нет",AC197,AC197*1.18)</f>
        <v>0</v>
      </c>
      <c r="AE197" s="398">
        <f t="shared" si="2"/>
        <v>0</v>
      </c>
      <c r="AF197" s="398">
        <f>IF(D193="нет",AE197,AE197*1.18)</f>
        <v>0</v>
      </c>
      <c r="AG197" s="398">
        <f t="shared" si="3"/>
        <v>0</v>
      </c>
      <c r="AH197" s="398">
        <f>IF(AG197&gt;0,(AH199*AG199+AH201*AG201+AH203*AG203+AH205*AG205)/AG197,0)</f>
        <v>0</v>
      </c>
      <c r="AI197" s="398">
        <f>IF(D193="нет",AH197,AH197*1.18)</f>
        <v>0</v>
      </c>
      <c r="AJ197" s="117"/>
      <c r="AK197" s="117"/>
      <c r="AL197" s="117"/>
      <c r="AM197" s="398">
        <f>IF($AQ197&gt;0,(AM199*$AQ199+AM201*$AQ201+AM203*$AQ203+AM205*$AQ205)/$AQ197,0)</f>
        <v>0</v>
      </c>
      <c r="AN197" s="398">
        <f>IF(D193="нет",AM197,AM197*1.18)</f>
        <v>0</v>
      </c>
      <c r="AO197" s="398">
        <f>IF($AQ197&gt;0,(AO199*$AQ199+AO201*$AQ201+AO203*$AQ203+AO205*$AQ205)/$AQ197,0)</f>
        <v>0</v>
      </c>
      <c r="AP197" s="398">
        <f>IF($D193="нет",AO197,AO197*1.18)</f>
        <v>0</v>
      </c>
      <c r="AQ197" s="398">
        <f>AQ199+AQ201+AQ203+AQ205</f>
        <v>0</v>
      </c>
      <c r="AR197" s="398">
        <f>IF($AV197&gt;0,(AR199*$AV199+AR201*$AV201+AR203*$AV203+AR205*$AV205)/$AV197,0)</f>
        <v>0</v>
      </c>
      <c r="AS197" s="398">
        <f>IF(D193="нет",AR197,AR197*1.18)</f>
        <v>0</v>
      </c>
      <c r="AT197" s="398">
        <f>IF($AV197&gt;0,(AT199*$AV199+AT201*$AV201+AT203*$AV203+AT205*$AV205)/$AV197,0)</f>
        <v>0</v>
      </c>
      <c r="AU197" s="398">
        <f>IF($D193="нет",AT197,AT197*1.18)</f>
        <v>0</v>
      </c>
      <c r="AV197" s="398">
        <f>AV199+AV201+AV203+AV205</f>
        <v>0</v>
      </c>
      <c r="AW197" s="832"/>
      <c r="AX197" s="832"/>
      <c r="AY197" s="832"/>
      <c r="AZ197" s="832"/>
      <c r="BA197" s="832"/>
      <c r="BB197" s="832"/>
      <c r="BC197" s="832"/>
      <c r="BD197" s="832"/>
      <c r="BE197" s="398">
        <f>BE199+BE201+BE203+BE205</f>
        <v>0</v>
      </c>
      <c r="BF197" s="398">
        <f t="shared" si="4"/>
        <v>0</v>
      </c>
      <c r="BG197" s="398">
        <f>IF($BK197&gt;0,(BG199*$BK199+BG201*$BK201+BG203*$BK203+BG205*$BK205)/$BK197,0)</f>
        <v>0</v>
      </c>
      <c r="BH197" s="398">
        <f>IF(D193="нет",BG197,BG197*1.18)</f>
        <v>0</v>
      </c>
      <c r="BI197" s="398">
        <f>IF($BK197&gt;0,(BI199*$BK199+BI201*$BK201+BI203*$BK203+BI205*$BK205)/$BK197,0)</f>
        <v>0</v>
      </c>
      <c r="BJ197" s="398">
        <f>IF($D193="нет",BI197,BI197*1.18)</f>
        <v>0</v>
      </c>
      <c r="BK197" s="398">
        <f>BK199+BK201+BK203+BK205</f>
        <v>0</v>
      </c>
      <c r="BL197" s="832"/>
      <c r="BM197" s="832"/>
      <c r="BN197" s="832"/>
      <c r="BO197" s="832"/>
      <c r="BP197" s="832"/>
      <c r="BQ197" s="832"/>
      <c r="BR197" s="832"/>
      <c r="BS197" s="832"/>
      <c r="BT197" s="398">
        <f>BT199+BT201+BT203+BT205</f>
        <v>0</v>
      </c>
      <c r="BU197" s="398">
        <f t="shared" si="5"/>
        <v>0</v>
      </c>
      <c r="BV197" s="398">
        <f>IF($BZ197&gt;0,(BV199*$BZ199+BV201*$BZ201+BV203*$BZ203+BV205*$BZ205)/$BZ197,0)</f>
        <v>0</v>
      </c>
      <c r="BW197" s="398">
        <f>IF(D193="нет",BV197,BV197*1.18)</f>
        <v>0</v>
      </c>
      <c r="BX197" s="398">
        <f>IF($BZ197&gt;0,(BX199*$BZ199+BX201*$BZ201+BX203*$BZ203+BX205*$BZ205)/$BZ197,0)</f>
        <v>0</v>
      </c>
      <c r="BY197" s="398">
        <f>IF($D193="нет",BX197,BX197*1.18)</f>
        <v>0</v>
      </c>
      <c r="BZ197" s="398">
        <f>BZ199+BZ201+BZ203+BZ205</f>
        <v>0</v>
      </c>
      <c r="CA197" s="832"/>
      <c r="CB197" s="832"/>
      <c r="CC197" s="832"/>
      <c r="CD197" s="832"/>
      <c r="CE197" s="832"/>
      <c r="CF197" s="832"/>
      <c r="CG197" s="832"/>
      <c r="CH197" s="832"/>
      <c r="CI197" s="398">
        <f>CI199+CI201+CI203+CI205</f>
        <v>0</v>
      </c>
      <c r="CJ197" s="398">
        <f t="shared" si="6"/>
        <v>0</v>
      </c>
      <c r="CK197" s="398">
        <f t="shared" si="0"/>
        <v>0</v>
      </c>
      <c r="CL197" s="853"/>
      <c r="CM197" s="398">
        <f t="shared" si="7"/>
        <v>0</v>
      </c>
      <c r="CN197" s="398">
        <f t="shared" si="8"/>
        <v>0</v>
      </c>
      <c r="CO197" s="398">
        <f t="shared" si="9"/>
        <v>0</v>
      </c>
      <c r="CP197" s="398">
        <f t="shared" si="10"/>
        <v>0</v>
      </c>
      <c r="CQ197" s="398">
        <f t="shared" si="11"/>
        <v>0</v>
      </c>
      <c r="CR197" s="846"/>
      <c r="CS197"/>
      <c r="CT197"/>
      <c r="CU197"/>
      <c r="CV197"/>
      <c r="CW197"/>
      <c r="CX197"/>
      <c r="CY197"/>
      <c r="CZ197"/>
      <c r="DA197"/>
      <c r="DB197"/>
      <c r="DC197"/>
      <c r="DD197"/>
      <c r="DE197"/>
      <c r="DF197" s="78"/>
      <c r="DG197" s="78"/>
      <c r="DH197" s="78"/>
      <c r="DI197" s="78"/>
      <c r="DJ197" s="78"/>
      <c r="DK197" s="78"/>
      <c r="DL197" s="78"/>
      <c r="DM197" s="78"/>
      <c r="DN197" s="77"/>
      <c r="DO197" s="381"/>
      <c r="DP197" s="77"/>
      <c r="DQ197" s="77"/>
      <c r="DR197" s="77"/>
      <c r="DS197" s="77"/>
      <c r="DT197" s="77"/>
      <c r="DU197" s="39"/>
      <c r="DV197" s="39"/>
      <c r="DW197" s="39"/>
      <c r="DX197" s="39"/>
      <c r="DY197" s="39"/>
      <c r="DZ197" s="39"/>
      <c r="EA197" s="39"/>
      <c r="EB197" s="39"/>
      <c r="EC197" s="39"/>
      <c r="ED197" s="39"/>
      <c r="EE197" s="39"/>
      <c r="EF197" s="39"/>
      <c r="EG197" s="39"/>
      <c r="EH197" s="39"/>
      <c r="EI197" s="39"/>
      <c r="EJ197" s="39"/>
      <c r="EK197" s="39"/>
      <c r="EL197" s="39"/>
      <c r="EM197" s="39"/>
      <c r="EN197" s="39"/>
      <c r="EO197" s="39"/>
      <c r="EP197" s="39"/>
      <c r="EQ197" s="39"/>
      <c r="ER197" s="39"/>
      <c r="ES197" s="39"/>
      <c r="ET197" s="39"/>
      <c r="EU197" s="39"/>
      <c r="EV197" s="39"/>
    </row>
    <row r="198" spans="2:152" s="60" customFormat="1">
      <c r="B198" s="38"/>
      <c r="D198"/>
      <c r="E198"/>
      <c r="F198" s="833"/>
      <c r="G198" s="835"/>
      <c r="H198" s="834" t="s">
        <v>1780</v>
      </c>
      <c r="I198" s="393" t="s">
        <v>1776</v>
      </c>
      <c r="J198" s="391"/>
      <c r="K198" s="391"/>
      <c r="L198" s="391"/>
      <c r="M198" s="391"/>
      <c r="N198" s="391"/>
      <c r="O198" s="391"/>
      <c r="P198" s="391"/>
      <c r="Q198" s="391"/>
      <c r="R198" s="391"/>
      <c r="S198" s="391"/>
      <c r="T198" s="391"/>
      <c r="U198" s="391"/>
      <c r="V198" s="391"/>
      <c r="W198" s="391"/>
      <c r="X198" s="391"/>
      <c r="Y198" s="399"/>
      <c r="Z198" s="398">
        <f>IF(D193="нет",Y198,Y198*1.18)</f>
        <v>0</v>
      </c>
      <c r="AA198" s="117"/>
      <c r="AB198" s="117"/>
      <c r="AC198" s="398">
        <f t="shared" si="1"/>
        <v>0</v>
      </c>
      <c r="AD198" s="398">
        <f>IF(D193="нет",AC198,AC198*1.18)</f>
        <v>0</v>
      </c>
      <c r="AE198" s="398">
        <f t="shared" si="2"/>
        <v>0</v>
      </c>
      <c r="AF198" s="398">
        <f>IF(D193="нет",AE198,AE198*1.18)</f>
        <v>0</v>
      </c>
      <c r="AG198" s="398">
        <f t="shared" si="3"/>
        <v>0</v>
      </c>
      <c r="AH198" s="399"/>
      <c r="AI198" s="398">
        <f>IF(D193="нет",AH198,AH198*1.18)</f>
        <v>0</v>
      </c>
      <c r="AJ198" s="117"/>
      <c r="AK198" s="117"/>
      <c r="AL198" s="117"/>
      <c r="AM198" s="399"/>
      <c r="AN198" s="398">
        <f>IF(D193="нет",AM198,AM198*1.18)</f>
        <v>0</v>
      </c>
      <c r="AO198" s="399"/>
      <c r="AP198" s="398">
        <f>IF($D193="нет",AO198,AO198*1.18)</f>
        <v>0</v>
      </c>
      <c r="AQ198" s="399"/>
      <c r="AR198" s="399"/>
      <c r="AS198" s="398">
        <f>IF(D193="нет",AR198,AR198*1.18)</f>
        <v>0</v>
      </c>
      <c r="AT198" s="399"/>
      <c r="AU198" s="398">
        <f>IF($D193="нет",AT198,AT198*1.18)</f>
        <v>0</v>
      </c>
      <c r="AV198" s="399"/>
      <c r="AW198" s="832"/>
      <c r="AX198" s="832"/>
      <c r="AY198" s="832"/>
      <c r="AZ198" s="832"/>
      <c r="BA198" s="832"/>
      <c r="BB198" s="832"/>
      <c r="BC198" s="832"/>
      <c r="BD198" s="832"/>
      <c r="BE198" s="399"/>
      <c r="BF198" s="398">
        <f t="shared" si="4"/>
        <v>0</v>
      </c>
      <c r="BG198" s="399"/>
      <c r="BH198" s="398">
        <f>IF(D193="нет",BG198,BG198*1.18)</f>
        <v>0</v>
      </c>
      <c r="BI198" s="399"/>
      <c r="BJ198" s="398">
        <f>IF($D193="нет",BI198,BI198*1.18)</f>
        <v>0</v>
      </c>
      <c r="BK198" s="399"/>
      <c r="BL198" s="832"/>
      <c r="BM198" s="832"/>
      <c r="BN198" s="832"/>
      <c r="BO198" s="832"/>
      <c r="BP198" s="832"/>
      <c r="BQ198" s="832"/>
      <c r="BR198" s="832"/>
      <c r="BS198" s="832"/>
      <c r="BT198" s="399"/>
      <c r="BU198" s="398">
        <f t="shared" si="5"/>
        <v>0</v>
      </c>
      <c r="BV198" s="399"/>
      <c r="BW198" s="398">
        <f>IF(D193="нет",BV198,BV198*1.18)</f>
        <v>0</v>
      </c>
      <c r="BX198" s="399"/>
      <c r="BY198" s="398">
        <f>IF($D193="нет",BX198,BX198*1.18)</f>
        <v>0</v>
      </c>
      <c r="BZ198" s="399"/>
      <c r="CA198" s="832"/>
      <c r="CB198" s="832"/>
      <c r="CC198" s="832"/>
      <c r="CD198" s="832"/>
      <c r="CE198" s="832"/>
      <c r="CF198" s="832"/>
      <c r="CG198" s="832"/>
      <c r="CH198" s="832"/>
      <c r="CI198" s="399"/>
      <c r="CJ198" s="398">
        <f t="shared" si="6"/>
        <v>0</v>
      </c>
      <c r="CK198" s="398">
        <f t="shared" si="0"/>
        <v>0</v>
      </c>
      <c r="CL198" s="853"/>
      <c r="CM198" s="398">
        <f t="shared" si="7"/>
        <v>0</v>
      </c>
      <c r="CN198" s="398">
        <f t="shared" si="8"/>
        <v>0</v>
      </c>
      <c r="CO198" s="398">
        <f t="shared" si="9"/>
        <v>0</v>
      </c>
      <c r="CP198" s="398">
        <f t="shared" si="10"/>
        <v>0</v>
      </c>
      <c r="CQ198" s="398">
        <f t="shared" si="11"/>
        <v>0</v>
      </c>
      <c r="CR198" s="846"/>
      <c r="CS198"/>
      <c r="CT198"/>
      <c r="CU198"/>
      <c r="CV198"/>
      <c r="CW198"/>
      <c r="CX198"/>
      <c r="CY198"/>
      <c r="CZ198"/>
      <c r="DA198"/>
      <c r="DB198"/>
      <c r="DC198"/>
      <c r="DD198"/>
      <c r="DE198"/>
      <c r="DF198" s="78"/>
      <c r="DG198" s="78"/>
      <c r="DH198" s="78"/>
      <c r="DI198" s="78"/>
      <c r="DJ198" s="78"/>
      <c r="DK198" s="78"/>
      <c r="DL198" s="78"/>
      <c r="DM198" s="78"/>
      <c r="DN198" s="77"/>
      <c r="DO198" s="381"/>
      <c r="DP198" s="77"/>
      <c r="DQ198" s="77"/>
      <c r="DR198" s="77"/>
      <c r="DS198" s="77"/>
      <c r="DT198" s="77"/>
      <c r="DU198" s="39"/>
      <c r="DV198" s="39"/>
      <c r="DW198" s="39"/>
      <c r="DX198" s="39"/>
      <c r="DY198" s="39"/>
      <c r="DZ198" s="39"/>
      <c r="EA198" s="39"/>
      <c r="EB198" s="39"/>
      <c r="EC198" s="39"/>
      <c r="ED198" s="39"/>
      <c r="EE198" s="39"/>
      <c r="EF198" s="39"/>
      <c r="EG198" s="39"/>
      <c r="EH198" s="39"/>
      <c r="EI198" s="39"/>
      <c r="EJ198" s="39"/>
      <c r="EK198" s="39"/>
      <c r="EL198" s="39"/>
      <c r="EM198" s="39"/>
      <c r="EN198" s="39"/>
      <c r="EO198" s="39"/>
      <c r="EP198" s="39"/>
      <c r="EQ198" s="39"/>
      <c r="ER198" s="39"/>
      <c r="ES198" s="39"/>
      <c r="ET198" s="39"/>
      <c r="EU198" s="39"/>
      <c r="EV198" s="39"/>
    </row>
    <row r="199" spans="2:152" s="60" customFormat="1">
      <c r="B199" s="38"/>
      <c r="D199"/>
      <c r="E199"/>
      <c r="F199" s="833"/>
      <c r="G199" s="835"/>
      <c r="H199" s="834"/>
      <c r="I199" s="393" t="s">
        <v>1777</v>
      </c>
      <c r="J199" s="391"/>
      <c r="K199" s="391"/>
      <c r="L199" s="391"/>
      <c r="M199" s="391"/>
      <c r="N199" s="391"/>
      <c r="O199" s="391"/>
      <c r="P199" s="391"/>
      <c r="Q199" s="391"/>
      <c r="R199" s="391"/>
      <c r="S199" s="391"/>
      <c r="T199" s="391"/>
      <c r="U199" s="391"/>
      <c r="V199" s="391"/>
      <c r="W199" s="391"/>
      <c r="X199" s="391"/>
      <c r="Y199" s="399"/>
      <c r="Z199" s="398">
        <f>IF(D193="нет",Y199,Y199*1.18)</f>
        <v>0</v>
      </c>
      <c r="AA199" s="117"/>
      <c r="AB199" s="117"/>
      <c r="AC199" s="398">
        <f t="shared" si="1"/>
        <v>0</v>
      </c>
      <c r="AD199" s="398">
        <f>IF(D193="нет",AC199,AC199*1.18)</f>
        <v>0</v>
      </c>
      <c r="AE199" s="398">
        <f t="shared" si="2"/>
        <v>0</v>
      </c>
      <c r="AF199" s="398">
        <f>IF(D193="нет",AE199,AE199*1.18)</f>
        <v>0</v>
      </c>
      <c r="AG199" s="398">
        <f t="shared" si="3"/>
        <v>0</v>
      </c>
      <c r="AH199" s="399"/>
      <c r="AI199" s="398">
        <f>IF(D193="нет",AH199,AH199*1.18)</f>
        <v>0</v>
      </c>
      <c r="AJ199" s="117"/>
      <c r="AK199" s="117"/>
      <c r="AL199" s="117"/>
      <c r="AM199" s="399"/>
      <c r="AN199" s="398">
        <f>IF(D193="нет",AM199,AM199*1.18)</f>
        <v>0</v>
      </c>
      <c r="AO199" s="399"/>
      <c r="AP199" s="398">
        <f>IF($D193="нет",AO199,AO199*1.18)</f>
        <v>0</v>
      </c>
      <c r="AQ199" s="399"/>
      <c r="AR199" s="399"/>
      <c r="AS199" s="398">
        <f>IF(D193="нет",AR199,AR199*1.18)</f>
        <v>0</v>
      </c>
      <c r="AT199" s="399"/>
      <c r="AU199" s="398">
        <f>IF($D193="нет",AT199,AT199*1.18)</f>
        <v>0</v>
      </c>
      <c r="AV199" s="399"/>
      <c r="AW199" s="832"/>
      <c r="AX199" s="832"/>
      <c r="AY199" s="832"/>
      <c r="AZ199" s="832"/>
      <c r="BA199" s="832"/>
      <c r="BB199" s="832"/>
      <c r="BC199" s="832"/>
      <c r="BD199" s="832"/>
      <c r="BE199" s="399"/>
      <c r="BF199" s="398">
        <f t="shared" si="4"/>
        <v>0</v>
      </c>
      <c r="BG199" s="399"/>
      <c r="BH199" s="398">
        <f>IF(D193="нет",BG199,BG199*1.18)</f>
        <v>0</v>
      </c>
      <c r="BI199" s="399"/>
      <c r="BJ199" s="398">
        <f>IF($D193="нет",BI199,BI199*1.18)</f>
        <v>0</v>
      </c>
      <c r="BK199" s="399"/>
      <c r="BL199" s="832"/>
      <c r="BM199" s="832"/>
      <c r="BN199" s="832"/>
      <c r="BO199" s="832"/>
      <c r="BP199" s="832"/>
      <c r="BQ199" s="832"/>
      <c r="BR199" s="832"/>
      <c r="BS199" s="832"/>
      <c r="BT199" s="399"/>
      <c r="BU199" s="398">
        <f t="shared" si="5"/>
        <v>0</v>
      </c>
      <c r="BV199" s="399"/>
      <c r="BW199" s="398">
        <f>IF(D193="нет",BV199,BV199*1.18)</f>
        <v>0</v>
      </c>
      <c r="BX199" s="399"/>
      <c r="BY199" s="398">
        <f>IF($D193="нет",BX199,BX199*1.18)</f>
        <v>0</v>
      </c>
      <c r="BZ199" s="399"/>
      <c r="CA199" s="832"/>
      <c r="CB199" s="832"/>
      <c r="CC199" s="832"/>
      <c r="CD199" s="832"/>
      <c r="CE199" s="832"/>
      <c r="CF199" s="832"/>
      <c r="CG199" s="832"/>
      <c r="CH199" s="832"/>
      <c r="CI199" s="399"/>
      <c r="CJ199" s="398">
        <f t="shared" si="6"/>
        <v>0</v>
      </c>
      <c r="CK199" s="398">
        <f t="shared" si="0"/>
        <v>0</v>
      </c>
      <c r="CL199" s="853"/>
      <c r="CM199" s="398">
        <f t="shared" si="7"/>
        <v>0</v>
      </c>
      <c r="CN199" s="398">
        <f t="shared" si="8"/>
        <v>0</v>
      </c>
      <c r="CO199" s="398">
        <f t="shared" si="9"/>
        <v>0</v>
      </c>
      <c r="CP199" s="398">
        <f t="shared" si="10"/>
        <v>0</v>
      </c>
      <c r="CQ199" s="398">
        <f t="shared" si="11"/>
        <v>0</v>
      </c>
      <c r="CR199" s="846"/>
      <c r="CS199"/>
      <c r="CT199"/>
      <c r="CU199"/>
      <c r="CV199"/>
      <c r="CW199"/>
      <c r="CX199"/>
      <c r="CY199"/>
      <c r="CZ199"/>
      <c r="DA199"/>
      <c r="DB199"/>
      <c r="DC199"/>
      <c r="DD199"/>
      <c r="DE199"/>
      <c r="DF199" s="78"/>
      <c r="DG199" s="78"/>
      <c r="DH199" s="78"/>
      <c r="DI199" s="78"/>
      <c r="DJ199" s="78"/>
      <c r="DK199" s="78"/>
      <c r="DL199" s="78"/>
      <c r="DM199" s="78"/>
      <c r="DN199" s="77"/>
      <c r="DO199" s="381"/>
      <c r="DP199" s="77"/>
      <c r="DQ199" s="77"/>
      <c r="DR199" s="77"/>
      <c r="DS199" s="77"/>
      <c r="DT199" s="77"/>
      <c r="DU199" s="39"/>
      <c r="DV199" s="39"/>
      <c r="DW199" s="39"/>
      <c r="DX199" s="39"/>
      <c r="DY199" s="39"/>
      <c r="DZ199" s="39"/>
      <c r="EA199" s="39"/>
      <c r="EB199" s="39"/>
      <c r="EC199" s="39"/>
      <c r="ED199" s="39"/>
      <c r="EE199" s="39"/>
      <c r="EF199" s="39"/>
      <c r="EG199" s="39"/>
      <c r="EH199" s="39"/>
      <c r="EI199" s="39"/>
      <c r="EJ199" s="39"/>
      <c r="EK199" s="39"/>
      <c r="EL199" s="39"/>
      <c r="EM199" s="39"/>
      <c r="EN199" s="39"/>
      <c r="EO199" s="39"/>
      <c r="EP199" s="39"/>
      <c r="EQ199" s="39"/>
      <c r="ER199" s="39"/>
      <c r="ES199" s="39"/>
      <c r="ET199" s="39"/>
      <c r="EU199" s="39"/>
      <c r="EV199" s="39"/>
    </row>
    <row r="200" spans="2:152" s="60" customFormat="1">
      <c r="B200" s="38"/>
      <c r="D200"/>
      <c r="E200"/>
      <c r="F200" s="833"/>
      <c r="G200" s="835"/>
      <c r="H200" s="834" t="s">
        <v>1781</v>
      </c>
      <c r="I200" s="393" t="s">
        <v>1776</v>
      </c>
      <c r="J200" s="391"/>
      <c r="K200" s="391"/>
      <c r="L200" s="391"/>
      <c r="M200" s="391"/>
      <c r="N200" s="391"/>
      <c r="O200" s="391"/>
      <c r="P200" s="391"/>
      <c r="Q200" s="391"/>
      <c r="R200" s="391"/>
      <c r="S200" s="391"/>
      <c r="T200" s="391"/>
      <c r="U200" s="391"/>
      <c r="V200" s="391"/>
      <c r="W200" s="391"/>
      <c r="X200" s="391"/>
      <c r="Y200" s="399"/>
      <c r="Z200" s="398">
        <f>IF(D193="нет",Y200,Y200*1.18)</f>
        <v>0</v>
      </c>
      <c r="AA200" s="117"/>
      <c r="AB200" s="117"/>
      <c r="AC200" s="398">
        <f t="shared" si="1"/>
        <v>0</v>
      </c>
      <c r="AD200" s="398">
        <f>IF(D193="нет",AC200,AC200*1.18)</f>
        <v>0</v>
      </c>
      <c r="AE200" s="398">
        <f t="shared" si="2"/>
        <v>0</v>
      </c>
      <c r="AF200" s="398">
        <f>IF(D193="нет",AE200,AE200*1.18)</f>
        <v>0</v>
      </c>
      <c r="AG200" s="398">
        <f t="shared" si="3"/>
        <v>0</v>
      </c>
      <c r="AH200" s="399"/>
      <c r="AI200" s="398">
        <f>IF(D193="нет",AH200,AH200*1.18)</f>
        <v>0</v>
      </c>
      <c r="AJ200" s="117"/>
      <c r="AK200" s="117"/>
      <c r="AL200" s="117"/>
      <c r="AM200" s="399"/>
      <c r="AN200" s="398">
        <f>IF(D193="нет",AM200,AM200*1.18)</f>
        <v>0</v>
      </c>
      <c r="AO200" s="399"/>
      <c r="AP200" s="398">
        <f>IF($D193="нет",AO200,AO200*1.18)</f>
        <v>0</v>
      </c>
      <c r="AQ200" s="399"/>
      <c r="AR200" s="399"/>
      <c r="AS200" s="398">
        <f>IF(D193="нет",AR200,AR200*1.18)</f>
        <v>0</v>
      </c>
      <c r="AT200" s="399"/>
      <c r="AU200" s="398">
        <f>IF($D193="нет",AT200,AT200*1.18)</f>
        <v>0</v>
      </c>
      <c r="AV200" s="399"/>
      <c r="AW200" s="832"/>
      <c r="AX200" s="832"/>
      <c r="AY200" s="832"/>
      <c r="AZ200" s="832"/>
      <c r="BA200" s="832"/>
      <c r="BB200" s="832"/>
      <c r="BC200" s="832"/>
      <c r="BD200" s="832"/>
      <c r="BE200" s="399"/>
      <c r="BF200" s="398">
        <f t="shared" si="4"/>
        <v>0</v>
      </c>
      <c r="BG200" s="399"/>
      <c r="BH200" s="398">
        <f>IF(D193="нет",BG200,BG200*1.18)</f>
        <v>0</v>
      </c>
      <c r="BI200" s="399"/>
      <c r="BJ200" s="398">
        <f>IF($D193="нет",BI200,BI200*1.18)</f>
        <v>0</v>
      </c>
      <c r="BK200" s="399"/>
      <c r="BL200" s="832"/>
      <c r="BM200" s="832"/>
      <c r="BN200" s="832"/>
      <c r="BO200" s="832"/>
      <c r="BP200" s="832"/>
      <c r="BQ200" s="832"/>
      <c r="BR200" s="832"/>
      <c r="BS200" s="832"/>
      <c r="BT200" s="399"/>
      <c r="BU200" s="398">
        <f t="shared" si="5"/>
        <v>0</v>
      </c>
      <c r="BV200" s="399"/>
      <c r="BW200" s="398">
        <f>IF(D193="нет",BV200,BV200*1.18)</f>
        <v>0</v>
      </c>
      <c r="BX200" s="399"/>
      <c r="BY200" s="398">
        <f>IF($D193="нет",BX200,BX200*1.18)</f>
        <v>0</v>
      </c>
      <c r="BZ200" s="399"/>
      <c r="CA200" s="832"/>
      <c r="CB200" s="832"/>
      <c r="CC200" s="832"/>
      <c r="CD200" s="832"/>
      <c r="CE200" s="832"/>
      <c r="CF200" s="832"/>
      <c r="CG200" s="832"/>
      <c r="CH200" s="832"/>
      <c r="CI200" s="399"/>
      <c r="CJ200" s="398">
        <f t="shared" si="6"/>
        <v>0</v>
      </c>
      <c r="CK200" s="398">
        <f t="shared" si="0"/>
        <v>0</v>
      </c>
      <c r="CL200" s="853"/>
      <c r="CM200" s="398">
        <f t="shared" si="7"/>
        <v>0</v>
      </c>
      <c r="CN200" s="398">
        <f t="shared" si="8"/>
        <v>0</v>
      </c>
      <c r="CO200" s="398">
        <f t="shared" si="9"/>
        <v>0</v>
      </c>
      <c r="CP200" s="398">
        <f t="shared" si="10"/>
        <v>0</v>
      </c>
      <c r="CQ200" s="398">
        <f t="shared" si="11"/>
        <v>0</v>
      </c>
      <c r="CR200" s="846"/>
      <c r="CS200"/>
      <c r="CT200"/>
      <c r="CU200"/>
      <c r="CV200"/>
      <c r="CW200"/>
      <c r="CX200"/>
      <c r="CY200"/>
      <c r="CZ200"/>
      <c r="DA200"/>
      <c r="DB200"/>
      <c r="DC200"/>
      <c r="DD200"/>
      <c r="DE200"/>
      <c r="DF200" s="78"/>
      <c r="DG200" s="78"/>
      <c r="DH200" s="78"/>
      <c r="DI200" s="78"/>
      <c r="DJ200" s="78"/>
      <c r="DK200" s="78"/>
      <c r="DL200" s="78"/>
      <c r="DM200" s="78"/>
      <c r="DN200" s="77"/>
      <c r="DO200" s="381"/>
      <c r="DP200" s="77"/>
      <c r="DQ200" s="77"/>
      <c r="DR200" s="77"/>
      <c r="DS200" s="77"/>
      <c r="DT200" s="77"/>
      <c r="DU200" s="39"/>
      <c r="DV200" s="39"/>
      <c r="DW200" s="39"/>
      <c r="DX200" s="39"/>
      <c r="DY200" s="39"/>
      <c r="DZ200" s="39"/>
      <c r="EA200" s="39"/>
      <c r="EB200" s="39"/>
      <c r="EC200" s="39"/>
      <c r="ED200" s="39"/>
      <c r="EE200" s="39"/>
      <c r="EF200" s="39"/>
      <c r="EG200" s="39"/>
      <c r="EH200" s="39"/>
      <c r="EI200" s="39"/>
      <c r="EJ200" s="39"/>
      <c r="EK200" s="39"/>
      <c r="EL200" s="39"/>
      <c r="EM200" s="39"/>
      <c r="EN200" s="39"/>
      <c r="EO200" s="39"/>
      <c r="EP200" s="39"/>
      <c r="EQ200" s="39"/>
      <c r="ER200" s="39"/>
      <c r="ES200" s="39"/>
      <c r="ET200" s="39"/>
      <c r="EU200" s="39"/>
      <c r="EV200" s="39"/>
    </row>
    <row r="201" spans="2:152" s="60" customFormat="1">
      <c r="B201" s="38"/>
      <c r="D201"/>
      <c r="E201"/>
      <c r="F201" s="833"/>
      <c r="G201" s="835"/>
      <c r="H201" s="834"/>
      <c r="I201" s="393" t="s">
        <v>1777</v>
      </c>
      <c r="J201" s="391"/>
      <c r="K201" s="391"/>
      <c r="L201" s="391"/>
      <c r="M201" s="391"/>
      <c r="N201" s="391"/>
      <c r="O201" s="391"/>
      <c r="P201" s="391"/>
      <c r="Q201" s="391"/>
      <c r="R201" s="391"/>
      <c r="S201" s="391"/>
      <c r="T201" s="391"/>
      <c r="U201" s="391"/>
      <c r="V201" s="391"/>
      <c r="W201" s="391"/>
      <c r="X201" s="391"/>
      <c r="Y201" s="399"/>
      <c r="Z201" s="398">
        <f>IF(D193="нет",Y201,Y201*1.18)</f>
        <v>0</v>
      </c>
      <c r="AA201" s="117"/>
      <c r="AB201" s="117"/>
      <c r="AC201" s="398">
        <f t="shared" si="1"/>
        <v>0</v>
      </c>
      <c r="AD201" s="398">
        <f>IF(D193="нет",AC201,AC201*1.18)</f>
        <v>0</v>
      </c>
      <c r="AE201" s="398">
        <f t="shared" si="2"/>
        <v>0</v>
      </c>
      <c r="AF201" s="398">
        <f>IF(D193="нет",AE201,AE201*1.18)</f>
        <v>0</v>
      </c>
      <c r="AG201" s="398">
        <f t="shared" si="3"/>
        <v>0</v>
      </c>
      <c r="AH201" s="399"/>
      <c r="AI201" s="398">
        <f>IF(D193="нет",AH201,AH201*1.18)</f>
        <v>0</v>
      </c>
      <c r="AJ201" s="117"/>
      <c r="AK201" s="117"/>
      <c r="AL201" s="117"/>
      <c r="AM201" s="399"/>
      <c r="AN201" s="398">
        <f>IF(D193="нет",AM201,AM201*1.18)</f>
        <v>0</v>
      </c>
      <c r="AO201" s="399"/>
      <c r="AP201" s="398">
        <f>IF($D193="нет",AO201,AO201*1.18)</f>
        <v>0</v>
      </c>
      <c r="AQ201" s="399"/>
      <c r="AR201" s="399"/>
      <c r="AS201" s="398">
        <f>IF(D193="нет",AR201,AR201*1.18)</f>
        <v>0</v>
      </c>
      <c r="AT201" s="399"/>
      <c r="AU201" s="398">
        <f>IF($D193="нет",AT201,AT201*1.18)</f>
        <v>0</v>
      </c>
      <c r="AV201" s="399"/>
      <c r="AW201" s="832"/>
      <c r="AX201" s="832"/>
      <c r="AY201" s="832"/>
      <c r="AZ201" s="832"/>
      <c r="BA201" s="832"/>
      <c r="BB201" s="832"/>
      <c r="BC201" s="832"/>
      <c r="BD201" s="832"/>
      <c r="BE201" s="399"/>
      <c r="BF201" s="398">
        <f t="shared" si="4"/>
        <v>0</v>
      </c>
      <c r="BG201" s="399"/>
      <c r="BH201" s="398">
        <f>IF(D193="нет",BG201,BG201*1.18)</f>
        <v>0</v>
      </c>
      <c r="BI201" s="399"/>
      <c r="BJ201" s="398">
        <f>IF($D193="нет",BI201,BI201*1.18)</f>
        <v>0</v>
      </c>
      <c r="BK201" s="399"/>
      <c r="BL201" s="832"/>
      <c r="BM201" s="832"/>
      <c r="BN201" s="832"/>
      <c r="BO201" s="832"/>
      <c r="BP201" s="832"/>
      <c r="BQ201" s="832"/>
      <c r="BR201" s="832"/>
      <c r="BS201" s="832"/>
      <c r="BT201" s="399"/>
      <c r="BU201" s="398">
        <f t="shared" si="5"/>
        <v>0</v>
      </c>
      <c r="BV201" s="399"/>
      <c r="BW201" s="398">
        <f>IF(D193="нет",BV201,BV201*1.18)</f>
        <v>0</v>
      </c>
      <c r="BX201" s="399"/>
      <c r="BY201" s="398">
        <f>IF($D193="нет",BX201,BX201*1.18)</f>
        <v>0</v>
      </c>
      <c r="BZ201" s="399"/>
      <c r="CA201" s="832"/>
      <c r="CB201" s="832"/>
      <c r="CC201" s="832"/>
      <c r="CD201" s="832"/>
      <c r="CE201" s="832"/>
      <c r="CF201" s="832"/>
      <c r="CG201" s="832"/>
      <c r="CH201" s="832"/>
      <c r="CI201" s="399"/>
      <c r="CJ201" s="398">
        <f t="shared" si="6"/>
        <v>0</v>
      </c>
      <c r="CK201" s="398">
        <f t="shared" si="0"/>
        <v>0</v>
      </c>
      <c r="CL201" s="853"/>
      <c r="CM201" s="398">
        <f t="shared" si="7"/>
        <v>0</v>
      </c>
      <c r="CN201" s="398">
        <f t="shared" si="8"/>
        <v>0</v>
      </c>
      <c r="CO201" s="398">
        <f t="shared" si="9"/>
        <v>0</v>
      </c>
      <c r="CP201" s="398">
        <f t="shared" si="10"/>
        <v>0</v>
      </c>
      <c r="CQ201" s="398">
        <f t="shared" si="11"/>
        <v>0</v>
      </c>
      <c r="CR201" s="846"/>
      <c r="CS201"/>
      <c r="CT201"/>
      <c r="CU201"/>
      <c r="CV201"/>
      <c r="CW201"/>
      <c r="CX201"/>
      <c r="CY201"/>
      <c r="CZ201"/>
      <c r="DA201"/>
      <c r="DB201"/>
      <c r="DC201"/>
      <c r="DD201"/>
      <c r="DE201"/>
      <c r="DF201" s="78"/>
      <c r="DG201" s="78"/>
      <c r="DH201" s="78"/>
      <c r="DI201" s="78"/>
      <c r="DJ201" s="78"/>
      <c r="DK201" s="78"/>
      <c r="DL201" s="78"/>
      <c r="DM201" s="78"/>
      <c r="DN201" s="77"/>
      <c r="DO201" s="381"/>
      <c r="DP201" s="77"/>
      <c r="DQ201" s="77"/>
      <c r="DR201" s="77"/>
      <c r="DS201" s="77"/>
      <c r="DT201" s="77"/>
      <c r="DU201" s="39"/>
      <c r="DV201" s="39"/>
      <c r="DW201" s="39"/>
      <c r="DX201" s="39"/>
      <c r="DY201" s="39"/>
      <c r="DZ201" s="39"/>
      <c r="EA201" s="39"/>
      <c r="EB201" s="39"/>
      <c r="EC201" s="39"/>
      <c r="ED201" s="39"/>
      <c r="EE201" s="39"/>
      <c r="EF201" s="39"/>
      <c r="EG201" s="39"/>
      <c r="EH201" s="39"/>
      <c r="EI201" s="39"/>
      <c r="EJ201" s="39"/>
      <c r="EK201" s="39"/>
      <c r="EL201" s="39"/>
      <c r="EM201" s="39"/>
      <c r="EN201" s="39"/>
      <c r="EO201" s="39"/>
      <c r="EP201" s="39"/>
      <c r="EQ201" s="39"/>
      <c r="ER201" s="39"/>
      <c r="ES201" s="39"/>
      <c r="ET201" s="39"/>
      <c r="EU201" s="39"/>
      <c r="EV201" s="39"/>
    </row>
    <row r="202" spans="2:152" s="60" customFormat="1">
      <c r="B202" s="38"/>
      <c r="D202"/>
      <c r="E202"/>
      <c r="F202" s="833"/>
      <c r="G202" s="835"/>
      <c r="H202" s="834" t="s">
        <v>1782</v>
      </c>
      <c r="I202" s="393" t="s">
        <v>1776</v>
      </c>
      <c r="J202" s="391"/>
      <c r="K202" s="391"/>
      <c r="L202" s="391"/>
      <c r="M202" s="391"/>
      <c r="N202" s="391"/>
      <c r="O202" s="391"/>
      <c r="P202" s="391"/>
      <c r="Q202" s="391"/>
      <c r="R202" s="391"/>
      <c r="S202" s="391"/>
      <c r="T202" s="391"/>
      <c r="U202" s="391"/>
      <c r="V202" s="391"/>
      <c r="W202" s="391"/>
      <c r="X202" s="391"/>
      <c r="Y202" s="399"/>
      <c r="Z202" s="398">
        <f>IF(D193="нет",Y202,Y202*1.18)</f>
        <v>0</v>
      </c>
      <c r="AA202" s="117"/>
      <c r="AB202" s="117"/>
      <c r="AC202" s="398">
        <f t="shared" si="1"/>
        <v>0</v>
      </c>
      <c r="AD202" s="398">
        <f>IF(D193="нет",AC202,AC202*1.18)</f>
        <v>0</v>
      </c>
      <c r="AE202" s="398">
        <f t="shared" si="2"/>
        <v>0</v>
      </c>
      <c r="AF202" s="398">
        <f>IF(D193="нет",AE202,AE202*1.18)</f>
        <v>0</v>
      </c>
      <c r="AG202" s="398">
        <f t="shared" si="3"/>
        <v>0</v>
      </c>
      <c r="AH202" s="399"/>
      <c r="AI202" s="398">
        <f>IF(D193="нет",AH202,AH202*1.18)</f>
        <v>0</v>
      </c>
      <c r="AJ202" s="117"/>
      <c r="AK202" s="117"/>
      <c r="AL202" s="117"/>
      <c r="AM202" s="399"/>
      <c r="AN202" s="398">
        <f>IF(D193="нет",AM202,AM202*1.18)</f>
        <v>0</v>
      </c>
      <c r="AO202" s="399"/>
      <c r="AP202" s="398">
        <f>IF($D193="нет",AO202,AO202*1.18)</f>
        <v>0</v>
      </c>
      <c r="AQ202" s="399"/>
      <c r="AR202" s="399"/>
      <c r="AS202" s="398">
        <f>IF(D193="нет",AR202,AR202*1.18)</f>
        <v>0</v>
      </c>
      <c r="AT202" s="399"/>
      <c r="AU202" s="398">
        <f>IF($D193="нет",AT202,AT202*1.18)</f>
        <v>0</v>
      </c>
      <c r="AV202" s="399"/>
      <c r="AW202" s="832"/>
      <c r="AX202" s="832"/>
      <c r="AY202" s="832"/>
      <c r="AZ202" s="832"/>
      <c r="BA202" s="832"/>
      <c r="BB202" s="832"/>
      <c r="BC202" s="832"/>
      <c r="BD202" s="832"/>
      <c r="BE202" s="399"/>
      <c r="BF202" s="398">
        <f t="shared" si="4"/>
        <v>0</v>
      </c>
      <c r="BG202" s="399"/>
      <c r="BH202" s="398">
        <f>IF(D193="нет",BG202,BG202*1.18)</f>
        <v>0</v>
      </c>
      <c r="BI202" s="399"/>
      <c r="BJ202" s="398">
        <f>IF($D193="нет",BI202,BI202*1.18)</f>
        <v>0</v>
      </c>
      <c r="BK202" s="399"/>
      <c r="BL202" s="832"/>
      <c r="BM202" s="832"/>
      <c r="BN202" s="832"/>
      <c r="BO202" s="832"/>
      <c r="BP202" s="832"/>
      <c r="BQ202" s="832"/>
      <c r="BR202" s="832"/>
      <c r="BS202" s="832"/>
      <c r="BT202" s="399"/>
      <c r="BU202" s="398">
        <f t="shared" si="5"/>
        <v>0</v>
      </c>
      <c r="BV202" s="399"/>
      <c r="BW202" s="398">
        <f>IF(D193="нет",BV202,BV202*1.18)</f>
        <v>0</v>
      </c>
      <c r="BX202" s="399"/>
      <c r="BY202" s="398">
        <f>IF($D193="нет",BX202,BX202*1.18)</f>
        <v>0</v>
      </c>
      <c r="BZ202" s="399"/>
      <c r="CA202" s="832"/>
      <c r="CB202" s="832"/>
      <c r="CC202" s="832"/>
      <c r="CD202" s="832"/>
      <c r="CE202" s="832"/>
      <c r="CF202" s="832"/>
      <c r="CG202" s="832"/>
      <c r="CH202" s="832"/>
      <c r="CI202" s="399"/>
      <c r="CJ202" s="398">
        <f t="shared" si="6"/>
        <v>0</v>
      </c>
      <c r="CK202" s="398">
        <f t="shared" si="0"/>
        <v>0</v>
      </c>
      <c r="CL202" s="853"/>
      <c r="CM202" s="398">
        <f t="shared" si="7"/>
        <v>0</v>
      </c>
      <c r="CN202" s="398">
        <f t="shared" si="8"/>
        <v>0</v>
      </c>
      <c r="CO202" s="398">
        <f t="shared" si="9"/>
        <v>0</v>
      </c>
      <c r="CP202" s="398">
        <f t="shared" si="10"/>
        <v>0</v>
      </c>
      <c r="CQ202" s="398">
        <f t="shared" si="11"/>
        <v>0</v>
      </c>
      <c r="CR202" s="846"/>
      <c r="CS202"/>
      <c r="CT202"/>
      <c r="CU202"/>
      <c r="CV202"/>
      <c r="CW202"/>
      <c r="CX202"/>
      <c r="CY202"/>
      <c r="CZ202"/>
      <c r="DA202"/>
      <c r="DB202"/>
      <c r="DC202"/>
      <c r="DD202"/>
      <c r="DE202"/>
      <c r="DF202" s="77"/>
      <c r="DG202" s="77"/>
      <c r="DH202" s="77"/>
      <c r="DI202" s="77"/>
      <c r="DJ202" s="77"/>
      <c r="DK202" s="77"/>
      <c r="DL202" s="77"/>
      <c r="DM202" s="77"/>
      <c r="DN202" s="77"/>
      <c r="DO202" s="381"/>
      <c r="DP202" s="77"/>
      <c r="DQ202" s="77"/>
      <c r="DR202" s="77"/>
      <c r="DS202" s="77"/>
      <c r="DT202" s="77"/>
      <c r="DU202" s="39"/>
      <c r="DV202" s="39"/>
      <c r="DW202" s="39"/>
      <c r="DX202" s="39"/>
      <c r="DY202" s="39"/>
      <c r="DZ202" s="39"/>
      <c r="EA202" s="39"/>
      <c r="EB202" s="39"/>
      <c r="EC202" s="39"/>
      <c r="ED202" s="39"/>
      <c r="EE202" s="39"/>
      <c r="EF202" s="39"/>
      <c r="EG202" s="39"/>
      <c r="EH202" s="39"/>
      <c r="EI202" s="39"/>
      <c r="EJ202" s="39"/>
      <c r="EK202" s="39"/>
      <c r="EL202" s="39"/>
      <c r="EM202" s="39"/>
      <c r="EN202" s="39"/>
      <c r="EO202" s="39"/>
      <c r="EP202" s="39"/>
      <c r="EQ202" s="39"/>
      <c r="ER202" s="39"/>
      <c r="ES202" s="39"/>
      <c r="ET202" s="39"/>
      <c r="EU202" s="39"/>
      <c r="EV202" s="39"/>
    </row>
    <row r="203" spans="2:152" s="60" customFormat="1">
      <c r="B203" s="38"/>
      <c r="D203"/>
      <c r="E203"/>
      <c r="F203" s="833"/>
      <c r="G203" s="835"/>
      <c r="H203" s="834"/>
      <c r="I203" s="393" t="s">
        <v>1777</v>
      </c>
      <c r="J203" s="391"/>
      <c r="K203" s="391"/>
      <c r="L203" s="391"/>
      <c r="M203" s="391"/>
      <c r="N203" s="391"/>
      <c r="O203" s="391"/>
      <c r="P203" s="391"/>
      <c r="Q203" s="391"/>
      <c r="R203" s="391"/>
      <c r="S203" s="391"/>
      <c r="T203" s="391"/>
      <c r="U203" s="391"/>
      <c r="V203" s="391"/>
      <c r="W203" s="391"/>
      <c r="X203" s="391"/>
      <c r="Y203" s="399"/>
      <c r="Z203" s="398">
        <f>IF(D193="нет",Y203,Y203*1.18)</f>
        <v>0</v>
      </c>
      <c r="AA203" s="117"/>
      <c r="AB203" s="117"/>
      <c r="AC203" s="398">
        <f t="shared" si="1"/>
        <v>0</v>
      </c>
      <c r="AD203" s="398">
        <f>IF(D193="нет",AC203,AC203*1.18)</f>
        <v>0</v>
      </c>
      <c r="AE203" s="398">
        <f t="shared" si="2"/>
        <v>0</v>
      </c>
      <c r="AF203" s="398">
        <f>IF(D193="нет",AE203,AE203*1.18)</f>
        <v>0</v>
      </c>
      <c r="AG203" s="398">
        <f t="shared" si="3"/>
        <v>0</v>
      </c>
      <c r="AH203" s="399"/>
      <c r="AI203" s="398">
        <f>IF(D193="нет",AH203,AH203*1.18)</f>
        <v>0</v>
      </c>
      <c r="AJ203" s="117"/>
      <c r="AK203" s="117"/>
      <c r="AL203" s="117"/>
      <c r="AM203" s="399"/>
      <c r="AN203" s="398">
        <f>IF(D193="нет",AM203,AM203*1.18)</f>
        <v>0</v>
      </c>
      <c r="AO203" s="399"/>
      <c r="AP203" s="398">
        <f>IF($D193="нет",AO203,AO203*1.18)</f>
        <v>0</v>
      </c>
      <c r="AQ203" s="399"/>
      <c r="AR203" s="399"/>
      <c r="AS203" s="398">
        <f>IF(D193="нет",AR203,AR203*1.18)</f>
        <v>0</v>
      </c>
      <c r="AT203" s="399"/>
      <c r="AU203" s="398">
        <f>IF($D193="нет",AT203,AT203*1.18)</f>
        <v>0</v>
      </c>
      <c r="AV203" s="399"/>
      <c r="AW203" s="832"/>
      <c r="AX203" s="832"/>
      <c r="AY203" s="832"/>
      <c r="AZ203" s="832"/>
      <c r="BA203" s="832"/>
      <c r="BB203" s="832"/>
      <c r="BC203" s="832"/>
      <c r="BD203" s="832"/>
      <c r="BE203" s="399"/>
      <c r="BF203" s="398">
        <f t="shared" si="4"/>
        <v>0</v>
      </c>
      <c r="BG203" s="399"/>
      <c r="BH203" s="398">
        <f>IF(D193="нет",BG203,BG203*1.18)</f>
        <v>0</v>
      </c>
      <c r="BI203" s="399"/>
      <c r="BJ203" s="398">
        <f>IF($D193="нет",BI203,BI203*1.18)</f>
        <v>0</v>
      </c>
      <c r="BK203" s="399"/>
      <c r="BL203" s="832"/>
      <c r="BM203" s="832"/>
      <c r="BN203" s="832"/>
      <c r="BO203" s="832"/>
      <c r="BP203" s="832"/>
      <c r="BQ203" s="832"/>
      <c r="BR203" s="832"/>
      <c r="BS203" s="832"/>
      <c r="BT203" s="399"/>
      <c r="BU203" s="398">
        <f t="shared" si="5"/>
        <v>0</v>
      </c>
      <c r="BV203" s="399"/>
      <c r="BW203" s="398">
        <f>IF(D193="нет",BV203,BV203*1.18)</f>
        <v>0</v>
      </c>
      <c r="BX203" s="399"/>
      <c r="BY203" s="398">
        <f>IF($D193="нет",BX203,BX203*1.18)</f>
        <v>0</v>
      </c>
      <c r="BZ203" s="399"/>
      <c r="CA203" s="832"/>
      <c r="CB203" s="832"/>
      <c r="CC203" s="832"/>
      <c r="CD203" s="832"/>
      <c r="CE203" s="832"/>
      <c r="CF203" s="832"/>
      <c r="CG203" s="832"/>
      <c r="CH203" s="832"/>
      <c r="CI203" s="399"/>
      <c r="CJ203" s="398">
        <f t="shared" si="6"/>
        <v>0</v>
      </c>
      <c r="CK203" s="398">
        <f t="shared" si="0"/>
        <v>0</v>
      </c>
      <c r="CL203" s="853"/>
      <c r="CM203" s="398">
        <f t="shared" si="7"/>
        <v>0</v>
      </c>
      <c r="CN203" s="398">
        <f t="shared" si="8"/>
        <v>0</v>
      </c>
      <c r="CO203" s="398">
        <f t="shared" si="9"/>
        <v>0</v>
      </c>
      <c r="CP203" s="398">
        <f t="shared" si="10"/>
        <v>0</v>
      </c>
      <c r="CQ203" s="398">
        <f t="shared" si="11"/>
        <v>0</v>
      </c>
      <c r="CR203" s="846"/>
      <c r="CS203"/>
      <c r="CT203"/>
      <c r="CU203"/>
      <c r="CV203"/>
      <c r="CW203"/>
      <c r="CX203"/>
      <c r="CY203"/>
      <c r="CZ203"/>
      <c r="DA203"/>
      <c r="DB203"/>
      <c r="DC203"/>
      <c r="DD203"/>
      <c r="DE203"/>
      <c r="DF203" s="77"/>
      <c r="DG203" s="77"/>
      <c r="DH203" s="77"/>
      <c r="DI203" s="77"/>
      <c r="DJ203" s="77"/>
      <c r="DK203" s="77"/>
      <c r="DL203" s="77"/>
      <c r="DM203" s="77"/>
      <c r="DN203" s="77"/>
      <c r="DO203" s="381"/>
      <c r="DP203" s="77"/>
      <c r="DQ203" s="77"/>
      <c r="DR203" s="77"/>
      <c r="DS203" s="77"/>
      <c r="DT203" s="77"/>
      <c r="DU203" s="39"/>
      <c r="DV203" s="39"/>
      <c r="DW203" s="39"/>
      <c r="DX203" s="39"/>
      <c r="DY203" s="39"/>
      <c r="DZ203" s="39"/>
      <c r="EA203" s="39"/>
      <c r="EB203" s="39"/>
      <c r="EC203" s="39"/>
      <c r="ED203" s="39"/>
      <c r="EE203" s="39"/>
      <c r="EF203" s="39"/>
      <c r="EG203" s="39"/>
      <c r="EH203" s="39"/>
      <c r="EI203" s="39"/>
      <c r="EJ203" s="39"/>
      <c r="EK203" s="39"/>
      <c r="EL203" s="39"/>
      <c r="EM203" s="39"/>
      <c r="EN203" s="39"/>
      <c r="EO203" s="39"/>
      <c r="EP203" s="39"/>
      <c r="EQ203" s="39"/>
      <c r="ER203" s="39"/>
      <c r="ES203" s="39"/>
      <c r="ET203" s="39"/>
      <c r="EU203" s="39"/>
      <c r="EV203" s="39"/>
    </row>
    <row r="204" spans="2:152" s="60" customFormat="1">
      <c r="B204" s="38"/>
      <c r="D204"/>
      <c r="E204"/>
      <c r="F204" s="833"/>
      <c r="G204" s="835"/>
      <c r="H204" s="834" t="s">
        <v>3139</v>
      </c>
      <c r="I204" s="393" t="s">
        <v>1776</v>
      </c>
      <c r="J204" s="391"/>
      <c r="K204" s="391"/>
      <c r="L204" s="391"/>
      <c r="M204" s="391"/>
      <c r="N204" s="391"/>
      <c r="O204" s="391"/>
      <c r="P204" s="391"/>
      <c r="Q204" s="391"/>
      <c r="R204" s="391"/>
      <c r="S204" s="391"/>
      <c r="T204" s="391"/>
      <c r="U204" s="391"/>
      <c r="V204" s="391"/>
      <c r="W204" s="391"/>
      <c r="X204" s="391"/>
      <c r="Y204" s="399"/>
      <c r="Z204" s="398">
        <f>IF(D193="нет",Y204,Y204*1.18)</f>
        <v>0</v>
      </c>
      <c r="AA204" s="117"/>
      <c r="AB204" s="117"/>
      <c r="AC204" s="398">
        <f t="shared" si="1"/>
        <v>0</v>
      </c>
      <c r="AD204" s="398">
        <f>IF(D193="нет",AC204,AC204*1.18)</f>
        <v>0</v>
      </c>
      <c r="AE204" s="398">
        <f t="shared" si="2"/>
        <v>0</v>
      </c>
      <c r="AF204" s="398">
        <f>IF(D193="нет",AE204,AE204*1.18)</f>
        <v>0</v>
      </c>
      <c r="AG204" s="398">
        <f t="shared" si="3"/>
        <v>0</v>
      </c>
      <c r="AH204" s="399"/>
      <c r="AI204" s="398">
        <f>IF(D193="нет",AH204,AH204*1.18)</f>
        <v>0</v>
      </c>
      <c r="AJ204" s="117"/>
      <c r="AK204" s="117"/>
      <c r="AL204" s="117"/>
      <c r="AM204" s="399"/>
      <c r="AN204" s="398">
        <f>IF(D193="нет",AM204,AM204*1.18)</f>
        <v>0</v>
      </c>
      <c r="AO204" s="399"/>
      <c r="AP204" s="398">
        <f>IF($D193="нет",AO204,AO204*1.18)</f>
        <v>0</v>
      </c>
      <c r="AQ204" s="399"/>
      <c r="AR204" s="399"/>
      <c r="AS204" s="398">
        <f>IF(D193="нет",AR204,AR204*1.18)</f>
        <v>0</v>
      </c>
      <c r="AT204" s="399"/>
      <c r="AU204" s="398">
        <f>IF($D193="нет",AT204,AT204*1.18)</f>
        <v>0</v>
      </c>
      <c r="AV204" s="399"/>
      <c r="AW204" s="832"/>
      <c r="AX204" s="832"/>
      <c r="AY204" s="832"/>
      <c r="AZ204" s="832"/>
      <c r="BA204" s="832"/>
      <c r="BB204" s="832"/>
      <c r="BC204" s="832"/>
      <c r="BD204" s="832"/>
      <c r="BE204" s="399"/>
      <c r="BF204" s="398">
        <f t="shared" si="4"/>
        <v>0</v>
      </c>
      <c r="BG204" s="399"/>
      <c r="BH204" s="398">
        <f>IF(D193="нет",BG204,BG204*1.18)</f>
        <v>0</v>
      </c>
      <c r="BI204" s="399"/>
      <c r="BJ204" s="398">
        <f>IF($D193="нет",BI204,BI204*1.18)</f>
        <v>0</v>
      </c>
      <c r="BK204" s="399"/>
      <c r="BL204" s="832"/>
      <c r="BM204" s="832"/>
      <c r="BN204" s="832"/>
      <c r="BO204" s="832"/>
      <c r="BP204" s="832"/>
      <c r="BQ204" s="832"/>
      <c r="BR204" s="832"/>
      <c r="BS204" s="832"/>
      <c r="BT204" s="399"/>
      <c r="BU204" s="398">
        <f t="shared" si="5"/>
        <v>0</v>
      </c>
      <c r="BV204" s="399"/>
      <c r="BW204" s="398">
        <f>IF(D193="нет",BV204,BV204*1.18)</f>
        <v>0</v>
      </c>
      <c r="BX204" s="399"/>
      <c r="BY204" s="398">
        <f>IF($D193="нет",BX204,BX204*1.18)</f>
        <v>0</v>
      </c>
      <c r="BZ204" s="399"/>
      <c r="CA204" s="832"/>
      <c r="CB204" s="832"/>
      <c r="CC204" s="832"/>
      <c r="CD204" s="832"/>
      <c r="CE204" s="832"/>
      <c r="CF204" s="832"/>
      <c r="CG204" s="832"/>
      <c r="CH204" s="832"/>
      <c r="CI204" s="399"/>
      <c r="CJ204" s="398">
        <f t="shared" si="6"/>
        <v>0</v>
      </c>
      <c r="CK204" s="398">
        <f t="shared" si="0"/>
        <v>0</v>
      </c>
      <c r="CL204" s="853"/>
      <c r="CM204" s="398">
        <f t="shared" si="7"/>
        <v>0</v>
      </c>
      <c r="CN204" s="398">
        <f t="shared" si="8"/>
        <v>0</v>
      </c>
      <c r="CO204" s="398">
        <f t="shared" si="9"/>
        <v>0</v>
      </c>
      <c r="CP204" s="398">
        <f t="shared" si="10"/>
        <v>0</v>
      </c>
      <c r="CQ204" s="398">
        <f t="shared" si="11"/>
        <v>0</v>
      </c>
      <c r="CR204" s="846"/>
      <c r="CS204"/>
      <c r="CT204"/>
      <c r="CU204"/>
      <c r="CV204"/>
      <c r="CW204"/>
      <c r="CX204"/>
      <c r="CY204"/>
      <c r="CZ204"/>
      <c r="DA204"/>
      <c r="DB204"/>
      <c r="DC204"/>
      <c r="DD204"/>
      <c r="DE204"/>
      <c r="DF204" s="77"/>
      <c r="DG204" s="77"/>
      <c r="DH204" s="77"/>
      <c r="DI204" s="77"/>
      <c r="DJ204" s="77"/>
      <c r="DK204" s="77"/>
      <c r="DL204" s="77"/>
      <c r="DM204" s="77"/>
      <c r="DN204" s="77"/>
      <c r="DO204" s="381"/>
      <c r="DP204" s="77"/>
      <c r="DQ204" s="77"/>
      <c r="DR204" s="77"/>
      <c r="DS204" s="77"/>
      <c r="DT204" s="77"/>
      <c r="DU204" s="39"/>
      <c r="DV204" s="39"/>
      <c r="DW204" s="39"/>
      <c r="DX204" s="39"/>
      <c r="DY204" s="39"/>
      <c r="DZ204" s="39"/>
      <c r="EA204" s="39"/>
      <c r="EB204" s="39"/>
      <c r="EC204" s="39"/>
      <c r="ED204" s="39"/>
      <c r="EE204" s="39"/>
      <c r="EF204" s="39"/>
      <c r="EG204" s="39"/>
      <c r="EH204" s="39"/>
      <c r="EI204" s="39"/>
      <c r="EJ204" s="39"/>
      <c r="EK204" s="39"/>
      <c r="EL204" s="39"/>
      <c r="EM204" s="39"/>
      <c r="EN204" s="39"/>
      <c r="EO204" s="39"/>
      <c r="EP204" s="39"/>
      <c r="EQ204" s="39"/>
      <c r="ER204" s="39"/>
      <c r="ES204" s="39"/>
      <c r="ET204" s="39"/>
      <c r="EU204" s="39"/>
      <c r="EV204" s="39"/>
    </row>
    <row r="205" spans="2:152" s="60" customFormat="1">
      <c r="B205" s="38"/>
      <c r="D205"/>
      <c r="E205"/>
      <c r="F205" s="833"/>
      <c r="G205" s="835"/>
      <c r="H205" s="834"/>
      <c r="I205" s="393" t="s">
        <v>1777</v>
      </c>
      <c r="J205" s="391"/>
      <c r="K205" s="391"/>
      <c r="L205" s="391"/>
      <c r="M205" s="391"/>
      <c r="N205" s="391"/>
      <c r="O205" s="391"/>
      <c r="P205" s="391"/>
      <c r="Q205" s="391"/>
      <c r="R205" s="391"/>
      <c r="S205" s="391"/>
      <c r="T205" s="391"/>
      <c r="U205" s="391"/>
      <c r="V205" s="391"/>
      <c r="W205" s="391"/>
      <c r="X205" s="391"/>
      <c r="Y205" s="399"/>
      <c r="Z205" s="398">
        <f>IF(D193="нет",Y205,Y205*1.18)</f>
        <v>0</v>
      </c>
      <c r="AA205" s="117"/>
      <c r="AB205" s="117"/>
      <c r="AC205" s="398">
        <f t="shared" si="1"/>
        <v>0</v>
      </c>
      <c r="AD205" s="398">
        <f>IF(D193="нет",AC205,AC205*1.18)</f>
        <v>0</v>
      </c>
      <c r="AE205" s="398">
        <f t="shared" si="2"/>
        <v>0</v>
      </c>
      <c r="AF205" s="398">
        <f>IF(D193="нет",AE205,AE205*1.18)</f>
        <v>0</v>
      </c>
      <c r="AG205" s="398">
        <f t="shared" si="3"/>
        <v>0</v>
      </c>
      <c r="AH205" s="399"/>
      <c r="AI205" s="398">
        <f>IF(D193="нет",AH205,AH205*1.18)</f>
        <v>0</v>
      </c>
      <c r="AJ205" s="117"/>
      <c r="AK205" s="117"/>
      <c r="AL205" s="117"/>
      <c r="AM205" s="399"/>
      <c r="AN205" s="398">
        <f>IF(D193="нет",AM205,AM205*1.18)</f>
        <v>0</v>
      </c>
      <c r="AO205" s="399"/>
      <c r="AP205" s="398">
        <f>IF($D193="нет",AO205,AO205*1.18)</f>
        <v>0</v>
      </c>
      <c r="AQ205" s="399"/>
      <c r="AR205" s="399"/>
      <c r="AS205" s="398">
        <f>IF(D193="нет",AR205,AR205*1.18)</f>
        <v>0</v>
      </c>
      <c r="AT205" s="399"/>
      <c r="AU205" s="398">
        <f>IF($D193="нет",AT205,AT205*1.18)</f>
        <v>0</v>
      </c>
      <c r="AV205" s="399"/>
      <c r="AW205" s="832"/>
      <c r="AX205" s="832"/>
      <c r="AY205" s="832"/>
      <c r="AZ205" s="832"/>
      <c r="BA205" s="832"/>
      <c r="BB205" s="832"/>
      <c r="BC205" s="832"/>
      <c r="BD205" s="832"/>
      <c r="BE205" s="399"/>
      <c r="BF205" s="398">
        <f t="shared" si="4"/>
        <v>0</v>
      </c>
      <c r="BG205" s="399"/>
      <c r="BH205" s="398">
        <f>IF(D193="нет",BG205,BG205*1.18)</f>
        <v>0</v>
      </c>
      <c r="BI205" s="399"/>
      <c r="BJ205" s="398">
        <f>IF($D193="нет",BI205,BI205*1.18)</f>
        <v>0</v>
      </c>
      <c r="BK205" s="399"/>
      <c r="BL205" s="832"/>
      <c r="BM205" s="832"/>
      <c r="BN205" s="832"/>
      <c r="BO205" s="832"/>
      <c r="BP205" s="832"/>
      <c r="BQ205" s="832"/>
      <c r="BR205" s="832"/>
      <c r="BS205" s="832"/>
      <c r="BT205" s="399"/>
      <c r="BU205" s="398">
        <f t="shared" si="5"/>
        <v>0</v>
      </c>
      <c r="BV205" s="399"/>
      <c r="BW205" s="398">
        <f>IF(D193="нет",BV205,BV205*1.18)</f>
        <v>0</v>
      </c>
      <c r="BX205" s="399"/>
      <c r="BY205" s="398">
        <f>IF($D193="нет",BX205,BX205*1.18)</f>
        <v>0</v>
      </c>
      <c r="BZ205" s="399"/>
      <c r="CA205" s="832"/>
      <c r="CB205" s="832"/>
      <c r="CC205" s="832"/>
      <c r="CD205" s="832"/>
      <c r="CE205" s="832"/>
      <c r="CF205" s="832"/>
      <c r="CG205" s="832"/>
      <c r="CH205" s="832"/>
      <c r="CI205" s="399"/>
      <c r="CJ205" s="398">
        <f t="shared" si="6"/>
        <v>0</v>
      </c>
      <c r="CK205" s="398">
        <f t="shared" si="0"/>
        <v>0</v>
      </c>
      <c r="CL205" s="853"/>
      <c r="CM205" s="398">
        <f t="shared" si="7"/>
        <v>0</v>
      </c>
      <c r="CN205" s="398">
        <f t="shared" si="8"/>
        <v>0</v>
      </c>
      <c r="CO205" s="398">
        <f t="shared" si="9"/>
        <v>0</v>
      </c>
      <c r="CP205" s="398">
        <f t="shared" si="10"/>
        <v>0</v>
      </c>
      <c r="CQ205" s="398">
        <f t="shared" si="11"/>
        <v>0</v>
      </c>
      <c r="CR205" s="846"/>
      <c r="CS205"/>
      <c r="CT205"/>
      <c r="CU205"/>
      <c r="CV205"/>
      <c r="CW205"/>
      <c r="CX205"/>
      <c r="CY205"/>
      <c r="CZ205"/>
      <c r="DA205"/>
      <c r="DB205"/>
      <c r="DC205"/>
      <c r="DD205"/>
      <c r="DE205"/>
      <c r="DF205" s="77"/>
      <c r="DG205" s="77"/>
      <c r="DH205" s="77"/>
      <c r="DI205" s="77"/>
      <c r="DJ205" s="77"/>
      <c r="DK205" s="77"/>
      <c r="DL205" s="77"/>
      <c r="DM205" s="77"/>
      <c r="DN205" s="77"/>
      <c r="DO205" s="381"/>
      <c r="DP205" s="77"/>
      <c r="DQ205" s="77"/>
      <c r="DR205" s="77"/>
      <c r="DS205" s="77"/>
      <c r="DT205" s="77"/>
      <c r="DU205" s="39"/>
      <c r="DV205" s="39"/>
      <c r="DW205" s="39"/>
      <c r="DX205" s="39"/>
      <c r="DY205" s="39"/>
      <c r="DZ205" s="39"/>
      <c r="EA205" s="39"/>
      <c r="EB205" s="39"/>
      <c r="EC205" s="39"/>
      <c r="ED205" s="39"/>
      <c r="EE205" s="39"/>
      <c r="EF205" s="39"/>
      <c r="EG205" s="39"/>
      <c r="EH205" s="39"/>
      <c r="EI205" s="39"/>
      <c r="EJ205" s="39"/>
      <c r="EK205" s="39"/>
      <c r="EL205" s="39"/>
      <c r="EM205" s="39"/>
      <c r="EN205" s="39"/>
      <c r="EO205" s="39"/>
      <c r="EP205" s="39"/>
      <c r="EQ205" s="39"/>
      <c r="ER205" s="39"/>
      <c r="ES205" s="39"/>
      <c r="ET205" s="39"/>
      <c r="EU205" s="39"/>
      <c r="EV205" s="39"/>
    </row>
    <row r="206" spans="2:152" s="60" customFormat="1">
      <c r="B206" s="38"/>
      <c r="D206"/>
      <c r="E206"/>
      <c r="F206" s="833"/>
      <c r="G206" s="835"/>
      <c r="H206" s="836" t="s">
        <v>1779</v>
      </c>
      <c r="I206" s="393" t="s">
        <v>1776</v>
      </c>
      <c r="J206" s="391"/>
      <c r="K206" s="391"/>
      <c r="L206" s="391"/>
      <c r="M206" s="391"/>
      <c r="N206" s="391"/>
      <c r="O206" s="391"/>
      <c r="P206" s="391"/>
      <c r="Q206" s="391"/>
      <c r="R206" s="391"/>
      <c r="S206" s="391"/>
      <c r="T206" s="391"/>
      <c r="U206" s="391"/>
      <c r="V206" s="391"/>
      <c r="W206" s="391"/>
      <c r="X206" s="391"/>
      <c r="Y206" s="399"/>
      <c r="Z206" s="398">
        <f>IF(D193="нет",Y206,Y206*1.18)</f>
        <v>0</v>
      </c>
      <c r="AA206" s="117"/>
      <c r="AB206" s="117"/>
      <c r="AC206" s="398">
        <f t="shared" si="1"/>
        <v>0</v>
      </c>
      <c r="AD206" s="398">
        <f>IF(D193="нет",AC206,AC206*1.18)</f>
        <v>0</v>
      </c>
      <c r="AE206" s="398">
        <f t="shared" si="2"/>
        <v>0</v>
      </c>
      <c r="AF206" s="398">
        <f>IF(D193="нет",AE206,AE206*1.18)</f>
        <v>0</v>
      </c>
      <c r="AG206" s="398">
        <f t="shared" si="3"/>
        <v>0</v>
      </c>
      <c r="AH206" s="399"/>
      <c r="AI206" s="398">
        <f>IF(D193="нет",AH206,AH206*1.18)</f>
        <v>0</v>
      </c>
      <c r="AJ206" s="117"/>
      <c r="AK206" s="117"/>
      <c r="AL206" s="117"/>
      <c r="AM206" s="399"/>
      <c r="AN206" s="398">
        <f>IF(D193="нет",AM206,AM206*1.18)</f>
        <v>0</v>
      </c>
      <c r="AO206" s="399"/>
      <c r="AP206" s="398">
        <f>IF($D193="нет",AO206,AO206*1.18)</f>
        <v>0</v>
      </c>
      <c r="AQ206" s="399"/>
      <c r="AR206" s="399"/>
      <c r="AS206" s="398">
        <f>IF(D193="нет",AR206,AR206*1.18)</f>
        <v>0</v>
      </c>
      <c r="AT206" s="399"/>
      <c r="AU206" s="398">
        <f>IF($D193="нет",AT206,AT206*1.18)</f>
        <v>0</v>
      </c>
      <c r="AV206" s="399"/>
      <c r="AW206" s="832"/>
      <c r="AX206" s="832"/>
      <c r="AY206" s="832"/>
      <c r="AZ206" s="832"/>
      <c r="BA206" s="832"/>
      <c r="BB206" s="832"/>
      <c r="BC206" s="832"/>
      <c r="BD206" s="832"/>
      <c r="BE206" s="399"/>
      <c r="BF206" s="398">
        <f t="shared" si="4"/>
        <v>0</v>
      </c>
      <c r="BG206" s="399"/>
      <c r="BH206" s="398">
        <f>IF(D193="нет",BG206,BG206*1.18)</f>
        <v>0</v>
      </c>
      <c r="BI206" s="399"/>
      <c r="BJ206" s="398">
        <f>IF($D193="нет",BI206,BI206*1.18)</f>
        <v>0</v>
      </c>
      <c r="BK206" s="399"/>
      <c r="BL206" s="832"/>
      <c r="BM206" s="832"/>
      <c r="BN206" s="832"/>
      <c r="BO206" s="832"/>
      <c r="BP206" s="832"/>
      <c r="BQ206" s="832"/>
      <c r="BR206" s="832"/>
      <c r="BS206" s="832"/>
      <c r="BT206" s="399"/>
      <c r="BU206" s="398">
        <f t="shared" si="5"/>
        <v>0</v>
      </c>
      <c r="BV206" s="399"/>
      <c r="BW206" s="398">
        <f>IF(D193="нет",BV206,BV206*1.18)</f>
        <v>0</v>
      </c>
      <c r="BX206" s="399"/>
      <c r="BY206" s="398">
        <f>IF($D193="нет",BX206,BX206*1.18)</f>
        <v>0</v>
      </c>
      <c r="BZ206" s="399"/>
      <c r="CA206" s="832"/>
      <c r="CB206" s="832"/>
      <c r="CC206" s="832"/>
      <c r="CD206" s="832"/>
      <c r="CE206" s="832"/>
      <c r="CF206" s="832"/>
      <c r="CG206" s="832"/>
      <c r="CH206" s="832"/>
      <c r="CI206" s="399"/>
      <c r="CJ206" s="398">
        <f t="shared" si="6"/>
        <v>0</v>
      </c>
      <c r="CK206" s="398">
        <f t="shared" si="0"/>
        <v>0</v>
      </c>
      <c r="CL206" s="853"/>
      <c r="CM206" s="398">
        <f t="shared" si="7"/>
        <v>0</v>
      </c>
      <c r="CN206" s="398">
        <f t="shared" si="8"/>
        <v>0</v>
      </c>
      <c r="CO206" s="398">
        <f t="shared" si="9"/>
        <v>0</v>
      </c>
      <c r="CP206" s="398">
        <f t="shared" si="10"/>
        <v>0</v>
      </c>
      <c r="CQ206" s="398">
        <f t="shared" si="11"/>
        <v>0</v>
      </c>
      <c r="CR206" s="846"/>
      <c r="CS206"/>
      <c r="CT206"/>
      <c r="CU206"/>
      <c r="CV206"/>
      <c r="CW206"/>
      <c r="CX206"/>
      <c r="CY206"/>
      <c r="CZ206"/>
      <c r="DA206"/>
      <c r="DB206"/>
      <c r="DC206"/>
      <c r="DD206"/>
      <c r="DE206"/>
      <c r="DF206" s="77"/>
      <c r="DG206" s="77"/>
      <c r="DH206" s="77"/>
      <c r="DI206" s="77"/>
      <c r="DJ206" s="77"/>
      <c r="DK206" s="77"/>
      <c r="DL206" s="77"/>
      <c r="DM206" s="77"/>
      <c r="DN206" s="77"/>
      <c r="DO206" s="381"/>
      <c r="DP206" s="77"/>
      <c r="DQ206" s="77"/>
      <c r="DR206" s="77"/>
      <c r="DS206" s="77"/>
      <c r="DT206" s="77"/>
      <c r="DU206" s="39"/>
      <c r="DV206" s="39"/>
      <c r="DW206" s="39"/>
      <c r="DX206" s="39"/>
      <c r="DY206" s="39"/>
      <c r="DZ206" s="39"/>
      <c r="EA206" s="39"/>
      <c r="EB206" s="39"/>
      <c r="EC206" s="39"/>
      <c r="ED206" s="39"/>
      <c r="EE206" s="39"/>
      <c r="EF206" s="39"/>
      <c r="EG206" s="39"/>
      <c r="EH206" s="39"/>
      <c r="EI206" s="39"/>
      <c r="EJ206" s="39"/>
      <c r="EK206" s="39"/>
      <c r="EL206" s="39"/>
      <c r="EM206" s="39"/>
      <c r="EN206" s="39"/>
      <c r="EO206" s="39"/>
      <c r="EP206" s="39"/>
      <c r="EQ206" s="39"/>
      <c r="ER206" s="39"/>
      <c r="ES206" s="39"/>
      <c r="ET206" s="39"/>
      <c r="EU206" s="39"/>
      <c r="EV206" s="39"/>
    </row>
    <row r="207" spans="2:152" s="60" customFormat="1">
      <c r="D207"/>
      <c r="E207"/>
      <c r="F207" s="833"/>
      <c r="G207" s="835"/>
      <c r="H207" s="836"/>
      <c r="I207" s="393" t="s">
        <v>1777</v>
      </c>
      <c r="J207" s="391"/>
      <c r="K207" s="391"/>
      <c r="L207" s="391"/>
      <c r="M207" s="391"/>
      <c r="N207" s="391"/>
      <c r="O207" s="391"/>
      <c r="P207" s="391"/>
      <c r="Q207" s="391"/>
      <c r="R207" s="391"/>
      <c r="S207" s="391"/>
      <c r="T207" s="391"/>
      <c r="U207" s="391"/>
      <c r="V207" s="391"/>
      <c r="W207" s="391"/>
      <c r="X207" s="391"/>
      <c r="Y207" s="399"/>
      <c r="Z207" s="398">
        <f>IF(D193="нет",Y207,Y207*1.18)</f>
        <v>0</v>
      </c>
      <c r="AA207" s="117"/>
      <c r="AB207" s="117"/>
      <c r="AC207" s="398">
        <f t="shared" si="1"/>
        <v>0</v>
      </c>
      <c r="AD207" s="398">
        <f>IF(D193="нет",AC207,AC207*1.18)</f>
        <v>0</v>
      </c>
      <c r="AE207" s="398">
        <f t="shared" si="2"/>
        <v>0</v>
      </c>
      <c r="AF207" s="398">
        <f>IF(D193="нет",AE207,AE207*1.18)</f>
        <v>0</v>
      </c>
      <c r="AG207" s="398">
        <f t="shared" si="3"/>
        <v>0</v>
      </c>
      <c r="AH207" s="399"/>
      <c r="AI207" s="398">
        <f>IF(D193="нет",AH207,AH207*1.18)</f>
        <v>0</v>
      </c>
      <c r="AJ207" s="117"/>
      <c r="AK207" s="117"/>
      <c r="AL207" s="117"/>
      <c r="AM207" s="399"/>
      <c r="AN207" s="398">
        <f>IF(D193="нет",AM207,AM207*1.18)</f>
        <v>0</v>
      </c>
      <c r="AO207" s="399"/>
      <c r="AP207" s="398">
        <f>IF($D193="нет",AO207,AO207*1.18)</f>
        <v>0</v>
      </c>
      <c r="AQ207" s="399"/>
      <c r="AR207" s="399"/>
      <c r="AS207" s="398">
        <f>IF(D193="нет",AR207,AR207*1.18)</f>
        <v>0</v>
      </c>
      <c r="AT207" s="399"/>
      <c r="AU207" s="398">
        <f>IF($D193="нет",AT207,AT207*1.18)</f>
        <v>0</v>
      </c>
      <c r="AV207" s="399"/>
      <c r="AW207" s="832"/>
      <c r="AX207" s="832"/>
      <c r="AY207" s="832"/>
      <c r="AZ207" s="832"/>
      <c r="BA207" s="832"/>
      <c r="BB207" s="832"/>
      <c r="BC207" s="832"/>
      <c r="BD207" s="832"/>
      <c r="BE207" s="399"/>
      <c r="BF207" s="398">
        <f t="shared" si="4"/>
        <v>0</v>
      </c>
      <c r="BG207" s="399"/>
      <c r="BH207" s="398">
        <f>IF(D193="нет",BG207,BG207*1.18)</f>
        <v>0</v>
      </c>
      <c r="BI207" s="399"/>
      <c r="BJ207" s="398">
        <f>IF($D193="нет",BI207,BI207*1.18)</f>
        <v>0</v>
      </c>
      <c r="BK207" s="399"/>
      <c r="BL207" s="832"/>
      <c r="BM207" s="832"/>
      <c r="BN207" s="832"/>
      <c r="BO207" s="832"/>
      <c r="BP207" s="832"/>
      <c r="BQ207" s="832"/>
      <c r="BR207" s="832"/>
      <c r="BS207" s="832"/>
      <c r="BT207" s="399"/>
      <c r="BU207" s="398">
        <f t="shared" si="5"/>
        <v>0</v>
      </c>
      <c r="BV207" s="399"/>
      <c r="BW207" s="398">
        <f>IF(D193="нет",BV207,BV207*1.18)</f>
        <v>0</v>
      </c>
      <c r="BX207" s="399"/>
      <c r="BY207" s="398">
        <f>IF($D193="нет",BX207,BX207*1.18)</f>
        <v>0</v>
      </c>
      <c r="BZ207" s="399"/>
      <c r="CA207" s="832"/>
      <c r="CB207" s="832"/>
      <c r="CC207" s="832"/>
      <c r="CD207" s="832"/>
      <c r="CE207" s="832"/>
      <c r="CF207" s="832"/>
      <c r="CG207" s="832"/>
      <c r="CH207" s="832"/>
      <c r="CI207" s="399"/>
      <c r="CJ207" s="398">
        <f t="shared" si="6"/>
        <v>0</v>
      </c>
      <c r="CK207" s="398">
        <f t="shared" si="0"/>
        <v>0</v>
      </c>
      <c r="CL207" s="853"/>
      <c r="CM207" s="398">
        <f t="shared" si="7"/>
        <v>0</v>
      </c>
      <c r="CN207" s="398">
        <f t="shared" si="8"/>
        <v>0</v>
      </c>
      <c r="CO207" s="398">
        <f t="shared" si="9"/>
        <v>0</v>
      </c>
      <c r="CP207" s="398">
        <f t="shared" si="10"/>
        <v>0</v>
      </c>
      <c r="CQ207" s="398">
        <f t="shared" si="11"/>
        <v>0</v>
      </c>
      <c r="CR207" s="846"/>
      <c r="CS207"/>
      <c r="CT207"/>
      <c r="CU207"/>
      <c r="CV207"/>
      <c r="CW207"/>
      <c r="CX207"/>
      <c r="CY207"/>
      <c r="CZ207"/>
      <c r="DA207"/>
      <c r="DB207"/>
      <c r="DC207"/>
      <c r="DD207"/>
      <c r="DE207"/>
      <c r="DF207" s="77"/>
      <c r="DG207" s="77"/>
      <c r="DH207" s="77"/>
      <c r="DI207" s="77"/>
      <c r="DJ207" s="77"/>
      <c r="DK207" s="77"/>
      <c r="DL207" s="77"/>
      <c r="DM207" s="77"/>
      <c r="DN207" s="77"/>
      <c r="DO207" s="381"/>
      <c r="DP207" s="77"/>
      <c r="DQ207" s="77"/>
      <c r="DR207" s="77"/>
      <c r="DS207" s="77"/>
      <c r="DT207" s="77"/>
      <c r="DU207" s="39"/>
      <c r="DV207" s="39"/>
      <c r="DW207" s="39"/>
      <c r="DX207" s="39"/>
      <c r="DY207" s="39"/>
      <c r="DZ207" s="39"/>
      <c r="EA207" s="39"/>
      <c r="EB207" s="39"/>
      <c r="EC207" s="39"/>
      <c r="ED207" s="39"/>
      <c r="EE207" s="39"/>
      <c r="EF207" s="39"/>
      <c r="EG207" s="39"/>
      <c r="EH207" s="39"/>
      <c r="EI207" s="39"/>
      <c r="EJ207" s="39"/>
      <c r="EK207" s="39"/>
      <c r="EL207" s="39"/>
      <c r="EM207" s="39"/>
      <c r="EN207" s="39"/>
      <c r="EO207" s="39"/>
      <c r="EP207" s="39"/>
      <c r="EQ207" s="39"/>
      <c r="ER207" s="39"/>
      <c r="ES207" s="39"/>
      <c r="ET207" s="39"/>
      <c r="EU207" s="39"/>
      <c r="EV207" s="39"/>
    </row>
    <row r="208" spans="2:152">
      <c r="H208" s="388" t="s">
        <v>3149</v>
      </c>
      <c r="Y208" s="386"/>
      <c r="Z208" s="386"/>
      <c r="AA208" s="386"/>
      <c r="AB208" s="386"/>
      <c r="AC208" s="386"/>
      <c r="AD208" s="386"/>
      <c r="AE208" s="386"/>
      <c r="AF208" s="386"/>
      <c r="AG208" s="386"/>
      <c r="AH208" s="386"/>
      <c r="AI208" s="386"/>
      <c r="AJ208" s="386"/>
      <c r="AK208" s="386"/>
      <c r="AL208" s="386"/>
      <c r="AM208" s="386"/>
      <c r="AN208" s="386"/>
      <c r="AO208" s="386"/>
      <c r="AP208" s="386"/>
      <c r="AQ208" s="386"/>
      <c r="AR208" s="386"/>
      <c r="AS208" s="386"/>
      <c r="AT208" s="386"/>
      <c r="AU208" s="386"/>
      <c r="AV208" s="386"/>
      <c r="AW208" s="386"/>
      <c r="AX208" s="386"/>
      <c r="AY208" s="386"/>
      <c r="AZ208" s="386"/>
      <c r="BA208" s="386"/>
      <c r="BB208" s="386"/>
      <c r="BC208" s="386"/>
      <c r="BD208" s="386"/>
      <c r="BE208" s="386"/>
      <c r="BF208" s="386"/>
      <c r="BG208" s="386"/>
      <c r="BH208" s="386"/>
      <c r="BI208" s="386"/>
      <c r="BJ208" s="386"/>
      <c r="BK208" s="386"/>
      <c r="BL208" s="386"/>
      <c r="BM208" s="386"/>
      <c r="BN208" s="386"/>
      <c r="BO208" s="386"/>
      <c r="BP208" s="386"/>
      <c r="BQ208" s="386"/>
      <c r="BR208" s="386"/>
      <c r="BS208" s="386"/>
      <c r="BT208" s="386"/>
      <c r="BU208" s="386"/>
      <c r="BV208" s="386"/>
      <c r="BW208" s="386"/>
      <c r="BX208" s="386"/>
      <c r="BY208" s="386"/>
      <c r="BZ208" s="386"/>
      <c r="CA208" s="386"/>
      <c r="CB208" s="386"/>
      <c r="CC208" s="386"/>
      <c r="CD208" s="386"/>
      <c r="CE208" s="386"/>
      <c r="CF208" s="386"/>
      <c r="CG208" s="386"/>
      <c r="CH208" s="386"/>
      <c r="CI208" s="386"/>
      <c r="CJ208" s="386"/>
      <c r="CK208" s="386"/>
      <c r="CL208" s="386"/>
      <c r="CM208" s="386"/>
      <c r="CN208" s="386"/>
      <c r="CO208" s="386"/>
      <c r="CP208" s="386"/>
      <c r="CQ208" s="386"/>
      <c r="CS208"/>
      <c r="CT208"/>
      <c r="CU208"/>
      <c r="CV208"/>
      <c r="CW208"/>
      <c r="CX208"/>
      <c r="CY208"/>
      <c r="CZ208"/>
      <c r="DA208"/>
      <c r="DB208"/>
      <c r="DC208"/>
      <c r="DD208"/>
      <c r="DE208"/>
    </row>
    <row r="209" spans="1:152" s="39" customFormat="1">
      <c r="A209" s="38"/>
      <c r="B209" s="38"/>
      <c r="C209" s="497" t="str">
        <f>F209 &amp; ".0"</f>
        <v>.0</v>
      </c>
      <c r="D209"/>
      <c r="E209"/>
      <c r="F209" s="833"/>
      <c r="G209" s="835"/>
      <c r="H209" s="389" t="s">
        <v>1768</v>
      </c>
      <c r="I209" s="390" t="s">
        <v>1769</v>
      </c>
      <c r="J209" s="391"/>
      <c r="K209" s="391"/>
      <c r="L209" s="391"/>
      <c r="M209" s="391"/>
      <c r="N209" s="391"/>
      <c r="O209" s="391"/>
      <c r="P209" s="391"/>
      <c r="Q209" s="391"/>
      <c r="R209" s="391"/>
      <c r="S209" s="391"/>
      <c r="T209" s="391"/>
      <c r="U209" s="391"/>
      <c r="V209" s="391"/>
      <c r="W209" s="391"/>
      <c r="X209" s="391"/>
      <c r="Y209" s="398">
        <f>IF((AG209+AQ209)&gt;0,(Y210*(AG210+AQ210)+Y211*(AG211+AQ211)+Y212*(AG212+AQ212)+Y213*(AG213+AQ213)+Y222*(AG222+AQ222)+Y223*(AG223+AQ223))/(AG209+AQ209),0)</f>
        <v>0</v>
      </c>
      <c r="Z209" s="398">
        <f>IF(D209="нет",Y209,Y209*1.18)</f>
        <v>0</v>
      </c>
      <c r="AA209" s="117"/>
      <c r="AB209" s="117"/>
      <c r="AC209" s="398">
        <f>IF(AG209&gt;0,(AW209*BA209+BL209*BP209+CA209*CE209)/AG209,0)</f>
        <v>0</v>
      </c>
      <c r="AD209" s="398">
        <f>IF(D209="нет",AC209,AC209*1.18)</f>
        <v>0</v>
      </c>
      <c r="AE209" s="398">
        <f>IF(AG209&gt;0,(AW209*BA209+BL209*BP209+CA209*CE209-AH209*AG209)/AG209,0)</f>
        <v>0</v>
      </c>
      <c r="AF209" s="398">
        <f>IF(D209="нет",AE209,AE209*1.18)</f>
        <v>0</v>
      </c>
      <c r="AG209" s="398">
        <f t="shared" ref="AG209:AG223" si="12">BA209+BP209+CE209</f>
        <v>0</v>
      </c>
      <c r="AH209" s="398">
        <f>IF(AG209&gt;0,(AH210*AG210+AH211*AG211+AH212*AG212+AH213*AG213+AH222*AG222+AH223*AG223)/AG209,0)</f>
        <v>0</v>
      </c>
      <c r="AI209" s="398">
        <f>IF(D209="нет",AH209,AH209*1.18)</f>
        <v>0</v>
      </c>
      <c r="AJ209" s="117"/>
      <c r="AK209" s="117"/>
      <c r="AL209" s="117"/>
      <c r="AM209" s="398">
        <f>IF($AQ209&gt;0,(AM210*$AQ210+AM211*$AQ211+AM212*$AQ212+AM213*$AQ213+AM222*$AQ222+AM223*$AQ223)/$AQ209,0)</f>
        <v>0</v>
      </c>
      <c r="AN209" s="398">
        <f>IF(D209="нет",AM209,AM209*1.18)</f>
        <v>0</v>
      </c>
      <c r="AO209" s="398">
        <f>IF($AQ209&gt;0,(AO210*$AQ210+AO211*$AQ211+AO212*$AQ212+AO213*$AQ213+AO222*$AQ222+AO223*$AQ223)/$AQ209,0)</f>
        <v>0</v>
      </c>
      <c r="AP209" s="398">
        <f>IF($D209="нет",AO209,AO209*1.18)</f>
        <v>0</v>
      </c>
      <c r="AQ209" s="398">
        <f>AQ210+AQ211+AQ212+AQ213+AQ222+AQ223</f>
        <v>0</v>
      </c>
      <c r="AR209" s="837"/>
      <c r="AS209" s="838"/>
      <c r="AT209" s="838"/>
      <c r="AU209" s="838"/>
      <c r="AV209" s="839"/>
      <c r="AW209" s="398">
        <f t="shared" ref="AW209:AW223" si="13">IF(BA209&gt;0,((AY209*BA209)+(1000*$I$3*BB209*BD209))/BA209,0)</f>
        <v>0</v>
      </c>
      <c r="AX209" s="398">
        <f t="shared" ref="AX209:AX223" si="14">IF(BA209&gt;0,((AZ209*BA209)+(1000*$I$3*BC209*BD209))/BA209,0)</f>
        <v>0</v>
      </c>
      <c r="AY209" s="398">
        <f>IF(BA209&gt;0,(AY210*BA210+AY211*BA211+AY212*BA212+AY213*BA213+AY222*BA222+AY223*BA223)/BA209,0)</f>
        <v>0</v>
      </c>
      <c r="AZ209" s="398">
        <f>IF(D209="нет",AY209,AY209*1.18)</f>
        <v>0</v>
      </c>
      <c r="BA209" s="398">
        <f>BA210+BA211+BA212+BA213+BA222+BA223</f>
        <v>0</v>
      </c>
      <c r="BB209" s="398">
        <f>IF(BD209&gt;0,(BB210*BD210+BB211*BD211+BB212*BD212+BB213*BD213+BB222*BD222+BB223*BD223)/BD209,0)</f>
        <v>0</v>
      </c>
      <c r="BC209" s="398">
        <f>IF(D209="нет",BB209,BB209*1.18)</f>
        <v>0</v>
      </c>
      <c r="BD209" s="398">
        <f>BD210+BD211+BD212+BD213+BD222+BD223</f>
        <v>0</v>
      </c>
      <c r="BE209" s="398">
        <f>BE210+BE211+BE212+BE213+BE222+BE223</f>
        <v>0</v>
      </c>
      <c r="BF209" s="398">
        <f>IF(BA209=0,0,1000*BE209/BA209)</f>
        <v>0</v>
      </c>
      <c r="BG209" s="837"/>
      <c r="BH209" s="838"/>
      <c r="BI209" s="838"/>
      <c r="BJ209" s="838"/>
      <c r="BK209" s="839"/>
      <c r="BL209" s="398">
        <f t="shared" ref="BL209:BL223" si="15">IF(BP209&gt;0,((BN209*BP209)+(1000*$I$3*BQ209*BS209))/BP209,0)</f>
        <v>0</v>
      </c>
      <c r="BM209" s="398">
        <f t="shared" ref="BM209:BM223" si="16">IF(BP209&gt;0,((BO209*BP209)+(1000*$I$3*BR209*BS209))/BP209,0)</f>
        <v>0</v>
      </c>
      <c r="BN209" s="398">
        <f>IF(BP209&gt;0,(BN210*BP210+BN211*BP211+BN212*BP212+BN213*BP213+BN222*BP222+BN223*BP223)/BP209,0)</f>
        <v>0</v>
      </c>
      <c r="BO209" s="398">
        <f>IF(D209="нет",BN209,BN209*1.18)</f>
        <v>0</v>
      </c>
      <c r="BP209" s="398">
        <f>BP210+BP211+BP212+BP213+BP222+BP223</f>
        <v>0</v>
      </c>
      <c r="BQ209" s="398">
        <f>IF(BS209&gt;0,(BQ210*BS210+BQ211*BS211+BQ212*BS212+BQ213*BS213+BQ222*BS222+BQ223*BS223)/BS209,0)</f>
        <v>0</v>
      </c>
      <c r="BR209" s="398">
        <f>IF(D209="нет",BQ209,BQ209*1.18)</f>
        <v>0</v>
      </c>
      <c r="BS209" s="398">
        <f>BS210+BS211+BS212+BS213+BS222+BS223</f>
        <v>0</v>
      </c>
      <c r="BT209" s="398">
        <f>BT210+BT211+BT212+BT213+BT222+BT223</f>
        <v>0</v>
      </c>
      <c r="BU209" s="398">
        <f>IF(BP209=0,0,1000*BT209/BP209)</f>
        <v>0</v>
      </c>
      <c r="BV209" s="837"/>
      <c r="BW209" s="838"/>
      <c r="BX209" s="838"/>
      <c r="BY209" s="838"/>
      <c r="BZ209" s="839"/>
      <c r="CA209" s="398">
        <f t="shared" ref="CA209:CA223" si="17">IF(CE209&gt;0,((CC209*CE209)+(1000*$I$3*CF209*CH209))/CE209,0)</f>
        <v>0</v>
      </c>
      <c r="CB209" s="398">
        <f t="shared" ref="CB209:CB223" si="18">IF(CE209&gt;0,((CD209*CE209)+(1000*$I$3*CG209*CH209))/CE209,0)</f>
        <v>0</v>
      </c>
      <c r="CC209" s="398">
        <f>IF(CE209&gt;0,(CC210*CE210+CC211*CE211+CC212*CE212+CC213*CE213+CC222*CE222+CC223*CE223)/CE209,0)</f>
        <v>0</v>
      </c>
      <c r="CD209" s="398">
        <f>IF(D209="нет",CC209,CC209*1.18)</f>
        <v>0</v>
      </c>
      <c r="CE209" s="398">
        <f>CE210+CE211+CE212+CE213+CE222+CE223</f>
        <v>0</v>
      </c>
      <c r="CF209" s="398">
        <f>IF(CH209&gt;0,(CF210*CH210+CF211*CH211+CF212*CH212+CF213*CH213+CF222*CH222+CF223*CH223)/CH209,0)</f>
        <v>0</v>
      </c>
      <c r="CG209" s="398">
        <f>IF(D209="нет",CF209,CF209*1.18)</f>
        <v>0</v>
      </c>
      <c r="CH209" s="398">
        <f>CH210+CH211+CH212+CH213+CH222+CH223</f>
        <v>0</v>
      </c>
      <c r="CI209" s="398">
        <f>CI210+CI211+CI212+CI213+CI222+CI223</f>
        <v>0</v>
      </c>
      <c r="CJ209" s="398">
        <f>IF(CE209=0,0,1000*CI209/CE209)</f>
        <v>0</v>
      </c>
      <c r="CK209" s="398">
        <f t="shared" ref="CK209:CK223" si="19">BE209+BT209+CI209</f>
        <v>0</v>
      </c>
      <c r="CL209" s="398">
        <f>SUM(CN210:CQ211,CN214:CQ223)</f>
        <v>0</v>
      </c>
      <c r="CM209" s="398">
        <f>SUMIF(CN209:CQ209,"&gt;0")</f>
        <v>0</v>
      </c>
      <c r="CN209" s="398">
        <f>SUMIF(CN210:CN211,"&gt;0")+SUMIF(CN214:CN223,"&gt;0")</f>
        <v>0</v>
      </c>
      <c r="CO209" s="398">
        <f>SUMIF(CO210:CO211,"&gt;0")+SUMIF(CO214:CO223,"&gt;0")</f>
        <v>0</v>
      </c>
      <c r="CP209" s="398">
        <f>SUMIF(CP210:CP211,"&gt;0")+SUMIF(CP214:CP223,"&gt;0")</f>
        <v>0</v>
      </c>
      <c r="CQ209" s="398">
        <f>SUMIF(CQ210:CQ211,"&gt;0")+SUMIF(CQ214:CQ223,"&gt;0")</f>
        <v>0</v>
      </c>
      <c r="CR209" s="847"/>
      <c r="CS209"/>
      <c r="CT209"/>
      <c r="CU209"/>
      <c r="CV209"/>
      <c r="CW209"/>
      <c r="CX209"/>
      <c r="CY209"/>
      <c r="CZ209"/>
      <c r="DA209"/>
      <c r="DB209"/>
      <c r="DC209"/>
      <c r="DD209"/>
      <c r="DE209"/>
      <c r="DF209" s="80">
        <f>AH209*AG209</f>
        <v>0</v>
      </c>
      <c r="DG209" s="80">
        <f>AI209*AG209</f>
        <v>0</v>
      </c>
      <c r="DH209" s="80">
        <f>AM209*AQ209</f>
        <v>0</v>
      </c>
      <c r="DI209" s="80">
        <f>AN209*AQ209</f>
        <v>0</v>
      </c>
      <c r="DJ209" s="80">
        <f>AR209*AV209</f>
        <v>0</v>
      </c>
      <c r="DK209" s="80">
        <f>AS209*AV209</f>
        <v>0</v>
      </c>
      <c r="DL209" s="80">
        <f>BG209*BK209</f>
        <v>0</v>
      </c>
      <c r="DM209" s="80">
        <f>BH209*BK209</f>
        <v>0</v>
      </c>
      <c r="DN209" s="80">
        <f>BV209*BZ209</f>
        <v>0</v>
      </c>
      <c r="DO209" s="80">
        <f>BW209*BZ209</f>
        <v>0</v>
      </c>
      <c r="DP209" s="382">
        <f>AW209*BA209</f>
        <v>0</v>
      </c>
      <c r="DQ209" s="382">
        <f>AX209*BA209</f>
        <v>0</v>
      </c>
      <c r="DR209" s="382">
        <f>AY209*BA209</f>
        <v>0</v>
      </c>
      <c r="DS209" s="382">
        <f>AZ209*BA209</f>
        <v>0</v>
      </c>
      <c r="DT209" s="382">
        <f>BB209*BD209</f>
        <v>0</v>
      </c>
      <c r="DU209" s="382">
        <f>BC209*BD209</f>
        <v>0</v>
      </c>
      <c r="DV209" s="382">
        <f>BL209*BP209</f>
        <v>0</v>
      </c>
      <c r="DW209" s="382">
        <f>BM209*BP209</f>
        <v>0</v>
      </c>
      <c r="DX209" s="382">
        <f>BN209*BP209</f>
        <v>0</v>
      </c>
      <c r="DY209" s="382">
        <f>BO209*BP209</f>
        <v>0</v>
      </c>
      <c r="DZ209" s="382">
        <f>BQ209*BS209</f>
        <v>0</v>
      </c>
      <c r="EA209" s="382">
        <f>BR209*BS209</f>
        <v>0</v>
      </c>
      <c r="EB209" s="382">
        <f>CA209*CE209</f>
        <v>0</v>
      </c>
      <c r="EC209" s="382">
        <f>CB209*CE209</f>
        <v>0</v>
      </c>
      <c r="ED209" s="382">
        <f>CC209*CE209</f>
        <v>0</v>
      </c>
      <c r="EE209" s="382">
        <f>CD209*CE209</f>
        <v>0</v>
      </c>
      <c r="EF209" s="382">
        <f>CF209*CH209</f>
        <v>0</v>
      </c>
      <c r="EG209" s="382">
        <f>CG209*CH209</f>
        <v>0</v>
      </c>
      <c r="EH209" s="383">
        <f>Y209*(AG209+AQ209)</f>
        <v>0</v>
      </c>
      <c r="EI209" s="383">
        <f>Z209*(AG209+AQ209)</f>
        <v>0</v>
      </c>
      <c r="EJ209" s="80">
        <f>AO209*AQ209</f>
        <v>0</v>
      </c>
      <c r="EK209" s="80">
        <f>AP209*AQ209</f>
        <v>0</v>
      </c>
      <c r="EL209" s="80">
        <f>AT209*AV209</f>
        <v>0</v>
      </c>
      <c r="EM209" s="80">
        <f>AU209*AV209</f>
        <v>0</v>
      </c>
      <c r="EN209" s="80">
        <f>BI209*BK209</f>
        <v>0</v>
      </c>
      <c r="EO209" s="80">
        <f>BJ209*BK209</f>
        <v>0</v>
      </c>
      <c r="EP209" s="80">
        <f>BX209*BZ209</f>
        <v>0</v>
      </c>
      <c r="EQ209" s="80">
        <f>BY209*BZ209</f>
        <v>0</v>
      </c>
      <c r="ER209" s="383">
        <f>AJ209*AL209</f>
        <v>0</v>
      </c>
      <c r="ES209" s="383">
        <f>AK209*AL209</f>
        <v>0</v>
      </c>
      <c r="ET209" s="383">
        <f>IF(AV209+BA209&gt;0,(AR209*AV209+AW209*BA209)/(AV209+BA209),0)</f>
        <v>0</v>
      </c>
      <c r="EU209" s="383">
        <f>IF(BK209+BP209&gt;0,(BG209*BK209+BL209*BP209)/(BK209+BP209),0)</f>
        <v>0</v>
      </c>
      <c r="EV209" s="383">
        <f>IF(BZ209+CE209&gt;0,(BV209*BZ209+CA209*CE209)/(BZ209+CE209),0)</f>
        <v>0</v>
      </c>
    </row>
    <row r="210" spans="1:152" s="39" customFormat="1">
      <c r="A210" s="38"/>
      <c r="B210" s="38"/>
      <c r="C210" s="60"/>
      <c r="D210"/>
      <c r="E210"/>
      <c r="F210" s="833"/>
      <c r="G210" s="835"/>
      <c r="H210" s="836" t="s">
        <v>1775</v>
      </c>
      <c r="I210" s="393" t="s">
        <v>1776</v>
      </c>
      <c r="J210" s="391"/>
      <c r="K210" s="391"/>
      <c r="L210" s="391"/>
      <c r="M210" s="391"/>
      <c r="N210" s="391"/>
      <c r="O210" s="391"/>
      <c r="P210" s="391"/>
      <c r="Q210" s="391"/>
      <c r="R210" s="391"/>
      <c r="S210" s="391"/>
      <c r="T210" s="391"/>
      <c r="U210" s="391"/>
      <c r="V210" s="391"/>
      <c r="W210" s="391"/>
      <c r="X210" s="391"/>
      <c r="Y210" s="399"/>
      <c r="Z210" s="398">
        <f>IF(D209="нет",Y210,Y210*1.18)</f>
        <v>0</v>
      </c>
      <c r="AA210" s="117"/>
      <c r="AB210" s="117"/>
      <c r="AC210" s="398">
        <f t="shared" ref="AC210:AC223" si="20">IF(AG210&gt;0,(AW210*BA210+BL210*BP210+CA210*CE210)/AG210,0)</f>
        <v>0</v>
      </c>
      <c r="AD210" s="398">
        <f>IF(D209="нет",AC210,AC210*1.18)</f>
        <v>0</v>
      </c>
      <c r="AE210" s="398">
        <f t="shared" ref="AE210:AE223" si="21">IF(AG210&gt;0,(AW210*BA210+BL210*BP210+CA210*CE210-AH210*AG210)/AG210,0)</f>
        <v>0</v>
      </c>
      <c r="AF210" s="398">
        <f>IF(D209="нет",AE210,AE210*1.18)</f>
        <v>0</v>
      </c>
      <c r="AG210" s="398">
        <f>BA210+BP210+CE210</f>
        <v>0</v>
      </c>
      <c r="AH210" s="399"/>
      <c r="AI210" s="398">
        <f>IF(D209="нет",AH210,AH210*1.18)</f>
        <v>0</v>
      </c>
      <c r="AJ210" s="117"/>
      <c r="AK210" s="117"/>
      <c r="AL210" s="117"/>
      <c r="AM210" s="399"/>
      <c r="AN210" s="398">
        <f>IF(D209="нет",AM210,AM210*1.18)</f>
        <v>0</v>
      </c>
      <c r="AO210" s="399"/>
      <c r="AP210" s="398">
        <f>IF($D209="нет",AO210,AO210*1.18)</f>
        <v>0</v>
      </c>
      <c r="AQ210" s="399"/>
      <c r="AR210" s="840"/>
      <c r="AS210" s="841"/>
      <c r="AT210" s="841"/>
      <c r="AU210" s="841"/>
      <c r="AV210" s="842"/>
      <c r="AW210" s="398">
        <f t="shared" si="13"/>
        <v>0</v>
      </c>
      <c r="AX210" s="398">
        <f t="shared" si="14"/>
        <v>0</v>
      </c>
      <c r="AY210" s="399"/>
      <c r="AZ210" s="398">
        <f>IF(D209="нет",AY210,AY210*1.18)</f>
        <v>0</v>
      </c>
      <c r="BA210" s="399"/>
      <c r="BB210" s="399"/>
      <c r="BC210" s="398">
        <f>IF(D209="нет",BB210,BB210*1.18)</f>
        <v>0</v>
      </c>
      <c r="BD210" s="399"/>
      <c r="BE210" s="399"/>
      <c r="BF210" s="398">
        <f>IF(BA210=0,0,1000*BE210/BA210)</f>
        <v>0</v>
      </c>
      <c r="BG210" s="840"/>
      <c r="BH210" s="841"/>
      <c r="BI210" s="841"/>
      <c r="BJ210" s="841"/>
      <c r="BK210" s="842"/>
      <c r="BL210" s="398">
        <f t="shared" si="15"/>
        <v>0</v>
      </c>
      <c r="BM210" s="398">
        <f t="shared" si="16"/>
        <v>0</v>
      </c>
      <c r="BN210" s="399"/>
      <c r="BO210" s="398">
        <f>IF(D209="нет",BN210,BN210*1.18)</f>
        <v>0</v>
      </c>
      <c r="BP210" s="399"/>
      <c r="BQ210" s="399"/>
      <c r="BR210" s="398">
        <f>IF(D209="нет",BQ210,BQ210*1.18)</f>
        <v>0</v>
      </c>
      <c r="BS210" s="399"/>
      <c r="BT210" s="399"/>
      <c r="BU210" s="398">
        <f>IF(BP210=0,0,1000*BT210/BP210)</f>
        <v>0</v>
      </c>
      <c r="BV210" s="840"/>
      <c r="BW210" s="841"/>
      <c r="BX210" s="841"/>
      <c r="BY210" s="841"/>
      <c r="BZ210" s="842"/>
      <c r="CA210" s="398">
        <f t="shared" si="17"/>
        <v>0</v>
      </c>
      <c r="CB210" s="398">
        <f t="shared" si="18"/>
        <v>0</v>
      </c>
      <c r="CC210" s="399"/>
      <c r="CD210" s="398">
        <f>IF(D209="нет",CC210,CC210*1.18)</f>
        <v>0</v>
      </c>
      <c r="CE210" s="399"/>
      <c r="CF210" s="399"/>
      <c r="CG210" s="398">
        <f>IF(D209="нет",CF210,CF210*1.18)</f>
        <v>0</v>
      </c>
      <c r="CH210" s="399"/>
      <c r="CI210" s="399"/>
      <c r="CJ210" s="398">
        <f>IF(CE210=0,0,1000*CI210/CE210)</f>
        <v>0</v>
      </c>
      <c r="CK210" s="398">
        <f t="shared" si="19"/>
        <v>0</v>
      </c>
      <c r="CL210" s="850" t="str">
        <f>IF(OR(CL209&gt;10,CL209&lt;-10),"нет","да")</f>
        <v>да</v>
      </c>
      <c r="CM210" s="398">
        <f t="shared" ref="CM210:CM223" si="22">SUMIF(CN210:CQ210,"&gt;0")</f>
        <v>0</v>
      </c>
      <c r="CN210" s="398">
        <f t="shared" ref="CN210:CN223" si="23">(Y210-AM210)*AQ210/1000</f>
        <v>0</v>
      </c>
      <c r="CO210" s="398">
        <f t="shared" ref="CO210:CO223" si="24">(Y210-(AW210+BF210))*BA210/1000</f>
        <v>0</v>
      </c>
      <c r="CP210" s="398">
        <f t="shared" ref="CP210:CP223" si="25">(Y210-(BL210+BU210))*BP210/1000</f>
        <v>0</v>
      </c>
      <c r="CQ210" s="398">
        <f t="shared" ref="CQ210:CQ223" si="26">(Y210-(CA210+CJ210))*CE210/1000</f>
        <v>0</v>
      </c>
      <c r="CR210" s="848"/>
      <c r="CS210"/>
      <c r="CT210"/>
      <c r="CU210"/>
      <c r="CV210"/>
      <c r="CW210"/>
      <c r="CX210"/>
      <c r="CY210"/>
      <c r="CZ210"/>
      <c r="DA210"/>
      <c r="DB210"/>
      <c r="DC210"/>
      <c r="DD210"/>
      <c r="DE210"/>
      <c r="DF210" s="80"/>
      <c r="DG210" s="78"/>
      <c r="DH210" s="78"/>
      <c r="DI210" s="78"/>
      <c r="DJ210" s="78"/>
      <c r="DK210" s="78"/>
      <c r="DL210" s="78"/>
      <c r="DM210" s="78"/>
      <c r="DN210" s="77"/>
      <c r="DO210" s="381"/>
      <c r="DP210" s="77"/>
      <c r="DQ210" s="77"/>
      <c r="DR210" s="77"/>
      <c r="DS210" s="77"/>
      <c r="DT210" s="77"/>
    </row>
    <row r="211" spans="1:152" s="39" customFormat="1">
      <c r="A211" s="38"/>
      <c r="B211" s="38"/>
      <c r="C211" s="60"/>
      <c r="D211"/>
      <c r="E211"/>
      <c r="F211" s="833"/>
      <c r="G211" s="835"/>
      <c r="H211" s="836"/>
      <c r="I211" s="393" t="s">
        <v>1777</v>
      </c>
      <c r="J211" s="391"/>
      <c r="K211" s="391"/>
      <c r="L211" s="391"/>
      <c r="M211" s="391"/>
      <c r="N211" s="391"/>
      <c r="O211" s="391"/>
      <c r="P211" s="391"/>
      <c r="Q211" s="391"/>
      <c r="R211" s="391"/>
      <c r="S211" s="391"/>
      <c r="T211" s="391"/>
      <c r="U211" s="391"/>
      <c r="V211" s="391"/>
      <c r="W211" s="391"/>
      <c r="X211" s="391"/>
      <c r="Y211" s="399"/>
      <c r="Z211" s="398">
        <f>IF(D209="нет",Y211,Y211*1.18)</f>
        <v>0</v>
      </c>
      <c r="AA211" s="117"/>
      <c r="AB211" s="117"/>
      <c r="AC211" s="398">
        <f t="shared" si="20"/>
        <v>0</v>
      </c>
      <c r="AD211" s="398">
        <f>IF(D209="нет",AC211,AC211*1.18)</f>
        <v>0</v>
      </c>
      <c r="AE211" s="398">
        <f t="shared" si="21"/>
        <v>0</v>
      </c>
      <c r="AF211" s="398">
        <f>IF(D209="нет",AE211,AE211*1.18)</f>
        <v>0</v>
      </c>
      <c r="AG211" s="398">
        <f t="shared" si="12"/>
        <v>0</v>
      </c>
      <c r="AH211" s="399"/>
      <c r="AI211" s="398">
        <f>IF(D209="нет",AH211,AH211*1.18)</f>
        <v>0</v>
      </c>
      <c r="AJ211" s="117"/>
      <c r="AK211" s="117"/>
      <c r="AL211" s="117"/>
      <c r="AM211" s="399"/>
      <c r="AN211" s="398">
        <f>IF(D209="нет",AM211,AM211*1.18)</f>
        <v>0</v>
      </c>
      <c r="AO211" s="399"/>
      <c r="AP211" s="398">
        <f>IF($D209="нет",AO211,AO211*1.18)</f>
        <v>0</v>
      </c>
      <c r="AQ211" s="399"/>
      <c r="AR211" s="840"/>
      <c r="AS211" s="841"/>
      <c r="AT211" s="841"/>
      <c r="AU211" s="841"/>
      <c r="AV211" s="842"/>
      <c r="AW211" s="398">
        <f t="shared" si="13"/>
        <v>0</v>
      </c>
      <c r="AX211" s="398">
        <f t="shared" si="14"/>
        <v>0</v>
      </c>
      <c r="AY211" s="399"/>
      <c r="AZ211" s="398">
        <f>IF(D209="нет",AY211,AY211*1.18)</f>
        <v>0</v>
      </c>
      <c r="BA211" s="399"/>
      <c r="BB211" s="399"/>
      <c r="BC211" s="398">
        <f>IF(D209="нет",BB211,BB211*1.18)</f>
        <v>0</v>
      </c>
      <c r="BD211" s="399"/>
      <c r="BE211" s="399"/>
      <c r="BF211" s="398">
        <f t="shared" ref="BF211:BF223" si="27">IF(BA211=0,0,1000*BE211/BA211)</f>
        <v>0</v>
      </c>
      <c r="BG211" s="840"/>
      <c r="BH211" s="841"/>
      <c r="BI211" s="841"/>
      <c r="BJ211" s="841"/>
      <c r="BK211" s="842"/>
      <c r="BL211" s="398">
        <f t="shared" si="15"/>
        <v>0</v>
      </c>
      <c r="BM211" s="398">
        <f t="shared" si="16"/>
        <v>0</v>
      </c>
      <c r="BN211" s="399"/>
      <c r="BO211" s="398">
        <f>IF(D209="нет",BN211,BN211*1.18)</f>
        <v>0</v>
      </c>
      <c r="BP211" s="399"/>
      <c r="BQ211" s="399"/>
      <c r="BR211" s="398">
        <f>IF(D209="нет",BQ211,BQ211*1.18)</f>
        <v>0</v>
      </c>
      <c r="BS211" s="399"/>
      <c r="BT211" s="399"/>
      <c r="BU211" s="398">
        <f t="shared" ref="BU211:BU223" si="28">IF(BP211=0,0,1000*BT211/BP211)</f>
        <v>0</v>
      </c>
      <c r="BV211" s="840"/>
      <c r="BW211" s="841"/>
      <c r="BX211" s="841"/>
      <c r="BY211" s="841"/>
      <c r="BZ211" s="842"/>
      <c r="CA211" s="398">
        <f t="shared" si="17"/>
        <v>0</v>
      </c>
      <c r="CB211" s="398">
        <f t="shared" si="18"/>
        <v>0</v>
      </c>
      <c r="CC211" s="399"/>
      <c r="CD211" s="398">
        <f>IF(D209="нет",CC211,CC211*1.18)</f>
        <v>0</v>
      </c>
      <c r="CE211" s="399"/>
      <c r="CF211" s="399"/>
      <c r="CG211" s="398">
        <f>IF(D209="нет",CF211,CF211*1.18)</f>
        <v>0</v>
      </c>
      <c r="CH211" s="399"/>
      <c r="CI211" s="399"/>
      <c r="CJ211" s="398">
        <f t="shared" ref="CJ211:CJ223" si="29">IF(CE211=0,0,1000*CI211/CE211)</f>
        <v>0</v>
      </c>
      <c r="CK211" s="398">
        <f t="shared" si="19"/>
        <v>0</v>
      </c>
      <c r="CL211" s="851"/>
      <c r="CM211" s="398">
        <f t="shared" si="22"/>
        <v>0</v>
      </c>
      <c r="CN211" s="398">
        <f t="shared" si="23"/>
        <v>0</v>
      </c>
      <c r="CO211" s="398">
        <f t="shared" si="24"/>
        <v>0</v>
      </c>
      <c r="CP211" s="398">
        <f t="shared" si="25"/>
        <v>0</v>
      </c>
      <c r="CQ211" s="398">
        <f t="shared" si="26"/>
        <v>0</v>
      </c>
      <c r="CR211" s="848"/>
      <c r="CS211"/>
      <c r="CT211"/>
      <c r="CU211"/>
      <c r="CV211"/>
      <c r="CW211"/>
      <c r="CX211"/>
      <c r="CY211"/>
      <c r="CZ211"/>
      <c r="DA211"/>
      <c r="DB211"/>
      <c r="DC211"/>
      <c r="DD211"/>
      <c r="DE211"/>
      <c r="DF211" s="80"/>
      <c r="DG211" s="78"/>
      <c r="DH211" s="78"/>
      <c r="DI211" s="78"/>
      <c r="DJ211" s="78"/>
      <c r="DK211" s="78"/>
      <c r="DL211" s="78"/>
      <c r="DM211" s="78"/>
      <c r="DN211" s="77"/>
      <c r="DO211" s="381"/>
      <c r="DP211" s="77"/>
      <c r="DQ211" s="77"/>
      <c r="DR211" s="77"/>
      <c r="DS211" s="77"/>
      <c r="DT211" s="77"/>
    </row>
    <row r="212" spans="1:152" s="39" customFormat="1">
      <c r="A212" s="38"/>
      <c r="B212" s="38"/>
      <c r="C212" s="60"/>
      <c r="D212"/>
      <c r="E212"/>
      <c r="F212" s="833"/>
      <c r="G212" s="835"/>
      <c r="H212" s="836" t="s">
        <v>1778</v>
      </c>
      <c r="I212" s="393" t="s">
        <v>1776</v>
      </c>
      <c r="J212" s="391"/>
      <c r="K212" s="391"/>
      <c r="L212" s="391"/>
      <c r="M212" s="391"/>
      <c r="N212" s="391"/>
      <c r="O212" s="391"/>
      <c r="P212" s="391"/>
      <c r="Q212" s="391"/>
      <c r="R212" s="391"/>
      <c r="S212" s="391"/>
      <c r="T212" s="391"/>
      <c r="U212" s="391"/>
      <c r="V212" s="391"/>
      <c r="W212" s="391"/>
      <c r="X212" s="391"/>
      <c r="Y212" s="398">
        <f>IF((AG212+AQ212)&gt;0,(Y214*(AG214+AQ214)+Y216*(AG216+AQ216)+Y218*(AG218+AQ218)+Y220*(AG220+AQ220))/(AG212+AQ212),0)</f>
        <v>0</v>
      </c>
      <c r="Z212" s="398">
        <f>IF(D209="нет",Y212,Y212*1.18)</f>
        <v>0</v>
      </c>
      <c r="AA212" s="117"/>
      <c r="AB212" s="117"/>
      <c r="AC212" s="398">
        <f t="shared" si="20"/>
        <v>0</v>
      </c>
      <c r="AD212" s="398">
        <f>IF(D209="нет",AC212,AC212*1.18)</f>
        <v>0</v>
      </c>
      <c r="AE212" s="398">
        <f t="shared" si="21"/>
        <v>0</v>
      </c>
      <c r="AF212" s="398">
        <f>IF(D209="нет",AE212,AE212*1.18)</f>
        <v>0</v>
      </c>
      <c r="AG212" s="398">
        <f t="shared" si="12"/>
        <v>0</v>
      </c>
      <c r="AH212" s="398">
        <f>IF(AG212&gt;0,(AH214*AG214+AH216*AG216+AH218*AG218+AH220*AG220)/AG212,0)</f>
        <v>0</v>
      </c>
      <c r="AI212" s="398">
        <f>IF(D209="нет",AH212,AH212*1.18)</f>
        <v>0</v>
      </c>
      <c r="AJ212" s="117"/>
      <c r="AK212" s="117"/>
      <c r="AL212" s="117"/>
      <c r="AM212" s="398">
        <f>IF($AQ212&gt;0,(AM214*$AQ214+AM216*$AQ216+AM218*$AQ218+AM220*$AQ220)/$AQ212,0)</f>
        <v>0</v>
      </c>
      <c r="AN212" s="398">
        <f>IF(D209="нет",AM212,AM212*1.18)</f>
        <v>0</v>
      </c>
      <c r="AO212" s="398">
        <f>IF($AQ212&gt;0,(AO214*$AQ214+AO216*$AQ216+AO218*$AQ218+AO220*$AQ220)/$AQ212,0)</f>
        <v>0</v>
      </c>
      <c r="AP212" s="398">
        <f>IF($D209="нет",AO212,AO212*1.18)</f>
        <v>0</v>
      </c>
      <c r="AQ212" s="398">
        <f>AQ214+AQ216+AQ218+AQ220</f>
        <v>0</v>
      </c>
      <c r="AR212" s="840"/>
      <c r="AS212" s="841"/>
      <c r="AT212" s="841"/>
      <c r="AU212" s="841"/>
      <c r="AV212" s="842"/>
      <c r="AW212" s="398">
        <f t="shared" si="13"/>
        <v>0</v>
      </c>
      <c r="AX212" s="398">
        <f t="shared" si="14"/>
        <v>0</v>
      </c>
      <c r="AY212" s="398">
        <f>IF(BA212&gt;0,(AY214*BA214+AY216*BA216+AY218*BA218+AY220*BA220)/BA212,0)</f>
        <v>0</v>
      </c>
      <c r="AZ212" s="398">
        <f>IF(D209="нет",AY212,AY212*1.18)</f>
        <v>0</v>
      </c>
      <c r="BA212" s="398">
        <f>BA214+BA216+BA218+BA220</f>
        <v>0</v>
      </c>
      <c r="BB212" s="398">
        <f>IF(BD212&gt;0,(BB214*BD214+BB216*BD216+BB218*BD218+BB220*BD220)/BD212,0)</f>
        <v>0</v>
      </c>
      <c r="BC212" s="398">
        <f>IF(D209="нет",BB212,BB212*1.18)</f>
        <v>0</v>
      </c>
      <c r="BD212" s="398">
        <f>BD214+BD216+BD218+BD220</f>
        <v>0</v>
      </c>
      <c r="BE212" s="398">
        <f>BE214+BE216+BE218+BE220</f>
        <v>0</v>
      </c>
      <c r="BF212" s="398">
        <f t="shared" si="27"/>
        <v>0</v>
      </c>
      <c r="BG212" s="840"/>
      <c r="BH212" s="841"/>
      <c r="BI212" s="841"/>
      <c r="BJ212" s="841"/>
      <c r="BK212" s="842"/>
      <c r="BL212" s="398">
        <f t="shared" si="15"/>
        <v>0</v>
      </c>
      <c r="BM212" s="398">
        <f t="shared" si="16"/>
        <v>0</v>
      </c>
      <c r="BN212" s="398">
        <f>IF(BP212&gt;0,(BN214*BP214+BN216*BP216+BN218*BP218+BN220*BP220)/BP212,0)</f>
        <v>0</v>
      </c>
      <c r="BO212" s="398">
        <f>IF(D209="нет",BN212,BN212*1.18)</f>
        <v>0</v>
      </c>
      <c r="BP212" s="398">
        <f>BP214+BP216+BP218+BP220</f>
        <v>0</v>
      </c>
      <c r="BQ212" s="398">
        <f>IF(BS212&gt;0,(BQ214*BS214+BQ216*BS216+BQ218*BS218+BQ220*BS220)/BS212,0)</f>
        <v>0</v>
      </c>
      <c r="BR212" s="398">
        <f>IF(D209="нет",BQ212,BQ212*1.18)</f>
        <v>0</v>
      </c>
      <c r="BS212" s="398">
        <f>BS214+BS216+BS218+BS220</f>
        <v>0</v>
      </c>
      <c r="BT212" s="398">
        <f>BT214+BT216+BT218+BT220</f>
        <v>0</v>
      </c>
      <c r="BU212" s="398">
        <f t="shared" si="28"/>
        <v>0</v>
      </c>
      <c r="BV212" s="840"/>
      <c r="BW212" s="841"/>
      <c r="BX212" s="841"/>
      <c r="BY212" s="841"/>
      <c r="BZ212" s="842"/>
      <c r="CA212" s="398">
        <f t="shared" si="17"/>
        <v>0</v>
      </c>
      <c r="CB212" s="398">
        <f t="shared" si="18"/>
        <v>0</v>
      </c>
      <c r="CC212" s="398">
        <f>IF(CE212&gt;0,(CC214*CE214+CC216*CE216+CC218*CE218+CC220*CE220)/CE212,0)</f>
        <v>0</v>
      </c>
      <c r="CD212" s="398">
        <f>IF(D209="нет",CC212,CC212*1.18)</f>
        <v>0</v>
      </c>
      <c r="CE212" s="398">
        <f>CE214+CE216+CE218+CE220</f>
        <v>0</v>
      </c>
      <c r="CF212" s="398">
        <f>IF(CH212&gt;0,(CF214*CH214+CF216*CH216+CF218*CH218+CF220*CH220)/CH212,0)</f>
        <v>0</v>
      </c>
      <c r="CG212" s="398">
        <f>IF(D209="нет",CF212,CF212*1.18)</f>
        <v>0</v>
      </c>
      <c r="CH212" s="398">
        <f>CH214+CH216+CH218+CH220</f>
        <v>0</v>
      </c>
      <c r="CI212" s="398">
        <f>CI214+CI216+CI218+CI220</f>
        <v>0</v>
      </c>
      <c r="CJ212" s="398">
        <f t="shared" si="29"/>
        <v>0</v>
      </c>
      <c r="CK212" s="398">
        <f t="shared" si="19"/>
        <v>0</v>
      </c>
      <c r="CL212" s="851"/>
      <c r="CM212" s="398">
        <f t="shared" si="22"/>
        <v>0</v>
      </c>
      <c r="CN212" s="398">
        <f t="shared" si="23"/>
        <v>0</v>
      </c>
      <c r="CO212" s="398">
        <f t="shared" si="24"/>
        <v>0</v>
      </c>
      <c r="CP212" s="398">
        <f t="shared" si="25"/>
        <v>0</v>
      </c>
      <c r="CQ212" s="398">
        <f t="shared" si="26"/>
        <v>0</v>
      </c>
      <c r="CR212" s="848"/>
      <c r="CS212"/>
      <c r="CT212"/>
      <c r="CU212"/>
      <c r="CV212"/>
      <c r="CW212"/>
      <c r="CX212"/>
      <c r="CY212"/>
      <c r="CZ212"/>
      <c r="DA212"/>
      <c r="DB212"/>
      <c r="DC212"/>
      <c r="DD212"/>
      <c r="DE212"/>
      <c r="DF212" s="78"/>
      <c r="DG212" s="78"/>
      <c r="DH212" s="78"/>
      <c r="DI212" s="78"/>
      <c r="DJ212" s="78"/>
      <c r="DK212" s="78"/>
      <c r="DL212" s="78"/>
      <c r="DM212" s="78"/>
      <c r="DN212" s="77"/>
      <c r="DO212" s="381"/>
      <c r="DP212" s="77"/>
      <c r="DQ212" s="77"/>
      <c r="DR212" s="77"/>
      <c r="DS212" s="77"/>
      <c r="DT212" s="77"/>
    </row>
    <row r="213" spans="1:152" s="39" customFormat="1">
      <c r="A213" s="38"/>
      <c r="B213" s="38"/>
      <c r="C213" s="60"/>
      <c r="D213"/>
      <c r="E213"/>
      <c r="F213" s="833"/>
      <c r="G213" s="835"/>
      <c r="H213" s="836"/>
      <c r="I213" s="393" t="s">
        <v>1777</v>
      </c>
      <c r="J213" s="391"/>
      <c r="K213" s="391"/>
      <c r="L213" s="391"/>
      <c r="M213" s="391"/>
      <c r="N213" s="391"/>
      <c r="O213" s="391"/>
      <c r="P213" s="391"/>
      <c r="Q213" s="391"/>
      <c r="R213" s="391"/>
      <c r="S213" s="391"/>
      <c r="T213" s="391"/>
      <c r="U213" s="391"/>
      <c r="V213" s="391"/>
      <c r="W213" s="391"/>
      <c r="X213" s="391"/>
      <c r="Y213" s="398">
        <f>IF((AG213+AQ213)&gt;0,(Y215*(AG215+AQ215)+Y217*(AG217+AQ217)+Y219*(AG219+AQ219)+Y221*(AG221+AQ221))/(AG213+AQ213),0)</f>
        <v>0</v>
      </c>
      <c r="Z213" s="398">
        <f>IF(D209="нет",Y213,Y213*1.18)</f>
        <v>0</v>
      </c>
      <c r="AA213" s="117"/>
      <c r="AB213" s="117"/>
      <c r="AC213" s="398">
        <f t="shared" si="20"/>
        <v>0</v>
      </c>
      <c r="AD213" s="398">
        <f>IF(D209="нет",AC213,AC213*1.18)</f>
        <v>0</v>
      </c>
      <c r="AE213" s="398">
        <f t="shared" si="21"/>
        <v>0</v>
      </c>
      <c r="AF213" s="398">
        <f>IF(D209="нет",AE213,AE213*1.18)</f>
        <v>0</v>
      </c>
      <c r="AG213" s="398">
        <f t="shared" si="12"/>
        <v>0</v>
      </c>
      <c r="AH213" s="398">
        <f>IF(AG213&gt;0,(AH215*AG215+AH217*AG217+AH219*AG219+AH221*AG221)/AG213,0)</f>
        <v>0</v>
      </c>
      <c r="AI213" s="398">
        <f>IF(D209="нет",AH213,AH213*1.18)</f>
        <v>0</v>
      </c>
      <c r="AJ213" s="117"/>
      <c r="AK213" s="117"/>
      <c r="AL213" s="117"/>
      <c r="AM213" s="398">
        <f>IF($AQ213&gt;0,(AM215*$AQ215+AM217*$AQ217+AM219*$AQ219+AM221*$AQ221)/$AQ213,0)</f>
        <v>0</v>
      </c>
      <c r="AN213" s="398">
        <f>IF(D209="нет",AM213,AM213*1.18)</f>
        <v>0</v>
      </c>
      <c r="AO213" s="398">
        <f>IF($AQ213&gt;0,(AO215*$AQ215+AO217*$AQ217+AO219*$AQ219+AO221*$AQ221)/$AQ213,0)</f>
        <v>0</v>
      </c>
      <c r="AP213" s="398">
        <f>IF($D209="нет",AO213,AO213*1.18)</f>
        <v>0</v>
      </c>
      <c r="AQ213" s="398">
        <f>AQ215+AQ217+AQ219+AQ221</f>
        <v>0</v>
      </c>
      <c r="AR213" s="840"/>
      <c r="AS213" s="841"/>
      <c r="AT213" s="841"/>
      <c r="AU213" s="841"/>
      <c r="AV213" s="842"/>
      <c r="AW213" s="398">
        <f t="shared" si="13"/>
        <v>0</v>
      </c>
      <c r="AX213" s="398">
        <f t="shared" si="14"/>
        <v>0</v>
      </c>
      <c r="AY213" s="398">
        <f>IF(BA213&gt;0,(AY215*BA215+AY217*BA217+AY219*BA219+AY221*BA221)/BA213,0)</f>
        <v>0</v>
      </c>
      <c r="AZ213" s="398">
        <f>IF(D209="нет",AY213,AY213*1.18)</f>
        <v>0</v>
      </c>
      <c r="BA213" s="398">
        <f>BA215+BA217+BA219+BA221</f>
        <v>0</v>
      </c>
      <c r="BB213" s="398">
        <f>IF(BD213&gt;0,(BB215*BD215+BB217*BD217+BB219*BD219+BB221*BD221)/BD213,0)</f>
        <v>0</v>
      </c>
      <c r="BC213" s="398">
        <f>IF(D209="нет",BB213,BB213*1.18)</f>
        <v>0</v>
      </c>
      <c r="BD213" s="398">
        <f>BD215+BD217+BD219+BD221</f>
        <v>0</v>
      </c>
      <c r="BE213" s="398">
        <f>BE215+BE217+BE219+BE221</f>
        <v>0</v>
      </c>
      <c r="BF213" s="398">
        <f t="shared" si="27"/>
        <v>0</v>
      </c>
      <c r="BG213" s="840"/>
      <c r="BH213" s="841"/>
      <c r="BI213" s="841"/>
      <c r="BJ213" s="841"/>
      <c r="BK213" s="842"/>
      <c r="BL213" s="398">
        <f t="shared" si="15"/>
        <v>0</v>
      </c>
      <c r="BM213" s="398">
        <f t="shared" si="16"/>
        <v>0</v>
      </c>
      <c r="BN213" s="398">
        <f>IF(BP213&gt;0,(BN215*BP215+BN217*BP217+BN219*BP219+BN221*BP221)/BP213,0)</f>
        <v>0</v>
      </c>
      <c r="BO213" s="398">
        <f>IF(D209="нет",BN213,BN213*1.18)</f>
        <v>0</v>
      </c>
      <c r="BP213" s="398">
        <f>BP215+BP217+BP219+BP221</f>
        <v>0</v>
      </c>
      <c r="BQ213" s="398">
        <f>IF(BS213&gt;0,(BQ215*BS215+BQ217*BS217+BQ219*BS219+BQ221*BS221)/BS213,0)</f>
        <v>0</v>
      </c>
      <c r="BR213" s="398">
        <f>IF(D209="нет",BQ213,BQ213*1.18)</f>
        <v>0</v>
      </c>
      <c r="BS213" s="398">
        <f>BS215+BS217+BS219+BS221</f>
        <v>0</v>
      </c>
      <c r="BT213" s="398">
        <f>BT215+BT217+BT219+BT221</f>
        <v>0</v>
      </c>
      <c r="BU213" s="398">
        <f t="shared" si="28"/>
        <v>0</v>
      </c>
      <c r="BV213" s="840"/>
      <c r="BW213" s="841"/>
      <c r="BX213" s="841"/>
      <c r="BY213" s="841"/>
      <c r="BZ213" s="842"/>
      <c r="CA213" s="398">
        <f t="shared" si="17"/>
        <v>0</v>
      </c>
      <c r="CB213" s="398">
        <f t="shared" si="18"/>
        <v>0</v>
      </c>
      <c r="CC213" s="398">
        <f>IF(CE213&gt;0,(CC215*CE215+CC217*CE217+CC219*CE219+CC221*CE221)/CE213,0)</f>
        <v>0</v>
      </c>
      <c r="CD213" s="398">
        <f>IF(D209="нет",CC213,CC213*1.18)</f>
        <v>0</v>
      </c>
      <c r="CE213" s="398">
        <f>CE215+CE217+CE219+CE221</f>
        <v>0</v>
      </c>
      <c r="CF213" s="398">
        <f>IF(CH213&gt;0,(CF215*CH215+CF217*CH217+CF219*CH219+CF221*CH221)/CH213,0)</f>
        <v>0</v>
      </c>
      <c r="CG213" s="398">
        <f>IF(D209="нет",CF213,CF213*1.18)</f>
        <v>0</v>
      </c>
      <c r="CH213" s="398">
        <f>CH215+CH217+CH219+CH221</f>
        <v>0</v>
      </c>
      <c r="CI213" s="398">
        <f>CI215+CI217+CI219+CI221</f>
        <v>0</v>
      </c>
      <c r="CJ213" s="398">
        <f t="shared" si="29"/>
        <v>0</v>
      </c>
      <c r="CK213" s="398">
        <f t="shared" si="19"/>
        <v>0</v>
      </c>
      <c r="CL213" s="851"/>
      <c r="CM213" s="398">
        <f t="shared" si="22"/>
        <v>0</v>
      </c>
      <c r="CN213" s="398">
        <f t="shared" si="23"/>
        <v>0</v>
      </c>
      <c r="CO213" s="398">
        <f t="shared" si="24"/>
        <v>0</v>
      </c>
      <c r="CP213" s="398">
        <f t="shared" si="25"/>
        <v>0</v>
      </c>
      <c r="CQ213" s="398">
        <f t="shared" si="26"/>
        <v>0</v>
      </c>
      <c r="CR213" s="848"/>
      <c r="CS213"/>
      <c r="CT213"/>
      <c r="CU213"/>
      <c r="CV213"/>
      <c r="CW213"/>
      <c r="CX213"/>
      <c r="CY213"/>
      <c r="CZ213"/>
      <c r="DA213"/>
      <c r="DB213"/>
      <c r="DC213"/>
      <c r="DD213"/>
      <c r="DE213"/>
      <c r="DF213" s="78"/>
      <c r="DG213" s="78"/>
      <c r="DH213" s="78"/>
      <c r="DI213" s="78"/>
      <c r="DJ213" s="78"/>
      <c r="DK213" s="78"/>
      <c r="DL213" s="78"/>
      <c r="DM213" s="78"/>
      <c r="DN213" s="77"/>
      <c r="DO213" s="381"/>
      <c r="DP213" s="77"/>
      <c r="DQ213" s="77"/>
      <c r="DR213" s="77"/>
      <c r="DS213" s="77"/>
      <c r="DT213" s="77"/>
    </row>
    <row r="214" spans="1:152" s="39" customFormat="1">
      <c r="A214" s="38"/>
      <c r="B214" s="38"/>
      <c r="C214" s="60"/>
      <c r="D214"/>
      <c r="E214"/>
      <c r="F214" s="833"/>
      <c r="G214" s="835"/>
      <c r="H214" s="834" t="s">
        <v>1780</v>
      </c>
      <c r="I214" s="393" t="s">
        <v>1776</v>
      </c>
      <c r="J214" s="391"/>
      <c r="K214" s="391"/>
      <c r="L214" s="391"/>
      <c r="M214" s="391"/>
      <c r="N214" s="391"/>
      <c r="O214" s="391"/>
      <c r="P214" s="391"/>
      <c r="Q214" s="391"/>
      <c r="R214" s="391"/>
      <c r="S214" s="391"/>
      <c r="T214" s="391"/>
      <c r="U214" s="391"/>
      <c r="V214" s="391"/>
      <c r="W214" s="391"/>
      <c r="X214" s="391"/>
      <c r="Y214" s="399"/>
      <c r="Z214" s="398">
        <f>IF(D209="нет",Y214,Y214*1.18)</f>
        <v>0</v>
      </c>
      <c r="AA214" s="117"/>
      <c r="AB214" s="117"/>
      <c r="AC214" s="398">
        <f t="shared" si="20"/>
        <v>0</v>
      </c>
      <c r="AD214" s="398">
        <f>IF(D209="нет",AC214,AC214*1.18)</f>
        <v>0</v>
      </c>
      <c r="AE214" s="398">
        <f t="shared" si="21"/>
        <v>0</v>
      </c>
      <c r="AF214" s="398">
        <f>IF(D209="нет",AE214,AE214*1.18)</f>
        <v>0</v>
      </c>
      <c r="AG214" s="398">
        <f t="shared" si="12"/>
        <v>0</v>
      </c>
      <c r="AH214" s="399"/>
      <c r="AI214" s="398">
        <f>IF(D209="нет",AH214,AH214*1.18)</f>
        <v>0</v>
      </c>
      <c r="AJ214" s="117"/>
      <c r="AK214" s="117"/>
      <c r="AL214" s="117"/>
      <c r="AM214" s="399"/>
      <c r="AN214" s="398">
        <f>IF(D209="нет",AM214,AM214*1.18)</f>
        <v>0</v>
      </c>
      <c r="AO214" s="399"/>
      <c r="AP214" s="398">
        <f>IF($D209="нет",AO214,AO214*1.18)</f>
        <v>0</v>
      </c>
      <c r="AQ214" s="399"/>
      <c r="AR214" s="840"/>
      <c r="AS214" s="841"/>
      <c r="AT214" s="841"/>
      <c r="AU214" s="841"/>
      <c r="AV214" s="842"/>
      <c r="AW214" s="398">
        <f t="shared" si="13"/>
        <v>0</v>
      </c>
      <c r="AX214" s="398">
        <f t="shared" si="14"/>
        <v>0</v>
      </c>
      <c r="AY214" s="399"/>
      <c r="AZ214" s="398">
        <f>IF(D209="нет",AY214,AY214*1.18)</f>
        <v>0</v>
      </c>
      <c r="BA214" s="399"/>
      <c r="BB214" s="399"/>
      <c r="BC214" s="398">
        <f>IF(D209="нет",BB214,BB214*1.18)</f>
        <v>0</v>
      </c>
      <c r="BD214" s="399"/>
      <c r="BE214" s="399"/>
      <c r="BF214" s="398">
        <f t="shared" si="27"/>
        <v>0</v>
      </c>
      <c r="BG214" s="840"/>
      <c r="BH214" s="841"/>
      <c r="BI214" s="841"/>
      <c r="BJ214" s="841"/>
      <c r="BK214" s="842"/>
      <c r="BL214" s="398">
        <f t="shared" si="15"/>
        <v>0</v>
      </c>
      <c r="BM214" s="398">
        <f t="shared" si="16"/>
        <v>0</v>
      </c>
      <c r="BN214" s="399"/>
      <c r="BO214" s="398">
        <f>IF(D209="нет",BN214,BN214*1.18)</f>
        <v>0</v>
      </c>
      <c r="BP214" s="399"/>
      <c r="BQ214" s="399"/>
      <c r="BR214" s="398">
        <f>IF(D209="нет",BQ214,BQ214*1.18)</f>
        <v>0</v>
      </c>
      <c r="BS214" s="399"/>
      <c r="BT214" s="399"/>
      <c r="BU214" s="398">
        <f t="shared" si="28"/>
        <v>0</v>
      </c>
      <c r="BV214" s="840"/>
      <c r="BW214" s="841"/>
      <c r="BX214" s="841"/>
      <c r="BY214" s="841"/>
      <c r="BZ214" s="842"/>
      <c r="CA214" s="398">
        <f t="shared" si="17"/>
        <v>0</v>
      </c>
      <c r="CB214" s="398">
        <f t="shared" si="18"/>
        <v>0</v>
      </c>
      <c r="CC214" s="399"/>
      <c r="CD214" s="398">
        <f>IF(D209="нет",CC214,CC214*1.18)</f>
        <v>0</v>
      </c>
      <c r="CE214" s="399"/>
      <c r="CF214" s="399"/>
      <c r="CG214" s="398">
        <f>IF(D209="нет",CF214,CF214*1.18)</f>
        <v>0</v>
      </c>
      <c r="CH214" s="399"/>
      <c r="CI214" s="399"/>
      <c r="CJ214" s="398">
        <f t="shared" si="29"/>
        <v>0</v>
      </c>
      <c r="CK214" s="398">
        <f t="shared" si="19"/>
        <v>0</v>
      </c>
      <c r="CL214" s="851"/>
      <c r="CM214" s="398">
        <f t="shared" si="22"/>
        <v>0</v>
      </c>
      <c r="CN214" s="398">
        <f t="shared" si="23"/>
        <v>0</v>
      </c>
      <c r="CO214" s="398">
        <f t="shared" si="24"/>
        <v>0</v>
      </c>
      <c r="CP214" s="398">
        <f t="shared" si="25"/>
        <v>0</v>
      </c>
      <c r="CQ214" s="398">
        <f t="shared" si="26"/>
        <v>0</v>
      </c>
      <c r="CR214" s="848"/>
      <c r="CS214"/>
      <c r="CT214"/>
      <c r="CU214"/>
      <c r="CV214"/>
      <c r="CW214"/>
      <c r="CX214"/>
      <c r="CY214"/>
      <c r="CZ214"/>
      <c r="DA214"/>
      <c r="DB214"/>
      <c r="DC214"/>
      <c r="DD214"/>
      <c r="DE214"/>
      <c r="DF214" s="78"/>
      <c r="DG214" s="78"/>
      <c r="DH214" s="78"/>
      <c r="DI214" s="78"/>
      <c r="DJ214" s="78"/>
      <c r="DK214" s="78"/>
      <c r="DL214" s="78"/>
      <c r="DM214" s="78"/>
      <c r="DN214" s="77"/>
      <c r="DO214" s="381"/>
      <c r="DP214" s="77"/>
      <c r="DQ214" s="77"/>
      <c r="DR214" s="77"/>
      <c r="DS214" s="77"/>
      <c r="DT214" s="77"/>
    </row>
    <row r="215" spans="1:152" s="39" customFormat="1">
      <c r="A215" s="38"/>
      <c r="B215" s="38"/>
      <c r="C215" s="60"/>
      <c r="D215"/>
      <c r="E215"/>
      <c r="F215" s="833"/>
      <c r="G215" s="835"/>
      <c r="H215" s="834"/>
      <c r="I215" s="393" t="s">
        <v>1777</v>
      </c>
      <c r="J215" s="391"/>
      <c r="K215" s="391"/>
      <c r="L215" s="391"/>
      <c r="M215" s="391"/>
      <c r="N215" s="391"/>
      <c r="O215" s="391"/>
      <c r="P215" s="391"/>
      <c r="Q215" s="391"/>
      <c r="R215" s="391"/>
      <c r="S215" s="391"/>
      <c r="T215" s="391"/>
      <c r="U215" s="391"/>
      <c r="V215" s="391"/>
      <c r="W215" s="391"/>
      <c r="X215" s="391"/>
      <c r="Y215" s="399"/>
      <c r="Z215" s="398">
        <f>IF(D209="нет",Y215,Y215*1.18)</f>
        <v>0</v>
      </c>
      <c r="AA215" s="117"/>
      <c r="AB215" s="117"/>
      <c r="AC215" s="398">
        <f t="shared" si="20"/>
        <v>0</v>
      </c>
      <c r="AD215" s="398">
        <f>IF(D209="нет",AC215,AC215*1.18)</f>
        <v>0</v>
      </c>
      <c r="AE215" s="398">
        <f t="shared" si="21"/>
        <v>0</v>
      </c>
      <c r="AF215" s="398">
        <f>IF(D209="нет",AE215,AE215*1.18)</f>
        <v>0</v>
      </c>
      <c r="AG215" s="398">
        <f t="shared" si="12"/>
        <v>0</v>
      </c>
      <c r="AH215" s="399"/>
      <c r="AI215" s="398">
        <f>IF(D209="нет",AH215,AH215*1.18)</f>
        <v>0</v>
      </c>
      <c r="AJ215" s="117"/>
      <c r="AK215" s="117"/>
      <c r="AL215" s="117"/>
      <c r="AM215" s="399"/>
      <c r="AN215" s="398">
        <f>IF(D209="нет",AM215,AM215*1.18)</f>
        <v>0</v>
      </c>
      <c r="AO215" s="399"/>
      <c r="AP215" s="398">
        <f>IF($D209="нет",AO215,AO215*1.18)</f>
        <v>0</v>
      </c>
      <c r="AQ215" s="399"/>
      <c r="AR215" s="840"/>
      <c r="AS215" s="841"/>
      <c r="AT215" s="841"/>
      <c r="AU215" s="841"/>
      <c r="AV215" s="842"/>
      <c r="AW215" s="398">
        <f t="shared" si="13"/>
        <v>0</v>
      </c>
      <c r="AX215" s="398">
        <f t="shared" si="14"/>
        <v>0</v>
      </c>
      <c r="AY215" s="399"/>
      <c r="AZ215" s="398">
        <f>IF(D209="нет",AY215,AY215*1.18)</f>
        <v>0</v>
      </c>
      <c r="BA215" s="399"/>
      <c r="BB215" s="399"/>
      <c r="BC215" s="398">
        <f>IF(D209="нет",BB215,BB215*1.18)</f>
        <v>0</v>
      </c>
      <c r="BD215" s="399"/>
      <c r="BE215" s="399"/>
      <c r="BF215" s="398">
        <f t="shared" si="27"/>
        <v>0</v>
      </c>
      <c r="BG215" s="840"/>
      <c r="BH215" s="841"/>
      <c r="BI215" s="841"/>
      <c r="BJ215" s="841"/>
      <c r="BK215" s="842"/>
      <c r="BL215" s="398">
        <f t="shared" si="15"/>
        <v>0</v>
      </c>
      <c r="BM215" s="398">
        <f t="shared" si="16"/>
        <v>0</v>
      </c>
      <c r="BN215" s="399"/>
      <c r="BO215" s="398">
        <f>IF(D209="нет",BN215,BN215*1.18)</f>
        <v>0</v>
      </c>
      <c r="BP215" s="399"/>
      <c r="BQ215" s="399"/>
      <c r="BR215" s="398">
        <f>IF(D209="нет",BQ215,BQ215*1.18)</f>
        <v>0</v>
      </c>
      <c r="BS215" s="399"/>
      <c r="BT215" s="399"/>
      <c r="BU215" s="398">
        <f t="shared" si="28"/>
        <v>0</v>
      </c>
      <c r="BV215" s="840"/>
      <c r="BW215" s="841"/>
      <c r="BX215" s="841"/>
      <c r="BY215" s="841"/>
      <c r="BZ215" s="842"/>
      <c r="CA215" s="398">
        <f t="shared" si="17"/>
        <v>0</v>
      </c>
      <c r="CB215" s="398">
        <f t="shared" si="18"/>
        <v>0</v>
      </c>
      <c r="CC215" s="399"/>
      <c r="CD215" s="398">
        <f>IF(D209="нет",CC215,CC215*1.18)</f>
        <v>0</v>
      </c>
      <c r="CE215" s="399"/>
      <c r="CF215" s="399"/>
      <c r="CG215" s="398">
        <f>IF(D209="нет",CF215,CF215*1.18)</f>
        <v>0</v>
      </c>
      <c r="CH215" s="399"/>
      <c r="CI215" s="399"/>
      <c r="CJ215" s="398">
        <f t="shared" si="29"/>
        <v>0</v>
      </c>
      <c r="CK215" s="398">
        <f t="shared" si="19"/>
        <v>0</v>
      </c>
      <c r="CL215" s="851"/>
      <c r="CM215" s="398">
        <f t="shared" si="22"/>
        <v>0</v>
      </c>
      <c r="CN215" s="398">
        <f t="shared" si="23"/>
        <v>0</v>
      </c>
      <c r="CO215" s="398">
        <f t="shared" si="24"/>
        <v>0</v>
      </c>
      <c r="CP215" s="398">
        <f t="shared" si="25"/>
        <v>0</v>
      </c>
      <c r="CQ215" s="398">
        <f t="shared" si="26"/>
        <v>0</v>
      </c>
      <c r="CR215" s="848"/>
      <c r="CS215"/>
      <c r="CT215"/>
      <c r="CU215"/>
      <c r="CV215"/>
      <c r="CW215"/>
      <c r="CX215"/>
      <c r="CY215"/>
      <c r="CZ215"/>
      <c r="DA215"/>
      <c r="DB215"/>
      <c r="DC215"/>
      <c r="DD215"/>
      <c r="DE215"/>
      <c r="DF215" s="78"/>
      <c r="DG215" s="78"/>
      <c r="DH215" s="78"/>
      <c r="DI215" s="78"/>
      <c r="DJ215" s="78"/>
      <c r="DK215" s="78"/>
      <c r="DL215" s="78"/>
      <c r="DM215" s="78"/>
      <c r="DN215" s="77"/>
      <c r="DO215" s="381"/>
      <c r="DP215" s="77"/>
      <c r="DQ215" s="77"/>
      <c r="DR215" s="77"/>
      <c r="DS215" s="77"/>
      <c r="DT215" s="77"/>
    </row>
    <row r="216" spans="1:152" s="39" customFormat="1">
      <c r="A216" s="38"/>
      <c r="B216" s="38"/>
      <c r="C216" s="60"/>
      <c r="D216"/>
      <c r="E216"/>
      <c r="F216" s="833"/>
      <c r="G216" s="835"/>
      <c r="H216" s="834" t="s">
        <v>1781</v>
      </c>
      <c r="I216" s="393" t="s">
        <v>1776</v>
      </c>
      <c r="J216" s="391"/>
      <c r="K216" s="391"/>
      <c r="L216" s="391"/>
      <c r="M216" s="391"/>
      <c r="N216" s="391"/>
      <c r="O216" s="391"/>
      <c r="P216" s="391"/>
      <c r="Q216" s="391"/>
      <c r="R216" s="391"/>
      <c r="S216" s="391"/>
      <c r="T216" s="391"/>
      <c r="U216" s="391"/>
      <c r="V216" s="391"/>
      <c r="W216" s="391"/>
      <c r="X216" s="391"/>
      <c r="Y216" s="399"/>
      <c r="Z216" s="398">
        <f>IF(D209="нет",Y216,Y216*1.18)</f>
        <v>0</v>
      </c>
      <c r="AA216" s="117"/>
      <c r="AB216" s="117"/>
      <c r="AC216" s="398">
        <f t="shared" si="20"/>
        <v>0</v>
      </c>
      <c r="AD216" s="398">
        <f>IF(D209="нет",AC216,AC216*1.18)</f>
        <v>0</v>
      </c>
      <c r="AE216" s="398">
        <f t="shared" si="21"/>
        <v>0</v>
      </c>
      <c r="AF216" s="398">
        <f>IF(D209="нет",AE216,AE216*1.18)</f>
        <v>0</v>
      </c>
      <c r="AG216" s="398">
        <f t="shared" si="12"/>
        <v>0</v>
      </c>
      <c r="AH216" s="399"/>
      <c r="AI216" s="398">
        <f>IF(D209="нет",AH216,AH216*1.18)</f>
        <v>0</v>
      </c>
      <c r="AJ216" s="117"/>
      <c r="AK216" s="117"/>
      <c r="AL216" s="117"/>
      <c r="AM216" s="399"/>
      <c r="AN216" s="398">
        <f>IF(D209="нет",AM216,AM216*1.18)</f>
        <v>0</v>
      </c>
      <c r="AO216" s="399"/>
      <c r="AP216" s="398">
        <f>IF($D209="нет",AO216,AO216*1.18)</f>
        <v>0</v>
      </c>
      <c r="AQ216" s="399"/>
      <c r="AR216" s="840"/>
      <c r="AS216" s="841"/>
      <c r="AT216" s="841"/>
      <c r="AU216" s="841"/>
      <c r="AV216" s="842"/>
      <c r="AW216" s="398">
        <f t="shared" si="13"/>
        <v>0</v>
      </c>
      <c r="AX216" s="398">
        <f t="shared" si="14"/>
        <v>0</v>
      </c>
      <c r="AY216" s="399"/>
      <c r="AZ216" s="398">
        <f>IF(D209="нет",AY216,AY216*1.18)</f>
        <v>0</v>
      </c>
      <c r="BA216" s="399"/>
      <c r="BB216" s="399"/>
      <c r="BC216" s="398">
        <f>IF(D209="нет",BB216,BB216*1.18)</f>
        <v>0</v>
      </c>
      <c r="BD216" s="399"/>
      <c r="BE216" s="399"/>
      <c r="BF216" s="398">
        <f t="shared" si="27"/>
        <v>0</v>
      </c>
      <c r="BG216" s="840"/>
      <c r="BH216" s="841"/>
      <c r="BI216" s="841"/>
      <c r="BJ216" s="841"/>
      <c r="BK216" s="842"/>
      <c r="BL216" s="398">
        <f t="shared" si="15"/>
        <v>0</v>
      </c>
      <c r="BM216" s="398">
        <f t="shared" si="16"/>
        <v>0</v>
      </c>
      <c r="BN216" s="399"/>
      <c r="BO216" s="398">
        <f>IF(D209="нет",BN216,BN216*1.18)</f>
        <v>0</v>
      </c>
      <c r="BP216" s="399"/>
      <c r="BQ216" s="399"/>
      <c r="BR216" s="398">
        <f>IF(D209="нет",BQ216,BQ216*1.18)</f>
        <v>0</v>
      </c>
      <c r="BS216" s="399"/>
      <c r="BT216" s="399"/>
      <c r="BU216" s="398">
        <f t="shared" si="28"/>
        <v>0</v>
      </c>
      <c r="BV216" s="840"/>
      <c r="BW216" s="841"/>
      <c r="BX216" s="841"/>
      <c r="BY216" s="841"/>
      <c r="BZ216" s="842"/>
      <c r="CA216" s="398">
        <f t="shared" si="17"/>
        <v>0</v>
      </c>
      <c r="CB216" s="398">
        <f t="shared" si="18"/>
        <v>0</v>
      </c>
      <c r="CC216" s="399"/>
      <c r="CD216" s="398">
        <f>IF(D209="нет",CC216,CC216*1.18)</f>
        <v>0</v>
      </c>
      <c r="CE216" s="399"/>
      <c r="CF216" s="399"/>
      <c r="CG216" s="398">
        <f>IF(D209="нет",CF216,CF216*1.18)</f>
        <v>0</v>
      </c>
      <c r="CH216" s="399"/>
      <c r="CI216" s="399"/>
      <c r="CJ216" s="398">
        <f t="shared" si="29"/>
        <v>0</v>
      </c>
      <c r="CK216" s="398">
        <f t="shared" si="19"/>
        <v>0</v>
      </c>
      <c r="CL216" s="851"/>
      <c r="CM216" s="398">
        <f t="shared" si="22"/>
        <v>0</v>
      </c>
      <c r="CN216" s="398">
        <f t="shared" si="23"/>
        <v>0</v>
      </c>
      <c r="CO216" s="398">
        <f t="shared" si="24"/>
        <v>0</v>
      </c>
      <c r="CP216" s="398">
        <f t="shared" si="25"/>
        <v>0</v>
      </c>
      <c r="CQ216" s="398">
        <f t="shared" si="26"/>
        <v>0</v>
      </c>
      <c r="CR216" s="848"/>
      <c r="CS216"/>
      <c r="CT216"/>
      <c r="CU216"/>
      <c r="CV216"/>
      <c r="CW216"/>
      <c r="CX216"/>
      <c r="CY216"/>
      <c r="CZ216"/>
      <c r="DA216"/>
      <c r="DB216"/>
      <c r="DC216"/>
      <c r="DD216"/>
      <c r="DE216"/>
      <c r="DF216" s="78"/>
      <c r="DG216" s="78"/>
      <c r="DH216" s="78"/>
      <c r="DI216" s="78"/>
      <c r="DJ216" s="78"/>
      <c r="DK216" s="78"/>
      <c r="DL216" s="78"/>
      <c r="DM216" s="78"/>
      <c r="DN216" s="77"/>
      <c r="DO216" s="381"/>
      <c r="DP216" s="77"/>
      <c r="DQ216" s="77"/>
      <c r="DR216" s="77"/>
      <c r="DS216" s="77"/>
      <c r="DT216" s="77"/>
    </row>
    <row r="217" spans="1:152" s="39" customFormat="1">
      <c r="A217" s="38"/>
      <c r="B217" s="38"/>
      <c r="C217" s="60"/>
      <c r="D217"/>
      <c r="E217"/>
      <c r="F217" s="833"/>
      <c r="G217" s="835"/>
      <c r="H217" s="834"/>
      <c r="I217" s="393" t="s">
        <v>1777</v>
      </c>
      <c r="J217" s="391"/>
      <c r="K217" s="391"/>
      <c r="L217" s="391"/>
      <c r="M217" s="391"/>
      <c r="N217" s="391"/>
      <c r="O217" s="391"/>
      <c r="P217" s="391"/>
      <c r="Q217" s="391"/>
      <c r="R217" s="391"/>
      <c r="S217" s="391"/>
      <c r="T217" s="391"/>
      <c r="U217" s="391"/>
      <c r="V217" s="391"/>
      <c r="W217" s="391"/>
      <c r="X217" s="391"/>
      <c r="Y217" s="399"/>
      <c r="Z217" s="398">
        <f>IF(D209="нет",Y217,Y217*1.18)</f>
        <v>0</v>
      </c>
      <c r="AA217" s="117"/>
      <c r="AB217" s="117"/>
      <c r="AC217" s="398">
        <f t="shared" si="20"/>
        <v>0</v>
      </c>
      <c r="AD217" s="398">
        <f>IF(D209="нет",AC217,AC217*1.18)</f>
        <v>0</v>
      </c>
      <c r="AE217" s="398">
        <f t="shared" si="21"/>
        <v>0</v>
      </c>
      <c r="AF217" s="398">
        <f>IF(D209="нет",AE217,AE217*1.18)</f>
        <v>0</v>
      </c>
      <c r="AG217" s="398">
        <f t="shared" si="12"/>
        <v>0</v>
      </c>
      <c r="AH217" s="399"/>
      <c r="AI217" s="398">
        <f>IF(D209="нет",AH217,AH217*1.18)</f>
        <v>0</v>
      </c>
      <c r="AJ217" s="117"/>
      <c r="AK217" s="117"/>
      <c r="AL217" s="117"/>
      <c r="AM217" s="399"/>
      <c r="AN217" s="398">
        <f>IF(D209="нет",AM217,AM217*1.18)</f>
        <v>0</v>
      </c>
      <c r="AO217" s="399"/>
      <c r="AP217" s="398">
        <f>IF($D209="нет",AO217,AO217*1.18)</f>
        <v>0</v>
      </c>
      <c r="AQ217" s="399"/>
      <c r="AR217" s="840"/>
      <c r="AS217" s="841"/>
      <c r="AT217" s="841"/>
      <c r="AU217" s="841"/>
      <c r="AV217" s="842"/>
      <c r="AW217" s="398">
        <f t="shared" si="13"/>
        <v>0</v>
      </c>
      <c r="AX217" s="398">
        <f t="shared" si="14"/>
        <v>0</v>
      </c>
      <c r="AY217" s="399"/>
      <c r="AZ217" s="398">
        <f>IF(D209="нет",AY217,AY217*1.18)</f>
        <v>0</v>
      </c>
      <c r="BA217" s="399"/>
      <c r="BB217" s="399"/>
      <c r="BC217" s="398">
        <f>IF(D209="нет",BB217,BB217*1.18)</f>
        <v>0</v>
      </c>
      <c r="BD217" s="399"/>
      <c r="BE217" s="399"/>
      <c r="BF217" s="398">
        <f t="shared" si="27"/>
        <v>0</v>
      </c>
      <c r="BG217" s="840"/>
      <c r="BH217" s="841"/>
      <c r="BI217" s="841"/>
      <c r="BJ217" s="841"/>
      <c r="BK217" s="842"/>
      <c r="BL217" s="398">
        <f t="shared" si="15"/>
        <v>0</v>
      </c>
      <c r="BM217" s="398">
        <f t="shared" si="16"/>
        <v>0</v>
      </c>
      <c r="BN217" s="399"/>
      <c r="BO217" s="398">
        <f>IF(D209="нет",BN217,BN217*1.18)</f>
        <v>0</v>
      </c>
      <c r="BP217" s="399"/>
      <c r="BQ217" s="399"/>
      <c r="BR217" s="398">
        <f>IF(D209="нет",BQ217,BQ217*1.18)</f>
        <v>0</v>
      </c>
      <c r="BS217" s="399"/>
      <c r="BT217" s="399"/>
      <c r="BU217" s="398">
        <f t="shared" si="28"/>
        <v>0</v>
      </c>
      <c r="BV217" s="840"/>
      <c r="BW217" s="841"/>
      <c r="BX217" s="841"/>
      <c r="BY217" s="841"/>
      <c r="BZ217" s="842"/>
      <c r="CA217" s="398">
        <f t="shared" si="17"/>
        <v>0</v>
      </c>
      <c r="CB217" s="398">
        <f t="shared" si="18"/>
        <v>0</v>
      </c>
      <c r="CC217" s="399"/>
      <c r="CD217" s="398">
        <f>IF(D209="нет",CC217,CC217*1.18)</f>
        <v>0</v>
      </c>
      <c r="CE217" s="399"/>
      <c r="CF217" s="399"/>
      <c r="CG217" s="398">
        <f>IF(D209="нет",CF217,CF217*1.18)</f>
        <v>0</v>
      </c>
      <c r="CH217" s="399"/>
      <c r="CI217" s="399"/>
      <c r="CJ217" s="398">
        <f t="shared" si="29"/>
        <v>0</v>
      </c>
      <c r="CK217" s="398">
        <f t="shared" si="19"/>
        <v>0</v>
      </c>
      <c r="CL217" s="851"/>
      <c r="CM217" s="398">
        <f t="shared" si="22"/>
        <v>0</v>
      </c>
      <c r="CN217" s="398">
        <f t="shared" si="23"/>
        <v>0</v>
      </c>
      <c r="CO217" s="398">
        <f t="shared" si="24"/>
        <v>0</v>
      </c>
      <c r="CP217" s="398">
        <f t="shared" si="25"/>
        <v>0</v>
      </c>
      <c r="CQ217" s="398">
        <f t="shared" si="26"/>
        <v>0</v>
      </c>
      <c r="CR217" s="848"/>
      <c r="CS217"/>
      <c r="CT217"/>
      <c r="CU217"/>
      <c r="CV217"/>
      <c r="CW217"/>
      <c r="CX217"/>
      <c r="CY217"/>
      <c r="CZ217"/>
      <c r="DA217"/>
      <c r="DB217"/>
      <c r="DC217"/>
      <c r="DD217"/>
      <c r="DE217"/>
      <c r="DF217" s="78"/>
      <c r="DG217" s="78"/>
      <c r="DH217" s="78"/>
      <c r="DI217" s="78"/>
      <c r="DJ217" s="78"/>
      <c r="DK217" s="78"/>
      <c r="DL217" s="78"/>
      <c r="DM217" s="78"/>
      <c r="DN217" s="77"/>
      <c r="DO217" s="381"/>
      <c r="DP217" s="77"/>
      <c r="DQ217" s="77"/>
      <c r="DR217" s="77"/>
      <c r="DS217" s="77"/>
      <c r="DT217" s="77"/>
    </row>
    <row r="218" spans="1:152" s="39" customFormat="1">
      <c r="A218" s="38"/>
      <c r="B218" s="38"/>
      <c r="C218" s="60"/>
      <c r="D218"/>
      <c r="E218"/>
      <c r="F218" s="833"/>
      <c r="G218" s="835"/>
      <c r="H218" s="834" t="s">
        <v>1782</v>
      </c>
      <c r="I218" s="393" t="s">
        <v>1776</v>
      </c>
      <c r="J218" s="391"/>
      <c r="K218" s="391"/>
      <c r="L218" s="391"/>
      <c r="M218" s="391"/>
      <c r="N218" s="391"/>
      <c r="O218" s="391"/>
      <c r="P218" s="391"/>
      <c r="Q218" s="391"/>
      <c r="R218" s="391"/>
      <c r="S218" s="391"/>
      <c r="T218" s="391"/>
      <c r="U218" s="391"/>
      <c r="V218" s="391"/>
      <c r="W218" s="391"/>
      <c r="X218" s="391"/>
      <c r="Y218" s="399"/>
      <c r="Z218" s="398">
        <f>IF(D209="нет",Y218,Y218*1.18)</f>
        <v>0</v>
      </c>
      <c r="AA218" s="117"/>
      <c r="AB218" s="117"/>
      <c r="AC218" s="398">
        <f t="shared" si="20"/>
        <v>0</v>
      </c>
      <c r="AD218" s="398">
        <f>IF(D209="нет",AC218,AC218*1.18)</f>
        <v>0</v>
      </c>
      <c r="AE218" s="398">
        <f t="shared" si="21"/>
        <v>0</v>
      </c>
      <c r="AF218" s="398">
        <f>IF(D209="нет",AE218,AE218*1.18)</f>
        <v>0</v>
      </c>
      <c r="AG218" s="398">
        <f t="shared" si="12"/>
        <v>0</v>
      </c>
      <c r="AH218" s="399"/>
      <c r="AI218" s="398">
        <f>IF(D209="нет",AH218,AH218*1.18)</f>
        <v>0</v>
      </c>
      <c r="AJ218" s="117"/>
      <c r="AK218" s="117"/>
      <c r="AL218" s="117"/>
      <c r="AM218" s="399"/>
      <c r="AN218" s="398">
        <f>IF(D209="нет",AM218,AM218*1.18)</f>
        <v>0</v>
      </c>
      <c r="AO218" s="399"/>
      <c r="AP218" s="398">
        <f>IF($D209="нет",AO218,AO218*1.18)</f>
        <v>0</v>
      </c>
      <c r="AQ218" s="399"/>
      <c r="AR218" s="840"/>
      <c r="AS218" s="841"/>
      <c r="AT218" s="841"/>
      <c r="AU218" s="841"/>
      <c r="AV218" s="842"/>
      <c r="AW218" s="398">
        <f t="shared" si="13"/>
        <v>0</v>
      </c>
      <c r="AX218" s="398">
        <f t="shared" si="14"/>
        <v>0</v>
      </c>
      <c r="AY218" s="399"/>
      <c r="AZ218" s="398">
        <f>IF(D209="нет",AY218,AY218*1.18)</f>
        <v>0</v>
      </c>
      <c r="BA218" s="399"/>
      <c r="BB218" s="399"/>
      <c r="BC218" s="398">
        <f>IF(D209="нет",BB218,BB218*1.18)</f>
        <v>0</v>
      </c>
      <c r="BD218" s="399"/>
      <c r="BE218" s="399"/>
      <c r="BF218" s="398">
        <f t="shared" si="27"/>
        <v>0</v>
      </c>
      <c r="BG218" s="840"/>
      <c r="BH218" s="841"/>
      <c r="BI218" s="841"/>
      <c r="BJ218" s="841"/>
      <c r="BK218" s="842"/>
      <c r="BL218" s="398">
        <f t="shared" si="15"/>
        <v>0</v>
      </c>
      <c r="BM218" s="398">
        <f t="shared" si="16"/>
        <v>0</v>
      </c>
      <c r="BN218" s="399"/>
      <c r="BO218" s="398">
        <f>IF(D209="нет",BN218,BN218*1.18)</f>
        <v>0</v>
      </c>
      <c r="BP218" s="399"/>
      <c r="BQ218" s="399"/>
      <c r="BR218" s="398">
        <f>IF(D209="нет",BQ218,BQ218*1.18)</f>
        <v>0</v>
      </c>
      <c r="BS218" s="399"/>
      <c r="BT218" s="399"/>
      <c r="BU218" s="398">
        <f t="shared" si="28"/>
        <v>0</v>
      </c>
      <c r="BV218" s="840"/>
      <c r="BW218" s="841"/>
      <c r="BX218" s="841"/>
      <c r="BY218" s="841"/>
      <c r="BZ218" s="842"/>
      <c r="CA218" s="398">
        <f t="shared" si="17"/>
        <v>0</v>
      </c>
      <c r="CB218" s="398">
        <f t="shared" si="18"/>
        <v>0</v>
      </c>
      <c r="CC218" s="399"/>
      <c r="CD218" s="398">
        <f>IF(D209="нет",CC218,CC218*1.18)</f>
        <v>0</v>
      </c>
      <c r="CE218" s="399"/>
      <c r="CF218" s="399"/>
      <c r="CG218" s="398">
        <f>IF(D209="нет",CF218,CF218*1.18)</f>
        <v>0</v>
      </c>
      <c r="CH218" s="399"/>
      <c r="CI218" s="399"/>
      <c r="CJ218" s="398">
        <f t="shared" si="29"/>
        <v>0</v>
      </c>
      <c r="CK218" s="398">
        <f t="shared" si="19"/>
        <v>0</v>
      </c>
      <c r="CL218" s="851"/>
      <c r="CM218" s="398">
        <f t="shared" si="22"/>
        <v>0</v>
      </c>
      <c r="CN218" s="398">
        <f t="shared" si="23"/>
        <v>0</v>
      </c>
      <c r="CO218" s="398">
        <f t="shared" si="24"/>
        <v>0</v>
      </c>
      <c r="CP218" s="398">
        <f t="shared" si="25"/>
        <v>0</v>
      </c>
      <c r="CQ218" s="398">
        <f t="shared" si="26"/>
        <v>0</v>
      </c>
      <c r="CR218" s="848"/>
      <c r="CS218"/>
      <c r="CT218"/>
      <c r="CU218"/>
      <c r="CV218"/>
      <c r="CW218"/>
      <c r="CX218"/>
      <c r="CY218"/>
      <c r="CZ218"/>
      <c r="DA218"/>
      <c r="DB218"/>
      <c r="DC218"/>
      <c r="DD218"/>
      <c r="DE218"/>
      <c r="DF218" s="77"/>
      <c r="DG218" s="77"/>
      <c r="DH218" s="77"/>
      <c r="DI218" s="77"/>
      <c r="DJ218" s="77"/>
      <c r="DK218" s="77"/>
      <c r="DL218" s="77"/>
      <c r="DM218" s="77"/>
      <c r="DN218" s="77"/>
      <c r="DO218" s="381"/>
      <c r="DP218" s="77"/>
      <c r="DQ218" s="77"/>
      <c r="DR218" s="77"/>
      <c r="DS218" s="77"/>
      <c r="DT218" s="77"/>
    </row>
    <row r="219" spans="1:152" s="39" customFormat="1">
      <c r="A219" s="38"/>
      <c r="B219" s="38"/>
      <c r="C219" s="60"/>
      <c r="D219"/>
      <c r="E219"/>
      <c r="F219" s="833"/>
      <c r="G219" s="835"/>
      <c r="H219" s="834"/>
      <c r="I219" s="393" t="s">
        <v>1777</v>
      </c>
      <c r="J219" s="391"/>
      <c r="K219" s="391"/>
      <c r="L219" s="391"/>
      <c r="M219" s="391"/>
      <c r="N219" s="391"/>
      <c r="O219" s="391"/>
      <c r="P219" s="391"/>
      <c r="Q219" s="391"/>
      <c r="R219" s="391"/>
      <c r="S219" s="391"/>
      <c r="T219" s="391"/>
      <c r="U219" s="391"/>
      <c r="V219" s="391"/>
      <c r="W219" s="391"/>
      <c r="X219" s="391"/>
      <c r="Y219" s="399"/>
      <c r="Z219" s="398">
        <f>IF(D209="нет",Y219,Y219*1.18)</f>
        <v>0</v>
      </c>
      <c r="AA219" s="117"/>
      <c r="AB219" s="117"/>
      <c r="AC219" s="398">
        <f t="shared" si="20"/>
        <v>0</v>
      </c>
      <c r="AD219" s="398">
        <f>IF(D209="нет",AC219,AC219*1.18)</f>
        <v>0</v>
      </c>
      <c r="AE219" s="398">
        <f t="shared" si="21"/>
        <v>0</v>
      </c>
      <c r="AF219" s="398">
        <f>IF(D209="нет",AE219,AE219*1.18)</f>
        <v>0</v>
      </c>
      <c r="AG219" s="398">
        <f t="shared" si="12"/>
        <v>0</v>
      </c>
      <c r="AH219" s="399"/>
      <c r="AI219" s="398">
        <f>IF(D209="нет",AH219,AH219*1.18)</f>
        <v>0</v>
      </c>
      <c r="AJ219" s="117"/>
      <c r="AK219" s="117"/>
      <c r="AL219" s="117"/>
      <c r="AM219" s="399"/>
      <c r="AN219" s="398">
        <f>IF(D209="нет",AM219,AM219*1.18)</f>
        <v>0</v>
      </c>
      <c r="AO219" s="399"/>
      <c r="AP219" s="398">
        <f>IF($D209="нет",AO219,AO219*1.18)</f>
        <v>0</v>
      </c>
      <c r="AQ219" s="399"/>
      <c r="AR219" s="840"/>
      <c r="AS219" s="841"/>
      <c r="AT219" s="841"/>
      <c r="AU219" s="841"/>
      <c r="AV219" s="842"/>
      <c r="AW219" s="398">
        <f t="shared" si="13"/>
        <v>0</v>
      </c>
      <c r="AX219" s="398">
        <f t="shared" si="14"/>
        <v>0</v>
      </c>
      <c r="AY219" s="399"/>
      <c r="AZ219" s="398">
        <f>IF(D209="нет",AY219,AY219*1.18)</f>
        <v>0</v>
      </c>
      <c r="BA219" s="399"/>
      <c r="BB219" s="399"/>
      <c r="BC219" s="398">
        <f>IF(D209="нет",BB219,BB219*1.18)</f>
        <v>0</v>
      </c>
      <c r="BD219" s="399"/>
      <c r="BE219" s="399"/>
      <c r="BF219" s="398">
        <f t="shared" si="27"/>
        <v>0</v>
      </c>
      <c r="BG219" s="840"/>
      <c r="BH219" s="841"/>
      <c r="BI219" s="841"/>
      <c r="BJ219" s="841"/>
      <c r="BK219" s="842"/>
      <c r="BL219" s="398">
        <f t="shared" si="15"/>
        <v>0</v>
      </c>
      <c r="BM219" s="398">
        <f t="shared" si="16"/>
        <v>0</v>
      </c>
      <c r="BN219" s="399"/>
      <c r="BO219" s="398">
        <f>IF(D209="нет",BN219,BN219*1.18)</f>
        <v>0</v>
      </c>
      <c r="BP219" s="399"/>
      <c r="BQ219" s="399"/>
      <c r="BR219" s="398">
        <f>IF(D209="нет",BQ219,BQ219*1.18)</f>
        <v>0</v>
      </c>
      <c r="BS219" s="399"/>
      <c r="BT219" s="399"/>
      <c r="BU219" s="398">
        <f t="shared" si="28"/>
        <v>0</v>
      </c>
      <c r="BV219" s="840"/>
      <c r="BW219" s="841"/>
      <c r="BX219" s="841"/>
      <c r="BY219" s="841"/>
      <c r="BZ219" s="842"/>
      <c r="CA219" s="398">
        <f t="shared" si="17"/>
        <v>0</v>
      </c>
      <c r="CB219" s="398">
        <f t="shared" si="18"/>
        <v>0</v>
      </c>
      <c r="CC219" s="399"/>
      <c r="CD219" s="398">
        <f>IF(D209="нет",CC219,CC219*1.18)</f>
        <v>0</v>
      </c>
      <c r="CE219" s="399"/>
      <c r="CF219" s="399"/>
      <c r="CG219" s="398">
        <f>IF(D209="нет",CF219,CF219*1.18)</f>
        <v>0</v>
      </c>
      <c r="CH219" s="399"/>
      <c r="CI219" s="399"/>
      <c r="CJ219" s="398">
        <f t="shared" si="29"/>
        <v>0</v>
      </c>
      <c r="CK219" s="398">
        <f t="shared" si="19"/>
        <v>0</v>
      </c>
      <c r="CL219" s="851"/>
      <c r="CM219" s="398">
        <f t="shared" si="22"/>
        <v>0</v>
      </c>
      <c r="CN219" s="398">
        <f t="shared" si="23"/>
        <v>0</v>
      </c>
      <c r="CO219" s="398">
        <f t="shared" si="24"/>
        <v>0</v>
      </c>
      <c r="CP219" s="398">
        <f t="shared" si="25"/>
        <v>0</v>
      </c>
      <c r="CQ219" s="398">
        <f t="shared" si="26"/>
        <v>0</v>
      </c>
      <c r="CR219" s="848"/>
      <c r="CS219"/>
      <c r="CT219"/>
      <c r="CU219"/>
      <c r="CV219"/>
      <c r="CW219"/>
      <c r="CX219"/>
      <c r="CY219"/>
      <c r="CZ219"/>
      <c r="DA219"/>
      <c r="DB219"/>
      <c r="DC219"/>
      <c r="DD219"/>
      <c r="DE219"/>
      <c r="DF219" s="77"/>
      <c r="DG219" s="77"/>
      <c r="DH219" s="77"/>
      <c r="DI219" s="77"/>
      <c r="DJ219" s="77"/>
      <c r="DK219" s="77"/>
      <c r="DL219" s="77"/>
      <c r="DM219" s="77"/>
      <c r="DN219" s="77"/>
      <c r="DO219" s="381"/>
      <c r="DP219" s="77"/>
      <c r="DQ219" s="77"/>
      <c r="DR219" s="77"/>
      <c r="DS219" s="77"/>
      <c r="DT219" s="77"/>
    </row>
    <row r="220" spans="1:152" s="39" customFormat="1">
      <c r="A220" s="38"/>
      <c r="B220" s="38"/>
      <c r="C220" s="60"/>
      <c r="D220"/>
      <c r="E220"/>
      <c r="F220" s="833"/>
      <c r="G220" s="835"/>
      <c r="H220" s="834" t="s">
        <v>3139</v>
      </c>
      <c r="I220" s="393" t="s">
        <v>1776</v>
      </c>
      <c r="J220" s="391"/>
      <c r="K220" s="391"/>
      <c r="L220" s="391"/>
      <c r="M220" s="391"/>
      <c r="N220" s="391"/>
      <c r="O220" s="391"/>
      <c r="P220" s="391"/>
      <c r="Q220" s="391"/>
      <c r="R220" s="391"/>
      <c r="S220" s="391"/>
      <c r="T220" s="391"/>
      <c r="U220" s="391"/>
      <c r="V220" s="391"/>
      <c r="W220" s="391"/>
      <c r="X220" s="391"/>
      <c r="Y220" s="399"/>
      <c r="Z220" s="398">
        <f>IF(D209="нет",Y220,Y220*1.18)</f>
        <v>0</v>
      </c>
      <c r="AA220" s="117"/>
      <c r="AB220" s="117"/>
      <c r="AC220" s="398">
        <f t="shared" si="20"/>
        <v>0</v>
      </c>
      <c r="AD220" s="398">
        <f>IF(D209="нет",AC220,AC220*1.18)</f>
        <v>0</v>
      </c>
      <c r="AE220" s="398">
        <f t="shared" si="21"/>
        <v>0</v>
      </c>
      <c r="AF220" s="398">
        <f>IF(D209="нет",AE220,AE220*1.18)</f>
        <v>0</v>
      </c>
      <c r="AG220" s="398">
        <f t="shared" si="12"/>
        <v>0</v>
      </c>
      <c r="AH220" s="399"/>
      <c r="AI220" s="398">
        <f>IF(D209="нет",AH220,AH220*1.18)</f>
        <v>0</v>
      </c>
      <c r="AJ220" s="117"/>
      <c r="AK220" s="117"/>
      <c r="AL220" s="117"/>
      <c r="AM220" s="399"/>
      <c r="AN220" s="398">
        <f>IF(D209="нет",AM220,AM220*1.18)</f>
        <v>0</v>
      </c>
      <c r="AO220" s="399"/>
      <c r="AP220" s="398">
        <f>IF($D209="нет",AO220,AO220*1.18)</f>
        <v>0</v>
      </c>
      <c r="AQ220" s="399"/>
      <c r="AR220" s="840"/>
      <c r="AS220" s="841"/>
      <c r="AT220" s="841"/>
      <c r="AU220" s="841"/>
      <c r="AV220" s="842"/>
      <c r="AW220" s="398">
        <f t="shared" si="13"/>
        <v>0</v>
      </c>
      <c r="AX220" s="398">
        <f t="shared" si="14"/>
        <v>0</v>
      </c>
      <c r="AY220" s="399"/>
      <c r="AZ220" s="398">
        <f>IF(D209="нет",AY220,AY220*1.18)</f>
        <v>0</v>
      </c>
      <c r="BA220" s="399"/>
      <c r="BB220" s="399"/>
      <c r="BC220" s="398">
        <f>IF(D209="нет",BB220,BB220*1.18)</f>
        <v>0</v>
      </c>
      <c r="BD220" s="399"/>
      <c r="BE220" s="399"/>
      <c r="BF220" s="398">
        <f t="shared" si="27"/>
        <v>0</v>
      </c>
      <c r="BG220" s="840"/>
      <c r="BH220" s="841"/>
      <c r="BI220" s="841"/>
      <c r="BJ220" s="841"/>
      <c r="BK220" s="842"/>
      <c r="BL220" s="398">
        <f t="shared" si="15"/>
        <v>0</v>
      </c>
      <c r="BM220" s="398">
        <f t="shared" si="16"/>
        <v>0</v>
      </c>
      <c r="BN220" s="399"/>
      <c r="BO220" s="398">
        <f>IF(D209="нет",BN220,BN220*1.18)</f>
        <v>0</v>
      </c>
      <c r="BP220" s="399"/>
      <c r="BQ220" s="399"/>
      <c r="BR220" s="398">
        <f>IF(D209="нет",BQ220,BQ220*1.18)</f>
        <v>0</v>
      </c>
      <c r="BS220" s="399"/>
      <c r="BT220" s="399"/>
      <c r="BU220" s="398">
        <f t="shared" si="28"/>
        <v>0</v>
      </c>
      <c r="BV220" s="840"/>
      <c r="BW220" s="841"/>
      <c r="BX220" s="841"/>
      <c r="BY220" s="841"/>
      <c r="BZ220" s="842"/>
      <c r="CA220" s="398">
        <f t="shared" si="17"/>
        <v>0</v>
      </c>
      <c r="CB220" s="398">
        <f t="shared" si="18"/>
        <v>0</v>
      </c>
      <c r="CC220" s="399"/>
      <c r="CD220" s="398">
        <f>IF(D209="нет",CC220,CC220*1.18)</f>
        <v>0</v>
      </c>
      <c r="CE220" s="399"/>
      <c r="CF220" s="399"/>
      <c r="CG220" s="398">
        <f>IF(D209="нет",CF220,CF220*1.18)</f>
        <v>0</v>
      </c>
      <c r="CH220" s="399"/>
      <c r="CI220" s="399"/>
      <c r="CJ220" s="398">
        <f t="shared" si="29"/>
        <v>0</v>
      </c>
      <c r="CK220" s="398">
        <f t="shared" si="19"/>
        <v>0</v>
      </c>
      <c r="CL220" s="851"/>
      <c r="CM220" s="398">
        <f t="shared" si="22"/>
        <v>0</v>
      </c>
      <c r="CN220" s="398">
        <f t="shared" si="23"/>
        <v>0</v>
      </c>
      <c r="CO220" s="398">
        <f t="shared" si="24"/>
        <v>0</v>
      </c>
      <c r="CP220" s="398">
        <f t="shared" si="25"/>
        <v>0</v>
      </c>
      <c r="CQ220" s="398">
        <f t="shared" si="26"/>
        <v>0</v>
      </c>
      <c r="CR220" s="848"/>
      <c r="CS220"/>
      <c r="CT220"/>
      <c r="CU220"/>
      <c r="CV220"/>
      <c r="CW220"/>
      <c r="CX220"/>
      <c r="CY220"/>
      <c r="CZ220"/>
      <c r="DA220"/>
      <c r="DB220"/>
      <c r="DC220"/>
      <c r="DD220"/>
      <c r="DE220"/>
      <c r="DF220" s="77"/>
      <c r="DG220" s="77"/>
      <c r="DH220" s="77"/>
      <c r="DI220" s="77"/>
      <c r="DJ220" s="77"/>
      <c r="DK220" s="77"/>
      <c r="DL220" s="77"/>
      <c r="DM220" s="77"/>
      <c r="DN220" s="77"/>
      <c r="DO220" s="381"/>
      <c r="DP220" s="77"/>
      <c r="DQ220" s="77"/>
      <c r="DR220" s="77"/>
      <c r="DS220" s="77"/>
      <c r="DT220" s="77"/>
    </row>
    <row r="221" spans="1:152" s="39" customFormat="1">
      <c r="A221" s="38"/>
      <c r="B221" s="38"/>
      <c r="C221" s="60"/>
      <c r="D221"/>
      <c r="E221"/>
      <c r="F221" s="833"/>
      <c r="G221" s="835"/>
      <c r="H221" s="834"/>
      <c r="I221" s="393" t="s">
        <v>1777</v>
      </c>
      <c r="J221" s="391"/>
      <c r="K221" s="391"/>
      <c r="L221" s="391"/>
      <c r="M221" s="391"/>
      <c r="N221" s="391"/>
      <c r="O221" s="391"/>
      <c r="P221" s="391"/>
      <c r="Q221" s="391"/>
      <c r="R221" s="391"/>
      <c r="S221" s="391"/>
      <c r="T221" s="391"/>
      <c r="U221" s="391"/>
      <c r="V221" s="391"/>
      <c r="W221" s="391"/>
      <c r="X221" s="391"/>
      <c r="Y221" s="399"/>
      <c r="Z221" s="398">
        <f>IF(D209="нет",Y221,Y221*1.18)</f>
        <v>0</v>
      </c>
      <c r="AA221" s="117"/>
      <c r="AB221" s="117"/>
      <c r="AC221" s="398">
        <f t="shared" si="20"/>
        <v>0</v>
      </c>
      <c r="AD221" s="398">
        <f>IF(D209="нет",AC221,AC221*1.18)</f>
        <v>0</v>
      </c>
      <c r="AE221" s="398">
        <f t="shared" si="21"/>
        <v>0</v>
      </c>
      <c r="AF221" s="398">
        <f>IF(D209="нет",AE221,AE221*1.18)</f>
        <v>0</v>
      </c>
      <c r="AG221" s="398">
        <f t="shared" si="12"/>
        <v>0</v>
      </c>
      <c r="AH221" s="399"/>
      <c r="AI221" s="398">
        <f>IF(D209="нет",AH221,AH221*1.18)</f>
        <v>0</v>
      </c>
      <c r="AJ221" s="117"/>
      <c r="AK221" s="117"/>
      <c r="AL221" s="117"/>
      <c r="AM221" s="399"/>
      <c r="AN221" s="398">
        <f>IF(D209="нет",AM221,AM221*1.18)</f>
        <v>0</v>
      </c>
      <c r="AO221" s="399"/>
      <c r="AP221" s="398">
        <f>IF($D209="нет",AO221,AO221*1.18)</f>
        <v>0</v>
      </c>
      <c r="AQ221" s="399"/>
      <c r="AR221" s="840"/>
      <c r="AS221" s="841"/>
      <c r="AT221" s="841"/>
      <c r="AU221" s="841"/>
      <c r="AV221" s="842"/>
      <c r="AW221" s="398">
        <f t="shared" si="13"/>
        <v>0</v>
      </c>
      <c r="AX221" s="398">
        <f t="shared" si="14"/>
        <v>0</v>
      </c>
      <c r="AY221" s="399"/>
      <c r="AZ221" s="398">
        <f>IF(D209="нет",AY221,AY221*1.18)</f>
        <v>0</v>
      </c>
      <c r="BA221" s="399"/>
      <c r="BB221" s="399"/>
      <c r="BC221" s="398">
        <f>IF(D209="нет",BB221,BB221*1.18)</f>
        <v>0</v>
      </c>
      <c r="BD221" s="399"/>
      <c r="BE221" s="399"/>
      <c r="BF221" s="398">
        <f t="shared" si="27"/>
        <v>0</v>
      </c>
      <c r="BG221" s="840"/>
      <c r="BH221" s="841"/>
      <c r="BI221" s="841"/>
      <c r="BJ221" s="841"/>
      <c r="BK221" s="842"/>
      <c r="BL221" s="398">
        <f t="shared" si="15"/>
        <v>0</v>
      </c>
      <c r="BM221" s="398">
        <f t="shared" si="16"/>
        <v>0</v>
      </c>
      <c r="BN221" s="399"/>
      <c r="BO221" s="398">
        <f>IF(D209="нет",BN221,BN221*1.18)</f>
        <v>0</v>
      </c>
      <c r="BP221" s="399"/>
      <c r="BQ221" s="399"/>
      <c r="BR221" s="398">
        <f>IF(D209="нет",BQ221,BQ221*1.18)</f>
        <v>0</v>
      </c>
      <c r="BS221" s="399"/>
      <c r="BT221" s="399"/>
      <c r="BU221" s="398">
        <f t="shared" si="28"/>
        <v>0</v>
      </c>
      <c r="BV221" s="840"/>
      <c r="BW221" s="841"/>
      <c r="BX221" s="841"/>
      <c r="BY221" s="841"/>
      <c r="BZ221" s="842"/>
      <c r="CA221" s="398">
        <f t="shared" si="17"/>
        <v>0</v>
      </c>
      <c r="CB221" s="398">
        <f t="shared" si="18"/>
        <v>0</v>
      </c>
      <c r="CC221" s="399"/>
      <c r="CD221" s="398">
        <f>IF(D209="нет",CC221,CC221*1.18)</f>
        <v>0</v>
      </c>
      <c r="CE221" s="399"/>
      <c r="CF221" s="399"/>
      <c r="CG221" s="398">
        <f>IF(D209="нет",CF221,CF221*1.18)</f>
        <v>0</v>
      </c>
      <c r="CH221" s="399"/>
      <c r="CI221" s="399"/>
      <c r="CJ221" s="398">
        <f t="shared" si="29"/>
        <v>0</v>
      </c>
      <c r="CK221" s="398">
        <f t="shared" si="19"/>
        <v>0</v>
      </c>
      <c r="CL221" s="851"/>
      <c r="CM221" s="398">
        <f t="shared" si="22"/>
        <v>0</v>
      </c>
      <c r="CN221" s="398">
        <f t="shared" si="23"/>
        <v>0</v>
      </c>
      <c r="CO221" s="398">
        <f t="shared" si="24"/>
        <v>0</v>
      </c>
      <c r="CP221" s="398">
        <f t="shared" si="25"/>
        <v>0</v>
      </c>
      <c r="CQ221" s="398">
        <f t="shared" si="26"/>
        <v>0</v>
      </c>
      <c r="CR221" s="848"/>
      <c r="CS221"/>
      <c r="CT221"/>
      <c r="CU221"/>
      <c r="CV221"/>
      <c r="CW221"/>
      <c r="CX221"/>
      <c r="CY221"/>
      <c r="CZ221"/>
      <c r="DA221"/>
      <c r="DB221"/>
      <c r="DC221"/>
      <c r="DD221"/>
      <c r="DE221"/>
      <c r="DF221" s="77"/>
      <c r="DG221" s="77"/>
      <c r="DH221" s="77"/>
      <c r="DI221" s="77"/>
      <c r="DJ221" s="77"/>
      <c r="DK221" s="77"/>
      <c r="DL221" s="77"/>
      <c r="DM221" s="77"/>
      <c r="DN221" s="77"/>
      <c r="DO221" s="381"/>
      <c r="DP221" s="77"/>
      <c r="DQ221" s="77"/>
      <c r="DR221" s="77"/>
      <c r="DS221" s="77"/>
      <c r="DT221" s="77"/>
    </row>
    <row r="222" spans="1:152" s="39" customFormat="1">
      <c r="A222" s="38"/>
      <c r="B222" s="38"/>
      <c r="C222" s="60"/>
      <c r="D222"/>
      <c r="E222"/>
      <c r="F222" s="833"/>
      <c r="G222" s="835"/>
      <c r="H222" s="836" t="s">
        <v>1779</v>
      </c>
      <c r="I222" s="393" t="s">
        <v>1776</v>
      </c>
      <c r="J222" s="391"/>
      <c r="K222" s="391"/>
      <c r="L222" s="391"/>
      <c r="M222" s="391"/>
      <c r="N222" s="391"/>
      <c r="O222" s="391"/>
      <c r="P222" s="391"/>
      <c r="Q222" s="391"/>
      <c r="R222" s="391"/>
      <c r="S222" s="391"/>
      <c r="T222" s="391"/>
      <c r="U222" s="391"/>
      <c r="V222" s="391"/>
      <c r="W222" s="391"/>
      <c r="X222" s="391"/>
      <c r="Y222" s="399"/>
      <c r="Z222" s="398">
        <f>IF(D209="нет",Y222,Y222*1.18)</f>
        <v>0</v>
      </c>
      <c r="AA222" s="117"/>
      <c r="AB222" s="117"/>
      <c r="AC222" s="398">
        <f t="shared" si="20"/>
        <v>0</v>
      </c>
      <c r="AD222" s="398">
        <f>IF(D209="нет",AC222,AC222*1.18)</f>
        <v>0</v>
      </c>
      <c r="AE222" s="398">
        <f t="shared" si="21"/>
        <v>0</v>
      </c>
      <c r="AF222" s="398">
        <f>IF(D209="нет",AE222,AE222*1.18)</f>
        <v>0</v>
      </c>
      <c r="AG222" s="398">
        <f t="shared" si="12"/>
        <v>0</v>
      </c>
      <c r="AH222" s="399"/>
      <c r="AI222" s="398">
        <f>IF(D209="нет",AH222,AH222*1.18)</f>
        <v>0</v>
      </c>
      <c r="AJ222" s="117"/>
      <c r="AK222" s="117"/>
      <c r="AL222" s="117"/>
      <c r="AM222" s="399"/>
      <c r="AN222" s="398">
        <f>IF(D209="нет",AM222,AM222*1.18)</f>
        <v>0</v>
      </c>
      <c r="AO222" s="399"/>
      <c r="AP222" s="398">
        <f>IF($D209="нет",AO222,AO222*1.18)</f>
        <v>0</v>
      </c>
      <c r="AQ222" s="399"/>
      <c r="AR222" s="840"/>
      <c r="AS222" s="841"/>
      <c r="AT222" s="841"/>
      <c r="AU222" s="841"/>
      <c r="AV222" s="842"/>
      <c r="AW222" s="398">
        <f t="shared" si="13"/>
        <v>0</v>
      </c>
      <c r="AX222" s="398">
        <f t="shared" si="14"/>
        <v>0</v>
      </c>
      <c r="AY222" s="399"/>
      <c r="AZ222" s="398">
        <f>IF(D209="нет",AY222,AY222*1.18)</f>
        <v>0</v>
      </c>
      <c r="BA222" s="399"/>
      <c r="BB222" s="399"/>
      <c r="BC222" s="398">
        <f>IF(D209="нет",BB222,BB222*1.18)</f>
        <v>0</v>
      </c>
      <c r="BD222" s="399"/>
      <c r="BE222" s="399"/>
      <c r="BF222" s="398">
        <f t="shared" si="27"/>
        <v>0</v>
      </c>
      <c r="BG222" s="840"/>
      <c r="BH222" s="841"/>
      <c r="BI222" s="841"/>
      <c r="BJ222" s="841"/>
      <c r="BK222" s="842"/>
      <c r="BL222" s="398">
        <f t="shared" si="15"/>
        <v>0</v>
      </c>
      <c r="BM222" s="398">
        <f t="shared" si="16"/>
        <v>0</v>
      </c>
      <c r="BN222" s="399"/>
      <c r="BO222" s="398">
        <f>IF(D209="нет",BN222,BN222*1.18)</f>
        <v>0</v>
      </c>
      <c r="BP222" s="399"/>
      <c r="BQ222" s="399"/>
      <c r="BR222" s="398">
        <f>IF(D209="нет",BQ222,BQ222*1.18)</f>
        <v>0</v>
      </c>
      <c r="BS222" s="399"/>
      <c r="BT222" s="399"/>
      <c r="BU222" s="398">
        <f t="shared" si="28"/>
        <v>0</v>
      </c>
      <c r="BV222" s="840"/>
      <c r="BW222" s="841"/>
      <c r="BX222" s="841"/>
      <c r="BY222" s="841"/>
      <c r="BZ222" s="842"/>
      <c r="CA222" s="398">
        <f t="shared" si="17"/>
        <v>0</v>
      </c>
      <c r="CB222" s="398">
        <f t="shared" si="18"/>
        <v>0</v>
      </c>
      <c r="CC222" s="399"/>
      <c r="CD222" s="398">
        <f>IF(D209="нет",CC222,CC222*1.18)</f>
        <v>0</v>
      </c>
      <c r="CE222" s="399"/>
      <c r="CF222" s="399"/>
      <c r="CG222" s="398">
        <f>IF(D209="нет",CF222,CF222*1.18)</f>
        <v>0</v>
      </c>
      <c r="CH222" s="399"/>
      <c r="CI222" s="399"/>
      <c r="CJ222" s="398">
        <f t="shared" si="29"/>
        <v>0</v>
      </c>
      <c r="CK222" s="398">
        <f t="shared" si="19"/>
        <v>0</v>
      </c>
      <c r="CL222" s="851"/>
      <c r="CM222" s="398">
        <f t="shared" si="22"/>
        <v>0</v>
      </c>
      <c r="CN222" s="398">
        <f t="shared" si="23"/>
        <v>0</v>
      </c>
      <c r="CO222" s="398">
        <f t="shared" si="24"/>
        <v>0</v>
      </c>
      <c r="CP222" s="398">
        <f t="shared" si="25"/>
        <v>0</v>
      </c>
      <c r="CQ222" s="398">
        <f t="shared" si="26"/>
        <v>0</v>
      </c>
      <c r="CR222" s="848"/>
      <c r="CS222"/>
      <c r="CT222"/>
      <c r="CU222"/>
      <c r="CV222"/>
      <c r="CW222"/>
      <c r="CX222"/>
      <c r="CY222"/>
      <c r="CZ222"/>
      <c r="DA222"/>
      <c r="DB222"/>
      <c r="DC222"/>
      <c r="DD222"/>
      <c r="DE222"/>
      <c r="DF222" s="77"/>
      <c r="DG222" s="77"/>
      <c r="DH222" s="77"/>
      <c r="DI222" s="77"/>
      <c r="DJ222" s="77"/>
      <c r="DK222" s="77"/>
      <c r="DL222" s="77"/>
      <c r="DM222" s="77"/>
      <c r="DN222" s="77"/>
      <c r="DO222" s="381"/>
      <c r="DP222" s="77"/>
      <c r="DQ222" s="77"/>
      <c r="DR222" s="77"/>
      <c r="DS222" s="77"/>
      <c r="DT222" s="77"/>
    </row>
    <row r="223" spans="1:152" s="39" customFormat="1">
      <c r="A223" s="38"/>
      <c r="B223" s="38"/>
      <c r="C223" s="60"/>
      <c r="D223"/>
      <c r="E223"/>
      <c r="F223" s="833"/>
      <c r="G223" s="835"/>
      <c r="H223" s="836"/>
      <c r="I223" s="393" t="s">
        <v>1777</v>
      </c>
      <c r="J223" s="391"/>
      <c r="K223" s="391"/>
      <c r="L223" s="391"/>
      <c r="M223" s="391"/>
      <c r="N223" s="391"/>
      <c r="O223" s="391"/>
      <c r="P223" s="391"/>
      <c r="Q223" s="391"/>
      <c r="R223" s="391"/>
      <c r="S223" s="391"/>
      <c r="T223" s="391"/>
      <c r="U223" s="391"/>
      <c r="V223" s="391"/>
      <c r="W223" s="391"/>
      <c r="X223" s="391"/>
      <c r="Y223" s="399"/>
      <c r="Z223" s="398">
        <f>IF(D209="нет",Y223,Y223*1.18)</f>
        <v>0</v>
      </c>
      <c r="AA223" s="117"/>
      <c r="AB223" s="117"/>
      <c r="AC223" s="398">
        <f t="shared" si="20"/>
        <v>0</v>
      </c>
      <c r="AD223" s="398">
        <f>IF(D209="нет",AC223,AC223*1.18)</f>
        <v>0</v>
      </c>
      <c r="AE223" s="398">
        <f t="shared" si="21"/>
        <v>0</v>
      </c>
      <c r="AF223" s="398">
        <f>IF(D209="нет",AE223,AE223*1.18)</f>
        <v>0</v>
      </c>
      <c r="AG223" s="398">
        <f t="shared" si="12"/>
        <v>0</v>
      </c>
      <c r="AH223" s="399"/>
      <c r="AI223" s="398">
        <f>IF(D209="нет",AH223,AH223*1.18)</f>
        <v>0</v>
      </c>
      <c r="AJ223" s="117"/>
      <c r="AK223" s="117"/>
      <c r="AL223" s="117"/>
      <c r="AM223" s="399"/>
      <c r="AN223" s="398">
        <f>IF(D209="нет",AM223,AM223*1.18)</f>
        <v>0</v>
      </c>
      <c r="AO223" s="399"/>
      <c r="AP223" s="398">
        <f>IF($D209="нет",AO223,AO223*1.18)</f>
        <v>0</v>
      </c>
      <c r="AQ223" s="399"/>
      <c r="AR223" s="843"/>
      <c r="AS223" s="844"/>
      <c r="AT223" s="844"/>
      <c r="AU223" s="844"/>
      <c r="AV223" s="845"/>
      <c r="AW223" s="398">
        <f t="shared" si="13"/>
        <v>0</v>
      </c>
      <c r="AX223" s="398">
        <f t="shared" si="14"/>
        <v>0</v>
      </c>
      <c r="AY223" s="399"/>
      <c r="AZ223" s="398">
        <f>IF(D209="нет",AY223,AY223*1.18)</f>
        <v>0</v>
      </c>
      <c r="BA223" s="399"/>
      <c r="BB223" s="399"/>
      <c r="BC223" s="398">
        <f>IF(D209="нет",BB223,BB223*1.18)</f>
        <v>0</v>
      </c>
      <c r="BD223" s="399"/>
      <c r="BE223" s="399"/>
      <c r="BF223" s="398">
        <f t="shared" si="27"/>
        <v>0</v>
      </c>
      <c r="BG223" s="843"/>
      <c r="BH223" s="844"/>
      <c r="BI223" s="844"/>
      <c r="BJ223" s="844"/>
      <c r="BK223" s="845"/>
      <c r="BL223" s="398">
        <f t="shared" si="15"/>
        <v>0</v>
      </c>
      <c r="BM223" s="398">
        <f t="shared" si="16"/>
        <v>0</v>
      </c>
      <c r="BN223" s="399"/>
      <c r="BO223" s="398">
        <f>IF(D209="нет",BN223,BN223*1.18)</f>
        <v>0</v>
      </c>
      <c r="BP223" s="399"/>
      <c r="BQ223" s="399"/>
      <c r="BR223" s="398">
        <f>IF(D209="нет",BQ223,BQ223*1.18)</f>
        <v>0</v>
      </c>
      <c r="BS223" s="399"/>
      <c r="BT223" s="399"/>
      <c r="BU223" s="398">
        <f t="shared" si="28"/>
        <v>0</v>
      </c>
      <c r="BV223" s="843"/>
      <c r="BW223" s="844"/>
      <c r="BX223" s="844"/>
      <c r="BY223" s="844"/>
      <c r="BZ223" s="845"/>
      <c r="CA223" s="398">
        <f t="shared" si="17"/>
        <v>0</v>
      </c>
      <c r="CB223" s="398">
        <f t="shared" si="18"/>
        <v>0</v>
      </c>
      <c r="CC223" s="399"/>
      <c r="CD223" s="398">
        <f>IF(D209="нет",CC223,CC223*1.18)</f>
        <v>0</v>
      </c>
      <c r="CE223" s="399"/>
      <c r="CF223" s="399"/>
      <c r="CG223" s="398">
        <f>IF(D209="нет",CF223,CF223*1.18)</f>
        <v>0</v>
      </c>
      <c r="CH223" s="399"/>
      <c r="CI223" s="399"/>
      <c r="CJ223" s="398">
        <f t="shared" si="29"/>
        <v>0</v>
      </c>
      <c r="CK223" s="398">
        <f t="shared" si="19"/>
        <v>0</v>
      </c>
      <c r="CL223" s="852"/>
      <c r="CM223" s="398">
        <f t="shared" si="22"/>
        <v>0</v>
      </c>
      <c r="CN223" s="398">
        <f t="shared" si="23"/>
        <v>0</v>
      </c>
      <c r="CO223" s="398">
        <f t="shared" si="24"/>
        <v>0</v>
      </c>
      <c r="CP223" s="398">
        <f t="shared" si="25"/>
        <v>0</v>
      </c>
      <c r="CQ223" s="398">
        <f t="shared" si="26"/>
        <v>0</v>
      </c>
      <c r="CR223" s="849"/>
      <c r="CS223"/>
      <c r="CT223"/>
      <c r="CU223"/>
      <c r="CV223"/>
      <c r="CW223"/>
      <c r="CX223"/>
      <c r="CY223"/>
      <c r="CZ223"/>
      <c r="DA223"/>
      <c r="DB223"/>
      <c r="DC223"/>
      <c r="DD223"/>
      <c r="DE223"/>
      <c r="DF223" s="77"/>
      <c r="DG223" s="77"/>
      <c r="DH223" s="77"/>
      <c r="DI223" s="77"/>
      <c r="DJ223" s="77"/>
      <c r="DK223" s="77"/>
      <c r="DL223" s="77"/>
      <c r="DM223" s="77"/>
      <c r="DN223" s="77"/>
      <c r="DO223" s="381"/>
      <c r="DP223" s="77"/>
      <c r="DQ223" s="77"/>
      <c r="DR223" s="77"/>
      <c r="DS223" s="77"/>
      <c r="DT223" s="77"/>
    </row>
    <row r="224" spans="1:152" s="60" customFormat="1">
      <c r="A224" s="861" t="s">
        <v>3150</v>
      </c>
      <c r="B224" s="861"/>
      <c r="D224"/>
      <c r="E224"/>
      <c r="H224" s="388" t="s">
        <v>3151</v>
      </c>
      <c r="Y224" s="387"/>
      <c r="Z224" s="387"/>
      <c r="AA224" s="387"/>
      <c r="AB224" s="387"/>
      <c r="AC224" s="387"/>
      <c r="AD224" s="387"/>
      <c r="AE224" s="387"/>
      <c r="AF224" s="387"/>
      <c r="AG224" s="387"/>
      <c r="AH224" s="387"/>
      <c r="AI224" s="387"/>
      <c r="AJ224" s="387"/>
      <c r="AK224" s="387"/>
      <c r="AL224" s="387"/>
      <c r="AM224" s="387"/>
      <c r="AN224" s="387"/>
      <c r="AO224" s="387"/>
      <c r="AP224" s="387"/>
      <c r="AQ224" s="387"/>
      <c r="AR224" s="387"/>
      <c r="AS224" s="387"/>
      <c r="AT224" s="387"/>
      <c r="AU224" s="387"/>
      <c r="AV224" s="387"/>
      <c r="AW224" s="387"/>
      <c r="AX224" s="387"/>
      <c r="AY224" s="387"/>
      <c r="AZ224" s="387"/>
      <c r="BA224" s="387"/>
      <c r="BB224" s="387"/>
      <c r="BC224" s="387"/>
      <c r="BD224" s="387"/>
      <c r="BE224" s="387"/>
      <c r="BF224" s="387"/>
      <c r="BG224" s="387"/>
      <c r="BH224" s="387"/>
      <c r="BI224" s="387"/>
      <c r="BJ224" s="387"/>
      <c r="BK224" s="387"/>
      <c r="BL224" s="387"/>
      <c r="BM224" s="387"/>
      <c r="BN224" s="387"/>
      <c r="BO224" s="387"/>
      <c r="BP224" s="387"/>
      <c r="BQ224" s="387"/>
      <c r="BR224" s="387"/>
      <c r="BS224" s="387"/>
      <c r="BT224" s="387"/>
      <c r="BU224" s="387"/>
      <c r="BV224" s="387"/>
      <c r="BW224" s="387"/>
      <c r="BX224" s="387"/>
      <c r="BY224" s="387"/>
      <c r="BZ224" s="387"/>
      <c r="CA224" s="387"/>
      <c r="CB224" s="387"/>
      <c r="CC224" s="387"/>
      <c r="CD224" s="387"/>
      <c r="CE224" s="387"/>
      <c r="CF224" s="387"/>
      <c r="CG224" s="387"/>
      <c r="CH224" s="387"/>
      <c r="CI224" s="387"/>
      <c r="CJ224" s="387"/>
      <c r="CK224" s="387"/>
      <c r="CL224" s="387"/>
      <c r="CM224" s="387"/>
      <c r="CN224" s="387"/>
      <c r="CO224" s="387"/>
      <c r="CP224" s="387"/>
      <c r="CQ224" s="387"/>
      <c r="CS224"/>
      <c r="CT224"/>
      <c r="CU224"/>
      <c r="CV224"/>
      <c r="CW224"/>
      <c r="CX224"/>
      <c r="CY224"/>
      <c r="CZ224"/>
      <c r="DA224"/>
      <c r="DB224"/>
      <c r="DC224"/>
      <c r="DD224"/>
      <c r="DE224"/>
    </row>
    <row r="225" spans="2:109" s="60" customFormat="1">
      <c r="B225" s="38"/>
      <c r="C225" s="497" t="str">
        <f>F225 &amp; ".0"</f>
        <v>.0</v>
      </c>
      <c r="D225"/>
      <c r="E225"/>
      <c r="F225" s="833"/>
      <c r="G225" s="835"/>
      <c r="H225" s="389" t="s">
        <v>1768</v>
      </c>
      <c r="I225" s="390"/>
      <c r="J225" s="396"/>
      <c r="K225" s="396"/>
      <c r="L225" s="396"/>
      <c r="M225" s="396"/>
      <c r="N225" s="396"/>
      <c r="O225" s="396"/>
      <c r="P225" s="396"/>
      <c r="Q225" s="396"/>
      <c r="R225" s="396"/>
      <c r="S225" s="396"/>
      <c r="T225" s="396"/>
      <c r="U225" s="396"/>
      <c r="V225" s="396"/>
      <c r="W225" s="396"/>
      <c r="X225" s="396"/>
      <c r="Y225" s="395"/>
      <c r="Z225" s="395"/>
      <c r="AA225" s="395"/>
      <c r="AB225" s="395"/>
      <c r="AC225" s="395"/>
      <c r="AD225" s="395"/>
      <c r="AE225" s="395"/>
      <c r="AF225" s="395"/>
      <c r="AG225" s="395"/>
      <c r="AH225" s="395"/>
      <c r="AI225" s="395"/>
      <c r="AJ225" s="395"/>
      <c r="AK225" s="395"/>
      <c r="AL225" s="395"/>
      <c r="AM225" s="395"/>
      <c r="AN225" s="395"/>
      <c r="AO225" s="395"/>
      <c r="AP225" s="395"/>
      <c r="AQ225" s="395"/>
      <c r="AR225" s="395"/>
      <c r="AS225" s="395"/>
      <c r="AT225" s="395"/>
      <c r="AU225" s="395"/>
      <c r="AV225" s="395"/>
      <c r="AW225" s="395"/>
      <c r="AX225" s="395"/>
      <c r="AY225" s="395"/>
      <c r="AZ225" s="395"/>
      <c r="BA225" s="395"/>
      <c r="BB225" s="395"/>
      <c r="BC225" s="395"/>
      <c r="BD225" s="395"/>
      <c r="BE225" s="395"/>
      <c r="BF225" s="395"/>
      <c r="BG225" s="395"/>
      <c r="BH225" s="395"/>
      <c r="BI225" s="395"/>
      <c r="BJ225" s="395"/>
      <c r="BK225" s="395"/>
      <c r="BL225" s="395"/>
      <c r="BM225" s="395"/>
      <c r="BN225" s="395"/>
      <c r="BO225" s="395"/>
      <c r="BP225" s="395"/>
      <c r="BQ225" s="395"/>
      <c r="BR225" s="395"/>
      <c r="BS225" s="395"/>
      <c r="BT225" s="395"/>
      <c r="BU225" s="395"/>
      <c r="BV225" s="395"/>
      <c r="BW225" s="395"/>
      <c r="BX225" s="395"/>
      <c r="BY225" s="395"/>
      <c r="BZ225" s="395"/>
      <c r="CA225" s="395"/>
      <c r="CB225" s="395"/>
      <c r="CC225" s="395"/>
      <c r="CD225" s="395"/>
      <c r="CE225" s="395"/>
      <c r="CF225" s="395"/>
      <c r="CG225" s="395"/>
      <c r="CH225" s="395"/>
      <c r="CI225" s="395"/>
      <c r="CJ225" s="395"/>
      <c r="CK225" s="395"/>
      <c r="CL225" s="395"/>
      <c r="CM225" s="395"/>
      <c r="CN225" s="395"/>
      <c r="CO225" s="395"/>
      <c r="CP225" s="395"/>
      <c r="CQ225" s="395"/>
      <c r="CR225" s="396"/>
      <c r="CS225"/>
      <c r="CT225"/>
      <c r="CU225"/>
      <c r="CV225"/>
      <c r="CW225"/>
      <c r="CX225"/>
      <c r="CY225"/>
      <c r="CZ225"/>
      <c r="DA225"/>
      <c r="DB225"/>
      <c r="DC225"/>
      <c r="DD225"/>
      <c r="DE225"/>
    </row>
    <row r="226" spans="2:109" s="60" customFormat="1">
      <c r="B226" s="38"/>
      <c r="D226"/>
      <c r="E226"/>
      <c r="F226" s="833"/>
      <c r="G226" s="835"/>
      <c r="H226" s="836" t="s">
        <v>1775</v>
      </c>
      <c r="I226" s="393" t="s">
        <v>1776</v>
      </c>
      <c r="J226" s="396"/>
      <c r="K226" s="396"/>
      <c r="L226" s="396"/>
      <c r="M226" s="396"/>
      <c r="N226" s="396"/>
      <c r="O226" s="396"/>
      <c r="P226" s="396"/>
      <c r="Q226" s="396"/>
      <c r="R226" s="396"/>
      <c r="S226" s="396"/>
      <c r="T226" s="396"/>
      <c r="U226" s="396"/>
      <c r="V226" s="396"/>
      <c r="W226" s="396"/>
      <c r="X226" s="396"/>
      <c r="Y226" s="395"/>
      <c r="Z226" s="395"/>
      <c r="AA226" s="395"/>
      <c r="AB226" s="395"/>
      <c r="AC226" s="395"/>
      <c r="AD226" s="395"/>
      <c r="AE226" s="395"/>
      <c r="AF226" s="395"/>
      <c r="AG226" s="395"/>
      <c r="AH226" s="395"/>
      <c r="AI226" s="395"/>
      <c r="AJ226" s="395"/>
      <c r="AK226" s="395"/>
      <c r="AL226" s="395"/>
      <c r="AM226" s="395"/>
      <c r="AN226" s="395"/>
      <c r="AO226" s="395"/>
      <c r="AP226" s="395"/>
      <c r="AQ226" s="395"/>
      <c r="AR226" s="395"/>
      <c r="AS226" s="395"/>
      <c r="AT226" s="395"/>
      <c r="AU226" s="395"/>
      <c r="AV226" s="395"/>
      <c r="AW226" s="395"/>
      <c r="AX226" s="395"/>
      <c r="AY226" s="395"/>
      <c r="AZ226" s="395"/>
      <c r="BA226" s="395"/>
      <c r="BB226" s="395"/>
      <c r="BC226" s="395"/>
      <c r="BD226" s="395"/>
      <c r="BE226" s="395"/>
      <c r="BF226" s="395"/>
      <c r="BG226" s="395"/>
      <c r="BH226" s="395"/>
      <c r="BI226" s="395"/>
      <c r="BJ226" s="395"/>
      <c r="BK226" s="395"/>
      <c r="BL226" s="395"/>
      <c r="BM226" s="395"/>
      <c r="BN226" s="395"/>
      <c r="BO226" s="395"/>
      <c r="BP226" s="395"/>
      <c r="BQ226" s="395"/>
      <c r="BR226" s="395"/>
      <c r="BS226" s="395"/>
      <c r="BT226" s="395"/>
      <c r="BU226" s="395"/>
      <c r="BV226" s="395"/>
      <c r="BW226" s="395"/>
      <c r="BX226" s="395"/>
      <c r="BY226" s="395"/>
      <c r="BZ226" s="395"/>
      <c r="CA226" s="395"/>
      <c r="CB226" s="395"/>
      <c r="CC226" s="395"/>
      <c r="CD226" s="395"/>
      <c r="CE226" s="395"/>
      <c r="CF226" s="395"/>
      <c r="CG226" s="395"/>
      <c r="CH226" s="395"/>
      <c r="CI226" s="395"/>
      <c r="CJ226" s="395"/>
      <c r="CK226" s="395"/>
      <c r="CL226" s="395"/>
      <c r="CM226" s="395"/>
      <c r="CN226" s="395"/>
      <c r="CO226" s="395"/>
      <c r="CP226" s="395"/>
      <c r="CQ226" s="395"/>
      <c r="CR226" s="396"/>
      <c r="CS226"/>
      <c r="CT226"/>
      <c r="CU226"/>
      <c r="CV226"/>
      <c r="CW226"/>
      <c r="CX226"/>
      <c r="CY226"/>
      <c r="CZ226"/>
      <c r="DA226"/>
      <c r="DB226"/>
      <c r="DC226"/>
      <c r="DD226"/>
      <c r="DE226"/>
    </row>
    <row r="227" spans="2:109" s="60" customFormat="1">
      <c r="B227" s="38"/>
      <c r="D227"/>
      <c r="E227"/>
      <c r="F227" s="833"/>
      <c r="G227" s="835"/>
      <c r="H227" s="836"/>
      <c r="I227" s="393" t="s">
        <v>1777</v>
      </c>
      <c r="J227" s="396"/>
      <c r="K227" s="396"/>
      <c r="L227" s="396"/>
      <c r="M227" s="396"/>
      <c r="N227" s="396"/>
      <c r="O227" s="396"/>
      <c r="P227" s="396"/>
      <c r="Q227" s="396"/>
      <c r="R227" s="396"/>
      <c r="S227" s="396"/>
      <c r="T227" s="396"/>
      <c r="U227" s="396"/>
      <c r="V227" s="396"/>
      <c r="W227" s="396"/>
      <c r="X227" s="396"/>
      <c r="Y227" s="395"/>
      <c r="Z227" s="395"/>
      <c r="AA227" s="395"/>
      <c r="AB227" s="395"/>
      <c r="AC227" s="395"/>
      <c r="AD227" s="395"/>
      <c r="AE227" s="395"/>
      <c r="AF227" s="395"/>
      <c r="AG227" s="395"/>
      <c r="AH227" s="395"/>
      <c r="AI227" s="395"/>
      <c r="AJ227" s="395"/>
      <c r="AK227" s="395"/>
      <c r="AL227" s="395"/>
      <c r="AM227" s="395"/>
      <c r="AN227" s="395"/>
      <c r="AO227" s="395"/>
      <c r="AP227" s="395"/>
      <c r="AQ227" s="395"/>
      <c r="AR227" s="395"/>
      <c r="AS227" s="395"/>
      <c r="AT227" s="395"/>
      <c r="AU227" s="395"/>
      <c r="AV227" s="395"/>
      <c r="AW227" s="395"/>
      <c r="AX227" s="395"/>
      <c r="AY227" s="395"/>
      <c r="AZ227" s="395"/>
      <c r="BA227" s="395"/>
      <c r="BB227" s="395"/>
      <c r="BC227" s="395"/>
      <c r="BD227" s="395"/>
      <c r="BE227" s="395"/>
      <c r="BF227" s="395"/>
      <c r="BG227" s="395"/>
      <c r="BH227" s="395"/>
      <c r="BI227" s="395"/>
      <c r="BJ227" s="395"/>
      <c r="BK227" s="395"/>
      <c r="BL227" s="395"/>
      <c r="BM227" s="395"/>
      <c r="BN227" s="395"/>
      <c r="BO227" s="395"/>
      <c r="BP227" s="395"/>
      <c r="BQ227" s="395"/>
      <c r="BR227" s="395"/>
      <c r="BS227" s="395"/>
      <c r="BT227" s="395"/>
      <c r="BU227" s="395"/>
      <c r="BV227" s="395"/>
      <c r="BW227" s="395"/>
      <c r="BX227" s="395"/>
      <c r="BY227" s="395"/>
      <c r="BZ227" s="395"/>
      <c r="CA227" s="395"/>
      <c r="CB227" s="395"/>
      <c r="CC227" s="395"/>
      <c r="CD227" s="395"/>
      <c r="CE227" s="395"/>
      <c r="CF227" s="395"/>
      <c r="CG227" s="395"/>
      <c r="CH227" s="395"/>
      <c r="CI227" s="395"/>
      <c r="CJ227" s="395"/>
      <c r="CK227" s="395"/>
      <c r="CL227" s="395"/>
      <c r="CM227" s="395"/>
      <c r="CN227" s="395"/>
      <c r="CO227" s="395"/>
      <c r="CP227" s="395"/>
      <c r="CQ227" s="395"/>
      <c r="CR227" s="396"/>
      <c r="CS227"/>
      <c r="CT227"/>
      <c r="CU227"/>
      <c r="CV227"/>
      <c r="CW227"/>
      <c r="CX227"/>
      <c r="CY227"/>
      <c r="CZ227"/>
      <c r="DA227"/>
      <c r="DB227"/>
      <c r="DC227"/>
      <c r="DD227"/>
      <c r="DE227"/>
    </row>
    <row r="228" spans="2:109" s="60" customFormat="1">
      <c r="B228" s="38"/>
      <c r="D228"/>
      <c r="E228"/>
      <c r="F228" s="833"/>
      <c r="G228" s="835"/>
      <c r="H228" s="836" t="s">
        <v>1778</v>
      </c>
      <c r="I228" s="393" t="s">
        <v>1776</v>
      </c>
      <c r="J228" s="396"/>
      <c r="K228" s="396"/>
      <c r="L228" s="396"/>
      <c r="M228" s="396"/>
      <c r="N228" s="396"/>
      <c r="O228" s="396"/>
      <c r="P228" s="396"/>
      <c r="Q228" s="396"/>
      <c r="R228" s="396"/>
      <c r="S228" s="396"/>
      <c r="T228" s="396"/>
      <c r="U228" s="396"/>
      <c r="V228" s="396"/>
      <c r="W228" s="396"/>
      <c r="X228" s="396"/>
      <c r="Y228" s="395"/>
      <c r="Z228" s="395"/>
      <c r="AA228" s="395"/>
      <c r="AB228" s="395"/>
      <c r="AC228" s="395"/>
      <c r="AD228" s="395"/>
      <c r="AE228" s="395"/>
      <c r="AF228" s="395"/>
      <c r="AG228" s="395"/>
      <c r="AH228" s="395"/>
      <c r="AI228" s="395"/>
      <c r="AJ228" s="395"/>
      <c r="AK228" s="395"/>
      <c r="AL228" s="395"/>
      <c r="AM228" s="395"/>
      <c r="AN228" s="395"/>
      <c r="AO228" s="395"/>
      <c r="AP228" s="395"/>
      <c r="AQ228" s="395"/>
      <c r="AR228" s="395"/>
      <c r="AS228" s="395"/>
      <c r="AT228" s="395"/>
      <c r="AU228" s="395"/>
      <c r="AV228" s="395"/>
      <c r="AW228" s="395"/>
      <c r="AX228" s="395"/>
      <c r="AY228" s="395"/>
      <c r="AZ228" s="395"/>
      <c r="BA228" s="395"/>
      <c r="BB228" s="395"/>
      <c r="BC228" s="395"/>
      <c r="BD228" s="395"/>
      <c r="BE228" s="395"/>
      <c r="BF228" s="395"/>
      <c r="BG228" s="395"/>
      <c r="BH228" s="395"/>
      <c r="BI228" s="395"/>
      <c r="BJ228" s="395"/>
      <c r="BK228" s="395"/>
      <c r="BL228" s="395"/>
      <c r="BM228" s="395"/>
      <c r="BN228" s="395"/>
      <c r="BO228" s="395"/>
      <c r="BP228" s="395"/>
      <c r="BQ228" s="395"/>
      <c r="BR228" s="395"/>
      <c r="BS228" s="395"/>
      <c r="BT228" s="395"/>
      <c r="BU228" s="395"/>
      <c r="BV228" s="395"/>
      <c r="BW228" s="395"/>
      <c r="BX228" s="395"/>
      <c r="BY228" s="395"/>
      <c r="BZ228" s="395"/>
      <c r="CA228" s="395"/>
      <c r="CB228" s="395"/>
      <c r="CC228" s="395"/>
      <c r="CD228" s="395"/>
      <c r="CE228" s="395"/>
      <c r="CF228" s="395"/>
      <c r="CG228" s="395"/>
      <c r="CH228" s="395"/>
      <c r="CI228" s="395"/>
      <c r="CJ228" s="395"/>
      <c r="CK228" s="395"/>
      <c r="CL228" s="395"/>
      <c r="CM228" s="395"/>
      <c r="CN228" s="395"/>
      <c r="CO228" s="395"/>
      <c r="CP228" s="395"/>
      <c r="CQ228" s="395"/>
      <c r="CR228" s="396"/>
      <c r="CS228"/>
      <c r="CT228"/>
      <c r="CU228"/>
      <c r="CV228"/>
      <c r="CW228"/>
      <c r="CX228"/>
      <c r="CY228"/>
      <c r="CZ228"/>
      <c r="DA228"/>
      <c r="DB228"/>
      <c r="DC228"/>
      <c r="DD228"/>
      <c r="DE228"/>
    </row>
    <row r="229" spans="2:109" s="60" customFormat="1">
      <c r="B229" s="38"/>
      <c r="D229"/>
      <c r="E229"/>
      <c r="F229" s="833"/>
      <c r="G229" s="835"/>
      <c r="H229" s="836"/>
      <c r="I229" s="393" t="s">
        <v>1777</v>
      </c>
      <c r="J229" s="396"/>
      <c r="K229" s="396"/>
      <c r="L229" s="396"/>
      <c r="M229" s="396"/>
      <c r="N229" s="396"/>
      <c r="O229" s="396"/>
      <c r="P229" s="396"/>
      <c r="Q229" s="396"/>
      <c r="R229" s="396"/>
      <c r="S229" s="396"/>
      <c r="T229" s="396"/>
      <c r="U229" s="396"/>
      <c r="V229" s="396"/>
      <c r="W229" s="396"/>
      <c r="X229" s="396"/>
      <c r="Y229" s="395"/>
      <c r="Z229" s="395"/>
      <c r="AA229" s="395"/>
      <c r="AB229" s="395"/>
      <c r="AC229" s="395"/>
      <c r="AD229" s="395"/>
      <c r="AE229" s="395"/>
      <c r="AF229" s="395"/>
      <c r="AG229" s="395"/>
      <c r="AH229" s="395"/>
      <c r="AI229" s="395"/>
      <c r="AJ229" s="395"/>
      <c r="AK229" s="395"/>
      <c r="AL229" s="395"/>
      <c r="AM229" s="395"/>
      <c r="AN229" s="395"/>
      <c r="AO229" s="395"/>
      <c r="AP229" s="395"/>
      <c r="AQ229" s="395"/>
      <c r="AR229" s="395"/>
      <c r="AS229" s="395"/>
      <c r="AT229" s="395"/>
      <c r="AU229" s="395"/>
      <c r="AV229" s="395"/>
      <c r="AW229" s="395"/>
      <c r="AX229" s="395"/>
      <c r="AY229" s="395"/>
      <c r="AZ229" s="395"/>
      <c r="BA229" s="395"/>
      <c r="BB229" s="395"/>
      <c r="BC229" s="395"/>
      <c r="BD229" s="395"/>
      <c r="BE229" s="395"/>
      <c r="BF229" s="395"/>
      <c r="BG229" s="395"/>
      <c r="BH229" s="395"/>
      <c r="BI229" s="395"/>
      <c r="BJ229" s="395"/>
      <c r="BK229" s="395"/>
      <c r="BL229" s="395"/>
      <c r="BM229" s="395"/>
      <c r="BN229" s="395"/>
      <c r="BO229" s="395"/>
      <c r="BP229" s="395"/>
      <c r="BQ229" s="395"/>
      <c r="BR229" s="395"/>
      <c r="BS229" s="395"/>
      <c r="BT229" s="395"/>
      <c r="BU229" s="395"/>
      <c r="BV229" s="395"/>
      <c r="BW229" s="395"/>
      <c r="BX229" s="395"/>
      <c r="BY229" s="395"/>
      <c r="BZ229" s="395"/>
      <c r="CA229" s="395"/>
      <c r="CB229" s="395"/>
      <c r="CC229" s="395"/>
      <c r="CD229" s="395"/>
      <c r="CE229" s="395"/>
      <c r="CF229" s="395"/>
      <c r="CG229" s="395"/>
      <c r="CH229" s="395"/>
      <c r="CI229" s="395"/>
      <c r="CJ229" s="395"/>
      <c r="CK229" s="395"/>
      <c r="CL229" s="395"/>
      <c r="CM229" s="395"/>
      <c r="CN229" s="395"/>
      <c r="CO229" s="395"/>
      <c r="CP229" s="395"/>
      <c r="CQ229" s="395"/>
      <c r="CR229" s="396"/>
      <c r="CS229"/>
      <c r="CT229"/>
      <c r="CU229"/>
      <c r="CV229"/>
      <c r="CW229"/>
      <c r="CX229"/>
      <c r="CY229"/>
      <c r="CZ229"/>
      <c r="DA229"/>
      <c r="DB229"/>
      <c r="DC229"/>
      <c r="DD229"/>
      <c r="DE229"/>
    </row>
    <row r="230" spans="2:109" s="60" customFormat="1">
      <c r="B230" s="38"/>
      <c r="D230"/>
      <c r="E230"/>
      <c r="F230" s="833"/>
      <c r="G230" s="835"/>
      <c r="H230" s="834" t="s">
        <v>1780</v>
      </c>
      <c r="I230" s="393" t="s">
        <v>1776</v>
      </c>
      <c r="J230" s="396"/>
      <c r="K230" s="396"/>
      <c r="L230" s="396"/>
      <c r="M230" s="396"/>
      <c r="N230" s="396"/>
      <c r="O230" s="396"/>
      <c r="P230" s="396"/>
      <c r="Q230" s="396"/>
      <c r="R230" s="396"/>
      <c r="S230" s="396"/>
      <c r="T230" s="396"/>
      <c r="U230" s="396"/>
      <c r="V230" s="396"/>
      <c r="W230" s="396"/>
      <c r="X230" s="396"/>
      <c r="Y230" s="395"/>
      <c r="Z230" s="395"/>
      <c r="AA230" s="395"/>
      <c r="AB230" s="395"/>
      <c r="AC230" s="395"/>
      <c r="AD230" s="395"/>
      <c r="AE230" s="395"/>
      <c r="AF230" s="395"/>
      <c r="AG230" s="395"/>
      <c r="AH230" s="395"/>
      <c r="AI230" s="395"/>
      <c r="AJ230" s="395"/>
      <c r="AK230" s="395"/>
      <c r="AL230" s="395"/>
      <c r="AM230" s="395"/>
      <c r="AN230" s="395"/>
      <c r="AO230" s="395"/>
      <c r="AP230" s="395"/>
      <c r="AQ230" s="395"/>
      <c r="AR230" s="395"/>
      <c r="AS230" s="395"/>
      <c r="AT230" s="395"/>
      <c r="AU230" s="395"/>
      <c r="AV230" s="395"/>
      <c r="AW230" s="395"/>
      <c r="AX230" s="395"/>
      <c r="AY230" s="395"/>
      <c r="AZ230" s="395"/>
      <c r="BA230" s="395"/>
      <c r="BB230" s="395"/>
      <c r="BC230" s="395"/>
      <c r="BD230" s="395"/>
      <c r="BE230" s="395"/>
      <c r="BF230" s="395"/>
      <c r="BG230" s="395"/>
      <c r="BH230" s="395"/>
      <c r="BI230" s="395"/>
      <c r="BJ230" s="395"/>
      <c r="BK230" s="395"/>
      <c r="BL230" s="395"/>
      <c r="BM230" s="395"/>
      <c r="BN230" s="395"/>
      <c r="BO230" s="395"/>
      <c r="BP230" s="395"/>
      <c r="BQ230" s="395"/>
      <c r="BR230" s="395"/>
      <c r="BS230" s="395"/>
      <c r="BT230" s="395"/>
      <c r="BU230" s="395"/>
      <c r="BV230" s="395"/>
      <c r="BW230" s="395"/>
      <c r="BX230" s="395"/>
      <c r="BY230" s="395"/>
      <c r="BZ230" s="395"/>
      <c r="CA230" s="395"/>
      <c r="CB230" s="395"/>
      <c r="CC230" s="395"/>
      <c r="CD230" s="395"/>
      <c r="CE230" s="395"/>
      <c r="CF230" s="395"/>
      <c r="CG230" s="395"/>
      <c r="CH230" s="395"/>
      <c r="CI230" s="395"/>
      <c r="CJ230" s="395"/>
      <c r="CK230" s="395"/>
      <c r="CL230" s="395"/>
      <c r="CM230" s="395"/>
      <c r="CN230" s="395"/>
      <c r="CO230" s="395"/>
      <c r="CP230" s="395"/>
      <c r="CQ230" s="395"/>
      <c r="CR230" s="396"/>
      <c r="CS230"/>
      <c r="CT230"/>
      <c r="CU230"/>
      <c r="CV230"/>
      <c r="CW230"/>
      <c r="CX230"/>
      <c r="CY230"/>
      <c r="CZ230"/>
      <c r="DA230"/>
      <c r="DB230"/>
      <c r="DC230"/>
      <c r="DD230"/>
      <c r="DE230"/>
    </row>
    <row r="231" spans="2:109" s="60" customFormat="1">
      <c r="B231" s="38"/>
      <c r="D231"/>
      <c r="E231"/>
      <c r="F231" s="833"/>
      <c r="G231" s="835"/>
      <c r="H231" s="834"/>
      <c r="I231" s="393" t="s">
        <v>1777</v>
      </c>
      <c r="J231" s="396"/>
      <c r="K231" s="396"/>
      <c r="L231" s="396"/>
      <c r="M231" s="396"/>
      <c r="N231" s="396"/>
      <c r="O231" s="396"/>
      <c r="P231" s="396"/>
      <c r="Q231" s="396"/>
      <c r="R231" s="396"/>
      <c r="S231" s="396"/>
      <c r="T231" s="396"/>
      <c r="U231" s="396"/>
      <c r="V231" s="396"/>
      <c r="W231" s="396"/>
      <c r="X231" s="396"/>
      <c r="Y231" s="395"/>
      <c r="Z231" s="395"/>
      <c r="AA231" s="395"/>
      <c r="AB231" s="395"/>
      <c r="AC231" s="395"/>
      <c r="AD231" s="395"/>
      <c r="AE231" s="395"/>
      <c r="AF231" s="395"/>
      <c r="AG231" s="395"/>
      <c r="AH231" s="395"/>
      <c r="AI231" s="395"/>
      <c r="AJ231" s="395"/>
      <c r="AK231" s="395"/>
      <c r="AL231" s="395"/>
      <c r="AM231" s="395"/>
      <c r="AN231" s="395"/>
      <c r="AO231" s="395"/>
      <c r="AP231" s="395"/>
      <c r="AQ231" s="395"/>
      <c r="AR231" s="395"/>
      <c r="AS231" s="395"/>
      <c r="AT231" s="395"/>
      <c r="AU231" s="395"/>
      <c r="AV231" s="395"/>
      <c r="AW231" s="395"/>
      <c r="AX231" s="395"/>
      <c r="AY231" s="395"/>
      <c r="AZ231" s="395"/>
      <c r="BA231" s="395"/>
      <c r="BB231" s="395"/>
      <c r="BC231" s="395"/>
      <c r="BD231" s="395"/>
      <c r="BE231" s="395"/>
      <c r="BF231" s="395"/>
      <c r="BG231" s="395"/>
      <c r="BH231" s="395"/>
      <c r="BI231" s="395"/>
      <c r="BJ231" s="395"/>
      <c r="BK231" s="395"/>
      <c r="BL231" s="395"/>
      <c r="BM231" s="395"/>
      <c r="BN231" s="395"/>
      <c r="BO231" s="395"/>
      <c r="BP231" s="395"/>
      <c r="BQ231" s="395"/>
      <c r="BR231" s="395"/>
      <c r="BS231" s="395"/>
      <c r="BT231" s="395"/>
      <c r="BU231" s="395"/>
      <c r="BV231" s="395"/>
      <c r="BW231" s="395"/>
      <c r="BX231" s="395"/>
      <c r="BY231" s="395"/>
      <c r="BZ231" s="395"/>
      <c r="CA231" s="395"/>
      <c r="CB231" s="395"/>
      <c r="CC231" s="395"/>
      <c r="CD231" s="395"/>
      <c r="CE231" s="395"/>
      <c r="CF231" s="395"/>
      <c r="CG231" s="395"/>
      <c r="CH231" s="395"/>
      <c r="CI231" s="395"/>
      <c r="CJ231" s="395"/>
      <c r="CK231" s="395"/>
      <c r="CL231" s="395"/>
      <c r="CM231" s="395"/>
      <c r="CN231" s="395"/>
      <c r="CO231" s="395"/>
      <c r="CP231" s="395"/>
      <c r="CQ231" s="395"/>
      <c r="CR231" s="396"/>
      <c r="CS231"/>
      <c r="CT231"/>
      <c r="CU231"/>
      <c r="CV231"/>
      <c r="CW231"/>
      <c r="CX231"/>
      <c r="CY231"/>
      <c r="CZ231"/>
      <c r="DA231"/>
      <c r="DB231"/>
      <c r="DC231"/>
      <c r="DD231"/>
      <c r="DE231"/>
    </row>
    <row r="232" spans="2:109" s="60" customFormat="1">
      <c r="B232" s="38"/>
      <c r="D232"/>
      <c r="E232"/>
      <c r="F232" s="833"/>
      <c r="G232" s="835"/>
      <c r="H232" s="834" t="s">
        <v>1781</v>
      </c>
      <c r="I232" s="393" t="s">
        <v>1776</v>
      </c>
      <c r="J232" s="396"/>
      <c r="K232" s="396"/>
      <c r="L232" s="396"/>
      <c r="M232" s="396"/>
      <c r="N232" s="396"/>
      <c r="O232" s="396"/>
      <c r="P232" s="396"/>
      <c r="Q232" s="396"/>
      <c r="R232" s="396"/>
      <c r="S232" s="396"/>
      <c r="T232" s="396"/>
      <c r="U232" s="396"/>
      <c r="V232" s="396"/>
      <c r="W232" s="396"/>
      <c r="X232" s="396"/>
      <c r="Y232" s="395"/>
      <c r="Z232" s="395"/>
      <c r="AA232" s="395"/>
      <c r="AB232" s="395"/>
      <c r="AC232" s="395"/>
      <c r="AD232" s="395"/>
      <c r="AE232" s="395"/>
      <c r="AF232" s="395"/>
      <c r="AG232" s="395"/>
      <c r="AH232" s="395"/>
      <c r="AI232" s="395"/>
      <c r="AJ232" s="395"/>
      <c r="AK232" s="395"/>
      <c r="AL232" s="395"/>
      <c r="AM232" s="395"/>
      <c r="AN232" s="395"/>
      <c r="AO232" s="395"/>
      <c r="AP232" s="395"/>
      <c r="AQ232" s="395"/>
      <c r="AR232" s="395"/>
      <c r="AS232" s="395"/>
      <c r="AT232" s="395"/>
      <c r="AU232" s="395"/>
      <c r="AV232" s="395"/>
      <c r="AW232" s="395"/>
      <c r="AX232" s="395"/>
      <c r="AY232" s="395"/>
      <c r="AZ232" s="395"/>
      <c r="BA232" s="395"/>
      <c r="BB232" s="395"/>
      <c r="BC232" s="395"/>
      <c r="BD232" s="395"/>
      <c r="BE232" s="395"/>
      <c r="BF232" s="395"/>
      <c r="BG232" s="395"/>
      <c r="BH232" s="395"/>
      <c r="BI232" s="395"/>
      <c r="BJ232" s="395"/>
      <c r="BK232" s="395"/>
      <c r="BL232" s="395"/>
      <c r="BM232" s="395"/>
      <c r="BN232" s="395"/>
      <c r="BO232" s="395"/>
      <c r="BP232" s="395"/>
      <c r="BQ232" s="395"/>
      <c r="BR232" s="395"/>
      <c r="BS232" s="395"/>
      <c r="BT232" s="395"/>
      <c r="BU232" s="395"/>
      <c r="BV232" s="395"/>
      <c r="BW232" s="395"/>
      <c r="BX232" s="395"/>
      <c r="BY232" s="395"/>
      <c r="BZ232" s="395"/>
      <c r="CA232" s="395"/>
      <c r="CB232" s="395"/>
      <c r="CC232" s="395"/>
      <c r="CD232" s="395"/>
      <c r="CE232" s="395"/>
      <c r="CF232" s="395"/>
      <c r="CG232" s="395"/>
      <c r="CH232" s="395"/>
      <c r="CI232" s="395"/>
      <c r="CJ232" s="395"/>
      <c r="CK232" s="395"/>
      <c r="CL232" s="395"/>
      <c r="CM232" s="395"/>
      <c r="CN232" s="395"/>
      <c r="CO232" s="395"/>
      <c r="CP232" s="395"/>
      <c r="CQ232" s="395"/>
      <c r="CR232" s="396"/>
      <c r="CS232"/>
      <c r="CT232"/>
      <c r="CU232"/>
      <c r="CV232"/>
      <c r="CW232"/>
      <c r="CX232"/>
      <c r="CY232"/>
      <c r="CZ232"/>
      <c r="DA232"/>
      <c r="DB232"/>
      <c r="DC232"/>
      <c r="DD232"/>
      <c r="DE232"/>
    </row>
    <row r="233" spans="2:109" s="60" customFormat="1">
      <c r="B233" s="38"/>
      <c r="D233"/>
      <c r="E233"/>
      <c r="F233" s="833"/>
      <c r="G233" s="835"/>
      <c r="H233" s="834"/>
      <c r="I233" s="393" t="s">
        <v>1777</v>
      </c>
      <c r="J233" s="396"/>
      <c r="K233" s="396"/>
      <c r="L233" s="396"/>
      <c r="M233" s="396"/>
      <c r="N233" s="396"/>
      <c r="O233" s="396"/>
      <c r="P233" s="396"/>
      <c r="Q233" s="396"/>
      <c r="R233" s="396"/>
      <c r="S233" s="396"/>
      <c r="T233" s="396"/>
      <c r="U233" s="396"/>
      <c r="V233" s="396"/>
      <c r="W233" s="396"/>
      <c r="X233" s="396"/>
      <c r="Y233" s="395"/>
      <c r="Z233" s="395"/>
      <c r="AA233" s="395"/>
      <c r="AB233" s="395"/>
      <c r="AC233" s="395"/>
      <c r="AD233" s="395"/>
      <c r="AE233" s="395"/>
      <c r="AF233" s="395"/>
      <c r="AG233" s="395"/>
      <c r="AH233" s="395"/>
      <c r="AI233" s="395"/>
      <c r="AJ233" s="395"/>
      <c r="AK233" s="395"/>
      <c r="AL233" s="395"/>
      <c r="AM233" s="395"/>
      <c r="AN233" s="395"/>
      <c r="AO233" s="395"/>
      <c r="AP233" s="395"/>
      <c r="AQ233" s="395"/>
      <c r="AR233" s="395"/>
      <c r="AS233" s="395"/>
      <c r="AT233" s="395"/>
      <c r="AU233" s="395"/>
      <c r="AV233" s="395"/>
      <c r="AW233" s="395"/>
      <c r="AX233" s="395"/>
      <c r="AY233" s="395"/>
      <c r="AZ233" s="395"/>
      <c r="BA233" s="395"/>
      <c r="BB233" s="395"/>
      <c r="BC233" s="395"/>
      <c r="BD233" s="395"/>
      <c r="BE233" s="395"/>
      <c r="BF233" s="395"/>
      <c r="BG233" s="395"/>
      <c r="BH233" s="395"/>
      <c r="BI233" s="395"/>
      <c r="BJ233" s="395"/>
      <c r="BK233" s="395"/>
      <c r="BL233" s="395"/>
      <c r="BM233" s="395"/>
      <c r="BN233" s="395"/>
      <c r="BO233" s="395"/>
      <c r="BP233" s="395"/>
      <c r="BQ233" s="395"/>
      <c r="BR233" s="395"/>
      <c r="BS233" s="395"/>
      <c r="BT233" s="395"/>
      <c r="BU233" s="395"/>
      <c r="BV233" s="395"/>
      <c r="BW233" s="395"/>
      <c r="BX233" s="395"/>
      <c r="BY233" s="395"/>
      <c r="BZ233" s="395"/>
      <c r="CA233" s="395"/>
      <c r="CB233" s="395"/>
      <c r="CC233" s="395"/>
      <c r="CD233" s="395"/>
      <c r="CE233" s="395"/>
      <c r="CF233" s="395"/>
      <c r="CG233" s="395"/>
      <c r="CH233" s="395"/>
      <c r="CI233" s="395"/>
      <c r="CJ233" s="395"/>
      <c r="CK233" s="395"/>
      <c r="CL233" s="395"/>
      <c r="CM233" s="395"/>
      <c r="CN233" s="395"/>
      <c r="CO233" s="395"/>
      <c r="CP233" s="395"/>
      <c r="CQ233" s="395"/>
      <c r="CR233" s="396"/>
      <c r="CS233"/>
      <c r="CT233"/>
      <c r="CU233"/>
      <c r="CV233"/>
      <c r="CW233"/>
      <c r="CX233"/>
      <c r="CY233"/>
      <c r="CZ233"/>
      <c r="DA233"/>
      <c r="DB233"/>
      <c r="DC233"/>
      <c r="DD233"/>
      <c r="DE233"/>
    </row>
    <row r="234" spans="2:109" s="60" customFormat="1">
      <c r="B234" s="38"/>
      <c r="D234"/>
      <c r="E234"/>
      <c r="F234" s="833"/>
      <c r="G234" s="835"/>
      <c r="H234" s="834" t="s">
        <v>1782</v>
      </c>
      <c r="I234" s="393" t="s">
        <v>1776</v>
      </c>
      <c r="J234" s="396"/>
      <c r="K234" s="396"/>
      <c r="L234" s="396"/>
      <c r="M234" s="396"/>
      <c r="N234" s="396"/>
      <c r="O234" s="396"/>
      <c r="P234" s="396"/>
      <c r="Q234" s="396"/>
      <c r="R234" s="396"/>
      <c r="S234" s="396"/>
      <c r="T234" s="396"/>
      <c r="U234" s="396"/>
      <c r="V234" s="396"/>
      <c r="W234" s="396"/>
      <c r="X234" s="396"/>
      <c r="Y234" s="395"/>
      <c r="Z234" s="395"/>
      <c r="AA234" s="395"/>
      <c r="AB234" s="395"/>
      <c r="AC234" s="395"/>
      <c r="AD234" s="395"/>
      <c r="AE234" s="395"/>
      <c r="AF234" s="395"/>
      <c r="AG234" s="395"/>
      <c r="AH234" s="395"/>
      <c r="AI234" s="395"/>
      <c r="AJ234" s="395"/>
      <c r="AK234" s="395"/>
      <c r="AL234" s="395"/>
      <c r="AM234" s="395"/>
      <c r="AN234" s="395"/>
      <c r="AO234" s="395"/>
      <c r="AP234" s="395"/>
      <c r="AQ234" s="395"/>
      <c r="AR234" s="395"/>
      <c r="AS234" s="395"/>
      <c r="AT234" s="395"/>
      <c r="AU234" s="395"/>
      <c r="AV234" s="395"/>
      <c r="AW234" s="395"/>
      <c r="AX234" s="395"/>
      <c r="AY234" s="395"/>
      <c r="AZ234" s="395"/>
      <c r="BA234" s="395"/>
      <c r="BB234" s="395"/>
      <c r="BC234" s="395"/>
      <c r="BD234" s="395"/>
      <c r="BE234" s="395"/>
      <c r="BF234" s="395"/>
      <c r="BG234" s="395"/>
      <c r="BH234" s="395"/>
      <c r="BI234" s="395"/>
      <c r="BJ234" s="395"/>
      <c r="BK234" s="395"/>
      <c r="BL234" s="395"/>
      <c r="BM234" s="395"/>
      <c r="BN234" s="395"/>
      <c r="BO234" s="395"/>
      <c r="BP234" s="395"/>
      <c r="BQ234" s="395"/>
      <c r="BR234" s="395"/>
      <c r="BS234" s="395"/>
      <c r="BT234" s="395"/>
      <c r="BU234" s="395"/>
      <c r="BV234" s="395"/>
      <c r="BW234" s="395"/>
      <c r="BX234" s="395"/>
      <c r="BY234" s="395"/>
      <c r="BZ234" s="395"/>
      <c r="CA234" s="395"/>
      <c r="CB234" s="395"/>
      <c r="CC234" s="395"/>
      <c r="CD234" s="395"/>
      <c r="CE234" s="395"/>
      <c r="CF234" s="395"/>
      <c r="CG234" s="395"/>
      <c r="CH234" s="395"/>
      <c r="CI234" s="395"/>
      <c r="CJ234" s="395"/>
      <c r="CK234" s="395"/>
      <c r="CL234" s="395"/>
      <c r="CM234" s="395"/>
      <c r="CN234" s="395"/>
      <c r="CO234" s="395"/>
      <c r="CP234" s="395"/>
      <c r="CQ234" s="395"/>
      <c r="CR234" s="396"/>
      <c r="CS234"/>
      <c r="CT234"/>
      <c r="CU234"/>
      <c r="CV234"/>
      <c r="CW234"/>
      <c r="CX234"/>
      <c r="CY234"/>
      <c r="CZ234"/>
      <c r="DA234"/>
      <c r="DB234"/>
      <c r="DC234"/>
      <c r="DD234"/>
      <c r="DE234"/>
    </row>
    <row r="235" spans="2:109" s="60" customFormat="1">
      <c r="B235" s="38"/>
      <c r="D235"/>
      <c r="E235"/>
      <c r="F235" s="833"/>
      <c r="G235" s="835"/>
      <c r="H235" s="834"/>
      <c r="I235" s="393" t="s">
        <v>1777</v>
      </c>
      <c r="J235" s="396"/>
      <c r="K235" s="396"/>
      <c r="L235" s="396"/>
      <c r="M235" s="396"/>
      <c r="N235" s="396"/>
      <c r="O235" s="396"/>
      <c r="P235" s="396"/>
      <c r="Q235" s="396"/>
      <c r="R235" s="396"/>
      <c r="S235" s="396"/>
      <c r="T235" s="396"/>
      <c r="U235" s="396"/>
      <c r="V235" s="396"/>
      <c r="W235" s="396"/>
      <c r="X235" s="396"/>
      <c r="Y235" s="395"/>
      <c r="Z235" s="395"/>
      <c r="AA235" s="395"/>
      <c r="AB235" s="395"/>
      <c r="AC235" s="395"/>
      <c r="AD235" s="395"/>
      <c r="AE235" s="395"/>
      <c r="AF235" s="395"/>
      <c r="AG235" s="395"/>
      <c r="AH235" s="395"/>
      <c r="AI235" s="395"/>
      <c r="AJ235" s="395"/>
      <c r="AK235" s="395"/>
      <c r="AL235" s="395"/>
      <c r="AM235" s="395"/>
      <c r="AN235" s="395"/>
      <c r="AO235" s="395"/>
      <c r="AP235" s="395"/>
      <c r="AQ235" s="395"/>
      <c r="AR235" s="395"/>
      <c r="AS235" s="395"/>
      <c r="AT235" s="395"/>
      <c r="AU235" s="395"/>
      <c r="AV235" s="395"/>
      <c r="AW235" s="395"/>
      <c r="AX235" s="395"/>
      <c r="AY235" s="395"/>
      <c r="AZ235" s="395"/>
      <c r="BA235" s="395"/>
      <c r="BB235" s="395"/>
      <c r="BC235" s="395"/>
      <c r="BD235" s="395"/>
      <c r="BE235" s="395"/>
      <c r="BF235" s="395"/>
      <c r="BG235" s="395"/>
      <c r="BH235" s="395"/>
      <c r="BI235" s="395"/>
      <c r="BJ235" s="395"/>
      <c r="BK235" s="395"/>
      <c r="BL235" s="395"/>
      <c r="BM235" s="395"/>
      <c r="BN235" s="395"/>
      <c r="BO235" s="395"/>
      <c r="BP235" s="395"/>
      <c r="BQ235" s="395"/>
      <c r="BR235" s="395"/>
      <c r="BS235" s="395"/>
      <c r="BT235" s="395"/>
      <c r="BU235" s="395"/>
      <c r="BV235" s="395"/>
      <c r="BW235" s="395"/>
      <c r="BX235" s="395"/>
      <c r="BY235" s="395"/>
      <c r="BZ235" s="395"/>
      <c r="CA235" s="395"/>
      <c r="CB235" s="395"/>
      <c r="CC235" s="395"/>
      <c r="CD235" s="395"/>
      <c r="CE235" s="395"/>
      <c r="CF235" s="395"/>
      <c r="CG235" s="395"/>
      <c r="CH235" s="395"/>
      <c r="CI235" s="395"/>
      <c r="CJ235" s="395"/>
      <c r="CK235" s="395"/>
      <c r="CL235" s="395"/>
      <c r="CM235" s="395"/>
      <c r="CN235" s="395"/>
      <c r="CO235" s="395"/>
      <c r="CP235" s="395"/>
      <c r="CQ235" s="395"/>
      <c r="CR235" s="396"/>
      <c r="CS235"/>
      <c r="CT235"/>
      <c r="CU235"/>
      <c r="CV235"/>
      <c r="CW235"/>
      <c r="CX235"/>
      <c r="CY235"/>
      <c r="CZ235"/>
      <c r="DA235"/>
      <c r="DB235"/>
      <c r="DC235"/>
      <c r="DD235"/>
      <c r="DE235"/>
    </row>
    <row r="236" spans="2:109" s="60" customFormat="1">
      <c r="B236" s="38"/>
      <c r="D236"/>
      <c r="E236"/>
      <c r="F236" s="833"/>
      <c r="G236" s="835"/>
      <c r="H236" s="834" t="s">
        <v>3139</v>
      </c>
      <c r="I236" s="393" t="s">
        <v>1776</v>
      </c>
      <c r="J236" s="396"/>
      <c r="K236" s="396"/>
      <c r="L236" s="396"/>
      <c r="M236" s="396"/>
      <c r="N236" s="396"/>
      <c r="O236" s="396"/>
      <c r="P236" s="396"/>
      <c r="Q236" s="396"/>
      <c r="R236" s="396"/>
      <c r="S236" s="396"/>
      <c r="T236" s="396"/>
      <c r="U236" s="396"/>
      <c r="V236" s="396"/>
      <c r="W236" s="396"/>
      <c r="X236" s="396"/>
      <c r="Y236" s="395"/>
      <c r="Z236" s="395"/>
      <c r="AA236" s="395"/>
      <c r="AB236" s="395"/>
      <c r="AC236" s="395"/>
      <c r="AD236" s="395"/>
      <c r="AE236" s="395"/>
      <c r="AF236" s="395"/>
      <c r="AG236" s="395"/>
      <c r="AH236" s="395"/>
      <c r="AI236" s="395"/>
      <c r="AJ236" s="395"/>
      <c r="AK236" s="395"/>
      <c r="AL236" s="395"/>
      <c r="AM236" s="395"/>
      <c r="AN236" s="395"/>
      <c r="AO236" s="395"/>
      <c r="AP236" s="395"/>
      <c r="AQ236" s="395"/>
      <c r="AR236" s="395"/>
      <c r="AS236" s="395"/>
      <c r="AT236" s="395"/>
      <c r="AU236" s="395"/>
      <c r="AV236" s="395"/>
      <c r="AW236" s="395"/>
      <c r="AX236" s="395"/>
      <c r="AY236" s="395"/>
      <c r="AZ236" s="395"/>
      <c r="BA236" s="395"/>
      <c r="BB236" s="395"/>
      <c r="BC236" s="395"/>
      <c r="BD236" s="395"/>
      <c r="BE236" s="395"/>
      <c r="BF236" s="395"/>
      <c r="BG236" s="395"/>
      <c r="BH236" s="395"/>
      <c r="BI236" s="395"/>
      <c r="BJ236" s="395"/>
      <c r="BK236" s="395"/>
      <c r="BL236" s="395"/>
      <c r="BM236" s="395"/>
      <c r="BN236" s="395"/>
      <c r="BO236" s="395"/>
      <c r="BP236" s="395"/>
      <c r="BQ236" s="395"/>
      <c r="BR236" s="395"/>
      <c r="BS236" s="395"/>
      <c r="BT236" s="395"/>
      <c r="BU236" s="395"/>
      <c r="BV236" s="395"/>
      <c r="BW236" s="395"/>
      <c r="BX236" s="395"/>
      <c r="BY236" s="395"/>
      <c r="BZ236" s="395"/>
      <c r="CA236" s="395"/>
      <c r="CB236" s="395"/>
      <c r="CC236" s="395"/>
      <c r="CD236" s="395"/>
      <c r="CE236" s="395"/>
      <c r="CF236" s="395"/>
      <c r="CG236" s="395"/>
      <c r="CH236" s="395"/>
      <c r="CI236" s="395"/>
      <c r="CJ236" s="395"/>
      <c r="CK236" s="395"/>
      <c r="CL236" s="395"/>
      <c r="CM236" s="395"/>
      <c r="CN236" s="395"/>
      <c r="CO236" s="395"/>
      <c r="CP236" s="395"/>
      <c r="CQ236" s="395"/>
      <c r="CR236" s="396"/>
      <c r="CS236"/>
      <c r="CT236"/>
      <c r="CU236"/>
      <c r="CV236"/>
      <c r="CW236"/>
      <c r="CX236"/>
      <c r="CY236"/>
      <c r="CZ236"/>
      <c r="DA236"/>
      <c r="DB236"/>
      <c r="DC236"/>
      <c r="DD236"/>
      <c r="DE236"/>
    </row>
    <row r="237" spans="2:109" s="60" customFormat="1">
      <c r="B237" s="38"/>
      <c r="D237"/>
      <c r="E237"/>
      <c r="F237" s="833"/>
      <c r="G237" s="835"/>
      <c r="H237" s="834"/>
      <c r="I237" s="393" t="s">
        <v>1777</v>
      </c>
      <c r="J237" s="397"/>
      <c r="K237" s="397"/>
      <c r="L237" s="397"/>
      <c r="M237" s="397"/>
      <c r="N237" s="397"/>
      <c r="O237" s="397"/>
      <c r="P237" s="397"/>
      <c r="Q237" s="397"/>
      <c r="R237" s="397"/>
      <c r="S237" s="397"/>
      <c r="T237" s="397"/>
      <c r="U237" s="397"/>
      <c r="V237" s="397"/>
      <c r="W237" s="397"/>
      <c r="X237" s="397"/>
      <c r="Y237" s="395"/>
      <c r="Z237" s="395"/>
      <c r="AA237" s="395"/>
      <c r="AB237" s="395"/>
      <c r="AC237" s="395"/>
      <c r="AD237" s="395"/>
      <c r="AE237" s="395"/>
      <c r="AF237" s="395"/>
      <c r="AG237" s="395"/>
      <c r="AH237" s="395"/>
      <c r="AI237" s="395"/>
      <c r="AJ237" s="395"/>
      <c r="AK237" s="395"/>
      <c r="AL237" s="395"/>
      <c r="AM237" s="395"/>
      <c r="AN237" s="395"/>
      <c r="AO237" s="395"/>
      <c r="AP237" s="395"/>
      <c r="AQ237" s="395"/>
      <c r="AR237" s="395"/>
      <c r="AS237" s="395"/>
      <c r="AT237" s="395"/>
      <c r="AU237" s="395"/>
      <c r="AV237" s="395"/>
      <c r="AW237" s="395"/>
      <c r="AX237" s="395"/>
      <c r="AY237" s="395"/>
      <c r="AZ237" s="395"/>
      <c r="BA237" s="395"/>
      <c r="BB237" s="395"/>
      <c r="BC237" s="395"/>
      <c r="BD237" s="395"/>
      <c r="BE237" s="395"/>
      <c r="BF237" s="395"/>
      <c r="BG237" s="395"/>
      <c r="BH237" s="395"/>
      <c r="BI237" s="395"/>
      <c r="BJ237" s="395"/>
      <c r="BK237" s="395"/>
      <c r="BL237" s="395"/>
      <c r="BM237" s="395"/>
      <c r="BN237" s="395"/>
      <c r="BO237" s="395"/>
      <c r="BP237" s="395"/>
      <c r="BQ237" s="395"/>
      <c r="BR237" s="395"/>
      <c r="BS237" s="395"/>
      <c r="BT237" s="395"/>
      <c r="BU237" s="395"/>
      <c r="BV237" s="395"/>
      <c r="BW237" s="395"/>
      <c r="BX237" s="395"/>
      <c r="BY237" s="395"/>
      <c r="BZ237" s="395"/>
      <c r="CA237" s="395"/>
      <c r="CB237" s="395"/>
      <c r="CC237" s="395"/>
      <c r="CD237" s="395"/>
      <c r="CE237" s="395"/>
      <c r="CF237" s="395"/>
      <c r="CG237" s="395"/>
      <c r="CH237" s="395"/>
      <c r="CI237" s="395"/>
      <c r="CJ237" s="395"/>
      <c r="CK237" s="395"/>
      <c r="CL237" s="395"/>
      <c r="CM237" s="395"/>
      <c r="CN237" s="395"/>
      <c r="CO237" s="395"/>
      <c r="CP237" s="395"/>
      <c r="CQ237" s="395"/>
      <c r="CR237" s="396"/>
      <c r="CS237"/>
      <c r="CT237"/>
      <c r="CU237"/>
      <c r="CV237"/>
      <c r="CW237"/>
      <c r="CX237"/>
      <c r="CY237"/>
      <c r="CZ237"/>
      <c r="DA237"/>
      <c r="DB237"/>
      <c r="DC237"/>
      <c r="DD237"/>
      <c r="DE237"/>
    </row>
    <row r="238" spans="2:109" s="60" customFormat="1">
      <c r="B238" s="38"/>
      <c r="D238"/>
      <c r="E238"/>
      <c r="F238" s="833"/>
      <c r="G238" s="835"/>
      <c r="H238" s="836" t="s">
        <v>1779</v>
      </c>
      <c r="I238" s="393" t="s">
        <v>1776</v>
      </c>
      <c r="J238" s="397"/>
      <c r="K238" s="397"/>
      <c r="L238" s="397"/>
      <c r="M238" s="397"/>
      <c r="N238" s="397"/>
      <c r="O238" s="397"/>
      <c r="P238" s="397"/>
      <c r="Q238" s="397"/>
      <c r="R238" s="397"/>
      <c r="S238" s="397"/>
      <c r="T238" s="397"/>
      <c r="U238" s="397"/>
      <c r="V238" s="397"/>
      <c r="W238" s="397"/>
      <c r="X238" s="397"/>
      <c r="Y238" s="395"/>
      <c r="Z238" s="395"/>
      <c r="AA238" s="395"/>
      <c r="AB238" s="395"/>
      <c r="AC238" s="395"/>
      <c r="AD238" s="395"/>
      <c r="AE238" s="395"/>
      <c r="AF238" s="395"/>
      <c r="AG238" s="395"/>
      <c r="AH238" s="395"/>
      <c r="AI238" s="395"/>
      <c r="AJ238" s="395"/>
      <c r="AK238" s="395"/>
      <c r="AL238" s="395"/>
      <c r="AM238" s="395"/>
      <c r="AN238" s="395"/>
      <c r="AO238" s="395"/>
      <c r="AP238" s="395"/>
      <c r="AQ238" s="395"/>
      <c r="AR238" s="395"/>
      <c r="AS238" s="395"/>
      <c r="AT238" s="395"/>
      <c r="AU238" s="395"/>
      <c r="AV238" s="395"/>
      <c r="AW238" s="395"/>
      <c r="AX238" s="395"/>
      <c r="AY238" s="395"/>
      <c r="AZ238" s="395"/>
      <c r="BA238" s="395"/>
      <c r="BB238" s="395"/>
      <c r="BC238" s="395"/>
      <c r="BD238" s="395"/>
      <c r="BE238" s="395"/>
      <c r="BF238" s="395"/>
      <c r="BG238" s="395"/>
      <c r="BH238" s="395"/>
      <c r="BI238" s="395"/>
      <c r="BJ238" s="395"/>
      <c r="BK238" s="395"/>
      <c r="BL238" s="395"/>
      <c r="BM238" s="395"/>
      <c r="BN238" s="395"/>
      <c r="BO238" s="395"/>
      <c r="BP238" s="395"/>
      <c r="BQ238" s="395"/>
      <c r="BR238" s="395"/>
      <c r="BS238" s="395"/>
      <c r="BT238" s="395"/>
      <c r="BU238" s="395"/>
      <c r="BV238" s="395"/>
      <c r="BW238" s="395"/>
      <c r="BX238" s="395"/>
      <c r="BY238" s="395"/>
      <c r="BZ238" s="395"/>
      <c r="CA238" s="395"/>
      <c r="CB238" s="395"/>
      <c r="CC238" s="395"/>
      <c r="CD238" s="395"/>
      <c r="CE238" s="395"/>
      <c r="CF238" s="395"/>
      <c r="CG238" s="395"/>
      <c r="CH238" s="395"/>
      <c r="CI238" s="395"/>
      <c r="CJ238" s="395"/>
      <c r="CK238" s="395"/>
      <c r="CL238" s="395"/>
      <c r="CM238" s="395"/>
      <c r="CN238" s="395"/>
      <c r="CO238" s="395"/>
      <c r="CP238" s="395"/>
      <c r="CQ238" s="395"/>
      <c r="CR238" s="396"/>
      <c r="CS238"/>
      <c r="CT238"/>
      <c r="CU238"/>
      <c r="CV238"/>
      <c r="CW238"/>
      <c r="CX238"/>
      <c r="CY238"/>
      <c r="CZ238"/>
      <c r="DA238"/>
      <c r="DB238"/>
      <c r="DC238"/>
      <c r="DD238"/>
      <c r="DE238"/>
    </row>
    <row r="239" spans="2:109" s="60" customFormat="1">
      <c r="D239"/>
      <c r="E239"/>
      <c r="F239" s="833"/>
      <c r="G239" s="835"/>
      <c r="H239" s="836"/>
      <c r="I239" s="393" t="s">
        <v>1777</v>
      </c>
      <c r="J239" s="397"/>
      <c r="K239" s="397"/>
      <c r="L239" s="397"/>
      <c r="M239" s="397"/>
      <c r="N239" s="397"/>
      <c r="O239" s="397"/>
      <c r="P239" s="397"/>
      <c r="Q239" s="397"/>
      <c r="R239" s="397"/>
      <c r="S239" s="397"/>
      <c r="T239" s="397"/>
      <c r="U239" s="397"/>
      <c r="V239" s="397"/>
      <c r="W239" s="397"/>
      <c r="X239" s="397"/>
      <c r="Y239" s="395"/>
      <c r="Z239" s="395"/>
      <c r="AA239" s="395"/>
      <c r="AB239" s="395"/>
      <c r="AC239" s="395"/>
      <c r="AD239" s="395"/>
      <c r="AE239" s="395"/>
      <c r="AF239" s="395"/>
      <c r="AG239" s="395"/>
      <c r="AH239" s="395"/>
      <c r="AI239" s="395"/>
      <c r="AJ239" s="395"/>
      <c r="AK239" s="395"/>
      <c r="AL239" s="395"/>
      <c r="AM239" s="395"/>
      <c r="AN239" s="395"/>
      <c r="AO239" s="395"/>
      <c r="AP239" s="395"/>
      <c r="AQ239" s="395"/>
      <c r="AR239" s="395"/>
      <c r="AS239" s="395"/>
      <c r="AT239" s="395"/>
      <c r="AU239" s="395"/>
      <c r="AV239" s="395"/>
      <c r="AW239" s="395"/>
      <c r="AX239" s="395"/>
      <c r="AY239" s="395"/>
      <c r="AZ239" s="395"/>
      <c r="BA239" s="395"/>
      <c r="BB239" s="395"/>
      <c r="BC239" s="395"/>
      <c r="BD239" s="395"/>
      <c r="BE239" s="395"/>
      <c r="BF239" s="395"/>
      <c r="BG239" s="395"/>
      <c r="BH239" s="395"/>
      <c r="BI239" s="395"/>
      <c r="BJ239" s="395"/>
      <c r="BK239" s="395"/>
      <c r="BL239" s="395"/>
      <c r="BM239" s="395"/>
      <c r="BN239" s="395"/>
      <c r="BO239" s="395"/>
      <c r="BP239" s="395"/>
      <c r="BQ239" s="395"/>
      <c r="BR239" s="395"/>
      <c r="BS239" s="395"/>
      <c r="BT239" s="395"/>
      <c r="BU239" s="395"/>
      <c r="BV239" s="395"/>
      <c r="BW239" s="395"/>
      <c r="BX239" s="395"/>
      <c r="BY239" s="395"/>
      <c r="BZ239" s="395"/>
      <c r="CA239" s="395"/>
      <c r="CB239" s="395"/>
      <c r="CC239" s="395"/>
      <c r="CD239" s="395"/>
      <c r="CE239" s="395"/>
      <c r="CF239" s="395"/>
      <c r="CG239" s="395"/>
      <c r="CH239" s="395"/>
      <c r="CI239" s="395"/>
      <c r="CJ239" s="395"/>
      <c r="CK239" s="395"/>
      <c r="CL239" s="395"/>
      <c r="CM239" s="395"/>
      <c r="CN239" s="395"/>
      <c r="CO239" s="395"/>
      <c r="CP239" s="395"/>
      <c r="CQ239" s="395"/>
      <c r="CR239" s="396"/>
      <c r="CS239"/>
      <c r="CT239"/>
      <c r="CU239"/>
      <c r="CV239"/>
      <c r="CW239"/>
      <c r="CX239"/>
      <c r="CY239"/>
      <c r="CZ239"/>
      <c r="DA239"/>
      <c r="DB239"/>
      <c r="DC239"/>
      <c r="DD239"/>
      <c r="DE239"/>
    </row>
    <row r="240" spans="2:109" s="60" customFormat="1">
      <c r="D240"/>
      <c r="E240"/>
      <c r="H240" s="388" t="s">
        <v>3152</v>
      </c>
      <c r="I240" s="59"/>
      <c r="Y240" s="387"/>
      <c r="Z240" s="387"/>
      <c r="AA240" s="387"/>
      <c r="AB240" s="387"/>
      <c r="AC240" s="387"/>
      <c r="AD240" s="387"/>
      <c r="AE240" s="387"/>
      <c r="AF240" s="387"/>
      <c r="AG240" s="387"/>
      <c r="AH240" s="387"/>
      <c r="AI240" s="387"/>
      <c r="AJ240" s="387"/>
      <c r="AK240" s="387"/>
      <c r="AL240" s="387"/>
      <c r="AM240" s="387"/>
      <c r="AN240" s="387"/>
      <c r="AO240" s="387"/>
      <c r="AP240" s="387"/>
      <c r="AQ240" s="387"/>
      <c r="AR240" s="387"/>
      <c r="AS240" s="387"/>
      <c r="AT240" s="387"/>
      <c r="AU240" s="387"/>
      <c r="AV240" s="387"/>
      <c r="AW240" s="387"/>
      <c r="AX240" s="387"/>
      <c r="AY240" s="387"/>
      <c r="AZ240" s="387"/>
      <c r="BA240" s="387"/>
      <c r="BB240" s="387"/>
      <c r="BC240" s="387"/>
      <c r="BD240" s="387"/>
      <c r="BE240" s="387"/>
      <c r="BF240" s="387"/>
      <c r="BG240" s="387"/>
      <c r="BH240" s="387"/>
      <c r="BI240" s="387"/>
      <c r="BJ240" s="387"/>
      <c r="BK240" s="387"/>
      <c r="BL240" s="387"/>
      <c r="BM240" s="387"/>
      <c r="BN240" s="387"/>
      <c r="BO240" s="387"/>
      <c r="BP240" s="387"/>
      <c r="BQ240" s="387"/>
      <c r="BR240" s="387"/>
      <c r="BS240" s="387"/>
      <c r="BT240" s="387"/>
      <c r="BU240" s="387"/>
      <c r="BV240" s="387"/>
      <c r="BW240" s="387"/>
      <c r="BX240" s="387"/>
      <c r="BY240" s="387"/>
      <c r="BZ240" s="387"/>
      <c r="CA240" s="387"/>
      <c r="CB240" s="387"/>
      <c r="CC240" s="387"/>
      <c r="CD240" s="387"/>
      <c r="CE240" s="387"/>
      <c r="CF240" s="387"/>
      <c r="CG240" s="387"/>
      <c r="CH240" s="387"/>
      <c r="CI240" s="387"/>
      <c r="CJ240" s="387"/>
      <c r="CK240" s="387"/>
      <c r="CL240" s="387"/>
      <c r="CM240" s="387"/>
      <c r="CN240" s="387"/>
      <c r="CO240" s="387"/>
      <c r="CP240" s="387"/>
      <c r="CQ240" s="387"/>
      <c r="CS240"/>
      <c r="CT240"/>
      <c r="CU240"/>
      <c r="CV240"/>
      <c r="CW240"/>
      <c r="CX240"/>
      <c r="CY240"/>
      <c r="CZ240"/>
      <c r="DA240"/>
      <c r="DB240"/>
      <c r="DC240"/>
      <c r="DD240"/>
      <c r="DE240"/>
    </row>
    <row r="241" spans="3:152" s="60" customFormat="1">
      <c r="C241" s="497" t="str">
        <f>F241 &amp; ".0"</f>
        <v>.0</v>
      </c>
      <c r="D241"/>
      <c r="E241"/>
      <c r="F241" s="833"/>
      <c r="G241" s="835"/>
      <c r="H241" s="389" t="s">
        <v>1768</v>
      </c>
      <c r="I241" s="390" t="s">
        <v>1769</v>
      </c>
      <c r="J241" s="391"/>
      <c r="K241" s="391"/>
      <c r="L241" s="391"/>
      <c r="M241" s="391"/>
      <c r="N241" s="391"/>
      <c r="O241" s="391"/>
      <c r="P241" s="391"/>
      <c r="Q241" s="391"/>
      <c r="R241" s="391"/>
      <c r="S241" s="391"/>
      <c r="T241" s="391"/>
      <c r="U241" s="391"/>
      <c r="V241" s="391"/>
      <c r="W241" s="391"/>
      <c r="X241" s="391"/>
      <c r="Y241" s="398">
        <f>IF((AG241+AQ241)&gt;0,(Y242*(AG242+AQ242)+Y243*(AG243+AQ243)+Y244*(AG244+AQ244)+Y245*(AG245+AQ245)+Y254*(AG254+AQ254)+Y255*(AG255+AQ255))/(AG241+AQ241),0)</f>
        <v>0</v>
      </c>
      <c r="Z241" s="398">
        <f>IF(D241="нет",Y241,Y241*1.18)</f>
        <v>0</v>
      </c>
      <c r="AA241" s="117"/>
      <c r="AB241" s="117"/>
      <c r="AC241" s="398">
        <f>IF(AG241&gt;0,(AR241*AV241+BG241*BK241+BV241*BZ241)/AG241,0)</f>
        <v>0</v>
      </c>
      <c r="AD241" s="398">
        <f>IF(D241="нет",AC241,AC241*1.18)</f>
        <v>0</v>
      </c>
      <c r="AE241" s="398">
        <f>IF(AG241&gt;0,(AR241*AV241+BG241*BK241+BV241*BZ241-AH241*AG241)/AG241,0)</f>
        <v>0</v>
      </c>
      <c r="AF241" s="398">
        <f>IF(D241="нет",AE241,AE241*1.18)</f>
        <v>0</v>
      </c>
      <c r="AG241" s="398">
        <f>AV241+BK241+BZ241</f>
        <v>0</v>
      </c>
      <c r="AH241" s="398">
        <f>IF(AG241&gt;0,(AH242*AG242+AH243*AG243+AH244*AG244+AH245*AG245+AH254*AG254+AH255*AG255)/AG241,0)</f>
        <v>0</v>
      </c>
      <c r="AI241" s="398">
        <f>IF(D241="нет",AH241,AH241*1.18)</f>
        <v>0</v>
      </c>
      <c r="AJ241" s="117"/>
      <c r="AK241" s="117"/>
      <c r="AL241" s="117"/>
      <c r="AM241" s="398">
        <f>IF($AQ241&gt;0,(AM242*$AQ242+AM243*$AQ243+AM244*$AQ244+AM245*$AQ245+AM254*$AQ254+AM255*$AQ255)/$AQ241,0)</f>
        <v>0</v>
      </c>
      <c r="AN241" s="398">
        <f>IF(D241="нет",AM241,AM241*1.18)</f>
        <v>0</v>
      </c>
      <c r="AO241" s="398">
        <f>IF($AQ241&gt;0,(AO242*$AQ242+AO243*$AQ243+AO244*$AQ244+AO245*$AQ245+AO254*$AQ254+AO255*$AQ255)/$AQ241,0)</f>
        <v>0</v>
      </c>
      <c r="AP241" s="398">
        <f>IF($D241="нет",AO241,AO241*1.18)</f>
        <v>0</v>
      </c>
      <c r="AQ241" s="398">
        <f>AQ242+AQ243+AQ244+AQ245+AQ254+AQ255</f>
        <v>0</v>
      </c>
      <c r="AR241" s="398">
        <f>IF($AV241&gt;0,(AR242*$AV242+AR243*$AV243+AR244*$AV244+AR245*$AV245+AR254*$AV254+AR255*$AV255)/$AV241,0)</f>
        <v>0</v>
      </c>
      <c r="AS241" s="398">
        <f>IF(D241="нет",AR241,AR241*1.18)</f>
        <v>0</v>
      </c>
      <c r="AT241" s="398">
        <f>IF($AV241&gt;0,(AT242*$AV242+AT243*$AV243+AT244*$AV244+AT245*$AV245+AT254*$AV254+AT255*$AV255)/$AV241,0)</f>
        <v>0</v>
      </c>
      <c r="AU241" s="398">
        <f>IF($D241="нет",AT241,AT241*1.18)</f>
        <v>0</v>
      </c>
      <c r="AV241" s="398">
        <f>AV242+AV243+AV244+AV245+AV254+AV255</f>
        <v>0</v>
      </c>
      <c r="AW241" s="832"/>
      <c r="AX241" s="832"/>
      <c r="AY241" s="832"/>
      <c r="AZ241" s="832"/>
      <c r="BA241" s="832"/>
      <c r="BB241" s="832"/>
      <c r="BC241" s="832"/>
      <c r="BD241" s="832"/>
      <c r="BE241" s="398">
        <f>BE242+BE243+BE244+BE245+BE254+BE255</f>
        <v>0</v>
      </c>
      <c r="BF241" s="398">
        <f>IF(AV241=0,0,1000*BE241/AV241)</f>
        <v>0</v>
      </c>
      <c r="BG241" s="398">
        <f>IF($BK241&gt;0,(BG242*$BK242+BG243*$BK243+BG244*$BK244+BG245*$BK245+BG254*$BK254+BG255*$BK255)/$BK241,0)</f>
        <v>0</v>
      </c>
      <c r="BH241" s="398">
        <f>IF(D241="нет",BG241,BG241*1.18)</f>
        <v>0</v>
      </c>
      <c r="BI241" s="398">
        <f>IF($BK241&gt;0,(BI242*$BK242+BI243*$BK243+BI244*$BK244+BI245*$BK245+BI254*$BK254+BI255*$BK255)/$BK241,0)</f>
        <v>0</v>
      </c>
      <c r="BJ241" s="398">
        <f>IF($D241="нет",BI241,BI241*1.18)</f>
        <v>0</v>
      </c>
      <c r="BK241" s="398">
        <f>BK242+BK243+BK244+BK245+BK254+BK255</f>
        <v>0</v>
      </c>
      <c r="BL241" s="832"/>
      <c r="BM241" s="832"/>
      <c r="BN241" s="832"/>
      <c r="BO241" s="832"/>
      <c r="BP241" s="832"/>
      <c r="BQ241" s="832"/>
      <c r="BR241" s="832"/>
      <c r="BS241" s="832"/>
      <c r="BT241" s="398">
        <f>BT242+BT243+BT244+BT245+BT254+BT255</f>
        <v>0</v>
      </c>
      <c r="BU241" s="398">
        <f>IF(BP241=0,0,1000*BT241/BP241)</f>
        <v>0</v>
      </c>
      <c r="BV241" s="398">
        <f>IF($BZ241&gt;0,(BV242*$BZ242+BV243*$BZ243+BV244*$BZ244+BV245*$BZ245+BV254*$BZ254+BV255*$BZ255)/$BZ241,0)</f>
        <v>0</v>
      </c>
      <c r="BW241" s="398">
        <f>IF(D241="нет",BV241,BV241*1.18)</f>
        <v>0</v>
      </c>
      <c r="BX241" s="398">
        <f>IF($BZ241&gt;0,(BX242*$BZ242+BX243*$BZ243+BX244*$BZ244+BX245*$BZ245+BX254*$BZ254+BX255*$BZ255)/$BZ241,0)</f>
        <v>0</v>
      </c>
      <c r="BY241" s="398">
        <f>IF($D241="нет",BX241,BX241*1.18)</f>
        <v>0</v>
      </c>
      <c r="BZ241" s="398">
        <f>BZ242+BZ243+BZ244+BZ245+BZ254+BZ255</f>
        <v>0</v>
      </c>
      <c r="CA241" s="832"/>
      <c r="CB241" s="832"/>
      <c r="CC241" s="832"/>
      <c r="CD241" s="832"/>
      <c r="CE241" s="832"/>
      <c r="CF241" s="832"/>
      <c r="CG241" s="832"/>
      <c r="CH241" s="832"/>
      <c r="CI241" s="398">
        <f>CI242+CI243+CI244+CI245+CI254+CI255</f>
        <v>0</v>
      </c>
      <c r="CJ241" s="398">
        <f>IF(BZ241=0,0,1000*CI241/BZ241)</f>
        <v>0</v>
      </c>
      <c r="CK241" s="398">
        <f>BE241+BT241+CI241</f>
        <v>0</v>
      </c>
      <c r="CL241" s="398">
        <f>SUM(CN242:CQ243,CN246:CQ255)</f>
        <v>0</v>
      </c>
      <c r="CM241" s="398">
        <f>SUMIF(CN241:CQ241,"&gt;0")</f>
        <v>0</v>
      </c>
      <c r="CN241" s="398">
        <f>SUMIF(CN242:CN243,"&gt;0")+SUMIF(CN246:CN255,"&gt;0")</f>
        <v>0</v>
      </c>
      <c r="CO241" s="398">
        <f>SUMIF(CO242:CO243,"&gt;0")+SUMIF(CO246:CO255,"&gt;0")</f>
        <v>0</v>
      </c>
      <c r="CP241" s="398">
        <f>SUMIF(CP242:CP243,"&gt;0")+SUMIF(CP246:CP255,"&gt;0")</f>
        <v>0</v>
      </c>
      <c r="CQ241" s="398">
        <f>SUMIF(CQ242:CQ243,"&gt;0")+SUMIF(CQ246:CQ255,"&gt;0")</f>
        <v>0</v>
      </c>
      <c r="CR241" s="846"/>
      <c r="CS241"/>
      <c r="CT241"/>
      <c r="CU241"/>
      <c r="CV241"/>
      <c r="CW241"/>
      <c r="CX241"/>
      <c r="CY241"/>
      <c r="CZ241"/>
      <c r="DA241"/>
      <c r="DB241"/>
      <c r="DC241"/>
      <c r="DD241"/>
      <c r="DE241"/>
      <c r="DF241" s="80">
        <f>AH241*AG241</f>
        <v>0</v>
      </c>
      <c r="DG241" s="80">
        <f>AI241*AG241</f>
        <v>0</v>
      </c>
      <c r="DH241" s="80">
        <f>AM241*AQ241</f>
        <v>0</v>
      </c>
      <c r="DI241" s="80">
        <f>AN241*AQ241</f>
        <v>0</v>
      </c>
      <c r="DJ241" s="80">
        <f>AR241*AV241</f>
        <v>0</v>
      </c>
      <c r="DK241" s="80">
        <f>AS241*AV241</f>
        <v>0</v>
      </c>
      <c r="DL241" s="80">
        <f>BG241*BK241</f>
        <v>0</v>
      </c>
      <c r="DM241" s="80">
        <f>BH241*BK241</f>
        <v>0</v>
      </c>
      <c r="DN241" s="80">
        <f>BV241*BZ241</f>
        <v>0</v>
      </c>
      <c r="DO241" s="80">
        <f>BW241*BZ241</f>
        <v>0</v>
      </c>
      <c r="DP241" s="382">
        <f>AW241*BA241</f>
        <v>0</v>
      </c>
      <c r="DQ241" s="382">
        <f>AX241*BA241</f>
        <v>0</v>
      </c>
      <c r="DR241" s="382">
        <f>AY241*BA241</f>
        <v>0</v>
      </c>
      <c r="DS241" s="382">
        <f>AZ241*BA241</f>
        <v>0</v>
      </c>
      <c r="DT241" s="382">
        <f>BB241*BD241</f>
        <v>0</v>
      </c>
      <c r="DU241" s="382">
        <f>BC241*BD241</f>
        <v>0</v>
      </c>
      <c r="DV241" s="382">
        <f>BL241*BP241</f>
        <v>0</v>
      </c>
      <c r="DW241" s="382">
        <f>BM241*BP241</f>
        <v>0</v>
      </c>
      <c r="DX241" s="382">
        <f>BN241*BP241</f>
        <v>0</v>
      </c>
      <c r="DY241" s="382">
        <f>BO241*BP241</f>
        <v>0</v>
      </c>
      <c r="DZ241" s="382">
        <f>BQ241*BS241</f>
        <v>0</v>
      </c>
      <c r="EA241" s="382">
        <f>BR241*BS241</f>
        <v>0</v>
      </c>
      <c r="EB241" s="382">
        <f>CA241*CE241</f>
        <v>0</v>
      </c>
      <c r="EC241" s="382">
        <f>CB241*CE241</f>
        <v>0</v>
      </c>
      <c r="ED241" s="382">
        <f>CC241*CE241</f>
        <v>0</v>
      </c>
      <c r="EE241" s="382">
        <f>CD241*CE241</f>
        <v>0</v>
      </c>
      <c r="EF241" s="382">
        <f>CF241*CH241</f>
        <v>0</v>
      </c>
      <c r="EG241" s="382">
        <f>CG241*CH241</f>
        <v>0</v>
      </c>
      <c r="EH241" s="383">
        <f>Y241*(AG241+AQ241)</f>
        <v>0</v>
      </c>
      <c r="EI241" s="383">
        <f>Z241*(AG241+AQ241)</f>
        <v>0</v>
      </c>
      <c r="EJ241" s="80">
        <f>AO241*AQ241</f>
        <v>0</v>
      </c>
      <c r="EK241" s="80">
        <f>AP241*AQ241</f>
        <v>0</v>
      </c>
      <c r="EL241" s="80">
        <f>AT241*AV241</f>
        <v>0</v>
      </c>
      <c r="EM241" s="80">
        <f>AU241*AV241</f>
        <v>0</v>
      </c>
      <c r="EN241" s="80">
        <f>BI241*BK241</f>
        <v>0</v>
      </c>
      <c r="EO241" s="80">
        <f>BJ241*BK241</f>
        <v>0</v>
      </c>
      <c r="EP241" s="80">
        <f>BX241*BZ241</f>
        <v>0</v>
      </c>
      <c r="EQ241" s="80">
        <f>BY241*BZ241</f>
        <v>0</v>
      </c>
      <c r="ER241" s="383">
        <f>AJ241*AL241</f>
        <v>0</v>
      </c>
      <c r="ES241" s="383">
        <f>AK241*AL241</f>
        <v>0</v>
      </c>
      <c r="ET241" s="383">
        <f>IF(AV241+BA241&gt;0,(AR241*AV241+AW241*BA241)/(AV241+BA241),0)</f>
        <v>0</v>
      </c>
      <c r="EU241" s="383">
        <f>IF(BK241+BP241&gt;0,(BG241*BK241+BL241*BP241)/(BK241+BP241),0)</f>
        <v>0</v>
      </c>
      <c r="EV241" s="383">
        <f>IF(BZ241+CE241&gt;0,(BV241*BZ241+CA241*CE241)/(BZ241+CE241),0)</f>
        <v>0</v>
      </c>
    </row>
    <row r="242" spans="3:152" s="60" customFormat="1">
      <c r="D242"/>
      <c r="E242"/>
      <c r="F242" s="833"/>
      <c r="G242" s="835"/>
      <c r="H242" s="836" t="s">
        <v>1775</v>
      </c>
      <c r="I242" s="393" t="s">
        <v>1776</v>
      </c>
      <c r="J242" s="391"/>
      <c r="K242" s="391"/>
      <c r="L242" s="391"/>
      <c r="M242" s="391"/>
      <c r="N242" s="391"/>
      <c r="O242" s="391"/>
      <c r="P242" s="391"/>
      <c r="Q242" s="391"/>
      <c r="R242" s="391"/>
      <c r="S242" s="391"/>
      <c r="T242" s="391"/>
      <c r="U242" s="391"/>
      <c r="V242" s="391"/>
      <c r="W242" s="391"/>
      <c r="X242" s="391"/>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832"/>
      <c r="AX242" s="832"/>
      <c r="AY242" s="832"/>
      <c r="AZ242" s="832"/>
      <c r="BA242" s="832"/>
      <c r="BB242" s="832"/>
      <c r="BC242" s="832"/>
      <c r="BD242" s="832"/>
      <c r="BE242" s="117"/>
      <c r="BF242" s="117"/>
      <c r="BG242" s="117"/>
      <c r="BH242" s="117"/>
      <c r="BI242" s="117"/>
      <c r="BJ242" s="117"/>
      <c r="BK242" s="117"/>
      <c r="BL242" s="832"/>
      <c r="BM242" s="832"/>
      <c r="BN242" s="832"/>
      <c r="BO242" s="832"/>
      <c r="BP242" s="832"/>
      <c r="BQ242" s="832"/>
      <c r="BR242" s="832"/>
      <c r="BS242" s="832"/>
      <c r="BT242" s="117"/>
      <c r="BU242" s="117"/>
      <c r="BV242" s="117"/>
      <c r="BW242" s="117"/>
      <c r="BX242" s="117"/>
      <c r="BY242" s="117"/>
      <c r="BZ242" s="117"/>
      <c r="CA242" s="832"/>
      <c r="CB242" s="832"/>
      <c r="CC242" s="832"/>
      <c r="CD242" s="832"/>
      <c r="CE242" s="832"/>
      <c r="CF242" s="832"/>
      <c r="CG242" s="832"/>
      <c r="CH242" s="832"/>
      <c r="CI242" s="117"/>
      <c r="CJ242" s="117"/>
      <c r="CK242" s="117"/>
      <c r="CL242" s="853" t="str">
        <f>IF(OR(CL241&gt;10,CL241&lt;-10),"нет","да")</f>
        <v>да</v>
      </c>
      <c r="CM242" s="117"/>
      <c r="CN242" s="117"/>
      <c r="CO242" s="117"/>
      <c r="CP242" s="117"/>
      <c r="CQ242" s="117"/>
      <c r="CR242" s="846"/>
      <c r="CS242"/>
      <c r="CT242"/>
      <c r="CU242"/>
      <c r="CV242"/>
      <c r="CW242"/>
      <c r="CX242"/>
      <c r="CY242"/>
      <c r="CZ242"/>
      <c r="DA242"/>
      <c r="DB242"/>
      <c r="DC242"/>
      <c r="DD242"/>
      <c r="DE242"/>
      <c r="DF242" s="80"/>
      <c r="DG242" s="78"/>
      <c r="DH242" s="78"/>
      <c r="DI242" s="78"/>
      <c r="DJ242" s="78"/>
      <c r="DK242" s="78"/>
      <c r="DL242" s="78"/>
      <c r="DM242" s="78"/>
      <c r="DN242" s="77"/>
      <c r="DO242" s="381"/>
      <c r="DP242" s="77"/>
      <c r="DQ242" s="77"/>
      <c r="DR242" s="77"/>
      <c r="DS242" s="77"/>
      <c r="DT242" s="77"/>
      <c r="DU242" s="39"/>
      <c r="DV242" s="39"/>
      <c r="DW242" s="39"/>
      <c r="DX242" s="39"/>
      <c r="DY242" s="39"/>
      <c r="DZ242" s="39"/>
      <c r="EA242" s="39"/>
      <c r="EB242" s="39"/>
      <c r="EC242" s="39"/>
      <c r="ED242" s="39"/>
      <c r="EE242" s="39"/>
      <c r="EF242" s="39"/>
      <c r="EG242" s="39"/>
    </row>
    <row r="243" spans="3:152" s="60" customFormat="1">
      <c r="D243"/>
      <c r="E243"/>
      <c r="F243" s="833"/>
      <c r="G243" s="835"/>
      <c r="H243" s="836"/>
      <c r="I243" s="393" t="s">
        <v>1777</v>
      </c>
      <c r="J243" s="391"/>
      <c r="K243" s="391"/>
      <c r="L243" s="391"/>
      <c r="M243" s="391"/>
      <c r="N243" s="391"/>
      <c r="O243" s="391"/>
      <c r="P243" s="391"/>
      <c r="Q243" s="391"/>
      <c r="R243" s="391"/>
      <c r="S243" s="391"/>
      <c r="T243" s="391"/>
      <c r="U243" s="391"/>
      <c r="V243" s="391"/>
      <c r="W243" s="391"/>
      <c r="X243" s="391"/>
      <c r="Y243" s="399"/>
      <c r="Z243" s="398">
        <f>IF(D241="нет",Y243,Y243*1.18)</f>
        <v>0</v>
      </c>
      <c r="AA243" s="117"/>
      <c r="AB243" s="117"/>
      <c r="AC243" s="398">
        <f>IF(AG243&gt;0,(AR243*AV243+BG243*BK243+BV243*BZ243)/AG243,0)</f>
        <v>0</v>
      </c>
      <c r="AD243" s="398">
        <f>IF(D241="нет",AC243,AC243*1.18)</f>
        <v>0</v>
      </c>
      <c r="AE243" s="398">
        <f>IF(AG243&gt;0,(AR243*AV243+BG243*BK243+BV243*BZ243-AH243*AG243)/AG243,0)</f>
        <v>0</v>
      </c>
      <c r="AF243" s="398">
        <f>IF(D241="нет",AE243,AE243*1.18)</f>
        <v>0</v>
      </c>
      <c r="AG243" s="398">
        <f>AV243+BK243+BZ243</f>
        <v>0</v>
      </c>
      <c r="AH243" s="399"/>
      <c r="AI243" s="398">
        <f>IF(D241="нет",AH243,AH243*1.18)</f>
        <v>0</v>
      </c>
      <c r="AJ243" s="117"/>
      <c r="AK243" s="117"/>
      <c r="AL243" s="117"/>
      <c r="AM243" s="399"/>
      <c r="AN243" s="398">
        <f>IF(D241="нет",AM243,AM243*1.18)</f>
        <v>0</v>
      </c>
      <c r="AO243" s="399"/>
      <c r="AP243" s="398">
        <f>IF($D241="нет",AO243,AO243*1.18)</f>
        <v>0</v>
      </c>
      <c r="AQ243" s="399"/>
      <c r="AR243" s="399"/>
      <c r="AS243" s="398">
        <f>IF(D241="нет",AR243,AR243*1.18)</f>
        <v>0</v>
      </c>
      <c r="AT243" s="399"/>
      <c r="AU243" s="398">
        <f>IF($D241="нет",AT243,AT243*1.18)</f>
        <v>0</v>
      </c>
      <c r="AV243" s="399"/>
      <c r="AW243" s="832"/>
      <c r="AX243" s="832"/>
      <c r="AY243" s="832"/>
      <c r="AZ243" s="832"/>
      <c r="BA243" s="832"/>
      <c r="BB243" s="832"/>
      <c r="BC243" s="832"/>
      <c r="BD243" s="832"/>
      <c r="BE243" s="399"/>
      <c r="BF243" s="398">
        <f t="shared" ref="BF243:BF255" si="30">IF(AV243=0,0,1000*BE243/AV243)</f>
        <v>0</v>
      </c>
      <c r="BG243" s="399"/>
      <c r="BH243" s="398">
        <f>IF(D241="нет",BG243,BG243*1.18)</f>
        <v>0</v>
      </c>
      <c r="BI243" s="399"/>
      <c r="BJ243" s="398">
        <f>IF($D241="нет",BI243,BI243*1.18)</f>
        <v>0</v>
      </c>
      <c r="BK243" s="399"/>
      <c r="BL243" s="832"/>
      <c r="BM243" s="832"/>
      <c r="BN243" s="832"/>
      <c r="BO243" s="832"/>
      <c r="BP243" s="832"/>
      <c r="BQ243" s="832"/>
      <c r="BR243" s="832"/>
      <c r="BS243" s="832"/>
      <c r="BT243" s="399"/>
      <c r="BU243" s="398">
        <f>IF(BP243=0,0,1000*BT243/BP243)</f>
        <v>0</v>
      </c>
      <c r="BV243" s="399"/>
      <c r="BW243" s="398">
        <f>IF(D241="нет",BV243,BV243*1.18)</f>
        <v>0</v>
      </c>
      <c r="BX243" s="399"/>
      <c r="BY243" s="398">
        <f>IF($D241="нет",BX243,BX243*1.18)</f>
        <v>0</v>
      </c>
      <c r="BZ243" s="399"/>
      <c r="CA243" s="832"/>
      <c r="CB243" s="832"/>
      <c r="CC243" s="832"/>
      <c r="CD243" s="832"/>
      <c r="CE243" s="832"/>
      <c r="CF243" s="832"/>
      <c r="CG243" s="832"/>
      <c r="CH243" s="832"/>
      <c r="CI243" s="399"/>
      <c r="CJ243" s="398">
        <f t="shared" ref="CJ243:CJ255" si="31">IF(BZ243=0,0,1000*CI243/BZ243)</f>
        <v>0</v>
      </c>
      <c r="CK243" s="398">
        <f>BE243+BT243+CI243</f>
        <v>0</v>
      </c>
      <c r="CL243" s="853"/>
      <c r="CM243" s="398">
        <f t="shared" ref="CM243:CM255" si="32">SUMIF(CN243:CQ243,"&gt;0")</f>
        <v>0</v>
      </c>
      <c r="CN243" s="398">
        <f>(Y243-AM243)*AQ243/1000</f>
        <v>0</v>
      </c>
      <c r="CO243" s="398">
        <f>(Y243-(AR243+BF243))*AV243/1000</f>
        <v>0</v>
      </c>
      <c r="CP243" s="398">
        <f>(Y243-(BG243+BU243))*BK243/1000</f>
        <v>0</v>
      </c>
      <c r="CQ243" s="398">
        <f>(Y243-(BV243+CJ243))*BZ243/1000</f>
        <v>0</v>
      </c>
      <c r="CR243" s="846"/>
      <c r="CS243"/>
      <c r="CT243"/>
      <c r="CU243"/>
      <c r="CV243"/>
      <c r="CW243"/>
      <c r="CX243"/>
      <c r="CY243"/>
      <c r="CZ243"/>
      <c r="DA243"/>
      <c r="DB243"/>
      <c r="DC243"/>
      <c r="DD243"/>
      <c r="DE243"/>
      <c r="DF243" s="80"/>
      <c r="DG243" s="78"/>
      <c r="DH243" s="78"/>
      <c r="DI243" s="78"/>
      <c r="DJ243" s="78"/>
      <c r="DK243" s="78"/>
      <c r="DL243" s="78"/>
      <c r="DM243" s="78"/>
      <c r="DN243" s="77"/>
      <c r="DO243" s="381"/>
      <c r="DP243" s="77"/>
      <c r="DQ243" s="77"/>
      <c r="DR243" s="77"/>
      <c r="DS243" s="77"/>
      <c r="DT243" s="77"/>
      <c r="DU243" s="39"/>
      <c r="DV243" s="39"/>
      <c r="DW243" s="39"/>
      <c r="DX243" s="39"/>
      <c r="DY243" s="39"/>
      <c r="DZ243" s="39"/>
      <c r="EA243" s="39"/>
      <c r="EB243" s="39"/>
      <c r="EC243" s="39"/>
      <c r="ED243" s="39"/>
      <c r="EE243" s="39"/>
      <c r="EF243" s="39"/>
      <c r="EG243" s="39"/>
    </row>
    <row r="244" spans="3:152" s="60" customFormat="1">
      <c r="D244"/>
      <c r="E244"/>
      <c r="F244" s="833"/>
      <c r="G244" s="835"/>
      <c r="H244" s="836" t="s">
        <v>1778</v>
      </c>
      <c r="I244" s="393" t="s">
        <v>1776</v>
      </c>
      <c r="J244" s="391"/>
      <c r="K244" s="391"/>
      <c r="L244" s="391"/>
      <c r="M244" s="391"/>
      <c r="N244" s="391"/>
      <c r="O244" s="391"/>
      <c r="P244" s="391"/>
      <c r="Q244" s="391"/>
      <c r="R244" s="391"/>
      <c r="S244" s="391"/>
      <c r="T244" s="391"/>
      <c r="U244" s="391"/>
      <c r="V244" s="391"/>
      <c r="W244" s="391"/>
      <c r="X244" s="391"/>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832"/>
      <c r="AX244" s="832"/>
      <c r="AY244" s="832"/>
      <c r="AZ244" s="832"/>
      <c r="BA244" s="832"/>
      <c r="BB244" s="832"/>
      <c r="BC244" s="832"/>
      <c r="BD244" s="832"/>
      <c r="BE244" s="117"/>
      <c r="BF244" s="117"/>
      <c r="BG244" s="117"/>
      <c r="BH244" s="117"/>
      <c r="BI244" s="117"/>
      <c r="BJ244" s="117"/>
      <c r="BK244" s="117"/>
      <c r="BL244" s="832"/>
      <c r="BM244" s="832"/>
      <c r="BN244" s="832"/>
      <c r="BO244" s="832"/>
      <c r="BP244" s="832"/>
      <c r="BQ244" s="832"/>
      <c r="BR244" s="832"/>
      <c r="BS244" s="832"/>
      <c r="BT244" s="117"/>
      <c r="BU244" s="117"/>
      <c r="BV244" s="117"/>
      <c r="BW244" s="117"/>
      <c r="BX244" s="117"/>
      <c r="BY244" s="117"/>
      <c r="BZ244" s="117"/>
      <c r="CA244" s="832"/>
      <c r="CB244" s="832"/>
      <c r="CC244" s="832"/>
      <c r="CD244" s="832"/>
      <c r="CE244" s="832"/>
      <c r="CF244" s="832"/>
      <c r="CG244" s="832"/>
      <c r="CH244" s="832"/>
      <c r="CI244" s="117"/>
      <c r="CJ244" s="117"/>
      <c r="CK244" s="117"/>
      <c r="CL244" s="853"/>
      <c r="CM244" s="117"/>
      <c r="CN244" s="117"/>
      <c r="CO244" s="117"/>
      <c r="CP244" s="117"/>
      <c r="CQ244" s="117"/>
      <c r="CR244" s="846"/>
      <c r="CS244"/>
      <c r="CT244"/>
      <c r="CU244"/>
      <c r="CV244"/>
      <c r="CW244"/>
      <c r="CX244"/>
      <c r="CY244"/>
      <c r="CZ244"/>
      <c r="DA244"/>
      <c r="DB244"/>
      <c r="DC244"/>
      <c r="DD244"/>
      <c r="DE244"/>
      <c r="DF244" s="78"/>
      <c r="DG244" s="78"/>
      <c r="DH244" s="78"/>
      <c r="DI244" s="78"/>
      <c r="DJ244" s="78"/>
      <c r="DK244" s="78"/>
      <c r="DL244" s="78"/>
      <c r="DM244" s="78"/>
      <c r="DN244" s="77"/>
      <c r="DO244" s="381"/>
      <c r="DP244" s="77"/>
      <c r="DQ244" s="77"/>
      <c r="DR244" s="77"/>
      <c r="DS244" s="77"/>
      <c r="DT244" s="77"/>
      <c r="DU244" s="39"/>
      <c r="DV244" s="39"/>
      <c r="DW244" s="39"/>
      <c r="DX244" s="39"/>
      <c r="DY244" s="39"/>
      <c r="DZ244" s="39"/>
      <c r="EA244" s="39"/>
      <c r="EB244" s="39"/>
      <c r="EC244" s="39"/>
      <c r="ED244" s="39"/>
      <c r="EE244" s="39"/>
      <c r="EF244" s="39"/>
      <c r="EG244" s="39"/>
    </row>
    <row r="245" spans="3:152" s="60" customFormat="1">
      <c r="D245"/>
      <c r="E245"/>
      <c r="F245" s="833"/>
      <c r="G245" s="835"/>
      <c r="H245" s="836"/>
      <c r="I245" s="393" t="s">
        <v>1777</v>
      </c>
      <c r="J245" s="391"/>
      <c r="K245" s="391"/>
      <c r="L245" s="391"/>
      <c r="M245" s="391"/>
      <c r="N245" s="391"/>
      <c r="O245" s="391"/>
      <c r="P245" s="391"/>
      <c r="Q245" s="391"/>
      <c r="R245" s="391"/>
      <c r="S245" s="391"/>
      <c r="T245" s="391"/>
      <c r="U245" s="391"/>
      <c r="V245" s="391"/>
      <c r="W245" s="391"/>
      <c r="X245" s="391"/>
      <c r="Y245" s="398">
        <f>IF((AG245+AQ245)&gt;0,(Y247*(AG247+AQ247)+Y249*(AG249+AQ249)+Y251*(AG251+AQ251)+Y253*(AG253+AQ253))/(AG245+AQ245),0)</f>
        <v>0</v>
      </c>
      <c r="Z245" s="398">
        <f>IF(D241="нет",Y245,Y245*1.18)</f>
        <v>0</v>
      </c>
      <c r="AA245" s="117"/>
      <c r="AB245" s="117"/>
      <c r="AC245" s="398">
        <f>IF(AG245&gt;0,(AR245*AV245+BG245*BK245+BV245*BZ245)/AG245,0)</f>
        <v>0</v>
      </c>
      <c r="AD245" s="398">
        <f>IF(D241="нет",AC245,AC245*1.18)</f>
        <v>0</v>
      </c>
      <c r="AE245" s="398">
        <f>IF(AG245&gt;0,(AR245*AV245+BG245*BK245+BV245*BZ245-AH245*AG245)/AG245,0)</f>
        <v>0</v>
      </c>
      <c r="AF245" s="398">
        <f>IF(D241="нет",AE245,AE245*1.18)</f>
        <v>0</v>
      </c>
      <c r="AG245" s="398">
        <f>AV245+BK245+BZ245</f>
        <v>0</v>
      </c>
      <c r="AH245" s="398">
        <f>IF(AG245&gt;0,(AH247*AG247+AH249*AG249+AH251*AG251+AH253*AG253)/AG245,0)</f>
        <v>0</v>
      </c>
      <c r="AI245" s="398">
        <f>IF(D241="нет",AH245,AH245*1.18)</f>
        <v>0</v>
      </c>
      <c r="AJ245" s="117"/>
      <c r="AK245" s="117"/>
      <c r="AL245" s="117"/>
      <c r="AM245" s="398">
        <f>IF($AQ245&gt;0,(AM247*$AQ247+AM249*$AQ249+AM251*$AQ251+AM253*$AQ253)/$AQ245,0)</f>
        <v>0</v>
      </c>
      <c r="AN245" s="398">
        <f>IF(D241="нет",AM245,AM245*1.18)</f>
        <v>0</v>
      </c>
      <c r="AO245" s="398">
        <f>IF($AQ245&gt;0,(AO247*$AQ247+AO249*$AQ249+AO251*$AQ251+AO253*$AQ253)/$AQ245,0)</f>
        <v>0</v>
      </c>
      <c r="AP245" s="398">
        <f>IF($D241="нет",AO245,AO245*1.18)</f>
        <v>0</v>
      </c>
      <c r="AQ245" s="398">
        <f>AQ247+AQ249+AQ251+AQ253</f>
        <v>0</v>
      </c>
      <c r="AR245" s="398">
        <f>IF($AV245&gt;0,(AR247*$AV247+AR249*$AV249+AR251*$AV251+AR253*$AV253)/$AV245,0)</f>
        <v>0</v>
      </c>
      <c r="AS245" s="398">
        <f>IF(D241="нет",AR245,AR245*1.18)</f>
        <v>0</v>
      </c>
      <c r="AT245" s="398">
        <f>IF($AV245&gt;0,(AT247*$AV247+AT249*$AV249+AT251*$AV251+AT253*$AV253)/$AV245,0)</f>
        <v>0</v>
      </c>
      <c r="AU245" s="398">
        <f>IF($D241="нет",AT245,AT245*1.18)</f>
        <v>0</v>
      </c>
      <c r="AV245" s="398">
        <f>AV247+AV249+AV251+AV253</f>
        <v>0</v>
      </c>
      <c r="AW245" s="832"/>
      <c r="AX245" s="832"/>
      <c r="AY245" s="832"/>
      <c r="AZ245" s="832"/>
      <c r="BA245" s="832"/>
      <c r="BB245" s="832"/>
      <c r="BC245" s="832"/>
      <c r="BD245" s="832"/>
      <c r="BE245" s="398">
        <f>BE247+BE249+BE251+BE253</f>
        <v>0</v>
      </c>
      <c r="BF245" s="398">
        <f t="shared" si="30"/>
        <v>0</v>
      </c>
      <c r="BG245" s="398">
        <f>IF($BK245&gt;0,(BG247*$BK247+BG249*$BK249+BG251*$BK251+BG253*$BK253)/$BK245,0)</f>
        <v>0</v>
      </c>
      <c r="BH245" s="398">
        <f>IF(D241="нет",BG245,BG245*1.18)</f>
        <v>0</v>
      </c>
      <c r="BI245" s="398">
        <f>IF($BK245&gt;0,(BI247*$BK247+BI249*$BK249+BI251*$BK251+BI253*$BK253)/$BK245,0)</f>
        <v>0</v>
      </c>
      <c r="BJ245" s="398">
        <f>IF($D241="нет",BI245,BI245*1.18)</f>
        <v>0</v>
      </c>
      <c r="BK245" s="398">
        <f>BK247+BK249+BK251+BK253</f>
        <v>0</v>
      </c>
      <c r="BL245" s="832"/>
      <c r="BM245" s="832"/>
      <c r="BN245" s="832"/>
      <c r="BO245" s="832"/>
      <c r="BP245" s="832"/>
      <c r="BQ245" s="832"/>
      <c r="BR245" s="832"/>
      <c r="BS245" s="832"/>
      <c r="BT245" s="398">
        <f>BT247+BT249+BT251+BT253</f>
        <v>0</v>
      </c>
      <c r="BU245" s="398">
        <f>IF(BP245=0,0,1000*BT245/BP245)</f>
        <v>0</v>
      </c>
      <c r="BV245" s="398">
        <f>IF($BZ245&gt;0,(BV247*$BZ247+BV249*$BZ249+BV251*$BZ251+BV253*$BZ253)/$BZ245,0)</f>
        <v>0</v>
      </c>
      <c r="BW245" s="398">
        <f>IF(D241="нет",BV245,BV245*1.18)</f>
        <v>0</v>
      </c>
      <c r="BX245" s="398">
        <f>IF($BZ245&gt;0,(BX247*$BZ247+BX249*$BZ249+BX251*$BZ251+BX253*$BZ253)/$BZ245,0)</f>
        <v>0</v>
      </c>
      <c r="BY245" s="398">
        <f>IF($D241="нет",BX245,BX245*1.18)</f>
        <v>0</v>
      </c>
      <c r="BZ245" s="398">
        <f>BZ247+BZ249+BZ251+BZ253</f>
        <v>0</v>
      </c>
      <c r="CA245" s="832"/>
      <c r="CB245" s="832"/>
      <c r="CC245" s="832"/>
      <c r="CD245" s="832"/>
      <c r="CE245" s="832"/>
      <c r="CF245" s="832"/>
      <c r="CG245" s="832"/>
      <c r="CH245" s="832"/>
      <c r="CI245" s="398">
        <f>CI247+CI249+CI251+CI253</f>
        <v>0</v>
      </c>
      <c r="CJ245" s="398">
        <f t="shared" si="31"/>
        <v>0</v>
      </c>
      <c r="CK245" s="398">
        <f>BE245+BT245+CI245</f>
        <v>0</v>
      </c>
      <c r="CL245" s="853"/>
      <c r="CM245" s="398">
        <f t="shared" si="32"/>
        <v>0</v>
      </c>
      <c r="CN245" s="398">
        <f>(Y245-AM245)*AQ245/1000</f>
        <v>0</v>
      </c>
      <c r="CO245" s="398">
        <f>(Y245-(AR245+BF245))*AV245/1000</f>
        <v>0</v>
      </c>
      <c r="CP245" s="398">
        <f>(Y245-(BG245+BU245))*BK245/1000</f>
        <v>0</v>
      </c>
      <c r="CQ245" s="398">
        <f>(Y245-(BV245+CJ245))*BZ245/1000</f>
        <v>0</v>
      </c>
      <c r="CR245" s="846"/>
      <c r="CS245"/>
      <c r="CT245"/>
      <c r="CU245"/>
      <c r="CV245"/>
      <c r="CW245"/>
      <c r="CX245"/>
      <c r="CY245"/>
      <c r="CZ245"/>
      <c r="DA245"/>
      <c r="DB245"/>
      <c r="DC245"/>
      <c r="DD245"/>
      <c r="DE245"/>
      <c r="DF245" s="78"/>
      <c r="DG245" s="78"/>
      <c r="DH245" s="78"/>
      <c r="DI245" s="78"/>
      <c r="DJ245" s="78"/>
      <c r="DK245" s="78"/>
      <c r="DL245" s="78"/>
      <c r="DM245" s="78"/>
      <c r="DN245" s="77"/>
      <c r="DO245" s="381"/>
      <c r="DP245" s="77"/>
      <c r="DQ245" s="77"/>
      <c r="DR245" s="77"/>
      <c r="DS245" s="77"/>
      <c r="DT245" s="77"/>
      <c r="DU245" s="39"/>
      <c r="DV245" s="39"/>
      <c r="DW245" s="39"/>
      <c r="DX245" s="39"/>
      <c r="DY245" s="39"/>
      <c r="DZ245" s="39"/>
      <c r="EA245" s="39"/>
      <c r="EB245" s="39"/>
      <c r="EC245" s="39"/>
      <c r="ED245" s="39"/>
      <c r="EE245" s="39"/>
      <c r="EF245" s="39"/>
      <c r="EG245" s="39"/>
    </row>
    <row r="246" spans="3:152" s="60" customFormat="1">
      <c r="D246"/>
      <c r="E246"/>
      <c r="F246" s="833"/>
      <c r="G246" s="835"/>
      <c r="H246" s="834" t="s">
        <v>1780</v>
      </c>
      <c r="I246" s="393" t="s">
        <v>1776</v>
      </c>
      <c r="J246" s="391"/>
      <c r="K246" s="391"/>
      <c r="L246" s="391"/>
      <c r="M246" s="391"/>
      <c r="N246" s="391"/>
      <c r="O246" s="391"/>
      <c r="P246" s="391"/>
      <c r="Q246" s="391"/>
      <c r="R246" s="391"/>
      <c r="S246" s="391"/>
      <c r="T246" s="391"/>
      <c r="U246" s="391"/>
      <c r="V246" s="391"/>
      <c r="W246" s="391"/>
      <c r="X246" s="391"/>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832"/>
      <c r="AX246" s="832"/>
      <c r="AY246" s="832"/>
      <c r="AZ246" s="832"/>
      <c r="BA246" s="832"/>
      <c r="BB246" s="832"/>
      <c r="BC246" s="832"/>
      <c r="BD246" s="832"/>
      <c r="BE246" s="117"/>
      <c r="BF246" s="117"/>
      <c r="BG246" s="117"/>
      <c r="BH246" s="117"/>
      <c r="BI246" s="117"/>
      <c r="BJ246" s="117"/>
      <c r="BK246" s="117"/>
      <c r="BL246" s="832"/>
      <c r="BM246" s="832"/>
      <c r="BN246" s="832"/>
      <c r="BO246" s="832"/>
      <c r="BP246" s="832"/>
      <c r="BQ246" s="832"/>
      <c r="BR246" s="832"/>
      <c r="BS246" s="832"/>
      <c r="BT246" s="117"/>
      <c r="BU246" s="117"/>
      <c r="BV246" s="117"/>
      <c r="BW246" s="117"/>
      <c r="BX246" s="117"/>
      <c r="BY246" s="117"/>
      <c r="BZ246" s="117"/>
      <c r="CA246" s="832"/>
      <c r="CB246" s="832"/>
      <c r="CC246" s="832"/>
      <c r="CD246" s="832"/>
      <c r="CE246" s="832"/>
      <c r="CF246" s="832"/>
      <c r="CG246" s="832"/>
      <c r="CH246" s="832"/>
      <c r="CI246" s="117"/>
      <c r="CJ246" s="117"/>
      <c r="CK246" s="117"/>
      <c r="CL246" s="853"/>
      <c r="CM246" s="117"/>
      <c r="CN246" s="117"/>
      <c r="CO246" s="117"/>
      <c r="CP246" s="117"/>
      <c r="CQ246" s="117"/>
      <c r="CR246" s="846"/>
      <c r="CS246"/>
      <c r="CT246"/>
      <c r="CU246"/>
      <c r="CV246"/>
      <c r="CW246"/>
      <c r="CX246"/>
      <c r="CY246"/>
      <c r="CZ246"/>
      <c r="DA246"/>
      <c r="DB246"/>
      <c r="DC246"/>
      <c r="DD246"/>
      <c r="DE246"/>
      <c r="DF246" s="78"/>
      <c r="DG246" s="78"/>
      <c r="DH246" s="78"/>
      <c r="DI246" s="78"/>
      <c r="DJ246" s="78"/>
      <c r="DK246" s="78"/>
      <c r="DL246" s="78"/>
      <c r="DM246" s="78"/>
      <c r="DN246" s="77"/>
      <c r="DO246" s="381"/>
      <c r="DP246" s="77"/>
      <c r="DQ246" s="77"/>
      <c r="DR246" s="77"/>
      <c r="DS246" s="77"/>
      <c r="DT246" s="77"/>
      <c r="DU246" s="39"/>
      <c r="DV246" s="39"/>
      <c r="DW246" s="39"/>
      <c r="DX246" s="39"/>
      <c r="DY246" s="39"/>
      <c r="DZ246" s="39"/>
      <c r="EA246" s="39"/>
      <c r="EB246" s="39"/>
      <c r="EC246" s="39"/>
      <c r="ED246" s="39"/>
      <c r="EE246" s="39"/>
      <c r="EF246" s="39"/>
      <c r="EG246" s="39"/>
    </row>
    <row r="247" spans="3:152" s="60" customFormat="1">
      <c r="D247"/>
      <c r="E247"/>
      <c r="F247" s="833"/>
      <c r="G247" s="835"/>
      <c r="H247" s="834"/>
      <c r="I247" s="393" t="s">
        <v>1777</v>
      </c>
      <c r="J247" s="391"/>
      <c r="K247" s="391"/>
      <c r="L247" s="391"/>
      <c r="M247" s="391"/>
      <c r="N247" s="391"/>
      <c r="O247" s="391"/>
      <c r="P247" s="391"/>
      <c r="Q247" s="391"/>
      <c r="R247" s="391"/>
      <c r="S247" s="391"/>
      <c r="T247" s="391"/>
      <c r="U247" s="391"/>
      <c r="V247" s="391"/>
      <c r="W247" s="391"/>
      <c r="X247" s="391"/>
      <c r="Y247" s="399"/>
      <c r="Z247" s="398">
        <f>IF(D241="нет",Y247,Y247*1.18)</f>
        <v>0</v>
      </c>
      <c r="AA247" s="117"/>
      <c r="AB247" s="117"/>
      <c r="AC247" s="398">
        <f>IF(AG247&gt;0,(AR247*AV247+BG247*BK247+BV247*BZ247)/AG247,0)</f>
        <v>0</v>
      </c>
      <c r="AD247" s="398">
        <f>IF(D241="нет",AC247,AC247*1.18)</f>
        <v>0</v>
      </c>
      <c r="AE247" s="398">
        <f>IF(AG247&gt;0,(AR247*AV247+BG247*BK247+BV247*BZ247-AH247*AG247)/AG247,0)</f>
        <v>0</v>
      </c>
      <c r="AF247" s="398">
        <f>IF(D241="нет",AE247,AE247*1.18)</f>
        <v>0</v>
      </c>
      <c r="AG247" s="398">
        <f>AV247+BK247+BZ247</f>
        <v>0</v>
      </c>
      <c r="AH247" s="399"/>
      <c r="AI247" s="398">
        <f>IF(D241="нет",AH247,AH247*1.18)</f>
        <v>0</v>
      </c>
      <c r="AJ247" s="117"/>
      <c r="AK247" s="117"/>
      <c r="AL247" s="117"/>
      <c r="AM247" s="399"/>
      <c r="AN247" s="398">
        <f>IF(D241="нет",AM247,AM247*1.18)</f>
        <v>0</v>
      </c>
      <c r="AO247" s="399"/>
      <c r="AP247" s="398">
        <f>IF($D241="нет",AO247,AO247*1.18)</f>
        <v>0</v>
      </c>
      <c r="AQ247" s="399"/>
      <c r="AR247" s="399"/>
      <c r="AS247" s="398">
        <f>IF(D241="нет",AR247,AR247*1.18)</f>
        <v>0</v>
      </c>
      <c r="AT247" s="399"/>
      <c r="AU247" s="398">
        <f>IF($D241="нет",AT247,AT247*1.18)</f>
        <v>0</v>
      </c>
      <c r="AV247" s="399"/>
      <c r="AW247" s="832"/>
      <c r="AX247" s="832"/>
      <c r="AY247" s="832"/>
      <c r="AZ247" s="832"/>
      <c r="BA247" s="832"/>
      <c r="BB247" s="832"/>
      <c r="BC247" s="832"/>
      <c r="BD247" s="832"/>
      <c r="BE247" s="399"/>
      <c r="BF247" s="398">
        <f t="shared" si="30"/>
        <v>0</v>
      </c>
      <c r="BG247" s="399"/>
      <c r="BH247" s="398">
        <f>IF(D241="нет",BG247,BG247*1.18)</f>
        <v>0</v>
      </c>
      <c r="BI247" s="399"/>
      <c r="BJ247" s="398">
        <f>IF($D241="нет",BI247,BI247*1.18)</f>
        <v>0</v>
      </c>
      <c r="BK247" s="399"/>
      <c r="BL247" s="832"/>
      <c r="BM247" s="832"/>
      <c r="BN247" s="832"/>
      <c r="BO247" s="832"/>
      <c r="BP247" s="832"/>
      <c r="BQ247" s="832"/>
      <c r="BR247" s="832"/>
      <c r="BS247" s="832"/>
      <c r="BT247" s="399"/>
      <c r="BU247" s="398">
        <f>IF(BP247=0,0,1000*BT247/BP247)</f>
        <v>0</v>
      </c>
      <c r="BV247" s="399"/>
      <c r="BW247" s="398">
        <f>IF(D241="нет",BV247,BV247*1.18)</f>
        <v>0</v>
      </c>
      <c r="BX247" s="399"/>
      <c r="BY247" s="398">
        <f>IF($D241="нет",BX247,BX247*1.18)</f>
        <v>0</v>
      </c>
      <c r="BZ247" s="399"/>
      <c r="CA247" s="832"/>
      <c r="CB247" s="832"/>
      <c r="CC247" s="832"/>
      <c r="CD247" s="832"/>
      <c r="CE247" s="832"/>
      <c r="CF247" s="832"/>
      <c r="CG247" s="832"/>
      <c r="CH247" s="832"/>
      <c r="CI247" s="399"/>
      <c r="CJ247" s="398">
        <f t="shared" si="31"/>
        <v>0</v>
      </c>
      <c r="CK247" s="398">
        <f>BE247+BT247+CI247</f>
        <v>0</v>
      </c>
      <c r="CL247" s="853"/>
      <c r="CM247" s="398">
        <f t="shared" si="32"/>
        <v>0</v>
      </c>
      <c r="CN247" s="398">
        <f>(Y247-AM247)*AQ247/1000</f>
        <v>0</v>
      </c>
      <c r="CO247" s="398">
        <f>(Y247-(AR247+BF247))*AV247/1000</f>
        <v>0</v>
      </c>
      <c r="CP247" s="398">
        <f>(Y247-(BG247+BU247))*BK247/1000</f>
        <v>0</v>
      </c>
      <c r="CQ247" s="398">
        <f>(Y247-(BV247+CJ247))*BZ247/1000</f>
        <v>0</v>
      </c>
      <c r="CR247" s="846"/>
      <c r="CS247"/>
      <c r="CT247"/>
      <c r="CU247"/>
      <c r="CV247"/>
      <c r="CW247"/>
      <c r="CX247"/>
      <c r="CY247"/>
      <c r="CZ247"/>
      <c r="DA247"/>
      <c r="DB247"/>
      <c r="DC247"/>
      <c r="DD247"/>
      <c r="DE247"/>
      <c r="DF247" s="78"/>
      <c r="DG247" s="78"/>
      <c r="DH247" s="78"/>
      <c r="DI247" s="78"/>
      <c r="DJ247" s="78"/>
      <c r="DK247" s="78"/>
      <c r="DL247" s="78"/>
      <c r="DM247" s="78"/>
      <c r="DN247" s="77"/>
      <c r="DO247" s="381"/>
      <c r="DP247" s="77"/>
      <c r="DQ247" s="77"/>
      <c r="DR247" s="77"/>
      <c r="DS247" s="77"/>
      <c r="DT247" s="77"/>
      <c r="DU247" s="39"/>
      <c r="DV247" s="39"/>
      <c r="DW247" s="39"/>
      <c r="DX247" s="39"/>
      <c r="DY247" s="39"/>
      <c r="DZ247" s="39"/>
      <c r="EA247" s="39"/>
      <c r="EB247" s="39"/>
      <c r="EC247" s="39"/>
      <c r="ED247" s="39"/>
      <c r="EE247" s="39"/>
      <c r="EF247" s="39"/>
      <c r="EG247" s="39"/>
    </row>
    <row r="248" spans="3:152" s="60" customFormat="1">
      <c r="D248"/>
      <c r="E248"/>
      <c r="F248" s="833"/>
      <c r="G248" s="835"/>
      <c r="H248" s="834" t="s">
        <v>1781</v>
      </c>
      <c r="I248" s="393" t="s">
        <v>1776</v>
      </c>
      <c r="J248" s="391"/>
      <c r="K248" s="391"/>
      <c r="L248" s="391"/>
      <c r="M248" s="391"/>
      <c r="N248" s="391"/>
      <c r="O248" s="391"/>
      <c r="P248" s="391"/>
      <c r="Q248" s="391"/>
      <c r="R248" s="391"/>
      <c r="S248" s="391"/>
      <c r="T248" s="391"/>
      <c r="U248" s="391"/>
      <c r="V248" s="391"/>
      <c r="W248" s="391"/>
      <c r="X248" s="391"/>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832"/>
      <c r="AX248" s="832"/>
      <c r="AY248" s="832"/>
      <c r="AZ248" s="832"/>
      <c r="BA248" s="832"/>
      <c r="BB248" s="832"/>
      <c r="BC248" s="832"/>
      <c r="BD248" s="832"/>
      <c r="BE248" s="117"/>
      <c r="BF248" s="117"/>
      <c r="BG248" s="117"/>
      <c r="BH248" s="117"/>
      <c r="BI248" s="117"/>
      <c r="BJ248" s="117"/>
      <c r="BK248" s="117"/>
      <c r="BL248" s="832"/>
      <c r="BM248" s="832"/>
      <c r="BN248" s="832"/>
      <c r="BO248" s="832"/>
      <c r="BP248" s="832"/>
      <c r="BQ248" s="832"/>
      <c r="BR248" s="832"/>
      <c r="BS248" s="832"/>
      <c r="BT248" s="117"/>
      <c r="BU248" s="117"/>
      <c r="BV248" s="117"/>
      <c r="BW248" s="117"/>
      <c r="BX248" s="117"/>
      <c r="BY248" s="117"/>
      <c r="BZ248" s="117"/>
      <c r="CA248" s="832"/>
      <c r="CB248" s="832"/>
      <c r="CC248" s="832"/>
      <c r="CD248" s="832"/>
      <c r="CE248" s="832"/>
      <c r="CF248" s="832"/>
      <c r="CG248" s="832"/>
      <c r="CH248" s="832"/>
      <c r="CI248" s="117"/>
      <c r="CJ248" s="117"/>
      <c r="CK248" s="117"/>
      <c r="CL248" s="853"/>
      <c r="CM248" s="117"/>
      <c r="CN248" s="117"/>
      <c r="CO248" s="117"/>
      <c r="CP248" s="117"/>
      <c r="CQ248" s="117"/>
      <c r="CR248" s="846"/>
      <c r="CS248"/>
      <c r="CT248"/>
      <c r="CU248"/>
      <c r="CV248"/>
      <c r="CW248"/>
      <c r="CX248"/>
      <c r="CY248"/>
      <c r="CZ248"/>
      <c r="DA248"/>
      <c r="DB248"/>
      <c r="DC248"/>
      <c r="DD248"/>
      <c r="DE248"/>
      <c r="DF248" s="78"/>
      <c r="DG248" s="78"/>
      <c r="DH248" s="78"/>
      <c r="DI248" s="78"/>
      <c r="DJ248" s="78"/>
      <c r="DK248" s="78"/>
      <c r="DL248" s="78"/>
      <c r="DM248" s="78"/>
      <c r="DN248" s="77"/>
      <c r="DO248" s="381"/>
      <c r="DP248" s="77"/>
      <c r="DQ248" s="77"/>
      <c r="DR248" s="77"/>
      <c r="DS248" s="77"/>
      <c r="DT248" s="77"/>
      <c r="DU248" s="39"/>
      <c r="DV248" s="39"/>
      <c r="DW248" s="39"/>
      <c r="DX248" s="39"/>
      <c r="DY248" s="39"/>
      <c r="DZ248" s="39"/>
      <c r="EA248" s="39"/>
      <c r="EB248" s="39"/>
      <c r="EC248" s="39"/>
      <c r="ED248" s="39"/>
      <c r="EE248" s="39"/>
      <c r="EF248" s="39"/>
      <c r="EG248" s="39"/>
    </row>
    <row r="249" spans="3:152" s="60" customFormat="1">
      <c r="D249"/>
      <c r="E249"/>
      <c r="F249" s="833"/>
      <c r="G249" s="835"/>
      <c r="H249" s="834"/>
      <c r="I249" s="393" t="s">
        <v>1777</v>
      </c>
      <c r="J249" s="391"/>
      <c r="K249" s="391"/>
      <c r="L249" s="391"/>
      <c r="M249" s="391"/>
      <c r="N249" s="391"/>
      <c r="O249" s="391"/>
      <c r="P249" s="391"/>
      <c r="Q249" s="391"/>
      <c r="R249" s="391"/>
      <c r="S249" s="391"/>
      <c r="T249" s="391"/>
      <c r="U249" s="391"/>
      <c r="V249" s="391"/>
      <c r="W249" s="391"/>
      <c r="X249" s="391"/>
      <c r="Y249" s="399"/>
      <c r="Z249" s="398">
        <f>IF(D241="нет",Y249,Y249*1.18)</f>
        <v>0</v>
      </c>
      <c r="AA249" s="117"/>
      <c r="AB249" s="117"/>
      <c r="AC249" s="398">
        <f>IF(AG249&gt;0,(AR249*AV249+BG249*BK249+BV249*BZ249)/AG249,0)</f>
        <v>0</v>
      </c>
      <c r="AD249" s="398">
        <f>IF(D241="нет",AC249,AC249*1.18)</f>
        <v>0</v>
      </c>
      <c r="AE249" s="398">
        <f>IF(AG249&gt;0,(AR249*AV249+BG249*BK249+BV249*BZ249-AH249*AG249)/AG249,0)</f>
        <v>0</v>
      </c>
      <c r="AF249" s="398">
        <f>IF(D241="нет",AE249,AE249*1.18)</f>
        <v>0</v>
      </c>
      <c r="AG249" s="398">
        <f>AV249+BK249+BZ249</f>
        <v>0</v>
      </c>
      <c r="AH249" s="399"/>
      <c r="AI249" s="398">
        <f>IF(D241="нет",AH249,AH249*1.18)</f>
        <v>0</v>
      </c>
      <c r="AJ249" s="117"/>
      <c r="AK249" s="117"/>
      <c r="AL249" s="117"/>
      <c r="AM249" s="399"/>
      <c r="AN249" s="398">
        <f>IF(D241="нет",AM249,AM249*1.18)</f>
        <v>0</v>
      </c>
      <c r="AO249" s="399"/>
      <c r="AP249" s="398">
        <f>IF($D241="нет",AO249,AO249*1.18)</f>
        <v>0</v>
      </c>
      <c r="AQ249" s="399"/>
      <c r="AR249" s="399"/>
      <c r="AS249" s="398">
        <f>IF(D241="нет",AR249,AR249*1.18)</f>
        <v>0</v>
      </c>
      <c r="AT249" s="399"/>
      <c r="AU249" s="398">
        <f>IF($D241="нет",AT249,AT249*1.18)</f>
        <v>0</v>
      </c>
      <c r="AV249" s="399"/>
      <c r="AW249" s="832"/>
      <c r="AX249" s="832"/>
      <c r="AY249" s="832"/>
      <c r="AZ249" s="832"/>
      <c r="BA249" s="832"/>
      <c r="BB249" s="832"/>
      <c r="BC249" s="832"/>
      <c r="BD249" s="832"/>
      <c r="BE249" s="399"/>
      <c r="BF249" s="398">
        <f t="shared" si="30"/>
        <v>0</v>
      </c>
      <c r="BG249" s="399"/>
      <c r="BH249" s="398">
        <f>IF(D241="нет",BG249,BG249*1.18)</f>
        <v>0</v>
      </c>
      <c r="BI249" s="399"/>
      <c r="BJ249" s="398">
        <f>IF($D241="нет",BI249,BI249*1.18)</f>
        <v>0</v>
      </c>
      <c r="BK249" s="399"/>
      <c r="BL249" s="832"/>
      <c r="BM249" s="832"/>
      <c r="BN249" s="832"/>
      <c r="BO249" s="832"/>
      <c r="BP249" s="832"/>
      <c r="BQ249" s="832"/>
      <c r="BR249" s="832"/>
      <c r="BS249" s="832"/>
      <c r="BT249" s="399"/>
      <c r="BU249" s="398">
        <f>IF(BP249=0,0,1000*BT249/BP249)</f>
        <v>0</v>
      </c>
      <c r="BV249" s="399"/>
      <c r="BW249" s="398">
        <f>IF(D241="нет",BV249,BV249*1.18)</f>
        <v>0</v>
      </c>
      <c r="BX249" s="399"/>
      <c r="BY249" s="398">
        <f>IF($D241="нет",BX249,BX249*1.18)</f>
        <v>0</v>
      </c>
      <c r="BZ249" s="399"/>
      <c r="CA249" s="832"/>
      <c r="CB249" s="832"/>
      <c r="CC249" s="832"/>
      <c r="CD249" s="832"/>
      <c r="CE249" s="832"/>
      <c r="CF249" s="832"/>
      <c r="CG249" s="832"/>
      <c r="CH249" s="832"/>
      <c r="CI249" s="399"/>
      <c r="CJ249" s="398">
        <f t="shared" si="31"/>
        <v>0</v>
      </c>
      <c r="CK249" s="398">
        <f>BE249+BT249+CI249</f>
        <v>0</v>
      </c>
      <c r="CL249" s="853"/>
      <c r="CM249" s="398">
        <f t="shared" si="32"/>
        <v>0</v>
      </c>
      <c r="CN249" s="398">
        <f>(Y249-AM249)*AQ249/1000</f>
        <v>0</v>
      </c>
      <c r="CO249" s="398">
        <f>(Y249-(AR249+BF249))*AV249/1000</f>
        <v>0</v>
      </c>
      <c r="CP249" s="398">
        <f>(Y249-(BG249+BU249))*BK249/1000</f>
        <v>0</v>
      </c>
      <c r="CQ249" s="398">
        <f>(Y249-(BV249+CJ249))*BZ249/1000</f>
        <v>0</v>
      </c>
      <c r="CR249" s="846"/>
      <c r="CS249"/>
      <c r="CT249"/>
      <c r="CU249"/>
      <c r="CV249"/>
      <c r="CW249"/>
      <c r="CX249"/>
      <c r="CY249"/>
      <c r="CZ249"/>
      <c r="DA249"/>
      <c r="DB249"/>
      <c r="DC249"/>
      <c r="DD249"/>
      <c r="DE249"/>
      <c r="DF249" s="78"/>
      <c r="DG249" s="78"/>
      <c r="DH249" s="78"/>
      <c r="DI249" s="78"/>
      <c r="DJ249" s="78"/>
      <c r="DK249" s="78"/>
      <c r="DL249" s="78"/>
      <c r="DM249" s="78"/>
      <c r="DN249" s="77"/>
      <c r="DO249" s="381"/>
      <c r="DP249" s="77"/>
      <c r="DQ249" s="77"/>
      <c r="DR249" s="77"/>
      <c r="DS249" s="77"/>
      <c r="DT249" s="77"/>
      <c r="DU249" s="39"/>
      <c r="DV249" s="39"/>
      <c r="DW249" s="39"/>
      <c r="DX249" s="39"/>
      <c r="DY249" s="39"/>
      <c r="DZ249" s="39"/>
      <c r="EA249" s="39"/>
      <c r="EB249" s="39"/>
      <c r="EC249" s="39"/>
      <c r="ED249" s="39"/>
      <c r="EE249" s="39"/>
      <c r="EF249" s="39"/>
      <c r="EG249" s="39"/>
    </row>
    <row r="250" spans="3:152" s="60" customFormat="1">
      <c r="D250"/>
      <c r="E250"/>
      <c r="F250" s="833"/>
      <c r="G250" s="835"/>
      <c r="H250" s="834" t="s">
        <v>1782</v>
      </c>
      <c r="I250" s="393" t="s">
        <v>1776</v>
      </c>
      <c r="J250" s="391"/>
      <c r="K250" s="391"/>
      <c r="L250" s="391"/>
      <c r="M250" s="391"/>
      <c r="N250" s="391"/>
      <c r="O250" s="391"/>
      <c r="P250" s="391"/>
      <c r="Q250" s="391"/>
      <c r="R250" s="391"/>
      <c r="S250" s="391"/>
      <c r="T250" s="391"/>
      <c r="U250" s="391"/>
      <c r="V250" s="391"/>
      <c r="W250" s="391"/>
      <c r="X250" s="391"/>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832"/>
      <c r="AX250" s="832"/>
      <c r="AY250" s="832"/>
      <c r="AZ250" s="832"/>
      <c r="BA250" s="832"/>
      <c r="BB250" s="832"/>
      <c r="BC250" s="832"/>
      <c r="BD250" s="832"/>
      <c r="BE250" s="117"/>
      <c r="BF250" s="117"/>
      <c r="BG250" s="117"/>
      <c r="BH250" s="117"/>
      <c r="BI250" s="117"/>
      <c r="BJ250" s="117"/>
      <c r="BK250" s="117"/>
      <c r="BL250" s="832"/>
      <c r="BM250" s="832"/>
      <c r="BN250" s="832"/>
      <c r="BO250" s="832"/>
      <c r="BP250" s="832"/>
      <c r="BQ250" s="832"/>
      <c r="BR250" s="832"/>
      <c r="BS250" s="832"/>
      <c r="BT250" s="117"/>
      <c r="BU250" s="117"/>
      <c r="BV250" s="117"/>
      <c r="BW250" s="117"/>
      <c r="BX250" s="117"/>
      <c r="BY250" s="117"/>
      <c r="BZ250" s="117"/>
      <c r="CA250" s="832"/>
      <c r="CB250" s="832"/>
      <c r="CC250" s="832"/>
      <c r="CD250" s="832"/>
      <c r="CE250" s="832"/>
      <c r="CF250" s="832"/>
      <c r="CG250" s="832"/>
      <c r="CH250" s="832"/>
      <c r="CI250" s="117"/>
      <c r="CJ250" s="117"/>
      <c r="CK250" s="117"/>
      <c r="CL250" s="853"/>
      <c r="CM250" s="117"/>
      <c r="CN250" s="117"/>
      <c r="CO250" s="117"/>
      <c r="CP250" s="117"/>
      <c r="CQ250" s="117"/>
      <c r="CR250" s="846"/>
      <c r="CS250"/>
      <c r="CT250"/>
      <c r="CU250"/>
      <c r="CV250"/>
      <c r="CW250"/>
      <c r="CX250"/>
      <c r="CY250"/>
      <c r="CZ250"/>
      <c r="DA250"/>
      <c r="DB250"/>
      <c r="DC250"/>
      <c r="DD250"/>
      <c r="DE250"/>
      <c r="DF250" s="77"/>
      <c r="DG250" s="77"/>
      <c r="DH250" s="77"/>
      <c r="DI250" s="77"/>
      <c r="DJ250" s="77"/>
      <c r="DK250" s="77"/>
      <c r="DL250" s="77"/>
      <c r="DM250" s="77"/>
      <c r="DN250" s="77"/>
      <c r="DO250" s="381"/>
      <c r="DP250" s="77"/>
      <c r="DQ250" s="77"/>
      <c r="DR250" s="77"/>
      <c r="DS250" s="77"/>
      <c r="DT250" s="77"/>
      <c r="DU250" s="39"/>
      <c r="DV250" s="39"/>
      <c r="DW250" s="39"/>
      <c r="DX250" s="39"/>
      <c r="DY250" s="39"/>
      <c r="DZ250" s="39"/>
      <c r="EA250" s="39"/>
      <c r="EB250" s="39"/>
      <c r="EC250" s="39"/>
      <c r="ED250" s="39"/>
      <c r="EE250" s="39"/>
      <c r="EF250" s="39"/>
      <c r="EG250" s="39"/>
    </row>
    <row r="251" spans="3:152" s="60" customFormat="1">
      <c r="D251"/>
      <c r="E251"/>
      <c r="F251" s="833"/>
      <c r="G251" s="835"/>
      <c r="H251" s="834"/>
      <c r="I251" s="393" t="s">
        <v>1777</v>
      </c>
      <c r="J251" s="391"/>
      <c r="K251" s="391"/>
      <c r="L251" s="391"/>
      <c r="M251" s="391"/>
      <c r="N251" s="391"/>
      <c r="O251" s="391"/>
      <c r="P251" s="391"/>
      <c r="Q251" s="391"/>
      <c r="R251" s="391"/>
      <c r="S251" s="391"/>
      <c r="T251" s="391"/>
      <c r="U251" s="391"/>
      <c r="V251" s="391"/>
      <c r="W251" s="391"/>
      <c r="X251" s="391"/>
      <c r="Y251" s="399"/>
      <c r="Z251" s="398">
        <f>IF(D241="нет",Y251,Y251*1.18)</f>
        <v>0</v>
      </c>
      <c r="AA251" s="117"/>
      <c r="AB251" s="117"/>
      <c r="AC251" s="398">
        <f>IF(AG251&gt;0,(AR251*AV251+BG251*BK251+BV251*BZ251)/AG251,0)</f>
        <v>0</v>
      </c>
      <c r="AD251" s="398">
        <f>IF(D241="нет",AC251,AC251*1.18)</f>
        <v>0</v>
      </c>
      <c r="AE251" s="398">
        <f>IF(AG251&gt;0,(AR251*AV251+BG251*BK251+BV251*BZ251-AH251*AG251)/AG251,0)</f>
        <v>0</v>
      </c>
      <c r="AF251" s="398">
        <f>IF(D241="нет",AE251,AE251*1.18)</f>
        <v>0</v>
      </c>
      <c r="AG251" s="398">
        <f>AV251+BK251+BZ251</f>
        <v>0</v>
      </c>
      <c r="AH251" s="399"/>
      <c r="AI251" s="398">
        <f>IF(D241="нет",AH251,AH251*1.18)</f>
        <v>0</v>
      </c>
      <c r="AJ251" s="117"/>
      <c r="AK251" s="117"/>
      <c r="AL251" s="117"/>
      <c r="AM251" s="399"/>
      <c r="AN251" s="398">
        <f>IF(D241="нет",AM251,AM251*1.18)</f>
        <v>0</v>
      </c>
      <c r="AO251" s="399"/>
      <c r="AP251" s="398">
        <f>IF($D241="нет",AO251,AO251*1.18)</f>
        <v>0</v>
      </c>
      <c r="AQ251" s="399"/>
      <c r="AR251" s="399"/>
      <c r="AS251" s="398">
        <f>IF(D241="нет",AR251,AR251*1.18)</f>
        <v>0</v>
      </c>
      <c r="AT251" s="399"/>
      <c r="AU251" s="398">
        <f>IF($D241="нет",AT251,AT251*1.18)</f>
        <v>0</v>
      </c>
      <c r="AV251" s="399"/>
      <c r="AW251" s="832"/>
      <c r="AX251" s="832"/>
      <c r="AY251" s="832"/>
      <c r="AZ251" s="832"/>
      <c r="BA251" s="832"/>
      <c r="BB251" s="832"/>
      <c r="BC251" s="832"/>
      <c r="BD251" s="832"/>
      <c r="BE251" s="399"/>
      <c r="BF251" s="398">
        <f t="shared" si="30"/>
        <v>0</v>
      </c>
      <c r="BG251" s="399"/>
      <c r="BH251" s="398">
        <f>IF(D241="нет",BG251,BG251*1.18)</f>
        <v>0</v>
      </c>
      <c r="BI251" s="399"/>
      <c r="BJ251" s="398">
        <f>IF($D241="нет",BI251,BI251*1.18)</f>
        <v>0</v>
      </c>
      <c r="BK251" s="399"/>
      <c r="BL251" s="832"/>
      <c r="BM251" s="832"/>
      <c r="BN251" s="832"/>
      <c r="BO251" s="832"/>
      <c r="BP251" s="832"/>
      <c r="BQ251" s="832"/>
      <c r="BR251" s="832"/>
      <c r="BS251" s="832"/>
      <c r="BT251" s="399"/>
      <c r="BU251" s="398">
        <f>IF(BP251=0,0,1000*BT251/BP251)</f>
        <v>0</v>
      </c>
      <c r="BV251" s="399"/>
      <c r="BW251" s="398">
        <f>IF(D241="нет",BV251,BV251*1.18)</f>
        <v>0</v>
      </c>
      <c r="BX251" s="399"/>
      <c r="BY251" s="398">
        <f>IF($D241="нет",BX251,BX251*1.18)</f>
        <v>0</v>
      </c>
      <c r="BZ251" s="399"/>
      <c r="CA251" s="832"/>
      <c r="CB251" s="832"/>
      <c r="CC251" s="832"/>
      <c r="CD251" s="832"/>
      <c r="CE251" s="832"/>
      <c r="CF251" s="832"/>
      <c r="CG251" s="832"/>
      <c r="CH251" s="832"/>
      <c r="CI251" s="399"/>
      <c r="CJ251" s="398">
        <f t="shared" si="31"/>
        <v>0</v>
      </c>
      <c r="CK251" s="398">
        <f>BE251+BT251+CI251</f>
        <v>0</v>
      </c>
      <c r="CL251" s="853"/>
      <c r="CM251" s="398">
        <f t="shared" si="32"/>
        <v>0</v>
      </c>
      <c r="CN251" s="398">
        <f>(Y251-AM251)*AQ251/1000</f>
        <v>0</v>
      </c>
      <c r="CO251" s="398">
        <f>(Y251-(AR251+BF251))*AV251/1000</f>
        <v>0</v>
      </c>
      <c r="CP251" s="398">
        <f>(Y251-(BG251+BU251))*BK251/1000</f>
        <v>0</v>
      </c>
      <c r="CQ251" s="398">
        <f>(Y251-(BV251+CJ251))*BZ251/1000</f>
        <v>0</v>
      </c>
      <c r="CR251" s="846"/>
      <c r="CS251"/>
      <c r="CT251"/>
      <c r="CU251"/>
      <c r="CV251"/>
      <c r="CW251"/>
      <c r="CX251"/>
      <c r="CY251"/>
      <c r="CZ251"/>
      <c r="DA251"/>
      <c r="DB251"/>
      <c r="DC251"/>
      <c r="DD251"/>
      <c r="DE251"/>
      <c r="DF251" s="77"/>
      <c r="DG251" s="77"/>
      <c r="DH251" s="77"/>
      <c r="DI251" s="77"/>
      <c r="DJ251" s="77"/>
      <c r="DK251" s="77"/>
      <c r="DL251" s="77"/>
      <c r="DM251" s="77"/>
      <c r="DN251" s="77"/>
      <c r="DO251" s="381"/>
      <c r="DP251" s="77"/>
      <c r="DQ251" s="77"/>
      <c r="DR251" s="77"/>
      <c r="DS251" s="77"/>
      <c r="DT251" s="77"/>
      <c r="DU251" s="39"/>
      <c r="DV251" s="39"/>
      <c r="DW251" s="39"/>
      <c r="DX251" s="39"/>
      <c r="DY251" s="39"/>
      <c r="DZ251" s="39"/>
      <c r="EA251" s="39"/>
      <c r="EB251" s="39"/>
      <c r="EC251" s="39"/>
      <c r="ED251" s="39"/>
      <c r="EE251" s="39"/>
      <c r="EF251" s="39"/>
      <c r="EG251" s="39"/>
    </row>
    <row r="252" spans="3:152" s="60" customFormat="1">
      <c r="D252"/>
      <c r="E252"/>
      <c r="F252" s="833"/>
      <c r="G252" s="835"/>
      <c r="H252" s="834" t="s">
        <v>3139</v>
      </c>
      <c r="I252" s="393" t="s">
        <v>1776</v>
      </c>
      <c r="J252" s="391"/>
      <c r="K252" s="391"/>
      <c r="L252" s="391"/>
      <c r="M252" s="391"/>
      <c r="N252" s="391"/>
      <c r="O252" s="391"/>
      <c r="P252" s="391"/>
      <c r="Q252" s="391"/>
      <c r="R252" s="391"/>
      <c r="S252" s="391"/>
      <c r="T252" s="391"/>
      <c r="U252" s="391"/>
      <c r="V252" s="391"/>
      <c r="W252" s="391"/>
      <c r="X252" s="391"/>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832"/>
      <c r="AX252" s="832"/>
      <c r="AY252" s="832"/>
      <c r="AZ252" s="832"/>
      <c r="BA252" s="832"/>
      <c r="BB252" s="832"/>
      <c r="BC252" s="832"/>
      <c r="BD252" s="832"/>
      <c r="BE252" s="117"/>
      <c r="BF252" s="117"/>
      <c r="BG252" s="117"/>
      <c r="BH252" s="117"/>
      <c r="BI252" s="117"/>
      <c r="BJ252" s="117"/>
      <c r="BK252" s="117"/>
      <c r="BL252" s="832"/>
      <c r="BM252" s="832"/>
      <c r="BN252" s="832"/>
      <c r="BO252" s="832"/>
      <c r="BP252" s="832"/>
      <c r="BQ252" s="832"/>
      <c r="BR252" s="832"/>
      <c r="BS252" s="832"/>
      <c r="BT252" s="117"/>
      <c r="BU252" s="117"/>
      <c r="BV252" s="117"/>
      <c r="BW252" s="117"/>
      <c r="BX252" s="117"/>
      <c r="BY252" s="117"/>
      <c r="BZ252" s="117"/>
      <c r="CA252" s="832"/>
      <c r="CB252" s="832"/>
      <c r="CC252" s="832"/>
      <c r="CD252" s="832"/>
      <c r="CE252" s="832"/>
      <c r="CF252" s="832"/>
      <c r="CG252" s="832"/>
      <c r="CH252" s="832"/>
      <c r="CI252" s="117"/>
      <c r="CJ252" s="117"/>
      <c r="CK252" s="117"/>
      <c r="CL252" s="853"/>
      <c r="CM252" s="117"/>
      <c r="CN252" s="117"/>
      <c r="CO252" s="117"/>
      <c r="CP252" s="117"/>
      <c r="CQ252" s="117"/>
      <c r="CR252" s="846"/>
      <c r="CS252"/>
      <c r="CT252"/>
      <c r="CU252"/>
      <c r="CV252"/>
      <c r="CW252"/>
      <c r="CX252"/>
      <c r="CY252"/>
      <c r="CZ252"/>
      <c r="DA252"/>
      <c r="DB252"/>
      <c r="DC252"/>
      <c r="DD252"/>
      <c r="DE252"/>
      <c r="DF252" s="77"/>
      <c r="DG252" s="77"/>
      <c r="DH252" s="77"/>
      <c r="DI252" s="77"/>
      <c r="DJ252" s="77"/>
      <c r="DK252" s="77"/>
      <c r="DL252" s="77"/>
      <c r="DM252" s="77"/>
      <c r="DN252" s="77"/>
      <c r="DO252" s="381"/>
      <c r="DP252" s="77"/>
      <c r="DQ252" s="77"/>
      <c r="DR252" s="77"/>
      <c r="DS252" s="77"/>
      <c r="DT252" s="77"/>
      <c r="DU252" s="39"/>
      <c r="DV252" s="39"/>
      <c r="DW252" s="39"/>
      <c r="DX252" s="39"/>
      <c r="DY252" s="39"/>
      <c r="DZ252" s="39"/>
      <c r="EA252" s="39"/>
      <c r="EB252" s="39"/>
      <c r="EC252" s="39"/>
      <c r="ED252" s="39"/>
      <c r="EE252" s="39"/>
      <c r="EF252" s="39"/>
      <c r="EG252" s="39"/>
    </row>
    <row r="253" spans="3:152" s="60" customFormat="1">
      <c r="D253"/>
      <c r="E253"/>
      <c r="F253" s="833"/>
      <c r="G253" s="835"/>
      <c r="H253" s="834"/>
      <c r="I253" s="393" t="s">
        <v>1777</v>
      </c>
      <c r="J253" s="391"/>
      <c r="K253" s="391"/>
      <c r="L253" s="391"/>
      <c r="M253" s="391"/>
      <c r="N253" s="391"/>
      <c r="O253" s="391"/>
      <c r="P253" s="391"/>
      <c r="Q253" s="391"/>
      <c r="R253" s="391"/>
      <c r="S253" s="391"/>
      <c r="T253" s="391"/>
      <c r="U253" s="391"/>
      <c r="V253" s="391"/>
      <c r="W253" s="391"/>
      <c r="X253" s="391"/>
      <c r="Y253" s="399"/>
      <c r="Z253" s="398">
        <f>IF(D241="нет",Y253,Y253*1.18)</f>
        <v>0</v>
      </c>
      <c r="AA253" s="117"/>
      <c r="AB253" s="117"/>
      <c r="AC253" s="398">
        <f>IF(AG253&gt;0,(AR253*AV253+BG253*BK253+BV253*BZ253)/AG253,0)</f>
        <v>0</v>
      </c>
      <c r="AD253" s="398">
        <f>IF(D241="нет",AC253,AC253*1.18)</f>
        <v>0</v>
      </c>
      <c r="AE253" s="398">
        <f>IF(AG253&gt;0,(AR253*AV253+BG253*BK253+BV253*BZ253-AH253*AG253)/AG253,0)</f>
        <v>0</v>
      </c>
      <c r="AF253" s="398">
        <f>IF(D241="нет",AE253,AE253*1.18)</f>
        <v>0</v>
      </c>
      <c r="AG253" s="398">
        <f>AV253+BK253+BZ253</f>
        <v>0</v>
      </c>
      <c r="AH253" s="399"/>
      <c r="AI253" s="398">
        <f>IF(D241="нет",AH253,AH253*1.18)</f>
        <v>0</v>
      </c>
      <c r="AJ253" s="117"/>
      <c r="AK253" s="117"/>
      <c r="AL253" s="117"/>
      <c r="AM253" s="399"/>
      <c r="AN253" s="398">
        <f>IF(D241="нет",AM253,AM253*1.18)</f>
        <v>0</v>
      </c>
      <c r="AO253" s="399"/>
      <c r="AP253" s="398">
        <f>IF($D241="нет",AO253,AO253*1.18)</f>
        <v>0</v>
      </c>
      <c r="AQ253" s="399"/>
      <c r="AR253" s="399"/>
      <c r="AS253" s="398">
        <f>IF(D241="нет",AR253,AR253*1.18)</f>
        <v>0</v>
      </c>
      <c r="AT253" s="399"/>
      <c r="AU253" s="398">
        <f>IF($D241="нет",AT253,AT253*1.18)</f>
        <v>0</v>
      </c>
      <c r="AV253" s="399"/>
      <c r="AW253" s="832"/>
      <c r="AX253" s="832"/>
      <c r="AY253" s="832"/>
      <c r="AZ253" s="832"/>
      <c r="BA253" s="832"/>
      <c r="BB253" s="832"/>
      <c r="BC253" s="832"/>
      <c r="BD253" s="832"/>
      <c r="BE253" s="399"/>
      <c r="BF253" s="398">
        <f t="shared" si="30"/>
        <v>0</v>
      </c>
      <c r="BG253" s="399"/>
      <c r="BH253" s="398">
        <f>IF(D241="нет",BG253,BG253*1.18)</f>
        <v>0</v>
      </c>
      <c r="BI253" s="399"/>
      <c r="BJ253" s="398">
        <f>IF($D241="нет",BI253,BI253*1.18)</f>
        <v>0</v>
      </c>
      <c r="BK253" s="399"/>
      <c r="BL253" s="832"/>
      <c r="BM253" s="832"/>
      <c r="BN253" s="832"/>
      <c r="BO253" s="832"/>
      <c r="BP253" s="832"/>
      <c r="BQ253" s="832"/>
      <c r="BR253" s="832"/>
      <c r="BS253" s="832"/>
      <c r="BT253" s="399"/>
      <c r="BU253" s="398">
        <f>IF(BP253=0,0,1000*BT253/BP253)</f>
        <v>0</v>
      </c>
      <c r="BV253" s="399"/>
      <c r="BW253" s="398">
        <f>IF(D241="нет",BV253,BV253*1.18)</f>
        <v>0</v>
      </c>
      <c r="BX253" s="399"/>
      <c r="BY253" s="398">
        <f>IF($D241="нет",BX253,BX253*1.18)</f>
        <v>0</v>
      </c>
      <c r="BZ253" s="399"/>
      <c r="CA253" s="832"/>
      <c r="CB253" s="832"/>
      <c r="CC253" s="832"/>
      <c r="CD253" s="832"/>
      <c r="CE253" s="832"/>
      <c r="CF253" s="832"/>
      <c r="CG253" s="832"/>
      <c r="CH253" s="832"/>
      <c r="CI253" s="399"/>
      <c r="CJ253" s="398">
        <f t="shared" si="31"/>
        <v>0</v>
      </c>
      <c r="CK253" s="398">
        <f>BE253+BT253+CI253</f>
        <v>0</v>
      </c>
      <c r="CL253" s="853"/>
      <c r="CM253" s="398">
        <f t="shared" si="32"/>
        <v>0</v>
      </c>
      <c r="CN253" s="398">
        <f>(Y253-AM253)*AQ253/1000</f>
        <v>0</v>
      </c>
      <c r="CO253" s="398">
        <f>(Y253-(AR253+BF253))*AV253/1000</f>
        <v>0</v>
      </c>
      <c r="CP253" s="398">
        <f>(Y253-(BG253+BU253))*BK253/1000</f>
        <v>0</v>
      </c>
      <c r="CQ253" s="398">
        <f>(Y253-(BV253+CJ253))*BZ253/1000</f>
        <v>0</v>
      </c>
      <c r="CR253" s="846"/>
      <c r="CS253"/>
      <c r="CT253"/>
      <c r="CU253"/>
      <c r="CV253"/>
      <c r="CW253"/>
      <c r="CX253"/>
      <c r="CY253"/>
      <c r="CZ253"/>
      <c r="DA253"/>
      <c r="DB253"/>
      <c r="DC253"/>
      <c r="DD253"/>
      <c r="DE253"/>
      <c r="DF253" s="77"/>
      <c r="DG253" s="77"/>
      <c r="DH253" s="77"/>
      <c r="DI253" s="77"/>
      <c r="DJ253" s="77"/>
      <c r="DK253" s="77"/>
      <c r="DL253" s="77"/>
      <c r="DM253" s="77"/>
      <c r="DN253" s="77"/>
      <c r="DO253" s="381"/>
      <c r="DP253" s="77"/>
      <c r="DQ253" s="77"/>
      <c r="DR253" s="77"/>
      <c r="DS253" s="77"/>
      <c r="DT253" s="77"/>
      <c r="DU253" s="39"/>
      <c r="DV253" s="39"/>
      <c r="DW253" s="39"/>
      <c r="DX253" s="39"/>
      <c r="DY253" s="39"/>
      <c r="DZ253" s="39"/>
      <c r="EA253" s="39"/>
      <c r="EB253" s="39"/>
      <c r="EC253" s="39"/>
      <c r="ED253" s="39"/>
      <c r="EE253" s="39"/>
      <c r="EF253" s="39"/>
      <c r="EG253" s="39"/>
    </row>
    <row r="254" spans="3:152" s="60" customFormat="1">
      <c r="D254"/>
      <c r="E254"/>
      <c r="F254" s="833"/>
      <c r="G254" s="835"/>
      <c r="H254" s="836" t="s">
        <v>1779</v>
      </c>
      <c r="I254" s="393" t="s">
        <v>1776</v>
      </c>
      <c r="J254" s="391"/>
      <c r="K254" s="391"/>
      <c r="L254" s="391"/>
      <c r="M254" s="391"/>
      <c r="N254" s="391"/>
      <c r="O254" s="391"/>
      <c r="P254" s="391"/>
      <c r="Q254" s="391"/>
      <c r="R254" s="391"/>
      <c r="S254" s="391"/>
      <c r="T254" s="391"/>
      <c r="U254" s="391"/>
      <c r="V254" s="391"/>
      <c r="W254" s="391"/>
      <c r="X254" s="391"/>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832"/>
      <c r="AX254" s="832"/>
      <c r="AY254" s="832"/>
      <c r="AZ254" s="832"/>
      <c r="BA254" s="832"/>
      <c r="BB254" s="832"/>
      <c r="BC254" s="832"/>
      <c r="BD254" s="832"/>
      <c r="BE254" s="117"/>
      <c r="BF254" s="117"/>
      <c r="BG254" s="117"/>
      <c r="BH254" s="117"/>
      <c r="BI254" s="117"/>
      <c r="BJ254" s="117"/>
      <c r="BK254" s="117"/>
      <c r="BL254" s="832"/>
      <c r="BM254" s="832"/>
      <c r="BN254" s="832"/>
      <c r="BO254" s="832"/>
      <c r="BP254" s="832"/>
      <c r="BQ254" s="832"/>
      <c r="BR254" s="832"/>
      <c r="BS254" s="832"/>
      <c r="BT254" s="117"/>
      <c r="BU254" s="117"/>
      <c r="BV254" s="117"/>
      <c r="BW254" s="117"/>
      <c r="BX254" s="117"/>
      <c r="BY254" s="117"/>
      <c r="BZ254" s="117"/>
      <c r="CA254" s="832"/>
      <c r="CB254" s="832"/>
      <c r="CC254" s="832"/>
      <c r="CD254" s="832"/>
      <c r="CE254" s="832"/>
      <c r="CF254" s="832"/>
      <c r="CG254" s="832"/>
      <c r="CH254" s="832"/>
      <c r="CI254" s="117"/>
      <c r="CJ254" s="117"/>
      <c r="CK254" s="117"/>
      <c r="CL254" s="853"/>
      <c r="CM254" s="117"/>
      <c r="CN254" s="117"/>
      <c r="CO254" s="117"/>
      <c r="CP254" s="117"/>
      <c r="CQ254" s="117"/>
      <c r="CR254" s="846"/>
      <c r="CS254"/>
      <c r="CT254"/>
      <c r="CU254"/>
      <c r="CV254"/>
      <c r="CW254"/>
      <c r="CX254"/>
      <c r="CY254"/>
      <c r="CZ254"/>
      <c r="DA254"/>
      <c r="DB254"/>
      <c r="DC254"/>
      <c r="DD254"/>
      <c r="DE254"/>
      <c r="DF254" s="77"/>
      <c r="DG254" s="77"/>
      <c r="DH254" s="77"/>
      <c r="DI254" s="77"/>
      <c r="DJ254" s="77"/>
      <c r="DK254" s="77"/>
      <c r="DL254" s="77"/>
      <c r="DM254" s="77"/>
      <c r="DN254" s="77"/>
      <c r="DO254" s="381"/>
      <c r="DP254" s="77"/>
      <c r="DQ254" s="77"/>
      <c r="DR254" s="77"/>
      <c r="DS254" s="77"/>
      <c r="DT254" s="77"/>
      <c r="DU254" s="39"/>
      <c r="DV254" s="39"/>
      <c r="DW254" s="39"/>
      <c r="DX254" s="39"/>
      <c r="DY254" s="39"/>
      <c r="DZ254" s="39"/>
      <c r="EA254" s="39"/>
      <c r="EB254" s="39"/>
      <c r="EC254" s="39"/>
      <c r="ED254" s="39"/>
      <c r="EE254" s="39"/>
      <c r="EF254" s="39"/>
      <c r="EG254" s="39"/>
    </row>
    <row r="255" spans="3:152" s="60" customFormat="1">
      <c r="D255"/>
      <c r="E255"/>
      <c r="F255" s="833"/>
      <c r="G255" s="835"/>
      <c r="H255" s="836"/>
      <c r="I255" s="393" t="s">
        <v>1777</v>
      </c>
      <c r="J255" s="391"/>
      <c r="K255" s="391"/>
      <c r="L255" s="391"/>
      <c r="M255" s="391"/>
      <c r="N255" s="391"/>
      <c r="O255" s="391"/>
      <c r="P255" s="391"/>
      <c r="Q255" s="391"/>
      <c r="R255" s="391"/>
      <c r="S255" s="391"/>
      <c r="T255" s="391"/>
      <c r="U255" s="391"/>
      <c r="V255" s="391"/>
      <c r="W255" s="391"/>
      <c r="X255" s="391"/>
      <c r="Y255" s="399"/>
      <c r="Z255" s="398">
        <f>IF(D241="нет",Y255,Y255*1.18)</f>
        <v>0</v>
      </c>
      <c r="AA255" s="117"/>
      <c r="AB255" s="117"/>
      <c r="AC255" s="398">
        <f>IF(AG255&gt;0,(AR255*AV255+BG255*BK255+BV255*BZ255)/AG255,0)</f>
        <v>0</v>
      </c>
      <c r="AD255" s="398">
        <f>IF(D241="нет",AC255,AC255*1.18)</f>
        <v>0</v>
      </c>
      <c r="AE255" s="398">
        <f>IF(AG255&gt;0,(AR255*AV255+BG255*BK255+BV255*BZ255-AH255*AG255)/AG255,0)</f>
        <v>0</v>
      </c>
      <c r="AF255" s="398">
        <f>IF(D241="нет",AE255,AE255*1.18)</f>
        <v>0</v>
      </c>
      <c r="AG255" s="398">
        <f>AV255+BK255+BZ255</f>
        <v>0</v>
      </c>
      <c r="AH255" s="399"/>
      <c r="AI255" s="398">
        <f>IF(D241="нет",AH255,AH255*1.18)</f>
        <v>0</v>
      </c>
      <c r="AJ255" s="117"/>
      <c r="AK255" s="117"/>
      <c r="AL255" s="117"/>
      <c r="AM255" s="399"/>
      <c r="AN255" s="398">
        <f>IF(D241="нет",AM255,AM255*1.18)</f>
        <v>0</v>
      </c>
      <c r="AO255" s="399"/>
      <c r="AP255" s="398">
        <f>IF($D241="нет",AO255,AO255*1.18)</f>
        <v>0</v>
      </c>
      <c r="AQ255" s="399"/>
      <c r="AR255" s="399"/>
      <c r="AS255" s="398">
        <f>IF(D241="нет",AR255,AR255*1.18)</f>
        <v>0</v>
      </c>
      <c r="AT255" s="399"/>
      <c r="AU255" s="398">
        <f>IF($D241="нет",AT255,AT255*1.18)</f>
        <v>0</v>
      </c>
      <c r="AV255" s="399"/>
      <c r="AW255" s="832"/>
      <c r="AX255" s="832"/>
      <c r="AY255" s="832"/>
      <c r="AZ255" s="832"/>
      <c r="BA255" s="832"/>
      <c r="BB255" s="832"/>
      <c r="BC255" s="832"/>
      <c r="BD255" s="832"/>
      <c r="BE255" s="399"/>
      <c r="BF255" s="398">
        <f t="shared" si="30"/>
        <v>0</v>
      </c>
      <c r="BG255" s="399"/>
      <c r="BH255" s="398">
        <f>IF(D241="нет",BG255,BG255*1.18)</f>
        <v>0</v>
      </c>
      <c r="BI255" s="399"/>
      <c r="BJ255" s="398">
        <f>IF($D241="нет",BI255,BI255*1.18)</f>
        <v>0</v>
      </c>
      <c r="BK255" s="399"/>
      <c r="BL255" s="832"/>
      <c r="BM255" s="832"/>
      <c r="BN255" s="832"/>
      <c r="BO255" s="832"/>
      <c r="BP255" s="832"/>
      <c r="BQ255" s="832"/>
      <c r="BR255" s="832"/>
      <c r="BS255" s="832"/>
      <c r="BT255" s="399"/>
      <c r="BU255" s="398">
        <f>IF(BP255=0,0,1000*BT255/BP255)</f>
        <v>0</v>
      </c>
      <c r="BV255" s="399"/>
      <c r="BW255" s="398">
        <f>IF(D241="нет",BV255,BV255*1.18)</f>
        <v>0</v>
      </c>
      <c r="BX255" s="399"/>
      <c r="BY255" s="398">
        <f>IF($D241="нет",BX255,BX255*1.18)</f>
        <v>0</v>
      </c>
      <c r="BZ255" s="399"/>
      <c r="CA255" s="832"/>
      <c r="CB255" s="832"/>
      <c r="CC255" s="832"/>
      <c r="CD255" s="832"/>
      <c r="CE255" s="832"/>
      <c r="CF255" s="832"/>
      <c r="CG255" s="832"/>
      <c r="CH255" s="832"/>
      <c r="CI255" s="399"/>
      <c r="CJ255" s="398">
        <f t="shared" si="31"/>
        <v>0</v>
      </c>
      <c r="CK255" s="398">
        <f>BE255+BT255+CI255</f>
        <v>0</v>
      </c>
      <c r="CL255" s="853"/>
      <c r="CM255" s="398">
        <f t="shared" si="32"/>
        <v>0</v>
      </c>
      <c r="CN255" s="398">
        <f>(Y255-AM255)*AQ255/1000</f>
        <v>0</v>
      </c>
      <c r="CO255" s="398">
        <f>(Y255-(AR255+BF255))*AV255/1000</f>
        <v>0</v>
      </c>
      <c r="CP255" s="398">
        <f>(Y255-(BG255+BU255))*BK255/1000</f>
        <v>0</v>
      </c>
      <c r="CQ255" s="398">
        <f>(Y255-(BV255+CJ255))*BZ255/1000</f>
        <v>0</v>
      </c>
      <c r="CR255" s="846"/>
      <c r="CS255"/>
      <c r="CT255"/>
      <c r="CU255"/>
      <c r="CV255"/>
      <c r="CW255"/>
      <c r="CX255"/>
      <c r="CY255"/>
      <c r="CZ255"/>
      <c r="DA255"/>
      <c r="DB255"/>
      <c r="DC255"/>
      <c r="DD255"/>
      <c r="DE255"/>
      <c r="DF255" s="77"/>
      <c r="DG255" s="77"/>
      <c r="DH255" s="77"/>
      <c r="DI255" s="77"/>
      <c r="DJ255" s="77"/>
      <c r="DK255" s="77"/>
      <c r="DL255" s="77"/>
      <c r="DM255" s="77"/>
      <c r="DN255" s="77"/>
      <c r="DO255" s="381"/>
      <c r="DP255" s="77"/>
      <c r="DQ255" s="77"/>
      <c r="DR255" s="77"/>
      <c r="DS255" s="77"/>
      <c r="DT255" s="77"/>
      <c r="DU255" s="39"/>
      <c r="DV255" s="39"/>
      <c r="DW255" s="39"/>
      <c r="DX255" s="39"/>
      <c r="DY255" s="39"/>
      <c r="DZ255" s="39"/>
      <c r="EA255" s="39"/>
      <c r="EB255" s="39"/>
      <c r="EC255" s="39"/>
      <c r="ED255" s="39"/>
      <c r="EE255" s="39"/>
      <c r="EF255" s="39"/>
      <c r="EG255" s="39"/>
    </row>
    <row r="256" spans="3:152">
      <c r="H256" s="388" t="s">
        <v>3153</v>
      </c>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T256" s="386"/>
      <c r="BU256" s="386"/>
      <c r="BV256" s="386"/>
      <c r="BW256" s="386"/>
      <c r="BX256" s="386"/>
      <c r="BY256" s="386"/>
      <c r="BZ256" s="386"/>
      <c r="CA256" s="386"/>
      <c r="CB256" s="386"/>
      <c r="CC256" s="386"/>
      <c r="CD256" s="386"/>
      <c r="CE256" s="386"/>
      <c r="CF256" s="386"/>
      <c r="CG256" s="386"/>
      <c r="CH256" s="386"/>
      <c r="CI256" s="386"/>
      <c r="CJ256" s="386"/>
      <c r="CK256" s="386"/>
      <c r="CL256" s="386"/>
      <c r="CM256" s="386"/>
      <c r="CN256" s="386"/>
      <c r="CO256" s="386"/>
      <c r="CP256" s="386"/>
      <c r="CQ256" s="386"/>
      <c r="CS256"/>
      <c r="CT256"/>
      <c r="CU256"/>
      <c r="CV256"/>
      <c r="CW256"/>
      <c r="CX256"/>
      <c r="CY256"/>
      <c r="CZ256"/>
      <c r="DA256"/>
      <c r="DB256"/>
      <c r="DC256"/>
      <c r="DD256"/>
      <c r="DE256"/>
    </row>
    <row r="257" spans="3:152" s="60" customFormat="1">
      <c r="C257" s="497" t="str">
        <f>F257 &amp; ".0"</f>
        <v>.0</v>
      </c>
      <c r="D257"/>
      <c r="E257"/>
      <c r="F257" s="833"/>
      <c r="G257" s="835"/>
      <c r="H257" s="389" t="s">
        <v>1768</v>
      </c>
      <c r="I257" s="390" t="s">
        <v>1769</v>
      </c>
      <c r="J257" s="391"/>
      <c r="K257" s="391"/>
      <c r="L257" s="391"/>
      <c r="M257" s="391"/>
      <c r="N257" s="391"/>
      <c r="O257" s="391"/>
      <c r="P257" s="391"/>
      <c r="Q257" s="391"/>
      <c r="R257" s="391"/>
      <c r="S257" s="391"/>
      <c r="T257" s="391"/>
      <c r="U257" s="391"/>
      <c r="V257" s="391"/>
      <c r="W257" s="391"/>
      <c r="X257" s="391"/>
      <c r="Y257" s="398">
        <f>IF((AG257+AQ257)&gt;0,(Y258*(AG258+AQ258)+Y259*(AG259+AQ259)+Y260*(AG260+AQ260)+Y261*(AG261+AQ261)+Y270*(AG270+AQ270)+Y271*(AG271+AQ271))/(AG257+AQ257),0)</f>
        <v>0</v>
      </c>
      <c r="Z257" s="398">
        <f>IF(D257="нет",Y257,Y257*1.18)</f>
        <v>0</v>
      </c>
      <c r="AA257" s="117"/>
      <c r="AB257" s="117"/>
      <c r="AC257" s="398">
        <f>IF(AG257&gt;0,(AW257*BA257+BL257*BP257+CA257*CE257)/AG257,0)</f>
        <v>0</v>
      </c>
      <c r="AD257" s="398">
        <f>IF(D257="нет",AC257,AC257*1.18)</f>
        <v>0</v>
      </c>
      <c r="AE257" s="398">
        <f>IF(AG257&gt;0,(AW257*BA257+BL257*BP257+CA257*CE257-AH257*AG257)/AG257,0)</f>
        <v>0</v>
      </c>
      <c r="AF257" s="398">
        <f>IF(D257="нет",AE257,AE257*1.18)</f>
        <v>0</v>
      </c>
      <c r="AG257" s="398">
        <f>BA257+BP257+CE257</f>
        <v>0</v>
      </c>
      <c r="AH257" s="398">
        <f>IF(AG257&gt;0,(AH258*AG258+AH259*AG259+AH260*AG260+AH261*AG261+AH270*AG270+AH271*AG271)/AG257,0)</f>
        <v>0</v>
      </c>
      <c r="AI257" s="398">
        <f>IF(D257="нет",AH257,AH257*1.18)</f>
        <v>0</v>
      </c>
      <c r="AJ257" s="117"/>
      <c r="AK257" s="117"/>
      <c r="AL257" s="117"/>
      <c r="AM257" s="398">
        <f>IF($AQ257&gt;0,(AM258*$AQ258+AM259*$AQ259+AM260*$AQ260+AM261*$AQ261+AM270*$AQ270+AM271*$AQ271)/$AQ257,0)</f>
        <v>0</v>
      </c>
      <c r="AN257" s="398">
        <f>IF(D257="нет",AM257,AM257*1.18)</f>
        <v>0</v>
      </c>
      <c r="AO257" s="398">
        <f>IF($AQ257&gt;0,(AO258*$AQ258+AO259*$AQ259+AO260*$AQ260+AO261*$AQ261+AO270*$AQ270+AO271*$AQ271)/$AQ257,0)</f>
        <v>0</v>
      </c>
      <c r="AP257" s="398">
        <f>IF($D257="нет",AO257,AO257*1.18)</f>
        <v>0</v>
      </c>
      <c r="AQ257" s="398">
        <f>AQ258+AQ259+AQ260+AQ261+AQ270+AQ271</f>
        <v>0</v>
      </c>
      <c r="AR257" s="832"/>
      <c r="AS257" s="832"/>
      <c r="AT257" s="832"/>
      <c r="AU257" s="832"/>
      <c r="AV257" s="832"/>
      <c r="AW257" s="398">
        <f>IF(BA257&gt;0,((AY257*BA257)+(1000*$I$3*BB257*BD257))/BA257,0)</f>
        <v>0</v>
      </c>
      <c r="AX257" s="398">
        <f>IF(BA257&gt;0,((AZ257*BA257)+(1000*$I$3*BC257*BD257))/BA257,0)</f>
        <v>0</v>
      </c>
      <c r="AY257" s="398">
        <f>IF(BA257&gt;0,(AY258*BA258+AY259*BA259+AY260*BA260+AY261*BA261+AY270*BA270+AY271*BA271)/BA257,0)</f>
        <v>0</v>
      </c>
      <c r="AZ257" s="398">
        <f>IF(D257="нет",AY257,AY257*1.18)</f>
        <v>0</v>
      </c>
      <c r="BA257" s="398">
        <f>BA258+BA259+BA260+BA261+BA270+BA271</f>
        <v>0</v>
      </c>
      <c r="BB257" s="398">
        <f>IF(BD257&gt;0,(BB258*BD258+BB259*BD259+BB260*BD260+BB261*BD261+BB270*BD270+BB271*BD271)/BD257,0)</f>
        <v>0</v>
      </c>
      <c r="BC257" s="398">
        <f>IF(D257="нет",BB257,BB257*1.18)</f>
        <v>0</v>
      </c>
      <c r="BD257" s="398">
        <f>BD258+BD259+BD260+BD261+BD270+BD271</f>
        <v>0</v>
      </c>
      <c r="BE257" s="398">
        <f>BE258+BE259+BE260+BE261+BE270+BE271</f>
        <v>0</v>
      </c>
      <c r="BF257" s="398">
        <f>IF(BA257=0,0,1000*BE257/BA257)</f>
        <v>0</v>
      </c>
      <c r="BG257" s="832"/>
      <c r="BH257" s="832"/>
      <c r="BI257" s="832"/>
      <c r="BJ257" s="832"/>
      <c r="BK257" s="832"/>
      <c r="BL257" s="398">
        <f>IF(BP257&gt;0,((BN257*BP257)+(1000*$I$3*BQ257*BS257))/BP257,0)</f>
        <v>0</v>
      </c>
      <c r="BM257" s="398">
        <f>IF(BP257&gt;0,((BO257*BP257)+(1000*$I$3*BR257*BS257))/BP257,0)</f>
        <v>0</v>
      </c>
      <c r="BN257" s="398">
        <f>IF(BP257&gt;0,(BN258*BP258+BN259*BP259+BN260*BP260+BN261*BP261+BN270*BP270+BN271*BP271)/BP257,0)</f>
        <v>0</v>
      </c>
      <c r="BO257" s="398">
        <f>IF(D257="нет",BN257,BN257*1.18)</f>
        <v>0</v>
      </c>
      <c r="BP257" s="398">
        <f>BP258+BP259+BP260+BP261+BP270+BP271</f>
        <v>0</v>
      </c>
      <c r="BQ257" s="398">
        <f>IF(BS257&gt;0,(BQ258*BS258+BQ259*BS259+BQ260*BS260+BQ261*BS261+BQ270*BS270+BQ271*BS271)/BS257,0)</f>
        <v>0</v>
      </c>
      <c r="BR257" s="398">
        <f>IF(D257="нет",BQ257,BQ257*1.18)</f>
        <v>0</v>
      </c>
      <c r="BS257" s="398">
        <f>BS258+BS259+BS260+BS261+BS270+BS271</f>
        <v>0</v>
      </c>
      <c r="BT257" s="398">
        <f>BT258+BT259+BT260+BT261+BT270+BT271</f>
        <v>0</v>
      </c>
      <c r="BU257" s="398">
        <f>IF(BK257=0,0,1000*BT257/BK257)</f>
        <v>0</v>
      </c>
      <c r="BV257" s="832"/>
      <c r="BW257" s="832"/>
      <c r="BX257" s="832"/>
      <c r="BY257" s="832"/>
      <c r="BZ257" s="832"/>
      <c r="CA257" s="398">
        <f>IF(CE257&gt;0,((CC257*CE257)+(1000*$I$3*CF257*CH257))/CE257,0)</f>
        <v>0</v>
      </c>
      <c r="CB257" s="398">
        <f>IF(CE257&gt;0,((CD257*CE257)+(1000*$I$3*CG257*CH257))/CE257,0)</f>
        <v>0</v>
      </c>
      <c r="CC257" s="398">
        <f>IF(CE257&gt;0,(CC258*CE258+CC259*CE259+CC260*CE260+CC261*CE261+CC270*CE270+CC271*CE271)/CE257,0)</f>
        <v>0</v>
      </c>
      <c r="CD257" s="398">
        <f>IF(D257="нет",CC257,CC257*1.18)</f>
        <v>0</v>
      </c>
      <c r="CE257" s="398">
        <f>CE258+CE259+CE260+CE261+CE270+CE271</f>
        <v>0</v>
      </c>
      <c r="CF257" s="398">
        <f>IF(CH257&gt;0,(CF258*CH258+CF259*CH259+CF260*CH260+CF261*CH261+CF270*CH270+CF271*CH271)/CH257,0)</f>
        <v>0</v>
      </c>
      <c r="CG257" s="398">
        <f>IF(D257="нет",CF257,CF257*1.18)</f>
        <v>0</v>
      </c>
      <c r="CH257" s="398">
        <f>CH258+CH259+CH260+CH261+CH270+CH271</f>
        <v>0</v>
      </c>
      <c r="CI257" s="398">
        <f>CI258+CI259+CI260+CI261+CI270+CI271</f>
        <v>0</v>
      </c>
      <c r="CJ257" s="398">
        <f>IF(CE257=0,0,1000*CI257/CE257)</f>
        <v>0</v>
      </c>
      <c r="CK257" s="398">
        <f>BE257+BT257+CI257</f>
        <v>0</v>
      </c>
      <c r="CL257" s="398">
        <f>SUM(CN258:CQ259,CN262:CQ271)</f>
        <v>0</v>
      </c>
      <c r="CM257" s="398">
        <f>SUMIF(CN257:CQ257,"&gt;0")</f>
        <v>0</v>
      </c>
      <c r="CN257" s="398">
        <f>SUMIF(CN258:CN259,"&gt;0")+SUMIF(CN262:CN271,"&gt;0")</f>
        <v>0</v>
      </c>
      <c r="CO257" s="398">
        <f>SUMIF(CO258:CO259,"&gt;0")+SUMIF(CO262:CO271,"&gt;0")</f>
        <v>0</v>
      </c>
      <c r="CP257" s="398">
        <f>SUMIF(CP258:CP259,"&gt;0")+SUMIF(CP262:CP271,"&gt;0")</f>
        <v>0</v>
      </c>
      <c r="CQ257" s="398">
        <f>SUMIF(CQ258:CQ259,"&gt;0")+SUMIF(CQ262:CQ271,"&gt;0")</f>
        <v>0</v>
      </c>
      <c r="CR257" s="846"/>
      <c r="CS257"/>
      <c r="CT257"/>
      <c r="CU257"/>
      <c r="CV257"/>
      <c r="CW257"/>
      <c r="CX257"/>
      <c r="CY257"/>
      <c r="CZ257"/>
      <c r="DA257"/>
      <c r="DB257"/>
      <c r="DC257"/>
      <c r="DD257"/>
      <c r="DE257"/>
      <c r="DF257" s="80">
        <f>AH257*AG257</f>
        <v>0</v>
      </c>
      <c r="DG257" s="80">
        <f>AI257*AG257</f>
        <v>0</v>
      </c>
      <c r="DH257" s="80">
        <f>AM257*AQ257</f>
        <v>0</v>
      </c>
      <c r="DI257" s="80">
        <f>AN257*AQ257</f>
        <v>0</v>
      </c>
      <c r="DJ257" s="80">
        <f>AR257*AV257</f>
        <v>0</v>
      </c>
      <c r="DK257" s="80">
        <f>AS257*AV257</f>
        <v>0</v>
      </c>
      <c r="DL257" s="80">
        <f>BG257*BK257</f>
        <v>0</v>
      </c>
      <c r="DM257" s="80">
        <f>BH257*BK257</f>
        <v>0</v>
      </c>
      <c r="DN257" s="80">
        <f>BV257*BZ257</f>
        <v>0</v>
      </c>
      <c r="DO257" s="80">
        <f>BW257*BZ257</f>
        <v>0</v>
      </c>
      <c r="DP257" s="382">
        <f>AW257*BA257</f>
        <v>0</v>
      </c>
      <c r="DQ257" s="382">
        <f>AX257*BA257</f>
        <v>0</v>
      </c>
      <c r="DR257" s="382">
        <f>AY257*BA257</f>
        <v>0</v>
      </c>
      <c r="DS257" s="382">
        <f>AZ257*BA257</f>
        <v>0</v>
      </c>
      <c r="DT257" s="382">
        <f>BB257*BD257</f>
        <v>0</v>
      </c>
      <c r="DU257" s="382">
        <f>BC257*BD257</f>
        <v>0</v>
      </c>
      <c r="DV257" s="382">
        <f>BL257*BP257</f>
        <v>0</v>
      </c>
      <c r="DW257" s="382">
        <f>BM257*BP257</f>
        <v>0</v>
      </c>
      <c r="DX257" s="382">
        <f>BN257*BP257</f>
        <v>0</v>
      </c>
      <c r="DY257" s="382">
        <f>BO257*BP257</f>
        <v>0</v>
      </c>
      <c r="DZ257" s="382">
        <f>BQ257*BS257</f>
        <v>0</v>
      </c>
      <c r="EA257" s="382">
        <f>BR257*BS257</f>
        <v>0</v>
      </c>
      <c r="EB257" s="382">
        <f>CA257*CE257</f>
        <v>0</v>
      </c>
      <c r="EC257" s="382">
        <f>CB257*CE257</f>
        <v>0</v>
      </c>
      <c r="ED257" s="382">
        <f>CC257*CE257</f>
        <v>0</v>
      </c>
      <c r="EE257" s="382">
        <f>CD257*CE257</f>
        <v>0</v>
      </c>
      <c r="EF257" s="382">
        <f>CF257*CH257</f>
        <v>0</v>
      </c>
      <c r="EG257" s="382">
        <f>CG257*CH257</f>
        <v>0</v>
      </c>
      <c r="EH257" s="383">
        <f>Y257*(AG257+AQ257)</f>
        <v>0</v>
      </c>
      <c r="EI257" s="383">
        <f>Z257*(AG257+AQ257)</f>
        <v>0</v>
      </c>
      <c r="EJ257" s="80">
        <f>AO257*AQ257</f>
        <v>0</v>
      </c>
      <c r="EK257" s="80">
        <f>AP257*AQ257</f>
        <v>0</v>
      </c>
      <c r="EL257" s="80">
        <f>AT257*AV257</f>
        <v>0</v>
      </c>
      <c r="EM257" s="80">
        <f>AU257*AV257</f>
        <v>0</v>
      </c>
      <c r="EN257" s="80">
        <f>BI257*BK257</f>
        <v>0</v>
      </c>
      <c r="EO257" s="80">
        <f>BJ257*BK257</f>
        <v>0</v>
      </c>
      <c r="EP257" s="80">
        <f>BX257*BZ257</f>
        <v>0</v>
      </c>
      <c r="EQ257" s="80">
        <f>BY257*BZ257</f>
        <v>0</v>
      </c>
      <c r="ER257" s="383">
        <f>AJ257*AL257</f>
        <v>0</v>
      </c>
      <c r="ES257" s="383">
        <f>AK257*AL257</f>
        <v>0</v>
      </c>
      <c r="ET257" s="383">
        <f>IF(AV257+BA257&gt;0,(AR257*AV257+AW257*BA257)/(AV257+BA257),0)</f>
        <v>0</v>
      </c>
      <c r="EU257" s="383">
        <f>IF(BK257+BP257&gt;0,(BG257*BK257+BL257*BP257)/(BK257+BP257),0)</f>
        <v>0</v>
      </c>
      <c r="EV257" s="383">
        <f>IF(BZ257+CE257&gt;0,(BV257*BZ257+CA257*CE257)/(BZ257+CE257),0)</f>
        <v>0</v>
      </c>
    </row>
    <row r="258" spans="3:152" s="60" customFormat="1">
      <c r="D258"/>
      <c r="E258"/>
      <c r="F258" s="833"/>
      <c r="G258" s="835"/>
      <c r="H258" s="836" t="s">
        <v>1775</v>
      </c>
      <c r="I258" s="393" t="s">
        <v>1776</v>
      </c>
      <c r="J258" s="391"/>
      <c r="K258" s="391"/>
      <c r="L258" s="391"/>
      <c r="M258" s="391"/>
      <c r="N258" s="391"/>
      <c r="O258" s="391"/>
      <c r="P258" s="391"/>
      <c r="Q258" s="391"/>
      <c r="R258" s="391"/>
      <c r="S258" s="391"/>
      <c r="T258" s="391"/>
      <c r="U258" s="391"/>
      <c r="V258" s="391"/>
      <c r="W258" s="391"/>
      <c r="X258" s="391"/>
      <c r="Y258" s="117"/>
      <c r="Z258" s="117"/>
      <c r="AA258" s="117"/>
      <c r="AB258" s="117"/>
      <c r="AC258" s="117"/>
      <c r="AD258" s="117"/>
      <c r="AE258" s="117"/>
      <c r="AF258" s="117"/>
      <c r="AG258" s="117"/>
      <c r="AH258" s="117"/>
      <c r="AI258" s="117"/>
      <c r="AJ258" s="117"/>
      <c r="AK258" s="117"/>
      <c r="AL258" s="117"/>
      <c r="AM258" s="117"/>
      <c r="AN258" s="117"/>
      <c r="AO258" s="117"/>
      <c r="AP258" s="117"/>
      <c r="AQ258" s="117"/>
      <c r="AR258" s="832"/>
      <c r="AS258" s="832"/>
      <c r="AT258" s="832"/>
      <c r="AU258" s="832"/>
      <c r="AV258" s="832"/>
      <c r="AW258" s="117"/>
      <c r="AX258" s="117"/>
      <c r="AY258" s="117"/>
      <c r="AZ258" s="117"/>
      <c r="BA258" s="117"/>
      <c r="BB258" s="117"/>
      <c r="BC258" s="117"/>
      <c r="BD258" s="117"/>
      <c r="BE258" s="117"/>
      <c r="BF258" s="117"/>
      <c r="BG258" s="832"/>
      <c r="BH258" s="832"/>
      <c r="BI258" s="832"/>
      <c r="BJ258" s="832"/>
      <c r="BK258" s="832"/>
      <c r="BL258" s="117"/>
      <c r="BM258" s="117"/>
      <c r="BN258" s="117"/>
      <c r="BO258" s="117"/>
      <c r="BP258" s="117"/>
      <c r="BQ258" s="117"/>
      <c r="BR258" s="117"/>
      <c r="BS258" s="117"/>
      <c r="BT258" s="117"/>
      <c r="BU258" s="117"/>
      <c r="BV258" s="832"/>
      <c r="BW258" s="832"/>
      <c r="BX258" s="832"/>
      <c r="BY258" s="832"/>
      <c r="BZ258" s="832"/>
      <c r="CA258" s="117"/>
      <c r="CB258" s="117"/>
      <c r="CC258" s="117"/>
      <c r="CD258" s="117"/>
      <c r="CE258" s="117"/>
      <c r="CF258" s="117"/>
      <c r="CG258" s="117"/>
      <c r="CH258" s="117"/>
      <c r="CI258" s="117"/>
      <c r="CJ258" s="117"/>
      <c r="CK258" s="117"/>
      <c r="CL258" s="853" t="str">
        <f>IF(OR(CL257&gt;10,CL257&lt;-10),"нет","да")</f>
        <v>да</v>
      </c>
      <c r="CM258" s="117"/>
      <c r="CN258" s="117"/>
      <c r="CO258" s="117"/>
      <c r="CP258" s="117"/>
      <c r="CQ258" s="117"/>
      <c r="CR258" s="846"/>
      <c r="CS258"/>
      <c r="CT258"/>
      <c r="CU258"/>
      <c r="CV258"/>
      <c r="CW258"/>
      <c r="CX258"/>
      <c r="CY258"/>
      <c r="CZ258"/>
      <c r="DA258"/>
      <c r="DB258"/>
      <c r="DC258"/>
      <c r="DD258"/>
      <c r="DE258"/>
      <c r="DF258" s="80"/>
      <c r="DG258" s="78"/>
      <c r="DH258" s="78"/>
      <c r="DI258" s="78"/>
      <c r="DJ258" s="78"/>
      <c r="DK258" s="78"/>
      <c r="DL258" s="78"/>
      <c r="DM258" s="78"/>
      <c r="DN258" s="77"/>
      <c r="DO258" s="381"/>
      <c r="DP258" s="77"/>
      <c r="DQ258" s="77"/>
      <c r="DR258" s="77"/>
      <c r="DS258" s="77"/>
      <c r="DT258" s="77"/>
      <c r="DU258" s="39"/>
      <c r="DV258" s="39"/>
      <c r="DW258" s="39"/>
      <c r="DX258" s="39"/>
      <c r="DY258" s="39"/>
      <c r="DZ258" s="39"/>
      <c r="EA258" s="39"/>
      <c r="EB258" s="39"/>
      <c r="EC258" s="39"/>
      <c r="ED258" s="39"/>
      <c r="EE258" s="39"/>
      <c r="EF258" s="39"/>
      <c r="EG258" s="39"/>
    </row>
    <row r="259" spans="3:152" s="60" customFormat="1">
      <c r="D259"/>
      <c r="E259"/>
      <c r="F259" s="833"/>
      <c r="G259" s="835"/>
      <c r="H259" s="836"/>
      <c r="I259" s="393" t="s">
        <v>1777</v>
      </c>
      <c r="J259" s="391"/>
      <c r="K259" s="391"/>
      <c r="L259" s="391"/>
      <c r="M259" s="391"/>
      <c r="N259" s="391"/>
      <c r="O259" s="391"/>
      <c r="P259" s="391"/>
      <c r="Q259" s="391"/>
      <c r="R259" s="391"/>
      <c r="S259" s="391"/>
      <c r="T259" s="391"/>
      <c r="U259" s="391"/>
      <c r="V259" s="391"/>
      <c r="W259" s="391"/>
      <c r="X259" s="391"/>
      <c r="Y259" s="399"/>
      <c r="Z259" s="398">
        <f>IF(D257="нет",Y259,Y259*1.18)</f>
        <v>0</v>
      </c>
      <c r="AA259" s="117"/>
      <c r="AB259" s="117"/>
      <c r="AC259" s="398">
        <f>IF(AG259&gt;0,(AW259*BA259+BL259*BP259+CA259*CE259)/AG259,0)</f>
        <v>0</v>
      </c>
      <c r="AD259" s="398">
        <f>IF(D259="нет",AC259,AC259*1.18)</f>
        <v>0</v>
      </c>
      <c r="AE259" s="398">
        <f>IF(AG259&gt;0,(AW259*BA259+BL259*BP259+CA259*CE259-AH259*AG259)/AG259,0)</f>
        <v>0</v>
      </c>
      <c r="AF259" s="398">
        <f>IF(D257="нет",AE259,AE259*1.18)</f>
        <v>0</v>
      </c>
      <c r="AG259" s="398">
        <f>BA259+BP259+CE259</f>
        <v>0</v>
      </c>
      <c r="AH259" s="399"/>
      <c r="AI259" s="398">
        <f>IF(D257="нет",AH259,AH259*1.18)</f>
        <v>0</v>
      </c>
      <c r="AJ259" s="117"/>
      <c r="AK259" s="117"/>
      <c r="AL259" s="117"/>
      <c r="AM259" s="399"/>
      <c r="AN259" s="398">
        <f>IF(D257="нет",AM259,AM259*1.18)</f>
        <v>0</v>
      </c>
      <c r="AO259" s="399"/>
      <c r="AP259" s="398">
        <f>IF($D257="нет",AO259,AO259*1.18)</f>
        <v>0</v>
      </c>
      <c r="AQ259" s="399"/>
      <c r="AR259" s="832"/>
      <c r="AS259" s="832"/>
      <c r="AT259" s="832"/>
      <c r="AU259" s="832"/>
      <c r="AV259" s="832"/>
      <c r="AW259" s="398">
        <f>IF(BA259&gt;0,((AY259*BA259)+(1000*$I$3*BB259*BD259))/BA259,0)</f>
        <v>0</v>
      </c>
      <c r="AX259" s="398">
        <f>IF(BA259&gt;0,((AZ259*BA259)+(1000*$I$3*BC259*BD259))/BA259,0)</f>
        <v>0</v>
      </c>
      <c r="AY259" s="399"/>
      <c r="AZ259" s="398">
        <f>IF(D257="нет",AY259,AY259*1.18)</f>
        <v>0</v>
      </c>
      <c r="BA259" s="399"/>
      <c r="BB259" s="399"/>
      <c r="BC259" s="398">
        <f>IF(D257="нет",BB259,BB259*1.18)</f>
        <v>0</v>
      </c>
      <c r="BD259" s="399"/>
      <c r="BE259" s="399"/>
      <c r="BF259" s="398">
        <f>IF(BA259=0,0,1000*BE259/BA259)</f>
        <v>0</v>
      </c>
      <c r="BG259" s="832"/>
      <c r="BH259" s="832"/>
      <c r="BI259" s="832"/>
      <c r="BJ259" s="832"/>
      <c r="BK259" s="832"/>
      <c r="BL259" s="398">
        <f>IF(BP259&gt;0,((BN259*BP259)+(1000*$I$3*BQ259*BS259))/BP259,0)</f>
        <v>0</v>
      </c>
      <c r="BM259" s="398">
        <f>IF(BP259&gt;0,((BO259*BP259)+(1000*$I$3*BR259*BS259))/BP259,0)</f>
        <v>0</v>
      </c>
      <c r="BN259" s="399"/>
      <c r="BO259" s="398">
        <f>IF(D257="нет",BN259,BN259*1.18)</f>
        <v>0</v>
      </c>
      <c r="BP259" s="399"/>
      <c r="BQ259" s="399"/>
      <c r="BR259" s="398">
        <f>IF(D257="нет",BQ259,BQ259*1.18)</f>
        <v>0</v>
      </c>
      <c r="BS259" s="399"/>
      <c r="BT259" s="399"/>
      <c r="BU259" s="398">
        <f t="shared" ref="BU259:BU271" si="33">IF(BK259=0,0,1000*BT259/BK259)</f>
        <v>0</v>
      </c>
      <c r="BV259" s="832"/>
      <c r="BW259" s="832"/>
      <c r="BX259" s="832"/>
      <c r="BY259" s="832"/>
      <c r="BZ259" s="832"/>
      <c r="CA259" s="398">
        <f>IF(CE259&gt;0,((CC259*CE259)+(1000*$I$3*CF259*CH259))/CE259,0)</f>
        <v>0</v>
      </c>
      <c r="CB259" s="398">
        <f>IF(CE259&gt;0,((CD259*CE259)+(1000*$I$3*CG259*CH259))/CE259,0)</f>
        <v>0</v>
      </c>
      <c r="CC259" s="399"/>
      <c r="CD259" s="398">
        <f>IF(D257="нет",CC259,CC259*1.18)</f>
        <v>0</v>
      </c>
      <c r="CE259" s="399"/>
      <c r="CF259" s="399"/>
      <c r="CG259" s="398">
        <f>IF(D257="нет",CF259,CF259*1.18)</f>
        <v>0</v>
      </c>
      <c r="CH259" s="399"/>
      <c r="CI259" s="399"/>
      <c r="CJ259" s="398">
        <f>IF(CE259=0,0,1000*CI259/CE259)</f>
        <v>0</v>
      </c>
      <c r="CK259" s="398">
        <f>BE259+BT259+CI259</f>
        <v>0</v>
      </c>
      <c r="CL259" s="853"/>
      <c r="CM259" s="398">
        <f t="shared" ref="CM259:CM271" si="34">SUMIF(CN259:CQ259,"&gt;0")</f>
        <v>0</v>
      </c>
      <c r="CN259" s="398">
        <f>(Y259-AM259)*AQ259/1000</f>
        <v>0</v>
      </c>
      <c r="CO259" s="398">
        <f>(Y259-(AW259+BF259))*BA259/1000</f>
        <v>0</v>
      </c>
      <c r="CP259" s="398">
        <f>(Y259-(BL259+BU259))*BP259/1000</f>
        <v>0</v>
      </c>
      <c r="CQ259" s="398">
        <f>(Y259-(CA259+CJ259))*CE259/1000</f>
        <v>0</v>
      </c>
      <c r="CR259" s="846"/>
      <c r="CS259"/>
      <c r="CT259"/>
      <c r="CU259"/>
      <c r="CV259"/>
      <c r="CW259"/>
      <c r="CX259"/>
      <c r="CY259"/>
      <c r="CZ259"/>
      <c r="DA259"/>
      <c r="DB259"/>
      <c r="DC259"/>
      <c r="DD259"/>
      <c r="DE259"/>
      <c r="DF259" s="80"/>
      <c r="DG259" s="78"/>
      <c r="DH259" s="78"/>
      <c r="DI259" s="78"/>
      <c r="DJ259" s="78"/>
      <c r="DK259" s="78"/>
      <c r="DL259" s="78"/>
      <c r="DM259" s="78"/>
      <c r="DN259" s="77"/>
      <c r="DO259" s="381"/>
      <c r="DP259" s="77"/>
      <c r="DQ259" s="77"/>
      <c r="DR259" s="77"/>
      <c r="DS259" s="77"/>
      <c r="DT259" s="77"/>
      <c r="DU259" s="39"/>
      <c r="DV259" s="39"/>
      <c r="DW259" s="39"/>
      <c r="DX259" s="39"/>
      <c r="DY259" s="39"/>
      <c r="DZ259" s="39"/>
      <c r="EA259" s="39"/>
      <c r="EB259" s="39"/>
      <c r="EC259" s="39"/>
      <c r="ED259" s="39"/>
      <c r="EE259" s="39"/>
      <c r="EF259" s="39"/>
      <c r="EG259" s="39"/>
    </row>
    <row r="260" spans="3:152" s="60" customFormat="1">
      <c r="D260"/>
      <c r="E260"/>
      <c r="F260" s="833"/>
      <c r="G260" s="835"/>
      <c r="H260" s="836" t="s">
        <v>1778</v>
      </c>
      <c r="I260" s="393" t="s">
        <v>1776</v>
      </c>
      <c r="J260" s="391"/>
      <c r="K260" s="391"/>
      <c r="L260" s="391"/>
      <c r="M260" s="391"/>
      <c r="N260" s="391"/>
      <c r="O260" s="391"/>
      <c r="P260" s="391"/>
      <c r="Q260" s="391"/>
      <c r="R260" s="391"/>
      <c r="S260" s="391"/>
      <c r="T260" s="391"/>
      <c r="U260" s="391"/>
      <c r="V260" s="391"/>
      <c r="W260" s="391"/>
      <c r="X260" s="391"/>
      <c r="Y260" s="117"/>
      <c r="Z260" s="117"/>
      <c r="AA260" s="117"/>
      <c r="AB260" s="117"/>
      <c r="AC260" s="117"/>
      <c r="AD260" s="117"/>
      <c r="AE260" s="117"/>
      <c r="AF260" s="117"/>
      <c r="AG260" s="117"/>
      <c r="AH260" s="117"/>
      <c r="AI260" s="117"/>
      <c r="AJ260" s="117"/>
      <c r="AK260" s="117"/>
      <c r="AL260" s="117"/>
      <c r="AM260" s="117"/>
      <c r="AN260" s="117"/>
      <c r="AO260" s="117"/>
      <c r="AP260" s="117"/>
      <c r="AQ260" s="117"/>
      <c r="AR260" s="832"/>
      <c r="AS260" s="832"/>
      <c r="AT260" s="832"/>
      <c r="AU260" s="832"/>
      <c r="AV260" s="832"/>
      <c r="AW260" s="117"/>
      <c r="AX260" s="117"/>
      <c r="AY260" s="117"/>
      <c r="AZ260" s="117"/>
      <c r="BA260" s="117"/>
      <c r="BB260" s="117"/>
      <c r="BC260" s="117"/>
      <c r="BD260" s="117"/>
      <c r="BE260" s="117"/>
      <c r="BF260" s="117"/>
      <c r="BG260" s="832"/>
      <c r="BH260" s="832"/>
      <c r="BI260" s="832"/>
      <c r="BJ260" s="832"/>
      <c r="BK260" s="832"/>
      <c r="BL260" s="117"/>
      <c r="BM260" s="117"/>
      <c r="BN260" s="117"/>
      <c r="BO260" s="117"/>
      <c r="BP260" s="117"/>
      <c r="BQ260" s="117"/>
      <c r="BR260" s="117"/>
      <c r="BS260" s="117"/>
      <c r="BT260" s="117"/>
      <c r="BU260" s="117"/>
      <c r="BV260" s="832"/>
      <c r="BW260" s="832"/>
      <c r="BX260" s="832"/>
      <c r="BY260" s="832"/>
      <c r="BZ260" s="832"/>
      <c r="CA260" s="117"/>
      <c r="CB260" s="117"/>
      <c r="CC260" s="117"/>
      <c r="CD260" s="117"/>
      <c r="CE260" s="117"/>
      <c r="CF260" s="117"/>
      <c r="CG260" s="117"/>
      <c r="CH260" s="117"/>
      <c r="CI260" s="117"/>
      <c r="CJ260" s="117"/>
      <c r="CK260" s="117"/>
      <c r="CL260" s="853"/>
      <c r="CM260" s="117"/>
      <c r="CN260" s="117"/>
      <c r="CO260" s="117"/>
      <c r="CP260" s="117"/>
      <c r="CQ260" s="117"/>
      <c r="CR260" s="846"/>
      <c r="CS260"/>
      <c r="CT260"/>
      <c r="CU260"/>
      <c r="CV260"/>
      <c r="CW260"/>
      <c r="CX260"/>
      <c r="CY260"/>
      <c r="CZ260"/>
      <c r="DA260"/>
      <c r="DB260"/>
      <c r="DC260"/>
      <c r="DD260"/>
      <c r="DE260"/>
      <c r="DF260" s="78"/>
      <c r="DG260" s="78"/>
      <c r="DH260" s="78"/>
      <c r="DI260" s="78"/>
      <c r="DJ260" s="78"/>
      <c r="DK260" s="78"/>
      <c r="DL260" s="78"/>
      <c r="DM260" s="78"/>
      <c r="DN260" s="77"/>
      <c r="DO260" s="381"/>
      <c r="DP260" s="77"/>
      <c r="DQ260" s="77"/>
      <c r="DR260" s="77"/>
      <c r="DS260" s="77"/>
      <c r="DT260" s="77"/>
      <c r="DU260" s="39"/>
      <c r="DV260" s="39"/>
      <c r="DW260" s="39"/>
      <c r="DX260" s="39"/>
      <c r="DY260" s="39"/>
      <c r="DZ260" s="39"/>
      <c r="EA260" s="39"/>
      <c r="EB260" s="39"/>
      <c r="EC260" s="39"/>
      <c r="ED260" s="39"/>
      <c r="EE260" s="39"/>
      <c r="EF260" s="39"/>
      <c r="EG260" s="39"/>
    </row>
    <row r="261" spans="3:152" s="60" customFormat="1">
      <c r="D261"/>
      <c r="E261"/>
      <c r="F261" s="833"/>
      <c r="G261" s="835"/>
      <c r="H261" s="836"/>
      <c r="I261" s="393" t="s">
        <v>1777</v>
      </c>
      <c r="J261" s="391"/>
      <c r="K261" s="391"/>
      <c r="L261" s="391"/>
      <c r="M261" s="391"/>
      <c r="N261" s="391"/>
      <c r="O261" s="391"/>
      <c r="P261" s="391"/>
      <c r="Q261" s="391"/>
      <c r="R261" s="391"/>
      <c r="S261" s="391"/>
      <c r="T261" s="391"/>
      <c r="U261" s="391"/>
      <c r="V261" s="391"/>
      <c r="W261" s="391"/>
      <c r="X261" s="391"/>
      <c r="Y261" s="398">
        <f>IF((AG261+AQ261)&gt;0,(Y263*(AG263+AQ263)+Y265*(AG265+AQ265)+Y267*(AG267+AQ267)+Y269*(AG269+AQ269))/(AG261+AQ261),0)</f>
        <v>0</v>
      </c>
      <c r="Z261" s="398">
        <f>IF(D257="нет",Y261,Y261*1.18)</f>
        <v>0</v>
      </c>
      <c r="AA261" s="117"/>
      <c r="AB261" s="117"/>
      <c r="AC261" s="398">
        <f>IF(AG261&gt;0,(AW261*BA261+BL261*BP261+CA261*CE261)/AG261,0)</f>
        <v>0</v>
      </c>
      <c r="AD261" s="398">
        <f>IF(D261="нет",AC261,AC261*1.18)</f>
        <v>0</v>
      </c>
      <c r="AE261" s="398">
        <f>IF(AG261&gt;0,(AW261*BA261+BL261*BP261+CA261*CE261-AH261*AG261)/AG261,0)</f>
        <v>0</v>
      </c>
      <c r="AF261" s="398">
        <f>IF(D257="нет",AE261,AE261*1.18)</f>
        <v>0</v>
      </c>
      <c r="AG261" s="398">
        <f>BA261+BP261+CE261</f>
        <v>0</v>
      </c>
      <c r="AH261" s="398">
        <f>IF(AG261&gt;0,(AH263*AG263+AH265*AG265+AH267*AG267+AH269*AG269)/AG261,0)</f>
        <v>0</v>
      </c>
      <c r="AI261" s="398">
        <f>IF(D257="нет",AH261,AH261*1.18)</f>
        <v>0</v>
      </c>
      <c r="AJ261" s="117"/>
      <c r="AK261" s="117"/>
      <c r="AL261" s="117"/>
      <c r="AM261" s="398">
        <f>IF($AQ261&gt;0,(AM263*$AQ263+AM265*$AQ265+AM267*$AQ267+AM269*$AQ269)/$AQ261,0)</f>
        <v>0</v>
      </c>
      <c r="AN261" s="398">
        <f>IF(D257="нет",AM261,AM261*1.18)</f>
        <v>0</v>
      </c>
      <c r="AO261" s="398">
        <f>IF($AQ261&gt;0,(AO263*$AQ263+AO265*$AQ265+AO267*$AQ267+AO269*$AQ269)/$AQ261,0)</f>
        <v>0</v>
      </c>
      <c r="AP261" s="398">
        <f>IF($D257="нет",AO261,AO261*1.18)</f>
        <v>0</v>
      </c>
      <c r="AQ261" s="398">
        <f>AQ263+AQ265+AQ267+AQ269</f>
        <v>0</v>
      </c>
      <c r="AR261" s="832"/>
      <c r="AS261" s="832"/>
      <c r="AT261" s="832"/>
      <c r="AU261" s="832"/>
      <c r="AV261" s="832"/>
      <c r="AW261" s="398">
        <f>IF(BA261&gt;0,((AY261*BA261)+(1000*$I$3*BB261*BD261))/BA261,0)</f>
        <v>0</v>
      </c>
      <c r="AX261" s="398">
        <f>IF(BA261&gt;0,((AZ261*BA261)+(1000*$I$3*BC261*BD261))/BA261,0)</f>
        <v>0</v>
      </c>
      <c r="AY261" s="398">
        <f>IF(BA261&gt;0,(AY263*BA263+AY265*BA265+AY267*BA267+AY269*BA269)/BA261,0)</f>
        <v>0</v>
      </c>
      <c r="AZ261" s="398">
        <f>IF(D257="нет",AY261,AY261*1.18)</f>
        <v>0</v>
      </c>
      <c r="BA261" s="398">
        <f>BA263+BA265+BA267+BA269</f>
        <v>0</v>
      </c>
      <c r="BB261" s="398">
        <f>IF(BD261&gt;0,(BB263*BD263+BB265*BD265+BB267*BD267+BB269*BD269)/BD261,0)</f>
        <v>0</v>
      </c>
      <c r="BC261" s="398">
        <f>IF(D257="нет",BB261,BB261*1.18)</f>
        <v>0</v>
      </c>
      <c r="BD261" s="398">
        <f>BD263+BD265+BD267+BD269</f>
        <v>0</v>
      </c>
      <c r="BE261" s="398">
        <f>BE263+BE265+BE267+BE269</f>
        <v>0</v>
      </c>
      <c r="BF261" s="398">
        <f>IF(BA261=0,0,1000*BE261/BA261)</f>
        <v>0</v>
      </c>
      <c r="BG261" s="832"/>
      <c r="BH261" s="832"/>
      <c r="BI261" s="832"/>
      <c r="BJ261" s="832"/>
      <c r="BK261" s="832"/>
      <c r="BL261" s="398">
        <f>IF(BP261&gt;0,((BN261*BP261)+(1000*$I$3*BQ261*BS261))/BP261,0)</f>
        <v>0</v>
      </c>
      <c r="BM261" s="398">
        <f>IF(BP261&gt;0,((BO261*BP261)+(1000*$I$3*BR261*BS261))/BP261,0)</f>
        <v>0</v>
      </c>
      <c r="BN261" s="398">
        <f>IF(BP261&gt;0,(BN263*BP263+BN265*BP265+BN267*BP267+BN269*BP269)/BP261,0)</f>
        <v>0</v>
      </c>
      <c r="BO261" s="398">
        <f>IF(D257="нет",BN261,BN261*1.18)</f>
        <v>0</v>
      </c>
      <c r="BP261" s="398">
        <f>BP263+BP265+BP267+BP269</f>
        <v>0</v>
      </c>
      <c r="BQ261" s="398">
        <f>IF(BS261&gt;0,(BQ263*BS263+BQ265*BS265+BQ267*BS267+BQ269*BS269)/BS261,0)</f>
        <v>0</v>
      </c>
      <c r="BR261" s="398">
        <f>IF(D257="нет",BQ261,BQ261*1.18)</f>
        <v>0</v>
      </c>
      <c r="BS261" s="398">
        <f>BS263+BS265+BS267+BS269</f>
        <v>0</v>
      </c>
      <c r="BT261" s="398">
        <f>BT263+BT265+BT267+BT269</f>
        <v>0</v>
      </c>
      <c r="BU261" s="398">
        <f t="shared" si="33"/>
        <v>0</v>
      </c>
      <c r="BV261" s="832"/>
      <c r="BW261" s="832"/>
      <c r="BX261" s="832"/>
      <c r="BY261" s="832"/>
      <c r="BZ261" s="832"/>
      <c r="CA261" s="398">
        <f>IF(CE261&gt;0,((CC261*CE261)+(1000*$I$3*CF261*CH261))/CE261,0)</f>
        <v>0</v>
      </c>
      <c r="CB261" s="398">
        <f>IF(CE261&gt;0,((CD261*CE261)+(1000*$I$3*CG261*CH261))/CE261,0)</f>
        <v>0</v>
      </c>
      <c r="CC261" s="398">
        <f>IF(CE261&gt;0,(CC263*CE263+CC265*CE265+CC267*CE267+CC269*CE269)/CE261,0)</f>
        <v>0</v>
      </c>
      <c r="CD261" s="398">
        <f>IF(D257="нет",CC261,CC261*1.18)</f>
        <v>0</v>
      </c>
      <c r="CE261" s="398">
        <f>CE263+CE265+CE267+CE269</f>
        <v>0</v>
      </c>
      <c r="CF261" s="398">
        <f>IF(CH261&gt;0,(CF263*CH263+CF265*CH265+CF267*CH267+CF269*CH269)/CH261,0)</f>
        <v>0</v>
      </c>
      <c r="CG261" s="398">
        <f>IF(D257="нет",CF261,CF261*1.18)</f>
        <v>0</v>
      </c>
      <c r="CH261" s="398">
        <f>CH263+CH265+CH267+CH269</f>
        <v>0</v>
      </c>
      <c r="CI261" s="398">
        <f>CI263+CI265+CI267+CI269</f>
        <v>0</v>
      </c>
      <c r="CJ261" s="398">
        <f>IF(CE261=0,0,1000*CI261/CE261)</f>
        <v>0</v>
      </c>
      <c r="CK261" s="398">
        <f>BE261+BT261+CI261</f>
        <v>0</v>
      </c>
      <c r="CL261" s="853"/>
      <c r="CM261" s="398">
        <f t="shared" si="34"/>
        <v>0</v>
      </c>
      <c r="CN261" s="398">
        <f>(Y261-AM261)*AQ261/1000</f>
        <v>0</v>
      </c>
      <c r="CO261" s="398">
        <f>(Y261-(AW261+BF261))*BA261/1000</f>
        <v>0</v>
      </c>
      <c r="CP261" s="398">
        <f>(Y261-(BL261+BU261))*BP261/1000</f>
        <v>0</v>
      </c>
      <c r="CQ261" s="398">
        <f>(Y261-(CA261+CJ261))*CE261/1000</f>
        <v>0</v>
      </c>
      <c r="CR261" s="846"/>
      <c r="CS261"/>
      <c r="CT261"/>
      <c r="CU261"/>
      <c r="CV261"/>
      <c r="CW261"/>
      <c r="CX261"/>
      <c r="CY261"/>
      <c r="CZ261"/>
      <c r="DA261"/>
      <c r="DB261"/>
      <c r="DC261"/>
      <c r="DD261"/>
      <c r="DE261"/>
      <c r="DF261" s="78"/>
      <c r="DG261" s="78"/>
      <c r="DH261" s="78"/>
      <c r="DI261" s="78"/>
      <c r="DJ261" s="78"/>
      <c r="DK261" s="78"/>
      <c r="DL261" s="78"/>
      <c r="DM261" s="78"/>
      <c r="DN261" s="77"/>
      <c r="DO261" s="381"/>
      <c r="DP261" s="77"/>
      <c r="DQ261" s="77"/>
      <c r="DR261" s="77"/>
      <c r="DS261" s="77"/>
      <c r="DT261" s="77"/>
      <c r="DU261" s="39"/>
      <c r="DV261" s="39"/>
      <c r="DW261" s="39"/>
      <c r="DX261" s="39"/>
      <c r="DY261" s="39"/>
      <c r="DZ261" s="39"/>
      <c r="EA261" s="39"/>
      <c r="EB261" s="39"/>
      <c r="EC261" s="39"/>
      <c r="ED261" s="39"/>
      <c r="EE261" s="39"/>
      <c r="EF261" s="39"/>
      <c r="EG261" s="39"/>
    </row>
    <row r="262" spans="3:152" s="60" customFormat="1">
      <c r="D262"/>
      <c r="E262"/>
      <c r="F262" s="833"/>
      <c r="G262" s="835"/>
      <c r="H262" s="834" t="s">
        <v>1780</v>
      </c>
      <c r="I262" s="393" t="s">
        <v>1776</v>
      </c>
      <c r="J262" s="391"/>
      <c r="K262" s="391"/>
      <c r="L262" s="391"/>
      <c r="M262" s="391"/>
      <c r="N262" s="391"/>
      <c r="O262" s="391"/>
      <c r="P262" s="391"/>
      <c r="Q262" s="391"/>
      <c r="R262" s="391"/>
      <c r="S262" s="391"/>
      <c r="T262" s="391"/>
      <c r="U262" s="391"/>
      <c r="V262" s="391"/>
      <c r="W262" s="391"/>
      <c r="X262" s="391"/>
      <c r="Y262" s="117"/>
      <c r="Z262" s="117"/>
      <c r="AA262" s="117"/>
      <c r="AB262" s="117"/>
      <c r="AC262" s="117"/>
      <c r="AD262" s="117"/>
      <c r="AE262" s="117"/>
      <c r="AF262" s="117"/>
      <c r="AG262" s="117"/>
      <c r="AH262" s="117"/>
      <c r="AI262" s="117"/>
      <c r="AJ262" s="117"/>
      <c r="AK262" s="117"/>
      <c r="AL262" s="117"/>
      <c r="AM262" s="117"/>
      <c r="AN262" s="117"/>
      <c r="AO262" s="117"/>
      <c r="AP262" s="117"/>
      <c r="AQ262" s="117"/>
      <c r="AR262" s="832"/>
      <c r="AS262" s="832"/>
      <c r="AT262" s="832"/>
      <c r="AU262" s="832"/>
      <c r="AV262" s="832"/>
      <c r="AW262" s="117"/>
      <c r="AX262" s="117"/>
      <c r="AY262" s="117"/>
      <c r="AZ262" s="117"/>
      <c r="BA262" s="117"/>
      <c r="BB262" s="117"/>
      <c r="BC262" s="117"/>
      <c r="BD262" s="117"/>
      <c r="BE262" s="117"/>
      <c r="BF262" s="117"/>
      <c r="BG262" s="832"/>
      <c r="BH262" s="832"/>
      <c r="BI262" s="832"/>
      <c r="BJ262" s="832"/>
      <c r="BK262" s="832"/>
      <c r="BL262" s="117"/>
      <c r="BM262" s="117"/>
      <c r="BN262" s="117"/>
      <c r="BO262" s="117"/>
      <c r="BP262" s="117"/>
      <c r="BQ262" s="117"/>
      <c r="BR262" s="117"/>
      <c r="BS262" s="117"/>
      <c r="BT262" s="117"/>
      <c r="BU262" s="117"/>
      <c r="BV262" s="832"/>
      <c r="BW262" s="832"/>
      <c r="BX262" s="832"/>
      <c r="BY262" s="832"/>
      <c r="BZ262" s="832"/>
      <c r="CA262" s="117"/>
      <c r="CB262" s="117"/>
      <c r="CC262" s="117"/>
      <c r="CD262" s="117"/>
      <c r="CE262" s="117"/>
      <c r="CF262" s="117"/>
      <c r="CG262" s="117"/>
      <c r="CH262" s="117"/>
      <c r="CI262" s="117"/>
      <c r="CJ262" s="117"/>
      <c r="CK262" s="117"/>
      <c r="CL262" s="853"/>
      <c r="CM262" s="117"/>
      <c r="CN262" s="117"/>
      <c r="CO262" s="117"/>
      <c r="CP262" s="117"/>
      <c r="CQ262" s="117"/>
      <c r="CR262" s="846"/>
      <c r="CS262"/>
      <c r="CT262"/>
      <c r="CU262"/>
      <c r="CV262"/>
      <c r="CW262"/>
      <c r="CX262"/>
      <c r="CY262"/>
      <c r="CZ262"/>
      <c r="DA262"/>
      <c r="DB262"/>
      <c r="DC262"/>
      <c r="DD262"/>
      <c r="DE262"/>
      <c r="DF262" s="78"/>
      <c r="DG262" s="78"/>
      <c r="DH262" s="78"/>
      <c r="DI262" s="78"/>
      <c r="DJ262" s="78"/>
      <c r="DK262" s="78"/>
      <c r="DL262" s="78"/>
      <c r="DM262" s="78"/>
      <c r="DN262" s="77"/>
      <c r="DO262" s="381"/>
      <c r="DP262" s="77"/>
      <c r="DQ262" s="77"/>
      <c r="DR262" s="77"/>
      <c r="DS262" s="77"/>
      <c r="DT262" s="77"/>
      <c r="DU262" s="39"/>
      <c r="DV262" s="39"/>
      <c r="DW262" s="39"/>
      <c r="DX262" s="39"/>
      <c r="DY262" s="39"/>
      <c r="DZ262" s="39"/>
      <c r="EA262" s="39"/>
      <c r="EB262" s="39"/>
      <c r="EC262" s="39"/>
      <c r="ED262" s="39"/>
      <c r="EE262" s="39"/>
      <c r="EF262" s="39"/>
      <c r="EG262" s="39"/>
    </row>
    <row r="263" spans="3:152" s="60" customFormat="1">
      <c r="D263"/>
      <c r="E263"/>
      <c r="F263" s="833"/>
      <c r="G263" s="835"/>
      <c r="H263" s="834"/>
      <c r="I263" s="393" t="s">
        <v>1777</v>
      </c>
      <c r="J263" s="391"/>
      <c r="K263" s="391"/>
      <c r="L263" s="391"/>
      <c r="M263" s="391"/>
      <c r="N263" s="391"/>
      <c r="O263" s="391"/>
      <c r="P263" s="391"/>
      <c r="Q263" s="391"/>
      <c r="R263" s="391"/>
      <c r="S263" s="391"/>
      <c r="T263" s="391"/>
      <c r="U263" s="391"/>
      <c r="V263" s="391"/>
      <c r="W263" s="391"/>
      <c r="X263" s="391"/>
      <c r="Y263" s="399"/>
      <c r="Z263" s="398">
        <f>IF(D257="нет",Y263,Y263*1.18)</f>
        <v>0</v>
      </c>
      <c r="AA263" s="117"/>
      <c r="AB263" s="117"/>
      <c r="AC263" s="398">
        <f>IF(AG263&gt;0,(AW263*BA263+BL263*BP263+CA263*CE263)/AG263,0)</f>
        <v>0</v>
      </c>
      <c r="AD263" s="398">
        <f>IF(D263="нет",AC263,AC263*1.18)</f>
        <v>0</v>
      </c>
      <c r="AE263" s="398">
        <f>IF(AG263&gt;0,(AW263*BA263+BL263*BP263+CA263*CE263-AH263*AG263)/AG263,0)</f>
        <v>0</v>
      </c>
      <c r="AF263" s="398">
        <f>IF(D257="нет",AE263,AE263*1.18)</f>
        <v>0</v>
      </c>
      <c r="AG263" s="398">
        <f>BA263+BP263+CE263</f>
        <v>0</v>
      </c>
      <c r="AH263" s="399"/>
      <c r="AI263" s="398">
        <f>IF(D257="нет",AH263,AH263*1.18)</f>
        <v>0</v>
      </c>
      <c r="AJ263" s="117"/>
      <c r="AK263" s="117"/>
      <c r="AL263" s="117"/>
      <c r="AM263" s="399"/>
      <c r="AN263" s="398">
        <f>IF(D257="нет",AM263,AM263*1.18)</f>
        <v>0</v>
      </c>
      <c r="AO263" s="399"/>
      <c r="AP263" s="398">
        <f>IF($D257="нет",AO263,AO263*1.18)</f>
        <v>0</v>
      </c>
      <c r="AQ263" s="399"/>
      <c r="AR263" s="832"/>
      <c r="AS263" s="832"/>
      <c r="AT263" s="832"/>
      <c r="AU263" s="832"/>
      <c r="AV263" s="832"/>
      <c r="AW263" s="398">
        <f>IF(BA263&gt;0,((AY263*BA263)+(1000*$I$3*BB263*BD263))/BA263,0)</f>
        <v>0</v>
      </c>
      <c r="AX263" s="398">
        <f>IF(BA263&gt;0,((AZ263*BA263)+(1000*$I$3*BC263*BD263))/BA263,0)</f>
        <v>0</v>
      </c>
      <c r="AY263" s="399"/>
      <c r="AZ263" s="398">
        <f>IF(D257="нет",AY263,AY263*1.18)</f>
        <v>0</v>
      </c>
      <c r="BA263" s="399"/>
      <c r="BB263" s="399"/>
      <c r="BC263" s="398">
        <f>IF(D257="нет",BB263,BB263*1.18)</f>
        <v>0</v>
      </c>
      <c r="BD263" s="399"/>
      <c r="BE263" s="399"/>
      <c r="BF263" s="398">
        <f>IF(BA263=0,0,1000*BE263/BA263)</f>
        <v>0</v>
      </c>
      <c r="BG263" s="832"/>
      <c r="BH263" s="832"/>
      <c r="BI263" s="832"/>
      <c r="BJ263" s="832"/>
      <c r="BK263" s="832"/>
      <c r="BL263" s="398">
        <f>IF(BP263&gt;0,((BN263*BP263)+(1000*$I$3*BQ263*BS263))/BP263,0)</f>
        <v>0</v>
      </c>
      <c r="BM263" s="398">
        <f>IF(BP263&gt;0,((BO263*BP263)+(1000*$I$3*BR263*BS263))/BP263,0)</f>
        <v>0</v>
      </c>
      <c r="BN263" s="399"/>
      <c r="BO263" s="398">
        <f>IF(D257="нет",BN263,BN263*1.18)</f>
        <v>0</v>
      </c>
      <c r="BP263" s="399"/>
      <c r="BQ263" s="399"/>
      <c r="BR263" s="398">
        <f>IF(D257="нет",BQ263,BQ263*1.18)</f>
        <v>0</v>
      </c>
      <c r="BS263" s="399"/>
      <c r="BT263" s="399"/>
      <c r="BU263" s="398">
        <f t="shared" si="33"/>
        <v>0</v>
      </c>
      <c r="BV263" s="832"/>
      <c r="BW263" s="832"/>
      <c r="BX263" s="832"/>
      <c r="BY263" s="832"/>
      <c r="BZ263" s="832"/>
      <c r="CA263" s="398">
        <f>IF(CE263&gt;0,((CC263*CE263)+(1000*$I$3*CF263*CH263))/CE263,0)</f>
        <v>0</v>
      </c>
      <c r="CB263" s="398">
        <f>IF(CE263&gt;0,((CD263*CE263)+(1000*$I$3*CG263*CH263))/CE263,0)</f>
        <v>0</v>
      </c>
      <c r="CC263" s="399"/>
      <c r="CD263" s="398">
        <f>IF(D257="нет",CC263,CC263*1.18)</f>
        <v>0</v>
      </c>
      <c r="CE263" s="399"/>
      <c r="CF263" s="399"/>
      <c r="CG263" s="398">
        <f>IF(D257="нет",CF263,CF263*1.18)</f>
        <v>0</v>
      </c>
      <c r="CH263" s="399"/>
      <c r="CI263" s="399"/>
      <c r="CJ263" s="398">
        <f>IF(CE263=0,0,1000*CI263/CE263)</f>
        <v>0</v>
      </c>
      <c r="CK263" s="398">
        <f>BE263+BT263+CI263</f>
        <v>0</v>
      </c>
      <c r="CL263" s="853"/>
      <c r="CM263" s="398">
        <f t="shared" si="34"/>
        <v>0</v>
      </c>
      <c r="CN263" s="398">
        <f>(Y263-AM263)*AQ263/1000</f>
        <v>0</v>
      </c>
      <c r="CO263" s="398">
        <f>(Y263-(AW263+BF263))*BA263/1000</f>
        <v>0</v>
      </c>
      <c r="CP263" s="398">
        <f>(Y263-(BL263+BU263))*BP263/1000</f>
        <v>0</v>
      </c>
      <c r="CQ263" s="398">
        <f>(Y263-(CA263+CJ263))*CE263/1000</f>
        <v>0</v>
      </c>
      <c r="CR263" s="846"/>
      <c r="CS263"/>
      <c r="CT263"/>
      <c r="CU263"/>
      <c r="CV263"/>
      <c r="CW263"/>
      <c r="CX263"/>
      <c r="CY263"/>
      <c r="CZ263"/>
      <c r="DA263"/>
      <c r="DB263"/>
      <c r="DC263"/>
      <c r="DD263"/>
      <c r="DE263"/>
      <c r="DF263" s="78"/>
      <c r="DG263" s="78"/>
      <c r="DH263" s="78"/>
      <c r="DI263" s="78"/>
      <c r="DJ263" s="78"/>
      <c r="DK263" s="78"/>
      <c r="DL263" s="78"/>
      <c r="DM263" s="78"/>
      <c r="DN263" s="77"/>
      <c r="DO263" s="381"/>
      <c r="DP263" s="77"/>
      <c r="DQ263" s="77"/>
      <c r="DR263" s="77"/>
      <c r="DS263" s="77"/>
      <c r="DT263" s="77"/>
      <c r="DU263" s="39"/>
      <c r="DV263" s="39"/>
      <c r="DW263" s="39"/>
      <c r="DX263" s="39"/>
      <c r="DY263" s="39"/>
      <c r="DZ263" s="39"/>
      <c r="EA263" s="39"/>
      <c r="EB263" s="39"/>
      <c r="EC263" s="39"/>
      <c r="ED263" s="39"/>
      <c r="EE263" s="39"/>
      <c r="EF263" s="39"/>
      <c r="EG263" s="39"/>
    </row>
    <row r="264" spans="3:152" s="60" customFormat="1">
      <c r="D264"/>
      <c r="E264"/>
      <c r="F264" s="833"/>
      <c r="G264" s="835"/>
      <c r="H264" s="834" t="s">
        <v>1781</v>
      </c>
      <c r="I264" s="393" t="s">
        <v>1776</v>
      </c>
      <c r="J264" s="391"/>
      <c r="K264" s="391"/>
      <c r="L264" s="391"/>
      <c r="M264" s="391"/>
      <c r="N264" s="391"/>
      <c r="O264" s="391"/>
      <c r="P264" s="391"/>
      <c r="Q264" s="391"/>
      <c r="R264" s="391"/>
      <c r="S264" s="391"/>
      <c r="T264" s="391"/>
      <c r="U264" s="391"/>
      <c r="V264" s="391"/>
      <c r="W264" s="391"/>
      <c r="X264" s="391"/>
      <c r="Y264" s="117"/>
      <c r="Z264" s="117"/>
      <c r="AA264" s="117"/>
      <c r="AB264" s="117"/>
      <c r="AC264" s="117"/>
      <c r="AD264" s="117"/>
      <c r="AE264" s="117"/>
      <c r="AF264" s="117"/>
      <c r="AG264" s="117"/>
      <c r="AH264" s="117"/>
      <c r="AI264" s="117"/>
      <c r="AJ264" s="117"/>
      <c r="AK264" s="117"/>
      <c r="AL264" s="117"/>
      <c r="AM264" s="117"/>
      <c r="AN264" s="117"/>
      <c r="AO264" s="117"/>
      <c r="AP264" s="117"/>
      <c r="AQ264" s="117"/>
      <c r="AR264" s="832"/>
      <c r="AS264" s="832"/>
      <c r="AT264" s="832"/>
      <c r="AU264" s="832"/>
      <c r="AV264" s="832"/>
      <c r="AW264" s="117"/>
      <c r="AX264" s="117"/>
      <c r="AY264" s="117"/>
      <c r="AZ264" s="117"/>
      <c r="BA264" s="117"/>
      <c r="BB264" s="117"/>
      <c r="BC264" s="117"/>
      <c r="BD264" s="117"/>
      <c r="BE264" s="117"/>
      <c r="BF264" s="117"/>
      <c r="BG264" s="832"/>
      <c r="BH264" s="832"/>
      <c r="BI264" s="832"/>
      <c r="BJ264" s="832"/>
      <c r="BK264" s="832"/>
      <c r="BL264" s="117"/>
      <c r="BM264" s="117"/>
      <c r="BN264" s="117"/>
      <c r="BO264" s="117"/>
      <c r="BP264" s="117"/>
      <c r="BQ264" s="117"/>
      <c r="BR264" s="117"/>
      <c r="BS264" s="117"/>
      <c r="BT264" s="117"/>
      <c r="BU264" s="117"/>
      <c r="BV264" s="832"/>
      <c r="BW264" s="832"/>
      <c r="BX264" s="832"/>
      <c r="BY264" s="832"/>
      <c r="BZ264" s="832"/>
      <c r="CA264" s="117"/>
      <c r="CB264" s="117"/>
      <c r="CC264" s="117"/>
      <c r="CD264" s="117"/>
      <c r="CE264" s="117"/>
      <c r="CF264" s="117"/>
      <c r="CG264" s="117"/>
      <c r="CH264" s="117"/>
      <c r="CI264" s="117"/>
      <c r="CJ264" s="117"/>
      <c r="CK264" s="117"/>
      <c r="CL264" s="853"/>
      <c r="CM264" s="117"/>
      <c r="CN264" s="117"/>
      <c r="CO264" s="117"/>
      <c r="CP264" s="117"/>
      <c r="CQ264" s="117"/>
      <c r="CR264" s="846"/>
      <c r="CS264"/>
      <c r="CT264"/>
      <c r="CU264"/>
      <c r="CV264"/>
      <c r="CW264"/>
      <c r="CX264"/>
      <c r="CY264"/>
      <c r="CZ264"/>
      <c r="DA264"/>
      <c r="DB264"/>
      <c r="DC264"/>
      <c r="DD264"/>
      <c r="DE264"/>
      <c r="DF264" s="78"/>
      <c r="DG264" s="78"/>
      <c r="DH264" s="78"/>
      <c r="DI264" s="78"/>
      <c r="DJ264" s="78"/>
      <c r="DK264" s="78"/>
      <c r="DL264" s="78"/>
      <c r="DM264" s="78"/>
      <c r="DN264" s="77"/>
      <c r="DO264" s="381"/>
      <c r="DP264" s="77"/>
      <c r="DQ264" s="77"/>
      <c r="DR264" s="77"/>
      <c r="DS264" s="77"/>
      <c r="DT264" s="77"/>
      <c r="DU264" s="39"/>
      <c r="DV264" s="39"/>
      <c r="DW264" s="39"/>
      <c r="DX264" s="39"/>
      <c r="DY264" s="39"/>
      <c r="DZ264" s="39"/>
      <c r="EA264" s="39"/>
      <c r="EB264" s="39"/>
      <c r="EC264" s="39"/>
      <c r="ED264" s="39"/>
      <c r="EE264" s="39"/>
      <c r="EF264" s="39"/>
      <c r="EG264" s="39"/>
    </row>
    <row r="265" spans="3:152" s="60" customFormat="1">
      <c r="D265"/>
      <c r="E265"/>
      <c r="F265" s="833"/>
      <c r="G265" s="835"/>
      <c r="H265" s="834"/>
      <c r="I265" s="393" t="s">
        <v>1777</v>
      </c>
      <c r="J265" s="391"/>
      <c r="K265" s="391"/>
      <c r="L265" s="391"/>
      <c r="M265" s="391"/>
      <c r="N265" s="391"/>
      <c r="O265" s="391"/>
      <c r="P265" s="391"/>
      <c r="Q265" s="391"/>
      <c r="R265" s="391"/>
      <c r="S265" s="391"/>
      <c r="T265" s="391"/>
      <c r="U265" s="391"/>
      <c r="V265" s="391"/>
      <c r="W265" s="391"/>
      <c r="X265" s="391"/>
      <c r="Y265" s="399"/>
      <c r="Z265" s="398">
        <f>IF(D257="нет",Y265,Y265*1.18)</f>
        <v>0</v>
      </c>
      <c r="AA265" s="117"/>
      <c r="AB265" s="117"/>
      <c r="AC265" s="398">
        <f>IF(AG265&gt;0,(AW265*BA265+BL265*BP265+CA265*CE265)/AG265,0)</f>
        <v>0</v>
      </c>
      <c r="AD265" s="398">
        <f>IF(D265="нет",AC265,AC265*1.18)</f>
        <v>0</v>
      </c>
      <c r="AE265" s="398">
        <f>IF(AG265&gt;0,(AW265*BA265+BL265*BP265+CA265*CE265-AH265*AG265)/AG265,0)</f>
        <v>0</v>
      </c>
      <c r="AF265" s="398">
        <f>IF(D257="нет",AE265,AE265*1.18)</f>
        <v>0</v>
      </c>
      <c r="AG265" s="398">
        <f>BA265+BP265+CE265</f>
        <v>0</v>
      </c>
      <c r="AH265" s="399"/>
      <c r="AI265" s="398">
        <f>IF(D257="нет",AH265,AH265*1.18)</f>
        <v>0</v>
      </c>
      <c r="AJ265" s="117"/>
      <c r="AK265" s="117"/>
      <c r="AL265" s="117"/>
      <c r="AM265" s="399"/>
      <c r="AN265" s="398">
        <f>IF(D257="нет",AM265,AM265*1.18)</f>
        <v>0</v>
      </c>
      <c r="AO265" s="399"/>
      <c r="AP265" s="398">
        <f>IF($D257="нет",AO265,AO265*1.18)</f>
        <v>0</v>
      </c>
      <c r="AQ265" s="399"/>
      <c r="AR265" s="832"/>
      <c r="AS265" s="832"/>
      <c r="AT265" s="832"/>
      <c r="AU265" s="832"/>
      <c r="AV265" s="832"/>
      <c r="AW265" s="398">
        <f>IF(BA265&gt;0,((AY265*BA265)+(1000*$I$3*BB265*BD265))/BA265,0)</f>
        <v>0</v>
      </c>
      <c r="AX265" s="398">
        <f>IF(BA265&gt;0,((AZ265*BA265)+(1000*$I$3*BC265*BD265))/BA265,0)</f>
        <v>0</v>
      </c>
      <c r="AY265" s="399"/>
      <c r="AZ265" s="398">
        <f>IF(D257="нет",AY265,AY265*1.18)</f>
        <v>0</v>
      </c>
      <c r="BA265" s="399"/>
      <c r="BB265" s="399"/>
      <c r="BC265" s="398">
        <f>IF(D257="нет",BB265,BB265*1.18)</f>
        <v>0</v>
      </c>
      <c r="BD265" s="399"/>
      <c r="BE265" s="399"/>
      <c r="BF265" s="398">
        <f>IF(BA265=0,0,1000*BE265/BA265)</f>
        <v>0</v>
      </c>
      <c r="BG265" s="832"/>
      <c r="BH265" s="832"/>
      <c r="BI265" s="832"/>
      <c r="BJ265" s="832"/>
      <c r="BK265" s="832"/>
      <c r="BL265" s="398">
        <f>IF(BP265&gt;0,((BN265*BP265)+(1000*$I$3*BQ265*BS265))/BP265,0)</f>
        <v>0</v>
      </c>
      <c r="BM265" s="398">
        <f>IF(BP265&gt;0,((BO265*BP265)+(1000*$I$3*BR265*BS265))/BP265,0)</f>
        <v>0</v>
      </c>
      <c r="BN265" s="399"/>
      <c r="BO265" s="398">
        <f>IF(D257="нет",BN265,BN265*1.18)</f>
        <v>0</v>
      </c>
      <c r="BP265" s="399"/>
      <c r="BQ265" s="399"/>
      <c r="BR265" s="398">
        <f>IF(D257="нет",BQ265,BQ265*1.18)</f>
        <v>0</v>
      </c>
      <c r="BS265" s="399"/>
      <c r="BT265" s="399"/>
      <c r="BU265" s="398">
        <f t="shared" si="33"/>
        <v>0</v>
      </c>
      <c r="BV265" s="832"/>
      <c r="BW265" s="832"/>
      <c r="BX265" s="832"/>
      <c r="BY265" s="832"/>
      <c r="BZ265" s="832"/>
      <c r="CA265" s="398">
        <f>IF(CE265&gt;0,((CC265*CE265)+(1000*$I$3*CF265*CH265))/CE265,0)</f>
        <v>0</v>
      </c>
      <c r="CB265" s="398">
        <f>IF(CE265&gt;0,((CD265*CE265)+(1000*$I$3*CG265*CH265))/CE265,0)</f>
        <v>0</v>
      </c>
      <c r="CC265" s="399"/>
      <c r="CD265" s="398">
        <f>IF(D257="нет",CC265,CC265*1.18)</f>
        <v>0</v>
      </c>
      <c r="CE265" s="399"/>
      <c r="CF265" s="399"/>
      <c r="CG265" s="398">
        <f>IF(D257="нет",CF265,CF265*1.18)</f>
        <v>0</v>
      </c>
      <c r="CH265" s="399"/>
      <c r="CI265" s="399"/>
      <c r="CJ265" s="398">
        <f>IF(CE265=0,0,1000*CI265/CE265)</f>
        <v>0</v>
      </c>
      <c r="CK265" s="398">
        <f>BE265+BT265+CI265</f>
        <v>0</v>
      </c>
      <c r="CL265" s="853"/>
      <c r="CM265" s="398">
        <f t="shared" si="34"/>
        <v>0</v>
      </c>
      <c r="CN265" s="398">
        <f>(Y265-AM265)*AQ265/1000</f>
        <v>0</v>
      </c>
      <c r="CO265" s="398">
        <f>(Y265-(AW265+BF265))*BA265/1000</f>
        <v>0</v>
      </c>
      <c r="CP265" s="398">
        <f>(Y265-(BL265+BU265))*BP265/1000</f>
        <v>0</v>
      </c>
      <c r="CQ265" s="398">
        <f>(Y265-(CA265+CJ265))*CE265/1000</f>
        <v>0</v>
      </c>
      <c r="CR265" s="846"/>
      <c r="CS265"/>
      <c r="CT265"/>
      <c r="CU265"/>
      <c r="CV265"/>
      <c r="CW265"/>
      <c r="CX265"/>
      <c r="CY265"/>
      <c r="CZ265"/>
      <c r="DA265"/>
      <c r="DB265"/>
      <c r="DC265"/>
      <c r="DD265"/>
      <c r="DE265"/>
      <c r="DF265" s="78"/>
      <c r="DG265" s="78"/>
      <c r="DH265" s="78"/>
      <c r="DI265" s="78"/>
      <c r="DJ265" s="78"/>
      <c r="DK265" s="78"/>
      <c r="DL265" s="78"/>
      <c r="DM265" s="78"/>
      <c r="DN265" s="77"/>
      <c r="DO265" s="381"/>
      <c r="DP265" s="77"/>
      <c r="DQ265" s="77"/>
      <c r="DR265" s="77"/>
      <c r="DS265" s="77"/>
      <c r="DT265" s="77"/>
      <c r="DU265" s="39"/>
      <c r="DV265" s="39"/>
      <c r="DW265" s="39"/>
      <c r="DX265" s="39"/>
      <c r="DY265" s="39"/>
      <c r="DZ265" s="39"/>
      <c r="EA265" s="39"/>
      <c r="EB265" s="39"/>
      <c r="EC265" s="39"/>
      <c r="ED265" s="39"/>
      <c r="EE265" s="39"/>
      <c r="EF265" s="39"/>
      <c r="EG265" s="39"/>
    </row>
    <row r="266" spans="3:152" s="60" customFormat="1">
      <c r="D266"/>
      <c r="E266"/>
      <c r="F266" s="833"/>
      <c r="G266" s="835"/>
      <c r="H266" s="834" t="s">
        <v>1782</v>
      </c>
      <c r="I266" s="393" t="s">
        <v>1776</v>
      </c>
      <c r="J266" s="391"/>
      <c r="K266" s="391"/>
      <c r="L266" s="391"/>
      <c r="M266" s="391"/>
      <c r="N266" s="391"/>
      <c r="O266" s="391"/>
      <c r="P266" s="391"/>
      <c r="Q266" s="391"/>
      <c r="R266" s="391"/>
      <c r="S266" s="391"/>
      <c r="T266" s="391"/>
      <c r="U266" s="391"/>
      <c r="V266" s="391"/>
      <c r="W266" s="391"/>
      <c r="X266" s="391"/>
      <c r="Y266" s="117"/>
      <c r="Z266" s="117"/>
      <c r="AA266" s="117"/>
      <c r="AB266" s="117"/>
      <c r="AC266" s="117"/>
      <c r="AD266" s="117"/>
      <c r="AE266" s="117"/>
      <c r="AF266" s="117"/>
      <c r="AG266" s="117"/>
      <c r="AH266" s="117"/>
      <c r="AI266" s="117"/>
      <c r="AJ266" s="117"/>
      <c r="AK266" s="117"/>
      <c r="AL266" s="117"/>
      <c r="AM266" s="117"/>
      <c r="AN266" s="117"/>
      <c r="AO266" s="117"/>
      <c r="AP266" s="117"/>
      <c r="AQ266" s="117"/>
      <c r="AR266" s="832"/>
      <c r="AS266" s="832"/>
      <c r="AT266" s="832"/>
      <c r="AU266" s="832"/>
      <c r="AV266" s="832"/>
      <c r="AW266" s="117"/>
      <c r="AX266" s="117"/>
      <c r="AY266" s="117"/>
      <c r="AZ266" s="117"/>
      <c r="BA266" s="117"/>
      <c r="BB266" s="117"/>
      <c r="BC266" s="117"/>
      <c r="BD266" s="117"/>
      <c r="BE266" s="117"/>
      <c r="BF266" s="117"/>
      <c r="BG266" s="832"/>
      <c r="BH266" s="832"/>
      <c r="BI266" s="832"/>
      <c r="BJ266" s="832"/>
      <c r="BK266" s="832"/>
      <c r="BL266" s="117"/>
      <c r="BM266" s="117"/>
      <c r="BN266" s="117"/>
      <c r="BO266" s="117"/>
      <c r="BP266" s="117"/>
      <c r="BQ266" s="117"/>
      <c r="BR266" s="117"/>
      <c r="BS266" s="117"/>
      <c r="BT266" s="117"/>
      <c r="BU266" s="117"/>
      <c r="BV266" s="832"/>
      <c r="BW266" s="832"/>
      <c r="BX266" s="832"/>
      <c r="BY266" s="832"/>
      <c r="BZ266" s="832"/>
      <c r="CA266" s="117"/>
      <c r="CB266" s="117"/>
      <c r="CC266" s="117"/>
      <c r="CD266" s="117"/>
      <c r="CE266" s="117"/>
      <c r="CF266" s="117"/>
      <c r="CG266" s="117"/>
      <c r="CH266" s="117"/>
      <c r="CI266" s="117"/>
      <c r="CJ266" s="117"/>
      <c r="CK266" s="117"/>
      <c r="CL266" s="853"/>
      <c r="CM266" s="117"/>
      <c r="CN266" s="117"/>
      <c r="CO266" s="117"/>
      <c r="CP266" s="117"/>
      <c r="CQ266" s="117"/>
      <c r="CR266" s="846"/>
      <c r="CS266"/>
      <c r="CT266"/>
      <c r="CU266"/>
      <c r="CV266"/>
      <c r="CW266"/>
      <c r="CX266"/>
      <c r="CY266"/>
      <c r="CZ266"/>
      <c r="DA266"/>
      <c r="DB266"/>
      <c r="DC266"/>
      <c r="DD266"/>
      <c r="DE266"/>
      <c r="DF266" s="77"/>
      <c r="DG266" s="77"/>
      <c r="DH266" s="77"/>
      <c r="DI266" s="77"/>
      <c r="DJ266" s="77"/>
      <c r="DK266" s="77"/>
      <c r="DL266" s="77"/>
      <c r="DM266" s="77"/>
      <c r="DN266" s="77"/>
      <c r="DO266" s="381"/>
      <c r="DP266" s="77"/>
      <c r="DQ266" s="77"/>
      <c r="DR266" s="77"/>
      <c r="DS266" s="77"/>
      <c r="DT266" s="77"/>
      <c r="DU266" s="39"/>
      <c r="DV266" s="39"/>
      <c r="DW266" s="39"/>
      <c r="DX266" s="39"/>
      <c r="DY266" s="39"/>
      <c r="DZ266" s="39"/>
      <c r="EA266" s="39"/>
      <c r="EB266" s="39"/>
      <c r="EC266" s="39"/>
      <c r="ED266" s="39"/>
      <c r="EE266" s="39"/>
      <c r="EF266" s="39"/>
      <c r="EG266" s="39"/>
    </row>
    <row r="267" spans="3:152" s="60" customFormat="1">
      <c r="D267"/>
      <c r="E267"/>
      <c r="F267" s="833"/>
      <c r="G267" s="835"/>
      <c r="H267" s="834"/>
      <c r="I267" s="393" t="s">
        <v>1777</v>
      </c>
      <c r="J267" s="391"/>
      <c r="K267" s="391"/>
      <c r="L267" s="391"/>
      <c r="M267" s="391"/>
      <c r="N267" s="391"/>
      <c r="O267" s="391"/>
      <c r="P267" s="391"/>
      <c r="Q267" s="391"/>
      <c r="R267" s="391"/>
      <c r="S267" s="391"/>
      <c r="T267" s="391"/>
      <c r="U267" s="391"/>
      <c r="V267" s="391"/>
      <c r="W267" s="391"/>
      <c r="X267" s="391"/>
      <c r="Y267" s="399"/>
      <c r="Z267" s="398">
        <f>IF(D257="нет",Y267,Y267*1.18)</f>
        <v>0</v>
      </c>
      <c r="AA267" s="117"/>
      <c r="AB267" s="117"/>
      <c r="AC267" s="398">
        <f>IF(AG267&gt;0,(AW267*BA267+BL267*BP267+CA267*CE267)/AG267,0)</f>
        <v>0</v>
      </c>
      <c r="AD267" s="398">
        <f>IF(D267="нет",AC267,AC267*1.18)</f>
        <v>0</v>
      </c>
      <c r="AE267" s="398">
        <f>IF(AG267&gt;0,(AW267*BA267+BL267*BP267+CA267*CE267-AH267*AG267)/AG267,0)</f>
        <v>0</v>
      </c>
      <c r="AF267" s="398">
        <f>IF(D257="нет",AE267,AE267*1.18)</f>
        <v>0</v>
      </c>
      <c r="AG267" s="398">
        <f>BA267+BP267+CE267</f>
        <v>0</v>
      </c>
      <c r="AH267" s="399"/>
      <c r="AI267" s="398">
        <f>IF(D257="нет",AH267,AH267*1.18)</f>
        <v>0</v>
      </c>
      <c r="AJ267" s="117"/>
      <c r="AK267" s="117"/>
      <c r="AL267" s="117"/>
      <c r="AM267" s="399"/>
      <c r="AN267" s="398">
        <f>IF(D257="нет",AM267,AM267*1.18)</f>
        <v>0</v>
      </c>
      <c r="AO267" s="399"/>
      <c r="AP267" s="398">
        <f>IF($D257="нет",AO267,AO267*1.18)</f>
        <v>0</v>
      </c>
      <c r="AQ267" s="399"/>
      <c r="AR267" s="832"/>
      <c r="AS267" s="832"/>
      <c r="AT267" s="832"/>
      <c r="AU267" s="832"/>
      <c r="AV267" s="832"/>
      <c r="AW267" s="398">
        <f>IF(BA267&gt;0,((AY267*BA267)+(1000*$I$3*BB267*BD267))/BA267,0)</f>
        <v>0</v>
      </c>
      <c r="AX267" s="398">
        <f>IF(BA267&gt;0,((AZ267*BA267)+(1000*$I$3*BC267*BD267))/BA267,0)</f>
        <v>0</v>
      </c>
      <c r="AY267" s="399"/>
      <c r="AZ267" s="398">
        <f>IF(D257="нет",AY267,AY267*1.18)</f>
        <v>0</v>
      </c>
      <c r="BA267" s="399"/>
      <c r="BB267" s="399"/>
      <c r="BC267" s="398">
        <f>IF(D257="нет",BB267,BB267*1.18)</f>
        <v>0</v>
      </c>
      <c r="BD267" s="399"/>
      <c r="BE267" s="399"/>
      <c r="BF267" s="398">
        <f>IF(BA267=0,0,1000*BE267/BA267)</f>
        <v>0</v>
      </c>
      <c r="BG267" s="832"/>
      <c r="BH267" s="832"/>
      <c r="BI267" s="832"/>
      <c r="BJ267" s="832"/>
      <c r="BK267" s="832"/>
      <c r="BL267" s="398">
        <f>IF(BP267&gt;0,((BN267*BP267)+(1000*$I$3*BQ267*BS267))/BP267,0)</f>
        <v>0</v>
      </c>
      <c r="BM267" s="398">
        <f>IF(BP267&gt;0,((BO267*BP267)+(1000*$I$3*BR267*BS267))/BP267,0)</f>
        <v>0</v>
      </c>
      <c r="BN267" s="399"/>
      <c r="BO267" s="398">
        <f>IF(D257="нет",BN267,BN267*1.18)</f>
        <v>0</v>
      </c>
      <c r="BP267" s="399"/>
      <c r="BQ267" s="399"/>
      <c r="BR267" s="398">
        <f>IF(D257="нет",BQ267,BQ267*1.18)</f>
        <v>0</v>
      </c>
      <c r="BS267" s="399"/>
      <c r="BT267" s="399"/>
      <c r="BU267" s="398">
        <f t="shared" si="33"/>
        <v>0</v>
      </c>
      <c r="BV267" s="832"/>
      <c r="BW267" s="832"/>
      <c r="BX267" s="832"/>
      <c r="BY267" s="832"/>
      <c r="BZ267" s="832"/>
      <c r="CA267" s="398">
        <f>IF(CE267&gt;0,((CC267*CE267)+(1000*$I$3*CF267*CH267))/CE267,0)</f>
        <v>0</v>
      </c>
      <c r="CB267" s="398">
        <f>IF(CE267&gt;0,((CD267*CE267)+(1000*$I$3*CG267*CH267))/CE267,0)</f>
        <v>0</v>
      </c>
      <c r="CC267" s="399"/>
      <c r="CD267" s="398">
        <f>IF(D257="нет",CC267,CC267*1.18)</f>
        <v>0</v>
      </c>
      <c r="CE267" s="399"/>
      <c r="CF267" s="399"/>
      <c r="CG267" s="398">
        <f>IF(D257="нет",CF267,CF267*1.18)</f>
        <v>0</v>
      </c>
      <c r="CH267" s="399"/>
      <c r="CI267" s="399"/>
      <c r="CJ267" s="398">
        <f>IF(CE267=0,0,1000*CI267/CE267)</f>
        <v>0</v>
      </c>
      <c r="CK267" s="398">
        <f>BE267+BT267+CI267</f>
        <v>0</v>
      </c>
      <c r="CL267" s="853"/>
      <c r="CM267" s="398">
        <f t="shared" si="34"/>
        <v>0</v>
      </c>
      <c r="CN267" s="398">
        <f>(Y267-AM267)*AQ267/1000</f>
        <v>0</v>
      </c>
      <c r="CO267" s="398">
        <f>(Y267-(AW267+BF267))*BA267/1000</f>
        <v>0</v>
      </c>
      <c r="CP267" s="398">
        <f>(Y267-(BL267+BU267))*BP267/1000</f>
        <v>0</v>
      </c>
      <c r="CQ267" s="398">
        <f>(Y267-(CA267+CJ267))*CE267/1000</f>
        <v>0</v>
      </c>
      <c r="CR267" s="846"/>
      <c r="CS267"/>
      <c r="CT267"/>
      <c r="CU267"/>
      <c r="CV267"/>
      <c r="CW267"/>
      <c r="CX267"/>
      <c r="CY267"/>
      <c r="CZ267"/>
      <c r="DA267"/>
      <c r="DB267"/>
      <c r="DC267"/>
      <c r="DD267"/>
      <c r="DE267"/>
      <c r="DF267" s="77"/>
      <c r="DG267" s="77"/>
      <c r="DH267" s="77"/>
      <c r="DI267" s="77"/>
      <c r="DJ267" s="77"/>
      <c r="DK267" s="77"/>
      <c r="DL267" s="77"/>
      <c r="DM267" s="77"/>
      <c r="DN267" s="77"/>
      <c r="DO267" s="381"/>
      <c r="DP267" s="77"/>
      <c r="DQ267" s="77"/>
      <c r="DR267" s="77"/>
      <c r="DS267" s="77"/>
      <c r="DT267" s="77"/>
      <c r="DU267" s="39"/>
      <c r="DV267" s="39"/>
      <c r="DW267" s="39"/>
      <c r="DX267" s="39"/>
      <c r="DY267" s="39"/>
      <c r="DZ267" s="39"/>
      <c r="EA267" s="39"/>
      <c r="EB267" s="39"/>
      <c r="EC267" s="39"/>
      <c r="ED267" s="39"/>
      <c r="EE267" s="39"/>
      <c r="EF267" s="39"/>
      <c r="EG267" s="39"/>
    </row>
    <row r="268" spans="3:152" s="60" customFormat="1">
      <c r="D268"/>
      <c r="E268"/>
      <c r="F268" s="833"/>
      <c r="G268" s="835"/>
      <c r="H268" s="834" t="s">
        <v>3139</v>
      </c>
      <c r="I268" s="393" t="s">
        <v>1776</v>
      </c>
      <c r="J268" s="391"/>
      <c r="K268" s="391"/>
      <c r="L268" s="391"/>
      <c r="M268" s="391"/>
      <c r="N268" s="391"/>
      <c r="O268" s="391"/>
      <c r="P268" s="391"/>
      <c r="Q268" s="391"/>
      <c r="R268" s="391"/>
      <c r="S268" s="391"/>
      <c r="T268" s="391"/>
      <c r="U268" s="391"/>
      <c r="V268" s="391"/>
      <c r="W268" s="391"/>
      <c r="X268" s="391"/>
      <c r="Y268" s="117"/>
      <c r="Z268" s="117"/>
      <c r="AA268" s="117"/>
      <c r="AB268" s="117"/>
      <c r="AC268" s="117"/>
      <c r="AD268" s="117"/>
      <c r="AE268" s="117"/>
      <c r="AF268" s="117"/>
      <c r="AG268" s="117"/>
      <c r="AH268" s="117"/>
      <c r="AI268" s="117"/>
      <c r="AJ268" s="117"/>
      <c r="AK268" s="117"/>
      <c r="AL268" s="117"/>
      <c r="AM268" s="117"/>
      <c r="AN268" s="117"/>
      <c r="AO268" s="117"/>
      <c r="AP268" s="117"/>
      <c r="AQ268" s="117"/>
      <c r="AR268" s="832"/>
      <c r="AS268" s="832"/>
      <c r="AT268" s="832"/>
      <c r="AU268" s="832"/>
      <c r="AV268" s="832"/>
      <c r="AW268" s="117"/>
      <c r="AX268" s="117"/>
      <c r="AY268" s="117"/>
      <c r="AZ268" s="117"/>
      <c r="BA268" s="117"/>
      <c r="BB268" s="117"/>
      <c r="BC268" s="117"/>
      <c r="BD268" s="117"/>
      <c r="BE268" s="117"/>
      <c r="BF268" s="117"/>
      <c r="BG268" s="832"/>
      <c r="BH268" s="832"/>
      <c r="BI268" s="832"/>
      <c r="BJ268" s="832"/>
      <c r="BK268" s="832"/>
      <c r="BL268" s="117"/>
      <c r="BM268" s="117"/>
      <c r="BN268" s="117"/>
      <c r="BO268" s="117"/>
      <c r="BP268" s="117"/>
      <c r="BQ268" s="117"/>
      <c r="BR268" s="117"/>
      <c r="BS268" s="117"/>
      <c r="BT268" s="117"/>
      <c r="BU268" s="117"/>
      <c r="BV268" s="832"/>
      <c r="BW268" s="832"/>
      <c r="BX268" s="832"/>
      <c r="BY268" s="832"/>
      <c r="BZ268" s="832"/>
      <c r="CA268" s="117"/>
      <c r="CB268" s="117"/>
      <c r="CC268" s="117"/>
      <c r="CD268" s="117"/>
      <c r="CE268" s="117"/>
      <c r="CF268" s="117"/>
      <c r="CG268" s="117"/>
      <c r="CH268" s="117"/>
      <c r="CI268" s="117"/>
      <c r="CJ268" s="117"/>
      <c r="CK268" s="117"/>
      <c r="CL268" s="853"/>
      <c r="CM268" s="117"/>
      <c r="CN268" s="117"/>
      <c r="CO268" s="117"/>
      <c r="CP268" s="117"/>
      <c r="CQ268" s="117"/>
      <c r="CR268" s="846"/>
      <c r="CS268"/>
      <c r="CT268"/>
      <c r="CU268"/>
      <c r="CV268"/>
      <c r="CW268"/>
      <c r="CX268"/>
      <c r="CY268"/>
      <c r="CZ268"/>
      <c r="DA268"/>
      <c r="DB268"/>
      <c r="DC268"/>
      <c r="DD268"/>
      <c r="DE268"/>
      <c r="DF268" s="77"/>
      <c r="DG268" s="77"/>
      <c r="DH268" s="77"/>
      <c r="DI268" s="77"/>
      <c r="DJ268" s="77"/>
      <c r="DK268" s="77"/>
      <c r="DL268" s="77"/>
      <c r="DM268" s="77"/>
      <c r="DN268" s="77"/>
      <c r="DO268" s="381"/>
      <c r="DP268" s="77"/>
      <c r="DQ268" s="77"/>
      <c r="DR268" s="77"/>
      <c r="DS268" s="77"/>
      <c r="DT268" s="77"/>
      <c r="DU268" s="39"/>
      <c r="DV268" s="39"/>
      <c r="DW268" s="39"/>
      <c r="DX268" s="39"/>
      <c r="DY268" s="39"/>
      <c r="DZ268" s="39"/>
      <c r="EA268" s="39"/>
      <c r="EB268" s="39"/>
      <c r="EC268" s="39"/>
      <c r="ED268" s="39"/>
      <c r="EE268" s="39"/>
      <c r="EF268" s="39"/>
      <c r="EG268" s="39"/>
    </row>
    <row r="269" spans="3:152" s="60" customFormat="1">
      <c r="D269"/>
      <c r="E269"/>
      <c r="F269" s="833"/>
      <c r="G269" s="835"/>
      <c r="H269" s="834"/>
      <c r="I269" s="393" t="s">
        <v>1777</v>
      </c>
      <c r="J269" s="391"/>
      <c r="K269" s="391"/>
      <c r="L269" s="391"/>
      <c r="M269" s="391"/>
      <c r="N269" s="391"/>
      <c r="O269" s="391"/>
      <c r="P269" s="391"/>
      <c r="Q269" s="391"/>
      <c r="R269" s="391"/>
      <c r="S269" s="391"/>
      <c r="T269" s="391"/>
      <c r="U269" s="391"/>
      <c r="V269" s="391"/>
      <c r="W269" s="391"/>
      <c r="X269" s="391"/>
      <c r="Y269" s="399"/>
      <c r="Z269" s="398">
        <f>IF(D257="нет",Y269,Y269*1.18)</f>
        <v>0</v>
      </c>
      <c r="AA269" s="117"/>
      <c r="AB269" s="117"/>
      <c r="AC269" s="398">
        <f>IF(AG269&gt;0,(AW269*BA269+BL269*BP269+CA269*CE269)/AG269,0)</f>
        <v>0</v>
      </c>
      <c r="AD269" s="398">
        <f>IF(D269="нет",AC269,AC269*1.18)</f>
        <v>0</v>
      </c>
      <c r="AE269" s="398">
        <f>IF(AG269&gt;0,(AW269*BA269+BL269*BP269+CA269*CE269-AH269*AG269)/AG269,0)</f>
        <v>0</v>
      </c>
      <c r="AF269" s="398">
        <f>IF(D257="нет",AE269,AE269*1.18)</f>
        <v>0</v>
      </c>
      <c r="AG269" s="398">
        <f>BA269+BP269+CE269</f>
        <v>0</v>
      </c>
      <c r="AH269" s="399"/>
      <c r="AI269" s="398">
        <f>IF(D257="нет",AH269,AH269*1.18)</f>
        <v>0</v>
      </c>
      <c r="AJ269" s="117"/>
      <c r="AK269" s="117"/>
      <c r="AL269" s="117"/>
      <c r="AM269" s="399"/>
      <c r="AN269" s="398">
        <f>IF(D257="нет",AM269,AM269*1.18)</f>
        <v>0</v>
      </c>
      <c r="AO269" s="399"/>
      <c r="AP269" s="398">
        <f>IF($D257="нет",AO269,AO269*1.18)</f>
        <v>0</v>
      </c>
      <c r="AQ269" s="399"/>
      <c r="AR269" s="832"/>
      <c r="AS269" s="832"/>
      <c r="AT269" s="832"/>
      <c r="AU269" s="832"/>
      <c r="AV269" s="832"/>
      <c r="AW269" s="398">
        <f>IF(BA269&gt;0,((AY269*BA269)+(1000*$I$3*BB269*BD269))/BA269,0)</f>
        <v>0</v>
      </c>
      <c r="AX269" s="398">
        <f>IF(BA269&gt;0,((AZ269*BA269)+(1000*$I$3*BC269*BD269))/BA269,0)</f>
        <v>0</v>
      </c>
      <c r="AY269" s="399"/>
      <c r="AZ269" s="398">
        <f>IF(D257="нет",AY269,AY269*1.18)</f>
        <v>0</v>
      </c>
      <c r="BA269" s="399"/>
      <c r="BB269" s="399"/>
      <c r="BC269" s="398">
        <f>IF(D257="нет",BB269,BB269*1.18)</f>
        <v>0</v>
      </c>
      <c r="BD269" s="399"/>
      <c r="BE269" s="399"/>
      <c r="BF269" s="398">
        <f>IF(BA269=0,0,1000*BE269/BA269)</f>
        <v>0</v>
      </c>
      <c r="BG269" s="832"/>
      <c r="BH269" s="832"/>
      <c r="BI269" s="832"/>
      <c r="BJ269" s="832"/>
      <c r="BK269" s="832"/>
      <c r="BL269" s="398">
        <f>IF(BP269&gt;0,((BN269*BP269)+(1000*$I$3*BQ269*BS269))/BP269,0)</f>
        <v>0</v>
      </c>
      <c r="BM269" s="398">
        <f>IF(BP269&gt;0,((BO269*BP269)+(1000*$I$3*BR269*BS269))/BP269,0)</f>
        <v>0</v>
      </c>
      <c r="BN269" s="399"/>
      <c r="BO269" s="398">
        <f>IF(D257="нет",BN269,BN269*1.18)</f>
        <v>0</v>
      </c>
      <c r="BP269" s="399"/>
      <c r="BQ269" s="399"/>
      <c r="BR269" s="398">
        <f>IF(D257="нет",BQ269,BQ269*1.18)</f>
        <v>0</v>
      </c>
      <c r="BS269" s="399"/>
      <c r="BT269" s="399"/>
      <c r="BU269" s="398">
        <f t="shared" si="33"/>
        <v>0</v>
      </c>
      <c r="BV269" s="832"/>
      <c r="BW269" s="832"/>
      <c r="BX269" s="832"/>
      <c r="BY269" s="832"/>
      <c r="BZ269" s="832"/>
      <c r="CA269" s="398">
        <f>IF(CE269&gt;0,((CC269*CE269)+(1000*$I$3*CF269*CH269))/CE269,0)</f>
        <v>0</v>
      </c>
      <c r="CB269" s="398">
        <f>IF(CE269&gt;0,((CD269*CE269)+(1000*$I$3*CG269*CH269))/CE269,0)</f>
        <v>0</v>
      </c>
      <c r="CC269" s="399"/>
      <c r="CD269" s="398">
        <f>IF(D257="нет",CC269,CC269*1.18)</f>
        <v>0</v>
      </c>
      <c r="CE269" s="399"/>
      <c r="CF269" s="399"/>
      <c r="CG269" s="398">
        <f>IF(D257="нет",CF269,CF269*1.18)</f>
        <v>0</v>
      </c>
      <c r="CH269" s="399"/>
      <c r="CI269" s="399"/>
      <c r="CJ269" s="398">
        <f>IF(CE269=0,0,1000*CI269/CE269)</f>
        <v>0</v>
      </c>
      <c r="CK269" s="398">
        <f>BE269+BT269+CI269</f>
        <v>0</v>
      </c>
      <c r="CL269" s="853"/>
      <c r="CM269" s="398">
        <f t="shared" si="34"/>
        <v>0</v>
      </c>
      <c r="CN269" s="398">
        <f>(Y269-AM269)*AQ269/1000</f>
        <v>0</v>
      </c>
      <c r="CO269" s="398">
        <f>(Y269-(AW269+BF269))*BA269/1000</f>
        <v>0</v>
      </c>
      <c r="CP269" s="398">
        <f>(Y269-(BL269+BU269))*BP269/1000</f>
        <v>0</v>
      </c>
      <c r="CQ269" s="398">
        <f>(Y269-(CA269+CJ269))*CE269/1000</f>
        <v>0</v>
      </c>
      <c r="CR269" s="846"/>
      <c r="CS269"/>
      <c r="CT269"/>
      <c r="CU269"/>
      <c r="CV269"/>
      <c r="CW269"/>
      <c r="CX269"/>
      <c r="CY269"/>
      <c r="CZ269"/>
      <c r="DA269"/>
      <c r="DB269"/>
      <c r="DC269"/>
      <c r="DD269"/>
      <c r="DE269"/>
      <c r="DF269" s="77"/>
      <c r="DG269" s="77"/>
      <c r="DH269" s="77"/>
      <c r="DI269" s="77"/>
      <c r="DJ269" s="77"/>
      <c r="DK269" s="77"/>
      <c r="DL269" s="77"/>
      <c r="DM269" s="77"/>
      <c r="DN269" s="77"/>
      <c r="DO269" s="381"/>
      <c r="DP269" s="77"/>
      <c r="DQ269" s="77"/>
      <c r="DR269" s="77"/>
      <c r="DS269" s="77"/>
      <c r="DT269" s="77"/>
      <c r="DU269" s="39"/>
      <c r="DV269" s="39"/>
      <c r="DW269" s="39"/>
      <c r="DX269" s="39"/>
      <c r="DY269" s="39"/>
      <c r="DZ269" s="39"/>
      <c r="EA269" s="39"/>
      <c r="EB269" s="39"/>
      <c r="EC269" s="39"/>
      <c r="ED269" s="39"/>
      <c r="EE269" s="39"/>
      <c r="EF269" s="39"/>
      <c r="EG269" s="39"/>
    </row>
    <row r="270" spans="3:152" s="60" customFormat="1">
      <c r="D270"/>
      <c r="E270"/>
      <c r="F270" s="833"/>
      <c r="G270" s="835"/>
      <c r="H270" s="836" t="s">
        <v>1779</v>
      </c>
      <c r="I270" s="393" t="s">
        <v>1776</v>
      </c>
      <c r="J270" s="391"/>
      <c r="K270" s="391"/>
      <c r="L270" s="391"/>
      <c r="M270" s="391"/>
      <c r="N270" s="391"/>
      <c r="O270" s="391"/>
      <c r="P270" s="391"/>
      <c r="Q270" s="391"/>
      <c r="R270" s="391"/>
      <c r="S270" s="391"/>
      <c r="T270" s="391"/>
      <c r="U270" s="391"/>
      <c r="V270" s="391"/>
      <c r="W270" s="391"/>
      <c r="X270" s="391"/>
      <c r="Y270" s="117"/>
      <c r="Z270" s="117"/>
      <c r="AA270" s="117"/>
      <c r="AB270" s="117"/>
      <c r="AC270" s="117"/>
      <c r="AD270" s="117"/>
      <c r="AE270" s="117"/>
      <c r="AF270" s="117"/>
      <c r="AG270" s="117"/>
      <c r="AH270" s="117"/>
      <c r="AI270" s="117"/>
      <c r="AJ270" s="117"/>
      <c r="AK270" s="117"/>
      <c r="AL270" s="117"/>
      <c r="AM270" s="117"/>
      <c r="AN270" s="117"/>
      <c r="AO270" s="117"/>
      <c r="AP270" s="117"/>
      <c r="AQ270" s="117"/>
      <c r="AR270" s="832"/>
      <c r="AS270" s="832"/>
      <c r="AT270" s="832"/>
      <c r="AU270" s="832"/>
      <c r="AV270" s="832"/>
      <c r="AW270" s="117"/>
      <c r="AX270" s="117"/>
      <c r="AY270" s="117"/>
      <c r="AZ270" s="117"/>
      <c r="BA270" s="117"/>
      <c r="BB270" s="117"/>
      <c r="BC270" s="117"/>
      <c r="BD270" s="117"/>
      <c r="BE270" s="117"/>
      <c r="BF270" s="117"/>
      <c r="BG270" s="832"/>
      <c r="BH270" s="832"/>
      <c r="BI270" s="832"/>
      <c r="BJ270" s="832"/>
      <c r="BK270" s="832"/>
      <c r="BL270" s="117"/>
      <c r="BM270" s="117"/>
      <c r="BN270" s="117"/>
      <c r="BO270" s="117"/>
      <c r="BP270" s="117"/>
      <c r="BQ270" s="117"/>
      <c r="BR270" s="117"/>
      <c r="BS270" s="117"/>
      <c r="BT270" s="117"/>
      <c r="BU270" s="117"/>
      <c r="BV270" s="832"/>
      <c r="BW270" s="832"/>
      <c r="BX270" s="832"/>
      <c r="BY270" s="832"/>
      <c r="BZ270" s="832"/>
      <c r="CA270" s="117"/>
      <c r="CB270" s="117"/>
      <c r="CC270" s="117"/>
      <c r="CD270" s="117"/>
      <c r="CE270" s="117"/>
      <c r="CF270" s="117"/>
      <c r="CG270" s="117"/>
      <c r="CH270" s="117"/>
      <c r="CI270" s="117"/>
      <c r="CJ270" s="117"/>
      <c r="CK270" s="117"/>
      <c r="CL270" s="853"/>
      <c r="CM270" s="117"/>
      <c r="CN270" s="117"/>
      <c r="CO270" s="117"/>
      <c r="CP270" s="117"/>
      <c r="CQ270" s="117"/>
      <c r="CR270" s="846"/>
      <c r="CS270"/>
      <c r="CT270"/>
      <c r="CU270"/>
      <c r="CV270"/>
      <c r="CW270"/>
      <c r="CX270"/>
      <c r="CY270"/>
      <c r="CZ270"/>
      <c r="DA270"/>
      <c r="DB270"/>
      <c r="DC270"/>
      <c r="DD270"/>
      <c r="DE270"/>
      <c r="DF270" s="77"/>
      <c r="DG270" s="77"/>
      <c r="DH270" s="77"/>
      <c r="DI270" s="77"/>
      <c r="DJ270" s="77"/>
      <c r="DK270" s="77"/>
      <c r="DL270" s="77"/>
      <c r="DM270" s="77"/>
      <c r="DN270" s="77"/>
      <c r="DO270" s="381"/>
      <c r="DP270" s="77"/>
      <c r="DQ270" s="77"/>
      <c r="DR270" s="77"/>
      <c r="DS270" s="77"/>
      <c r="DT270" s="77"/>
      <c r="DU270" s="39"/>
      <c r="DV270" s="39"/>
      <c r="DW270" s="39"/>
      <c r="DX270" s="39"/>
      <c r="DY270" s="39"/>
      <c r="DZ270" s="39"/>
      <c r="EA270" s="39"/>
      <c r="EB270" s="39"/>
      <c r="EC270" s="39"/>
      <c r="ED270" s="39"/>
      <c r="EE270" s="39"/>
      <c r="EF270" s="39"/>
      <c r="EG270" s="39"/>
    </row>
    <row r="271" spans="3:152" s="60" customFormat="1">
      <c r="D271"/>
      <c r="E271"/>
      <c r="F271" s="833"/>
      <c r="G271" s="835"/>
      <c r="H271" s="836"/>
      <c r="I271" s="393" t="s">
        <v>1777</v>
      </c>
      <c r="J271" s="391"/>
      <c r="K271" s="391"/>
      <c r="L271" s="391"/>
      <c r="M271" s="391"/>
      <c r="N271" s="391"/>
      <c r="O271" s="391"/>
      <c r="P271" s="391"/>
      <c r="Q271" s="391"/>
      <c r="R271" s="391"/>
      <c r="S271" s="391"/>
      <c r="T271" s="391"/>
      <c r="U271" s="391"/>
      <c r="V271" s="391"/>
      <c r="W271" s="391"/>
      <c r="X271" s="391"/>
      <c r="Y271" s="399"/>
      <c r="Z271" s="398">
        <f>IF(D257="нет",Y271,Y271*1.18)</f>
        <v>0</v>
      </c>
      <c r="AA271" s="117"/>
      <c r="AB271" s="117"/>
      <c r="AC271" s="398">
        <f>IF(AG271&gt;0,(AW271*BA271+BL271*BP271+CA271*CE271)/AG271,0)</f>
        <v>0</v>
      </c>
      <c r="AD271" s="398">
        <f>IF(D271="нет",AC271,AC271*1.18)</f>
        <v>0</v>
      </c>
      <c r="AE271" s="398">
        <f>IF(AG271&gt;0,(AW271*BA271+BL271*BP271+CA271*CE271-AH271*AG271)/AG271,0)</f>
        <v>0</v>
      </c>
      <c r="AF271" s="398">
        <f>IF(D257="нет",AE271,AE271*1.18)</f>
        <v>0</v>
      </c>
      <c r="AG271" s="398">
        <f>BA271+BP271+CE271</f>
        <v>0</v>
      </c>
      <c r="AH271" s="399"/>
      <c r="AI271" s="398">
        <f>IF(D257="нет",AH271,AH271*1.18)</f>
        <v>0</v>
      </c>
      <c r="AJ271" s="117"/>
      <c r="AK271" s="117"/>
      <c r="AL271" s="117"/>
      <c r="AM271" s="399"/>
      <c r="AN271" s="398">
        <f>IF(D257="нет",AM271,AM271*1.18)</f>
        <v>0</v>
      </c>
      <c r="AO271" s="399"/>
      <c r="AP271" s="398">
        <f>IF($D257="нет",AO271,AO271*1.18)</f>
        <v>0</v>
      </c>
      <c r="AQ271" s="399"/>
      <c r="AR271" s="832"/>
      <c r="AS271" s="832"/>
      <c r="AT271" s="832"/>
      <c r="AU271" s="832"/>
      <c r="AV271" s="832"/>
      <c r="AW271" s="398">
        <f>IF(BA271&gt;0,((AY271*BA271)+(1000*$I$3*BB271*BD271))/BA271,0)</f>
        <v>0</v>
      </c>
      <c r="AX271" s="398">
        <f>IF(BA271&gt;0,((AZ271*BA271)+(1000*$I$3*BC271*BD271))/BA271,0)</f>
        <v>0</v>
      </c>
      <c r="AY271" s="399"/>
      <c r="AZ271" s="398">
        <f>IF(D257="нет",AY271,AY271*1.18)</f>
        <v>0</v>
      </c>
      <c r="BA271" s="399"/>
      <c r="BB271" s="399"/>
      <c r="BC271" s="398">
        <f>IF(D257="нет",BB271,BB271*1.18)</f>
        <v>0</v>
      </c>
      <c r="BD271" s="399"/>
      <c r="BE271" s="399"/>
      <c r="BF271" s="398">
        <f>IF(BA271=0,0,1000*BE271/BA271)</f>
        <v>0</v>
      </c>
      <c r="BG271" s="832"/>
      <c r="BH271" s="832"/>
      <c r="BI271" s="832"/>
      <c r="BJ271" s="832"/>
      <c r="BK271" s="832"/>
      <c r="BL271" s="398">
        <f>IF(BP271&gt;0,((BN271*BP271)+(1000*$I$3*BQ271*BS271))/BP271,0)</f>
        <v>0</v>
      </c>
      <c r="BM271" s="398">
        <f>IF(BP271&gt;0,((BO271*BP271)+(1000*$I$3*BR271*BS271))/BP271,0)</f>
        <v>0</v>
      </c>
      <c r="BN271" s="399"/>
      <c r="BO271" s="398">
        <f>IF(D257="нет",BN271,BN271*1.18)</f>
        <v>0</v>
      </c>
      <c r="BP271" s="399"/>
      <c r="BQ271" s="399"/>
      <c r="BR271" s="398">
        <f>IF(D257="нет",BQ271,BQ271*1.18)</f>
        <v>0</v>
      </c>
      <c r="BS271" s="399"/>
      <c r="BT271" s="399"/>
      <c r="BU271" s="398">
        <f t="shared" si="33"/>
        <v>0</v>
      </c>
      <c r="BV271" s="832"/>
      <c r="BW271" s="832"/>
      <c r="BX271" s="832"/>
      <c r="BY271" s="832"/>
      <c r="BZ271" s="832"/>
      <c r="CA271" s="398">
        <f>IF(CE271&gt;0,((CC271*CE271)+(1000*$I$3*CF271*CH271))/CE271,0)</f>
        <v>0</v>
      </c>
      <c r="CB271" s="398">
        <f>IF(CE271&gt;0,((CD271*CE271)+(1000*$I$3*CG271*CH271))/CE271,0)</f>
        <v>0</v>
      </c>
      <c r="CC271" s="399"/>
      <c r="CD271" s="398">
        <f>IF(D257="нет",CC271,CC271*1.18)</f>
        <v>0</v>
      </c>
      <c r="CE271" s="399"/>
      <c r="CF271" s="399"/>
      <c r="CG271" s="398">
        <f>IF(D257="нет",CF271,CF271*1.18)</f>
        <v>0</v>
      </c>
      <c r="CH271" s="399"/>
      <c r="CI271" s="399"/>
      <c r="CJ271" s="398">
        <f>IF(CE271=0,0,1000*CI271/CE271)</f>
        <v>0</v>
      </c>
      <c r="CK271" s="398">
        <f>BE271+BT271+CI271</f>
        <v>0</v>
      </c>
      <c r="CL271" s="853"/>
      <c r="CM271" s="398">
        <f t="shared" si="34"/>
        <v>0</v>
      </c>
      <c r="CN271" s="398">
        <f>(Y271-AM271)*AQ271/1000</f>
        <v>0</v>
      </c>
      <c r="CO271" s="398">
        <f>(Y271-(AW271+BF271))*BA271/1000</f>
        <v>0</v>
      </c>
      <c r="CP271" s="398">
        <f>(Y271-(BL271+BU271))*BP271/1000</f>
        <v>0</v>
      </c>
      <c r="CQ271" s="398">
        <f>(Y271-(CA271+CJ271))*CE271/1000</f>
        <v>0</v>
      </c>
      <c r="CR271" s="846"/>
      <c r="CS271"/>
      <c r="CT271"/>
      <c r="CU271"/>
      <c r="CV271"/>
      <c r="CW271"/>
      <c r="CX271"/>
      <c r="CY271"/>
      <c r="CZ271"/>
      <c r="DA271"/>
      <c r="DB271"/>
      <c r="DC271"/>
      <c r="DD271"/>
      <c r="DE271"/>
      <c r="DF271" s="77"/>
      <c r="DG271" s="77"/>
      <c r="DH271" s="77"/>
      <c r="DI271" s="77"/>
      <c r="DJ271" s="77"/>
      <c r="DK271" s="77"/>
      <c r="DL271" s="77"/>
      <c r="DM271" s="77"/>
      <c r="DN271" s="77"/>
      <c r="DO271" s="381"/>
      <c r="DP271" s="77"/>
      <c r="DQ271" s="77"/>
      <c r="DR271" s="77"/>
      <c r="DS271" s="77"/>
      <c r="DT271" s="77"/>
      <c r="DU271" s="39"/>
      <c r="DV271" s="39"/>
      <c r="DW271" s="39"/>
      <c r="DX271" s="39"/>
      <c r="DY271" s="39"/>
      <c r="DZ271" s="39"/>
      <c r="EA271" s="39"/>
      <c r="EB271" s="39"/>
      <c r="EC271" s="39"/>
      <c r="ED271" s="39"/>
      <c r="EE271" s="39"/>
      <c r="EF271" s="39"/>
      <c r="EG271" s="39"/>
    </row>
    <row r="272" spans="3:152">
      <c r="CS272"/>
      <c r="CT272"/>
      <c r="CU272"/>
      <c r="CV272"/>
      <c r="CW272"/>
      <c r="CX272"/>
      <c r="CY272"/>
      <c r="CZ272"/>
      <c r="DA272"/>
      <c r="DB272"/>
      <c r="DC272"/>
      <c r="DD272"/>
      <c r="DE272"/>
    </row>
    <row r="273" spans="4:92">
      <c r="CN273"/>
    </row>
    <row r="274" spans="4:92">
      <c r="CN274"/>
    </row>
    <row r="275" spans="4:92">
      <c r="CN275"/>
    </row>
    <row r="276" spans="4:92">
      <c r="CN276"/>
    </row>
    <row r="277" spans="4:92">
      <c r="CN277"/>
    </row>
    <row r="278" spans="4:92">
      <c r="CN278"/>
    </row>
    <row r="279" spans="4:92">
      <c r="CN279"/>
    </row>
    <row r="280" spans="4:92">
      <c r="CN280"/>
    </row>
    <row r="281" spans="4:92">
      <c r="CN281"/>
    </row>
    <row r="282" spans="4:92">
      <c r="CN282"/>
    </row>
    <row r="283" spans="4:92">
      <c r="CN283"/>
    </row>
    <row r="284" spans="4:92">
      <c r="CN284"/>
    </row>
    <row r="285" spans="4:92">
      <c r="CN285"/>
    </row>
    <row r="286" spans="4:92">
      <c r="CN286"/>
    </row>
    <row r="287" spans="4:92">
      <c r="CN287"/>
    </row>
    <row r="288" spans="4:92" s="121" customFormat="1">
      <c r="D288"/>
      <c r="E288"/>
      <c r="J288" s="120"/>
      <c r="K288" s="871"/>
      <c r="L288" s="871"/>
      <c r="M288" s="871"/>
      <c r="N288" s="871"/>
      <c r="O288" s="871"/>
      <c r="P288" s="871"/>
      <c r="Q288" s="871"/>
      <c r="R288" s="871"/>
      <c r="S288" s="871"/>
      <c r="T288" s="871"/>
      <c r="U288" s="871"/>
      <c r="V288" s="871"/>
      <c r="W288" s="871"/>
      <c r="X288" s="871"/>
      <c r="AQ288"/>
    </row>
    <row r="289" spans="4:43" s="121" customFormat="1">
      <c r="D289"/>
      <c r="E289"/>
      <c r="H289"/>
      <c r="J289" s="827" t="s">
        <v>626</v>
      </c>
      <c r="K289" s="826" t="s">
        <v>2584</v>
      </c>
      <c r="L289" s="826"/>
      <c r="M289" s="826"/>
      <c r="N289" s="826" t="s">
        <v>2569</v>
      </c>
      <c r="O289" s="826"/>
      <c r="P289" s="826" t="s">
        <v>2570</v>
      </c>
      <c r="Q289" s="826"/>
      <c r="R289" s="826" t="s">
        <v>2862</v>
      </c>
      <c r="S289" s="826"/>
      <c r="T289" s="826"/>
      <c r="U289" s="826"/>
      <c r="V289" s="826" t="s">
        <v>2571</v>
      </c>
      <c r="W289" s="826"/>
      <c r="X289" s="826" t="s">
        <v>2572</v>
      </c>
      <c r="AQ289"/>
    </row>
    <row r="290" spans="4:43" s="121" customFormat="1">
      <c r="D290"/>
      <c r="E290"/>
      <c r="J290" s="827"/>
      <c r="K290" s="802" t="s">
        <v>2581</v>
      </c>
      <c r="L290" s="802" t="s">
        <v>2582</v>
      </c>
      <c r="M290" s="802" t="s">
        <v>2583</v>
      </c>
      <c r="N290" s="802"/>
      <c r="O290" s="802"/>
      <c r="P290" s="802" t="s">
        <v>2573</v>
      </c>
      <c r="Q290" s="802" t="s">
        <v>2574</v>
      </c>
      <c r="R290" s="802" t="s">
        <v>2573</v>
      </c>
      <c r="S290" s="802" t="s">
        <v>2574</v>
      </c>
      <c r="T290" s="802"/>
      <c r="U290" s="802"/>
      <c r="V290" s="802" t="s">
        <v>2575</v>
      </c>
      <c r="W290" s="802" t="s">
        <v>2576</v>
      </c>
      <c r="X290" s="802"/>
      <c r="AQ290"/>
    </row>
    <row r="291" spans="4:43" s="121" customFormat="1">
      <c r="D291"/>
      <c r="E291"/>
      <c r="J291" s="827"/>
      <c r="K291" s="802"/>
      <c r="L291" s="802"/>
      <c r="M291" s="802"/>
      <c r="N291" s="802"/>
      <c r="O291" s="802"/>
      <c r="P291" s="802"/>
      <c r="Q291" s="802"/>
      <c r="R291" s="802"/>
      <c r="S291" s="802"/>
      <c r="T291" s="802"/>
      <c r="U291" s="802"/>
      <c r="V291" s="802"/>
      <c r="W291" s="802"/>
      <c r="X291" s="802"/>
      <c r="AQ291"/>
    </row>
    <row r="292" spans="4:43" s="121" customFormat="1">
      <c r="D292"/>
      <c r="E292"/>
      <c r="I292"/>
      <c r="J292"/>
      <c r="K292"/>
      <c r="L292"/>
      <c r="M292"/>
      <c r="N292"/>
      <c r="O292"/>
      <c r="P292"/>
      <c r="Q292"/>
      <c r="R292"/>
      <c r="S292"/>
      <c r="T292"/>
      <c r="U292"/>
      <c r="V292"/>
      <c r="W292"/>
      <c r="X292"/>
      <c r="Y292"/>
      <c r="AQ292"/>
    </row>
    <row r="293" spans="4:43" s="121" customFormat="1" ht="11.25" customHeight="1">
      <c r="D293"/>
      <c r="E293"/>
      <c r="H293" s="388" t="s">
        <v>2400</v>
      </c>
      <c r="J293" s="824"/>
      <c r="K293" s="825"/>
      <c r="L293" s="825"/>
      <c r="M293" s="825"/>
      <c r="N293" s="825"/>
      <c r="O293" s="824"/>
      <c r="P293" s="824"/>
      <c r="Q293" s="824"/>
      <c r="R293" s="824"/>
      <c r="S293" s="824"/>
      <c r="T293" s="824"/>
      <c r="U293" s="824"/>
      <c r="V293" s="824"/>
      <c r="W293" s="824"/>
      <c r="X293" s="824"/>
      <c r="AQ293"/>
    </row>
    <row r="294" spans="4:43" s="121" customFormat="1" ht="11.25" customHeight="1">
      <c r="D294"/>
      <c r="E294"/>
      <c r="J294" s="824"/>
      <c r="K294" s="825"/>
      <c r="L294" s="825"/>
      <c r="M294" s="825"/>
      <c r="N294" s="825"/>
      <c r="O294" s="824"/>
      <c r="P294" s="824"/>
      <c r="Q294" s="824"/>
      <c r="R294" s="824"/>
      <c r="S294" s="824"/>
      <c r="T294" s="824"/>
      <c r="U294" s="824"/>
      <c r="V294" s="824"/>
      <c r="W294" s="824"/>
      <c r="X294" s="824"/>
      <c r="AQ294"/>
    </row>
    <row r="295" spans="4:43" s="121" customFormat="1" ht="11.25" customHeight="1">
      <c r="D295"/>
      <c r="E295"/>
      <c r="J295" s="824"/>
      <c r="K295" s="825"/>
      <c r="L295" s="825"/>
      <c r="M295" s="825"/>
      <c r="N295" s="825"/>
      <c r="O295" s="824"/>
      <c r="P295" s="824"/>
      <c r="Q295" s="824"/>
      <c r="R295" s="824"/>
      <c r="S295" s="824"/>
      <c r="T295" s="824"/>
      <c r="U295" s="824"/>
      <c r="V295" s="824"/>
      <c r="W295" s="824"/>
      <c r="X295" s="824"/>
      <c r="AQ295"/>
    </row>
    <row r="296" spans="4:43" s="121" customFormat="1" ht="11.25" customHeight="1">
      <c r="D296"/>
      <c r="E296"/>
      <c r="H296" s="388" t="s">
        <v>2401</v>
      </c>
      <c r="N296" s="825" t="s">
        <v>2577</v>
      </c>
      <c r="O296" s="824"/>
      <c r="P296" s="824"/>
      <c r="Q296" s="824"/>
      <c r="R296" s="823"/>
      <c r="S296" s="825"/>
      <c r="T296" s="824"/>
      <c r="U296" s="824"/>
      <c r="V296" s="823"/>
      <c r="W296" s="823"/>
      <c r="X296" s="883"/>
      <c r="AQ296"/>
    </row>
    <row r="297" spans="4:43" s="121" customFormat="1" ht="11.25" customHeight="1">
      <c r="D297"/>
      <c r="E297"/>
      <c r="N297" s="825"/>
      <c r="O297" s="824"/>
      <c r="P297" s="824"/>
      <c r="Q297" s="824"/>
      <c r="R297" s="823"/>
      <c r="S297" s="825"/>
      <c r="T297" s="824"/>
      <c r="U297" s="824"/>
      <c r="V297" s="823"/>
      <c r="W297" s="823"/>
      <c r="X297" s="883"/>
      <c r="AQ297"/>
    </row>
    <row r="298" spans="4:43" s="121" customFormat="1" ht="11.25" customHeight="1">
      <c r="D298"/>
      <c r="E298"/>
      <c r="N298" s="825"/>
      <c r="O298" s="824"/>
      <c r="P298" s="824"/>
      <c r="Q298" s="824"/>
      <c r="R298" s="823"/>
      <c r="S298" s="825"/>
      <c r="T298" s="824"/>
      <c r="U298" s="824"/>
      <c r="V298" s="823"/>
      <c r="W298" s="823"/>
      <c r="X298" s="883"/>
      <c r="AQ298"/>
    </row>
    <row r="299" spans="4:43" s="121" customFormat="1" ht="11.25" customHeight="1">
      <c r="D299"/>
      <c r="E299"/>
      <c r="H299" s="388" t="s">
        <v>2402</v>
      </c>
      <c r="N299" s="825" t="s">
        <v>2578</v>
      </c>
      <c r="O299" s="824"/>
      <c r="P299" s="823"/>
      <c r="Q299" s="825"/>
      <c r="R299" s="884"/>
      <c r="S299" s="862"/>
      <c r="T299" s="824"/>
      <c r="U299" s="824"/>
      <c r="V299" s="823"/>
      <c r="W299" s="823"/>
      <c r="X299" s="883"/>
      <c r="AQ299"/>
    </row>
    <row r="300" spans="4:43" s="121" customFormat="1" ht="11.25" customHeight="1">
      <c r="D300"/>
      <c r="E300"/>
      <c r="N300" s="825"/>
      <c r="O300" s="824"/>
      <c r="P300" s="823"/>
      <c r="Q300" s="825"/>
      <c r="R300" s="885"/>
      <c r="S300" s="863"/>
      <c r="T300" s="824"/>
      <c r="U300" s="824"/>
      <c r="V300" s="823"/>
      <c r="W300" s="823"/>
      <c r="X300" s="883"/>
      <c r="AQ300"/>
    </row>
    <row r="301" spans="4:43" s="121" customFormat="1" ht="11.25" customHeight="1">
      <c r="D301"/>
      <c r="E301"/>
      <c r="N301" s="825"/>
      <c r="O301" s="824"/>
      <c r="P301" s="823"/>
      <c r="Q301" s="825"/>
      <c r="R301" s="886"/>
      <c r="S301" s="864"/>
      <c r="T301" s="824"/>
      <c r="U301" s="824"/>
      <c r="V301" s="823"/>
      <c r="W301" s="823"/>
      <c r="X301" s="883"/>
      <c r="AQ301"/>
    </row>
    <row r="302" spans="4:43" s="121" customFormat="1" ht="11.25" customHeight="1">
      <c r="D302"/>
      <c r="E302"/>
      <c r="H302" s="388" t="s">
        <v>2403</v>
      </c>
      <c r="N302" s="825" t="s">
        <v>2579</v>
      </c>
      <c r="O302" s="824"/>
      <c r="P302" s="823"/>
      <c r="Q302" s="825"/>
      <c r="R302" s="884"/>
      <c r="S302" s="862"/>
      <c r="T302" s="824"/>
      <c r="U302" s="824"/>
      <c r="V302" s="823"/>
      <c r="W302" s="823"/>
      <c r="X302" s="883"/>
      <c r="AQ302"/>
    </row>
    <row r="303" spans="4:43" s="121" customFormat="1" ht="11.25" customHeight="1">
      <c r="D303"/>
      <c r="E303"/>
      <c r="N303" s="825"/>
      <c r="O303" s="824"/>
      <c r="P303" s="823"/>
      <c r="Q303" s="825"/>
      <c r="R303" s="885"/>
      <c r="S303" s="863"/>
      <c r="T303" s="824"/>
      <c r="U303" s="824"/>
      <c r="V303" s="823"/>
      <c r="W303" s="823"/>
      <c r="X303" s="883"/>
      <c r="AQ303"/>
    </row>
    <row r="304" spans="4:43" s="121" customFormat="1" ht="11.25" customHeight="1">
      <c r="D304"/>
      <c r="E304"/>
      <c r="N304" s="825"/>
      <c r="O304" s="824"/>
      <c r="P304" s="823"/>
      <c r="Q304" s="825"/>
      <c r="R304" s="886"/>
      <c r="S304" s="864"/>
      <c r="T304" s="824"/>
      <c r="U304" s="824"/>
      <c r="V304" s="823"/>
      <c r="W304" s="823"/>
      <c r="X304" s="883"/>
      <c r="AQ304"/>
    </row>
    <row r="305" spans="4:43" s="121" customFormat="1" ht="11.25" customHeight="1">
      <c r="D305"/>
      <c r="E305"/>
      <c r="H305" s="388" t="s">
        <v>2404</v>
      </c>
      <c r="N305" s="825"/>
      <c r="O305" s="824"/>
      <c r="P305" s="824"/>
      <c r="Q305" s="824"/>
      <c r="R305" s="824"/>
      <c r="S305" s="824"/>
      <c r="T305" s="824"/>
      <c r="U305" s="824"/>
      <c r="V305" s="824"/>
      <c r="W305" s="824"/>
      <c r="X305" s="824"/>
      <c r="AQ305"/>
    </row>
    <row r="306" spans="4:43" s="121" customFormat="1" ht="11.25" customHeight="1">
      <c r="D306"/>
      <c r="E306"/>
      <c r="N306" s="825"/>
      <c r="O306" s="824"/>
      <c r="P306" s="824"/>
      <c r="Q306" s="824"/>
      <c r="R306" s="824"/>
      <c r="S306" s="824"/>
      <c r="T306" s="824"/>
      <c r="U306" s="824"/>
      <c r="V306" s="824"/>
      <c r="W306" s="824"/>
      <c r="X306" s="824"/>
      <c r="AQ306"/>
    </row>
    <row r="307" spans="4:43" s="121" customFormat="1" ht="11.25" customHeight="1">
      <c r="D307"/>
      <c r="E307"/>
      <c r="N307" s="825"/>
      <c r="O307" s="824"/>
      <c r="P307" s="824"/>
      <c r="Q307" s="824"/>
      <c r="R307" s="824"/>
      <c r="S307" s="824"/>
      <c r="T307" s="824"/>
      <c r="U307" s="824"/>
      <c r="V307" s="824"/>
      <c r="W307" s="824"/>
      <c r="X307" s="824"/>
      <c r="AQ307"/>
    </row>
    <row r="308" spans="4:43" s="121" customFormat="1" ht="11.25" customHeight="1">
      <c r="D308"/>
      <c r="E308"/>
      <c r="H308" s="388" t="s">
        <v>2405</v>
      </c>
      <c r="J308" s="825"/>
      <c r="K308" s="824"/>
      <c r="L308" s="824"/>
      <c r="M308" s="824"/>
      <c r="N308" s="824"/>
      <c r="O308" s="824"/>
      <c r="P308" s="824"/>
      <c r="Q308" s="824"/>
      <c r="R308" s="824"/>
      <c r="S308" s="824"/>
      <c r="T308" s="824"/>
      <c r="U308" s="824"/>
      <c r="V308" s="824"/>
      <c r="W308" s="824"/>
      <c r="X308" s="824"/>
      <c r="AQ308"/>
    </row>
    <row r="309" spans="4:43" s="121" customFormat="1" ht="11.25" customHeight="1">
      <c r="D309"/>
      <c r="E309"/>
      <c r="J309" s="825"/>
      <c r="K309" s="824"/>
      <c r="L309" s="824"/>
      <c r="M309" s="824"/>
      <c r="N309" s="824"/>
      <c r="O309" s="824"/>
      <c r="P309" s="824"/>
      <c r="Q309" s="824"/>
      <c r="R309" s="824"/>
      <c r="S309" s="824"/>
      <c r="T309" s="824"/>
      <c r="U309" s="824"/>
      <c r="V309" s="824"/>
      <c r="W309" s="824"/>
      <c r="X309" s="824"/>
      <c r="AQ309"/>
    </row>
    <row r="310" spans="4:43" s="121" customFormat="1" ht="11.25" customHeight="1">
      <c r="D310"/>
      <c r="E310"/>
      <c r="J310" s="825"/>
      <c r="K310" s="824"/>
      <c r="L310" s="824"/>
      <c r="M310" s="824"/>
      <c r="N310" s="824"/>
      <c r="O310" s="824"/>
      <c r="P310" s="824"/>
      <c r="Q310" s="824"/>
      <c r="R310" s="824"/>
      <c r="S310" s="824"/>
      <c r="T310" s="824"/>
      <c r="U310" s="824"/>
      <c r="V310" s="824"/>
      <c r="W310" s="824"/>
      <c r="X310" s="824"/>
      <c r="AQ310"/>
    </row>
    <row r="311" spans="4:43" s="121" customFormat="1" ht="11.25" customHeight="1">
      <c r="D311"/>
      <c r="E311"/>
      <c r="AQ311"/>
    </row>
    <row r="312" spans="4:43" s="121" customFormat="1" ht="11.25" customHeight="1">
      <c r="D312"/>
      <c r="E312"/>
      <c r="AQ312"/>
    </row>
    <row r="313" spans="4:43" s="121" customFormat="1" ht="11.25" customHeight="1">
      <c r="D313"/>
      <c r="E313"/>
      <c r="AQ313"/>
    </row>
    <row r="314" spans="4:43" s="121" customFormat="1" ht="11.25" customHeight="1">
      <c r="D314"/>
      <c r="E314"/>
      <c r="H314" s="388" t="s">
        <v>2406</v>
      </c>
      <c r="J314" s="824"/>
      <c r="K314" s="825"/>
      <c r="L314" s="825"/>
      <c r="M314" s="825"/>
      <c r="N314" s="825"/>
      <c r="O314" s="824"/>
      <c r="P314" s="824"/>
      <c r="Q314" s="824"/>
      <c r="R314" s="824"/>
      <c r="S314" s="824"/>
      <c r="T314" s="824"/>
      <c r="U314" s="824"/>
      <c r="V314" s="824"/>
      <c r="W314" s="824"/>
      <c r="X314" s="824"/>
      <c r="AQ314"/>
    </row>
    <row r="315" spans="4:43" s="121" customFormat="1" ht="11.25" customHeight="1">
      <c r="D315"/>
      <c r="E315"/>
      <c r="J315" s="824"/>
      <c r="K315" s="825"/>
      <c r="L315" s="825"/>
      <c r="M315" s="825"/>
      <c r="N315" s="825"/>
      <c r="O315" s="824"/>
      <c r="P315" s="824"/>
      <c r="Q315" s="824"/>
      <c r="R315" s="824"/>
      <c r="S315" s="824"/>
      <c r="T315" s="824"/>
      <c r="U315" s="824"/>
      <c r="V315" s="824"/>
      <c r="W315" s="824"/>
      <c r="X315" s="824"/>
      <c r="AQ315"/>
    </row>
    <row r="316" spans="4:43" s="121" customFormat="1" ht="11.25" customHeight="1">
      <c r="D316"/>
      <c r="E316"/>
      <c r="J316" s="824"/>
      <c r="K316" s="825"/>
      <c r="L316" s="825"/>
      <c r="M316" s="825"/>
      <c r="N316" s="825"/>
      <c r="O316" s="824"/>
      <c r="P316" s="824"/>
      <c r="Q316" s="824"/>
      <c r="R316" s="824"/>
      <c r="S316" s="824"/>
      <c r="T316" s="824"/>
      <c r="U316" s="824"/>
      <c r="V316" s="824"/>
      <c r="W316" s="824"/>
      <c r="X316" s="824"/>
      <c r="AQ316"/>
    </row>
    <row r="317" spans="4:43" s="121" customFormat="1" ht="11.25" customHeight="1">
      <c r="D317"/>
      <c r="E317"/>
      <c r="H317" s="388" t="s">
        <v>2407</v>
      </c>
      <c r="J317"/>
      <c r="K317"/>
      <c r="L317"/>
      <c r="M317"/>
      <c r="N317" s="825" t="s">
        <v>2577</v>
      </c>
      <c r="O317" s="824"/>
      <c r="P317" s="824"/>
      <c r="Q317" s="824"/>
      <c r="R317" s="823"/>
      <c r="S317" s="825"/>
      <c r="T317" s="824"/>
      <c r="U317" s="824"/>
      <c r="V317" s="823"/>
      <c r="W317" s="823"/>
      <c r="X317" s="883"/>
      <c r="AQ317"/>
    </row>
    <row r="318" spans="4:43" s="121" customFormat="1" ht="11.25" customHeight="1">
      <c r="D318"/>
      <c r="E318"/>
      <c r="J318"/>
      <c r="K318"/>
      <c r="L318"/>
      <c r="M318"/>
      <c r="N318" s="825"/>
      <c r="O318" s="824"/>
      <c r="P318" s="824"/>
      <c r="Q318" s="824"/>
      <c r="R318" s="823"/>
      <c r="S318" s="825"/>
      <c r="T318" s="824"/>
      <c r="U318" s="824"/>
      <c r="V318" s="823"/>
      <c r="W318" s="823"/>
      <c r="X318" s="883"/>
      <c r="AQ318"/>
    </row>
    <row r="319" spans="4:43" s="121" customFormat="1" ht="11.25" customHeight="1">
      <c r="D319"/>
      <c r="E319"/>
      <c r="J319"/>
      <c r="K319"/>
      <c r="L319"/>
      <c r="M319"/>
      <c r="N319" s="825"/>
      <c r="O319" s="824"/>
      <c r="P319" s="824"/>
      <c r="Q319" s="824"/>
      <c r="R319" s="823"/>
      <c r="S319" s="825"/>
      <c r="T319" s="824"/>
      <c r="U319" s="824"/>
      <c r="V319" s="823"/>
      <c r="W319" s="823"/>
      <c r="X319" s="883"/>
      <c r="AQ319"/>
    </row>
    <row r="320" spans="4:43" s="121" customFormat="1" ht="11.25" customHeight="1">
      <c r="D320"/>
      <c r="E320"/>
      <c r="H320" s="388" t="s">
        <v>2408</v>
      </c>
      <c r="N320" s="825" t="s">
        <v>2578</v>
      </c>
      <c r="O320" s="824"/>
      <c r="P320" s="823"/>
      <c r="Q320" s="825"/>
      <c r="R320" s="823"/>
      <c r="S320" s="825"/>
      <c r="T320" s="824"/>
      <c r="U320" s="824"/>
      <c r="V320" s="823"/>
      <c r="W320" s="823"/>
      <c r="X320" s="883"/>
      <c r="AQ320"/>
    </row>
    <row r="321" spans="4:43" s="121" customFormat="1" ht="11.25" customHeight="1">
      <c r="D321"/>
      <c r="E321"/>
      <c r="N321" s="825"/>
      <c r="O321" s="824"/>
      <c r="P321" s="823"/>
      <c r="Q321" s="825"/>
      <c r="R321" s="823"/>
      <c r="S321" s="825"/>
      <c r="T321" s="824"/>
      <c r="U321" s="824"/>
      <c r="V321" s="823"/>
      <c r="W321" s="823"/>
      <c r="X321" s="883"/>
      <c r="AQ321"/>
    </row>
    <row r="322" spans="4:43" s="121" customFormat="1" ht="11.25" customHeight="1">
      <c r="D322"/>
      <c r="E322"/>
      <c r="N322" s="825"/>
      <c r="O322" s="824"/>
      <c r="P322" s="823"/>
      <c r="Q322" s="825"/>
      <c r="R322" s="823"/>
      <c r="S322" s="825"/>
      <c r="T322" s="824"/>
      <c r="U322" s="824"/>
      <c r="V322" s="823"/>
      <c r="W322" s="823"/>
      <c r="X322" s="883"/>
      <c r="AQ322"/>
    </row>
    <row r="323" spans="4:43" s="121" customFormat="1" ht="11.25" customHeight="1">
      <c r="D323"/>
      <c r="E323"/>
      <c r="H323" s="388" t="s">
        <v>2409</v>
      </c>
      <c r="N323" s="825" t="s">
        <v>2579</v>
      </c>
      <c r="O323" s="824"/>
      <c r="P323" s="823"/>
      <c r="Q323" s="825"/>
      <c r="R323" s="823"/>
      <c r="S323" s="825"/>
      <c r="T323" s="824"/>
      <c r="U323" s="824"/>
      <c r="V323" s="823"/>
      <c r="W323" s="823"/>
      <c r="X323" s="883"/>
      <c r="AQ323"/>
    </row>
    <row r="324" spans="4:43" s="121" customFormat="1" ht="11.25" customHeight="1">
      <c r="D324"/>
      <c r="E324"/>
      <c r="N324" s="825"/>
      <c r="O324" s="824"/>
      <c r="P324" s="823"/>
      <c r="Q324" s="825"/>
      <c r="R324" s="823"/>
      <c r="S324" s="825"/>
      <c r="T324" s="824"/>
      <c r="U324" s="824"/>
      <c r="V324" s="823"/>
      <c r="W324" s="823"/>
      <c r="X324" s="883"/>
      <c r="AQ324"/>
    </row>
    <row r="325" spans="4:43" s="121" customFormat="1" ht="11.25" customHeight="1">
      <c r="D325"/>
      <c r="E325"/>
      <c r="N325" s="825"/>
      <c r="O325" s="824"/>
      <c r="P325" s="823"/>
      <c r="Q325" s="825"/>
      <c r="R325" s="823"/>
      <c r="S325" s="825"/>
      <c r="T325" s="824"/>
      <c r="U325" s="824"/>
      <c r="V325" s="823"/>
      <c r="W325" s="823"/>
      <c r="X325" s="883"/>
      <c r="AQ325"/>
    </row>
    <row r="326" spans="4:43" s="121" customFormat="1" ht="11.25" customHeight="1">
      <c r="D326"/>
      <c r="E326"/>
      <c r="H326" s="388" t="s">
        <v>2410</v>
      </c>
      <c r="N326" s="825"/>
      <c r="O326" s="824"/>
      <c r="P326" s="824"/>
      <c r="Q326" s="824"/>
      <c r="R326" s="824"/>
      <c r="S326" s="824"/>
      <c r="T326" s="824"/>
      <c r="U326" s="824"/>
      <c r="V326" s="824"/>
      <c r="W326" s="824"/>
      <c r="X326" s="824"/>
      <c r="AQ326"/>
    </row>
    <row r="327" spans="4:43" s="121" customFormat="1" ht="11.25" customHeight="1">
      <c r="D327"/>
      <c r="E327"/>
      <c r="N327" s="825"/>
      <c r="O327" s="824"/>
      <c r="P327" s="824"/>
      <c r="Q327" s="824"/>
      <c r="R327" s="824"/>
      <c r="S327" s="824"/>
      <c r="T327" s="824"/>
      <c r="U327" s="824"/>
      <c r="V327" s="824"/>
      <c r="W327" s="824"/>
      <c r="X327" s="824"/>
      <c r="AQ327"/>
    </row>
    <row r="328" spans="4:43" s="121" customFormat="1" ht="11.25" customHeight="1">
      <c r="D328"/>
      <c r="E328"/>
      <c r="N328" s="825"/>
      <c r="O328" s="824"/>
      <c r="P328" s="824"/>
      <c r="Q328" s="824"/>
      <c r="R328" s="824"/>
      <c r="S328" s="824"/>
      <c r="T328" s="824"/>
      <c r="U328" s="824"/>
      <c r="V328" s="824"/>
      <c r="W328" s="824"/>
      <c r="X328" s="824"/>
      <c r="AQ328"/>
    </row>
    <row r="329" spans="4:43" s="121" customFormat="1" ht="11.25" customHeight="1">
      <c r="D329"/>
      <c r="E329"/>
      <c r="H329" s="388" t="s">
        <v>2411</v>
      </c>
      <c r="J329" s="825"/>
      <c r="K329" s="824"/>
      <c r="L329" s="824"/>
      <c r="M329" s="824"/>
      <c r="N329" s="824"/>
      <c r="O329" s="824"/>
      <c r="P329" s="824"/>
      <c r="Q329" s="824"/>
      <c r="R329" s="824"/>
      <c r="S329" s="824"/>
      <c r="T329" s="824"/>
      <c r="U329" s="824"/>
      <c r="V329" s="824"/>
      <c r="W329" s="824"/>
      <c r="X329" s="824"/>
      <c r="AQ329"/>
    </row>
    <row r="330" spans="4:43" s="121" customFormat="1" ht="11.25" customHeight="1">
      <c r="D330"/>
      <c r="E330"/>
      <c r="J330" s="825"/>
      <c r="K330" s="824"/>
      <c r="L330" s="824"/>
      <c r="M330" s="824"/>
      <c r="N330" s="824"/>
      <c r="O330" s="824"/>
      <c r="P330" s="824"/>
      <c r="Q330" s="824"/>
      <c r="R330" s="824"/>
      <c r="S330" s="824"/>
      <c r="T330" s="824"/>
      <c r="U330" s="824"/>
      <c r="V330" s="824"/>
      <c r="W330" s="824"/>
      <c r="X330" s="824"/>
      <c r="AQ330"/>
    </row>
    <row r="331" spans="4:43" s="121" customFormat="1" ht="11.25" customHeight="1">
      <c r="D331"/>
      <c r="E331"/>
      <c r="J331" s="825"/>
      <c r="K331" s="824"/>
      <c r="L331" s="824"/>
      <c r="M331" s="824"/>
      <c r="N331" s="824"/>
      <c r="O331" s="824"/>
      <c r="P331" s="824"/>
      <c r="Q331" s="824"/>
      <c r="R331" s="824"/>
      <c r="S331" s="824"/>
      <c r="T331" s="824"/>
      <c r="U331" s="824"/>
      <c r="V331" s="824"/>
      <c r="W331" s="824"/>
      <c r="X331" s="824"/>
      <c r="AQ331"/>
    </row>
    <row r="332" spans="4:43" s="121" customFormat="1">
      <c r="D332"/>
      <c r="E332"/>
      <c r="AQ332"/>
    </row>
    <row r="333" spans="4:43" s="121" customFormat="1">
      <c r="D333"/>
      <c r="E333"/>
      <c r="AQ333"/>
    </row>
    <row r="334" spans="4:43" s="121" customFormat="1">
      <c r="D334"/>
      <c r="E334"/>
      <c r="AQ334"/>
    </row>
    <row r="335" spans="4:43" s="121" customFormat="1">
      <c r="D335"/>
      <c r="E335"/>
      <c r="J335" s="120"/>
      <c r="K335" s="871"/>
      <c r="L335" s="871"/>
      <c r="M335" s="871"/>
      <c r="N335" s="871"/>
      <c r="O335" s="871"/>
      <c r="P335" s="871"/>
      <c r="Q335" s="871"/>
      <c r="R335" s="871"/>
      <c r="S335" s="871"/>
      <c r="T335" s="871"/>
      <c r="U335" s="871"/>
      <c r="V335" s="871"/>
      <c r="W335" s="871"/>
      <c r="X335" s="871"/>
      <c r="AQ335"/>
    </row>
    <row r="336" spans="4:43" s="121" customFormat="1">
      <c r="D336"/>
      <c r="E336"/>
      <c r="H336"/>
      <c r="J336" s="827" t="s">
        <v>626</v>
      </c>
      <c r="K336" s="826" t="s">
        <v>2584</v>
      </c>
      <c r="L336" s="826"/>
      <c r="M336" s="826"/>
      <c r="N336" s="826" t="s">
        <v>2569</v>
      </c>
      <c r="O336" s="826"/>
      <c r="P336" s="826" t="s">
        <v>2570</v>
      </c>
      <c r="Q336" s="826"/>
      <c r="R336" s="826" t="s">
        <v>2862</v>
      </c>
      <c r="S336" s="826"/>
      <c r="T336" s="826"/>
      <c r="U336" s="826"/>
      <c r="V336" s="826" t="s">
        <v>2571</v>
      </c>
      <c r="W336" s="826"/>
      <c r="X336" s="826" t="s">
        <v>2572</v>
      </c>
      <c r="AQ336"/>
    </row>
    <row r="337" spans="4:43" s="121" customFormat="1">
      <c r="D337"/>
      <c r="E337"/>
      <c r="J337" s="827"/>
      <c r="K337" s="802" t="s">
        <v>2581</v>
      </c>
      <c r="L337" s="802" t="s">
        <v>2582</v>
      </c>
      <c r="M337" s="802" t="s">
        <v>2583</v>
      </c>
      <c r="N337" s="802"/>
      <c r="O337" s="802"/>
      <c r="P337" s="802" t="s">
        <v>2573</v>
      </c>
      <c r="Q337" s="802" t="s">
        <v>2574</v>
      </c>
      <c r="R337" s="802" t="s">
        <v>2573</v>
      </c>
      <c r="S337" s="802" t="s">
        <v>2574</v>
      </c>
      <c r="T337" s="802"/>
      <c r="U337" s="802"/>
      <c r="V337" s="802" t="s">
        <v>2575</v>
      </c>
      <c r="W337" s="802" t="s">
        <v>2576</v>
      </c>
      <c r="X337" s="802"/>
      <c r="AQ337"/>
    </row>
    <row r="338" spans="4:43" s="121" customFormat="1">
      <c r="D338"/>
      <c r="E338"/>
      <c r="J338" s="827"/>
      <c r="K338" s="802"/>
      <c r="L338" s="802"/>
      <c r="M338" s="802"/>
      <c r="N338" s="802"/>
      <c r="O338" s="802"/>
      <c r="P338" s="802"/>
      <c r="Q338" s="802"/>
      <c r="R338" s="802"/>
      <c r="S338" s="802"/>
      <c r="T338" s="802"/>
      <c r="U338" s="802"/>
      <c r="V338" s="802"/>
      <c r="W338" s="802"/>
      <c r="X338" s="802"/>
      <c r="AQ338"/>
    </row>
    <row r="339" spans="4:43" s="121" customFormat="1">
      <c r="D339"/>
      <c r="E339"/>
      <c r="I339"/>
      <c r="J339"/>
      <c r="K339"/>
      <c r="L339"/>
      <c r="M339"/>
      <c r="N339"/>
      <c r="O339"/>
      <c r="P339"/>
      <c r="Q339"/>
      <c r="R339"/>
      <c r="S339"/>
      <c r="T339"/>
      <c r="U339"/>
      <c r="V339"/>
      <c r="W339"/>
      <c r="X339"/>
      <c r="Y339"/>
      <c r="AQ339"/>
    </row>
    <row r="340" spans="4:43" s="121" customFormat="1" ht="11.25" customHeight="1">
      <c r="D340"/>
      <c r="E340"/>
      <c r="H340" s="388" t="s">
        <v>2955</v>
      </c>
      <c r="J340" s="654"/>
      <c r="K340" s="656"/>
      <c r="L340" s="654"/>
      <c r="M340" s="654"/>
      <c r="N340" s="654"/>
      <c r="O340" s="654"/>
      <c r="P340" s="654"/>
      <c r="Q340" s="654"/>
      <c r="R340" s="654"/>
      <c r="S340" s="654"/>
      <c r="T340" s="654"/>
      <c r="U340" s="654"/>
      <c r="V340" s="654"/>
      <c r="W340" s="654"/>
      <c r="X340" s="654"/>
      <c r="AQ340"/>
    </row>
    <row r="341" spans="4:43" s="121" customFormat="1" ht="11.25" customHeight="1">
      <c r="D341"/>
      <c r="E341"/>
      <c r="J341" s="337"/>
      <c r="K341" s="652"/>
      <c r="L341" s="652"/>
      <c r="M341" s="652"/>
      <c r="N341" s="652"/>
      <c r="O341" s="337"/>
      <c r="P341" s="337"/>
      <c r="Q341" s="337"/>
      <c r="R341" s="337"/>
      <c r="S341" s="337"/>
      <c r="T341" s="337"/>
      <c r="U341" s="337"/>
      <c r="V341" s="337"/>
      <c r="W341" s="337"/>
      <c r="X341" s="337"/>
      <c r="AQ341"/>
    </row>
    <row r="342" spans="4:43" s="121" customFormat="1" ht="11.25" customHeight="1">
      <c r="D342"/>
      <c r="E342"/>
      <c r="J342" s="337"/>
      <c r="K342" s="337"/>
      <c r="L342" s="337"/>
      <c r="M342" s="337"/>
      <c r="N342" s="337"/>
      <c r="O342" s="337"/>
      <c r="P342" s="337"/>
      <c r="Q342" s="337"/>
      <c r="R342" s="337"/>
      <c r="S342" s="337"/>
      <c r="T342" s="337"/>
      <c r="U342" s="337"/>
      <c r="V342" s="337"/>
      <c r="W342" s="337"/>
      <c r="X342" s="337"/>
      <c r="AQ342"/>
    </row>
    <row r="343" spans="4:43" s="121" customFormat="1" ht="11.25" customHeight="1">
      <c r="D343"/>
      <c r="E343"/>
      <c r="H343" s="388" t="s">
        <v>2956</v>
      </c>
      <c r="J343" s="337"/>
      <c r="K343" s="656"/>
      <c r="L343" s="654"/>
      <c r="M343" s="654"/>
      <c r="N343" s="655"/>
      <c r="O343" s="655"/>
      <c r="P343" s="655"/>
      <c r="Q343" s="655"/>
      <c r="R343" s="655"/>
      <c r="S343" s="655"/>
      <c r="T343" s="655"/>
      <c r="U343" s="655"/>
      <c r="V343" s="655"/>
      <c r="W343" s="655"/>
      <c r="X343" s="655"/>
      <c r="AQ343"/>
    </row>
    <row r="344" spans="4:43" s="121" customFormat="1" ht="11.25" customHeight="1">
      <c r="D344"/>
      <c r="E344"/>
      <c r="J344" s="658"/>
      <c r="K344" s="337"/>
      <c r="L344" s="337"/>
      <c r="M344" s="337"/>
      <c r="N344" s="337"/>
      <c r="O344" s="337"/>
      <c r="P344" s="337"/>
      <c r="Q344" s="337"/>
      <c r="R344" s="337"/>
      <c r="S344" s="337"/>
      <c r="T344" s="337"/>
      <c r="U344" s="337"/>
      <c r="V344" s="337"/>
      <c r="W344" s="337"/>
      <c r="X344" s="337"/>
      <c r="AQ344"/>
    </row>
    <row r="345" spans="4:43" s="121" customFormat="1" ht="11.25" customHeight="1">
      <c r="D345"/>
      <c r="E345"/>
      <c r="J345" s="428"/>
      <c r="K345" s="337"/>
      <c r="L345" s="337"/>
      <c r="M345" s="337"/>
      <c r="N345" s="337"/>
      <c r="O345" s="337"/>
      <c r="P345" s="337"/>
      <c r="Q345" s="337"/>
      <c r="R345" s="337"/>
      <c r="S345" s="337"/>
      <c r="T345" s="337"/>
      <c r="U345" s="337"/>
      <c r="V345" s="337"/>
      <c r="W345" s="337"/>
      <c r="X345" s="337"/>
      <c r="AQ345"/>
    </row>
    <row r="346" spans="4:43" s="121" customFormat="1" ht="11.25" customHeight="1">
      <c r="D346"/>
      <c r="E346"/>
      <c r="AQ346"/>
    </row>
    <row r="347" spans="4:43" s="121" customFormat="1" ht="11.25" customHeight="1">
      <c r="D347"/>
      <c r="E347"/>
      <c r="AQ347"/>
    </row>
    <row r="348" spans="4:43" s="121" customFormat="1" ht="11.25" customHeight="1">
      <c r="D348"/>
      <c r="E348"/>
      <c r="AQ348"/>
    </row>
    <row r="349" spans="4:43" s="121" customFormat="1" ht="11.25" customHeight="1">
      <c r="D349"/>
      <c r="E349"/>
      <c r="H349" s="388" t="s">
        <v>2957</v>
      </c>
      <c r="J349" s="654"/>
      <c r="K349" s="656"/>
      <c r="L349" s="654"/>
      <c r="M349" s="654"/>
      <c r="N349" s="654"/>
      <c r="O349" s="654"/>
      <c r="P349" s="654"/>
      <c r="Q349" s="654"/>
      <c r="R349" s="654"/>
      <c r="S349" s="654"/>
      <c r="T349" s="654"/>
      <c r="U349" s="654"/>
      <c r="V349" s="654"/>
      <c r="W349" s="654"/>
      <c r="X349" s="654"/>
      <c r="AQ349"/>
    </row>
    <row r="350" spans="4:43" s="121" customFormat="1" ht="11.25" customHeight="1">
      <c r="D350"/>
      <c r="E350"/>
      <c r="J350" s="337"/>
      <c r="K350" s="652"/>
      <c r="L350" s="652"/>
      <c r="M350" s="652"/>
      <c r="N350" s="652"/>
      <c r="O350" s="337"/>
      <c r="P350" s="337"/>
      <c r="Q350" s="337"/>
      <c r="R350" s="337"/>
      <c r="S350" s="337"/>
      <c r="T350" s="337"/>
      <c r="U350" s="337"/>
      <c r="V350" s="337"/>
      <c r="W350" s="337"/>
      <c r="X350" s="337"/>
      <c r="AQ350"/>
    </row>
    <row r="351" spans="4:43" s="121" customFormat="1" ht="11.25" customHeight="1">
      <c r="D351"/>
      <c r="E351"/>
      <c r="J351" s="337"/>
      <c r="K351" s="337"/>
      <c r="L351" s="337"/>
      <c r="M351" s="337"/>
      <c r="N351" s="337"/>
      <c r="O351" s="337"/>
      <c r="P351" s="337"/>
      <c r="Q351" s="337"/>
      <c r="R351" s="337"/>
      <c r="S351" s="337"/>
      <c r="T351" s="337"/>
      <c r="U351" s="337"/>
      <c r="V351" s="337"/>
      <c r="W351" s="337"/>
      <c r="X351" s="337"/>
      <c r="AQ351"/>
    </row>
    <row r="352" spans="4:43" s="121" customFormat="1" ht="11.25" customHeight="1">
      <c r="D352"/>
      <c r="E352"/>
      <c r="H352" s="388" t="s">
        <v>2958</v>
      </c>
      <c r="J352" s="337"/>
      <c r="K352" s="656"/>
      <c r="L352" s="654"/>
      <c r="M352" s="654"/>
      <c r="N352" s="655"/>
      <c r="O352" s="655"/>
      <c r="P352" s="655"/>
      <c r="Q352" s="655"/>
      <c r="R352" s="655"/>
      <c r="S352" s="655"/>
      <c r="T352" s="655"/>
      <c r="U352" s="655"/>
      <c r="V352" s="655"/>
      <c r="W352" s="655"/>
      <c r="X352" s="655"/>
      <c r="AQ352"/>
    </row>
    <row r="353" spans="4:43" s="121" customFormat="1" ht="11.25" customHeight="1">
      <c r="D353"/>
      <c r="E353"/>
      <c r="J353" s="658"/>
      <c r="K353" s="337"/>
      <c r="L353" s="337"/>
      <c r="M353" s="337"/>
      <c r="N353" s="337"/>
      <c r="O353" s="337"/>
      <c r="P353" s="337"/>
      <c r="Q353" s="337"/>
      <c r="R353" s="337"/>
      <c r="S353" s="337"/>
      <c r="T353" s="337"/>
      <c r="U353" s="337"/>
      <c r="V353" s="337"/>
      <c r="W353" s="337"/>
      <c r="X353" s="337"/>
      <c r="AQ353"/>
    </row>
    <row r="354" spans="4:43" s="121" customFormat="1" ht="11.25" customHeight="1">
      <c r="D354"/>
      <c r="E354"/>
      <c r="J354" s="428"/>
      <c r="K354" s="337"/>
      <c r="L354" s="337"/>
      <c r="M354" s="337"/>
      <c r="N354" s="337"/>
      <c r="O354" s="337"/>
      <c r="P354" s="337"/>
      <c r="Q354" s="337"/>
      <c r="R354" s="337"/>
      <c r="S354" s="337"/>
      <c r="T354" s="337"/>
      <c r="U354" s="337"/>
      <c r="V354" s="337"/>
      <c r="W354" s="337"/>
      <c r="X354" s="337"/>
      <c r="AQ354"/>
    </row>
    <row r="355" spans="4:43" s="121" customFormat="1">
      <c r="D355"/>
      <c r="E355"/>
      <c r="AQ355"/>
    </row>
    <row r="356" spans="4:43" s="121" customFormat="1">
      <c r="D356"/>
      <c r="E356"/>
      <c r="AQ356"/>
    </row>
    <row r="357" spans="4:43" s="121" customFormat="1">
      <c r="D357"/>
      <c r="E357"/>
      <c r="AQ357"/>
    </row>
    <row r="358" spans="4:43" s="121" customFormat="1" ht="11.25" customHeight="1">
      <c r="D358"/>
      <c r="E358"/>
      <c r="H358" s="388" t="s">
        <v>2866</v>
      </c>
      <c r="J358" s="654"/>
      <c r="K358" s="656"/>
      <c r="L358" s="654"/>
      <c r="M358" s="654"/>
      <c r="N358" s="654"/>
      <c r="O358" s="654"/>
      <c r="P358" s="654"/>
      <c r="Q358" s="654"/>
      <c r="R358" s="654"/>
      <c r="S358" s="654"/>
      <c r="T358" s="654"/>
      <c r="U358" s="654"/>
      <c r="V358" s="654"/>
      <c r="W358" s="654"/>
      <c r="X358" s="654"/>
      <c r="AQ358"/>
    </row>
    <row r="359" spans="4:43" s="121" customFormat="1" ht="11.25" customHeight="1">
      <c r="D359"/>
      <c r="E359"/>
      <c r="J359" s="654"/>
      <c r="K359" s="656"/>
      <c r="L359" s="654"/>
      <c r="M359" s="654"/>
      <c r="N359" s="654"/>
      <c r="O359" s="654"/>
      <c r="P359" s="654"/>
      <c r="Q359" s="654"/>
      <c r="R359" s="654"/>
      <c r="S359" s="654"/>
      <c r="T359" s="654"/>
      <c r="U359" s="654"/>
      <c r="V359" s="654"/>
      <c r="W359" s="654"/>
      <c r="X359" s="654"/>
      <c r="AQ359"/>
    </row>
    <row r="360" spans="4:43" s="121" customFormat="1" ht="11.25" customHeight="1">
      <c r="D360"/>
      <c r="E360"/>
      <c r="J360" s="337"/>
      <c r="K360" s="652"/>
      <c r="L360" s="652"/>
      <c r="M360" s="652"/>
      <c r="N360" s="652"/>
      <c r="O360" s="337"/>
      <c r="P360" s="337"/>
      <c r="Q360" s="337"/>
      <c r="R360" s="337"/>
      <c r="S360" s="337"/>
      <c r="T360" s="337"/>
      <c r="U360" s="337"/>
      <c r="V360" s="337"/>
      <c r="W360" s="337"/>
      <c r="X360" s="337"/>
      <c r="AQ360"/>
    </row>
    <row r="361" spans="4:43" s="121" customFormat="1" ht="11.25" customHeight="1">
      <c r="D361"/>
      <c r="E361"/>
      <c r="H361" s="388" t="s">
        <v>2867</v>
      </c>
      <c r="J361" s="337"/>
      <c r="K361" s="656"/>
      <c r="L361" s="654"/>
      <c r="M361" s="654"/>
      <c r="N361" s="655"/>
      <c r="O361" s="655"/>
      <c r="P361" s="655"/>
      <c r="Q361" s="655"/>
      <c r="R361" s="655"/>
      <c r="S361" s="655"/>
      <c r="T361" s="655"/>
      <c r="U361" s="655"/>
      <c r="V361" s="655"/>
      <c r="W361" s="655"/>
      <c r="X361" s="655"/>
      <c r="AQ361"/>
    </row>
    <row r="362" spans="4:43" s="121" customFormat="1" ht="11.25" customHeight="1">
      <c r="D362"/>
      <c r="E362"/>
      <c r="J362" s="337"/>
      <c r="K362" s="337"/>
      <c r="L362" s="337"/>
      <c r="M362" s="337"/>
      <c r="N362" s="337"/>
      <c r="O362" s="337"/>
      <c r="P362" s="337"/>
      <c r="Q362" s="337"/>
      <c r="R362" s="337"/>
      <c r="S362" s="337"/>
      <c r="T362" s="337"/>
      <c r="U362" s="337"/>
      <c r="V362" s="337"/>
      <c r="W362" s="337"/>
      <c r="X362" s="337"/>
      <c r="AQ362"/>
    </row>
    <row r="363" spans="4:43" s="121" customFormat="1" ht="11.25" customHeight="1">
      <c r="D363"/>
      <c r="E363"/>
      <c r="J363" s="658"/>
      <c r="K363" s="337"/>
      <c r="L363" s="337"/>
      <c r="M363" s="337"/>
      <c r="N363" s="337"/>
      <c r="O363" s="337"/>
      <c r="P363" s="337"/>
      <c r="Q363" s="337"/>
      <c r="R363" s="337"/>
      <c r="S363" s="337"/>
      <c r="T363" s="337"/>
      <c r="U363" s="337"/>
      <c r="V363" s="337"/>
      <c r="W363" s="337"/>
      <c r="X363" s="337"/>
      <c r="AQ363"/>
    </row>
    <row r="364" spans="4:43" s="121" customFormat="1" ht="11.25" customHeight="1">
      <c r="D364"/>
      <c r="E364"/>
      <c r="AQ364"/>
    </row>
    <row r="365" spans="4:43" s="121" customFormat="1" ht="11.25" customHeight="1">
      <c r="D365"/>
      <c r="E365"/>
      <c r="AQ365"/>
    </row>
    <row r="366" spans="4:43" s="121" customFormat="1" ht="11.25" customHeight="1">
      <c r="D366"/>
      <c r="E366"/>
      <c r="AQ366"/>
    </row>
    <row r="367" spans="4:43" s="121" customFormat="1" ht="11.25" customHeight="1">
      <c r="D367"/>
      <c r="E367"/>
      <c r="H367" s="388" t="s">
        <v>2959</v>
      </c>
      <c r="J367" s="654"/>
      <c r="K367" s="656"/>
      <c r="L367" s="654"/>
      <c r="M367" s="654"/>
      <c r="N367" s="654"/>
      <c r="O367" s="654"/>
      <c r="P367" s="654"/>
      <c r="Q367" s="654"/>
      <c r="R367" s="654"/>
      <c r="S367" s="654"/>
      <c r="T367" s="654"/>
      <c r="U367" s="654"/>
      <c r="V367" s="654"/>
      <c r="W367" s="654"/>
      <c r="X367" s="654"/>
      <c r="AQ367"/>
    </row>
    <row r="368" spans="4:43" s="121" customFormat="1" ht="11.25" customHeight="1">
      <c r="D368"/>
      <c r="E368"/>
      <c r="J368" s="654"/>
      <c r="K368" s="656"/>
      <c r="L368" s="654"/>
      <c r="M368" s="654"/>
      <c r="N368" s="654"/>
      <c r="O368" s="654"/>
      <c r="P368" s="654"/>
      <c r="Q368" s="654"/>
      <c r="R368" s="654"/>
      <c r="S368" s="654"/>
      <c r="T368" s="654"/>
      <c r="U368" s="654"/>
      <c r="V368" s="654"/>
      <c r="W368" s="654"/>
      <c r="X368" s="654"/>
      <c r="AQ368"/>
    </row>
    <row r="369" spans="4:43" s="121" customFormat="1" ht="11.25" customHeight="1">
      <c r="D369"/>
      <c r="E369"/>
      <c r="J369" s="337"/>
      <c r="K369" s="652"/>
      <c r="L369" s="652"/>
      <c r="M369" s="652"/>
      <c r="N369" s="652"/>
      <c r="O369" s="337"/>
      <c r="P369" s="337"/>
      <c r="Q369" s="337"/>
      <c r="R369" s="337"/>
      <c r="S369" s="337"/>
      <c r="T369" s="337"/>
      <c r="U369" s="337"/>
      <c r="V369" s="337"/>
      <c r="W369" s="337"/>
      <c r="X369" s="337"/>
      <c r="AQ369"/>
    </row>
    <row r="370" spans="4:43" s="121" customFormat="1" ht="11.25" customHeight="1">
      <c r="D370"/>
      <c r="E370"/>
      <c r="H370" s="388" t="s">
        <v>2960</v>
      </c>
      <c r="J370" s="337"/>
      <c r="K370" s="656"/>
      <c r="L370" s="654"/>
      <c r="M370" s="654"/>
      <c r="N370" s="655"/>
      <c r="O370" s="655"/>
      <c r="P370" s="655"/>
      <c r="Q370" s="655"/>
      <c r="R370" s="655"/>
      <c r="S370" s="655"/>
      <c r="T370" s="655"/>
      <c r="U370" s="655"/>
      <c r="V370" s="655"/>
      <c r="W370" s="655"/>
      <c r="X370" s="655"/>
      <c r="AQ370"/>
    </row>
    <row r="371" spans="4:43" s="121" customFormat="1" ht="11.25" customHeight="1">
      <c r="D371"/>
      <c r="E371"/>
      <c r="J371" s="337"/>
      <c r="K371" s="656"/>
      <c r="L371" s="654"/>
      <c r="M371" s="654"/>
      <c r="N371" s="337"/>
      <c r="O371" s="337"/>
      <c r="P371" s="337"/>
      <c r="Q371" s="337"/>
      <c r="R371" s="337"/>
      <c r="S371" s="337"/>
      <c r="T371" s="337"/>
      <c r="U371" s="337"/>
      <c r="V371" s="337"/>
      <c r="W371" s="337"/>
      <c r="X371" s="337"/>
      <c r="AQ371"/>
    </row>
    <row r="372" spans="4:43" s="121" customFormat="1" ht="11.25" customHeight="1">
      <c r="D372"/>
      <c r="E372"/>
      <c r="J372" s="658"/>
      <c r="K372" s="337"/>
      <c r="L372" s="337"/>
      <c r="M372" s="337"/>
      <c r="N372" s="337"/>
      <c r="O372" s="337"/>
      <c r="P372" s="337"/>
      <c r="Q372" s="337"/>
      <c r="R372" s="337"/>
      <c r="S372" s="337"/>
      <c r="T372" s="337"/>
      <c r="U372" s="337"/>
      <c r="V372" s="337"/>
      <c r="W372" s="337"/>
      <c r="X372" s="337"/>
      <c r="AQ372"/>
    </row>
    <row r="373" spans="4:43" s="121" customFormat="1">
      <c r="D373"/>
      <c r="E373"/>
      <c r="AQ373"/>
    </row>
    <row r="374" spans="4:43" s="121" customFormat="1">
      <c r="D374"/>
      <c r="E374"/>
      <c r="AQ374"/>
    </row>
    <row r="375" spans="4:43" s="121" customFormat="1">
      <c r="D375"/>
      <c r="E375"/>
      <c r="AQ375"/>
    </row>
    <row r="376" spans="4:43" s="121" customFormat="1" ht="11.25" customHeight="1">
      <c r="D376"/>
      <c r="E376"/>
      <c r="H376" s="388" t="s">
        <v>2864</v>
      </c>
      <c r="J376" s="654"/>
      <c r="K376" s="656"/>
      <c r="L376" s="654"/>
      <c r="M376" s="654"/>
      <c r="N376" s="654"/>
      <c r="O376" s="654"/>
      <c r="P376" s="654"/>
      <c r="Q376" s="654"/>
      <c r="R376" s="654"/>
      <c r="S376" s="654"/>
      <c r="T376" s="654"/>
      <c r="U376" s="654"/>
      <c r="V376" s="654"/>
      <c r="W376" s="654"/>
      <c r="X376" s="654"/>
      <c r="AQ376"/>
    </row>
    <row r="377" spans="4:43" s="121" customFormat="1" ht="11.25" customHeight="1">
      <c r="D377"/>
      <c r="E377"/>
      <c r="J377" s="337"/>
      <c r="K377" s="652"/>
      <c r="L377" s="652"/>
      <c r="M377" s="652"/>
      <c r="N377" s="652"/>
      <c r="O377" s="337"/>
      <c r="P377" s="337"/>
      <c r="Q377" s="337"/>
      <c r="R377" s="337"/>
      <c r="S377" s="337"/>
      <c r="T377" s="337"/>
      <c r="U377" s="337"/>
      <c r="V377" s="337"/>
      <c r="W377" s="337"/>
      <c r="X377" s="337"/>
      <c r="AQ377"/>
    </row>
    <row r="378" spans="4:43" s="121" customFormat="1" ht="11.25" customHeight="1">
      <c r="D378"/>
      <c r="E378"/>
      <c r="J378" s="337"/>
      <c r="K378" s="652"/>
      <c r="L378" s="652"/>
      <c r="M378" s="652"/>
      <c r="N378" s="652"/>
      <c r="O378" s="337"/>
      <c r="P378" s="337"/>
      <c r="Q378" s="337"/>
      <c r="R378" s="337"/>
      <c r="S378" s="337"/>
      <c r="T378" s="337"/>
      <c r="U378" s="337"/>
      <c r="V378" s="337"/>
      <c r="W378" s="337"/>
      <c r="X378" s="337"/>
      <c r="AQ378"/>
    </row>
    <row r="379" spans="4:43" s="121" customFormat="1" ht="11.25" customHeight="1">
      <c r="D379"/>
      <c r="E379"/>
      <c r="H379" s="388" t="s">
        <v>2865</v>
      </c>
      <c r="J379" s="337"/>
      <c r="K379" s="656"/>
      <c r="L379" s="654"/>
      <c r="M379" s="654"/>
      <c r="N379" s="655"/>
      <c r="O379" s="655"/>
      <c r="P379" s="655"/>
      <c r="Q379" s="655"/>
      <c r="R379" s="655"/>
      <c r="S379" s="655"/>
      <c r="T379" s="655"/>
      <c r="U379" s="655"/>
      <c r="V379" s="655"/>
      <c r="W379" s="655"/>
      <c r="X379" s="655"/>
      <c r="AQ379"/>
    </row>
    <row r="380" spans="4:43" s="121" customFormat="1" ht="11.25" customHeight="1">
      <c r="D380"/>
      <c r="E380"/>
      <c r="J380" s="658"/>
      <c r="K380" s="337"/>
      <c r="L380" s="337"/>
      <c r="M380" s="337"/>
      <c r="N380" s="337"/>
      <c r="O380" s="337"/>
      <c r="P380" s="337"/>
      <c r="Q380" s="337"/>
      <c r="R380" s="337"/>
      <c r="S380" s="337"/>
      <c r="T380" s="337"/>
      <c r="U380" s="337"/>
      <c r="V380" s="337"/>
      <c r="W380" s="337"/>
      <c r="X380" s="337"/>
      <c r="AQ380"/>
    </row>
    <row r="381" spans="4:43" s="121" customFormat="1" ht="11.25" customHeight="1">
      <c r="D381"/>
      <c r="E381"/>
      <c r="J381" s="658"/>
      <c r="K381" s="337"/>
      <c r="L381" s="337"/>
      <c r="M381" s="337"/>
      <c r="N381" s="337"/>
      <c r="O381" s="337"/>
      <c r="P381" s="337"/>
      <c r="Q381" s="337"/>
      <c r="R381" s="337"/>
      <c r="S381" s="337"/>
      <c r="T381" s="337"/>
      <c r="U381" s="337"/>
      <c r="V381" s="337"/>
      <c r="W381" s="337"/>
      <c r="X381" s="337"/>
      <c r="AQ381"/>
    </row>
    <row r="382" spans="4:43" s="121" customFormat="1" ht="11.25" customHeight="1">
      <c r="D382"/>
      <c r="E382"/>
      <c r="AQ382"/>
    </row>
    <row r="383" spans="4:43" s="121" customFormat="1" ht="11.25" customHeight="1">
      <c r="D383"/>
      <c r="E383"/>
      <c r="AQ383"/>
    </row>
    <row r="384" spans="4:43" s="121" customFormat="1" ht="11.25" customHeight="1">
      <c r="D384"/>
      <c r="E384"/>
      <c r="AQ384"/>
    </row>
    <row r="385" spans="4:43" s="121" customFormat="1" ht="11.25" customHeight="1">
      <c r="D385"/>
      <c r="E385"/>
      <c r="H385" s="388" t="s">
        <v>2961</v>
      </c>
      <c r="J385" s="654"/>
      <c r="K385" s="656"/>
      <c r="L385" s="654"/>
      <c r="M385" s="654"/>
      <c r="N385" s="654"/>
      <c r="O385" s="654"/>
      <c r="P385" s="654"/>
      <c r="Q385" s="654"/>
      <c r="R385" s="654"/>
      <c r="S385" s="654"/>
      <c r="T385" s="654"/>
      <c r="U385" s="654"/>
      <c r="V385" s="654"/>
      <c r="W385" s="654"/>
      <c r="X385" s="654"/>
      <c r="AQ385"/>
    </row>
    <row r="386" spans="4:43" s="121" customFormat="1" ht="11.25" customHeight="1">
      <c r="D386"/>
      <c r="E386"/>
      <c r="J386" s="337"/>
      <c r="K386" s="652"/>
      <c r="L386" s="652"/>
      <c r="M386" s="652"/>
      <c r="N386" s="652"/>
      <c r="O386" s="337"/>
      <c r="P386" s="337"/>
      <c r="Q386" s="337"/>
      <c r="R386" s="337"/>
      <c r="S386" s="337"/>
      <c r="T386" s="337"/>
      <c r="U386" s="337"/>
      <c r="V386" s="337"/>
      <c r="W386" s="337"/>
      <c r="X386" s="337"/>
      <c r="AQ386"/>
    </row>
    <row r="387" spans="4:43" s="121" customFormat="1" ht="11.25" customHeight="1">
      <c r="D387"/>
      <c r="E387"/>
      <c r="J387" s="337"/>
      <c r="K387" s="652"/>
      <c r="L387" s="652"/>
      <c r="M387" s="652"/>
      <c r="N387" s="652"/>
      <c r="O387" s="337"/>
      <c r="P387" s="337"/>
      <c r="Q387" s="337"/>
      <c r="R387" s="337"/>
      <c r="S387" s="337"/>
      <c r="T387" s="337"/>
      <c r="U387" s="337"/>
      <c r="V387" s="337"/>
      <c r="W387" s="337"/>
      <c r="X387" s="337"/>
      <c r="AQ387"/>
    </row>
    <row r="388" spans="4:43" s="121" customFormat="1" ht="11.25" customHeight="1">
      <c r="D388"/>
      <c r="E388"/>
      <c r="H388" s="388" t="s">
        <v>2962</v>
      </c>
      <c r="J388" s="337"/>
      <c r="K388" s="656"/>
      <c r="L388" s="654"/>
      <c r="M388" s="654"/>
      <c r="N388" s="655"/>
      <c r="O388" s="655"/>
      <c r="P388" s="655"/>
      <c r="Q388" s="655"/>
      <c r="R388" s="655"/>
      <c r="S388" s="655"/>
      <c r="T388" s="655"/>
      <c r="U388" s="655"/>
      <c r="V388" s="655"/>
      <c r="W388" s="655"/>
      <c r="X388" s="655"/>
      <c r="AQ388"/>
    </row>
    <row r="389" spans="4:43" s="121" customFormat="1" ht="11.25" customHeight="1">
      <c r="D389"/>
      <c r="E389"/>
      <c r="J389" s="658"/>
      <c r="K389" s="337"/>
      <c r="L389" s="337"/>
      <c r="M389" s="337"/>
      <c r="N389" s="337"/>
      <c r="O389" s="337"/>
      <c r="P389" s="337"/>
      <c r="Q389" s="337"/>
      <c r="R389" s="337"/>
      <c r="S389" s="337"/>
      <c r="T389" s="337"/>
      <c r="U389" s="337"/>
      <c r="V389" s="337"/>
      <c r="W389" s="337"/>
      <c r="X389" s="337"/>
      <c r="AQ389"/>
    </row>
    <row r="390" spans="4:43" s="121" customFormat="1" ht="11.25" customHeight="1">
      <c r="D390"/>
      <c r="E390"/>
      <c r="J390" s="658"/>
      <c r="K390" s="337"/>
      <c r="L390" s="337"/>
      <c r="M390" s="337"/>
      <c r="N390" s="337"/>
      <c r="O390" s="337"/>
      <c r="P390" s="337"/>
      <c r="Q390" s="337"/>
      <c r="R390" s="337"/>
      <c r="S390" s="337"/>
      <c r="T390" s="337"/>
      <c r="U390" s="337"/>
      <c r="V390" s="337"/>
      <c r="W390" s="337"/>
      <c r="X390" s="337"/>
      <c r="AQ390"/>
    </row>
    <row r="391" spans="4:43" s="121" customFormat="1">
      <c r="D391"/>
      <c r="E391"/>
      <c r="AQ391"/>
    </row>
    <row r="392" spans="4:43" s="121" customFormat="1">
      <c r="D392"/>
      <c r="E392"/>
      <c r="AQ392"/>
    </row>
    <row r="393" spans="4:43" s="121" customFormat="1">
      <c r="D393"/>
      <c r="E393"/>
      <c r="AQ393"/>
    </row>
    <row r="394" spans="4:43" s="121" customFormat="1" ht="11.25" customHeight="1">
      <c r="D394"/>
      <c r="E394"/>
      <c r="H394" s="388" t="s">
        <v>429</v>
      </c>
      <c r="J394" s="657"/>
      <c r="K394" s="657"/>
      <c r="L394" s="657"/>
      <c r="M394" s="657"/>
      <c r="N394" s="337"/>
      <c r="O394" s="337"/>
      <c r="P394" s="337"/>
      <c r="Q394" s="337"/>
      <c r="R394" s="337"/>
      <c r="S394" s="337"/>
      <c r="T394" s="337"/>
      <c r="U394" s="337"/>
      <c r="V394" s="337"/>
      <c r="W394" s="337"/>
      <c r="X394" s="337"/>
      <c r="AQ394"/>
    </row>
    <row r="395" spans="4:43" s="121" customFormat="1" ht="11.25" customHeight="1">
      <c r="D395"/>
      <c r="E395"/>
      <c r="H395" s="388" t="s">
        <v>425</v>
      </c>
      <c r="J395" s="657"/>
      <c r="K395" s="657"/>
      <c r="L395" s="657"/>
      <c r="M395" s="657"/>
      <c r="N395" s="652" t="s">
        <v>2577</v>
      </c>
      <c r="O395" s="337"/>
      <c r="P395" s="337"/>
      <c r="Q395" s="337"/>
      <c r="R395" s="652"/>
      <c r="S395" s="652"/>
      <c r="T395" s="337"/>
      <c r="U395" s="337"/>
      <c r="V395" s="652"/>
      <c r="W395" s="652"/>
      <c r="X395" s="653"/>
      <c r="AQ395"/>
    </row>
    <row r="396" spans="4:43" s="121" customFormat="1" ht="11.25" customHeight="1">
      <c r="D396"/>
      <c r="E396"/>
      <c r="J396" s="657"/>
      <c r="K396" s="657"/>
      <c r="L396" s="657"/>
      <c r="M396" s="657"/>
      <c r="N396" s="337"/>
      <c r="O396" s="337"/>
      <c r="P396" s="337"/>
      <c r="Q396" s="337"/>
      <c r="R396" s="337"/>
      <c r="S396" s="337"/>
      <c r="T396" s="337"/>
      <c r="U396" s="337"/>
      <c r="V396" s="337"/>
      <c r="W396" s="337"/>
      <c r="X396" s="337"/>
      <c r="AQ396"/>
    </row>
    <row r="397" spans="4:43" s="121" customFormat="1" ht="11.25" customHeight="1">
      <c r="D397"/>
      <c r="E397"/>
      <c r="H397" s="388" t="s">
        <v>430</v>
      </c>
      <c r="J397" s="657"/>
      <c r="K397" s="657"/>
      <c r="L397" s="657"/>
      <c r="M397" s="657"/>
      <c r="N397" s="337"/>
      <c r="O397" s="337"/>
      <c r="P397" s="337"/>
      <c r="Q397" s="337"/>
      <c r="R397" s="337"/>
      <c r="S397" s="337"/>
      <c r="T397" s="337"/>
      <c r="U397" s="337"/>
      <c r="V397" s="337"/>
      <c r="W397" s="337"/>
      <c r="X397" s="337"/>
      <c r="AQ397"/>
    </row>
    <row r="398" spans="4:43" s="121" customFormat="1" ht="11.25" customHeight="1">
      <c r="D398"/>
      <c r="E398"/>
      <c r="H398" s="388" t="s">
        <v>426</v>
      </c>
      <c r="J398" s="657"/>
      <c r="K398" s="657"/>
      <c r="L398" s="657"/>
      <c r="M398" s="657"/>
      <c r="N398" s="652" t="s">
        <v>2578</v>
      </c>
      <c r="O398" s="337"/>
      <c r="P398" s="652"/>
      <c r="Q398" s="652"/>
      <c r="R398" s="652"/>
      <c r="S398" s="652"/>
      <c r="T398" s="337"/>
      <c r="U398" s="337"/>
      <c r="V398" s="652"/>
      <c r="W398" s="652"/>
      <c r="X398" s="653"/>
      <c r="AQ398"/>
    </row>
    <row r="399" spans="4:43" s="121" customFormat="1" ht="11.25" customHeight="1">
      <c r="D399"/>
      <c r="E399"/>
      <c r="J399" s="657"/>
      <c r="K399" s="657"/>
      <c r="L399" s="657"/>
      <c r="M399" s="657"/>
      <c r="N399" s="337"/>
      <c r="O399" s="337"/>
      <c r="P399" s="337"/>
      <c r="Q399" s="337"/>
      <c r="R399" s="337"/>
      <c r="S399" s="337"/>
      <c r="T399" s="337"/>
      <c r="U399" s="337"/>
      <c r="V399" s="337"/>
      <c r="W399" s="337"/>
      <c r="X399" s="337"/>
      <c r="AQ399"/>
    </row>
    <row r="400" spans="4:43" s="121" customFormat="1" ht="11.25" customHeight="1">
      <c r="D400"/>
      <c r="E400"/>
      <c r="H400" s="388" t="s">
        <v>431</v>
      </c>
      <c r="J400" s="657"/>
      <c r="K400" s="657"/>
      <c r="L400" s="657"/>
      <c r="M400" s="657"/>
      <c r="N400" s="337"/>
      <c r="O400" s="337"/>
      <c r="P400" s="337"/>
      <c r="Q400" s="337"/>
      <c r="R400" s="337"/>
      <c r="S400" s="337"/>
      <c r="T400" s="337"/>
      <c r="U400" s="337"/>
      <c r="V400" s="337"/>
      <c r="W400" s="337"/>
      <c r="X400" s="337"/>
      <c r="AQ400"/>
    </row>
    <row r="401" spans="1:152" s="121" customFormat="1" ht="11.25" customHeight="1">
      <c r="D401"/>
      <c r="E401"/>
      <c r="H401" s="388" t="s">
        <v>427</v>
      </c>
      <c r="J401" s="657"/>
      <c r="K401" s="657"/>
      <c r="L401" s="657"/>
      <c r="M401" s="657"/>
      <c r="N401" s="652" t="s">
        <v>2579</v>
      </c>
      <c r="O401" s="337"/>
      <c r="P401" s="652"/>
      <c r="Q401" s="652"/>
      <c r="R401" s="652"/>
      <c r="S401" s="652"/>
      <c r="T401" s="337"/>
      <c r="U401" s="337"/>
      <c r="V401" s="652"/>
      <c r="W401" s="652"/>
      <c r="X401" s="653"/>
      <c r="AQ401"/>
    </row>
    <row r="402" spans="1:152" s="121" customFormat="1" ht="11.25" customHeight="1">
      <c r="D402"/>
      <c r="E402"/>
      <c r="J402" s="657"/>
      <c r="K402" s="657"/>
      <c r="L402" s="657"/>
      <c r="M402" s="657"/>
      <c r="N402" s="337"/>
      <c r="O402" s="337"/>
      <c r="P402" s="337"/>
      <c r="Q402" s="337"/>
      <c r="R402" s="337"/>
      <c r="S402" s="337"/>
      <c r="T402" s="337"/>
      <c r="U402" s="337"/>
      <c r="V402" s="337"/>
      <c r="W402" s="337"/>
      <c r="X402" s="337"/>
      <c r="AQ402"/>
    </row>
    <row r="403" spans="1:152" s="121" customFormat="1" ht="11.25" customHeight="1">
      <c r="D403"/>
      <c r="E403"/>
      <c r="H403" s="388" t="s">
        <v>432</v>
      </c>
      <c r="J403" s="657"/>
      <c r="K403" s="657"/>
      <c r="L403" s="657"/>
      <c r="M403" s="657"/>
      <c r="N403" s="337"/>
      <c r="O403" s="337"/>
      <c r="P403" s="337"/>
      <c r="Q403" s="337"/>
      <c r="R403" s="337"/>
      <c r="S403" s="337"/>
      <c r="T403" s="337"/>
      <c r="U403" s="337"/>
      <c r="V403" s="337"/>
      <c r="W403" s="337"/>
      <c r="X403" s="337"/>
      <c r="AQ403"/>
    </row>
    <row r="404" spans="1:152" s="121" customFormat="1" ht="11.25" customHeight="1">
      <c r="D404"/>
      <c r="E404"/>
      <c r="H404" s="388" t="s">
        <v>428</v>
      </c>
      <c r="J404" s="657"/>
      <c r="K404" s="657"/>
      <c r="L404" s="657"/>
      <c r="M404" s="657"/>
      <c r="N404" s="652"/>
      <c r="O404" s="337"/>
      <c r="P404" s="337"/>
      <c r="Q404" s="337"/>
      <c r="R404" s="337"/>
      <c r="S404" s="337"/>
      <c r="T404" s="337"/>
      <c r="U404" s="337"/>
      <c r="V404" s="337"/>
      <c r="W404" s="337"/>
      <c r="X404" s="337"/>
      <c r="AQ404"/>
    </row>
    <row r="405" spans="1:152" s="121" customFormat="1" ht="11.25" customHeight="1">
      <c r="D405"/>
      <c r="E405"/>
      <c r="J405" s="657"/>
      <c r="K405" s="657"/>
      <c r="L405" s="657"/>
      <c r="M405" s="657"/>
      <c r="N405" s="337"/>
      <c r="O405" s="337"/>
      <c r="P405" s="337"/>
      <c r="Q405" s="337"/>
      <c r="R405" s="337"/>
      <c r="S405" s="337"/>
      <c r="T405" s="337"/>
      <c r="U405" s="337"/>
      <c r="V405" s="337"/>
      <c r="W405" s="337"/>
      <c r="X405" s="337"/>
      <c r="AQ405"/>
    </row>
    <row r="406" spans="1:152" s="121" customFormat="1">
      <c r="D406"/>
      <c r="E406"/>
      <c r="AQ406"/>
    </row>
    <row r="407" spans="1:152" s="121" customFormat="1">
      <c r="D407"/>
      <c r="E407"/>
      <c r="AQ407"/>
    </row>
    <row r="408" spans="1:152" s="121" customFormat="1">
      <c r="D408"/>
      <c r="E408"/>
      <c r="AQ408"/>
    </row>
    <row r="409" spans="1:152" s="121" customFormat="1">
      <c r="D409"/>
      <c r="E409"/>
      <c r="AQ409"/>
    </row>
    <row r="410" spans="1:152" s="164" customFormat="1" ht="12" customHeight="1">
      <c r="D410" s="165"/>
      <c r="E410" s="166"/>
      <c r="F410" s="158"/>
      <c r="G410" s="167"/>
      <c r="H410" s="180"/>
      <c r="J410" s="120"/>
      <c r="K410" s="871"/>
      <c r="L410" s="871"/>
      <c r="M410" s="871"/>
      <c r="N410" s="871"/>
      <c r="O410" s="871"/>
      <c r="P410" s="871"/>
      <c r="Q410" s="871"/>
      <c r="R410" s="871"/>
      <c r="S410" s="871"/>
      <c r="T410" s="871"/>
      <c r="U410" s="871"/>
      <c r="V410" s="871"/>
      <c r="W410" s="871"/>
      <c r="X410" s="871"/>
      <c r="Y410" s="180"/>
      <c r="Z410" s="180"/>
      <c r="AA410" s="180"/>
      <c r="AB410" s="180"/>
      <c r="AC410" s="180"/>
      <c r="AD410" s="180"/>
      <c r="AE410" s="180"/>
      <c r="AF410" s="180"/>
      <c r="AG410" s="180"/>
      <c r="AH410" s="180"/>
      <c r="AI410" s="180"/>
      <c r="AJ410" s="180"/>
      <c r="AK410" s="180"/>
      <c r="AL410" s="180"/>
      <c r="AM410" s="180"/>
      <c r="AN410" s="180"/>
      <c r="AO410" s="180"/>
      <c r="AP410" s="180"/>
      <c r="AQ410" s="180"/>
      <c r="AR410" s="180"/>
      <c r="AS410" s="180"/>
      <c r="AT410" s="180"/>
      <c r="AU410" s="180"/>
      <c r="AV410" s="180"/>
      <c r="AW410" s="180"/>
      <c r="AX410" s="180"/>
      <c r="AY410" s="180"/>
      <c r="AZ410" s="180"/>
      <c r="BA410" s="180"/>
      <c r="BB410" s="180"/>
      <c r="BC410" s="180"/>
      <c r="BD410" s="180"/>
      <c r="BE410" s="180"/>
      <c r="BF410" s="180"/>
      <c r="BG410" s="180"/>
      <c r="BH410" s="180"/>
      <c r="BI410" s="180"/>
      <c r="BJ410" s="180"/>
      <c r="BK410" s="180"/>
      <c r="BL410" s="180"/>
      <c r="BM410" s="180"/>
      <c r="BN410" s="180"/>
      <c r="BO410" s="180"/>
      <c r="BP410" s="180"/>
      <c r="BQ410" s="180"/>
      <c r="BR410" s="180"/>
      <c r="BS410" s="180"/>
      <c r="BT410" s="180"/>
      <c r="BU410" s="180"/>
      <c r="BV410" s="180"/>
      <c r="BW410" s="180"/>
      <c r="BX410" s="180"/>
      <c r="BY410" s="180"/>
      <c r="BZ410" s="180"/>
      <c r="CA410" s="180"/>
      <c r="CB410" s="180"/>
      <c r="CC410" s="180"/>
      <c r="CD410" s="180"/>
      <c r="CE410" s="180"/>
      <c r="CF410" s="180"/>
      <c r="CG410" s="180"/>
      <c r="CH410" s="180"/>
      <c r="CI410" s="180"/>
      <c r="CJ410" s="180"/>
      <c r="CK410" s="180"/>
      <c r="CL410" s="180"/>
      <c r="CM410" s="180"/>
      <c r="CN410" s="180"/>
      <c r="CO410" s="180"/>
      <c r="CP410" s="180"/>
      <c r="CQ410" s="180"/>
      <c r="CR410" s="180"/>
      <c r="CS410" s="180"/>
      <c r="CT410" s="180"/>
      <c r="CU410" s="180"/>
      <c r="CV410" s="180"/>
      <c r="CW410" s="180"/>
      <c r="CX410" s="180"/>
      <c r="CY410" s="180"/>
      <c r="CZ410" s="180"/>
      <c r="DA410" s="180"/>
      <c r="DB410" s="180"/>
      <c r="DC410" s="180"/>
      <c r="DD410" s="180"/>
      <c r="DE410" s="180"/>
      <c r="DF410" s="180"/>
      <c r="DG410" s="180"/>
    </row>
    <row r="411" spans="1:152" s="39" customFormat="1" ht="27" customHeight="1">
      <c r="A411" s="162"/>
      <c r="B411" s="162"/>
      <c r="C411" s="162"/>
      <c r="D411" s="159"/>
      <c r="E411" s="184"/>
      <c r="F411" s="827" t="s">
        <v>641</v>
      </c>
      <c r="G411" s="827" t="s">
        <v>735</v>
      </c>
      <c r="H411" s="854" t="str">
        <f>IF(CALC_IDENTIFIER="","",CALC_IDENTIFIER)</f>
        <v/>
      </c>
      <c r="I411" s="855"/>
      <c r="J411" s="827" t="s">
        <v>626</v>
      </c>
      <c r="K411" s="826" t="s">
        <v>2584</v>
      </c>
      <c r="L411" s="826"/>
      <c r="M411" s="826"/>
      <c r="N411" s="826" t="s">
        <v>2569</v>
      </c>
      <c r="O411" s="826"/>
      <c r="P411" s="826" t="s">
        <v>2570</v>
      </c>
      <c r="Q411" s="826"/>
      <c r="R411" s="826" t="s">
        <v>2862</v>
      </c>
      <c r="S411" s="826"/>
      <c r="T411" s="826"/>
      <c r="U411" s="826"/>
      <c r="V411" s="826" t="s">
        <v>2571</v>
      </c>
      <c r="W411" s="826"/>
      <c r="X411" s="826" t="s">
        <v>2572</v>
      </c>
      <c r="Y411" s="891" t="str">
        <f>"Средневзвешенный тариф на услуги по передаче (транспортировке) " &amp; RESOURCE_IDENTIFIER &amp; " с учётом надбавки, " &amp; IF(TRANSMISSION_TARIFF="","?",TRANSMISSION_TARIFF)</f>
        <v>Средневзвешенный тариф на услуги по передаче (транспортировке) стоков с учётом надбавки, руб/куб.м</v>
      </c>
      <c r="Z411" s="891"/>
      <c r="AA411" s="890" t="str">
        <f>"Средневзвешенный тариф на услуги по передаче (транспортировке) " &amp; RESOURCE_IDENTIFIER &amp; " с учётом инвестиционной составляющей, " &amp; IF(TRANSMISSION_TARIFF="","?",TRANSMISSION_TARIFF)</f>
        <v>Средневзвешенный тариф на услуги по передаче (транспортировке) стоков с учётом инвестиционной составляющей, руб/куб.м</v>
      </c>
      <c r="AB411" s="890"/>
      <c r="AC411" s="890" t="str">
        <f>"Средневзвешенный тариф на услуги по передаче (транспортировке) " &amp; RESOURCE_IDENTIFIER &amp; " без учёта инвестиционной составляющей, " &amp; IF(TRANSMISSION_TARIFF="","?",TRANSMISSION_TARIFF)</f>
        <v>Средневзвешенный тариф на услуги по передаче (транспортировке) стоков без учёта инвестиционной составляющей, руб/куб.м</v>
      </c>
      <c r="AD411" s="890"/>
      <c r="AE411" s="879" t="str">
        <f>"Объём " &amp; IF(RESOURCE_IDENTIFIER="стоков","перекачиваемых " &amp; RESOURCE_IDENTIFIER,"передаваемой " &amp; RESOURCE_IDENTIFIER) &amp; " при транспортировке, "&amp; IF(TRANSMISSION_TARIFF="руб/Гкал","Гкал",IF(TRANSMISSION_TARIFF="руб/Гкал*час в мес","Гкал*час в мес",IF(TRANSMISSION_TARIFF="руб/куб.м","куб.м","(размерность не указана)")))</f>
        <v>Объём перекачиваемых стоков при транспортировке, куб.м</v>
      </c>
      <c r="AF411" s="890" t="str">
        <f>"Инвестиционная составляющая, " &amp; IF(TRANSMISSION_TARIFF="","?",TRANSMISSION_TARIFF)</f>
        <v>Инвестиционная составляющая, руб/куб.м</v>
      </c>
      <c r="AG411" s="890"/>
      <c r="AH411" s="828" t="str">
        <f>"Надбавка к тарифу, " &amp; IF(TRANSMISSION_TARIFF="","?",TRANSMISSION_TARIFF)</f>
        <v>Надбавка к тарифу, руб/куб.м</v>
      </c>
      <c r="AI411" s="828"/>
      <c r="AJ411" s="828" t="str">
        <f>"Объём, на который расчитана надбавка, " &amp; IF(TRANSMISSION_TARIFF="руб/Гкал","Гкал",IF(TRANSMISSION_TARIFF="руб/Гкал*час в мес","Гкал*час в мес",IF(TRANSMISSION_TARIFF="руб/куб.м","куб.м","(размерность не указана)")))</f>
        <v>Объём, на который расчитана надбавка, куб.м</v>
      </c>
      <c r="AK411" s="828" t="s">
        <v>3154</v>
      </c>
      <c r="AL411" s="828"/>
      <c r="AM411" s="828"/>
      <c r="AN411" s="828" t="s">
        <v>424</v>
      </c>
      <c r="AO411" s="828"/>
      <c r="AP411" s="828"/>
      <c r="AQ411" s="828" t="s">
        <v>3155</v>
      </c>
      <c r="AR411" s="828"/>
      <c r="AS411" s="828"/>
      <c r="AT411" s="828" t="s">
        <v>3156</v>
      </c>
      <c r="AU411" s="828"/>
      <c r="AV411" s="878"/>
      <c r="AW411" s="828" t="s">
        <v>3157</v>
      </c>
      <c r="AX411" s="828"/>
      <c r="AY411" s="828"/>
      <c r="AZ411" s="185"/>
      <c r="BA411" s="185"/>
      <c r="BB411" s="185"/>
      <c r="BC411" s="185"/>
      <c r="BD411" s="185"/>
      <c r="BE411" s="185"/>
      <c r="BF411" s="185"/>
      <c r="BG411" s="185"/>
      <c r="BH411" s="185"/>
      <c r="BI411" s="185"/>
      <c r="BJ411" s="185"/>
      <c r="BK411" s="185"/>
      <c r="BL411" s="185"/>
      <c r="BM411" s="185"/>
      <c r="BN411" s="185"/>
      <c r="BO411" s="185"/>
      <c r="BP411" s="185"/>
      <c r="BQ411" s="185"/>
      <c r="BR411" s="185"/>
      <c r="BS411" s="185"/>
      <c r="BT411" s="185"/>
      <c r="BU411" s="185"/>
      <c r="BV411" s="185"/>
      <c r="BW411" s="185"/>
      <c r="BX411" s="185"/>
      <c r="BY411" s="185"/>
      <c r="BZ411" s="185"/>
      <c r="CA411" s="185"/>
      <c r="CB411" s="185"/>
      <c r="CC411" s="185"/>
      <c r="CD411" s="185"/>
      <c r="CE411" s="185"/>
      <c r="CF411" s="185"/>
      <c r="CG411" s="185"/>
      <c r="CH411" s="185"/>
      <c r="CI411" s="185"/>
      <c r="CJ411" s="185"/>
      <c r="CK411" s="185"/>
      <c r="CL411" s="185"/>
      <c r="CM411" s="185"/>
      <c r="CN411" s="185"/>
      <c r="CO411" s="185"/>
      <c r="CP411" s="185"/>
      <c r="CQ411" s="185"/>
      <c r="CR411" s="185"/>
      <c r="CS411" s="185"/>
      <c r="CT411" s="185"/>
      <c r="CU411" s="185"/>
      <c r="CV411" s="185"/>
      <c r="CW411" s="185"/>
      <c r="CX411" s="185"/>
      <c r="CY411" s="185"/>
      <c r="CZ411" s="185"/>
      <c r="DA411" s="185"/>
      <c r="DB411" s="185"/>
      <c r="DC411" s="185"/>
      <c r="DD411" s="185"/>
      <c r="DE411" s="185"/>
      <c r="DF411" s="185"/>
      <c r="DG411" s="185"/>
      <c r="DH411" s="162"/>
      <c r="DI411" s="162"/>
      <c r="DJ411" s="162"/>
      <c r="DK411" s="162"/>
      <c r="DL411" s="162"/>
      <c r="DM411" s="162"/>
      <c r="DN411" s="162"/>
      <c r="DO411" s="162"/>
      <c r="DP411" s="162"/>
      <c r="DQ411" s="162"/>
      <c r="DR411"/>
      <c r="DS411"/>
      <c r="DT411"/>
      <c r="DU411"/>
      <c r="DV411"/>
      <c r="DW411"/>
      <c r="DX411"/>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row>
    <row r="412" spans="1:152" s="39" customFormat="1" ht="69" customHeight="1">
      <c r="A412" s="162"/>
      <c r="B412" s="162"/>
      <c r="C412" s="162"/>
      <c r="D412" s="159"/>
      <c r="E412" s="184"/>
      <c r="F412" s="827"/>
      <c r="G412" s="827"/>
      <c r="H412" s="856"/>
      <c r="I412" s="857"/>
      <c r="J412" s="827"/>
      <c r="K412" s="802" t="s">
        <v>2581</v>
      </c>
      <c r="L412" s="802" t="s">
        <v>2582</v>
      </c>
      <c r="M412" s="802" t="s">
        <v>2583</v>
      </c>
      <c r="N412" s="802"/>
      <c r="O412" s="802"/>
      <c r="P412" s="802" t="s">
        <v>2573</v>
      </c>
      <c r="Q412" s="802" t="s">
        <v>2574</v>
      </c>
      <c r="R412" s="802" t="s">
        <v>2573</v>
      </c>
      <c r="S412" s="802" t="s">
        <v>2574</v>
      </c>
      <c r="T412" s="802"/>
      <c r="U412" s="802"/>
      <c r="V412" s="802" t="s">
        <v>2575</v>
      </c>
      <c r="W412" s="802" t="s">
        <v>2576</v>
      </c>
      <c r="X412" s="802"/>
      <c r="Y412" s="891"/>
      <c r="Z412" s="891"/>
      <c r="AA412" s="890"/>
      <c r="AB412" s="890"/>
      <c r="AC412" s="890"/>
      <c r="AD412" s="890"/>
      <c r="AE412" s="879"/>
      <c r="AF412" s="890"/>
      <c r="AG412" s="890"/>
      <c r="AH412" s="828"/>
      <c r="AI412" s="828"/>
      <c r="AJ412" s="828"/>
      <c r="AK412" s="828" t="str">
        <f>"Тариф, " &amp; IF(TRANSMISSION_TARIFF="","?",TRANSMISSION_TARIFF)</f>
        <v>Тариф, руб/куб.м</v>
      </c>
      <c r="AL412" s="828"/>
      <c r="AM412"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N412" s="828" t="str">
        <f>"Тариф, " &amp; IF(TRANSMISSION_TARIFF="","?",TRANSMISSION_TARIFF)</f>
        <v>Тариф, руб/куб.м</v>
      </c>
      <c r="AO412" s="828"/>
      <c r="AP412"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Q412" s="828" t="str">
        <f>"Тариф, " &amp; IF(TRANSMISSION_TARIFF="","?",TRANSMISSION_TARIFF)</f>
        <v>Тариф, руб/куб.м</v>
      </c>
      <c r="AR412" s="828"/>
      <c r="AS412"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T412" s="828" t="str">
        <f>"Тариф, " &amp; IF(TRANSMISSION_TARIFF="","?",TRANSMISSION_TARIFF)</f>
        <v>Тариф, руб/куб.м</v>
      </c>
      <c r="AU412" s="828"/>
      <c r="AV412"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W412" s="828" t="str">
        <f>"Тариф, " &amp; IF(TRANSMISSION_TARIFF="","?",TRANSMISSION_TARIFF)</f>
        <v>Тариф, руб/куб.м</v>
      </c>
      <c r="AX412" s="828"/>
      <c r="AY412" s="830" t="str">
        <f>"Объём " &amp; IF(RESOURCE_IDENTIFIER="стоков","перекачиваемых " &amp; RESOURCE_IDENTIFIER,"передаваемой " &amp; RESOURCE_IDENTIFIER) &amp; ", "&amp; IF(TRANSMISSION_TARIFF="руб/Гкал","Гкал",IF(TRANSMISSION_TARIFF="руб/Гкал*час в мес","Гкал*час в мес",IF(TRANSMISSION_TARIFF="руб/куб.м","куб.м","(размерность не указана)")))</f>
        <v>Объём перекачиваемых стоков, куб.м</v>
      </c>
      <c r="AZ412" s="185"/>
      <c r="BA412" s="185"/>
      <c r="BB412" s="185"/>
      <c r="BC412" s="185"/>
      <c r="BD412" s="185"/>
      <c r="BE412" s="185"/>
      <c r="BF412" s="185"/>
      <c r="BG412" s="185"/>
      <c r="BH412" s="185"/>
      <c r="BI412" s="185"/>
      <c r="BJ412" s="185"/>
      <c r="BK412" s="185"/>
      <c r="BL412" s="185"/>
      <c r="BM412" s="185"/>
      <c r="BN412" s="185"/>
      <c r="BO412" s="185"/>
      <c r="BP412" s="185"/>
      <c r="BQ412" s="185"/>
      <c r="BR412" s="185"/>
      <c r="BS412" s="185"/>
      <c r="BT412" s="185"/>
      <c r="BU412" s="185"/>
      <c r="BV412" s="185"/>
      <c r="BW412" s="185"/>
      <c r="BX412" s="185"/>
      <c r="BY412" s="185"/>
      <c r="BZ412" s="185"/>
      <c r="CA412" s="185"/>
      <c r="CB412" s="185"/>
      <c r="CC412" s="185"/>
      <c r="CD412" s="185"/>
      <c r="CE412" s="185"/>
      <c r="CF412" s="185"/>
      <c r="CG412" s="185"/>
      <c r="CH412" s="185"/>
      <c r="CI412" s="185"/>
      <c r="CJ412" s="185"/>
      <c r="CK412" s="185"/>
      <c r="CL412" s="185"/>
      <c r="CM412" s="185"/>
      <c r="CN412" s="185"/>
      <c r="CO412" s="185"/>
      <c r="CP412" s="185"/>
      <c r="CQ412" s="185"/>
      <c r="CR412" s="185"/>
      <c r="CS412" s="185"/>
      <c r="CT412" s="185"/>
      <c r="CU412" s="185"/>
      <c r="CV412" s="185"/>
      <c r="CW412" s="185"/>
      <c r="CX412" s="185"/>
      <c r="CY412" s="185"/>
      <c r="CZ412" s="185"/>
      <c r="DA412" s="185"/>
      <c r="DB412" s="185"/>
      <c r="DC412" s="185"/>
      <c r="DD412" s="185"/>
      <c r="DE412" s="185"/>
      <c r="DF412" s="185"/>
      <c r="DG412" s="185"/>
      <c r="DH412" s="162"/>
      <c r="DI412" s="162"/>
      <c r="DJ412" s="162"/>
      <c r="DK412" s="162"/>
      <c r="DL412" s="162"/>
      <c r="DM412" s="162"/>
      <c r="DN412" s="162"/>
      <c r="DO412" s="162"/>
      <c r="DP412" s="162"/>
      <c r="DQ412" s="162"/>
      <c r="DR412"/>
      <c r="DS412"/>
      <c r="DT412"/>
      <c r="DU412"/>
      <c r="DV412"/>
      <c r="DW412"/>
      <c r="DX41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row>
    <row r="413" spans="1:152" s="39" customFormat="1" ht="18" customHeight="1">
      <c r="A413" s="162"/>
      <c r="B413" s="162"/>
      <c r="C413" s="162"/>
      <c r="D413" s="159"/>
      <c r="E413" s="184"/>
      <c r="F413" s="827"/>
      <c r="G413" s="827"/>
      <c r="H413" s="858"/>
      <c r="I413" s="859"/>
      <c r="J413" s="827"/>
      <c r="K413" s="802"/>
      <c r="L413" s="802"/>
      <c r="M413" s="802"/>
      <c r="N413" s="802"/>
      <c r="O413" s="802"/>
      <c r="P413" s="802"/>
      <c r="Q413" s="802"/>
      <c r="R413" s="802"/>
      <c r="S413" s="802"/>
      <c r="T413" s="802"/>
      <c r="U413" s="802"/>
      <c r="V413" s="802"/>
      <c r="W413" s="802"/>
      <c r="X413" s="802"/>
      <c r="Y413" s="337" t="s">
        <v>627</v>
      </c>
      <c r="Z413" s="337" t="s">
        <v>628</v>
      </c>
      <c r="AA413" s="601" t="s">
        <v>627</v>
      </c>
      <c r="AB413" s="601" t="s">
        <v>628</v>
      </c>
      <c r="AC413" s="601" t="s">
        <v>627</v>
      </c>
      <c r="AD413" s="601" t="s">
        <v>628</v>
      </c>
      <c r="AE413" s="879"/>
      <c r="AF413" s="601" t="s">
        <v>627</v>
      </c>
      <c r="AG413" s="601" t="s">
        <v>628</v>
      </c>
      <c r="AH413" s="193" t="s">
        <v>627</v>
      </c>
      <c r="AI413" s="193" t="s">
        <v>628</v>
      </c>
      <c r="AJ413" s="828"/>
      <c r="AK413" s="128" t="s">
        <v>627</v>
      </c>
      <c r="AL413" s="128" t="s">
        <v>628</v>
      </c>
      <c r="AM413" s="831"/>
      <c r="AN413" s="128" t="s">
        <v>627</v>
      </c>
      <c r="AO413" s="128" t="s">
        <v>628</v>
      </c>
      <c r="AP413" s="831"/>
      <c r="AQ413" s="128" t="s">
        <v>627</v>
      </c>
      <c r="AR413" s="128" t="s">
        <v>628</v>
      </c>
      <c r="AS413" s="831"/>
      <c r="AT413" s="128" t="s">
        <v>627</v>
      </c>
      <c r="AU413" s="128" t="s">
        <v>628</v>
      </c>
      <c r="AV413" s="831"/>
      <c r="AW413" s="128" t="s">
        <v>627</v>
      </c>
      <c r="AX413" s="128" t="s">
        <v>628</v>
      </c>
      <c r="AY413" s="831"/>
      <c r="AZ413" s="185"/>
      <c r="BA413" s="185"/>
      <c r="BB413" s="185"/>
      <c r="BC413" s="185"/>
      <c r="BD413" s="185"/>
      <c r="BE413" s="185"/>
      <c r="BF413" s="185"/>
      <c r="BG413" s="185"/>
      <c r="BH413" s="185"/>
      <c r="BI413" s="185"/>
      <c r="BJ413" s="185"/>
      <c r="BK413" s="185"/>
      <c r="BL413" s="185"/>
      <c r="BM413" s="185"/>
      <c r="BN413" s="185"/>
      <c r="BO413" s="185"/>
      <c r="BP413" s="185"/>
      <c r="BQ413" s="185"/>
      <c r="BR413" s="185"/>
      <c r="BS413" s="185"/>
      <c r="BT413" s="185"/>
      <c r="BU413" s="185"/>
      <c r="BV413" s="185"/>
      <c r="BW413" s="185"/>
      <c r="BX413" s="185"/>
      <c r="BY413" s="185"/>
      <c r="BZ413" s="185"/>
      <c r="CA413" s="185"/>
      <c r="CB413" s="185"/>
      <c r="CC413" s="185"/>
      <c r="CD413" s="185"/>
      <c r="CE413" s="185"/>
      <c r="CF413" s="185"/>
      <c r="CG413" s="185"/>
      <c r="CH413" s="185"/>
      <c r="CI413" s="185"/>
      <c r="CJ413" s="185"/>
      <c r="CK413" s="185"/>
      <c r="CL413" s="185"/>
      <c r="CM413" s="185"/>
      <c r="CN413" s="185"/>
      <c r="CO413" s="185"/>
      <c r="CP413" s="185"/>
      <c r="CQ413" s="185"/>
      <c r="CR413" s="185"/>
      <c r="CS413" s="185"/>
      <c r="CT413" s="185"/>
      <c r="CU413" s="185"/>
      <c r="CV413" s="185"/>
      <c r="CW413" s="185"/>
      <c r="CX413" s="185"/>
      <c r="CY413" s="185"/>
      <c r="CZ413" s="185"/>
      <c r="DA413" s="185"/>
      <c r="DB413" s="185"/>
      <c r="DC413" s="185"/>
      <c r="DD413" s="185"/>
      <c r="DE413"/>
      <c r="DF413"/>
      <c r="DG413"/>
      <c r="DH413"/>
      <c r="DI413"/>
      <c r="DJ413"/>
      <c r="DK413"/>
      <c r="DL413"/>
      <c r="DM413"/>
      <c r="DN413"/>
      <c r="DO413"/>
      <c r="DP413"/>
      <c r="DQ413"/>
      <c r="DR413"/>
      <c r="DS413"/>
      <c r="DT413"/>
      <c r="DU413"/>
      <c r="DV413"/>
      <c r="DW413"/>
      <c r="DX413"/>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row>
    <row r="414" spans="1:152" s="39" customFormat="1" ht="12" customHeight="1">
      <c r="A414" s="162"/>
      <c r="B414" s="162"/>
      <c r="C414" s="162"/>
      <c r="D414" s="159"/>
      <c r="E414" s="184"/>
      <c r="F414" s="182"/>
      <c r="G414" s="182" t="s">
        <v>759</v>
      </c>
      <c r="H414" s="183" t="s">
        <v>629</v>
      </c>
      <c r="I414" s="183" t="s">
        <v>630</v>
      </c>
      <c r="J414" s="183" t="s">
        <v>631</v>
      </c>
      <c r="K414" s="183" t="s">
        <v>2851</v>
      </c>
      <c r="L414" s="183" t="s">
        <v>2852</v>
      </c>
      <c r="M414" s="183" t="s">
        <v>2853</v>
      </c>
      <c r="N414" s="183" t="s">
        <v>2854</v>
      </c>
      <c r="O414" s="183"/>
      <c r="P414" s="183" t="s">
        <v>2855</v>
      </c>
      <c r="Q414" s="183" t="s">
        <v>2856</v>
      </c>
      <c r="R414" s="183" t="s">
        <v>2857</v>
      </c>
      <c r="S414" s="183" t="s">
        <v>2858</v>
      </c>
      <c r="T414" s="183"/>
      <c r="U414" s="183"/>
      <c r="V414" s="183" t="s">
        <v>2859</v>
      </c>
      <c r="W414" s="183" t="s">
        <v>2860</v>
      </c>
      <c r="X414" s="183" t="s">
        <v>2861</v>
      </c>
      <c r="Y414" s="598" t="s">
        <v>289</v>
      </c>
      <c r="Z414" s="598" t="s">
        <v>290</v>
      </c>
      <c r="AA414" s="598" t="s">
        <v>2501</v>
      </c>
      <c r="AB414" s="598" t="s">
        <v>2502</v>
      </c>
      <c r="AC414" s="598" t="s">
        <v>794</v>
      </c>
      <c r="AD414" s="598" t="s">
        <v>61</v>
      </c>
      <c r="AE414" s="599" t="s">
        <v>63</v>
      </c>
      <c r="AF414" s="598" t="s">
        <v>2397</v>
      </c>
      <c r="AG414" s="598" t="s">
        <v>2398</v>
      </c>
      <c r="AH414" s="598" t="s">
        <v>2705</v>
      </c>
      <c r="AI414" s="598" t="s">
        <v>2706</v>
      </c>
      <c r="AJ414" s="598" t="s">
        <v>2707</v>
      </c>
      <c r="AK414" s="183" t="s">
        <v>632</v>
      </c>
      <c r="AL414" s="183" t="s">
        <v>633</v>
      </c>
      <c r="AM414" s="183" t="s">
        <v>634</v>
      </c>
      <c r="AN414" s="183" t="s">
        <v>635</v>
      </c>
      <c r="AO414" s="183" t="s">
        <v>883</v>
      </c>
      <c r="AP414" s="183" t="s">
        <v>884</v>
      </c>
      <c r="AQ414" s="183" t="s">
        <v>885</v>
      </c>
      <c r="AR414" s="183" t="s">
        <v>886</v>
      </c>
      <c r="AS414" s="183" t="s">
        <v>887</v>
      </c>
      <c r="AT414" s="183" t="s">
        <v>888</v>
      </c>
      <c r="AU414" s="183" t="s">
        <v>889</v>
      </c>
      <c r="AV414" s="477" t="s">
        <v>890</v>
      </c>
      <c r="AW414" s="183" t="s">
        <v>891</v>
      </c>
      <c r="AX414" s="183" t="s">
        <v>892</v>
      </c>
      <c r="AY414" s="183" t="s">
        <v>893</v>
      </c>
      <c r="AZ414" s="185"/>
      <c r="BA414" s="185"/>
      <c r="BB414" s="185"/>
      <c r="BC414" s="185"/>
      <c r="BD414" s="185"/>
      <c r="BE414" s="185"/>
      <c r="BF414" s="185"/>
      <c r="BG414" s="185"/>
      <c r="BH414" s="185"/>
      <c r="BI414" s="185"/>
      <c r="BJ414" s="185"/>
      <c r="BK414" s="185"/>
      <c r="BL414" s="185"/>
      <c r="BM414" s="185"/>
      <c r="BN414" s="185"/>
      <c r="BO414" s="185"/>
      <c r="BP414" s="185"/>
      <c r="BQ414" s="185"/>
      <c r="BR414" s="185"/>
      <c r="BS414" s="185"/>
      <c r="BT414" s="185"/>
      <c r="BU414" s="185"/>
      <c r="BV414" s="185"/>
      <c r="BW414" s="185"/>
      <c r="BX414" s="185"/>
      <c r="BY414" s="185"/>
      <c r="BZ414" s="185"/>
      <c r="CA414" s="185"/>
      <c r="CB414" s="185"/>
      <c r="CC414" s="185"/>
      <c r="CD414" s="185"/>
      <c r="CE414" s="185"/>
      <c r="CF414" s="185"/>
      <c r="CG414" s="185"/>
      <c r="CH414" s="185"/>
      <c r="CI414" s="185"/>
      <c r="CJ414" s="185"/>
      <c r="CK414" s="185"/>
      <c r="CL414" s="185"/>
      <c r="CM414" s="185"/>
      <c r="CN414" s="185"/>
      <c r="CO414" s="185"/>
      <c r="CP414" s="185"/>
      <c r="CQ414" s="185"/>
      <c r="CR414" s="185"/>
      <c r="CS414" s="185"/>
      <c r="CT414" s="185"/>
      <c r="CU414" s="185"/>
      <c r="CV414" s="185"/>
      <c r="CW414" s="185"/>
      <c r="CX414" s="185"/>
      <c r="CY414" s="185"/>
      <c r="CZ414" s="185"/>
      <c r="DA414" s="185"/>
      <c r="DB414" s="185"/>
      <c r="DC414" s="185"/>
      <c r="DD414" s="185"/>
      <c r="DE414"/>
      <c r="DF414"/>
      <c r="DG414"/>
      <c r="DH414"/>
      <c r="DI414"/>
      <c r="DJ414"/>
      <c r="DK414"/>
      <c r="DL414"/>
      <c r="DM414"/>
      <c r="DN414"/>
      <c r="DO414"/>
      <c r="DP414"/>
      <c r="DQ414"/>
      <c r="DR414"/>
      <c r="DS414"/>
      <c r="DT414"/>
      <c r="DU414"/>
      <c r="DV414"/>
      <c r="DW414"/>
      <c r="DX414"/>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row>
    <row r="415" spans="1:152">
      <c r="H415" s="388" t="s">
        <v>435</v>
      </c>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row>
    <row r="416" spans="1:152" s="60" customFormat="1">
      <c r="A416" s="57"/>
      <c r="B416" s="57"/>
      <c r="C416" s="497" t="str">
        <f>F416 &amp; ".0"</f>
        <v>.0</v>
      </c>
      <c r="D416" s="471"/>
      <c r="E416" s="470" t="s">
        <v>719</v>
      </c>
      <c r="F416" s="833"/>
      <c r="G416" s="853"/>
      <c r="H416" s="584" t="str">
        <f>IF(TEMPLATE_SPHERE="водоснабжения","",IF(TEMPLATE_SPHERE="водоотведения","Всего",""))</f>
        <v>Всего</v>
      </c>
      <c r="I416" s="393"/>
      <c r="J416" s="824"/>
      <c r="K416" s="824"/>
      <c r="L416" s="824"/>
      <c r="M416" s="824"/>
      <c r="N416" s="824"/>
      <c r="O416" s="824"/>
      <c r="P416" s="824"/>
      <c r="Q416" s="824"/>
      <c r="R416" s="824"/>
      <c r="S416" s="824"/>
      <c r="T416" s="824"/>
      <c r="U416" s="824"/>
      <c r="V416" s="824"/>
      <c r="W416" s="824"/>
      <c r="X416" s="824"/>
      <c r="Y416" s="337"/>
      <c r="Z416" s="337"/>
      <c r="AA416" s="392"/>
      <c r="AB416" s="392"/>
      <c r="AC416" s="392"/>
      <c r="AD416" s="392"/>
      <c r="AE416" s="392"/>
      <c r="AF416" s="392"/>
      <c r="AG416" s="392"/>
      <c r="AH416" s="392"/>
      <c r="AI416" s="392"/>
      <c r="AJ416" s="392"/>
      <c r="AK416" s="392"/>
      <c r="AL416" s="392"/>
      <c r="AM416" s="392"/>
      <c r="AN416" s="392"/>
      <c r="AO416" s="392"/>
      <c r="AP416" s="392"/>
      <c r="AQ416" s="392"/>
      <c r="AR416" s="392"/>
      <c r="AS416" s="392"/>
      <c r="AT416" s="392"/>
      <c r="AU416" s="392"/>
      <c r="AV416" s="392"/>
      <c r="AW416" s="392"/>
      <c r="AX416" s="392"/>
      <c r="AY416" s="392"/>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s="293"/>
      <c r="DG416" s="293"/>
      <c r="DH416" s="293"/>
      <c r="DI416" s="293"/>
      <c r="DJ416" s="293"/>
      <c r="DK416" s="293"/>
      <c r="DL416" s="293"/>
      <c r="DM416" s="293"/>
      <c r="DN416" s="293"/>
      <c r="DO416" s="293"/>
      <c r="DP416" s="293"/>
      <c r="DQ416" s="293"/>
      <c r="DR416"/>
      <c r="DS416"/>
      <c r="DT416"/>
      <c r="DU416"/>
      <c r="DV416"/>
      <c r="DW416" s="379"/>
      <c r="DX416" s="379"/>
      <c r="DY416" s="379"/>
      <c r="DZ416" s="379"/>
      <c r="EA416" s="379"/>
      <c r="EB416" s="379"/>
      <c r="EC416" s="379"/>
    </row>
    <row r="417" spans="1:133" s="60" customFormat="1">
      <c r="A417" s="57"/>
      <c r="B417" s="57"/>
      <c r="C417" s="497" t="str">
        <f>F416 &amp; ".1"</f>
        <v>.1</v>
      </c>
      <c r="D417" s="471"/>
      <c r="E417" s="470"/>
      <c r="F417" s="833"/>
      <c r="G417" s="853"/>
      <c r="H417" s="584" t="str">
        <f>IF(TEMPLATE_SPHERE="водоснабжения","Вода питьевого качества","")</f>
        <v/>
      </c>
      <c r="I417" s="393"/>
      <c r="J417" s="824"/>
      <c r="K417" s="824"/>
      <c r="L417" s="824"/>
      <c r="M417" s="824"/>
      <c r="N417" s="824"/>
      <c r="O417" s="824"/>
      <c r="P417" s="824"/>
      <c r="Q417" s="824"/>
      <c r="R417" s="824"/>
      <c r="S417" s="824"/>
      <c r="T417" s="824"/>
      <c r="U417" s="824"/>
      <c r="V417" s="824"/>
      <c r="W417" s="824"/>
      <c r="X417" s="824"/>
      <c r="Y417" s="398">
        <f>IF((AS417+AV417+AY417)=0,0,(AA417*(AS417+AV417+AY417)+AH417*IF(AJ417&gt;AS417+AV417+AY417,AS417+AV417+AY417,AJ417))/(AS417+AV417+AY417))</f>
        <v>0</v>
      </c>
      <c r="Z417" s="398">
        <f>IF($D416="нет",Y417,Y417*1.18)</f>
        <v>0</v>
      </c>
      <c r="AA417" s="398">
        <f>IF((AS417+AV417+AY417)=0,0,(AQ417*AS417+AT417*AV417+AW417*AY417)/(AS417+AV417+AY417))</f>
        <v>0</v>
      </c>
      <c r="AB417" s="398">
        <f>IF($D416="нет",AA417,AA417*1.18)</f>
        <v>0</v>
      </c>
      <c r="AC417" s="337"/>
      <c r="AD417" s="392"/>
      <c r="AE417" s="271">
        <f>AM417+AP417+AS417+AV417+AY417</f>
        <v>0</v>
      </c>
      <c r="AF417" s="337"/>
      <c r="AG417" s="392"/>
      <c r="AH417" s="272"/>
      <c r="AI417" s="398">
        <f>IF($D416="нет",AH417,AH417*1.18)</f>
        <v>0</v>
      </c>
      <c r="AJ417" s="272"/>
      <c r="AK417" s="272"/>
      <c r="AL417" s="398">
        <f>IF($D416="нет",AK417,AK417*1.18)</f>
        <v>0</v>
      </c>
      <c r="AM417" s="633">
        <f>IF(TARIFF_SETUP_METHOD_CODE="BY_MONTHS",SUMIF(ВС.БТр!$BF$129:$BF$130,$C417&amp;"-"&amp;$H$3,ВС.БТр!M$129:M$130),IF(TARIFF_SETUP_METHOD_CODE="BY_PSEUDO_YEARS",SUMIF(ВС.БТр!$F$129:$F$130,$C417&amp;".0",ВС.БТр!M$129:M$130),0))</f>
        <v>0</v>
      </c>
      <c r="AN417" s="272"/>
      <c r="AO417" s="398">
        <f>IF($D416="нет",AN417,AN417*1.18)</f>
        <v>0</v>
      </c>
      <c r="AP417" s="633">
        <f>IF(TARIFF_SETUP_METHOD_CODE="BY_MONTHS",SUMIF(ВС.БТр!$BF$129:$BF$130,$C417&amp;"-"&amp;$H$3,ВС.БТр!N$129:N$130),IF(TARIFF_SETUP_METHOD_CODE="BY_PSEUDO_YEARS",SUMIF(ВС.БТр!$F$129:$F$130,$C417&amp;".0",ВС.БТр!N$129:N$130),0))</f>
        <v>0</v>
      </c>
      <c r="AQ417" s="272"/>
      <c r="AR417" s="398">
        <f>IF($D416="нет",AQ417,AQ417*1.18)</f>
        <v>0</v>
      </c>
      <c r="AS417" s="633">
        <f>IF(TARIFF_SETUP_METHOD_CODE="BY_MONTHS",SUMIF(ВС.БТр!$BF$129:$BF$130,$C417&amp;"-"&amp;$H$3,ВС.БТр!O$129:O$130),IF(TARIFF_SETUP_METHOD_CODE="BY_PSEUDO_YEARS",SUMIF(ВС.БТр!$F$129:$F$130,$C417&amp;".0",ВС.БТр!O$129:O$130),0))</f>
        <v>0</v>
      </c>
      <c r="AT417" s="272"/>
      <c r="AU417" s="398">
        <f>IF($D416="нет",AT417,AT417*1.18)</f>
        <v>0</v>
      </c>
      <c r="AV417" s="633">
        <f>IF(TARIFF_SETUP_METHOD_CODE="BY_MONTHS",SUMIF(ВС.БТр!$BF$129:$BF$130,$C417&amp;"-"&amp;$H$3,ВС.БТр!P$129:P$130),IF(TARIFF_SETUP_METHOD_CODE="BY_PSEUDO_YEARS",SUMIF(ВС.БТр!$F$129:$F$130,$C417&amp;".0",ВС.БТр!P$129:P$130),0))</f>
        <v>0</v>
      </c>
      <c r="AW417" s="272"/>
      <c r="AX417" s="398">
        <f>IF($D416="нет",AW417,AW417*1.18)</f>
        <v>0</v>
      </c>
      <c r="AY417" s="633">
        <f>IF(TARIFF_SETUP_METHOD_CODE="BY_MONTHS",SUMIF(ВС.БТр!$BF$129:$BF$130,$C417&amp;"-"&amp;$H$3,ВС.БТр!Q$129:Q$130),IF(TARIFF_SETUP_METHOD_CODE="BY_PSEUDO_YEARS",SUMIF(ВС.БТр!$F$129:$F$130,$C417&amp;".0",ВС.БТр!Q$129:Q$130),0))</f>
        <v>0</v>
      </c>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s="383">
        <f>AS417+AV417+AY417</f>
        <v>0</v>
      </c>
      <c r="DF417" s="293">
        <f>AF417*AE417</f>
        <v>0</v>
      </c>
      <c r="DG417" s="293">
        <f>AG417*AE417</f>
        <v>0</v>
      </c>
      <c r="DH417" s="293">
        <f>AK417*AM417</f>
        <v>0</v>
      </c>
      <c r="DI417" s="293">
        <f>AL417*AM417</f>
        <v>0</v>
      </c>
      <c r="DJ417" s="293">
        <f>AN417*AP417</f>
        <v>0</v>
      </c>
      <c r="DK417" s="293">
        <f>AO417*AP417</f>
        <v>0</v>
      </c>
      <c r="DL417" s="293">
        <f>AQ417*AS417</f>
        <v>0</v>
      </c>
      <c r="DM417" s="293">
        <f>AR417*AS417</f>
        <v>0</v>
      </c>
      <c r="DN417" s="293">
        <f>AT417*AV417</f>
        <v>0</v>
      </c>
      <c r="DO417" s="293">
        <f>AU417*AV417</f>
        <v>0</v>
      </c>
      <c r="DP417" s="293">
        <f>AW417*AY417</f>
        <v>0</v>
      </c>
      <c r="DQ417" s="293">
        <f>AX417*AY417</f>
        <v>0</v>
      </c>
      <c r="DR417" s="383">
        <f>AH417*AJ417</f>
        <v>0</v>
      </c>
      <c r="DS417" s="383">
        <f>AI417*AJ417</f>
        <v>0</v>
      </c>
      <c r="DT417"/>
      <c r="DU417"/>
      <c r="DV417"/>
      <c r="DW417" s="379"/>
      <c r="DX417" s="379"/>
      <c r="DY417" s="379"/>
      <c r="DZ417" s="379"/>
      <c r="EA417" s="379"/>
      <c r="EB417" s="379"/>
      <c r="EC417" s="379"/>
    </row>
    <row r="418" spans="1:133" s="60" customFormat="1" ht="11.25" customHeight="1">
      <c r="A418" s="57"/>
      <c r="B418" s="57"/>
      <c r="C418" s="497" t="str">
        <f>F416 &amp; ".2"</f>
        <v>.2</v>
      </c>
      <c r="D418"/>
      <c r="E418"/>
      <c r="F418" s="833"/>
      <c r="G418" s="835"/>
      <c r="H418" s="584"/>
      <c r="I418" s="393"/>
      <c r="J418" s="824"/>
      <c r="K418" s="824"/>
      <c r="L418" s="824"/>
      <c r="M418" s="824"/>
      <c r="N418" s="824"/>
      <c r="O418" s="824"/>
      <c r="P418" s="824"/>
      <c r="Q418" s="824"/>
      <c r="R418" s="824"/>
      <c r="S418" s="824"/>
      <c r="T418" s="824"/>
      <c r="U418" s="824"/>
      <c r="V418" s="824"/>
      <c r="W418" s="824"/>
      <c r="X418" s="824"/>
      <c r="Y418" s="337"/>
      <c r="Z418" s="392"/>
      <c r="AA418" s="392"/>
      <c r="AB418" s="392"/>
      <c r="AC418" s="337"/>
      <c r="AD418" s="392"/>
      <c r="AE418" s="392"/>
      <c r="AF418" s="337"/>
      <c r="AG418" s="392"/>
      <c r="AH418" s="392"/>
      <c r="AI418" s="392"/>
      <c r="AJ418" s="392"/>
      <c r="AK418" s="392"/>
      <c r="AL418" s="392"/>
      <c r="AM418" s="392"/>
      <c r="AN418" s="392"/>
      <c r="AO418" s="392"/>
      <c r="AP418" s="392"/>
      <c r="AQ418" s="392"/>
      <c r="AR418" s="392"/>
      <c r="AS418" s="392"/>
      <c r="AT418" s="392"/>
      <c r="AU418" s="392"/>
      <c r="AV418" s="392"/>
      <c r="AW418" s="392"/>
      <c r="AX418" s="392"/>
      <c r="AY418" s="392"/>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s="293"/>
      <c r="DG418" s="293"/>
      <c r="DH418" s="293"/>
      <c r="DI418" s="293"/>
      <c r="DJ418" s="293"/>
      <c r="DK418" s="293"/>
      <c r="DL418" s="293"/>
      <c r="DM418" s="293"/>
      <c r="DN418" s="293"/>
      <c r="DO418" s="293"/>
      <c r="DP418" s="293"/>
      <c r="DQ418" s="293"/>
      <c r="DR418"/>
      <c r="DS418"/>
      <c r="DT418"/>
      <c r="DU418"/>
      <c r="DV418"/>
      <c r="DW418" s="379"/>
      <c r="DX418" s="379"/>
      <c r="DY418" s="379"/>
      <c r="DZ418" s="379"/>
      <c r="EA418" s="379"/>
      <c r="EB418" s="379"/>
      <c r="EC418" s="379"/>
    </row>
    <row r="419" spans="1:133">
      <c r="H419" s="388" t="s">
        <v>436</v>
      </c>
      <c r="AC419" s="337"/>
      <c r="AD419" s="392"/>
      <c r="AF419" s="337"/>
      <c r="AG419" s="392"/>
      <c r="AM419"/>
      <c r="AP419"/>
      <c r="AS419"/>
      <c r="AV419"/>
      <c r="AW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R419"/>
      <c r="DS419"/>
      <c r="DT419"/>
      <c r="DU419"/>
      <c r="DV419"/>
      <c r="DW419"/>
      <c r="DX419"/>
    </row>
    <row r="420" spans="1:133" s="60" customFormat="1">
      <c r="A420" s="57"/>
      <c r="B420" s="57"/>
      <c r="C420" s="497" t="str">
        <f>F420 &amp; ".0"</f>
        <v>.0</v>
      </c>
      <c r="D420" s="471"/>
      <c r="E420" s="470" t="s">
        <v>719</v>
      </c>
      <c r="F420" s="833"/>
      <c r="G420" s="853"/>
      <c r="H420" s="584" t="str">
        <f>IF(TEMPLATE_SPHERE="водоснабжения","",IF(TEMPLATE_SPHERE="водоотведения","Всего",""))</f>
        <v>Всего</v>
      </c>
      <c r="I420" s="393"/>
      <c r="J420" s="824"/>
      <c r="K420" s="824"/>
      <c r="L420" s="824"/>
      <c r="M420" s="824"/>
      <c r="N420" s="824"/>
      <c r="O420" s="824"/>
      <c r="P420" s="824"/>
      <c r="Q420" s="824"/>
      <c r="R420" s="824"/>
      <c r="S420" s="824"/>
      <c r="T420" s="824"/>
      <c r="U420" s="824"/>
      <c r="V420" s="824"/>
      <c r="W420" s="824"/>
      <c r="X420" s="824"/>
      <c r="Y420" s="337"/>
      <c r="Z420" s="392"/>
      <c r="AA420" s="392"/>
      <c r="AB420" s="392"/>
      <c r="AC420" s="337"/>
      <c r="AD420" s="392"/>
      <c r="AE420" s="392"/>
      <c r="AF420" s="337"/>
      <c r="AG420" s="392"/>
      <c r="AH420" s="392"/>
      <c r="AI420" s="392"/>
      <c r="AJ420" s="392"/>
      <c r="AK420" s="392"/>
      <c r="AL420" s="392"/>
      <c r="AM420" s="392"/>
      <c r="AN420" s="392"/>
      <c r="AO420" s="392"/>
      <c r="AP420" s="392"/>
      <c r="AQ420" s="392"/>
      <c r="AR420" s="392"/>
      <c r="AS420" s="392"/>
      <c r="AT420" s="392"/>
      <c r="AU420" s="392"/>
      <c r="AV420" s="392"/>
      <c r="AW420" s="392"/>
      <c r="AX420" s="392"/>
      <c r="AY420" s="392"/>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s="293"/>
      <c r="DG420" s="293"/>
      <c r="DH420" s="293"/>
      <c r="DI420" s="293"/>
      <c r="DJ420" s="293"/>
      <c r="DK420" s="293"/>
      <c r="DL420" s="293"/>
      <c r="DM420" s="293"/>
      <c r="DN420" s="293"/>
      <c r="DO420" s="293"/>
      <c r="DP420" s="293"/>
      <c r="DQ420" s="293"/>
      <c r="DR420"/>
      <c r="DS420"/>
      <c r="DT420"/>
      <c r="DU420"/>
      <c r="DV420"/>
      <c r="DW420" s="379"/>
      <c r="DX420" s="379"/>
      <c r="DY420" s="379"/>
      <c r="DZ420" s="379"/>
      <c r="EA420" s="379"/>
      <c r="EB420" s="379"/>
      <c r="EC420" s="379"/>
    </row>
    <row r="421" spans="1:133" s="60" customFormat="1">
      <c r="A421" s="57"/>
      <c r="B421" s="57"/>
      <c r="C421" s="497" t="str">
        <f>F420 &amp; ".1"</f>
        <v>.1</v>
      </c>
      <c r="D421" s="471"/>
      <c r="E421" s="470"/>
      <c r="F421" s="833"/>
      <c r="G421" s="853"/>
      <c r="H421" s="584"/>
      <c r="I421" s="393"/>
      <c r="J421" s="824"/>
      <c r="K421" s="824"/>
      <c r="L421" s="824"/>
      <c r="M421" s="824"/>
      <c r="N421" s="824"/>
      <c r="O421" s="824"/>
      <c r="P421" s="824"/>
      <c r="Q421" s="824"/>
      <c r="R421" s="824"/>
      <c r="S421" s="824"/>
      <c r="T421" s="824"/>
      <c r="U421" s="824"/>
      <c r="V421" s="824"/>
      <c r="W421" s="824"/>
      <c r="X421" s="824"/>
      <c r="Y421" s="337"/>
      <c r="Z421" s="392"/>
      <c r="AA421" s="392"/>
      <c r="AB421" s="392"/>
      <c r="AC421" s="337"/>
      <c r="AD421" s="392"/>
      <c r="AE421" s="392"/>
      <c r="AF421" s="337"/>
      <c r="AG421" s="392"/>
      <c r="AH421" s="392"/>
      <c r="AI421" s="392"/>
      <c r="AJ421" s="392"/>
      <c r="AK421" s="392"/>
      <c r="AL421" s="392"/>
      <c r="AM421" s="392"/>
      <c r="AN421" s="392"/>
      <c r="AO421" s="392"/>
      <c r="AP421" s="392"/>
      <c r="AQ421" s="392"/>
      <c r="AR421" s="392"/>
      <c r="AS421" s="392"/>
      <c r="AT421" s="392"/>
      <c r="AU421" s="392"/>
      <c r="AV421" s="392"/>
      <c r="AW421" s="392"/>
      <c r="AX421" s="392"/>
      <c r="AY421" s="392"/>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s="293"/>
      <c r="DG421" s="293"/>
      <c r="DH421" s="293"/>
      <c r="DI421" s="293"/>
      <c r="DJ421" s="293"/>
      <c r="DK421" s="293"/>
      <c r="DL421" s="293"/>
      <c r="DM421" s="293"/>
      <c r="DN421" s="293"/>
      <c r="DO421" s="293"/>
      <c r="DP421" s="293"/>
      <c r="DQ421" s="293"/>
      <c r="DR421"/>
      <c r="DS421"/>
      <c r="DT421"/>
      <c r="DU421"/>
      <c r="DV421"/>
      <c r="DW421" s="379"/>
      <c r="DX421" s="379"/>
      <c r="DY421" s="379"/>
      <c r="DZ421" s="379"/>
      <c r="EA421" s="379"/>
      <c r="EB421" s="379"/>
      <c r="EC421" s="379"/>
    </row>
    <row r="422" spans="1:133" s="60" customFormat="1" ht="11.25" customHeight="1">
      <c r="A422" s="57"/>
      <c r="B422" s="57"/>
      <c r="C422" s="497" t="str">
        <f>F420 &amp; ".2"</f>
        <v>.2</v>
      </c>
      <c r="D422"/>
      <c r="E422"/>
      <c r="F422" s="833"/>
      <c r="G422" s="835"/>
      <c r="H422" s="584" t="str">
        <f>IF(TEMPLATE_SPHERE="водоснабжения","Вода технического качества","")</f>
        <v/>
      </c>
      <c r="I422" s="393"/>
      <c r="J422" s="824"/>
      <c r="K422" s="824"/>
      <c r="L422" s="824"/>
      <c r="M422" s="824"/>
      <c r="N422" s="824"/>
      <c r="O422" s="824"/>
      <c r="P422" s="824"/>
      <c r="Q422" s="824"/>
      <c r="R422" s="824"/>
      <c r="S422" s="824"/>
      <c r="T422" s="824"/>
      <c r="U422" s="824"/>
      <c r="V422" s="824"/>
      <c r="W422" s="824"/>
      <c r="X422" s="824"/>
      <c r="Y422" s="398">
        <f>IF((AS422+AV422+AY422)=0,0,(AA422*(AS422+AV422+AY422)+AH422*IF(AJ422&gt;AS422+AV422+AY422,AS422+AV422+AY422,AJ422))/(AS422+AV422+AY422))</f>
        <v>0</v>
      </c>
      <c r="Z422" s="398">
        <f>IF($D420="нет",Y422,Y422*1.18)</f>
        <v>0</v>
      </c>
      <c r="AA422" s="398">
        <f>IF((AS422+AV422+AY422)=0,0,(AQ422*AS422+AT422*AV422+AW422*AY422)/(AS422+AV422+AY422))</f>
        <v>0</v>
      </c>
      <c r="AB422" s="398">
        <f>IF($D420="нет",AA422,AA422*1.18)</f>
        <v>0</v>
      </c>
      <c r="AC422" s="337"/>
      <c r="AD422" s="392"/>
      <c r="AE422" s="271">
        <f>AM422+AP422+AS422+AV422+AY422</f>
        <v>0</v>
      </c>
      <c r="AF422" s="337"/>
      <c r="AG422" s="392"/>
      <c r="AH422" s="272"/>
      <c r="AI422" s="398">
        <f>IF($D420="нет",AH422,AH422*1.18)</f>
        <v>0</v>
      </c>
      <c r="AJ422" s="272"/>
      <c r="AK422" s="272"/>
      <c r="AL422" s="398">
        <f>IF($D420="нет",AK422,AK422*1.18)</f>
        <v>0</v>
      </c>
      <c r="AM422" s="633">
        <f>IF(TARIFF_SETUP_METHOD_CODE="BY_MONTHS",SUMIF(ВС.БТр!$BF$129:$BF$130,$C422&amp;"-"&amp;$H$3,ВС.БТр!M$129:M$130),IF(TARIFF_SETUP_METHOD_CODE="BY_PSEUDO_YEARS",SUMIF(ВС.БТр!$F$129:$F$130,$C422&amp;".0",ВС.БТр!M$129:M$130),0))</f>
        <v>0</v>
      </c>
      <c r="AN422" s="272"/>
      <c r="AO422" s="398">
        <f>IF($D420="нет",AN422,AN422*1.18)</f>
        <v>0</v>
      </c>
      <c r="AP422" s="633">
        <f>IF(TARIFF_SETUP_METHOD_CODE="BY_MONTHS",SUMIF(ВС.БТр!$BF$129:$BF$130,$C422&amp;"-"&amp;$H$3,ВС.БТр!N$129:N$130),IF(TARIFF_SETUP_METHOD_CODE="BY_PSEUDO_YEARS",SUMIF(ВС.БТр!$F$129:$F$130,$C422&amp;".0",ВС.БТр!N$129:N$130),0))</f>
        <v>0</v>
      </c>
      <c r="AQ422" s="272"/>
      <c r="AR422" s="398">
        <f>IF($D420="нет",AQ422,AQ422*1.18)</f>
        <v>0</v>
      </c>
      <c r="AS422" s="633">
        <f>IF(TARIFF_SETUP_METHOD_CODE="BY_MONTHS",SUMIF(ВС.БТр!$BF$129:$BF$130,$C422&amp;"-"&amp;$H$3,ВС.БТр!O$129:O$130),IF(TARIFF_SETUP_METHOD_CODE="BY_PSEUDO_YEARS",SUMIF(ВС.БТр!$F$129:$F$130,$C422&amp;".0",ВС.БТр!O$129:O$130),0))</f>
        <v>0</v>
      </c>
      <c r="AT422" s="272"/>
      <c r="AU422" s="398">
        <f>IF($D420="нет",AT422,AT422*1.18)</f>
        <v>0</v>
      </c>
      <c r="AV422" s="633">
        <f>IF(TARIFF_SETUP_METHOD_CODE="BY_MONTHS",SUMIF(ВС.БТр!$BF$129:$BF$130,$C422&amp;"-"&amp;$H$3,ВС.БТр!P$129:P$130),IF(TARIFF_SETUP_METHOD_CODE="BY_PSEUDO_YEARS",SUMIF(ВС.БТр!$F$129:$F$130,$C422&amp;".0",ВС.БТр!P$129:P$130),0))</f>
        <v>0</v>
      </c>
      <c r="AW422" s="272"/>
      <c r="AX422" s="398">
        <f>IF($D420="нет",AW422,AW422*1.18)</f>
        <v>0</v>
      </c>
      <c r="AY422" s="633">
        <f>IF(TARIFF_SETUP_METHOD_CODE="BY_MONTHS",SUMIF(ВС.БТр!$BF$129:$BF$130,$C422&amp;"-"&amp;$H$3,ВС.БТр!Q$129:Q$130),IF(TARIFF_SETUP_METHOD_CODE="BY_PSEUDO_YEARS",SUMIF(ВС.БТр!$F$129:$F$130,$C422&amp;".0",ВС.БТр!Q$129:Q$130),0))</f>
        <v>0</v>
      </c>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s="383">
        <f>AS422+AV422+AY422</f>
        <v>0</v>
      </c>
      <c r="DF422" s="293">
        <f>AF422*AE422</f>
        <v>0</v>
      </c>
      <c r="DG422" s="293">
        <f>AG422*AE422</f>
        <v>0</v>
      </c>
      <c r="DH422" s="293">
        <f>AK422*AM422</f>
        <v>0</v>
      </c>
      <c r="DI422" s="293">
        <f>AL422*AM422</f>
        <v>0</v>
      </c>
      <c r="DJ422" s="293">
        <f>AN422*AP422</f>
        <v>0</v>
      </c>
      <c r="DK422" s="293">
        <f>AO422*AP422</f>
        <v>0</v>
      </c>
      <c r="DL422" s="293">
        <f>AQ422*AS422</f>
        <v>0</v>
      </c>
      <c r="DM422" s="293">
        <f>AR422*AS422</f>
        <v>0</v>
      </c>
      <c r="DN422" s="293">
        <f>AT422*AV422</f>
        <v>0</v>
      </c>
      <c r="DO422" s="293">
        <f>AU422*AV422</f>
        <v>0</v>
      </c>
      <c r="DP422" s="293">
        <f>AW422*AY422</f>
        <v>0</v>
      </c>
      <c r="DQ422" s="293">
        <f>AX422*AY422</f>
        <v>0</v>
      </c>
      <c r="DR422" s="383">
        <f>AH422*AJ422</f>
        <v>0</v>
      </c>
      <c r="DS422" s="383">
        <f>AI422*AJ422</f>
        <v>0</v>
      </c>
      <c r="DT422"/>
      <c r="DU422"/>
      <c r="DV422"/>
      <c r="DW422" s="379"/>
      <c r="DX422" s="379"/>
      <c r="DY422" s="379"/>
      <c r="DZ422" s="379"/>
      <c r="EA422" s="379"/>
      <c r="EB422" s="379"/>
      <c r="EC422" s="379"/>
    </row>
    <row r="423" spans="1:133">
      <c r="H423" s="388" t="s">
        <v>437</v>
      </c>
      <c r="AC423" s="337"/>
      <c r="AD423" s="392"/>
      <c r="AF423" s="337"/>
      <c r="AG423" s="392"/>
      <c r="AM423"/>
      <c r="AP423"/>
      <c r="AS423"/>
      <c r="AV423"/>
      <c r="AW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R423"/>
      <c r="DS423"/>
      <c r="DT423"/>
      <c r="DU423"/>
      <c r="DV423"/>
      <c r="DW423"/>
      <c r="DX423"/>
    </row>
    <row r="424" spans="1:133" s="60" customFormat="1">
      <c r="A424" s="57"/>
      <c r="B424" s="57"/>
      <c r="C424" s="497" t="str">
        <f>F424 &amp; ".0"</f>
        <v>.0</v>
      </c>
      <c r="D424" s="471"/>
      <c r="E424" s="470" t="s">
        <v>719</v>
      </c>
      <c r="F424" s="833"/>
      <c r="G424" s="853"/>
      <c r="H424" s="584" t="str">
        <f>IF(TEMPLATE_SPHERE="водоснабжения","",IF(TEMPLATE_SPHERE="водоотведения","Всего",""))</f>
        <v>Всего</v>
      </c>
      <c r="I424" s="393"/>
      <c r="J424" s="824"/>
      <c r="K424" s="824"/>
      <c r="L424" s="824"/>
      <c r="M424" s="824"/>
      <c r="N424" s="824"/>
      <c r="O424" s="824"/>
      <c r="P424" s="824"/>
      <c r="Q424" s="824"/>
      <c r="R424" s="824"/>
      <c r="S424" s="824"/>
      <c r="T424" s="824"/>
      <c r="U424" s="824"/>
      <c r="V424" s="824"/>
      <c r="W424" s="824"/>
      <c r="X424" s="824"/>
      <c r="Y424" s="337"/>
      <c r="Z424" s="392"/>
      <c r="AA424" s="392"/>
      <c r="AB424" s="392"/>
      <c r="AC424" s="337"/>
      <c r="AD424" s="392"/>
      <c r="AE424" s="392"/>
      <c r="AF424" s="337"/>
      <c r="AG424" s="392"/>
      <c r="AH424" s="392"/>
      <c r="AI424" s="392"/>
      <c r="AJ424" s="392"/>
      <c r="AK424" s="392"/>
      <c r="AL424" s="392"/>
      <c r="AM424" s="392"/>
      <c r="AN424" s="392"/>
      <c r="AO424" s="392"/>
      <c r="AP424" s="392"/>
      <c r="AQ424" s="392"/>
      <c r="AR424" s="392"/>
      <c r="AS424" s="392"/>
      <c r="AT424" s="392"/>
      <c r="AU424" s="392"/>
      <c r="AV424" s="392"/>
      <c r="AW424" s="392"/>
      <c r="AX424" s="392"/>
      <c r="AY424" s="392"/>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s="293"/>
      <c r="DG424" s="293"/>
      <c r="DH424" s="293"/>
      <c r="DI424" s="293"/>
      <c r="DJ424" s="293"/>
      <c r="DK424" s="293"/>
      <c r="DL424" s="293"/>
      <c r="DM424" s="293"/>
      <c r="DN424" s="293"/>
      <c r="DO424" s="293"/>
      <c r="DP424" s="293"/>
      <c r="DQ424" s="293"/>
      <c r="DR424"/>
      <c r="DS424"/>
      <c r="DT424"/>
      <c r="DU424"/>
      <c r="DV424"/>
      <c r="DW424" s="379"/>
      <c r="DX424" s="379"/>
      <c r="DY424" s="379"/>
      <c r="DZ424" s="379"/>
      <c r="EA424" s="379"/>
      <c r="EB424" s="379"/>
      <c r="EC424" s="379"/>
    </row>
    <row r="425" spans="1:133" s="60" customFormat="1">
      <c r="A425" s="57"/>
      <c r="B425" s="57"/>
      <c r="C425" s="497" t="str">
        <f>F424 &amp; ".1"</f>
        <v>.1</v>
      </c>
      <c r="D425" s="471"/>
      <c r="E425" s="470"/>
      <c r="F425" s="833"/>
      <c r="G425" s="853"/>
      <c r="H425" s="584" t="str">
        <f>IF(TEMPLATE_SPHERE="водоснабжения","Вода питьевого качества","")</f>
        <v/>
      </c>
      <c r="I425" s="393"/>
      <c r="J425" s="824"/>
      <c r="K425" s="824"/>
      <c r="L425" s="824"/>
      <c r="M425" s="824"/>
      <c r="N425" s="824"/>
      <c r="O425" s="824"/>
      <c r="P425" s="824"/>
      <c r="Q425" s="824"/>
      <c r="R425" s="824"/>
      <c r="S425" s="824"/>
      <c r="T425" s="824"/>
      <c r="U425" s="824"/>
      <c r="V425" s="824"/>
      <c r="W425" s="824"/>
      <c r="X425" s="824"/>
      <c r="Y425" s="398">
        <f>IF((AS425+AV425+AY425)=0,0,(AA425*(AS425+AV425+AY425)+AH425*IF(AJ425&gt;AS425+AV425+AY425,AS425+AV425+AY425,AJ425))/(AS425+AV425+AY425))</f>
        <v>0</v>
      </c>
      <c r="Z425" s="398">
        <f>IF($D424="нет",Y425,Y425*1.18)</f>
        <v>0</v>
      </c>
      <c r="AA425" s="398">
        <f>IF((AS425+AV425+AY425)=0,0,(AQ425*AS425+AT425*AV425+AW425*AY425)/(AS425+AV425+AY425))</f>
        <v>0</v>
      </c>
      <c r="AB425" s="398">
        <f>IF($D424="нет",AA425,AA425*1.18)</f>
        <v>0</v>
      </c>
      <c r="AC425" s="337"/>
      <c r="AD425" s="392"/>
      <c r="AE425" s="271">
        <f>AM425+AP425+AS425+AV425+AY425</f>
        <v>0</v>
      </c>
      <c r="AF425" s="337"/>
      <c r="AG425" s="392"/>
      <c r="AH425" s="272"/>
      <c r="AI425" s="398">
        <f>IF($D424="нет",AH425,AH425*1.18)</f>
        <v>0</v>
      </c>
      <c r="AJ425" s="272"/>
      <c r="AK425" s="272"/>
      <c r="AL425" s="398">
        <f>IF($D424="нет",AK425,AK425*1.18)</f>
        <v>0</v>
      </c>
      <c r="AM425" s="633">
        <f>IF(TARIFF_SETUP_METHOD_CODE="BY_MONTHS",SUMIF(ВС.БТр!$BF$129:$BF$130,$C425&amp;"-"&amp;$H$3,ВС.БТр!M$129:M$130),IF(TARIFF_SETUP_METHOD_CODE="BY_PSEUDO_YEARS",SUMIF(ВС.БТр!$F$129:$F$130,$C425&amp;".0",ВС.БТр!M$129:M$130),0))</f>
        <v>0</v>
      </c>
      <c r="AN425" s="272"/>
      <c r="AO425" s="398">
        <f>IF($D424="нет",AN425,AN425*1.18)</f>
        <v>0</v>
      </c>
      <c r="AP425" s="633">
        <f>IF(TARIFF_SETUP_METHOD_CODE="BY_MONTHS",SUMIF(ВС.БТр!$BF$129:$BF$130,$C425&amp;"-"&amp;$H$3,ВС.БТр!N$129:N$130),IF(TARIFF_SETUP_METHOD_CODE="BY_PSEUDO_YEARS",SUMIF(ВС.БТр!$F$129:$F$130,$C425&amp;".0",ВС.БТр!N$129:N$130),0))</f>
        <v>0</v>
      </c>
      <c r="AQ425" s="272"/>
      <c r="AR425" s="398">
        <f>IF($D424="нет",AQ425,AQ425*1.18)</f>
        <v>0</v>
      </c>
      <c r="AS425" s="633">
        <f>IF(TARIFF_SETUP_METHOD_CODE="BY_MONTHS",SUMIF(ВС.БТр!$BF$129:$BF$130,$C425&amp;"-"&amp;$H$3,ВС.БТр!O$129:O$130),IF(TARIFF_SETUP_METHOD_CODE="BY_PSEUDO_YEARS",SUMIF(ВС.БТр!$F$129:$F$130,$C425&amp;".0",ВС.БТр!O$129:O$130),0))</f>
        <v>0</v>
      </c>
      <c r="AT425" s="272"/>
      <c r="AU425" s="398">
        <f>IF($D424="нет",AT425,AT425*1.18)</f>
        <v>0</v>
      </c>
      <c r="AV425" s="633">
        <f>IF(TARIFF_SETUP_METHOD_CODE="BY_MONTHS",SUMIF(ВС.БТр!$BF$129:$BF$130,$C425&amp;"-"&amp;$H$3,ВС.БТр!P$129:P$130),IF(TARIFF_SETUP_METHOD_CODE="BY_PSEUDO_YEARS",SUMIF(ВС.БТр!$F$129:$F$130,$C425&amp;".0",ВС.БТр!P$129:P$130),0))</f>
        <v>0</v>
      </c>
      <c r="AW425" s="272"/>
      <c r="AX425" s="398">
        <f>IF($D424="нет",AW425,AW425*1.18)</f>
        <v>0</v>
      </c>
      <c r="AY425" s="633">
        <f>IF(TARIFF_SETUP_METHOD_CODE="BY_MONTHS",SUMIF(ВС.БТр!$BF$129:$BF$130,$C425&amp;"-"&amp;$H$3,ВС.БТр!Q$129:Q$130),IF(TARIFF_SETUP_METHOD_CODE="BY_PSEUDO_YEARS",SUMIF(ВС.БТр!$F$129:$F$130,$C425&amp;".0",ВС.БТр!Q$129:Q$130),0))</f>
        <v>0</v>
      </c>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s="383">
        <f>AS425+AV425+AY425</f>
        <v>0</v>
      </c>
      <c r="DF425" s="293">
        <f>AF425*AE425</f>
        <v>0</v>
      </c>
      <c r="DG425" s="293">
        <f>AG425*AE425</f>
        <v>0</v>
      </c>
      <c r="DH425" s="293">
        <f>AK425*AM425</f>
        <v>0</v>
      </c>
      <c r="DI425" s="293">
        <f>AL425*AM425</f>
        <v>0</v>
      </c>
      <c r="DJ425" s="293">
        <f>AN425*AP425</f>
        <v>0</v>
      </c>
      <c r="DK425" s="293">
        <f>AO425*AP425</f>
        <v>0</v>
      </c>
      <c r="DL425" s="293">
        <f>AQ425*AS425</f>
        <v>0</v>
      </c>
      <c r="DM425" s="293">
        <f>AR425*AS425</f>
        <v>0</v>
      </c>
      <c r="DN425" s="293">
        <f>AT425*AV425</f>
        <v>0</v>
      </c>
      <c r="DO425" s="293">
        <f>AU425*AV425</f>
        <v>0</v>
      </c>
      <c r="DP425" s="293">
        <f>AW425*AY425</f>
        <v>0</v>
      </c>
      <c r="DQ425" s="293">
        <f>AX425*AY425</f>
        <v>0</v>
      </c>
      <c r="DR425" s="383">
        <f>AH425*AJ425</f>
        <v>0</v>
      </c>
      <c r="DS425" s="383">
        <f>AI425*AJ425</f>
        <v>0</v>
      </c>
      <c r="DT425"/>
      <c r="DU425"/>
      <c r="DV425"/>
      <c r="DW425" s="379"/>
      <c r="DX425" s="379"/>
      <c r="DY425" s="379"/>
      <c r="DZ425" s="379"/>
      <c r="EA425" s="379"/>
      <c r="EB425" s="379"/>
      <c r="EC425" s="379"/>
    </row>
    <row r="426" spans="1:133" s="60" customFormat="1" ht="11.25" customHeight="1">
      <c r="A426" s="57"/>
      <c r="B426" s="57"/>
      <c r="C426" s="497" t="str">
        <f>F424 &amp; ".2"</f>
        <v>.2</v>
      </c>
      <c r="D426"/>
      <c r="E426"/>
      <c r="F426" s="833"/>
      <c r="G426" s="835"/>
      <c r="H426" s="584" t="str">
        <f>IF(TEMPLATE_SPHERE="водоснабжения","Вода технического качества","")</f>
        <v/>
      </c>
      <c r="I426" s="393"/>
      <c r="J426" s="824"/>
      <c r="K426" s="824"/>
      <c r="L426" s="824"/>
      <c r="M426" s="824"/>
      <c r="N426" s="824"/>
      <c r="O426" s="824"/>
      <c r="P426" s="824"/>
      <c r="Q426" s="824"/>
      <c r="R426" s="824"/>
      <c r="S426" s="824"/>
      <c r="T426" s="824"/>
      <c r="U426" s="824"/>
      <c r="V426" s="824"/>
      <c r="W426" s="824"/>
      <c r="X426" s="824"/>
      <c r="Y426" s="398">
        <f>IF((AS426+AV426+AY426)=0,0,(AA426*(AS426+AV426+AY426)+AH426*IF(AJ426&gt;AS426+AV426+AY426,AS426+AV426+AY426,AJ426))/(AS426+AV426+AY426))</f>
        <v>0</v>
      </c>
      <c r="Z426" s="398">
        <f>IF($D424="нет",Y426,Y426*1.18)</f>
        <v>0</v>
      </c>
      <c r="AA426" s="398">
        <f>IF((AS426+AV426+AY426)=0,0,(AQ426*AS426+AT426*AV426+AW426*AY426)/(AS426+AV426+AY426))</f>
        <v>0</v>
      </c>
      <c r="AB426" s="398">
        <f>IF($D424="нет",AA426,AA426*1.18)</f>
        <v>0</v>
      </c>
      <c r="AC426" s="337"/>
      <c r="AD426" s="392"/>
      <c r="AE426" s="271">
        <f>AM426+AP426+AS426+AV426+AY426</f>
        <v>0</v>
      </c>
      <c r="AF426" s="337"/>
      <c r="AG426" s="392"/>
      <c r="AH426" s="272"/>
      <c r="AI426" s="398">
        <f>IF($D424="нет",AH426,AH426*1.18)</f>
        <v>0</v>
      </c>
      <c r="AJ426" s="272"/>
      <c r="AK426" s="272"/>
      <c r="AL426" s="398">
        <f>IF($D424="нет",AK426,AK426*1.18)</f>
        <v>0</v>
      </c>
      <c r="AM426" s="633">
        <f>IF(TARIFF_SETUP_METHOD_CODE="BY_MONTHS",SUMIF(ВС.БТр!$BF$129:$BF$130,$C426&amp;"-"&amp;$H$3,ВС.БТр!M$129:M$130),IF(TARIFF_SETUP_METHOD_CODE="BY_PSEUDO_YEARS",SUMIF(ВС.БТр!$F$129:$F$130,$C426&amp;".0",ВС.БТр!M$129:M$130),0))</f>
        <v>0</v>
      </c>
      <c r="AN426" s="272"/>
      <c r="AO426" s="398">
        <f>IF($D424="нет",AN426,AN426*1.18)</f>
        <v>0</v>
      </c>
      <c r="AP426" s="633">
        <f>IF(TARIFF_SETUP_METHOD_CODE="BY_MONTHS",SUMIF(ВС.БТр!$BF$129:$BF$130,$C426&amp;"-"&amp;$H$3,ВС.БТр!N$129:N$130),IF(TARIFF_SETUP_METHOD_CODE="BY_PSEUDO_YEARS",SUMIF(ВС.БТр!$F$129:$F$130,$C426&amp;".0",ВС.БТр!N$129:N$130),0))</f>
        <v>0</v>
      </c>
      <c r="AQ426" s="272"/>
      <c r="AR426" s="398">
        <f>IF($D424="нет",AQ426,AQ426*1.18)</f>
        <v>0</v>
      </c>
      <c r="AS426" s="633">
        <f>IF(TARIFF_SETUP_METHOD_CODE="BY_MONTHS",SUMIF(ВС.БТр!$BF$129:$BF$130,$C426&amp;"-"&amp;$H$3,ВС.БТр!O$129:O$130),IF(TARIFF_SETUP_METHOD_CODE="BY_PSEUDO_YEARS",SUMIF(ВС.БТр!$F$129:$F$130,$C426&amp;".0",ВС.БТр!O$129:O$130),0))</f>
        <v>0</v>
      </c>
      <c r="AT426" s="272"/>
      <c r="AU426" s="398">
        <f>IF($D424="нет",AT426,AT426*1.18)</f>
        <v>0</v>
      </c>
      <c r="AV426" s="633">
        <f>IF(TARIFF_SETUP_METHOD_CODE="BY_MONTHS",SUMIF(ВС.БТр!$BF$129:$BF$130,$C426&amp;"-"&amp;$H$3,ВС.БТр!P$129:P$130),IF(TARIFF_SETUP_METHOD_CODE="BY_PSEUDO_YEARS",SUMIF(ВС.БТр!$F$129:$F$130,$C426&amp;".0",ВС.БТр!P$129:P$130),0))</f>
        <v>0</v>
      </c>
      <c r="AW426" s="272"/>
      <c r="AX426" s="398">
        <f>IF($D424="нет",AW426,AW426*1.18)</f>
        <v>0</v>
      </c>
      <c r="AY426" s="633">
        <f>IF(TARIFF_SETUP_METHOD_CODE="BY_MONTHS",SUMIF(ВС.БТр!$BF$129:$BF$130,$C426&amp;"-"&amp;$H$3,ВС.БТр!Q$129:Q$130),IF(TARIFF_SETUP_METHOD_CODE="BY_PSEUDO_YEARS",SUMIF(ВС.БТр!$F$129:$F$130,$C426&amp;".0",ВС.БТр!Q$129:Q$130),0))</f>
        <v>0</v>
      </c>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s="383">
        <f>AS426+AV426+AY426</f>
        <v>0</v>
      </c>
      <c r="DF426" s="293">
        <f>AF426*AE426</f>
        <v>0</v>
      </c>
      <c r="DG426" s="293">
        <f>AG426*AE426</f>
        <v>0</v>
      </c>
      <c r="DH426" s="293">
        <f>AK426*AM426</f>
        <v>0</v>
      </c>
      <c r="DI426" s="293">
        <f>AL426*AM426</f>
        <v>0</v>
      </c>
      <c r="DJ426" s="293">
        <f>AN426*AP426</f>
        <v>0</v>
      </c>
      <c r="DK426" s="293">
        <f>AO426*AP426</f>
        <v>0</v>
      </c>
      <c r="DL426" s="293">
        <f>AQ426*AS426</f>
        <v>0</v>
      </c>
      <c r="DM426" s="293">
        <f>AR426*AS426</f>
        <v>0</v>
      </c>
      <c r="DN426" s="293">
        <f>AT426*AV426</f>
        <v>0</v>
      </c>
      <c r="DO426" s="293">
        <f>AU426*AV426</f>
        <v>0</v>
      </c>
      <c r="DP426" s="293">
        <f>AW426*AY426</f>
        <v>0</v>
      </c>
      <c r="DQ426" s="293">
        <f>AX426*AY426</f>
        <v>0</v>
      </c>
      <c r="DR426" s="383">
        <f>AH426*AJ426</f>
        <v>0</v>
      </c>
      <c r="DS426" s="383">
        <f>AI426*AJ426</f>
        <v>0</v>
      </c>
      <c r="DT426"/>
      <c r="DU426"/>
      <c r="DV426"/>
      <c r="DW426" s="379"/>
      <c r="DX426" s="379"/>
      <c r="DY426" s="379"/>
      <c r="DZ426" s="379"/>
      <c r="EA426" s="379"/>
      <c r="EB426" s="379"/>
      <c r="EC426" s="379"/>
    </row>
    <row r="427" spans="1:133" s="60" customFormat="1">
      <c r="A427" s="861" t="s">
        <v>433</v>
      </c>
      <c r="B427" s="861"/>
      <c r="D427"/>
      <c r="E427"/>
      <c r="F427" s="379"/>
      <c r="G427" s="379"/>
      <c r="H427" s="388" t="s">
        <v>434</v>
      </c>
      <c r="I427" s="384"/>
      <c r="J427" s="385"/>
      <c r="K427" s="385"/>
      <c r="L427" s="385"/>
      <c r="M427" s="385"/>
      <c r="N427" s="385"/>
      <c r="O427" s="385"/>
      <c r="P427" s="385"/>
      <c r="Q427" s="385"/>
      <c r="R427" s="385"/>
      <c r="S427" s="385"/>
      <c r="T427" s="385"/>
      <c r="U427" s="385"/>
      <c r="V427" s="385"/>
      <c r="W427" s="385"/>
      <c r="X427" s="385"/>
      <c r="Y427" s="385"/>
      <c r="Z427" s="385"/>
      <c r="AA427" s="385"/>
      <c r="AB427" s="385"/>
      <c r="AC427" s="337"/>
      <c r="AD427" s="392"/>
      <c r="AE427" s="385"/>
      <c r="AF427" s="337"/>
      <c r="AG427" s="392"/>
      <c r="AH427" s="385"/>
      <c r="AI427" s="385"/>
      <c r="AJ427" s="385"/>
      <c r="AK427" s="385"/>
      <c r="AL427" s="385"/>
      <c r="AM427"/>
      <c r="AN427" s="385"/>
      <c r="AO427" s="385"/>
      <c r="AP427"/>
      <c r="AQ427" s="385"/>
      <c r="AR427" s="385"/>
      <c r="AS427"/>
      <c r="AT427" s="385"/>
      <c r="AU427" s="385"/>
      <c r="AV427"/>
      <c r="AW427"/>
      <c r="AX427" s="385"/>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s="385"/>
      <c r="DG427" s="385"/>
      <c r="DH427" s="385"/>
      <c r="DR427"/>
      <c r="DS427"/>
      <c r="DT427"/>
      <c r="DU427"/>
      <c r="DV427"/>
      <c r="DW427"/>
      <c r="DX427"/>
      <c r="DY427" s="379"/>
      <c r="DZ427" s="379"/>
      <c r="EA427" s="379"/>
      <c r="EB427" s="379"/>
      <c r="EC427" s="379"/>
    </row>
    <row r="428" spans="1:133" s="60" customFormat="1">
      <c r="A428" s="57"/>
      <c r="B428" s="57"/>
      <c r="C428" s="497" t="str">
        <f>F428 &amp; ".0"</f>
        <v>.0</v>
      </c>
      <c r="D428" s="471"/>
      <c r="E428" s="470" t="s">
        <v>719</v>
      </c>
      <c r="F428" s="833"/>
      <c r="G428" s="853"/>
      <c r="H428" s="584"/>
      <c r="I428" s="393"/>
      <c r="J428" s="824"/>
      <c r="K428" s="824"/>
      <c r="L428" s="824"/>
      <c r="M428" s="824"/>
      <c r="N428" s="824"/>
      <c r="O428" s="824"/>
      <c r="P428" s="824"/>
      <c r="Q428" s="824"/>
      <c r="R428" s="824"/>
      <c r="S428" s="824"/>
      <c r="T428" s="824"/>
      <c r="U428" s="824"/>
      <c r="V428" s="824"/>
      <c r="W428" s="824"/>
      <c r="X428" s="824"/>
      <c r="Y428" s="337"/>
      <c r="Z428" s="392"/>
      <c r="AA428" s="392"/>
      <c r="AB428" s="392"/>
      <c r="AC428" s="337"/>
      <c r="AD428" s="392"/>
      <c r="AE428" s="392"/>
      <c r="AF428" s="337"/>
      <c r="AG428" s="392"/>
      <c r="AH428" s="392"/>
      <c r="AI428" s="392"/>
      <c r="AJ428" s="392"/>
      <c r="AK428" s="392"/>
      <c r="AL428" s="392"/>
      <c r="AM428" s="392"/>
      <c r="AN428" s="392"/>
      <c r="AO428" s="392"/>
      <c r="AP428" s="392"/>
      <c r="AQ428" s="392"/>
      <c r="AR428" s="392"/>
      <c r="AS428" s="392"/>
      <c r="AT428" s="392"/>
      <c r="AU428" s="392"/>
      <c r="AV428" s="392"/>
      <c r="AW428" s="392"/>
      <c r="AX428" s="392"/>
      <c r="AY428" s="392"/>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s="293"/>
      <c r="DG428" s="293"/>
      <c r="DH428" s="293"/>
      <c r="DI428" s="293"/>
      <c r="DJ428" s="293"/>
      <c r="DK428" s="293"/>
      <c r="DL428" s="293"/>
      <c r="DM428" s="293"/>
      <c r="DN428" s="293"/>
      <c r="DO428" s="293"/>
      <c r="DP428" s="293"/>
      <c r="DQ428" s="293"/>
      <c r="DR428"/>
      <c r="DS428"/>
      <c r="DT428"/>
      <c r="DU428"/>
      <c r="DV428"/>
      <c r="DW428" s="379"/>
      <c r="DX428" s="379"/>
      <c r="DY428" s="379"/>
      <c r="DZ428" s="379"/>
      <c r="EA428" s="379"/>
      <c r="EB428" s="379"/>
      <c r="EC428" s="379"/>
    </row>
    <row r="429" spans="1:133" s="60" customFormat="1">
      <c r="A429" s="57"/>
      <c r="B429" s="57"/>
      <c r="C429" s="497" t="str">
        <f>F428 &amp; ".1"</f>
        <v>.1</v>
      </c>
      <c r="D429" s="471"/>
      <c r="E429" s="470"/>
      <c r="F429" s="833"/>
      <c r="G429" s="853"/>
      <c r="H429" s="584"/>
      <c r="I429" s="393"/>
      <c r="J429" s="824"/>
      <c r="K429" s="824"/>
      <c r="L429" s="824"/>
      <c r="M429" s="824"/>
      <c r="N429" s="824"/>
      <c r="O429" s="824"/>
      <c r="P429" s="824"/>
      <c r="Q429" s="824"/>
      <c r="R429" s="824"/>
      <c r="S429" s="824"/>
      <c r="T429" s="824"/>
      <c r="U429" s="824"/>
      <c r="V429" s="824"/>
      <c r="W429" s="824"/>
      <c r="X429" s="824"/>
      <c r="Y429" s="337"/>
      <c r="Z429" s="392"/>
      <c r="AA429" s="392"/>
      <c r="AB429" s="392"/>
      <c r="AC429" s="337"/>
      <c r="AD429" s="392"/>
      <c r="AE429" s="392"/>
      <c r="AF429" s="337"/>
      <c r="AG429" s="392"/>
      <c r="AH429" s="392"/>
      <c r="AI429" s="392"/>
      <c r="AJ429" s="392"/>
      <c r="AK429" s="392"/>
      <c r="AL429" s="392"/>
      <c r="AM429" s="392"/>
      <c r="AN429" s="392"/>
      <c r="AO429" s="392"/>
      <c r="AP429" s="392"/>
      <c r="AQ429" s="392"/>
      <c r="AR429" s="392"/>
      <c r="AS429" s="392"/>
      <c r="AT429" s="392"/>
      <c r="AU429" s="392"/>
      <c r="AV429" s="392"/>
      <c r="AW429" s="392"/>
      <c r="AX429" s="392"/>
      <c r="AY429" s="392"/>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s="293"/>
      <c r="DG429" s="293"/>
      <c r="DH429" s="293"/>
      <c r="DI429" s="293"/>
      <c r="DJ429" s="293"/>
      <c r="DK429" s="293"/>
      <c r="DL429" s="293"/>
      <c r="DM429" s="293"/>
      <c r="DN429" s="293"/>
      <c r="DO429" s="293"/>
      <c r="DP429" s="293"/>
      <c r="DQ429" s="293"/>
      <c r="DR429"/>
      <c r="DS429"/>
      <c r="DT429"/>
      <c r="DU429"/>
      <c r="DV429"/>
      <c r="DW429" s="379"/>
      <c r="DX429" s="379"/>
      <c r="DY429" s="379"/>
      <c r="DZ429" s="379"/>
      <c r="EA429" s="379"/>
      <c r="EB429" s="379"/>
      <c r="EC429" s="379"/>
    </row>
    <row r="430" spans="1:133" s="60" customFormat="1">
      <c r="A430" s="57"/>
      <c r="B430" s="57"/>
      <c r="C430" s="497" t="str">
        <f>F428 &amp; ".2"</f>
        <v>.2</v>
      </c>
      <c r="D430"/>
      <c r="E430"/>
      <c r="F430" s="833"/>
      <c r="G430" s="835"/>
      <c r="H430" s="584"/>
      <c r="I430" s="393"/>
      <c r="J430" s="824"/>
      <c r="K430" s="824"/>
      <c r="L430" s="824"/>
      <c r="M430" s="824"/>
      <c r="N430" s="824"/>
      <c r="O430" s="824"/>
      <c r="P430" s="824"/>
      <c r="Q430" s="824"/>
      <c r="R430" s="824"/>
      <c r="S430" s="824"/>
      <c r="T430" s="824"/>
      <c r="U430" s="824"/>
      <c r="V430" s="824"/>
      <c r="W430" s="824"/>
      <c r="X430" s="824"/>
      <c r="Y430" s="337"/>
      <c r="Z430" s="392"/>
      <c r="AA430" s="392"/>
      <c r="AB430" s="392"/>
      <c r="AC430" s="337"/>
      <c r="AD430" s="392"/>
      <c r="AE430" s="392"/>
      <c r="AF430" s="337"/>
      <c r="AG430" s="392"/>
      <c r="AH430" s="392"/>
      <c r="AI430" s="392"/>
      <c r="AJ430" s="392"/>
      <c r="AK430" s="392"/>
      <c r="AL430" s="392"/>
      <c r="AM430" s="392"/>
      <c r="AN430" s="392"/>
      <c r="AO430" s="392"/>
      <c r="AP430" s="392"/>
      <c r="AQ430" s="392"/>
      <c r="AR430" s="392"/>
      <c r="AS430" s="392"/>
      <c r="AT430" s="392"/>
      <c r="AU430" s="392"/>
      <c r="AV430" s="392"/>
      <c r="AW430" s="392"/>
      <c r="AX430" s="392"/>
      <c r="AY430" s="392"/>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s="293"/>
      <c r="DG430" s="293"/>
      <c r="DH430" s="293"/>
      <c r="DI430" s="293"/>
      <c r="DJ430" s="293"/>
      <c r="DK430" s="293"/>
      <c r="DL430" s="293"/>
      <c r="DM430" s="293"/>
      <c r="DN430" s="293"/>
      <c r="DO430" s="293"/>
      <c r="DP430" s="293"/>
      <c r="DQ430" s="293"/>
      <c r="DR430"/>
      <c r="DS430"/>
      <c r="DT430"/>
      <c r="DU430"/>
      <c r="DV430"/>
      <c r="DW430" s="379"/>
      <c r="DX430" s="379"/>
      <c r="DY430" s="379"/>
      <c r="DZ430" s="379"/>
      <c r="EA430" s="379"/>
      <c r="EB430" s="379"/>
      <c r="EC430" s="379"/>
    </row>
    <row r="433" spans="1:133">
      <c r="H433" s="388" t="s">
        <v>438</v>
      </c>
      <c r="AM433"/>
      <c r="AP433"/>
      <c r="AS433"/>
      <c r="AV433"/>
      <c r="AW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R433"/>
      <c r="DS433"/>
      <c r="DT433"/>
      <c r="DU433"/>
      <c r="DV433"/>
      <c r="DW433"/>
      <c r="DX433"/>
    </row>
    <row r="434" spans="1:133" s="60" customFormat="1">
      <c r="A434" s="57"/>
      <c r="B434" s="57"/>
      <c r="C434" s="497" t="str">
        <f>F434 &amp; ".0"</f>
        <v>.0</v>
      </c>
      <c r="D434" s="471"/>
      <c r="E434" s="470" t="s">
        <v>719</v>
      </c>
      <c r="F434" s="833"/>
      <c r="G434" s="853"/>
      <c r="H434" s="584" t="str">
        <f>IF(TEMPLATE_SPHERE="водоснабжения","",IF(TEMPLATE_SPHERE="водоотведения","Всего",""))</f>
        <v>Всего</v>
      </c>
      <c r="I434" s="393"/>
      <c r="J434" s="824"/>
      <c r="K434" s="824"/>
      <c r="L434" s="824"/>
      <c r="M434" s="824"/>
      <c r="N434" s="824"/>
      <c r="O434" s="824"/>
      <c r="P434" s="824"/>
      <c r="Q434" s="824"/>
      <c r="R434" s="824"/>
      <c r="S434" s="824"/>
      <c r="T434" s="824"/>
      <c r="U434" s="824"/>
      <c r="V434" s="824"/>
      <c r="W434" s="824"/>
      <c r="X434" s="824"/>
      <c r="Y434" s="398">
        <f>IF((AS434+AV434+AY434)=0,0,(AA434*(AS434+AV434+AY434)+AH434*IF(AJ434&gt;AS434+AV434+AY434,AS434+AV434+AY434,AJ434))/(AS434+AV434+AY434))</f>
        <v>0</v>
      </c>
      <c r="Z434" s="398">
        <f>IF($D434="нет",Y434,Y434*1.18)</f>
        <v>0</v>
      </c>
      <c r="AA434" s="398">
        <f>IF((AS434+AV434+AY434)=0,0,(AQ434*AS434+AT434*AV434+AW434*AY434)/(AS434+AV434+AY434))</f>
        <v>0</v>
      </c>
      <c r="AB434" s="398">
        <f>IF($D434="нет",AA434,AA434*1.18)</f>
        <v>0</v>
      </c>
      <c r="AC434" s="337"/>
      <c r="AD434" s="392"/>
      <c r="AE434" s="271">
        <f>AM434+AP434+AS434+AV434+AY434</f>
        <v>0</v>
      </c>
      <c r="AF434" s="337"/>
      <c r="AG434" s="392"/>
      <c r="AH434" s="272"/>
      <c r="AI434" s="398">
        <f>IF($D434="нет",AH434,AH434*1.18)</f>
        <v>0</v>
      </c>
      <c r="AJ434" s="272"/>
      <c r="AK434" s="272"/>
      <c r="AL434" s="398">
        <f>IF($D434="нет",AK434,AK434*1.18)</f>
        <v>0</v>
      </c>
      <c r="AM434" s="633">
        <f>IF(TARIFF_SETUP_METHOD_CODE="BY_MONTHS",SUMIF(БТр!$BF$129:$BF$270,$C434&amp;"-"&amp;$H$3,БТр!M$129:M$270),IF(TARIFF_SETUP_METHOD_CODE="BY_PSEUDO_YEARS",SUMIF(БТр!$F$129:$F$270,$C434,БТр!M$129:M$270),0))</f>
        <v>0</v>
      </c>
      <c r="AN434" s="272"/>
      <c r="AO434" s="398">
        <f>IF($D434="нет",AN434,AN434*1.18)</f>
        <v>0</v>
      </c>
      <c r="AP434" s="633">
        <f>IF(TARIFF_SETUP_METHOD_CODE="BY_MONTHS",SUMIF(БТр!$BF$129:$BF$270,$C434&amp;"-"&amp;$H$3,БТр!N$129:N$270),IF(TARIFF_SETUP_METHOD_CODE="BY_PSEUDO_YEARS",SUMIF(БТр!$F$129:$F$270,$C434,БТр!N$129:N$270),0))</f>
        <v>0</v>
      </c>
      <c r="AQ434" s="272"/>
      <c r="AR434" s="398">
        <f>IF($D434="нет",AQ434,AQ434*1.18)</f>
        <v>0</v>
      </c>
      <c r="AS434" s="633">
        <f>IF(TARIFF_SETUP_METHOD_CODE="BY_MONTHS",SUMIF(БТр!$BF$129:$BF$270,$C434&amp;"-"&amp;$H$3,БТр!O$129:O$270),IF(TARIFF_SETUP_METHOD_CODE="BY_PSEUDO_YEARS",SUMIF(БТр!$F$129:$F$270,$C434,БТр!O$129:O$270),0))</f>
        <v>0</v>
      </c>
      <c r="AT434" s="272"/>
      <c r="AU434" s="398">
        <f>IF($D434="нет",AT434,AT434*1.18)</f>
        <v>0</v>
      </c>
      <c r="AV434" s="633">
        <f>IF(TARIFF_SETUP_METHOD_CODE="BY_MONTHS",SUMIF(БТр!$BF$129:$BF$270,$C434&amp;"-"&amp;$H$3,БТр!P$129:P$270),IF(TARIFF_SETUP_METHOD_CODE="BY_PSEUDO_YEARS",SUMIF(БТр!$F$129:$F$270,$C434,БТр!P$129:P$270),0))</f>
        <v>0</v>
      </c>
      <c r="AW434" s="272"/>
      <c r="AX434" s="398">
        <f>IF($D434="нет",AW434,AW434*1.18)</f>
        <v>0</v>
      </c>
      <c r="AY434" s="633">
        <f>IF(TARIFF_SETUP_METHOD_CODE="BY_MONTHS",SUMIF(БТр!$BF$129:$BF$270,$C434&amp;"-"&amp;$H$3,БТр!Q$129:Q$270),IF(TARIFF_SETUP_METHOD_CODE="BY_PSEUDO_YEARS",SUMIF(БТр!$F$129:$F$270,$C434,БТр!Q$129:Q$270),0))</f>
        <v>0</v>
      </c>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s="383">
        <f>AS434+AV434+AY434</f>
        <v>0</v>
      </c>
      <c r="DF434" s="293">
        <f>AF434*AE434</f>
        <v>0</v>
      </c>
      <c r="DG434" s="293">
        <f>AG434*AE434</f>
        <v>0</v>
      </c>
      <c r="DH434" s="293">
        <f>AK434*AM434</f>
        <v>0</v>
      </c>
      <c r="DI434" s="293">
        <f>AL434*AM434</f>
        <v>0</v>
      </c>
      <c r="DJ434" s="293">
        <f>AN434*AP434</f>
        <v>0</v>
      </c>
      <c r="DK434" s="293">
        <f>AO434*AP434</f>
        <v>0</v>
      </c>
      <c r="DL434" s="293">
        <f>AQ434*AS434</f>
        <v>0</v>
      </c>
      <c r="DM434" s="293">
        <f>AR434*AS434</f>
        <v>0</v>
      </c>
      <c r="DN434" s="293">
        <f>AT434*AV434</f>
        <v>0</v>
      </c>
      <c r="DO434" s="293">
        <f>AU434*AV434</f>
        <v>0</v>
      </c>
      <c r="DP434" s="293">
        <f>AW434*AY434</f>
        <v>0</v>
      </c>
      <c r="DQ434" s="293">
        <f>AX434*AY434</f>
        <v>0</v>
      </c>
      <c r="DR434" s="383">
        <f>AH434*AJ434</f>
        <v>0</v>
      </c>
      <c r="DS434" s="383">
        <f>AI434*AJ434</f>
        <v>0</v>
      </c>
      <c r="DT434"/>
      <c r="DU434"/>
      <c r="DV434"/>
      <c r="DW434" s="379"/>
      <c r="DX434" s="379"/>
      <c r="DY434" s="379"/>
      <c r="DZ434" s="379"/>
      <c r="EA434" s="379"/>
      <c r="EB434" s="379"/>
      <c r="EC434" s="379"/>
    </row>
    <row r="435" spans="1:133" s="60" customFormat="1">
      <c r="A435" s="57"/>
      <c r="B435" s="57"/>
      <c r="C435" s="497" t="str">
        <f>F434 &amp; ".1"</f>
        <v>.1</v>
      </c>
      <c r="D435" s="471"/>
      <c r="E435" s="470"/>
      <c r="F435" s="833"/>
      <c r="G435" s="853"/>
      <c r="H435" s="584"/>
      <c r="I435" s="393"/>
      <c r="J435" s="824"/>
      <c r="K435" s="824"/>
      <c r="L435" s="824"/>
      <c r="M435" s="824"/>
      <c r="N435" s="824"/>
      <c r="O435" s="824"/>
      <c r="P435" s="824"/>
      <c r="Q435" s="824"/>
      <c r="R435" s="824"/>
      <c r="S435" s="824"/>
      <c r="T435" s="824"/>
      <c r="U435" s="824"/>
      <c r="V435" s="824"/>
      <c r="W435" s="824"/>
      <c r="X435" s="824"/>
      <c r="Y435" s="337"/>
      <c r="Z435" s="392"/>
      <c r="AA435" s="392"/>
      <c r="AB435" s="392"/>
      <c r="AC435" s="337"/>
      <c r="AD435" s="392"/>
      <c r="AE435" s="392"/>
      <c r="AF435" s="337"/>
      <c r="AG435" s="392"/>
      <c r="AH435" s="392"/>
      <c r="AI435" s="392"/>
      <c r="AJ435" s="392"/>
      <c r="AK435" s="392"/>
      <c r="AL435" s="392"/>
      <c r="AM435" s="392"/>
      <c r="AN435" s="392"/>
      <c r="AO435" s="392"/>
      <c r="AP435" s="392"/>
      <c r="AQ435" s="392"/>
      <c r="AR435" s="392"/>
      <c r="AS435" s="392"/>
      <c r="AT435" s="392"/>
      <c r="AU435" s="392"/>
      <c r="AV435" s="392"/>
      <c r="AW435" s="392"/>
      <c r="AX435" s="392"/>
      <c r="AY435" s="392"/>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s="293"/>
      <c r="DG435" s="293"/>
      <c r="DH435" s="293"/>
      <c r="DI435" s="293"/>
      <c r="DJ435" s="293"/>
      <c r="DK435" s="293"/>
      <c r="DL435" s="293"/>
      <c r="DM435" s="293"/>
      <c r="DN435" s="293"/>
      <c r="DO435" s="293"/>
      <c r="DP435" s="293"/>
      <c r="DQ435" s="293"/>
      <c r="DR435"/>
      <c r="DS435"/>
      <c r="DT435"/>
      <c r="DU435"/>
      <c r="DV435"/>
      <c r="DW435" s="379"/>
      <c r="DX435" s="379"/>
      <c r="DY435" s="379"/>
      <c r="DZ435" s="379"/>
      <c r="EA435" s="379"/>
      <c r="EB435" s="379"/>
      <c r="EC435" s="379"/>
    </row>
    <row r="436" spans="1:133" s="60" customFormat="1" ht="11.25" customHeight="1">
      <c r="A436" s="57"/>
      <c r="B436" s="57"/>
      <c r="C436" s="497" t="str">
        <f>F434 &amp; ".2"</f>
        <v>.2</v>
      </c>
      <c r="D436"/>
      <c r="E436"/>
      <c r="F436" s="833"/>
      <c r="G436" s="835"/>
      <c r="H436" s="584"/>
      <c r="I436" s="393"/>
      <c r="J436" s="824"/>
      <c r="K436" s="824"/>
      <c r="L436" s="824"/>
      <c r="M436" s="824"/>
      <c r="N436" s="824"/>
      <c r="O436" s="824"/>
      <c r="P436" s="824"/>
      <c r="Q436" s="824"/>
      <c r="R436" s="824"/>
      <c r="S436" s="824"/>
      <c r="T436" s="824"/>
      <c r="U436" s="824"/>
      <c r="V436" s="824"/>
      <c r="W436" s="824"/>
      <c r="X436" s="824"/>
      <c r="Y436" s="337"/>
      <c r="Z436" s="392"/>
      <c r="AA436" s="392"/>
      <c r="AB436" s="392"/>
      <c r="AC436" s="337"/>
      <c r="AD436" s="392"/>
      <c r="AE436" s="392"/>
      <c r="AF436" s="337"/>
      <c r="AG436" s="392"/>
      <c r="AH436" s="392"/>
      <c r="AI436" s="392"/>
      <c r="AJ436" s="392"/>
      <c r="AK436" s="392"/>
      <c r="AL436" s="392"/>
      <c r="AM436" s="392"/>
      <c r="AN436" s="392"/>
      <c r="AO436" s="392"/>
      <c r="AP436" s="392"/>
      <c r="AQ436" s="392"/>
      <c r="AR436" s="392"/>
      <c r="AS436" s="392"/>
      <c r="AT436" s="392"/>
      <c r="AU436" s="392"/>
      <c r="AV436" s="392"/>
      <c r="AW436" s="392"/>
      <c r="AX436" s="392"/>
      <c r="AY436" s="392"/>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s="293"/>
      <c r="DG436" s="293"/>
      <c r="DH436" s="293"/>
      <c r="DI436" s="293"/>
      <c r="DJ436" s="293"/>
      <c r="DK436" s="293"/>
      <c r="DL436" s="293"/>
      <c r="DM436" s="293"/>
      <c r="DN436" s="293"/>
      <c r="DO436" s="293"/>
      <c r="DP436" s="293"/>
      <c r="DQ436" s="293"/>
      <c r="DR436"/>
      <c r="DS436"/>
      <c r="DT436"/>
      <c r="DU436"/>
      <c r="DV436"/>
      <c r="DW436" s="379"/>
      <c r="DX436" s="379"/>
      <c r="DY436" s="379"/>
      <c r="DZ436" s="379"/>
      <c r="EA436" s="379"/>
      <c r="EB436" s="379"/>
      <c r="EC436" s="379"/>
    </row>
    <row r="437" spans="1:133" s="60" customFormat="1">
      <c r="A437" s="861" t="s">
        <v>439</v>
      </c>
      <c r="B437" s="861"/>
      <c r="D437"/>
      <c r="E437"/>
      <c r="F437" s="379"/>
      <c r="G437" s="379"/>
      <c r="H437" s="388" t="s">
        <v>440</v>
      </c>
      <c r="I437" s="384"/>
      <c r="J437" s="385"/>
      <c r="K437" s="385"/>
      <c r="L437" s="385"/>
      <c r="M437" s="385"/>
      <c r="N437" s="385"/>
      <c r="O437" s="385"/>
      <c r="P437" s="385"/>
      <c r="Q437" s="385"/>
      <c r="R437" s="385"/>
      <c r="S437" s="385"/>
      <c r="T437" s="385"/>
      <c r="U437" s="385"/>
      <c r="V437" s="385"/>
      <c r="W437" s="385"/>
      <c r="X437" s="385"/>
      <c r="Y437" s="385"/>
      <c r="Z437" s="385"/>
      <c r="AA437" s="385"/>
      <c r="AB437" s="385"/>
      <c r="AC437" s="337"/>
      <c r="AD437" s="392"/>
      <c r="AE437" s="385"/>
      <c r="AF437" s="337"/>
      <c r="AG437" s="392"/>
      <c r="AH437" s="385"/>
      <c r="AI437" s="385"/>
      <c r="AJ437" s="385"/>
      <c r="AK437" s="385"/>
      <c r="AL437" s="385"/>
      <c r="AM437"/>
      <c r="AN437" s="385"/>
      <c r="AO437" s="385"/>
      <c r="AP437"/>
      <c r="AQ437" s="385"/>
      <c r="AR437" s="385"/>
      <c r="AS437"/>
      <c r="AT437" s="385"/>
      <c r="AU437" s="385"/>
      <c r="AV437"/>
      <c r="AW437"/>
      <c r="AX437" s="385"/>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s="385"/>
      <c r="DG437" s="385"/>
      <c r="DH437" s="385"/>
      <c r="DR437"/>
      <c r="DS437"/>
      <c r="DT437"/>
      <c r="DU437"/>
      <c r="DV437"/>
      <c r="DW437"/>
      <c r="DX437"/>
      <c r="DY437" s="379"/>
      <c r="DZ437" s="379"/>
      <c r="EA437" s="379"/>
      <c r="EB437" s="379"/>
      <c r="EC437" s="379"/>
    </row>
    <row r="438" spans="1:133" s="60" customFormat="1">
      <c r="A438" s="57"/>
      <c r="B438" s="57"/>
      <c r="C438" s="497" t="str">
        <f>F438 &amp; ".0"</f>
        <v>.0</v>
      </c>
      <c r="D438" s="471"/>
      <c r="E438" s="470" t="s">
        <v>719</v>
      </c>
      <c r="F438" s="833"/>
      <c r="G438" s="853"/>
      <c r="H438" s="584"/>
      <c r="I438" s="393"/>
      <c r="J438" s="824"/>
      <c r="K438" s="824"/>
      <c r="L438" s="824"/>
      <c r="M438" s="824"/>
      <c r="N438" s="824"/>
      <c r="O438" s="824"/>
      <c r="P438" s="824"/>
      <c r="Q438" s="824"/>
      <c r="R438" s="824"/>
      <c r="S438" s="824"/>
      <c r="T438" s="824"/>
      <c r="U438" s="824"/>
      <c r="V438" s="824"/>
      <c r="W438" s="824"/>
      <c r="X438" s="824"/>
      <c r="Y438" s="337"/>
      <c r="Z438" s="392"/>
      <c r="AA438" s="392"/>
      <c r="AB438" s="392"/>
      <c r="AC438" s="337"/>
      <c r="AD438" s="392"/>
      <c r="AE438" s="392"/>
      <c r="AF438" s="337"/>
      <c r="AG438" s="392"/>
      <c r="AH438" s="392"/>
      <c r="AI438" s="392"/>
      <c r="AJ438" s="392"/>
      <c r="AK438" s="392"/>
      <c r="AL438" s="392"/>
      <c r="AM438" s="392"/>
      <c r="AN438" s="392"/>
      <c r="AO438" s="392"/>
      <c r="AP438" s="392"/>
      <c r="AQ438" s="392"/>
      <c r="AR438" s="392"/>
      <c r="AS438" s="392"/>
      <c r="AT438" s="392"/>
      <c r="AU438" s="392"/>
      <c r="AV438" s="392"/>
      <c r="AW438" s="392"/>
      <c r="AX438" s="392"/>
      <c r="AY438" s="392"/>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s="293"/>
      <c r="DG438" s="293"/>
      <c r="DH438" s="293"/>
      <c r="DI438" s="293"/>
      <c r="DJ438" s="293"/>
      <c r="DK438" s="293"/>
      <c r="DL438" s="293"/>
      <c r="DM438" s="293"/>
      <c r="DN438" s="293"/>
      <c r="DO438" s="293"/>
      <c r="DP438" s="293"/>
      <c r="DQ438" s="293"/>
      <c r="DR438"/>
      <c r="DS438"/>
      <c r="DT438"/>
      <c r="DU438"/>
      <c r="DV438"/>
      <c r="DW438" s="379"/>
      <c r="DX438" s="379"/>
      <c r="DY438" s="379"/>
      <c r="DZ438" s="379"/>
      <c r="EA438" s="379"/>
      <c r="EB438" s="379"/>
      <c r="EC438" s="379"/>
    </row>
    <row r="439" spans="1:133" s="60" customFormat="1">
      <c r="A439" s="57"/>
      <c r="B439" s="57"/>
      <c r="C439" s="497" t="str">
        <f>F438 &amp; ".1"</f>
        <v>.1</v>
      </c>
      <c r="D439" s="471"/>
      <c r="E439" s="470"/>
      <c r="F439" s="833"/>
      <c r="G439" s="853"/>
      <c r="H439" s="584"/>
      <c r="I439" s="393"/>
      <c r="J439" s="824"/>
      <c r="K439" s="824"/>
      <c r="L439" s="824"/>
      <c r="M439" s="824"/>
      <c r="N439" s="824"/>
      <c r="O439" s="824"/>
      <c r="P439" s="824"/>
      <c r="Q439" s="824"/>
      <c r="R439" s="824"/>
      <c r="S439" s="824"/>
      <c r="T439" s="824"/>
      <c r="U439" s="824"/>
      <c r="V439" s="824"/>
      <c r="W439" s="824"/>
      <c r="X439" s="824"/>
      <c r="Y439" s="337"/>
      <c r="Z439" s="392"/>
      <c r="AA439" s="392"/>
      <c r="AB439" s="392"/>
      <c r="AC439" s="337"/>
      <c r="AD439" s="392"/>
      <c r="AE439" s="392"/>
      <c r="AF439" s="337"/>
      <c r="AG439" s="392"/>
      <c r="AH439" s="392"/>
      <c r="AI439" s="392"/>
      <c r="AJ439" s="392"/>
      <c r="AK439" s="392"/>
      <c r="AL439" s="392"/>
      <c r="AM439" s="392"/>
      <c r="AN439" s="392"/>
      <c r="AO439" s="392"/>
      <c r="AP439" s="392"/>
      <c r="AQ439" s="392"/>
      <c r="AR439" s="392"/>
      <c r="AS439" s="392"/>
      <c r="AT439" s="392"/>
      <c r="AU439" s="392"/>
      <c r="AV439" s="392"/>
      <c r="AW439" s="392"/>
      <c r="AX439" s="392"/>
      <c r="AY439" s="392"/>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s="293"/>
      <c r="DG439" s="293"/>
      <c r="DH439" s="293"/>
      <c r="DI439" s="293"/>
      <c r="DJ439" s="293"/>
      <c r="DK439" s="293"/>
      <c r="DL439" s="293"/>
      <c r="DM439" s="293"/>
      <c r="DN439" s="293"/>
      <c r="DO439" s="293"/>
      <c r="DP439" s="293"/>
      <c r="DQ439" s="293"/>
      <c r="DR439"/>
      <c r="DS439"/>
      <c r="DT439"/>
      <c r="DU439"/>
      <c r="DV439"/>
      <c r="DW439" s="379"/>
      <c r="DX439" s="379"/>
      <c r="DY439" s="379"/>
      <c r="DZ439" s="379"/>
      <c r="EA439" s="379"/>
      <c r="EB439" s="379"/>
      <c r="EC439" s="379"/>
    </row>
    <row r="440" spans="1:133" s="60" customFormat="1">
      <c r="A440" s="57"/>
      <c r="B440" s="57"/>
      <c r="C440" s="497" t="str">
        <f>F438 &amp; ".2"</f>
        <v>.2</v>
      </c>
      <c r="D440"/>
      <c r="E440"/>
      <c r="F440" s="833"/>
      <c r="G440" s="835"/>
      <c r="H440" s="584"/>
      <c r="I440" s="393"/>
      <c r="J440" s="824"/>
      <c r="K440" s="824"/>
      <c r="L440" s="824"/>
      <c r="M440" s="824"/>
      <c r="N440" s="824"/>
      <c r="O440" s="824"/>
      <c r="P440" s="824"/>
      <c r="Q440" s="824"/>
      <c r="R440" s="824"/>
      <c r="S440" s="824"/>
      <c r="T440" s="824"/>
      <c r="U440" s="824"/>
      <c r="V440" s="824"/>
      <c r="W440" s="824"/>
      <c r="X440" s="824"/>
      <c r="Y440" s="337"/>
      <c r="Z440" s="392"/>
      <c r="AA440" s="392"/>
      <c r="AB440" s="392"/>
      <c r="AC440" s="337"/>
      <c r="AD440" s="392"/>
      <c r="AE440" s="392"/>
      <c r="AF440" s="337"/>
      <c r="AG440" s="392"/>
      <c r="AH440" s="392"/>
      <c r="AI440" s="392"/>
      <c r="AJ440" s="392"/>
      <c r="AK440" s="392"/>
      <c r="AL440" s="392"/>
      <c r="AM440" s="392"/>
      <c r="AN440" s="392"/>
      <c r="AO440" s="392"/>
      <c r="AP440" s="392"/>
      <c r="AQ440" s="392"/>
      <c r="AR440" s="392"/>
      <c r="AS440" s="392"/>
      <c r="AT440" s="392"/>
      <c r="AU440" s="392"/>
      <c r="AV440" s="392"/>
      <c r="AW440" s="392"/>
      <c r="AX440" s="392"/>
      <c r="AY440" s="392"/>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s="293"/>
      <c r="DG440" s="293"/>
      <c r="DH440" s="293"/>
      <c r="DI440" s="293"/>
      <c r="DJ440" s="293"/>
      <c r="DK440" s="293"/>
      <c r="DL440" s="293"/>
      <c r="DM440" s="293"/>
      <c r="DN440" s="293"/>
      <c r="DO440" s="293"/>
      <c r="DP440" s="293"/>
      <c r="DQ440" s="293"/>
      <c r="DR440"/>
      <c r="DS440"/>
      <c r="DT440"/>
      <c r="DU440"/>
      <c r="DV440"/>
      <c r="DW440" s="379"/>
      <c r="DX440" s="379"/>
      <c r="DY440" s="379"/>
      <c r="DZ440" s="379"/>
      <c r="EA440" s="379"/>
      <c r="EB440" s="379"/>
      <c r="EC440" s="379"/>
    </row>
    <row r="447" spans="1:133">
      <c r="Y447" s="828" t="str">
        <f>"Экономически обоснованный тариф, руб./" &amp; $G$12</f>
        <v>Экономически обоснованный тариф, руб./</v>
      </c>
      <c r="Z447" s="828"/>
      <c r="AA447" s="872" t="str">
        <f>"Средневзвешенный тариф с учётом надбавки, руб./" &amp; $G$12</f>
        <v>Средневзвешенный тариф с учётом надбавки, руб./</v>
      </c>
      <c r="AB447" s="873"/>
      <c r="AC447" s="895" t="str">
        <f>"Средневзвешенный тариф с учётом инвестиционной составляющей, руб./" &amp; $G$12</f>
        <v>Средневзвешенный тариф с учётом инвестиционной составляющей, руб./</v>
      </c>
      <c r="AD447" s="896"/>
      <c r="AE447" s="895" t="str">
        <f>"Средневзвешенный тариф без учёта инвестиционной составляющей, руб./" &amp; $G$12</f>
        <v>Средневзвешенный тариф без учёта инвестиционной составляющей, руб./</v>
      </c>
      <c r="AF447" s="896"/>
      <c r="AG447" s="828" t="str">
        <f>"Объём реализации услуги потребителям, всего, " &amp; $G$12</f>
        <v xml:space="preserve">Объём реализации услуги потребителям, всего, </v>
      </c>
      <c r="AH447" s="895" t="str">
        <f>"Инвестиционная составляющая, руб./" &amp; $G$12</f>
        <v>Инвестиционная составляющая, руб./</v>
      </c>
      <c r="AI447" s="896"/>
      <c r="AJ447" s="872" t="str">
        <f>"Надбавка к тарифу, руб./" &amp; $G$12</f>
        <v>Надбавка к тарифу, руб./</v>
      </c>
      <c r="AK447" s="873"/>
      <c r="AL447" s="828" t="str">
        <f>"Объём, на который расчитана надбавка, " &amp; $G$12</f>
        <v xml:space="preserve">Объём, на который расчитана надбавка, </v>
      </c>
      <c r="AM447" s="828" t="s">
        <v>2459</v>
      </c>
      <c r="AN447" s="828"/>
      <c r="AO447" s="828"/>
      <c r="AP447" s="828"/>
      <c r="AQ447" s="828"/>
      <c r="AR447" s="828" t="s">
        <v>747</v>
      </c>
      <c r="AS447" s="828"/>
      <c r="AT447" s="828"/>
      <c r="AU447" s="828"/>
      <c r="AV447" s="831"/>
      <c r="AW447" s="828"/>
      <c r="AX447" s="828"/>
      <c r="AY447" s="828"/>
      <c r="AZ447" s="828"/>
      <c r="BA447" s="828"/>
      <c r="BB447" s="828"/>
      <c r="BC447" s="828"/>
      <c r="BD447" s="828"/>
      <c r="BE447" s="828"/>
      <c r="BF447" s="828"/>
      <c r="BG447" s="828" t="s">
        <v>748</v>
      </c>
      <c r="BH447" s="828"/>
      <c r="BI447" s="828"/>
      <c r="BJ447" s="828"/>
      <c r="BK447" s="831"/>
      <c r="BL447" s="828"/>
      <c r="BM447" s="828"/>
      <c r="BN447" s="828"/>
      <c r="BO447" s="828"/>
      <c r="BP447" s="828"/>
      <c r="BQ447" s="828"/>
      <c r="BR447" s="828"/>
      <c r="BS447" s="828"/>
      <c r="BT447" s="828"/>
      <c r="BU447" s="828"/>
      <c r="BV447" s="828" t="s">
        <v>758</v>
      </c>
      <c r="BW447" s="828"/>
      <c r="BX447" s="828"/>
      <c r="BY447" s="828"/>
      <c r="BZ447" s="831"/>
      <c r="CA447" s="828"/>
      <c r="CB447" s="828"/>
      <c r="CC447" s="828"/>
      <c r="CD447" s="828"/>
      <c r="CE447" s="828"/>
      <c r="CF447" s="828"/>
      <c r="CG447" s="828"/>
      <c r="CH447" s="828"/>
      <c r="CI447" s="828"/>
      <c r="CJ447" s="828"/>
      <c r="CK447" s="828" t="s">
        <v>896</v>
      </c>
      <c r="CL447" s="828" t="s">
        <v>897</v>
      </c>
      <c r="CM447" s="828" t="s">
        <v>898</v>
      </c>
      <c r="CN447" s="828"/>
      <c r="CO447" s="828"/>
      <c r="CP447" s="828"/>
      <c r="CQ447" s="828"/>
      <c r="CR447" s="828" t="s">
        <v>899</v>
      </c>
    </row>
    <row r="448" spans="1:133">
      <c r="Y448" s="828"/>
      <c r="Z448" s="828"/>
      <c r="AA448" s="874"/>
      <c r="AB448" s="875"/>
      <c r="AC448" s="897"/>
      <c r="AD448" s="898"/>
      <c r="AE448" s="897"/>
      <c r="AF448" s="898"/>
      <c r="AG448" s="828"/>
      <c r="AH448" s="897"/>
      <c r="AI448" s="898"/>
      <c r="AJ448" s="874"/>
      <c r="AK448" s="875"/>
      <c r="AL448" s="828"/>
      <c r="AM448" s="828" t="str">
        <f>"Тариф, руб./" &amp; $G$12</f>
        <v>Тариф, руб./</v>
      </c>
      <c r="AN448" s="828"/>
      <c r="AO448" s="828" t="str">
        <f>"Льготный тариф, руб./" &amp; $G$12</f>
        <v>Льготный тариф, руб./</v>
      </c>
      <c r="AP448" s="828"/>
      <c r="AQ448" s="828" t="str">
        <f>"Объём реализации услуги, " &amp; $G$12</f>
        <v xml:space="preserve">Объём реализации услуги, </v>
      </c>
      <c r="AR448" s="872" t="str">
        <f>"Одноставочный тариф, руб./" &amp; $G$12</f>
        <v>Одноставочный тариф, руб./</v>
      </c>
      <c r="AS448" s="873"/>
      <c r="AT448" s="828" t="str">
        <f>"Льготный тариф, руб./" &amp; $G$12</f>
        <v>Льготный тариф, руб./</v>
      </c>
      <c r="AU448" s="828"/>
      <c r="AV448" s="828" t="str">
        <f>"Объём реализации услуги, " &amp; $G$12</f>
        <v xml:space="preserve">Объём реализации услуги, </v>
      </c>
      <c r="AW448" s="828" t="s">
        <v>903</v>
      </c>
      <c r="AX448" s="828"/>
      <c r="AY448" s="828"/>
      <c r="AZ448" s="828"/>
      <c r="BA448" s="828"/>
      <c r="BB448" s="828"/>
      <c r="BC448" s="828"/>
      <c r="BD448" s="828"/>
      <c r="BE448" s="828" t="s">
        <v>906</v>
      </c>
      <c r="BF448" s="828" t="str">
        <f>"Удельная величина дотаций, руб./" &amp; $G$12</f>
        <v>Удельная величина дотаций, руб./</v>
      </c>
      <c r="BG448" s="872" t="str">
        <f>"Одноставочный тариф, руб./" &amp; $G$12</f>
        <v>Одноставочный тариф, руб./</v>
      </c>
      <c r="BH448" s="873"/>
      <c r="BI448" s="828" t="str">
        <f>"Льготный тариф, руб./" &amp; $G$12</f>
        <v>Льготный тариф, руб./</v>
      </c>
      <c r="BJ448" s="828"/>
      <c r="BK448" s="828" t="str">
        <f>"Объём реализации услуги, " &amp; $G$12</f>
        <v xml:space="preserve">Объём реализации услуги, </v>
      </c>
      <c r="BL448" s="828" t="s">
        <v>903</v>
      </c>
      <c r="BM448" s="828"/>
      <c r="BN448" s="828"/>
      <c r="BO448" s="828"/>
      <c r="BP448" s="828"/>
      <c r="BQ448" s="828"/>
      <c r="BR448" s="828"/>
      <c r="BS448" s="828"/>
      <c r="BT448" s="828" t="s">
        <v>906</v>
      </c>
      <c r="BU448" s="828" t="str">
        <f>"Удельная величина дотаций, руб./" &amp; $G$12</f>
        <v>Удельная величина дотаций, руб./</v>
      </c>
      <c r="BV448" s="872" t="str">
        <f>"Одноставочный тариф, руб./" &amp; $G$12</f>
        <v>Одноставочный тариф, руб./</v>
      </c>
      <c r="BW448" s="873"/>
      <c r="BX448" s="828" t="str">
        <f>"Льготный тариф, руб./" &amp; $G$12</f>
        <v>Льготный тариф, руб./</v>
      </c>
      <c r="BY448" s="828"/>
      <c r="BZ448" s="828" t="str">
        <f>"Объём реализации услуги, " &amp; $G$12</f>
        <v xml:space="preserve">Объём реализации услуги, </v>
      </c>
      <c r="CA448" s="828" t="s">
        <v>903</v>
      </c>
      <c r="CB448" s="828"/>
      <c r="CC448" s="828"/>
      <c r="CD448" s="828"/>
      <c r="CE448" s="828"/>
      <c r="CF448" s="828"/>
      <c r="CG448" s="828"/>
      <c r="CH448" s="828"/>
      <c r="CI448" s="828" t="s">
        <v>906</v>
      </c>
      <c r="CJ448" s="828" t="str">
        <f>"Удельная величина дотаций, руб./" &amp; $G$12</f>
        <v>Удельная величина дотаций, руб./</v>
      </c>
      <c r="CK448" s="828"/>
      <c r="CL448" s="828"/>
      <c r="CM448" s="828" t="s">
        <v>907</v>
      </c>
      <c r="CN448" s="828" t="s">
        <v>908</v>
      </c>
      <c r="CO448" s="828" t="s">
        <v>909</v>
      </c>
      <c r="CP448" s="828" t="s">
        <v>910</v>
      </c>
      <c r="CQ448" s="828" t="s">
        <v>911</v>
      </c>
      <c r="CR448" s="828"/>
    </row>
    <row r="449" spans="2:152">
      <c r="Y449" s="828"/>
      <c r="Z449" s="828"/>
      <c r="AA449" s="876"/>
      <c r="AB449" s="877"/>
      <c r="AC449" s="899"/>
      <c r="AD449" s="900"/>
      <c r="AE449" s="899"/>
      <c r="AF449" s="900"/>
      <c r="AG449" s="828"/>
      <c r="AH449" s="899"/>
      <c r="AI449" s="900"/>
      <c r="AJ449" s="876"/>
      <c r="AK449" s="877"/>
      <c r="AL449" s="828"/>
      <c r="AM449" s="828"/>
      <c r="AN449" s="828"/>
      <c r="AO449" s="828"/>
      <c r="AP449" s="828"/>
      <c r="AQ449" s="828"/>
      <c r="AR449" s="876"/>
      <c r="AS449" s="877"/>
      <c r="AT449" s="828"/>
      <c r="AU449" s="828"/>
      <c r="AV449" s="828"/>
      <c r="AW449"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AX449" s="828"/>
      <c r="AY449"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AZ449" s="828"/>
      <c r="BA449"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B449"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C449" s="828"/>
      <c r="BD449"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E449" s="828"/>
      <c r="BF449" s="828"/>
      <c r="BG449" s="876"/>
      <c r="BH449" s="877"/>
      <c r="BI449" s="828"/>
      <c r="BJ449" s="828"/>
      <c r="BK449" s="828"/>
      <c r="BL449"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BM449" s="828"/>
      <c r="BN449"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BO449" s="828"/>
      <c r="BP449"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Q449"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R449" s="828"/>
      <c r="BS449"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T449" s="828"/>
      <c r="BU449" s="828"/>
      <c r="BV449" s="876"/>
      <c r="BW449" s="877"/>
      <c r="BX449" s="828"/>
      <c r="BY449" s="828"/>
      <c r="BZ449" s="828"/>
      <c r="CA449"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CB449" s="828"/>
      <c r="CC449"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CD449" s="828"/>
      <c r="CE449"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CF449"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CG449" s="828"/>
      <c r="CH449"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CI449" s="828"/>
      <c r="CJ449" s="828"/>
      <c r="CK449" s="828"/>
      <c r="CL449" s="828"/>
      <c r="CM449" s="828"/>
      <c r="CN449" s="828"/>
      <c r="CO449" s="828"/>
      <c r="CP449" s="828"/>
      <c r="CQ449" s="828"/>
      <c r="CR449" s="828"/>
    </row>
    <row r="450" spans="2:152">
      <c r="Y450" s="193" t="s">
        <v>627</v>
      </c>
      <c r="Z450" s="193" t="s">
        <v>628</v>
      </c>
      <c r="AA450" s="193" t="s">
        <v>627</v>
      </c>
      <c r="AB450" s="193" t="s">
        <v>628</v>
      </c>
      <c r="AC450" s="193" t="s">
        <v>627</v>
      </c>
      <c r="AD450" s="193" t="s">
        <v>628</v>
      </c>
      <c r="AE450" s="193" t="s">
        <v>627</v>
      </c>
      <c r="AF450" s="193" t="s">
        <v>628</v>
      </c>
      <c r="AG450" s="828"/>
      <c r="AH450" s="193" t="s">
        <v>627</v>
      </c>
      <c r="AI450" s="193" t="s">
        <v>628</v>
      </c>
      <c r="AJ450" s="193" t="s">
        <v>627</v>
      </c>
      <c r="AK450" s="193" t="s">
        <v>628</v>
      </c>
      <c r="AL450" s="828"/>
      <c r="AM450" s="193" t="s">
        <v>627</v>
      </c>
      <c r="AN450" s="193" t="s">
        <v>628</v>
      </c>
      <c r="AO450" s="193" t="s">
        <v>627</v>
      </c>
      <c r="AP450" s="193" t="s">
        <v>628</v>
      </c>
      <c r="AQ450" s="828"/>
      <c r="AR450" s="193" t="s">
        <v>627</v>
      </c>
      <c r="AS450" s="193" t="s">
        <v>628</v>
      </c>
      <c r="AT450" s="193" t="s">
        <v>627</v>
      </c>
      <c r="AU450" s="193" t="s">
        <v>628</v>
      </c>
      <c r="AV450" s="828"/>
      <c r="AW450" s="193" t="s">
        <v>627</v>
      </c>
      <c r="AX450" s="193" t="s">
        <v>628</v>
      </c>
      <c r="AY450" s="193" t="s">
        <v>627</v>
      </c>
      <c r="AZ450" s="193" t="s">
        <v>628</v>
      </c>
      <c r="BA450" s="828"/>
      <c r="BB450" s="193" t="s">
        <v>627</v>
      </c>
      <c r="BC450" s="193" t="s">
        <v>628</v>
      </c>
      <c r="BD450" s="828"/>
      <c r="BE450" s="828"/>
      <c r="BF450" s="828"/>
      <c r="BG450" s="193" t="s">
        <v>627</v>
      </c>
      <c r="BH450" s="193" t="s">
        <v>628</v>
      </c>
      <c r="BI450" s="193" t="s">
        <v>627</v>
      </c>
      <c r="BJ450" s="193" t="s">
        <v>628</v>
      </c>
      <c r="BK450" s="828"/>
      <c r="BL450" s="193" t="s">
        <v>627</v>
      </c>
      <c r="BM450" s="193" t="s">
        <v>628</v>
      </c>
      <c r="BN450" s="193" t="s">
        <v>627</v>
      </c>
      <c r="BO450" s="193" t="s">
        <v>628</v>
      </c>
      <c r="BP450" s="828"/>
      <c r="BQ450" s="193" t="s">
        <v>627</v>
      </c>
      <c r="BR450" s="193" t="s">
        <v>628</v>
      </c>
      <c r="BS450" s="828"/>
      <c r="BT450" s="828"/>
      <c r="BU450" s="828"/>
      <c r="BV450" s="193" t="s">
        <v>627</v>
      </c>
      <c r="BW450" s="193" t="s">
        <v>628</v>
      </c>
      <c r="BX450" s="193" t="s">
        <v>627</v>
      </c>
      <c r="BY450" s="193" t="s">
        <v>628</v>
      </c>
      <c r="BZ450" s="828"/>
      <c r="CA450" s="193" t="s">
        <v>627</v>
      </c>
      <c r="CB450" s="193" t="s">
        <v>628</v>
      </c>
      <c r="CC450" s="193" t="s">
        <v>627</v>
      </c>
      <c r="CD450" s="193" t="s">
        <v>628</v>
      </c>
      <c r="CE450" s="828"/>
      <c r="CF450" s="193" t="s">
        <v>627</v>
      </c>
      <c r="CG450" s="193" t="s">
        <v>628</v>
      </c>
      <c r="CH450" s="828"/>
      <c r="CI450" s="828"/>
      <c r="CJ450" s="828"/>
      <c r="CK450" s="828"/>
      <c r="CL450" s="828"/>
      <c r="CM450" s="828"/>
      <c r="CN450" s="828"/>
      <c r="CO450" s="828"/>
      <c r="CP450" s="828"/>
      <c r="CQ450" s="828"/>
      <c r="CR450" s="828"/>
    </row>
    <row r="451" spans="2:152">
      <c r="Y451" s="472" t="s">
        <v>790</v>
      </c>
      <c r="Z451" s="472" t="s">
        <v>792</v>
      </c>
      <c r="AA451" s="472" t="s">
        <v>632</v>
      </c>
      <c r="AB451" s="472" t="s">
        <v>633</v>
      </c>
      <c r="AC451" s="472" t="s">
        <v>635</v>
      </c>
      <c r="AD451" s="472" t="s">
        <v>883</v>
      </c>
      <c r="AE451" s="472" t="s">
        <v>885</v>
      </c>
      <c r="AF451" s="472" t="s">
        <v>886</v>
      </c>
      <c r="AG451" s="183" t="s">
        <v>761</v>
      </c>
      <c r="AH451" s="472" t="s">
        <v>888</v>
      </c>
      <c r="AI451" s="472" t="s">
        <v>889</v>
      </c>
      <c r="AJ451" s="472" t="s">
        <v>891</v>
      </c>
      <c r="AK451" s="472" t="s">
        <v>892</v>
      </c>
      <c r="AL451" s="472" t="s">
        <v>443</v>
      </c>
      <c r="AM451" s="183" t="s">
        <v>767</v>
      </c>
      <c r="AN451" s="183" t="s">
        <v>918</v>
      </c>
      <c r="AO451" s="183" t="s">
        <v>919</v>
      </c>
      <c r="AP451" s="183" t="s">
        <v>1799</v>
      </c>
      <c r="AQ451" s="183" t="s">
        <v>768</v>
      </c>
      <c r="AR451" s="183" t="s">
        <v>2993</v>
      </c>
      <c r="AS451" s="183" t="s">
        <v>3003</v>
      </c>
      <c r="AT451" s="183" t="s">
        <v>1800</v>
      </c>
      <c r="AU451" s="183" t="s">
        <v>1801</v>
      </c>
      <c r="AV451" s="183" t="s">
        <v>771</v>
      </c>
      <c r="AW451" s="183" t="s">
        <v>1802</v>
      </c>
      <c r="AX451" s="183" t="s">
        <v>1803</v>
      </c>
      <c r="AY451" s="183" t="s">
        <v>1804</v>
      </c>
      <c r="AZ451" s="183" t="s">
        <v>1805</v>
      </c>
      <c r="BA451" s="183" t="s">
        <v>1806</v>
      </c>
      <c r="BB451" s="183" t="s">
        <v>1807</v>
      </c>
      <c r="BC451" s="183" t="s">
        <v>1808</v>
      </c>
      <c r="BD451" s="183" t="s">
        <v>1809</v>
      </c>
      <c r="BE451" s="183" t="s">
        <v>1810</v>
      </c>
      <c r="BF451" s="183" t="s">
        <v>1811</v>
      </c>
      <c r="BG451" s="183" t="s">
        <v>1833</v>
      </c>
      <c r="BH451" s="183" t="s">
        <v>1835</v>
      </c>
      <c r="BI451" s="183" t="s">
        <v>1812</v>
      </c>
      <c r="BJ451" s="183" t="s">
        <v>1813</v>
      </c>
      <c r="BK451" s="183" t="s">
        <v>62</v>
      </c>
      <c r="BL451" s="183" t="s">
        <v>71</v>
      </c>
      <c r="BM451" s="183" t="s">
        <v>1845</v>
      </c>
      <c r="BN451" s="183" t="s">
        <v>1814</v>
      </c>
      <c r="BO451" s="183" t="s">
        <v>1815</v>
      </c>
      <c r="BP451" s="183" t="s">
        <v>1816</v>
      </c>
      <c r="BQ451" s="183" t="s">
        <v>1817</v>
      </c>
      <c r="BR451" s="183" t="s">
        <v>1818</v>
      </c>
      <c r="BS451" s="183" t="s">
        <v>1819</v>
      </c>
      <c r="BT451" s="183" t="s">
        <v>1848</v>
      </c>
      <c r="BU451" s="183" t="s">
        <v>1855</v>
      </c>
      <c r="BV451" s="183" t="s">
        <v>1820</v>
      </c>
      <c r="BW451" s="183" t="s">
        <v>1821</v>
      </c>
      <c r="BX451" s="183" t="s">
        <v>1822</v>
      </c>
      <c r="BY451" s="183" t="s">
        <v>1823</v>
      </c>
      <c r="BZ451" s="183" t="s">
        <v>2416</v>
      </c>
      <c r="CA451" s="183" t="s">
        <v>1824</v>
      </c>
      <c r="CB451" s="183" t="s">
        <v>1825</v>
      </c>
      <c r="CC451" s="183" t="s">
        <v>1826</v>
      </c>
      <c r="CD451" s="183" t="s">
        <v>1827</v>
      </c>
      <c r="CE451" s="183" t="s">
        <v>1828</v>
      </c>
      <c r="CF451" s="183" t="s">
        <v>1829</v>
      </c>
      <c r="CG451" s="183" t="s">
        <v>1830</v>
      </c>
      <c r="CH451" s="183" t="s">
        <v>1831</v>
      </c>
      <c r="CI451" s="183" t="s">
        <v>2422</v>
      </c>
      <c r="CJ451" s="183" t="s">
        <v>2425</v>
      </c>
      <c r="CK451" s="183" t="s">
        <v>2427</v>
      </c>
      <c r="CL451" s="183" t="s">
        <v>2431</v>
      </c>
      <c r="CM451" s="183" t="s">
        <v>845</v>
      </c>
      <c r="CN451" s="183" t="s">
        <v>1847</v>
      </c>
      <c r="CO451" s="183" t="s">
        <v>1854</v>
      </c>
      <c r="CP451" s="183" t="s">
        <v>2421</v>
      </c>
      <c r="CQ451" s="183" t="s">
        <v>2424</v>
      </c>
      <c r="CR451" s="183" t="s">
        <v>3005</v>
      </c>
    </row>
    <row r="452" spans="2:152">
      <c r="H452" s="388" t="s">
        <v>2380</v>
      </c>
    </row>
    <row r="453" spans="2:152" s="60" customFormat="1">
      <c r="B453" s="38"/>
      <c r="C453" s="497" t="str">
        <f>F453 &amp; ".0"</f>
        <v>.0</v>
      </c>
      <c r="D453" s="471"/>
      <c r="E453" s="470" t="s">
        <v>719</v>
      </c>
      <c r="F453" s="833"/>
      <c r="G453" s="853"/>
      <c r="H453" s="584"/>
      <c r="I453" s="393"/>
      <c r="J453" s="824"/>
      <c r="K453" s="824"/>
      <c r="L453" s="824"/>
      <c r="M453" s="824"/>
      <c r="N453" s="824"/>
      <c r="O453" s="824"/>
      <c r="P453" s="824"/>
      <c r="Q453" s="824"/>
      <c r="R453" s="824"/>
      <c r="S453" s="824"/>
      <c r="T453" s="824"/>
      <c r="U453" s="824"/>
      <c r="V453" s="824"/>
      <c r="W453" s="824"/>
      <c r="X453" s="824"/>
      <c r="Y453" s="585"/>
      <c r="Z453" s="392"/>
      <c r="AA453" s="585"/>
      <c r="AB453" s="392"/>
      <c r="AC453" s="585"/>
      <c r="AD453" s="392"/>
      <c r="AE453" s="585"/>
      <c r="AF453" s="392"/>
      <c r="AG453" s="585"/>
      <c r="AH453" s="585"/>
      <c r="AI453" s="392"/>
      <c r="AJ453" s="585"/>
      <c r="AK453" s="392"/>
      <c r="AL453" s="585"/>
      <c r="AM453" s="585"/>
      <c r="AN453" s="392"/>
      <c r="AO453" s="585"/>
      <c r="AP453" s="392"/>
      <c r="AQ453" s="585"/>
      <c r="AR453" s="585"/>
      <c r="AS453" s="392"/>
      <c r="AT453" s="585"/>
      <c r="AU453" s="392"/>
      <c r="AV453" s="585"/>
      <c r="AW453" s="585"/>
      <c r="AX453" s="392"/>
      <c r="AY453" s="585"/>
      <c r="AZ453" s="392"/>
      <c r="BA453" s="585"/>
      <c r="BB453" s="585"/>
      <c r="BC453" s="392"/>
      <c r="BD453" s="585"/>
      <c r="BE453" s="585"/>
      <c r="BF453" s="585"/>
      <c r="BG453" s="585"/>
      <c r="BH453" s="392"/>
      <c r="BI453" s="585"/>
      <c r="BJ453" s="392"/>
      <c r="BK453" s="585"/>
      <c r="BL453" s="585"/>
      <c r="BM453" s="392"/>
      <c r="BN453" s="585"/>
      <c r="BO453" s="392"/>
      <c r="BP453" s="585"/>
      <c r="BQ453" s="585"/>
      <c r="BR453" s="392"/>
      <c r="BS453" s="585"/>
      <c r="BT453" s="585"/>
      <c r="BU453" s="585"/>
      <c r="BV453" s="585"/>
      <c r="BW453" s="392"/>
      <c r="BX453" s="585"/>
      <c r="BY453" s="392"/>
      <c r="BZ453" s="585"/>
      <c r="CA453" s="585"/>
      <c r="CB453" s="392"/>
      <c r="CC453" s="585"/>
      <c r="CD453" s="392"/>
      <c r="CE453" s="585"/>
      <c r="CF453" s="585"/>
      <c r="CG453" s="392"/>
      <c r="CH453" s="585"/>
      <c r="CI453" s="585"/>
      <c r="CJ453" s="585"/>
      <c r="CK453" s="585"/>
      <c r="CL453" s="585"/>
      <c r="CM453" s="585"/>
      <c r="CN453" s="585"/>
      <c r="CO453" s="585"/>
      <c r="CP453" s="585"/>
      <c r="CQ453" s="586"/>
      <c r="CR453" s="585"/>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row>
    <row r="454" spans="2:152" s="60" customFormat="1">
      <c r="B454" s="38"/>
      <c r="C454" s="497" t="str">
        <f>F453 &amp; ".1"</f>
        <v>.1</v>
      </c>
      <c r="D454"/>
      <c r="E454"/>
      <c r="F454" s="833"/>
      <c r="G454" s="835"/>
      <c r="H454" s="584" t="str">
        <f>IF(TEMPLATE_SPHERE="водоснабжения","Вода питьевого качества","")</f>
        <v/>
      </c>
      <c r="I454" s="393"/>
      <c r="J454" s="824"/>
      <c r="K454" s="824"/>
      <c r="L454" s="824"/>
      <c r="M454" s="824"/>
      <c r="N454" s="824"/>
      <c r="O454" s="824"/>
      <c r="P454" s="824"/>
      <c r="Q454" s="824"/>
      <c r="R454" s="824"/>
      <c r="S454" s="824"/>
      <c r="T454" s="824"/>
      <c r="U454" s="824"/>
      <c r="V454" s="824"/>
      <c r="W454" s="824"/>
      <c r="X454" s="824"/>
      <c r="Y454" s="399"/>
      <c r="Z454" s="398">
        <f>IF($D453="нет",Y454,Y454*1.18)</f>
        <v>0</v>
      </c>
      <c r="AA454" s="398">
        <f>IF(AG454=0,0,(AC454*AG454+AJ454*IF(AL454&gt;AG454,AG454,AL454))/AG454)</f>
        <v>0</v>
      </c>
      <c r="AB454" s="398">
        <f>IF($D453="нет",AA454,AA454*1.18)</f>
        <v>0</v>
      </c>
      <c r="AC454" s="398">
        <f>IF(AG454&gt;0,(AR454*AV454+BG454*BK454+BV454*BZ454)/AG454,0)</f>
        <v>0</v>
      </c>
      <c r="AD454" s="398">
        <f>IF($D453="нет",AC454,AC454*1.18)</f>
        <v>0</v>
      </c>
      <c r="AE454" s="585"/>
      <c r="AF454" s="392"/>
      <c r="AG454" s="398">
        <f>AV454+BK454+BZ454</f>
        <v>0</v>
      </c>
      <c r="AH454" s="585"/>
      <c r="AI454" s="392"/>
      <c r="AJ454" s="399"/>
      <c r="AK454" s="398">
        <f>IF($D453="нет",AJ454,AJ454*1.18)</f>
        <v>0</v>
      </c>
      <c r="AL454" s="399"/>
      <c r="AM454" s="399"/>
      <c r="AN454" s="398">
        <f>IF($D453="нет",AM454,AM454*1.18)</f>
        <v>0</v>
      </c>
      <c r="AO454" s="399"/>
      <c r="AP454" s="398">
        <f>IF($D453="нет",AO454,AO454*1.18)</f>
        <v>0</v>
      </c>
      <c r="AQ454" s="633">
        <f>IF(TARIFF_SETUP_METHOD_CODE="BY_MONTHS",SUMIF(ВС.БПр!$BF$129:$BF$130,$C454&amp;"-"&amp;$H$3,ВС.БПр!U$129:U$130),IF(TARIFF_SETUP_METHOD_CODE="BY_PSEUDO_YEARS",SUMIF(ВС.БПр!$F$129:$F$130,$C454&amp;".0",ВС.БПр!U$129:U$130),0))</f>
        <v>0</v>
      </c>
      <c r="AR454" s="399"/>
      <c r="AS454" s="398">
        <f>IF($D453="нет",AR454,AR454*1.18)</f>
        <v>0</v>
      </c>
      <c r="AT454" s="399"/>
      <c r="AU454" s="398">
        <f>IF($D453="нет",AT454,AT454*1.18)</f>
        <v>0</v>
      </c>
      <c r="AV454" s="633">
        <f>IF(TARIFF_SETUP_METHOD_CODE="BY_MONTHS",SUMIF(ВС.БПр!$BF$129:$BF$130,$C454&amp;"-"&amp;$H$3,ВС.БПр!AA$129:AA$130),IF(TARIFF_SETUP_METHOD_CODE="BY_PSEUDO_YEARS",SUMIF(ВС.БПр!$F$129:$F$130,$C454&amp;".0",ВС.БПр!AA$129:AA$130),0))</f>
        <v>0</v>
      </c>
      <c r="AW454" s="117"/>
      <c r="AX454" s="117"/>
      <c r="AY454" s="117"/>
      <c r="AZ454" s="117"/>
      <c r="BA454" s="117"/>
      <c r="BB454" s="117"/>
      <c r="BC454" s="117"/>
      <c r="BD454" s="117"/>
      <c r="BE454" s="399"/>
      <c r="BF454" s="398">
        <f>IF(AV454=0,0,1000*BE454/AV454)</f>
        <v>0</v>
      </c>
      <c r="BG454" s="399"/>
      <c r="BH454" s="398">
        <f>IF($D453="нет",BG454,BG454*1.18)</f>
        <v>0</v>
      </c>
      <c r="BI454" s="399"/>
      <c r="BJ454" s="398">
        <f>IF($D453="нет",BI454,BI454*1.18)</f>
        <v>0</v>
      </c>
      <c r="BK454" s="633">
        <f>IF(TARIFF_SETUP_METHOD_CODE="BY_MONTHS",SUMIF(ВС.БПр!$BF$129:$BF$130,$C454&amp;"-"&amp;$H$3,ВС.БПр!AB$129:AB$130),IF(TARIFF_SETUP_METHOD_CODE="BY_PSEUDO_YEARS",SUMIF(ВС.БПр!$F$129:$F$130,$C454&amp;".0",ВС.БПр!AB$129:AB$130),0))</f>
        <v>0</v>
      </c>
      <c r="BL454" s="117"/>
      <c r="BM454" s="117"/>
      <c r="BN454" s="117"/>
      <c r="BO454" s="117"/>
      <c r="BP454" s="117"/>
      <c r="BQ454" s="117"/>
      <c r="BR454" s="117"/>
      <c r="BS454" s="117"/>
      <c r="BT454" s="399"/>
      <c r="BU454" s="398">
        <f>IF(BK454=0,0,1000*BT454/BK454)</f>
        <v>0</v>
      </c>
      <c r="BV454" s="399"/>
      <c r="BW454" s="398">
        <f>IF($D453="нет",BV454,BV454*1.18)</f>
        <v>0</v>
      </c>
      <c r="BX454" s="399"/>
      <c r="BY454" s="398">
        <f>IF($D453="нет",BX454,BX454*1.18)</f>
        <v>0</v>
      </c>
      <c r="BZ454" s="633">
        <f>IF(TARIFF_SETUP_METHOD_CODE="BY_MONTHS",SUMIF(ВС.БПр!$BF$129:$BF$130,$C454&amp;"-"&amp;$H$3,ВС.БПр!AC$129:AC$130),IF(TARIFF_SETUP_METHOD_CODE="BY_PSEUDO_YEARS",SUMIF(ВС.БПр!$F$129:$F$130,$C454&amp;".0",ВС.БПр!AC$129:AC$130),0))</f>
        <v>0</v>
      </c>
      <c r="CA454" s="117"/>
      <c r="CB454" s="117"/>
      <c r="CC454" s="117"/>
      <c r="CD454" s="117"/>
      <c r="CE454" s="117"/>
      <c r="CF454" s="117"/>
      <c r="CG454" s="117"/>
      <c r="CH454" s="117"/>
      <c r="CI454" s="399"/>
      <c r="CJ454" s="398">
        <f>IF(BZ454=0,0,1000*CI454/BZ454)</f>
        <v>0</v>
      </c>
      <c r="CK454" s="398">
        <f>BE454+BT454+CI454</f>
        <v>0</v>
      </c>
      <c r="CL454" s="335">
        <f>SUM(CN454:CQ454)</f>
        <v>0</v>
      </c>
      <c r="CM454" s="398">
        <f>SUMIF(CN454:CQ454,"&gt;0")</f>
        <v>0</v>
      </c>
      <c r="CN454" s="398">
        <f>(Y454-AM454)*AQ454/1000</f>
        <v>0</v>
      </c>
      <c r="CO454" s="398">
        <f>(Y454-(AR454+BF454))*AV454/1000</f>
        <v>0</v>
      </c>
      <c r="CP454" s="398">
        <f>(Y454-(BG454+BU454))*BK454/1000</f>
        <v>0</v>
      </c>
      <c r="CQ454" s="398">
        <f>(Y454-(BV454+CJ454))*BZ454/1000</f>
        <v>0</v>
      </c>
      <c r="CR454" s="587"/>
      <c r="CS454"/>
      <c r="CT454"/>
      <c r="CU454"/>
      <c r="CV454"/>
      <c r="CW454"/>
      <c r="CX454"/>
      <c r="CY454"/>
      <c r="CZ454"/>
      <c r="DA454"/>
      <c r="DB454"/>
      <c r="DC454"/>
      <c r="DD454"/>
      <c r="DE454"/>
      <c r="DF454" s="80">
        <f>AH454*AG454</f>
        <v>0</v>
      </c>
      <c r="DG454" s="80">
        <f>AI454*AG454</f>
        <v>0</v>
      </c>
      <c r="DH454" s="80">
        <f>AM454*AQ454</f>
        <v>0</v>
      </c>
      <c r="DI454" s="80">
        <f>AN454*AQ454</f>
        <v>0</v>
      </c>
      <c r="DJ454" s="80">
        <f>AR454*AV454</f>
        <v>0</v>
      </c>
      <c r="DK454" s="80">
        <f>AS454*AV454</f>
        <v>0</v>
      </c>
      <c r="DL454" s="80">
        <f>BG454*BK454</f>
        <v>0</v>
      </c>
      <c r="DM454" s="80">
        <f>BH454*BK454</f>
        <v>0</v>
      </c>
      <c r="DN454" s="80">
        <f>BV454*BZ454</f>
        <v>0</v>
      </c>
      <c r="DO454" s="80">
        <f>BW454*BZ454</f>
        <v>0</v>
      </c>
      <c r="DP454" s="382">
        <f>AW454*BA454</f>
        <v>0</v>
      </c>
      <c r="DQ454" s="382">
        <f>AX454*BA454</f>
        <v>0</v>
      </c>
      <c r="DR454" s="382">
        <f>AY454*BA454</f>
        <v>0</v>
      </c>
      <c r="DS454" s="382">
        <f>AZ454*BA454</f>
        <v>0</v>
      </c>
      <c r="DT454" s="382">
        <f>BB454*BD454</f>
        <v>0</v>
      </c>
      <c r="DU454" s="382">
        <f>BC454*BD454</f>
        <v>0</v>
      </c>
      <c r="DV454" s="382">
        <f>BL454*BP454</f>
        <v>0</v>
      </c>
      <c r="DW454" s="382">
        <f>BM454*BP454</f>
        <v>0</v>
      </c>
      <c r="DX454" s="382">
        <f>BN454*BP454</f>
        <v>0</v>
      </c>
      <c r="DY454" s="382">
        <f>BO454*BP454</f>
        <v>0</v>
      </c>
      <c r="DZ454" s="382">
        <f>BQ454*BS454</f>
        <v>0</v>
      </c>
      <c r="EA454" s="382">
        <f>BR454*BS454</f>
        <v>0</v>
      </c>
      <c r="EB454" s="382">
        <f>CA454*CE454</f>
        <v>0</v>
      </c>
      <c r="EC454" s="382">
        <f>CB454*CE454</f>
        <v>0</v>
      </c>
      <c r="ED454" s="382">
        <f>CC454*CE454</f>
        <v>0</v>
      </c>
      <c r="EE454" s="382">
        <f>CD454*CE454</f>
        <v>0</v>
      </c>
      <c r="EF454" s="382">
        <f>CF454*CH454</f>
        <v>0</v>
      </c>
      <c r="EG454" s="382">
        <f>CG454*CH454</f>
        <v>0</v>
      </c>
      <c r="EH454" s="383">
        <f>Y454*(AG454+AQ454)</f>
        <v>0</v>
      </c>
      <c r="EI454" s="383">
        <f>Z454*(AG454+AQ454)</f>
        <v>0</v>
      </c>
      <c r="EJ454" s="80">
        <f>AO454*AQ454</f>
        <v>0</v>
      </c>
      <c r="EK454" s="80">
        <f>AP454*AQ454</f>
        <v>0</v>
      </c>
      <c r="EL454" s="80">
        <f>AT454*AV454</f>
        <v>0</v>
      </c>
      <c r="EM454" s="80">
        <f>AU454*AV454</f>
        <v>0</v>
      </c>
      <c r="EN454" s="80">
        <f>BI454*BK454</f>
        <v>0</v>
      </c>
      <c r="EO454" s="80">
        <f>BJ454*BK454</f>
        <v>0</v>
      </c>
      <c r="EP454" s="80">
        <f>BX454*BZ454</f>
        <v>0</v>
      </c>
      <c r="EQ454" s="80">
        <f>BY454*BZ454</f>
        <v>0</v>
      </c>
      <c r="ER454" s="383">
        <f>AJ454*AL454</f>
        <v>0</v>
      </c>
      <c r="ES454" s="383">
        <f>AK454*AL454</f>
        <v>0</v>
      </c>
      <c r="ET454" s="383">
        <f>IF(AV454+BA454&gt;0,(AR454*AV454+AW454*BA454)/(AV454+BA454),0)</f>
        <v>0</v>
      </c>
      <c r="EU454" s="383">
        <f>IF(BK454+BP454&gt;0,(BG454*BK454+BL454*BP454)/(BK454+BP454),0)</f>
        <v>0</v>
      </c>
      <c r="EV454" s="383">
        <f>IF(BZ454+CE454&gt;0,(BV454*BZ454+CA454*CE454)/(BZ454+CE454),0)</f>
        <v>0</v>
      </c>
    </row>
    <row r="455" spans="2:152" s="60" customFormat="1">
      <c r="C455" s="497" t="str">
        <f>F453 &amp; ".2"</f>
        <v>.2</v>
      </c>
      <c r="D455"/>
      <c r="E455"/>
      <c r="F455" s="833"/>
      <c r="G455" s="835"/>
      <c r="H455" s="584"/>
      <c r="I455" s="393"/>
      <c r="J455" s="824"/>
      <c r="K455" s="824"/>
      <c r="L455" s="824"/>
      <c r="M455" s="824"/>
      <c r="N455" s="824"/>
      <c r="O455" s="824"/>
      <c r="P455" s="824"/>
      <c r="Q455" s="824"/>
      <c r="R455" s="824"/>
      <c r="S455" s="824"/>
      <c r="T455" s="824"/>
      <c r="U455" s="824"/>
      <c r="V455" s="824"/>
      <c r="W455" s="824"/>
      <c r="X455" s="824"/>
      <c r="Y455" s="585"/>
      <c r="Z455" s="392"/>
      <c r="AA455" s="585"/>
      <c r="AB455" s="392"/>
      <c r="AC455" s="585"/>
      <c r="AD455" s="392"/>
      <c r="AE455" s="585"/>
      <c r="AF455" s="392"/>
      <c r="AG455" s="585"/>
      <c r="AH455" s="585"/>
      <c r="AI455" s="392"/>
      <c r="AJ455" s="585"/>
      <c r="AK455" s="392"/>
      <c r="AL455" s="585"/>
      <c r="AM455" s="585"/>
      <c r="AN455" s="392"/>
      <c r="AO455" s="585"/>
      <c r="AP455" s="392"/>
      <c r="AQ455" s="585"/>
      <c r="AR455" s="585"/>
      <c r="AS455" s="392"/>
      <c r="AT455" s="585"/>
      <c r="AU455" s="392"/>
      <c r="AV455" s="585"/>
      <c r="AW455" s="585"/>
      <c r="AX455" s="392"/>
      <c r="AY455" s="585"/>
      <c r="AZ455" s="392"/>
      <c r="BA455" s="585"/>
      <c r="BB455" s="585"/>
      <c r="BC455" s="392"/>
      <c r="BD455" s="585"/>
      <c r="BE455" s="585"/>
      <c r="BF455" s="585"/>
      <c r="BG455" s="585"/>
      <c r="BH455" s="392"/>
      <c r="BI455" s="585"/>
      <c r="BJ455" s="392"/>
      <c r="BK455" s="585"/>
      <c r="BL455" s="585"/>
      <c r="BM455" s="392"/>
      <c r="BN455" s="585"/>
      <c r="BO455" s="392"/>
      <c r="BP455" s="585"/>
      <c r="BQ455" s="585"/>
      <c r="BR455" s="392"/>
      <c r="BS455" s="585"/>
      <c r="BT455" s="585"/>
      <c r="BU455" s="585"/>
      <c r="BV455" s="585"/>
      <c r="BW455" s="392"/>
      <c r="BX455" s="585"/>
      <c r="BY455" s="392"/>
      <c r="BZ455" s="585"/>
      <c r="CA455" s="585"/>
      <c r="CB455" s="392"/>
      <c r="CC455" s="585"/>
      <c r="CD455" s="392"/>
      <c r="CE455" s="585"/>
      <c r="CF455" s="585"/>
      <c r="CG455" s="392"/>
      <c r="CH455" s="585"/>
      <c r="CI455" s="585"/>
      <c r="CJ455" s="585"/>
      <c r="CK455" s="585"/>
      <c r="CL455" s="585"/>
      <c r="CM455" s="585"/>
      <c r="CN455" s="585"/>
      <c r="CO455" s="585"/>
      <c r="CP455" s="585"/>
      <c r="CQ455" s="586"/>
      <c r="CR455" s="58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row>
    <row r="456" spans="2:152">
      <c r="H456" s="388" t="s">
        <v>2381</v>
      </c>
    </row>
    <row r="457" spans="2:152" s="60" customFormat="1" ht="11.25" customHeight="1">
      <c r="B457" s="38"/>
      <c r="C457" s="497" t="str">
        <f>F457 &amp; ".0"</f>
        <v>.0</v>
      </c>
      <c r="D457" s="471"/>
      <c r="E457" s="470" t="s">
        <v>719</v>
      </c>
      <c r="F457" s="892"/>
      <c r="G457" s="850"/>
      <c r="H457" s="584"/>
      <c r="I457" s="393"/>
      <c r="J457" s="865"/>
      <c r="K457" s="824"/>
      <c r="L457" s="824"/>
      <c r="M457" s="824"/>
      <c r="N457" s="824"/>
      <c r="O457" s="865"/>
      <c r="P457" s="865"/>
      <c r="Q457" s="865"/>
      <c r="R457" s="865"/>
      <c r="S457" s="865"/>
      <c r="T457" s="865"/>
      <c r="U457" s="865"/>
      <c r="V457" s="865"/>
      <c r="W457" s="865"/>
      <c r="X457" s="865"/>
      <c r="Y457" s="585"/>
      <c r="Z457" s="392"/>
      <c r="AA457" s="585"/>
      <c r="AB457" s="392"/>
      <c r="AC457" s="585"/>
      <c r="AD457" s="392"/>
      <c r="AE457" s="585"/>
      <c r="AF457" s="392"/>
      <c r="AG457" s="585"/>
      <c r="AH457" s="585"/>
      <c r="AI457" s="392"/>
      <c r="AJ457" s="585"/>
      <c r="AK457" s="392"/>
      <c r="AL457" s="585"/>
      <c r="AM457" s="585"/>
      <c r="AN457" s="392"/>
      <c r="AO457" s="585"/>
      <c r="AP457" s="392"/>
      <c r="AQ457" s="585"/>
      <c r="AR457" s="585"/>
      <c r="AS457" s="392"/>
      <c r="AT457" s="585"/>
      <c r="AU457" s="392"/>
      <c r="AV457" s="585"/>
      <c r="AW457" s="585"/>
      <c r="AX457" s="392"/>
      <c r="AY457" s="585"/>
      <c r="AZ457" s="392"/>
      <c r="BA457" s="585"/>
      <c r="BB457" s="585"/>
      <c r="BC457" s="392"/>
      <c r="BD457" s="585"/>
      <c r="BE457" s="585"/>
      <c r="BF457" s="585"/>
      <c r="BG457" s="585"/>
      <c r="BH457" s="392"/>
      <c r="BI457" s="585"/>
      <c r="BJ457" s="392"/>
      <c r="BK457" s="585"/>
      <c r="BL457" s="585"/>
      <c r="BM457" s="392"/>
      <c r="BN457" s="585"/>
      <c r="BO457" s="392"/>
      <c r="BP457" s="585"/>
      <c r="BQ457" s="585"/>
      <c r="BR457" s="392"/>
      <c r="BS457" s="585"/>
      <c r="BT457" s="585"/>
      <c r="BU457" s="585"/>
      <c r="BV457" s="585"/>
      <c r="BW457" s="392"/>
      <c r="BX457" s="585"/>
      <c r="BY457" s="392"/>
      <c r="BZ457" s="585"/>
      <c r="CA457" s="585"/>
      <c r="CB457" s="392"/>
      <c r="CC457" s="585"/>
      <c r="CD457" s="392"/>
      <c r="CE457" s="585"/>
      <c r="CF457" s="585"/>
      <c r="CG457" s="392"/>
      <c r="CH457" s="585"/>
      <c r="CI457" s="585"/>
      <c r="CJ457" s="585"/>
      <c r="CK457" s="585"/>
      <c r="CL457" s="585"/>
      <c r="CM457" s="585"/>
      <c r="CN457" s="585"/>
      <c r="CO457" s="585"/>
      <c r="CP457" s="585"/>
      <c r="CQ457" s="586"/>
      <c r="CR457" s="585"/>
      <c r="CS457"/>
      <c r="CT457"/>
      <c r="CU457"/>
      <c r="CV457"/>
      <c r="CW457"/>
      <c r="CX457"/>
      <c r="CY457"/>
      <c r="CZ457"/>
      <c r="DA457"/>
      <c r="DB457"/>
      <c r="DC457"/>
      <c r="DD457"/>
      <c r="DE457"/>
      <c r="DF457" s="80">
        <f>AH457*AG457</f>
        <v>0</v>
      </c>
      <c r="DG457" s="80">
        <f>AI457*AG457</f>
        <v>0</v>
      </c>
      <c r="DH457" s="80">
        <f>AM457*AQ457</f>
        <v>0</v>
      </c>
      <c r="DI457" s="80">
        <f>AN457*AQ457</f>
        <v>0</v>
      </c>
      <c r="DJ457" s="80">
        <f>AR457*AV457</f>
        <v>0</v>
      </c>
      <c r="DK457" s="80">
        <f>AS457*AV457</f>
        <v>0</v>
      </c>
      <c r="DL457" s="80">
        <f>BG457*BK457</f>
        <v>0</v>
      </c>
      <c r="DM457" s="80">
        <f>BH457*BK457</f>
        <v>0</v>
      </c>
      <c r="DN457" s="80">
        <f>BV457*BZ457</f>
        <v>0</v>
      </c>
      <c r="DO457" s="80">
        <f>BW457*BZ457</f>
        <v>0</v>
      </c>
      <c r="DP457" s="382">
        <f>AW457*BA457</f>
        <v>0</v>
      </c>
      <c r="DQ457" s="382">
        <f>AX457*BA457</f>
        <v>0</v>
      </c>
      <c r="DR457" s="382">
        <f>AY457*BA457</f>
        <v>0</v>
      </c>
      <c r="DS457" s="382">
        <f>AZ457*BA457</f>
        <v>0</v>
      </c>
      <c r="DT457" s="382">
        <f>BB457*BD457</f>
        <v>0</v>
      </c>
      <c r="DU457" s="382">
        <f>BC457*BD457</f>
        <v>0</v>
      </c>
      <c r="DV457" s="382">
        <f>BL457*BP457</f>
        <v>0</v>
      </c>
      <c r="DW457" s="382">
        <f>BM457*BP457</f>
        <v>0</v>
      </c>
      <c r="DX457" s="382">
        <f>BN457*BP457</f>
        <v>0</v>
      </c>
      <c r="DY457" s="382">
        <f>BO457*BP457</f>
        <v>0</v>
      </c>
      <c r="DZ457" s="382">
        <f>BQ457*BS457</f>
        <v>0</v>
      </c>
      <c r="EA457" s="382">
        <f>BR457*BS457</f>
        <v>0</v>
      </c>
      <c r="EB457" s="382">
        <f>CA457*CE457</f>
        <v>0</v>
      </c>
      <c r="EC457" s="382">
        <f>CB457*CE457</f>
        <v>0</v>
      </c>
      <c r="ED457" s="382">
        <f>CC457*CE457</f>
        <v>0</v>
      </c>
      <c r="EE457" s="382">
        <f>CD457*CE457</f>
        <v>0</v>
      </c>
      <c r="EF457" s="382">
        <f>CF457*CH457</f>
        <v>0</v>
      </c>
      <c r="EG457" s="382">
        <f>CG457*CH457</f>
        <v>0</v>
      </c>
      <c r="EH457" s="383">
        <f>Y457*(AG457+AQ457)</f>
        <v>0</v>
      </c>
      <c r="EI457" s="383">
        <f>Z457*(AG457+AQ457)</f>
        <v>0</v>
      </c>
      <c r="EJ457" s="80">
        <f>AO457*AQ457</f>
        <v>0</v>
      </c>
      <c r="EK457" s="80">
        <f>AP457*AQ457</f>
        <v>0</v>
      </c>
      <c r="EL457" s="80">
        <f>AT457*AV457</f>
        <v>0</v>
      </c>
      <c r="EM457" s="80">
        <f>AU457*AV457</f>
        <v>0</v>
      </c>
      <c r="EN457" s="80">
        <f>BI457*BK457</f>
        <v>0</v>
      </c>
      <c r="EO457" s="80">
        <f>BJ457*BK457</f>
        <v>0</v>
      </c>
      <c r="EP457" s="80">
        <f>BX457*BZ457</f>
        <v>0</v>
      </c>
      <c r="EQ457" s="80">
        <f>BY457*BZ457</f>
        <v>0</v>
      </c>
      <c r="ER457" s="383">
        <f>AJ457*AL457</f>
        <v>0</v>
      </c>
      <c r="ES457" s="383">
        <f>AK457*AL457</f>
        <v>0</v>
      </c>
      <c r="ET457" s="383">
        <f>IF(AV457+BA457&gt;0,(AR457*AV457+AW457*BA457)/(AV457+BA457),0)</f>
        <v>0</v>
      </c>
      <c r="EU457" s="383">
        <f>IF(BK457+BP457&gt;0,(BG457*BK457+BL457*BP457)/(BK457+BP457),0)</f>
        <v>0</v>
      </c>
      <c r="EV457" s="383">
        <f>IF(BZ457+CE457&gt;0,(BV457*BZ457+CA457*CE457)/(BZ457+CE457),0)</f>
        <v>0</v>
      </c>
    </row>
    <row r="458" spans="2:152" s="60" customFormat="1" ht="11.25" customHeight="1">
      <c r="B458" s="38"/>
      <c r="C458" s="497" t="str">
        <f>F457 &amp; ".1"</f>
        <v>.1</v>
      </c>
      <c r="D458"/>
      <c r="E458"/>
      <c r="F458" s="893"/>
      <c r="G458" s="851"/>
      <c r="H458" s="584" t="str">
        <f>IF(TEMPLATE_SPHERE="водоснабжения","Вода питьевого качества","")</f>
        <v/>
      </c>
      <c r="I458" s="393"/>
      <c r="J458" s="866"/>
      <c r="K458" s="824"/>
      <c r="L458" s="824"/>
      <c r="M458" s="824"/>
      <c r="N458" s="824"/>
      <c r="O458" s="866"/>
      <c r="P458" s="866"/>
      <c r="Q458" s="866"/>
      <c r="R458" s="866"/>
      <c r="S458" s="866"/>
      <c r="T458" s="866"/>
      <c r="U458" s="866"/>
      <c r="V458" s="866"/>
      <c r="W458" s="866"/>
      <c r="X458" s="866"/>
      <c r="Y458" s="399"/>
      <c r="Z458" s="398">
        <f>IF($D457="нет",Y458,Y458*1.18)</f>
        <v>0</v>
      </c>
      <c r="AA458" s="398">
        <f>IF(AG458=0,0,(AC458*AG458+AJ458*IF(AL458&gt;AG458,AG458,AL458))/AG458)</f>
        <v>0</v>
      </c>
      <c r="AB458" s="398">
        <f>IF($D457="нет",AA458,AA458*1.18)</f>
        <v>0</v>
      </c>
      <c r="AC458" s="398">
        <f>IF(AG458&gt;0,(AW458*BA458+BL458*BP458+CA458*CE458-AH458*AG458)/AG458,0)</f>
        <v>0</v>
      </c>
      <c r="AD458" s="398">
        <f>IF($D457="нет",AC458,AC458*1.18)</f>
        <v>0</v>
      </c>
      <c r="AE458" s="585"/>
      <c r="AF458" s="392"/>
      <c r="AG458" s="398">
        <f>BA458+BP458+CE458</f>
        <v>0</v>
      </c>
      <c r="AH458" s="585"/>
      <c r="AI458" s="392"/>
      <c r="AJ458" s="399"/>
      <c r="AK458" s="398">
        <f>IF($D457="нет",AJ458,AJ458*1.18)</f>
        <v>0</v>
      </c>
      <c r="AL458" s="399"/>
      <c r="AM458" s="399"/>
      <c r="AN458" s="398">
        <f>IF($D457="нет",AM458,AM458*1.18)</f>
        <v>0</v>
      </c>
      <c r="AO458" s="399"/>
      <c r="AP458" s="398">
        <f>IF($D457="нет",AO458,AO458*1.18)</f>
        <v>0</v>
      </c>
      <c r="AQ458" s="633">
        <f>IF(TARIFF_SETUP_METHOD_CODE="BY_MONTHS",SUMIF(ВС.БПр!$BF$129:$BF$130,$C458&amp;"-"&amp;$H$3,ВС.БПр!U$129:U$130),IF(TARIFF_SETUP_METHOD_CODE="BY_PSEUDO_YEARS",SUMIF(ВС.БПр!$F$129:$F$130,$C458&amp;".0",ВС.БПр!U$129:U$130),0))</f>
        <v>0</v>
      </c>
      <c r="AR458" s="117"/>
      <c r="AS458" s="117"/>
      <c r="AT458" s="117"/>
      <c r="AU458" s="117"/>
      <c r="AV458" s="117"/>
      <c r="AW458" s="398">
        <f>IF(BA458&gt;0,((AY458*BA458)+(1000*$I$3*BB458*BD458))/BA458,0)</f>
        <v>0</v>
      </c>
      <c r="AX458" s="398">
        <f>IF($D457="нет",AW458,AW458*1.18)</f>
        <v>0</v>
      </c>
      <c r="AY458" s="399"/>
      <c r="AZ458" s="398">
        <f>IF($D457="нет",AY458,AY458*1.18)</f>
        <v>0</v>
      </c>
      <c r="BA458" s="399"/>
      <c r="BB458" s="399"/>
      <c r="BC458" s="398">
        <f>IF($D457="нет",BB458,BB458*1.18)</f>
        <v>0</v>
      </c>
      <c r="BD458" s="399"/>
      <c r="BE458" s="399"/>
      <c r="BF458" s="398">
        <f>IF(BA458=0,0,1000*BE458/BA458)</f>
        <v>0</v>
      </c>
      <c r="BG458" s="117"/>
      <c r="BH458" s="117"/>
      <c r="BI458" s="117"/>
      <c r="BJ458" s="117"/>
      <c r="BK458" s="117"/>
      <c r="BL458" s="398">
        <f>IF(BP458&gt;0,((BN458*BP458)+(1000*$I$3*BQ458*BS458))/BP458,0)</f>
        <v>0</v>
      </c>
      <c r="BM458" s="398">
        <f>IF($D457="нет",BL458,BL458*1.18)</f>
        <v>0</v>
      </c>
      <c r="BN458" s="399"/>
      <c r="BO458" s="398">
        <f>IF($D457="нет",BN458,BN458*1.18)</f>
        <v>0</v>
      </c>
      <c r="BP458" s="399"/>
      <c r="BQ458" s="399"/>
      <c r="BR458" s="398">
        <f>IF($D457="нет",BQ458,BQ458*1.18)</f>
        <v>0</v>
      </c>
      <c r="BS458" s="399"/>
      <c r="BT458" s="399"/>
      <c r="BU458" s="398">
        <f>IF(BP458=0,0,1000*BT458/BP458)</f>
        <v>0</v>
      </c>
      <c r="BV458" s="117"/>
      <c r="BW458" s="117"/>
      <c r="BX458" s="117"/>
      <c r="BY458" s="117"/>
      <c r="BZ458" s="117"/>
      <c r="CA458" s="398">
        <f>IF(CE458&gt;0,((CC458*CE458)+(1000*$I$3*CF458*CH458))/CE458,0)</f>
        <v>0</v>
      </c>
      <c r="CB458" s="398">
        <f>IF($D457="нет",CA458,CA458*1.18)</f>
        <v>0</v>
      </c>
      <c r="CC458" s="399"/>
      <c r="CD458" s="398">
        <f>IF($D457="нет",CC458,CC458*1.18)</f>
        <v>0</v>
      </c>
      <c r="CE458" s="399"/>
      <c r="CF458" s="399"/>
      <c r="CG458" s="398">
        <f>IF($D457="нет",CF458,CF458*1.18)</f>
        <v>0</v>
      </c>
      <c r="CH458" s="399"/>
      <c r="CI458" s="399"/>
      <c r="CJ458" s="398">
        <f>IF(CE458=0,0,1000*CI458/CE458)</f>
        <v>0</v>
      </c>
      <c r="CK458" s="398">
        <f>BE458+BT458+CI458</f>
        <v>0</v>
      </c>
      <c r="CL458" s="335">
        <f>SUM(CN458:CQ458)</f>
        <v>0</v>
      </c>
      <c r="CM458" s="398">
        <f>SUMIF(CN458:CQ458,"&gt;0")</f>
        <v>0</v>
      </c>
      <c r="CN458" s="398">
        <f>(Y458-AM458)*AQ458/1000</f>
        <v>0</v>
      </c>
      <c r="CO458" s="398">
        <f>(Y458-(AR458+BF458))*AV458/1000</f>
        <v>0</v>
      </c>
      <c r="CP458" s="398">
        <f>(Y458-(BG458+BU458))*BK458/1000</f>
        <v>0</v>
      </c>
      <c r="CQ458" s="398">
        <f>(Y458-(BV458+CJ458))*BZ458/1000</f>
        <v>0</v>
      </c>
      <c r="CR458" s="587"/>
      <c r="CS458"/>
      <c r="CT458"/>
      <c r="CU458"/>
      <c r="CV458"/>
      <c r="CW458"/>
      <c r="CX458"/>
      <c r="CY458"/>
      <c r="CZ458"/>
      <c r="DA458"/>
      <c r="DB458"/>
      <c r="DC458"/>
      <c r="DD458"/>
      <c r="DE458"/>
      <c r="DF458" s="80">
        <f>AH458*AG458</f>
        <v>0</v>
      </c>
      <c r="DG458" s="80">
        <f>AI458*AG458</f>
        <v>0</v>
      </c>
      <c r="DH458" s="80">
        <f>AM458*AQ458</f>
        <v>0</v>
      </c>
      <c r="DI458" s="80">
        <f>AN458*AQ458</f>
        <v>0</v>
      </c>
      <c r="DJ458" s="80">
        <f>AR458*AV458</f>
        <v>0</v>
      </c>
      <c r="DK458" s="80">
        <f>AS458*AV458</f>
        <v>0</v>
      </c>
      <c r="DL458" s="80">
        <f>BG458*BK458</f>
        <v>0</v>
      </c>
      <c r="DM458" s="80">
        <f>BH458*BK458</f>
        <v>0</v>
      </c>
      <c r="DN458" s="80">
        <f>BV458*BZ458</f>
        <v>0</v>
      </c>
      <c r="DO458" s="80">
        <f>BW458*BZ458</f>
        <v>0</v>
      </c>
      <c r="DP458" s="382">
        <f>AW458*BA458</f>
        <v>0</v>
      </c>
      <c r="DQ458" s="382">
        <f>AX458*BA458</f>
        <v>0</v>
      </c>
      <c r="DR458" s="382">
        <f>AY458*BA458</f>
        <v>0</v>
      </c>
      <c r="DS458" s="382">
        <f>AZ458*BA458</f>
        <v>0</v>
      </c>
      <c r="DT458" s="382">
        <f>BB458*BD458</f>
        <v>0</v>
      </c>
      <c r="DU458" s="382">
        <f>BC458*BD458</f>
        <v>0</v>
      </c>
      <c r="DV458" s="382">
        <f>BL458*BP458</f>
        <v>0</v>
      </c>
      <c r="DW458" s="382">
        <f>BM458*BP458</f>
        <v>0</v>
      </c>
      <c r="DX458" s="382">
        <f>BN458*BP458</f>
        <v>0</v>
      </c>
      <c r="DY458" s="382">
        <f>BO458*BP458</f>
        <v>0</v>
      </c>
      <c r="DZ458" s="382">
        <f>BQ458*BS458</f>
        <v>0</v>
      </c>
      <c r="EA458" s="382">
        <f>BR458*BS458</f>
        <v>0</v>
      </c>
      <c r="EB458" s="382">
        <f>CA458*CE458</f>
        <v>0</v>
      </c>
      <c r="EC458" s="382">
        <f>CB458*CE458</f>
        <v>0</v>
      </c>
      <c r="ED458" s="382">
        <f>CC458*CE458</f>
        <v>0</v>
      </c>
      <c r="EE458" s="382">
        <f>CD458*CE458</f>
        <v>0</v>
      </c>
      <c r="EF458" s="382">
        <f>CF458*CH458</f>
        <v>0</v>
      </c>
      <c r="EG458" s="382">
        <f>CG458*CH458</f>
        <v>0</v>
      </c>
      <c r="EH458" s="383">
        <f>Y458*(AG458+AQ458)</f>
        <v>0</v>
      </c>
      <c r="EI458" s="383">
        <f>Z458*(AG458+AQ458)</f>
        <v>0</v>
      </c>
      <c r="EJ458" s="80">
        <f>AO458*AQ458</f>
        <v>0</v>
      </c>
      <c r="EK458" s="80">
        <f>AP458*AQ458</f>
        <v>0</v>
      </c>
      <c r="EL458" s="80">
        <f>AT458*AV458</f>
        <v>0</v>
      </c>
      <c r="EM458" s="80">
        <f>AU458*AV458</f>
        <v>0</v>
      </c>
      <c r="EN458" s="80">
        <f>BI458*BK458</f>
        <v>0</v>
      </c>
      <c r="EO458" s="80">
        <f>BJ458*BK458</f>
        <v>0</v>
      </c>
      <c r="EP458" s="80">
        <f>BX458*BZ458</f>
        <v>0</v>
      </c>
      <c r="EQ458" s="80">
        <f>BY458*BZ458</f>
        <v>0</v>
      </c>
      <c r="ER458" s="383">
        <f>AJ458*AL458</f>
        <v>0</v>
      </c>
      <c r="ES458" s="383">
        <f>AK458*AL458</f>
        <v>0</v>
      </c>
      <c r="ET458" s="383">
        <f>IF(AV458+BA458&gt;0,(AR458*AV458+AW458*BA458)/(AV458+BA458),0)</f>
        <v>0</v>
      </c>
      <c r="EU458" s="383">
        <f>IF(BK458+BP458&gt;0,(BG458*BK458+BL458*BP458)/(BK458+BP458),0)</f>
        <v>0</v>
      </c>
      <c r="EV458" s="383">
        <f>IF(BZ458+CE458&gt;0,(BV458*BZ458+CA458*CE458)/(BZ458+CE458),0)</f>
        <v>0</v>
      </c>
    </row>
    <row r="459" spans="2:152" s="60" customFormat="1" ht="11.25" customHeight="1">
      <c r="C459" s="497" t="str">
        <f>F457 &amp; ".2"</f>
        <v>.2</v>
      </c>
      <c r="D459"/>
      <c r="E459"/>
      <c r="F459" s="894"/>
      <c r="G459" s="852"/>
      <c r="H459" s="584"/>
      <c r="I459" s="393"/>
      <c r="J459" s="867"/>
      <c r="K459" s="824"/>
      <c r="L459" s="824"/>
      <c r="M459" s="824"/>
      <c r="N459" s="824"/>
      <c r="O459" s="867"/>
      <c r="P459" s="867"/>
      <c r="Q459" s="867"/>
      <c r="R459" s="867"/>
      <c r="S459" s="867"/>
      <c r="T459" s="867"/>
      <c r="U459" s="867"/>
      <c r="V459" s="867"/>
      <c r="W459" s="867"/>
      <c r="X459" s="867"/>
      <c r="Y459" s="585"/>
      <c r="Z459" s="392"/>
      <c r="AA459" s="585"/>
      <c r="AB459" s="392"/>
      <c r="AC459" s="585"/>
      <c r="AD459" s="392"/>
      <c r="AE459" s="585"/>
      <c r="AF459" s="392"/>
      <c r="AG459" s="585"/>
      <c r="AH459" s="585"/>
      <c r="AI459" s="392"/>
      <c r="AJ459" s="585"/>
      <c r="AK459" s="392"/>
      <c r="AL459" s="585"/>
      <c r="AM459" s="585"/>
      <c r="AN459" s="392"/>
      <c r="AO459" s="585"/>
      <c r="AP459" s="392"/>
      <c r="AQ459" s="585"/>
      <c r="AR459" s="585"/>
      <c r="AS459" s="392"/>
      <c r="AT459" s="585"/>
      <c r="AU459" s="392"/>
      <c r="AV459" s="585"/>
      <c r="AW459" s="585"/>
      <c r="AX459" s="392"/>
      <c r="AY459" s="585"/>
      <c r="AZ459" s="392"/>
      <c r="BA459" s="585"/>
      <c r="BB459" s="585"/>
      <c r="BC459" s="392"/>
      <c r="BD459" s="585"/>
      <c r="BE459" s="585"/>
      <c r="BF459" s="585"/>
      <c r="BG459" s="585"/>
      <c r="BH459" s="392"/>
      <c r="BI459" s="585"/>
      <c r="BJ459" s="392"/>
      <c r="BK459" s="585"/>
      <c r="BL459" s="585"/>
      <c r="BM459" s="392"/>
      <c r="BN459" s="585"/>
      <c r="BO459" s="392"/>
      <c r="BP459" s="585"/>
      <c r="BQ459" s="585"/>
      <c r="BR459" s="392"/>
      <c r="BS459" s="585"/>
      <c r="BT459" s="585"/>
      <c r="BU459" s="585"/>
      <c r="BV459" s="585"/>
      <c r="BW459" s="392"/>
      <c r="BX459" s="585"/>
      <c r="BY459" s="392"/>
      <c r="BZ459" s="585"/>
      <c r="CA459" s="585"/>
      <c r="CB459" s="392"/>
      <c r="CC459" s="585"/>
      <c r="CD459" s="392"/>
      <c r="CE459" s="585"/>
      <c r="CF459" s="585"/>
      <c r="CG459" s="392"/>
      <c r="CH459" s="585"/>
      <c r="CI459" s="585"/>
      <c r="CJ459" s="585"/>
      <c r="CK459" s="585"/>
      <c r="CL459" s="585"/>
      <c r="CM459" s="585"/>
      <c r="CN459" s="585"/>
      <c r="CO459" s="585"/>
      <c r="CP459" s="585"/>
      <c r="CQ459" s="586"/>
      <c r="CR459" s="585"/>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row>
    <row r="460" spans="2:152">
      <c r="H460" s="388" t="s">
        <v>449</v>
      </c>
    </row>
    <row r="461" spans="2:152" s="60" customFormat="1">
      <c r="B461" s="38"/>
      <c r="C461" s="497" t="str">
        <f>F461 &amp; ".0"</f>
        <v>.0</v>
      </c>
      <c r="D461" s="471"/>
      <c r="E461" s="470" t="s">
        <v>719</v>
      </c>
      <c r="F461" s="833"/>
      <c r="G461" s="853"/>
      <c r="H461" s="584"/>
      <c r="I461" s="393"/>
      <c r="J461" s="824"/>
      <c r="K461" s="824"/>
      <c r="L461" s="824"/>
      <c r="M461" s="824"/>
      <c r="N461" s="824"/>
      <c r="O461" s="824"/>
      <c r="P461" s="824"/>
      <c r="Q461" s="824"/>
      <c r="R461" s="824"/>
      <c r="S461" s="824"/>
      <c r="T461" s="824"/>
      <c r="U461" s="824"/>
      <c r="V461" s="824"/>
      <c r="W461" s="824"/>
      <c r="X461" s="824"/>
      <c r="Y461" s="585"/>
      <c r="Z461" s="392"/>
      <c r="AA461" s="585"/>
      <c r="AB461" s="392"/>
      <c r="AC461" s="585"/>
      <c r="AD461" s="392"/>
      <c r="AE461" s="585"/>
      <c r="AF461" s="392"/>
      <c r="AG461" s="585"/>
      <c r="AH461" s="585"/>
      <c r="AI461" s="392"/>
      <c r="AJ461" s="585"/>
      <c r="AK461" s="392"/>
      <c r="AL461" s="585"/>
      <c r="AM461" s="585"/>
      <c r="AN461" s="392"/>
      <c r="AO461" s="585"/>
      <c r="AP461" s="392"/>
      <c r="AQ461" s="585"/>
      <c r="AR461" s="585"/>
      <c r="AS461" s="392"/>
      <c r="AT461" s="585"/>
      <c r="AU461" s="392"/>
      <c r="AV461" s="585"/>
      <c r="AW461" s="585"/>
      <c r="AX461" s="392"/>
      <c r="AY461" s="585"/>
      <c r="AZ461" s="392"/>
      <c r="BA461" s="585"/>
      <c r="BB461" s="585"/>
      <c r="BC461" s="392"/>
      <c r="BD461" s="585"/>
      <c r="BE461" s="585"/>
      <c r="BF461" s="585"/>
      <c r="BG461" s="585"/>
      <c r="BH461" s="392"/>
      <c r="BI461" s="585"/>
      <c r="BJ461" s="392"/>
      <c r="BK461" s="585"/>
      <c r="BL461" s="585"/>
      <c r="BM461" s="392"/>
      <c r="BN461" s="585"/>
      <c r="BO461" s="392"/>
      <c r="BP461" s="585"/>
      <c r="BQ461" s="585"/>
      <c r="BR461" s="392"/>
      <c r="BS461" s="585"/>
      <c r="BT461" s="585"/>
      <c r="BU461" s="585"/>
      <c r="BV461" s="585"/>
      <c r="BW461" s="392"/>
      <c r="BX461" s="585"/>
      <c r="BY461" s="392"/>
      <c r="BZ461" s="585"/>
      <c r="CA461" s="585"/>
      <c r="CB461" s="392"/>
      <c r="CC461" s="585"/>
      <c r="CD461" s="392"/>
      <c r="CE461" s="585"/>
      <c r="CF461" s="585"/>
      <c r="CG461" s="392"/>
      <c r="CH461" s="585"/>
      <c r="CI461" s="585"/>
      <c r="CJ461" s="585"/>
      <c r="CK461" s="585"/>
      <c r="CL461" s="585"/>
      <c r="CM461" s="585"/>
      <c r="CN461" s="585"/>
      <c r="CO461" s="585"/>
      <c r="CP461" s="585"/>
      <c r="CQ461" s="586"/>
      <c r="CR461" s="585"/>
      <c r="CS461"/>
      <c r="CT461"/>
      <c r="CU461"/>
      <c r="CV461"/>
      <c r="CW461"/>
      <c r="CX461"/>
      <c r="CY461"/>
      <c r="CZ461"/>
      <c r="DA461"/>
      <c r="DB461"/>
      <c r="DC461"/>
      <c r="DD461"/>
      <c r="DE461"/>
      <c r="DF461" s="80">
        <f>AH461*AG461</f>
        <v>0</v>
      </c>
      <c r="DG461" s="80">
        <f>AI461*AG461</f>
        <v>0</v>
      </c>
      <c r="DH461" s="80">
        <f>AM461*AQ461</f>
        <v>0</v>
      </c>
      <c r="DI461" s="80">
        <f>AN461*AQ461</f>
        <v>0</v>
      </c>
      <c r="DJ461" s="80">
        <f>AR461*AV461</f>
        <v>0</v>
      </c>
      <c r="DK461" s="80">
        <f>AS461*AV461</f>
        <v>0</v>
      </c>
      <c r="DL461" s="80">
        <f>BG461*BK461</f>
        <v>0</v>
      </c>
      <c r="DM461" s="80">
        <f>BH461*BK461</f>
        <v>0</v>
      </c>
      <c r="DN461" s="80">
        <f>BV461*BZ461</f>
        <v>0</v>
      </c>
      <c r="DO461" s="80">
        <f>BW461*BZ461</f>
        <v>0</v>
      </c>
      <c r="DP461" s="382">
        <f>AW461*BA461</f>
        <v>0</v>
      </c>
      <c r="DQ461" s="382">
        <f>AX461*BA461</f>
        <v>0</v>
      </c>
      <c r="DR461" s="382">
        <f>AY461*BA461</f>
        <v>0</v>
      </c>
      <c r="DS461" s="382">
        <f>AZ461*BA461</f>
        <v>0</v>
      </c>
      <c r="DT461" s="382">
        <f>BB461*BD461</f>
        <v>0</v>
      </c>
      <c r="DU461" s="382">
        <f>BC461*BD461</f>
        <v>0</v>
      </c>
      <c r="DV461" s="382">
        <f>BL461*BP461</f>
        <v>0</v>
      </c>
      <c r="DW461" s="382">
        <f>BM461*BP461</f>
        <v>0</v>
      </c>
      <c r="DX461" s="382">
        <f>BN461*BP461</f>
        <v>0</v>
      </c>
      <c r="DY461" s="382">
        <f>BO461*BP461</f>
        <v>0</v>
      </c>
      <c r="DZ461" s="382">
        <f>BQ461*BS461</f>
        <v>0</v>
      </c>
      <c r="EA461" s="382">
        <f>BR461*BS461</f>
        <v>0</v>
      </c>
      <c r="EB461" s="382">
        <f>CA461*CE461</f>
        <v>0</v>
      </c>
      <c r="EC461" s="382">
        <f>CB461*CE461</f>
        <v>0</v>
      </c>
      <c r="ED461" s="382">
        <f>CC461*CE461</f>
        <v>0</v>
      </c>
      <c r="EE461" s="382">
        <f>CD461*CE461</f>
        <v>0</v>
      </c>
      <c r="EF461" s="382">
        <f>CF461*CH461</f>
        <v>0</v>
      </c>
      <c r="EG461" s="382">
        <f>CG461*CH461</f>
        <v>0</v>
      </c>
      <c r="EH461" s="383">
        <f>Y461*(AG461+AQ461)</f>
        <v>0</v>
      </c>
      <c r="EI461" s="383">
        <f>Z461*(AG461+AQ461)</f>
        <v>0</v>
      </c>
      <c r="EJ461" s="80">
        <f>AO461*AQ461</f>
        <v>0</v>
      </c>
      <c r="EK461" s="80">
        <f>AP461*AQ461</f>
        <v>0</v>
      </c>
      <c r="EL461" s="80">
        <f>AT461*AV461</f>
        <v>0</v>
      </c>
      <c r="EM461" s="80">
        <f>AU461*AV461</f>
        <v>0</v>
      </c>
      <c r="EN461" s="80">
        <f>BI461*BK461</f>
        <v>0</v>
      </c>
      <c r="EO461" s="80">
        <f>BJ461*BK461</f>
        <v>0</v>
      </c>
      <c r="EP461" s="80">
        <f>BX461*BZ461</f>
        <v>0</v>
      </c>
      <c r="EQ461" s="80">
        <f>BY461*BZ461</f>
        <v>0</v>
      </c>
      <c r="ER461" s="383">
        <f>AJ461*AL461</f>
        <v>0</v>
      </c>
      <c r="ES461" s="383">
        <f>AK461*AL461</f>
        <v>0</v>
      </c>
      <c r="ET461" s="383">
        <f>IF(AV461+BA461&gt;0,(AR461*AV461+AW461*BA461)/(AV461+BA461),0)</f>
        <v>0</v>
      </c>
      <c r="EU461" s="383">
        <f>IF(BK461+BP461&gt;0,(BG461*BK461+BL461*BP461)/(BK461+BP461),0)</f>
        <v>0</v>
      </c>
      <c r="EV461" s="383">
        <f>IF(BZ461+CE461&gt;0,(BV461*BZ461+CA461*CE461)/(BZ461+CE461),0)</f>
        <v>0</v>
      </c>
    </row>
    <row r="462" spans="2:152" s="60" customFormat="1">
      <c r="B462" s="38"/>
      <c r="C462" s="497" t="str">
        <f>F461 &amp; ".1"</f>
        <v>.1</v>
      </c>
      <c r="D462"/>
      <c r="E462"/>
      <c r="F462" s="833"/>
      <c r="G462" s="835"/>
      <c r="H462" s="584"/>
      <c r="I462" s="393"/>
      <c r="J462" s="824"/>
      <c r="K462" s="824"/>
      <c r="L462" s="824"/>
      <c r="M462" s="824"/>
      <c r="N462" s="824"/>
      <c r="O462" s="824"/>
      <c r="P462" s="824"/>
      <c r="Q462" s="824"/>
      <c r="R462" s="824"/>
      <c r="S462" s="824"/>
      <c r="T462" s="824"/>
      <c r="U462" s="824"/>
      <c r="V462" s="824"/>
      <c r="W462" s="824"/>
      <c r="X462" s="824"/>
      <c r="Y462" s="585"/>
      <c r="Z462" s="392"/>
      <c r="AA462" s="585"/>
      <c r="AB462" s="392"/>
      <c r="AC462" s="585"/>
      <c r="AD462" s="392"/>
      <c r="AE462" s="585"/>
      <c r="AF462" s="392"/>
      <c r="AG462" s="585"/>
      <c r="AH462" s="585"/>
      <c r="AI462" s="392"/>
      <c r="AJ462" s="585"/>
      <c r="AK462" s="392"/>
      <c r="AL462" s="585"/>
      <c r="AM462" s="585"/>
      <c r="AN462" s="392"/>
      <c r="AO462" s="585"/>
      <c r="AP462" s="392"/>
      <c r="AQ462" s="585"/>
      <c r="AR462" s="585"/>
      <c r="AS462" s="392"/>
      <c r="AT462" s="585"/>
      <c r="AU462" s="392"/>
      <c r="AV462" s="585"/>
      <c r="AW462" s="585"/>
      <c r="AX462" s="392"/>
      <c r="AY462" s="585"/>
      <c r="AZ462" s="392"/>
      <c r="BA462" s="585"/>
      <c r="BB462" s="585"/>
      <c r="BC462" s="392"/>
      <c r="BD462" s="585"/>
      <c r="BE462" s="585"/>
      <c r="BF462" s="585"/>
      <c r="BG462" s="585"/>
      <c r="BH462" s="392"/>
      <c r="BI462" s="585"/>
      <c r="BJ462" s="392"/>
      <c r="BK462" s="585"/>
      <c r="BL462" s="585"/>
      <c r="BM462" s="392"/>
      <c r="BN462" s="585"/>
      <c r="BO462" s="392"/>
      <c r="BP462" s="585"/>
      <c r="BQ462" s="585"/>
      <c r="BR462" s="392"/>
      <c r="BS462" s="585"/>
      <c r="BT462" s="585"/>
      <c r="BU462" s="585"/>
      <c r="BV462" s="585"/>
      <c r="BW462" s="392"/>
      <c r="BX462" s="585"/>
      <c r="BY462" s="392"/>
      <c r="BZ462" s="585"/>
      <c r="CA462" s="585"/>
      <c r="CB462" s="392"/>
      <c r="CC462" s="585"/>
      <c r="CD462" s="392"/>
      <c r="CE462" s="585"/>
      <c r="CF462" s="585"/>
      <c r="CG462" s="392"/>
      <c r="CH462" s="585"/>
      <c r="CI462" s="585"/>
      <c r="CJ462" s="585"/>
      <c r="CK462" s="585"/>
      <c r="CL462" s="585"/>
      <c r="CM462" s="585"/>
      <c r="CN462" s="585"/>
      <c r="CO462" s="585"/>
      <c r="CP462" s="585"/>
      <c r="CQ462" s="586"/>
      <c r="CR462" s="585"/>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row>
    <row r="463" spans="2:152" s="60" customFormat="1">
      <c r="C463" s="497" t="str">
        <f>F461 &amp; ".2"</f>
        <v>.2</v>
      </c>
      <c r="D463"/>
      <c r="E463"/>
      <c r="F463" s="833"/>
      <c r="G463" s="835"/>
      <c r="H463" s="584" t="str">
        <f>IF(TEMPLATE_SPHERE="водоснабжения","Вода технического качества","")</f>
        <v/>
      </c>
      <c r="I463" s="393"/>
      <c r="J463" s="824"/>
      <c r="K463" s="824"/>
      <c r="L463" s="824"/>
      <c r="M463" s="824"/>
      <c r="N463" s="824"/>
      <c r="O463" s="824"/>
      <c r="P463" s="824"/>
      <c r="Q463" s="824"/>
      <c r="R463" s="824"/>
      <c r="S463" s="824"/>
      <c r="T463" s="824"/>
      <c r="U463" s="824"/>
      <c r="V463" s="824"/>
      <c r="W463" s="824"/>
      <c r="X463" s="824"/>
      <c r="Y463" s="399"/>
      <c r="Z463" s="398">
        <f>IF($D461="нет",Y463,Y463*1.18)</f>
        <v>0</v>
      </c>
      <c r="AA463" s="398">
        <f>IF(AG463=0,0,(AC463*AG463+AJ463*IF(AL463&gt;AG463,AG463,AL463))/AG463)</f>
        <v>0</v>
      </c>
      <c r="AB463" s="398">
        <f>IF($D461="нет",AA463,AA463*1.18)</f>
        <v>0</v>
      </c>
      <c r="AC463" s="398">
        <f>IF(AG463&gt;0,(AR463*AV463+BG463*BK463+BV463*BZ463)/AG463,0)</f>
        <v>0</v>
      </c>
      <c r="AD463" s="398">
        <f>IF($D461="нет",AC463,AC463*1.18)</f>
        <v>0</v>
      </c>
      <c r="AE463" s="585"/>
      <c r="AF463" s="392"/>
      <c r="AG463" s="398">
        <f>AV463+BK463+BZ463</f>
        <v>0</v>
      </c>
      <c r="AH463" s="585"/>
      <c r="AI463" s="392"/>
      <c r="AJ463" s="399"/>
      <c r="AK463" s="398">
        <f>IF($D461="нет",AJ463,AJ463*1.18)</f>
        <v>0</v>
      </c>
      <c r="AL463" s="399"/>
      <c r="AM463" s="399"/>
      <c r="AN463" s="398">
        <f>IF($D461="нет",AM463,AM463*1.18)</f>
        <v>0</v>
      </c>
      <c r="AO463" s="399"/>
      <c r="AP463" s="398">
        <f>IF($D461="нет",AO463,AO463*1.18)</f>
        <v>0</v>
      </c>
      <c r="AQ463" s="633">
        <f>IF(TARIFF_SETUP_METHOD_CODE="BY_MONTHS",SUMIF(ВС.БПр!$BF$129:$BF$130,$C463&amp;"-"&amp;$H$3,ВС.БПр!U$129:U$130),IF(TARIFF_SETUP_METHOD_CODE="BY_PSEUDO_YEARS",SUMIF(ВС.БПр!$F$129:$F$130,$C463&amp;".0",ВС.БПр!U$129:U$130),0))</f>
        <v>0</v>
      </c>
      <c r="AR463" s="399"/>
      <c r="AS463" s="398">
        <f>IF($D461="нет",AR463,AR463*1.18)</f>
        <v>0</v>
      </c>
      <c r="AT463" s="399"/>
      <c r="AU463" s="398">
        <f>IF($D461="нет",AT463,AT463*1.18)</f>
        <v>0</v>
      </c>
      <c r="AV463" s="633">
        <f>IF(TARIFF_SETUP_METHOD_CODE="BY_MONTHS",SUMIF(ВС.БПр!$BF$129:$BF$130,$C463&amp;"-"&amp;$H$3,ВС.БПр!AA$129:AA$130),IF(TARIFF_SETUP_METHOD_CODE="BY_PSEUDO_YEARS",SUMIF(ВС.БПр!$F$129:$F$130,$C463&amp;".0",ВС.БПр!AA$129:AA$130),0))</f>
        <v>0</v>
      </c>
      <c r="AW463" s="117"/>
      <c r="AX463" s="117"/>
      <c r="AY463" s="117"/>
      <c r="AZ463" s="117"/>
      <c r="BA463" s="117"/>
      <c r="BB463" s="117"/>
      <c r="BC463" s="117"/>
      <c r="BD463" s="117"/>
      <c r="BE463" s="399"/>
      <c r="BF463" s="398">
        <f>IF(AV463=0,0,1000*BE463/AV463)</f>
        <v>0</v>
      </c>
      <c r="BG463" s="399"/>
      <c r="BH463" s="398">
        <f>IF($D461="нет",BG463,BG463*1.18)</f>
        <v>0</v>
      </c>
      <c r="BI463" s="399"/>
      <c r="BJ463" s="398">
        <f>IF($D461="нет",BI463,BI463*1.18)</f>
        <v>0</v>
      </c>
      <c r="BK463" s="633">
        <f>IF(TARIFF_SETUP_METHOD_CODE="BY_MONTHS",SUMIF(ВС.БПр!$BF$129:$BF$130,$C463&amp;"-"&amp;$H$3,ВС.БПр!AB$129:AB$130),IF(TARIFF_SETUP_METHOD_CODE="BY_PSEUDO_YEARS",SUMIF(ВС.БПр!$F$129:$F$130,$C463&amp;".0",ВС.БПр!AB$129:AB$130),0))</f>
        <v>0</v>
      </c>
      <c r="BL463" s="117"/>
      <c r="BM463" s="117"/>
      <c r="BN463" s="117"/>
      <c r="BO463" s="117"/>
      <c r="BP463" s="117"/>
      <c r="BQ463" s="117"/>
      <c r="BR463" s="117"/>
      <c r="BS463" s="117"/>
      <c r="BT463" s="399"/>
      <c r="BU463" s="398">
        <f>IF(BK463=0,0,1000*BT463/BK463)</f>
        <v>0</v>
      </c>
      <c r="BV463" s="399"/>
      <c r="BW463" s="398">
        <f>IF($D461="нет",BV463,BV463*1.18)</f>
        <v>0</v>
      </c>
      <c r="BX463" s="399"/>
      <c r="BY463" s="398">
        <f>IF($D461="нет",BX463,BX463*1.18)</f>
        <v>0</v>
      </c>
      <c r="BZ463" s="633">
        <f>IF(TARIFF_SETUP_METHOD_CODE="BY_MONTHS",SUMIF(ВС.БПр!$BF$129:$BF$130,$C463&amp;"-"&amp;$H$3,ВС.БПр!AC$129:AC$130),IF(TARIFF_SETUP_METHOD_CODE="BY_PSEUDO_YEARS",SUMIF(ВС.БПр!$F$129:$F$130,$C463&amp;".0",ВС.БПр!AC$129:AC$130),0))</f>
        <v>0</v>
      </c>
      <c r="CA463" s="117"/>
      <c r="CB463" s="117"/>
      <c r="CC463" s="117"/>
      <c r="CD463" s="117"/>
      <c r="CE463" s="117"/>
      <c r="CF463" s="117"/>
      <c r="CG463" s="117"/>
      <c r="CH463" s="117"/>
      <c r="CI463" s="399"/>
      <c r="CJ463" s="398">
        <f>IF(BZ463=0,0,1000*CI463/BZ463)</f>
        <v>0</v>
      </c>
      <c r="CK463" s="398">
        <f>BE463+BT463+CI463</f>
        <v>0</v>
      </c>
      <c r="CL463" s="335">
        <f>SUM(CN463:CQ463)</f>
        <v>0</v>
      </c>
      <c r="CM463" s="398">
        <f>SUMIF(CN463:CQ463,"&gt;0")</f>
        <v>0</v>
      </c>
      <c r="CN463" s="398">
        <f>(Y463-AM463)*AQ463/1000</f>
        <v>0</v>
      </c>
      <c r="CO463" s="398">
        <f>(Y463-(AR463+BF463))*AV463/1000</f>
        <v>0</v>
      </c>
      <c r="CP463" s="398">
        <f>(Y463-(BG463+BU463))*BK463/1000</f>
        <v>0</v>
      </c>
      <c r="CQ463" s="398">
        <f>(Y463-(BV463+CJ463))*BZ463/1000</f>
        <v>0</v>
      </c>
      <c r="CR463" s="587"/>
      <c r="CS463"/>
      <c r="CT463"/>
      <c r="CU463"/>
      <c r="CV463"/>
      <c r="CW463"/>
      <c r="CX463"/>
      <c r="CY463"/>
      <c r="CZ463"/>
      <c r="DA463"/>
      <c r="DB463"/>
      <c r="DC463"/>
      <c r="DD463"/>
      <c r="DE463"/>
      <c r="DF463" s="80">
        <f>AH463*AG463</f>
        <v>0</v>
      </c>
      <c r="DG463" s="80">
        <f>AI463*AG463</f>
        <v>0</v>
      </c>
      <c r="DH463" s="80">
        <f>AM463*AQ463</f>
        <v>0</v>
      </c>
      <c r="DI463" s="80">
        <f>AN463*AQ463</f>
        <v>0</v>
      </c>
      <c r="DJ463" s="80">
        <f>AR463*AV463</f>
        <v>0</v>
      </c>
      <c r="DK463" s="80">
        <f>AS463*AV463</f>
        <v>0</v>
      </c>
      <c r="DL463" s="80">
        <f>BG463*BK463</f>
        <v>0</v>
      </c>
      <c r="DM463" s="80">
        <f>BH463*BK463</f>
        <v>0</v>
      </c>
      <c r="DN463" s="80">
        <f>BV463*BZ463</f>
        <v>0</v>
      </c>
      <c r="DO463" s="80">
        <f>BW463*BZ463</f>
        <v>0</v>
      </c>
      <c r="DP463" s="382">
        <f>AW463*BA463</f>
        <v>0</v>
      </c>
      <c r="DQ463" s="382">
        <f>AX463*BA463</f>
        <v>0</v>
      </c>
      <c r="DR463" s="382">
        <f>AY463*BA463</f>
        <v>0</v>
      </c>
      <c r="DS463" s="382">
        <f>AZ463*BA463</f>
        <v>0</v>
      </c>
      <c r="DT463" s="382">
        <f>BB463*BD463</f>
        <v>0</v>
      </c>
      <c r="DU463" s="382">
        <f>BC463*BD463</f>
        <v>0</v>
      </c>
      <c r="DV463" s="382">
        <f>BL463*BP463</f>
        <v>0</v>
      </c>
      <c r="DW463" s="382">
        <f>BM463*BP463</f>
        <v>0</v>
      </c>
      <c r="DX463" s="382">
        <f>BN463*BP463</f>
        <v>0</v>
      </c>
      <c r="DY463" s="382">
        <f>BO463*BP463</f>
        <v>0</v>
      </c>
      <c r="DZ463" s="382">
        <f>BQ463*BS463</f>
        <v>0</v>
      </c>
      <c r="EA463" s="382">
        <f>BR463*BS463</f>
        <v>0</v>
      </c>
      <c r="EB463" s="382">
        <f>CA463*CE463</f>
        <v>0</v>
      </c>
      <c r="EC463" s="382">
        <f>CB463*CE463</f>
        <v>0</v>
      </c>
      <c r="ED463" s="382">
        <f>CC463*CE463</f>
        <v>0</v>
      </c>
      <c r="EE463" s="382">
        <f>CD463*CE463</f>
        <v>0</v>
      </c>
      <c r="EF463" s="382">
        <f>CF463*CH463</f>
        <v>0</v>
      </c>
      <c r="EG463" s="382">
        <f>CG463*CH463</f>
        <v>0</v>
      </c>
      <c r="EH463" s="383">
        <f>Y463*(AG463+AQ463)</f>
        <v>0</v>
      </c>
      <c r="EI463" s="383">
        <f>Z463*(AG463+AQ463)</f>
        <v>0</v>
      </c>
      <c r="EJ463" s="80">
        <f>AO463*AQ463</f>
        <v>0</v>
      </c>
      <c r="EK463" s="80">
        <f>AP463*AQ463</f>
        <v>0</v>
      </c>
      <c r="EL463" s="80">
        <f>AT463*AV463</f>
        <v>0</v>
      </c>
      <c r="EM463" s="80">
        <f>AU463*AV463</f>
        <v>0</v>
      </c>
      <c r="EN463" s="80">
        <f>BI463*BK463</f>
        <v>0</v>
      </c>
      <c r="EO463" s="80">
        <f>BJ463*BK463</f>
        <v>0</v>
      </c>
      <c r="EP463" s="80">
        <f>BX463*BZ463</f>
        <v>0</v>
      </c>
      <c r="EQ463" s="80">
        <f>BY463*BZ463</f>
        <v>0</v>
      </c>
      <c r="ER463" s="383">
        <f>AJ463*AL463</f>
        <v>0</v>
      </c>
      <c r="ES463" s="383">
        <f>AK463*AL463</f>
        <v>0</v>
      </c>
      <c r="ET463" s="383">
        <f>IF(AV463+BA463&gt;0,(AR463*AV463+AW463*BA463)/(AV463+BA463),0)</f>
        <v>0</v>
      </c>
      <c r="EU463" s="383">
        <f>IF(BK463+BP463&gt;0,(BG463*BK463+BL463*BP463)/(BK463+BP463),0)</f>
        <v>0</v>
      </c>
      <c r="EV463" s="383">
        <f>IF(BZ463+CE463&gt;0,(BV463*BZ463+CA463*CE463)/(BZ463+CE463),0)</f>
        <v>0</v>
      </c>
    </row>
    <row r="464" spans="2:152">
      <c r="H464" s="388" t="s">
        <v>450</v>
      </c>
    </row>
    <row r="465" spans="1:153" s="60" customFormat="1" ht="11.25" customHeight="1">
      <c r="B465" s="38"/>
      <c r="C465" s="497" t="str">
        <f>F465 &amp; ".0"</f>
        <v>.0</v>
      </c>
      <c r="D465" s="471"/>
      <c r="E465" s="470" t="s">
        <v>719</v>
      </c>
      <c r="F465" s="892"/>
      <c r="G465" s="850"/>
      <c r="H465" s="584"/>
      <c r="I465" s="393"/>
      <c r="J465" s="865"/>
      <c r="K465" s="824"/>
      <c r="L465" s="824"/>
      <c r="M465" s="824"/>
      <c r="N465" s="824"/>
      <c r="O465" s="865"/>
      <c r="P465" s="865"/>
      <c r="Q465" s="865"/>
      <c r="R465" s="865"/>
      <c r="S465" s="865"/>
      <c r="T465" s="865"/>
      <c r="U465" s="865"/>
      <c r="V465" s="865"/>
      <c r="W465" s="865"/>
      <c r="X465" s="865"/>
      <c r="Y465" s="585"/>
      <c r="Z465" s="392"/>
      <c r="AA465" s="585"/>
      <c r="AB465" s="392"/>
      <c r="AC465" s="585"/>
      <c r="AD465" s="392"/>
      <c r="AE465" s="585"/>
      <c r="AF465" s="392"/>
      <c r="AG465" s="585"/>
      <c r="AH465" s="585"/>
      <c r="AI465" s="392"/>
      <c r="AJ465" s="585"/>
      <c r="AK465" s="392"/>
      <c r="AL465" s="585"/>
      <c r="AM465" s="585"/>
      <c r="AN465" s="392"/>
      <c r="AO465" s="585"/>
      <c r="AP465" s="392"/>
      <c r="AQ465" s="585"/>
      <c r="AR465" s="585"/>
      <c r="AS465" s="392"/>
      <c r="AT465" s="585"/>
      <c r="AU465" s="392"/>
      <c r="AV465" s="585"/>
      <c r="AW465" s="585"/>
      <c r="AX465" s="392"/>
      <c r="AY465" s="585"/>
      <c r="AZ465" s="392"/>
      <c r="BA465" s="585"/>
      <c r="BB465" s="585"/>
      <c r="BC465" s="392"/>
      <c r="BD465" s="585"/>
      <c r="BE465" s="585"/>
      <c r="BF465" s="585"/>
      <c r="BG465" s="585"/>
      <c r="BH465" s="392"/>
      <c r="BI465" s="585"/>
      <c r="BJ465" s="392"/>
      <c r="BK465" s="585"/>
      <c r="BL465" s="585"/>
      <c r="BM465" s="392"/>
      <c r="BN465" s="585"/>
      <c r="BO465" s="392"/>
      <c r="BP465" s="585"/>
      <c r="BQ465" s="585"/>
      <c r="BR465" s="392"/>
      <c r="BS465" s="585"/>
      <c r="BT465" s="585"/>
      <c r="BU465" s="585"/>
      <c r="BV465" s="585"/>
      <c r="BW465" s="392"/>
      <c r="BX465" s="585"/>
      <c r="BY465" s="392"/>
      <c r="BZ465" s="585"/>
      <c r="CA465" s="585"/>
      <c r="CB465" s="392"/>
      <c r="CC465" s="585"/>
      <c r="CD465" s="392"/>
      <c r="CE465" s="585"/>
      <c r="CF465" s="585"/>
      <c r="CG465" s="392"/>
      <c r="CH465" s="585"/>
      <c r="CI465" s="585"/>
      <c r="CJ465" s="585"/>
      <c r="CK465" s="585"/>
      <c r="CL465" s="585"/>
      <c r="CM465" s="585"/>
      <c r="CN465" s="585"/>
      <c r="CO465" s="585"/>
      <c r="CP465" s="585"/>
      <c r="CQ465" s="586"/>
      <c r="CR465" s="585"/>
      <c r="CS465"/>
      <c r="CT465"/>
      <c r="CU465"/>
      <c r="CV465"/>
      <c r="CW465"/>
      <c r="CX465"/>
      <c r="CY465"/>
      <c r="CZ465"/>
      <c r="DA465"/>
      <c r="DB465"/>
      <c r="DC465"/>
      <c r="DD465"/>
      <c r="DE465"/>
      <c r="DF465" s="80">
        <f>AH465*AG465</f>
        <v>0</v>
      </c>
      <c r="DG465" s="80">
        <f>AI465*AG465</f>
        <v>0</v>
      </c>
      <c r="DH465" s="80">
        <f>AM465*AQ465</f>
        <v>0</v>
      </c>
      <c r="DI465" s="80">
        <f>AN465*AQ465</f>
        <v>0</v>
      </c>
      <c r="DJ465" s="80">
        <f>AR465*AV465</f>
        <v>0</v>
      </c>
      <c r="DK465" s="80">
        <f>AS465*AV465</f>
        <v>0</v>
      </c>
      <c r="DL465" s="80">
        <f>BG465*BK465</f>
        <v>0</v>
      </c>
      <c r="DM465" s="80">
        <f>BH465*BK465</f>
        <v>0</v>
      </c>
      <c r="DN465" s="80">
        <f>BV465*BZ465</f>
        <v>0</v>
      </c>
      <c r="DO465" s="80">
        <f>BW465*BZ465</f>
        <v>0</v>
      </c>
      <c r="DP465" s="382">
        <f>AW465*BA465</f>
        <v>0</v>
      </c>
      <c r="DQ465" s="382">
        <f>AX465*BA465</f>
        <v>0</v>
      </c>
      <c r="DR465" s="382">
        <f>AY465*BA465</f>
        <v>0</v>
      </c>
      <c r="DS465" s="382">
        <f>AZ465*BA465</f>
        <v>0</v>
      </c>
      <c r="DT465" s="382">
        <f>BB465*BD465</f>
        <v>0</v>
      </c>
      <c r="DU465" s="382">
        <f>BC465*BD465</f>
        <v>0</v>
      </c>
      <c r="DV465" s="382">
        <f>BL465*BP465</f>
        <v>0</v>
      </c>
      <c r="DW465" s="382">
        <f>BM465*BP465</f>
        <v>0</v>
      </c>
      <c r="DX465" s="382">
        <f>BN465*BP465</f>
        <v>0</v>
      </c>
      <c r="DY465" s="382">
        <f>BO465*BP465</f>
        <v>0</v>
      </c>
      <c r="DZ465" s="382">
        <f>BQ465*BS465</f>
        <v>0</v>
      </c>
      <c r="EA465" s="382">
        <f>BR465*BS465</f>
        <v>0</v>
      </c>
      <c r="EB465" s="382">
        <f>CA465*CE465</f>
        <v>0</v>
      </c>
      <c r="EC465" s="382">
        <f>CB465*CE465</f>
        <v>0</v>
      </c>
      <c r="ED465" s="382">
        <f>CC465*CE465</f>
        <v>0</v>
      </c>
      <c r="EE465" s="382">
        <f>CD465*CE465</f>
        <v>0</v>
      </c>
      <c r="EF465" s="382">
        <f>CF465*CH465</f>
        <v>0</v>
      </c>
      <c r="EG465" s="382">
        <f>CG465*CH465</f>
        <v>0</v>
      </c>
      <c r="EH465" s="383">
        <f>Y465*(AG465+AQ465)</f>
        <v>0</v>
      </c>
      <c r="EI465" s="383">
        <f>Z465*(AG465+AQ465)</f>
        <v>0</v>
      </c>
      <c r="EJ465" s="80">
        <f>AO465*AQ465</f>
        <v>0</v>
      </c>
      <c r="EK465" s="80">
        <f>AP465*AQ465</f>
        <v>0</v>
      </c>
      <c r="EL465" s="80">
        <f>AT465*AV465</f>
        <v>0</v>
      </c>
      <c r="EM465" s="80">
        <f>AU465*AV465</f>
        <v>0</v>
      </c>
      <c r="EN465" s="80">
        <f>BI465*BK465</f>
        <v>0</v>
      </c>
      <c r="EO465" s="80">
        <f>BJ465*BK465</f>
        <v>0</v>
      </c>
      <c r="EP465" s="80">
        <f>BX465*BZ465</f>
        <v>0</v>
      </c>
      <c r="EQ465" s="80">
        <f>BY465*BZ465</f>
        <v>0</v>
      </c>
      <c r="ER465" s="383">
        <f>AJ465*AL465</f>
        <v>0</v>
      </c>
      <c r="ES465" s="383">
        <f>AK465*AL465</f>
        <v>0</v>
      </c>
      <c r="ET465" s="383">
        <f>IF(AV465+BA465&gt;0,(AR465*AV465+AW465*BA465)/(AV465+BA465),0)</f>
        <v>0</v>
      </c>
      <c r="EU465" s="383">
        <f>IF(BK465+BP465&gt;0,(BG465*BK465+BL465*BP465)/(BK465+BP465),0)</f>
        <v>0</v>
      </c>
      <c r="EV465" s="383">
        <f>IF(BZ465+CE465&gt;0,(BV465*BZ465+CA465*CE465)/(BZ465+CE465),0)</f>
        <v>0</v>
      </c>
    </row>
    <row r="466" spans="1:153" s="60" customFormat="1" ht="11.25" customHeight="1">
      <c r="B466" s="38"/>
      <c r="C466" s="497" t="str">
        <f>F465 &amp; ".1"</f>
        <v>.1</v>
      </c>
      <c r="D466"/>
      <c r="E466"/>
      <c r="F466" s="893"/>
      <c r="G466" s="851"/>
      <c r="H466" s="584"/>
      <c r="I466" s="393"/>
      <c r="J466" s="866"/>
      <c r="K466" s="824"/>
      <c r="L466" s="824"/>
      <c r="M466" s="824"/>
      <c r="N466" s="824"/>
      <c r="O466" s="866"/>
      <c r="P466" s="866"/>
      <c r="Q466" s="866"/>
      <c r="R466" s="866"/>
      <c r="S466" s="866"/>
      <c r="T466" s="866"/>
      <c r="U466" s="866"/>
      <c r="V466" s="866"/>
      <c r="W466" s="866"/>
      <c r="X466" s="866"/>
      <c r="Y466" s="585"/>
      <c r="Z466" s="392"/>
      <c r="AA466" s="585"/>
      <c r="AB466" s="392"/>
      <c r="AC466" s="585"/>
      <c r="AD466" s="392"/>
      <c r="AE466" s="585"/>
      <c r="AF466" s="392"/>
      <c r="AG466" s="585"/>
      <c r="AH466" s="585"/>
      <c r="AI466" s="392"/>
      <c r="AJ466" s="585"/>
      <c r="AK466" s="392"/>
      <c r="AL466" s="585"/>
      <c r="AM466" s="585"/>
      <c r="AN466" s="392"/>
      <c r="AO466" s="585"/>
      <c r="AP466" s="392"/>
      <c r="AQ466" s="585"/>
      <c r="AR466" s="585"/>
      <c r="AS466" s="392"/>
      <c r="AT466" s="585"/>
      <c r="AU466" s="392"/>
      <c r="AV466" s="585"/>
      <c r="AW466" s="585"/>
      <c r="AX466" s="392"/>
      <c r="AY466" s="585"/>
      <c r="AZ466" s="392"/>
      <c r="BA466" s="585"/>
      <c r="BB466" s="585"/>
      <c r="BC466" s="392"/>
      <c r="BD466" s="585"/>
      <c r="BE466" s="585"/>
      <c r="BF466" s="585"/>
      <c r="BG466" s="585"/>
      <c r="BH466" s="392"/>
      <c r="BI466" s="585"/>
      <c r="BJ466" s="392"/>
      <c r="BK466" s="585"/>
      <c r="BL466" s="585"/>
      <c r="BM466" s="392"/>
      <c r="BN466" s="585"/>
      <c r="BO466" s="392"/>
      <c r="BP466" s="585"/>
      <c r="BQ466" s="585"/>
      <c r="BR466" s="392"/>
      <c r="BS466" s="585"/>
      <c r="BT466" s="585"/>
      <c r="BU466" s="585"/>
      <c r="BV466" s="585"/>
      <c r="BW466" s="392"/>
      <c r="BX466" s="585"/>
      <c r="BY466" s="392"/>
      <c r="BZ466" s="585"/>
      <c r="CA466" s="585"/>
      <c r="CB466" s="392"/>
      <c r="CC466" s="585"/>
      <c r="CD466" s="392"/>
      <c r="CE466" s="585"/>
      <c r="CF466" s="585"/>
      <c r="CG466" s="392"/>
      <c r="CH466" s="585"/>
      <c r="CI466" s="585"/>
      <c r="CJ466" s="585"/>
      <c r="CK466" s="585"/>
      <c r="CL466" s="585"/>
      <c r="CM466" s="585"/>
      <c r="CN466" s="585"/>
      <c r="CO466" s="585"/>
      <c r="CP466" s="585"/>
      <c r="CQ466" s="586"/>
      <c r="CR466" s="585"/>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row>
    <row r="467" spans="1:153" s="60" customFormat="1" ht="11.25" customHeight="1">
      <c r="C467" s="497" t="str">
        <f>F465 &amp; ".2"</f>
        <v>.2</v>
      </c>
      <c r="D467"/>
      <c r="E467"/>
      <c r="F467" s="894"/>
      <c r="G467" s="852"/>
      <c r="H467" s="584" t="str">
        <f>IF(TEMPLATE_SPHERE="водоснабжения","Вода технического качества","")</f>
        <v/>
      </c>
      <c r="I467" s="393"/>
      <c r="J467" s="867"/>
      <c r="K467" s="824"/>
      <c r="L467" s="824"/>
      <c r="M467" s="824"/>
      <c r="N467" s="824"/>
      <c r="O467" s="867"/>
      <c r="P467" s="867"/>
      <c r="Q467" s="867"/>
      <c r="R467" s="867"/>
      <c r="S467" s="867"/>
      <c r="T467" s="867"/>
      <c r="U467" s="867"/>
      <c r="V467" s="867"/>
      <c r="W467" s="867"/>
      <c r="X467" s="867"/>
      <c r="Y467" s="399"/>
      <c r="Z467" s="398">
        <f>IF($D465="нет",Y467,Y467*1.18)</f>
        <v>0</v>
      </c>
      <c r="AA467" s="398">
        <f>IF(AG467=0,0,(AC467*AG467+AJ467*IF(AL467&gt;AG467,AG467,AL467))/AG467)</f>
        <v>0</v>
      </c>
      <c r="AB467" s="398">
        <f>IF($D465="нет",AA467,AA467*1.18)</f>
        <v>0</v>
      </c>
      <c r="AC467" s="398">
        <f>IF(AG467&gt;0,(AW467*BA467+BL467*BP467+CA467*CE467-AH467*AG467)/AG467,0)</f>
        <v>0</v>
      </c>
      <c r="AD467" s="398">
        <f>IF($D465="нет",AC467,AC467*1.18)</f>
        <v>0</v>
      </c>
      <c r="AE467" s="585"/>
      <c r="AF467" s="392"/>
      <c r="AG467" s="398">
        <f>BA467+BP467+CE467</f>
        <v>0</v>
      </c>
      <c r="AH467" s="585"/>
      <c r="AI467" s="392"/>
      <c r="AJ467" s="399"/>
      <c r="AK467" s="398">
        <f>IF($D465="нет",AJ467,AJ467*1.18)</f>
        <v>0</v>
      </c>
      <c r="AL467" s="399"/>
      <c r="AM467" s="399"/>
      <c r="AN467" s="398">
        <f>IF($D465="нет",AM467,AM467*1.18)</f>
        <v>0</v>
      </c>
      <c r="AO467" s="399"/>
      <c r="AP467" s="398">
        <f>IF($D465="нет",AO467,AO467*1.18)</f>
        <v>0</v>
      </c>
      <c r="AQ467" s="633">
        <f>IF(TARIFF_SETUP_METHOD_CODE="BY_MONTHS",SUMIF(ВС.БПр!$BF$129:$BF$130,$C467&amp;"-"&amp;$H$3,ВС.БПр!U$129:U$130),IF(TARIFF_SETUP_METHOD_CODE="BY_PSEUDO_YEARS",SUMIF(ВС.БПр!$F$129:$F$130,$C467&amp;".0",ВС.БПр!U$129:U$130),0))</f>
        <v>0</v>
      </c>
      <c r="AR467" s="117"/>
      <c r="AS467" s="117"/>
      <c r="AT467" s="117"/>
      <c r="AU467" s="117"/>
      <c r="AV467" s="117"/>
      <c r="AW467" s="398">
        <f>IF(BA467&gt;0,((AY467*BA467)+(1000*$I$3*BB467*BD467))/BA467,0)</f>
        <v>0</v>
      </c>
      <c r="AX467" s="398">
        <f>IF($D465="нет",AW467,AW467*1.18)</f>
        <v>0</v>
      </c>
      <c r="AY467" s="399"/>
      <c r="AZ467" s="398">
        <f>IF($D465="нет",AY467,AY467*1.18)</f>
        <v>0</v>
      </c>
      <c r="BA467" s="399"/>
      <c r="BB467" s="399"/>
      <c r="BC467" s="398">
        <f>IF($D465="нет",BB467,BB467*1.18)</f>
        <v>0</v>
      </c>
      <c r="BD467" s="399"/>
      <c r="BE467" s="399"/>
      <c r="BF467" s="398">
        <f>IF(BA467=0,0,1000*BE467/BA467)</f>
        <v>0</v>
      </c>
      <c r="BG467" s="117"/>
      <c r="BH467" s="117"/>
      <c r="BI467" s="117"/>
      <c r="BJ467" s="117"/>
      <c r="BK467" s="117"/>
      <c r="BL467" s="398">
        <f>IF(BP467&gt;0,((BN467*BP467)+(1000*$I$3*BQ467*BS467))/BP467,0)</f>
        <v>0</v>
      </c>
      <c r="BM467" s="398">
        <f>IF($D465="нет",BL467,BL467*1.18)</f>
        <v>0</v>
      </c>
      <c r="BN467" s="399"/>
      <c r="BO467" s="398">
        <f>IF($D465="нет",BN467,BN467*1.18)</f>
        <v>0</v>
      </c>
      <c r="BP467" s="399"/>
      <c r="BQ467" s="399"/>
      <c r="BR467" s="398">
        <f>IF($D465="нет",BQ467,BQ467*1.18)</f>
        <v>0</v>
      </c>
      <c r="BS467" s="399"/>
      <c r="BT467" s="399"/>
      <c r="BU467" s="398">
        <f>IF(BP467=0,0,1000*BT467/BP467)</f>
        <v>0</v>
      </c>
      <c r="BV467" s="117"/>
      <c r="BW467" s="117"/>
      <c r="BX467" s="117"/>
      <c r="BY467" s="117"/>
      <c r="BZ467" s="117"/>
      <c r="CA467" s="398">
        <f>IF(CE467&gt;0,((CC467*CE467)+(1000*$I$3*CF467*CH467))/CE467,0)</f>
        <v>0</v>
      </c>
      <c r="CB467" s="398">
        <f>IF($D465="нет",CA467,CA467*1.18)</f>
        <v>0</v>
      </c>
      <c r="CC467" s="399"/>
      <c r="CD467" s="398">
        <f>IF($D465="нет",CC467,CC467*1.18)</f>
        <v>0</v>
      </c>
      <c r="CE467" s="399"/>
      <c r="CF467" s="399"/>
      <c r="CG467" s="398">
        <f>IF($D465="нет",CF467,CF467*1.18)</f>
        <v>0</v>
      </c>
      <c r="CH467" s="399"/>
      <c r="CI467" s="399"/>
      <c r="CJ467" s="398">
        <f>IF(CE467=0,0,1000*CI467/CE467)</f>
        <v>0</v>
      </c>
      <c r="CK467" s="398">
        <f>BE467+BT467+CI467</f>
        <v>0</v>
      </c>
      <c r="CL467" s="335">
        <f>SUM(CN467:CQ467)</f>
        <v>0</v>
      </c>
      <c r="CM467" s="398">
        <f>SUMIF(CN467:CQ467,"&gt;0")</f>
        <v>0</v>
      </c>
      <c r="CN467" s="398">
        <f>(Y467-AM467)*AQ467/1000</f>
        <v>0</v>
      </c>
      <c r="CO467" s="398">
        <f>(Y467-(AR467+BF467))*AV467/1000</f>
        <v>0</v>
      </c>
      <c r="CP467" s="398">
        <f>(Y467-(BG467+BU467))*BK467/1000</f>
        <v>0</v>
      </c>
      <c r="CQ467" s="398">
        <f>(Y467-(BV467+CJ467))*BZ467/1000</f>
        <v>0</v>
      </c>
      <c r="CR467" s="587"/>
      <c r="CS467"/>
      <c r="CT467"/>
      <c r="CU467"/>
      <c r="CV467"/>
      <c r="CW467"/>
      <c r="CX467"/>
      <c r="CY467"/>
      <c r="CZ467"/>
      <c r="DA467"/>
      <c r="DB467"/>
      <c r="DC467"/>
      <c r="DD467"/>
      <c r="DE467"/>
      <c r="DF467" s="80">
        <f>AH467*AG467</f>
        <v>0</v>
      </c>
      <c r="DG467" s="80">
        <f>AI467*AG467</f>
        <v>0</v>
      </c>
      <c r="DH467" s="80">
        <f>AM467*AQ467</f>
        <v>0</v>
      </c>
      <c r="DI467" s="80">
        <f>AN467*AQ467</f>
        <v>0</v>
      </c>
      <c r="DJ467" s="80">
        <f>AR467*AV467</f>
        <v>0</v>
      </c>
      <c r="DK467" s="80">
        <f>AS467*AV467</f>
        <v>0</v>
      </c>
      <c r="DL467" s="80">
        <f>BG467*BK467</f>
        <v>0</v>
      </c>
      <c r="DM467" s="80">
        <f>BH467*BK467</f>
        <v>0</v>
      </c>
      <c r="DN467" s="80">
        <f>BV467*BZ467</f>
        <v>0</v>
      </c>
      <c r="DO467" s="80">
        <f>BW467*BZ467</f>
        <v>0</v>
      </c>
      <c r="DP467" s="382">
        <f>AW467*BA467</f>
        <v>0</v>
      </c>
      <c r="DQ467" s="382">
        <f>AX467*BA467</f>
        <v>0</v>
      </c>
      <c r="DR467" s="382">
        <f>AY467*BA467</f>
        <v>0</v>
      </c>
      <c r="DS467" s="382">
        <f>AZ467*BA467</f>
        <v>0</v>
      </c>
      <c r="DT467" s="382">
        <f>BB467*BD467</f>
        <v>0</v>
      </c>
      <c r="DU467" s="382">
        <f>BC467*BD467</f>
        <v>0</v>
      </c>
      <c r="DV467" s="382">
        <f>BL467*BP467</f>
        <v>0</v>
      </c>
      <c r="DW467" s="382">
        <f>BM467*BP467</f>
        <v>0</v>
      </c>
      <c r="DX467" s="382">
        <f>BN467*BP467</f>
        <v>0</v>
      </c>
      <c r="DY467" s="382">
        <f>BO467*BP467</f>
        <v>0</v>
      </c>
      <c r="DZ467" s="382">
        <f>BQ467*BS467</f>
        <v>0</v>
      </c>
      <c r="EA467" s="382">
        <f>BR467*BS467</f>
        <v>0</v>
      </c>
      <c r="EB467" s="382">
        <f>CA467*CE467</f>
        <v>0</v>
      </c>
      <c r="EC467" s="382">
        <f>CB467*CE467</f>
        <v>0</v>
      </c>
      <c r="ED467" s="382">
        <f>CC467*CE467</f>
        <v>0</v>
      </c>
      <c r="EE467" s="382">
        <f>CD467*CE467</f>
        <v>0</v>
      </c>
      <c r="EF467" s="382">
        <f>CF467*CH467</f>
        <v>0</v>
      </c>
      <c r="EG467" s="382">
        <f>CG467*CH467</f>
        <v>0</v>
      </c>
      <c r="EH467" s="383">
        <f>Y467*(AG467+AQ467)</f>
        <v>0</v>
      </c>
      <c r="EI467" s="383">
        <f>Z467*(AG467+AQ467)</f>
        <v>0</v>
      </c>
      <c r="EJ467" s="80">
        <f>AO467*AQ467</f>
        <v>0</v>
      </c>
      <c r="EK467" s="80">
        <f>AP467*AQ467</f>
        <v>0</v>
      </c>
      <c r="EL467" s="80">
        <f>AT467*AV467</f>
        <v>0</v>
      </c>
      <c r="EM467" s="80">
        <f>AU467*AV467</f>
        <v>0</v>
      </c>
      <c r="EN467" s="80">
        <f>BI467*BK467</f>
        <v>0</v>
      </c>
      <c r="EO467" s="80">
        <f>BJ467*BK467</f>
        <v>0</v>
      </c>
      <c r="EP467" s="80">
        <f>BX467*BZ467</f>
        <v>0</v>
      </c>
      <c r="EQ467" s="80">
        <f>BY467*BZ467</f>
        <v>0</v>
      </c>
      <c r="ER467" s="383">
        <f>AJ467*AL467</f>
        <v>0</v>
      </c>
      <c r="ES467" s="383">
        <f>AK467*AL467</f>
        <v>0</v>
      </c>
      <c r="ET467" s="383">
        <f>IF(AV467+BA467&gt;0,(AR467*AV467+AW467*BA467)/(AV467+BA467),0)</f>
        <v>0</v>
      </c>
      <c r="EU467" s="383">
        <f>IF(BK467+BP467&gt;0,(BG467*BK467+BL467*BP467)/(BK467+BP467),0)</f>
        <v>0</v>
      </c>
      <c r="EV467" s="383">
        <f>IF(BZ467+CE467&gt;0,(BV467*BZ467+CA467*CE467)/(BZ467+CE467),0)</f>
        <v>0</v>
      </c>
    </row>
    <row r="468" spans="1:153">
      <c r="H468" s="388" t="s">
        <v>447</v>
      </c>
    </row>
    <row r="469" spans="1:153" s="60" customFormat="1">
      <c r="B469" s="38"/>
      <c r="C469" s="497" t="str">
        <f>F469 &amp; ".0"</f>
        <v>.0</v>
      </c>
      <c r="D469" s="471"/>
      <c r="E469" s="470" t="s">
        <v>719</v>
      </c>
      <c r="F469" s="833"/>
      <c r="G469" s="853"/>
      <c r="H469" s="584"/>
      <c r="I469" s="393"/>
      <c r="J469" s="824"/>
      <c r="K469" s="824"/>
      <c r="L469" s="824"/>
      <c r="M469" s="824"/>
      <c r="N469" s="824"/>
      <c r="O469" s="824"/>
      <c r="P469" s="824"/>
      <c r="Q469" s="824"/>
      <c r="R469" s="824"/>
      <c r="S469" s="824"/>
      <c r="T469" s="824"/>
      <c r="U469" s="824"/>
      <c r="V469" s="824"/>
      <c r="W469" s="824"/>
      <c r="X469" s="824"/>
      <c r="Y469" s="585"/>
      <c r="Z469" s="392"/>
      <c r="AA469" s="585"/>
      <c r="AB469" s="392"/>
      <c r="AC469" s="585"/>
      <c r="AD469" s="392"/>
      <c r="AE469" s="585"/>
      <c r="AF469" s="392"/>
      <c r="AG469" s="585"/>
      <c r="AH469" s="585"/>
      <c r="AI469" s="392"/>
      <c r="AJ469" s="585"/>
      <c r="AK469" s="392"/>
      <c r="AL469" s="585"/>
      <c r="AM469" s="585"/>
      <c r="AN469" s="392"/>
      <c r="AO469" s="585"/>
      <c r="AP469" s="392"/>
      <c r="AQ469" s="585"/>
      <c r="AR469" s="585"/>
      <c r="AS469" s="392"/>
      <c r="AT469" s="585"/>
      <c r="AU469" s="392"/>
      <c r="AV469" s="585"/>
      <c r="AW469" s="585"/>
      <c r="AX469" s="392"/>
      <c r="AY469" s="585"/>
      <c r="AZ469" s="392"/>
      <c r="BA469" s="585"/>
      <c r="BB469" s="585"/>
      <c r="BC469" s="392"/>
      <c r="BD469" s="585"/>
      <c r="BE469" s="585"/>
      <c r="BF469" s="585"/>
      <c r="BG469" s="585"/>
      <c r="BH469" s="392"/>
      <c r="BI469" s="585"/>
      <c r="BJ469" s="392"/>
      <c r="BK469" s="585"/>
      <c r="BL469" s="585"/>
      <c r="BM469" s="392"/>
      <c r="BN469" s="585"/>
      <c r="BO469" s="392"/>
      <c r="BP469" s="585"/>
      <c r="BQ469" s="585"/>
      <c r="BR469" s="392"/>
      <c r="BS469" s="585"/>
      <c r="BT469" s="585"/>
      <c r="BU469" s="585"/>
      <c r="BV469" s="585"/>
      <c r="BW469" s="392"/>
      <c r="BX469" s="585"/>
      <c r="BY469" s="392"/>
      <c r="BZ469" s="585"/>
      <c r="CA469" s="585"/>
      <c r="CB469" s="392"/>
      <c r="CC469" s="585"/>
      <c r="CD469" s="392"/>
      <c r="CE469" s="585"/>
      <c r="CF469" s="585"/>
      <c r="CG469" s="392"/>
      <c r="CH469" s="585"/>
      <c r="CI469" s="585"/>
      <c r="CJ469" s="585"/>
      <c r="CK469" s="585"/>
      <c r="CL469" s="585"/>
      <c r="CM469" s="585"/>
      <c r="CN469" s="585"/>
      <c r="CO469" s="585"/>
      <c r="CP469" s="585"/>
      <c r="CQ469" s="586"/>
      <c r="CR469" s="585"/>
      <c r="CS469"/>
      <c r="CT469"/>
      <c r="CU469"/>
      <c r="CV469"/>
      <c r="CW469"/>
      <c r="CX469"/>
      <c r="CY469"/>
      <c r="CZ469"/>
      <c r="DA469"/>
      <c r="DB469"/>
      <c r="DC469"/>
      <c r="DD469"/>
      <c r="DE469"/>
      <c r="DF469" s="80">
        <f>AH469*AG469</f>
        <v>0</v>
      </c>
      <c r="DG469" s="80">
        <f>AI469*AG469</f>
        <v>0</v>
      </c>
      <c r="DH469" s="80">
        <f>AM469*AQ469</f>
        <v>0</v>
      </c>
      <c r="DI469" s="80">
        <f>AN469*AQ469</f>
        <v>0</v>
      </c>
      <c r="DJ469" s="80">
        <f>AR469*AV469</f>
        <v>0</v>
      </c>
      <c r="DK469" s="80">
        <f>AS469*AV469</f>
        <v>0</v>
      </c>
      <c r="DL469" s="80">
        <f>BG469*BK469</f>
        <v>0</v>
      </c>
      <c r="DM469" s="80">
        <f>BH469*BK469</f>
        <v>0</v>
      </c>
      <c r="DN469" s="80">
        <f>BV469*BZ469</f>
        <v>0</v>
      </c>
      <c r="DO469" s="80">
        <f>BW469*BZ469</f>
        <v>0</v>
      </c>
      <c r="DP469" s="382">
        <f>AW469*BA469</f>
        <v>0</v>
      </c>
      <c r="DQ469" s="382">
        <f>AX469*BA469</f>
        <v>0</v>
      </c>
      <c r="DR469" s="382">
        <f>AY469*BA469</f>
        <v>0</v>
      </c>
      <c r="DS469" s="382">
        <f>AZ469*BA469</f>
        <v>0</v>
      </c>
      <c r="DT469" s="382">
        <f>BB469*BD469</f>
        <v>0</v>
      </c>
      <c r="DU469" s="382">
        <f>BC469*BD469</f>
        <v>0</v>
      </c>
      <c r="DV469" s="382">
        <f>BL469*BP469</f>
        <v>0</v>
      </c>
      <c r="DW469" s="382">
        <f>BM469*BP469</f>
        <v>0</v>
      </c>
      <c r="DX469" s="382">
        <f>BN469*BP469</f>
        <v>0</v>
      </c>
      <c r="DY469" s="382">
        <f>BO469*BP469</f>
        <v>0</v>
      </c>
      <c r="DZ469" s="382">
        <f>BQ469*BS469</f>
        <v>0</v>
      </c>
      <c r="EA469" s="382">
        <f>BR469*BS469</f>
        <v>0</v>
      </c>
      <c r="EB469" s="382">
        <f>CA469*CE469</f>
        <v>0</v>
      </c>
      <c r="EC469" s="382">
        <f>CB469*CE469</f>
        <v>0</v>
      </c>
      <c r="ED469" s="382">
        <f>CC469*CE469</f>
        <v>0</v>
      </c>
      <c r="EE469" s="382">
        <f>CD469*CE469</f>
        <v>0</v>
      </c>
      <c r="EF469" s="382">
        <f>CF469*CH469</f>
        <v>0</v>
      </c>
      <c r="EG469" s="382">
        <f>CG469*CH469</f>
        <v>0</v>
      </c>
      <c r="EH469" s="383">
        <f>Y469*(AG469+AQ469)</f>
        <v>0</v>
      </c>
      <c r="EI469" s="383">
        <f>Z469*(AG469+AQ469)</f>
        <v>0</v>
      </c>
      <c r="EJ469" s="80">
        <f>AO469*AQ469</f>
        <v>0</v>
      </c>
      <c r="EK469" s="80">
        <f>AP469*AQ469</f>
        <v>0</v>
      </c>
      <c r="EL469" s="80">
        <f>AT469*AV469</f>
        <v>0</v>
      </c>
      <c r="EM469" s="80">
        <f>AU469*AV469</f>
        <v>0</v>
      </c>
      <c r="EN469" s="80">
        <f>BI469*BK469</f>
        <v>0</v>
      </c>
      <c r="EO469" s="80">
        <f>BJ469*BK469</f>
        <v>0</v>
      </c>
      <c r="EP469" s="80">
        <f>BX469*BZ469</f>
        <v>0</v>
      </c>
      <c r="EQ469" s="80">
        <f>BY469*BZ469</f>
        <v>0</v>
      </c>
      <c r="ER469" s="383">
        <f>AJ469*AL469</f>
        <v>0</v>
      </c>
      <c r="ES469" s="383">
        <f>AK469*AL469</f>
        <v>0</v>
      </c>
      <c r="ET469" s="383">
        <f>IF(AV469+BA469&gt;0,(AR469*AV469+AW469*BA469)/(AV469+BA469),0)</f>
        <v>0</v>
      </c>
      <c r="EU469" s="383">
        <f>IF(BK469+BP469&gt;0,(BG469*BK469+BL469*BP469)/(BK469+BP469),0)</f>
        <v>0</v>
      </c>
      <c r="EV469" s="383">
        <f>IF(BZ469+CE469&gt;0,(BV469*BZ469+CA469*CE469)/(BZ469+CE469),0)</f>
        <v>0</v>
      </c>
    </row>
    <row r="470" spans="1:153" s="60" customFormat="1">
      <c r="B470" s="38"/>
      <c r="C470" s="497" t="str">
        <f>F469 &amp; ".1"</f>
        <v>.1</v>
      </c>
      <c r="D470"/>
      <c r="E470"/>
      <c r="F470" s="833"/>
      <c r="G470" s="835"/>
      <c r="H470" s="584" t="str">
        <f>IF(TEMPLATE_SPHERE="водоснабжения","Вода питьевого качества","")</f>
        <v/>
      </c>
      <c r="I470" s="393"/>
      <c r="J470" s="824"/>
      <c r="K470" s="824"/>
      <c r="L470" s="824"/>
      <c r="M470" s="824"/>
      <c r="N470" s="824"/>
      <c r="O470" s="824"/>
      <c r="P470" s="824"/>
      <c r="Q470" s="824"/>
      <c r="R470" s="824"/>
      <c r="S470" s="824"/>
      <c r="T470" s="824"/>
      <c r="U470" s="824"/>
      <c r="V470" s="824"/>
      <c r="W470" s="824"/>
      <c r="X470" s="824"/>
      <c r="Y470" s="399"/>
      <c r="Z470" s="398">
        <f>IF($D469="нет",Y470,Y470*1.18)</f>
        <v>0</v>
      </c>
      <c r="AA470" s="398">
        <f>IF(AG470=0,0,(AC470*AG470+AJ470*IF(AL470&gt;AG470,AG470,AL470))/AG470)</f>
        <v>0</v>
      </c>
      <c r="AB470" s="398">
        <f>IF($D469="нет",AA470,AA470*1.18)</f>
        <v>0</v>
      </c>
      <c r="AC470" s="398">
        <f>IF(AG470&gt;0,(AR470*AV470+BG470*BK470+BV470*BZ470)/AG470,0)</f>
        <v>0</v>
      </c>
      <c r="AD470" s="398">
        <f>IF($D469="нет",AC470,AC470*1.18)</f>
        <v>0</v>
      </c>
      <c r="AE470" s="585"/>
      <c r="AF470" s="392"/>
      <c r="AG470" s="398">
        <f>AV470+BK470+BZ470</f>
        <v>0</v>
      </c>
      <c r="AH470" s="585"/>
      <c r="AI470" s="392"/>
      <c r="AJ470" s="399"/>
      <c r="AK470" s="398">
        <f>IF($D469="нет",AJ470,AJ470*1.18)</f>
        <v>0</v>
      </c>
      <c r="AL470" s="399"/>
      <c r="AM470" s="399"/>
      <c r="AN470" s="398">
        <f>IF($D469="нет",AM470,AM470*1.18)</f>
        <v>0</v>
      </c>
      <c r="AO470" s="399"/>
      <c r="AP470" s="398">
        <f>IF($D469="нет",AO470,AO470*1.18)</f>
        <v>0</v>
      </c>
      <c r="AQ470" s="633">
        <f>IF(TARIFF_SETUP_METHOD_CODE="BY_MONTHS",SUMIF(ВС.БПр!$BF$129:$BF$130,$C470&amp;"-"&amp;$H$3,ВС.БПр!U$129:U$130),IF(TARIFF_SETUP_METHOD_CODE="BY_PSEUDO_YEARS",SUMIF(ВС.БПр!$F$129:$F$130,$C470&amp;".0",ВС.БПр!U$129:U$130),0))</f>
        <v>0</v>
      </c>
      <c r="AR470" s="399"/>
      <c r="AS470" s="398">
        <f>IF($D469="нет",AR470,AR470*1.18)</f>
        <v>0</v>
      </c>
      <c r="AT470" s="399"/>
      <c r="AU470" s="398">
        <f>IF($D469="нет",AT470,AT470*1.18)</f>
        <v>0</v>
      </c>
      <c r="AV470" s="633">
        <f>IF(TARIFF_SETUP_METHOD_CODE="BY_MONTHS",SUMIF(ВС.БПр!$BF$129:$BF$130,$C470&amp;"-"&amp;$H$3,ВС.БПр!AA$129:AA$130),IF(TARIFF_SETUP_METHOD_CODE="BY_PSEUDO_YEARS",SUMIF(ВС.БПр!$F$129:$F$130,$C470&amp;".0",ВС.БПр!AA$129:AA$130),0))</f>
        <v>0</v>
      </c>
      <c r="AW470" s="117"/>
      <c r="AX470" s="117"/>
      <c r="AY470" s="117"/>
      <c r="AZ470" s="117"/>
      <c r="BA470" s="117"/>
      <c r="BB470" s="117"/>
      <c r="BC470" s="117"/>
      <c r="BD470" s="117"/>
      <c r="BE470" s="399"/>
      <c r="BF470" s="398">
        <f>IF(AV470=0,0,1000*BE470/AV470)</f>
        <v>0</v>
      </c>
      <c r="BG470" s="399"/>
      <c r="BH470" s="398">
        <f>IF($D469="нет",BG470,BG470*1.18)</f>
        <v>0</v>
      </c>
      <c r="BI470" s="399"/>
      <c r="BJ470" s="398">
        <f>IF($D469="нет",BI470,BI470*1.18)</f>
        <v>0</v>
      </c>
      <c r="BK470" s="633">
        <f>IF(TARIFF_SETUP_METHOD_CODE="BY_MONTHS",SUMIF(ВС.БПр!$BF$129:$BF$130,$C470&amp;"-"&amp;$H$3,ВС.БПр!AB$129:AB$130),IF(TARIFF_SETUP_METHOD_CODE="BY_PSEUDO_YEARS",SUMIF(ВС.БПр!$F$129:$F$130,$C470&amp;".0",ВС.БПр!AB$129:AB$130),0))</f>
        <v>0</v>
      </c>
      <c r="BL470" s="117"/>
      <c r="BM470" s="117"/>
      <c r="BN470" s="117"/>
      <c r="BO470" s="117"/>
      <c r="BP470" s="117"/>
      <c r="BQ470" s="117"/>
      <c r="BR470" s="117"/>
      <c r="BS470" s="117"/>
      <c r="BT470" s="399"/>
      <c r="BU470" s="398">
        <f>IF(BK470=0,0,1000*BT470/BK470)</f>
        <v>0</v>
      </c>
      <c r="BV470" s="399"/>
      <c r="BW470" s="398">
        <f>IF($D469="нет",BV470,BV470*1.18)</f>
        <v>0</v>
      </c>
      <c r="BX470" s="399"/>
      <c r="BY470" s="398">
        <f>IF($D469="нет",BX470,BX470*1.18)</f>
        <v>0</v>
      </c>
      <c r="BZ470" s="633">
        <f>IF(TARIFF_SETUP_METHOD_CODE="BY_MONTHS",SUMIF(ВС.БПр!$BF$129:$BF$130,$C470&amp;"-"&amp;$H$3,ВС.БПр!AC$129:AC$130),IF(TARIFF_SETUP_METHOD_CODE="BY_PSEUDO_YEARS",SUMIF(ВС.БПр!$F$129:$F$130,$C470&amp;".0",ВС.БПр!AC$129:AC$130),0))</f>
        <v>0</v>
      </c>
      <c r="CA470" s="117"/>
      <c r="CB470" s="117"/>
      <c r="CC470" s="117"/>
      <c r="CD470" s="117"/>
      <c r="CE470" s="117"/>
      <c r="CF470" s="117"/>
      <c r="CG470" s="117"/>
      <c r="CH470" s="117"/>
      <c r="CI470" s="399"/>
      <c r="CJ470" s="398">
        <f>IF(BZ470=0,0,1000*CI470/BZ470)</f>
        <v>0</v>
      </c>
      <c r="CK470" s="398">
        <f>BE470+BT470+CI470</f>
        <v>0</v>
      </c>
      <c r="CL470" s="335">
        <f>SUM(CN470:CQ470)</f>
        <v>0</v>
      </c>
      <c r="CM470" s="398">
        <f>SUMIF(CN470:CQ470,"&gt;0")</f>
        <v>0</v>
      </c>
      <c r="CN470" s="398">
        <f>(Y470-AM470)*AQ470/1000</f>
        <v>0</v>
      </c>
      <c r="CO470" s="398">
        <f>(Y470-(AR470+BF470))*AV470/1000</f>
        <v>0</v>
      </c>
      <c r="CP470" s="398">
        <f>(Y470-(BG470+BU470))*BK470/1000</f>
        <v>0</v>
      </c>
      <c r="CQ470" s="398">
        <f>(Y470-(BV470+CJ470))*BZ470/1000</f>
        <v>0</v>
      </c>
      <c r="CR470" s="587"/>
      <c r="CS470"/>
      <c r="CT470"/>
      <c r="CU470"/>
      <c r="CV470"/>
      <c r="CW470"/>
      <c r="CX470"/>
      <c r="CY470"/>
      <c r="CZ470"/>
      <c r="DA470"/>
      <c r="DB470"/>
      <c r="DC470"/>
      <c r="DD470"/>
      <c r="DE470"/>
      <c r="DF470" s="80">
        <f t="shared" ref="DF470:DF475" si="35">AH470*AG470</f>
        <v>0</v>
      </c>
      <c r="DG470" s="80">
        <f t="shared" ref="DG470:DG475" si="36">AI470*AG470</f>
        <v>0</v>
      </c>
      <c r="DH470" s="80">
        <f t="shared" ref="DH470:DH475" si="37">AM470*AQ470</f>
        <v>0</v>
      </c>
      <c r="DI470" s="80">
        <f t="shared" ref="DI470:DI475" si="38">AN470*AQ470</f>
        <v>0</v>
      </c>
      <c r="DJ470" s="80">
        <f t="shared" ref="DJ470:DJ475" si="39">AR470*AV470</f>
        <v>0</v>
      </c>
      <c r="DK470" s="80">
        <f t="shared" ref="DK470:DK475" si="40">AS470*AV470</f>
        <v>0</v>
      </c>
      <c r="DL470" s="80">
        <f t="shared" ref="DL470:DL475" si="41">BG470*BK470</f>
        <v>0</v>
      </c>
      <c r="DM470" s="80">
        <f t="shared" ref="DM470:DM475" si="42">BH470*BK470</f>
        <v>0</v>
      </c>
      <c r="DN470" s="80">
        <f t="shared" ref="DN470:DN475" si="43">BV470*BZ470</f>
        <v>0</v>
      </c>
      <c r="DO470" s="80">
        <f t="shared" ref="DO470:DO475" si="44">BW470*BZ470</f>
        <v>0</v>
      </c>
      <c r="DP470" s="382">
        <f t="shared" ref="DP470:DP475" si="45">AW470*BA470</f>
        <v>0</v>
      </c>
      <c r="DQ470" s="382">
        <f t="shared" ref="DQ470:DQ475" si="46">AX470*BA470</f>
        <v>0</v>
      </c>
      <c r="DR470" s="382">
        <f t="shared" ref="DR470:DR475" si="47">AY470*BA470</f>
        <v>0</v>
      </c>
      <c r="DS470" s="382">
        <f t="shared" ref="DS470:DS475" si="48">AZ470*BA470</f>
        <v>0</v>
      </c>
      <c r="DT470" s="382">
        <f t="shared" ref="DT470:DT475" si="49">BB470*BD470</f>
        <v>0</v>
      </c>
      <c r="DU470" s="382">
        <f t="shared" ref="DU470:DU475" si="50">BC470*BD470</f>
        <v>0</v>
      </c>
      <c r="DV470" s="382">
        <f t="shared" ref="DV470:DV475" si="51">BL470*BP470</f>
        <v>0</v>
      </c>
      <c r="DW470" s="382">
        <f t="shared" ref="DW470:DW475" si="52">BM470*BP470</f>
        <v>0</v>
      </c>
      <c r="DX470" s="382">
        <f t="shared" ref="DX470:DX475" si="53">BN470*BP470</f>
        <v>0</v>
      </c>
      <c r="DY470" s="382">
        <f t="shared" ref="DY470:DY475" si="54">BO470*BP470</f>
        <v>0</v>
      </c>
      <c r="DZ470" s="382">
        <f t="shared" ref="DZ470:DZ475" si="55">BQ470*BS470</f>
        <v>0</v>
      </c>
      <c r="EA470" s="382">
        <f t="shared" ref="EA470:EA475" si="56">BR470*BS470</f>
        <v>0</v>
      </c>
      <c r="EB470" s="382">
        <f t="shared" ref="EB470:EB475" si="57">CA470*CE470</f>
        <v>0</v>
      </c>
      <c r="EC470" s="382">
        <f t="shared" ref="EC470:EC475" si="58">CB470*CE470</f>
        <v>0</v>
      </c>
      <c r="ED470" s="382">
        <f t="shared" ref="ED470:ED475" si="59">CC470*CE470</f>
        <v>0</v>
      </c>
      <c r="EE470" s="382">
        <f t="shared" ref="EE470:EE475" si="60">CD470*CE470</f>
        <v>0</v>
      </c>
      <c r="EF470" s="382">
        <f t="shared" ref="EF470:EF475" si="61">CF470*CH470</f>
        <v>0</v>
      </c>
      <c r="EG470" s="382">
        <f t="shared" ref="EG470:EG475" si="62">CG470*CH470</f>
        <v>0</v>
      </c>
      <c r="EH470" s="383">
        <f t="shared" ref="EH470:EH475" si="63">Y470*(AG470+AQ470)</f>
        <v>0</v>
      </c>
      <c r="EI470" s="383">
        <f t="shared" ref="EI470:EI475" si="64">Z470*(AG470+AQ470)</f>
        <v>0</v>
      </c>
      <c r="EJ470" s="80">
        <f t="shared" ref="EJ470:EJ475" si="65">AO470*AQ470</f>
        <v>0</v>
      </c>
      <c r="EK470" s="80">
        <f t="shared" ref="EK470:EK475" si="66">AP470*AQ470</f>
        <v>0</v>
      </c>
      <c r="EL470" s="80">
        <f t="shared" ref="EL470:EL475" si="67">AT470*AV470</f>
        <v>0</v>
      </c>
      <c r="EM470" s="80">
        <f t="shared" ref="EM470:EM475" si="68">AU470*AV470</f>
        <v>0</v>
      </c>
      <c r="EN470" s="80">
        <f t="shared" ref="EN470:EN475" si="69">BI470*BK470</f>
        <v>0</v>
      </c>
      <c r="EO470" s="80">
        <f t="shared" ref="EO470:EO475" si="70">BJ470*BK470</f>
        <v>0</v>
      </c>
      <c r="EP470" s="80">
        <f t="shared" ref="EP470:EP475" si="71">BX470*BZ470</f>
        <v>0</v>
      </c>
      <c r="EQ470" s="80">
        <f t="shared" ref="EQ470:EQ475" si="72">BY470*BZ470</f>
        <v>0</v>
      </c>
      <c r="ER470" s="383">
        <f>AJ470*AL470</f>
        <v>0</v>
      </c>
      <c r="ES470" s="383">
        <f>AK470*AL470</f>
        <v>0</v>
      </c>
      <c r="ET470" s="383">
        <f>IF(AV470+BA470&gt;0,(AR470*AV470+AW470*BA470)/(AV470+BA470),0)</f>
        <v>0</v>
      </c>
      <c r="EU470" s="383">
        <f>IF(BK470+BP470&gt;0,(BG470*BK470+BL470*BP470)/(BK470+BP470),0)</f>
        <v>0</v>
      </c>
      <c r="EV470" s="383">
        <f>IF(BZ470+CE470&gt;0,(BV470*BZ470+CA470*CE470)/(BZ470+CE470),0)</f>
        <v>0</v>
      </c>
    </row>
    <row r="471" spans="1:153" s="60" customFormat="1">
      <c r="C471" s="497" t="str">
        <f>F469 &amp; ".2"</f>
        <v>.2</v>
      </c>
      <c r="D471"/>
      <c r="E471"/>
      <c r="F471" s="833"/>
      <c r="G471" s="835"/>
      <c r="H471" s="584" t="str">
        <f>IF(TEMPLATE_SPHERE="водоснабжения","Вода технического качества","")</f>
        <v/>
      </c>
      <c r="I471" s="393"/>
      <c r="J471" s="824"/>
      <c r="K471" s="824"/>
      <c r="L471" s="824"/>
      <c r="M471" s="824"/>
      <c r="N471" s="824"/>
      <c r="O471" s="824"/>
      <c r="P471" s="824"/>
      <c r="Q471" s="824"/>
      <c r="R471" s="824"/>
      <c r="S471" s="824"/>
      <c r="T471" s="824"/>
      <c r="U471" s="824"/>
      <c r="V471" s="824"/>
      <c r="W471" s="824"/>
      <c r="X471" s="824"/>
      <c r="Y471" s="399"/>
      <c r="Z471" s="398">
        <f>IF($D469="нет",Y471,Y471*1.18)</f>
        <v>0</v>
      </c>
      <c r="AA471" s="398">
        <f>IF(AG471=0,0,(AC471*AG471+AJ471*IF(AL471&gt;AG471,AG471,AL471))/AG471)</f>
        <v>0</v>
      </c>
      <c r="AB471" s="398">
        <f>IF($D469="нет",AA471,AA471*1.18)</f>
        <v>0</v>
      </c>
      <c r="AC471" s="398">
        <f>IF(AG471&gt;0,(AR471*AV471+BG471*BK471+BV471*BZ471)/AG471,0)</f>
        <v>0</v>
      </c>
      <c r="AD471" s="398">
        <f>IF($D469="нет",AC471,AC471*1.18)</f>
        <v>0</v>
      </c>
      <c r="AE471" s="585"/>
      <c r="AF471" s="392"/>
      <c r="AG471" s="398">
        <f>AV471+BK471+BZ471</f>
        <v>0</v>
      </c>
      <c r="AH471" s="585"/>
      <c r="AI471" s="392"/>
      <c r="AJ471" s="399"/>
      <c r="AK471" s="398">
        <f>IF($D469="нет",AJ471,AJ471*1.18)</f>
        <v>0</v>
      </c>
      <c r="AL471" s="399"/>
      <c r="AM471" s="399"/>
      <c r="AN471" s="398">
        <f>IF($D469="нет",AM471,AM471*1.18)</f>
        <v>0</v>
      </c>
      <c r="AO471" s="399"/>
      <c r="AP471" s="398">
        <f>IF($D469="нет",AO471,AO471*1.18)</f>
        <v>0</v>
      </c>
      <c r="AQ471" s="633">
        <f>IF(TARIFF_SETUP_METHOD_CODE="BY_MONTHS",SUMIF(ВС.БПр!$BF$129:$BF$130,$C471&amp;"-"&amp;$H$3,ВС.БПр!U$129:U$130),IF(TARIFF_SETUP_METHOD_CODE="BY_PSEUDO_YEARS",SUMIF(ВС.БПр!$F$129:$F$130,$C471&amp;".0",ВС.БПр!U$129:U$130),0))</f>
        <v>0</v>
      </c>
      <c r="AR471" s="399"/>
      <c r="AS471" s="398">
        <f>IF($D469="нет",AR471,AR471*1.18)</f>
        <v>0</v>
      </c>
      <c r="AT471" s="399"/>
      <c r="AU471" s="398">
        <f>IF($D469="нет",AT471,AT471*1.18)</f>
        <v>0</v>
      </c>
      <c r="AV471" s="633">
        <f>IF(TARIFF_SETUP_METHOD_CODE="BY_MONTHS",SUMIF(ВС.БПр!$BF$129:$BF$130,$C471&amp;"-"&amp;$H$3,ВС.БПр!AA$129:AA$130),IF(TARIFF_SETUP_METHOD_CODE="BY_PSEUDO_YEARS",SUMIF(ВС.БПр!$F$129:$F$130,$C471&amp;".0",ВС.БПр!AA$129:AA$130),0))</f>
        <v>0</v>
      </c>
      <c r="AW471" s="117"/>
      <c r="AX471" s="117"/>
      <c r="AY471" s="117"/>
      <c r="AZ471" s="117"/>
      <c r="BA471" s="117"/>
      <c r="BB471" s="117"/>
      <c r="BC471" s="117"/>
      <c r="BD471" s="117"/>
      <c r="BE471" s="399"/>
      <c r="BF471" s="398">
        <f>IF(AV471=0,0,1000*BE471/AV471)</f>
        <v>0</v>
      </c>
      <c r="BG471" s="399"/>
      <c r="BH471" s="398">
        <f>IF($D469="нет",BG471,BG471*1.18)</f>
        <v>0</v>
      </c>
      <c r="BI471" s="399"/>
      <c r="BJ471" s="398">
        <f>IF($D469="нет",BI471,BI471*1.18)</f>
        <v>0</v>
      </c>
      <c r="BK471" s="633">
        <f>IF(TARIFF_SETUP_METHOD_CODE="BY_MONTHS",SUMIF(ВС.БПр!$BF$129:$BF$130,$C471&amp;"-"&amp;$H$3,ВС.БПр!AB$129:AB$130),IF(TARIFF_SETUP_METHOD_CODE="BY_PSEUDO_YEARS",SUMIF(ВС.БПр!$F$129:$F$130,$C471&amp;".0",ВС.БПр!AB$129:AB$130),0))</f>
        <v>0</v>
      </c>
      <c r="BL471" s="117"/>
      <c r="BM471" s="117"/>
      <c r="BN471" s="117"/>
      <c r="BO471" s="117"/>
      <c r="BP471" s="117"/>
      <c r="BQ471" s="117"/>
      <c r="BR471" s="117"/>
      <c r="BS471" s="117"/>
      <c r="BT471" s="399"/>
      <c r="BU471" s="398">
        <f>IF(BK471=0,0,1000*BT471/BK471)</f>
        <v>0</v>
      </c>
      <c r="BV471" s="399"/>
      <c r="BW471" s="398">
        <f>IF($D469="нет",BV471,BV471*1.18)</f>
        <v>0</v>
      </c>
      <c r="BX471" s="399"/>
      <c r="BY471" s="398">
        <f>IF($D469="нет",BX471,BX471*1.18)</f>
        <v>0</v>
      </c>
      <c r="BZ471" s="633">
        <f>IF(TARIFF_SETUP_METHOD_CODE="BY_MONTHS",SUMIF(ВС.БПр!$BF$129:$BF$130,$C471&amp;"-"&amp;$H$3,ВС.БПр!AC$129:AC$130),IF(TARIFF_SETUP_METHOD_CODE="BY_PSEUDO_YEARS",SUMIF(ВС.БПр!$F$129:$F$130,$C471&amp;".0",ВС.БПр!AC$129:AC$130),0))</f>
        <v>0</v>
      </c>
      <c r="CA471" s="117"/>
      <c r="CB471" s="117"/>
      <c r="CC471" s="117"/>
      <c r="CD471" s="117"/>
      <c r="CE471" s="117"/>
      <c r="CF471" s="117"/>
      <c r="CG471" s="117"/>
      <c r="CH471" s="117"/>
      <c r="CI471" s="399"/>
      <c r="CJ471" s="398">
        <f>IF(BZ471=0,0,1000*CI471/BZ471)</f>
        <v>0</v>
      </c>
      <c r="CK471" s="398">
        <f>BE471+BT471+CI471</f>
        <v>0</v>
      </c>
      <c r="CL471" s="335">
        <f>SUM(CN471:CQ471)</f>
        <v>0</v>
      </c>
      <c r="CM471" s="398">
        <f>SUMIF(CN471:CQ471,"&gt;0")</f>
        <v>0</v>
      </c>
      <c r="CN471" s="398">
        <f>(Y471-AM471)*AQ471/1000</f>
        <v>0</v>
      </c>
      <c r="CO471" s="398">
        <f>(Y471-(AR471+BF471))*AV471/1000</f>
        <v>0</v>
      </c>
      <c r="CP471" s="398">
        <f>(Y471-(BG471+BU471))*BK471/1000</f>
        <v>0</v>
      </c>
      <c r="CQ471" s="398">
        <f>(Y471-(BV471+CJ471))*BZ471/1000</f>
        <v>0</v>
      </c>
      <c r="CR471" s="587"/>
      <c r="CS471"/>
      <c r="CT471"/>
      <c r="CU471"/>
      <c r="CV471"/>
      <c r="CW471"/>
      <c r="CX471"/>
      <c r="CY471"/>
      <c r="CZ471"/>
      <c r="DA471"/>
      <c r="DB471"/>
      <c r="DC471"/>
      <c r="DD471"/>
      <c r="DE471"/>
      <c r="DF471" s="80">
        <f t="shared" si="35"/>
        <v>0</v>
      </c>
      <c r="DG471" s="80">
        <f t="shared" si="36"/>
        <v>0</v>
      </c>
      <c r="DH471" s="80">
        <f t="shared" si="37"/>
        <v>0</v>
      </c>
      <c r="DI471" s="80">
        <f t="shared" si="38"/>
        <v>0</v>
      </c>
      <c r="DJ471" s="80">
        <f t="shared" si="39"/>
        <v>0</v>
      </c>
      <c r="DK471" s="80">
        <f t="shared" si="40"/>
        <v>0</v>
      </c>
      <c r="DL471" s="80">
        <f t="shared" si="41"/>
        <v>0</v>
      </c>
      <c r="DM471" s="80">
        <f t="shared" si="42"/>
        <v>0</v>
      </c>
      <c r="DN471" s="80">
        <f t="shared" si="43"/>
        <v>0</v>
      </c>
      <c r="DO471" s="80">
        <f t="shared" si="44"/>
        <v>0</v>
      </c>
      <c r="DP471" s="382">
        <f t="shared" si="45"/>
        <v>0</v>
      </c>
      <c r="DQ471" s="382">
        <f t="shared" si="46"/>
        <v>0</v>
      </c>
      <c r="DR471" s="382">
        <f t="shared" si="47"/>
        <v>0</v>
      </c>
      <c r="DS471" s="382">
        <f t="shared" si="48"/>
        <v>0</v>
      </c>
      <c r="DT471" s="382">
        <f t="shared" si="49"/>
        <v>0</v>
      </c>
      <c r="DU471" s="382">
        <f t="shared" si="50"/>
        <v>0</v>
      </c>
      <c r="DV471" s="382">
        <f t="shared" si="51"/>
        <v>0</v>
      </c>
      <c r="DW471" s="382">
        <f t="shared" si="52"/>
        <v>0</v>
      </c>
      <c r="DX471" s="382">
        <f t="shared" si="53"/>
        <v>0</v>
      </c>
      <c r="DY471" s="382">
        <f t="shared" si="54"/>
        <v>0</v>
      </c>
      <c r="DZ471" s="382">
        <f t="shared" si="55"/>
        <v>0</v>
      </c>
      <c r="EA471" s="382">
        <f t="shared" si="56"/>
        <v>0</v>
      </c>
      <c r="EB471" s="382">
        <f t="shared" si="57"/>
        <v>0</v>
      </c>
      <c r="EC471" s="382">
        <f t="shared" si="58"/>
        <v>0</v>
      </c>
      <c r="ED471" s="382">
        <f t="shared" si="59"/>
        <v>0</v>
      </c>
      <c r="EE471" s="382">
        <f t="shared" si="60"/>
        <v>0</v>
      </c>
      <c r="EF471" s="382">
        <f t="shared" si="61"/>
        <v>0</v>
      </c>
      <c r="EG471" s="382">
        <f t="shared" si="62"/>
        <v>0</v>
      </c>
      <c r="EH471" s="383">
        <f t="shared" si="63"/>
        <v>0</v>
      </c>
      <c r="EI471" s="383">
        <f t="shared" si="64"/>
        <v>0</v>
      </c>
      <c r="EJ471" s="80">
        <f t="shared" si="65"/>
        <v>0</v>
      </c>
      <c r="EK471" s="80">
        <f t="shared" si="66"/>
        <v>0</v>
      </c>
      <c r="EL471" s="80">
        <f t="shared" si="67"/>
        <v>0</v>
      </c>
      <c r="EM471" s="80">
        <f t="shared" si="68"/>
        <v>0</v>
      </c>
      <c r="EN471" s="80">
        <f t="shared" si="69"/>
        <v>0</v>
      </c>
      <c r="EO471" s="80">
        <f t="shared" si="70"/>
        <v>0</v>
      </c>
      <c r="EP471" s="80">
        <f t="shared" si="71"/>
        <v>0</v>
      </c>
      <c r="EQ471" s="80">
        <f t="shared" si="72"/>
        <v>0</v>
      </c>
      <c r="ER471" s="383">
        <f>AJ471*AL471</f>
        <v>0</v>
      </c>
      <c r="ES471" s="383">
        <f>AK471*AL471</f>
        <v>0</v>
      </c>
      <c r="ET471" s="383">
        <f>IF(AV471+BA471&gt;0,(AR471*AV471+AW471*BA471)/(AV471+BA471),0)</f>
        <v>0</v>
      </c>
      <c r="EU471" s="383">
        <f>IF(BK471+BP471&gt;0,(BG471*BK471+BL471*BP471)/(BK471+BP471),0)</f>
        <v>0</v>
      </c>
      <c r="EV471" s="383">
        <f>IF(BZ471+CE471&gt;0,(BV471*BZ471+CA471*CE471)/(BZ471+CE471),0)</f>
        <v>0</v>
      </c>
    </row>
    <row r="472" spans="1:153">
      <c r="H472" s="388" t="s">
        <v>448</v>
      </c>
    </row>
    <row r="473" spans="1:153" s="60" customFormat="1" ht="11.25" customHeight="1">
      <c r="B473" s="38"/>
      <c r="C473" s="497" t="str">
        <f>F473 &amp; ".0"</f>
        <v>.0</v>
      </c>
      <c r="D473" s="471"/>
      <c r="E473" s="470" t="s">
        <v>719</v>
      </c>
      <c r="F473" s="892"/>
      <c r="G473" s="850"/>
      <c r="H473" s="584"/>
      <c r="I473" s="393"/>
      <c r="J473" s="865"/>
      <c r="K473" s="824"/>
      <c r="L473" s="824"/>
      <c r="M473" s="824"/>
      <c r="N473" s="824"/>
      <c r="O473" s="865"/>
      <c r="P473" s="865"/>
      <c r="Q473" s="865"/>
      <c r="R473" s="865"/>
      <c r="S473" s="865"/>
      <c r="T473" s="865"/>
      <c r="U473" s="865"/>
      <c r="V473" s="865"/>
      <c r="W473" s="865"/>
      <c r="X473" s="865"/>
      <c r="Y473" s="585"/>
      <c r="Z473" s="392"/>
      <c r="AA473" s="585"/>
      <c r="AB473" s="392"/>
      <c r="AC473" s="585"/>
      <c r="AD473" s="392"/>
      <c r="AE473" s="585"/>
      <c r="AF473" s="392"/>
      <c r="AG473" s="585"/>
      <c r="AH473" s="585"/>
      <c r="AI473" s="392"/>
      <c r="AJ473" s="585"/>
      <c r="AK473" s="392"/>
      <c r="AL473" s="585"/>
      <c r="AM473" s="585"/>
      <c r="AN473" s="392"/>
      <c r="AO473" s="585"/>
      <c r="AP473" s="392"/>
      <c r="AQ473" s="585"/>
      <c r="AR473" s="585"/>
      <c r="AS473" s="392"/>
      <c r="AT473" s="585"/>
      <c r="AU473" s="392"/>
      <c r="AV473" s="585"/>
      <c r="AW473" s="585"/>
      <c r="AX473" s="392"/>
      <c r="AY473" s="585"/>
      <c r="AZ473" s="392"/>
      <c r="BA473" s="585"/>
      <c r="BB473" s="585"/>
      <c r="BC473" s="392"/>
      <c r="BD473" s="585"/>
      <c r="BE473" s="585"/>
      <c r="BF473" s="585"/>
      <c r="BG473" s="585"/>
      <c r="BH473" s="392"/>
      <c r="BI473" s="585"/>
      <c r="BJ473" s="392"/>
      <c r="BK473" s="585"/>
      <c r="BL473" s="585"/>
      <c r="BM473" s="392"/>
      <c r="BN473" s="585"/>
      <c r="BO473" s="392"/>
      <c r="BP473" s="585"/>
      <c r="BQ473" s="585"/>
      <c r="BR473" s="392"/>
      <c r="BS473" s="585"/>
      <c r="BT473" s="585"/>
      <c r="BU473" s="585"/>
      <c r="BV473" s="585"/>
      <c r="BW473" s="392"/>
      <c r="BX473" s="585"/>
      <c r="BY473" s="392"/>
      <c r="BZ473" s="585"/>
      <c r="CA473" s="585"/>
      <c r="CB473" s="392"/>
      <c r="CC473" s="585"/>
      <c r="CD473" s="392"/>
      <c r="CE473" s="585"/>
      <c r="CF473" s="585"/>
      <c r="CG473" s="392"/>
      <c r="CH473" s="585"/>
      <c r="CI473" s="585"/>
      <c r="CJ473" s="585"/>
      <c r="CK473" s="585"/>
      <c r="CL473" s="585"/>
      <c r="CM473" s="585"/>
      <c r="CN473" s="585"/>
      <c r="CO473" s="585"/>
      <c r="CP473" s="585"/>
      <c r="CQ473" s="586"/>
      <c r="CR473" s="585"/>
      <c r="CS473"/>
      <c r="CT473"/>
      <c r="CU473"/>
      <c r="CV473"/>
      <c r="CW473"/>
      <c r="CX473"/>
      <c r="CY473"/>
      <c r="CZ473"/>
      <c r="DA473"/>
      <c r="DB473"/>
      <c r="DC473"/>
      <c r="DD473"/>
      <c r="DE473"/>
      <c r="DF473" s="80">
        <f t="shared" si="35"/>
        <v>0</v>
      </c>
      <c r="DG473" s="80">
        <f t="shared" si="36"/>
        <v>0</v>
      </c>
      <c r="DH473" s="80">
        <f t="shared" si="37"/>
        <v>0</v>
      </c>
      <c r="DI473" s="80">
        <f t="shared" si="38"/>
        <v>0</v>
      </c>
      <c r="DJ473" s="80">
        <f t="shared" si="39"/>
        <v>0</v>
      </c>
      <c r="DK473" s="80">
        <f t="shared" si="40"/>
        <v>0</v>
      </c>
      <c r="DL473" s="80">
        <f t="shared" si="41"/>
        <v>0</v>
      </c>
      <c r="DM473" s="80">
        <f t="shared" si="42"/>
        <v>0</v>
      </c>
      <c r="DN473" s="80">
        <f t="shared" si="43"/>
        <v>0</v>
      </c>
      <c r="DO473" s="80">
        <f t="shared" si="44"/>
        <v>0</v>
      </c>
      <c r="DP473" s="382">
        <f t="shared" si="45"/>
        <v>0</v>
      </c>
      <c r="DQ473" s="382">
        <f t="shared" si="46"/>
        <v>0</v>
      </c>
      <c r="DR473" s="382">
        <f t="shared" si="47"/>
        <v>0</v>
      </c>
      <c r="DS473" s="382">
        <f t="shared" si="48"/>
        <v>0</v>
      </c>
      <c r="DT473" s="382">
        <f t="shared" si="49"/>
        <v>0</v>
      </c>
      <c r="DU473" s="382">
        <f t="shared" si="50"/>
        <v>0</v>
      </c>
      <c r="DV473" s="382">
        <f t="shared" si="51"/>
        <v>0</v>
      </c>
      <c r="DW473" s="382">
        <f t="shared" si="52"/>
        <v>0</v>
      </c>
      <c r="DX473" s="382">
        <f t="shared" si="53"/>
        <v>0</v>
      </c>
      <c r="DY473" s="382">
        <f t="shared" si="54"/>
        <v>0</v>
      </c>
      <c r="DZ473" s="382">
        <f t="shared" si="55"/>
        <v>0</v>
      </c>
      <c r="EA473" s="382">
        <f t="shared" si="56"/>
        <v>0</v>
      </c>
      <c r="EB473" s="382">
        <f t="shared" si="57"/>
        <v>0</v>
      </c>
      <c r="EC473" s="382">
        <f t="shared" si="58"/>
        <v>0</v>
      </c>
      <c r="ED473" s="382">
        <f t="shared" si="59"/>
        <v>0</v>
      </c>
      <c r="EE473" s="382">
        <f t="shared" si="60"/>
        <v>0</v>
      </c>
      <c r="EF473" s="382">
        <f t="shared" si="61"/>
        <v>0</v>
      </c>
      <c r="EG473" s="382">
        <f t="shared" si="62"/>
        <v>0</v>
      </c>
      <c r="EH473" s="383">
        <f t="shared" si="63"/>
        <v>0</v>
      </c>
      <c r="EI473" s="383">
        <f t="shared" si="64"/>
        <v>0</v>
      </c>
      <c r="EJ473" s="80">
        <f t="shared" si="65"/>
        <v>0</v>
      </c>
      <c r="EK473" s="80">
        <f t="shared" si="66"/>
        <v>0</v>
      </c>
      <c r="EL473" s="80">
        <f t="shared" si="67"/>
        <v>0</v>
      </c>
      <c r="EM473" s="80">
        <f t="shared" si="68"/>
        <v>0</v>
      </c>
      <c r="EN473" s="80">
        <f t="shared" si="69"/>
        <v>0</v>
      </c>
      <c r="EO473" s="80">
        <f t="shared" si="70"/>
        <v>0</v>
      </c>
      <c r="EP473" s="80">
        <f t="shared" si="71"/>
        <v>0</v>
      </c>
      <c r="EQ473" s="80">
        <f t="shared" si="72"/>
        <v>0</v>
      </c>
      <c r="ER473" s="383">
        <f>AJ473*AL473</f>
        <v>0</v>
      </c>
      <c r="ES473" s="383">
        <f>AK473*AL473</f>
        <v>0</v>
      </c>
      <c r="ET473" s="383">
        <f>IF(AV473+BA473&gt;0,(AR473*AV473+AW473*BA473)/(AV473+BA473),0)</f>
        <v>0</v>
      </c>
      <c r="EU473" s="383">
        <f>IF(BK473+BP473&gt;0,(BG473*BK473+BL473*BP473)/(BK473+BP473),0)</f>
        <v>0</v>
      </c>
      <c r="EV473" s="383">
        <f>IF(BZ473+CE473&gt;0,(BV473*BZ473+CA473*CE473)/(BZ473+CE473),0)</f>
        <v>0</v>
      </c>
    </row>
    <row r="474" spans="1:153" s="60" customFormat="1" ht="11.25" customHeight="1">
      <c r="B474" s="38"/>
      <c r="C474" s="497" t="str">
        <f>F473 &amp; ".1"</f>
        <v>.1</v>
      </c>
      <c r="D474"/>
      <c r="E474"/>
      <c r="F474" s="893"/>
      <c r="G474" s="851"/>
      <c r="H474" s="584" t="str">
        <f>IF(TEMPLATE_SPHERE="водоснабжения","Вода питьевого качества","")</f>
        <v/>
      </c>
      <c r="I474" s="393"/>
      <c r="J474" s="866"/>
      <c r="K474" s="824"/>
      <c r="L474" s="824"/>
      <c r="M474" s="824"/>
      <c r="N474" s="824"/>
      <c r="O474" s="866"/>
      <c r="P474" s="866"/>
      <c r="Q474" s="866"/>
      <c r="R474" s="866"/>
      <c r="S474" s="866"/>
      <c r="T474" s="866"/>
      <c r="U474" s="866"/>
      <c r="V474" s="866"/>
      <c r="W474" s="866"/>
      <c r="X474" s="866"/>
      <c r="Y474" s="399"/>
      <c r="Z474" s="398">
        <f>IF($D473="нет",Y474,Y474*1.18)</f>
        <v>0</v>
      </c>
      <c r="AA474" s="398">
        <f>IF(AG474=0,0,(AC474*AG474+AJ474*IF(AL474&gt;AG474,AG474,AL474))/AG474)</f>
        <v>0</v>
      </c>
      <c r="AB474" s="398">
        <f>IF($D473="нет",AA474,AA474*1.18)</f>
        <v>0</v>
      </c>
      <c r="AC474" s="398">
        <f>IF(AG474&gt;0,(AW474*BA474+BL474*BP474+CA474*CE474-AH474*AG474)/AG474,0)</f>
        <v>0</v>
      </c>
      <c r="AD474" s="398">
        <f>IF($D473="нет",AC474,AC474*1.18)</f>
        <v>0</v>
      </c>
      <c r="AE474" s="585"/>
      <c r="AF474" s="392"/>
      <c r="AG474" s="398">
        <f>BA474+BP474+CE474</f>
        <v>0</v>
      </c>
      <c r="AH474" s="585"/>
      <c r="AI474" s="392"/>
      <c r="AJ474" s="399"/>
      <c r="AK474" s="398">
        <f>IF($D473="нет",AJ474,AJ474*1.18)</f>
        <v>0</v>
      </c>
      <c r="AL474" s="399"/>
      <c r="AM474" s="399"/>
      <c r="AN474" s="398">
        <f>IF($D473="нет",AM474,AM474*1.18)</f>
        <v>0</v>
      </c>
      <c r="AO474" s="399"/>
      <c r="AP474" s="398">
        <f>IF($D473="нет",AO474,AO474*1.18)</f>
        <v>0</v>
      </c>
      <c r="AQ474" s="633">
        <f>IF(TARIFF_SETUP_METHOD_CODE="BY_MONTHS",SUMIF(ВС.БПр!$BF$129:$BF$130,$C474&amp;"-"&amp;$H$3,ВС.БПр!U$129:U$130),IF(TARIFF_SETUP_METHOD_CODE="BY_PSEUDO_YEARS",SUMIF(ВС.БПр!$F$129:$F$130,$C474&amp;".0",ВС.БПр!U$129:U$130),0))</f>
        <v>0</v>
      </c>
      <c r="AR474" s="117"/>
      <c r="AS474" s="117"/>
      <c r="AT474" s="117"/>
      <c r="AU474" s="117"/>
      <c r="AV474" s="117"/>
      <c r="AW474" s="398">
        <f>IF(BA474&gt;0,((AY474*BA474)+(1000*$I$3*BB474*BD474))/BA474,0)</f>
        <v>0</v>
      </c>
      <c r="AX474" s="398">
        <f>IF($D473="нет",AW474,AW474*1.18)</f>
        <v>0</v>
      </c>
      <c r="AY474" s="399"/>
      <c r="AZ474" s="398">
        <f>IF($D473="нет",AY474,AY474*1.18)</f>
        <v>0</v>
      </c>
      <c r="BA474" s="399"/>
      <c r="BB474" s="399"/>
      <c r="BC474" s="398">
        <f>IF($D473="нет",BB474,BB474*1.18)</f>
        <v>0</v>
      </c>
      <c r="BD474" s="399"/>
      <c r="BE474" s="399"/>
      <c r="BF474" s="398">
        <f>IF(BA474=0,0,1000*BE474/BA474)</f>
        <v>0</v>
      </c>
      <c r="BG474" s="117"/>
      <c r="BH474" s="117"/>
      <c r="BI474" s="117"/>
      <c r="BJ474" s="117"/>
      <c r="BK474" s="117"/>
      <c r="BL474" s="398">
        <f>IF(BP474&gt;0,((BN474*BP474)+(1000*$I$3*BQ474*BS474))/BP474,0)</f>
        <v>0</v>
      </c>
      <c r="BM474" s="398">
        <f>IF($D473="нет",BL474,BL474*1.18)</f>
        <v>0</v>
      </c>
      <c r="BN474" s="399"/>
      <c r="BO474" s="398">
        <f>IF($D473="нет",BN474,BN474*1.18)</f>
        <v>0</v>
      </c>
      <c r="BP474" s="399"/>
      <c r="BQ474" s="399"/>
      <c r="BR474" s="398">
        <f>IF($D473="нет",BQ474,BQ474*1.18)</f>
        <v>0</v>
      </c>
      <c r="BS474" s="399"/>
      <c r="BT474" s="399"/>
      <c r="BU474" s="398">
        <f>IF(BP474=0,0,1000*BT474/BP474)</f>
        <v>0</v>
      </c>
      <c r="BV474" s="117"/>
      <c r="BW474" s="117"/>
      <c r="BX474" s="117"/>
      <c r="BY474" s="117"/>
      <c r="BZ474" s="117"/>
      <c r="CA474" s="398">
        <f>IF(CE474&gt;0,((CC474*CE474)+(1000*$I$3*CF474*CH474))/CE474,0)</f>
        <v>0</v>
      </c>
      <c r="CB474" s="398">
        <f>IF($D473="нет",CA474,CA474*1.18)</f>
        <v>0</v>
      </c>
      <c r="CC474" s="399"/>
      <c r="CD474" s="398">
        <f>IF($D473="нет",CC474,CC474*1.18)</f>
        <v>0</v>
      </c>
      <c r="CE474" s="399"/>
      <c r="CF474" s="399"/>
      <c r="CG474" s="398">
        <f>IF($D473="нет",CF474,CF474*1.18)</f>
        <v>0</v>
      </c>
      <c r="CH474" s="399"/>
      <c r="CI474" s="399"/>
      <c r="CJ474" s="398">
        <f>IF(CE474=0,0,1000*CI474/CE474)</f>
        <v>0</v>
      </c>
      <c r="CK474" s="398">
        <f>BE474+BT474+CI474</f>
        <v>0</v>
      </c>
      <c r="CL474" s="335">
        <f>SUM(CN474:CQ474)</f>
        <v>0</v>
      </c>
      <c r="CM474" s="398">
        <f>SUMIF(CN474:CQ474,"&gt;0")</f>
        <v>0</v>
      </c>
      <c r="CN474" s="398">
        <f>(Y474-AM474)*AQ474/1000</f>
        <v>0</v>
      </c>
      <c r="CO474" s="398">
        <f>(Y474-(AR474+BF474))*AV474/1000</f>
        <v>0</v>
      </c>
      <c r="CP474" s="398">
        <f>(Y474-(BG474+BU474))*BK474/1000</f>
        <v>0</v>
      </c>
      <c r="CQ474" s="398">
        <f>(Y474-(BV474+CJ474))*BZ474/1000</f>
        <v>0</v>
      </c>
      <c r="CR474" s="587"/>
      <c r="CS474"/>
      <c r="CT474"/>
      <c r="CU474"/>
      <c r="CV474"/>
      <c r="CW474"/>
      <c r="CX474"/>
      <c r="CY474"/>
      <c r="CZ474"/>
      <c r="DA474"/>
      <c r="DB474"/>
      <c r="DC474"/>
      <c r="DD474"/>
      <c r="DE474"/>
      <c r="DF474" s="80">
        <f t="shared" si="35"/>
        <v>0</v>
      </c>
      <c r="DG474" s="80">
        <f t="shared" si="36"/>
        <v>0</v>
      </c>
      <c r="DH474" s="80">
        <f t="shared" si="37"/>
        <v>0</v>
      </c>
      <c r="DI474" s="80">
        <f t="shared" si="38"/>
        <v>0</v>
      </c>
      <c r="DJ474" s="80">
        <f t="shared" si="39"/>
        <v>0</v>
      </c>
      <c r="DK474" s="80">
        <f t="shared" si="40"/>
        <v>0</v>
      </c>
      <c r="DL474" s="80">
        <f t="shared" si="41"/>
        <v>0</v>
      </c>
      <c r="DM474" s="80">
        <f t="shared" si="42"/>
        <v>0</v>
      </c>
      <c r="DN474" s="80">
        <f t="shared" si="43"/>
        <v>0</v>
      </c>
      <c r="DO474" s="80">
        <f t="shared" si="44"/>
        <v>0</v>
      </c>
      <c r="DP474" s="382">
        <f t="shared" si="45"/>
        <v>0</v>
      </c>
      <c r="DQ474" s="382">
        <f t="shared" si="46"/>
        <v>0</v>
      </c>
      <c r="DR474" s="382">
        <f t="shared" si="47"/>
        <v>0</v>
      </c>
      <c r="DS474" s="382">
        <f t="shared" si="48"/>
        <v>0</v>
      </c>
      <c r="DT474" s="382">
        <f t="shared" si="49"/>
        <v>0</v>
      </c>
      <c r="DU474" s="382">
        <f t="shared" si="50"/>
        <v>0</v>
      </c>
      <c r="DV474" s="382">
        <f t="shared" si="51"/>
        <v>0</v>
      </c>
      <c r="DW474" s="382">
        <f t="shared" si="52"/>
        <v>0</v>
      </c>
      <c r="DX474" s="382">
        <f t="shared" si="53"/>
        <v>0</v>
      </c>
      <c r="DY474" s="382">
        <f t="shared" si="54"/>
        <v>0</v>
      </c>
      <c r="DZ474" s="382">
        <f t="shared" si="55"/>
        <v>0</v>
      </c>
      <c r="EA474" s="382">
        <f t="shared" si="56"/>
        <v>0</v>
      </c>
      <c r="EB474" s="382">
        <f t="shared" si="57"/>
        <v>0</v>
      </c>
      <c r="EC474" s="382">
        <f t="shared" si="58"/>
        <v>0</v>
      </c>
      <c r="ED474" s="382">
        <f t="shared" si="59"/>
        <v>0</v>
      </c>
      <c r="EE474" s="382">
        <f t="shared" si="60"/>
        <v>0</v>
      </c>
      <c r="EF474" s="382">
        <f t="shared" si="61"/>
        <v>0</v>
      </c>
      <c r="EG474" s="382">
        <f t="shared" si="62"/>
        <v>0</v>
      </c>
      <c r="EH474" s="383">
        <f t="shared" si="63"/>
        <v>0</v>
      </c>
      <c r="EI474" s="383">
        <f t="shared" si="64"/>
        <v>0</v>
      </c>
      <c r="EJ474" s="80">
        <f t="shared" si="65"/>
        <v>0</v>
      </c>
      <c r="EK474" s="80">
        <f t="shared" si="66"/>
        <v>0</v>
      </c>
      <c r="EL474" s="80">
        <f t="shared" si="67"/>
        <v>0</v>
      </c>
      <c r="EM474" s="80">
        <f t="shared" si="68"/>
        <v>0</v>
      </c>
      <c r="EN474" s="80">
        <f t="shared" si="69"/>
        <v>0</v>
      </c>
      <c r="EO474" s="80">
        <f t="shared" si="70"/>
        <v>0</v>
      </c>
      <c r="EP474" s="80">
        <f t="shared" si="71"/>
        <v>0</v>
      </c>
      <c r="EQ474" s="80">
        <f t="shared" si="72"/>
        <v>0</v>
      </c>
      <c r="ER474" s="383">
        <f>AJ474*AL474</f>
        <v>0</v>
      </c>
      <c r="ES474" s="383">
        <f>AK474*AL474</f>
        <v>0</v>
      </c>
      <c r="ET474" s="383">
        <f>IF(AV474+BA474&gt;0,(AR474*AV474+AW474*BA474)/(AV474+BA474),0)</f>
        <v>0</v>
      </c>
      <c r="EU474" s="383">
        <f>IF(BK474+BP474&gt;0,(BG474*BK474+BL474*BP474)/(BK474+BP474),0)</f>
        <v>0</v>
      </c>
      <c r="EV474" s="383">
        <f>IF(BZ474+CE474&gt;0,(BV474*BZ474+CA474*CE474)/(BZ474+CE474),0)</f>
        <v>0</v>
      </c>
    </row>
    <row r="475" spans="1:153" s="60" customFormat="1" ht="11.25" customHeight="1">
      <c r="C475" s="497" t="str">
        <f>F473 &amp; ".2"</f>
        <v>.2</v>
      </c>
      <c r="D475"/>
      <c r="E475"/>
      <c r="F475" s="894"/>
      <c r="G475" s="852"/>
      <c r="H475" s="584" t="str">
        <f>IF(TEMPLATE_SPHERE="водоснабжения","Вода технического качества","")</f>
        <v/>
      </c>
      <c r="I475" s="393"/>
      <c r="J475" s="867"/>
      <c r="K475" s="824"/>
      <c r="L475" s="824"/>
      <c r="M475" s="824"/>
      <c r="N475" s="824"/>
      <c r="O475" s="867"/>
      <c r="P475" s="867"/>
      <c r="Q475" s="867"/>
      <c r="R475" s="867"/>
      <c r="S475" s="867"/>
      <c r="T475" s="867"/>
      <c r="U475" s="867"/>
      <c r="V475" s="867"/>
      <c r="W475" s="867"/>
      <c r="X475" s="867"/>
      <c r="Y475" s="399"/>
      <c r="Z475" s="398">
        <f>IF($D473="нет",Y475,Y475*1.18)</f>
        <v>0</v>
      </c>
      <c r="AA475" s="398">
        <f>IF(AG475=0,0,(AC475*AG475+AJ475*IF(AL475&gt;AG475,AG475,AL475))/AG475)</f>
        <v>0</v>
      </c>
      <c r="AB475" s="398">
        <f>IF($D473="нет",AA475,AA475*1.18)</f>
        <v>0</v>
      </c>
      <c r="AC475" s="398">
        <f>IF(AG475&gt;0,(AW475*BA475+BL475*BP475+CA475*CE475-AH475*AG475)/AG475,0)</f>
        <v>0</v>
      </c>
      <c r="AD475" s="398">
        <f>IF($D473="нет",AC475,AC475*1.18)</f>
        <v>0</v>
      </c>
      <c r="AE475" s="585"/>
      <c r="AF475" s="392"/>
      <c r="AG475" s="398">
        <f>BA475+BP475+CE475</f>
        <v>0</v>
      </c>
      <c r="AH475" s="585"/>
      <c r="AI475" s="392"/>
      <c r="AJ475" s="399"/>
      <c r="AK475" s="398">
        <f>IF($D473="нет",AJ475,AJ475*1.18)</f>
        <v>0</v>
      </c>
      <c r="AL475" s="399"/>
      <c r="AM475" s="399"/>
      <c r="AN475" s="398">
        <f>IF($D473="нет",AM475,AM475*1.18)</f>
        <v>0</v>
      </c>
      <c r="AO475" s="399"/>
      <c r="AP475" s="398">
        <f>IF($D473="нет",AO475,AO475*1.18)</f>
        <v>0</v>
      </c>
      <c r="AQ475" s="633">
        <f>IF(TARIFF_SETUP_METHOD_CODE="BY_MONTHS",SUMIF(ВС.БПр!$BF$129:$BF$130,$C475&amp;"-"&amp;$H$3,ВС.БПр!U$129:U$130),IF(TARIFF_SETUP_METHOD_CODE="BY_PSEUDO_YEARS",SUMIF(ВС.БПр!$F$129:$F$130,$C475&amp;".0",ВС.БПр!U$129:U$130),0))</f>
        <v>0</v>
      </c>
      <c r="AR475" s="117"/>
      <c r="AS475" s="117"/>
      <c r="AT475" s="117"/>
      <c r="AU475" s="117"/>
      <c r="AV475" s="117"/>
      <c r="AW475" s="398">
        <f>IF(BA475&gt;0,((AY475*BA475)+(1000*$I$3*BB475*BD475))/BA475,0)</f>
        <v>0</v>
      </c>
      <c r="AX475" s="398">
        <f>IF($D473="нет",AW475,AW475*1.18)</f>
        <v>0</v>
      </c>
      <c r="AY475" s="399"/>
      <c r="AZ475" s="398">
        <f>IF($D473="нет",AY475,AY475*1.18)</f>
        <v>0</v>
      </c>
      <c r="BA475" s="399"/>
      <c r="BB475" s="399"/>
      <c r="BC475" s="398">
        <f>IF($D473="нет",BB475,BB475*1.18)</f>
        <v>0</v>
      </c>
      <c r="BD475" s="399"/>
      <c r="BE475" s="399"/>
      <c r="BF475" s="398">
        <f>IF(BA475=0,0,1000*BE475/BA475)</f>
        <v>0</v>
      </c>
      <c r="BG475" s="117"/>
      <c r="BH475" s="117"/>
      <c r="BI475" s="117"/>
      <c r="BJ475" s="117"/>
      <c r="BK475" s="117"/>
      <c r="BL475" s="398">
        <f>IF(BP475&gt;0,((BN475*BP475)+(1000*$I$3*BQ475*BS475))/BP475,0)</f>
        <v>0</v>
      </c>
      <c r="BM475" s="398">
        <f>IF($D473="нет",BL475,BL475*1.18)</f>
        <v>0</v>
      </c>
      <c r="BN475" s="399"/>
      <c r="BO475" s="398">
        <f>IF($D473="нет",BN475,BN475*1.18)</f>
        <v>0</v>
      </c>
      <c r="BP475" s="399"/>
      <c r="BQ475" s="399"/>
      <c r="BR475" s="398">
        <f>IF($D473="нет",BQ475,BQ475*1.18)</f>
        <v>0</v>
      </c>
      <c r="BS475" s="399"/>
      <c r="BT475" s="399"/>
      <c r="BU475" s="398">
        <f>IF(BP475=0,0,1000*BT475/BP475)</f>
        <v>0</v>
      </c>
      <c r="BV475" s="117"/>
      <c r="BW475" s="117"/>
      <c r="BX475" s="117"/>
      <c r="BY475" s="117"/>
      <c r="BZ475" s="117"/>
      <c r="CA475" s="398">
        <f>IF(CE475&gt;0,((CC475*CE475)+(1000*$I$3*CF475*CH475))/CE475,0)</f>
        <v>0</v>
      </c>
      <c r="CB475" s="398">
        <f>IF($D473="нет",CA475,CA475*1.18)</f>
        <v>0</v>
      </c>
      <c r="CC475" s="399"/>
      <c r="CD475" s="398">
        <f>IF($D473="нет",CC475,CC475*1.18)</f>
        <v>0</v>
      </c>
      <c r="CE475" s="399"/>
      <c r="CF475" s="399"/>
      <c r="CG475" s="398">
        <f>IF($D473="нет",CF475,CF475*1.18)</f>
        <v>0</v>
      </c>
      <c r="CH475" s="399"/>
      <c r="CI475" s="399"/>
      <c r="CJ475" s="398">
        <f>IF(CE475=0,0,1000*CI475/CE475)</f>
        <v>0</v>
      </c>
      <c r="CK475" s="398">
        <f>BE475+BT475+CI475</f>
        <v>0</v>
      </c>
      <c r="CL475" s="335">
        <f>SUM(CN475:CQ475)</f>
        <v>0</v>
      </c>
      <c r="CM475" s="398">
        <f>SUMIF(CN475:CQ475,"&gt;0")</f>
        <v>0</v>
      </c>
      <c r="CN475" s="398">
        <f>(Y475-AM475)*AQ475/1000</f>
        <v>0</v>
      </c>
      <c r="CO475" s="398">
        <f>(Y475-(AR475+BF475))*AV475/1000</f>
        <v>0</v>
      </c>
      <c r="CP475" s="398">
        <f>(Y475-(BG475+BU475))*BK475/1000</f>
        <v>0</v>
      </c>
      <c r="CQ475" s="398">
        <f>(Y475-(BV475+CJ475))*BZ475/1000</f>
        <v>0</v>
      </c>
      <c r="CR475" s="587"/>
      <c r="CS475"/>
      <c r="CT475"/>
      <c r="CU475"/>
      <c r="CV475"/>
      <c r="CW475"/>
      <c r="CX475"/>
      <c r="CY475"/>
      <c r="CZ475"/>
      <c r="DA475"/>
      <c r="DB475"/>
      <c r="DC475"/>
      <c r="DD475"/>
      <c r="DE475"/>
      <c r="DF475" s="80">
        <f t="shared" si="35"/>
        <v>0</v>
      </c>
      <c r="DG475" s="80">
        <f t="shared" si="36"/>
        <v>0</v>
      </c>
      <c r="DH475" s="80">
        <f t="shared" si="37"/>
        <v>0</v>
      </c>
      <c r="DI475" s="80">
        <f t="shared" si="38"/>
        <v>0</v>
      </c>
      <c r="DJ475" s="80">
        <f t="shared" si="39"/>
        <v>0</v>
      </c>
      <c r="DK475" s="80">
        <f t="shared" si="40"/>
        <v>0</v>
      </c>
      <c r="DL475" s="80">
        <f t="shared" si="41"/>
        <v>0</v>
      </c>
      <c r="DM475" s="80">
        <f t="shared" si="42"/>
        <v>0</v>
      </c>
      <c r="DN475" s="80">
        <f t="shared" si="43"/>
        <v>0</v>
      </c>
      <c r="DO475" s="80">
        <f t="shared" si="44"/>
        <v>0</v>
      </c>
      <c r="DP475" s="382">
        <f t="shared" si="45"/>
        <v>0</v>
      </c>
      <c r="DQ475" s="382">
        <f t="shared" si="46"/>
        <v>0</v>
      </c>
      <c r="DR475" s="382">
        <f t="shared" si="47"/>
        <v>0</v>
      </c>
      <c r="DS475" s="382">
        <f t="shared" si="48"/>
        <v>0</v>
      </c>
      <c r="DT475" s="382">
        <f t="shared" si="49"/>
        <v>0</v>
      </c>
      <c r="DU475" s="382">
        <f t="shared" si="50"/>
        <v>0</v>
      </c>
      <c r="DV475" s="382">
        <f t="shared" si="51"/>
        <v>0</v>
      </c>
      <c r="DW475" s="382">
        <f t="shared" si="52"/>
        <v>0</v>
      </c>
      <c r="DX475" s="382">
        <f t="shared" si="53"/>
        <v>0</v>
      </c>
      <c r="DY475" s="382">
        <f t="shared" si="54"/>
        <v>0</v>
      </c>
      <c r="DZ475" s="382">
        <f t="shared" si="55"/>
        <v>0</v>
      </c>
      <c r="EA475" s="382">
        <f t="shared" si="56"/>
        <v>0</v>
      </c>
      <c r="EB475" s="382">
        <f t="shared" si="57"/>
        <v>0</v>
      </c>
      <c r="EC475" s="382">
        <f t="shared" si="58"/>
        <v>0</v>
      </c>
      <c r="ED475" s="382">
        <f t="shared" si="59"/>
        <v>0</v>
      </c>
      <c r="EE475" s="382">
        <f t="shared" si="60"/>
        <v>0</v>
      </c>
      <c r="EF475" s="382">
        <f t="shared" si="61"/>
        <v>0</v>
      </c>
      <c r="EG475" s="382">
        <f t="shared" si="62"/>
        <v>0</v>
      </c>
      <c r="EH475" s="383">
        <f t="shared" si="63"/>
        <v>0</v>
      </c>
      <c r="EI475" s="383">
        <f t="shared" si="64"/>
        <v>0</v>
      </c>
      <c r="EJ475" s="80">
        <f t="shared" si="65"/>
        <v>0</v>
      </c>
      <c r="EK475" s="80">
        <f t="shared" si="66"/>
        <v>0</v>
      </c>
      <c r="EL475" s="80">
        <f t="shared" si="67"/>
        <v>0</v>
      </c>
      <c r="EM475" s="80">
        <f t="shared" si="68"/>
        <v>0</v>
      </c>
      <c r="EN475" s="80">
        <f t="shared" si="69"/>
        <v>0</v>
      </c>
      <c r="EO475" s="80">
        <f t="shared" si="70"/>
        <v>0</v>
      </c>
      <c r="EP475" s="80">
        <f t="shared" si="71"/>
        <v>0</v>
      </c>
      <c r="EQ475" s="80">
        <f t="shared" si="72"/>
        <v>0</v>
      </c>
      <c r="ER475" s="383">
        <f>AJ475*AL475</f>
        <v>0</v>
      </c>
      <c r="ES475" s="383">
        <f>AK475*AL475</f>
        <v>0</v>
      </c>
      <c r="ET475" s="383">
        <f>IF(AV475+BA475&gt;0,(AR475*AV475+AW475*BA475)/(AV475+BA475),0)</f>
        <v>0</v>
      </c>
      <c r="EU475" s="383">
        <f>IF(BK475+BP475&gt;0,(BG475*BK475+BL475*BP475)/(BK475+BP475),0)</f>
        <v>0</v>
      </c>
      <c r="EV475" s="383">
        <f>IF(BZ475+CE475&gt;0,(BV475*BZ475+CA475*CE475)/(BZ475+CE475),0)</f>
        <v>0</v>
      </c>
    </row>
    <row r="476" spans="1:153">
      <c r="A476" s="861" t="s">
        <v>446</v>
      </c>
      <c r="B476" s="861"/>
      <c r="H476" s="388" t="s">
        <v>2383</v>
      </c>
    </row>
    <row r="477" spans="1:153" s="60" customFormat="1">
      <c r="B477" s="38"/>
      <c r="C477" s="497" t="str">
        <f>F477 &amp; ".0"</f>
        <v>.0</v>
      </c>
      <c r="D477" s="471"/>
      <c r="E477" s="470" t="s">
        <v>719</v>
      </c>
      <c r="F477" s="833"/>
      <c r="G477" s="853"/>
      <c r="H477" s="584"/>
      <c r="I477" s="393"/>
      <c r="J477" s="824"/>
      <c r="K477" s="824"/>
      <c r="L477" s="824"/>
      <c r="M477" s="824"/>
      <c r="N477" s="824"/>
      <c r="O477" s="824"/>
      <c r="P477" s="824"/>
      <c r="Q477" s="824"/>
      <c r="R477" s="824"/>
      <c r="S477" s="824"/>
      <c r="T477" s="824"/>
      <c r="U477" s="824"/>
      <c r="V477" s="824"/>
      <c r="W477" s="824"/>
      <c r="X477" s="824"/>
      <c r="Y477" s="585"/>
      <c r="Z477" s="585"/>
      <c r="AA477" s="585"/>
      <c r="AB477" s="585"/>
      <c r="AC477" s="585"/>
      <c r="AD477" s="585"/>
      <c r="AE477" s="585"/>
      <c r="AF477" s="585"/>
      <c r="AG477" s="585"/>
      <c r="AH477" s="585"/>
      <c r="AI477" s="585"/>
      <c r="AJ477" s="585"/>
      <c r="AK477" s="585"/>
      <c r="AL477" s="585"/>
      <c r="AM477" s="585"/>
      <c r="AN477" s="585"/>
      <c r="AO477" s="585"/>
      <c r="AP477" s="585"/>
      <c r="AQ477" s="585"/>
      <c r="AR477" s="585"/>
      <c r="AS477" s="585"/>
      <c r="AT477" s="585"/>
      <c r="AU477" s="585"/>
      <c r="AV477" s="585"/>
      <c r="AW477" s="585"/>
      <c r="AX477" s="585"/>
      <c r="AY477" s="585"/>
      <c r="AZ477" s="585"/>
      <c r="BA477" s="585"/>
      <c r="BB477" s="585"/>
      <c r="BC477" s="585"/>
      <c r="BD477" s="585"/>
      <c r="BE477" s="585"/>
      <c r="BF477" s="585"/>
      <c r="BG477" s="585"/>
      <c r="BH477" s="585"/>
      <c r="BI477" s="585"/>
      <c r="BJ477" s="585"/>
      <c r="BK477" s="585"/>
      <c r="BL477" s="585"/>
      <c r="BM477" s="585"/>
      <c r="BN477" s="585"/>
      <c r="BO477" s="585"/>
      <c r="BP477" s="585"/>
      <c r="BQ477" s="585"/>
      <c r="BR477" s="585"/>
      <c r="BS477" s="585"/>
      <c r="BT477" s="585"/>
      <c r="BU477" s="585"/>
      <c r="BV477" s="585"/>
      <c r="BW477" s="585"/>
      <c r="BX477" s="585"/>
      <c r="BY477" s="585"/>
      <c r="BZ477" s="585"/>
      <c r="CA477" s="585"/>
      <c r="CB477" s="585"/>
      <c r="CC477" s="585"/>
      <c r="CD477" s="585"/>
      <c r="CE477" s="585"/>
      <c r="CF477" s="585"/>
      <c r="CG477" s="585"/>
      <c r="CH477" s="585"/>
      <c r="CI477" s="585"/>
      <c r="CJ477" s="585"/>
      <c r="CK477" s="585"/>
      <c r="CL477" s="585"/>
      <c r="CM477" s="585"/>
      <c r="CN477" s="585"/>
      <c r="CO477" s="585"/>
      <c r="CP477" s="585"/>
      <c r="CQ477" s="585"/>
      <c r="CR477" s="585"/>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row>
    <row r="478" spans="1:153" s="60" customFormat="1">
      <c r="B478" s="38"/>
      <c r="C478" s="497" t="str">
        <f>F477 &amp; ".1"</f>
        <v>.1</v>
      </c>
      <c r="D478"/>
      <c r="E478"/>
      <c r="F478" s="833"/>
      <c r="G478" s="835"/>
      <c r="H478" s="584"/>
      <c r="I478" s="393"/>
      <c r="J478" s="824"/>
      <c r="K478" s="824"/>
      <c r="L478" s="824"/>
      <c r="M478" s="824"/>
      <c r="N478" s="824"/>
      <c r="O478" s="824"/>
      <c r="P478" s="824"/>
      <c r="Q478" s="824"/>
      <c r="R478" s="824"/>
      <c r="S478" s="824"/>
      <c r="T478" s="824"/>
      <c r="U478" s="824"/>
      <c r="V478" s="824"/>
      <c r="W478" s="824"/>
      <c r="X478" s="824"/>
      <c r="Y478" s="585"/>
      <c r="Z478" s="585"/>
      <c r="AA478" s="585"/>
      <c r="AB478" s="585"/>
      <c r="AC478" s="585"/>
      <c r="AD478" s="585"/>
      <c r="AE478" s="585"/>
      <c r="AF478" s="585"/>
      <c r="AG478" s="585"/>
      <c r="AH478" s="585"/>
      <c r="AI478" s="585"/>
      <c r="AJ478" s="585"/>
      <c r="AK478" s="585"/>
      <c r="AL478" s="585"/>
      <c r="AM478" s="585"/>
      <c r="AN478" s="585"/>
      <c r="AO478" s="585"/>
      <c r="AP478" s="585"/>
      <c r="AQ478" s="585"/>
      <c r="AR478" s="585"/>
      <c r="AS478" s="585"/>
      <c r="AT478" s="585"/>
      <c r="AU478" s="585"/>
      <c r="AV478" s="585"/>
      <c r="AW478" s="585"/>
      <c r="AX478" s="585"/>
      <c r="AY478" s="585"/>
      <c r="AZ478" s="585"/>
      <c r="BA478" s="585"/>
      <c r="BB478" s="585"/>
      <c r="BC478" s="585"/>
      <c r="BD478" s="585"/>
      <c r="BE478" s="585"/>
      <c r="BF478" s="585"/>
      <c r="BG478" s="585"/>
      <c r="BH478" s="585"/>
      <c r="BI478" s="585"/>
      <c r="BJ478" s="585"/>
      <c r="BK478" s="585"/>
      <c r="BL478" s="585"/>
      <c r="BM478" s="585"/>
      <c r="BN478" s="585"/>
      <c r="BO478" s="585"/>
      <c r="BP478" s="585"/>
      <c r="BQ478" s="585"/>
      <c r="BR478" s="585"/>
      <c r="BS478" s="585"/>
      <c r="BT478" s="585"/>
      <c r="BU478" s="585"/>
      <c r="BV478" s="585"/>
      <c r="BW478" s="585"/>
      <c r="BX478" s="585"/>
      <c r="BY478" s="585"/>
      <c r="BZ478" s="585"/>
      <c r="CA478" s="585"/>
      <c r="CB478" s="585"/>
      <c r="CC478" s="585"/>
      <c r="CD478" s="585"/>
      <c r="CE478" s="585"/>
      <c r="CF478" s="585"/>
      <c r="CG478" s="585"/>
      <c r="CH478" s="585"/>
      <c r="CI478" s="585"/>
      <c r="CJ478" s="585"/>
      <c r="CK478" s="585"/>
      <c r="CL478" s="585"/>
      <c r="CM478" s="585"/>
      <c r="CN478" s="585"/>
      <c r="CO478" s="585"/>
      <c r="CP478" s="585"/>
      <c r="CQ478" s="585"/>
      <c r="CR478" s="585"/>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row>
    <row r="479" spans="1:153" s="60" customFormat="1">
      <c r="C479" s="497" t="str">
        <f>F477 &amp; ".2"</f>
        <v>.2</v>
      </c>
      <c r="D479"/>
      <c r="E479"/>
      <c r="F479" s="833"/>
      <c r="G479" s="835"/>
      <c r="H479" s="584"/>
      <c r="I479" s="393"/>
      <c r="J479" s="824"/>
      <c r="K479" s="824"/>
      <c r="L479" s="824"/>
      <c r="M479" s="824"/>
      <c r="N479" s="824"/>
      <c r="O479" s="824"/>
      <c r="P479" s="824"/>
      <c r="Q479" s="824"/>
      <c r="R479" s="824"/>
      <c r="S479" s="824"/>
      <c r="T479" s="824"/>
      <c r="U479" s="824"/>
      <c r="V479" s="824"/>
      <c r="W479" s="824"/>
      <c r="X479" s="824"/>
      <c r="Y479" s="585"/>
      <c r="Z479" s="585"/>
      <c r="AA479" s="585"/>
      <c r="AB479" s="585"/>
      <c r="AC479" s="585"/>
      <c r="AD479" s="585"/>
      <c r="AE479" s="585"/>
      <c r="AF479" s="585"/>
      <c r="AG479" s="585"/>
      <c r="AH479" s="585"/>
      <c r="AI479" s="585"/>
      <c r="AJ479" s="585"/>
      <c r="AK479" s="585"/>
      <c r="AL479" s="585"/>
      <c r="AM479" s="585"/>
      <c r="AN479" s="585"/>
      <c r="AO479" s="585"/>
      <c r="AP479" s="585"/>
      <c r="AQ479" s="585"/>
      <c r="AR479" s="585"/>
      <c r="AS479" s="585"/>
      <c r="AT479" s="585"/>
      <c r="AU479" s="585"/>
      <c r="AV479" s="585"/>
      <c r="AW479" s="585"/>
      <c r="AX479" s="585"/>
      <c r="AY479" s="585"/>
      <c r="AZ479" s="585"/>
      <c r="BA479" s="585"/>
      <c r="BB479" s="585"/>
      <c r="BC479" s="585"/>
      <c r="BD479" s="585"/>
      <c r="BE479" s="585"/>
      <c r="BF479" s="585"/>
      <c r="BG479" s="585"/>
      <c r="BH479" s="585"/>
      <c r="BI479" s="585"/>
      <c r="BJ479" s="585"/>
      <c r="BK479" s="585"/>
      <c r="BL479" s="585"/>
      <c r="BM479" s="585"/>
      <c r="BN479" s="585"/>
      <c r="BO479" s="585"/>
      <c r="BP479" s="585"/>
      <c r="BQ479" s="585"/>
      <c r="BR479" s="585"/>
      <c r="BS479" s="585"/>
      <c r="BT479" s="585"/>
      <c r="BU479" s="585"/>
      <c r="BV479" s="585"/>
      <c r="BW479" s="585"/>
      <c r="BX479" s="585"/>
      <c r="BY479" s="585"/>
      <c r="BZ479" s="585"/>
      <c r="CA479" s="585"/>
      <c r="CB479" s="585"/>
      <c r="CC479" s="585"/>
      <c r="CD479" s="585"/>
      <c r="CE479" s="585"/>
      <c r="CF479" s="585"/>
      <c r="CG479" s="585"/>
      <c r="CH479" s="585"/>
      <c r="CI479" s="585"/>
      <c r="CJ479" s="585"/>
      <c r="CK479" s="585"/>
      <c r="CL479" s="585"/>
      <c r="CM479" s="585"/>
      <c r="CN479" s="585"/>
      <c r="CO479" s="585"/>
      <c r="CP479" s="585"/>
      <c r="CQ479" s="585"/>
      <c r="CR479" s="585"/>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row>
    <row r="491" spans="8:96">
      <c r="Y491" s="828" t="str">
        <f>"Экономически обоснованный тариф, руб./" &amp; $G$12</f>
        <v>Экономически обоснованный тариф, руб./</v>
      </c>
      <c r="Z491" s="828"/>
      <c r="AA491" s="872" t="str">
        <f>"Средневзвешенный тариф с учётом надбавки, руб./" &amp; $G$12</f>
        <v>Средневзвешенный тариф с учётом надбавки, руб./</v>
      </c>
      <c r="AB491" s="873"/>
      <c r="AC491" s="895" t="str">
        <f>"Средневзвешенный тариф с учётом инвестиционной составляющей, руб./" &amp; $G$12</f>
        <v>Средневзвешенный тариф с учётом инвестиционной составляющей, руб./</v>
      </c>
      <c r="AD491" s="896"/>
      <c r="AE491" s="895" t="str">
        <f>"Средневзвешенный тариф без учёта инвестиционной составляющей, руб./" &amp; $G$12</f>
        <v>Средневзвешенный тариф без учёта инвестиционной составляющей, руб./</v>
      </c>
      <c r="AF491" s="896"/>
      <c r="AG491" s="828" t="str">
        <f>"Объём реализации услуги потребителям, всего, " &amp; $G$12</f>
        <v xml:space="preserve">Объём реализации услуги потребителям, всего, </v>
      </c>
      <c r="AH491" s="895" t="str">
        <f>"Инвестиционная составляющая, руб./" &amp; $G$12</f>
        <v>Инвестиционная составляющая, руб./</v>
      </c>
      <c r="AI491" s="896"/>
      <c r="AJ491" s="872" t="str">
        <f>"Надбавка к тарифу, руб./" &amp; $G$12</f>
        <v>Надбавка к тарифу, руб./</v>
      </c>
      <c r="AK491" s="873"/>
      <c r="AL491" s="828" t="str">
        <f>"Объём, на который расчитана надбавка, " &amp; $G$12</f>
        <v xml:space="preserve">Объём, на который расчитана надбавка, </v>
      </c>
      <c r="AM491" s="828" t="s">
        <v>2459</v>
      </c>
      <c r="AN491" s="828"/>
      <c r="AO491" s="828"/>
      <c r="AP491" s="828"/>
      <c r="AQ491" s="828"/>
      <c r="AR491" s="828" t="s">
        <v>747</v>
      </c>
      <c r="AS491" s="828"/>
      <c r="AT491" s="828"/>
      <c r="AU491" s="828"/>
      <c r="AV491" s="831"/>
      <c r="AW491" s="828"/>
      <c r="AX491" s="828"/>
      <c r="AY491" s="828"/>
      <c r="AZ491" s="828"/>
      <c r="BA491" s="828"/>
      <c r="BB491" s="828"/>
      <c r="BC491" s="828"/>
      <c r="BD491" s="828"/>
      <c r="BE491" s="828"/>
      <c r="BF491" s="828"/>
      <c r="BG491" s="828" t="s">
        <v>748</v>
      </c>
      <c r="BH491" s="828"/>
      <c r="BI491" s="828"/>
      <c r="BJ491" s="828"/>
      <c r="BK491" s="831"/>
      <c r="BL491" s="828"/>
      <c r="BM491" s="828"/>
      <c r="BN491" s="828"/>
      <c r="BO491" s="828"/>
      <c r="BP491" s="828"/>
      <c r="BQ491" s="828"/>
      <c r="BR491" s="828"/>
      <c r="BS491" s="828"/>
      <c r="BT491" s="828"/>
      <c r="BU491" s="828"/>
      <c r="BV491" s="828" t="s">
        <v>758</v>
      </c>
      <c r="BW491" s="828"/>
      <c r="BX491" s="828"/>
      <c r="BY491" s="828"/>
      <c r="BZ491" s="831"/>
      <c r="CA491" s="828"/>
      <c r="CB491" s="828"/>
      <c r="CC491" s="828"/>
      <c r="CD491" s="828"/>
      <c r="CE491" s="828"/>
      <c r="CF491" s="828"/>
      <c r="CG491" s="828"/>
      <c r="CH491" s="828"/>
      <c r="CI491" s="828"/>
      <c r="CJ491" s="828"/>
      <c r="CK491" s="828" t="s">
        <v>896</v>
      </c>
      <c r="CL491" s="828" t="s">
        <v>897</v>
      </c>
      <c r="CM491" s="828" t="s">
        <v>898</v>
      </c>
      <c r="CN491" s="828"/>
      <c r="CO491" s="828"/>
      <c r="CP491" s="828"/>
      <c r="CQ491" s="828"/>
      <c r="CR491" s="828" t="s">
        <v>899</v>
      </c>
    </row>
    <row r="492" spans="8:96">
      <c r="Y492" s="828"/>
      <c r="Z492" s="828"/>
      <c r="AA492" s="874"/>
      <c r="AB492" s="875"/>
      <c r="AC492" s="897"/>
      <c r="AD492" s="898"/>
      <c r="AE492" s="897"/>
      <c r="AF492" s="898"/>
      <c r="AG492" s="828"/>
      <c r="AH492" s="897"/>
      <c r="AI492" s="898"/>
      <c r="AJ492" s="874"/>
      <c r="AK492" s="875"/>
      <c r="AL492" s="828"/>
      <c r="AM492" s="828" t="str">
        <f>"Тариф, руб./" &amp; $G$12</f>
        <v>Тариф, руб./</v>
      </c>
      <c r="AN492" s="828"/>
      <c r="AO492" s="828" t="str">
        <f>"Льготный тариф, руб./" &amp; $G$12</f>
        <v>Льготный тариф, руб./</v>
      </c>
      <c r="AP492" s="828"/>
      <c r="AQ492" s="828" t="str">
        <f>"Объём реализации услуги, " &amp; $G$12</f>
        <v xml:space="preserve">Объём реализации услуги, </v>
      </c>
      <c r="AR492" s="872" t="str">
        <f>"Одноставочный тариф, руб./" &amp; $G$12</f>
        <v>Одноставочный тариф, руб./</v>
      </c>
      <c r="AS492" s="873"/>
      <c r="AT492" s="828" t="str">
        <f>"Льготный тариф, руб./" &amp; $G$12</f>
        <v>Льготный тариф, руб./</v>
      </c>
      <c r="AU492" s="828"/>
      <c r="AV492" s="828" t="str">
        <f>"Объём реализации услуги, " &amp; $G$12</f>
        <v xml:space="preserve">Объём реализации услуги, </v>
      </c>
      <c r="AW492" s="828" t="s">
        <v>903</v>
      </c>
      <c r="AX492" s="828"/>
      <c r="AY492" s="828"/>
      <c r="AZ492" s="828"/>
      <c r="BA492" s="828"/>
      <c r="BB492" s="828"/>
      <c r="BC492" s="828"/>
      <c r="BD492" s="828"/>
      <c r="BE492" s="828" t="s">
        <v>906</v>
      </c>
      <c r="BF492" s="828" t="str">
        <f>"Удельная величина дотаций, руб./" &amp; $G$12</f>
        <v>Удельная величина дотаций, руб./</v>
      </c>
      <c r="BG492" s="872" t="str">
        <f>"Одноставочный тариф, руб./" &amp; $G$12</f>
        <v>Одноставочный тариф, руб./</v>
      </c>
      <c r="BH492" s="873"/>
      <c r="BI492" s="828" t="str">
        <f>"Льготный тариф, руб./" &amp; $G$12</f>
        <v>Льготный тариф, руб./</v>
      </c>
      <c r="BJ492" s="828"/>
      <c r="BK492" s="828" t="str">
        <f>"Объём реализации услуги, " &amp; $G$12</f>
        <v xml:space="preserve">Объём реализации услуги, </v>
      </c>
      <c r="BL492" s="828" t="s">
        <v>903</v>
      </c>
      <c r="BM492" s="828"/>
      <c r="BN492" s="828"/>
      <c r="BO492" s="828"/>
      <c r="BP492" s="828"/>
      <c r="BQ492" s="828"/>
      <c r="BR492" s="828"/>
      <c r="BS492" s="828"/>
      <c r="BT492" s="828" t="s">
        <v>906</v>
      </c>
      <c r="BU492" s="828" t="str">
        <f>"Удельная величина дотаций, руб./" &amp; $G$12</f>
        <v>Удельная величина дотаций, руб./</v>
      </c>
      <c r="BV492" s="872" t="str">
        <f>"Одноставочный тариф, руб./" &amp; $G$12</f>
        <v>Одноставочный тариф, руб./</v>
      </c>
      <c r="BW492" s="873"/>
      <c r="BX492" s="828" t="str">
        <f>"Льготный тариф, руб./" &amp; $G$12</f>
        <v>Льготный тариф, руб./</v>
      </c>
      <c r="BY492" s="828"/>
      <c r="BZ492" s="828" t="str">
        <f>"Объём реализации услуги, " &amp; $G$12</f>
        <v xml:space="preserve">Объём реализации услуги, </v>
      </c>
      <c r="CA492" s="828" t="s">
        <v>903</v>
      </c>
      <c r="CB492" s="828"/>
      <c r="CC492" s="828"/>
      <c r="CD492" s="828"/>
      <c r="CE492" s="828"/>
      <c r="CF492" s="828"/>
      <c r="CG492" s="828"/>
      <c r="CH492" s="828"/>
      <c r="CI492" s="828" t="s">
        <v>906</v>
      </c>
      <c r="CJ492" s="828" t="str">
        <f>"Удельная величина дотаций, руб./" &amp; $G$12</f>
        <v>Удельная величина дотаций, руб./</v>
      </c>
      <c r="CK492" s="828"/>
      <c r="CL492" s="828"/>
      <c r="CM492" s="828" t="s">
        <v>907</v>
      </c>
      <c r="CN492" s="828" t="s">
        <v>908</v>
      </c>
      <c r="CO492" s="828" t="s">
        <v>909</v>
      </c>
      <c r="CP492" s="828" t="s">
        <v>910</v>
      </c>
      <c r="CQ492" s="828" t="s">
        <v>911</v>
      </c>
      <c r="CR492" s="828"/>
    </row>
    <row r="493" spans="8:96">
      <c r="Y493" s="828"/>
      <c r="Z493" s="828"/>
      <c r="AA493" s="876"/>
      <c r="AB493" s="877"/>
      <c r="AC493" s="899"/>
      <c r="AD493" s="900"/>
      <c r="AE493" s="899"/>
      <c r="AF493" s="900"/>
      <c r="AG493" s="828"/>
      <c r="AH493" s="899"/>
      <c r="AI493" s="900"/>
      <c r="AJ493" s="876"/>
      <c r="AK493" s="877"/>
      <c r="AL493" s="828"/>
      <c r="AM493" s="828"/>
      <c r="AN493" s="828"/>
      <c r="AO493" s="828"/>
      <c r="AP493" s="828"/>
      <c r="AQ493" s="828"/>
      <c r="AR493" s="876"/>
      <c r="AS493" s="877"/>
      <c r="AT493" s="828"/>
      <c r="AU493" s="828"/>
      <c r="AV493" s="828"/>
      <c r="AW493"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AX493" s="828"/>
      <c r="AY493"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AZ493" s="828"/>
      <c r="BA493"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B493"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C493" s="828"/>
      <c r="BD493"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E493" s="828"/>
      <c r="BF493" s="828"/>
      <c r="BG493" s="876"/>
      <c r="BH493" s="877"/>
      <c r="BI493" s="828"/>
      <c r="BJ493" s="828"/>
      <c r="BK493" s="828"/>
      <c r="BL493"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BM493" s="828"/>
      <c r="BN493"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BO493" s="828"/>
      <c r="BP493"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BQ493"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BR493" s="828"/>
      <c r="BS493"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BT493" s="828"/>
      <c r="BU493" s="828"/>
      <c r="BV493" s="876"/>
      <c r="BW493" s="877"/>
      <c r="BX493" s="828"/>
      <c r="BY493" s="828"/>
      <c r="BZ493" s="828"/>
      <c r="CA493" s="828" t="str">
        <f>"перевод двухставочного тарифа в одноставочный тариф, руб." &amp; IF(TEMPLATE_SPHERE="водоснабжения","куб.м",IF(TEMPLATE_SPHERE="водоотведения","куб.м",IF(TEMPLATE_SPHERE="теплоснабжения","Гкал","")))</f>
        <v>перевод двухставочного тарифа в одноставочный тариф, руб.куб.м</v>
      </c>
      <c r="CB493" s="828"/>
      <c r="CC493" s="828" t="str">
        <f>IF(TEMPLATE_SPHERE="водоснабжения","ставка платы за потребление 1 куб.м холодной воды, руб./куб.м",IF(TEMPLATE_SPHERE="водоотведения","ставка платы за 1 куб.м отводимых сточных вод, руб./куб.м",IF(TEMPLATE_SPHERE="теплоснабжения","ставка за тепловую энергию руб./Гкал","")))</f>
        <v>ставка платы за 1 куб.м отводимых сточных вод, руб./куб.м</v>
      </c>
      <c r="CD493" s="828"/>
      <c r="CE493" s="828" t="str">
        <f>IF(TEMPLATE_SPHERE="водоснабжения","объём потребления холодной воды, куб.м",IF(TEMPLATE_SPHERE="водоотведения","объём отводимых сточных вод, куб.м",IF(TEMPLATE_SPHERE="теплоснабжения","объём энергии, Гкал","")))</f>
        <v>объём отводимых сточных вод, куб.м</v>
      </c>
      <c r="CF493" s="828" t="str">
        <f>IF(TEMPLATE_SPHERE="водоснабжения","ставка платы за содержание системы холодного водоснабжения, тыс.руб./куб.м*ч. в месяц",IF(TEMPLATE_SPHERE="водоотведения","ставка платы за содержание системы водоотведения, тыс.руб./куб.м*ч. в месяц",IF(TEMPLATE_SPHERE="теплоснабжения","ставка за тепловую нагрузку (мощность) тыс.руб./Гкал*ч. в месяц","")))</f>
        <v>ставка платы за содержание системы водоотведения, тыс.руб./куб.м*ч. в месяц</v>
      </c>
      <c r="CG493" s="828"/>
      <c r="CH493" s="828" t="str">
        <f>IF(TEMPLATE_SPHERE="водоснабжения","величина присоединённой мощности, куб.м*ч.",IF(TEMPLATE_SPHERE="водоотведения","величина присоединённой мощности, куб.м*ч.",IF(TEMPLATE_SPHERE="теплоснабжения","величина тепловой нагрузки (мощности), Гкал*ч.","")))</f>
        <v>величина присоединённой мощности, куб.м*ч.</v>
      </c>
      <c r="CI493" s="828"/>
      <c r="CJ493" s="828"/>
      <c r="CK493" s="828"/>
      <c r="CL493" s="828"/>
      <c r="CM493" s="828"/>
      <c r="CN493" s="828"/>
      <c r="CO493" s="828"/>
      <c r="CP493" s="828"/>
      <c r="CQ493" s="828"/>
      <c r="CR493" s="828"/>
    </row>
    <row r="494" spans="8:96">
      <c r="Y494" s="193" t="s">
        <v>627</v>
      </c>
      <c r="Z494" s="193" t="s">
        <v>628</v>
      </c>
      <c r="AA494" s="193" t="s">
        <v>627</v>
      </c>
      <c r="AB494" s="193" t="s">
        <v>628</v>
      </c>
      <c r="AC494" s="193" t="s">
        <v>627</v>
      </c>
      <c r="AD494" s="193" t="s">
        <v>628</v>
      </c>
      <c r="AE494" s="193" t="s">
        <v>627</v>
      </c>
      <c r="AF494" s="193" t="s">
        <v>628</v>
      </c>
      <c r="AG494" s="828"/>
      <c r="AH494" s="193" t="s">
        <v>627</v>
      </c>
      <c r="AI494" s="193" t="s">
        <v>628</v>
      </c>
      <c r="AJ494" s="193" t="s">
        <v>627</v>
      </c>
      <c r="AK494" s="193" t="s">
        <v>628</v>
      </c>
      <c r="AL494" s="828"/>
      <c r="AM494" s="193" t="s">
        <v>627</v>
      </c>
      <c r="AN494" s="193" t="s">
        <v>628</v>
      </c>
      <c r="AO494" s="193" t="s">
        <v>627</v>
      </c>
      <c r="AP494" s="193" t="s">
        <v>628</v>
      </c>
      <c r="AQ494" s="828"/>
      <c r="AR494" s="193" t="s">
        <v>627</v>
      </c>
      <c r="AS494" s="193" t="s">
        <v>628</v>
      </c>
      <c r="AT494" s="193" t="s">
        <v>627</v>
      </c>
      <c r="AU494" s="193" t="s">
        <v>628</v>
      </c>
      <c r="AV494" s="828"/>
      <c r="AW494" s="193" t="s">
        <v>627</v>
      </c>
      <c r="AX494" s="193" t="s">
        <v>628</v>
      </c>
      <c r="AY494" s="193" t="s">
        <v>627</v>
      </c>
      <c r="AZ494" s="193" t="s">
        <v>628</v>
      </c>
      <c r="BA494" s="828"/>
      <c r="BB494" s="193" t="s">
        <v>627</v>
      </c>
      <c r="BC494" s="193" t="s">
        <v>628</v>
      </c>
      <c r="BD494" s="828"/>
      <c r="BE494" s="828"/>
      <c r="BF494" s="828"/>
      <c r="BG494" s="193" t="s">
        <v>627</v>
      </c>
      <c r="BH494" s="193" t="s">
        <v>628</v>
      </c>
      <c r="BI494" s="193" t="s">
        <v>627</v>
      </c>
      <c r="BJ494" s="193" t="s">
        <v>628</v>
      </c>
      <c r="BK494" s="828"/>
      <c r="BL494" s="193" t="s">
        <v>627</v>
      </c>
      <c r="BM494" s="193" t="s">
        <v>628</v>
      </c>
      <c r="BN494" s="193" t="s">
        <v>627</v>
      </c>
      <c r="BO494" s="193" t="s">
        <v>628</v>
      </c>
      <c r="BP494" s="828"/>
      <c r="BQ494" s="193" t="s">
        <v>627</v>
      </c>
      <c r="BR494" s="193" t="s">
        <v>628</v>
      </c>
      <c r="BS494" s="828"/>
      <c r="BT494" s="828"/>
      <c r="BU494" s="828"/>
      <c r="BV494" s="193" t="s">
        <v>627</v>
      </c>
      <c r="BW494" s="193" t="s">
        <v>628</v>
      </c>
      <c r="BX494" s="193" t="s">
        <v>627</v>
      </c>
      <c r="BY494" s="193" t="s">
        <v>628</v>
      </c>
      <c r="BZ494" s="828"/>
      <c r="CA494" s="193" t="s">
        <v>627</v>
      </c>
      <c r="CB494" s="193" t="s">
        <v>628</v>
      </c>
      <c r="CC494" s="193" t="s">
        <v>627</v>
      </c>
      <c r="CD494" s="193" t="s">
        <v>628</v>
      </c>
      <c r="CE494" s="828"/>
      <c r="CF494" s="193" t="s">
        <v>627</v>
      </c>
      <c r="CG494" s="193" t="s">
        <v>628</v>
      </c>
      <c r="CH494" s="828"/>
      <c r="CI494" s="828"/>
      <c r="CJ494" s="828"/>
      <c r="CK494" s="828"/>
      <c r="CL494" s="828"/>
      <c r="CM494" s="828"/>
      <c r="CN494" s="828"/>
      <c r="CO494" s="828"/>
      <c r="CP494" s="828"/>
      <c r="CQ494" s="828"/>
      <c r="CR494" s="828"/>
    </row>
    <row r="495" spans="8:96">
      <c r="Y495" s="472" t="s">
        <v>790</v>
      </c>
      <c r="Z495" s="472" t="s">
        <v>792</v>
      </c>
      <c r="AA495" s="472" t="s">
        <v>632</v>
      </c>
      <c r="AB495" s="472" t="s">
        <v>633</v>
      </c>
      <c r="AC495" s="472" t="s">
        <v>635</v>
      </c>
      <c r="AD495" s="472" t="s">
        <v>883</v>
      </c>
      <c r="AE495" s="472" t="s">
        <v>885</v>
      </c>
      <c r="AF495" s="472" t="s">
        <v>886</v>
      </c>
      <c r="AG495" s="183" t="s">
        <v>761</v>
      </c>
      <c r="AH495" s="472" t="s">
        <v>888</v>
      </c>
      <c r="AI495" s="472" t="s">
        <v>889</v>
      </c>
      <c r="AJ495" s="472" t="s">
        <v>891</v>
      </c>
      <c r="AK495" s="472" t="s">
        <v>892</v>
      </c>
      <c r="AL495" s="472" t="s">
        <v>443</v>
      </c>
      <c r="AM495" s="183" t="s">
        <v>767</v>
      </c>
      <c r="AN495" s="183" t="s">
        <v>918</v>
      </c>
      <c r="AO495" s="183" t="s">
        <v>919</v>
      </c>
      <c r="AP495" s="183" t="s">
        <v>1799</v>
      </c>
      <c r="AQ495" s="183" t="s">
        <v>768</v>
      </c>
      <c r="AR495" s="183" t="s">
        <v>2993</v>
      </c>
      <c r="AS495" s="183" t="s">
        <v>3003</v>
      </c>
      <c r="AT495" s="183" t="s">
        <v>1800</v>
      </c>
      <c r="AU495" s="183" t="s">
        <v>1801</v>
      </c>
      <c r="AV495" s="183" t="s">
        <v>771</v>
      </c>
      <c r="AW495" s="183" t="s">
        <v>1802</v>
      </c>
      <c r="AX495" s="183" t="s">
        <v>1803</v>
      </c>
      <c r="AY495" s="183" t="s">
        <v>1804</v>
      </c>
      <c r="AZ495" s="183" t="s">
        <v>1805</v>
      </c>
      <c r="BA495" s="183" t="s">
        <v>1806</v>
      </c>
      <c r="BB495" s="183" t="s">
        <v>1807</v>
      </c>
      <c r="BC495" s="183" t="s">
        <v>1808</v>
      </c>
      <c r="BD495" s="183" t="s">
        <v>1809</v>
      </c>
      <c r="BE495" s="183" t="s">
        <v>1810</v>
      </c>
      <c r="BF495" s="183" t="s">
        <v>1811</v>
      </c>
      <c r="BG495" s="183" t="s">
        <v>1833</v>
      </c>
      <c r="BH495" s="183" t="s">
        <v>1835</v>
      </c>
      <c r="BI495" s="183" t="s">
        <v>1812</v>
      </c>
      <c r="BJ495" s="183" t="s">
        <v>1813</v>
      </c>
      <c r="BK495" s="183" t="s">
        <v>62</v>
      </c>
      <c r="BL495" s="183" t="s">
        <v>71</v>
      </c>
      <c r="BM495" s="183" t="s">
        <v>1845</v>
      </c>
      <c r="BN495" s="183" t="s">
        <v>1814</v>
      </c>
      <c r="BO495" s="183" t="s">
        <v>1815</v>
      </c>
      <c r="BP495" s="183" t="s">
        <v>1816</v>
      </c>
      <c r="BQ495" s="183" t="s">
        <v>1817</v>
      </c>
      <c r="BR495" s="183" t="s">
        <v>1818</v>
      </c>
      <c r="BS495" s="183" t="s">
        <v>1819</v>
      </c>
      <c r="BT495" s="183" t="s">
        <v>1848</v>
      </c>
      <c r="BU495" s="183" t="s">
        <v>1855</v>
      </c>
      <c r="BV495" s="183" t="s">
        <v>1820</v>
      </c>
      <c r="BW495" s="183" t="s">
        <v>1821</v>
      </c>
      <c r="BX495" s="183" t="s">
        <v>1822</v>
      </c>
      <c r="BY495" s="183" t="s">
        <v>1823</v>
      </c>
      <c r="BZ495" s="183" t="s">
        <v>2416</v>
      </c>
      <c r="CA495" s="183" t="s">
        <v>1824</v>
      </c>
      <c r="CB495" s="183" t="s">
        <v>1825</v>
      </c>
      <c r="CC495" s="183" t="s">
        <v>1826</v>
      </c>
      <c r="CD495" s="183" t="s">
        <v>1827</v>
      </c>
      <c r="CE495" s="183" t="s">
        <v>1828</v>
      </c>
      <c r="CF495" s="183" t="s">
        <v>1829</v>
      </c>
      <c r="CG495" s="183" t="s">
        <v>1830</v>
      </c>
      <c r="CH495" s="183" t="s">
        <v>1831</v>
      </c>
      <c r="CI495" s="183" t="s">
        <v>2422</v>
      </c>
      <c r="CJ495" s="183" t="s">
        <v>2425</v>
      </c>
      <c r="CK495" s="183" t="s">
        <v>2427</v>
      </c>
      <c r="CL495" s="183" t="s">
        <v>2431</v>
      </c>
      <c r="CM495" s="183" t="s">
        <v>845</v>
      </c>
      <c r="CN495" s="183" t="s">
        <v>1847</v>
      </c>
      <c r="CO495" s="183" t="s">
        <v>1854</v>
      </c>
      <c r="CP495" s="183" t="s">
        <v>2421</v>
      </c>
      <c r="CQ495" s="183" t="s">
        <v>2424</v>
      </c>
      <c r="CR495" s="183" t="s">
        <v>3005</v>
      </c>
    </row>
    <row r="496" spans="8:96">
      <c r="H496" s="388" t="s">
        <v>2385</v>
      </c>
    </row>
    <row r="497" spans="1:152" s="60" customFormat="1">
      <c r="B497" s="38"/>
      <c r="C497" s="497" t="str">
        <f>F497 &amp; ".0"</f>
        <v>.0</v>
      </c>
      <c r="D497" s="471"/>
      <c r="E497" s="470" t="s">
        <v>719</v>
      </c>
      <c r="F497" s="833"/>
      <c r="G497" s="853"/>
      <c r="H497" s="584" t="str">
        <f>IF(TEMPLATE_SPHERE="водоснабжения","",IF(TEMPLATE_SPHERE="водоотведения","Всего",""))</f>
        <v>Всего</v>
      </c>
      <c r="I497" s="393"/>
      <c r="J497" s="824"/>
      <c r="K497" s="824"/>
      <c r="L497" s="824"/>
      <c r="M497" s="824"/>
      <c r="N497" s="824"/>
      <c r="O497" s="824"/>
      <c r="P497" s="824"/>
      <c r="Q497" s="824"/>
      <c r="R497" s="824"/>
      <c r="S497" s="824"/>
      <c r="T497" s="824"/>
      <c r="U497" s="824"/>
      <c r="V497" s="824"/>
      <c r="W497" s="824"/>
      <c r="X497" s="824"/>
      <c r="Y497" s="399"/>
      <c r="Z497" s="398">
        <f>IF($D497="нет",Y497,Y497*1.18)</f>
        <v>0</v>
      </c>
      <c r="AA497" s="398">
        <f>IF(AG497=0,0,(AC497*AG497+AJ497*IF(AL497&gt;AG497,AG497,AL497))/AG497)</f>
        <v>0</v>
      </c>
      <c r="AB497" s="398">
        <f>IF($D497="нет",AA497,AA497*1.18)</f>
        <v>0</v>
      </c>
      <c r="AC497" s="398">
        <f>IF(AG497&gt;0,(AR497*AV497+BG497*BK497+BV497*BZ497)/AG497,0)</f>
        <v>0</v>
      </c>
      <c r="AD497" s="398">
        <f>IF($D497="нет",AC497,AC497*1.18)</f>
        <v>0</v>
      </c>
      <c r="AE497" s="585"/>
      <c r="AF497" s="392"/>
      <c r="AG497" s="398">
        <f>AV497+BK497+BZ497</f>
        <v>0</v>
      </c>
      <c r="AH497" s="585"/>
      <c r="AI497" s="392"/>
      <c r="AJ497" s="399"/>
      <c r="AK497" s="398">
        <f>IF($D497="нет",AJ497,AJ497*1.18)</f>
        <v>0</v>
      </c>
      <c r="AL497" s="399"/>
      <c r="AM497" s="399"/>
      <c r="AN497" s="398">
        <f>IF($D497="нет",AM497,AM497*1.18)</f>
        <v>0</v>
      </c>
      <c r="AO497" s="399"/>
      <c r="AP497" s="398">
        <f>IF($D497="нет",AO497,AO497*1.18)</f>
        <v>0</v>
      </c>
      <c r="AQ497" s="633">
        <f>IF(TARIFF_SETUP_METHOD_CODE="BY_MONTHS",SUMIF(БПр!$BF$129:$BF$270,$C497&amp;"-"&amp;$H$3,БПр!P$129:P$270),IF(TARIFF_SETUP_METHOD_CODE="BY_PSEUDO_YEARS",SUMIF(БПр!$F$129:$F$270,$C497,БПр!P$129:P$270),0))</f>
        <v>0</v>
      </c>
      <c r="AR497" s="399"/>
      <c r="AS497" s="398">
        <f>IF($D497="нет",AR497,AR497*1.18)</f>
        <v>0</v>
      </c>
      <c r="AT497" s="399"/>
      <c r="AU497" s="398">
        <f>IF($D497="нет",AT497,AT497*1.18)</f>
        <v>0</v>
      </c>
      <c r="AV497" s="633">
        <f>IF(TARIFF_SETUP_METHOD_CODE="BY_MONTHS",SUMIF(БПр!$BF$129:$BF$270,$C497&amp;"-"&amp;$H$3,БПр!M$129:M$270),IF(TARIFF_SETUP_METHOD_CODE="BY_PSEUDO_YEARS",SUMIF(БПр!$F$129:$F$270,$C497,БПр!M$129:M$270),0))</f>
        <v>0</v>
      </c>
      <c r="AW497" s="117"/>
      <c r="AX497" s="117"/>
      <c r="AY497" s="117"/>
      <c r="AZ497" s="117"/>
      <c r="BA497" s="117"/>
      <c r="BB497" s="117"/>
      <c r="BC497" s="117"/>
      <c r="BD497" s="117"/>
      <c r="BE497" s="399"/>
      <c r="BF497" s="398">
        <f>IF(AV497=0,0,1000*BE497/AV497)</f>
        <v>0</v>
      </c>
      <c r="BG497" s="399"/>
      <c r="BH497" s="398">
        <f>IF($D497="нет",BG497,BG497*1.18)</f>
        <v>0</v>
      </c>
      <c r="BI497" s="399"/>
      <c r="BJ497" s="398">
        <f>IF($D497="нет",BI497,BI497*1.18)</f>
        <v>0</v>
      </c>
      <c r="BK497" s="633">
        <f>IF(TARIFF_SETUP_METHOD_CODE="BY_MONTHS",SUMIF(БПр!$BF$129:$BF$270,$C497&amp;"-"&amp;$H$3,БПр!N$129:N$270),IF(TARIFF_SETUP_METHOD_CODE="BY_PSEUDO_YEARS",SUMIF(БПр!$F$129:$F$270,$C497,БПр!N$129:N$270),0))</f>
        <v>0</v>
      </c>
      <c r="BL497" s="117"/>
      <c r="BM497" s="117"/>
      <c r="BN497" s="117"/>
      <c r="BO497" s="117"/>
      <c r="BP497" s="117"/>
      <c r="BQ497" s="117"/>
      <c r="BR497" s="117"/>
      <c r="BS497" s="117"/>
      <c r="BT497" s="399"/>
      <c r="BU497" s="398">
        <f>IF(BK497=0,0,1000*BT497/BK497)</f>
        <v>0</v>
      </c>
      <c r="BV497" s="399"/>
      <c r="BW497" s="398">
        <f>IF($D497="нет",BV497,BV497*1.18)</f>
        <v>0</v>
      </c>
      <c r="BX497" s="399"/>
      <c r="BY497" s="398">
        <f>IF($D497="нет",BX497,BX497*1.18)</f>
        <v>0</v>
      </c>
      <c r="BZ497" s="633">
        <f>IF(TARIFF_SETUP_METHOD_CODE="BY_MONTHS",SUMIF(БПр!$BF$129:$BF$270,$C497&amp;"-"&amp;$H$3,БПр!O$129:O$270),IF(TARIFF_SETUP_METHOD_CODE="BY_PSEUDO_YEARS",SUMIF(БПр!$F$129:$F$270,$C497,БПр!O$129:O$270),0))</f>
        <v>0</v>
      </c>
      <c r="CA497" s="117"/>
      <c r="CB497" s="117"/>
      <c r="CC497" s="117"/>
      <c r="CD497" s="117"/>
      <c r="CE497" s="117"/>
      <c r="CF497" s="117"/>
      <c r="CG497" s="117"/>
      <c r="CH497" s="117"/>
      <c r="CI497" s="399"/>
      <c r="CJ497" s="398">
        <f>IF(BZ497=0,0,1000*CI497/BZ497)</f>
        <v>0</v>
      </c>
      <c r="CK497" s="398">
        <f>BE497+BT497+CI497</f>
        <v>0</v>
      </c>
      <c r="CL497" s="335">
        <f>SUM(CN497:CQ497)</f>
        <v>0</v>
      </c>
      <c r="CM497" s="398">
        <f>SUMIF(CN497:CQ497,"&gt;0")</f>
        <v>0</v>
      </c>
      <c r="CN497" s="398">
        <f>(Y497-AM497)*AQ497/1000</f>
        <v>0</v>
      </c>
      <c r="CO497" s="398">
        <f>(Y497-(AR497+BF497))*AV497/1000</f>
        <v>0</v>
      </c>
      <c r="CP497" s="398">
        <f>(Y497-(BG497+BU497))*BK497/1000</f>
        <v>0</v>
      </c>
      <c r="CQ497" s="398">
        <f>(Y497-(BV497+CJ497))*BZ497/1000</f>
        <v>0</v>
      </c>
      <c r="CR497" s="587"/>
      <c r="CS497"/>
      <c r="CT497"/>
      <c r="CU497"/>
      <c r="CV497"/>
      <c r="CW497"/>
      <c r="CX497"/>
      <c r="CY497"/>
      <c r="CZ497"/>
      <c r="DA497"/>
      <c r="DB497"/>
      <c r="DC497"/>
      <c r="DD497"/>
      <c r="DE497"/>
      <c r="DF497" s="80">
        <f>AH497*AG497</f>
        <v>0</v>
      </c>
      <c r="DG497" s="80">
        <f>AI497*AG497</f>
        <v>0</v>
      </c>
      <c r="DH497" s="80">
        <f>AM497*AQ497</f>
        <v>0</v>
      </c>
      <c r="DI497" s="80">
        <f>AN497*AQ497</f>
        <v>0</v>
      </c>
      <c r="DJ497" s="80">
        <f>AR497*AV497</f>
        <v>0</v>
      </c>
      <c r="DK497" s="80">
        <f>AS497*AV497</f>
        <v>0</v>
      </c>
      <c r="DL497" s="80">
        <f>BG497*BK497</f>
        <v>0</v>
      </c>
      <c r="DM497" s="80">
        <f>BH497*BK497</f>
        <v>0</v>
      </c>
      <c r="DN497" s="80">
        <f>BV497*BZ497</f>
        <v>0</v>
      </c>
      <c r="DO497" s="80">
        <f>BW497*BZ497</f>
        <v>0</v>
      </c>
      <c r="DP497" s="382">
        <f>AW497*BA497</f>
        <v>0</v>
      </c>
      <c r="DQ497" s="382">
        <f>AX497*BA497</f>
        <v>0</v>
      </c>
      <c r="DR497" s="382">
        <f>AY497*BA497</f>
        <v>0</v>
      </c>
      <c r="DS497" s="382">
        <f>AZ497*BA497</f>
        <v>0</v>
      </c>
      <c r="DT497" s="382">
        <f>BB497*BD497</f>
        <v>0</v>
      </c>
      <c r="DU497" s="382">
        <f>BC497*BD497</f>
        <v>0</v>
      </c>
      <c r="DV497" s="382">
        <f>BL497*BP497</f>
        <v>0</v>
      </c>
      <c r="DW497" s="382">
        <f>BM497*BP497</f>
        <v>0</v>
      </c>
      <c r="DX497" s="382">
        <f>BN497*BP497</f>
        <v>0</v>
      </c>
      <c r="DY497" s="382">
        <f>BO497*BP497</f>
        <v>0</v>
      </c>
      <c r="DZ497" s="382">
        <f>BQ497*BS497</f>
        <v>0</v>
      </c>
      <c r="EA497" s="382">
        <f>BR497*BS497</f>
        <v>0</v>
      </c>
      <c r="EB497" s="382">
        <f>CA497*CE497</f>
        <v>0</v>
      </c>
      <c r="EC497" s="382">
        <f>CB497*CE497</f>
        <v>0</v>
      </c>
      <c r="ED497" s="382">
        <f>CC497*CE497</f>
        <v>0</v>
      </c>
      <c r="EE497" s="382">
        <f>CD497*CE497</f>
        <v>0</v>
      </c>
      <c r="EF497" s="382">
        <f>CF497*CH497</f>
        <v>0</v>
      </c>
      <c r="EG497" s="382">
        <f>CG497*CH497</f>
        <v>0</v>
      </c>
      <c r="EH497" s="383">
        <f>Y497*(AG497+AQ497)</f>
        <v>0</v>
      </c>
      <c r="EI497" s="383">
        <f>Z497*(AG497+AQ497)</f>
        <v>0</v>
      </c>
      <c r="EJ497" s="80">
        <f>AO497*AQ497</f>
        <v>0</v>
      </c>
      <c r="EK497" s="80">
        <f>AP497*AQ497</f>
        <v>0</v>
      </c>
      <c r="EL497" s="80">
        <f>AT497*AV497</f>
        <v>0</v>
      </c>
      <c r="EM497" s="80">
        <f>AU497*AV497</f>
        <v>0</v>
      </c>
      <c r="EN497" s="80">
        <f>BI497*BK497</f>
        <v>0</v>
      </c>
      <c r="EO497" s="80">
        <f>BJ497*BK497</f>
        <v>0</v>
      </c>
      <c r="EP497" s="80">
        <f>BX497*BZ497</f>
        <v>0</v>
      </c>
      <c r="EQ497" s="80">
        <f>BY497*BZ497</f>
        <v>0</v>
      </c>
      <c r="ER497" s="383">
        <f>AJ497*AL497</f>
        <v>0</v>
      </c>
      <c r="ES497" s="383">
        <f>AK497*AL497</f>
        <v>0</v>
      </c>
      <c r="ET497" s="383">
        <f>IF(AV497+BA497&gt;0,(AR497*AV497+AW497*BA497)/(AV497+BA497),0)</f>
        <v>0</v>
      </c>
      <c r="EU497" s="383">
        <f>IF(BK497+BP497&gt;0,(BG497*BK497+BL497*BP497)/(BK497+BP497),0)</f>
        <v>0</v>
      </c>
      <c r="EV497" s="383">
        <f>IF(BZ497+CE497&gt;0,(BV497*BZ497+CA497*CE497)/(BZ497+CE497),0)</f>
        <v>0</v>
      </c>
    </row>
    <row r="498" spans="1:152" s="60" customFormat="1">
      <c r="B498" s="38"/>
      <c r="C498" s="497" t="str">
        <f>F497 &amp; ".1"</f>
        <v>.1</v>
      </c>
      <c r="D498"/>
      <c r="E498"/>
      <c r="F498" s="833"/>
      <c r="G498" s="835"/>
      <c r="H498" s="584"/>
      <c r="I498" s="393"/>
      <c r="J498" s="824"/>
      <c r="K498" s="824"/>
      <c r="L498" s="824"/>
      <c r="M498" s="824"/>
      <c r="N498" s="824"/>
      <c r="O498" s="824"/>
      <c r="P498" s="824"/>
      <c r="Q498" s="824"/>
      <c r="R498" s="824"/>
      <c r="S498" s="824"/>
      <c r="T498" s="824"/>
      <c r="U498" s="824"/>
      <c r="V498" s="824"/>
      <c r="W498" s="824"/>
      <c r="X498" s="824"/>
      <c r="Y498" s="585"/>
      <c r="Z498" s="392"/>
      <c r="AA498" s="585"/>
      <c r="AB498" s="392"/>
      <c r="AC498" s="585"/>
      <c r="AD498" s="392"/>
      <c r="AE498" s="585"/>
      <c r="AF498" s="392"/>
      <c r="AG498" s="585"/>
      <c r="AH498" s="585"/>
      <c r="AI498" s="392"/>
      <c r="AJ498" s="585"/>
      <c r="AK498" s="392"/>
      <c r="AL498" s="585"/>
      <c r="AM498" s="585"/>
      <c r="AN498" s="392"/>
      <c r="AO498" s="585"/>
      <c r="AP498" s="392"/>
      <c r="AQ498" s="585"/>
      <c r="AR498" s="585"/>
      <c r="AS498" s="392"/>
      <c r="AT498" s="585"/>
      <c r="AU498" s="392"/>
      <c r="AV498" s="585"/>
      <c r="AW498" s="585"/>
      <c r="AX498" s="392"/>
      <c r="AY498" s="585"/>
      <c r="AZ498" s="392"/>
      <c r="BA498" s="585"/>
      <c r="BB498" s="585"/>
      <c r="BC498" s="392"/>
      <c r="BD498" s="585"/>
      <c r="BE498" s="585"/>
      <c r="BF498" s="585"/>
      <c r="BG498" s="585"/>
      <c r="BH498" s="392"/>
      <c r="BI498" s="585"/>
      <c r="BJ498" s="392"/>
      <c r="BK498" s="585"/>
      <c r="BL498" s="585"/>
      <c r="BM498" s="392"/>
      <c r="BN498" s="585"/>
      <c r="BO498" s="392"/>
      <c r="BP498" s="585"/>
      <c r="BQ498" s="585"/>
      <c r="BR498" s="392"/>
      <c r="BS498" s="585"/>
      <c r="BT498" s="585"/>
      <c r="BU498" s="585"/>
      <c r="BV498" s="585"/>
      <c r="BW498" s="392"/>
      <c r="BX498" s="585"/>
      <c r="BY498" s="392"/>
      <c r="BZ498" s="585"/>
      <c r="CA498" s="585"/>
      <c r="CB498" s="392"/>
      <c r="CC498" s="585"/>
      <c r="CD498" s="392"/>
      <c r="CE498" s="585"/>
      <c r="CF498" s="585"/>
      <c r="CG498" s="392"/>
      <c r="CH498" s="585"/>
      <c r="CI498" s="585"/>
      <c r="CJ498" s="585"/>
      <c r="CK498" s="585"/>
      <c r="CL498" s="585"/>
      <c r="CM498" s="585"/>
      <c r="CN498" s="585"/>
      <c r="CO498" s="585"/>
      <c r="CP498" s="585"/>
      <c r="CQ498" s="585"/>
      <c r="CR498" s="585"/>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row>
    <row r="499" spans="1:152" s="60" customFormat="1">
      <c r="C499" s="497" t="str">
        <f>F497 &amp; ".2"</f>
        <v>.2</v>
      </c>
      <c r="D499"/>
      <c r="E499"/>
      <c r="F499" s="833"/>
      <c r="G499" s="835"/>
      <c r="H499" s="584"/>
      <c r="I499" s="393"/>
      <c r="J499" s="824"/>
      <c r="K499" s="824"/>
      <c r="L499" s="824"/>
      <c r="M499" s="824"/>
      <c r="N499" s="824"/>
      <c r="O499" s="824"/>
      <c r="P499" s="824"/>
      <c r="Q499" s="824"/>
      <c r="R499" s="824"/>
      <c r="S499" s="824"/>
      <c r="T499" s="824"/>
      <c r="U499" s="824"/>
      <c r="V499" s="824"/>
      <c r="W499" s="824"/>
      <c r="X499" s="824"/>
      <c r="Y499" s="585"/>
      <c r="Z499" s="392"/>
      <c r="AA499" s="585"/>
      <c r="AB499" s="392"/>
      <c r="AC499" s="585"/>
      <c r="AD499" s="392"/>
      <c r="AE499" s="585"/>
      <c r="AF499" s="392"/>
      <c r="AG499" s="585"/>
      <c r="AH499" s="585"/>
      <c r="AI499" s="392"/>
      <c r="AJ499" s="585"/>
      <c r="AK499" s="392"/>
      <c r="AL499" s="585"/>
      <c r="AM499" s="585"/>
      <c r="AN499" s="392"/>
      <c r="AO499" s="585"/>
      <c r="AP499" s="392"/>
      <c r="AQ499" s="585"/>
      <c r="AR499" s="585"/>
      <c r="AS499" s="392"/>
      <c r="AT499" s="585"/>
      <c r="AU499" s="392"/>
      <c r="AV499" s="585"/>
      <c r="AW499" s="585"/>
      <c r="AX499" s="392"/>
      <c r="AY499" s="585"/>
      <c r="AZ499" s="392"/>
      <c r="BA499" s="585"/>
      <c r="BB499" s="585"/>
      <c r="BC499" s="392"/>
      <c r="BD499" s="585"/>
      <c r="BE499" s="585"/>
      <c r="BF499" s="585"/>
      <c r="BG499" s="585"/>
      <c r="BH499" s="392"/>
      <c r="BI499" s="585"/>
      <c r="BJ499" s="392"/>
      <c r="BK499" s="585"/>
      <c r="BL499" s="585"/>
      <c r="BM499" s="392"/>
      <c r="BN499" s="585"/>
      <c r="BO499" s="392"/>
      <c r="BP499" s="585"/>
      <c r="BQ499" s="585"/>
      <c r="BR499" s="392"/>
      <c r="BS499" s="585"/>
      <c r="BT499" s="585"/>
      <c r="BU499" s="585"/>
      <c r="BV499" s="585"/>
      <c r="BW499" s="392"/>
      <c r="BX499" s="585"/>
      <c r="BY499" s="392"/>
      <c r="BZ499" s="585"/>
      <c r="CA499" s="585"/>
      <c r="CB499" s="392"/>
      <c r="CC499" s="585"/>
      <c r="CD499" s="392"/>
      <c r="CE499" s="585"/>
      <c r="CF499" s="585"/>
      <c r="CG499" s="392"/>
      <c r="CH499" s="585"/>
      <c r="CI499" s="585"/>
      <c r="CJ499" s="585"/>
      <c r="CK499" s="585"/>
      <c r="CL499" s="585"/>
      <c r="CM499" s="585"/>
      <c r="CN499" s="585"/>
      <c r="CO499" s="585"/>
      <c r="CP499" s="585"/>
      <c r="CQ499" s="585"/>
      <c r="CR499" s="585"/>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row>
    <row r="500" spans="1:152">
      <c r="H500" s="388" t="s">
        <v>2386</v>
      </c>
      <c r="AA500" s="6"/>
    </row>
    <row r="501" spans="1:152" s="60" customFormat="1" ht="11.25" customHeight="1">
      <c r="B501" s="38"/>
      <c r="C501" s="497" t="str">
        <f>F501 &amp; ".0"</f>
        <v>.0</v>
      </c>
      <c r="D501" s="471"/>
      <c r="E501" s="470" t="s">
        <v>719</v>
      </c>
      <c r="F501" s="892"/>
      <c r="G501" s="850"/>
      <c r="H501" s="584" t="str">
        <f>IF(TEMPLATE_SPHERE="водоснабжения","",IF(TEMPLATE_SPHERE="водоотведения","Всего",""))</f>
        <v>Всего</v>
      </c>
      <c r="I501" s="393"/>
      <c r="J501" s="865"/>
      <c r="K501" s="824"/>
      <c r="L501" s="824"/>
      <c r="M501" s="824"/>
      <c r="N501" s="824"/>
      <c r="O501" s="865"/>
      <c r="P501" s="865"/>
      <c r="Q501" s="865"/>
      <c r="R501" s="865"/>
      <c r="S501" s="865"/>
      <c r="T501" s="865"/>
      <c r="U501" s="865"/>
      <c r="V501" s="865"/>
      <c r="W501" s="865"/>
      <c r="X501" s="865"/>
      <c r="Y501" s="399"/>
      <c r="Z501" s="398">
        <f>IF($D501="нет",Y501,Y501*1.18)</f>
        <v>0</v>
      </c>
      <c r="AA501" s="398">
        <f>IF(AG501=0,0,(AC501*AG501+AJ501*IF(AL501&gt;AG501,AG501,AL501))/AG501)</f>
        <v>0</v>
      </c>
      <c r="AB501" s="398">
        <f>IF($D501="нет",AA501,AA501*1.18)</f>
        <v>0</v>
      </c>
      <c r="AC501" s="398">
        <f>IF(AG501&gt;0,(AW501*BA501+BL501*BP501+CA501*CE501-AH501*AG501)/AG501,0)</f>
        <v>0</v>
      </c>
      <c r="AD501" s="398">
        <f>IF($D501="нет",AC501,AC501*1.18)</f>
        <v>0</v>
      </c>
      <c r="AE501" s="585"/>
      <c r="AF501" s="392"/>
      <c r="AG501" s="398">
        <f>BA501+BP501+CE501</f>
        <v>0</v>
      </c>
      <c r="AH501" s="585"/>
      <c r="AI501" s="392"/>
      <c r="AJ501" s="399"/>
      <c r="AK501" s="398">
        <f>IF($D501="нет",AJ501,AJ501*1.18)</f>
        <v>0</v>
      </c>
      <c r="AL501" s="399"/>
      <c r="AM501" s="399"/>
      <c r="AN501" s="398">
        <f>IF($D501="нет",AM501,AM501*1.18)</f>
        <v>0</v>
      </c>
      <c r="AO501" s="399"/>
      <c r="AP501" s="398">
        <f>IF($D501="нет",AO501,AO501*1.18)</f>
        <v>0</v>
      </c>
      <c r="AQ501" s="633">
        <f>IF(TARIFF_SETUP_METHOD_CODE="BY_MONTHS",SUMIF(БПр!$BF$129:$BF$270,$C501&amp;"-"&amp;$H$3,БПр!P$129:P$270),IF(TARIFF_SETUP_METHOD_CODE="BY_PSEUDO_YEARS",SUMIF(БПр!$F$129:$F$270,$C501,БПр!P$129:P$270),0))</f>
        <v>0</v>
      </c>
      <c r="AR501" s="117"/>
      <c r="AS501" s="117"/>
      <c r="AT501" s="117"/>
      <c r="AU501" s="117"/>
      <c r="AV501" s="117"/>
      <c r="AW501" s="398">
        <f>IF(BA501&gt;0,((AY501*BA501)+(1000*$I$3*BB501*BD501))/BA501,0)</f>
        <v>0</v>
      </c>
      <c r="AX501" s="398">
        <f>IF($D501="нет",AW501,AW501*1.18)</f>
        <v>0</v>
      </c>
      <c r="AY501" s="399"/>
      <c r="AZ501" s="398">
        <f>IF($D501="нет",AY501,AY501*1.18)</f>
        <v>0</v>
      </c>
      <c r="BA501" s="399"/>
      <c r="BB501" s="399"/>
      <c r="BC501" s="398">
        <f>IF($D501="нет",BB501,BB501*1.18)</f>
        <v>0</v>
      </c>
      <c r="BD501" s="399"/>
      <c r="BE501" s="399"/>
      <c r="BF501" s="398">
        <f>IF(BA501=0,0,1000*BE501/BA501)</f>
        <v>0</v>
      </c>
      <c r="BG501" s="117"/>
      <c r="BH501" s="117"/>
      <c r="BI501" s="117"/>
      <c r="BJ501" s="117"/>
      <c r="BK501" s="117"/>
      <c r="BL501" s="398">
        <f>IF(BP501&gt;0,((BN501*BP501)+(1000*$I$3*BQ501*BS501))/BP501,0)</f>
        <v>0</v>
      </c>
      <c r="BM501" s="398">
        <f>IF($D501="нет",BL501,BL501*1.18)</f>
        <v>0</v>
      </c>
      <c r="BN501" s="399"/>
      <c r="BO501" s="398">
        <f>IF($D501="нет",BN501,BN501*1.18)</f>
        <v>0</v>
      </c>
      <c r="BP501" s="399"/>
      <c r="BQ501" s="399"/>
      <c r="BR501" s="398">
        <f>IF($D501="нет",BQ501,BQ501*1.18)</f>
        <v>0</v>
      </c>
      <c r="BS501" s="399"/>
      <c r="BT501" s="399"/>
      <c r="BU501" s="398">
        <f>IF(BP501=0,0,1000*BT501/BP501)</f>
        <v>0</v>
      </c>
      <c r="BV501" s="117"/>
      <c r="BW501" s="117"/>
      <c r="BX501" s="117"/>
      <c r="BY501" s="117"/>
      <c r="BZ501" s="117"/>
      <c r="CA501" s="398">
        <f>IF(CE501&gt;0,((CC501*CE501)+(1000*$I$3*CF501*CH501))/CE501,0)</f>
        <v>0</v>
      </c>
      <c r="CB501" s="398">
        <f>IF($D501="нет",CA501,CA501*1.18)</f>
        <v>0</v>
      </c>
      <c r="CC501" s="399"/>
      <c r="CD501" s="398">
        <f>IF($D501="нет",CC501,CC501*1.18)</f>
        <v>0</v>
      </c>
      <c r="CE501" s="399"/>
      <c r="CF501" s="399"/>
      <c r="CG501" s="398">
        <f>IF($D501="нет",CF501,CF501*1.18)</f>
        <v>0</v>
      </c>
      <c r="CH501" s="399"/>
      <c r="CI501" s="399"/>
      <c r="CJ501" s="398">
        <f>IF(CE501=0,0,1000*CI501/CE501)</f>
        <v>0</v>
      </c>
      <c r="CK501" s="398">
        <f>BE501+BT501+CI501</f>
        <v>0</v>
      </c>
      <c r="CL501" s="335">
        <f>SUM(CN501:CQ501)</f>
        <v>0</v>
      </c>
      <c r="CM501" s="398">
        <f>SUMIF(CN501:CQ501,"&gt;0")</f>
        <v>0</v>
      </c>
      <c r="CN501" s="398">
        <f>(Y501-AM501)*AQ501/1000</f>
        <v>0</v>
      </c>
      <c r="CO501" s="398">
        <f>(Y501-(AR501+BF501))*AV501/1000</f>
        <v>0</v>
      </c>
      <c r="CP501" s="398">
        <f>(Y501-(BG501+BU501))*BK501/1000</f>
        <v>0</v>
      </c>
      <c r="CQ501" s="398">
        <f>(Y501-(BV501+CJ501))*BZ501/1000</f>
        <v>0</v>
      </c>
      <c r="CR501" s="587"/>
      <c r="CS501"/>
      <c r="CT501"/>
      <c r="CU501"/>
      <c r="CV501"/>
      <c r="CW501"/>
      <c r="CX501"/>
      <c r="CY501"/>
      <c r="CZ501"/>
      <c r="DA501"/>
      <c r="DB501"/>
      <c r="DC501"/>
      <c r="DD501"/>
      <c r="DE501"/>
      <c r="DF501" s="80">
        <f>AH501*AG501</f>
        <v>0</v>
      </c>
      <c r="DG501" s="80">
        <f>AI501*AG501</f>
        <v>0</v>
      </c>
      <c r="DH501" s="80">
        <f>AM501*AQ501</f>
        <v>0</v>
      </c>
      <c r="DI501" s="80">
        <f>AN501*AQ501</f>
        <v>0</v>
      </c>
      <c r="DJ501" s="80">
        <f>AR501*AV501</f>
        <v>0</v>
      </c>
      <c r="DK501" s="80">
        <f>AS501*AV501</f>
        <v>0</v>
      </c>
      <c r="DL501" s="80">
        <f>BG501*BK501</f>
        <v>0</v>
      </c>
      <c r="DM501" s="80">
        <f>BH501*BK501</f>
        <v>0</v>
      </c>
      <c r="DN501" s="80">
        <f>BV501*BZ501</f>
        <v>0</v>
      </c>
      <c r="DO501" s="80">
        <f>BW501*BZ501</f>
        <v>0</v>
      </c>
      <c r="DP501" s="382">
        <f>AW501*BA501</f>
        <v>0</v>
      </c>
      <c r="DQ501" s="382">
        <f>AX501*BA501</f>
        <v>0</v>
      </c>
      <c r="DR501" s="382">
        <f>AY501*BA501</f>
        <v>0</v>
      </c>
      <c r="DS501" s="382">
        <f>AZ501*BA501</f>
        <v>0</v>
      </c>
      <c r="DT501" s="382">
        <f>BB501*BD501</f>
        <v>0</v>
      </c>
      <c r="DU501" s="382">
        <f>BC501*BD501</f>
        <v>0</v>
      </c>
      <c r="DV501" s="382">
        <f>BL501*BP501</f>
        <v>0</v>
      </c>
      <c r="DW501" s="382">
        <f>BM501*BP501</f>
        <v>0</v>
      </c>
      <c r="DX501" s="382">
        <f>BN501*BP501</f>
        <v>0</v>
      </c>
      <c r="DY501" s="382">
        <f>BO501*BP501</f>
        <v>0</v>
      </c>
      <c r="DZ501" s="382">
        <f>BQ501*BS501</f>
        <v>0</v>
      </c>
      <c r="EA501" s="382">
        <f>BR501*BS501</f>
        <v>0</v>
      </c>
      <c r="EB501" s="382">
        <f>CA501*CE501</f>
        <v>0</v>
      </c>
      <c r="EC501" s="382">
        <f>CB501*CE501</f>
        <v>0</v>
      </c>
      <c r="ED501" s="382">
        <f>CC501*CE501</f>
        <v>0</v>
      </c>
      <c r="EE501" s="382">
        <f>CD501*CE501</f>
        <v>0</v>
      </c>
      <c r="EF501" s="382">
        <f>CF501*CH501</f>
        <v>0</v>
      </c>
      <c r="EG501" s="382">
        <f>CG501*CH501</f>
        <v>0</v>
      </c>
      <c r="EH501" s="383">
        <f>Y501*(AG501+AQ501)</f>
        <v>0</v>
      </c>
      <c r="EI501" s="383">
        <f>Z501*(AG501+AQ501)</f>
        <v>0</v>
      </c>
      <c r="EJ501" s="80">
        <f>AO501*AQ501</f>
        <v>0</v>
      </c>
      <c r="EK501" s="80">
        <f>AP501*AQ501</f>
        <v>0</v>
      </c>
      <c r="EL501" s="80">
        <f>AT501*AV501</f>
        <v>0</v>
      </c>
      <c r="EM501" s="80">
        <f>AU501*AV501</f>
        <v>0</v>
      </c>
      <c r="EN501" s="80">
        <f>BI501*BK501</f>
        <v>0</v>
      </c>
      <c r="EO501" s="80">
        <f>BJ501*BK501</f>
        <v>0</v>
      </c>
      <c r="EP501" s="80">
        <f>BX501*BZ501</f>
        <v>0</v>
      </c>
      <c r="EQ501" s="80">
        <f>BY501*BZ501</f>
        <v>0</v>
      </c>
      <c r="ER501" s="383">
        <f>AJ501*AL501</f>
        <v>0</v>
      </c>
      <c r="ES501" s="383">
        <f>AK501*AL501</f>
        <v>0</v>
      </c>
      <c r="ET501" s="383">
        <f>IF(AV501+BA501&gt;0,(AR501*AV501+AW501*BA501)/(AV501+BA501),0)</f>
        <v>0</v>
      </c>
      <c r="EU501" s="383">
        <f>IF(BK501+BP501&gt;0,(BG501*BK501+BL501*BP501)/(BK501+BP501),0)</f>
        <v>0</v>
      </c>
      <c r="EV501" s="383">
        <f>IF(BZ501+CE501&gt;0,(BV501*BZ501+CA501*CE501)/(BZ501+CE501),0)</f>
        <v>0</v>
      </c>
    </row>
    <row r="502" spans="1:152" s="60" customFormat="1" ht="11.25" customHeight="1">
      <c r="B502" s="38"/>
      <c r="C502" s="497" t="str">
        <f>F501 &amp; ".1"</f>
        <v>.1</v>
      </c>
      <c r="D502"/>
      <c r="E502"/>
      <c r="F502" s="893"/>
      <c r="G502" s="851"/>
      <c r="H502" s="584"/>
      <c r="I502" s="393"/>
      <c r="J502" s="866"/>
      <c r="K502" s="824"/>
      <c r="L502" s="824"/>
      <c r="M502" s="824"/>
      <c r="N502" s="824"/>
      <c r="O502" s="866"/>
      <c r="P502" s="866"/>
      <c r="Q502" s="866"/>
      <c r="R502" s="866"/>
      <c r="S502" s="866"/>
      <c r="T502" s="866"/>
      <c r="U502" s="866"/>
      <c r="V502" s="866"/>
      <c r="W502" s="866"/>
      <c r="X502" s="866"/>
      <c r="Y502" s="585"/>
      <c r="Z502" s="392"/>
      <c r="AA502" s="585"/>
      <c r="AB502" s="392"/>
      <c r="AC502" s="585"/>
      <c r="AD502" s="392"/>
      <c r="AE502" s="585"/>
      <c r="AF502" s="392"/>
      <c r="AG502" s="585"/>
      <c r="AH502" s="585"/>
      <c r="AI502" s="392"/>
      <c r="AJ502" s="585"/>
      <c r="AK502" s="392"/>
      <c r="AL502" s="585"/>
      <c r="AM502" s="585"/>
      <c r="AN502" s="392"/>
      <c r="AO502" s="585"/>
      <c r="AP502" s="392"/>
      <c r="AQ502" s="585"/>
      <c r="AR502" s="585"/>
      <c r="AS502" s="392"/>
      <c r="AT502" s="585"/>
      <c r="AU502" s="392"/>
      <c r="AV502" s="585"/>
      <c r="AW502" s="585"/>
      <c r="AX502" s="392"/>
      <c r="AY502" s="585"/>
      <c r="AZ502" s="392"/>
      <c r="BA502" s="585"/>
      <c r="BB502" s="585"/>
      <c r="BC502" s="392"/>
      <c r="BD502" s="585"/>
      <c r="BE502" s="585"/>
      <c r="BF502" s="585"/>
      <c r="BG502" s="585"/>
      <c r="BH502" s="392"/>
      <c r="BI502" s="585"/>
      <c r="BJ502" s="392"/>
      <c r="BK502" s="585"/>
      <c r="BL502" s="585"/>
      <c r="BM502" s="392"/>
      <c r="BN502" s="585"/>
      <c r="BO502" s="392"/>
      <c r="BP502" s="585"/>
      <c r="BQ502" s="585"/>
      <c r="BR502" s="392"/>
      <c r="BS502" s="585"/>
      <c r="BT502" s="585"/>
      <c r="BU502" s="585"/>
      <c r="BV502" s="585"/>
      <c r="BW502" s="392"/>
      <c r="BX502" s="585"/>
      <c r="BY502" s="392"/>
      <c r="BZ502" s="585"/>
      <c r="CA502" s="585"/>
      <c r="CB502" s="392"/>
      <c r="CC502" s="585"/>
      <c r="CD502" s="392"/>
      <c r="CE502" s="585"/>
      <c r="CF502" s="585"/>
      <c r="CG502" s="392"/>
      <c r="CH502" s="585"/>
      <c r="CI502" s="585"/>
      <c r="CJ502" s="585"/>
      <c r="CK502" s="585"/>
      <c r="CL502" s="585"/>
      <c r="CM502" s="585"/>
      <c r="CN502" s="585"/>
      <c r="CO502" s="585"/>
      <c r="CP502" s="585"/>
      <c r="CQ502" s="585"/>
      <c r="CR502" s="585"/>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row>
    <row r="503" spans="1:152" s="60" customFormat="1" ht="11.25" customHeight="1">
      <c r="C503" s="497" t="str">
        <f>F501 &amp; ".2"</f>
        <v>.2</v>
      </c>
      <c r="D503"/>
      <c r="E503"/>
      <c r="F503" s="894"/>
      <c r="G503" s="852"/>
      <c r="H503" s="584"/>
      <c r="I503" s="393"/>
      <c r="J503" s="867"/>
      <c r="K503" s="824"/>
      <c r="L503" s="824"/>
      <c r="M503" s="824"/>
      <c r="N503" s="824"/>
      <c r="O503" s="867"/>
      <c r="P503" s="867"/>
      <c r="Q503" s="867"/>
      <c r="R503" s="867"/>
      <c r="S503" s="867"/>
      <c r="T503" s="867"/>
      <c r="U503" s="867"/>
      <c r="V503" s="867"/>
      <c r="W503" s="867"/>
      <c r="X503" s="867"/>
      <c r="Y503" s="585"/>
      <c r="Z503" s="392"/>
      <c r="AA503" s="585"/>
      <c r="AB503" s="392"/>
      <c r="AC503" s="585"/>
      <c r="AD503" s="392"/>
      <c r="AE503" s="585"/>
      <c r="AF503" s="392"/>
      <c r="AG503" s="585"/>
      <c r="AH503" s="585"/>
      <c r="AI503" s="392"/>
      <c r="AJ503" s="585"/>
      <c r="AK503" s="392"/>
      <c r="AL503" s="585"/>
      <c r="AM503" s="585"/>
      <c r="AN503" s="392"/>
      <c r="AO503" s="585"/>
      <c r="AP503" s="392"/>
      <c r="AQ503" s="585"/>
      <c r="AR503" s="585"/>
      <c r="AS503" s="392"/>
      <c r="AT503" s="585"/>
      <c r="AU503" s="392"/>
      <c r="AV503" s="585"/>
      <c r="AW503" s="585"/>
      <c r="AX503" s="392"/>
      <c r="AY503" s="585"/>
      <c r="AZ503" s="392"/>
      <c r="BA503" s="585"/>
      <c r="BB503" s="585"/>
      <c r="BC503" s="392"/>
      <c r="BD503" s="585"/>
      <c r="BE503" s="585"/>
      <c r="BF503" s="585"/>
      <c r="BG503" s="585"/>
      <c r="BH503" s="392"/>
      <c r="BI503" s="585"/>
      <c r="BJ503" s="392"/>
      <c r="BK503" s="585"/>
      <c r="BL503" s="585"/>
      <c r="BM503" s="392"/>
      <c r="BN503" s="585"/>
      <c r="BO503" s="392"/>
      <c r="BP503" s="585"/>
      <c r="BQ503" s="585"/>
      <c r="BR503" s="392"/>
      <c r="BS503" s="585"/>
      <c r="BT503" s="585"/>
      <c r="BU503" s="585"/>
      <c r="BV503" s="585"/>
      <c r="BW503" s="392"/>
      <c r="BX503" s="585"/>
      <c r="BY503" s="392"/>
      <c r="BZ503" s="585"/>
      <c r="CA503" s="585"/>
      <c r="CB503" s="392"/>
      <c r="CC503" s="585"/>
      <c r="CD503" s="392"/>
      <c r="CE503" s="585"/>
      <c r="CF503" s="585"/>
      <c r="CG503" s="392"/>
      <c r="CH503" s="585"/>
      <c r="CI503" s="585"/>
      <c r="CJ503" s="585"/>
      <c r="CK503" s="585"/>
      <c r="CL503" s="585"/>
      <c r="CM503" s="585"/>
      <c r="CN503" s="585"/>
      <c r="CO503" s="585"/>
      <c r="CP503" s="585"/>
      <c r="CQ503" s="585"/>
      <c r="CR503" s="585"/>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row>
    <row r="504" spans="1:152">
      <c r="A504" s="861" t="s">
        <v>2382</v>
      </c>
      <c r="B504" s="861"/>
      <c r="H504" s="388" t="s">
        <v>2384</v>
      </c>
      <c r="AA504" s="6"/>
    </row>
    <row r="505" spans="1:152" s="60" customFormat="1">
      <c r="B505" s="38"/>
      <c r="C505" s="497" t="str">
        <f>F505 &amp; ".0"</f>
        <v>.0</v>
      </c>
      <c r="D505" s="471"/>
      <c r="E505" s="470" t="s">
        <v>719</v>
      </c>
      <c r="F505" s="833"/>
      <c r="G505" s="853"/>
      <c r="H505" s="584"/>
      <c r="I505" s="393"/>
      <c r="J505" s="824"/>
      <c r="K505" s="824"/>
      <c r="L505" s="824"/>
      <c r="M505" s="824"/>
      <c r="N505" s="824"/>
      <c r="O505" s="824"/>
      <c r="P505" s="824"/>
      <c r="Q505" s="824"/>
      <c r="R505" s="824"/>
      <c r="S505" s="824"/>
      <c r="T505" s="824"/>
      <c r="U505" s="824"/>
      <c r="V505" s="824"/>
      <c r="W505" s="824"/>
      <c r="X505" s="824"/>
      <c r="Y505" s="585"/>
      <c r="Z505" s="585"/>
      <c r="AA505" s="585"/>
      <c r="AB505" s="585"/>
      <c r="AC505" s="585"/>
      <c r="AD505" s="585"/>
      <c r="AE505" s="585"/>
      <c r="AF505" s="585"/>
      <c r="AG505" s="585"/>
      <c r="AH505" s="585"/>
      <c r="AI505" s="585"/>
      <c r="AJ505" s="585"/>
      <c r="AK505" s="585"/>
      <c r="AL505" s="585"/>
      <c r="AM505" s="585"/>
      <c r="AN505" s="585"/>
      <c r="AO505" s="585"/>
      <c r="AP505" s="585"/>
      <c r="AQ505" s="585"/>
      <c r="AR505" s="585"/>
      <c r="AS505" s="585"/>
      <c r="AT505" s="585"/>
      <c r="AU505" s="585"/>
      <c r="AV505" s="585"/>
      <c r="AW505" s="585"/>
      <c r="AX505" s="585"/>
      <c r="AY505" s="585"/>
      <c r="AZ505" s="585"/>
      <c r="BA505" s="585"/>
      <c r="BB505" s="585"/>
      <c r="BC505" s="585"/>
      <c r="BD505" s="585"/>
      <c r="BE505" s="585"/>
      <c r="BF505" s="585"/>
      <c r="BG505" s="585"/>
      <c r="BH505" s="585"/>
      <c r="BI505" s="585"/>
      <c r="BJ505" s="585"/>
      <c r="BK505" s="585"/>
      <c r="BL505" s="585"/>
      <c r="BM505" s="585"/>
      <c r="BN505" s="585"/>
      <c r="BO505" s="585"/>
      <c r="BP505" s="585"/>
      <c r="BQ505" s="585"/>
      <c r="BR505" s="585"/>
      <c r="BS505" s="585"/>
      <c r="BT505" s="585"/>
      <c r="BU505" s="585"/>
      <c r="BV505" s="585"/>
      <c r="BW505" s="585"/>
      <c r="BX505" s="585"/>
      <c r="BY505" s="585"/>
      <c r="BZ505" s="585"/>
      <c r="CA505" s="585"/>
      <c r="CB505" s="585"/>
      <c r="CC505" s="585"/>
      <c r="CD505" s="585"/>
      <c r="CE505" s="585"/>
      <c r="CF505" s="585"/>
      <c r="CG505" s="585"/>
      <c r="CH505" s="585"/>
      <c r="CI505" s="585"/>
      <c r="CJ505" s="585"/>
      <c r="CK505" s="585"/>
      <c r="CL505" s="585"/>
      <c r="CM505" s="585"/>
      <c r="CN505" s="585"/>
      <c r="CO505" s="585"/>
      <c r="CP505" s="585"/>
      <c r="CQ505" s="585"/>
      <c r="CR505" s="58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row>
    <row r="506" spans="1:152" s="60" customFormat="1">
      <c r="B506" s="38"/>
      <c r="C506" s="497" t="str">
        <f>F505 &amp; ".1"</f>
        <v>.1</v>
      </c>
      <c r="D506"/>
      <c r="E506"/>
      <c r="F506" s="833"/>
      <c r="G506" s="835"/>
      <c r="H506" s="584"/>
      <c r="I506" s="393"/>
      <c r="J506" s="824"/>
      <c r="K506" s="824"/>
      <c r="L506" s="824"/>
      <c r="M506" s="824"/>
      <c r="N506" s="824"/>
      <c r="O506" s="824"/>
      <c r="P506" s="824"/>
      <c r="Q506" s="824"/>
      <c r="R506" s="824"/>
      <c r="S506" s="824"/>
      <c r="T506" s="824"/>
      <c r="U506" s="824"/>
      <c r="V506" s="824"/>
      <c r="W506" s="824"/>
      <c r="X506" s="824"/>
      <c r="Y506" s="585"/>
      <c r="Z506" s="585"/>
      <c r="AA506" s="585"/>
      <c r="AB506" s="585"/>
      <c r="AC506" s="585"/>
      <c r="AD506" s="585"/>
      <c r="AE506" s="585"/>
      <c r="AF506" s="585"/>
      <c r="AG506" s="585"/>
      <c r="AH506" s="585"/>
      <c r="AI506" s="585"/>
      <c r="AJ506" s="585"/>
      <c r="AK506" s="585"/>
      <c r="AL506" s="585"/>
      <c r="AM506" s="585"/>
      <c r="AN506" s="585"/>
      <c r="AO506" s="585"/>
      <c r="AP506" s="585"/>
      <c r="AQ506" s="585"/>
      <c r="AR506" s="585"/>
      <c r="AS506" s="585"/>
      <c r="AT506" s="585"/>
      <c r="AU506" s="585"/>
      <c r="AV506" s="585"/>
      <c r="AW506" s="585"/>
      <c r="AX506" s="585"/>
      <c r="AY506" s="585"/>
      <c r="AZ506" s="585"/>
      <c r="BA506" s="585"/>
      <c r="BB506" s="585"/>
      <c r="BC506" s="585"/>
      <c r="BD506" s="585"/>
      <c r="BE506" s="585"/>
      <c r="BF506" s="585"/>
      <c r="BG506" s="585"/>
      <c r="BH506" s="585"/>
      <c r="BI506" s="585"/>
      <c r="BJ506" s="585"/>
      <c r="BK506" s="585"/>
      <c r="BL506" s="585"/>
      <c r="BM506" s="585"/>
      <c r="BN506" s="585"/>
      <c r="BO506" s="585"/>
      <c r="BP506" s="585"/>
      <c r="BQ506" s="585"/>
      <c r="BR506" s="585"/>
      <c r="BS506" s="585"/>
      <c r="BT506" s="585"/>
      <c r="BU506" s="585"/>
      <c r="BV506" s="585"/>
      <c r="BW506" s="585"/>
      <c r="BX506" s="585"/>
      <c r="BY506" s="585"/>
      <c r="BZ506" s="585"/>
      <c r="CA506" s="585"/>
      <c r="CB506" s="585"/>
      <c r="CC506" s="585"/>
      <c r="CD506" s="585"/>
      <c r="CE506" s="585"/>
      <c r="CF506" s="585"/>
      <c r="CG506" s="585"/>
      <c r="CH506" s="585"/>
      <c r="CI506" s="585"/>
      <c r="CJ506" s="585"/>
      <c r="CK506" s="585"/>
      <c r="CL506" s="585"/>
      <c r="CM506" s="585"/>
      <c r="CN506" s="585"/>
      <c r="CO506" s="585"/>
      <c r="CP506" s="585"/>
      <c r="CQ506" s="585"/>
      <c r="CR506" s="585"/>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row>
    <row r="507" spans="1:152" s="60" customFormat="1">
      <c r="C507" s="497" t="str">
        <f>F505 &amp; ".2"</f>
        <v>.2</v>
      </c>
      <c r="D507"/>
      <c r="E507"/>
      <c r="F507" s="833"/>
      <c r="G507" s="835"/>
      <c r="H507" s="584"/>
      <c r="I507" s="393"/>
      <c r="J507" s="824"/>
      <c r="K507" s="824"/>
      <c r="L507" s="824"/>
      <c r="M507" s="824"/>
      <c r="N507" s="824"/>
      <c r="O507" s="824"/>
      <c r="P507" s="824"/>
      <c r="Q507" s="824"/>
      <c r="R507" s="824"/>
      <c r="S507" s="824"/>
      <c r="T507" s="824"/>
      <c r="U507" s="824"/>
      <c r="V507" s="824"/>
      <c r="W507" s="824"/>
      <c r="X507" s="824"/>
      <c r="Y507" s="585"/>
      <c r="Z507" s="585"/>
      <c r="AA507" s="585"/>
      <c r="AB507" s="585"/>
      <c r="AC507" s="585"/>
      <c r="AD507" s="585"/>
      <c r="AE507" s="585"/>
      <c r="AF507" s="585"/>
      <c r="AG507" s="585"/>
      <c r="AH507" s="585"/>
      <c r="AI507" s="585"/>
      <c r="AJ507" s="585"/>
      <c r="AK507" s="585"/>
      <c r="AL507" s="585"/>
      <c r="AM507" s="585"/>
      <c r="AN507" s="585"/>
      <c r="AO507" s="585"/>
      <c r="AP507" s="585"/>
      <c r="AQ507" s="585"/>
      <c r="AR507" s="585"/>
      <c r="AS507" s="585"/>
      <c r="AT507" s="585"/>
      <c r="AU507" s="585"/>
      <c r="AV507" s="585"/>
      <c r="AW507" s="585"/>
      <c r="AX507" s="585"/>
      <c r="AY507" s="585"/>
      <c r="AZ507" s="585"/>
      <c r="BA507" s="585"/>
      <c r="BB507" s="585"/>
      <c r="BC507" s="585"/>
      <c r="BD507" s="585"/>
      <c r="BE507" s="585"/>
      <c r="BF507" s="585"/>
      <c r="BG507" s="585"/>
      <c r="BH507" s="585"/>
      <c r="BI507" s="585"/>
      <c r="BJ507" s="585"/>
      <c r="BK507" s="585"/>
      <c r="BL507" s="585"/>
      <c r="BM507" s="585"/>
      <c r="BN507" s="585"/>
      <c r="BO507" s="585"/>
      <c r="BP507" s="585"/>
      <c r="BQ507" s="585"/>
      <c r="BR507" s="585"/>
      <c r="BS507" s="585"/>
      <c r="BT507" s="585"/>
      <c r="BU507" s="585"/>
      <c r="BV507" s="585"/>
      <c r="BW507" s="585"/>
      <c r="BX507" s="585"/>
      <c r="BY507" s="585"/>
      <c r="BZ507" s="585"/>
      <c r="CA507" s="585"/>
      <c r="CB507" s="585"/>
      <c r="CC507" s="585"/>
      <c r="CD507" s="585"/>
      <c r="CE507" s="585"/>
      <c r="CF507" s="585"/>
      <c r="CG507" s="585"/>
      <c r="CH507" s="585"/>
      <c r="CI507" s="585"/>
      <c r="CJ507" s="585"/>
      <c r="CK507" s="585"/>
      <c r="CL507" s="585"/>
      <c r="CM507" s="585"/>
      <c r="CN507" s="585"/>
      <c r="CO507" s="585"/>
      <c r="CP507" s="585"/>
      <c r="CQ507" s="585"/>
      <c r="CR507" s="585"/>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row>
  </sheetData>
  <sheetProtection formatColumns="0" formatRows="0"/>
  <mergeCells count="1119">
    <mergeCell ref="R469:R471"/>
    <mergeCell ref="S469:S471"/>
    <mergeCell ref="S477:S479"/>
    <mergeCell ref="R473:R475"/>
    <mergeCell ref="P477:P479"/>
    <mergeCell ref="K473:K475"/>
    <mergeCell ref="G477:G479"/>
    <mergeCell ref="J477:J479"/>
    <mergeCell ref="M497:M499"/>
    <mergeCell ref="A504:B504"/>
    <mergeCell ref="M501:M503"/>
    <mergeCell ref="L501:L503"/>
    <mergeCell ref="L497:L499"/>
    <mergeCell ref="J501:J503"/>
    <mergeCell ref="K501:K503"/>
    <mergeCell ref="Q469:Q471"/>
    <mergeCell ref="O473:O475"/>
    <mergeCell ref="P473:P475"/>
    <mergeCell ref="Q497:Q499"/>
    <mergeCell ref="O469:O471"/>
    <mergeCell ref="F477:F479"/>
    <mergeCell ref="K477:K479"/>
    <mergeCell ref="F473:F475"/>
    <mergeCell ref="G473:G475"/>
    <mergeCell ref="J473:J475"/>
    <mergeCell ref="N497:N499"/>
    <mergeCell ref="M473:M475"/>
    <mergeCell ref="M477:M479"/>
    <mergeCell ref="N477:N479"/>
    <mergeCell ref="N473:N475"/>
    <mergeCell ref="O477:O479"/>
    <mergeCell ref="L473:L475"/>
    <mergeCell ref="P469:P471"/>
    <mergeCell ref="M469:M471"/>
    <mergeCell ref="L477:L479"/>
    <mergeCell ref="A476:B476"/>
    <mergeCell ref="F497:F499"/>
    <mergeCell ref="G497:G499"/>
    <mergeCell ref="J497:J499"/>
    <mergeCell ref="K497:K499"/>
    <mergeCell ref="N505:N507"/>
    <mergeCell ref="N501:N503"/>
    <mergeCell ref="J505:J507"/>
    <mergeCell ref="K505:K507"/>
    <mergeCell ref="M505:M507"/>
    <mergeCell ref="F501:F503"/>
    <mergeCell ref="G501:G503"/>
    <mergeCell ref="F505:F507"/>
    <mergeCell ref="L505:L507"/>
    <mergeCell ref="G505:G507"/>
    <mergeCell ref="R505:R507"/>
    <mergeCell ref="P505:P507"/>
    <mergeCell ref="Q505:Q507"/>
    <mergeCell ref="Q501:Q503"/>
    <mergeCell ref="O501:O503"/>
    <mergeCell ref="S497:S499"/>
    <mergeCell ref="U505:U507"/>
    <mergeCell ref="V505:V507"/>
    <mergeCell ref="T505:T507"/>
    <mergeCell ref="U497:U499"/>
    <mergeCell ref="P501:P503"/>
    <mergeCell ref="P497:P499"/>
    <mergeCell ref="O505:O507"/>
    <mergeCell ref="S501:S503"/>
    <mergeCell ref="V501:V503"/>
    <mergeCell ref="R477:R479"/>
    <mergeCell ref="Q477:Q479"/>
    <mergeCell ref="U477:U479"/>
    <mergeCell ref="V477:V479"/>
    <mergeCell ref="Q473:Q475"/>
    <mergeCell ref="R497:R499"/>
    <mergeCell ref="S505:S507"/>
    <mergeCell ref="R501:R503"/>
    <mergeCell ref="O497:O499"/>
    <mergeCell ref="S473:S475"/>
    <mergeCell ref="T497:T499"/>
    <mergeCell ref="AG447:AG450"/>
    <mergeCell ref="T477:T479"/>
    <mergeCell ref="T469:T471"/>
    <mergeCell ref="U469:U471"/>
    <mergeCell ref="T457:T459"/>
    <mergeCell ref="V469:V471"/>
    <mergeCell ref="U473:U475"/>
    <mergeCell ref="W465:W467"/>
    <mergeCell ref="W505:W507"/>
    <mergeCell ref="V473:V475"/>
    <mergeCell ref="V461:V463"/>
    <mergeCell ref="T501:T503"/>
    <mergeCell ref="U501:U503"/>
    <mergeCell ref="V497:V499"/>
    <mergeCell ref="V465:V467"/>
    <mergeCell ref="T473:T475"/>
    <mergeCell ref="W477:W479"/>
    <mergeCell ref="W469:W471"/>
    <mergeCell ref="W473:W475"/>
    <mergeCell ref="W501:W503"/>
    <mergeCell ref="X497:X499"/>
    <mergeCell ref="W497:W499"/>
    <mergeCell ref="X477:X479"/>
    <mergeCell ref="X501:X503"/>
    <mergeCell ref="X505:X507"/>
    <mergeCell ref="AL491:AL494"/>
    <mergeCell ref="AM491:AQ491"/>
    <mergeCell ref="BF492:BF494"/>
    <mergeCell ref="X457:X459"/>
    <mergeCell ref="AA491:AB493"/>
    <mergeCell ref="X473:X475"/>
    <mergeCell ref="BK448:BK450"/>
    <mergeCell ref="AT492:AU493"/>
    <mergeCell ref="BK492:BK494"/>
    <mergeCell ref="AY493:AZ493"/>
    <mergeCell ref="BA493:BA494"/>
    <mergeCell ref="BE492:BE494"/>
    <mergeCell ref="BD493:BD494"/>
    <mergeCell ref="AC491:AD493"/>
    <mergeCell ref="Y491:Z493"/>
    <mergeCell ref="AO492:AP493"/>
    <mergeCell ref="AW492:BD492"/>
    <mergeCell ref="BB493:BC493"/>
    <mergeCell ref="AE491:AF493"/>
    <mergeCell ref="AW493:AX493"/>
    <mergeCell ref="AH491:AI493"/>
    <mergeCell ref="AV492:AV494"/>
    <mergeCell ref="AG491:AG494"/>
    <mergeCell ref="X469:X471"/>
    <mergeCell ref="X465:X467"/>
    <mergeCell ref="BI492:BJ493"/>
    <mergeCell ref="ET190:EV190"/>
    <mergeCell ref="AC447:AD449"/>
    <mergeCell ref="AL447:AL450"/>
    <mergeCell ref="AM448:AN449"/>
    <mergeCell ref="BF448:BF450"/>
    <mergeCell ref="CA448:CH448"/>
    <mergeCell ref="BG447:BU447"/>
    <mergeCell ref="AH447:AI449"/>
    <mergeCell ref="AW449:AX449"/>
    <mergeCell ref="ER190:ES190"/>
    <mergeCell ref="AQ448:AQ450"/>
    <mergeCell ref="AO448:AP449"/>
    <mergeCell ref="AR448:AS449"/>
    <mergeCell ref="AR447:BF447"/>
    <mergeCell ref="AT448:AU449"/>
    <mergeCell ref="BB449:BC449"/>
    <mergeCell ref="AY449:AZ449"/>
    <mergeCell ref="AM447:AQ447"/>
    <mergeCell ref="BA449:BA450"/>
    <mergeCell ref="CP448:CP450"/>
    <mergeCell ref="CN448:CN450"/>
    <mergeCell ref="CL447:CL450"/>
    <mergeCell ref="CM447:CQ447"/>
    <mergeCell ref="CA449:CB449"/>
    <mergeCell ref="CC449:CD449"/>
    <mergeCell ref="BL448:BS448"/>
    <mergeCell ref="BS449:BS450"/>
    <mergeCell ref="BU448:BU450"/>
    <mergeCell ref="BN449:BO449"/>
    <mergeCell ref="BP449:BP450"/>
    <mergeCell ref="BU492:BU494"/>
    <mergeCell ref="BN493:BO493"/>
    <mergeCell ref="BG492:BH493"/>
    <mergeCell ref="AM492:AN493"/>
    <mergeCell ref="CR491:CR494"/>
    <mergeCell ref="CN492:CN494"/>
    <mergeCell ref="CI492:CI494"/>
    <mergeCell ref="CK491:CK494"/>
    <mergeCell ref="CJ492:CJ494"/>
    <mergeCell ref="BV491:CJ491"/>
    <mergeCell ref="BX492:BY493"/>
    <mergeCell ref="CH493:CH494"/>
    <mergeCell ref="CE493:CE494"/>
    <mergeCell ref="CF493:CG493"/>
    <mergeCell ref="CM492:CM494"/>
    <mergeCell ref="CM491:CQ491"/>
    <mergeCell ref="CQ492:CQ494"/>
    <mergeCell ref="CP492:CP494"/>
    <mergeCell ref="CO492:CO494"/>
    <mergeCell ref="BL493:BM493"/>
    <mergeCell ref="BL492:BS492"/>
    <mergeCell ref="BZ492:BZ494"/>
    <mergeCell ref="BS493:BS494"/>
    <mergeCell ref="CA492:CH492"/>
    <mergeCell ref="AQ492:AQ494"/>
    <mergeCell ref="BQ493:BR493"/>
    <mergeCell ref="BV492:BW493"/>
    <mergeCell ref="CL491:CL494"/>
    <mergeCell ref="BV448:BW449"/>
    <mergeCell ref="BQ449:BR449"/>
    <mergeCell ref="BG448:BH449"/>
    <mergeCell ref="BI448:BJ449"/>
    <mergeCell ref="S461:S463"/>
    <mergeCell ref="W457:W459"/>
    <mergeCell ref="W453:W455"/>
    <mergeCell ref="S457:S459"/>
    <mergeCell ref="BL449:BM449"/>
    <mergeCell ref="U461:U463"/>
    <mergeCell ref="BE448:BE450"/>
    <mergeCell ref="BV447:CJ447"/>
    <mergeCell ref="CO448:CO450"/>
    <mergeCell ref="CJ448:CJ450"/>
    <mergeCell ref="CK447:CK450"/>
    <mergeCell ref="CI448:CI450"/>
    <mergeCell ref="BZ448:BZ450"/>
    <mergeCell ref="CH449:CH450"/>
    <mergeCell ref="CF449:CG449"/>
    <mergeCell ref="CE449:CE450"/>
    <mergeCell ref="BX448:BY449"/>
    <mergeCell ref="CA493:CB493"/>
    <mergeCell ref="CC493:CD493"/>
    <mergeCell ref="AJ491:AK493"/>
    <mergeCell ref="AR491:BF491"/>
    <mergeCell ref="AR492:AS493"/>
    <mergeCell ref="BG491:BU491"/>
    <mergeCell ref="BT492:BT494"/>
    <mergeCell ref="BP493:BP494"/>
    <mergeCell ref="X438:X440"/>
    <mergeCell ref="V457:V459"/>
    <mergeCell ref="V438:V440"/>
    <mergeCell ref="T453:T455"/>
    <mergeCell ref="U453:U455"/>
    <mergeCell ref="T438:T440"/>
    <mergeCell ref="EJ190:EQ190"/>
    <mergeCell ref="BT448:BT450"/>
    <mergeCell ref="AW448:BD448"/>
    <mergeCell ref="CQ448:CQ450"/>
    <mergeCell ref="CM448:CM450"/>
    <mergeCell ref="CR447:CR450"/>
    <mergeCell ref="BD449:BD450"/>
    <mergeCell ref="AY412:AY413"/>
    <mergeCell ref="CA241:CH255"/>
    <mergeCell ref="BL241:BS255"/>
    <mergeCell ref="R465:R467"/>
    <mergeCell ref="U457:U459"/>
    <mergeCell ref="AV448:AV450"/>
    <mergeCell ref="AA447:AB449"/>
    <mergeCell ref="AE447:AF449"/>
    <mergeCell ref="AJ447:AK449"/>
    <mergeCell ref="X461:X463"/>
    <mergeCell ref="X453:X455"/>
    <mergeCell ref="W461:W463"/>
    <mergeCell ref="T461:T463"/>
    <mergeCell ref="T424:T426"/>
    <mergeCell ref="U465:U467"/>
    <mergeCell ref="W438:W440"/>
    <mergeCell ref="Y447:Z449"/>
    <mergeCell ref="L465:L467"/>
    <mergeCell ref="N457:N459"/>
    <mergeCell ref="M457:M459"/>
    <mergeCell ref="L461:L463"/>
    <mergeCell ref="L457:L459"/>
    <mergeCell ref="N461:N463"/>
    <mergeCell ref="R453:R455"/>
    <mergeCell ref="V453:V455"/>
    <mergeCell ref="S453:S455"/>
    <mergeCell ref="P465:P467"/>
    <mergeCell ref="P461:P463"/>
    <mergeCell ref="Q465:Q467"/>
    <mergeCell ref="Q461:Q463"/>
    <mergeCell ref="P453:P455"/>
    <mergeCell ref="Q457:Q459"/>
    <mergeCell ref="P457:P459"/>
    <mergeCell ref="O457:O459"/>
    <mergeCell ref="O461:O463"/>
    <mergeCell ref="M465:M467"/>
    <mergeCell ref="M461:M463"/>
    <mergeCell ref="R461:R463"/>
    <mergeCell ref="S465:S467"/>
    <mergeCell ref="T465:T467"/>
    <mergeCell ref="F453:F455"/>
    <mergeCell ref="G453:G455"/>
    <mergeCell ref="J453:J455"/>
    <mergeCell ref="F438:F440"/>
    <mergeCell ref="F457:F459"/>
    <mergeCell ref="U438:U440"/>
    <mergeCell ref="L438:L440"/>
    <mergeCell ref="M428:M430"/>
    <mergeCell ref="O438:O440"/>
    <mergeCell ref="G438:G440"/>
    <mergeCell ref="J438:J440"/>
    <mergeCell ref="K438:K440"/>
    <mergeCell ref="N434:N436"/>
    <mergeCell ref="P428:P430"/>
    <mergeCell ref="F469:F471"/>
    <mergeCell ref="J469:J471"/>
    <mergeCell ref="K469:K471"/>
    <mergeCell ref="G469:G471"/>
    <mergeCell ref="G465:G467"/>
    <mergeCell ref="J465:J467"/>
    <mergeCell ref="F461:F463"/>
    <mergeCell ref="G461:G463"/>
    <mergeCell ref="F465:F467"/>
    <mergeCell ref="J461:J463"/>
    <mergeCell ref="K461:K463"/>
    <mergeCell ref="O465:O467"/>
    <mergeCell ref="N469:N471"/>
    <mergeCell ref="M453:M455"/>
    <mergeCell ref="K457:K459"/>
    <mergeCell ref="N465:N467"/>
    <mergeCell ref="K465:K467"/>
    <mergeCell ref="L469:L471"/>
    <mergeCell ref="G457:G459"/>
    <mergeCell ref="P438:P440"/>
    <mergeCell ref="Q438:Q440"/>
    <mergeCell ref="L434:L436"/>
    <mergeCell ref="K434:K436"/>
    <mergeCell ref="M434:M436"/>
    <mergeCell ref="Q453:Q455"/>
    <mergeCell ref="N453:N455"/>
    <mergeCell ref="J457:J459"/>
    <mergeCell ref="L453:L455"/>
    <mergeCell ref="S434:S436"/>
    <mergeCell ref="R434:R436"/>
    <mergeCell ref="R428:R430"/>
    <mergeCell ref="R457:R459"/>
    <mergeCell ref="S428:S430"/>
    <mergeCell ref="T428:T430"/>
    <mergeCell ref="S438:S440"/>
    <mergeCell ref="N438:N440"/>
    <mergeCell ref="R438:R440"/>
    <mergeCell ref="K453:K455"/>
    <mergeCell ref="M438:M440"/>
    <mergeCell ref="O453:O455"/>
    <mergeCell ref="A437:B437"/>
    <mergeCell ref="K428:K430"/>
    <mergeCell ref="L428:L430"/>
    <mergeCell ref="N428:N430"/>
    <mergeCell ref="F434:F436"/>
    <mergeCell ref="G428:G430"/>
    <mergeCell ref="J428:J430"/>
    <mergeCell ref="G434:G436"/>
    <mergeCell ref="F428:F430"/>
    <mergeCell ref="J434:J436"/>
    <mergeCell ref="W424:W426"/>
    <mergeCell ref="X420:X422"/>
    <mergeCell ref="X416:X418"/>
    <mergeCell ref="V416:V418"/>
    <mergeCell ref="R412:R413"/>
    <mergeCell ref="R416:R418"/>
    <mergeCell ref="T416:T418"/>
    <mergeCell ref="W412:W413"/>
    <mergeCell ref="S412:S413"/>
    <mergeCell ref="T420:T422"/>
    <mergeCell ref="V412:V413"/>
    <mergeCell ref="T412:T413"/>
    <mergeCell ref="R424:R426"/>
    <mergeCell ref="V424:V426"/>
    <mergeCell ref="S420:S422"/>
    <mergeCell ref="U420:U422"/>
    <mergeCell ref="U424:U426"/>
    <mergeCell ref="R420:R422"/>
    <mergeCell ref="V420:V422"/>
    <mergeCell ref="A427:B427"/>
    <mergeCell ref="G416:G418"/>
    <mergeCell ref="F420:F422"/>
    <mergeCell ref="F424:F426"/>
    <mergeCell ref="G424:G426"/>
    <mergeCell ref="N420:N422"/>
    <mergeCell ref="M420:M422"/>
    <mergeCell ref="O416:O418"/>
    <mergeCell ref="V428:V430"/>
    <mergeCell ref="X434:X436"/>
    <mergeCell ref="V434:V436"/>
    <mergeCell ref="T434:T436"/>
    <mergeCell ref="U428:U430"/>
    <mergeCell ref="X428:X430"/>
    <mergeCell ref="W428:W430"/>
    <mergeCell ref="U434:U436"/>
    <mergeCell ref="W434:W436"/>
    <mergeCell ref="H411:I413"/>
    <mergeCell ref="F411:F413"/>
    <mergeCell ref="G411:G413"/>
    <mergeCell ref="F416:F418"/>
    <mergeCell ref="J420:J422"/>
    <mergeCell ref="G420:G422"/>
    <mergeCell ref="J416:J418"/>
    <mergeCell ref="X424:X426"/>
    <mergeCell ref="S416:S418"/>
    <mergeCell ref="W416:W418"/>
    <mergeCell ref="S424:S426"/>
    <mergeCell ref="U416:U418"/>
    <mergeCell ref="J411:J413"/>
    <mergeCell ref="M412:M413"/>
    <mergeCell ref="K411:M411"/>
    <mergeCell ref="M416:M418"/>
    <mergeCell ref="K420:K422"/>
    <mergeCell ref="W420:W422"/>
    <mergeCell ref="J308:J310"/>
    <mergeCell ref="K308:K310"/>
    <mergeCell ref="L308:L310"/>
    <mergeCell ref="J314:J316"/>
    <mergeCell ref="K314:K316"/>
    <mergeCell ref="L314:L316"/>
    <mergeCell ref="Q428:Q430"/>
    <mergeCell ref="P420:P422"/>
    <mergeCell ref="Q412:Q413"/>
    <mergeCell ref="N411:N413"/>
    <mergeCell ref="K412:K413"/>
    <mergeCell ref="L412:L413"/>
    <mergeCell ref="K424:K426"/>
    <mergeCell ref="L420:L422"/>
    <mergeCell ref="L424:L426"/>
    <mergeCell ref="M424:M426"/>
    <mergeCell ref="Q434:Q436"/>
    <mergeCell ref="O434:O436"/>
    <mergeCell ref="P434:P436"/>
    <mergeCell ref="Q416:Q418"/>
    <mergeCell ref="P424:P426"/>
    <mergeCell ref="Q424:Q426"/>
    <mergeCell ref="O420:O422"/>
    <mergeCell ref="P416:P418"/>
    <mergeCell ref="Q420:Q422"/>
    <mergeCell ref="O428:O430"/>
    <mergeCell ref="O424:O426"/>
    <mergeCell ref="J424:J426"/>
    <mergeCell ref="N416:N418"/>
    <mergeCell ref="N424:N426"/>
    <mergeCell ref="K416:K418"/>
    <mergeCell ref="L416:L418"/>
    <mergeCell ref="AK412:AL412"/>
    <mergeCell ref="U412:U413"/>
    <mergeCell ref="AA411:AB412"/>
    <mergeCell ref="AK411:AM411"/>
    <mergeCell ref="AP412:AP413"/>
    <mergeCell ref="AQ411:AS411"/>
    <mergeCell ref="R317:R319"/>
    <mergeCell ref="S320:S322"/>
    <mergeCell ref="N317:N319"/>
    <mergeCell ref="O317:O319"/>
    <mergeCell ref="T320:T322"/>
    <mergeCell ref="S317:S319"/>
    <mergeCell ref="P320:P322"/>
    <mergeCell ref="O320:O322"/>
    <mergeCell ref="T317:T319"/>
    <mergeCell ref="Q320:Q322"/>
    <mergeCell ref="M308:M310"/>
    <mergeCell ref="P337:P338"/>
    <mergeCell ref="O314:O316"/>
    <mergeCell ref="P314:P316"/>
    <mergeCell ref="P317:P319"/>
    <mergeCell ref="N320:N322"/>
    <mergeCell ref="N308:N310"/>
    <mergeCell ref="M314:M316"/>
    <mergeCell ref="N329:N331"/>
    <mergeCell ref="N314:N316"/>
    <mergeCell ref="Q317:Q319"/>
    <mergeCell ref="S337:S338"/>
    <mergeCell ref="P329:P331"/>
    <mergeCell ref="R329:R331"/>
    <mergeCell ref="K335:X335"/>
    <mergeCell ref="K337:K338"/>
    <mergeCell ref="M337:M338"/>
    <mergeCell ref="W329:W331"/>
    <mergeCell ref="AW411:AY411"/>
    <mergeCell ref="AW412:AX412"/>
    <mergeCell ref="AT411:AV411"/>
    <mergeCell ref="AT412:AU412"/>
    <mergeCell ref="AQ412:AR412"/>
    <mergeCell ref="AN411:AP411"/>
    <mergeCell ref="AV412:AV413"/>
    <mergeCell ref="AE411:AE413"/>
    <mergeCell ref="T326:T328"/>
    <mergeCell ref="S326:S328"/>
    <mergeCell ref="Y411:Z412"/>
    <mergeCell ref="V337:V338"/>
    <mergeCell ref="K410:X410"/>
    <mergeCell ref="R337:R338"/>
    <mergeCell ref="T337:T338"/>
    <mergeCell ref="P326:P328"/>
    <mergeCell ref="Q326:Q328"/>
    <mergeCell ref="R326:R328"/>
    <mergeCell ref="O336:O338"/>
    <mergeCell ref="N326:N328"/>
    <mergeCell ref="P336:Q336"/>
    <mergeCell ref="O326:O328"/>
    <mergeCell ref="O329:O331"/>
    <mergeCell ref="L337:L338"/>
    <mergeCell ref="P412:P413"/>
    <mergeCell ref="N323:N325"/>
    <mergeCell ref="O323:O325"/>
    <mergeCell ref="P323:P325"/>
    <mergeCell ref="Q323:Q325"/>
    <mergeCell ref="R323:R325"/>
    <mergeCell ref="S323:S325"/>
    <mergeCell ref="R320:R322"/>
    <mergeCell ref="AC411:AD412"/>
    <mergeCell ref="AH411:AI412"/>
    <mergeCell ref="AS412:AS413"/>
    <mergeCell ref="AJ411:AJ413"/>
    <mergeCell ref="R411:S411"/>
    <mergeCell ref="P411:Q411"/>
    <mergeCell ref="J329:J331"/>
    <mergeCell ref="J336:J338"/>
    <mergeCell ref="M329:M331"/>
    <mergeCell ref="K329:K331"/>
    <mergeCell ref="Q329:Q331"/>
    <mergeCell ref="O411:O413"/>
    <mergeCell ref="L329:L331"/>
    <mergeCell ref="K336:M336"/>
    <mergeCell ref="W337:W338"/>
    <mergeCell ref="N336:N338"/>
    <mergeCell ref="R336:S336"/>
    <mergeCell ref="Q337:Q338"/>
    <mergeCell ref="AN412:AO412"/>
    <mergeCell ref="S329:S331"/>
    <mergeCell ref="X329:X331"/>
    <mergeCell ref="T411:U411"/>
    <mergeCell ref="AM412:AM413"/>
    <mergeCell ref="AF411:AG412"/>
    <mergeCell ref="X336:X338"/>
    <mergeCell ref="V329:V331"/>
    <mergeCell ref="W323:W325"/>
    <mergeCell ref="W320:W322"/>
    <mergeCell ref="X326:X328"/>
    <mergeCell ref="V326:V328"/>
    <mergeCell ref="V320:V322"/>
    <mergeCell ref="X320:X322"/>
    <mergeCell ref="U329:U331"/>
    <mergeCell ref="X308:X310"/>
    <mergeCell ref="V308:V310"/>
    <mergeCell ref="U337:U338"/>
    <mergeCell ref="U320:U322"/>
    <mergeCell ref="V411:W411"/>
    <mergeCell ref="W326:W328"/>
    <mergeCell ref="U323:U325"/>
    <mergeCell ref="V323:V325"/>
    <mergeCell ref="U326:U328"/>
    <mergeCell ref="T336:U336"/>
    <mergeCell ref="T323:T325"/>
    <mergeCell ref="V336:W336"/>
    <mergeCell ref="T329:T331"/>
    <mergeCell ref="X411:X413"/>
    <mergeCell ref="Q314:Q316"/>
    <mergeCell ref="R314:R316"/>
    <mergeCell ref="S308:S310"/>
    <mergeCell ref="Q308:Q310"/>
    <mergeCell ref="R308:R310"/>
    <mergeCell ref="S314:S316"/>
    <mergeCell ref="T308:T310"/>
    <mergeCell ref="X314:X316"/>
    <mergeCell ref="W317:W319"/>
    <mergeCell ref="T314:T316"/>
    <mergeCell ref="U317:U319"/>
    <mergeCell ref="W314:W316"/>
    <mergeCell ref="V314:V316"/>
    <mergeCell ref="U314:U316"/>
    <mergeCell ref="V317:V319"/>
    <mergeCell ref="U308:U310"/>
    <mergeCell ref="X323:X325"/>
    <mergeCell ref="X317:X319"/>
    <mergeCell ref="P57:P63"/>
    <mergeCell ref="N67:N81"/>
    <mergeCell ref="N97:N111"/>
    <mergeCell ref="N82:N96"/>
    <mergeCell ref="P67:P81"/>
    <mergeCell ref="N57:N63"/>
    <mergeCell ref="O82:O96"/>
    <mergeCell ref="P97:P111"/>
    <mergeCell ref="P82:P96"/>
    <mergeCell ref="N112:N126"/>
    <mergeCell ref="X305:X307"/>
    <mergeCell ref="W305:W307"/>
    <mergeCell ref="W308:W310"/>
    <mergeCell ref="V305:V307"/>
    <mergeCell ref="V299:V301"/>
    <mergeCell ref="X293:X295"/>
    <mergeCell ref="X289:X291"/>
    <mergeCell ref="X299:X301"/>
    <mergeCell ref="X296:X298"/>
    <mergeCell ref="V293:V295"/>
    <mergeCell ref="W296:W298"/>
    <mergeCell ref="V127:V141"/>
    <mergeCell ref="V290:V291"/>
    <mergeCell ref="T142:T156"/>
    <mergeCell ref="V142:V156"/>
    <mergeCell ref="V296:V298"/>
    <mergeCell ref="T296:T298"/>
    <mergeCell ref="U296:U298"/>
    <mergeCell ref="T290:T291"/>
    <mergeCell ref="T293:T295"/>
    <mergeCell ref="U142:U156"/>
    <mergeCell ref="U162:U163"/>
    <mergeCell ref="X302:X304"/>
    <mergeCell ref="W302:W304"/>
    <mergeCell ref="U299:U301"/>
    <mergeCell ref="T305:T307"/>
    <mergeCell ref="W290:W291"/>
    <mergeCell ref="W293:W295"/>
    <mergeCell ref="U302:U304"/>
    <mergeCell ref="T299:T301"/>
    <mergeCell ref="W299:W301"/>
    <mergeCell ref="V302:V304"/>
    <mergeCell ref="U305:U307"/>
    <mergeCell ref="U290:U291"/>
    <mergeCell ref="U293:U295"/>
    <mergeCell ref="K288:X288"/>
    <mergeCell ref="T289:U289"/>
    <mergeCell ref="V289:W289"/>
    <mergeCell ref="Q188:Q190"/>
    <mergeCell ref="S296:S298"/>
    <mergeCell ref="Q305:Q307"/>
    <mergeCell ref="R305:R307"/>
    <mergeCell ref="R302:R304"/>
    <mergeCell ref="R299:R301"/>
    <mergeCell ref="R293:R295"/>
    <mergeCell ref="R296:R298"/>
    <mergeCell ref="Q293:Q295"/>
    <mergeCell ref="S305:S307"/>
    <mergeCell ref="S299:S301"/>
    <mergeCell ref="S302:S304"/>
    <mergeCell ref="T302:T304"/>
    <mergeCell ref="P50:P56"/>
    <mergeCell ref="R43:R49"/>
    <mergeCell ref="U50:U56"/>
    <mergeCell ref="V50:V56"/>
    <mergeCell ref="S43:S49"/>
    <mergeCell ref="W43:W49"/>
    <mergeCell ref="R50:R56"/>
    <mergeCell ref="Q67:Q81"/>
    <mergeCell ref="S57:S63"/>
    <mergeCell ref="Q50:Q56"/>
    <mergeCell ref="S67:S81"/>
    <mergeCell ref="R57:R63"/>
    <mergeCell ref="S50:S56"/>
    <mergeCell ref="V112:V126"/>
    <mergeCell ref="U127:U141"/>
    <mergeCell ref="U112:U126"/>
    <mergeCell ref="T127:T141"/>
    <mergeCell ref="T112:T126"/>
    <mergeCell ref="W127:W141"/>
    <mergeCell ref="U97:U111"/>
    <mergeCell ref="W112:W126"/>
    <mergeCell ref="T67:T81"/>
    <mergeCell ref="W67:W81"/>
    <mergeCell ref="V97:V111"/>
    <mergeCell ref="T97:T111"/>
    <mergeCell ref="V67:V81"/>
    <mergeCell ref="U67:U81"/>
    <mergeCell ref="W82:W96"/>
    <mergeCell ref="U82:U96"/>
    <mergeCell ref="V43:V49"/>
    <mergeCell ref="W57:W63"/>
    <mergeCell ref="U57:U63"/>
    <mergeCell ref="AE4:AF4"/>
    <mergeCell ref="Q36:Q42"/>
    <mergeCell ref="O29:O35"/>
    <mergeCell ref="U19:U20"/>
    <mergeCell ref="Q29:Q35"/>
    <mergeCell ref="O36:O42"/>
    <mergeCell ref="R29:R35"/>
    <mergeCell ref="Q22:Q28"/>
    <mergeCell ref="R36:R42"/>
    <mergeCell ref="P43:P49"/>
    <mergeCell ref="T18:U18"/>
    <mergeCell ref="S4:S5"/>
    <mergeCell ref="S10:S11"/>
    <mergeCell ref="K17:X17"/>
    <mergeCell ref="O18:O20"/>
    <mergeCell ref="Q19:Q20"/>
    <mergeCell ref="P19:P20"/>
    <mergeCell ref="X18:X20"/>
    <mergeCell ref="W19:W20"/>
    <mergeCell ref="Q43:Q49"/>
    <mergeCell ref="P36:P42"/>
    <mergeCell ref="T43:T49"/>
    <mergeCell ref="X43:X49"/>
    <mergeCell ref="X36:X42"/>
    <mergeCell ref="V36:V42"/>
    <mergeCell ref="W36:W42"/>
    <mergeCell ref="P29:P35"/>
    <mergeCell ref="P22:P28"/>
    <mergeCell ref="M19:M20"/>
    <mergeCell ref="Q10:Q11"/>
    <mergeCell ref="P10:P11"/>
    <mergeCell ref="N18:N20"/>
    <mergeCell ref="T4:U4"/>
    <mergeCell ref="T10:U10"/>
    <mergeCell ref="V10:V11"/>
    <mergeCell ref="W4:W5"/>
    <mergeCell ref="X4:X5"/>
    <mergeCell ref="Z10:Z11"/>
    <mergeCell ref="Y4:Y5"/>
    <mergeCell ref="Y10:Y11"/>
    <mergeCell ref="V4:V5"/>
    <mergeCell ref="X10:X11"/>
    <mergeCell ref="AA4:AA5"/>
    <mergeCell ref="AC4:AC5"/>
    <mergeCell ref="Z4:Z5"/>
    <mergeCell ref="AA10:AA11"/>
    <mergeCell ref="X29:X35"/>
    <mergeCell ref="V22:V28"/>
    <mergeCell ref="W10:W11"/>
    <mergeCell ref="V18:W18"/>
    <mergeCell ref="V19:V20"/>
    <mergeCell ref="AZ4:BC4"/>
    <mergeCell ref="AP10:AP11"/>
    <mergeCell ref="AY4:AY5"/>
    <mergeCell ref="AX4:AX5"/>
    <mergeCell ref="AT10:AT11"/>
    <mergeCell ref="AT4:AT5"/>
    <mergeCell ref="AY10:AY11"/>
    <mergeCell ref="AU4:AU5"/>
    <mergeCell ref="AW4:AW5"/>
    <mergeCell ref="AV4:AV5"/>
    <mergeCell ref="AO4:AO5"/>
    <mergeCell ref="AK10:AK11"/>
    <mergeCell ref="AR4:AR5"/>
    <mergeCell ref="AS4:AS5"/>
    <mergeCell ref="AZ10:BC10"/>
    <mergeCell ref="AS10:AS11"/>
    <mergeCell ref="AR10:AR11"/>
    <mergeCell ref="AX10:AX11"/>
    <mergeCell ref="AV10:AV11"/>
    <mergeCell ref="AW10:AW11"/>
    <mergeCell ref="AQ10:AQ11"/>
    <mergeCell ref="AO10:AO11"/>
    <mergeCell ref="AN4:AN5"/>
    <mergeCell ref="AL10:AL11"/>
    <mergeCell ref="AU10:AU11"/>
    <mergeCell ref="AP4:AP5"/>
    <mergeCell ref="AK4:AK5"/>
    <mergeCell ref="AL4:AL5"/>
    <mergeCell ref="AQ4:AQ5"/>
    <mergeCell ref="AP162:AP163"/>
    <mergeCell ref="R22:R28"/>
    <mergeCell ref="T162:T163"/>
    <mergeCell ref="T187:U187"/>
    <mergeCell ref="S188:S190"/>
    <mergeCell ref="AI10:AI11"/>
    <mergeCell ref="AM10:AM11"/>
    <mergeCell ref="AN10:AN11"/>
    <mergeCell ref="AM4:AM5"/>
    <mergeCell ref="X22:X28"/>
    <mergeCell ref="AG4:AG5"/>
    <mergeCell ref="AG10:AG11"/>
    <mergeCell ref="AJ10:AJ11"/>
    <mergeCell ref="AH10:AH11"/>
    <mergeCell ref="AJ4:AJ5"/>
    <mergeCell ref="Y161:Z162"/>
    <mergeCell ref="AN162:AO162"/>
    <mergeCell ref="AM162:AM163"/>
    <mergeCell ref="AK161:AM161"/>
    <mergeCell ref="V161:W161"/>
    <mergeCell ref="AA161:AB162"/>
    <mergeCell ref="AK162:AL162"/>
    <mergeCell ref="AE161:AE163"/>
    <mergeCell ref="AB10:AB11"/>
    <mergeCell ref="X57:X63"/>
    <mergeCell ref="X50:X56"/>
    <mergeCell ref="AI4:AI5"/>
    <mergeCell ref="AH4:AH5"/>
    <mergeCell ref="AD4:AD5"/>
    <mergeCell ref="AB4:AB5"/>
    <mergeCell ref="W29:W35"/>
    <mergeCell ref="V29:V35"/>
    <mergeCell ref="AF171:AF172"/>
    <mergeCell ref="AB171:AB172"/>
    <mergeCell ref="AL187:AL190"/>
    <mergeCell ref="S162:S163"/>
    <mergeCell ref="AC10:AC11"/>
    <mergeCell ref="X127:X141"/>
    <mergeCell ref="X161:X163"/>
    <mergeCell ref="X142:X156"/>
    <mergeCell ref="S36:S42"/>
    <mergeCell ref="U22:U28"/>
    <mergeCell ref="U29:U35"/>
    <mergeCell ref="S22:S28"/>
    <mergeCell ref="U36:U42"/>
    <mergeCell ref="T36:T42"/>
    <mergeCell ref="X97:X111"/>
    <mergeCell ref="X112:X126"/>
    <mergeCell ref="X82:X96"/>
    <mergeCell ref="X67:X81"/>
    <mergeCell ref="AD168:AD169"/>
    <mergeCell ref="T29:T35"/>
    <mergeCell ref="T22:T28"/>
    <mergeCell ref="W22:W28"/>
    <mergeCell ref="T19:T20"/>
    <mergeCell ref="AD10:AD11"/>
    <mergeCell ref="AE10:AF10"/>
    <mergeCell ref="T50:T56"/>
    <mergeCell ref="V57:V63"/>
    <mergeCell ref="W50:W56"/>
    <mergeCell ref="U43:U49"/>
    <mergeCell ref="T57:T63"/>
    <mergeCell ref="AH161:AI162"/>
    <mergeCell ref="AT161:AV161"/>
    <mergeCell ref="AW162:AX162"/>
    <mergeCell ref="AF168:AF169"/>
    <mergeCell ref="AW161:AY161"/>
    <mergeCell ref="AV168:AV169"/>
    <mergeCell ref="T188:T190"/>
    <mergeCell ref="AS162:AS163"/>
    <mergeCell ref="AF161:AG162"/>
    <mergeCell ref="AN161:AP161"/>
    <mergeCell ref="AE171:AE172"/>
    <mergeCell ref="AQ161:AS161"/>
    <mergeCell ref="AP171:AP172"/>
    <mergeCell ref="AM171:AM172"/>
    <mergeCell ref="AG171:AG172"/>
    <mergeCell ref="AQ162:AR162"/>
    <mergeCell ref="AJ161:AJ163"/>
    <mergeCell ref="V162:V163"/>
    <mergeCell ref="K186:X186"/>
    <mergeCell ref="AG187:AG190"/>
    <mergeCell ref="U188:U190"/>
    <mergeCell ref="O187:O190"/>
    <mergeCell ref="R188:R190"/>
    <mergeCell ref="X187:X190"/>
    <mergeCell ref="AE187:AF189"/>
    <mergeCell ref="AA187:AB189"/>
    <mergeCell ref="AJ187:AK189"/>
    <mergeCell ref="AS168:AS169"/>
    <mergeCell ref="R162:R163"/>
    <mergeCell ref="AO188:AP189"/>
    <mergeCell ref="R187:S187"/>
    <mergeCell ref="AD171:AD172"/>
    <mergeCell ref="CL194:CL207"/>
    <mergeCell ref="H206:H207"/>
    <mergeCell ref="H202:H203"/>
    <mergeCell ref="H196:H197"/>
    <mergeCell ref="AW193:BD207"/>
    <mergeCell ref="AT188:AU189"/>
    <mergeCell ref="AM188:AN189"/>
    <mergeCell ref="BV209:BZ223"/>
    <mergeCell ref="BL193:BS207"/>
    <mergeCell ref="BG188:BH189"/>
    <mergeCell ref="BT188:BT190"/>
    <mergeCell ref="BL189:BM189"/>
    <mergeCell ref="BP189:BP190"/>
    <mergeCell ref="BQ189:BR189"/>
    <mergeCell ref="BK188:BK190"/>
    <mergeCell ref="BI188:BJ189"/>
    <mergeCell ref="BG209:BK223"/>
    <mergeCell ref="L188:L190"/>
    <mergeCell ref="P188:P190"/>
    <mergeCell ref="AQ188:AQ190"/>
    <mergeCell ref="AH187:AI189"/>
    <mergeCell ref="V187:W187"/>
    <mergeCell ref="V188:V190"/>
    <mergeCell ref="Y187:Z189"/>
    <mergeCell ref="AW188:BD188"/>
    <mergeCell ref="AC187:AD189"/>
    <mergeCell ref="AM187:AQ187"/>
    <mergeCell ref="H198:H199"/>
    <mergeCell ref="H204:H205"/>
    <mergeCell ref="H222:H223"/>
    <mergeCell ref="N187:N190"/>
    <mergeCell ref="BG187:BU187"/>
    <mergeCell ref="BG257:BK271"/>
    <mergeCell ref="H258:H259"/>
    <mergeCell ref="H254:H255"/>
    <mergeCell ref="AR257:AV271"/>
    <mergeCell ref="H266:H267"/>
    <mergeCell ref="H268:H269"/>
    <mergeCell ref="H264:H265"/>
    <mergeCell ref="AW241:BD255"/>
    <mergeCell ref="H248:H249"/>
    <mergeCell ref="H242:H243"/>
    <mergeCell ref="BV257:BZ271"/>
    <mergeCell ref="H250:H251"/>
    <mergeCell ref="BL188:BS188"/>
    <mergeCell ref="P187:Q187"/>
    <mergeCell ref="AR187:BF187"/>
    <mergeCell ref="A224:B224"/>
    <mergeCell ref="K160:X160"/>
    <mergeCell ref="K161:M161"/>
    <mergeCell ref="N161:N163"/>
    <mergeCell ref="F174:F180"/>
    <mergeCell ref="F166:F172"/>
    <mergeCell ref="L162:L163"/>
    <mergeCell ref="A173:B173"/>
    <mergeCell ref="R161:S161"/>
    <mergeCell ref="M162:M163"/>
    <mergeCell ref="G166:G172"/>
    <mergeCell ref="M188:M190"/>
    <mergeCell ref="K188:K190"/>
    <mergeCell ref="G174:G180"/>
    <mergeCell ref="H175:H177"/>
    <mergeCell ref="H178:H180"/>
    <mergeCell ref="J187:J190"/>
    <mergeCell ref="H170:H172"/>
    <mergeCell ref="H167:H169"/>
    <mergeCell ref="K187:M187"/>
    <mergeCell ref="F209:F223"/>
    <mergeCell ref="G209:G223"/>
    <mergeCell ref="F187:F190"/>
    <mergeCell ref="G193:G207"/>
    <mergeCell ref="G187:G190"/>
    <mergeCell ref="F193:F207"/>
    <mergeCell ref="H187:I190"/>
    <mergeCell ref="H200:H201"/>
    <mergeCell ref="H210:H211"/>
    <mergeCell ref="H194:H195"/>
    <mergeCell ref="H214:H215"/>
    <mergeCell ref="H220:H221"/>
    <mergeCell ref="R4:R5"/>
    <mergeCell ref="R19:R20"/>
    <mergeCell ref="R18:S18"/>
    <mergeCell ref="P18:Q18"/>
    <mergeCell ref="O10:O11"/>
    <mergeCell ref="R10:R11"/>
    <mergeCell ref="Q4:Q5"/>
    <mergeCell ref="P4:P5"/>
    <mergeCell ref="M4:M5"/>
    <mergeCell ref="L10:L11"/>
    <mergeCell ref="I10:I11"/>
    <mergeCell ref="I4:I5"/>
    <mergeCell ref="J4:J5"/>
    <mergeCell ref="J10:J11"/>
    <mergeCell ref="K4:K5"/>
    <mergeCell ref="S19:S20"/>
    <mergeCell ref="S29:S35"/>
    <mergeCell ref="J22:J28"/>
    <mergeCell ref="K22:K28"/>
    <mergeCell ref="M22:M28"/>
    <mergeCell ref="N22:N28"/>
    <mergeCell ref="G4:G5"/>
    <mergeCell ref="H4:H5"/>
    <mergeCell ref="A3:B3"/>
    <mergeCell ref="A9:B9"/>
    <mergeCell ref="F4:F5"/>
    <mergeCell ref="L19:L20"/>
    <mergeCell ref="J18:J20"/>
    <mergeCell ref="H10:H11"/>
    <mergeCell ref="L4:L5"/>
    <mergeCell ref="O50:O56"/>
    <mergeCell ref="N10:N11"/>
    <mergeCell ref="N29:N35"/>
    <mergeCell ref="N43:N49"/>
    <mergeCell ref="N50:N56"/>
    <mergeCell ref="L22:L28"/>
    <mergeCell ref="M10:M11"/>
    <mergeCell ref="K18:M18"/>
    <mergeCell ref="K19:K20"/>
    <mergeCell ref="K10:K11"/>
    <mergeCell ref="O4:O5"/>
    <mergeCell ref="N4:N5"/>
    <mergeCell ref="N36:N42"/>
    <mergeCell ref="O43:O49"/>
    <mergeCell ref="O22:O28"/>
    <mergeCell ref="J142:J156"/>
    <mergeCell ref="L142:L156"/>
    <mergeCell ref="K142:K156"/>
    <mergeCell ref="J161:J163"/>
    <mergeCell ref="K162:K163"/>
    <mergeCell ref="N142:N156"/>
    <mergeCell ref="M142:M156"/>
    <mergeCell ref="AB168:AB169"/>
    <mergeCell ref="AC168:AC169"/>
    <mergeCell ref="AA171:AA172"/>
    <mergeCell ref="F10:F11"/>
    <mergeCell ref="G10:G11"/>
    <mergeCell ref="T82:T96"/>
    <mergeCell ref="W142:W156"/>
    <mergeCell ref="V82:V96"/>
    <mergeCell ref="W97:W111"/>
    <mergeCell ref="J57:J63"/>
    <mergeCell ref="K67:K81"/>
    <mergeCell ref="M57:M63"/>
    <mergeCell ref="O67:O81"/>
    <mergeCell ref="J67:J81"/>
    <mergeCell ref="K57:K63"/>
    <mergeCell ref="M67:M81"/>
    <mergeCell ref="L57:L63"/>
    <mergeCell ref="L67:L81"/>
    <mergeCell ref="S112:S126"/>
    <mergeCell ref="R112:R126"/>
    <mergeCell ref="R97:R111"/>
    <mergeCell ref="R67:R81"/>
    <mergeCell ref="O97:O111"/>
    <mergeCell ref="Q57:Q63"/>
    <mergeCell ref="R82:R96"/>
    <mergeCell ref="CR193:CR207"/>
    <mergeCell ref="CO188:CO190"/>
    <mergeCell ref="CR187:CR190"/>
    <mergeCell ref="CM188:CM190"/>
    <mergeCell ref="CJ188:CJ190"/>
    <mergeCell ref="BF188:BF190"/>
    <mergeCell ref="CR257:CR271"/>
    <mergeCell ref="CR209:CR223"/>
    <mergeCell ref="CL210:CL223"/>
    <mergeCell ref="CL258:CL271"/>
    <mergeCell ref="BV187:CJ187"/>
    <mergeCell ref="CE189:CE190"/>
    <mergeCell ref="BZ188:BZ190"/>
    <mergeCell ref="CR241:CR255"/>
    <mergeCell ref="CL242:CL255"/>
    <mergeCell ref="F161:F163"/>
    <mergeCell ref="G161:G163"/>
    <mergeCell ref="H161:I163"/>
    <mergeCell ref="AT162:AU162"/>
    <mergeCell ref="BE188:BE190"/>
    <mergeCell ref="AS171:AS172"/>
    <mergeCell ref="W188:W190"/>
    <mergeCell ref="AG168:AG169"/>
    <mergeCell ref="AV171:AV172"/>
    <mergeCell ref="AA168:AA169"/>
    <mergeCell ref="O161:O163"/>
    <mergeCell ref="F225:F239"/>
    <mergeCell ref="H230:H231"/>
    <mergeCell ref="G225:G239"/>
    <mergeCell ref="H234:H235"/>
    <mergeCell ref="H232:H233"/>
    <mergeCell ref="H238:H239"/>
    <mergeCell ref="F241:F255"/>
    <mergeCell ref="H252:H253"/>
    <mergeCell ref="G241:G255"/>
    <mergeCell ref="H246:H247"/>
    <mergeCell ref="H244:H245"/>
    <mergeCell ref="CA193:CH207"/>
    <mergeCell ref="H216:H217"/>
    <mergeCell ref="H218:H219"/>
    <mergeCell ref="H212:H213"/>
    <mergeCell ref="H228:H229"/>
    <mergeCell ref="F257:F271"/>
    <mergeCell ref="G257:G271"/>
    <mergeCell ref="H270:H271"/>
    <mergeCell ref="H260:H261"/>
    <mergeCell ref="H262:H263"/>
    <mergeCell ref="CC189:CD189"/>
    <mergeCell ref="BS189:BS190"/>
    <mergeCell ref="AV188:AV190"/>
    <mergeCell ref="AY189:AZ189"/>
    <mergeCell ref="BU188:BU190"/>
    <mergeCell ref="BV188:BW189"/>
    <mergeCell ref="BN189:BO189"/>
    <mergeCell ref="BA189:BA190"/>
    <mergeCell ref="BB189:BC189"/>
    <mergeCell ref="BD189:BD190"/>
    <mergeCell ref="CA189:CB189"/>
    <mergeCell ref="CF189:CG189"/>
    <mergeCell ref="CA188:CH188"/>
    <mergeCell ref="H236:H237"/>
    <mergeCell ref="H226:H227"/>
    <mergeCell ref="AW189:AX189"/>
    <mergeCell ref="AR209:AV223"/>
    <mergeCell ref="S142:S156"/>
    <mergeCell ref="Q142:Q156"/>
    <mergeCell ref="R127:R141"/>
    <mergeCell ref="R142:R156"/>
    <mergeCell ref="Q162:Q163"/>
    <mergeCell ref="CH189:CH190"/>
    <mergeCell ref="BX188:BY189"/>
    <mergeCell ref="O112:O126"/>
    <mergeCell ref="EH190:EI190"/>
    <mergeCell ref="CK187:CK190"/>
    <mergeCell ref="CL187:CL190"/>
    <mergeCell ref="CM187:CQ187"/>
    <mergeCell ref="DP190:EG190"/>
    <mergeCell ref="CQ188:CQ190"/>
    <mergeCell ref="DF190:DO190"/>
    <mergeCell ref="CN188:CN190"/>
    <mergeCell ref="CI188:CI190"/>
    <mergeCell ref="CP188:CP190"/>
    <mergeCell ref="O142:O156"/>
    <mergeCell ref="O127:O141"/>
    <mergeCell ref="AR188:AS189"/>
    <mergeCell ref="AV162:AV163"/>
    <mergeCell ref="AP168:AP169"/>
    <mergeCell ref="AC171:AC172"/>
    <mergeCell ref="AY168:AY169"/>
    <mergeCell ref="AE168:AE169"/>
    <mergeCell ref="AY171:AY172"/>
    <mergeCell ref="T161:U161"/>
    <mergeCell ref="P162:P163"/>
    <mergeCell ref="AY162:AY163"/>
    <mergeCell ref="AM168:AM169"/>
    <mergeCell ref="AC161:AD162"/>
    <mergeCell ref="N127:N141"/>
    <mergeCell ref="P161:Q161"/>
    <mergeCell ref="P127:P141"/>
    <mergeCell ref="P112:P126"/>
    <mergeCell ref="Q127:Q141"/>
    <mergeCell ref="Q82:Q96"/>
    <mergeCell ref="Q97:Q111"/>
    <mergeCell ref="O57:O63"/>
    <mergeCell ref="S82:S96"/>
    <mergeCell ref="S97:S111"/>
    <mergeCell ref="W162:W163"/>
    <mergeCell ref="J293:J295"/>
    <mergeCell ref="K293:K295"/>
    <mergeCell ref="L293:L295"/>
    <mergeCell ref="M293:M295"/>
    <mergeCell ref="S290:S291"/>
    <mergeCell ref="Q290:Q291"/>
    <mergeCell ref="J289:J291"/>
    <mergeCell ref="K289:M289"/>
    <mergeCell ref="P290:P291"/>
    <mergeCell ref="R290:R291"/>
    <mergeCell ref="K290:K291"/>
    <mergeCell ref="L290:L291"/>
    <mergeCell ref="N289:N291"/>
    <mergeCell ref="O289:O291"/>
    <mergeCell ref="M290:M291"/>
    <mergeCell ref="R289:S289"/>
    <mergeCell ref="P289:Q289"/>
    <mergeCell ref="S293:S295"/>
    <mergeCell ref="Q112:Q126"/>
    <mergeCell ref="S127:S141"/>
    <mergeCell ref="P142:P156"/>
    <mergeCell ref="P302:P304"/>
    <mergeCell ref="O308:O310"/>
    <mergeCell ref="N299:N301"/>
    <mergeCell ref="P305:P307"/>
    <mergeCell ref="O305:O307"/>
    <mergeCell ref="O302:O304"/>
    <mergeCell ref="N302:N304"/>
    <mergeCell ref="N305:N307"/>
    <mergeCell ref="P308:P310"/>
    <mergeCell ref="N296:N298"/>
    <mergeCell ref="N293:N295"/>
    <mergeCell ref="Q302:Q304"/>
    <mergeCell ref="P299:P301"/>
    <mergeCell ref="O296:O298"/>
    <mergeCell ref="P296:P298"/>
    <mergeCell ref="Q296:Q298"/>
    <mergeCell ref="Q299:Q301"/>
    <mergeCell ref="O299:O301"/>
    <mergeCell ref="O293:O295"/>
    <mergeCell ref="P293:P295"/>
  </mergeCells>
  <phoneticPr fontId="0" type="noConversion"/>
  <dataValidations count="4">
    <dataValidation allowBlank="1" showInputMessage="1" showErrorMessage="1" sqref="CM492:CP493 CM448:CP449 CM188:CP189"/>
    <dataValidation type="list" allowBlank="1" showInputMessage="1" showErrorMessage="1" errorTitle="Внимание" error="Выберите значение из списка!" sqref="N386:N387 N395 N398 N401 N293:N307 N314:N328 N341 N67:N141 N22:N56 N350 N369 N360 N377:N378 N404">
      <formula1>DOCUMENT_SOURCE</formula1>
    </dataValidation>
    <dataValidation operator="lessThanOrEqual" allowBlank="1" showInputMessage="1" showErrorMessage="1" sqref="CR241:CR255 CR209:CR223 CR193:CR207 CR257:CR271"/>
    <dataValidation type="list" showInputMessage="1" showErrorMessage="1" errorTitle="Внимание" error="Пожалуйста, выберите значение из списка" sqref="Y7:AA7 Y13:AA13">
      <formula1>DIFF</formula1>
    </dataValidation>
  </dataValidations>
  <hyperlinks>
    <hyperlink ref="I209" location="'TECH_HORISONTAL'!A1" tooltip="Скрыть детали" display="Скрыть детали"/>
    <hyperlink ref="I241" location="'TECH_HORISONTAL'!A1" tooltip="Скрыть детали" display="Скрыть детали"/>
    <hyperlink ref="I257" location="'TECH_HORISONTAL'!A1" tooltip="Скрыть детали" display="Скрыть детали"/>
    <hyperlink ref="E7" location="'TECH_HORISONTAL'!A1" tooltip="Удалить" display="О"/>
    <hyperlink ref="E13" location="'TECH_HORISONTAL'!A1" tooltip="Удалить" display="О"/>
    <hyperlink ref="I193" location="'TECH_HORISONTAL'!A1" tooltip="Скрыть детали" display="Скрыть детали"/>
    <hyperlink ref="I166" location="'TECH_HORISONTAL'!A1" tooltip="Скрыть детали" display="Скрыть детали"/>
  </hyperlinks>
  <pageMargins left="0.75" right="0.75" top="1" bottom="1" header="0.5" footer="0.5"/>
  <pageSetup paperSize="9" orientation="portrait" r:id="rId1"/>
  <headerFooter alignWithMargins="0"/>
  <legacyDrawing r:id="rId2"/>
</worksheet>
</file>

<file path=xl/worksheets/sheet70.xml><?xml version="1.0" encoding="utf-8"?>
<worksheet xmlns="http://schemas.openxmlformats.org/spreadsheetml/2006/main" xmlns:r="http://schemas.openxmlformats.org/officeDocument/2006/relationships">
  <sheetPr codeName="PLAN1X_LIST_ORG">
    <tabColor indexed="47"/>
  </sheetPr>
  <dimension ref="A1:Z2"/>
  <sheetViews>
    <sheetView workbookViewId="0"/>
  </sheetViews>
  <sheetFormatPr defaultRowHeight="11.25"/>
  <cols>
    <col min="1" max="16384" width="9.140625" style="58"/>
  </cols>
  <sheetData>
    <row r="1" spans="1:26">
      <c r="A1" s="58" t="s">
        <v>2743</v>
      </c>
      <c r="B1" s="58" t="s">
        <v>2519</v>
      </c>
      <c r="C1" s="58" t="s">
        <v>2520</v>
      </c>
      <c r="D1" s="58" t="s">
        <v>2521</v>
      </c>
      <c r="E1" s="58" t="s">
        <v>2522</v>
      </c>
      <c r="F1" s="58" t="s">
        <v>1696</v>
      </c>
      <c r="G1" s="58" t="s">
        <v>2523</v>
      </c>
      <c r="H1" s="58" t="s">
        <v>2524</v>
      </c>
      <c r="I1" s="58" t="s">
        <v>2528</v>
      </c>
      <c r="J1" s="58" t="s">
        <v>2527</v>
      </c>
      <c r="K1" s="58" t="s">
        <v>795</v>
      </c>
      <c r="L1" s="58" t="s">
        <v>796</v>
      </c>
      <c r="M1" s="58" t="s">
        <v>797</v>
      </c>
      <c r="N1" s="58" t="s">
        <v>1697</v>
      </c>
      <c r="O1" s="58" t="s">
        <v>2525</v>
      </c>
      <c r="P1" s="58" t="s">
        <v>2734</v>
      </c>
      <c r="Q1" s="58" t="s">
        <v>2526</v>
      </c>
      <c r="R1" s="58" t="s">
        <v>2529</v>
      </c>
      <c r="S1" s="58" t="s">
        <v>2530</v>
      </c>
      <c r="T1" s="58" t="s">
        <v>2531</v>
      </c>
      <c r="U1" s="58" t="s">
        <v>1698</v>
      </c>
      <c r="V1" s="58" t="s">
        <v>1712</v>
      </c>
      <c r="W1" s="58" t="s">
        <v>1708</v>
      </c>
      <c r="X1" s="58" t="s">
        <v>1709</v>
      </c>
      <c r="Y1" s="58" t="s">
        <v>1710</v>
      </c>
      <c r="Z1" s="58" t="s">
        <v>1711</v>
      </c>
    </row>
    <row r="2" spans="1:26">
      <c r="A2" s="58" t="s">
        <v>1572</v>
      </c>
      <c r="B2" s="58" t="s">
        <v>642</v>
      </c>
      <c r="C2" s="58" t="s">
        <v>1574</v>
      </c>
      <c r="D2" s="58" t="s">
        <v>1562</v>
      </c>
      <c r="E2" s="58" t="s">
        <v>1573</v>
      </c>
      <c r="F2" s="58" t="s">
        <v>3255</v>
      </c>
      <c r="G2" s="58" t="s">
        <v>1353</v>
      </c>
      <c r="H2" s="58" t="s">
        <v>3256</v>
      </c>
      <c r="I2" s="58" t="s">
        <v>710</v>
      </c>
      <c r="J2" s="58" t="s">
        <v>1353</v>
      </c>
      <c r="K2" s="58" t="s">
        <v>1353</v>
      </c>
      <c r="L2" s="58" t="s">
        <v>1353</v>
      </c>
      <c r="M2" s="58" t="s">
        <v>1353</v>
      </c>
      <c r="N2" s="58" t="s">
        <v>619</v>
      </c>
      <c r="O2" s="58" t="s">
        <v>1353</v>
      </c>
      <c r="P2" s="58" t="s">
        <v>1353</v>
      </c>
      <c r="Q2" s="58" t="s">
        <v>714</v>
      </c>
      <c r="R2" s="58" t="s">
        <v>1353</v>
      </c>
      <c r="S2" s="58" t="s">
        <v>1353</v>
      </c>
      <c r="T2" s="58" t="s">
        <v>1353</v>
      </c>
      <c r="U2" s="58" t="s">
        <v>1353</v>
      </c>
      <c r="V2" s="58" t="s">
        <v>423</v>
      </c>
      <c r="W2" s="58" t="s">
        <v>1353</v>
      </c>
      <c r="X2" s="58" t="s">
        <v>1353</v>
      </c>
      <c r="Y2" s="58" t="s">
        <v>1353</v>
      </c>
      <c r="Z2" s="58" t="s">
        <v>1353</v>
      </c>
    </row>
  </sheetData>
  <sheetProtection formatColumns="0" formatRows="0"/>
  <phoneticPr fontId="8" type="noConversion"/>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sheetPr codeName="PLAN1X_BPR">
    <tabColor indexed="47"/>
  </sheetPr>
  <dimension ref="A1:O2"/>
  <sheetViews>
    <sheetView zoomScale="90" zoomScaleNormal="90" workbookViewId="0"/>
  </sheetViews>
  <sheetFormatPr defaultRowHeight="11.25"/>
  <cols>
    <col min="1" max="16384" width="9.140625" style="58"/>
  </cols>
  <sheetData>
    <row r="1" spans="1:15">
      <c r="A1" s="58" t="s">
        <v>2519</v>
      </c>
      <c r="B1" s="58" t="s">
        <v>2538</v>
      </c>
      <c r="C1" s="58" t="s">
        <v>2235</v>
      </c>
      <c r="D1" s="58" t="s">
        <v>2539</v>
      </c>
      <c r="E1" s="58" t="s">
        <v>2535</v>
      </c>
      <c r="F1" s="58" t="s">
        <v>2536</v>
      </c>
      <c r="G1" s="58" t="s">
        <v>2698</v>
      </c>
      <c r="H1" s="58" t="s">
        <v>2699</v>
      </c>
      <c r="I1" s="58" t="s">
        <v>2700</v>
      </c>
      <c r="J1" s="58" t="s">
        <v>2701</v>
      </c>
      <c r="K1" s="58" t="s">
        <v>2540</v>
      </c>
      <c r="L1" s="58" t="s">
        <v>2541</v>
      </c>
      <c r="M1" s="58" t="s">
        <v>2542</v>
      </c>
      <c r="N1" s="58" t="s">
        <v>2543</v>
      </c>
      <c r="O1" s="58" t="s">
        <v>2748</v>
      </c>
    </row>
    <row r="2" spans="1:15">
      <c r="A2" s="58" t="s">
        <v>642</v>
      </c>
      <c r="B2" s="58" t="s">
        <v>3257</v>
      </c>
      <c r="C2" s="58" t="s">
        <v>1353</v>
      </c>
      <c r="D2" s="58" t="s">
        <v>3258</v>
      </c>
      <c r="E2" s="58" t="s">
        <v>3259</v>
      </c>
      <c r="F2" s="58" t="s">
        <v>3260</v>
      </c>
      <c r="G2" s="58" t="s">
        <v>3261</v>
      </c>
      <c r="H2" s="58" t="s">
        <v>1353</v>
      </c>
      <c r="I2" s="58" t="s">
        <v>3262</v>
      </c>
      <c r="J2" s="58" t="s">
        <v>1353</v>
      </c>
      <c r="K2" s="58" t="s">
        <v>1353</v>
      </c>
      <c r="L2" s="58" t="s">
        <v>1353</v>
      </c>
      <c r="M2" s="58" t="s">
        <v>1353</v>
      </c>
      <c r="N2" s="58" t="s">
        <v>1353</v>
      </c>
      <c r="O2" s="58" t="s">
        <v>3258</v>
      </c>
    </row>
  </sheetData>
  <sheetProtection formatColumns="0" formatRows="0"/>
  <phoneticPr fontId="8" type="noConversion"/>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sheetPr codeName="PLAN1X_BPR_DETAILED">
    <tabColor indexed="47"/>
  </sheetPr>
  <dimension ref="A1"/>
  <sheetViews>
    <sheetView workbookViewId="0"/>
  </sheetViews>
  <sheetFormatPr defaultRowHeight="11.25"/>
  <cols>
    <col min="1" max="16384" width="9.140625" style="58"/>
  </cols>
  <sheetData/>
  <sheetProtection formatColumns="0" formatRows="0"/>
  <phoneticPr fontId="8" type="noConversion"/>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sheetPr codeName="PLAN1X_MXPP">
    <tabColor indexed="47"/>
  </sheetPr>
  <dimension ref="A1"/>
  <sheetViews>
    <sheetView workbookViewId="0"/>
  </sheetViews>
  <sheetFormatPr defaultRowHeight="11.25"/>
  <cols>
    <col min="1" max="16384" width="9.140625" style="58"/>
  </cols>
  <sheetData/>
  <sheetProtection formatColumns="0" formatRows="0"/>
  <phoneticPr fontId="8" type="noConversion"/>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sheetPr codeName="PLAN1X_MXPP_DETAILED">
    <tabColor indexed="47"/>
  </sheetPr>
  <dimension ref="A1"/>
  <sheetViews>
    <sheetView workbookViewId="0"/>
  </sheetViews>
  <sheetFormatPr defaultRowHeight="11.25"/>
  <cols>
    <col min="1" max="16384" width="9.140625" style="58"/>
  </cols>
  <sheetData/>
  <sheetProtection formatColumns="0" formatRows="0"/>
  <phoneticPr fontId="8" type="noConversion"/>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sheetPr codeName="PLAN1X_BTR">
    <tabColor indexed="47"/>
  </sheetPr>
  <dimension ref="A1:K1"/>
  <sheetViews>
    <sheetView workbookViewId="0"/>
  </sheetViews>
  <sheetFormatPr defaultRowHeight="11.25"/>
  <cols>
    <col min="1" max="16384" width="9.140625" style="58"/>
  </cols>
  <sheetData>
    <row r="1" spans="1:11">
      <c r="A1" s="58" t="s">
        <v>2519</v>
      </c>
      <c r="B1" s="58" t="s">
        <v>2538</v>
      </c>
      <c r="C1" s="58" t="s">
        <v>2235</v>
      </c>
      <c r="D1" s="58" t="s">
        <v>2539</v>
      </c>
      <c r="E1" s="58" t="s">
        <v>2540</v>
      </c>
      <c r="F1" s="58" t="s">
        <v>2541</v>
      </c>
      <c r="G1" s="58" t="s">
        <v>2542</v>
      </c>
      <c r="H1" s="58" t="s">
        <v>2543</v>
      </c>
      <c r="I1" s="58" t="s">
        <v>2544</v>
      </c>
      <c r="J1" s="58" t="s">
        <v>2545</v>
      </c>
      <c r="K1" s="58" t="s">
        <v>2546</v>
      </c>
    </row>
  </sheetData>
  <sheetProtection formatColumns="0" formatRows="0"/>
  <phoneticPr fontId="8" type="noConversion"/>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sheetPr codeName="PLAN1X_BTR_DETAILED">
    <tabColor indexed="47"/>
  </sheetPr>
  <dimension ref="A1"/>
  <sheetViews>
    <sheetView workbookViewId="0"/>
  </sheetViews>
  <sheetFormatPr defaultRowHeight="11.25"/>
  <cols>
    <col min="1" max="16384" width="9.140625" style="58"/>
  </cols>
  <sheetData/>
  <sheetProtection formatColumns="0" formatRows="0"/>
  <phoneticPr fontId="8" type="noConversion"/>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sheetPr codeName="PLAN1X_MXTR">
    <tabColor indexed="47"/>
  </sheetPr>
  <dimension ref="A1"/>
  <sheetViews>
    <sheetView workbookViewId="0"/>
  </sheetViews>
  <sheetFormatPr defaultRowHeight="11.25"/>
  <cols>
    <col min="1" max="16384" width="9.140625" style="58"/>
  </cols>
  <sheetData/>
  <sheetProtection formatColumns="0" formatRows="0"/>
  <phoneticPr fontId="8" type="noConversion"/>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sheetPr codeName="PLAN1X_MXTR_DETAILED">
    <tabColor indexed="47"/>
  </sheetPr>
  <dimension ref="A1"/>
  <sheetViews>
    <sheetView workbookViewId="0"/>
  </sheetViews>
  <sheetFormatPr defaultRowHeight="11.25"/>
  <cols>
    <col min="1" max="16384" width="9.140625" style="58"/>
  </cols>
  <sheetData/>
  <sheetProtection formatColumns="0" formatRows="0"/>
  <phoneticPr fontId="8" type="noConversion"/>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sheetPr codeName="PLAN1X_FUEL">
    <tabColor indexed="47"/>
  </sheetPr>
  <dimension ref="A1"/>
  <sheetViews>
    <sheetView workbookViewId="0"/>
  </sheetViews>
  <sheetFormatPr defaultRowHeight="11.25"/>
  <cols>
    <col min="1" max="16384" width="9.140625" style="58"/>
  </cols>
  <sheetData/>
  <sheetProtection formatColumns="0" formatRows="0"/>
  <phoneticPr fontId="8"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sheetPr codeName="REESTR_ORG">
    <tabColor indexed="47"/>
  </sheetPr>
  <dimension ref="A1:DG312"/>
  <sheetViews>
    <sheetView showGridLines="0" workbookViewId="0"/>
  </sheetViews>
  <sheetFormatPr defaultRowHeight="11.25"/>
  <cols>
    <col min="1" max="16384" width="9.140625" style="28"/>
  </cols>
  <sheetData>
    <row r="1" spans="1:111">
      <c r="A1" s="28" t="s">
        <v>1682</v>
      </c>
      <c r="B1" s="28" t="s">
        <v>1683</v>
      </c>
      <c r="C1" s="28" t="s">
        <v>1332</v>
      </c>
      <c r="D1" s="28" t="s">
        <v>1684</v>
      </c>
      <c r="E1" s="28" t="s">
        <v>1333</v>
      </c>
      <c r="F1" s="28" t="s">
        <v>643</v>
      </c>
      <c r="G1" s="28" t="s">
        <v>2743</v>
      </c>
      <c r="H1" s="28" t="s">
        <v>1685</v>
      </c>
      <c r="I1" s="28" t="s">
        <v>698</v>
      </c>
      <c r="J1" s="28" t="s">
        <v>699</v>
      </c>
      <c r="K1" s="28" t="s">
        <v>1686</v>
      </c>
      <c r="U1" s="28" t="s">
        <v>1682</v>
      </c>
      <c r="V1" s="28" t="s">
        <v>1683</v>
      </c>
      <c r="W1" s="28" t="s">
        <v>1332</v>
      </c>
      <c r="X1" s="28" t="s">
        <v>1684</v>
      </c>
      <c r="Y1" s="28" t="s">
        <v>1333</v>
      </c>
      <c r="Z1" s="28" t="s">
        <v>643</v>
      </c>
      <c r="AA1" s="28" t="s">
        <v>2743</v>
      </c>
      <c r="AB1" s="28" t="s">
        <v>1685</v>
      </c>
      <c r="AC1" s="28" t="s">
        <v>698</v>
      </c>
      <c r="AD1" s="28" t="s">
        <v>699</v>
      </c>
      <c r="AE1" s="28" t="s">
        <v>1686</v>
      </c>
      <c r="AO1" s="28" t="s">
        <v>1682</v>
      </c>
      <c r="AP1" s="28" t="s">
        <v>1683</v>
      </c>
      <c r="AQ1" s="28" t="s">
        <v>1332</v>
      </c>
      <c r="AR1" s="28" t="s">
        <v>1684</v>
      </c>
      <c r="AS1" s="28" t="s">
        <v>1333</v>
      </c>
      <c r="AT1" s="28" t="s">
        <v>643</v>
      </c>
      <c r="AU1" s="28" t="s">
        <v>2743</v>
      </c>
      <c r="AV1" s="28" t="s">
        <v>1685</v>
      </c>
      <c r="AW1" s="28" t="s">
        <v>698</v>
      </c>
      <c r="AX1" s="28" t="s">
        <v>699</v>
      </c>
      <c r="AY1" s="28" t="s">
        <v>1686</v>
      </c>
      <c r="BI1" s="28" t="s">
        <v>1682</v>
      </c>
      <c r="BJ1" s="28" t="s">
        <v>1683</v>
      </c>
      <c r="BK1" s="28" t="s">
        <v>1332</v>
      </c>
      <c r="BL1" s="28" t="s">
        <v>1684</v>
      </c>
      <c r="BM1" s="28" t="s">
        <v>1333</v>
      </c>
      <c r="BN1" s="28" t="s">
        <v>643</v>
      </c>
      <c r="BO1" s="28" t="s">
        <v>2743</v>
      </c>
      <c r="BP1" s="28" t="s">
        <v>1685</v>
      </c>
      <c r="BQ1" s="28" t="s">
        <v>698</v>
      </c>
      <c r="BR1" s="28" t="s">
        <v>699</v>
      </c>
      <c r="BS1" s="28" t="s">
        <v>1686</v>
      </c>
      <c r="CC1" s="28" t="s">
        <v>1682</v>
      </c>
      <c r="CD1" s="28" t="s">
        <v>1683</v>
      </c>
      <c r="CE1" s="28" t="s">
        <v>1332</v>
      </c>
      <c r="CF1" s="28" t="s">
        <v>1684</v>
      </c>
      <c r="CG1" s="28" t="s">
        <v>1333</v>
      </c>
      <c r="CH1" s="28" t="s">
        <v>643</v>
      </c>
      <c r="CI1" s="28" t="s">
        <v>2743</v>
      </c>
      <c r="CJ1" s="28" t="s">
        <v>1685</v>
      </c>
      <c r="CK1" s="28" t="s">
        <v>698</v>
      </c>
      <c r="CL1" s="28" t="s">
        <v>699</v>
      </c>
      <c r="CM1" s="28" t="s">
        <v>1686</v>
      </c>
      <c r="CW1" s="28" t="s">
        <v>1682</v>
      </c>
      <c r="CX1" s="28" t="s">
        <v>1683</v>
      </c>
      <c r="CY1" s="28" t="s">
        <v>1332</v>
      </c>
      <c r="CZ1" s="28" t="s">
        <v>1684</v>
      </c>
      <c r="DA1" s="28" t="s">
        <v>1333</v>
      </c>
      <c r="DB1" s="28" t="s">
        <v>643</v>
      </c>
      <c r="DC1" s="28" t="s">
        <v>2743</v>
      </c>
      <c r="DD1" s="28" t="s">
        <v>1685</v>
      </c>
      <c r="DE1" s="28" t="s">
        <v>698</v>
      </c>
      <c r="DF1" s="28" t="s">
        <v>699</v>
      </c>
      <c r="DG1" s="28" t="s">
        <v>1686</v>
      </c>
    </row>
    <row r="2" spans="1:111">
      <c r="U2" s="28">
        <v>1</v>
      </c>
      <c r="V2" s="28" t="s">
        <v>830</v>
      </c>
      <c r="W2" s="28" t="s">
        <v>2873</v>
      </c>
      <c r="X2" s="28" t="s">
        <v>2874</v>
      </c>
      <c r="Y2" s="28" t="s">
        <v>2875</v>
      </c>
      <c r="Z2" s="28" t="s">
        <v>2876</v>
      </c>
      <c r="AA2" s="28" t="s">
        <v>1337</v>
      </c>
      <c r="AB2" s="28" t="s">
        <v>1338</v>
      </c>
      <c r="AC2" s="28" t="s">
        <v>1339</v>
      </c>
      <c r="AD2" s="28" t="s">
        <v>1340</v>
      </c>
      <c r="AE2" s="28" t="s">
        <v>1341</v>
      </c>
    </row>
    <row r="3" spans="1:111">
      <c r="U3" s="28">
        <v>2</v>
      </c>
      <c r="V3" s="28" t="s">
        <v>830</v>
      </c>
      <c r="W3" s="28" t="s">
        <v>2873</v>
      </c>
      <c r="X3" s="28" t="s">
        <v>2874</v>
      </c>
      <c r="Y3" s="28" t="s">
        <v>2877</v>
      </c>
      <c r="Z3" s="28" t="s">
        <v>2878</v>
      </c>
      <c r="AA3" s="28" t="s">
        <v>1342</v>
      </c>
      <c r="AB3" s="28" t="s">
        <v>1343</v>
      </c>
      <c r="AC3" s="28" t="s">
        <v>1344</v>
      </c>
      <c r="AD3" s="28" t="s">
        <v>1345</v>
      </c>
      <c r="AE3" s="28" t="s">
        <v>2737</v>
      </c>
    </row>
    <row r="4" spans="1:111">
      <c r="U4" s="28">
        <v>3</v>
      </c>
      <c r="V4" s="28" t="s">
        <v>830</v>
      </c>
      <c r="W4" s="28" t="s">
        <v>2873</v>
      </c>
      <c r="X4" s="28" t="s">
        <v>2874</v>
      </c>
      <c r="Y4" s="28" t="s">
        <v>2879</v>
      </c>
      <c r="Z4" s="28" t="s">
        <v>2880</v>
      </c>
      <c r="AA4" s="28" t="s">
        <v>1346</v>
      </c>
      <c r="AB4" s="28" t="s">
        <v>1347</v>
      </c>
      <c r="AC4" s="28" t="s">
        <v>1348</v>
      </c>
      <c r="AD4" s="28" t="s">
        <v>1349</v>
      </c>
      <c r="AE4" s="28" t="s">
        <v>2735</v>
      </c>
    </row>
    <row r="5" spans="1:111">
      <c r="U5" s="28">
        <v>4</v>
      </c>
      <c r="V5" s="28" t="s">
        <v>830</v>
      </c>
      <c r="W5" s="28" t="s">
        <v>2873</v>
      </c>
      <c r="X5" s="28" t="s">
        <v>2874</v>
      </c>
      <c r="Y5" s="28" t="s">
        <v>2879</v>
      </c>
      <c r="Z5" s="28" t="s">
        <v>2880</v>
      </c>
      <c r="AA5" s="28" t="s">
        <v>1350</v>
      </c>
      <c r="AB5" s="28" t="s">
        <v>1351</v>
      </c>
      <c r="AC5" s="28" t="s">
        <v>1348</v>
      </c>
      <c r="AD5" s="28" t="s">
        <v>1352</v>
      </c>
      <c r="AE5" s="28" t="s">
        <v>1353</v>
      </c>
    </row>
    <row r="6" spans="1:111">
      <c r="U6" s="28">
        <v>5</v>
      </c>
      <c r="V6" s="28" t="s">
        <v>830</v>
      </c>
      <c r="W6" s="28" t="s">
        <v>2873</v>
      </c>
      <c r="X6" s="28" t="s">
        <v>2874</v>
      </c>
      <c r="Y6" s="28" t="s">
        <v>2879</v>
      </c>
      <c r="Z6" s="28" t="s">
        <v>2880</v>
      </c>
      <c r="AA6" s="28" t="s">
        <v>1337</v>
      </c>
      <c r="AB6" s="28" t="s">
        <v>1338</v>
      </c>
      <c r="AC6" s="28" t="s">
        <v>1339</v>
      </c>
      <c r="AD6" s="28" t="s">
        <v>1340</v>
      </c>
      <c r="AE6" s="28" t="s">
        <v>1341</v>
      </c>
    </row>
    <row r="7" spans="1:111">
      <c r="U7" s="28">
        <v>6</v>
      </c>
      <c r="V7" s="28" t="s">
        <v>830</v>
      </c>
      <c r="W7" s="28" t="s">
        <v>2873</v>
      </c>
      <c r="X7" s="28" t="s">
        <v>2874</v>
      </c>
      <c r="Y7" s="28" t="s">
        <v>2879</v>
      </c>
      <c r="Z7" s="28" t="s">
        <v>2880</v>
      </c>
      <c r="AA7" s="28" t="s">
        <v>1354</v>
      </c>
      <c r="AB7" s="28" t="s">
        <v>1355</v>
      </c>
      <c r="AC7" s="28" t="s">
        <v>1356</v>
      </c>
      <c r="AD7" s="28" t="s">
        <v>1345</v>
      </c>
      <c r="AE7" s="28" t="s">
        <v>2737</v>
      </c>
    </row>
    <row r="8" spans="1:111">
      <c r="U8" s="28">
        <v>7</v>
      </c>
      <c r="V8" s="28" t="s">
        <v>830</v>
      </c>
      <c r="W8" s="28" t="s">
        <v>2873</v>
      </c>
      <c r="X8" s="28" t="s">
        <v>2874</v>
      </c>
      <c r="Y8" s="28" t="s">
        <v>2879</v>
      </c>
      <c r="Z8" s="28" t="s">
        <v>2880</v>
      </c>
      <c r="AA8" s="28" t="s">
        <v>1357</v>
      </c>
      <c r="AB8" s="28" t="s">
        <v>1358</v>
      </c>
      <c r="AC8" s="28" t="s">
        <v>1359</v>
      </c>
      <c r="AD8" s="28" t="s">
        <v>1345</v>
      </c>
      <c r="AE8" s="28" t="s">
        <v>2737</v>
      </c>
    </row>
    <row r="9" spans="1:111">
      <c r="U9" s="28">
        <v>8</v>
      </c>
      <c r="V9" s="28" t="s">
        <v>830</v>
      </c>
      <c r="W9" s="28" t="s">
        <v>2873</v>
      </c>
      <c r="X9" s="28" t="s">
        <v>2874</v>
      </c>
      <c r="Y9" s="28" t="s">
        <v>2883</v>
      </c>
      <c r="Z9" s="28" t="s">
        <v>2884</v>
      </c>
      <c r="AA9" s="28" t="s">
        <v>1360</v>
      </c>
      <c r="AB9" s="28" t="s">
        <v>1361</v>
      </c>
      <c r="AC9" s="28" t="s">
        <v>1339</v>
      </c>
      <c r="AD9" s="28" t="s">
        <v>1362</v>
      </c>
      <c r="AE9" s="28" t="s">
        <v>2737</v>
      </c>
    </row>
    <row r="10" spans="1:111">
      <c r="U10" s="28">
        <v>9</v>
      </c>
      <c r="V10" s="28" t="s">
        <v>830</v>
      </c>
      <c r="W10" s="28" t="s">
        <v>2873</v>
      </c>
      <c r="X10" s="28" t="s">
        <v>2874</v>
      </c>
      <c r="Y10" s="28" t="s">
        <v>2883</v>
      </c>
      <c r="Z10" s="28" t="s">
        <v>2884</v>
      </c>
      <c r="AA10" s="28" t="s">
        <v>1363</v>
      </c>
      <c r="AB10" s="28" t="s">
        <v>1364</v>
      </c>
      <c r="AC10" s="28" t="s">
        <v>1365</v>
      </c>
      <c r="AD10" s="28" t="s">
        <v>1345</v>
      </c>
      <c r="AE10" s="28" t="s">
        <v>2735</v>
      </c>
    </row>
    <row r="11" spans="1:111">
      <c r="U11" s="28">
        <v>10</v>
      </c>
      <c r="V11" s="28" t="s">
        <v>830</v>
      </c>
      <c r="W11" s="28" t="s">
        <v>2873</v>
      </c>
      <c r="X11" s="28" t="s">
        <v>2874</v>
      </c>
      <c r="Y11" s="28" t="s">
        <v>2885</v>
      </c>
      <c r="Z11" s="28" t="s">
        <v>2886</v>
      </c>
      <c r="AA11" s="28" t="s">
        <v>1366</v>
      </c>
      <c r="AB11" s="28" t="s">
        <v>1367</v>
      </c>
      <c r="AC11" s="28" t="s">
        <v>1368</v>
      </c>
      <c r="AD11" s="28" t="s">
        <v>1345</v>
      </c>
      <c r="AE11" s="28" t="s">
        <v>2737</v>
      </c>
    </row>
    <row r="12" spans="1:111">
      <c r="U12" s="28">
        <v>11</v>
      </c>
      <c r="V12" s="28" t="s">
        <v>830</v>
      </c>
      <c r="W12" s="28" t="s">
        <v>2873</v>
      </c>
      <c r="X12" s="28" t="s">
        <v>2874</v>
      </c>
      <c r="Y12" s="28" t="s">
        <v>2885</v>
      </c>
      <c r="Z12" s="28" t="s">
        <v>2886</v>
      </c>
      <c r="AA12" s="28" t="s">
        <v>1369</v>
      </c>
      <c r="AB12" s="28" t="s">
        <v>1370</v>
      </c>
      <c r="AC12" s="28" t="s">
        <v>1371</v>
      </c>
      <c r="AD12" s="28" t="s">
        <v>1345</v>
      </c>
      <c r="AE12" s="28" t="s">
        <v>2737</v>
      </c>
    </row>
    <row r="13" spans="1:111">
      <c r="U13" s="28">
        <v>12</v>
      </c>
      <c r="V13" s="28" t="s">
        <v>830</v>
      </c>
      <c r="W13" s="28" t="s">
        <v>2873</v>
      </c>
      <c r="X13" s="28" t="s">
        <v>2874</v>
      </c>
      <c r="Y13" s="28" t="s">
        <v>2887</v>
      </c>
      <c r="Z13" s="28" t="s">
        <v>2888</v>
      </c>
      <c r="AA13" s="28" t="s">
        <v>1372</v>
      </c>
      <c r="AB13" s="28" t="s">
        <v>1373</v>
      </c>
      <c r="AC13" s="28" t="s">
        <v>1374</v>
      </c>
      <c r="AD13" s="28" t="s">
        <v>1345</v>
      </c>
      <c r="AE13" s="28" t="s">
        <v>2735</v>
      </c>
    </row>
    <row r="14" spans="1:111">
      <c r="U14" s="28">
        <v>13</v>
      </c>
      <c r="V14" s="28" t="s">
        <v>830</v>
      </c>
      <c r="W14" s="28" t="s">
        <v>2873</v>
      </c>
      <c r="X14" s="28" t="s">
        <v>2874</v>
      </c>
      <c r="Y14" s="28" t="s">
        <v>2887</v>
      </c>
      <c r="Z14" s="28" t="s">
        <v>2888</v>
      </c>
      <c r="AA14" s="28" t="s">
        <v>1337</v>
      </c>
      <c r="AB14" s="28" t="s">
        <v>1338</v>
      </c>
      <c r="AC14" s="28" t="s">
        <v>1339</v>
      </c>
      <c r="AD14" s="28" t="s">
        <v>1340</v>
      </c>
      <c r="AE14" s="28" t="s">
        <v>1341</v>
      </c>
    </row>
    <row r="15" spans="1:111">
      <c r="U15" s="28">
        <v>14</v>
      </c>
      <c r="V15" s="28" t="s">
        <v>830</v>
      </c>
      <c r="W15" s="28" t="s">
        <v>2873</v>
      </c>
      <c r="X15" s="28" t="s">
        <v>2874</v>
      </c>
      <c r="Y15" s="28" t="s">
        <v>2889</v>
      </c>
      <c r="Z15" s="28" t="s">
        <v>2890</v>
      </c>
      <c r="AA15" s="28" t="s">
        <v>1375</v>
      </c>
      <c r="AB15" s="28" t="s">
        <v>1376</v>
      </c>
      <c r="AC15" s="28" t="s">
        <v>1377</v>
      </c>
      <c r="AD15" s="28" t="s">
        <v>1378</v>
      </c>
      <c r="AE15" s="28" t="s">
        <v>2735</v>
      </c>
    </row>
    <row r="16" spans="1:111">
      <c r="U16" s="28">
        <v>15</v>
      </c>
      <c r="V16" s="28" t="s">
        <v>830</v>
      </c>
      <c r="W16" s="28" t="s">
        <v>2873</v>
      </c>
      <c r="X16" s="28" t="s">
        <v>2874</v>
      </c>
      <c r="Y16" s="28" t="s">
        <v>2889</v>
      </c>
      <c r="Z16" s="28" t="s">
        <v>2890</v>
      </c>
      <c r="AA16" s="28" t="s">
        <v>1379</v>
      </c>
      <c r="AB16" s="28" t="s">
        <v>1380</v>
      </c>
      <c r="AC16" s="28" t="s">
        <v>1377</v>
      </c>
      <c r="AD16" s="28" t="s">
        <v>1381</v>
      </c>
      <c r="AE16" s="28" t="s">
        <v>2735</v>
      </c>
    </row>
    <row r="17" spans="21:31">
      <c r="U17" s="28">
        <v>16</v>
      </c>
      <c r="V17" s="28" t="s">
        <v>830</v>
      </c>
      <c r="W17" s="28" t="s">
        <v>2873</v>
      </c>
      <c r="X17" s="28" t="s">
        <v>2874</v>
      </c>
      <c r="Y17" s="28" t="s">
        <v>2891</v>
      </c>
      <c r="Z17" s="28" t="s">
        <v>2892</v>
      </c>
      <c r="AA17" s="28" t="s">
        <v>1337</v>
      </c>
      <c r="AB17" s="28" t="s">
        <v>1338</v>
      </c>
      <c r="AC17" s="28" t="s">
        <v>1339</v>
      </c>
      <c r="AD17" s="28" t="s">
        <v>1340</v>
      </c>
      <c r="AE17" s="28" t="s">
        <v>1341</v>
      </c>
    </row>
    <row r="18" spans="21:31">
      <c r="U18" s="28">
        <v>17</v>
      </c>
      <c r="V18" s="28" t="s">
        <v>830</v>
      </c>
      <c r="W18" s="28" t="s">
        <v>2873</v>
      </c>
      <c r="X18" s="28" t="s">
        <v>2874</v>
      </c>
      <c r="Y18" s="28" t="s">
        <v>2891</v>
      </c>
      <c r="Z18" s="28" t="s">
        <v>2892</v>
      </c>
      <c r="AA18" s="28" t="s">
        <v>1382</v>
      </c>
      <c r="AB18" s="28" t="s">
        <v>1383</v>
      </c>
      <c r="AC18" s="28" t="s">
        <v>1384</v>
      </c>
      <c r="AD18" s="28" t="s">
        <v>1345</v>
      </c>
      <c r="AE18" s="28" t="s">
        <v>2737</v>
      </c>
    </row>
    <row r="19" spans="21:31">
      <c r="U19" s="28">
        <v>18</v>
      </c>
      <c r="V19" s="28" t="s">
        <v>830</v>
      </c>
      <c r="W19" s="28" t="s">
        <v>2895</v>
      </c>
      <c r="X19" s="28" t="s">
        <v>2896</v>
      </c>
      <c r="Y19" s="28" t="s">
        <v>2901</v>
      </c>
      <c r="Z19" s="28" t="s">
        <v>2902</v>
      </c>
      <c r="AA19" s="28" t="s">
        <v>1385</v>
      </c>
      <c r="AB19" s="28" t="s">
        <v>1386</v>
      </c>
      <c r="AC19" s="28" t="s">
        <v>1387</v>
      </c>
      <c r="AD19" s="28" t="s">
        <v>1388</v>
      </c>
      <c r="AE19" s="28" t="s">
        <v>2735</v>
      </c>
    </row>
    <row r="20" spans="21:31">
      <c r="U20" s="28">
        <v>19</v>
      </c>
      <c r="V20" s="28" t="s">
        <v>830</v>
      </c>
      <c r="W20" s="28" t="s">
        <v>2895</v>
      </c>
      <c r="X20" s="28" t="s">
        <v>2896</v>
      </c>
      <c r="Y20" s="28" t="s">
        <v>2903</v>
      </c>
      <c r="Z20" s="28" t="s">
        <v>2904</v>
      </c>
      <c r="AA20" s="28" t="s">
        <v>1385</v>
      </c>
      <c r="AB20" s="28" t="s">
        <v>1386</v>
      </c>
      <c r="AC20" s="28" t="s">
        <v>1387</v>
      </c>
      <c r="AD20" s="28" t="s">
        <v>1388</v>
      </c>
      <c r="AE20" s="28" t="s">
        <v>2735</v>
      </c>
    </row>
    <row r="21" spans="21:31">
      <c r="U21" s="28">
        <v>20</v>
      </c>
      <c r="V21" s="28" t="s">
        <v>830</v>
      </c>
      <c r="W21" s="28" t="s">
        <v>2895</v>
      </c>
      <c r="X21" s="28" t="s">
        <v>2896</v>
      </c>
      <c r="Y21" s="28" t="s">
        <v>2903</v>
      </c>
      <c r="Z21" s="28" t="s">
        <v>2904</v>
      </c>
      <c r="AA21" s="28" t="s">
        <v>1389</v>
      </c>
      <c r="AB21" s="28" t="s">
        <v>1390</v>
      </c>
      <c r="AC21" s="28" t="s">
        <v>1391</v>
      </c>
      <c r="AD21" s="28" t="s">
        <v>1392</v>
      </c>
      <c r="AE21" s="28" t="s">
        <v>2737</v>
      </c>
    </row>
    <row r="22" spans="21:31">
      <c r="U22" s="28">
        <v>21</v>
      </c>
      <c r="V22" s="28" t="s">
        <v>830</v>
      </c>
      <c r="W22" s="28" t="s">
        <v>2905</v>
      </c>
      <c r="X22" s="28" t="s">
        <v>2906</v>
      </c>
      <c r="Y22" s="28" t="s">
        <v>2911</v>
      </c>
      <c r="Z22" s="28" t="s">
        <v>2912</v>
      </c>
      <c r="AA22" s="28" t="s">
        <v>1375</v>
      </c>
      <c r="AB22" s="28" t="s">
        <v>1376</v>
      </c>
      <c r="AC22" s="28" t="s">
        <v>1377</v>
      </c>
      <c r="AD22" s="28" t="s">
        <v>1378</v>
      </c>
      <c r="AE22" s="28" t="s">
        <v>2735</v>
      </c>
    </row>
    <row r="23" spans="21:31">
      <c r="U23" s="28">
        <v>22</v>
      </c>
      <c r="V23" s="28" t="s">
        <v>830</v>
      </c>
      <c r="W23" s="28" t="s">
        <v>2905</v>
      </c>
      <c r="X23" s="28" t="s">
        <v>2906</v>
      </c>
      <c r="Y23" s="28" t="s">
        <v>2911</v>
      </c>
      <c r="Z23" s="28" t="s">
        <v>2912</v>
      </c>
      <c r="AA23" s="28" t="s">
        <v>1379</v>
      </c>
      <c r="AB23" s="28" t="s">
        <v>1380</v>
      </c>
      <c r="AC23" s="28" t="s">
        <v>1377</v>
      </c>
      <c r="AD23" s="28" t="s">
        <v>1381</v>
      </c>
      <c r="AE23" s="28" t="s">
        <v>2735</v>
      </c>
    </row>
    <row r="24" spans="21:31">
      <c r="U24" s="28">
        <v>23</v>
      </c>
      <c r="V24" s="28" t="s">
        <v>830</v>
      </c>
      <c r="W24" s="28" t="s">
        <v>2905</v>
      </c>
      <c r="X24" s="28" t="s">
        <v>2906</v>
      </c>
      <c r="Y24" s="28" t="s">
        <v>2911</v>
      </c>
      <c r="Z24" s="28" t="s">
        <v>2912</v>
      </c>
      <c r="AA24" s="28" t="s">
        <v>1360</v>
      </c>
      <c r="AB24" s="28" t="s">
        <v>1361</v>
      </c>
      <c r="AC24" s="28" t="s">
        <v>1339</v>
      </c>
      <c r="AD24" s="28" t="s">
        <v>1362</v>
      </c>
      <c r="AE24" s="28" t="s">
        <v>2737</v>
      </c>
    </row>
    <row r="25" spans="21:31">
      <c r="U25" s="28">
        <v>24</v>
      </c>
      <c r="V25" s="28" t="s">
        <v>830</v>
      </c>
      <c r="W25" s="28" t="s">
        <v>2923</v>
      </c>
      <c r="X25" s="28" t="s">
        <v>2924</v>
      </c>
      <c r="Y25" s="28" t="s">
        <v>2929</v>
      </c>
      <c r="Z25" s="28" t="s">
        <v>2930</v>
      </c>
      <c r="AA25" s="28" t="s">
        <v>1337</v>
      </c>
      <c r="AB25" s="28" t="s">
        <v>1338</v>
      </c>
      <c r="AC25" s="28" t="s">
        <v>1339</v>
      </c>
      <c r="AD25" s="28" t="s">
        <v>1340</v>
      </c>
      <c r="AE25" s="28" t="s">
        <v>1341</v>
      </c>
    </row>
    <row r="26" spans="21:31">
      <c r="U26" s="28">
        <v>25</v>
      </c>
      <c r="V26" s="28" t="s">
        <v>830</v>
      </c>
      <c r="W26" s="28" t="s">
        <v>2923</v>
      </c>
      <c r="X26" s="28" t="s">
        <v>2924</v>
      </c>
      <c r="Y26" s="28" t="s">
        <v>2929</v>
      </c>
      <c r="Z26" s="28" t="s">
        <v>2930</v>
      </c>
      <c r="AA26" s="28" t="s">
        <v>1393</v>
      </c>
      <c r="AB26" s="28" t="s">
        <v>1394</v>
      </c>
      <c r="AC26" s="28" t="s">
        <v>1395</v>
      </c>
      <c r="AD26" s="28" t="s">
        <v>1396</v>
      </c>
      <c r="AE26" s="28" t="s">
        <v>2737</v>
      </c>
    </row>
    <row r="27" spans="21:31">
      <c r="U27" s="28">
        <v>26</v>
      </c>
      <c r="V27" s="28" t="s">
        <v>830</v>
      </c>
      <c r="W27" s="28" t="s">
        <v>2923</v>
      </c>
      <c r="X27" s="28" t="s">
        <v>2924</v>
      </c>
      <c r="Y27" s="28" t="s">
        <v>2931</v>
      </c>
      <c r="Z27" s="28" t="s">
        <v>2932</v>
      </c>
      <c r="AA27" s="28" t="s">
        <v>1375</v>
      </c>
      <c r="AB27" s="28" t="s">
        <v>1376</v>
      </c>
      <c r="AC27" s="28" t="s">
        <v>1377</v>
      </c>
      <c r="AD27" s="28" t="s">
        <v>1378</v>
      </c>
      <c r="AE27" s="28" t="s">
        <v>2735</v>
      </c>
    </row>
    <row r="28" spans="21:31">
      <c r="U28" s="28">
        <v>27</v>
      </c>
      <c r="V28" s="28" t="s">
        <v>830</v>
      </c>
      <c r="W28" s="28" t="s">
        <v>2923</v>
      </c>
      <c r="X28" s="28" t="s">
        <v>2924</v>
      </c>
      <c r="Y28" s="28" t="s">
        <v>2931</v>
      </c>
      <c r="Z28" s="28" t="s">
        <v>2932</v>
      </c>
      <c r="AA28" s="28" t="s">
        <v>1397</v>
      </c>
      <c r="AB28" s="28" t="s">
        <v>1398</v>
      </c>
      <c r="AC28" s="28" t="s">
        <v>1399</v>
      </c>
      <c r="AD28" s="28" t="s">
        <v>1400</v>
      </c>
      <c r="AE28" s="28" t="s">
        <v>2737</v>
      </c>
    </row>
    <row r="29" spans="21:31">
      <c r="U29" s="28">
        <v>28</v>
      </c>
      <c r="V29" s="28" t="s">
        <v>830</v>
      </c>
      <c r="W29" s="28" t="s">
        <v>2923</v>
      </c>
      <c r="X29" s="28" t="s">
        <v>2924</v>
      </c>
      <c r="Y29" s="28" t="s">
        <v>2931</v>
      </c>
      <c r="Z29" s="28" t="s">
        <v>2932</v>
      </c>
      <c r="AA29" s="28" t="s">
        <v>1337</v>
      </c>
      <c r="AB29" s="28" t="s">
        <v>1338</v>
      </c>
      <c r="AC29" s="28" t="s">
        <v>1339</v>
      </c>
      <c r="AD29" s="28" t="s">
        <v>1340</v>
      </c>
      <c r="AE29" s="28" t="s">
        <v>1341</v>
      </c>
    </row>
    <row r="30" spans="21:31">
      <c r="U30" s="28">
        <v>29</v>
      </c>
      <c r="V30" s="28" t="s">
        <v>830</v>
      </c>
      <c r="W30" s="28" t="s">
        <v>2923</v>
      </c>
      <c r="X30" s="28" t="s">
        <v>2924</v>
      </c>
      <c r="Y30" s="28" t="s">
        <v>2931</v>
      </c>
      <c r="Z30" s="28" t="s">
        <v>2932</v>
      </c>
      <c r="AA30" s="28" t="s">
        <v>1401</v>
      </c>
      <c r="AB30" s="28" t="s">
        <v>1402</v>
      </c>
      <c r="AC30" s="28" t="s">
        <v>1403</v>
      </c>
      <c r="AD30" s="28" t="s">
        <v>1396</v>
      </c>
      <c r="AE30" s="28" t="s">
        <v>2737</v>
      </c>
    </row>
    <row r="31" spans="21:31">
      <c r="U31" s="28">
        <v>30</v>
      </c>
      <c r="V31" s="28" t="s">
        <v>830</v>
      </c>
      <c r="W31" s="28" t="s">
        <v>2923</v>
      </c>
      <c r="X31" s="28" t="s">
        <v>2924</v>
      </c>
      <c r="Y31" s="28" t="s">
        <v>2933</v>
      </c>
      <c r="Z31" s="28" t="s">
        <v>2934</v>
      </c>
      <c r="AA31" s="28" t="s">
        <v>1375</v>
      </c>
      <c r="AB31" s="28" t="s">
        <v>1376</v>
      </c>
      <c r="AC31" s="28" t="s">
        <v>1377</v>
      </c>
      <c r="AD31" s="28" t="s">
        <v>1378</v>
      </c>
      <c r="AE31" s="28" t="s">
        <v>2735</v>
      </c>
    </row>
    <row r="32" spans="21:31">
      <c r="U32" s="28">
        <v>31</v>
      </c>
      <c r="V32" s="28" t="s">
        <v>830</v>
      </c>
      <c r="W32" s="28" t="s">
        <v>2923</v>
      </c>
      <c r="X32" s="28" t="s">
        <v>2924</v>
      </c>
      <c r="Y32" s="28" t="s">
        <v>2933</v>
      </c>
      <c r="Z32" s="28" t="s">
        <v>2934</v>
      </c>
      <c r="AA32" s="28" t="s">
        <v>1404</v>
      </c>
      <c r="AB32" s="28" t="s">
        <v>1405</v>
      </c>
      <c r="AC32" s="28" t="s">
        <v>1406</v>
      </c>
      <c r="AD32" s="28" t="s">
        <v>1388</v>
      </c>
      <c r="AE32" s="28" t="s">
        <v>2737</v>
      </c>
    </row>
    <row r="33" spans="21:31">
      <c r="U33" s="28">
        <v>32</v>
      </c>
      <c r="V33" s="28" t="s">
        <v>830</v>
      </c>
      <c r="W33" s="28" t="s">
        <v>2923</v>
      </c>
      <c r="X33" s="28" t="s">
        <v>2924</v>
      </c>
      <c r="Y33" s="28" t="s">
        <v>2935</v>
      </c>
      <c r="Z33" s="28" t="s">
        <v>2936</v>
      </c>
      <c r="AA33" s="28" t="s">
        <v>1375</v>
      </c>
      <c r="AB33" s="28" t="s">
        <v>1376</v>
      </c>
      <c r="AC33" s="28" t="s">
        <v>1377</v>
      </c>
      <c r="AD33" s="28" t="s">
        <v>1378</v>
      </c>
      <c r="AE33" s="28" t="s">
        <v>2735</v>
      </c>
    </row>
    <row r="34" spans="21:31">
      <c r="U34" s="28">
        <v>33</v>
      </c>
      <c r="V34" s="28" t="s">
        <v>830</v>
      </c>
      <c r="W34" s="28" t="s">
        <v>2923</v>
      </c>
      <c r="X34" s="28" t="s">
        <v>2924</v>
      </c>
      <c r="Y34" s="28" t="s">
        <v>2935</v>
      </c>
      <c r="Z34" s="28" t="s">
        <v>2936</v>
      </c>
      <c r="AA34" s="28" t="s">
        <v>1337</v>
      </c>
      <c r="AB34" s="28" t="s">
        <v>1338</v>
      </c>
      <c r="AC34" s="28" t="s">
        <v>1339</v>
      </c>
      <c r="AD34" s="28" t="s">
        <v>1340</v>
      </c>
      <c r="AE34" s="28" t="s">
        <v>1341</v>
      </c>
    </row>
    <row r="35" spans="21:31">
      <c r="U35" s="28">
        <v>34</v>
      </c>
      <c r="V35" s="28" t="s">
        <v>830</v>
      </c>
      <c r="W35" s="28" t="s">
        <v>2923</v>
      </c>
      <c r="X35" s="28" t="s">
        <v>2924</v>
      </c>
      <c r="Y35" s="28" t="s">
        <v>2935</v>
      </c>
      <c r="Z35" s="28" t="s">
        <v>2936</v>
      </c>
      <c r="AA35" s="28" t="s">
        <v>1401</v>
      </c>
      <c r="AB35" s="28" t="s">
        <v>1402</v>
      </c>
      <c r="AC35" s="28" t="s">
        <v>1403</v>
      </c>
      <c r="AD35" s="28" t="s">
        <v>1396</v>
      </c>
      <c r="AE35" s="28" t="s">
        <v>2737</v>
      </c>
    </row>
    <row r="36" spans="21:31">
      <c r="U36" s="28">
        <v>35</v>
      </c>
      <c r="V36" s="28" t="s">
        <v>830</v>
      </c>
      <c r="W36" s="28" t="s">
        <v>2923</v>
      </c>
      <c r="X36" s="28" t="s">
        <v>2924</v>
      </c>
      <c r="Y36" s="28" t="s">
        <v>2937</v>
      </c>
      <c r="Z36" s="28" t="s">
        <v>2938</v>
      </c>
      <c r="AA36" s="28" t="s">
        <v>1337</v>
      </c>
      <c r="AB36" s="28" t="s">
        <v>1338</v>
      </c>
      <c r="AC36" s="28" t="s">
        <v>1339</v>
      </c>
      <c r="AD36" s="28" t="s">
        <v>1340</v>
      </c>
      <c r="AE36" s="28" t="s">
        <v>1341</v>
      </c>
    </row>
    <row r="37" spans="21:31">
      <c r="U37" s="28">
        <v>36</v>
      </c>
      <c r="V37" s="28" t="s">
        <v>830</v>
      </c>
      <c r="W37" s="28" t="s">
        <v>2923</v>
      </c>
      <c r="X37" s="28" t="s">
        <v>2924</v>
      </c>
      <c r="Y37" s="28" t="s">
        <v>2937</v>
      </c>
      <c r="Z37" s="28" t="s">
        <v>2938</v>
      </c>
      <c r="AA37" s="28" t="s">
        <v>1401</v>
      </c>
      <c r="AB37" s="28" t="s">
        <v>1402</v>
      </c>
      <c r="AC37" s="28" t="s">
        <v>1403</v>
      </c>
      <c r="AD37" s="28" t="s">
        <v>1396</v>
      </c>
      <c r="AE37" s="28" t="s">
        <v>2737</v>
      </c>
    </row>
    <row r="38" spans="21:31">
      <c r="U38" s="28">
        <v>37</v>
      </c>
      <c r="V38" s="28" t="s">
        <v>830</v>
      </c>
      <c r="W38" s="28" t="s">
        <v>2923</v>
      </c>
      <c r="X38" s="28" t="s">
        <v>2924</v>
      </c>
      <c r="Y38" s="28" t="s">
        <v>2939</v>
      </c>
      <c r="Z38" s="28" t="s">
        <v>2940</v>
      </c>
      <c r="AA38" s="28" t="s">
        <v>1407</v>
      </c>
      <c r="AB38" s="28" t="s">
        <v>1408</v>
      </c>
      <c r="AC38" s="28" t="s">
        <v>1409</v>
      </c>
      <c r="AD38" s="28" t="s">
        <v>1396</v>
      </c>
      <c r="AE38" s="28" t="s">
        <v>2735</v>
      </c>
    </row>
    <row r="39" spans="21:31">
      <c r="U39" s="28">
        <v>38</v>
      </c>
      <c r="V39" s="28" t="s">
        <v>830</v>
      </c>
      <c r="W39" s="28" t="s">
        <v>2923</v>
      </c>
      <c r="X39" s="28" t="s">
        <v>2924</v>
      </c>
      <c r="Y39" s="28" t="s">
        <v>2939</v>
      </c>
      <c r="Z39" s="28" t="s">
        <v>2940</v>
      </c>
      <c r="AA39" s="28" t="s">
        <v>1410</v>
      </c>
      <c r="AB39" s="28" t="s">
        <v>1411</v>
      </c>
      <c r="AC39" s="28" t="s">
        <v>1412</v>
      </c>
      <c r="AD39" s="28" t="s">
        <v>1396</v>
      </c>
      <c r="AE39" s="28" t="s">
        <v>2735</v>
      </c>
    </row>
    <row r="40" spans="21:31">
      <c r="U40" s="28">
        <v>39</v>
      </c>
      <c r="V40" s="28" t="s">
        <v>830</v>
      </c>
      <c r="W40" s="28" t="s">
        <v>2923</v>
      </c>
      <c r="X40" s="28" t="s">
        <v>2924</v>
      </c>
      <c r="Y40" s="28" t="s">
        <v>2941</v>
      </c>
      <c r="Z40" s="28" t="s">
        <v>2942</v>
      </c>
      <c r="AA40" s="28" t="s">
        <v>1375</v>
      </c>
      <c r="AB40" s="28" t="s">
        <v>1376</v>
      </c>
      <c r="AC40" s="28" t="s">
        <v>1377</v>
      </c>
      <c r="AD40" s="28" t="s">
        <v>1378</v>
      </c>
      <c r="AE40" s="28" t="s">
        <v>2735</v>
      </c>
    </row>
    <row r="41" spans="21:31">
      <c r="U41" s="28">
        <v>40</v>
      </c>
      <c r="V41" s="28" t="s">
        <v>830</v>
      </c>
      <c r="W41" s="28" t="s">
        <v>2923</v>
      </c>
      <c r="X41" s="28" t="s">
        <v>2924</v>
      </c>
      <c r="Y41" s="28" t="s">
        <v>2941</v>
      </c>
      <c r="Z41" s="28" t="s">
        <v>2942</v>
      </c>
      <c r="AA41" s="28" t="s">
        <v>1379</v>
      </c>
      <c r="AB41" s="28" t="s">
        <v>1380</v>
      </c>
      <c r="AC41" s="28" t="s">
        <v>1377</v>
      </c>
      <c r="AD41" s="28" t="s">
        <v>1381</v>
      </c>
      <c r="AE41" s="28" t="s">
        <v>2735</v>
      </c>
    </row>
    <row r="42" spans="21:31">
      <c r="U42" s="28">
        <v>41</v>
      </c>
      <c r="V42" s="28" t="s">
        <v>830</v>
      </c>
      <c r="W42" s="28" t="s">
        <v>2923</v>
      </c>
      <c r="X42" s="28" t="s">
        <v>2924</v>
      </c>
      <c r="Y42" s="28" t="s">
        <v>2943</v>
      </c>
      <c r="Z42" s="28" t="s">
        <v>2944</v>
      </c>
      <c r="AA42" s="28" t="s">
        <v>1413</v>
      </c>
      <c r="AB42" s="28" t="s">
        <v>1414</v>
      </c>
      <c r="AC42" s="28" t="s">
        <v>1415</v>
      </c>
      <c r="AD42" s="28" t="s">
        <v>1396</v>
      </c>
      <c r="AE42" s="28" t="s">
        <v>2737</v>
      </c>
    </row>
    <row r="43" spans="21:31">
      <c r="U43" s="28">
        <v>42</v>
      </c>
      <c r="V43" s="28" t="s">
        <v>830</v>
      </c>
      <c r="W43" s="28" t="s">
        <v>2945</v>
      </c>
      <c r="X43" s="28" t="s">
        <v>2946</v>
      </c>
      <c r="Y43" s="28" t="s">
        <v>2949</v>
      </c>
      <c r="Z43" s="28" t="s">
        <v>2950</v>
      </c>
      <c r="AA43" s="28" t="s">
        <v>1416</v>
      </c>
      <c r="AB43" s="28" t="s">
        <v>1417</v>
      </c>
      <c r="AC43" s="28" t="s">
        <v>1418</v>
      </c>
      <c r="AD43" s="28" t="s">
        <v>1419</v>
      </c>
      <c r="AE43" s="28" t="s">
        <v>2735</v>
      </c>
    </row>
    <row r="44" spans="21:31">
      <c r="U44" s="28">
        <v>43</v>
      </c>
      <c r="V44" s="28" t="s">
        <v>830</v>
      </c>
      <c r="W44" s="28" t="s">
        <v>2945</v>
      </c>
      <c r="X44" s="28" t="s">
        <v>2946</v>
      </c>
      <c r="Y44" s="28" t="s">
        <v>2949</v>
      </c>
      <c r="Z44" s="28" t="s">
        <v>2950</v>
      </c>
      <c r="AA44" s="28" t="s">
        <v>1420</v>
      </c>
      <c r="AB44" s="28" t="s">
        <v>1421</v>
      </c>
      <c r="AC44" s="28" t="s">
        <v>1422</v>
      </c>
      <c r="AD44" s="28" t="s">
        <v>1419</v>
      </c>
      <c r="AE44" s="28" t="s">
        <v>2737</v>
      </c>
    </row>
    <row r="45" spans="21:31">
      <c r="U45" s="28">
        <v>44</v>
      </c>
      <c r="V45" s="28" t="s">
        <v>830</v>
      </c>
      <c r="W45" s="28" t="s">
        <v>2945</v>
      </c>
      <c r="X45" s="28" t="s">
        <v>2946</v>
      </c>
      <c r="Y45" s="28" t="s">
        <v>2951</v>
      </c>
      <c r="Z45" s="28" t="s">
        <v>2952</v>
      </c>
      <c r="AA45" s="28" t="s">
        <v>1416</v>
      </c>
      <c r="AB45" s="28" t="s">
        <v>1417</v>
      </c>
      <c r="AC45" s="28" t="s">
        <v>1418</v>
      </c>
      <c r="AD45" s="28" t="s">
        <v>1419</v>
      </c>
      <c r="AE45" s="28" t="s">
        <v>2735</v>
      </c>
    </row>
    <row r="46" spans="21:31">
      <c r="U46" s="28">
        <v>45</v>
      </c>
      <c r="V46" s="28" t="s">
        <v>830</v>
      </c>
      <c r="W46" s="28" t="s">
        <v>2945</v>
      </c>
      <c r="X46" s="28" t="s">
        <v>2946</v>
      </c>
      <c r="Y46" s="28" t="s">
        <v>2951</v>
      </c>
      <c r="Z46" s="28" t="s">
        <v>2952</v>
      </c>
      <c r="AA46" s="28" t="s">
        <v>1420</v>
      </c>
      <c r="AB46" s="28" t="s">
        <v>1421</v>
      </c>
      <c r="AC46" s="28" t="s">
        <v>1422</v>
      </c>
      <c r="AD46" s="28" t="s">
        <v>1419</v>
      </c>
      <c r="AE46" s="28" t="s">
        <v>2737</v>
      </c>
    </row>
    <row r="47" spans="21:31">
      <c r="U47" s="28">
        <v>46</v>
      </c>
      <c r="V47" s="28" t="s">
        <v>830</v>
      </c>
      <c r="W47" s="28" t="s">
        <v>2945</v>
      </c>
      <c r="X47" s="28" t="s">
        <v>2946</v>
      </c>
      <c r="Y47" s="28" t="s">
        <v>2953</v>
      </c>
      <c r="Z47" s="28" t="s">
        <v>2954</v>
      </c>
      <c r="AA47" s="28" t="s">
        <v>1375</v>
      </c>
      <c r="AB47" s="28" t="s">
        <v>1376</v>
      </c>
      <c r="AC47" s="28" t="s">
        <v>1377</v>
      </c>
      <c r="AD47" s="28" t="s">
        <v>1378</v>
      </c>
      <c r="AE47" s="28" t="s">
        <v>2735</v>
      </c>
    </row>
    <row r="48" spans="21:31">
      <c r="U48" s="28">
        <v>47</v>
      </c>
      <c r="V48" s="28" t="s">
        <v>830</v>
      </c>
      <c r="W48" s="28" t="s">
        <v>2945</v>
      </c>
      <c r="X48" s="28" t="s">
        <v>2946</v>
      </c>
      <c r="Y48" s="28" t="s">
        <v>2953</v>
      </c>
      <c r="Z48" s="28" t="s">
        <v>2954</v>
      </c>
      <c r="AA48" s="28" t="s">
        <v>1379</v>
      </c>
      <c r="AB48" s="28" t="s">
        <v>1380</v>
      </c>
      <c r="AC48" s="28" t="s">
        <v>1377</v>
      </c>
      <c r="AD48" s="28" t="s">
        <v>1381</v>
      </c>
      <c r="AE48" s="28" t="s">
        <v>2735</v>
      </c>
    </row>
    <row r="49" spans="21:31">
      <c r="U49" s="28">
        <v>48</v>
      </c>
      <c r="V49" s="28" t="s">
        <v>830</v>
      </c>
      <c r="W49" s="28" t="s">
        <v>2945</v>
      </c>
      <c r="X49" s="28" t="s">
        <v>2946</v>
      </c>
      <c r="Y49" s="28" t="s">
        <v>2953</v>
      </c>
      <c r="Z49" s="28" t="s">
        <v>2954</v>
      </c>
      <c r="AA49" s="28" t="s">
        <v>1416</v>
      </c>
      <c r="AB49" s="28" t="s">
        <v>1417</v>
      </c>
      <c r="AC49" s="28" t="s">
        <v>1418</v>
      </c>
      <c r="AD49" s="28" t="s">
        <v>1419</v>
      </c>
      <c r="AE49" s="28" t="s">
        <v>2735</v>
      </c>
    </row>
    <row r="50" spans="21:31">
      <c r="U50" s="28">
        <v>49</v>
      </c>
      <c r="V50" s="28" t="s">
        <v>830</v>
      </c>
      <c r="W50" s="28" t="s">
        <v>2945</v>
      </c>
      <c r="X50" s="28" t="s">
        <v>2946</v>
      </c>
      <c r="Y50" s="28" t="s">
        <v>922</v>
      </c>
      <c r="Z50" s="28" t="s">
        <v>923</v>
      </c>
      <c r="AA50" s="28" t="s">
        <v>1375</v>
      </c>
      <c r="AB50" s="28" t="s">
        <v>1376</v>
      </c>
      <c r="AC50" s="28" t="s">
        <v>1377</v>
      </c>
      <c r="AD50" s="28" t="s">
        <v>1378</v>
      </c>
      <c r="AE50" s="28" t="s">
        <v>2735</v>
      </c>
    </row>
    <row r="51" spans="21:31">
      <c r="U51" s="28">
        <v>50</v>
      </c>
      <c r="V51" s="28" t="s">
        <v>830</v>
      </c>
      <c r="W51" s="28" t="s">
        <v>2945</v>
      </c>
      <c r="X51" s="28" t="s">
        <v>2946</v>
      </c>
      <c r="Y51" s="28" t="s">
        <v>922</v>
      </c>
      <c r="Z51" s="28" t="s">
        <v>923</v>
      </c>
      <c r="AA51" s="28" t="s">
        <v>1416</v>
      </c>
      <c r="AB51" s="28" t="s">
        <v>1417</v>
      </c>
      <c r="AC51" s="28" t="s">
        <v>1418</v>
      </c>
      <c r="AD51" s="28" t="s">
        <v>1419</v>
      </c>
      <c r="AE51" s="28" t="s">
        <v>2735</v>
      </c>
    </row>
    <row r="52" spans="21:31">
      <c r="U52" s="28">
        <v>51</v>
      </c>
      <c r="V52" s="28" t="s">
        <v>830</v>
      </c>
      <c r="W52" s="28" t="s">
        <v>2945</v>
      </c>
      <c r="X52" s="28" t="s">
        <v>2946</v>
      </c>
      <c r="Y52" s="28" t="s">
        <v>922</v>
      </c>
      <c r="Z52" s="28" t="s">
        <v>923</v>
      </c>
      <c r="AA52" s="28" t="s">
        <v>1420</v>
      </c>
      <c r="AB52" s="28" t="s">
        <v>1421</v>
      </c>
      <c r="AC52" s="28" t="s">
        <v>1422</v>
      </c>
      <c r="AD52" s="28" t="s">
        <v>1419</v>
      </c>
      <c r="AE52" s="28" t="s">
        <v>2737</v>
      </c>
    </row>
    <row r="53" spans="21:31">
      <c r="U53" s="28">
        <v>52</v>
      </c>
      <c r="V53" s="28" t="s">
        <v>830</v>
      </c>
      <c r="W53" s="28" t="s">
        <v>2945</v>
      </c>
      <c r="X53" s="28" t="s">
        <v>2946</v>
      </c>
      <c r="Y53" s="28" t="s">
        <v>924</v>
      </c>
      <c r="Z53" s="28" t="s">
        <v>925</v>
      </c>
      <c r="AA53" s="28" t="s">
        <v>1346</v>
      </c>
      <c r="AB53" s="28" t="s">
        <v>1347</v>
      </c>
      <c r="AC53" s="28" t="s">
        <v>1348</v>
      </c>
      <c r="AD53" s="28" t="s">
        <v>1349</v>
      </c>
      <c r="AE53" s="28" t="s">
        <v>2735</v>
      </c>
    </row>
    <row r="54" spans="21:31">
      <c r="U54" s="28">
        <v>53</v>
      </c>
      <c r="V54" s="28" t="s">
        <v>830</v>
      </c>
      <c r="W54" s="28" t="s">
        <v>2945</v>
      </c>
      <c r="X54" s="28" t="s">
        <v>2946</v>
      </c>
      <c r="Y54" s="28" t="s">
        <v>924</v>
      </c>
      <c r="Z54" s="28" t="s">
        <v>925</v>
      </c>
      <c r="AA54" s="28" t="s">
        <v>1350</v>
      </c>
      <c r="AB54" s="28" t="s">
        <v>1351</v>
      </c>
      <c r="AC54" s="28" t="s">
        <v>1348</v>
      </c>
      <c r="AD54" s="28" t="s">
        <v>1352</v>
      </c>
      <c r="AE54" s="28" t="s">
        <v>1353</v>
      </c>
    </row>
    <row r="55" spans="21:31">
      <c r="U55" s="28">
        <v>54</v>
      </c>
      <c r="V55" s="28" t="s">
        <v>830</v>
      </c>
      <c r="W55" s="28" t="s">
        <v>2945</v>
      </c>
      <c r="X55" s="28" t="s">
        <v>2946</v>
      </c>
      <c r="Y55" s="28" t="s">
        <v>924</v>
      </c>
      <c r="Z55" s="28" t="s">
        <v>925</v>
      </c>
      <c r="AA55" s="28" t="s">
        <v>1423</v>
      </c>
      <c r="AB55" s="28" t="s">
        <v>1424</v>
      </c>
      <c r="AC55" s="28" t="s">
        <v>1425</v>
      </c>
      <c r="AD55" s="28" t="s">
        <v>1419</v>
      </c>
      <c r="AE55" s="28" t="s">
        <v>2735</v>
      </c>
    </row>
    <row r="56" spans="21:31">
      <c r="U56" s="28">
        <v>55</v>
      </c>
      <c r="V56" s="28" t="s">
        <v>830</v>
      </c>
      <c r="W56" s="28" t="s">
        <v>2945</v>
      </c>
      <c r="X56" s="28" t="s">
        <v>2946</v>
      </c>
      <c r="Y56" s="28" t="s">
        <v>928</v>
      </c>
      <c r="Z56" s="28" t="s">
        <v>929</v>
      </c>
      <c r="AA56" s="28" t="s">
        <v>1423</v>
      </c>
      <c r="AB56" s="28" t="s">
        <v>1424</v>
      </c>
      <c r="AC56" s="28" t="s">
        <v>1425</v>
      </c>
      <c r="AD56" s="28" t="s">
        <v>1419</v>
      </c>
      <c r="AE56" s="28" t="s">
        <v>2735</v>
      </c>
    </row>
    <row r="57" spans="21:31">
      <c r="U57" s="28">
        <v>56</v>
      </c>
      <c r="V57" s="28" t="s">
        <v>830</v>
      </c>
      <c r="W57" s="28" t="s">
        <v>2945</v>
      </c>
      <c r="X57" s="28" t="s">
        <v>2946</v>
      </c>
      <c r="Y57" s="28" t="s">
        <v>928</v>
      </c>
      <c r="Z57" s="28" t="s">
        <v>929</v>
      </c>
      <c r="AA57" s="28" t="s">
        <v>1426</v>
      </c>
      <c r="AB57" s="28" t="s">
        <v>1427</v>
      </c>
      <c r="AC57" s="28" t="s">
        <v>1428</v>
      </c>
      <c r="AD57" s="28" t="s">
        <v>1419</v>
      </c>
      <c r="AE57" s="28" t="s">
        <v>2737</v>
      </c>
    </row>
    <row r="58" spans="21:31">
      <c r="U58" s="28">
        <v>57</v>
      </c>
      <c r="V58" s="28" t="s">
        <v>830</v>
      </c>
      <c r="W58" s="28" t="s">
        <v>2945</v>
      </c>
      <c r="X58" s="28" t="s">
        <v>2946</v>
      </c>
      <c r="Y58" s="28" t="s">
        <v>930</v>
      </c>
      <c r="Z58" s="28" t="s">
        <v>931</v>
      </c>
      <c r="AA58" s="28" t="s">
        <v>1416</v>
      </c>
      <c r="AB58" s="28" t="s">
        <v>1417</v>
      </c>
      <c r="AC58" s="28" t="s">
        <v>1418</v>
      </c>
      <c r="AD58" s="28" t="s">
        <v>1419</v>
      </c>
      <c r="AE58" s="28" t="s">
        <v>2735</v>
      </c>
    </row>
    <row r="59" spans="21:31">
      <c r="U59" s="28">
        <v>58</v>
      </c>
      <c r="V59" s="28" t="s">
        <v>830</v>
      </c>
      <c r="W59" s="28" t="s">
        <v>2945</v>
      </c>
      <c r="X59" s="28" t="s">
        <v>2946</v>
      </c>
      <c r="Y59" s="28" t="s">
        <v>930</v>
      </c>
      <c r="Z59" s="28" t="s">
        <v>931</v>
      </c>
      <c r="AA59" s="28" t="s">
        <v>1420</v>
      </c>
      <c r="AB59" s="28" t="s">
        <v>1421</v>
      </c>
      <c r="AC59" s="28" t="s">
        <v>1422</v>
      </c>
      <c r="AD59" s="28" t="s">
        <v>1419</v>
      </c>
      <c r="AE59" s="28" t="s">
        <v>2737</v>
      </c>
    </row>
    <row r="60" spans="21:31">
      <c r="U60" s="28">
        <v>59</v>
      </c>
      <c r="V60" s="28" t="s">
        <v>830</v>
      </c>
      <c r="W60" s="28" t="s">
        <v>2945</v>
      </c>
      <c r="X60" s="28" t="s">
        <v>2946</v>
      </c>
      <c r="Y60" s="28" t="s">
        <v>938</v>
      </c>
      <c r="Z60" s="28" t="s">
        <v>939</v>
      </c>
      <c r="AA60" s="28" t="s">
        <v>1416</v>
      </c>
      <c r="AB60" s="28" t="s">
        <v>1417</v>
      </c>
      <c r="AC60" s="28" t="s">
        <v>1418</v>
      </c>
      <c r="AD60" s="28" t="s">
        <v>1419</v>
      </c>
      <c r="AE60" s="28" t="s">
        <v>2735</v>
      </c>
    </row>
    <row r="61" spans="21:31">
      <c r="U61" s="28">
        <v>60</v>
      </c>
      <c r="V61" s="28" t="s">
        <v>830</v>
      </c>
      <c r="W61" s="28" t="s">
        <v>2945</v>
      </c>
      <c r="X61" s="28" t="s">
        <v>2946</v>
      </c>
      <c r="Y61" s="28" t="s">
        <v>938</v>
      </c>
      <c r="Z61" s="28" t="s">
        <v>939</v>
      </c>
      <c r="AA61" s="28" t="s">
        <v>1420</v>
      </c>
      <c r="AB61" s="28" t="s">
        <v>1421</v>
      </c>
      <c r="AC61" s="28" t="s">
        <v>1422</v>
      </c>
      <c r="AD61" s="28" t="s">
        <v>1419</v>
      </c>
      <c r="AE61" s="28" t="s">
        <v>2737</v>
      </c>
    </row>
    <row r="62" spans="21:31">
      <c r="U62" s="28">
        <v>61</v>
      </c>
      <c r="V62" s="28" t="s">
        <v>830</v>
      </c>
      <c r="W62" s="28" t="s">
        <v>940</v>
      </c>
      <c r="X62" s="28" t="s">
        <v>941</v>
      </c>
      <c r="Y62" s="28" t="s">
        <v>942</v>
      </c>
      <c r="Z62" s="28" t="s">
        <v>943</v>
      </c>
      <c r="AA62" s="28" t="s">
        <v>1429</v>
      </c>
      <c r="AB62" s="28" t="s">
        <v>1430</v>
      </c>
      <c r="AC62" s="28" t="s">
        <v>1431</v>
      </c>
      <c r="AD62" s="28" t="s">
        <v>1432</v>
      </c>
      <c r="AE62" s="28" t="s">
        <v>2735</v>
      </c>
    </row>
    <row r="63" spans="21:31">
      <c r="U63" s="28">
        <v>62</v>
      </c>
      <c r="V63" s="28" t="s">
        <v>830</v>
      </c>
      <c r="W63" s="28" t="s">
        <v>940</v>
      </c>
      <c r="X63" s="28" t="s">
        <v>941</v>
      </c>
      <c r="Y63" s="28" t="s">
        <v>944</v>
      </c>
      <c r="Z63" s="28" t="s">
        <v>945</v>
      </c>
      <c r="AA63" s="28" t="s">
        <v>1429</v>
      </c>
      <c r="AB63" s="28" t="s">
        <v>1430</v>
      </c>
      <c r="AC63" s="28" t="s">
        <v>1431</v>
      </c>
      <c r="AD63" s="28" t="s">
        <v>1432</v>
      </c>
      <c r="AE63" s="28" t="s">
        <v>2735</v>
      </c>
    </row>
    <row r="64" spans="21:31">
      <c r="U64" s="28">
        <v>63</v>
      </c>
      <c r="V64" s="28" t="s">
        <v>830</v>
      </c>
      <c r="W64" s="28" t="s">
        <v>940</v>
      </c>
      <c r="X64" s="28" t="s">
        <v>941</v>
      </c>
      <c r="Y64" s="28" t="s">
        <v>946</v>
      </c>
      <c r="Z64" s="28" t="s">
        <v>947</v>
      </c>
      <c r="AA64" s="28" t="s">
        <v>1429</v>
      </c>
      <c r="AB64" s="28" t="s">
        <v>1430</v>
      </c>
      <c r="AC64" s="28" t="s">
        <v>1431</v>
      </c>
      <c r="AD64" s="28" t="s">
        <v>1432</v>
      </c>
      <c r="AE64" s="28" t="s">
        <v>2735</v>
      </c>
    </row>
    <row r="65" spans="21:31">
      <c r="U65" s="28">
        <v>64</v>
      </c>
      <c r="V65" s="28" t="s">
        <v>830</v>
      </c>
      <c r="W65" s="28" t="s">
        <v>940</v>
      </c>
      <c r="X65" s="28" t="s">
        <v>941</v>
      </c>
      <c r="Y65" s="28" t="s">
        <v>948</v>
      </c>
      <c r="Z65" s="28" t="s">
        <v>949</v>
      </c>
      <c r="AA65" s="28" t="s">
        <v>1375</v>
      </c>
      <c r="AB65" s="28" t="s">
        <v>1376</v>
      </c>
      <c r="AC65" s="28" t="s">
        <v>1377</v>
      </c>
      <c r="AD65" s="28" t="s">
        <v>1378</v>
      </c>
      <c r="AE65" s="28" t="s">
        <v>2735</v>
      </c>
    </row>
    <row r="66" spans="21:31">
      <c r="U66" s="28">
        <v>65</v>
      </c>
      <c r="V66" s="28" t="s">
        <v>830</v>
      </c>
      <c r="W66" s="28" t="s">
        <v>940</v>
      </c>
      <c r="X66" s="28" t="s">
        <v>941</v>
      </c>
      <c r="Y66" s="28" t="s">
        <v>948</v>
      </c>
      <c r="Z66" s="28" t="s">
        <v>949</v>
      </c>
      <c r="AA66" s="28" t="s">
        <v>1379</v>
      </c>
      <c r="AB66" s="28" t="s">
        <v>1380</v>
      </c>
      <c r="AC66" s="28" t="s">
        <v>1377</v>
      </c>
      <c r="AD66" s="28" t="s">
        <v>1381</v>
      </c>
      <c r="AE66" s="28" t="s">
        <v>2735</v>
      </c>
    </row>
    <row r="67" spans="21:31">
      <c r="U67" s="28">
        <v>66</v>
      </c>
      <c r="V67" s="28" t="s">
        <v>830</v>
      </c>
      <c r="W67" s="28" t="s">
        <v>940</v>
      </c>
      <c r="X67" s="28" t="s">
        <v>941</v>
      </c>
      <c r="Y67" s="28" t="s">
        <v>948</v>
      </c>
      <c r="Z67" s="28" t="s">
        <v>949</v>
      </c>
      <c r="AA67" s="28" t="s">
        <v>1429</v>
      </c>
      <c r="AB67" s="28" t="s">
        <v>1430</v>
      </c>
      <c r="AC67" s="28" t="s">
        <v>1431</v>
      </c>
      <c r="AD67" s="28" t="s">
        <v>1432</v>
      </c>
      <c r="AE67" s="28" t="s">
        <v>2735</v>
      </c>
    </row>
    <row r="68" spans="21:31">
      <c r="U68" s="28">
        <v>67</v>
      </c>
      <c r="V68" s="28" t="s">
        <v>830</v>
      </c>
      <c r="W68" s="28" t="s">
        <v>940</v>
      </c>
      <c r="X68" s="28" t="s">
        <v>941</v>
      </c>
      <c r="Y68" s="28" t="s">
        <v>950</v>
      </c>
      <c r="Z68" s="28" t="s">
        <v>951</v>
      </c>
      <c r="AA68" s="28" t="s">
        <v>1429</v>
      </c>
      <c r="AB68" s="28" t="s">
        <v>1430</v>
      </c>
      <c r="AC68" s="28" t="s">
        <v>1431</v>
      </c>
      <c r="AD68" s="28" t="s">
        <v>1432</v>
      </c>
      <c r="AE68" s="28" t="s">
        <v>2735</v>
      </c>
    </row>
    <row r="69" spans="21:31">
      <c r="U69" s="28">
        <v>68</v>
      </c>
      <c r="V69" s="28" t="s">
        <v>830</v>
      </c>
      <c r="W69" s="28" t="s">
        <v>940</v>
      </c>
      <c r="X69" s="28" t="s">
        <v>941</v>
      </c>
      <c r="Y69" s="28" t="s">
        <v>952</v>
      </c>
      <c r="Z69" s="28" t="s">
        <v>953</v>
      </c>
      <c r="AA69" s="28" t="s">
        <v>1433</v>
      </c>
      <c r="AB69" s="28" t="s">
        <v>1434</v>
      </c>
      <c r="AC69" s="28" t="s">
        <v>1435</v>
      </c>
      <c r="AD69" s="28" t="s">
        <v>1432</v>
      </c>
      <c r="AE69" s="28" t="s">
        <v>2737</v>
      </c>
    </row>
    <row r="70" spans="21:31">
      <c r="U70" s="28">
        <v>69</v>
      </c>
      <c r="V70" s="28" t="s">
        <v>830</v>
      </c>
      <c r="W70" s="28" t="s">
        <v>940</v>
      </c>
      <c r="X70" s="28" t="s">
        <v>941</v>
      </c>
      <c r="Y70" s="28" t="s">
        <v>952</v>
      </c>
      <c r="Z70" s="28" t="s">
        <v>953</v>
      </c>
      <c r="AA70" s="28" t="s">
        <v>1375</v>
      </c>
      <c r="AB70" s="28" t="s">
        <v>1376</v>
      </c>
      <c r="AC70" s="28" t="s">
        <v>1377</v>
      </c>
      <c r="AD70" s="28" t="s">
        <v>1378</v>
      </c>
      <c r="AE70" s="28" t="s">
        <v>2735</v>
      </c>
    </row>
    <row r="71" spans="21:31">
      <c r="U71" s="28">
        <v>70</v>
      </c>
      <c r="V71" s="28" t="s">
        <v>830</v>
      </c>
      <c r="W71" s="28" t="s">
        <v>940</v>
      </c>
      <c r="X71" s="28" t="s">
        <v>941</v>
      </c>
      <c r="Y71" s="28" t="s">
        <v>952</v>
      </c>
      <c r="Z71" s="28" t="s">
        <v>953</v>
      </c>
      <c r="AA71" s="28" t="s">
        <v>1379</v>
      </c>
      <c r="AB71" s="28" t="s">
        <v>1380</v>
      </c>
      <c r="AC71" s="28" t="s">
        <v>1377</v>
      </c>
      <c r="AD71" s="28" t="s">
        <v>1381</v>
      </c>
      <c r="AE71" s="28" t="s">
        <v>2735</v>
      </c>
    </row>
    <row r="72" spans="21:31">
      <c r="U72" s="28">
        <v>71</v>
      </c>
      <c r="V72" s="28" t="s">
        <v>830</v>
      </c>
      <c r="W72" s="28" t="s">
        <v>940</v>
      </c>
      <c r="X72" s="28" t="s">
        <v>941</v>
      </c>
      <c r="Y72" s="28" t="s">
        <v>952</v>
      </c>
      <c r="Z72" s="28" t="s">
        <v>953</v>
      </c>
      <c r="AA72" s="28" t="s">
        <v>1360</v>
      </c>
      <c r="AB72" s="28" t="s">
        <v>1361</v>
      </c>
      <c r="AC72" s="28" t="s">
        <v>1339</v>
      </c>
      <c r="AD72" s="28" t="s">
        <v>1362</v>
      </c>
      <c r="AE72" s="28" t="s">
        <v>2737</v>
      </c>
    </row>
    <row r="73" spans="21:31">
      <c r="U73" s="28">
        <v>72</v>
      </c>
      <c r="V73" s="28" t="s">
        <v>830</v>
      </c>
      <c r="W73" s="28" t="s">
        <v>940</v>
      </c>
      <c r="X73" s="28" t="s">
        <v>941</v>
      </c>
      <c r="Y73" s="28" t="s">
        <v>952</v>
      </c>
      <c r="Z73" s="28" t="s">
        <v>953</v>
      </c>
      <c r="AA73" s="28" t="s">
        <v>1436</v>
      </c>
      <c r="AB73" s="28" t="s">
        <v>1437</v>
      </c>
      <c r="AC73" s="28" t="s">
        <v>1438</v>
      </c>
      <c r="AD73" s="28" t="s">
        <v>1432</v>
      </c>
      <c r="AE73" s="28" t="s">
        <v>2737</v>
      </c>
    </row>
    <row r="74" spans="21:31">
      <c r="U74" s="28">
        <v>73</v>
      </c>
      <c r="V74" s="28" t="s">
        <v>830</v>
      </c>
      <c r="W74" s="28" t="s">
        <v>940</v>
      </c>
      <c r="X74" s="28" t="s">
        <v>941</v>
      </c>
      <c r="Y74" s="28" t="s">
        <v>954</v>
      </c>
      <c r="Z74" s="28" t="s">
        <v>955</v>
      </c>
      <c r="AA74" s="28" t="s">
        <v>1439</v>
      </c>
      <c r="AB74" s="28" t="s">
        <v>1440</v>
      </c>
      <c r="AC74" s="28" t="s">
        <v>1441</v>
      </c>
      <c r="AD74" s="28" t="s">
        <v>1432</v>
      </c>
      <c r="AE74" s="28" t="s">
        <v>2735</v>
      </c>
    </row>
    <row r="75" spans="21:31">
      <c r="U75" s="28">
        <v>74</v>
      </c>
      <c r="V75" s="28" t="s">
        <v>830</v>
      </c>
      <c r="W75" s="28" t="s">
        <v>940</v>
      </c>
      <c r="X75" s="28" t="s">
        <v>941</v>
      </c>
      <c r="Y75" s="28" t="s">
        <v>956</v>
      </c>
      <c r="Z75" s="28" t="s">
        <v>957</v>
      </c>
      <c r="AA75" s="28" t="s">
        <v>1439</v>
      </c>
      <c r="AB75" s="28" t="s">
        <v>1440</v>
      </c>
      <c r="AC75" s="28" t="s">
        <v>1441</v>
      </c>
      <c r="AD75" s="28" t="s">
        <v>1432</v>
      </c>
      <c r="AE75" s="28" t="s">
        <v>2735</v>
      </c>
    </row>
    <row r="76" spans="21:31">
      <c r="U76" s="28">
        <v>75</v>
      </c>
      <c r="V76" s="28" t="s">
        <v>830</v>
      </c>
      <c r="W76" s="28" t="s">
        <v>940</v>
      </c>
      <c r="X76" s="28" t="s">
        <v>941</v>
      </c>
      <c r="Y76" s="28" t="s">
        <v>958</v>
      </c>
      <c r="Z76" s="28" t="s">
        <v>959</v>
      </c>
      <c r="AA76" s="28" t="s">
        <v>1439</v>
      </c>
      <c r="AB76" s="28" t="s">
        <v>1440</v>
      </c>
      <c r="AC76" s="28" t="s">
        <v>1441</v>
      </c>
      <c r="AD76" s="28" t="s">
        <v>1432</v>
      </c>
      <c r="AE76" s="28" t="s">
        <v>2735</v>
      </c>
    </row>
    <row r="77" spans="21:31">
      <c r="U77" s="28">
        <v>76</v>
      </c>
      <c r="V77" s="28" t="s">
        <v>830</v>
      </c>
      <c r="W77" s="28" t="s">
        <v>940</v>
      </c>
      <c r="X77" s="28" t="s">
        <v>941</v>
      </c>
      <c r="Y77" s="28" t="s">
        <v>960</v>
      </c>
      <c r="Z77" s="28" t="s">
        <v>961</v>
      </c>
      <c r="AA77" s="28" t="s">
        <v>1429</v>
      </c>
      <c r="AB77" s="28" t="s">
        <v>1430</v>
      </c>
      <c r="AC77" s="28" t="s">
        <v>1431</v>
      </c>
      <c r="AD77" s="28" t="s">
        <v>1432</v>
      </c>
      <c r="AE77" s="28" t="s">
        <v>2735</v>
      </c>
    </row>
    <row r="78" spans="21:31">
      <c r="U78" s="28">
        <v>77</v>
      </c>
      <c r="V78" s="28" t="s">
        <v>830</v>
      </c>
      <c r="W78" s="28" t="s">
        <v>940</v>
      </c>
      <c r="X78" s="28" t="s">
        <v>941</v>
      </c>
      <c r="Y78" s="28" t="s">
        <v>962</v>
      </c>
      <c r="Z78" s="28" t="s">
        <v>963</v>
      </c>
      <c r="AA78" s="28" t="s">
        <v>1429</v>
      </c>
      <c r="AB78" s="28" t="s">
        <v>1430</v>
      </c>
      <c r="AC78" s="28" t="s">
        <v>1431</v>
      </c>
      <c r="AD78" s="28" t="s">
        <v>1432</v>
      </c>
      <c r="AE78" s="28" t="s">
        <v>2735</v>
      </c>
    </row>
    <row r="79" spans="21:31">
      <c r="U79" s="28">
        <v>78</v>
      </c>
      <c r="V79" s="28" t="s">
        <v>830</v>
      </c>
      <c r="W79" s="28" t="s">
        <v>940</v>
      </c>
      <c r="X79" s="28" t="s">
        <v>941</v>
      </c>
      <c r="Y79" s="28" t="s">
        <v>964</v>
      </c>
      <c r="Z79" s="28" t="s">
        <v>965</v>
      </c>
      <c r="AA79" s="28" t="s">
        <v>1439</v>
      </c>
      <c r="AB79" s="28" t="s">
        <v>1440</v>
      </c>
      <c r="AC79" s="28" t="s">
        <v>1441</v>
      </c>
      <c r="AD79" s="28" t="s">
        <v>1432</v>
      </c>
      <c r="AE79" s="28" t="s">
        <v>2735</v>
      </c>
    </row>
    <row r="80" spans="21:31">
      <c r="U80" s="28">
        <v>79</v>
      </c>
      <c r="V80" s="28" t="s">
        <v>830</v>
      </c>
      <c r="W80" s="28" t="s">
        <v>940</v>
      </c>
      <c r="X80" s="28" t="s">
        <v>941</v>
      </c>
      <c r="Y80" s="28" t="s">
        <v>968</v>
      </c>
      <c r="Z80" s="28" t="s">
        <v>969</v>
      </c>
      <c r="AA80" s="28" t="s">
        <v>1442</v>
      </c>
      <c r="AB80" s="28" t="s">
        <v>1443</v>
      </c>
      <c r="AC80" s="28" t="s">
        <v>1444</v>
      </c>
      <c r="AD80" s="28" t="s">
        <v>1432</v>
      </c>
      <c r="AE80" s="28" t="s">
        <v>2737</v>
      </c>
    </row>
    <row r="81" spans="21:31">
      <c r="U81" s="28">
        <v>80</v>
      </c>
      <c r="V81" s="28" t="s">
        <v>830</v>
      </c>
      <c r="W81" s="28" t="s">
        <v>940</v>
      </c>
      <c r="X81" s="28" t="s">
        <v>941</v>
      </c>
      <c r="Y81" s="28" t="s">
        <v>970</v>
      </c>
      <c r="Z81" s="28" t="s">
        <v>971</v>
      </c>
      <c r="AA81" s="28" t="s">
        <v>1429</v>
      </c>
      <c r="AB81" s="28" t="s">
        <v>1430</v>
      </c>
      <c r="AC81" s="28" t="s">
        <v>1431</v>
      </c>
      <c r="AD81" s="28" t="s">
        <v>1432</v>
      </c>
      <c r="AE81" s="28" t="s">
        <v>2735</v>
      </c>
    </row>
    <row r="82" spans="21:31">
      <c r="U82" s="28">
        <v>81</v>
      </c>
      <c r="V82" s="28" t="s">
        <v>830</v>
      </c>
      <c r="W82" s="28" t="s">
        <v>940</v>
      </c>
      <c r="X82" s="28" t="s">
        <v>941</v>
      </c>
      <c r="Y82" s="28" t="s">
        <v>972</v>
      </c>
      <c r="Z82" s="28" t="s">
        <v>973</v>
      </c>
      <c r="AA82" s="28" t="s">
        <v>1375</v>
      </c>
      <c r="AB82" s="28" t="s">
        <v>1376</v>
      </c>
      <c r="AC82" s="28" t="s">
        <v>1377</v>
      </c>
      <c r="AD82" s="28" t="s">
        <v>1378</v>
      </c>
      <c r="AE82" s="28" t="s">
        <v>2735</v>
      </c>
    </row>
    <row r="83" spans="21:31">
      <c r="U83" s="28">
        <v>82</v>
      </c>
      <c r="V83" s="28" t="s">
        <v>830</v>
      </c>
      <c r="W83" s="28" t="s">
        <v>940</v>
      </c>
      <c r="X83" s="28" t="s">
        <v>941</v>
      </c>
      <c r="Y83" s="28" t="s">
        <v>972</v>
      </c>
      <c r="Z83" s="28" t="s">
        <v>973</v>
      </c>
      <c r="AA83" s="28" t="s">
        <v>1439</v>
      </c>
      <c r="AB83" s="28" t="s">
        <v>1440</v>
      </c>
      <c r="AC83" s="28" t="s">
        <v>1441</v>
      </c>
      <c r="AD83" s="28" t="s">
        <v>1432</v>
      </c>
      <c r="AE83" s="28" t="s">
        <v>2735</v>
      </c>
    </row>
    <row r="84" spans="21:31">
      <c r="U84" s="28">
        <v>83</v>
      </c>
      <c r="V84" s="28" t="s">
        <v>830</v>
      </c>
      <c r="W84" s="28" t="s">
        <v>940</v>
      </c>
      <c r="X84" s="28" t="s">
        <v>941</v>
      </c>
      <c r="Y84" s="28" t="s">
        <v>974</v>
      </c>
      <c r="Z84" s="28" t="s">
        <v>975</v>
      </c>
      <c r="AA84" s="28" t="s">
        <v>1439</v>
      </c>
      <c r="AB84" s="28" t="s">
        <v>1440</v>
      </c>
      <c r="AC84" s="28" t="s">
        <v>1441</v>
      </c>
      <c r="AD84" s="28" t="s">
        <v>1432</v>
      </c>
      <c r="AE84" s="28" t="s">
        <v>2735</v>
      </c>
    </row>
    <row r="85" spans="21:31">
      <c r="U85" s="28">
        <v>84</v>
      </c>
      <c r="V85" s="28" t="s">
        <v>830</v>
      </c>
      <c r="W85" s="28" t="s">
        <v>940</v>
      </c>
      <c r="X85" s="28" t="s">
        <v>941</v>
      </c>
      <c r="Y85" s="28" t="s">
        <v>976</v>
      </c>
      <c r="Z85" s="28" t="s">
        <v>977</v>
      </c>
      <c r="AA85" s="28" t="s">
        <v>1429</v>
      </c>
      <c r="AB85" s="28" t="s">
        <v>1430</v>
      </c>
      <c r="AC85" s="28" t="s">
        <v>1431</v>
      </c>
      <c r="AD85" s="28" t="s">
        <v>1432</v>
      </c>
      <c r="AE85" s="28" t="s">
        <v>2735</v>
      </c>
    </row>
    <row r="86" spans="21:31">
      <c r="U86" s="28">
        <v>85</v>
      </c>
      <c r="V86" s="28" t="s">
        <v>830</v>
      </c>
      <c r="W86" s="28" t="s">
        <v>940</v>
      </c>
      <c r="X86" s="28" t="s">
        <v>941</v>
      </c>
      <c r="Y86" s="28" t="s">
        <v>978</v>
      </c>
      <c r="Z86" s="28" t="s">
        <v>979</v>
      </c>
      <c r="AA86" s="28" t="s">
        <v>1442</v>
      </c>
      <c r="AB86" s="28" t="s">
        <v>1443</v>
      </c>
      <c r="AC86" s="28" t="s">
        <v>1444</v>
      </c>
      <c r="AD86" s="28" t="s">
        <v>1432</v>
      </c>
      <c r="AE86" s="28" t="s">
        <v>2737</v>
      </c>
    </row>
    <row r="87" spans="21:31">
      <c r="U87" s="28">
        <v>86</v>
      </c>
      <c r="V87" s="28" t="s">
        <v>830</v>
      </c>
      <c r="W87" s="28" t="s">
        <v>2879</v>
      </c>
      <c r="X87" s="28" t="s">
        <v>980</v>
      </c>
      <c r="Y87" s="28" t="s">
        <v>2879</v>
      </c>
      <c r="Z87" s="28" t="s">
        <v>980</v>
      </c>
      <c r="AA87" s="28" t="s">
        <v>1350</v>
      </c>
      <c r="AB87" s="28" t="s">
        <v>1351</v>
      </c>
      <c r="AC87" s="28" t="s">
        <v>1348</v>
      </c>
      <c r="AD87" s="28" t="s">
        <v>1352</v>
      </c>
      <c r="AE87" s="28" t="s">
        <v>1353</v>
      </c>
    </row>
    <row r="88" spans="21:31">
      <c r="U88" s="28">
        <v>87</v>
      </c>
      <c r="V88" s="28" t="s">
        <v>830</v>
      </c>
      <c r="W88" s="28" t="s">
        <v>981</v>
      </c>
      <c r="X88" s="28" t="s">
        <v>982</v>
      </c>
      <c r="Y88" s="28" t="s">
        <v>981</v>
      </c>
      <c r="Z88" s="28" t="s">
        <v>982</v>
      </c>
      <c r="AA88" s="28" t="s">
        <v>1375</v>
      </c>
      <c r="AB88" s="28" t="s">
        <v>1376</v>
      </c>
      <c r="AC88" s="28" t="s">
        <v>1377</v>
      </c>
      <c r="AD88" s="28" t="s">
        <v>1378</v>
      </c>
      <c r="AE88" s="28" t="s">
        <v>2735</v>
      </c>
    </row>
    <row r="89" spans="21:31">
      <c r="U89" s="28">
        <v>88</v>
      </c>
      <c r="V89" s="28" t="s">
        <v>830</v>
      </c>
      <c r="W89" s="28" t="s">
        <v>981</v>
      </c>
      <c r="X89" s="28" t="s">
        <v>982</v>
      </c>
      <c r="Y89" s="28" t="s">
        <v>981</v>
      </c>
      <c r="Z89" s="28" t="s">
        <v>982</v>
      </c>
      <c r="AA89" s="28" t="s">
        <v>1379</v>
      </c>
      <c r="AB89" s="28" t="s">
        <v>1380</v>
      </c>
      <c r="AC89" s="28" t="s">
        <v>1377</v>
      </c>
      <c r="AD89" s="28" t="s">
        <v>1381</v>
      </c>
      <c r="AE89" s="28" t="s">
        <v>2735</v>
      </c>
    </row>
    <row r="90" spans="21:31">
      <c r="U90" s="28">
        <v>89</v>
      </c>
      <c r="V90" s="28" t="s">
        <v>830</v>
      </c>
      <c r="W90" s="28" t="s">
        <v>981</v>
      </c>
      <c r="X90" s="28" t="s">
        <v>982</v>
      </c>
      <c r="Y90" s="28" t="s">
        <v>981</v>
      </c>
      <c r="Z90" s="28" t="s">
        <v>982</v>
      </c>
      <c r="AA90" s="28" t="s">
        <v>1360</v>
      </c>
      <c r="AB90" s="28" t="s">
        <v>1361</v>
      </c>
      <c r="AC90" s="28" t="s">
        <v>1339</v>
      </c>
      <c r="AD90" s="28" t="s">
        <v>1362</v>
      </c>
      <c r="AE90" s="28" t="s">
        <v>2737</v>
      </c>
    </row>
    <row r="91" spans="21:31">
      <c r="U91" s="28">
        <v>90</v>
      </c>
      <c r="V91" s="28" t="s">
        <v>830</v>
      </c>
      <c r="W91" s="28" t="s">
        <v>981</v>
      </c>
      <c r="X91" s="28" t="s">
        <v>982</v>
      </c>
      <c r="Y91" s="28" t="s">
        <v>981</v>
      </c>
      <c r="Z91" s="28" t="s">
        <v>982</v>
      </c>
      <c r="AA91" s="28" t="s">
        <v>1445</v>
      </c>
      <c r="AB91" s="28" t="s">
        <v>1446</v>
      </c>
      <c r="AC91" s="28" t="s">
        <v>1447</v>
      </c>
      <c r="AD91" s="28" t="s">
        <v>1448</v>
      </c>
      <c r="AE91" s="28" t="s">
        <v>2737</v>
      </c>
    </row>
    <row r="92" spans="21:31">
      <c r="U92" s="28">
        <v>91</v>
      </c>
      <c r="V92" s="28" t="s">
        <v>830</v>
      </c>
      <c r="W92" s="28" t="s">
        <v>983</v>
      </c>
      <c r="X92" s="28" t="s">
        <v>984</v>
      </c>
      <c r="Y92" s="28" t="s">
        <v>983</v>
      </c>
      <c r="Z92" s="28" t="s">
        <v>984</v>
      </c>
      <c r="AA92" s="28" t="s">
        <v>1375</v>
      </c>
      <c r="AB92" s="28" t="s">
        <v>1376</v>
      </c>
      <c r="AC92" s="28" t="s">
        <v>1377</v>
      </c>
      <c r="AD92" s="28" t="s">
        <v>1378</v>
      </c>
      <c r="AE92" s="28" t="s">
        <v>2735</v>
      </c>
    </row>
    <row r="93" spans="21:31">
      <c r="U93" s="28">
        <v>92</v>
      </c>
      <c r="V93" s="28" t="s">
        <v>830</v>
      </c>
      <c r="W93" s="28" t="s">
        <v>983</v>
      </c>
      <c r="X93" s="28" t="s">
        <v>984</v>
      </c>
      <c r="Y93" s="28" t="s">
        <v>983</v>
      </c>
      <c r="Z93" s="28" t="s">
        <v>984</v>
      </c>
      <c r="AA93" s="28" t="s">
        <v>1379</v>
      </c>
      <c r="AB93" s="28" t="s">
        <v>1380</v>
      </c>
      <c r="AC93" s="28" t="s">
        <v>1377</v>
      </c>
      <c r="AD93" s="28" t="s">
        <v>1381</v>
      </c>
      <c r="AE93" s="28" t="s">
        <v>2735</v>
      </c>
    </row>
    <row r="94" spans="21:31">
      <c r="U94" s="28">
        <v>93</v>
      </c>
      <c r="V94" s="28" t="s">
        <v>830</v>
      </c>
      <c r="W94" s="28" t="s">
        <v>983</v>
      </c>
      <c r="X94" s="28" t="s">
        <v>984</v>
      </c>
      <c r="Y94" s="28" t="s">
        <v>983</v>
      </c>
      <c r="Z94" s="28" t="s">
        <v>984</v>
      </c>
      <c r="AA94" s="28" t="s">
        <v>1346</v>
      </c>
      <c r="AB94" s="28" t="s">
        <v>1347</v>
      </c>
      <c r="AC94" s="28" t="s">
        <v>1348</v>
      </c>
      <c r="AD94" s="28" t="s">
        <v>1349</v>
      </c>
      <c r="AE94" s="28" t="s">
        <v>2735</v>
      </c>
    </row>
    <row r="95" spans="21:31">
      <c r="U95" s="28">
        <v>94</v>
      </c>
      <c r="V95" s="28" t="s">
        <v>830</v>
      </c>
      <c r="W95" s="28" t="s">
        <v>983</v>
      </c>
      <c r="X95" s="28" t="s">
        <v>984</v>
      </c>
      <c r="Y95" s="28" t="s">
        <v>983</v>
      </c>
      <c r="Z95" s="28" t="s">
        <v>984</v>
      </c>
      <c r="AA95" s="28" t="s">
        <v>1350</v>
      </c>
      <c r="AB95" s="28" t="s">
        <v>1351</v>
      </c>
      <c r="AC95" s="28" t="s">
        <v>1348</v>
      </c>
      <c r="AD95" s="28" t="s">
        <v>1352</v>
      </c>
      <c r="AE95" s="28" t="s">
        <v>1353</v>
      </c>
    </row>
    <row r="96" spans="21:31">
      <c r="U96" s="28">
        <v>95</v>
      </c>
      <c r="V96" s="28" t="s">
        <v>830</v>
      </c>
      <c r="W96" s="28" t="s">
        <v>983</v>
      </c>
      <c r="X96" s="28" t="s">
        <v>984</v>
      </c>
      <c r="Y96" s="28" t="s">
        <v>983</v>
      </c>
      <c r="Z96" s="28" t="s">
        <v>984</v>
      </c>
      <c r="AA96" s="28" t="s">
        <v>1337</v>
      </c>
      <c r="AB96" s="28" t="s">
        <v>1338</v>
      </c>
      <c r="AC96" s="28" t="s">
        <v>1339</v>
      </c>
      <c r="AD96" s="28" t="s">
        <v>1340</v>
      </c>
      <c r="AE96" s="28" t="s">
        <v>1341</v>
      </c>
    </row>
    <row r="97" spans="21:31">
      <c r="U97" s="28">
        <v>96</v>
      </c>
      <c r="V97" s="28" t="s">
        <v>830</v>
      </c>
      <c r="W97" s="28" t="s">
        <v>983</v>
      </c>
      <c r="X97" s="28" t="s">
        <v>984</v>
      </c>
      <c r="Y97" s="28" t="s">
        <v>985</v>
      </c>
      <c r="Z97" s="28" t="s">
        <v>984</v>
      </c>
      <c r="AA97" s="28" t="s">
        <v>1375</v>
      </c>
      <c r="AB97" s="28" t="s">
        <v>1376</v>
      </c>
      <c r="AC97" s="28" t="s">
        <v>1377</v>
      </c>
      <c r="AD97" s="28" t="s">
        <v>1378</v>
      </c>
      <c r="AE97" s="28" t="s">
        <v>2735</v>
      </c>
    </row>
    <row r="98" spans="21:31">
      <c r="U98" s="28">
        <v>97</v>
      </c>
      <c r="V98" s="28" t="s">
        <v>830</v>
      </c>
      <c r="W98" s="28" t="s">
        <v>983</v>
      </c>
      <c r="X98" s="28" t="s">
        <v>984</v>
      </c>
      <c r="Y98" s="28" t="s">
        <v>985</v>
      </c>
      <c r="Z98" s="28" t="s">
        <v>984</v>
      </c>
      <c r="AA98" s="28" t="s">
        <v>1379</v>
      </c>
      <c r="AB98" s="28" t="s">
        <v>1380</v>
      </c>
      <c r="AC98" s="28" t="s">
        <v>1377</v>
      </c>
      <c r="AD98" s="28" t="s">
        <v>1381</v>
      </c>
      <c r="AE98" s="28" t="s">
        <v>2735</v>
      </c>
    </row>
    <row r="99" spans="21:31">
      <c r="U99" s="28">
        <v>98</v>
      </c>
      <c r="V99" s="28" t="s">
        <v>830</v>
      </c>
      <c r="W99" s="28" t="s">
        <v>983</v>
      </c>
      <c r="X99" s="28" t="s">
        <v>984</v>
      </c>
      <c r="Y99" s="28" t="s">
        <v>985</v>
      </c>
      <c r="Z99" s="28" t="s">
        <v>984</v>
      </c>
      <c r="AA99" s="28" t="s">
        <v>1449</v>
      </c>
      <c r="AB99" s="28" t="s">
        <v>1450</v>
      </c>
      <c r="AC99" s="28" t="s">
        <v>1451</v>
      </c>
      <c r="AD99" s="28" t="s">
        <v>1452</v>
      </c>
      <c r="AE99" s="28" t="s">
        <v>2737</v>
      </c>
    </row>
    <row r="100" spans="21:31">
      <c r="U100" s="28">
        <v>99</v>
      </c>
      <c r="V100" s="28" t="s">
        <v>830</v>
      </c>
      <c r="W100" s="28" t="s">
        <v>983</v>
      </c>
      <c r="X100" s="28" t="s">
        <v>984</v>
      </c>
      <c r="Y100" s="28" t="s">
        <v>985</v>
      </c>
      <c r="Z100" s="28" t="s">
        <v>984</v>
      </c>
      <c r="AA100" s="28" t="s">
        <v>1346</v>
      </c>
      <c r="AB100" s="28" t="s">
        <v>1347</v>
      </c>
      <c r="AC100" s="28" t="s">
        <v>1348</v>
      </c>
      <c r="AD100" s="28" t="s">
        <v>1349</v>
      </c>
      <c r="AE100" s="28" t="s">
        <v>2735</v>
      </c>
    </row>
    <row r="101" spans="21:31">
      <c r="U101" s="28">
        <v>100</v>
      </c>
      <c r="V101" s="28" t="s">
        <v>830</v>
      </c>
      <c r="W101" s="28" t="s">
        <v>983</v>
      </c>
      <c r="X101" s="28" t="s">
        <v>984</v>
      </c>
      <c r="Y101" s="28" t="s">
        <v>985</v>
      </c>
      <c r="Z101" s="28" t="s">
        <v>984</v>
      </c>
      <c r="AA101" s="28" t="s">
        <v>1350</v>
      </c>
      <c r="AB101" s="28" t="s">
        <v>1351</v>
      </c>
      <c r="AC101" s="28" t="s">
        <v>1348</v>
      </c>
      <c r="AD101" s="28" t="s">
        <v>1352</v>
      </c>
      <c r="AE101" s="28" t="s">
        <v>1353</v>
      </c>
    </row>
    <row r="102" spans="21:31">
      <c r="U102" s="28">
        <v>101</v>
      </c>
      <c r="V102" s="28" t="s">
        <v>830</v>
      </c>
      <c r="W102" s="28" t="s">
        <v>983</v>
      </c>
      <c r="X102" s="28" t="s">
        <v>984</v>
      </c>
      <c r="Y102" s="28" t="s">
        <v>985</v>
      </c>
      <c r="Z102" s="28" t="s">
        <v>984</v>
      </c>
      <c r="AA102" s="28" t="s">
        <v>1453</v>
      </c>
      <c r="AB102" s="28" t="s">
        <v>1454</v>
      </c>
      <c r="AC102" s="28" t="s">
        <v>1455</v>
      </c>
      <c r="AD102" s="28" t="s">
        <v>1456</v>
      </c>
      <c r="AE102" s="28" t="s">
        <v>2737</v>
      </c>
    </row>
    <row r="103" spans="21:31">
      <c r="U103" s="28">
        <v>102</v>
      </c>
      <c r="V103" s="28" t="s">
        <v>830</v>
      </c>
      <c r="W103" s="28" t="s">
        <v>983</v>
      </c>
      <c r="X103" s="28" t="s">
        <v>984</v>
      </c>
      <c r="Y103" s="28" t="s">
        <v>985</v>
      </c>
      <c r="Z103" s="28" t="s">
        <v>984</v>
      </c>
      <c r="AA103" s="28" t="s">
        <v>1337</v>
      </c>
      <c r="AB103" s="28" t="s">
        <v>1338</v>
      </c>
      <c r="AC103" s="28" t="s">
        <v>1339</v>
      </c>
      <c r="AD103" s="28" t="s">
        <v>1340</v>
      </c>
      <c r="AE103" s="28" t="s">
        <v>1341</v>
      </c>
    </row>
    <row r="104" spans="21:31">
      <c r="U104" s="28">
        <v>103</v>
      </c>
      <c r="V104" s="28" t="s">
        <v>830</v>
      </c>
      <c r="W104" s="28" t="s">
        <v>983</v>
      </c>
      <c r="X104" s="28" t="s">
        <v>984</v>
      </c>
      <c r="Y104" s="28" t="s">
        <v>985</v>
      </c>
      <c r="Z104" s="28" t="s">
        <v>984</v>
      </c>
      <c r="AA104" s="28" t="s">
        <v>1457</v>
      </c>
      <c r="AB104" s="28" t="s">
        <v>1458</v>
      </c>
      <c r="AC104" s="28" t="s">
        <v>1459</v>
      </c>
      <c r="AD104" s="28" t="s">
        <v>1452</v>
      </c>
      <c r="AE104" s="28" t="s">
        <v>2737</v>
      </c>
    </row>
    <row r="105" spans="21:31">
      <c r="U105" s="28">
        <v>104</v>
      </c>
      <c r="V105" s="28" t="s">
        <v>830</v>
      </c>
      <c r="W105" s="28" t="s">
        <v>983</v>
      </c>
      <c r="X105" s="28" t="s">
        <v>984</v>
      </c>
      <c r="Y105" s="28" t="s">
        <v>985</v>
      </c>
      <c r="Z105" s="28" t="s">
        <v>984</v>
      </c>
      <c r="AA105" s="28" t="s">
        <v>1460</v>
      </c>
      <c r="AB105" s="28" t="s">
        <v>1461</v>
      </c>
      <c r="AC105" s="28" t="s">
        <v>1462</v>
      </c>
      <c r="AD105" s="28" t="s">
        <v>1452</v>
      </c>
      <c r="AE105" s="28" t="s">
        <v>2735</v>
      </c>
    </row>
    <row r="106" spans="21:31">
      <c r="U106" s="28">
        <v>105</v>
      </c>
      <c r="V106" s="28" t="s">
        <v>830</v>
      </c>
      <c r="W106" s="28" t="s">
        <v>983</v>
      </c>
      <c r="X106" s="28" t="s">
        <v>984</v>
      </c>
      <c r="Y106" s="28" t="s">
        <v>985</v>
      </c>
      <c r="Z106" s="28" t="s">
        <v>984</v>
      </c>
      <c r="AA106" s="28" t="s">
        <v>1463</v>
      </c>
      <c r="AB106" s="28" t="s">
        <v>1464</v>
      </c>
      <c r="AC106" s="28" t="s">
        <v>1465</v>
      </c>
      <c r="AD106" s="28" t="s">
        <v>1466</v>
      </c>
      <c r="AE106" s="28" t="s">
        <v>2737</v>
      </c>
    </row>
    <row r="107" spans="21:31">
      <c r="U107" s="28">
        <v>106</v>
      </c>
      <c r="V107" s="28" t="s">
        <v>830</v>
      </c>
      <c r="W107" s="28" t="s">
        <v>986</v>
      </c>
      <c r="X107" s="28" t="s">
        <v>987</v>
      </c>
      <c r="Y107" s="28" t="s">
        <v>986</v>
      </c>
      <c r="Z107" s="28" t="s">
        <v>987</v>
      </c>
      <c r="AA107" s="28" t="s">
        <v>1346</v>
      </c>
      <c r="AB107" s="28" t="s">
        <v>1347</v>
      </c>
      <c r="AC107" s="28" t="s">
        <v>1348</v>
      </c>
      <c r="AD107" s="28" t="s">
        <v>1349</v>
      </c>
      <c r="AE107" s="28" t="s">
        <v>2735</v>
      </c>
    </row>
    <row r="108" spans="21:31">
      <c r="U108" s="28">
        <v>107</v>
      </c>
      <c r="V108" s="28" t="s">
        <v>830</v>
      </c>
      <c r="W108" s="28" t="s">
        <v>986</v>
      </c>
      <c r="X108" s="28" t="s">
        <v>987</v>
      </c>
      <c r="Y108" s="28" t="s">
        <v>986</v>
      </c>
      <c r="Z108" s="28" t="s">
        <v>987</v>
      </c>
      <c r="AA108" s="28" t="s">
        <v>1350</v>
      </c>
      <c r="AB108" s="28" t="s">
        <v>1351</v>
      </c>
      <c r="AC108" s="28" t="s">
        <v>1348</v>
      </c>
      <c r="AD108" s="28" t="s">
        <v>1352</v>
      </c>
      <c r="AE108" s="28" t="s">
        <v>1353</v>
      </c>
    </row>
    <row r="109" spans="21:31">
      <c r="U109" s="28">
        <v>108</v>
      </c>
      <c r="V109" s="28" t="s">
        <v>830</v>
      </c>
      <c r="W109" s="28" t="s">
        <v>986</v>
      </c>
      <c r="X109" s="28" t="s">
        <v>987</v>
      </c>
      <c r="Y109" s="28" t="s">
        <v>986</v>
      </c>
      <c r="Z109" s="28" t="s">
        <v>987</v>
      </c>
      <c r="AA109" s="28" t="s">
        <v>1467</v>
      </c>
      <c r="AB109" s="28" t="s">
        <v>1468</v>
      </c>
      <c r="AC109" s="28" t="s">
        <v>1469</v>
      </c>
      <c r="AD109" s="28" t="s">
        <v>1470</v>
      </c>
      <c r="AE109" s="28" t="s">
        <v>2735</v>
      </c>
    </row>
    <row r="110" spans="21:31">
      <c r="U110" s="28">
        <v>109</v>
      </c>
      <c r="V110" s="28" t="s">
        <v>830</v>
      </c>
      <c r="W110" s="28" t="s">
        <v>988</v>
      </c>
      <c r="X110" s="28" t="s">
        <v>989</v>
      </c>
      <c r="Y110" s="28" t="s">
        <v>988</v>
      </c>
      <c r="Z110" s="28" t="s">
        <v>989</v>
      </c>
      <c r="AA110" s="28" t="s">
        <v>1337</v>
      </c>
      <c r="AB110" s="28" t="s">
        <v>1338</v>
      </c>
      <c r="AC110" s="28" t="s">
        <v>1339</v>
      </c>
      <c r="AD110" s="28" t="s">
        <v>1340</v>
      </c>
      <c r="AE110" s="28" t="s">
        <v>1341</v>
      </c>
    </row>
    <row r="111" spans="21:31">
      <c r="U111" s="28">
        <v>110</v>
      </c>
      <c r="V111" s="28" t="s">
        <v>830</v>
      </c>
      <c r="W111" s="28" t="s">
        <v>990</v>
      </c>
      <c r="X111" s="28" t="s">
        <v>991</v>
      </c>
      <c r="Y111" s="28" t="s">
        <v>990</v>
      </c>
      <c r="Z111" s="28" t="s">
        <v>991</v>
      </c>
      <c r="AA111" s="28" t="s">
        <v>1375</v>
      </c>
      <c r="AB111" s="28" t="s">
        <v>1376</v>
      </c>
      <c r="AC111" s="28" t="s">
        <v>1377</v>
      </c>
      <c r="AD111" s="28" t="s">
        <v>1378</v>
      </c>
      <c r="AE111" s="28" t="s">
        <v>2735</v>
      </c>
    </row>
    <row r="112" spans="21:31">
      <c r="U112" s="28">
        <v>111</v>
      </c>
      <c r="V112" s="28" t="s">
        <v>830</v>
      </c>
      <c r="W112" s="28" t="s">
        <v>990</v>
      </c>
      <c r="X112" s="28" t="s">
        <v>991</v>
      </c>
      <c r="Y112" s="28" t="s">
        <v>990</v>
      </c>
      <c r="Z112" s="28" t="s">
        <v>991</v>
      </c>
      <c r="AA112" s="28" t="s">
        <v>1379</v>
      </c>
      <c r="AB112" s="28" t="s">
        <v>1380</v>
      </c>
      <c r="AC112" s="28" t="s">
        <v>1377</v>
      </c>
      <c r="AD112" s="28" t="s">
        <v>1381</v>
      </c>
      <c r="AE112" s="28" t="s">
        <v>2735</v>
      </c>
    </row>
    <row r="113" spans="21:31">
      <c r="U113" s="28">
        <v>112</v>
      </c>
      <c r="V113" s="28" t="s">
        <v>830</v>
      </c>
      <c r="W113" s="28" t="s">
        <v>990</v>
      </c>
      <c r="X113" s="28" t="s">
        <v>991</v>
      </c>
      <c r="Y113" s="28" t="s">
        <v>990</v>
      </c>
      <c r="Z113" s="28" t="s">
        <v>991</v>
      </c>
      <c r="AA113" s="28" t="s">
        <v>1346</v>
      </c>
      <c r="AB113" s="28" t="s">
        <v>1347</v>
      </c>
      <c r="AC113" s="28" t="s">
        <v>1348</v>
      </c>
      <c r="AD113" s="28" t="s">
        <v>1349</v>
      </c>
      <c r="AE113" s="28" t="s">
        <v>2735</v>
      </c>
    </row>
    <row r="114" spans="21:31">
      <c r="U114" s="28">
        <v>113</v>
      </c>
      <c r="V114" s="28" t="s">
        <v>830</v>
      </c>
      <c r="W114" s="28" t="s">
        <v>990</v>
      </c>
      <c r="X114" s="28" t="s">
        <v>991</v>
      </c>
      <c r="Y114" s="28" t="s">
        <v>990</v>
      </c>
      <c r="Z114" s="28" t="s">
        <v>991</v>
      </c>
      <c r="AA114" s="28" t="s">
        <v>1350</v>
      </c>
      <c r="AB114" s="28" t="s">
        <v>1351</v>
      </c>
      <c r="AC114" s="28" t="s">
        <v>1348</v>
      </c>
      <c r="AD114" s="28" t="s">
        <v>1352</v>
      </c>
      <c r="AE114" s="28" t="s">
        <v>1353</v>
      </c>
    </row>
    <row r="115" spans="21:31">
      <c r="U115" s="28">
        <v>114</v>
      </c>
      <c r="V115" s="28" t="s">
        <v>830</v>
      </c>
      <c r="W115" s="28" t="s">
        <v>990</v>
      </c>
      <c r="X115" s="28" t="s">
        <v>991</v>
      </c>
      <c r="Y115" s="28" t="s">
        <v>990</v>
      </c>
      <c r="Z115" s="28" t="s">
        <v>991</v>
      </c>
      <c r="AA115" s="28" t="s">
        <v>1360</v>
      </c>
      <c r="AB115" s="28" t="s">
        <v>1361</v>
      </c>
      <c r="AC115" s="28" t="s">
        <v>1339</v>
      </c>
      <c r="AD115" s="28" t="s">
        <v>1362</v>
      </c>
      <c r="AE115" s="28" t="s">
        <v>2737</v>
      </c>
    </row>
    <row r="116" spans="21:31">
      <c r="U116" s="28">
        <v>115</v>
      </c>
      <c r="V116" s="28" t="s">
        <v>830</v>
      </c>
      <c r="W116" s="28" t="s">
        <v>990</v>
      </c>
      <c r="X116" s="28" t="s">
        <v>991</v>
      </c>
      <c r="Y116" s="28" t="s">
        <v>992</v>
      </c>
      <c r="Z116" s="28" t="s">
        <v>991</v>
      </c>
      <c r="AA116" s="28" t="s">
        <v>1375</v>
      </c>
      <c r="AB116" s="28" t="s">
        <v>1376</v>
      </c>
      <c r="AC116" s="28" t="s">
        <v>1377</v>
      </c>
      <c r="AD116" s="28" t="s">
        <v>1378</v>
      </c>
      <c r="AE116" s="28" t="s">
        <v>2735</v>
      </c>
    </row>
    <row r="117" spans="21:31">
      <c r="U117" s="28">
        <v>116</v>
      </c>
      <c r="V117" s="28" t="s">
        <v>830</v>
      </c>
      <c r="W117" s="28" t="s">
        <v>990</v>
      </c>
      <c r="X117" s="28" t="s">
        <v>991</v>
      </c>
      <c r="Y117" s="28" t="s">
        <v>992</v>
      </c>
      <c r="Z117" s="28" t="s">
        <v>991</v>
      </c>
      <c r="AA117" s="28" t="s">
        <v>1379</v>
      </c>
      <c r="AB117" s="28" t="s">
        <v>1380</v>
      </c>
      <c r="AC117" s="28" t="s">
        <v>1377</v>
      </c>
      <c r="AD117" s="28" t="s">
        <v>1381</v>
      </c>
      <c r="AE117" s="28" t="s">
        <v>2735</v>
      </c>
    </row>
    <row r="118" spans="21:31">
      <c r="U118" s="28">
        <v>117</v>
      </c>
      <c r="V118" s="28" t="s">
        <v>830</v>
      </c>
      <c r="W118" s="28" t="s">
        <v>990</v>
      </c>
      <c r="X118" s="28" t="s">
        <v>991</v>
      </c>
      <c r="Y118" s="28" t="s">
        <v>992</v>
      </c>
      <c r="Z118" s="28" t="s">
        <v>991</v>
      </c>
      <c r="AA118" s="28" t="s">
        <v>1471</v>
      </c>
      <c r="AB118" s="28" t="s">
        <v>1472</v>
      </c>
      <c r="AC118" s="28" t="s">
        <v>1473</v>
      </c>
      <c r="AD118" s="28" t="s">
        <v>1474</v>
      </c>
      <c r="AE118" s="28" t="s">
        <v>2735</v>
      </c>
    </row>
    <row r="119" spans="21:31">
      <c r="U119" s="28">
        <v>118</v>
      </c>
      <c r="V119" s="28" t="s">
        <v>830</v>
      </c>
      <c r="W119" s="28" t="s">
        <v>990</v>
      </c>
      <c r="X119" s="28" t="s">
        <v>991</v>
      </c>
      <c r="Y119" s="28" t="s">
        <v>992</v>
      </c>
      <c r="Z119" s="28" t="s">
        <v>991</v>
      </c>
      <c r="AA119" s="28" t="s">
        <v>1475</v>
      </c>
      <c r="AB119" s="28" t="s">
        <v>1476</v>
      </c>
      <c r="AC119" s="28" t="s">
        <v>1477</v>
      </c>
      <c r="AD119" s="28" t="s">
        <v>1478</v>
      </c>
      <c r="AE119" s="28" t="s">
        <v>2737</v>
      </c>
    </row>
    <row r="120" spans="21:31">
      <c r="U120" s="28">
        <v>119</v>
      </c>
      <c r="V120" s="28" t="s">
        <v>830</v>
      </c>
      <c r="W120" s="28" t="s">
        <v>990</v>
      </c>
      <c r="X120" s="28" t="s">
        <v>991</v>
      </c>
      <c r="Y120" s="28" t="s">
        <v>992</v>
      </c>
      <c r="Z120" s="28" t="s">
        <v>991</v>
      </c>
      <c r="AA120" s="28" t="s">
        <v>1346</v>
      </c>
      <c r="AB120" s="28" t="s">
        <v>1347</v>
      </c>
      <c r="AC120" s="28" t="s">
        <v>1348</v>
      </c>
      <c r="AD120" s="28" t="s">
        <v>1349</v>
      </c>
      <c r="AE120" s="28" t="s">
        <v>2735</v>
      </c>
    </row>
    <row r="121" spans="21:31">
      <c r="U121" s="28">
        <v>120</v>
      </c>
      <c r="V121" s="28" t="s">
        <v>830</v>
      </c>
      <c r="W121" s="28" t="s">
        <v>990</v>
      </c>
      <c r="X121" s="28" t="s">
        <v>991</v>
      </c>
      <c r="Y121" s="28" t="s">
        <v>992</v>
      </c>
      <c r="Z121" s="28" t="s">
        <v>991</v>
      </c>
      <c r="AA121" s="28" t="s">
        <v>1350</v>
      </c>
      <c r="AB121" s="28" t="s">
        <v>1351</v>
      </c>
      <c r="AC121" s="28" t="s">
        <v>1348</v>
      </c>
      <c r="AD121" s="28" t="s">
        <v>1352</v>
      </c>
      <c r="AE121" s="28" t="s">
        <v>1353</v>
      </c>
    </row>
    <row r="122" spans="21:31">
      <c r="U122" s="28">
        <v>121</v>
      </c>
      <c r="V122" s="28" t="s">
        <v>830</v>
      </c>
      <c r="W122" s="28" t="s">
        <v>990</v>
      </c>
      <c r="X122" s="28" t="s">
        <v>991</v>
      </c>
      <c r="Y122" s="28" t="s">
        <v>992</v>
      </c>
      <c r="Z122" s="28" t="s">
        <v>991</v>
      </c>
      <c r="AA122" s="28" t="s">
        <v>1360</v>
      </c>
      <c r="AB122" s="28" t="s">
        <v>1361</v>
      </c>
      <c r="AC122" s="28" t="s">
        <v>1339</v>
      </c>
      <c r="AD122" s="28" t="s">
        <v>1362</v>
      </c>
      <c r="AE122" s="28" t="s">
        <v>2737</v>
      </c>
    </row>
    <row r="123" spans="21:31">
      <c r="U123" s="28">
        <v>122</v>
      </c>
      <c r="V123" s="28" t="s">
        <v>830</v>
      </c>
      <c r="W123" s="28" t="s">
        <v>990</v>
      </c>
      <c r="X123" s="28" t="s">
        <v>991</v>
      </c>
      <c r="Y123" s="28" t="s">
        <v>992</v>
      </c>
      <c r="Z123" s="28" t="s">
        <v>991</v>
      </c>
      <c r="AA123" s="28" t="s">
        <v>1479</v>
      </c>
      <c r="AB123" s="28" t="s">
        <v>1480</v>
      </c>
      <c r="AC123" s="28" t="s">
        <v>1481</v>
      </c>
      <c r="AD123" s="28" t="s">
        <v>1474</v>
      </c>
      <c r="AE123" s="28" t="s">
        <v>2737</v>
      </c>
    </row>
    <row r="124" spans="21:31">
      <c r="U124" s="28">
        <v>123</v>
      </c>
      <c r="V124" s="28" t="s">
        <v>830</v>
      </c>
      <c r="W124" s="28" t="s">
        <v>990</v>
      </c>
      <c r="X124" s="28" t="s">
        <v>991</v>
      </c>
      <c r="Y124" s="28" t="s">
        <v>992</v>
      </c>
      <c r="Z124" s="28" t="s">
        <v>991</v>
      </c>
      <c r="AA124" s="28" t="s">
        <v>1482</v>
      </c>
      <c r="AB124" s="28" t="s">
        <v>1483</v>
      </c>
      <c r="AC124" s="28" t="s">
        <v>1484</v>
      </c>
      <c r="AD124" s="28" t="s">
        <v>1485</v>
      </c>
      <c r="AE124" s="28" t="s">
        <v>2735</v>
      </c>
    </row>
    <row r="125" spans="21:31">
      <c r="U125" s="28">
        <v>124</v>
      </c>
      <c r="V125" s="28" t="s">
        <v>830</v>
      </c>
      <c r="W125" s="28" t="s">
        <v>993</v>
      </c>
      <c r="X125" s="28" t="s">
        <v>994</v>
      </c>
      <c r="Y125" s="28" t="s">
        <v>999</v>
      </c>
      <c r="Z125" s="28" t="s">
        <v>1000</v>
      </c>
      <c r="AA125" s="28" t="s">
        <v>1337</v>
      </c>
      <c r="AB125" s="28" t="s">
        <v>1338</v>
      </c>
      <c r="AC125" s="28" t="s">
        <v>1339</v>
      </c>
      <c r="AD125" s="28" t="s">
        <v>1340</v>
      </c>
      <c r="AE125" s="28" t="s">
        <v>1341</v>
      </c>
    </row>
    <row r="126" spans="21:31">
      <c r="U126" s="28">
        <v>125</v>
      </c>
      <c r="V126" s="28" t="s">
        <v>830</v>
      </c>
      <c r="W126" s="28" t="s">
        <v>993</v>
      </c>
      <c r="X126" s="28" t="s">
        <v>994</v>
      </c>
      <c r="Y126" s="28" t="s">
        <v>999</v>
      </c>
      <c r="Z126" s="28" t="s">
        <v>1000</v>
      </c>
      <c r="AA126" s="28" t="s">
        <v>1486</v>
      </c>
      <c r="AB126" s="28" t="s">
        <v>1487</v>
      </c>
      <c r="AC126" s="28" t="s">
        <v>1488</v>
      </c>
      <c r="AD126" s="28" t="s">
        <v>1489</v>
      </c>
      <c r="AE126" s="28" t="s">
        <v>2737</v>
      </c>
    </row>
    <row r="127" spans="21:31">
      <c r="U127" s="28">
        <v>126</v>
      </c>
      <c r="V127" s="28" t="s">
        <v>830</v>
      </c>
      <c r="W127" s="28" t="s">
        <v>993</v>
      </c>
      <c r="X127" s="28" t="s">
        <v>994</v>
      </c>
      <c r="Y127" s="28" t="s">
        <v>1001</v>
      </c>
      <c r="Z127" s="28" t="s">
        <v>1002</v>
      </c>
      <c r="AA127" s="28" t="s">
        <v>1486</v>
      </c>
      <c r="AB127" s="28" t="s">
        <v>1487</v>
      </c>
      <c r="AC127" s="28" t="s">
        <v>1488</v>
      </c>
      <c r="AD127" s="28" t="s">
        <v>1489</v>
      </c>
      <c r="AE127" s="28" t="s">
        <v>2737</v>
      </c>
    </row>
    <row r="128" spans="21:31">
      <c r="U128" s="28">
        <v>127</v>
      </c>
      <c r="V128" s="28" t="s">
        <v>830</v>
      </c>
      <c r="W128" s="28" t="s">
        <v>993</v>
      </c>
      <c r="X128" s="28" t="s">
        <v>994</v>
      </c>
      <c r="Y128" s="28" t="s">
        <v>1003</v>
      </c>
      <c r="Z128" s="28" t="s">
        <v>1004</v>
      </c>
      <c r="AA128" s="28" t="s">
        <v>1486</v>
      </c>
      <c r="AB128" s="28" t="s">
        <v>1487</v>
      </c>
      <c r="AC128" s="28" t="s">
        <v>1488</v>
      </c>
      <c r="AD128" s="28" t="s">
        <v>1489</v>
      </c>
      <c r="AE128" s="28" t="s">
        <v>2737</v>
      </c>
    </row>
    <row r="129" spans="21:31">
      <c r="U129" s="28">
        <v>128</v>
      </c>
      <c r="V129" s="28" t="s">
        <v>830</v>
      </c>
      <c r="W129" s="28" t="s">
        <v>993</v>
      </c>
      <c r="X129" s="28" t="s">
        <v>994</v>
      </c>
      <c r="Y129" s="28" t="s">
        <v>1007</v>
      </c>
      <c r="Z129" s="28" t="s">
        <v>1008</v>
      </c>
      <c r="AA129" s="28" t="s">
        <v>1486</v>
      </c>
      <c r="AB129" s="28" t="s">
        <v>1487</v>
      </c>
      <c r="AC129" s="28" t="s">
        <v>1488</v>
      </c>
      <c r="AD129" s="28" t="s">
        <v>1489</v>
      </c>
      <c r="AE129" s="28" t="s">
        <v>2737</v>
      </c>
    </row>
    <row r="130" spans="21:31">
      <c r="U130" s="28">
        <v>129</v>
      </c>
      <c r="V130" s="28" t="s">
        <v>830</v>
      </c>
      <c r="W130" s="28" t="s">
        <v>993</v>
      </c>
      <c r="X130" s="28" t="s">
        <v>994</v>
      </c>
      <c r="Y130" s="28" t="s">
        <v>1009</v>
      </c>
      <c r="Z130" s="28" t="s">
        <v>1010</v>
      </c>
      <c r="AA130" s="28" t="s">
        <v>1490</v>
      </c>
      <c r="AB130" s="28" t="s">
        <v>1491</v>
      </c>
      <c r="AC130" s="28" t="s">
        <v>1492</v>
      </c>
      <c r="AD130" s="28" t="s">
        <v>1489</v>
      </c>
      <c r="AE130" s="28" t="s">
        <v>2737</v>
      </c>
    </row>
    <row r="131" spans="21:31">
      <c r="U131" s="28">
        <v>130</v>
      </c>
      <c r="V131" s="28" t="s">
        <v>830</v>
      </c>
      <c r="W131" s="28" t="s">
        <v>993</v>
      </c>
      <c r="X131" s="28" t="s">
        <v>994</v>
      </c>
      <c r="Y131" s="28" t="s">
        <v>1011</v>
      </c>
      <c r="Z131" s="28" t="s">
        <v>994</v>
      </c>
      <c r="AA131" s="28" t="s">
        <v>1337</v>
      </c>
      <c r="AB131" s="28" t="s">
        <v>1338</v>
      </c>
      <c r="AC131" s="28" t="s">
        <v>1339</v>
      </c>
      <c r="AD131" s="28" t="s">
        <v>1340</v>
      </c>
      <c r="AE131" s="28" t="s">
        <v>1341</v>
      </c>
    </row>
    <row r="132" spans="21:31">
      <c r="U132" s="28">
        <v>131</v>
      </c>
      <c r="V132" s="28" t="s">
        <v>830</v>
      </c>
      <c r="W132" s="28" t="s">
        <v>993</v>
      </c>
      <c r="X132" s="28" t="s">
        <v>994</v>
      </c>
      <c r="Y132" s="28" t="s">
        <v>1012</v>
      </c>
      <c r="Z132" s="28" t="s">
        <v>1013</v>
      </c>
      <c r="AA132" s="28" t="s">
        <v>1493</v>
      </c>
      <c r="AB132" s="28" t="s">
        <v>1494</v>
      </c>
      <c r="AC132" s="28" t="s">
        <v>1495</v>
      </c>
      <c r="AD132" s="28" t="s">
        <v>1489</v>
      </c>
      <c r="AE132" s="28" t="s">
        <v>2737</v>
      </c>
    </row>
    <row r="133" spans="21:31">
      <c r="U133" s="28">
        <v>132</v>
      </c>
      <c r="V133" s="28" t="s">
        <v>830</v>
      </c>
      <c r="W133" s="28" t="s">
        <v>993</v>
      </c>
      <c r="X133" s="28" t="s">
        <v>994</v>
      </c>
      <c r="Y133" s="28" t="s">
        <v>1014</v>
      </c>
      <c r="Z133" s="28" t="s">
        <v>1015</v>
      </c>
      <c r="AA133" s="28" t="s">
        <v>1490</v>
      </c>
      <c r="AB133" s="28" t="s">
        <v>1491</v>
      </c>
      <c r="AC133" s="28" t="s">
        <v>1492</v>
      </c>
      <c r="AD133" s="28" t="s">
        <v>1489</v>
      </c>
      <c r="AE133" s="28" t="s">
        <v>2737</v>
      </c>
    </row>
    <row r="134" spans="21:31">
      <c r="U134" s="28">
        <v>133</v>
      </c>
      <c r="V134" s="28" t="s">
        <v>830</v>
      </c>
      <c r="W134" s="28" t="s">
        <v>993</v>
      </c>
      <c r="X134" s="28" t="s">
        <v>994</v>
      </c>
      <c r="Y134" s="28" t="s">
        <v>1016</v>
      </c>
      <c r="Z134" s="28" t="s">
        <v>1017</v>
      </c>
      <c r="AA134" s="28" t="s">
        <v>1490</v>
      </c>
      <c r="AB134" s="28" t="s">
        <v>1491</v>
      </c>
      <c r="AC134" s="28" t="s">
        <v>1492</v>
      </c>
      <c r="AD134" s="28" t="s">
        <v>1489</v>
      </c>
      <c r="AE134" s="28" t="s">
        <v>2737</v>
      </c>
    </row>
    <row r="135" spans="21:31">
      <c r="U135" s="28">
        <v>134</v>
      </c>
      <c r="V135" s="28" t="s">
        <v>830</v>
      </c>
      <c r="W135" s="28" t="s">
        <v>993</v>
      </c>
      <c r="X135" s="28" t="s">
        <v>994</v>
      </c>
      <c r="Y135" s="28" t="s">
        <v>1018</v>
      </c>
      <c r="Z135" s="28" t="s">
        <v>1019</v>
      </c>
      <c r="AA135" s="28" t="s">
        <v>1490</v>
      </c>
      <c r="AB135" s="28" t="s">
        <v>1491</v>
      </c>
      <c r="AC135" s="28" t="s">
        <v>1492</v>
      </c>
      <c r="AD135" s="28" t="s">
        <v>1489</v>
      </c>
      <c r="AE135" s="28" t="s">
        <v>2737</v>
      </c>
    </row>
    <row r="136" spans="21:31">
      <c r="U136" s="28">
        <v>135</v>
      </c>
      <c r="V136" s="28" t="s">
        <v>830</v>
      </c>
      <c r="W136" s="28" t="s">
        <v>993</v>
      </c>
      <c r="X136" s="28" t="s">
        <v>994</v>
      </c>
      <c r="Y136" s="28" t="s">
        <v>1020</v>
      </c>
      <c r="Z136" s="28" t="s">
        <v>1021</v>
      </c>
      <c r="AA136" s="28" t="s">
        <v>1493</v>
      </c>
      <c r="AB136" s="28" t="s">
        <v>1494</v>
      </c>
      <c r="AC136" s="28" t="s">
        <v>1495</v>
      </c>
      <c r="AD136" s="28" t="s">
        <v>1489</v>
      </c>
      <c r="AE136" s="28" t="s">
        <v>2737</v>
      </c>
    </row>
    <row r="137" spans="21:31">
      <c r="U137" s="28">
        <v>136</v>
      </c>
      <c r="V137" s="28" t="s">
        <v>830</v>
      </c>
      <c r="W137" s="28" t="s">
        <v>993</v>
      </c>
      <c r="X137" s="28" t="s">
        <v>994</v>
      </c>
      <c r="Y137" s="28" t="s">
        <v>1022</v>
      </c>
      <c r="Z137" s="28" t="s">
        <v>1023</v>
      </c>
      <c r="AA137" s="28" t="s">
        <v>1493</v>
      </c>
      <c r="AB137" s="28" t="s">
        <v>1494</v>
      </c>
      <c r="AC137" s="28" t="s">
        <v>1495</v>
      </c>
      <c r="AD137" s="28" t="s">
        <v>1489</v>
      </c>
      <c r="AE137" s="28" t="s">
        <v>2737</v>
      </c>
    </row>
    <row r="138" spans="21:31">
      <c r="U138" s="28">
        <v>137</v>
      </c>
      <c r="V138" s="28" t="s">
        <v>830</v>
      </c>
      <c r="W138" s="28" t="s">
        <v>993</v>
      </c>
      <c r="X138" s="28" t="s">
        <v>994</v>
      </c>
      <c r="Y138" s="28" t="s">
        <v>1024</v>
      </c>
      <c r="Z138" s="28" t="s">
        <v>1025</v>
      </c>
      <c r="AA138" s="28" t="s">
        <v>1496</v>
      </c>
      <c r="AB138" s="28" t="s">
        <v>1497</v>
      </c>
      <c r="AC138" s="28" t="s">
        <v>1498</v>
      </c>
      <c r="AD138" s="28" t="s">
        <v>1489</v>
      </c>
      <c r="AE138" s="28" t="s">
        <v>2737</v>
      </c>
    </row>
    <row r="139" spans="21:31">
      <c r="U139" s="28">
        <v>138</v>
      </c>
      <c r="V139" s="28" t="s">
        <v>830</v>
      </c>
      <c r="W139" s="28" t="s">
        <v>993</v>
      </c>
      <c r="X139" s="28" t="s">
        <v>994</v>
      </c>
      <c r="Y139" s="28" t="s">
        <v>1026</v>
      </c>
      <c r="Z139" s="28" t="s">
        <v>1027</v>
      </c>
      <c r="AA139" s="28" t="s">
        <v>1375</v>
      </c>
      <c r="AB139" s="28" t="s">
        <v>1376</v>
      </c>
      <c r="AC139" s="28" t="s">
        <v>1377</v>
      </c>
      <c r="AD139" s="28" t="s">
        <v>1378</v>
      </c>
      <c r="AE139" s="28" t="s">
        <v>2735</v>
      </c>
    </row>
    <row r="140" spans="21:31">
      <c r="U140" s="28">
        <v>139</v>
      </c>
      <c r="V140" s="28" t="s">
        <v>830</v>
      </c>
      <c r="W140" s="28" t="s">
        <v>993</v>
      </c>
      <c r="X140" s="28" t="s">
        <v>994</v>
      </c>
      <c r="Y140" s="28" t="s">
        <v>1026</v>
      </c>
      <c r="Z140" s="28" t="s">
        <v>1027</v>
      </c>
      <c r="AA140" s="28" t="s">
        <v>1379</v>
      </c>
      <c r="AB140" s="28" t="s">
        <v>1380</v>
      </c>
      <c r="AC140" s="28" t="s">
        <v>1377</v>
      </c>
      <c r="AD140" s="28" t="s">
        <v>1381</v>
      </c>
      <c r="AE140" s="28" t="s">
        <v>2735</v>
      </c>
    </row>
    <row r="141" spans="21:31">
      <c r="U141" s="28">
        <v>140</v>
      </c>
      <c r="V141" s="28" t="s">
        <v>830</v>
      </c>
      <c r="W141" s="28" t="s">
        <v>993</v>
      </c>
      <c r="X141" s="28" t="s">
        <v>994</v>
      </c>
      <c r="Y141" s="28" t="s">
        <v>1028</v>
      </c>
      <c r="Z141" s="28" t="s">
        <v>1029</v>
      </c>
      <c r="AA141" s="28" t="s">
        <v>1496</v>
      </c>
      <c r="AB141" s="28" t="s">
        <v>1497</v>
      </c>
      <c r="AC141" s="28" t="s">
        <v>1498</v>
      </c>
      <c r="AD141" s="28" t="s">
        <v>1489</v>
      </c>
      <c r="AE141" s="28" t="s">
        <v>2737</v>
      </c>
    </row>
    <row r="142" spans="21:31">
      <c r="U142" s="28">
        <v>141</v>
      </c>
      <c r="V142" s="28" t="s">
        <v>830</v>
      </c>
      <c r="W142" s="28" t="s">
        <v>993</v>
      </c>
      <c r="X142" s="28" t="s">
        <v>994</v>
      </c>
      <c r="Y142" s="28" t="s">
        <v>1030</v>
      </c>
      <c r="Z142" s="28" t="s">
        <v>1031</v>
      </c>
      <c r="AA142" s="28" t="s">
        <v>1490</v>
      </c>
      <c r="AB142" s="28" t="s">
        <v>1491</v>
      </c>
      <c r="AC142" s="28" t="s">
        <v>1492</v>
      </c>
      <c r="AD142" s="28" t="s">
        <v>1489</v>
      </c>
      <c r="AE142" s="28" t="s">
        <v>2737</v>
      </c>
    </row>
    <row r="143" spans="21:31">
      <c r="U143" s="28">
        <v>142</v>
      </c>
      <c r="V143" s="28" t="s">
        <v>830</v>
      </c>
      <c r="W143" s="28" t="s">
        <v>993</v>
      </c>
      <c r="X143" s="28" t="s">
        <v>994</v>
      </c>
      <c r="Y143" s="28" t="s">
        <v>1032</v>
      </c>
      <c r="Z143" s="28" t="s">
        <v>1033</v>
      </c>
      <c r="AA143" s="28" t="s">
        <v>1499</v>
      </c>
      <c r="AB143" s="28" t="s">
        <v>1500</v>
      </c>
      <c r="AC143" s="28" t="s">
        <v>1501</v>
      </c>
      <c r="AD143" s="28" t="s">
        <v>1489</v>
      </c>
      <c r="AE143" s="28" t="s">
        <v>2737</v>
      </c>
    </row>
    <row r="144" spans="21:31">
      <c r="U144" s="28">
        <v>143</v>
      </c>
      <c r="V144" s="28" t="s">
        <v>830</v>
      </c>
      <c r="W144" s="28" t="s">
        <v>993</v>
      </c>
      <c r="X144" s="28" t="s">
        <v>994</v>
      </c>
      <c r="Y144" s="28" t="s">
        <v>1032</v>
      </c>
      <c r="Z144" s="28" t="s">
        <v>1033</v>
      </c>
      <c r="AA144" s="28" t="s">
        <v>1337</v>
      </c>
      <c r="AB144" s="28" t="s">
        <v>1338</v>
      </c>
      <c r="AC144" s="28" t="s">
        <v>1339</v>
      </c>
      <c r="AD144" s="28" t="s">
        <v>1340</v>
      </c>
      <c r="AE144" s="28" t="s">
        <v>1341</v>
      </c>
    </row>
    <row r="145" spans="21:31">
      <c r="U145" s="28">
        <v>144</v>
      </c>
      <c r="V145" s="28" t="s">
        <v>830</v>
      </c>
      <c r="W145" s="28" t="s">
        <v>993</v>
      </c>
      <c r="X145" s="28" t="s">
        <v>994</v>
      </c>
      <c r="Y145" s="28" t="s">
        <v>1034</v>
      </c>
      <c r="Z145" s="28" t="s">
        <v>1035</v>
      </c>
      <c r="AA145" s="28" t="s">
        <v>1493</v>
      </c>
      <c r="AB145" s="28" t="s">
        <v>1494</v>
      </c>
      <c r="AC145" s="28" t="s">
        <v>1495</v>
      </c>
      <c r="AD145" s="28" t="s">
        <v>1489</v>
      </c>
      <c r="AE145" s="28" t="s">
        <v>2737</v>
      </c>
    </row>
    <row r="146" spans="21:31">
      <c r="U146" s="28">
        <v>145</v>
      </c>
      <c r="V146" s="28" t="s">
        <v>830</v>
      </c>
      <c r="W146" s="28" t="s">
        <v>1038</v>
      </c>
      <c r="X146" s="28" t="s">
        <v>1039</v>
      </c>
      <c r="Y146" s="28" t="s">
        <v>1044</v>
      </c>
      <c r="Z146" s="28" t="s">
        <v>1045</v>
      </c>
      <c r="AA146" s="28" t="s">
        <v>1502</v>
      </c>
      <c r="AB146" s="28" t="s">
        <v>1503</v>
      </c>
      <c r="AC146" s="28" t="s">
        <v>1504</v>
      </c>
      <c r="AD146" s="28" t="s">
        <v>1505</v>
      </c>
      <c r="AE146" s="28" t="s">
        <v>2737</v>
      </c>
    </row>
    <row r="147" spans="21:31">
      <c r="U147" s="28">
        <v>146</v>
      </c>
      <c r="V147" s="28" t="s">
        <v>830</v>
      </c>
      <c r="W147" s="28" t="s">
        <v>1038</v>
      </c>
      <c r="X147" s="28" t="s">
        <v>1039</v>
      </c>
      <c r="Y147" s="28" t="s">
        <v>1050</v>
      </c>
      <c r="Z147" s="28" t="s">
        <v>1051</v>
      </c>
      <c r="AA147" s="28" t="s">
        <v>1502</v>
      </c>
      <c r="AB147" s="28" t="s">
        <v>1503</v>
      </c>
      <c r="AC147" s="28" t="s">
        <v>1504</v>
      </c>
      <c r="AD147" s="28" t="s">
        <v>1505</v>
      </c>
      <c r="AE147" s="28" t="s">
        <v>2737</v>
      </c>
    </row>
    <row r="148" spans="21:31">
      <c r="U148" s="28">
        <v>147</v>
      </c>
      <c r="V148" s="28" t="s">
        <v>830</v>
      </c>
      <c r="W148" s="28" t="s">
        <v>1038</v>
      </c>
      <c r="X148" s="28" t="s">
        <v>1039</v>
      </c>
      <c r="Y148" s="28" t="s">
        <v>1050</v>
      </c>
      <c r="Z148" s="28" t="s">
        <v>1051</v>
      </c>
      <c r="AA148" s="28" t="s">
        <v>1506</v>
      </c>
      <c r="AB148" s="28" t="s">
        <v>1507</v>
      </c>
      <c r="AC148" s="28" t="s">
        <v>1508</v>
      </c>
      <c r="AD148" s="28" t="s">
        <v>1505</v>
      </c>
      <c r="AE148" s="28" t="s">
        <v>2735</v>
      </c>
    </row>
    <row r="149" spans="21:31">
      <c r="U149" s="28">
        <v>148</v>
      </c>
      <c r="V149" s="28" t="s">
        <v>830</v>
      </c>
      <c r="W149" s="28" t="s">
        <v>1038</v>
      </c>
      <c r="X149" s="28" t="s">
        <v>1039</v>
      </c>
      <c r="Y149" s="28" t="s">
        <v>1052</v>
      </c>
      <c r="Z149" s="28" t="s">
        <v>1053</v>
      </c>
      <c r="AA149" s="28" t="s">
        <v>1502</v>
      </c>
      <c r="AB149" s="28" t="s">
        <v>1503</v>
      </c>
      <c r="AC149" s="28" t="s">
        <v>1504</v>
      </c>
      <c r="AD149" s="28" t="s">
        <v>1505</v>
      </c>
      <c r="AE149" s="28" t="s">
        <v>2737</v>
      </c>
    </row>
    <row r="150" spans="21:31">
      <c r="U150" s="28">
        <v>149</v>
      </c>
      <c r="V150" s="28" t="s">
        <v>830</v>
      </c>
      <c r="W150" s="28" t="s">
        <v>1038</v>
      </c>
      <c r="X150" s="28" t="s">
        <v>1039</v>
      </c>
      <c r="Y150" s="28" t="s">
        <v>1052</v>
      </c>
      <c r="Z150" s="28" t="s">
        <v>1053</v>
      </c>
      <c r="AA150" s="28" t="s">
        <v>1506</v>
      </c>
      <c r="AB150" s="28" t="s">
        <v>1507</v>
      </c>
      <c r="AC150" s="28" t="s">
        <v>1508</v>
      </c>
      <c r="AD150" s="28" t="s">
        <v>1505</v>
      </c>
      <c r="AE150" s="28" t="s">
        <v>2735</v>
      </c>
    </row>
    <row r="151" spans="21:31">
      <c r="U151" s="28">
        <v>150</v>
      </c>
      <c r="V151" s="28" t="s">
        <v>830</v>
      </c>
      <c r="W151" s="28" t="s">
        <v>1038</v>
      </c>
      <c r="X151" s="28" t="s">
        <v>1039</v>
      </c>
      <c r="Y151" s="28" t="s">
        <v>1054</v>
      </c>
      <c r="Z151" s="28" t="s">
        <v>1055</v>
      </c>
      <c r="AA151" s="28" t="s">
        <v>1502</v>
      </c>
      <c r="AB151" s="28" t="s">
        <v>1503</v>
      </c>
      <c r="AC151" s="28" t="s">
        <v>1504</v>
      </c>
      <c r="AD151" s="28" t="s">
        <v>1505</v>
      </c>
      <c r="AE151" s="28" t="s">
        <v>2737</v>
      </c>
    </row>
    <row r="152" spans="21:31">
      <c r="U152" s="28">
        <v>151</v>
      </c>
      <c r="V152" s="28" t="s">
        <v>830</v>
      </c>
      <c r="W152" s="28" t="s">
        <v>1038</v>
      </c>
      <c r="X152" s="28" t="s">
        <v>1039</v>
      </c>
      <c r="Y152" s="28" t="s">
        <v>1054</v>
      </c>
      <c r="Z152" s="28" t="s">
        <v>1055</v>
      </c>
      <c r="AA152" s="28" t="s">
        <v>1506</v>
      </c>
      <c r="AB152" s="28" t="s">
        <v>1507</v>
      </c>
      <c r="AC152" s="28" t="s">
        <v>1508</v>
      </c>
      <c r="AD152" s="28" t="s">
        <v>1505</v>
      </c>
      <c r="AE152" s="28" t="s">
        <v>2735</v>
      </c>
    </row>
    <row r="153" spans="21:31">
      <c r="U153" s="28">
        <v>152</v>
      </c>
      <c r="V153" s="28" t="s">
        <v>830</v>
      </c>
      <c r="W153" s="28" t="s">
        <v>1038</v>
      </c>
      <c r="X153" s="28" t="s">
        <v>1039</v>
      </c>
      <c r="Y153" s="28" t="s">
        <v>1056</v>
      </c>
      <c r="Z153" s="28" t="s">
        <v>1057</v>
      </c>
      <c r="AA153" s="28" t="s">
        <v>1502</v>
      </c>
      <c r="AB153" s="28" t="s">
        <v>1503</v>
      </c>
      <c r="AC153" s="28" t="s">
        <v>1504</v>
      </c>
      <c r="AD153" s="28" t="s">
        <v>1505</v>
      </c>
      <c r="AE153" s="28" t="s">
        <v>2737</v>
      </c>
    </row>
    <row r="154" spans="21:31">
      <c r="U154" s="28">
        <v>153</v>
      </c>
      <c r="V154" s="28" t="s">
        <v>830</v>
      </c>
      <c r="W154" s="28" t="s">
        <v>1038</v>
      </c>
      <c r="X154" s="28" t="s">
        <v>1039</v>
      </c>
      <c r="Y154" s="28" t="s">
        <v>1056</v>
      </c>
      <c r="Z154" s="28" t="s">
        <v>1057</v>
      </c>
      <c r="AA154" s="28" t="s">
        <v>1506</v>
      </c>
      <c r="AB154" s="28" t="s">
        <v>1507</v>
      </c>
      <c r="AC154" s="28" t="s">
        <v>1508</v>
      </c>
      <c r="AD154" s="28" t="s">
        <v>1505</v>
      </c>
      <c r="AE154" s="28" t="s">
        <v>2735</v>
      </c>
    </row>
    <row r="155" spans="21:31">
      <c r="U155" s="28">
        <v>154</v>
      </c>
      <c r="V155" s="28" t="s">
        <v>830</v>
      </c>
      <c r="W155" s="28" t="s">
        <v>1038</v>
      </c>
      <c r="X155" s="28" t="s">
        <v>1039</v>
      </c>
      <c r="Y155" s="28" t="s">
        <v>1058</v>
      </c>
      <c r="Z155" s="28" t="s">
        <v>1059</v>
      </c>
      <c r="AA155" s="28" t="s">
        <v>1509</v>
      </c>
      <c r="AB155" s="28" t="s">
        <v>1510</v>
      </c>
      <c r="AC155" s="28" t="s">
        <v>1511</v>
      </c>
      <c r="AD155" s="28" t="s">
        <v>1512</v>
      </c>
      <c r="AE155" s="28" t="s">
        <v>2737</v>
      </c>
    </row>
    <row r="156" spans="21:31">
      <c r="U156" s="28">
        <v>155</v>
      </c>
      <c r="V156" s="28" t="s">
        <v>830</v>
      </c>
      <c r="W156" s="28" t="s">
        <v>1038</v>
      </c>
      <c r="X156" s="28" t="s">
        <v>1039</v>
      </c>
      <c r="Y156" s="28" t="s">
        <v>1058</v>
      </c>
      <c r="Z156" s="28" t="s">
        <v>1059</v>
      </c>
      <c r="AA156" s="28" t="s">
        <v>1502</v>
      </c>
      <c r="AB156" s="28" t="s">
        <v>1503</v>
      </c>
      <c r="AC156" s="28" t="s">
        <v>1504</v>
      </c>
      <c r="AD156" s="28" t="s">
        <v>1505</v>
      </c>
      <c r="AE156" s="28" t="s">
        <v>2737</v>
      </c>
    </row>
    <row r="157" spans="21:31">
      <c r="U157" s="28">
        <v>156</v>
      </c>
      <c r="V157" s="28" t="s">
        <v>830</v>
      </c>
      <c r="W157" s="28" t="s">
        <v>1038</v>
      </c>
      <c r="X157" s="28" t="s">
        <v>1039</v>
      </c>
      <c r="Y157" s="28" t="s">
        <v>1058</v>
      </c>
      <c r="Z157" s="28" t="s">
        <v>1059</v>
      </c>
      <c r="AA157" s="28" t="s">
        <v>1360</v>
      </c>
      <c r="AB157" s="28" t="s">
        <v>1361</v>
      </c>
      <c r="AC157" s="28" t="s">
        <v>1339</v>
      </c>
      <c r="AD157" s="28" t="s">
        <v>1362</v>
      </c>
      <c r="AE157" s="28" t="s">
        <v>2737</v>
      </c>
    </row>
    <row r="158" spans="21:31">
      <c r="U158" s="28">
        <v>157</v>
      </c>
      <c r="V158" s="28" t="s">
        <v>830</v>
      </c>
      <c r="W158" s="28" t="s">
        <v>1038</v>
      </c>
      <c r="X158" s="28" t="s">
        <v>1039</v>
      </c>
      <c r="Y158" s="28" t="s">
        <v>1058</v>
      </c>
      <c r="Z158" s="28" t="s">
        <v>1059</v>
      </c>
      <c r="AA158" s="28" t="s">
        <v>1506</v>
      </c>
      <c r="AB158" s="28" t="s">
        <v>1507</v>
      </c>
      <c r="AC158" s="28" t="s">
        <v>1508</v>
      </c>
      <c r="AD158" s="28" t="s">
        <v>1505</v>
      </c>
      <c r="AE158" s="28" t="s">
        <v>2735</v>
      </c>
    </row>
    <row r="159" spans="21:31">
      <c r="U159" s="28">
        <v>158</v>
      </c>
      <c r="V159" s="28" t="s">
        <v>830</v>
      </c>
      <c r="W159" s="28" t="s">
        <v>1038</v>
      </c>
      <c r="X159" s="28" t="s">
        <v>1039</v>
      </c>
      <c r="Y159" s="28" t="s">
        <v>1060</v>
      </c>
      <c r="Z159" s="28" t="s">
        <v>1061</v>
      </c>
      <c r="AA159" s="28" t="s">
        <v>1502</v>
      </c>
      <c r="AB159" s="28" t="s">
        <v>1503</v>
      </c>
      <c r="AC159" s="28" t="s">
        <v>1504</v>
      </c>
      <c r="AD159" s="28" t="s">
        <v>1505</v>
      </c>
      <c r="AE159" s="28" t="s">
        <v>2737</v>
      </c>
    </row>
    <row r="160" spans="21:31">
      <c r="U160" s="28">
        <v>159</v>
      </c>
      <c r="V160" s="28" t="s">
        <v>830</v>
      </c>
      <c r="W160" s="28" t="s">
        <v>1038</v>
      </c>
      <c r="X160" s="28" t="s">
        <v>1039</v>
      </c>
      <c r="Y160" s="28" t="s">
        <v>1060</v>
      </c>
      <c r="Z160" s="28" t="s">
        <v>1061</v>
      </c>
      <c r="AA160" s="28" t="s">
        <v>1506</v>
      </c>
      <c r="AB160" s="28" t="s">
        <v>1507</v>
      </c>
      <c r="AC160" s="28" t="s">
        <v>1508</v>
      </c>
      <c r="AD160" s="28" t="s">
        <v>1505</v>
      </c>
      <c r="AE160" s="28" t="s">
        <v>2735</v>
      </c>
    </row>
    <row r="161" spans="21:31">
      <c r="U161" s="28">
        <v>160</v>
      </c>
      <c r="V161" s="28" t="s">
        <v>830</v>
      </c>
      <c r="W161" s="28" t="s">
        <v>1038</v>
      </c>
      <c r="X161" s="28" t="s">
        <v>1039</v>
      </c>
      <c r="Y161" s="28" t="s">
        <v>1064</v>
      </c>
      <c r="Z161" s="28" t="s">
        <v>1065</v>
      </c>
      <c r="AA161" s="28" t="s">
        <v>1513</v>
      </c>
      <c r="AB161" s="28" t="s">
        <v>1514</v>
      </c>
      <c r="AC161" s="28" t="s">
        <v>1515</v>
      </c>
      <c r="AD161" s="28" t="s">
        <v>1505</v>
      </c>
      <c r="AE161" s="28" t="s">
        <v>2737</v>
      </c>
    </row>
    <row r="162" spans="21:31">
      <c r="U162" s="28">
        <v>161</v>
      </c>
      <c r="V162" s="28" t="s">
        <v>830</v>
      </c>
      <c r="W162" s="28" t="s">
        <v>1038</v>
      </c>
      <c r="X162" s="28" t="s">
        <v>1039</v>
      </c>
      <c r="Y162" s="28" t="s">
        <v>1066</v>
      </c>
      <c r="Z162" s="28" t="s">
        <v>1067</v>
      </c>
      <c r="AA162" s="28" t="s">
        <v>1502</v>
      </c>
      <c r="AB162" s="28" t="s">
        <v>1503</v>
      </c>
      <c r="AC162" s="28" t="s">
        <v>1504</v>
      </c>
      <c r="AD162" s="28" t="s">
        <v>1505</v>
      </c>
      <c r="AE162" s="28" t="s">
        <v>2737</v>
      </c>
    </row>
    <row r="163" spans="21:31">
      <c r="U163" s="28">
        <v>162</v>
      </c>
      <c r="V163" s="28" t="s">
        <v>830</v>
      </c>
      <c r="W163" s="28" t="s">
        <v>1068</v>
      </c>
      <c r="X163" s="28" t="s">
        <v>1069</v>
      </c>
      <c r="Y163" s="28" t="s">
        <v>1071</v>
      </c>
      <c r="Z163" s="28" t="s">
        <v>1072</v>
      </c>
      <c r="AA163" s="28" t="s">
        <v>1516</v>
      </c>
      <c r="AB163" s="28" t="s">
        <v>1517</v>
      </c>
      <c r="AC163" s="28" t="s">
        <v>1518</v>
      </c>
      <c r="AD163" s="28" t="s">
        <v>1470</v>
      </c>
      <c r="AE163" s="28" t="s">
        <v>2737</v>
      </c>
    </row>
    <row r="164" spans="21:31">
      <c r="U164" s="28">
        <v>163</v>
      </c>
      <c r="V164" s="28" t="s">
        <v>830</v>
      </c>
      <c r="W164" s="28" t="s">
        <v>1068</v>
      </c>
      <c r="X164" s="28" t="s">
        <v>1069</v>
      </c>
      <c r="Y164" s="28" t="s">
        <v>1073</v>
      </c>
      <c r="Z164" s="28" t="s">
        <v>1074</v>
      </c>
      <c r="AA164" s="28" t="s">
        <v>1519</v>
      </c>
      <c r="AB164" s="28" t="s">
        <v>1520</v>
      </c>
      <c r="AC164" s="28" t="s">
        <v>1521</v>
      </c>
      <c r="AD164" s="28" t="s">
        <v>1470</v>
      </c>
      <c r="AE164" s="28" t="s">
        <v>2737</v>
      </c>
    </row>
    <row r="165" spans="21:31">
      <c r="U165" s="28">
        <v>164</v>
      </c>
      <c r="V165" s="28" t="s">
        <v>830</v>
      </c>
      <c r="W165" s="28" t="s">
        <v>1068</v>
      </c>
      <c r="X165" s="28" t="s">
        <v>1069</v>
      </c>
      <c r="Y165" s="28" t="s">
        <v>1081</v>
      </c>
      <c r="Z165" s="28" t="s">
        <v>1082</v>
      </c>
      <c r="AA165" s="28" t="s">
        <v>1522</v>
      </c>
      <c r="AB165" s="28" t="s">
        <v>1523</v>
      </c>
      <c r="AC165" s="28" t="s">
        <v>1524</v>
      </c>
      <c r="AD165" s="28" t="s">
        <v>1470</v>
      </c>
      <c r="AE165" s="28" t="s">
        <v>2735</v>
      </c>
    </row>
    <row r="166" spans="21:31">
      <c r="U166" s="28">
        <v>165</v>
      </c>
      <c r="V166" s="28" t="s">
        <v>830</v>
      </c>
      <c r="W166" s="28" t="s">
        <v>1068</v>
      </c>
      <c r="X166" s="28" t="s">
        <v>1069</v>
      </c>
      <c r="Y166" s="28" t="s">
        <v>1085</v>
      </c>
      <c r="Z166" s="28" t="s">
        <v>1086</v>
      </c>
      <c r="AA166" s="28" t="s">
        <v>1525</v>
      </c>
      <c r="AB166" s="28" t="s">
        <v>1424</v>
      </c>
      <c r="AC166" s="28" t="s">
        <v>1526</v>
      </c>
      <c r="AD166" s="28" t="s">
        <v>1470</v>
      </c>
      <c r="AE166" s="28" t="s">
        <v>2737</v>
      </c>
    </row>
    <row r="167" spans="21:31">
      <c r="U167" s="28">
        <v>166</v>
      </c>
      <c r="V167" s="28" t="s">
        <v>830</v>
      </c>
      <c r="W167" s="28" t="s">
        <v>1068</v>
      </c>
      <c r="X167" s="28" t="s">
        <v>1069</v>
      </c>
      <c r="Y167" s="28" t="s">
        <v>1087</v>
      </c>
      <c r="Z167" s="28" t="s">
        <v>1088</v>
      </c>
      <c r="AA167" s="28" t="s">
        <v>1522</v>
      </c>
      <c r="AB167" s="28" t="s">
        <v>1523</v>
      </c>
      <c r="AC167" s="28" t="s">
        <v>1524</v>
      </c>
      <c r="AD167" s="28" t="s">
        <v>1470</v>
      </c>
      <c r="AE167" s="28" t="s">
        <v>2735</v>
      </c>
    </row>
    <row r="168" spans="21:31">
      <c r="U168" s="28">
        <v>167</v>
      </c>
      <c r="V168" s="28" t="s">
        <v>830</v>
      </c>
      <c r="W168" s="28" t="s">
        <v>1068</v>
      </c>
      <c r="X168" s="28" t="s">
        <v>1069</v>
      </c>
      <c r="Y168" s="28" t="s">
        <v>1087</v>
      </c>
      <c r="Z168" s="28" t="s">
        <v>1088</v>
      </c>
      <c r="AA168" s="28" t="s">
        <v>1527</v>
      </c>
      <c r="AB168" s="28" t="s">
        <v>1528</v>
      </c>
      <c r="AC168" s="28" t="s">
        <v>1529</v>
      </c>
      <c r="AD168" s="28" t="s">
        <v>1470</v>
      </c>
      <c r="AE168" s="28" t="s">
        <v>2735</v>
      </c>
    </row>
    <row r="169" spans="21:31">
      <c r="U169" s="28">
        <v>168</v>
      </c>
      <c r="V169" s="28" t="s">
        <v>830</v>
      </c>
      <c r="W169" s="28" t="s">
        <v>1068</v>
      </c>
      <c r="X169" s="28" t="s">
        <v>1069</v>
      </c>
      <c r="Y169" s="28" t="s">
        <v>1089</v>
      </c>
      <c r="Z169" s="28" t="s">
        <v>1090</v>
      </c>
      <c r="AA169" s="28" t="s">
        <v>1530</v>
      </c>
      <c r="AB169" s="28" t="s">
        <v>1531</v>
      </c>
      <c r="AC169" s="28" t="s">
        <v>1532</v>
      </c>
      <c r="AD169" s="28" t="s">
        <v>1470</v>
      </c>
      <c r="AE169" s="28" t="s">
        <v>2737</v>
      </c>
    </row>
    <row r="170" spans="21:31">
      <c r="U170" s="28">
        <v>169</v>
      </c>
      <c r="V170" s="28" t="s">
        <v>830</v>
      </c>
      <c r="W170" s="28" t="s">
        <v>1113</v>
      </c>
      <c r="X170" s="28" t="s">
        <v>1114</v>
      </c>
      <c r="Y170" s="28" t="s">
        <v>1115</v>
      </c>
      <c r="Z170" s="28" t="s">
        <v>1116</v>
      </c>
      <c r="AA170" s="28" t="s">
        <v>1337</v>
      </c>
      <c r="AB170" s="28" t="s">
        <v>1338</v>
      </c>
      <c r="AC170" s="28" t="s">
        <v>1339</v>
      </c>
      <c r="AD170" s="28" t="s">
        <v>1340</v>
      </c>
      <c r="AE170" s="28" t="s">
        <v>1341</v>
      </c>
    </row>
    <row r="171" spans="21:31">
      <c r="U171" s="28">
        <v>170</v>
      </c>
      <c r="V171" s="28" t="s">
        <v>830</v>
      </c>
      <c r="W171" s="28" t="s">
        <v>1113</v>
      </c>
      <c r="X171" s="28" t="s">
        <v>1114</v>
      </c>
      <c r="Y171" s="28" t="s">
        <v>1115</v>
      </c>
      <c r="Z171" s="28" t="s">
        <v>1116</v>
      </c>
      <c r="AA171" s="28" t="s">
        <v>1533</v>
      </c>
      <c r="AB171" s="28" t="s">
        <v>1534</v>
      </c>
      <c r="AC171" s="28" t="s">
        <v>1535</v>
      </c>
      <c r="AD171" s="28" t="s">
        <v>1536</v>
      </c>
      <c r="AE171" s="28" t="s">
        <v>2737</v>
      </c>
    </row>
    <row r="172" spans="21:31">
      <c r="U172" s="28">
        <v>171</v>
      </c>
      <c r="V172" s="28" t="s">
        <v>830</v>
      </c>
      <c r="W172" s="28" t="s">
        <v>1113</v>
      </c>
      <c r="X172" s="28" t="s">
        <v>1114</v>
      </c>
      <c r="Y172" s="28" t="s">
        <v>1011</v>
      </c>
      <c r="Z172" s="28" t="s">
        <v>1114</v>
      </c>
      <c r="AA172" s="28" t="s">
        <v>1537</v>
      </c>
      <c r="AB172" s="28" t="s">
        <v>1538</v>
      </c>
      <c r="AC172" s="28" t="s">
        <v>1539</v>
      </c>
      <c r="AD172" s="28" t="s">
        <v>1448</v>
      </c>
      <c r="AE172" s="28" t="s">
        <v>2735</v>
      </c>
    </row>
    <row r="173" spans="21:31">
      <c r="U173" s="28">
        <v>172</v>
      </c>
      <c r="V173" s="28" t="s">
        <v>830</v>
      </c>
      <c r="W173" s="28" t="s">
        <v>1113</v>
      </c>
      <c r="X173" s="28" t="s">
        <v>1114</v>
      </c>
      <c r="Y173" s="28" t="s">
        <v>1011</v>
      </c>
      <c r="Z173" s="28" t="s">
        <v>1114</v>
      </c>
      <c r="AA173" s="28" t="s">
        <v>1337</v>
      </c>
      <c r="AB173" s="28" t="s">
        <v>1338</v>
      </c>
      <c r="AC173" s="28" t="s">
        <v>1339</v>
      </c>
      <c r="AD173" s="28" t="s">
        <v>1340</v>
      </c>
      <c r="AE173" s="28" t="s">
        <v>1341</v>
      </c>
    </row>
    <row r="174" spans="21:31">
      <c r="U174" s="28">
        <v>173</v>
      </c>
      <c r="V174" s="28" t="s">
        <v>830</v>
      </c>
      <c r="W174" s="28" t="s">
        <v>1113</v>
      </c>
      <c r="X174" s="28" t="s">
        <v>1114</v>
      </c>
      <c r="Y174" s="28" t="s">
        <v>1117</v>
      </c>
      <c r="Z174" s="28" t="s">
        <v>1118</v>
      </c>
      <c r="AA174" s="28" t="s">
        <v>1337</v>
      </c>
      <c r="AB174" s="28" t="s">
        <v>1338</v>
      </c>
      <c r="AC174" s="28" t="s">
        <v>1339</v>
      </c>
      <c r="AD174" s="28" t="s">
        <v>1340</v>
      </c>
      <c r="AE174" s="28" t="s">
        <v>1341</v>
      </c>
    </row>
    <row r="175" spans="21:31">
      <c r="U175" s="28">
        <v>174</v>
      </c>
      <c r="V175" s="28" t="s">
        <v>830</v>
      </c>
      <c r="W175" s="28" t="s">
        <v>1113</v>
      </c>
      <c r="X175" s="28" t="s">
        <v>1114</v>
      </c>
      <c r="Y175" s="28" t="s">
        <v>1117</v>
      </c>
      <c r="Z175" s="28" t="s">
        <v>1118</v>
      </c>
      <c r="AA175" s="28" t="s">
        <v>1540</v>
      </c>
      <c r="AB175" s="28" t="s">
        <v>1541</v>
      </c>
      <c r="AC175" s="28" t="s">
        <v>1542</v>
      </c>
      <c r="AD175" s="28" t="s">
        <v>1536</v>
      </c>
      <c r="AE175" s="28" t="s">
        <v>2737</v>
      </c>
    </row>
    <row r="176" spans="21:31">
      <c r="U176" s="28">
        <v>175</v>
      </c>
      <c r="V176" s="28" t="s">
        <v>830</v>
      </c>
      <c r="W176" s="28" t="s">
        <v>1113</v>
      </c>
      <c r="X176" s="28" t="s">
        <v>1114</v>
      </c>
      <c r="Y176" s="28" t="s">
        <v>1117</v>
      </c>
      <c r="Z176" s="28" t="s">
        <v>1118</v>
      </c>
      <c r="AA176" s="28" t="s">
        <v>1401</v>
      </c>
      <c r="AB176" s="28" t="s">
        <v>1402</v>
      </c>
      <c r="AC176" s="28" t="s">
        <v>1403</v>
      </c>
      <c r="AD176" s="28" t="s">
        <v>1396</v>
      </c>
      <c r="AE176" s="28" t="s">
        <v>2737</v>
      </c>
    </row>
    <row r="177" spans="21:31">
      <c r="U177" s="28">
        <v>176</v>
      </c>
      <c r="V177" s="28" t="s">
        <v>830</v>
      </c>
      <c r="W177" s="28" t="s">
        <v>1113</v>
      </c>
      <c r="X177" s="28" t="s">
        <v>1114</v>
      </c>
      <c r="Y177" s="28" t="s">
        <v>1119</v>
      </c>
      <c r="Z177" s="28" t="s">
        <v>1120</v>
      </c>
      <c r="AA177" s="28" t="s">
        <v>1337</v>
      </c>
      <c r="AB177" s="28" t="s">
        <v>1338</v>
      </c>
      <c r="AC177" s="28" t="s">
        <v>1339</v>
      </c>
      <c r="AD177" s="28" t="s">
        <v>1340</v>
      </c>
      <c r="AE177" s="28" t="s">
        <v>1341</v>
      </c>
    </row>
    <row r="178" spans="21:31">
      <c r="U178" s="28">
        <v>177</v>
      </c>
      <c r="V178" s="28" t="s">
        <v>830</v>
      </c>
      <c r="W178" s="28" t="s">
        <v>1113</v>
      </c>
      <c r="X178" s="28" t="s">
        <v>1114</v>
      </c>
      <c r="Y178" s="28" t="s">
        <v>1119</v>
      </c>
      <c r="Z178" s="28" t="s">
        <v>1120</v>
      </c>
      <c r="AA178" s="28" t="s">
        <v>1533</v>
      </c>
      <c r="AB178" s="28" t="s">
        <v>1534</v>
      </c>
      <c r="AC178" s="28" t="s">
        <v>1535</v>
      </c>
      <c r="AD178" s="28" t="s">
        <v>1536</v>
      </c>
      <c r="AE178" s="28" t="s">
        <v>2737</v>
      </c>
    </row>
    <row r="179" spans="21:31">
      <c r="U179" s="28">
        <v>178</v>
      </c>
      <c r="V179" s="28" t="s">
        <v>830</v>
      </c>
      <c r="W179" s="28" t="s">
        <v>1113</v>
      </c>
      <c r="X179" s="28" t="s">
        <v>1114</v>
      </c>
      <c r="Y179" s="28" t="s">
        <v>1119</v>
      </c>
      <c r="Z179" s="28" t="s">
        <v>1120</v>
      </c>
      <c r="AA179" s="28" t="s">
        <v>1543</v>
      </c>
      <c r="AB179" s="28" t="s">
        <v>1544</v>
      </c>
      <c r="AC179" s="28" t="s">
        <v>1545</v>
      </c>
      <c r="AD179" s="28" t="s">
        <v>1536</v>
      </c>
      <c r="AE179" s="28" t="s">
        <v>2737</v>
      </c>
    </row>
    <row r="180" spans="21:31">
      <c r="U180" s="28">
        <v>179</v>
      </c>
      <c r="V180" s="28" t="s">
        <v>830</v>
      </c>
      <c r="W180" s="28" t="s">
        <v>1113</v>
      </c>
      <c r="X180" s="28" t="s">
        <v>1114</v>
      </c>
      <c r="Y180" s="28" t="s">
        <v>1121</v>
      </c>
      <c r="Z180" s="28" t="s">
        <v>1122</v>
      </c>
      <c r="AA180" s="28" t="s">
        <v>1346</v>
      </c>
      <c r="AB180" s="28" t="s">
        <v>1347</v>
      </c>
      <c r="AC180" s="28" t="s">
        <v>1348</v>
      </c>
      <c r="AD180" s="28" t="s">
        <v>1349</v>
      </c>
      <c r="AE180" s="28" t="s">
        <v>2735</v>
      </c>
    </row>
    <row r="181" spans="21:31">
      <c r="U181" s="28">
        <v>180</v>
      </c>
      <c r="V181" s="28" t="s">
        <v>830</v>
      </c>
      <c r="W181" s="28" t="s">
        <v>1113</v>
      </c>
      <c r="X181" s="28" t="s">
        <v>1114</v>
      </c>
      <c r="Y181" s="28" t="s">
        <v>1121</v>
      </c>
      <c r="Z181" s="28" t="s">
        <v>1122</v>
      </c>
      <c r="AA181" s="28" t="s">
        <v>1350</v>
      </c>
      <c r="AB181" s="28" t="s">
        <v>1351</v>
      </c>
      <c r="AC181" s="28" t="s">
        <v>1348</v>
      </c>
      <c r="AD181" s="28" t="s">
        <v>1352</v>
      </c>
      <c r="AE181" s="28" t="s">
        <v>1353</v>
      </c>
    </row>
    <row r="182" spans="21:31">
      <c r="U182" s="28">
        <v>181</v>
      </c>
      <c r="V182" s="28" t="s">
        <v>830</v>
      </c>
      <c r="W182" s="28" t="s">
        <v>1113</v>
      </c>
      <c r="X182" s="28" t="s">
        <v>1114</v>
      </c>
      <c r="Y182" s="28" t="s">
        <v>1121</v>
      </c>
      <c r="Z182" s="28" t="s">
        <v>1122</v>
      </c>
      <c r="AA182" s="28" t="s">
        <v>1337</v>
      </c>
      <c r="AB182" s="28" t="s">
        <v>1338</v>
      </c>
      <c r="AC182" s="28" t="s">
        <v>1339</v>
      </c>
      <c r="AD182" s="28" t="s">
        <v>1340</v>
      </c>
      <c r="AE182" s="28" t="s">
        <v>1341</v>
      </c>
    </row>
    <row r="183" spans="21:31">
      <c r="U183" s="28">
        <v>182</v>
      </c>
      <c r="V183" s="28" t="s">
        <v>830</v>
      </c>
      <c r="W183" s="28" t="s">
        <v>1113</v>
      </c>
      <c r="X183" s="28" t="s">
        <v>1114</v>
      </c>
      <c r="Y183" s="28" t="s">
        <v>1121</v>
      </c>
      <c r="Z183" s="28" t="s">
        <v>1122</v>
      </c>
      <c r="AA183" s="28" t="s">
        <v>1533</v>
      </c>
      <c r="AB183" s="28" t="s">
        <v>1534</v>
      </c>
      <c r="AC183" s="28" t="s">
        <v>1535</v>
      </c>
      <c r="AD183" s="28" t="s">
        <v>1536</v>
      </c>
      <c r="AE183" s="28" t="s">
        <v>2737</v>
      </c>
    </row>
    <row r="184" spans="21:31">
      <c r="U184" s="28">
        <v>183</v>
      </c>
      <c r="V184" s="28" t="s">
        <v>830</v>
      </c>
      <c r="W184" s="28" t="s">
        <v>1113</v>
      </c>
      <c r="X184" s="28" t="s">
        <v>1114</v>
      </c>
      <c r="Y184" s="28" t="s">
        <v>1121</v>
      </c>
      <c r="Z184" s="28" t="s">
        <v>1122</v>
      </c>
      <c r="AA184" s="28" t="s">
        <v>1546</v>
      </c>
      <c r="AB184" s="28" t="s">
        <v>1547</v>
      </c>
      <c r="AC184" s="28" t="s">
        <v>1548</v>
      </c>
      <c r="AD184" s="28" t="s">
        <v>1536</v>
      </c>
      <c r="AE184" s="28" t="s">
        <v>2737</v>
      </c>
    </row>
    <row r="185" spans="21:31">
      <c r="U185" s="28">
        <v>184</v>
      </c>
      <c r="V185" s="28" t="s">
        <v>830</v>
      </c>
      <c r="W185" s="28" t="s">
        <v>1113</v>
      </c>
      <c r="X185" s="28" t="s">
        <v>1114</v>
      </c>
      <c r="Y185" s="28" t="s">
        <v>1113</v>
      </c>
      <c r="Z185" s="28" t="s">
        <v>1114</v>
      </c>
      <c r="AA185" s="28" t="s">
        <v>1337</v>
      </c>
      <c r="AB185" s="28" t="s">
        <v>1338</v>
      </c>
      <c r="AC185" s="28" t="s">
        <v>1339</v>
      </c>
      <c r="AD185" s="28" t="s">
        <v>1340</v>
      </c>
      <c r="AE185" s="28" t="s">
        <v>1341</v>
      </c>
    </row>
    <row r="186" spans="21:31">
      <c r="U186" s="28">
        <v>185</v>
      </c>
      <c r="V186" s="28" t="s">
        <v>830</v>
      </c>
      <c r="W186" s="28" t="s">
        <v>1123</v>
      </c>
      <c r="X186" s="28" t="s">
        <v>1124</v>
      </c>
      <c r="Y186" s="28" t="s">
        <v>1125</v>
      </c>
      <c r="Z186" s="28" t="s">
        <v>1126</v>
      </c>
      <c r="AA186" s="28" t="s">
        <v>1549</v>
      </c>
      <c r="AB186" s="28" t="s">
        <v>1550</v>
      </c>
      <c r="AC186" s="28" t="s">
        <v>1551</v>
      </c>
      <c r="AD186" s="28" t="s">
        <v>1552</v>
      </c>
      <c r="AE186" s="28" t="s">
        <v>2735</v>
      </c>
    </row>
    <row r="187" spans="21:31">
      <c r="U187" s="28">
        <v>186</v>
      </c>
      <c r="V187" s="28" t="s">
        <v>830</v>
      </c>
      <c r="W187" s="28" t="s">
        <v>1123</v>
      </c>
      <c r="X187" s="28" t="s">
        <v>1124</v>
      </c>
      <c r="Y187" s="28" t="s">
        <v>1125</v>
      </c>
      <c r="Z187" s="28" t="s">
        <v>1126</v>
      </c>
      <c r="AA187" s="28" t="s">
        <v>1553</v>
      </c>
      <c r="AB187" s="28" t="s">
        <v>1554</v>
      </c>
      <c r="AC187" s="28" t="s">
        <v>1555</v>
      </c>
      <c r="AD187" s="28" t="s">
        <v>1552</v>
      </c>
      <c r="AE187" s="28" t="s">
        <v>1341</v>
      </c>
    </row>
    <row r="188" spans="21:31">
      <c r="U188" s="28">
        <v>187</v>
      </c>
      <c r="V188" s="28" t="s">
        <v>830</v>
      </c>
      <c r="W188" s="28" t="s">
        <v>1123</v>
      </c>
      <c r="X188" s="28" t="s">
        <v>1124</v>
      </c>
      <c r="Y188" s="28" t="s">
        <v>1125</v>
      </c>
      <c r="Z188" s="28" t="s">
        <v>1126</v>
      </c>
      <c r="AA188" s="28" t="s">
        <v>1556</v>
      </c>
      <c r="AB188" s="28" t="s">
        <v>1557</v>
      </c>
      <c r="AC188" s="28" t="s">
        <v>1558</v>
      </c>
      <c r="AD188" s="28" t="s">
        <v>1552</v>
      </c>
      <c r="AE188" s="28" t="s">
        <v>2735</v>
      </c>
    </row>
    <row r="189" spans="21:31">
      <c r="U189" s="28">
        <v>188</v>
      </c>
      <c r="V189" s="28" t="s">
        <v>830</v>
      </c>
      <c r="W189" s="28" t="s">
        <v>1123</v>
      </c>
      <c r="X189" s="28" t="s">
        <v>1124</v>
      </c>
      <c r="Y189" s="28" t="s">
        <v>1127</v>
      </c>
      <c r="Z189" s="28" t="s">
        <v>1128</v>
      </c>
      <c r="AA189" s="28" t="s">
        <v>1549</v>
      </c>
      <c r="AB189" s="28" t="s">
        <v>1550</v>
      </c>
      <c r="AC189" s="28" t="s">
        <v>1551</v>
      </c>
      <c r="AD189" s="28" t="s">
        <v>1552</v>
      </c>
      <c r="AE189" s="28" t="s">
        <v>2735</v>
      </c>
    </row>
    <row r="190" spans="21:31">
      <c r="U190" s="28">
        <v>189</v>
      </c>
      <c r="V190" s="28" t="s">
        <v>830</v>
      </c>
      <c r="W190" s="28" t="s">
        <v>1123</v>
      </c>
      <c r="X190" s="28" t="s">
        <v>1124</v>
      </c>
      <c r="Y190" s="28" t="s">
        <v>1127</v>
      </c>
      <c r="Z190" s="28" t="s">
        <v>1128</v>
      </c>
      <c r="AA190" s="28" t="s">
        <v>1553</v>
      </c>
      <c r="AB190" s="28" t="s">
        <v>1554</v>
      </c>
      <c r="AC190" s="28" t="s">
        <v>1555</v>
      </c>
      <c r="AD190" s="28" t="s">
        <v>1552</v>
      </c>
      <c r="AE190" s="28" t="s">
        <v>1341</v>
      </c>
    </row>
    <row r="191" spans="21:31">
      <c r="U191" s="28">
        <v>190</v>
      </c>
      <c r="V191" s="28" t="s">
        <v>830</v>
      </c>
      <c r="W191" s="28" t="s">
        <v>1123</v>
      </c>
      <c r="X191" s="28" t="s">
        <v>1124</v>
      </c>
      <c r="Y191" s="28" t="s">
        <v>1127</v>
      </c>
      <c r="Z191" s="28" t="s">
        <v>1128</v>
      </c>
      <c r="AA191" s="28" t="s">
        <v>1556</v>
      </c>
      <c r="AB191" s="28" t="s">
        <v>1557</v>
      </c>
      <c r="AC191" s="28" t="s">
        <v>1558</v>
      </c>
      <c r="AD191" s="28" t="s">
        <v>1552</v>
      </c>
      <c r="AE191" s="28" t="s">
        <v>2735</v>
      </c>
    </row>
    <row r="192" spans="21:31">
      <c r="U192" s="28">
        <v>191</v>
      </c>
      <c r="V192" s="28" t="s">
        <v>830</v>
      </c>
      <c r="W192" s="28" t="s">
        <v>1123</v>
      </c>
      <c r="X192" s="28" t="s">
        <v>1124</v>
      </c>
      <c r="Y192" s="28" t="s">
        <v>1129</v>
      </c>
      <c r="Z192" s="28" t="s">
        <v>1130</v>
      </c>
      <c r="AA192" s="28" t="s">
        <v>1549</v>
      </c>
      <c r="AB192" s="28" t="s">
        <v>1550</v>
      </c>
      <c r="AC192" s="28" t="s">
        <v>1551</v>
      </c>
      <c r="AD192" s="28" t="s">
        <v>1552</v>
      </c>
      <c r="AE192" s="28" t="s">
        <v>2735</v>
      </c>
    </row>
    <row r="193" spans="21:31">
      <c r="U193" s="28">
        <v>192</v>
      </c>
      <c r="V193" s="28" t="s">
        <v>830</v>
      </c>
      <c r="W193" s="28" t="s">
        <v>1123</v>
      </c>
      <c r="X193" s="28" t="s">
        <v>1124</v>
      </c>
      <c r="Y193" s="28" t="s">
        <v>1129</v>
      </c>
      <c r="Z193" s="28" t="s">
        <v>1130</v>
      </c>
      <c r="AA193" s="28" t="s">
        <v>1553</v>
      </c>
      <c r="AB193" s="28" t="s">
        <v>1554</v>
      </c>
      <c r="AC193" s="28" t="s">
        <v>1555</v>
      </c>
      <c r="AD193" s="28" t="s">
        <v>1552</v>
      </c>
      <c r="AE193" s="28" t="s">
        <v>1341</v>
      </c>
    </row>
    <row r="194" spans="21:31">
      <c r="U194" s="28">
        <v>193</v>
      </c>
      <c r="V194" s="28" t="s">
        <v>830</v>
      </c>
      <c r="W194" s="28" t="s">
        <v>1123</v>
      </c>
      <c r="X194" s="28" t="s">
        <v>1124</v>
      </c>
      <c r="Y194" s="28" t="s">
        <v>1129</v>
      </c>
      <c r="Z194" s="28" t="s">
        <v>1130</v>
      </c>
      <c r="AA194" s="28" t="s">
        <v>1556</v>
      </c>
      <c r="AB194" s="28" t="s">
        <v>1557</v>
      </c>
      <c r="AC194" s="28" t="s">
        <v>1558</v>
      </c>
      <c r="AD194" s="28" t="s">
        <v>1552</v>
      </c>
      <c r="AE194" s="28" t="s">
        <v>2735</v>
      </c>
    </row>
    <row r="195" spans="21:31">
      <c r="U195" s="28">
        <v>194</v>
      </c>
      <c r="V195" s="28" t="s">
        <v>830</v>
      </c>
      <c r="W195" s="28" t="s">
        <v>1123</v>
      </c>
      <c r="X195" s="28" t="s">
        <v>1124</v>
      </c>
      <c r="Y195" s="28" t="s">
        <v>1131</v>
      </c>
      <c r="Z195" s="28" t="s">
        <v>1132</v>
      </c>
      <c r="AA195" s="28" t="s">
        <v>1549</v>
      </c>
      <c r="AB195" s="28" t="s">
        <v>1550</v>
      </c>
      <c r="AC195" s="28" t="s">
        <v>1551</v>
      </c>
      <c r="AD195" s="28" t="s">
        <v>1552</v>
      </c>
      <c r="AE195" s="28" t="s">
        <v>2735</v>
      </c>
    </row>
    <row r="196" spans="21:31">
      <c r="U196" s="28">
        <v>195</v>
      </c>
      <c r="V196" s="28" t="s">
        <v>830</v>
      </c>
      <c r="W196" s="28" t="s">
        <v>1123</v>
      </c>
      <c r="X196" s="28" t="s">
        <v>1124</v>
      </c>
      <c r="Y196" s="28" t="s">
        <v>1131</v>
      </c>
      <c r="Z196" s="28" t="s">
        <v>1132</v>
      </c>
      <c r="AA196" s="28" t="s">
        <v>1553</v>
      </c>
      <c r="AB196" s="28" t="s">
        <v>1554</v>
      </c>
      <c r="AC196" s="28" t="s">
        <v>1555</v>
      </c>
      <c r="AD196" s="28" t="s">
        <v>1552</v>
      </c>
      <c r="AE196" s="28" t="s">
        <v>1341</v>
      </c>
    </row>
    <row r="197" spans="21:31">
      <c r="U197" s="28">
        <v>196</v>
      </c>
      <c r="V197" s="28" t="s">
        <v>830</v>
      </c>
      <c r="W197" s="28" t="s">
        <v>1123</v>
      </c>
      <c r="X197" s="28" t="s">
        <v>1124</v>
      </c>
      <c r="Y197" s="28" t="s">
        <v>1131</v>
      </c>
      <c r="Z197" s="28" t="s">
        <v>1132</v>
      </c>
      <c r="AA197" s="28" t="s">
        <v>1556</v>
      </c>
      <c r="AB197" s="28" t="s">
        <v>1557</v>
      </c>
      <c r="AC197" s="28" t="s">
        <v>1558</v>
      </c>
      <c r="AD197" s="28" t="s">
        <v>1552</v>
      </c>
      <c r="AE197" s="28" t="s">
        <v>2735</v>
      </c>
    </row>
    <row r="198" spans="21:31">
      <c r="U198" s="28">
        <v>197</v>
      </c>
      <c r="V198" s="28" t="s">
        <v>830</v>
      </c>
      <c r="W198" s="28" t="s">
        <v>1123</v>
      </c>
      <c r="X198" s="28" t="s">
        <v>1124</v>
      </c>
      <c r="Y198" s="28" t="s">
        <v>1133</v>
      </c>
      <c r="Z198" s="28" t="s">
        <v>1134</v>
      </c>
      <c r="AA198" s="28" t="s">
        <v>1549</v>
      </c>
      <c r="AB198" s="28" t="s">
        <v>1550</v>
      </c>
      <c r="AC198" s="28" t="s">
        <v>1551</v>
      </c>
      <c r="AD198" s="28" t="s">
        <v>1552</v>
      </c>
      <c r="AE198" s="28" t="s">
        <v>2735</v>
      </c>
    </row>
    <row r="199" spans="21:31">
      <c r="U199" s="28">
        <v>198</v>
      </c>
      <c r="V199" s="28" t="s">
        <v>830</v>
      </c>
      <c r="W199" s="28" t="s">
        <v>1123</v>
      </c>
      <c r="X199" s="28" t="s">
        <v>1124</v>
      </c>
      <c r="Y199" s="28" t="s">
        <v>1133</v>
      </c>
      <c r="Z199" s="28" t="s">
        <v>1134</v>
      </c>
      <c r="AA199" s="28" t="s">
        <v>1553</v>
      </c>
      <c r="AB199" s="28" t="s">
        <v>1554</v>
      </c>
      <c r="AC199" s="28" t="s">
        <v>1555</v>
      </c>
      <c r="AD199" s="28" t="s">
        <v>1552</v>
      </c>
      <c r="AE199" s="28" t="s">
        <v>1341</v>
      </c>
    </row>
    <row r="200" spans="21:31">
      <c r="U200" s="28">
        <v>199</v>
      </c>
      <c r="V200" s="28" t="s">
        <v>830</v>
      </c>
      <c r="W200" s="28" t="s">
        <v>1123</v>
      </c>
      <c r="X200" s="28" t="s">
        <v>1124</v>
      </c>
      <c r="Y200" s="28" t="s">
        <v>1133</v>
      </c>
      <c r="Z200" s="28" t="s">
        <v>1134</v>
      </c>
      <c r="AA200" s="28" t="s">
        <v>1556</v>
      </c>
      <c r="AB200" s="28" t="s">
        <v>1557</v>
      </c>
      <c r="AC200" s="28" t="s">
        <v>1558</v>
      </c>
      <c r="AD200" s="28" t="s">
        <v>1552</v>
      </c>
      <c r="AE200" s="28" t="s">
        <v>2735</v>
      </c>
    </row>
    <row r="201" spans="21:31">
      <c r="U201" s="28">
        <v>200</v>
      </c>
      <c r="V201" s="28" t="s">
        <v>830</v>
      </c>
      <c r="W201" s="28" t="s">
        <v>1123</v>
      </c>
      <c r="X201" s="28" t="s">
        <v>1124</v>
      </c>
      <c r="Y201" s="28" t="s">
        <v>1135</v>
      </c>
      <c r="Z201" s="28" t="s">
        <v>1136</v>
      </c>
      <c r="AA201" s="28" t="s">
        <v>1549</v>
      </c>
      <c r="AB201" s="28" t="s">
        <v>1550</v>
      </c>
      <c r="AC201" s="28" t="s">
        <v>1551</v>
      </c>
      <c r="AD201" s="28" t="s">
        <v>1552</v>
      </c>
      <c r="AE201" s="28" t="s">
        <v>2735</v>
      </c>
    </row>
    <row r="202" spans="21:31">
      <c r="U202" s="28">
        <v>201</v>
      </c>
      <c r="V202" s="28" t="s">
        <v>830</v>
      </c>
      <c r="W202" s="28" t="s">
        <v>1123</v>
      </c>
      <c r="X202" s="28" t="s">
        <v>1124</v>
      </c>
      <c r="Y202" s="28" t="s">
        <v>1135</v>
      </c>
      <c r="Z202" s="28" t="s">
        <v>1136</v>
      </c>
      <c r="AA202" s="28" t="s">
        <v>1553</v>
      </c>
      <c r="AB202" s="28" t="s">
        <v>1554</v>
      </c>
      <c r="AC202" s="28" t="s">
        <v>1555</v>
      </c>
      <c r="AD202" s="28" t="s">
        <v>1552</v>
      </c>
      <c r="AE202" s="28" t="s">
        <v>1341</v>
      </c>
    </row>
    <row r="203" spans="21:31">
      <c r="U203" s="28">
        <v>202</v>
      </c>
      <c r="V203" s="28" t="s">
        <v>830</v>
      </c>
      <c r="W203" s="28" t="s">
        <v>1123</v>
      </c>
      <c r="X203" s="28" t="s">
        <v>1124</v>
      </c>
      <c r="Y203" s="28" t="s">
        <v>1135</v>
      </c>
      <c r="Z203" s="28" t="s">
        <v>1136</v>
      </c>
      <c r="AA203" s="28" t="s">
        <v>1556</v>
      </c>
      <c r="AB203" s="28" t="s">
        <v>1557</v>
      </c>
      <c r="AC203" s="28" t="s">
        <v>1558</v>
      </c>
      <c r="AD203" s="28" t="s">
        <v>1552</v>
      </c>
      <c r="AE203" s="28" t="s">
        <v>2735</v>
      </c>
    </row>
    <row r="204" spans="21:31">
      <c r="U204" s="28">
        <v>203</v>
      </c>
      <c r="V204" s="28" t="s">
        <v>830</v>
      </c>
      <c r="W204" s="28" t="s">
        <v>1123</v>
      </c>
      <c r="X204" s="28" t="s">
        <v>1124</v>
      </c>
      <c r="Y204" s="28" t="s">
        <v>1137</v>
      </c>
      <c r="Z204" s="28" t="s">
        <v>1138</v>
      </c>
      <c r="AA204" s="28" t="s">
        <v>1549</v>
      </c>
      <c r="AB204" s="28" t="s">
        <v>1550</v>
      </c>
      <c r="AC204" s="28" t="s">
        <v>1551</v>
      </c>
      <c r="AD204" s="28" t="s">
        <v>1552</v>
      </c>
      <c r="AE204" s="28" t="s">
        <v>2735</v>
      </c>
    </row>
    <row r="205" spans="21:31">
      <c r="U205" s="28">
        <v>204</v>
      </c>
      <c r="V205" s="28" t="s">
        <v>830</v>
      </c>
      <c r="W205" s="28" t="s">
        <v>1123</v>
      </c>
      <c r="X205" s="28" t="s">
        <v>1124</v>
      </c>
      <c r="Y205" s="28" t="s">
        <v>1137</v>
      </c>
      <c r="Z205" s="28" t="s">
        <v>1138</v>
      </c>
      <c r="AA205" s="28" t="s">
        <v>1553</v>
      </c>
      <c r="AB205" s="28" t="s">
        <v>1554</v>
      </c>
      <c r="AC205" s="28" t="s">
        <v>1555</v>
      </c>
      <c r="AD205" s="28" t="s">
        <v>1552</v>
      </c>
      <c r="AE205" s="28" t="s">
        <v>1341</v>
      </c>
    </row>
    <row r="206" spans="21:31">
      <c r="U206" s="28">
        <v>205</v>
      </c>
      <c r="V206" s="28" t="s">
        <v>830</v>
      </c>
      <c r="W206" s="28" t="s">
        <v>1123</v>
      </c>
      <c r="X206" s="28" t="s">
        <v>1124</v>
      </c>
      <c r="Y206" s="28" t="s">
        <v>1137</v>
      </c>
      <c r="Z206" s="28" t="s">
        <v>1138</v>
      </c>
      <c r="AA206" s="28" t="s">
        <v>1556</v>
      </c>
      <c r="AB206" s="28" t="s">
        <v>1557</v>
      </c>
      <c r="AC206" s="28" t="s">
        <v>1558</v>
      </c>
      <c r="AD206" s="28" t="s">
        <v>1552</v>
      </c>
      <c r="AE206" s="28" t="s">
        <v>2735</v>
      </c>
    </row>
    <row r="207" spans="21:31">
      <c r="U207" s="28">
        <v>206</v>
      </c>
      <c r="V207" s="28" t="s">
        <v>830</v>
      </c>
      <c r="W207" s="28" t="s">
        <v>1123</v>
      </c>
      <c r="X207" s="28" t="s">
        <v>1124</v>
      </c>
      <c r="Y207" s="28" t="s">
        <v>1139</v>
      </c>
      <c r="Z207" s="28" t="s">
        <v>1140</v>
      </c>
      <c r="AA207" s="28" t="s">
        <v>1337</v>
      </c>
      <c r="AB207" s="28" t="s">
        <v>1338</v>
      </c>
      <c r="AC207" s="28" t="s">
        <v>1339</v>
      </c>
      <c r="AD207" s="28" t="s">
        <v>1340</v>
      </c>
      <c r="AE207" s="28" t="s">
        <v>1341</v>
      </c>
    </row>
    <row r="208" spans="21:31">
      <c r="U208" s="28">
        <v>207</v>
      </c>
      <c r="V208" s="28" t="s">
        <v>830</v>
      </c>
      <c r="W208" s="28" t="s">
        <v>1123</v>
      </c>
      <c r="X208" s="28" t="s">
        <v>1124</v>
      </c>
      <c r="Y208" s="28" t="s">
        <v>1139</v>
      </c>
      <c r="Z208" s="28" t="s">
        <v>1140</v>
      </c>
      <c r="AA208" s="28" t="s">
        <v>1549</v>
      </c>
      <c r="AB208" s="28" t="s">
        <v>1550</v>
      </c>
      <c r="AC208" s="28" t="s">
        <v>1551</v>
      </c>
      <c r="AD208" s="28" t="s">
        <v>1552</v>
      </c>
      <c r="AE208" s="28" t="s">
        <v>2735</v>
      </c>
    </row>
    <row r="209" spans="21:31">
      <c r="U209" s="28">
        <v>208</v>
      </c>
      <c r="V209" s="28" t="s">
        <v>830</v>
      </c>
      <c r="W209" s="28" t="s">
        <v>1123</v>
      </c>
      <c r="X209" s="28" t="s">
        <v>1124</v>
      </c>
      <c r="Y209" s="28" t="s">
        <v>1139</v>
      </c>
      <c r="Z209" s="28" t="s">
        <v>1140</v>
      </c>
      <c r="AA209" s="28" t="s">
        <v>1553</v>
      </c>
      <c r="AB209" s="28" t="s">
        <v>1554</v>
      </c>
      <c r="AC209" s="28" t="s">
        <v>1555</v>
      </c>
      <c r="AD209" s="28" t="s">
        <v>1552</v>
      </c>
      <c r="AE209" s="28" t="s">
        <v>1341</v>
      </c>
    </row>
    <row r="210" spans="21:31">
      <c r="U210" s="28">
        <v>209</v>
      </c>
      <c r="V210" s="28" t="s">
        <v>830</v>
      </c>
      <c r="W210" s="28" t="s">
        <v>1123</v>
      </c>
      <c r="X210" s="28" t="s">
        <v>1124</v>
      </c>
      <c r="Y210" s="28" t="s">
        <v>1139</v>
      </c>
      <c r="Z210" s="28" t="s">
        <v>1140</v>
      </c>
      <c r="AA210" s="28" t="s">
        <v>1556</v>
      </c>
      <c r="AB210" s="28" t="s">
        <v>1557</v>
      </c>
      <c r="AC210" s="28" t="s">
        <v>1558</v>
      </c>
      <c r="AD210" s="28" t="s">
        <v>1552</v>
      </c>
      <c r="AE210" s="28" t="s">
        <v>2735</v>
      </c>
    </row>
    <row r="211" spans="21:31">
      <c r="U211" s="28">
        <v>210</v>
      </c>
      <c r="V211" s="28" t="s">
        <v>830</v>
      </c>
      <c r="W211" s="28" t="s">
        <v>1123</v>
      </c>
      <c r="X211" s="28" t="s">
        <v>1124</v>
      </c>
      <c r="Y211" s="28" t="s">
        <v>1143</v>
      </c>
      <c r="Z211" s="28" t="s">
        <v>1144</v>
      </c>
      <c r="AA211" s="28" t="s">
        <v>1337</v>
      </c>
      <c r="AB211" s="28" t="s">
        <v>1338</v>
      </c>
      <c r="AC211" s="28" t="s">
        <v>1339</v>
      </c>
      <c r="AD211" s="28" t="s">
        <v>1340</v>
      </c>
      <c r="AE211" s="28" t="s">
        <v>1341</v>
      </c>
    </row>
    <row r="212" spans="21:31">
      <c r="U212" s="28">
        <v>211</v>
      </c>
      <c r="V212" s="28" t="s">
        <v>830</v>
      </c>
      <c r="W212" s="28" t="s">
        <v>1123</v>
      </c>
      <c r="X212" s="28" t="s">
        <v>1124</v>
      </c>
      <c r="Y212" s="28" t="s">
        <v>1143</v>
      </c>
      <c r="Z212" s="28" t="s">
        <v>1144</v>
      </c>
      <c r="AA212" s="28" t="s">
        <v>1549</v>
      </c>
      <c r="AB212" s="28" t="s">
        <v>1550</v>
      </c>
      <c r="AC212" s="28" t="s">
        <v>1551</v>
      </c>
      <c r="AD212" s="28" t="s">
        <v>1552</v>
      </c>
      <c r="AE212" s="28" t="s">
        <v>2735</v>
      </c>
    </row>
    <row r="213" spans="21:31">
      <c r="U213" s="28">
        <v>212</v>
      </c>
      <c r="V213" s="28" t="s">
        <v>830</v>
      </c>
      <c r="W213" s="28" t="s">
        <v>1123</v>
      </c>
      <c r="X213" s="28" t="s">
        <v>1124</v>
      </c>
      <c r="Y213" s="28" t="s">
        <v>1143</v>
      </c>
      <c r="Z213" s="28" t="s">
        <v>1144</v>
      </c>
      <c r="AA213" s="28" t="s">
        <v>1553</v>
      </c>
      <c r="AB213" s="28" t="s">
        <v>1554</v>
      </c>
      <c r="AC213" s="28" t="s">
        <v>1555</v>
      </c>
      <c r="AD213" s="28" t="s">
        <v>1552</v>
      </c>
      <c r="AE213" s="28" t="s">
        <v>1341</v>
      </c>
    </row>
    <row r="214" spans="21:31">
      <c r="U214" s="28">
        <v>213</v>
      </c>
      <c r="V214" s="28" t="s">
        <v>830</v>
      </c>
      <c r="W214" s="28" t="s">
        <v>1123</v>
      </c>
      <c r="X214" s="28" t="s">
        <v>1124</v>
      </c>
      <c r="Y214" s="28" t="s">
        <v>1143</v>
      </c>
      <c r="Z214" s="28" t="s">
        <v>1144</v>
      </c>
      <c r="AA214" s="28" t="s">
        <v>1556</v>
      </c>
      <c r="AB214" s="28" t="s">
        <v>1557</v>
      </c>
      <c r="AC214" s="28" t="s">
        <v>1558</v>
      </c>
      <c r="AD214" s="28" t="s">
        <v>1552</v>
      </c>
      <c r="AE214" s="28" t="s">
        <v>2735</v>
      </c>
    </row>
    <row r="215" spans="21:31">
      <c r="U215" s="28">
        <v>214</v>
      </c>
      <c r="V215" s="28" t="s">
        <v>830</v>
      </c>
      <c r="W215" s="28" t="s">
        <v>1123</v>
      </c>
      <c r="X215" s="28" t="s">
        <v>1124</v>
      </c>
      <c r="Y215" s="28" t="s">
        <v>1145</v>
      </c>
      <c r="Z215" s="28" t="s">
        <v>1146</v>
      </c>
      <c r="AA215" s="28" t="s">
        <v>1549</v>
      </c>
      <c r="AB215" s="28" t="s">
        <v>1550</v>
      </c>
      <c r="AC215" s="28" t="s">
        <v>1551</v>
      </c>
      <c r="AD215" s="28" t="s">
        <v>1552</v>
      </c>
      <c r="AE215" s="28" t="s">
        <v>2735</v>
      </c>
    </row>
    <row r="216" spans="21:31">
      <c r="U216" s="28">
        <v>215</v>
      </c>
      <c r="V216" s="28" t="s">
        <v>830</v>
      </c>
      <c r="W216" s="28" t="s">
        <v>1123</v>
      </c>
      <c r="X216" s="28" t="s">
        <v>1124</v>
      </c>
      <c r="Y216" s="28" t="s">
        <v>1145</v>
      </c>
      <c r="Z216" s="28" t="s">
        <v>1146</v>
      </c>
      <c r="AA216" s="28" t="s">
        <v>1553</v>
      </c>
      <c r="AB216" s="28" t="s">
        <v>1554</v>
      </c>
      <c r="AC216" s="28" t="s">
        <v>1555</v>
      </c>
      <c r="AD216" s="28" t="s">
        <v>1552</v>
      </c>
      <c r="AE216" s="28" t="s">
        <v>1341</v>
      </c>
    </row>
    <row r="217" spans="21:31">
      <c r="U217" s="28">
        <v>216</v>
      </c>
      <c r="V217" s="28" t="s">
        <v>830</v>
      </c>
      <c r="W217" s="28" t="s">
        <v>1123</v>
      </c>
      <c r="X217" s="28" t="s">
        <v>1124</v>
      </c>
      <c r="Y217" s="28" t="s">
        <v>1145</v>
      </c>
      <c r="Z217" s="28" t="s">
        <v>1146</v>
      </c>
      <c r="AA217" s="28" t="s">
        <v>1556</v>
      </c>
      <c r="AB217" s="28" t="s">
        <v>1557</v>
      </c>
      <c r="AC217" s="28" t="s">
        <v>1558</v>
      </c>
      <c r="AD217" s="28" t="s">
        <v>1552</v>
      </c>
      <c r="AE217" s="28" t="s">
        <v>2735</v>
      </c>
    </row>
    <row r="218" spans="21:31">
      <c r="U218" s="28">
        <v>217</v>
      </c>
      <c r="V218" s="28" t="s">
        <v>830</v>
      </c>
      <c r="W218" s="28" t="s">
        <v>1159</v>
      </c>
      <c r="X218" s="28" t="s">
        <v>1160</v>
      </c>
      <c r="Y218" s="28" t="s">
        <v>1161</v>
      </c>
      <c r="Z218" s="28" t="s">
        <v>1162</v>
      </c>
      <c r="AA218" s="28" t="s">
        <v>1559</v>
      </c>
      <c r="AB218" s="28" t="s">
        <v>1560</v>
      </c>
      <c r="AC218" s="28" t="s">
        <v>1561</v>
      </c>
      <c r="AD218" s="28" t="s">
        <v>1562</v>
      </c>
      <c r="AE218" s="28" t="s">
        <v>2737</v>
      </c>
    </row>
    <row r="219" spans="21:31">
      <c r="U219" s="28">
        <v>218</v>
      </c>
      <c r="V219" s="28" t="s">
        <v>830</v>
      </c>
      <c r="W219" s="28" t="s">
        <v>1159</v>
      </c>
      <c r="X219" s="28" t="s">
        <v>1160</v>
      </c>
      <c r="Y219" s="28" t="s">
        <v>1161</v>
      </c>
      <c r="Z219" s="28" t="s">
        <v>1162</v>
      </c>
      <c r="AA219" s="28" t="s">
        <v>1563</v>
      </c>
      <c r="AB219" s="28" t="s">
        <v>1564</v>
      </c>
      <c r="AC219" s="28" t="s">
        <v>1565</v>
      </c>
      <c r="AD219" s="28" t="s">
        <v>1562</v>
      </c>
      <c r="AE219" s="28" t="s">
        <v>2737</v>
      </c>
    </row>
    <row r="220" spans="21:31">
      <c r="U220" s="28">
        <v>219</v>
      </c>
      <c r="V220" s="28" t="s">
        <v>830</v>
      </c>
      <c r="W220" s="28" t="s">
        <v>1159</v>
      </c>
      <c r="X220" s="28" t="s">
        <v>1160</v>
      </c>
      <c r="Y220" s="28" t="s">
        <v>1163</v>
      </c>
      <c r="Z220" s="28" t="s">
        <v>1164</v>
      </c>
      <c r="AA220" s="28" t="s">
        <v>1566</v>
      </c>
      <c r="AB220" s="28" t="s">
        <v>1567</v>
      </c>
      <c r="AC220" s="28" t="s">
        <v>1568</v>
      </c>
      <c r="AD220" s="28" t="s">
        <v>1562</v>
      </c>
      <c r="AE220" s="28" t="s">
        <v>2737</v>
      </c>
    </row>
    <row r="221" spans="21:31">
      <c r="U221" s="28">
        <v>220</v>
      </c>
      <c r="V221" s="28" t="s">
        <v>830</v>
      </c>
      <c r="W221" s="28" t="s">
        <v>1159</v>
      </c>
      <c r="X221" s="28" t="s">
        <v>1160</v>
      </c>
      <c r="Y221" s="28" t="s">
        <v>1169</v>
      </c>
      <c r="Z221" s="28" t="s">
        <v>1170</v>
      </c>
      <c r="AA221" s="28" t="s">
        <v>1559</v>
      </c>
      <c r="AB221" s="28" t="s">
        <v>1560</v>
      </c>
      <c r="AC221" s="28" t="s">
        <v>1561</v>
      </c>
      <c r="AD221" s="28" t="s">
        <v>1562</v>
      </c>
      <c r="AE221" s="28" t="s">
        <v>2737</v>
      </c>
    </row>
    <row r="222" spans="21:31">
      <c r="U222" s="28">
        <v>221</v>
      </c>
      <c r="V222" s="28" t="s">
        <v>830</v>
      </c>
      <c r="W222" s="28" t="s">
        <v>1159</v>
      </c>
      <c r="X222" s="28" t="s">
        <v>1160</v>
      </c>
      <c r="Y222" s="28" t="s">
        <v>1169</v>
      </c>
      <c r="Z222" s="28" t="s">
        <v>1170</v>
      </c>
      <c r="AA222" s="28" t="s">
        <v>1490</v>
      </c>
      <c r="AB222" s="28" t="s">
        <v>1491</v>
      </c>
      <c r="AC222" s="28" t="s">
        <v>1492</v>
      </c>
      <c r="AD222" s="28" t="s">
        <v>1489</v>
      </c>
      <c r="AE222" s="28" t="s">
        <v>2737</v>
      </c>
    </row>
    <row r="223" spans="21:31">
      <c r="U223" s="28">
        <v>222</v>
      </c>
      <c r="V223" s="28" t="s">
        <v>830</v>
      </c>
      <c r="W223" s="28" t="s">
        <v>1159</v>
      </c>
      <c r="X223" s="28" t="s">
        <v>1160</v>
      </c>
      <c r="Y223" s="28" t="s">
        <v>1171</v>
      </c>
      <c r="Z223" s="28" t="s">
        <v>1172</v>
      </c>
      <c r="AA223" s="28" t="s">
        <v>1337</v>
      </c>
      <c r="AB223" s="28" t="s">
        <v>1338</v>
      </c>
      <c r="AC223" s="28" t="s">
        <v>1339</v>
      </c>
      <c r="AD223" s="28" t="s">
        <v>1340</v>
      </c>
      <c r="AE223" s="28" t="s">
        <v>1341</v>
      </c>
    </row>
    <row r="224" spans="21:31">
      <c r="U224" s="28">
        <v>223</v>
      </c>
      <c r="V224" s="28" t="s">
        <v>830</v>
      </c>
      <c r="W224" s="28" t="s">
        <v>1159</v>
      </c>
      <c r="X224" s="28" t="s">
        <v>1160</v>
      </c>
      <c r="Y224" s="28" t="s">
        <v>1179</v>
      </c>
      <c r="Z224" s="28" t="s">
        <v>1180</v>
      </c>
      <c r="AA224" s="28" t="s">
        <v>1569</v>
      </c>
      <c r="AB224" s="28" t="s">
        <v>1570</v>
      </c>
      <c r="AC224" s="28" t="s">
        <v>1571</v>
      </c>
      <c r="AD224" s="28" t="s">
        <v>1562</v>
      </c>
      <c r="AE224" s="28" t="s">
        <v>2737</v>
      </c>
    </row>
    <row r="225" spans="21:31">
      <c r="U225" s="28">
        <v>224</v>
      </c>
      <c r="V225" s="28" t="s">
        <v>830</v>
      </c>
      <c r="W225" s="28" t="s">
        <v>1159</v>
      </c>
      <c r="X225" s="28" t="s">
        <v>1160</v>
      </c>
      <c r="Y225" s="28" t="s">
        <v>1181</v>
      </c>
      <c r="Z225" s="28" t="s">
        <v>1182</v>
      </c>
      <c r="AA225" s="28" t="s">
        <v>1572</v>
      </c>
      <c r="AB225" s="28" t="s">
        <v>1573</v>
      </c>
      <c r="AC225" s="28" t="s">
        <v>1574</v>
      </c>
      <c r="AD225" s="28" t="s">
        <v>1562</v>
      </c>
      <c r="AE225" s="28" t="s">
        <v>2737</v>
      </c>
    </row>
    <row r="226" spans="21:31">
      <c r="U226" s="28">
        <v>225</v>
      </c>
      <c r="V226" s="28" t="s">
        <v>830</v>
      </c>
      <c r="W226" s="28" t="s">
        <v>1159</v>
      </c>
      <c r="X226" s="28" t="s">
        <v>1160</v>
      </c>
      <c r="Y226" s="28" t="s">
        <v>1185</v>
      </c>
      <c r="Z226" s="28" t="s">
        <v>1186</v>
      </c>
      <c r="AA226" s="28" t="s">
        <v>1575</v>
      </c>
      <c r="AB226" s="28" t="s">
        <v>1576</v>
      </c>
      <c r="AC226" s="28" t="s">
        <v>1577</v>
      </c>
      <c r="AD226" s="28" t="s">
        <v>1562</v>
      </c>
      <c r="AE226" s="28" t="s">
        <v>2737</v>
      </c>
    </row>
    <row r="227" spans="21:31">
      <c r="U227" s="28">
        <v>226</v>
      </c>
      <c r="V227" s="28" t="s">
        <v>830</v>
      </c>
      <c r="W227" s="28" t="s">
        <v>1159</v>
      </c>
      <c r="X227" s="28" t="s">
        <v>1160</v>
      </c>
      <c r="Y227" s="28" t="s">
        <v>1187</v>
      </c>
      <c r="Z227" s="28" t="s">
        <v>1188</v>
      </c>
      <c r="AA227" s="28" t="s">
        <v>1578</v>
      </c>
      <c r="AB227" s="28" t="s">
        <v>1579</v>
      </c>
      <c r="AC227" s="28" t="s">
        <v>1580</v>
      </c>
      <c r="AD227" s="28" t="s">
        <v>1562</v>
      </c>
      <c r="AE227" s="28" t="s">
        <v>2735</v>
      </c>
    </row>
    <row r="228" spans="21:31">
      <c r="U228" s="28">
        <v>227</v>
      </c>
      <c r="V228" s="28" t="s">
        <v>830</v>
      </c>
      <c r="W228" s="28" t="s">
        <v>1159</v>
      </c>
      <c r="X228" s="28" t="s">
        <v>1160</v>
      </c>
      <c r="Y228" s="28" t="s">
        <v>1195</v>
      </c>
      <c r="Z228" s="28" t="s">
        <v>1196</v>
      </c>
      <c r="AA228" s="28" t="s">
        <v>1559</v>
      </c>
      <c r="AB228" s="28" t="s">
        <v>1560</v>
      </c>
      <c r="AC228" s="28" t="s">
        <v>1561</v>
      </c>
      <c r="AD228" s="28" t="s">
        <v>1562</v>
      </c>
      <c r="AE228" s="28" t="s">
        <v>2737</v>
      </c>
    </row>
    <row r="229" spans="21:31">
      <c r="U229" s="28">
        <v>228</v>
      </c>
      <c r="V229" s="28" t="s">
        <v>830</v>
      </c>
      <c r="W229" s="28" t="s">
        <v>1159</v>
      </c>
      <c r="X229" s="28" t="s">
        <v>1160</v>
      </c>
      <c r="Y229" s="28" t="s">
        <v>1195</v>
      </c>
      <c r="Z229" s="28" t="s">
        <v>1196</v>
      </c>
      <c r="AA229" s="28" t="s">
        <v>1563</v>
      </c>
      <c r="AB229" s="28" t="s">
        <v>1564</v>
      </c>
      <c r="AC229" s="28" t="s">
        <v>1565</v>
      </c>
      <c r="AD229" s="28" t="s">
        <v>1562</v>
      </c>
      <c r="AE229" s="28" t="s">
        <v>2737</v>
      </c>
    </row>
    <row r="230" spans="21:31">
      <c r="U230" s="28">
        <v>229</v>
      </c>
      <c r="V230" s="28" t="s">
        <v>830</v>
      </c>
      <c r="W230" s="28" t="s">
        <v>1197</v>
      </c>
      <c r="X230" s="28" t="s">
        <v>1198</v>
      </c>
      <c r="Y230" s="28" t="s">
        <v>1199</v>
      </c>
      <c r="Z230" s="28" t="s">
        <v>1200</v>
      </c>
      <c r="AA230" s="28" t="s">
        <v>1509</v>
      </c>
      <c r="AB230" s="28" t="s">
        <v>1510</v>
      </c>
      <c r="AC230" s="28" t="s">
        <v>1511</v>
      </c>
      <c r="AD230" s="28" t="s">
        <v>1512</v>
      </c>
      <c r="AE230" s="28" t="s">
        <v>2737</v>
      </c>
    </row>
    <row r="231" spans="21:31">
      <c r="U231" s="28">
        <v>230</v>
      </c>
      <c r="V231" s="28" t="s">
        <v>830</v>
      </c>
      <c r="W231" s="28" t="s">
        <v>1197</v>
      </c>
      <c r="X231" s="28" t="s">
        <v>1198</v>
      </c>
      <c r="Y231" s="28" t="s">
        <v>1199</v>
      </c>
      <c r="Z231" s="28" t="s">
        <v>1200</v>
      </c>
      <c r="AA231" s="28" t="s">
        <v>1360</v>
      </c>
      <c r="AB231" s="28" t="s">
        <v>1361</v>
      </c>
      <c r="AC231" s="28" t="s">
        <v>1339</v>
      </c>
      <c r="AD231" s="28" t="s">
        <v>1362</v>
      </c>
      <c r="AE231" s="28" t="s">
        <v>2737</v>
      </c>
    </row>
    <row r="232" spans="21:31">
      <c r="U232" s="28">
        <v>231</v>
      </c>
      <c r="V232" s="28" t="s">
        <v>830</v>
      </c>
      <c r="W232" s="28" t="s">
        <v>1197</v>
      </c>
      <c r="X232" s="28" t="s">
        <v>1198</v>
      </c>
      <c r="Y232" s="28" t="s">
        <v>1201</v>
      </c>
      <c r="Z232" s="28" t="s">
        <v>1202</v>
      </c>
      <c r="AA232" s="28" t="s">
        <v>1360</v>
      </c>
      <c r="AB232" s="28" t="s">
        <v>1361</v>
      </c>
      <c r="AC232" s="28" t="s">
        <v>1339</v>
      </c>
      <c r="AD232" s="28" t="s">
        <v>1362</v>
      </c>
      <c r="AE232" s="28" t="s">
        <v>2737</v>
      </c>
    </row>
    <row r="233" spans="21:31">
      <c r="U233" s="28">
        <v>232</v>
      </c>
      <c r="V233" s="28" t="s">
        <v>830</v>
      </c>
      <c r="W233" s="28" t="s">
        <v>1197</v>
      </c>
      <c r="X233" s="28" t="s">
        <v>1198</v>
      </c>
      <c r="Y233" s="28" t="s">
        <v>1201</v>
      </c>
      <c r="Z233" s="28" t="s">
        <v>1202</v>
      </c>
      <c r="AA233" s="28" t="s">
        <v>1581</v>
      </c>
      <c r="AB233" s="28" t="s">
        <v>1582</v>
      </c>
      <c r="AC233" s="28" t="s">
        <v>1583</v>
      </c>
      <c r="AD233" s="28" t="s">
        <v>1512</v>
      </c>
      <c r="AE233" s="28" t="s">
        <v>2737</v>
      </c>
    </row>
    <row r="234" spans="21:31">
      <c r="U234" s="28">
        <v>233</v>
      </c>
      <c r="V234" s="28" t="s">
        <v>830</v>
      </c>
      <c r="W234" s="28" t="s">
        <v>1197</v>
      </c>
      <c r="X234" s="28" t="s">
        <v>1198</v>
      </c>
      <c r="Y234" s="28" t="s">
        <v>1201</v>
      </c>
      <c r="Z234" s="28" t="s">
        <v>1202</v>
      </c>
      <c r="AA234" s="28" t="s">
        <v>1584</v>
      </c>
      <c r="AB234" s="28" t="s">
        <v>1585</v>
      </c>
      <c r="AC234" s="28" t="s">
        <v>1586</v>
      </c>
      <c r="AD234" s="28" t="s">
        <v>1512</v>
      </c>
      <c r="AE234" s="28" t="s">
        <v>2737</v>
      </c>
    </row>
    <row r="235" spans="21:31">
      <c r="U235" s="28">
        <v>234</v>
      </c>
      <c r="V235" s="28" t="s">
        <v>830</v>
      </c>
      <c r="W235" s="28" t="s">
        <v>1197</v>
      </c>
      <c r="X235" s="28" t="s">
        <v>1198</v>
      </c>
      <c r="Y235" s="28" t="s">
        <v>1203</v>
      </c>
      <c r="Z235" s="28" t="s">
        <v>1204</v>
      </c>
      <c r="AA235" s="28" t="s">
        <v>1346</v>
      </c>
      <c r="AB235" s="28" t="s">
        <v>1347</v>
      </c>
      <c r="AC235" s="28" t="s">
        <v>1348</v>
      </c>
      <c r="AD235" s="28" t="s">
        <v>1349</v>
      </c>
      <c r="AE235" s="28" t="s">
        <v>2735</v>
      </c>
    </row>
    <row r="236" spans="21:31">
      <c r="U236" s="28">
        <v>235</v>
      </c>
      <c r="V236" s="28" t="s">
        <v>830</v>
      </c>
      <c r="W236" s="28" t="s">
        <v>1197</v>
      </c>
      <c r="X236" s="28" t="s">
        <v>1198</v>
      </c>
      <c r="Y236" s="28" t="s">
        <v>1203</v>
      </c>
      <c r="Z236" s="28" t="s">
        <v>1204</v>
      </c>
      <c r="AA236" s="28" t="s">
        <v>1350</v>
      </c>
      <c r="AB236" s="28" t="s">
        <v>1351</v>
      </c>
      <c r="AC236" s="28" t="s">
        <v>1348</v>
      </c>
      <c r="AD236" s="28" t="s">
        <v>1352</v>
      </c>
      <c r="AE236" s="28" t="s">
        <v>1353</v>
      </c>
    </row>
    <row r="237" spans="21:31">
      <c r="U237" s="28">
        <v>236</v>
      </c>
      <c r="V237" s="28" t="s">
        <v>830</v>
      </c>
      <c r="W237" s="28" t="s">
        <v>1197</v>
      </c>
      <c r="X237" s="28" t="s">
        <v>1198</v>
      </c>
      <c r="Y237" s="28" t="s">
        <v>1203</v>
      </c>
      <c r="Z237" s="28" t="s">
        <v>1204</v>
      </c>
      <c r="AA237" s="28" t="s">
        <v>1587</v>
      </c>
      <c r="AB237" s="28" t="s">
        <v>1588</v>
      </c>
      <c r="AC237" s="28" t="s">
        <v>1589</v>
      </c>
      <c r="AD237" s="28" t="s">
        <v>1512</v>
      </c>
      <c r="AE237" s="28" t="s">
        <v>2737</v>
      </c>
    </row>
    <row r="238" spans="21:31">
      <c r="U238" s="28">
        <v>237</v>
      </c>
      <c r="V238" s="28" t="s">
        <v>830</v>
      </c>
      <c r="W238" s="28" t="s">
        <v>1197</v>
      </c>
      <c r="X238" s="28" t="s">
        <v>1198</v>
      </c>
      <c r="Y238" s="28" t="s">
        <v>1203</v>
      </c>
      <c r="Z238" s="28" t="s">
        <v>1204</v>
      </c>
      <c r="AA238" s="28" t="s">
        <v>1590</v>
      </c>
      <c r="AB238" s="28" t="s">
        <v>1591</v>
      </c>
      <c r="AC238" s="28" t="s">
        <v>1592</v>
      </c>
      <c r="AD238" s="28" t="s">
        <v>1512</v>
      </c>
      <c r="AE238" s="28" t="s">
        <v>2735</v>
      </c>
    </row>
    <row r="239" spans="21:31">
      <c r="U239" s="28">
        <v>238</v>
      </c>
      <c r="V239" s="28" t="s">
        <v>830</v>
      </c>
      <c r="W239" s="28" t="s">
        <v>1197</v>
      </c>
      <c r="X239" s="28" t="s">
        <v>1198</v>
      </c>
      <c r="Y239" s="28" t="s">
        <v>1203</v>
      </c>
      <c r="Z239" s="28" t="s">
        <v>1204</v>
      </c>
      <c r="AA239" s="28" t="s">
        <v>1593</v>
      </c>
      <c r="AB239" s="28" t="s">
        <v>1594</v>
      </c>
      <c r="AC239" s="28" t="s">
        <v>1595</v>
      </c>
      <c r="AD239" s="28" t="s">
        <v>1596</v>
      </c>
      <c r="AE239" s="28" t="s">
        <v>2737</v>
      </c>
    </row>
    <row r="240" spans="21:31">
      <c r="U240" s="28">
        <v>239</v>
      </c>
      <c r="V240" s="28" t="s">
        <v>830</v>
      </c>
      <c r="W240" s="28" t="s">
        <v>1197</v>
      </c>
      <c r="X240" s="28" t="s">
        <v>1198</v>
      </c>
      <c r="Y240" s="28" t="s">
        <v>1205</v>
      </c>
      <c r="Z240" s="28" t="s">
        <v>1206</v>
      </c>
      <c r="AA240" s="28" t="s">
        <v>1360</v>
      </c>
      <c r="AB240" s="28" t="s">
        <v>1361</v>
      </c>
      <c r="AC240" s="28" t="s">
        <v>1339</v>
      </c>
      <c r="AD240" s="28" t="s">
        <v>1362</v>
      </c>
      <c r="AE240" s="28" t="s">
        <v>2737</v>
      </c>
    </row>
    <row r="241" spans="21:31">
      <c r="U241" s="28">
        <v>240</v>
      </c>
      <c r="V241" s="28" t="s">
        <v>830</v>
      </c>
      <c r="W241" s="28" t="s">
        <v>1197</v>
      </c>
      <c r="X241" s="28" t="s">
        <v>1198</v>
      </c>
      <c r="Y241" s="28" t="s">
        <v>1205</v>
      </c>
      <c r="Z241" s="28" t="s">
        <v>1206</v>
      </c>
      <c r="AA241" s="28" t="s">
        <v>1597</v>
      </c>
      <c r="AB241" s="28" t="s">
        <v>1598</v>
      </c>
      <c r="AC241" s="28" t="s">
        <v>1599</v>
      </c>
      <c r="AD241" s="28" t="s">
        <v>1512</v>
      </c>
      <c r="AE241" s="28" t="s">
        <v>2737</v>
      </c>
    </row>
    <row r="242" spans="21:31">
      <c r="U242" s="28">
        <v>241</v>
      </c>
      <c r="V242" s="28" t="s">
        <v>830</v>
      </c>
      <c r="W242" s="28" t="s">
        <v>1197</v>
      </c>
      <c r="X242" s="28" t="s">
        <v>1198</v>
      </c>
      <c r="Y242" s="28" t="s">
        <v>1205</v>
      </c>
      <c r="Z242" s="28" t="s">
        <v>1206</v>
      </c>
      <c r="AA242" s="28" t="s">
        <v>1600</v>
      </c>
      <c r="AB242" s="28" t="s">
        <v>1601</v>
      </c>
      <c r="AC242" s="28" t="s">
        <v>1602</v>
      </c>
      <c r="AD242" s="28" t="s">
        <v>1512</v>
      </c>
      <c r="AE242" s="28" t="s">
        <v>2737</v>
      </c>
    </row>
    <row r="243" spans="21:31">
      <c r="U243" s="28">
        <v>242</v>
      </c>
      <c r="V243" s="28" t="s">
        <v>830</v>
      </c>
      <c r="W243" s="28" t="s">
        <v>1197</v>
      </c>
      <c r="X243" s="28" t="s">
        <v>1198</v>
      </c>
      <c r="Y243" s="28" t="s">
        <v>1207</v>
      </c>
      <c r="Z243" s="28" t="s">
        <v>1208</v>
      </c>
      <c r="AA243" s="28" t="s">
        <v>1346</v>
      </c>
      <c r="AB243" s="28" t="s">
        <v>1347</v>
      </c>
      <c r="AC243" s="28" t="s">
        <v>1348</v>
      </c>
      <c r="AD243" s="28" t="s">
        <v>1349</v>
      </c>
      <c r="AE243" s="28" t="s">
        <v>2735</v>
      </c>
    </row>
    <row r="244" spans="21:31">
      <c r="U244" s="28">
        <v>243</v>
      </c>
      <c r="V244" s="28" t="s">
        <v>830</v>
      </c>
      <c r="W244" s="28" t="s">
        <v>1197</v>
      </c>
      <c r="X244" s="28" t="s">
        <v>1198</v>
      </c>
      <c r="Y244" s="28" t="s">
        <v>1207</v>
      </c>
      <c r="Z244" s="28" t="s">
        <v>1208</v>
      </c>
      <c r="AA244" s="28" t="s">
        <v>1350</v>
      </c>
      <c r="AB244" s="28" t="s">
        <v>1351</v>
      </c>
      <c r="AC244" s="28" t="s">
        <v>1348</v>
      </c>
      <c r="AD244" s="28" t="s">
        <v>1352</v>
      </c>
      <c r="AE244" s="28" t="s">
        <v>1353</v>
      </c>
    </row>
    <row r="245" spans="21:31">
      <c r="U245" s="28">
        <v>244</v>
      </c>
      <c r="V245" s="28" t="s">
        <v>830</v>
      </c>
      <c r="W245" s="28" t="s">
        <v>1197</v>
      </c>
      <c r="X245" s="28" t="s">
        <v>1198</v>
      </c>
      <c r="Y245" s="28" t="s">
        <v>1207</v>
      </c>
      <c r="Z245" s="28" t="s">
        <v>1208</v>
      </c>
      <c r="AA245" s="28" t="s">
        <v>1360</v>
      </c>
      <c r="AB245" s="28" t="s">
        <v>1361</v>
      </c>
      <c r="AC245" s="28" t="s">
        <v>1339</v>
      </c>
      <c r="AD245" s="28" t="s">
        <v>1362</v>
      </c>
      <c r="AE245" s="28" t="s">
        <v>2737</v>
      </c>
    </row>
    <row r="246" spans="21:31">
      <c r="U246" s="28">
        <v>245</v>
      </c>
      <c r="V246" s="28" t="s">
        <v>830</v>
      </c>
      <c r="W246" s="28" t="s">
        <v>1197</v>
      </c>
      <c r="X246" s="28" t="s">
        <v>1198</v>
      </c>
      <c r="Y246" s="28" t="s">
        <v>1207</v>
      </c>
      <c r="Z246" s="28" t="s">
        <v>1208</v>
      </c>
      <c r="AA246" s="28" t="s">
        <v>1603</v>
      </c>
      <c r="AB246" s="28" t="s">
        <v>1604</v>
      </c>
      <c r="AC246" s="28" t="s">
        <v>1605</v>
      </c>
      <c r="AD246" s="28" t="s">
        <v>1512</v>
      </c>
      <c r="AE246" s="28" t="s">
        <v>2737</v>
      </c>
    </row>
    <row r="247" spans="21:31">
      <c r="U247" s="28">
        <v>246</v>
      </c>
      <c r="V247" s="28" t="s">
        <v>830</v>
      </c>
      <c r="W247" s="28" t="s">
        <v>1197</v>
      </c>
      <c r="X247" s="28" t="s">
        <v>1198</v>
      </c>
      <c r="Y247" s="28" t="s">
        <v>1209</v>
      </c>
      <c r="Z247" s="28" t="s">
        <v>1210</v>
      </c>
      <c r="AA247" s="28" t="s">
        <v>1509</v>
      </c>
      <c r="AB247" s="28" t="s">
        <v>1510</v>
      </c>
      <c r="AC247" s="28" t="s">
        <v>1511</v>
      </c>
      <c r="AD247" s="28" t="s">
        <v>1512</v>
      </c>
      <c r="AE247" s="28" t="s">
        <v>2737</v>
      </c>
    </row>
    <row r="248" spans="21:31">
      <c r="U248" s="28">
        <v>247</v>
      </c>
      <c r="V248" s="28" t="s">
        <v>830</v>
      </c>
      <c r="W248" s="28" t="s">
        <v>1197</v>
      </c>
      <c r="X248" s="28" t="s">
        <v>1198</v>
      </c>
      <c r="Y248" s="28" t="s">
        <v>1209</v>
      </c>
      <c r="Z248" s="28" t="s">
        <v>1210</v>
      </c>
      <c r="AA248" s="28" t="s">
        <v>1360</v>
      </c>
      <c r="AB248" s="28" t="s">
        <v>1361</v>
      </c>
      <c r="AC248" s="28" t="s">
        <v>1339</v>
      </c>
      <c r="AD248" s="28" t="s">
        <v>1362</v>
      </c>
      <c r="AE248" s="28" t="s">
        <v>2737</v>
      </c>
    </row>
    <row r="249" spans="21:31">
      <c r="U249" s="28">
        <v>248</v>
      </c>
      <c r="V249" s="28" t="s">
        <v>830</v>
      </c>
      <c r="W249" s="28" t="s">
        <v>1197</v>
      </c>
      <c r="X249" s="28" t="s">
        <v>1198</v>
      </c>
      <c r="Y249" s="28" t="s">
        <v>1211</v>
      </c>
      <c r="Z249" s="28" t="s">
        <v>1212</v>
      </c>
      <c r="AA249" s="28" t="s">
        <v>1346</v>
      </c>
      <c r="AB249" s="28" t="s">
        <v>1347</v>
      </c>
      <c r="AC249" s="28" t="s">
        <v>1348</v>
      </c>
      <c r="AD249" s="28" t="s">
        <v>1349</v>
      </c>
      <c r="AE249" s="28" t="s">
        <v>2735</v>
      </c>
    </row>
    <row r="250" spans="21:31">
      <c r="U250" s="28">
        <v>249</v>
      </c>
      <c r="V250" s="28" t="s">
        <v>830</v>
      </c>
      <c r="W250" s="28" t="s">
        <v>1197</v>
      </c>
      <c r="X250" s="28" t="s">
        <v>1198</v>
      </c>
      <c r="Y250" s="28" t="s">
        <v>1211</v>
      </c>
      <c r="Z250" s="28" t="s">
        <v>1212</v>
      </c>
      <c r="AA250" s="28" t="s">
        <v>1350</v>
      </c>
      <c r="AB250" s="28" t="s">
        <v>1351</v>
      </c>
      <c r="AC250" s="28" t="s">
        <v>1348</v>
      </c>
      <c r="AD250" s="28" t="s">
        <v>1352</v>
      </c>
      <c r="AE250" s="28" t="s">
        <v>1353</v>
      </c>
    </row>
    <row r="251" spans="21:31">
      <c r="U251" s="28">
        <v>250</v>
      </c>
      <c r="V251" s="28" t="s">
        <v>830</v>
      </c>
      <c r="W251" s="28" t="s">
        <v>1197</v>
      </c>
      <c r="X251" s="28" t="s">
        <v>1198</v>
      </c>
      <c r="Y251" s="28" t="s">
        <v>1211</v>
      </c>
      <c r="Z251" s="28" t="s">
        <v>1212</v>
      </c>
      <c r="AA251" s="28" t="s">
        <v>1360</v>
      </c>
      <c r="AB251" s="28" t="s">
        <v>1361</v>
      </c>
      <c r="AC251" s="28" t="s">
        <v>1339</v>
      </c>
      <c r="AD251" s="28" t="s">
        <v>1362</v>
      </c>
      <c r="AE251" s="28" t="s">
        <v>2737</v>
      </c>
    </row>
    <row r="252" spans="21:31">
      <c r="U252" s="28">
        <v>251</v>
      </c>
      <c r="V252" s="28" t="s">
        <v>830</v>
      </c>
      <c r="W252" s="28" t="s">
        <v>1197</v>
      </c>
      <c r="X252" s="28" t="s">
        <v>1198</v>
      </c>
      <c r="Y252" s="28" t="s">
        <v>1211</v>
      </c>
      <c r="Z252" s="28" t="s">
        <v>1212</v>
      </c>
      <c r="AA252" s="28" t="s">
        <v>1606</v>
      </c>
      <c r="AB252" s="28" t="s">
        <v>1607</v>
      </c>
      <c r="AC252" s="28" t="s">
        <v>1608</v>
      </c>
      <c r="AD252" s="28" t="s">
        <v>1512</v>
      </c>
      <c r="AE252" s="28" t="s">
        <v>2735</v>
      </c>
    </row>
    <row r="253" spans="21:31">
      <c r="U253" s="28">
        <v>252</v>
      </c>
      <c r="V253" s="28" t="s">
        <v>830</v>
      </c>
      <c r="W253" s="28" t="s">
        <v>1197</v>
      </c>
      <c r="X253" s="28" t="s">
        <v>1198</v>
      </c>
      <c r="Y253" s="28" t="s">
        <v>1215</v>
      </c>
      <c r="Z253" s="28" t="s">
        <v>1216</v>
      </c>
      <c r="AA253" s="28" t="s">
        <v>1609</v>
      </c>
      <c r="AB253" s="28" t="s">
        <v>1610</v>
      </c>
      <c r="AC253" s="28" t="s">
        <v>1611</v>
      </c>
      <c r="AD253" s="28" t="s">
        <v>1512</v>
      </c>
      <c r="AE253" s="28" t="s">
        <v>2737</v>
      </c>
    </row>
    <row r="254" spans="21:31">
      <c r="U254" s="28">
        <v>253</v>
      </c>
      <c r="V254" s="28" t="s">
        <v>830</v>
      </c>
      <c r="W254" s="28" t="s">
        <v>1197</v>
      </c>
      <c r="X254" s="28" t="s">
        <v>1198</v>
      </c>
      <c r="Y254" s="28" t="s">
        <v>1215</v>
      </c>
      <c r="Z254" s="28" t="s">
        <v>1216</v>
      </c>
      <c r="AA254" s="28" t="s">
        <v>1389</v>
      </c>
      <c r="AB254" s="28" t="s">
        <v>1390</v>
      </c>
      <c r="AC254" s="28" t="s">
        <v>1391</v>
      </c>
      <c r="AD254" s="28" t="s">
        <v>1392</v>
      </c>
      <c r="AE254" s="28" t="s">
        <v>2737</v>
      </c>
    </row>
    <row r="255" spans="21:31">
      <c r="U255" s="28">
        <v>254</v>
      </c>
      <c r="V255" s="28" t="s">
        <v>830</v>
      </c>
      <c r="W255" s="28" t="s">
        <v>1197</v>
      </c>
      <c r="X255" s="28" t="s">
        <v>1198</v>
      </c>
      <c r="Y255" s="28" t="s">
        <v>1215</v>
      </c>
      <c r="Z255" s="28" t="s">
        <v>1216</v>
      </c>
      <c r="AA255" s="28" t="s">
        <v>1360</v>
      </c>
      <c r="AB255" s="28" t="s">
        <v>1361</v>
      </c>
      <c r="AC255" s="28" t="s">
        <v>1339</v>
      </c>
      <c r="AD255" s="28" t="s">
        <v>1362</v>
      </c>
      <c r="AE255" s="28" t="s">
        <v>2737</v>
      </c>
    </row>
    <row r="256" spans="21:31">
      <c r="U256" s="28">
        <v>255</v>
      </c>
      <c r="V256" s="28" t="s">
        <v>830</v>
      </c>
      <c r="W256" s="28" t="s">
        <v>1197</v>
      </c>
      <c r="X256" s="28" t="s">
        <v>1198</v>
      </c>
      <c r="Y256" s="28" t="s">
        <v>1215</v>
      </c>
      <c r="Z256" s="28" t="s">
        <v>1216</v>
      </c>
      <c r="AA256" s="28" t="s">
        <v>1587</v>
      </c>
      <c r="AB256" s="28" t="s">
        <v>1588</v>
      </c>
      <c r="AC256" s="28" t="s">
        <v>1589</v>
      </c>
      <c r="AD256" s="28" t="s">
        <v>1512</v>
      </c>
      <c r="AE256" s="28" t="s">
        <v>2737</v>
      </c>
    </row>
    <row r="257" spans="21:31">
      <c r="U257" s="28">
        <v>256</v>
      </c>
      <c r="V257" s="28" t="s">
        <v>830</v>
      </c>
      <c r="W257" s="28" t="s">
        <v>1197</v>
      </c>
      <c r="X257" s="28" t="s">
        <v>1198</v>
      </c>
      <c r="Y257" s="28" t="s">
        <v>1217</v>
      </c>
      <c r="Z257" s="28" t="s">
        <v>1218</v>
      </c>
      <c r="AA257" s="28" t="s">
        <v>1612</v>
      </c>
      <c r="AB257" s="28" t="s">
        <v>1613</v>
      </c>
      <c r="AC257" s="28" t="s">
        <v>1614</v>
      </c>
      <c r="AD257" s="28" t="s">
        <v>1512</v>
      </c>
      <c r="AE257" s="28" t="s">
        <v>2737</v>
      </c>
    </row>
    <row r="258" spans="21:31">
      <c r="U258" s="28">
        <v>257</v>
      </c>
      <c r="V258" s="28" t="s">
        <v>830</v>
      </c>
      <c r="W258" s="28" t="s">
        <v>1197</v>
      </c>
      <c r="X258" s="28" t="s">
        <v>1198</v>
      </c>
      <c r="Y258" s="28" t="s">
        <v>1217</v>
      </c>
      <c r="Z258" s="28" t="s">
        <v>1218</v>
      </c>
      <c r="AA258" s="28" t="s">
        <v>1615</v>
      </c>
      <c r="AB258" s="28" t="s">
        <v>1616</v>
      </c>
      <c r="AC258" s="28" t="s">
        <v>1617</v>
      </c>
      <c r="AD258" s="28" t="s">
        <v>1512</v>
      </c>
      <c r="AE258" s="28" t="s">
        <v>2735</v>
      </c>
    </row>
    <row r="259" spans="21:31">
      <c r="U259" s="28">
        <v>258</v>
      </c>
      <c r="V259" s="28" t="s">
        <v>830</v>
      </c>
      <c r="W259" s="28" t="s">
        <v>1197</v>
      </c>
      <c r="X259" s="28" t="s">
        <v>1198</v>
      </c>
      <c r="Y259" s="28" t="s">
        <v>1221</v>
      </c>
      <c r="Z259" s="28" t="s">
        <v>1222</v>
      </c>
      <c r="AA259" s="28" t="s">
        <v>1618</v>
      </c>
      <c r="AB259" s="28" t="s">
        <v>1619</v>
      </c>
      <c r="AC259" s="28" t="s">
        <v>1620</v>
      </c>
      <c r="AD259" s="28" t="s">
        <v>1512</v>
      </c>
      <c r="AE259" s="28" t="s">
        <v>2737</v>
      </c>
    </row>
    <row r="260" spans="21:31">
      <c r="U260" s="28">
        <v>259</v>
      </c>
      <c r="V260" s="28" t="s">
        <v>830</v>
      </c>
      <c r="W260" s="28" t="s">
        <v>1197</v>
      </c>
      <c r="X260" s="28" t="s">
        <v>1198</v>
      </c>
      <c r="Y260" s="28" t="s">
        <v>1011</v>
      </c>
      <c r="Z260" s="28" t="s">
        <v>1198</v>
      </c>
      <c r="AA260" s="28" t="s">
        <v>1621</v>
      </c>
      <c r="AB260" s="28" t="s">
        <v>1622</v>
      </c>
      <c r="AC260" s="28" t="s">
        <v>1623</v>
      </c>
      <c r="AD260" s="28" t="s">
        <v>1512</v>
      </c>
      <c r="AE260" s="28" t="s">
        <v>2735</v>
      </c>
    </row>
    <row r="261" spans="21:31">
      <c r="U261" s="28">
        <v>260</v>
      </c>
      <c r="V261" s="28" t="s">
        <v>830</v>
      </c>
      <c r="W261" s="28" t="s">
        <v>1197</v>
      </c>
      <c r="X261" s="28" t="s">
        <v>1198</v>
      </c>
      <c r="Y261" s="28" t="s">
        <v>1223</v>
      </c>
      <c r="Z261" s="28" t="s">
        <v>1224</v>
      </c>
      <c r="AA261" s="28" t="s">
        <v>1346</v>
      </c>
      <c r="AB261" s="28" t="s">
        <v>1347</v>
      </c>
      <c r="AC261" s="28" t="s">
        <v>1348</v>
      </c>
      <c r="AD261" s="28" t="s">
        <v>1349</v>
      </c>
      <c r="AE261" s="28" t="s">
        <v>2735</v>
      </c>
    </row>
    <row r="262" spans="21:31">
      <c r="U262" s="28">
        <v>261</v>
      </c>
      <c r="V262" s="28" t="s">
        <v>830</v>
      </c>
      <c r="W262" s="28" t="s">
        <v>1197</v>
      </c>
      <c r="X262" s="28" t="s">
        <v>1198</v>
      </c>
      <c r="Y262" s="28" t="s">
        <v>1223</v>
      </c>
      <c r="Z262" s="28" t="s">
        <v>1224</v>
      </c>
      <c r="AA262" s="28" t="s">
        <v>1350</v>
      </c>
      <c r="AB262" s="28" t="s">
        <v>1351</v>
      </c>
      <c r="AC262" s="28" t="s">
        <v>1348</v>
      </c>
      <c r="AD262" s="28" t="s">
        <v>1352</v>
      </c>
      <c r="AE262" s="28" t="s">
        <v>1353</v>
      </c>
    </row>
    <row r="263" spans="21:31">
      <c r="U263" s="28">
        <v>262</v>
      </c>
      <c r="V263" s="28" t="s">
        <v>830</v>
      </c>
      <c r="W263" s="28" t="s">
        <v>1197</v>
      </c>
      <c r="X263" s="28" t="s">
        <v>1198</v>
      </c>
      <c r="Y263" s="28" t="s">
        <v>1223</v>
      </c>
      <c r="Z263" s="28" t="s">
        <v>1224</v>
      </c>
      <c r="AA263" s="28" t="s">
        <v>1587</v>
      </c>
      <c r="AB263" s="28" t="s">
        <v>1588</v>
      </c>
      <c r="AC263" s="28" t="s">
        <v>1589</v>
      </c>
      <c r="AD263" s="28" t="s">
        <v>1512</v>
      </c>
      <c r="AE263" s="28" t="s">
        <v>2737</v>
      </c>
    </row>
    <row r="264" spans="21:31">
      <c r="U264" s="28">
        <v>263</v>
      </c>
      <c r="V264" s="28" t="s">
        <v>830</v>
      </c>
      <c r="W264" s="28" t="s">
        <v>1197</v>
      </c>
      <c r="X264" s="28" t="s">
        <v>1198</v>
      </c>
      <c r="Y264" s="28" t="s">
        <v>1225</v>
      </c>
      <c r="Z264" s="28" t="s">
        <v>1226</v>
      </c>
      <c r="AA264" s="28" t="s">
        <v>1375</v>
      </c>
      <c r="AB264" s="28" t="s">
        <v>1376</v>
      </c>
      <c r="AC264" s="28" t="s">
        <v>1377</v>
      </c>
      <c r="AD264" s="28" t="s">
        <v>1378</v>
      </c>
      <c r="AE264" s="28" t="s">
        <v>2735</v>
      </c>
    </row>
    <row r="265" spans="21:31">
      <c r="U265" s="28">
        <v>264</v>
      </c>
      <c r="V265" s="28" t="s">
        <v>830</v>
      </c>
      <c r="W265" s="28" t="s">
        <v>1197</v>
      </c>
      <c r="X265" s="28" t="s">
        <v>1198</v>
      </c>
      <c r="Y265" s="28" t="s">
        <v>1225</v>
      </c>
      <c r="Z265" s="28" t="s">
        <v>1226</v>
      </c>
      <c r="AA265" s="28" t="s">
        <v>1379</v>
      </c>
      <c r="AB265" s="28" t="s">
        <v>1380</v>
      </c>
      <c r="AC265" s="28" t="s">
        <v>1377</v>
      </c>
      <c r="AD265" s="28" t="s">
        <v>1381</v>
      </c>
      <c r="AE265" s="28" t="s">
        <v>2735</v>
      </c>
    </row>
    <row r="266" spans="21:31">
      <c r="U266" s="28">
        <v>265</v>
      </c>
      <c r="V266" s="28" t="s">
        <v>830</v>
      </c>
      <c r="W266" s="28" t="s">
        <v>1197</v>
      </c>
      <c r="X266" s="28" t="s">
        <v>1198</v>
      </c>
      <c r="Y266" s="28" t="s">
        <v>1229</v>
      </c>
      <c r="Z266" s="28" t="s">
        <v>1230</v>
      </c>
      <c r="AA266" s="28" t="s">
        <v>1346</v>
      </c>
      <c r="AB266" s="28" t="s">
        <v>1347</v>
      </c>
      <c r="AC266" s="28" t="s">
        <v>1348</v>
      </c>
      <c r="AD266" s="28" t="s">
        <v>1349</v>
      </c>
      <c r="AE266" s="28" t="s">
        <v>2735</v>
      </c>
    </row>
    <row r="267" spans="21:31">
      <c r="U267" s="28">
        <v>266</v>
      </c>
      <c r="V267" s="28" t="s">
        <v>830</v>
      </c>
      <c r="W267" s="28" t="s">
        <v>1197</v>
      </c>
      <c r="X267" s="28" t="s">
        <v>1198</v>
      </c>
      <c r="Y267" s="28" t="s">
        <v>1229</v>
      </c>
      <c r="Z267" s="28" t="s">
        <v>1230</v>
      </c>
      <c r="AA267" s="28" t="s">
        <v>1350</v>
      </c>
      <c r="AB267" s="28" t="s">
        <v>1351</v>
      </c>
      <c r="AC267" s="28" t="s">
        <v>1348</v>
      </c>
      <c r="AD267" s="28" t="s">
        <v>1352</v>
      </c>
      <c r="AE267" s="28" t="s">
        <v>1353</v>
      </c>
    </row>
    <row r="268" spans="21:31">
      <c r="U268" s="28">
        <v>267</v>
      </c>
      <c r="V268" s="28" t="s">
        <v>830</v>
      </c>
      <c r="W268" s="28" t="s">
        <v>1197</v>
      </c>
      <c r="X268" s="28" t="s">
        <v>1198</v>
      </c>
      <c r="Y268" s="28" t="s">
        <v>1229</v>
      </c>
      <c r="Z268" s="28" t="s">
        <v>1230</v>
      </c>
      <c r="AA268" s="28" t="s">
        <v>1624</v>
      </c>
      <c r="AB268" s="28" t="s">
        <v>1625</v>
      </c>
      <c r="AC268" s="28" t="s">
        <v>1626</v>
      </c>
      <c r="AD268" s="28" t="s">
        <v>1512</v>
      </c>
      <c r="AE268" s="28" t="s">
        <v>2737</v>
      </c>
    </row>
    <row r="269" spans="21:31">
      <c r="U269" s="28">
        <v>268</v>
      </c>
      <c r="V269" s="28" t="s">
        <v>830</v>
      </c>
      <c r="W269" s="28" t="s">
        <v>1197</v>
      </c>
      <c r="X269" s="28" t="s">
        <v>1198</v>
      </c>
      <c r="Y269" s="28" t="s">
        <v>1233</v>
      </c>
      <c r="Z269" s="28" t="s">
        <v>1234</v>
      </c>
      <c r="AA269" s="28" t="s">
        <v>1627</v>
      </c>
      <c r="AB269" s="28" t="s">
        <v>1628</v>
      </c>
      <c r="AC269" s="28" t="s">
        <v>1629</v>
      </c>
      <c r="AD269" s="28" t="s">
        <v>1512</v>
      </c>
      <c r="AE269" s="28" t="s">
        <v>2737</v>
      </c>
    </row>
    <row r="270" spans="21:31">
      <c r="U270" s="28">
        <v>269</v>
      </c>
      <c r="V270" s="28" t="s">
        <v>830</v>
      </c>
      <c r="W270" s="28" t="s">
        <v>1197</v>
      </c>
      <c r="X270" s="28" t="s">
        <v>1198</v>
      </c>
      <c r="Y270" s="28" t="s">
        <v>1233</v>
      </c>
      <c r="Z270" s="28" t="s">
        <v>1234</v>
      </c>
      <c r="AA270" s="28" t="s">
        <v>1630</v>
      </c>
      <c r="AB270" s="28" t="s">
        <v>1631</v>
      </c>
      <c r="AC270" s="28" t="s">
        <v>1632</v>
      </c>
      <c r="AD270" s="28" t="s">
        <v>1512</v>
      </c>
      <c r="AE270" s="28" t="s">
        <v>2735</v>
      </c>
    </row>
    <row r="271" spans="21:31">
      <c r="U271" s="28">
        <v>270</v>
      </c>
      <c r="V271" s="28" t="s">
        <v>830</v>
      </c>
      <c r="W271" s="28" t="s">
        <v>1197</v>
      </c>
      <c r="X271" s="28" t="s">
        <v>1198</v>
      </c>
      <c r="Y271" s="28" t="s">
        <v>1239</v>
      </c>
      <c r="Z271" s="28" t="s">
        <v>1240</v>
      </c>
      <c r="AA271" s="28" t="s">
        <v>1375</v>
      </c>
      <c r="AB271" s="28" t="s">
        <v>1376</v>
      </c>
      <c r="AC271" s="28" t="s">
        <v>1377</v>
      </c>
      <c r="AD271" s="28" t="s">
        <v>1378</v>
      </c>
      <c r="AE271" s="28" t="s">
        <v>2735</v>
      </c>
    </row>
    <row r="272" spans="21:31">
      <c r="U272" s="28">
        <v>271</v>
      </c>
      <c r="V272" s="28" t="s">
        <v>830</v>
      </c>
      <c r="W272" s="28" t="s">
        <v>1197</v>
      </c>
      <c r="X272" s="28" t="s">
        <v>1198</v>
      </c>
      <c r="Y272" s="28" t="s">
        <v>1239</v>
      </c>
      <c r="Z272" s="28" t="s">
        <v>1240</v>
      </c>
      <c r="AA272" s="28" t="s">
        <v>1346</v>
      </c>
      <c r="AB272" s="28" t="s">
        <v>1347</v>
      </c>
      <c r="AC272" s="28" t="s">
        <v>1348</v>
      </c>
      <c r="AD272" s="28" t="s">
        <v>1349</v>
      </c>
      <c r="AE272" s="28" t="s">
        <v>2735</v>
      </c>
    </row>
    <row r="273" spans="21:31">
      <c r="U273" s="28">
        <v>272</v>
      </c>
      <c r="V273" s="28" t="s">
        <v>830</v>
      </c>
      <c r="W273" s="28" t="s">
        <v>1197</v>
      </c>
      <c r="X273" s="28" t="s">
        <v>1198</v>
      </c>
      <c r="Y273" s="28" t="s">
        <v>1239</v>
      </c>
      <c r="Z273" s="28" t="s">
        <v>1240</v>
      </c>
      <c r="AA273" s="28" t="s">
        <v>1350</v>
      </c>
      <c r="AB273" s="28" t="s">
        <v>1351</v>
      </c>
      <c r="AC273" s="28" t="s">
        <v>1348</v>
      </c>
      <c r="AD273" s="28" t="s">
        <v>1352</v>
      </c>
      <c r="AE273" s="28" t="s">
        <v>1353</v>
      </c>
    </row>
    <row r="274" spans="21:31">
      <c r="U274" s="28">
        <v>273</v>
      </c>
      <c r="V274" s="28" t="s">
        <v>830</v>
      </c>
      <c r="W274" s="28" t="s">
        <v>1197</v>
      </c>
      <c r="X274" s="28" t="s">
        <v>1198</v>
      </c>
      <c r="Y274" s="28" t="s">
        <v>1239</v>
      </c>
      <c r="Z274" s="28" t="s">
        <v>1240</v>
      </c>
      <c r="AA274" s="28" t="s">
        <v>1633</v>
      </c>
      <c r="AB274" s="28" t="s">
        <v>1634</v>
      </c>
      <c r="AC274" s="28" t="s">
        <v>1635</v>
      </c>
      <c r="AD274" s="28" t="s">
        <v>1512</v>
      </c>
      <c r="AE274" s="28" t="s">
        <v>2735</v>
      </c>
    </row>
    <row r="275" spans="21:31">
      <c r="U275" s="28">
        <v>274</v>
      </c>
      <c r="V275" s="28" t="s">
        <v>830</v>
      </c>
      <c r="W275" s="28" t="s">
        <v>1197</v>
      </c>
      <c r="X275" s="28" t="s">
        <v>1198</v>
      </c>
      <c r="Y275" s="28" t="s">
        <v>1239</v>
      </c>
      <c r="Z275" s="28" t="s">
        <v>1240</v>
      </c>
      <c r="AA275" s="28" t="s">
        <v>1636</v>
      </c>
      <c r="AB275" s="28" t="s">
        <v>1637</v>
      </c>
      <c r="AC275" s="28" t="s">
        <v>1638</v>
      </c>
      <c r="AD275" s="28" t="s">
        <v>1512</v>
      </c>
      <c r="AE275" s="28" t="s">
        <v>2737</v>
      </c>
    </row>
    <row r="276" spans="21:31">
      <c r="U276" s="28">
        <v>275</v>
      </c>
      <c r="V276" s="28" t="s">
        <v>830</v>
      </c>
      <c r="W276" s="28" t="s">
        <v>1197</v>
      </c>
      <c r="X276" s="28" t="s">
        <v>1198</v>
      </c>
      <c r="Y276" s="28" t="s">
        <v>1239</v>
      </c>
      <c r="Z276" s="28" t="s">
        <v>1240</v>
      </c>
      <c r="AA276" s="28" t="s">
        <v>1639</v>
      </c>
      <c r="AB276" s="28" t="s">
        <v>1640</v>
      </c>
      <c r="AC276" s="28" t="s">
        <v>1641</v>
      </c>
      <c r="AD276" s="28" t="s">
        <v>1512</v>
      </c>
      <c r="AE276" s="28" t="s">
        <v>2737</v>
      </c>
    </row>
    <row r="277" spans="21:31">
      <c r="U277" s="28">
        <v>276</v>
      </c>
      <c r="V277" s="28" t="s">
        <v>830</v>
      </c>
      <c r="W277" s="28" t="s">
        <v>1197</v>
      </c>
      <c r="X277" s="28" t="s">
        <v>1198</v>
      </c>
      <c r="Y277" s="28" t="s">
        <v>1241</v>
      </c>
      <c r="Z277" s="28" t="s">
        <v>1242</v>
      </c>
      <c r="AA277" s="28" t="s">
        <v>1346</v>
      </c>
      <c r="AB277" s="28" t="s">
        <v>1347</v>
      </c>
      <c r="AC277" s="28" t="s">
        <v>1348</v>
      </c>
      <c r="AD277" s="28" t="s">
        <v>1349</v>
      </c>
      <c r="AE277" s="28" t="s">
        <v>2735</v>
      </c>
    </row>
    <row r="278" spans="21:31">
      <c r="U278" s="28">
        <v>277</v>
      </c>
      <c r="V278" s="28" t="s">
        <v>830</v>
      </c>
      <c r="W278" s="28" t="s">
        <v>1197</v>
      </c>
      <c r="X278" s="28" t="s">
        <v>1198</v>
      </c>
      <c r="Y278" s="28" t="s">
        <v>1241</v>
      </c>
      <c r="Z278" s="28" t="s">
        <v>1242</v>
      </c>
      <c r="AA278" s="28" t="s">
        <v>1350</v>
      </c>
      <c r="AB278" s="28" t="s">
        <v>1351</v>
      </c>
      <c r="AC278" s="28" t="s">
        <v>1348</v>
      </c>
      <c r="AD278" s="28" t="s">
        <v>1352</v>
      </c>
      <c r="AE278" s="28" t="s">
        <v>1353</v>
      </c>
    </row>
    <row r="279" spans="21:31">
      <c r="U279" s="28">
        <v>278</v>
      </c>
      <c r="V279" s="28" t="s">
        <v>830</v>
      </c>
      <c r="W279" s="28" t="s">
        <v>1197</v>
      </c>
      <c r="X279" s="28" t="s">
        <v>1198</v>
      </c>
      <c r="Y279" s="28" t="s">
        <v>1241</v>
      </c>
      <c r="Z279" s="28" t="s">
        <v>1242</v>
      </c>
      <c r="AA279" s="28" t="s">
        <v>1360</v>
      </c>
      <c r="AB279" s="28" t="s">
        <v>1361</v>
      </c>
      <c r="AC279" s="28" t="s">
        <v>1339</v>
      </c>
      <c r="AD279" s="28" t="s">
        <v>1362</v>
      </c>
      <c r="AE279" s="28" t="s">
        <v>2737</v>
      </c>
    </row>
    <row r="280" spans="21:31">
      <c r="U280" s="28">
        <v>279</v>
      </c>
      <c r="V280" s="28" t="s">
        <v>830</v>
      </c>
      <c r="W280" s="28" t="s">
        <v>1197</v>
      </c>
      <c r="X280" s="28" t="s">
        <v>1198</v>
      </c>
      <c r="Y280" s="28" t="s">
        <v>1241</v>
      </c>
      <c r="Z280" s="28" t="s">
        <v>1242</v>
      </c>
      <c r="AA280" s="28" t="s">
        <v>1606</v>
      </c>
      <c r="AB280" s="28" t="s">
        <v>1607</v>
      </c>
      <c r="AC280" s="28" t="s">
        <v>1608</v>
      </c>
      <c r="AD280" s="28" t="s">
        <v>1512</v>
      </c>
      <c r="AE280" s="28" t="s">
        <v>2735</v>
      </c>
    </row>
    <row r="281" spans="21:31">
      <c r="U281" s="28">
        <v>280</v>
      </c>
      <c r="V281" s="28" t="s">
        <v>830</v>
      </c>
      <c r="W281" s="28" t="s">
        <v>1197</v>
      </c>
      <c r="X281" s="28" t="s">
        <v>1198</v>
      </c>
      <c r="Y281" s="28" t="s">
        <v>1243</v>
      </c>
      <c r="Z281" s="28" t="s">
        <v>1244</v>
      </c>
      <c r="AA281" s="28" t="s">
        <v>1360</v>
      </c>
      <c r="AB281" s="28" t="s">
        <v>1361</v>
      </c>
      <c r="AC281" s="28" t="s">
        <v>1339</v>
      </c>
      <c r="AD281" s="28" t="s">
        <v>1362</v>
      </c>
      <c r="AE281" s="28" t="s">
        <v>2737</v>
      </c>
    </row>
    <row r="282" spans="21:31">
      <c r="U282" s="28">
        <v>281</v>
      </c>
      <c r="V282" s="28" t="s">
        <v>830</v>
      </c>
      <c r="W282" s="28" t="s">
        <v>1197</v>
      </c>
      <c r="X282" s="28" t="s">
        <v>1198</v>
      </c>
      <c r="Y282" s="28" t="s">
        <v>1243</v>
      </c>
      <c r="Z282" s="28" t="s">
        <v>1244</v>
      </c>
      <c r="AA282" s="28" t="s">
        <v>1642</v>
      </c>
      <c r="AB282" s="28" t="s">
        <v>1643</v>
      </c>
      <c r="AC282" s="28" t="s">
        <v>1644</v>
      </c>
      <c r="AD282" s="28" t="s">
        <v>1512</v>
      </c>
      <c r="AE282" s="28" t="s">
        <v>2735</v>
      </c>
    </row>
    <row r="283" spans="21:31">
      <c r="U283" s="28">
        <v>282</v>
      </c>
      <c r="V283" s="28" t="s">
        <v>830</v>
      </c>
      <c r="W283" s="28" t="s">
        <v>1197</v>
      </c>
      <c r="X283" s="28" t="s">
        <v>1198</v>
      </c>
      <c r="Y283" s="28" t="s">
        <v>1247</v>
      </c>
      <c r="Z283" s="28" t="s">
        <v>1248</v>
      </c>
      <c r="AA283" s="28" t="s">
        <v>1346</v>
      </c>
      <c r="AB283" s="28" t="s">
        <v>1347</v>
      </c>
      <c r="AC283" s="28" t="s">
        <v>1348</v>
      </c>
      <c r="AD283" s="28" t="s">
        <v>1349</v>
      </c>
      <c r="AE283" s="28" t="s">
        <v>2735</v>
      </c>
    </row>
    <row r="284" spans="21:31">
      <c r="U284" s="28">
        <v>283</v>
      </c>
      <c r="V284" s="28" t="s">
        <v>830</v>
      </c>
      <c r="W284" s="28" t="s">
        <v>1197</v>
      </c>
      <c r="X284" s="28" t="s">
        <v>1198</v>
      </c>
      <c r="Y284" s="28" t="s">
        <v>1247</v>
      </c>
      <c r="Z284" s="28" t="s">
        <v>1248</v>
      </c>
      <c r="AA284" s="28" t="s">
        <v>1350</v>
      </c>
      <c r="AB284" s="28" t="s">
        <v>1351</v>
      </c>
      <c r="AC284" s="28" t="s">
        <v>1348</v>
      </c>
      <c r="AD284" s="28" t="s">
        <v>1352</v>
      </c>
      <c r="AE284" s="28" t="s">
        <v>1353</v>
      </c>
    </row>
    <row r="285" spans="21:31">
      <c r="U285" s="28">
        <v>284</v>
      </c>
      <c r="V285" s="28" t="s">
        <v>830</v>
      </c>
      <c r="W285" s="28" t="s">
        <v>1197</v>
      </c>
      <c r="X285" s="28" t="s">
        <v>1198</v>
      </c>
      <c r="Y285" s="28" t="s">
        <v>1247</v>
      </c>
      <c r="Z285" s="28" t="s">
        <v>1248</v>
      </c>
      <c r="AA285" s="28" t="s">
        <v>1360</v>
      </c>
      <c r="AB285" s="28" t="s">
        <v>1361</v>
      </c>
      <c r="AC285" s="28" t="s">
        <v>1339</v>
      </c>
      <c r="AD285" s="28" t="s">
        <v>1362</v>
      </c>
      <c r="AE285" s="28" t="s">
        <v>2737</v>
      </c>
    </row>
    <row r="286" spans="21:31">
      <c r="U286" s="28">
        <v>285</v>
      </c>
      <c r="V286" s="28" t="s">
        <v>830</v>
      </c>
      <c r="W286" s="28" t="s">
        <v>1197</v>
      </c>
      <c r="X286" s="28" t="s">
        <v>1198</v>
      </c>
      <c r="Y286" s="28" t="s">
        <v>1247</v>
      </c>
      <c r="Z286" s="28" t="s">
        <v>1248</v>
      </c>
      <c r="AA286" s="28" t="s">
        <v>1645</v>
      </c>
      <c r="AB286" s="28" t="s">
        <v>1646</v>
      </c>
      <c r="AC286" s="28" t="s">
        <v>1647</v>
      </c>
      <c r="AD286" s="28" t="s">
        <v>1512</v>
      </c>
      <c r="AE286" s="28" t="s">
        <v>2737</v>
      </c>
    </row>
    <row r="287" spans="21:31">
      <c r="U287" s="28">
        <v>286</v>
      </c>
      <c r="V287" s="28" t="s">
        <v>830</v>
      </c>
      <c r="W287" s="28" t="s">
        <v>1253</v>
      </c>
      <c r="X287" s="28" t="s">
        <v>1254</v>
      </c>
      <c r="Y287" s="28" t="s">
        <v>1255</v>
      </c>
      <c r="Z287" s="28" t="s">
        <v>1256</v>
      </c>
      <c r="AA287" s="28" t="s">
        <v>1648</v>
      </c>
      <c r="AB287" s="28" t="s">
        <v>1649</v>
      </c>
      <c r="AC287" s="28" t="s">
        <v>1650</v>
      </c>
      <c r="AD287" s="28" t="s">
        <v>1651</v>
      </c>
      <c r="AE287" s="28" t="s">
        <v>2737</v>
      </c>
    </row>
    <row r="288" spans="21:31">
      <c r="U288" s="28">
        <v>287</v>
      </c>
      <c r="V288" s="28" t="s">
        <v>830</v>
      </c>
      <c r="W288" s="28" t="s">
        <v>1253</v>
      </c>
      <c r="X288" s="28" t="s">
        <v>1254</v>
      </c>
      <c r="Y288" s="28" t="s">
        <v>1257</v>
      </c>
      <c r="Z288" s="28" t="s">
        <v>1258</v>
      </c>
      <c r="AA288" s="28" t="s">
        <v>1652</v>
      </c>
      <c r="AB288" s="28" t="s">
        <v>1653</v>
      </c>
      <c r="AC288" s="28" t="s">
        <v>1654</v>
      </c>
      <c r="AD288" s="28" t="s">
        <v>1651</v>
      </c>
      <c r="AE288" s="28" t="s">
        <v>2737</v>
      </c>
    </row>
    <row r="289" spans="21:31">
      <c r="U289" s="28">
        <v>288</v>
      </c>
      <c r="V289" s="28" t="s">
        <v>830</v>
      </c>
      <c r="W289" s="28" t="s">
        <v>1253</v>
      </c>
      <c r="X289" s="28" t="s">
        <v>1254</v>
      </c>
      <c r="Y289" s="28" t="s">
        <v>1261</v>
      </c>
      <c r="Z289" s="28" t="s">
        <v>1262</v>
      </c>
      <c r="AA289" s="28" t="s">
        <v>1655</v>
      </c>
      <c r="AB289" s="28" t="s">
        <v>1656</v>
      </c>
      <c r="AC289" s="28" t="s">
        <v>1657</v>
      </c>
      <c r="AD289" s="28" t="s">
        <v>1651</v>
      </c>
      <c r="AE289" s="28" t="s">
        <v>2735</v>
      </c>
    </row>
    <row r="290" spans="21:31">
      <c r="U290" s="28">
        <v>289</v>
      </c>
      <c r="V290" s="28" t="s">
        <v>830</v>
      </c>
      <c r="W290" s="28" t="s">
        <v>1253</v>
      </c>
      <c r="X290" s="28" t="s">
        <v>1254</v>
      </c>
      <c r="Y290" s="28" t="s">
        <v>1265</v>
      </c>
      <c r="Z290" s="28" t="s">
        <v>1266</v>
      </c>
      <c r="AA290" s="28" t="s">
        <v>1658</v>
      </c>
      <c r="AB290" s="28" t="s">
        <v>1659</v>
      </c>
      <c r="AC290" s="28" t="s">
        <v>1660</v>
      </c>
      <c r="AD290" s="28" t="s">
        <v>1651</v>
      </c>
      <c r="AE290" s="28" t="s">
        <v>2737</v>
      </c>
    </row>
    <row r="291" spans="21:31">
      <c r="U291" s="28">
        <v>290</v>
      </c>
      <c r="V291" s="28" t="s">
        <v>830</v>
      </c>
      <c r="W291" s="28" t="s">
        <v>1253</v>
      </c>
      <c r="X291" s="28" t="s">
        <v>1254</v>
      </c>
      <c r="Y291" s="28" t="s">
        <v>1267</v>
      </c>
      <c r="Z291" s="28" t="s">
        <v>1268</v>
      </c>
      <c r="AA291" s="28" t="s">
        <v>1658</v>
      </c>
      <c r="AB291" s="28" t="s">
        <v>1659</v>
      </c>
      <c r="AC291" s="28" t="s">
        <v>1660</v>
      </c>
      <c r="AD291" s="28" t="s">
        <v>1651</v>
      </c>
      <c r="AE291" s="28" t="s">
        <v>2737</v>
      </c>
    </row>
    <row r="292" spans="21:31">
      <c r="U292" s="28">
        <v>291</v>
      </c>
      <c r="V292" s="28" t="s">
        <v>830</v>
      </c>
      <c r="W292" s="28" t="s">
        <v>1253</v>
      </c>
      <c r="X292" s="28" t="s">
        <v>1254</v>
      </c>
      <c r="Y292" s="28" t="s">
        <v>1269</v>
      </c>
      <c r="Z292" s="28" t="s">
        <v>1270</v>
      </c>
      <c r="AA292" s="28" t="s">
        <v>1658</v>
      </c>
      <c r="AB292" s="28" t="s">
        <v>1659</v>
      </c>
      <c r="AC292" s="28" t="s">
        <v>1660</v>
      </c>
      <c r="AD292" s="28" t="s">
        <v>1651</v>
      </c>
      <c r="AE292" s="28" t="s">
        <v>2737</v>
      </c>
    </row>
    <row r="293" spans="21:31">
      <c r="U293" s="28">
        <v>292</v>
      </c>
      <c r="V293" s="28" t="s">
        <v>830</v>
      </c>
      <c r="W293" s="28" t="s">
        <v>1253</v>
      </c>
      <c r="X293" s="28" t="s">
        <v>1254</v>
      </c>
      <c r="Y293" s="28" t="s">
        <v>1271</v>
      </c>
      <c r="Z293" s="28" t="s">
        <v>1272</v>
      </c>
      <c r="AA293" s="28" t="s">
        <v>1661</v>
      </c>
      <c r="AB293" s="28" t="s">
        <v>1662</v>
      </c>
      <c r="AC293" s="28" t="s">
        <v>1663</v>
      </c>
      <c r="AD293" s="28" t="s">
        <v>1651</v>
      </c>
      <c r="AE293" s="28" t="s">
        <v>2737</v>
      </c>
    </row>
    <row r="294" spans="21:31">
      <c r="U294" s="28">
        <v>293</v>
      </c>
      <c r="V294" s="28" t="s">
        <v>830</v>
      </c>
      <c r="W294" s="28" t="s">
        <v>1253</v>
      </c>
      <c r="X294" s="28" t="s">
        <v>1254</v>
      </c>
      <c r="Y294" s="28" t="s">
        <v>1273</v>
      </c>
      <c r="Z294" s="28" t="s">
        <v>1274</v>
      </c>
      <c r="AA294" s="28" t="s">
        <v>1655</v>
      </c>
      <c r="AB294" s="28" t="s">
        <v>1656</v>
      </c>
      <c r="AC294" s="28" t="s">
        <v>1657</v>
      </c>
      <c r="AD294" s="28" t="s">
        <v>1651</v>
      </c>
      <c r="AE294" s="28" t="s">
        <v>2735</v>
      </c>
    </row>
    <row r="295" spans="21:31">
      <c r="U295" s="28">
        <v>294</v>
      </c>
      <c r="V295" s="28" t="s">
        <v>830</v>
      </c>
      <c r="W295" s="28" t="s">
        <v>1253</v>
      </c>
      <c r="X295" s="28" t="s">
        <v>1254</v>
      </c>
      <c r="Y295" s="28" t="s">
        <v>1273</v>
      </c>
      <c r="Z295" s="28" t="s">
        <v>1274</v>
      </c>
      <c r="AA295" s="28" t="s">
        <v>1360</v>
      </c>
      <c r="AB295" s="28" t="s">
        <v>1361</v>
      </c>
      <c r="AC295" s="28" t="s">
        <v>1339</v>
      </c>
      <c r="AD295" s="28" t="s">
        <v>1362</v>
      </c>
      <c r="AE295" s="28" t="s">
        <v>2737</v>
      </c>
    </row>
    <row r="296" spans="21:31">
      <c r="U296" s="28">
        <v>295</v>
      </c>
      <c r="V296" s="28" t="s">
        <v>830</v>
      </c>
      <c r="W296" s="28" t="s">
        <v>1253</v>
      </c>
      <c r="X296" s="28" t="s">
        <v>1254</v>
      </c>
      <c r="Y296" s="28" t="s">
        <v>1277</v>
      </c>
      <c r="Z296" s="28" t="s">
        <v>1278</v>
      </c>
      <c r="AA296" s="28" t="s">
        <v>1655</v>
      </c>
      <c r="AB296" s="28" t="s">
        <v>1656</v>
      </c>
      <c r="AC296" s="28" t="s">
        <v>1657</v>
      </c>
      <c r="AD296" s="28" t="s">
        <v>1651</v>
      </c>
      <c r="AE296" s="28" t="s">
        <v>2735</v>
      </c>
    </row>
    <row r="297" spans="21:31">
      <c r="U297" s="28">
        <v>296</v>
      </c>
      <c r="V297" s="28" t="s">
        <v>830</v>
      </c>
      <c r="W297" s="28" t="s">
        <v>1253</v>
      </c>
      <c r="X297" s="28" t="s">
        <v>1254</v>
      </c>
      <c r="Y297" s="28" t="s">
        <v>1279</v>
      </c>
      <c r="Z297" s="28" t="s">
        <v>1280</v>
      </c>
      <c r="AA297" s="28" t="s">
        <v>1375</v>
      </c>
      <c r="AB297" s="28" t="s">
        <v>1376</v>
      </c>
      <c r="AC297" s="28" t="s">
        <v>1377</v>
      </c>
      <c r="AD297" s="28" t="s">
        <v>1378</v>
      </c>
      <c r="AE297" s="28" t="s">
        <v>2735</v>
      </c>
    </row>
    <row r="298" spans="21:31">
      <c r="U298" s="28">
        <v>297</v>
      </c>
      <c r="V298" s="28" t="s">
        <v>830</v>
      </c>
      <c r="W298" s="28" t="s">
        <v>1253</v>
      </c>
      <c r="X298" s="28" t="s">
        <v>1254</v>
      </c>
      <c r="Y298" s="28" t="s">
        <v>1279</v>
      </c>
      <c r="Z298" s="28" t="s">
        <v>1280</v>
      </c>
      <c r="AA298" s="28" t="s">
        <v>1379</v>
      </c>
      <c r="AB298" s="28" t="s">
        <v>1380</v>
      </c>
      <c r="AC298" s="28" t="s">
        <v>1377</v>
      </c>
      <c r="AD298" s="28" t="s">
        <v>1381</v>
      </c>
      <c r="AE298" s="28" t="s">
        <v>2735</v>
      </c>
    </row>
    <row r="299" spans="21:31">
      <c r="U299" s="28">
        <v>298</v>
      </c>
      <c r="V299" s="28" t="s">
        <v>830</v>
      </c>
      <c r="W299" s="28" t="s">
        <v>1253</v>
      </c>
      <c r="X299" s="28" t="s">
        <v>1254</v>
      </c>
      <c r="Y299" s="28" t="s">
        <v>1279</v>
      </c>
      <c r="Z299" s="28" t="s">
        <v>1280</v>
      </c>
      <c r="AA299" s="28" t="s">
        <v>1360</v>
      </c>
      <c r="AB299" s="28" t="s">
        <v>1361</v>
      </c>
      <c r="AC299" s="28" t="s">
        <v>1339</v>
      </c>
      <c r="AD299" s="28" t="s">
        <v>1362</v>
      </c>
      <c r="AE299" s="28" t="s">
        <v>2737</v>
      </c>
    </row>
    <row r="300" spans="21:31">
      <c r="U300" s="28">
        <v>299</v>
      </c>
      <c r="V300" s="28" t="s">
        <v>830</v>
      </c>
      <c r="W300" s="28" t="s">
        <v>1253</v>
      </c>
      <c r="X300" s="28" t="s">
        <v>1254</v>
      </c>
      <c r="Y300" s="28" t="s">
        <v>1279</v>
      </c>
      <c r="Z300" s="28" t="s">
        <v>1280</v>
      </c>
      <c r="AA300" s="28" t="s">
        <v>1664</v>
      </c>
      <c r="AB300" s="28" t="s">
        <v>1665</v>
      </c>
      <c r="AC300" s="28" t="s">
        <v>1666</v>
      </c>
      <c r="AD300" s="28" t="s">
        <v>1432</v>
      </c>
      <c r="AE300" s="28" t="s">
        <v>1353</v>
      </c>
    </row>
    <row r="301" spans="21:31">
      <c r="U301" s="28">
        <v>300</v>
      </c>
      <c r="V301" s="28" t="s">
        <v>830</v>
      </c>
      <c r="W301" s="28" t="s">
        <v>1253</v>
      </c>
      <c r="X301" s="28" t="s">
        <v>1254</v>
      </c>
      <c r="Y301" s="28" t="s">
        <v>1281</v>
      </c>
      <c r="Z301" s="28" t="s">
        <v>1282</v>
      </c>
      <c r="AA301" s="28" t="s">
        <v>1658</v>
      </c>
      <c r="AB301" s="28" t="s">
        <v>1659</v>
      </c>
      <c r="AC301" s="28" t="s">
        <v>1660</v>
      </c>
      <c r="AD301" s="28" t="s">
        <v>1651</v>
      </c>
      <c r="AE301" s="28" t="s">
        <v>2737</v>
      </c>
    </row>
    <row r="302" spans="21:31">
      <c r="U302" s="28">
        <v>301</v>
      </c>
      <c r="V302" s="28" t="s">
        <v>830</v>
      </c>
      <c r="W302" s="28" t="s">
        <v>1253</v>
      </c>
      <c r="X302" s="28" t="s">
        <v>1254</v>
      </c>
      <c r="Y302" s="28" t="s">
        <v>1281</v>
      </c>
      <c r="Z302" s="28" t="s">
        <v>1282</v>
      </c>
      <c r="AA302" s="28" t="s">
        <v>1667</v>
      </c>
      <c r="AB302" s="28" t="s">
        <v>1668</v>
      </c>
      <c r="AC302" s="28" t="s">
        <v>1669</v>
      </c>
      <c r="AD302" s="28" t="s">
        <v>1651</v>
      </c>
      <c r="AE302" s="28" t="s">
        <v>2737</v>
      </c>
    </row>
    <row r="303" spans="21:31">
      <c r="U303" s="28">
        <v>302</v>
      </c>
      <c r="V303" s="28" t="s">
        <v>830</v>
      </c>
      <c r="W303" s="28" t="s">
        <v>1253</v>
      </c>
      <c r="X303" s="28" t="s">
        <v>1254</v>
      </c>
      <c r="Y303" s="28" t="s">
        <v>1283</v>
      </c>
      <c r="Z303" s="28" t="s">
        <v>1284</v>
      </c>
      <c r="AA303" s="28" t="s">
        <v>1360</v>
      </c>
      <c r="AB303" s="28" t="s">
        <v>1361</v>
      </c>
      <c r="AC303" s="28" t="s">
        <v>1339</v>
      </c>
      <c r="AD303" s="28" t="s">
        <v>1362</v>
      </c>
      <c r="AE303" s="28" t="s">
        <v>2737</v>
      </c>
    </row>
    <row r="304" spans="21:31">
      <c r="U304" s="28">
        <v>303</v>
      </c>
      <c r="V304" s="28" t="s">
        <v>830</v>
      </c>
      <c r="W304" s="28" t="s">
        <v>1253</v>
      </c>
      <c r="X304" s="28" t="s">
        <v>1254</v>
      </c>
      <c r="Y304" s="28" t="s">
        <v>1283</v>
      </c>
      <c r="Z304" s="28" t="s">
        <v>1284</v>
      </c>
      <c r="AA304" s="28" t="s">
        <v>1670</v>
      </c>
      <c r="AB304" s="28" t="s">
        <v>1671</v>
      </c>
      <c r="AC304" s="28" t="s">
        <v>1672</v>
      </c>
      <c r="AD304" s="28" t="s">
        <v>1651</v>
      </c>
      <c r="AE304" s="28" t="s">
        <v>2737</v>
      </c>
    </row>
    <row r="305" spans="21:31">
      <c r="U305" s="28">
        <v>304</v>
      </c>
      <c r="V305" s="28" t="s">
        <v>830</v>
      </c>
      <c r="W305" s="28" t="s">
        <v>1253</v>
      </c>
      <c r="X305" s="28" t="s">
        <v>1254</v>
      </c>
      <c r="Y305" s="28" t="s">
        <v>1285</v>
      </c>
      <c r="Z305" s="28" t="s">
        <v>1286</v>
      </c>
      <c r="AA305" s="28" t="s">
        <v>1655</v>
      </c>
      <c r="AB305" s="28" t="s">
        <v>1656</v>
      </c>
      <c r="AC305" s="28" t="s">
        <v>1657</v>
      </c>
      <c r="AD305" s="28" t="s">
        <v>1651</v>
      </c>
      <c r="AE305" s="28" t="s">
        <v>2735</v>
      </c>
    </row>
    <row r="306" spans="21:31">
      <c r="U306" s="28">
        <v>305</v>
      </c>
      <c r="V306" s="28" t="s">
        <v>830</v>
      </c>
      <c r="W306" s="28" t="s">
        <v>1253</v>
      </c>
      <c r="X306" s="28" t="s">
        <v>1254</v>
      </c>
      <c r="Y306" s="28" t="s">
        <v>1287</v>
      </c>
      <c r="Z306" s="28" t="s">
        <v>1288</v>
      </c>
      <c r="AA306" s="28" t="s">
        <v>1673</v>
      </c>
      <c r="AB306" s="28" t="s">
        <v>1674</v>
      </c>
      <c r="AC306" s="28" t="s">
        <v>1675</v>
      </c>
      <c r="AD306" s="28" t="s">
        <v>1651</v>
      </c>
      <c r="AE306" s="28" t="s">
        <v>2737</v>
      </c>
    </row>
    <row r="307" spans="21:31">
      <c r="U307" s="28">
        <v>306</v>
      </c>
      <c r="V307" s="28" t="s">
        <v>830</v>
      </c>
      <c r="W307" s="28" t="s">
        <v>1253</v>
      </c>
      <c r="X307" s="28" t="s">
        <v>1254</v>
      </c>
      <c r="Y307" s="28" t="s">
        <v>1291</v>
      </c>
      <c r="Z307" s="28" t="s">
        <v>1292</v>
      </c>
      <c r="AA307" s="28" t="s">
        <v>1676</v>
      </c>
      <c r="AB307" s="28" t="s">
        <v>1677</v>
      </c>
      <c r="AC307" s="28" t="s">
        <v>1678</v>
      </c>
      <c r="AD307" s="28" t="s">
        <v>1651</v>
      </c>
      <c r="AE307" s="28" t="s">
        <v>2735</v>
      </c>
    </row>
    <row r="308" spans="21:31">
      <c r="U308" s="28">
        <v>307</v>
      </c>
      <c r="V308" s="28" t="s">
        <v>830</v>
      </c>
      <c r="W308" s="28" t="s">
        <v>1253</v>
      </c>
      <c r="X308" s="28" t="s">
        <v>1254</v>
      </c>
      <c r="Y308" s="28" t="s">
        <v>1293</v>
      </c>
      <c r="Z308" s="28" t="s">
        <v>1294</v>
      </c>
      <c r="AA308" s="28" t="s">
        <v>1679</v>
      </c>
      <c r="AB308" s="28" t="s">
        <v>1680</v>
      </c>
      <c r="AC308" s="28" t="s">
        <v>1681</v>
      </c>
      <c r="AD308" s="28" t="s">
        <v>1651</v>
      </c>
      <c r="AE308" s="28" t="s">
        <v>2737</v>
      </c>
    </row>
    <row r="309" spans="21:31">
      <c r="U309" s="28">
        <v>308</v>
      </c>
      <c r="V309" s="28" t="s">
        <v>830</v>
      </c>
      <c r="W309" s="28" t="s">
        <v>1353</v>
      </c>
      <c r="X309" s="28" t="s">
        <v>1353</v>
      </c>
      <c r="Y309" s="28" t="s">
        <v>1353</v>
      </c>
      <c r="Z309" s="28" t="s">
        <v>1353</v>
      </c>
      <c r="AA309" s="28" t="s">
        <v>1346</v>
      </c>
      <c r="AB309" s="28" t="s">
        <v>1347</v>
      </c>
      <c r="AC309" s="28" t="s">
        <v>1348</v>
      </c>
      <c r="AD309" s="28" t="s">
        <v>1349</v>
      </c>
      <c r="AE309" s="28" t="s">
        <v>2735</v>
      </c>
    </row>
    <row r="310" spans="21:31">
      <c r="U310" s="28">
        <v>309</v>
      </c>
      <c r="V310" s="28" t="s">
        <v>830</v>
      </c>
      <c r="W310" s="28" t="s">
        <v>1353</v>
      </c>
      <c r="X310" s="28" t="s">
        <v>1353</v>
      </c>
      <c r="Y310" s="28" t="s">
        <v>1353</v>
      </c>
      <c r="Z310" s="28" t="s">
        <v>1353</v>
      </c>
      <c r="AA310" s="28" t="s">
        <v>1350</v>
      </c>
      <c r="AB310" s="28" t="s">
        <v>1351</v>
      </c>
      <c r="AC310" s="28" t="s">
        <v>1348</v>
      </c>
      <c r="AD310" s="28" t="s">
        <v>1352</v>
      </c>
      <c r="AE310" s="28" t="s">
        <v>1353</v>
      </c>
    </row>
    <row r="311" spans="21:31">
      <c r="U311" s="28">
        <v>310</v>
      </c>
      <c r="V311" s="28" t="s">
        <v>830</v>
      </c>
      <c r="W311" s="28" t="s">
        <v>1353</v>
      </c>
      <c r="X311" s="28" t="s">
        <v>1353</v>
      </c>
      <c r="Y311" s="28" t="s">
        <v>1353</v>
      </c>
      <c r="Z311" s="28" t="s">
        <v>1353</v>
      </c>
      <c r="AA311" s="28" t="s">
        <v>1416</v>
      </c>
      <c r="AB311" s="28" t="s">
        <v>1417</v>
      </c>
      <c r="AC311" s="28" t="s">
        <v>1418</v>
      </c>
      <c r="AD311" s="28" t="s">
        <v>1419</v>
      </c>
      <c r="AE311" s="28" t="s">
        <v>2735</v>
      </c>
    </row>
    <row r="312" spans="21:31">
      <c r="U312" s="28">
        <v>311</v>
      </c>
      <c r="V312" s="28" t="s">
        <v>830</v>
      </c>
      <c r="W312" s="28" t="s">
        <v>1353</v>
      </c>
      <c r="X312" s="28" t="s">
        <v>1353</v>
      </c>
      <c r="Y312" s="28" t="s">
        <v>1353</v>
      </c>
      <c r="Z312" s="28" t="s">
        <v>1353</v>
      </c>
      <c r="AA312" s="28" t="s">
        <v>1420</v>
      </c>
      <c r="AB312" s="28" t="s">
        <v>1421</v>
      </c>
      <c r="AC312" s="28" t="s">
        <v>1422</v>
      </c>
      <c r="AD312" s="28" t="s">
        <v>1419</v>
      </c>
      <c r="AE312" s="28" t="s">
        <v>2737</v>
      </c>
    </row>
  </sheetData>
  <sheetProtection formatColumns="0" formatRows="0"/>
  <phoneticPr fontId="8" type="noConversion"/>
  <pageMargins left="0.75" right="0.75" top="1" bottom="1" header="0.5" footer="0.5"/>
  <headerFooter alignWithMargins="0"/>
</worksheet>
</file>

<file path=xl/worksheets/sheet80.xml><?xml version="1.0" encoding="utf-8"?>
<worksheet xmlns="http://schemas.openxmlformats.org/spreadsheetml/2006/main" xmlns:r="http://schemas.openxmlformats.org/officeDocument/2006/relationships">
  <sheetPr codeName="PLAN1X_FUEL_GAS">
    <tabColor indexed="47"/>
  </sheetPr>
  <dimension ref="A1"/>
  <sheetViews>
    <sheetView workbookViewId="0"/>
  </sheetViews>
  <sheetFormatPr defaultRowHeight="11.25"/>
  <cols>
    <col min="1" max="16384" width="9.140625" style="58"/>
  </cols>
  <sheetData/>
  <sheetProtection formatColumns="0" formatRows="0"/>
  <phoneticPr fontId="0" type="noConversion"/>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sheetPr codeName="PLAN1X_FUEL_TR_1">
    <tabColor indexed="47"/>
  </sheetPr>
  <dimension ref="A1"/>
  <sheetViews>
    <sheetView workbookViewId="0"/>
  </sheetViews>
  <sheetFormatPr defaultRowHeight="11.25"/>
  <cols>
    <col min="1" max="16384" width="9.140625" style="58"/>
  </cols>
  <sheetData/>
  <sheetProtection formatColumns="0" formatRows="0"/>
  <phoneticPr fontId="0" type="noConversion"/>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sheetPr codeName="PLAN1X_FUEL_TR_2">
    <tabColor indexed="47"/>
  </sheetPr>
  <dimension ref="A1"/>
  <sheetViews>
    <sheetView workbookViewId="0"/>
  </sheetViews>
  <sheetFormatPr defaultRowHeight="11.25"/>
  <cols>
    <col min="1" max="16384" width="9.140625" style="58"/>
  </cols>
  <sheetData/>
  <sheetProtection formatColumns="0" formatRows="0"/>
  <phoneticPr fontId="0" type="noConversion"/>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sheetPr codeName="PLAN1X_FUEL_TR_3">
    <tabColor indexed="47"/>
  </sheetPr>
  <dimension ref="A1"/>
  <sheetViews>
    <sheetView workbookViewId="0"/>
  </sheetViews>
  <sheetFormatPr defaultRowHeight="11.25"/>
  <cols>
    <col min="1" max="16384" width="9.140625" style="58"/>
  </cols>
  <sheetData/>
  <sheetProtection formatColumns="0" formatRows="0"/>
  <phoneticPr fontId="0" type="noConversion"/>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sheetPr codeName="PLAN1X_FUEL_EE">
    <tabColor indexed="47"/>
  </sheetPr>
  <dimension ref="A1"/>
  <sheetViews>
    <sheetView workbookViewId="0"/>
  </sheetViews>
  <sheetFormatPr defaultRowHeight="11.25"/>
  <cols>
    <col min="1" max="16384" width="9.140625" style="58"/>
  </cols>
  <sheetData/>
  <sheetProtection formatColumns="0" formatRows="0"/>
  <phoneticPr fontId="0" type="noConversion"/>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sheetPr codeName="PLAN1X_CALC">
    <tabColor indexed="47"/>
  </sheetPr>
  <dimension ref="A1"/>
  <sheetViews>
    <sheetView workbookViewId="0"/>
  </sheetViews>
  <sheetFormatPr defaultRowHeight="11.25"/>
  <cols>
    <col min="1" max="16384" width="9.140625" style="58"/>
  </cols>
  <sheetData/>
  <sheetProtection formatColumns="0" formatRows="0"/>
  <phoneticPr fontId="8" type="noConversion"/>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sheetPr codeName="PLAN1X_TM1">
    <tabColor indexed="47"/>
  </sheetPr>
  <dimension ref="A1:AS1"/>
  <sheetViews>
    <sheetView workbookViewId="0"/>
  </sheetViews>
  <sheetFormatPr defaultRowHeight="11.25"/>
  <cols>
    <col min="1" max="16384" width="9.140625" style="58"/>
  </cols>
  <sheetData>
    <row r="1" spans="1:45">
      <c r="A1" s="58" t="s">
        <v>2519</v>
      </c>
      <c r="B1" s="58" t="s">
        <v>2538</v>
      </c>
      <c r="C1" s="58" t="s">
        <v>2235</v>
      </c>
      <c r="D1" s="58" t="s">
        <v>2561</v>
      </c>
      <c r="E1" s="58" t="s">
        <v>2180</v>
      </c>
      <c r="F1" s="58" t="s">
        <v>2181</v>
      </c>
      <c r="G1" s="58" t="s">
        <v>2182</v>
      </c>
      <c r="H1" s="58" t="s">
        <v>2183</v>
      </c>
      <c r="I1" s="58" t="s">
        <v>2184</v>
      </c>
      <c r="J1" s="58" t="s">
        <v>2185</v>
      </c>
      <c r="K1" s="58" t="s">
        <v>2186</v>
      </c>
      <c r="L1" s="58" t="s">
        <v>2187</v>
      </c>
      <c r="M1" s="58" t="s">
        <v>2188</v>
      </c>
      <c r="N1" s="58" t="s">
        <v>2189</v>
      </c>
      <c r="O1" s="58" t="s">
        <v>2190</v>
      </c>
      <c r="P1" s="58" t="s">
        <v>2191</v>
      </c>
      <c r="Q1" s="58" t="s">
        <v>2192</v>
      </c>
      <c r="R1" s="58" t="s">
        <v>2193</v>
      </c>
      <c r="S1" s="58" t="s">
        <v>2711</v>
      </c>
      <c r="T1" s="58" t="s">
        <v>2712</v>
      </c>
      <c r="U1" s="58" t="s">
        <v>3160</v>
      </c>
      <c r="V1" s="58" t="s">
        <v>3161</v>
      </c>
      <c r="W1" s="58" t="s">
        <v>2698</v>
      </c>
      <c r="X1" s="58" t="s">
        <v>2699</v>
      </c>
      <c r="Y1" s="58" t="s">
        <v>2537</v>
      </c>
      <c r="Z1" s="58" t="s">
        <v>2713</v>
      </c>
      <c r="AA1" s="58" t="s">
        <v>2714</v>
      </c>
      <c r="AB1" s="58" t="s">
        <v>2715</v>
      </c>
      <c r="AC1" s="58" t="s">
        <v>2716</v>
      </c>
      <c r="AD1" s="58" t="s">
        <v>2717</v>
      </c>
      <c r="AE1" s="58" t="s">
        <v>2236</v>
      </c>
      <c r="AF1" s="58" t="s">
        <v>2263</v>
      </c>
      <c r="AG1" s="58" t="s">
        <v>2718</v>
      </c>
      <c r="AH1" s="58" t="s">
        <v>2194</v>
      </c>
      <c r="AI1" s="58" t="s">
        <v>2195</v>
      </c>
      <c r="AJ1" s="58" t="s">
        <v>2719</v>
      </c>
      <c r="AK1" s="58" t="s">
        <v>2196</v>
      </c>
      <c r="AL1" s="58" t="s">
        <v>2197</v>
      </c>
      <c r="AM1" s="58" t="s">
        <v>2720</v>
      </c>
      <c r="AN1" s="58" t="s">
        <v>2198</v>
      </c>
      <c r="AO1" s="58" t="s">
        <v>2199</v>
      </c>
      <c r="AP1" s="58" t="s">
        <v>2265</v>
      </c>
      <c r="AQ1" s="58" t="s">
        <v>2708</v>
      </c>
      <c r="AR1" s="58" t="s">
        <v>2709</v>
      </c>
      <c r="AS1" s="58" t="s">
        <v>2721</v>
      </c>
    </row>
  </sheetData>
  <sheetProtection formatColumns="0" formatRows="0"/>
  <phoneticPr fontId="8" type="noConversion"/>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sheetPr codeName="PLAN1X_TM2">
    <tabColor indexed="47"/>
  </sheetPr>
  <dimension ref="A1:CL4"/>
  <sheetViews>
    <sheetView workbookViewId="0"/>
  </sheetViews>
  <sheetFormatPr defaultRowHeight="11.25"/>
  <cols>
    <col min="1" max="16384" width="9.140625" style="58"/>
  </cols>
  <sheetData>
    <row r="1" spans="1:90">
      <c r="A1" s="58" t="s">
        <v>2519</v>
      </c>
      <c r="B1" s="58" t="s">
        <v>2538</v>
      </c>
      <c r="C1" s="58" t="s">
        <v>2235</v>
      </c>
      <c r="D1" s="58" t="s">
        <v>2561</v>
      </c>
      <c r="E1" s="58" t="s">
        <v>2180</v>
      </c>
      <c r="F1" s="58" t="s">
        <v>2181</v>
      </c>
      <c r="G1" s="58" t="s">
        <v>2182</v>
      </c>
      <c r="H1" s="58" t="s">
        <v>2183</v>
      </c>
      <c r="I1" s="58" t="s">
        <v>2184</v>
      </c>
      <c r="J1" s="58" t="s">
        <v>2185</v>
      </c>
      <c r="K1" s="58" t="s">
        <v>2186</v>
      </c>
      <c r="L1" s="58" t="s">
        <v>2187</v>
      </c>
      <c r="M1" s="58" t="s">
        <v>2188</v>
      </c>
      <c r="N1" s="58" t="s">
        <v>2189</v>
      </c>
      <c r="O1" s="58" t="s">
        <v>2190</v>
      </c>
      <c r="P1" s="58" t="s">
        <v>2191</v>
      </c>
      <c r="Q1" s="58" t="s">
        <v>2192</v>
      </c>
      <c r="R1" s="58" t="s">
        <v>2193</v>
      </c>
      <c r="S1" s="58" t="s">
        <v>2535</v>
      </c>
      <c r="T1" s="58" t="s">
        <v>2536</v>
      </c>
      <c r="U1" s="58" t="s">
        <v>2236</v>
      </c>
      <c r="V1" s="58" t="s">
        <v>2263</v>
      </c>
      <c r="W1" s="58" t="s">
        <v>2194</v>
      </c>
      <c r="X1" s="58" t="s">
        <v>2195</v>
      </c>
      <c r="Y1" s="58" t="s">
        <v>2196</v>
      </c>
      <c r="Z1" s="58" t="s">
        <v>2197</v>
      </c>
      <c r="AA1" s="58" t="s">
        <v>2543</v>
      </c>
      <c r="AB1" s="58" t="s">
        <v>2198</v>
      </c>
      <c r="AC1" s="58" t="s">
        <v>2199</v>
      </c>
      <c r="AD1" s="58" t="s">
        <v>2708</v>
      </c>
      <c r="AE1" s="58" t="s">
        <v>2709</v>
      </c>
      <c r="AF1" s="58" t="s">
        <v>2710</v>
      </c>
      <c r="AG1" s="58" t="s">
        <v>2549</v>
      </c>
      <c r="AH1" s="58" t="s">
        <v>2749</v>
      </c>
      <c r="AI1" s="58" t="s">
        <v>2200</v>
      </c>
      <c r="AJ1" s="58" t="s">
        <v>2201</v>
      </c>
      <c r="AK1" s="58" t="s">
        <v>2550</v>
      </c>
      <c r="AL1" s="58" t="s">
        <v>3165</v>
      </c>
      <c r="AM1" s="58" t="s">
        <v>3174</v>
      </c>
      <c r="AN1" s="58" t="s">
        <v>2202</v>
      </c>
      <c r="AO1" s="58" t="s">
        <v>2203</v>
      </c>
      <c r="AP1" s="58" t="s">
        <v>2553</v>
      </c>
      <c r="AQ1" s="58" t="s">
        <v>2204</v>
      </c>
      <c r="AR1" s="58" t="s">
        <v>2205</v>
      </c>
      <c r="AS1" s="58" t="s">
        <v>2206</v>
      </c>
      <c r="AT1" s="58" t="s">
        <v>2207</v>
      </c>
      <c r="AU1" s="58" t="s">
        <v>2208</v>
      </c>
      <c r="AV1" s="58" t="s">
        <v>2209</v>
      </c>
      <c r="AW1" s="58" t="s">
        <v>2210</v>
      </c>
      <c r="AX1" s="58" t="s">
        <v>2211</v>
      </c>
      <c r="AY1" s="58" t="s">
        <v>2212</v>
      </c>
      <c r="AZ1" s="58" t="s">
        <v>2213</v>
      </c>
      <c r="BA1" s="58" t="s">
        <v>3230</v>
      </c>
      <c r="BB1" s="58" t="s">
        <v>3231</v>
      </c>
      <c r="BC1" s="58" t="s">
        <v>2214</v>
      </c>
      <c r="BD1" s="58" t="s">
        <v>2215</v>
      </c>
      <c r="BE1" s="58" t="s">
        <v>3232</v>
      </c>
      <c r="BF1" s="58" t="s">
        <v>3236</v>
      </c>
      <c r="BG1" s="58" t="s">
        <v>3237</v>
      </c>
      <c r="BH1" s="58" t="s">
        <v>2216</v>
      </c>
      <c r="BI1" s="58" t="s">
        <v>2217</v>
      </c>
      <c r="BJ1" s="58" t="s">
        <v>2218</v>
      </c>
      <c r="BK1" s="58" t="s">
        <v>2219</v>
      </c>
      <c r="BL1" s="58" t="s">
        <v>2220</v>
      </c>
      <c r="BM1" s="58" t="s">
        <v>2221</v>
      </c>
      <c r="BN1" s="58" t="s">
        <v>3238</v>
      </c>
      <c r="BO1" s="58" t="s">
        <v>3241</v>
      </c>
      <c r="BP1" s="58" t="s">
        <v>2222</v>
      </c>
      <c r="BQ1" s="58" t="s">
        <v>2223</v>
      </c>
      <c r="BR1" s="58" t="s">
        <v>2224</v>
      </c>
      <c r="BS1" s="58" t="s">
        <v>2225</v>
      </c>
      <c r="BT1" s="58" t="s">
        <v>3246</v>
      </c>
      <c r="BU1" s="58" t="s">
        <v>2226</v>
      </c>
      <c r="BV1" s="58" t="s">
        <v>2227</v>
      </c>
      <c r="BW1" s="58" t="s">
        <v>2228</v>
      </c>
      <c r="BX1" s="58" t="s">
        <v>2229</v>
      </c>
      <c r="BY1" s="58" t="s">
        <v>2230</v>
      </c>
      <c r="BZ1" s="58" t="s">
        <v>2231</v>
      </c>
      <c r="CA1" s="58" t="s">
        <v>2232</v>
      </c>
      <c r="CB1" s="58" t="s">
        <v>2233</v>
      </c>
      <c r="CC1" s="58" t="s">
        <v>3248</v>
      </c>
      <c r="CD1" s="58" t="s">
        <v>3249</v>
      </c>
      <c r="CE1" s="58" t="s">
        <v>3250</v>
      </c>
      <c r="CF1" s="58" t="s">
        <v>3252</v>
      </c>
      <c r="CG1" s="58" t="s">
        <v>461</v>
      </c>
      <c r="CH1" s="58" t="s">
        <v>463</v>
      </c>
      <c r="CI1" s="58" t="s">
        <v>464</v>
      </c>
      <c r="CJ1" s="58" t="s">
        <v>465</v>
      </c>
      <c r="CK1" s="58" t="s">
        <v>2234</v>
      </c>
      <c r="CL1" s="58" t="s">
        <v>466</v>
      </c>
    </row>
    <row r="2" spans="1:90">
      <c r="A2" s="58" t="s">
        <v>642</v>
      </c>
      <c r="B2" s="58" t="s">
        <v>3263</v>
      </c>
      <c r="C2" s="58" t="s">
        <v>745</v>
      </c>
      <c r="D2" s="58" t="s">
        <v>3264</v>
      </c>
      <c r="E2" s="58" t="s">
        <v>1353</v>
      </c>
      <c r="F2" s="58" t="s">
        <v>1353</v>
      </c>
      <c r="G2" s="58" t="s">
        <v>1353</v>
      </c>
      <c r="H2" s="58" t="s">
        <v>1353</v>
      </c>
      <c r="I2" s="58" t="s">
        <v>1353</v>
      </c>
      <c r="J2" s="58" t="s">
        <v>1353</v>
      </c>
      <c r="K2" s="58" t="s">
        <v>1353</v>
      </c>
      <c r="L2" s="58" t="s">
        <v>1353</v>
      </c>
      <c r="M2" s="58" t="s">
        <v>1353</v>
      </c>
      <c r="N2" s="58" t="s">
        <v>1353</v>
      </c>
      <c r="O2" s="58" t="s">
        <v>1353</v>
      </c>
      <c r="P2" s="58" t="s">
        <v>1353</v>
      </c>
      <c r="Q2" s="58" t="s">
        <v>1353</v>
      </c>
      <c r="R2" s="58" t="s">
        <v>1353</v>
      </c>
      <c r="S2" s="58" t="s">
        <v>3265</v>
      </c>
      <c r="T2" s="58" t="s">
        <v>1353</v>
      </c>
      <c r="U2" s="58" t="s">
        <v>1353</v>
      </c>
      <c r="V2" s="58" t="s">
        <v>1353</v>
      </c>
      <c r="W2" s="58" t="s">
        <v>1353</v>
      </c>
      <c r="X2" s="58" t="s">
        <v>1353</v>
      </c>
      <c r="Y2" s="58" t="s">
        <v>1353</v>
      </c>
      <c r="Z2" s="58" t="s">
        <v>1353</v>
      </c>
      <c r="AA2" s="58" t="s">
        <v>1353</v>
      </c>
      <c r="AB2" s="58" t="s">
        <v>1353</v>
      </c>
      <c r="AC2" s="58" t="s">
        <v>1353</v>
      </c>
      <c r="AD2" s="58" t="s">
        <v>1353</v>
      </c>
      <c r="AE2" s="58" t="s">
        <v>1353</v>
      </c>
      <c r="AF2" s="58" t="s">
        <v>1353</v>
      </c>
      <c r="AG2" s="58" t="s">
        <v>1353</v>
      </c>
      <c r="AH2" s="58" t="s">
        <v>1353</v>
      </c>
      <c r="AI2" s="58" t="s">
        <v>1353</v>
      </c>
      <c r="AJ2" s="58" t="s">
        <v>1353</v>
      </c>
      <c r="AK2" s="58" t="s">
        <v>1353</v>
      </c>
      <c r="AL2" s="58" t="s">
        <v>3265</v>
      </c>
      <c r="AM2" s="58" t="s">
        <v>1353</v>
      </c>
      <c r="AN2" s="58" t="s">
        <v>1353</v>
      </c>
      <c r="AO2" s="58" t="s">
        <v>1353</v>
      </c>
      <c r="AP2" s="58" t="s">
        <v>1353</v>
      </c>
      <c r="AQ2" s="58" t="s">
        <v>1353</v>
      </c>
      <c r="AR2" s="58" t="s">
        <v>1353</v>
      </c>
      <c r="AS2" s="58" t="s">
        <v>1353</v>
      </c>
      <c r="AT2" s="58" t="s">
        <v>1353</v>
      </c>
      <c r="AU2" s="58" t="s">
        <v>1353</v>
      </c>
      <c r="AV2" s="58" t="s">
        <v>1353</v>
      </c>
      <c r="AW2" s="58" t="s">
        <v>1353</v>
      </c>
      <c r="AX2" s="58" t="s">
        <v>1353</v>
      </c>
      <c r="AY2" s="58" t="s">
        <v>1353</v>
      </c>
      <c r="AZ2" s="58" t="s">
        <v>1353</v>
      </c>
      <c r="BA2" s="58" t="s">
        <v>1353</v>
      </c>
      <c r="BB2" s="58" t="s">
        <v>1353</v>
      </c>
      <c r="BC2" s="58" t="s">
        <v>1353</v>
      </c>
      <c r="BD2" s="58" t="s">
        <v>1353</v>
      </c>
      <c r="BE2" s="58" t="s">
        <v>1353</v>
      </c>
      <c r="BF2" s="58" t="s">
        <v>1353</v>
      </c>
      <c r="BG2" s="58" t="s">
        <v>1353</v>
      </c>
      <c r="BH2" s="58" t="s">
        <v>1353</v>
      </c>
      <c r="BI2" s="58" t="s">
        <v>1353</v>
      </c>
      <c r="BJ2" s="58" t="s">
        <v>1353</v>
      </c>
      <c r="BK2" s="58" t="s">
        <v>1353</v>
      </c>
      <c r="BL2" s="58" t="s">
        <v>1353</v>
      </c>
      <c r="BM2" s="58" t="s">
        <v>1353</v>
      </c>
      <c r="BN2" s="58" t="s">
        <v>1353</v>
      </c>
      <c r="BO2" s="58" t="s">
        <v>1353</v>
      </c>
      <c r="BP2" s="58" t="s">
        <v>3265</v>
      </c>
      <c r="BQ2" s="58" t="s">
        <v>1353</v>
      </c>
      <c r="BR2" s="58" t="s">
        <v>1353</v>
      </c>
      <c r="BS2" s="58" t="s">
        <v>1353</v>
      </c>
      <c r="BT2" s="58" t="s">
        <v>1353</v>
      </c>
      <c r="BU2" s="58" t="s">
        <v>1353</v>
      </c>
      <c r="BV2" s="58" t="s">
        <v>1353</v>
      </c>
      <c r="BW2" s="58" t="s">
        <v>1353</v>
      </c>
      <c r="BX2" s="58" t="s">
        <v>1353</v>
      </c>
      <c r="BY2" s="58" t="s">
        <v>1353</v>
      </c>
      <c r="BZ2" s="58" t="s">
        <v>1353</v>
      </c>
      <c r="CA2" s="58" t="s">
        <v>1353</v>
      </c>
      <c r="CB2" s="58" t="s">
        <v>1353</v>
      </c>
      <c r="CC2" s="58" t="s">
        <v>1353</v>
      </c>
      <c r="CD2" s="58" t="s">
        <v>1353</v>
      </c>
      <c r="CE2" s="58" t="s">
        <v>1353</v>
      </c>
      <c r="CF2" s="58" t="s">
        <v>1353</v>
      </c>
      <c r="CG2" s="58" t="s">
        <v>1353</v>
      </c>
      <c r="CH2" s="58" t="s">
        <v>1353</v>
      </c>
      <c r="CI2" s="58" t="s">
        <v>1353</v>
      </c>
      <c r="CJ2" s="58" t="s">
        <v>1353</v>
      </c>
      <c r="CK2" s="58" t="s">
        <v>1353</v>
      </c>
      <c r="CL2" s="58" t="s">
        <v>1353</v>
      </c>
    </row>
    <row r="3" spans="1:90">
      <c r="A3" s="58" t="s">
        <v>642</v>
      </c>
      <c r="B3" s="58" t="s">
        <v>3266</v>
      </c>
      <c r="C3" s="58" t="s">
        <v>745</v>
      </c>
      <c r="D3" s="58" t="s">
        <v>3264</v>
      </c>
      <c r="E3" s="58" t="s">
        <v>1353</v>
      </c>
      <c r="F3" s="58" t="s">
        <v>1353</v>
      </c>
      <c r="G3" s="58" t="s">
        <v>1353</v>
      </c>
      <c r="H3" s="58" t="s">
        <v>1353</v>
      </c>
      <c r="I3" s="58" t="s">
        <v>1353</v>
      </c>
      <c r="J3" s="58" t="s">
        <v>1353</v>
      </c>
      <c r="K3" s="58" t="s">
        <v>1353</v>
      </c>
      <c r="L3" s="58" t="s">
        <v>1353</v>
      </c>
      <c r="M3" s="58" t="s">
        <v>1353</v>
      </c>
      <c r="N3" s="58" t="s">
        <v>1353</v>
      </c>
      <c r="O3" s="58" t="s">
        <v>1353</v>
      </c>
      <c r="P3" s="58" t="s">
        <v>1353</v>
      </c>
      <c r="Q3" s="58" t="s">
        <v>1353</v>
      </c>
      <c r="R3" s="58" t="s">
        <v>1353</v>
      </c>
      <c r="S3" s="58" t="s">
        <v>3265</v>
      </c>
      <c r="T3" s="58" t="s">
        <v>1353</v>
      </c>
      <c r="U3" s="58" t="s">
        <v>1353</v>
      </c>
      <c r="V3" s="58" t="s">
        <v>1353</v>
      </c>
      <c r="W3" s="58" t="s">
        <v>1353</v>
      </c>
      <c r="X3" s="58" t="s">
        <v>1353</v>
      </c>
      <c r="Y3" s="58" t="s">
        <v>1353</v>
      </c>
      <c r="Z3" s="58" t="s">
        <v>1353</v>
      </c>
      <c r="AA3" s="58" t="s">
        <v>1353</v>
      </c>
      <c r="AB3" s="58" t="s">
        <v>1353</v>
      </c>
      <c r="AC3" s="58" t="s">
        <v>1353</v>
      </c>
      <c r="AD3" s="58" t="s">
        <v>1353</v>
      </c>
      <c r="AE3" s="58" t="s">
        <v>1353</v>
      </c>
      <c r="AF3" s="58" t="s">
        <v>1353</v>
      </c>
      <c r="AG3" s="58" t="s">
        <v>1353</v>
      </c>
      <c r="AH3" s="58" t="s">
        <v>1353</v>
      </c>
      <c r="AI3" s="58" t="s">
        <v>1353</v>
      </c>
      <c r="AJ3" s="58" t="s">
        <v>1353</v>
      </c>
      <c r="AK3" s="58" t="s">
        <v>1353</v>
      </c>
      <c r="AL3" s="58" t="s">
        <v>3265</v>
      </c>
      <c r="AM3" s="58" t="s">
        <v>1353</v>
      </c>
      <c r="AN3" s="58" t="s">
        <v>1353</v>
      </c>
      <c r="AO3" s="58" t="s">
        <v>1353</v>
      </c>
      <c r="AP3" s="58" t="s">
        <v>1353</v>
      </c>
      <c r="AQ3" s="58" t="s">
        <v>1353</v>
      </c>
      <c r="AR3" s="58" t="s">
        <v>1353</v>
      </c>
      <c r="AS3" s="58" t="s">
        <v>1353</v>
      </c>
      <c r="AT3" s="58" t="s">
        <v>1353</v>
      </c>
      <c r="AU3" s="58" t="s">
        <v>1353</v>
      </c>
      <c r="AV3" s="58" t="s">
        <v>1353</v>
      </c>
      <c r="AW3" s="58" t="s">
        <v>1353</v>
      </c>
      <c r="AX3" s="58" t="s">
        <v>1353</v>
      </c>
      <c r="AY3" s="58" t="s">
        <v>1353</v>
      </c>
      <c r="AZ3" s="58" t="s">
        <v>1353</v>
      </c>
      <c r="BA3" s="58" t="s">
        <v>1353</v>
      </c>
      <c r="BB3" s="58" t="s">
        <v>1353</v>
      </c>
      <c r="BC3" s="58" t="s">
        <v>1353</v>
      </c>
      <c r="BD3" s="58" t="s">
        <v>1353</v>
      </c>
      <c r="BE3" s="58" t="s">
        <v>1353</v>
      </c>
      <c r="BF3" s="58" t="s">
        <v>1353</v>
      </c>
      <c r="BG3" s="58" t="s">
        <v>1353</v>
      </c>
      <c r="BH3" s="58" t="s">
        <v>1353</v>
      </c>
      <c r="BI3" s="58" t="s">
        <v>1353</v>
      </c>
      <c r="BJ3" s="58" t="s">
        <v>1353</v>
      </c>
      <c r="BK3" s="58" t="s">
        <v>1353</v>
      </c>
      <c r="BL3" s="58" t="s">
        <v>1353</v>
      </c>
      <c r="BM3" s="58" t="s">
        <v>1353</v>
      </c>
      <c r="BN3" s="58" t="s">
        <v>1353</v>
      </c>
      <c r="BO3" s="58" t="s">
        <v>1353</v>
      </c>
      <c r="BP3" s="58" t="s">
        <v>3265</v>
      </c>
      <c r="BQ3" s="58" t="s">
        <v>1353</v>
      </c>
      <c r="BR3" s="58" t="s">
        <v>1353</v>
      </c>
      <c r="BS3" s="58" t="s">
        <v>1353</v>
      </c>
      <c r="BT3" s="58" t="s">
        <v>1353</v>
      </c>
      <c r="BU3" s="58" t="s">
        <v>1353</v>
      </c>
      <c r="BV3" s="58" t="s">
        <v>1353</v>
      </c>
      <c r="BW3" s="58" t="s">
        <v>1353</v>
      </c>
      <c r="BX3" s="58" t="s">
        <v>1353</v>
      </c>
      <c r="BY3" s="58" t="s">
        <v>1353</v>
      </c>
      <c r="BZ3" s="58" t="s">
        <v>1353</v>
      </c>
      <c r="CA3" s="58" t="s">
        <v>1353</v>
      </c>
      <c r="CB3" s="58" t="s">
        <v>1353</v>
      </c>
      <c r="CC3" s="58" t="s">
        <v>1353</v>
      </c>
      <c r="CD3" s="58" t="s">
        <v>1353</v>
      </c>
      <c r="CE3" s="58" t="s">
        <v>1353</v>
      </c>
      <c r="CF3" s="58" t="s">
        <v>1353</v>
      </c>
      <c r="CG3" s="58" t="s">
        <v>1353</v>
      </c>
      <c r="CH3" s="58" t="s">
        <v>1353</v>
      </c>
      <c r="CI3" s="58" t="s">
        <v>1353</v>
      </c>
      <c r="CJ3" s="58" t="s">
        <v>1353</v>
      </c>
      <c r="CK3" s="58" t="s">
        <v>1353</v>
      </c>
      <c r="CL3" s="58" t="s">
        <v>1353</v>
      </c>
    </row>
    <row r="4" spans="1:90">
      <c r="A4" s="58" t="s">
        <v>642</v>
      </c>
      <c r="B4" s="58" t="s">
        <v>3267</v>
      </c>
      <c r="C4" s="58" t="s">
        <v>745</v>
      </c>
      <c r="D4" s="58" t="s">
        <v>3264</v>
      </c>
      <c r="E4" s="58" t="s">
        <v>1353</v>
      </c>
      <c r="F4" s="58" t="s">
        <v>1353</v>
      </c>
      <c r="G4" s="58" t="s">
        <v>1353</v>
      </c>
      <c r="H4" s="58" t="s">
        <v>1353</v>
      </c>
      <c r="I4" s="58" t="s">
        <v>1353</v>
      </c>
      <c r="J4" s="58" t="s">
        <v>1353</v>
      </c>
      <c r="K4" s="58" t="s">
        <v>1353</v>
      </c>
      <c r="L4" s="58" t="s">
        <v>1353</v>
      </c>
      <c r="M4" s="58" t="s">
        <v>1353</v>
      </c>
      <c r="N4" s="58" t="s">
        <v>1353</v>
      </c>
      <c r="O4" s="58" t="s">
        <v>1353</v>
      </c>
      <c r="P4" s="58" t="s">
        <v>1353</v>
      </c>
      <c r="Q4" s="58" t="s">
        <v>1353</v>
      </c>
      <c r="R4" s="58" t="s">
        <v>1353</v>
      </c>
      <c r="S4" s="58" t="s">
        <v>3265</v>
      </c>
      <c r="T4" s="58" t="s">
        <v>1353</v>
      </c>
      <c r="U4" s="58" t="s">
        <v>1353</v>
      </c>
      <c r="V4" s="58" t="s">
        <v>1353</v>
      </c>
      <c r="W4" s="58" t="s">
        <v>1353</v>
      </c>
      <c r="X4" s="58" t="s">
        <v>1353</v>
      </c>
      <c r="Y4" s="58" t="s">
        <v>1353</v>
      </c>
      <c r="Z4" s="58" t="s">
        <v>1353</v>
      </c>
      <c r="AA4" s="58" t="s">
        <v>1353</v>
      </c>
      <c r="AB4" s="58" t="s">
        <v>1353</v>
      </c>
      <c r="AC4" s="58" t="s">
        <v>1353</v>
      </c>
      <c r="AD4" s="58" t="s">
        <v>1353</v>
      </c>
      <c r="AE4" s="58" t="s">
        <v>1353</v>
      </c>
      <c r="AF4" s="58" t="s">
        <v>1353</v>
      </c>
      <c r="AG4" s="58" t="s">
        <v>1353</v>
      </c>
      <c r="AH4" s="58" t="s">
        <v>1353</v>
      </c>
      <c r="AI4" s="58" t="s">
        <v>1353</v>
      </c>
      <c r="AJ4" s="58" t="s">
        <v>1353</v>
      </c>
      <c r="AK4" s="58" t="s">
        <v>1353</v>
      </c>
      <c r="AL4" s="58" t="s">
        <v>3265</v>
      </c>
      <c r="AM4" s="58" t="s">
        <v>1353</v>
      </c>
      <c r="AN4" s="58" t="s">
        <v>1353</v>
      </c>
      <c r="AO4" s="58" t="s">
        <v>1353</v>
      </c>
      <c r="AP4" s="58" t="s">
        <v>1353</v>
      </c>
      <c r="AQ4" s="58" t="s">
        <v>1353</v>
      </c>
      <c r="AR4" s="58" t="s">
        <v>1353</v>
      </c>
      <c r="AS4" s="58" t="s">
        <v>1353</v>
      </c>
      <c r="AT4" s="58" t="s">
        <v>1353</v>
      </c>
      <c r="AU4" s="58" t="s">
        <v>1353</v>
      </c>
      <c r="AV4" s="58" t="s">
        <v>1353</v>
      </c>
      <c r="AW4" s="58" t="s">
        <v>1353</v>
      </c>
      <c r="AX4" s="58" t="s">
        <v>1353</v>
      </c>
      <c r="AY4" s="58" t="s">
        <v>1353</v>
      </c>
      <c r="AZ4" s="58" t="s">
        <v>1353</v>
      </c>
      <c r="BA4" s="58" t="s">
        <v>1353</v>
      </c>
      <c r="BB4" s="58" t="s">
        <v>1353</v>
      </c>
      <c r="BC4" s="58" t="s">
        <v>1353</v>
      </c>
      <c r="BD4" s="58" t="s">
        <v>1353</v>
      </c>
      <c r="BE4" s="58" t="s">
        <v>1353</v>
      </c>
      <c r="BF4" s="58" t="s">
        <v>1353</v>
      </c>
      <c r="BG4" s="58" t="s">
        <v>1353</v>
      </c>
      <c r="BH4" s="58" t="s">
        <v>1353</v>
      </c>
      <c r="BI4" s="58" t="s">
        <v>1353</v>
      </c>
      <c r="BJ4" s="58" t="s">
        <v>1353</v>
      </c>
      <c r="BK4" s="58" t="s">
        <v>1353</v>
      </c>
      <c r="BL4" s="58" t="s">
        <v>1353</v>
      </c>
      <c r="BM4" s="58" t="s">
        <v>1353</v>
      </c>
      <c r="BN4" s="58" t="s">
        <v>1353</v>
      </c>
      <c r="BO4" s="58" t="s">
        <v>1353</v>
      </c>
      <c r="BP4" s="58" t="s">
        <v>3265</v>
      </c>
      <c r="BQ4" s="58" t="s">
        <v>1353</v>
      </c>
      <c r="BR4" s="58" t="s">
        <v>1353</v>
      </c>
      <c r="BS4" s="58" t="s">
        <v>1353</v>
      </c>
      <c r="BT4" s="58" t="s">
        <v>1353</v>
      </c>
      <c r="BU4" s="58" t="s">
        <v>1353</v>
      </c>
      <c r="BV4" s="58" t="s">
        <v>1353</v>
      </c>
      <c r="BW4" s="58" t="s">
        <v>1353</v>
      </c>
      <c r="BX4" s="58" t="s">
        <v>1353</v>
      </c>
      <c r="BY4" s="58" t="s">
        <v>1353</v>
      </c>
      <c r="BZ4" s="58" t="s">
        <v>1353</v>
      </c>
      <c r="CA4" s="58" t="s">
        <v>1353</v>
      </c>
      <c r="CB4" s="58" t="s">
        <v>1353</v>
      </c>
      <c r="CC4" s="58" t="s">
        <v>1353</v>
      </c>
      <c r="CD4" s="58" t="s">
        <v>1353</v>
      </c>
      <c r="CE4" s="58" t="s">
        <v>1353</v>
      </c>
      <c r="CF4" s="58" t="s">
        <v>1353</v>
      </c>
      <c r="CG4" s="58" t="s">
        <v>1353</v>
      </c>
      <c r="CH4" s="58" t="s">
        <v>1353</v>
      </c>
      <c r="CI4" s="58" t="s">
        <v>1353</v>
      </c>
      <c r="CJ4" s="58" t="s">
        <v>1353</v>
      </c>
      <c r="CK4" s="58" t="s">
        <v>1353</v>
      </c>
      <c r="CL4" s="58" t="s">
        <v>1353</v>
      </c>
    </row>
  </sheetData>
  <sheetProtection formatColumns="0" formatRows="0"/>
  <phoneticPr fontId="8" type="noConversion"/>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sheetPr codeName="modLoad">
    <tabColor indexed="47"/>
  </sheetPr>
  <dimension ref="A1"/>
  <sheetViews>
    <sheetView workbookViewId="0"/>
  </sheetViews>
  <sheetFormatPr defaultRowHeight="11.25"/>
  <cols>
    <col min="1" max="1" width="9.140625" style="6"/>
    <col min="2" max="16384" width="9.140625" style="2"/>
  </cols>
  <sheetData/>
  <sheetProtection formatColumns="0" formatRows="0"/>
  <phoneticPr fontId="0" type="noConversion"/>
  <pageMargins left="0.75" right="0.75" top="1" bottom="1" header="0.5" footer="0.5"/>
  <pageSetup paperSize="9" orientation="portrait" r:id="rId1"/>
  <headerFooter alignWithMargins="0"/>
</worksheet>
</file>

<file path=xl/worksheets/sheet89.xml><?xml version="1.0" encoding="utf-8"?>
<worksheet xmlns="http://schemas.openxmlformats.org/spreadsheetml/2006/main" xmlns:r="http://schemas.openxmlformats.org/officeDocument/2006/relationships">
  <sheetPr codeName="modLoadResults">
    <tabColor indexed="47"/>
  </sheetPr>
  <dimension ref="A1"/>
  <sheetViews>
    <sheetView workbookViewId="0"/>
  </sheetViews>
  <sheetFormatPr defaultRowHeight="12.75"/>
  <cols>
    <col min="1" max="16384" width="9.140625" style="218"/>
  </cols>
  <sheetData/>
  <sheetProtection formatColumns="0" formatRows="0"/>
  <phoneticPr fontId="0" type="noConversion"/>
  <pageMargins left="0.7" right="0.7" top="0.75" bottom="0.75" header="0.3" footer="0.3"/>
  <headerFooter alignWithMargins="0"/>
</worksheet>
</file>

<file path=xl/worksheets/sheet9.xml><?xml version="1.0" encoding="utf-8"?>
<worksheet xmlns="http://schemas.openxmlformats.org/spreadsheetml/2006/main" xmlns:r="http://schemas.openxmlformats.org/officeDocument/2006/relationships">
  <sheetPr codeName="REESTR_SOURCE">
    <tabColor indexed="47"/>
  </sheetPr>
  <dimension ref="A1"/>
  <sheetViews>
    <sheetView showGridLines="0" workbookViewId="0"/>
  </sheetViews>
  <sheetFormatPr defaultRowHeight="11.25"/>
  <cols>
    <col min="1" max="16384" width="9.140625" style="28"/>
  </cols>
  <sheetData/>
  <sheetProtection formatColumns="0" formatRows="0"/>
  <phoneticPr fontId="0" type="noConversion"/>
  <pageMargins left="0.75" right="0.75" top="1" bottom="1" header="0.5" footer="0.5"/>
  <headerFooter alignWithMargins="0"/>
</worksheet>
</file>

<file path=xl/worksheets/sheet90.xml><?xml version="1.0" encoding="utf-8"?>
<worksheet xmlns="http://schemas.openxmlformats.org/spreadsheetml/2006/main" xmlns:r="http://schemas.openxmlformats.org/officeDocument/2006/relationships">
  <sheetPr codeName="modLoadFiles">
    <tabColor indexed="47"/>
  </sheetPr>
  <dimension ref="A1"/>
  <sheetViews>
    <sheetView workbookViewId="0"/>
  </sheetViews>
  <sheetFormatPr defaultRowHeight="12.75"/>
  <cols>
    <col min="1" max="16384" width="9.140625" style="218"/>
  </cols>
  <sheetData/>
  <sheetProtection formatColumns="0" formatRows="0"/>
  <phoneticPr fontId="0" type="noConversion"/>
  <pageMargins left="0.7" right="0.7" top="0.75" bottom="0.75" header="0.3" footer="0.3"/>
  <headerFooter alignWithMargins="0"/>
</worksheet>
</file>

<file path=xl/worksheets/sheet91.xml><?xml version="1.0" encoding="utf-8"?>
<worksheet xmlns="http://schemas.openxmlformats.org/spreadsheetml/2006/main" xmlns:r="http://schemas.openxmlformats.org/officeDocument/2006/relationships">
  <sheetPr codeName="modSvodButtons">
    <tabColor indexed="47"/>
  </sheetPr>
  <dimension ref="A1"/>
  <sheetViews>
    <sheetView workbookViewId="0"/>
  </sheetViews>
  <sheetFormatPr defaultRowHeight="11.25"/>
  <cols>
    <col min="1" max="1" width="9.140625" style="6"/>
    <col min="2" max="16384" width="9.140625" style="2"/>
  </cols>
  <sheetData/>
  <sheetProtection formatColumns="0" formatRows="0"/>
  <phoneticPr fontId="0" type="noConversion"/>
  <pageMargins left="0.75" right="0.75" top="1" bottom="1" header="0.5" footer="0.5"/>
  <pageSetup paperSize="9" orientation="portrait" r:id="rId1"/>
  <headerFooter alignWithMargins="0"/>
</worksheet>
</file>

<file path=xl/worksheets/sheet92.xml><?xml version="1.0" encoding="utf-8"?>
<worksheet xmlns="http://schemas.openxmlformats.org/spreadsheetml/2006/main" xmlns:r="http://schemas.openxmlformats.org/officeDocument/2006/relationships">
  <sheetPr codeName="modVLDCommonProv">
    <tabColor indexed="47"/>
  </sheetPr>
  <dimension ref="A1"/>
  <sheetViews>
    <sheetView workbookViewId="0"/>
  </sheetViews>
  <sheetFormatPr defaultRowHeight="11.25"/>
  <cols>
    <col min="1" max="1" width="9.140625" style="6"/>
    <col min="2" max="16384" width="9.140625" style="2"/>
  </cols>
  <sheetData/>
  <sheetProtection formatColumns="0" formatRows="0"/>
  <phoneticPr fontId="8" type="noConversion"/>
  <pageMargins left="0.75" right="0.75" top="1" bottom="1" header="0.5" footer="0.5"/>
  <pageSetup paperSize="9" orientation="portrait" r:id="rId1"/>
  <headerFooter alignWithMargins="0"/>
</worksheet>
</file>

<file path=xl/worksheets/sheet93.xml><?xml version="1.0" encoding="utf-8"?>
<worksheet xmlns="http://schemas.openxmlformats.org/spreadsheetml/2006/main" xmlns:r="http://schemas.openxmlformats.org/officeDocument/2006/relationships">
  <sheetPr codeName="modVLDIntegrityProv">
    <tabColor indexed="47"/>
  </sheetPr>
  <dimension ref="A1"/>
  <sheetViews>
    <sheetView showGridLines="0" workbookViewId="0"/>
  </sheetViews>
  <sheetFormatPr defaultRowHeight="11.25"/>
  <sheetData/>
  <sheetProtection formatColumns="0" formatRows="0"/>
  <phoneticPr fontId="0" type="noConversion"/>
  <pageMargins left="0.75" right="0.75" top="1" bottom="1" header="0.5" footer="0.5"/>
  <headerFooter alignWithMargins="0"/>
</worksheet>
</file>

<file path=xl/worksheets/sheet94.xml><?xml version="1.0" encoding="utf-8"?>
<worksheet xmlns="http://schemas.openxmlformats.org/spreadsheetml/2006/main" xmlns:r="http://schemas.openxmlformats.org/officeDocument/2006/relationships">
  <sheetPr codeName="modVLDProv">
    <tabColor indexed="47"/>
  </sheetPr>
  <dimension ref="A1"/>
  <sheetViews>
    <sheetView workbookViewId="0"/>
  </sheetViews>
  <sheetFormatPr defaultRowHeight="11.25"/>
  <cols>
    <col min="1" max="1" width="9.140625" style="6"/>
    <col min="2" max="16384" width="9.140625" style="2"/>
  </cols>
  <sheetData/>
  <sheetProtection formatColumns="0" formatRows="0"/>
  <phoneticPr fontId="8" type="noConversion"/>
  <pageMargins left="0.75" right="0.75" top="1" bottom="1" header="0.5" footer="0.5"/>
  <pageSetup paperSize="9" orientation="portrait" r:id="rId1"/>
  <headerFooter alignWithMargins="0"/>
</worksheet>
</file>

<file path=xl/worksheets/sheet95.xml><?xml version="1.0" encoding="utf-8"?>
<worksheet xmlns="http://schemas.openxmlformats.org/spreadsheetml/2006/main" xmlns:r="http://schemas.openxmlformats.org/officeDocument/2006/relationships">
  <sheetPr codeName="modDataRegion">
    <tabColor indexed="47"/>
  </sheetPr>
  <dimension ref="A1"/>
  <sheetViews>
    <sheetView workbookViewId="0"/>
  </sheetViews>
  <sheetFormatPr defaultRowHeight="11.25"/>
  <sheetData/>
  <sheetProtection formatColumns="0" formatRows="0"/>
  <phoneticPr fontId="8" type="noConversion"/>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sheetPr codeName="modCommonProcedures">
    <tabColor indexed="47"/>
  </sheetPr>
  <dimension ref="A1"/>
  <sheetViews>
    <sheetView workbookViewId="0"/>
  </sheetViews>
  <sheetFormatPr defaultRowHeight="11.25" customHeight="1"/>
  <cols>
    <col min="1" max="16384" width="9.140625" style="62"/>
  </cols>
  <sheetData/>
  <sheetProtection formatColumns="0" formatRows="0"/>
  <phoneticPr fontId="8" type="noConversion"/>
  <pageMargins left="0.75" right="0.75" top="1" bottom="1" header="0.5" footer="0.5"/>
  <pageSetup paperSize="9" orientation="portrait" horizontalDpi="200" verticalDpi="200" r:id="rId1"/>
  <headerFooter alignWithMargins="0"/>
</worksheet>
</file>

<file path=xl/worksheets/sheet97.xml><?xml version="1.0" encoding="utf-8"?>
<worksheet xmlns="http://schemas.openxmlformats.org/spreadsheetml/2006/main" xmlns:r="http://schemas.openxmlformats.org/officeDocument/2006/relationships">
  <sheetPr codeName="modBalPr">
    <tabColor indexed="47"/>
  </sheetPr>
  <dimension ref="A1"/>
  <sheetViews>
    <sheetView workbookViewId="0"/>
  </sheetViews>
  <sheetFormatPr defaultRowHeight="11.25" customHeight="1"/>
  <cols>
    <col min="1" max="16384" width="9.140625" style="62"/>
  </cols>
  <sheetData/>
  <sheetProtection formatColumns="0" formatRows="0"/>
  <phoneticPr fontId="8" type="noConversion"/>
  <pageMargins left="0.75" right="0.75" top="1" bottom="1" header="0.5" footer="0.5"/>
  <pageSetup paperSize="9" orientation="portrait" horizontalDpi="200" verticalDpi="200" r:id="rId1"/>
  <headerFooter alignWithMargins="0"/>
</worksheet>
</file>

<file path=xl/worksheets/sheet98.xml><?xml version="1.0" encoding="utf-8"?>
<worksheet xmlns="http://schemas.openxmlformats.org/spreadsheetml/2006/main" xmlns:r="http://schemas.openxmlformats.org/officeDocument/2006/relationships">
  <sheetPr codeName="modBalTr">
    <tabColor indexed="47"/>
  </sheetPr>
  <dimension ref="A1"/>
  <sheetViews>
    <sheetView workbookViewId="0"/>
  </sheetViews>
  <sheetFormatPr defaultRowHeight="11.25" customHeight="1"/>
  <cols>
    <col min="1" max="16384" width="9.140625" style="62"/>
  </cols>
  <sheetData/>
  <sheetProtection formatColumns="0" formatRows="0"/>
  <phoneticPr fontId="8" type="noConversion"/>
  <pageMargins left="0.75" right="0.75" top="1" bottom="1" header="0.5" footer="0.5"/>
  <pageSetup paperSize="9" orientation="portrait" horizontalDpi="200" verticalDpi="200" r:id="rId1"/>
  <headerFooter alignWithMargins="0"/>
</worksheet>
</file>

<file path=xl/worksheets/sheet99.xml><?xml version="1.0" encoding="utf-8"?>
<worksheet xmlns="http://schemas.openxmlformats.org/spreadsheetml/2006/main" xmlns:r="http://schemas.openxmlformats.org/officeDocument/2006/relationships">
  <sheetPr codeName="modCalc">
    <tabColor indexed="47"/>
  </sheetPr>
  <dimension ref="A1"/>
  <sheetViews>
    <sheetView workbookViewId="0"/>
  </sheetViews>
  <sheetFormatPr defaultRowHeight="11.25" customHeight="1"/>
  <cols>
    <col min="1" max="16384" width="9.140625" style="62"/>
  </cols>
  <sheetData/>
  <sheetProtection formatColumns="0" formatRows="0"/>
  <phoneticPr fontId="8" type="noConversion"/>
  <pageMargins left="0.75" right="0.75" top="1" bottom="1" header="0.5" footer="0.5"/>
  <pageSetup paperSize="9" orientation="portrait" horizontalDpi="200" verticalDpi="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24</vt:i4>
      </vt:variant>
      <vt:variant>
        <vt:lpstr>Именованные диапазоны</vt:lpstr>
      </vt:variant>
      <vt:variant>
        <vt:i4>717</vt:i4>
      </vt:variant>
    </vt:vector>
  </HeadingPairs>
  <TitlesOfParts>
    <vt:vector size="741" baseType="lpstr">
      <vt:lpstr>Инструкция</vt:lpstr>
      <vt:lpstr>Обновление</vt:lpstr>
      <vt:lpstr>Список организаций</vt:lpstr>
      <vt:lpstr>БПр</vt:lpstr>
      <vt:lpstr>БТр</vt:lpstr>
      <vt:lpstr>РО год</vt:lpstr>
      <vt:lpstr>РО 01.01 - 30.06</vt:lpstr>
      <vt:lpstr>РО 01.07 - 31.08</vt:lpstr>
      <vt:lpstr>РО 01.09 - 31.12</vt:lpstr>
      <vt:lpstr>РР год</vt:lpstr>
      <vt:lpstr>РР 01.01 - 30.06</vt:lpstr>
      <vt:lpstr>РР 01.07 - 31.08</vt:lpstr>
      <vt:lpstr>РР 01.09 - 31.12</vt:lpstr>
      <vt:lpstr>ТМ1 01.01 - 30.06</vt:lpstr>
      <vt:lpstr>ТМ1 01.07 - 31.08</vt:lpstr>
      <vt:lpstr>ТМ1 01.09 - 31.12</vt:lpstr>
      <vt:lpstr>ТМ2 01.01 - 30.06</vt:lpstr>
      <vt:lpstr>ТМ2 01.07 - 31.08</vt:lpstr>
      <vt:lpstr>ТМ2 01.09 - 31.12</vt:lpstr>
      <vt:lpstr>Свод</vt:lpstr>
      <vt:lpstr>Результаты загрузки</vt:lpstr>
      <vt:lpstr>Комментарии</vt:lpstr>
      <vt:lpstr>Проверка</vt:lpstr>
      <vt:lpstr>Лист1</vt:lpstr>
      <vt:lpstr>ACCURACY_RANGE</vt:lpstr>
      <vt:lpstr>ADD_HL_LIST_ORG_MARKER</vt:lpstr>
      <vt:lpstr>ADD_LIST_ORG_RANGE</vt:lpstr>
      <vt:lpstr>ADDITIONAL_ORG_DATA_COLUMN_MARKER</vt:lpstr>
      <vt:lpstr>ALL_FILES</vt:lpstr>
      <vt:lpstr>AUTO_FIELD</vt:lpstr>
      <vt:lpstr>B_COMPONENT</vt:lpstr>
      <vt:lpstr>CALC_IDENTIFIER</vt:lpstr>
      <vt:lpstr>CAPACITY</vt:lpstr>
      <vt:lpstr>CHANGE_HL_LIST_ORG_COLUMN_MARKER</vt:lpstr>
      <vt:lpstr>code</vt:lpstr>
      <vt:lpstr>CONTACTS</vt:lpstr>
      <vt:lpstr>DELETE_HL_LIST_ORG_COLUMN_MARKER</vt:lpstr>
      <vt:lpstr>DIFF</vt:lpstr>
      <vt:lpstr>DISABLED_FIELD</vt:lpstr>
      <vt:lpstr>DOCUMENT_SOURCE</vt:lpstr>
      <vt:lpstr>FOLDER_NAME</vt:lpstr>
      <vt:lpstr>G_COMPONENT</vt:lpstr>
      <vt:lpstr>god</vt:lpstr>
      <vt:lpstr>HEADER_FIELD</vt:lpstr>
      <vt:lpstr>HEAT_BAL_PR_4_1_MO_MARKER_1</vt:lpstr>
      <vt:lpstr>HEAT_BAL_PR_4_3_MO_MARKER_1</vt:lpstr>
      <vt:lpstr>HEAT_BAL_PR_ADD_HL_MARKER_1</vt:lpstr>
      <vt:lpstr>HEAT_BAL_PR_ADD_RANGE_1</vt:lpstr>
      <vt:lpstr>HEAT_BAL_PR_CALC_AREA_1</vt:lpstr>
      <vt:lpstr>HEAT_BAL_PR_CALC_USER_AREA_1</vt:lpstr>
      <vt:lpstr>HEAT_BAL_PR_DELETE_HL_COLUMN_MARKER_1</vt:lpstr>
      <vt:lpstr>HEAT_BAL_PR_EMPTY_ADD_RANGE_1</vt:lpstr>
      <vt:lpstr>HEAT_BAL_PR_EMPTY_RANGE_1</vt:lpstr>
      <vt:lpstr>HEAT_BAL_PR_END_COLUMN_MARKER_1</vt:lpstr>
      <vt:lpstr>HEAT_BAL_PR_IC_ADD_HL_MARKER_1</vt:lpstr>
      <vt:lpstr>HEAT_BAL_PR_IC_ADD_RANGE_1</vt:lpstr>
      <vt:lpstr>HEAT_BAL_PR_IC_DELETE_HL_ROW_MARKER_1</vt:lpstr>
      <vt:lpstr>HEAT_BAL_PR_IC_NUM_ROW_MARKER_1</vt:lpstr>
      <vt:lpstr>HEAT_BAL_PR_ISSUE_FOR_TRANSPORT_1</vt:lpstr>
      <vt:lpstr>HEAT_BAL_PR_NUM_COLUMN_MARKER_1</vt:lpstr>
      <vt:lpstr>HEAT_BAL_PR_RESELL_MATRIX_1_1</vt:lpstr>
      <vt:lpstr>HEAT_BAL_PR_RESELL_MATRIX_1_MARKER_1</vt:lpstr>
      <vt:lpstr>HEAT_BAL_PR_RESELL_MATRIX_2_1</vt:lpstr>
      <vt:lpstr>HEAT_BAL_PR_RESELL_MATRIX_2_MARKER_1</vt:lpstr>
      <vt:lpstr>HEAT_BAL_PR_UIOR_ADD_HL_MARKER_1</vt:lpstr>
      <vt:lpstr>HEAT_BAL_PR_UIOR_ADD_RANGE_1</vt:lpstr>
      <vt:lpstr>HEAT_BAL_PR_UIOR_DELETE_HL_ROW_MARKER_1</vt:lpstr>
      <vt:lpstr>HEAT_BAL_PR_UIOR_NUM_ROW_MARKER_1</vt:lpstr>
      <vt:lpstr>HEAT_BAL_TR_ADD_HL_MARKER_1</vt:lpstr>
      <vt:lpstr>HEAT_BAL_TR_ADD_RANGE_1</vt:lpstr>
      <vt:lpstr>HEAT_BAL_TR_CALC_AREA_1</vt:lpstr>
      <vt:lpstr>HEAT_BAL_TR_CALC_USER_AREA_1</vt:lpstr>
      <vt:lpstr>HEAT_BAL_TR_DELETE_HL_COLUMN_MARKER_1</vt:lpstr>
      <vt:lpstr>HEAT_BAL_TR_EMPTY_ADD_RANGE_1</vt:lpstr>
      <vt:lpstr>HEAT_BAL_TR_EMPTY_RANGE_1</vt:lpstr>
      <vt:lpstr>HEAT_BAL_TR_END_COLUMN_MARKER_1</vt:lpstr>
      <vt:lpstr>HEAT_BAL_TR_ISSUE_FOR_TRANSPORT_1</vt:lpstr>
      <vt:lpstr>HEAT_BAL_TR_NUM_COLUMN_MARKER_1</vt:lpstr>
      <vt:lpstr>HEAT_BAL_TR_TR_FROM_ADD_HL_MARKER_1</vt:lpstr>
      <vt:lpstr>HEAT_BAL_TR_TR_FROM_ADD_RANGE_1</vt:lpstr>
      <vt:lpstr>HEAT_BAL_TR_TR_FROM_DELETE_HL_ROW_MARKER_1</vt:lpstr>
      <vt:lpstr>HEAT_BAL_TR_TR_FROM_NUM_ROW_MARKER_1</vt:lpstr>
      <vt:lpstr>HEAT_BAL_TR_TR_TO_ADD_HL_MARKER_1</vt:lpstr>
      <vt:lpstr>HEAT_BAL_TR_TR_TO_ADD_RANGE_1</vt:lpstr>
      <vt:lpstr>HEAT_BAL_TR_TR_TO_DELETE_HL_ROW_MARKER_1</vt:lpstr>
      <vt:lpstr>HEAT_BAL_TR_TR_TO_NUM_ROW_MARKER_1</vt:lpstr>
      <vt:lpstr>HEAT_BAL_TR_TRANSPORT_MATRIX_1_1</vt:lpstr>
      <vt:lpstr>HEAT_BAL_TR_TRANSPORT_MATRIX_1_MARKER_1</vt:lpstr>
      <vt:lpstr>HEAT_BAL_TR_TRANSPORT_MATRIX_2_1</vt:lpstr>
      <vt:lpstr>HEAT_BAL_TR_TRANSPORT_MATRIX_2_MARKER_1</vt:lpstr>
      <vt:lpstr>HEAT_BUYING_ENERGY_P</vt:lpstr>
      <vt:lpstr>HEAT_BUYING_ENERGY_U</vt:lpstr>
      <vt:lpstr>HEAT_CALC_ADD_HL_MARKER_PERIOD1</vt:lpstr>
      <vt:lpstr>HEAT_CALC_ADD_HL_MARKER_PERIOD2</vt:lpstr>
      <vt:lpstr>HEAT_CALC_ADD_HL_MARKER_PERIOD3</vt:lpstr>
      <vt:lpstr>HEAT_CALC_ADD_RANGE</vt:lpstr>
      <vt:lpstr>HEAT_CALC_COMBI_ADD_RANGE</vt:lpstr>
      <vt:lpstr>HEAT_CALC_COMBI_EMPTY_RANGE_PERIOD1</vt:lpstr>
      <vt:lpstr>HEAT_CALC_COMBI_EMPTY_RANGE_PERIOD2</vt:lpstr>
      <vt:lpstr>HEAT_CALC_COMBI_EMPTY_RANGE_PERIOD3</vt:lpstr>
      <vt:lpstr>HEAT_CALC_COMBI_RANGE_PERIOD1</vt:lpstr>
      <vt:lpstr>HEAT_CALC_COMBI_RANGE_PERIOD2</vt:lpstr>
      <vt:lpstr>HEAT_CALC_COMBI_RANGE_PERIOD3</vt:lpstr>
      <vt:lpstr>HEAT_CALC_DELETE_HL_ROW_MARKER_PERIOD1</vt:lpstr>
      <vt:lpstr>HEAT_CALC_DELETE_HL_ROW_MARKER_PERIOD2</vt:lpstr>
      <vt:lpstr>HEAT_CALC_DELETE_HL_ROW_MARKER_PERIOD3</vt:lpstr>
      <vt:lpstr>HEAT_CALC_FUEL_EMPTY_RANGE_PERIOD1</vt:lpstr>
      <vt:lpstr>HEAT_CALC_FUEL_EMPTY_RANGE_PERIOD2</vt:lpstr>
      <vt:lpstr>HEAT_CALC_FUEL_EMPTY_RANGE_PERIOD3</vt:lpstr>
      <vt:lpstr>HEAT_CALC_FUEL_RANGE_PERIOD1</vt:lpstr>
      <vt:lpstr>HEAT_CALC_FUEL_RANGE_PERIOD2</vt:lpstr>
      <vt:lpstr>HEAT_CALC_FUEL_RANGE_PERIOD3</vt:lpstr>
      <vt:lpstr>HEAT_CALC_FUEL_RANGE_VDET_COMBI_PERIOD1</vt:lpstr>
      <vt:lpstr>HEAT_CALC_FUEL_RANGE_VDET_COMBI_PERIOD2</vt:lpstr>
      <vt:lpstr>HEAT_CALC_FUEL_RANGE_VDET_COMBI_PERIOD3</vt:lpstr>
      <vt:lpstr>HEAT_CALC_FUEL_RANGE_VDET_PER_PERIOD1</vt:lpstr>
      <vt:lpstr>HEAT_CALC_FUEL_RANGE_VDET_PER_PERIOD2</vt:lpstr>
      <vt:lpstr>HEAT_CALC_FUEL_RANGE_VDET_PER_PERIOD3</vt:lpstr>
      <vt:lpstr>HEAT_CALC_FUEL_RANGE_VDET_PER_PLUS_SBIT_PERIOD1</vt:lpstr>
      <vt:lpstr>HEAT_CALC_FUEL_RANGE_VDET_PER_PLUS_SBIT_PERIOD2</vt:lpstr>
      <vt:lpstr>HEAT_CALC_FUEL_RANGE_VDET_PER_PLUS_SBIT_PERIOD3</vt:lpstr>
      <vt:lpstr>HEAT_CALC_NUM_ROW_MARKER_PERIOD1</vt:lpstr>
      <vt:lpstr>HEAT_CALC_NUM_ROW_MARKER_PERIOD2</vt:lpstr>
      <vt:lpstr>HEAT_CALC_NUM_ROW_MARKER_PERIOD3</vt:lpstr>
      <vt:lpstr>HEAT_CALC_RANGE</vt:lpstr>
      <vt:lpstr>HEAT_CALC_RANGE_VDET_COMBI</vt:lpstr>
      <vt:lpstr>HEAT_CALC_RANGE_VDET_PER</vt:lpstr>
      <vt:lpstr>HEAT_CALC_RANGE_VDET_PER_PLUS_SBIT</vt:lpstr>
      <vt:lpstr>HEAT_CALC_YEAR_ADD_HL_MARKER</vt:lpstr>
      <vt:lpstr>HEAT_CALC_YEAR_ADD_RANGE</vt:lpstr>
      <vt:lpstr>HEAT_CALC_YEAR_CALC_RANGE</vt:lpstr>
      <vt:lpstr>HEAT_CALC_YEAR_DELETE_HL_ROW_MARKER</vt:lpstr>
      <vt:lpstr>HEAT_CALC_YEAR_FUEL_EMPTY_RANGE</vt:lpstr>
      <vt:lpstr>HEAT_CALC_YEAR_FUEL_RANGE</vt:lpstr>
      <vt:lpstr>HEAT_CALC_YEAR_FUEL_RANGE_VDET_COMBI</vt:lpstr>
      <vt:lpstr>HEAT_CALC_YEAR_FUEL_RANGE_VDET_PER</vt:lpstr>
      <vt:lpstr>HEAT_CALC_YEAR_FUEL_RANGE_VDET_PER_PLUS_SBIT</vt:lpstr>
      <vt:lpstr>HEAT_CALC_YEAR_NUM_ROW_MARKER</vt:lpstr>
      <vt:lpstr>HEAT_CALC_YEAR_RANGE</vt:lpstr>
      <vt:lpstr>HEAT_CALC_YEAR_RANGE_VDET_COMBI</vt:lpstr>
      <vt:lpstr>HEAT_CALC_YEAR_RANGE_VDET_PER</vt:lpstr>
      <vt:lpstr>HEAT_CALC_YEAR_RANGE_VDET_PER_PLUS_SBIT</vt:lpstr>
      <vt:lpstr>HEAT_CALC_YEAR_RANGE_VDET_PER_RAB</vt:lpstr>
      <vt:lpstr>HEAT_CALC_YEAR_TECH_RANGE</vt:lpstr>
      <vt:lpstr>HEAT_ConR_ADD_HL_MARKER_PERIOD1</vt:lpstr>
      <vt:lpstr>HEAT_ConR_ADD_HL_MARKER_PERIOD2</vt:lpstr>
      <vt:lpstr>HEAT_ConR_ADD_HL_MARKER_PERIOD3</vt:lpstr>
      <vt:lpstr>HEAT_ConR_ADD_RANGE</vt:lpstr>
      <vt:lpstr>HEAT_ConR_DELETE_HL_ROW_MARKER_PERIOD1</vt:lpstr>
      <vt:lpstr>HEAT_ConR_DELETE_HL_ROW_MARKER_PERIOD2</vt:lpstr>
      <vt:lpstr>HEAT_ConR_DELETE_HL_ROW_MARKER_PERIOD3</vt:lpstr>
      <vt:lpstr>HEAT_ConR_EMPTY_RANGE</vt:lpstr>
      <vt:lpstr>HEAT_ConR_FUEL_EMPTY_RANGE</vt:lpstr>
      <vt:lpstr>HEAT_ConR_FUEL_RANGE</vt:lpstr>
      <vt:lpstr>HEAT_ConR_FUEL_RANGE_VDET_COMBI</vt:lpstr>
      <vt:lpstr>HEAT_ConR_FUEL_RANGE_VDET_PER</vt:lpstr>
      <vt:lpstr>HEAT_ConR_FUEL_RANGE_VDET_PER_PLUS_SBIT</vt:lpstr>
      <vt:lpstr>HEAT_ConR_NUM_ROW_MARKER_PERIOD1</vt:lpstr>
      <vt:lpstr>HEAT_ConR_NUM_ROW_MARKER_PERIOD2</vt:lpstr>
      <vt:lpstr>HEAT_ConR_NUM_ROW_MARKER_PERIOD3</vt:lpstr>
      <vt:lpstr>HEAT_ConR_RANGE</vt:lpstr>
      <vt:lpstr>HEAT_ConR_RANGE_VDET_COMBI</vt:lpstr>
      <vt:lpstr>HEAT_ConR_RANGE_VDET_PER</vt:lpstr>
      <vt:lpstr>HEAT_ConR_RANGE_VDET_PER_PLUS_SBIT</vt:lpstr>
      <vt:lpstr>HEAT_ConR_YEAR_ADD_HL_MARKER</vt:lpstr>
      <vt:lpstr>HEAT_ConR_YEAR_ADD_RANGE</vt:lpstr>
      <vt:lpstr>HEAT_ConR_YEAR_CALC_RANGE</vt:lpstr>
      <vt:lpstr>HEAT_ConR_YEAR_DELETE_HL_ROW_MARKER</vt:lpstr>
      <vt:lpstr>HEAT_ConR_YEAR_FUEL_EMPTY_RANGE</vt:lpstr>
      <vt:lpstr>HEAT_ConR_YEAR_FUEL_RANGE</vt:lpstr>
      <vt:lpstr>HEAT_ConR_YEAR_FUEL_RANGE_VDET_COMBI</vt:lpstr>
      <vt:lpstr>HEAT_ConR_YEAR_FUEL_RANGE_VDET_PER</vt:lpstr>
      <vt:lpstr>HEAT_ConR_YEAR_FUEL_RANGE_VDET_PER_PLUS_SBIT</vt:lpstr>
      <vt:lpstr>HEAT_ConR_YEAR_NUM_ROW_MARKER</vt:lpstr>
      <vt:lpstr>HEAT_ConR_YEAR_RANGE</vt:lpstr>
      <vt:lpstr>HEAT_ConR_YEAR_RANGE_VDET_COMBI</vt:lpstr>
      <vt:lpstr>HEAT_ConR_YEAR_RANGE_VDET_PER</vt:lpstr>
      <vt:lpstr>HEAT_ConR_YEAR_RANGE_VDET_PER_PLUS_SBIT</vt:lpstr>
      <vt:lpstr>HEAT_ConR_YEAR_RANGE_VDET_PER_RAB</vt:lpstr>
      <vt:lpstr>HEAT_ConR_YEAR_TECH_RANGE</vt:lpstr>
      <vt:lpstr>HEAT_DF_ADD_HL_MARKER</vt:lpstr>
      <vt:lpstr>HEAT_DF_ADD_RANGE</vt:lpstr>
      <vt:lpstr>HEAT_DF_CALC_RANGE</vt:lpstr>
      <vt:lpstr>HEAT_DF_DELETE_HL_ROW_MARKER</vt:lpstr>
      <vt:lpstr>HEAT_DF_FUEL_EMPTY_RANGE</vt:lpstr>
      <vt:lpstr>HEAT_DF_FUEL_RANGE</vt:lpstr>
      <vt:lpstr>HEAT_DF_FUEL_RANGE_VDET_COMBI</vt:lpstr>
      <vt:lpstr>HEAT_DF_FUEL_RANGE_VDET_PER</vt:lpstr>
      <vt:lpstr>HEAT_DF_FUEL_RANGE_VDET_PER_PLUS_SBIT</vt:lpstr>
      <vt:lpstr>HEAT_DF_NUM_ROW_MARKER</vt:lpstr>
      <vt:lpstr>HEAT_DF_RANGE</vt:lpstr>
      <vt:lpstr>HEAT_DF_RANGE_VDET_COMBI</vt:lpstr>
      <vt:lpstr>HEAT_DF_RANGE_VDET_PER</vt:lpstr>
      <vt:lpstr>HEAT_DF_RANGE_VDET_PER_PLUS_SBIT</vt:lpstr>
      <vt:lpstr>HEAT_DF_RANGE_VDET_PER_RAB</vt:lpstr>
      <vt:lpstr>HEAT_FUEL_ADD_HL_MARKER_PERIOD1</vt:lpstr>
      <vt:lpstr>HEAT_FUEL_ADD_HL_MARKER_PERIOD2</vt:lpstr>
      <vt:lpstr>HEAT_FUEL_ADD_HL_MARKER_PERIOD3</vt:lpstr>
      <vt:lpstr>HEAT_FUEL_ADD_RANGE</vt:lpstr>
      <vt:lpstr>HEAT_FUEL_DELETE_HL_ROW_MARKER_PERIOD1</vt:lpstr>
      <vt:lpstr>HEAT_FUEL_DELETE_HL_ROW_MARKER_PERIOD2</vt:lpstr>
      <vt:lpstr>HEAT_FUEL_DELETE_HL_ROW_MARKER_PERIOD3</vt:lpstr>
      <vt:lpstr>HEAT_FUEL_EMPTY_RANGE_PERIOD1</vt:lpstr>
      <vt:lpstr>HEAT_FUEL_EMPTY_RANGE_PERIOD2</vt:lpstr>
      <vt:lpstr>HEAT_FUEL_EMPTY_RANGE_PERIOD3</vt:lpstr>
      <vt:lpstr>HEAT_FUEL_NUM_ROW_MARKER_PERIOD1</vt:lpstr>
      <vt:lpstr>HEAT_FUEL_NUM_ROW_MARKER_PERIOD2</vt:lpstr>
      <vt:lpstr>HEAT_FUEL_NUM_ROW_MARKER_PERIOD3</vt:lpstr>
      <vt:lpstr>HEAT_FUEL_P_RANGE_PERIOD1</vt:lpstr>
      <vt:lpstr>HEAT_FUEL_P_RANGE_PERIOD2</vt:lpstr>
      <vt:lpstr>HEAT_FUEL_P_RANGE_PERIOD3</vt:lpstr>
      <vt:lpstr>HEAT_FUEL_U_RANGE_PERIOD1</vt:lpstr>
      <vt:lpstr>HEAT_FUEL_U_RANGE_PERIOD2</vt:lpstr>
      <vt:lpstr>HEAT_FUEL_U_RANGE_PERIOD3</vt:lpstr>
      <vt:lpstr>HEAT_P_BAL_PR_RANGE_1</vt:lpstr>
      <vt:lpstr>HEAT_P_BAL_TR_RANGE_1</vt:lpstr>
      <vt:lpstr>HEAT_P_TM1_DOCUMENTS_RANGE</vt:lpstr>
      <vt:lpstr>HEAT_P_TM1_DOCUMENTS_RANGE_EDIT</vt:lpstr>
      <vt:lpstr>HEAT_P_TM1_DOCUMENTS_RANGE_EMPTY</vt:lpstr>
      <vt:lpstr>HEAT_P_TM1_DOCUMENTS_RANGE_NEW</vt:lpstr>
      <vt:lpstr>HEAT_P_TM1_DOCUMENTS_RANGE_RESET</vt:lpstr>
      <vt:lpstr>HEAT_P_TM2_DOCUMENTS_RANGE</vt:lpstr>
      <vt:lpstr>HEAT_P_TM2_DOCUMENTS_RANGE_EDIT</vt:lpstr>
      <vt:lpstr>HEAT_P_TM2_DOCUMENTS_RANGE_EMPTY</vt:lpstr>
      <vt:lpstr>HEAT_P_TM2_DOCUMENTS_RANGE_NEW</vt:lpstr>
      <vt:lpstr>HEAT_P_TM2_DOCUMENTS_RANGE_RESET</vt:lpstr>
      <vt:lpstr>HEAT_TARIFF</vt:lpstr>
      <vt:lpstr>HEAT_TM1_ADD_HL_MARKER_1</vt:lpstr>
      <vt:lpstr>HEAT_TM1_ADD_HL_MARKER_2</vt:lpstr>
      <vt:lpstr>HEAT_TM1_ADD_HL_MARKER_3</vt:lpstr>
      <vt:lpstr>HEAT_TM1_ADD_RANGE</vt:lpstr>
      <vt:lpstr>HEAT_TM1_ALL_DETAILS_HL_MARKER_1</vt:lpstr>
      <vt:lpstr>HEAT_TM1_ALL_DETAILS_HL_MARKER_2</vt:lpstr>
      <vt:lpstr>HEAT_TM1_ALL_DETAILS_HL_MARKER_3</vt:lpstr>
      <vt:lpstr>HEAT_TM1_CALC_AREA_1</vt:lpstr>
      <vt:lpstr>HEAT_TM1_CALC_AREA_2</vt:lpstr>
      <vt:lpstr>HEAT_TM1_CALC_AREA_3</vt:lpstr>
      <vt:lpstr>HEAT_TM1_DELETE_HL_COLUMN_MARKER_1</vt:lpstr>
      <vt:lpstr>HEAT_TM1_DELETE_HL_COLUMN_MARKER_2</vt:lpstr>
      <vt:lpstr>HEAT_TM1_DELETE_HL_COLUMN_MARKER_3</vt:lpstr>
      <vt:lpstr>HEAT_TM1_DOCUMENTS_INFO</vt:lpstr>
      <vt:lpstr>HEAT_TM1_EMPTY_RANGE</vt:lpstr>
      <vt:lpstr>HEAT_TM1_NUM_COLUMN_MARKER_1</vt:lpstr>
      <vt:lpstr>HEAT_TM1_NUM_COLUMN_MARKER_2</vt:lpstr>
      <vt:lpstr>HEAT_TM1_NUM_COLUMN_MARKER_3</vt:lpstr>
      <vt:lpstr>HEAT_TM1_RANGE</vt:lpstr>
      <vt:lpstr>HEAT_TM2_1_TARIFF_COMBI_RANGE</vt:lpstr>
      <vt:lpstr>HEAT_TM2_1_TARIFF_RANGE</vt:lpstr>
      <vt:lpstr>HEAT_TM2_2_TARIFF_COMBI_RANGE</vt:lpstr>
      <vt:lpstr>HEAT_TM2_2_TARIFF_RANGE</vt:lpstr>
      <vt:lpstr>HEAT_TM2_ADD_HL_MARKER_1</vt:lpstr>
      <vt:lpstr>HEAT_TM2_ADD_HL_MARKER_2</vt:lpstr>
      <vt:lpstr>HEAT_TM2_ADD_HL_MARKER_3</vt:lpstr>
      <vt:lpstr>HEAT_TM2_ADD_RANGE</vt:lpstr>
      <vt:lpstr>HEAT_TM2_ALL_DETAILS_HL_MARKER_1</vt:lpstr>
      <vt:lpstr>HEAT_TM2_ALL_DETAILS_HL_MARKER_2</vt:lpstr>
      <vt:lpstr>HEAT_TM2_ALL_DETAILS_HL_MARKER_3</vt:lpstr>
      <vt:lpstr>HEAT_TM2_CALC_AREA_1</vt:lpstr>
      <vt:lpstr>HEAT_TM2_CALC_AREA_2</vt:lpstr>
      <vt:lpstr>HEAT_TM2_CALC_AREA_3</vt:lpstr>
      <vt:lpstr>HEAT_TM2_DELETE_HL_COLUMN_MARKER_1</vt:lpstr>
      <vt:lpstr>HEAT_TM2_DELETE_HL_COLUMN_MARKER_2</vt:lpstr>
      <vt:lpstr>HEAT_TM2_DELETE_HL_COLUMN_MARKER_3</vt:lpstr>
      <vt:lpstr>HEAT_TM2_DOCUMENTS_INFO</vt:lpstr>
      <vt:lpstr>HEAT_TM2_EMPTY_RANGE</vt:lpstr>
      <vt:lpstr>HEAT_TM2_NUM_COLUMN_MARKER_1</vt:lpstr>
      <vt:lpstr>HEAT_TM2_NUM_COLUMN_MARKER_2</vt:lpstr>
      <vt:lpstr>HEAT_TM2_NUM_COLUMN_MARKER_3</vt:lpstr>
      <vt:lpstr>HEAT_TRANSMISSION_TARIFF</vt:lpstr>
      <vt:lpstr>HEAT_TRANSMISSION_TARIFF_UNIT</vt:lpstr>
      <vt:lpstr>HEAT_U_BAL_PR_RANGE_1</vt:lpstr>
      <vt:lpstr>HEAT_U_BAL_TR_RANGE_1</vt:lpstr>
      <vt:lpstr>HEAT_U_TM1_DOCUMENTS_RANGE</vt:lpstr>
      <vt:lpstr>HEAT_U_TM2_DOCUMENTS_RANGE</vt:lpstr>
      <vt:lpstr>HEAT_VD</vt:lpstr>
      <vt:lpstr>HEATING_FEATURES</vt:lpstr>
      <vt:lpstr>InstrBlock_1</vt:lpstr>
      <vt:lpstr>InstrBlock_2</vt:lpstr>
      <vt:lpstr>InstrBlock_3</vt:lpstr>
      <vt:lpstr>InstrBlock_4</vt:lpstr>
      <vt:lpstr>InstrBlock_5</vt:lpstr>
      <vt:lpstr>InstrBlock_6</vt:lpstr>
      <vt:lpstr>InstrBlock_7</vt:lpstr>
      <vt:lpstr>InstrTitle_1</vt:lpstr>
      <vt:lpstr>InstrTitle_2</vt:lpstr>
      <vt:lpstr>InstrTitle_3</vt:lpstr>
      <vt:lpstr>InstrTitle_4</vt:lpstr>
      <vt:lpstr>InstrTitle_5</vt:lpstr>
      <vt:lpstr>InstrTitle_6</vt:lpstr>
      <vt:lpstr>InstrTitle_7</vt:lpstr>
      <vt:lpstr>LastUpdateDate_MO</vt:lpstr>
      <vt:lpstr>LastUpdateDate_ORG</vt:lpstr>
      <vt:lpstr>LastUpdateDate_PLAN_PREV</vt:lpstr>
      <vt:lpstr>LIST_MR_MO_OKTMO</vt:lpstr>
      <vt:lpstr>LIST_ORG_CALC_AREA</vt:lpstr>
      <vt:lpstr>LIST_ORG_VO</vt:lpstr>
      <vt:lpstr>LOGIN</vt:lpstr>
      <vt:lpstr>mo</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MO_LIST_3</vt:lpstr>
      <vt:lpstr>MO_LIST_4</vt:lpstr>
      <vt:lpstr>MO_LIST_5</vt:lpstr>
      <vt:lpstr>MO_LIST_6</vt:lpstr>
      <vt:lpstr>MO_LIST_7</vt:lpstr>
      <vt:lpstr>MO_LIST_8</vt:lpstr>
      <vt:lpstr>MO_LIST_9</vt:lpstr>
      <vt:lpstr>MONTH_LIST</vt:lpstr>
      <vt:lpstr>mr</vt:lpstr>
      <vt:lpstr>MR_LIST</vt:lpstr>
      <vt:lpstr>NUM_LIST_ORG_COLUMN_MARKER</vt:lpstr>
      <vt:lpstr>oktmo</vt:lpstr>
      <vt:lpstr>PALLETE</vt:lpstr>
      <vt:lpstr>PASSWORD</vt:lpstr>
      <vt:lpstr>PATTERN_FIELD</vt:lpstr>
      <vt:lpstr>PLAN1X_AUTHORISATION_RANGE</vt:lpstr>
      <vt:lpstr>PLAN1X_BPR_RANGE</vt:lpstr>
      <vt:lpstr>PLAN1X_LIST_ORG_RANGE</vt:lpstr>
      <vt:lpstr>PLAN1X_TM2_RANGE</vt:lpstr>
      <vt:lpstr>R_COMPONENT</vt:lpstr>
      <vt:lpstr>REGION</vt:lpstr>
      <vt:lpstr>region_name</vt:lpstr>
      <vt:lpstr>REGIONAL_CHECKOUT_AVAILABLE</vt:lpstr>
      <vt:lpstr>RESOURCE_IDENTIFIER</vt:lpstr>
      <vt:lpstr>SINGLE_FILE_NAME</vt:lpstr>
      <vt:lpstr>TARIFF_SETUP_METHOD</vt:lpstr>
      <vt:lpstr>TARIFF_SETUP_METHOD_CODE</vt:lpstr>
      <vt:lpstr>TBO_VD</vt:lpstr>
      <vt:lpstr>TEMPLATE_CLAIM</vt:lpstr>
      <vt:lpstr>TEMPLATE_PERIOD_COUNT</vt:lpstr>
      <vt:lpstr>TEMPLATE_SPHERE</vt:lpstr>
      <vt:lpstr>TEMPLATE_SPHERE_CODE</vt:lpstr>
      <vt:lpstr>TEMPLATE_SPHERE_OKK_SOURCE</vt:lpstr>
      <vt:lpstr>TR_FROM_ORG_COLUMN_MARKER</vt:lpstr>
      <vt:lpstr>TR_TO_ORG_COLUMN_MARKER</vt:lpstr>
      <vt:lpstr>TRANSMISSION_TARIFF</vt:lpstr>
      <vt:lpstr>USER_FIELD</vt:lpstr>
      <vt:lpstr>UTBO_CALC_ADD_RANGE</vt:lpstr>
      <vt:lpstr>UTBO_CALC_EMPTY_RANGE</vt:lpstr>
      <vt:lpstr>UTBO_CALC_YEAR_TECH_RANGE</vt:lpstr>
      <vt:lpstr>version</vt:lpstr>
      <vt:lpstr>VOTV_BAL_PR_ADD_HL_MARKER_1</vt:lpstr>
      <vt:lpstr>VOTV_BAL_PR_ADD_RANGE_1</vt:lpstr>
      <vt:lpstr>VOTV_BAL_PR_CALC_AREA_1</vt:lpstr>
      <vt:lpstr>VOTV_BAL_PR_DELETE_HL_COLUMN_MARKER_1</vt:lpstr>
      <vt:lpstr>VOTV_BAL_PR_EMPTY_RANGE_1</vt:lpstr>
      <vt:lpstr>VOTV_BAL_PR_END_COLUMN_MARKER_1</vt:lpstr>
      <vt:lpstr>VOTV_BAL_PR_NUM_COLUMN_MARKER_1</vt:lpstr>
      <vt:lpstr>VOTV_BAL_PR_RANGE_1</vt:lpstr>
      <vt:lpstr>VOTV_BAL_TR_ADD_HL_MARKER_1</vt:lpstr>
      <vt:lpstr>VOTV_BAL_TR_ADD_RANGE_1</vt:lpstr>
      <vt:lpstr>VOTV_BAL_TR_CALC_AREA_1</vt:lpstr>
      <vt:lpstr>VOTV_BAL_TR_DELETE_HL_COLUMN_MARKER_1</vt:lpstr>
      <vt:lpstr>VOTV_BAL_TR_EMPTY_RANGE_1</vt:lpstr>
      <vt:lpstr>VOTV_BAL_TR_END_COLUMN_MARKER_1</vt:lpstr>
      <vt:lpstr>VOTV_BAL_TR_NUM_COLUMN_MARKER_1</vt:lpstr>
      <vt:lpstr>VOTV_BAL_TR_RANGE_1</vt:lpstr>
      <vt:lpstr>VOTV_CALC_ADD_HL_MARKER_PERIOD1</vt:lpstr>
      <vt:lpstr>VOTV_CALC_ADD_HL_MARKER_PERIOD2</vt:lpstr>
      <vt:lpstr>VOTV_CALC_ADD_HL_MARKER_PERIOD3</vt:lpstr>
      <vt:lpstr>VOTV_CALC_ADD_RANGE</vt:lpstr>
      <vt:lpstr>VOTV_CALC_CALC_AREA_PERIOD1</vt:lpstr>
      <vt:lpstr>VOTV_CALC_CALC_AREA_PERIOD2</vt:lpstr>
      <vt:lpstr>VOTV_CALC_CALC_AREA_PERIOD3</vt:lpstr>
      <vt:lpstr>VOTV_CALC_DELETE_HL_ROW_MARKER_PERIOD1</vt:lpstr>
      <vt:lpstr>VOTV_CALC_DELETE_HL_ROW_MARKER_PERIOD2</vt:lpstr>
      <vt:lpstr>VOTV_CALC_DELETE_HL_ROW_MARKER_PERIOD3</vt:lpstr>
      <vt:lpstr>VOTV_CALC_EMPTY_RANGE</vt:lpstr>
      <vt:lpstr>VOTV_CALC_NUM_ROW_MARKER_PERIOD1</vt:lpstr>
      <vt:lpstr>VOTV_CALC_NUM_ROW_MARKER_PERIOD2</vt:lpstr>
      <vt:lpstr>VOTV_CALC_NUM_ROW_MARKER_PERIOD3</vt:lpstr>
      <vt:lpstr>VOTV_CALC_PR_CALC_RANGE</vt:lpstr>
      <vt:lpstr>VOTV_CALC_PR_ISSUE_RANGE</vt:lpstr>
      <vt:lpstr>VOTV_CALC_PR_RANGE</vt:lpstr>
      <vt:lpstr>VOTV_CALC_TR_CALC_RANGE</vt:lpstr>
      <vt:lpstr>VOTV_CALC_TR_ISSUE_RANGE</vt:lpstr>
      <vt:lpstr>VOTV_CALC_TR_RANGE</vt:lpstr>
      <vt:lpstr>VOTV_CALC_YEAR_ADD_HL_MARKER</vt:lpstr>
      <vt:lpstr>VOTV_CALC_YEAR_ADD_RANGE</vt:lpstr>
      <vt:lpstr>VOTV_CALC_YEAR_CALC_RANGE</vt:lpstr>
      <vt:lpstr>VOTV_CALC_YEAR_DELETE_HL_ROW_MARKER</vt:lpstr>
      <vt:lpstr>VOTV_CALC_YEAR_EMPTY_RANGE</vt:lpstr>
      <vt:lpstr>VOTV_CALC_YEAR_NUM_ROW_MARKER</vt:lpstr>
      <vt:lpstr>VOTV_CALC_YEAR_PR_CALC_RANGE</vt:lpstr>
      <vt:lpstr>VOTV_CALC_YEAR_PR_RANGE</vt:lpstr>
      <vt:lpstr>VOTV_CALC_YEAR_TECH_RANGE</vt:lpstr>
      <vt:lpstr>VOTV_CALC_YEAR_TR_CALC_RANGE</vt:lpstr>
      <vt:lpstr>VOTV_CALC_YEAR_TR_RANGE</vt:lpstr>
      <vt:lpstr>VOTV_ConR_ADD_HL_MARKER_PERIOD1</vt:lpstr>
      <vt:lpstr>VOTV_ConR_ADD_HL_MARKER_PERIOD2</vt:lpstr>
      <vt:lpstr>VOTV_ConR_ADD_HL_MARKER_PERIOD3</vt:lpstr>
      <vt:lpstr>VOTV_ConR_ADD_RANGE</vt:lpstr>
      <vt:lpstr>VOTV_ConR_CALC_AREA_PERIOD1</vt:lpstr>
      <vt:lpstr>VOTV_ConR_CALC_AREA_PERIOD2</vt:lpstr>
      <vt:lpstr>VOTV_ConR_CALC_AREA_PERIOD3</vt:lpstr>
      <vt:lpstr>VOTV_ConR_DELETE_HL_ROW_MARKER_PERIOD1</vt:lpstr>
      <vt:lpstr>VOTV_ConR_DELETE_HL_ROW_MARKER_PERIOD2</vt:lpstr>
      <vt:lpstr>VOTV_ConR_DELETE_HL_ROW_MARKER_PERIOD3</vt:lpstr>
      <vt:lpstr>VOTV_ConR_EMPTY_RANGE</vt:lpstr>
      <vt:lpstr>VOTV_ConR_NUM_ROW_MARKER_PERIOD1</vt:lpstr>
      <vt:lpstr>VOTV_ConR_NUM_ROW_MARKER_PERIOD2</vt:lpstr>
      <vt:lpstr>VOTV_ConR_NUM_ROW_MARKER_PERIOD3</vt:lpstr>
      <vt:lpstr>VOTV_ConR_PR_CALC_RANGE</vt:lpstr>
      <vt:lpstr>VOTV_ConR_PR_ISSUE_RANGE</vt:lpstr>
      <vt:lpstr>VOTV_ConR_PR_RANGE</vt:lpstr>
      <vt:lpstr>VOTV_ConR_TR_CALC_RANGE</vt:lpstr>
      <vt:lpstr>VOTV_ConR_TR_ISSUE_RANGE</vt:lpstr>
      <vt:lpstr>VOTV_ConR_TR_RANGE</vt:lpstr>
      <vt:lpstr>VOTV_ConR_YEAR_ADD_HL_MARKER</vt:lpstr>
      <vt:lpstr>VOTV_ConR_YEAR_ADD_RANGE</vt:lpstr>
      <vt:lpstr>VOTV_ConR_YEAR_CALC_RANGE</vt:lpstr>
      <vt:lpstr>VOTV_ConR_YEAR_DELETE_HL_ROW_MARKER</vt:lpstr>
      <vt:lpstr>VOTV_ConR_YEAR_EMPTY_RANGE</vt:lpstr>
      <vt:lpstr>VOTV_ConR_YEAR_NUM_ROW_MARKER</vt:lpstr>
      <vt:lpstr>VOTV_ConR_YEAR_PR_CALC_RANGE</vt:lpstr>
      <vt:lpstr>VOTV_ConR_YEAR_PR_RANGE</vt:lpstr>
      <vt:lpstr>VOTV_ConR_YEAR_TECH_RANGE</vt:lpstr>
      <vt:lpstr>VOTV_ConR_YEAR_TR_CALC_RANGE</vt:lpstr>
      <vt:lpstr>VOTV_ConR_YEAR_TR_RANGE</vt:lpstr>
      <vt:lpstr>VOTV_DF_ADD_HL_MARKER</vt:lpstr>
      <vt:lpstr>VOTV_DF_ADD_RANGE</vt:lpstr>
      <vt:lpstr>VOTV_DF_CALC_RANGE</vt:lpstr>
      <vt:lpstr>VOTV_DF_DELETE_HL_ROW_MARKER</vt:lpstr>
      <vt:lpstr>VOTV_DF_EMPTY_RANGE</vt:lpstr>
      <vt:lpstr>VOTV_DF_NUM_ROW_MARKER</vt:lpstr>
      <vt:lpstr>VOTV_DF_PR_CALC_RANGE</vt:lpstr>
      <vt:lpstr>VOTV_DF_PR_RANGE</vt:lpstr>
      <vt:lpstr>VOTV_DF_TR_CALC_RANGE</vt:lpstr>
      <vt:lpstr>VOTV_DF_TR_RANGE</vt:lpstr>
      <vt:lpstr>VOTV_FEATURES</vt:lpstr>
      <vt:lpstr>VOTV_P_TM1_DOCUMENTS_RANGE</vt:lpstr>
      <vt:lpstr>VOTV_P_TM1_DOCUMENTS_RANGE_EDIT</vt:lpstr>
      <vt:lpstr>VOTV_P_TM1_DOCUMENTS_RANGE_EMPTY</vt:lpstr>
      <vt:lpstr>VOTV_P_TM1_DOCUMENTS_RANGE_NEW</vt:lpstr>
      <vt:lpstr>VOTV_P_TM1_DOCUMENTS_RANGE_RESET</vt:lpstr>
      <vt:lpstr>VOTV_P_TM2_DOCUMENTS_RANGE</vt:lpstr>
      <vt:lpstr>VOTV_P_TM2_DOCUMENTS_RANGE_EDIT</vt:lpstr>
      <vt:lpstr>VOTV_P_TM2_DOCUMENTS_RANGE_EMPTY</vt:lpstr>
      <vt:lpstr>VOTV_P_TM2_DOCUMENTS_RANGE_NEW</vt:lpstr>
      <vt:lpstr>VOTV_P_TM2_DOCUMENTS_RANGE_RESET</vt:lpstr>
      <vt:lpstr>VOTV_TARIFF</vt:lpstr>
      <vt:lpstr>VOTV_TM1_ADD_HL_MARKER_1</vt:lpstr>
      <vt:lpstr>VOTV_TM1_ADD_HL_MARKER_2</vt:lpstr>
      <vt:lpstr>VOTV_TM1_ADD_HL_MARKER_3</vt:lpstr>
      <vt:lpstr>VOTV_TM1_ADD_RANGE</vt:lpstr>
      <vt:lpstr>VOTV_TM1_CALC_AREA_1</vt:lpstr>
      <vt:lpstr>VOTV_TM1_CALC_AREA_2</vt:lpstr>
      <vt:lpstr>VOTV_TM1_CALC_AREA_3</vt:lpstr>
      <vt:lpstr>VOTV_TM1_DELETE_HL_COLUMN_MARKER_1</vt:lpstr>
      <vt:lpstr>VOTV_TM1_DELETE_HL_COLUMN_MARKER_2</vt:lpstr>
      <vt:lpstr>VOTV_TM1_DELETE_HL_COLUMN_MARKER_3</vt:lpstr>
      <vt:lpstr>VOTV_TM1_DOCUMENTS_INFO</vt:lpstr>
      <vt:lpstr>VOTV_TM1_EMPTY_RANGE</vt:lpstr>
      <vt:lpstr>VOTV_TM1_NUM_COLUMN_MARKER_1</vt:lpstr>
      <vt:lpstr>VOTV_TM1_NUM_COLUMN_MARKER_2</vt:lpstr>
      <vt:lpstr>VOTV_TM1_NUM_COLUMN_MARKER_3</vt:lpstr>
      <vt:lpstr>VOTV_TM1_RANGE</vt:lpstr>
      <vt:lpstr>VOTV_TM2_1_TARIFF_RANGE</vt:lpstr>
      <vt:lpstr>VOTV_TM2_2_TARIFF_RANGE</vt:lpstr>
      <vt:lpstr>VOTV_TM2_ADD_HL_MARKER_1</vt:lpstr>
      <vt:lpstr>VOTV_TM2_ADD_HL_MARKER_2</vt:lpstr>
      <vt:lpstr>VOTV_TM2_ADD_HL_MARKER_3</vt:lpstr>
      <vt:lpstr>VOTV_TM2_ADD_RANGE</vt:lpstr>
      <vt:lpstr>VOTV_TM2_CALC_AREA_1</vt:lpstr>
      <vt:lpstr>VOTV_TM2_CALC_AREA_2</vt:lpstr>
      <vt:lpstr>VOTV_TM2_CALC_AREA_3</vt:lpstr>
      <vt:lpstr>VOTV_TM2_DELETE_HL_COLUMN_MARKER_1</vt:lpstr>
      <vt:lpstr>VOTV_TM2_DELETE_HL_COLUMN_MARKER_2</vt:lpstr>
      <vt:lpstr>VOTV_TM2_DELETE_HL_COLUMN_MARKER_3</vt:lpstr>
      <vt:lpstr>VOTV_TM2_DOCUMENTS_INFO</vt:lpstr>
      <vt:lpstr>VOTV_TM2_EMPTY_RANGE</vt:lpstr>
      <vt:lpstr>VOTV_TM2_NUM_COLUMN_MARKER_1</vt:lpstr>
      <vt:lpstr>VOTV_TM2_NUM_COLUMN_MARKER_2</vt:lpstr>
      <vt:lpstr>VOTV_TM2_NUM_COLUMN_MARKER_3</vt:lpstr>
      <vt:lpstr>VOTV_TRANSMISSION_TARIFF</vt:lpstr>
      <vt:lpstr>VOTV_TRANSMISSION_TARIFF_UNIT</vt:lpstr>
      <vt:lpstr>VOTV_U_TM1_DOCUMENTS_RANGE</vt:lpstr>
      <vt:lpstr>VOTV_U_TM2_DOCUMENTS_RANGE</vt:lpstr>
      <vt:lpstr>VOTV_VD</vt:lpstr>
      <vt:lpstr>VSNA_BAL_PR_ADD_HL_MARKER_1</vt:lpstr>
      <vt:lpstr>VSNA_BAL_PR_ADD_RANGE_1</vt:lpstr>
      <vt:lpstr>VSNA_BAL_PR_CALC_AREA_1</vt:lpstr>
      <vt:lpstr>VSNA_BAL_PR_DELETE_HL_COLUMN_MARKER_1</vt:lpstr>
      <vt:lpstr>VSNA_BAL_PR_EMPTY_RANGE_1</vt:lpstr>
      <vt:lpstr>VSNA_BAL_PR_END_COLUMN_MARKER_1</vt:lpstr>
      <vt:lpstr>VSNA_BAL_PR_IC_ADD_HL_MARKER_1</vt:lpstr>
      <vt:lpstr>VSNA_BAL_PR_IC_ADD_RANGE_1</vt:lpstr>
      <vt:lpstr>VSNA_BAL_PR_IC_DELETE_HL_ROW_MARKER_1</vt:lpstr>
      <vt:lpstr>VSNA_BAL_PR_IC_NUM_ROW_MARKER_1</vt:lpstr>
      <vt:lpstr>VSNA_BAL_PR_NUM_COLUMN_MARKER_1</vt:lpstr>
      <vt:lpstr>VSNA_BAL_PR_P_RANGE_1</vt:lpstr>
      <vt:lpstr>VSNA_BAL_PR_P_T_RANGE_1</vt:lpstr>
      <vt:lpstr>VSNA_BAL_PR_RESELL_MATRIX_1_1</vt:lpstr>
      <vt:lpstr>VSNA_BAL_PR_RESELL_MATRIX_1_MARKER_1</vt:lpstr>
      <vt:lpstr>VSNA_BAL_PR_T_RANGE_1</vt:lpstr>
      <vt:lpstr>VSNA_BAL_TR_ADD_HL_MARKER_1</vt:lpstr>
      <vt:lpstr>VSNA_BAL_TR_ADD_RANGE_1</vt:lpstr>
      <vt:lpstr>VSNA_BAL_TR_CALC_AREA_1</vt:lpstr>
      <vt:lpstr>VSNA_BAL_TR_DELETE_HL_COLUMN_MARKER_1</vt:lpstr>
      <vt:lpstr>VSNA_BAL_TR_EMPTY_RANGE_1</vt:lpstr>
      <vt:lpstr>VSNA_BAL_TR_END_COLUMN_MARKER_1</vt:lpstr>
      <vt:lpstr>VSNA_BAL_TR_NUM_COLUMN_MARKER_1</vt:lpstr>
      <vt:lpstr>VSNA_BAL_TR_P_RANGE_1</vt:lpstr>
      <vt:lpstr>VSNA_BAL_TR_P_T_RANGE_1</vt:lpstr>
      <vt:lpstr>VSNA_BAL_TR_T_RANGE_1</vt:lpstr>
      <vt:lpstr>VSNA_BPR_3_P_TOTAL_MO_1</vt:lpstr>
      <vt:lpstr>VSNA_BPR_3_T_TOTAL_MO_1</vt:lpstr>
      <vt:lpstr>VSNA_BPR_5_2_2_P_TOTAL_MO_1</vt:lpstr>
      <vt:lpstr>VSNA_BPR_5_2_2_T_TOTAL_MO_1</vt:lpstr>
      <vt:lpstr>VSNA_CALC_ADD_HL_MARKER_PERIOD1</vt:lpstr>
      <vt:lpstr>VSNA_CALC_ADD_HL_MARKER_PERIOD2</vt:lpstr>
      <vt:lpstr>VSNA_CALC_ADD_HL_MARKER_PERIOD3</vt:lpstr>
      <vt:lpstr>VSNA_CALC_ADD_RANGE</vt:lpstr>
      <vt:lpstr>VSNA_CALC_CALC_AREA_PERIOD1</vt:lpstr>
      <vt:lpstr>VSNA_CALC_CALC_AREA_PERIOD2</vt:lpstr>
      <vt:lpstr>VSNA_CALC_CALC_AREA_PERIOD3</vt:lpstr>
      <vt:lpstr>VSNA_CALC_DELETE_HL_ROW_MARKER_PERIOD1</vt:lpstr>
      <vt:lpstr>VSNA_CALC_DELETE_HL_ROW_MARKER_PERIOD2</vt:lpstr>
      <vt:lpstr>VSNA_CALC_DELETE_HL_ROW_MARKER_PERIOD3</vt:lpstr>
      <vt:lpstr>VSNA_CALC_EMPTY_RANGE</vt:lpstr>
      <vt:lpstr>VSNA_CALC_NUM_ROW_MARKER_PERIOD1</vt:lpstr>
      <vt:lpstr>VSNA_CALC_NUM_ROW_MARKER_PERIOD2</vt:lpstr>
      <vt:lpstr>VSNA_CALC_NUM_ROW_MARKER_PERIOD3</vt:lpstr>
      <vt:lpstr>VSNA_CALC_P_CALC_RANGE</vt:lpstr>
      <vt:lpstr>VSNA_CALC_P_ISSUE_RANGE</vt:lpstr>
      <vt:lpstr>VSNA_CALC_P_RANGE</vt:lpstr>
      <vt:lpstr>VSNA_CALC_P_T_CALC_RANGE</vt:lpstr>
      <vt:lpstr>VSNA_CALC_P_T_ISSUE_RANGE</vt:lpstr>
      <vt:lpstr>VSNA_CALC_P_T_RANGE</vt:lpstr>
      <vt:lpstr>VSNA_CALC_P_T_TR_CALC_RANGE</vt:lpstr>
      <vt:lpstr>VSNA_CALC_P_T_TR_ISSUE_RANGE</vt:lpstr>
      <vt:lpstr>VSNA_CALC_P_TR_CALC_RANGE</vt:lpstr>
      <vt:lpstr>VSNA_CALC_P_TR_ISSUE_RANGE</vt:lpstr>
      <vt:lpstr>VSNA_CALC_T_CALC_RANGE</vt:lpstr>
      <vt:lpstr>VSNA_CALC_T_ISSUE_RANGE</vt:lpstr>
      <vt:lpstr>VSNA_CALC_T_RANGE</vt:lpstr>
      <vt:lpstr>VSNA_CALC_T_TR_CALC_RANGE</vt:lpstr>
      <vt:lpstr>VSNA_CALC_T_TR_ISSUE_RANGE</vt:lpstr>
      <vt:lpstr>VSNA_CALC_YEAR_ADD_HL_MARKER</vt:lpstr>
      <vt:lpstr>VSNA_CALC_YEAR_ADD_RANGE</vt:lpstr>
      <vt:lpstr>VSNA_CALC_YEAR_CALC_RANGE</vt:lpstr>
      <vt:lpstr>VSNA_CALC_YEAR_DELETE_HL_ROW_MARKER</vt:lpstr>
      <vt:lpstr>VSNA_CALC_YEAR_EMPTY_RANGE</vt:lpstr>
      <vt:lpstr>VSNA_CALC_YEAR_NUM_ROW_MARKER</vt:lpstr>
      <vt:lpstr>VSNA_CALC_YEAR_P_CALC_RANGE</vt:lpstr>
      <vt:lpstr>VSNA_CALC_YEAR_P_RANGE</vt:lpstr>
      <vt:lpstr>VSNA_CALC_YEAR_P_T_CALC_RANGE</vt:lpstr>
      <vt:lpstr>VSNA_CALC_YEAR_P_T_RANGE</vt:lpstr>
      <vt:lpstr>VSNA_CALC_YEAR_P_T_TR_CALC_RANGE</vt:lpstr>
      <vt:lpstr>VSNA_CALC_YEAR_P_TR_CALC_RANGE</vt:lpstr>
      <vt:lpstr>VSNA_CALC_YEAR_T_CALC_RANGE</vt:lpstr>
      <vt:lpstr>VSNA_CALC_YEAR_T_RANGE</vt:lpstr>
      <vt:lpstr>VSNA_CALC_YEAR_T_TR_CALC_RANGE</vt:lpstr>
      <vt:lpstr>VSNA_CALC_YEAR_TECH_RANGE</vt:lpstr>
      <vt:lpstr>VSNA_ConR_ADD_HL_MARKER_PERIOD1</vt:lpstr>
      <vt:lpstr>VSNA_ConR_ADD_HL_MARKER_PERIOD2</vt:lpstr>
      <vt:lpstr>VSNA_ConR_ADD_HL_MARKER_PERIOD3</vt:lpstr>
      <vt:lpstr>VSNA_ConR_ADD_RANGE</vt:lpstr>
      <vt:lpstr>VSNA_ConR_CALC_AREA_PERIOD1</vt:lpstr>
      <vt:lpstr>VSNA_ConR_CALC_AREA_PERIOD2</vt:lpstr>
      <vt:lpstr>VSNA_ConR_CALC_AREA_PERIOD3</vt:lpstr>
      <vt:lpstr>VSNA_ConR_DELETE_HL_ROW_MARKER_PERIOD1</vt:lpstr>
      <vt:lpstr>VSNA_ConR_DELETE_HL_ROW_MARKER_PERIOD2</vt:lpstr>
      <vt:lpstr>VSNA_ConR_DELETE_HL_ROW_MARKER_PERIOD3</vt:lpstr>
      <vt:lpstr>VSNA_ConR_EMPTY_RANGE</vt:lpstr>
      <vt:lpstr>VSNA_ConR_NUM_ROW_MARKER_PERIOD1</vt:lpstr>
      <vt:lpstr>VSNA_ConR_NUM_ROW_MARKER_PERIOD2</vt:lpstr>
      <vt:lpstr>VSNA_ConR_NUM_ROW_MARKER_PERIOD3</vt:lpstr>
      <vt:lpstr>VSNA_ConR_P_CALC_RANGE</vt:lpstr>
      <vt:lpstr>VSNA_ConR_P_ISSUE_RANGE</vt:lpstr>
      <vt:lpstr>VSNA_ConR_P_RANGE</vt:lpstr>
      <vt:lpstr>VSNA_ConR_P_T_CALC_RANGE</vt:lpstr>
      <vt:lpstr>VSNA_ConR_P_T_ISSUE_RANGE</vt:lpstr>
      <vt:lpstr>VSNA_ConR_P_T_RANGE</vt:lpstr>
      <vt:lpstr>VSNA_ConR_P_T_TR_CALC_RANGE</vt:lpstr>
      <vt:lpstr>VSNA_ConR_P_T_TR_ISSUE_RANGE</vt:lpstr>
      <vt:lpstr>VSNA_ConR_P_TR_CALC_RANGE</vt:lpstr>
      <vt:lpstr>VSNA_ConR_P_TR_ISSUE_RANGE</vt:lpstr>
      <vt:lpstr>VSNA_ConR_T_CALC_RANGE</vt:lpstr>
      <vt:lpstr>VSNA_ConR_T_ISSUE_RANGE</vt:lpstr>
      <vt:lpstr>VSNA_ConR_T_RANGE</vt:lpstr>
      <vt:lpstr>VSNA_ConR_T_TR_CALC_RANGE</vt:lpstr>
      <vt:lpstr>VSNA_ConR_T_TR_ISSUE_RANGE</vt:lpstr>
      <vt:lpstr>VSNA_ConR_YEAR_ADD_HL_MARKER</vt:lpstr>
      <vt:lpstr>VSNA_ConR_YEAR_ADD_RANGE</vt:lpstr>
      <vt:lpstr>VSNA_ConR_YEAR_CALC_RANGE</vt:lpstr>
      <vt:lpstr>VSNA_ConR_YEAR_DELETE_HL_ROW_MARKER</vt:lpstr>
      <vt:lpstr>VSNA_ConR_YEAR_EMPTY_RANGE</vt:lpstr>
      <vt:lpstr>VSNA_ConR_YEAR_NUM_ROW_MARKER</vt:lpstr>
      <vt:lpstr>VSNA_ConR_YEAR_P_CALC_RANGE</vt:lpstr>
      <vt:lpstr>VSNA_ConR_YEAR_P_RANGE</vt:lpstr>
      <vt:lpstr>VSNA_ConR_YEAR_P_T_CALC_RANGE</vt:lpstr>
      <vt:lpstr>VSNA_ConR_YEAR_P_T_RANGE</vt:lpstr>
      <vt:lpstr>VSNA_ConR_YEAR_P_T_TR_CALC_RANGE</vt:lpstr>
      <vt:lpstr>VSNA_ConR_YEAR_P_TR_CALC_RANGE</vt:lpstr>
      <vt:lpstr>VSNA_ConR_YEAR_T_CALC_RANGE</vt:lpstr>
      <vt:lpstr>VSNA_ConR_YEAR_T_RANGE</vt:lpstr>
      <vt:lpstr>VSNA_ConR_YEAR_T_TR_CALC_RANGE</vt:lpstr>
      <vt:lpstr>VSNA_ConR_YEAR_TECH_RANGE</vt:lpstr>
      <vt:lpstr>VSNA_DF_ADD_HL_MARKER</vt:lpstr>
      <vt:lpstr>VSNA_DF_ADD_RANGE</vt:lpstr>
      <vt:lpstr>VSNA_DF_CALC_RANGE</vt:lpstr>
      <vt:lpstr>VSNA_DF_DELETE_HL_ROW_MARKER</vt:lpstr>
      <vt:lpstr>VSNA_DF_EMPTY_RANGE</vt:lpstr>
      <vt:lpstr>VSNA_DF_NUM_ROW_MARKER</vt:lpstr>
      <vt:lpstr>VSNA_DF_P_CALC_RANGE</vt:lpstr>
      <vt:lpstr>VSNA_DF_P_RANGE</vt:lpstr>
      <vt:lpstr>VSNA_DF_P_T_CALC_RANGE</vt:lpstr>
      <vt:lpstr>VSNA_DF_P_T_RANGE</vt:lpstr>
      <vt:lpstr>VSNA_DF_P_T_TR_CALC_RANGE</vt:lpstr>
      <vt:lpstr>VSNA_DF_P_TR_CALC_RANGE</vt:lpstr>
      <vt:lpstr>VSNA_DF_T_CALC_RANGE</vt:lpstr>
      <vt:lpstr>VSNA_DF_T_RANGE</vt:lpstr>
      <vt:lpstr>VSNA_DF_T_TR_CALC_RANGE</vt:lpstr>
      <vt:lpstr>VSNA_FEATURES</vt:lpstr>
      <vt:lpstr>VSNA_P_TM1_DOCUMENTS_RANGE_EDIT</vt:lpstr>
      <vt:lpstr>VSNA_P_TM1_DOCUMENTS_RANGE_EMPTY</vt:lpstr>
      <vt:lpstr>VSNA_P_TM1_DOCUMENTS_RANGE_NEW</vt:lpstr>
      <vt:lpstr>VSNA_P_TM1_DOCUMENTS_RANGE_RESET</vt:lpstr>
      <vt:lpstr>VSNA_P_TM1_P_DOCUMENTS_RANGE</vt:lpstr>
      <vt:lpstr>VSNA_P_TM1_PT_DOCUMENTS_RANGE</vt:lpstr>
      <vt:lpstr>VSNA_P_TM1_T_DOCUMENTS_RANGE</vt:lpstr>
      <vt:lpstr>VSNA_P_TM2_DOCUMENTS_RANGE_EDIT</vt:lpstr>
      <vt:lpstr>VSNA_P_TM2_DOCUMENTS_RANGE_EMPTY</vt:lpstr>
      <vt:lpstr>VSNA_P_TM2_DOCUMENTS_RANGE_NEW</vt:lpstr>
      <vt:lpstr>VSNA_P_TM2_DOCUMENTS_RANGE_RESET</vt:lpstr>
      <vt:lpstr>VSNA_P_TM2_P_DOCUMENTS_RANGE</vt:lpstr>
      <vt:lpstr>VSNA_P_TM2_PT_DOCUMENTS_RANGE</vt:lpstr>
      <vt:lpstr>VSNA_P_TM2_T_DOCUMENTS_RANGE</vt:lpstr>
      <vt:lpstr>VSNA_TARIFF</vt:lpstr>
      <vt:lpstr>VSNA_TM1_ADD_HL_MARKER_1</vt:lpstr>
      <vt:lpstr>VSNA_TM1_ADD_HL_MARKER_2</vt:lpstr>
      <vt:lpstr>VSNA_TM1_ADD_HL_MARKER_3</vt:lpstr>
      <vt:lpstr>VSNA_TM1_ADD_RANGE</vt:lpstr>
      <vt:lpstr>VSNA_TM1_CALC_AREA_1</vt:lpstr>
      <vt:lpstr>VSNA_TM1_CALC_AREA_2</vt:lpstr>
      <vt:lpstr>VSNA_TM1_CALC_AREA_3</vt:lpstr>
      <vt:lpstr>VSNA_TM1_DELETE_HL_COLUMN_MARKER_1</vt:lpstr>
      <vt:lpstr>VSNA_TM1_DELETE_HL_COLUMN_MARKER_2</vt:lpstr>
      <vt:lpstr>VSNA_TM1_DELETE_HL_COLUMN_MARKER_3</vt:lpstr>
      <vt:lpstr>VSNA_TM1_DOCUMENTS_INFO</vt:lpstr>
      <vt:lpstr>VSNA_TM1_EMPTY_RANGE</vt:lpstr>
      <vt:lpstr>VSNA_TM1_NUM_COLUMN_MARKER_1</vt:lpstr>
      <vt:lpstr>VSNA_TM1_NUM_COLUMN_MARKER_2</vt:lpstr>
      <vt:lpstr>VSNA_TM1_NUM_COLUMN_MARKER_3</vt:lpstr>
      <vt:lpstr>VSNA_TM1_P_RANGE</vt:lpstr>
      <vt:lpstr>VSNA_TM1_P_T_RANGE</vt:lpstr>
      <vt:lpstr>VSNA_TM1_T_RANGE</vt:lpstr>
      <vt:lpstr>VSNA_TM2_1_TARIFF_P_RANGE</vt:lpstr>
      <vt:lpstr>VSNA_TM2_1_TARIFF_P_T_RANGE</vt:lpstr>
      <vt:lpstr>VSNA_TM2_1_TARIFF_T_RANGE</vt:lpstr>
      <vt:lpstr>VSNA_TM2_2_TARIFF_P_RANGE</vt:lpstr>
      <vt:lpstr>VSNA_TM2_2_TARIFF_P_T_RANGE</vt:lpstr>
      <vt:lpstr>VSNA_TM2_2_TARIFF_T_RANGE</vt:lpstr>
      <vt:lpstr>VSNA_TM2_ADD_HL_MARKER_1</vt:lpstr>
      <vt:lpstr>VSNA_TM2_ADD_HL_MARKER_2</vt:lpstr>
      <vt:lpstr>VSNA_TM2_ADD_HL_MARKER_3</vt:lpstr>
      <vt:lpstr>VSNA_TM2_ADD_RANGE</vt:lpstr>
      <vt:lpstr>VSNA_TM2_CALC_AREA_1</vt:lpstr>
      <vt:lpstr>VSNA_TM2_CALC_AREA_2</vt:lpstr>
      <vt:lpstr>VSNA_TM2_CALC_AREA_3</vt:lpstr>
      <vt:lpstr>VSNA_TM2_DELETE_HL_COLUMN_MARKER_1</vt:lpstr>
      <vt:lpstr>VSNA_TM2_DELETE_HL_COLUMN_MARKER_2</vt:lpstr>
      <vt:lpstr>VSNA_TM2_DELETE_HL_COLUMN_MARKER_3</vt:lpstr>
      <vt:lpstr>VSNA_TM2_DOCUMENTS_INFO</vt:lpstr>
      <vt:lpstr>VSNA_TM2_EMPTY_RANGE</vt:lpstr>
      <vt:lpstr>VSNA_TM2_NUM_COLUMN_MARKER_1</vt:lpstr>
      <vt:lpstr>VSNA_TM2_NUM_COLUMN_MARKER_2</vt:lpstr>
      <vt:lpstr>VSNA_TM2_NUM_COLUMN_MARKER_3</vt:lpstr>
      <vt:lpstr>VSNA_TRANSMISSION_TARIFF</vt:lpstr>
      <vt:lpstr>VSNA_TRANSMISSION_TARIFF_UNIT</vt:lpstr>
      <vt:lpstr>VSNA_U_TM1_P_DOCUMENTS_RANGE</vt:lpstr>
      <vt:lpstr>VSNA_U_TM1_PT_DOCUMENTS_RANGE</vt:lpstr>
      <vt:lpstr>VSNA_U_TM1_T_DOCUMENTS_RANGE</vt:lpstr>
      <vt:lpstr>VSNA_U_TM2_P_DOCUMENTS_RANGE</vt:lpstr>
      <vt:lpstr>VSNA_U_TM2_PT_DOCUMENTS_RANGE</vt:lpstr>
      <vt:lpstr>VSNA_U_TM2_T_DOCUMENTS_RANGE</vt:lpstr>
      <vt:lpstr>VSNA_VD</vt:lpstr>
      <vt:lpstr>VTOV</vt:lpstr>
      <vt:lpstr>XML_AUTHORISATION_TAG_NAMES</vt:lpstr>
      <vt:lpstr>XML_MR_MO_OKTMO_LIST_TAG_NAMES</vt:lpstr>
      <vt:lpstr>XML_ORG_LIST_TAG_NAMES</vt:lpstr>
      <vt:lpstr>XML_PLAN1X_HEAT_BPR_DETAILED_TAG_NAMES</vt:lpstr>
      <vt:lpstr>XML_PLAN1X_HEAT_BPR_TAG_NAMES</vt:lpstr>
      <vt:lpstr>XML_PLAN1X_HEAT_BTR_DETAILED_TAG_NAMES</vt:lpstr>
      <vt:lpstr>XML_PLAN1X_HEAT_BTR_TAG_NAMES</vt:lpstr>
      <vt:lpstr>XML_PLAN1X_HEAT_CALC_TAG_NAMES</vt:lpstr>
      <vt:lpstr>XML_PLAN1X_HEAT_DF_LIST_ORG_TAG_NAMES</vt:lpstr>
      <vt:lpstr>XML_PLAN1X_HEAT_DF_TAG_NAMES</vt:lpstr>
      <vt:lpstr>XML_PLAN1X_HEAT_FUEL_EE_TAG_NAMES</vt:lpstr>
      <vt:lpstr>XML_PLAN1X_HEAT_FUEL_GAS_TAG_NAMES</vt:lpstr>
      <vt:lpstr>XML_PLAN1X_HEAT_FUEL_TAG_NAMES</vt:lpstr>
      <vt:lpstr>XML_PLAN1X_HEAT_FUEL_TR_1_TAG_NAMES</vt:lpstr>
      <vt:lpstr>XML_PLAN1X_HEAT_FUEL_TR_2_TAG_NAMES</vt:lpstr>
      <vt:lpstr>XML_PLAN1X_HEAT_FUEL_TR_3_TAG_NAMES</vt:lpstr>
      <vt:lpstr>XML_PLAN1X_HEAT_LIST_ORG_TAG_NAMES</vt:lpstr>
      <vt:lpstr>XML_PLAN1X_HEAT_MXPP_DETAILED_TAG_NAMES</vt:lpstr>
      <vt:lpstr>XML_PLAN1X_HEAT_MXPP_TAG_NAMES</vt:lpstr>
      <vt:lpstr>XML_PLAN1X_HEAT_MXTR_DETAILED_TAG_NAMES</vt:lpstr>
      <vt:lpstr>XML_PLAN1X_HEAT_MXTR_TAG_NAMES</vt:lpstr>
      <vt:lpstr>XML_PLAN1X_HEAT_TM1_TAG_NAMES</vt:lpstr>
      <vt:lpstr>XML_PLAN1X_HEAT_TM2_TAG_NAMES</vt:lpstr>
      <vt:lpstr>XML_PLAN1X_VOTV_BPR_DETAILED_TAG_NAMES</vt:lpstr>
      <vt:lpstr>XML_PLAN1X_VOTV_BPR_TAG_NAMES</vt:lpstr>
      <vt:lpstr>XML_PLAN1X_VOTV_BTR_DETAILED_TAG_NAMES</vt:lpstr>
      <vt:lpstr>XML_PLAN1X_VOTV_BTR_TAG_NAMES</vt:lpstr>
      <vt:lpstr>XML_PLAN1X_VOTV_CALC_TAG_NAMES</vt:lpstr>
      <vt:lpstr>XML_PLAN1X_VOTV_DF_LIST_ORG_TAG_NAMES</vt:lpstr>
      <vt:lpstr>XML_PLAN1X_VOTV_DF_TAG_NAMES</vt:lpstr>
      <vt:lpstr>XML_PLAN1X_VOTV_LIST_ORG_TAG_NAMES</vt:lpstr>
      <vt:lpstr>XML_PLAN1X_VOTV_TM1_TAG_NAMES</vt:lpstr>
      <vt:lpstr>XML_PLAN1X_VOTV_TM2_TAG_NAMES</vt:lpstr>
      <vt:lpstr>XML_PLAN1X_VSNA_BPR_DETAILED_TAG_NAMES</vt:lpstr>
      <vt:lpstr>XML_PLAN1X_VSNA_BPR_TAG_NAMES</vt:lpstr>
      <vt:lpstr>XML_PLAN1X_VSNA_BTR_DETAILED_TAG_NAMES</vt:lpstr>
      <vt:lpstr>XML_PLAN1X_VSNA_BTR_TAG_NAMES</vt:lpstr>
      <vt:lpstr>XML_PLAN1X_VSNA_CALC_TAG_NAMES</vt:lpstr>
      <vt:lpstr>XML_PLAN1X_VSNA_DF_LIST_ORG_TAG_NAMES</vt:lpstr>
      <vt:lpstr>XML_PLAN1X_VSNA_DF_TAG_NAMES</vt:lpstr>
      <vt:lpstr>XML_PLAN1X_VSNA_LIST_ORG_TAG_NAMES</vt:lpstr>
      <vt:lpstr>XML_PLAN1X_VSNA_MXPP_DETAILED_TAG_NAMES</vt:lpstr>
      <vt:lpstr>XML_PLAN1X_VSNA_MXPP_TAG_NAMES</vt:lpstr>
      <vt:lpstr>XML_PLAN1X_VSNA_TM1_TAG_NAMES</vt:lpstr>
      <vt:lpstr>XML_PLAN1X_VSNA_TM2_TAG_NAMES</vt:lpstr>
      <vt:lpstr>XML_SOURCE_LIST_TAG_NAMES</vt:lpstr>
      <vt:lpstr>YEAR_LIST</vt:lpstr>
      <vt:lpstr>YES_NO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Фактические показатели организаций ВО (2012 год)</dc:title>
  <dc:subject>Фактические показатели организаций ВО (2012 год)</dc:subject>
  <dc:creator>--</dc:creator>
  <cp:lastModifiedBy>Дуван</cp:lastModifiedBy>
  <cp:lastPrinted>2013-06-20T00:34:19Z</cp:lastPrinted>
  <dcterms:created xsi:type="dcterms:W3CDTF">2004-05-21T07:18:45Z</dcterms:created>
  <dcterms:modified xsi:type="dcterms:W3CDTF">2013-06-20T00:55:31Z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vt:lpwstr>BALANCE.CALC.TARIFF.VOTV.2012.FACT</vt:lpwstr>
  </property>
  <property fmtid="{D5CDD505-2E9C-101B-9397-08002B2CF9AE}" pid="3" name="UserComments">
    <vt:lpwstr/>
  </property>
  <property fmtid="{D5CDD505-2E9C-101B-9397-08002B2CF9AE}" pid="4" name="XsltDocFilePath">
    <vt:lpwstr>C:\Program Files\Compulink\CEM\taremo_ias_REPOSITORY\REFERENCEDDATA</vt:lpwstr>
  </property>
  <property fmtid="{D5CDD505-2E9C-101B-9397-08002B2CF9AE}" pid="5" name="XslViewFilePath">
    <vt:lpwstr>C:\Program Files\Compulink\CEM\taremo_ias_REPOSITORY\REFERENCEDDATA\show.xsl</vt:lpwstr>
  </property>
  <property fmtid="{D5CDD505-2E9C-101B-9397-08002B2CF9AE}" pid="6" name="RootDocFilePath">
    <vt:lpwstr>Undefined</vt:lpwstr>
  </property>
  <property fmtid="{D5CDD505-2E9C-101B-9397-08002B2CF9AE}" pid="7" name="keywords">
    <vt:lpwstr/>
  </property>
  <property fmtid="{D5CDD505-2E9C-101B-9397-08002B2CF9AE}" pid="8" name="Status">
    <vt:lpwstr>2</vt:lpwstr>
  </property>
  <property fmtid="{D5CDD505-2E9C-101B-9397-08002B2CF9AE}" pid="9" name="CurrentVersion">
    <vt:lpwstr>1.0</vt:lpwstr>
  </property>
  <property fmtid="{D5CDD505-2E9C-101B-9397-08002B2CF9AE}" pid="10" name="HtmlTempFilePath">
    <vt:lpwstr/>
  </property>
  <property fmtid="{D5CDD505-2E9C-101B-9397-08002B2CF9AE}" pid="11" name="XMLTempFilePath">
    <vt:lpwstr/>
  </property>
  <property fmtid="{D5CDD505-2E9C-101B-9397-08002B2CF9AE}" pid="12" name="entityid">
    <vt:lpwstr/>
  </property>
  <property fmtid="{D5CDD505-2E9C-101B-9397-08002B2CF9AE}" pid="13" name="EditTemplate">
    <vt:bool>true</vt:bool>
  </property>
  <property fmtid="{D5CDD505-2E9C-101B-9397-08002B2CF9AE}" pid="14" name="PeriodLength">
    <vt:lpwstr/>
  </property>
  <property fmtid="{D5CDD505-2E9C-101B-9397-08002B2CF9AE}" pid="15" name="Period">
    <vt:lpwstr/>
  </property>
  <property fmtid="{D5CDD505-2E9C-101B-9397-08002B2CF9AE}" pid="16" name="TemplateOperationMode">
    <vt:i4>3</vt:i4>
  </property>
  <property fmtid="{D5CDD505-2E9C-101B-9397-08002B2CF9AE}" pid="17" name="Periodicity">
    <vt:lpwstr>REGU</vt:lpwstr>
  </property>
  <property fmtid="{D5CDD505-2E9C-101B-9397-08002B2CF9AE}" pid="18" name="TypePlanning">
    <vt:lpwstr>FACT</vt:lpwstr>
  </property>
</Properties>
</file>